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theme/themeOverride1.xml" ContentType="application/vnd.openxmlformats-officedocument.themeOverride+xml"/>
  <Override PartName="/xl/charts/chart6.xml" ContentType="application/vnd.openxmlformats-officedocument.drawingml.chart+xml"/>
  <Override PartName="/xl/drawings/drawing8.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harts/chart7.xml" ContentType="application/vnd.openxmlformats-officedocument.drawingml.chart+xml"/>
  <Override PartName="/xl/charts/chart8.xml" ContentType="application/vnd.openxmlformats-officedocument.drawingml.chart+xml"/>
  <Override PartName="/xl/theme/themeOverride2.xml" ContentType="application/vnd.openxmlformats-officedocument.themeOverride+xml"/>
  <Override PartName="/xl/charts/chart9.xml" ContentType="application/vnd.openxmlformats-officedocument.drawingml.chart+xml"/>
  <Override PartName="/xl/theme/themeOverride3.xml" ContentType="application/vnd.openxmlformats-officedocument.themeOverride+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9.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harts/chart14.xml" ContentType="application/vnd.openxmlformats-officedocument.drawingml.chart+xml"/>
  <Override PartName="/xl/charts/chart15.xml" ContentType="application/vnd.openxmlformats-officedocument.drawingml.chart+xml"/>
  <Override PartName="/xl/theme/themeOverride4.xml" ContentType="application/vnd.openxmlformats-officedocument.themeOverride+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10.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theme/themeOverride5.xml" ContentType="application/vnd.openxmlformats-officedocument.themeOverride+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theme/themeOverride6.xml" ContentType="application/vnd.openxmlformats-officedocument.themeOverride+xml"/>
  <Override PartName="/xl/charts/chart29.xml" ContentType="application/vnd.openxmlformats-officedocument.drawingml.chart+xml"/>
  <Override PartName="/xl/charts/chart30.xml" ContentType="application/vnd.openxmlformats-officedocument.drawingml.chart+xml"/>
  <Override PartName="/xl/drawings/drawing12.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3.xml" ContentType="application/vnd.openxmlformats-officedocument.drawing+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theme/themeOverride7.xml" ContentType="application/vnd.openxmlformats-officedocument.themeOverride+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14.xml" ContentType="application/vnd.openxmlformats-officedocument.drawing+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theme/themeOverride8.xml" ContentType="application/vnd.openxmlformats-officedocument.themeOverride+xml"/>
  <Override PartName="/xl/charts/chart54.xml" ContentType="application/vnd.openxmlformats-officedocument.drawingml.chart+xml"/>
  <Override PartName="/xl/charts/chart55.xml" ContentType="application/vnd.openxmlformats-officedocument.drawingml.chart+xml"/>
  <Override PartName="/xl/drawings/drawing15.xml" ContentType="application/vnd.openxmlformats-officedocument.drawing+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drawings/drawing16.xml" ContentType="application/vnd.openxmlformats-officedocument.drawing+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drawings/drawing17.xml" ContentType="application/vnd.openxmlformats-officedocument.drawing+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theme/themeOverride9.xml" ContentType="application/vnd.openxmlformats-officedocument.themeOverride+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theme/themeOverride10.xml" ContentType="application/vnd.openxmlformats-officedocument.themeOverride+xml"/>
  <Override PartName="/xl/charts/chart73.xml" ContentType="application/vnd.openxmlformats-officedocument.drawingml.chart+xml"/>
  <Override PartName="/xl/charts/chart74.xml" ContentType="application/vnd.openxmlformats-officedocument.drawingml.chart+xml"/>
  <Override PartName="/xl/drawings/drawing18.xml" ContentType="application/vnd.openxmlformats-officedocument.drawing+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theme/themeOverride11.xml" ContentType="application/vnd.openxmlformats-officedocument.themeOverride+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theme/themeOverride12.xml" ContentType="application/vnd.openxmlformats-officedocument.themeOverride+xml"/>
  <Override PartName="/xl/charts/chart82.xml" ContentType="application/vnd.openxmlformats-officedocument.drawingml.chart+xml"/>
  <Override PartName="/xl/charts/chart83.xml" ContentType="application/vnd.openxmlformats-officedocument.drawingml.chart+xml"/>
  <Override PartName="/xl/theme/themeOverride13.xml" ContentType="application/vnd.openxmlformats-officedocument.themeOverride+xml"/>
  <Override PartName="/xl/charts/chart84.xml" ContentType="application/vnd.openxmlformats-officedocument.drawingml.chart+xml"/>
  <Override PartName="/xl/charts/chart85.xml" ContentType="application/vnd.openxmlformats-officedocument.drawingml.chart+xml"/>
  <Override PartName="/xl/theme/themeOverride14.xml" ContentType="application/vnd.openxmlformats-officedocument.themeOverride+xml"/>
  <Override PartName="/xl/charts/chart86.xml" ContentType="application/vnd.openxmlformats-officedocument.drawingml.chart+xml"/>
  <Override PartName="/xl/charts/chart87.xml" ContentType="application/vnd.openxmlformats-officedocument.drawingml.chart+xml"/>
  <Override PartName="/xl/theme/themeOverride15.xml" ContentType="application/vnd.openxmlformats-officedocument.themeOverride+xml"/>
  <Override PartName="/xl/charts/chart88.xml" ContentType="application/vnd.openxmlformats-officedocument.drawingml.chart+xml"/>
  <Override PartName="/xl/charts/chart89.xml" ContentType="application/vnd.openxmlformats-officedocument.drawingml.chart+xml"/>
  <Override PartName="/xl/drawings/drawing19.xml" ContentType="application/vnd.openxmlformats-officedocument.drawing+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drawings/drawing20.xml" ContentType="application/vnd.openxmlformats-officedocument.drawing+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theme/themeOverride16.xml" ContentType="application/vnd.openxmlformats-officedocument.themeOverride+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charts/chart106.xml" ContentType="application/vnd.openxmlformats-officedocument.drawingml.chart+xml"/>
  <Override PartName="/xl/theme/themeOverride17.xml" ContentType="application/vnd.openxmlformats-officedocument.themeOverride+xml"/>
  <Override PartName="/xl/charts/chart107.xml" ContentType="application/vnd.openxmlformats-officedocument.drawingml.chart+xml"/>
  <Override PartName="/xl/charts/chart108.xml" ContentType="application/vnd.openxmlformats-officedocument.drawingml.chart+xml"/>
  <Override PartName="/xl/theme/themeOverride18.xml" ContentType="application/vnd.openxmlformats-officedocument.themeOverride+xml"/>
  <Override PartName="/xl/charts/chart109.xml" ContentType="application/vnd.openxmlformats-officedocument.drawingml.chart+xml"/>
  <Override PartName="/xl/charts/chart110.xml" ContentType="application/vnd.openxmlformats-officedocument.drawingml.chart+xml"/>
  <Override PartName="/xl/charts/chart111.xml" ContentType="application/vnd.openxmlformats-officedocument.drawingml.chart+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theme/themeOverride19.xml" ContentType="application/vnd.openxmlformats-officedocument.themeOverride+xml"/>
  <Override PartName="/xl/charts/chart117.xml" ContentType="application/vnd.openxmlformats-officedocument.drawingml.chart+xml"/>
  <Override PartName="/xl/charts/chart118.xml" ContentType="application/vnd.openxmlformats-officedocument.drawingml.chart+xml"/>
  <Override PartName="/xl/theme/themeOverride20.xml" ContentType="application/vnd.openxmlformats-officedocument.themeOverride+xml"/>
  <Override PartName="/xl/charts/chart119.xml" ContentType="application/vnd.openxmlformats-officedocument.drawingml.chart+xml"/>
  <Override PartName="/xl/charts/chart120.xml" ContentType="application/vnd.openxmlformats-officedocument.drawingml.chart+xml"/>
  <Override PartName="/xl/drawings/drawing21.xml" ContentType="application/vnd.openxmlformats-officedocument.drawing+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harts/chart121.xml" ContentType="application/vnd.openxmlformats-officedocument.drawingml.chart+xml"/>
  <Override PartName="/xl/charts/chart122.xml" ContentType="application/vnd.openxmlformats-officedocument.drawingml.chart+xml"/>
  <Override PartName="/xl/charts/chart123.xml" ContentType="application/vnd.openxmlformats-officedocument.drawingml.chart+xml"/>
  <Override PartName="/xl/theme/themeOverride21.xml" ContentType="application/vnd.openxmlformats-officedocument.themeOverride+xml"/>
  <Override PartName="/xl/charts/chart124.xml" ContentType="application/vnd.openxmlformats-officedocument.drawingml.chart+xml"/>
  <Override PartName="/xl/charts/chart125.xml" ContentType="application/vnd.openxmlformats-officedocument.drawingml.chart+xml"/>
  <Override PartName="/xl/charts/chart126.xml" ContentType="application/vnd.openxmlformats-officedocument.drawingml.chart+xml"/>
  <Override PartName="/xl/charts/chart127.xml" ContentType="application/vnd.openxmlformats-officedocument.drawingml.chart+xml"/>
  <Override PartName="/xl/theme/themeOverride22.xml" ContentType="application/vnd.openxmlformats-officedocument.themeOverride+xml"/>
  <Override PartName="/xl/charts/chart128.xml" ContentType="application/vnd.openxmlformats-officedocument.drawingml.chart+xml"/>
  <Override PartName="/xl/charts/chart129.xml" ContentType="application/vnd.openxmlformats-officedocument.drawingml.chart+xml"/>
  <Override PartName="/xl/charts/chart130.xml" ContentType="application/vnd.openxmlformats-officedocument.drawingml.chart+xml"/>
  <Override PartName="/xl/charts/chart131.xml" ContentType="application/vnd.openxmlformats-officedocument.drawingml.chart+xml"/>
  <Override PartName="/xl/charts/chart132.xml" ContentType="application/vnd.openxmlformats-officedocument.drawingml.chart+xml"/>
  <Override PartName="/xl/charts/chart133.xml" ContentType="application/vnd.openxmlformats-officedocument.drawingml.chart+xml"/>
  <Override PartName="/xl/charts/chart134.xml" ContentType="application/vnd.openxmlformats-officedocument.drawingml.chart+xml"/>
  <Override PartName="/xl/theme/themeOverride23.xml" ContentType="application/vnd.openxmlformats-officedocument.themeOverride+xml"/>
  <Override PartName="/xl/charts/chart135.xml" ContentType="application/vnd.openxmlformats-officedocument.drawingml.chart+xml"/>
  <Override PartName="/xl/drawings/drawing22.xml" ContentType="application/vnd.openxmlformats-officedocument.drawing+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harts/chart136.xml" ContentType="application/vnd.openxmlformats-officedocument.drawingml.chart+xml"/>
  <Override PartName="/xl/charts/chart137.xml" ContentType="application/vnd.openxmlformats-officedocument.drawingml.chart+xml"/>
  <Override PartName="/xl/charts/chart138.xml" ContentType="application/vnd.openxmlformats-officedocument.drawingml.chart+xml"/>
  <Override PartName="/xl/theme/themeOverride24.xml" ContentType="application/vnd.openxmlformats-officedocument.themeOverride+xml"/>
  <Override PartName="/xl/charts/chart139.xml" ContentType="application/vnd.openxmlformats-officedocument.drawingml.chart+xml"/>
  <Override PartName="/xl/charts/chart140.xml" ContentType="application/vnd.openxmlformats-officedocument.drawingml.chart+xml"/>
  <Override PartName="/xl/charts/chart141.xml" ContentType="application/vnd.openxmlformats-officedocument.drawingml.chart+xml"/>
  <Override PartName="/xl/theme/themeOverride25.xml" ContentType="application/vnd.openxmlformats-officedocument.themeOverride+xml"/>
  <Override PartName="/xl/charts/chart142.xml" ContentType="application/vnd.openxmlformats-officedocument.drawingml.chart+xml"/>
  <Override PartName="/xl/charts/chart143.xml" ContentType="application/vnd.openxmlformats-officedocument.drawingml.chart+xml"/>
  <Override PartName="/xl/drawings/drawing23.xml" ContentType="application/vnd.openxmlformats-officedocument.drawing+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harts/chart144.xml" ContentType="application/vnd.openxmlformats-officedocument.drawingml.chart+xml"/>
  <Override PartName="/xl/charts/chart145.xml" ContentType="application/vnd.openxmlformats-officedocument.drawingml.chart+xml"/>
  <Override PartName="/xl/charts/chart146.xml" ContentType="application/vnd.openxmlformats-officedocument.drawingml.chart+xml"/>
  <Override PartName="/xl/theme/themeOverride26.xml" ContentType="application/vnd.openxmlformats-officedocument.themeOverride+xml"/>
  <Override PartName="/xl/charts/chart147.xml" ContentType="application/vnd.openxmlformats-officedocument.drawingml.chart+xml"/>
  <Override PartName="/xl/charts/chart148.xml" ContentType="application/vnd.openxmlformats-officedocument.drawingml.chart+xml"/>
  <Override PartName="/xl/theme/themeOverride27.xml" ContentType="application/vnd.openxmlformats-officedocument.themeOverride+xml"/>
  <Override PartName="/xl/charts/chart149.xml" ContentType="application/vnd.openxmlformats-officedocument.drawingml.chart+xml"/>
  <Override PartName="/xl/charts/chart150.xml" ContentType="application/vnd.openxmlformats-officedocument.drawingml.chart+xml"/>
  <Override PartName="/xl/theme/themeOverride28.xml" ContentType="application/vnd.openxmlformats-officedocument.themeOverride+xml"/>
  <Override PartName="/xl/charts/chart151.xml" ContentType="application/vnd.openxmlformats-officedocument.drawingml.chart+xml"/>
  <Override PartName="/xl/charts/chart152.xml" ContentType="application/vnd.openxmlformats-officedocument.drawingml.chart+xml"/>
  <Override PartName="/xl/drawings/drawing24.xml" ContentType="application/vnd.openxmlformats-officedocument.drawing+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harts/chart153.xml" ContentType="application/vnd.openxmlformats-officedocument.drawingml.chart+xml"/>
  <Override PartName="/xl/charts/chart154.xml" ContentType="application/vnd.openxmlformats-officedocument.drawingml.chart+xml"/>
  <Override PartName="/xl/charts/chart155.xml" ContentType="application/vnd.openxmlformats-officedocument.drawingml.chart+xml"/>
  <Override PartName="/xl/charts/chart156.xml" ContentType="application/vnd.openxmlformats-officedocument.drawingml.chart+xml"/>
  <Override PartName="/xl/charts/chart157.xml" ContentType="application/vnd.openxmlformats-officedocument.drawingml.chart+xml"/>
  <Override PartName="/xl/theme/themeOverride29.xml" ContentType="application/vnd.openxmlformats-officedocument.themeOverride+xml"/>
  <Override PartName="/xl/charts/chart158.xml" ContentType="application/vnd.openxmlformats-officedocument.drawingml.chart+xml"/>
  <Override PartName="/xl/charts/chart159.xml" ContentType="application/vnd.openxmlformats-officedocument.drawingml.chart+xml"/>
  <Override PartName="/xl/theme/themeOverride30.xml" ContentType="application/vnd.openxmlformats-officedocument.themeOverride+xml"/>
  <Override PartName="/xl/charts/chart160.xml" ContentType="application/vnd.openxmlformats-officedocument.drawingml.chart+xml"/>
  <Override PartName="/xl/charts/chart161.xml" ContentType="application/vnd.openxmlformats-officedocument.drawingml.chart+xml"/>
  <Override PartName="/xl/charts/chart162.xml" ContentType="application/vnd.openxmlformats-officedocument.drawingml.chart+xml"/>
  <Override PartName="/xl/drawings/drawing25.xml" ContentType="application/vnd.openxmlformats-officedocument.drawing+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harts/chart163.xml" ContentType="application/vnd.openxmlformats-officedocument.drawingml.chart+xml"/>
  <Override PartName="/xl/charts/chart164.xml" ContentType="application/vnd.openxmlformats-officedocument.drawingml.chart+xml"/>
  <Override PartName="/xl/charts/chart165.xml" ContentType="application/vnd.openxmlformats-officedocument.drawingml.chart+xml"/>
  <Override PartName="/xl/theme/themeOverride31.xml" ContentType="application/vnd.openxmlformats-officedocument.themeOverride+xml"/>
  <Override PartName="/xl/charts/chart166.xml" ContentType="application/vnd.openxmlformats-officedocument.drawingml.chart+xml"/>
  <Override PartName="/xl/charts/chart167.xml" ContentType="application/vnd.openxmlformats-officedocument.drawingml.chart+xml"/>
  <Override PartName="/xl/drawings/drawing26.xml" ContentType="application/vnd.openxmlformats-officedocument.drawing+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harts/chart168.xml" ContentType="application/vnd.openxmlformats-officedocument.drawingml.chart+xml"/>
  <Override PartName="/xl/charts/chart169.xml" ContentType="application/vnd.openxmlformats-officedocument.drawingml.chart+xml"/>
  <Override PartName="/xl/charts/chart170.xml" ContentType="application/vnd.openxmlformats-officedocument.drawingml.chart+xml"/>
  <Override PartName="/xl/charts/chart171.xml" ContentType="application/vnd.openxmlformats-officedocument.drawingml.chart+xml"/>
  <Override PartName="/xl/charts/chart172.xml" ContentType="application/vnd.openxmlformats-officedocument.drawingml.chart+xml"/>
  <Override PartName="/xl/charts/chart173.xml" ContentType="application/vnd.openxmlformats-officedocument.drawingml.chart+xml"/>
  <Override PartName="/xl/drawings/drawing27.xml" ContentType="application/vnd.openxmlformats-officedocument.drawing+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harts/chart174.xml" ContentType="application/vnd.openxmlformats-officedocument.drawingml.chart+xml"/>
  <Override PartName="/xl/charts/chart175.xml" ContentType="application/vnd.openxmlformats-officedocument.drawingml.chart+xml"/>
  <Override PartName="/xl/charts/chart176.xml" ContentType="application/vnd.openxmlformats-officedocument.drawingml.chart+xml"/>
  <Override PartName="/xl/theme/themeOverride32.xml" ContentType="application/vnd.openxmlformats-officedocument.themeOverride+xml"/>
  <Override PartName="/xl/charts/chart177.xml" ContentType="application/vnd.openxmlformats-officedocument.drawingml.chart+xml"/>
  <Override PartName="/xl/charts/chart178.xml" ContentType="application/vnd.openxmlformats-officedocument.drawingml.chart+xml"/>
  <Override PartName="/xl/theme/themeOverride33.xml" ContentType="application/vnd.openxmlformats-officedocument.themeOverride+xml"/>
  <Override PartName="/xl/charts/chart179.xml" ContentType="application/vnd.openxmlformats-officedocument.drawingml.chart+xml"/>
  <Override PartName="/xl/charts/chart180.xml" ContentType="application/vnd.openxmlformats-officedocument.drawingml.chart+xml"/>
  <Override PartName="/xl/drawings/drawing28.xml" ContentType="application/vnd.openxmlformats-officedocument.drawing+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harts/chart181.xml" ContentType="application/vnd.openxmlformats-officedocument.drawingml.chart+xml"/>
  <Override PartName="/xl/theme/themeOverride34.xml" ContentType="application/vnd.openxmlformats-officedocument.themeOverride+xml"/>
  <Override PartName="/xl/charts/chart182.xml" ContentType="application/vnd.openxmlformats-officedocument.drawingml.chart+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codeName="{4470D2CD-2249-CD33-4A35-6F278624656F}"/>
  <workbookPr updateLinks="never" codeName="ThisWorkbook"/>
  <mc:AlternateContent xmlns:mc="http://schemas.openxmlformats.org/markup-compatibility/2006">
    <mc:Choice Requires="x15">
      <x15ac:absPath xmlns:x15ac="http://schemas.microsoft.com/office/spreadsheetml/2010/11/ac" url="P:\Children's Social Care\2. LA Benchmarking\2. Children's Social Care\1. CSC Benchmarking Reports\Annual Reports\2019-20\In progress\"/>
    </mc:Choice>
  </mc:AlternateContent>
  <xr:revisionPtr revIDLastSave="0" documentId="13_ncr:1_{EA6C7646-1B5E-4096-BDA9-380820090D50}" xr6:coauthVersionLast="45" xr6:coauthVersionMax="45" xr10:uidLastSave="{00000000-0000-0000-0000-000000000000}"/>
  <bookViews>
    <workbookView showSheetTabs="0" xWindow="-120" yWindow="-120" windowWidth="29040" windowHeight="15840" firstSheet="7" activeTab="7" xr2:uid="{50EEAF87-AE1B-4520-9093-26D6AFA9EC43}"/>
  </bookViews>
  <sheets>
    <sheet name="Year 1" sheetId="77" state="hidden" r:id="rId1"/>
    <sheet name="Year 2" sheetId="78" state="hidden" r:id="rId2"/>
    <sheet name="Year 3" sheetId="79" state="hidden" r:id="rId3"/>
    <sheet name="Year 4" sheetId="80" state="hidden" r:id="rId4"/>
    <sheet name="Year 5" sheetId="81" state="hidden" r:id="rId5"/>
    <sheet name="Sheet1" sheetId="75" state="hidden" r:id="rId6"/>
    <sheet name="ChartLabels" sheetId="92" state="hidden" r:id="rId7"/>
    <sheet name="Frontpage" sheetId="29" r:id="rId8"/>
    <sheet name="Home" sheetId="76" r:id="rId9"/>
    <sheet name="Indicators" sheetId="88" r:id="rId10"/>
    <sheet name="Coverage" sheetId="27" state="hidden" r:id="rId11"/>
    <sheet name="IDACI" sheetId="44" r:id="rId12"/>
    <sheet name="Population" sheetId="22" r:id="rId13"/>
    <sheet name="Contacts" sheetId="82" state="hidden" r:id="rId14"/>
    <sheet name="EH_Referrals" sheetId="72" state="hidden" r:id="rId15"/>
    <sheet name="EH_Assessments" sheetId="73" state="hidden" r:id="rId16"/>
    <sheet name="EH_Clients" sheetId="74" state="hidden" r:id="rId17"/>
    <sheet name="Referrals" sheetId="49" r:id="rId18"/>
    <sheet name="Referral_Source" sheetId="50" r:id="rId19"/>
    <sheet name="Re-referrals" sheetId="62" r:id="rId20"/>
    <sheet name="Assessments" sheetId="63" r:id="rId21"/>
    <sheet name="Children in Need" sheetId="64" r:id="rId22"/>
    <sheet name="Section 47 Enquiries" sheetId="65" r:id="rId23"/>
    <sheet name="Initial CP Conferences" sheetId="66" r:id="rId24"/>
    <sheet name="Child Protection Plans" sheetId="67" r:id="rId25"/>
    <sheet name="Court Applications" sheetId="68" r:id="rId26"/>
    <sheet name="Looked After Children" sheetId="69" r:id="rId27"/>
    <sheet name="New_Ceased_LAC" sheetId="83" r:id="rId28"/>
    <sheet name="Adoption" sheetId="70" r:id="rId29"/>
    <sheet name="Care_Leavers" sheetId="84" r:id="rId30"/>
    <sheet name="ROSGO" sheetId="60" state="hidden" r:id="rId31"/>
    <sheet name="EHCP" sheetId="87" r:id="rId32"/>
    <sheet name="EHE_CME" sheetId="91" state="hidden" r:id="rId33"/>
    <sheet name="NEET" sheetId="85" state="hidden" r:id="rId34"/>
    <sheet name="Offending" sheetId="86" r:id="rId35"/>
  </sheets>
  <externalReferences>
    <externalReference r:id="rId36"/>
    <externalReference r:id="rId37"/>
    <externalReference r:id="rId38"/>
  </externalReferences>
  <definedNames>
    <definedName name="_xlnm._FilterDatabase" localSheetId="3" hidden="1">'Year 4'!$A$1:$Z$107</definedName>
    <definedName name="Age_Breakdown_of_LAC" localSheetId="1">'Year 2'!$C$62:$Z$62</definedName>
    <definedName name="Age_Breakdown_of_LAC" localSheetId="2">'Year 3'!$C$62:$Z$62</definedName>
    <definedName name="Age_Breakdown_of_LAC" localSheetId="3">'Year 4'!$C$62:$Z$62</definedName>
    <definedName name="Age_Breakdown_of_LAC" localSheetId="4">'Year 5'!$C$62:$Z$62</definedName>
    <definedName name="Age_Breakdown_of_LAC">'Year 1'!$C$62:$Z$62</definedName>
    <definedName name="BMLIST" localSheetId="5">[1]Home!$J$15:$J$37</definedName>
    <definedName name="Bracknell_Forest" localSheetId="1">'Year 2'!$C$2:$C$107</definedName>
    <definedName name="Bracknell_Forest" localSheetId="2">'Year 3'!$C$2:$C$107</definedName>
    <definedName name="Bracknell_Forest" localSheetId="3">'Year 4'!$C$2:$C$107</definedName>
    <definedName name="Bracknell_Forest" localSheetId="4">'Year 5'!$C$2:$C$107</definedName>
    <definedName name="Bracknell_Forest">'Year 1'!$C$2:$C$107</definedName>
    <definedName name="Brighton___Hove" localSheetId="1">'Year 2'!$D$2:$D$107</definedName>
    <definedName name="Brighton___Hove" localSheetId="2">'Year 3'!$D$2:$D$107</definedName>
    <definedName name="Brighton___Hove" localSheetId="3">'Year 4'!$D$2:$D$107</definedName>
    <definedName name="Brighton___Hove" localSheetId="4">'Year 5'!$D$2:$D$107</definedName>
    <definedName name="Brighton___Hove">'Year 1'!$D$2:$D$107</definedName>
    <definedName name="Buckinghamshire" localSheetId="1">'Year 2'!$E$2:$E$107</definedName>
    <definedName name="Buckinghamshire" localSheetId="2">'Year 3'!$E$2:$E$107</definedName>
    <definedName name="Buckinghamshire" localSheetId="3">'Year 4'!$E$2:$E$107</definedName>
    <definedName name="Buckinghamshire" localSheetId="4">'Year 5'!$E$2:$E$107</definedName>
    <definedName name="Buckinghamshire">'Year 1'!$E$2:$E$107</definedName>
    <definedName name="East_Sussex" localSheetId="1">'Year 2'!$F$2:$F$107</definedName>
    <definedName name="East_Sussex" localSheetId="2">'Year 3'!$F$2:$F$107</definedName>
    <definedName name="East_Sussex" localSheetId="3">'Year 4'!$F$2:$F$107</definedName>
    <definedName name="East_Sussex" localSheetId="4">'Year 5'!$F$2:$F$107</definedName>
    <definedName name="East_Sussex">'Year 1'!$F$2:$F$107</definedName>
    <definedName name="England" localSheetId="1">'Year 2'!$Z$2:$Z$107</definedName>
    <definedName name="England" localSheetId="2">'Year 3'!$Z$2:$Z$107</definedName>
    <definedName name="England" localSheetId="3">'Year 4'!$Z$2:$Z$107</definedName>
    <definedName name="England" localSheetId="4">'Year 5'!$Z$2:$Z$107</definedName>
    <definedName name="England">'Year 1'!$Z$2:$Z$107</definedName>
    <definedName name="Hampshire" localSheetId="1">'Year 2'!$G$2:$G$107</definedName>
    <definedName name="Hampshire" localSheetId="2">'Year 3'!$G$2:$G$107</definedName>
    <definedName name="Hampshire" localSheetId="3">'Year 4'!$G$2:$G$107</definedName>
    <definedName name="Hampshire" localSheetId="4">'Year 5'!$G$2:$G$107</definedName>
    <definedName name="Hampshire">'Year 1'!$G$2:$G$107</definedName>
    <definedName name="Isle_of_Wight" localSheetId="1">'Year 2'!$H$2:$H$107</definedName>
    <definedName name="Isle_of_Wight" localSheetId="2">'Year 3'!$H$2:$H$107</definedName>
    <definedName name="Isle_of_Wight" localSheetId="3">'Year 4'!$H$2:$H$107</definedName>
    <definedName name="Isle_of_Wight" localSheetId="4">'Year 5'!$H$2:$H$107</definedName>
    <definedName name="Isle_of_Wight">'Year 1'!$H$2:$H$107</definedName>
    <definedName name="Kent" localSheetId="1">'Year 2'!$I$2:$I$107</definedName>
    <definedName name="Kent" localSheetId="2">'Year 3'!$I$2:$I$107</definedName>
    <definedName name="Kent" localSheetId="3">'Year 4'!$I$2:$I$107</definedName>
    <definedName name="Kent" localSheetId="4">'Year 5'!$I$2:$I$107</definedName>
    <definedName name="Kent">'Year 1'!$I$2:$I$107</definedName>
    <definedName name="Medway" localSheetId="1">'Year 2'!$J$2:$J$107</definedName>
    <definedName name="Medway" localSheetId="2">'Year 3'!$J$2:$J$107</definedName>
    <definedName name="Medway" localSheetId="3">'Year 4'!$J$2:$J$107</definedName>
    <definedName name="Medway" localSheetId="4">'Year 5'!$J$2:$J$107</definedName>
    <definedName name="Medway">'Year 1'!$J$2:$J$107</definedName>
    <definedName name="Milton_Keynes" localSheetId="1">'Year 2'!$K$2:$K$107</definedName>
    <definedName name="Milton_Keynes" localSheetId="2">'Year 3'!$K$2:$K$107</definedName>
    <definedName name="Milton_Keynes" localSheetId="3">'Year 4'!$K$2:$K$107</definedName>
    <definedName name="Milton_Keynes" localSheetId="4">'Year 5'!$K$2:$K$107</definedName>
    <definedName name="Milton_Keynes">'Year 1'!$K$2:$K$107</definedName>
    <definedName name="Number_of_completed_Early_Help_Assessments_leading_to" localSheetId="1">'Year 2'!$C$8:$Z$8</definedName>
    <definedName name="Number_of_completed_Early_Help_Assessments_leading_to" localSheetId="2">'Year 3'!$C$8:$Z$8</definedName>
    <definedName name="Number_of_completed_Early_Help_Assessments_leading_to" localSheetId="3">'Year 4'!$C$8:$Z$8</definedName>
    <definedName name="Number_of_completed_Early_Help_Assessments_leading_to" localSheetId="4">'Year 5'!$C$8:$Z$8</definedName>
    <definedName name="Number_of_completed_Early_Help_Assessments_leading_to">'Year 1'!$C$8:$Z$8</definedName>
    <definedName name="Number_of_CSC_Single_Assessments_Authorised_within" localSheetId="1">'Year 2'!$C$39:$Z$39</definedName>
    <definedName name="Number_of_CSC_Single_Assessments_Authorised_within" localSheetId="2">'Year 3'!$C$39:$Z$39</definedName>
    <definedName name="Number_of_CSC_Single_Assessments_Authorised_within" localSheetId="3">'Year 4'!$C$39:$Z$39</definedName>
    <definedName name="Number_of_CSC_Single_Assessments_Authorised_within" localSheetId="4">'Year 5'!$C$39:$Z$39</definedName>
    <definedName name="Number_of_CSC_Single_Assessments_Authorised_within">'Year 1'!$C$39:$Z$39</definedName>
    <definedName name="Number_of_Referrals_to_CSC_received_from" localSheetId="1">'Year 2'!$C$15:$Z$15</definedName>
    <definedName name="Number_of_Referrals_to_CSC_received_from" localSheetId="2">'Year 3'!$C$15:$Z$15</definedName>
    <definedName name="Number_of_Referrals_to_CSC_received_from" localSheetId="3">'Year 4'!$C$15:$Z$15</definedName>
    <definedName name="Number_of_Referrals_to_CSC_received_from" localSheetId="4">'Year 5'!$C$15:$Z$15</definedName>
    <definedName name="Number_of_Referrals_to_CSC_received_from">'Year 1'!$C$15:$Z$15</definedName>
    <definedName name="Oxfordshire" localSheetId="1">'Year 2'!$L$2:$L$107</definedName>
    <definedName name="Oxfordshire" localSheetId="2">'Year 3'!$L$2:$L$107</definedName>
    <definedName name="Oxfordshire" localSheetId="3">'Year 4'!$L$2:$L$107</definedName>
    <definedName name="Oxfordshire" localSheetId="4">'Year 5'!$L$2:$L$107</definedName>
    <definedName name="Oxfordshire">'Year 1'!$L$2:$L$107</definedName>
    <definedName name="Portsmouth" localSheetId="1">'Year 2'!$M$2:$M$107</definedName>
    <definedName name="Portsmouth" localSheetId="2">'Year 3'!$M$2:$M$107</definedName>
    <definedName name="Portsmouth" localSheetId="3">'Year 4'!$M$2:$M$107</definedName>
    <definedName name="Portsmouth" localSheetId="4">'Year 5'!$M$2:$M$107</definedName>
    <definedName name="Portsmouth">'Year 1'!$M$2:$M$107</definedName>
    <definedName name="_xlnm.Print_Area" localSheetId="28">Adoption!$A$1:$U$179</definedName>
    <definedName name="_xlnm.Print_Area" localSheetId="20">Assessments!$A$1:$V$177</definedName>
    <definedName name="_xlnm.Print_Area" localSheetId="29">Care_Leavers!$A$1:$U$179</definedName>
    <definedName name="_xlnm.Print_Area" localSheetId="24">'Child Protection Plans'!$A$1:$V$287</definedName>
    <definedName name="_xlnm.Print_Area" localSheetId="21">'Children in Need'!$A$1:$V$106</definedName>
    <definedName name="_xlnm.Print_Area" localSheetId="13">Contacts!$A$1:$U$105</definedName>
    <definedName name="_xlnm.Print_Area" localSheetId="25">'Court Applications'!$A$1:$V$212</definedName>
    <definedName name="_xlnm.Print_Area" localSheetId="10">Coverage!$A$1:$AB$34</definedName>
    <definedName name="_xlnm.Print_Area" localSheetId="15">EH_Assessments!$A$1:$U$105</definedName>
    <definedName name="_xlnm.Print_Area" localSheetId="16">EH_Clients!$A$1:$U$70</definedName>
    <definedName name="_xlnm.Print_Area" localSheetId="14">EH_Referrals!$A$1:$U$140</definedName>
    <definedName name="_xlnm.Print_Area" localSheetId="31">EHCP!$A$1:$V$107</definedName>
    <definedName name="_xlnm.Print_Area" localSheetId="32">EHE_CME!$A$1:$U$142</definedName>
    <definedName name="_xlnm.Print_Area" localSheetId="7">Frontpage!$A$1:$K$36</definedName>
    <definedName name="_xlnm.Print_Area" localSheetId="8">Home!$A$1:$AC$85</definedName>
    <definedName name="_xlnm.Print_Area" localSheetId="11">IDACI!$A$1:$Q$35</definedName>
    <definedName name="_xlnm.Print_Area" localSheetId="9">Indicators!$A$1:$E$74</definedName>
    <definedName name="_xlnm.Print_Area" localSheetId="23">'Initial CP Conferences'!$A$1:$V$178</definedName>
    <definedName name="_xlnm.Print_Area" localSheetId="26">'Looked After Children'!$A$1:$V$356</definedName>
    <definedName name="_xlnm.Print_Area" localSheetId="33">NEET!$A$1:$V$143</definedName>
    <definedName name="_xlnm.Print_Area" localSheetId="27">New_Ceased_LAC!$A$1:$V$321</definedName>
    <definedName name="_xlnm.Print_Area" localSheetId="34">Offending!$A$1:$V$39</definedName>
    <definedName name="_xlnm.Print_Area" localSheetId="12">Population!$A$1:$U$72</definedName>
    <definedName name="_xlnm.Print_Area" localSheetId="18">Referral_Source!$A$1:$Y$140</definedName>
    <definedName name="_xlnm.Print_Area" localSheetId="17">Referrals!$A$1:$V$178</definedName>
    <definedName name="_xlnm.Print_Area" localSheetId="19">'Re-referrals'!$A$1:$V$142</definedName>
    <definedName name="_xlnm.Print_Area" localSheetId="30">ROSGO!$A$1:$U$214</definedName>
    <definedName name="_xlnm.Print_Area" localSheetId="22">'Section 47 Enquiries'!$A$1:$V$106</definedName>
    <definedName name="_xlnm.Print_Area" localSheetId="5">Sheet1!$A$1</definedName>
    <definedName name="_xlnm.Print_Titles" localSheetId="8">Home!$1:$3</definedName>
    <definedName name="_xlnm.Print_Titles" localSheetId="9">Indicators!$1:$3</definedName>
    <definedName name="Reading" localSheetId="1">'Year 2'!$N$2:$N$107</definedName>
    <definedName name="Reading" localSheetId="2">'Year 3'!$N$2:$N$107</definedName>
    <definedName name="Reading" localSheetId="3">'Year 4'!$N$2:$N$107</definedName>
    <definedName name="Reading" localSheetId="4">'Year 5'!$N$2:$N$107</definedName>
    <definedName name="Reading">'Year 1'!$N$2:$N$107</definedName>
    <definedName name="SENDLALIST">[2]MaintainedPlans!$AB$9:$AB$30</definedName>
    <definedName name="Slough" localSheetId="1">'Year 2'!$O$2:$O$107</definedName>
    <definedName name="Slough" localSheetId="2">'Year 3'!$O$2:$O$107</definedName>
    <definedName name="Slough" localSheetId="3">'Year 4'!$O$2:$O$107</definedName>
    <definedName name="Slough" localSheetId="4">'Year 5'!$O$2:$O$107</definedName>
    <definedName name="Slough">'Year 1'!$O$2:$O$107</definedName>
    <definedName name="Somerset" localSheetId="1">'Year 2'!$P$2:$P$107</definedName>
    <definedName name="Somerset" localSheetId="2">'Year 3'!$P$2:$P$107</definedName>
    <definedName name="Somerset" localSheetId="3">'Year 4'!$P$2:$P$107</definedName>
    <definedName name="Somerset" localSheetId="4">'Year 5'!$P$2:$P$107</definedName>
    <definedName name="Somerset">'Year 1'!$P$2:$P$107</definedName>
    <definedName name="South_East" localSheetId="1">'Year 2'!$Y$2:$Y$107</definedName>
    <definedName name="South_East" localSheetId="2">'Year 3'!$Y$2:$Y$107</definedName>
    <definedName name="South_East" localSheetId="3">'Year 4'!$Y$2:$Y$107</definedName>
    <definedName name="South_East" localSheetId="4">'Year 5'!$Y$2:$Y$107</definedName>
    <definedName name="South_East">'Year 1'!$Y$2:$Y$107</definedName>
    <definedName name="Southampton" localSheetId="1">'Year 2'!$Q$2:$Q$107</definedName>
    <definedName name="Southampton" localSheetId="2">'Year 3'!$Q$2:$Q$107</definedName>
    <definedName name="Southampton" localSheetId="3">'Year 4'!$Q$2:$Q$107</definedName>
    <definedName name="Southampton" localSheetId="4">'Year 5'!$Q$2:$Q$107</definedName>
    <definedName name="Southampton">'Year 1'!$Q$2:$Q$107</definedName>
    <definedName name="Surrey" localSheetId="1">'Year 2'!$R$2:$R$107</definedName>
    <definedName name="Surrey" localSheetId="2">'Year 3'!$R$2:$R$107</definedName>
    <definedName name="Surrey" localSheetId="3">'Year 4'!$R$2:$R$107</definedName>
    <definedName name="Surrey" localSheetId="4">'Year 5'!$R$2:$R$107</definedName>
    <definedName name="Surrey">'Year 1'!$R$2:$R$107</definedName>
    <definedName name="Swindon" localSheetId="1">'Year 2'!$S$2:$S$107</definedName>
    <definedName name="Swindon" localSheetId="2">'Year 3'!$S$2:$S$107</definedName>
    <definedName name="Swindon" localSheetId="3">'Year 4'!$S$2:$S$107</definedName>
    <definedName name="Swindon" localSheetId="4">'Year 5'!$S$2:$S$107</definedName>
    <definedName name="Swindon">'Year 1'!$S$2:$S$107</definedName>
    <definedName name="Torbay" localSheetId="1">'Year 2'!$T$2:$T$107</definedName>
    <definedName name="Torbay" localSheetId="2">'Year 3'!$T$2:$T$107</definedName>
    <definedName name="Torbay" localSheetId="3">'Year 4'!$T$2:$T$107</definedName>
    <definedName name="Torbay" localSheetId="4">'Year 5'!#REF!</definedName>
    <definedName name="Torbay">'Year 1'!$T$2:$T$107</definedName>
    <definedName name="West_Berkshire" localSheetId="1">'Year 2'!$U$2:$U$107</definedName>
    <definedName name="West_Berkshire" localSheetId="2">'Year 3'!$U$2:$U$107</definedName>
    <definedName name="West_Berkshire" localSheetId="3">'Year 4'!$U$2:$U$107</definedName>
    <definedName name="West_Berkshire" localSheetId="4">'Year 5'!$U$2:$U$107</definedName>
    <definedName name="West_Berkshire">'Year 1'!$U$2:$U$107</definedName>
    <definedName name="West_Sussex" localSheetId="1">'Year 2'!$V$2:$V$107</definedName>
    <definedName name="West_Sussex" localSheetId="2">'Year 3'!$V$2:$V$107</definedName>
    <definedName name="West_Sussex" localSheetId="3">'Year 4'!$V$2:$V$107</definedName>
    <definedName name="West_Sussex" localSheetId="4">'Year 5'!$V$2:$V$107</definedName>
    <definedName name="West_Sussex">'Year 1'!$V$2:$V$107</definedName>
    <definedName name="Windsor___Maidenhead" localSheetId="1">'Year 2'!$W$2:$W$107</definedName>
    <definedName name="Windsor___Maidenhead" localSheetId="2">'Year 3'!$W$2:$W$107</definedName>
    <definedName name="Windsor___Maidenhead" localSheetId="3">'Year 4'!$W$2:$W$107</definedName>
    <definedName name="Windsor___Maidenhead" localSheetId="4">'Year 5'!$W$2:$W$107</definedName>
    <definedName name="Windsor___Maidenhead">'Year 1'!$W$2:$W$107</definedName>
    <definedName name="Wokingham" localSheetId="1">'Year 2'!$X$2:$X$107</definedName>
    <definedName name="Wokingham" localSheetId="2">'Year 3'!$X$2:$X$107</definedName>
    <definedName name="Wokingham" localSheetId="3">'Year 4'!$X$2:$X$107</definedName>
    <definedName name="Wokingham" localSheetId="4">'Year 5'!$X$2:$X$107</definedName>
    <definedName name="Wokingham">'Year 1'!$X$2:$X$107</definedName>
    <definedName name="Year1__1617__participating_in_EET">'Year 1'!$C$102:$Z$102</definedName>
    <definedName name="Year1__electively_home_educated">'Year 1'!$C$98:$Z$98</definedName>
    <definedName name="Year1_16_17_NEET">'Year 1'!$A$101:$Z$101</definedName>
    <definedName name="Year1_16_17_not_known">'Year 1'!$A$103:$Z$103</definedName>
    <definedName name="Year1_16_17_participating_in_EET">'Year 1'!$A$102:$Z$102</definedName>
    <definedName name="Year1_1617_NEET">'Year 1'!$C$101:$Z$101</definedName>
    <definedName name="Year1_1617_not_known">'Year 1'!$C$103:$Z$103</definedName>
    <definedName name="Year1_1617_participating_in_EET">'Year 1'!$C$102:$Z$102</definedName>
    <definedName name="Year1_Adoption_ceased_LAC">'Year 1'!$C$79:$Z$79</definedName>
    <definedName name="Year1_Adoption_LAC_Adopted">'Year 1'!$C$82:$Z$82</definedName>
    <definedName name="Year1_Adoption_LAC_Adopted_days">'Year 1'!$C$83:$Z$83</definedName>
    <definedName name="Year1_Adoption_LAC_Adopted_placed_with_12months">'Year 1'!$C$84:$Z$84</definedName>
    <definedName name="Year1_Adoption_PFA">'Year 1'!$C$78:$Z$78</definedName>
    <definedName name="Year1_Assessments">'Year 1'!$C$38:$Z$38</definedName>
    <definedName name="Year1_Assessments_10days">'Year 1'!$C$40:$Z$40</definedName>
    <definedName name="Year1_Assessments_11_20days">'Year 1'!$C$41:$Z$41</definedName>
    <definedName name="Year1_Assessments_11_25days">'Year 1'!$C$41:$Z$41</definedName>
    <definedName name="Year1_Assessments_21_30days">'Year 1'!$C$42:$Z$42</definedName>
    <definedName name="Year1_Assessments_26_35days">'Year 1'!$C$42:$Z$42</definedName>
    <definedName name="Year1_Assessments_31_45days">'Year 1'!$C$43:$Z$43</definedName>
    <definedName name="Year1_Assessments_36_45days">'Year 1'!$C$43:$Z$43</definedName>
    <definedName name="Year1_Assessments_No_further_action">'Year 1'!$C$46:$Z$46</definedName>
    <definedName name="Year1_Assessments_over_45days">'Year 1'!$C$44:$Z$44</definedName>
    <definedName name="Year1_Assessments_step_down">'Year 1'!$C$45:$Z$45</definedName>
    <definedName name="Year1_Assessments_within45days">'Year 1'!$C$106:$Z$106</definedName>
    <definedName name="Year1_Bracknell_Forest" localSheetId="4">'Year 5'!$C$2:$C$107</definedName>
    <definedName name="Year1_Bracknell_Forest">'Year 1'!$C$2:$C$107</definedName>
    <definedName name="Year1_Brighton___Hove" localSheetId="4">'Year 5'!$D$2:$D$107</definedName>
    <definedName name="Year1_Brighton___Hove">'Year 1'!$D$2:$D$107</definedName>
    <definedName name="Year1_Brighton_Hove">'Year 1'!$D$1:$D$107</definedName>
    <definedName name="Year1_Buckinghamshire" localSheetId="4">'Year 5'!$E$2:$E$107</definedName>
    <definedName name="Year1_Buckinghamshire">'Year 1'!$E$2:$E$107</definedName>
    <definedName name="Year1_CAO_RO_FundedLA">'Year 1'!#REF!</definedName>
    <definedName name="Year1_CAO_RO_Total">'Year 1'!$C$92:$Z$92</definedName>
    <definedName name="Year1_Care_Applications">'Year 1'!$C$99:$Z$99</definedName>
    <definedName name="Year1_Care_Applications_Children">'Year 1'!$C$100:$Z$100</definedName>
    <definedName name="Year1_Care_Leavers_16_18th_birthday">'Year 1'!$C$85:$Z$85</definedName>
    <definedName name="Year1_Care_Leavers_19_20_Ceased18_SP">'Year 1'!$C$85:$Z$85</definedName>
    <definedName name="Year1_Care_Leavers_at_end_of_period">'Year 1'!$C$86:$Z$86</definedName>
    <definedName name="Year1_Care_Leavers_in_EET">'Year 1'!$C$89:$Z$89</definedName>
    <definedName name="Year1_Care_Leavers_in_suitable_accommodation">'Year 1'!$C$88:$Z$88</definedName>
    <definedName name="Year1_Care_Leavers_in_touch">'Year 1'!$C$87:$Z$87</definedName>
    <definedName name="Year1_Ceased_LAC_16plus">'Year 1'!$C$80:$Z$80</definedName>
    <definedName name="Year1_Ceased_LAC_16plus_18th">'Year 1'!$C$81:$Z$81</definedName>
    <definedName name="Year1_Children_missing_Education">'Year 1'!$C$97:$Z$97</definedName>
    <definedName name="Year1_CIN">'Year 1'!$C$47:$Z$47</definedName>
    <definedName name="Year1_CIN_Section47">'Year 1'!$C$48:$Z$48</definedName>
    <definedName name="Year1_Contacts">'Year 1'!$C$2:$Z$2</definedName>
    <definedName name="Year1_Continuous_assessments">'Year 1'!$C$107:$Z$107</definedName>
    <definedName name="Year1_CP_Conference">'Year 1'!$C$49:$Z$49</definedName>
    <definedName name="Year1_CP_Conference_within15days">'Year 1'!$C$50:$Z$50</definedName>
    <definedName name="Year1_CP_Plans">'Year 1'!$C$51:$Z$51</definedName>
    <definedName name="Year1_CP_Plans_2years">'Year 1'!$C$55:$Z$55</definedName>
    <definedName name="Year1_CP_Plans_3months">'Year 1'!$C$52:$Z$52</definedName>
    <definedName name="Year1_CP_Plans_3months_timescales">'Year 1'!$C$53:$Z$53</definedName>
    <definedName name="Year1_CP_Plans_became_subject">'Year 1'!$C$58:$Z$58</definedName>
    <definedName name="Year1_CP_Plans_became_subject_second">'Year 1'!$C$59:$Z$59</definedName>
    <definedName name="Year1_CP_Plans_became_subject_second_2years">'Year 1'!$C$60:$Z$60</definedName>
    <definedName name="Year1_CP_Plans_ceased">'Year 1'!$C$56:$Z$56</definedName>
    <definedName name="Year1_CP_Plans_ceased_2years">'Year 1'!$C$57:$Z$57</definedName>
    <definedName name="Year1_CP_Plans_Seen_in_Timescales">'Year 1'!$C$54:$Z$54</definedName>
    <definedName name="Year1_EarlyHelpAssessments">'Year 1'!$C$7:$Z$7</definedName>
    <definedName name="Year1_EarlyHelpAssessmentsOngoing">'Year 1'!$C$9:$Z$9</definedName>
    <definedName name="Year1_EarlyHelpAssessmentsStepUp">'Year 1'!$C$10:$Z$10</definedName>
    <definedName name="Year1_EarlyHelpedChildren">'Year 1'!$C$11:$Z$11</definedName>
    <definedName name="Year1_EarlyHelpReferrals">'Year 1'!$C$3:$Z$3</definedName>
    <definedName name="Year1_EarlyHelpReferralsOntoASSESSMENT">'Year 1'!$C$5:$Z$5</definedName>
    <definedName name="Year1_EarlyHelpReferralsSTEPDOWN">'Year 1'!$C$4:$Z$4</definedName>
    <definedName name="Year1_EarlyHelpReReferrals">'Year 1'!$C$6:$Z$6</definedName>
    <definedName name="Year1_East_Sussex" localSheetId="4">'Year 5'!$F$2:$F$107</definedName>
    <definedName name="Year1_East_Sussex">'Year 1'!$F$2:$F$107</definedName>
    <definedName name="Year1_England" localSheetId="4">'Year 5'!$Z$2:$Z$107</definedName>
    <definedName name="Year1_England">'Year 1'!$Z$2:$Z$107</definedName>
    <definedName name="Year1_First_Time_Entrants_to_Youth_Justice_system">'Year 1'!$C$96:$Z$96</definedName>
    <definedName name="Year1_Hampshire" localSheetId="4">'Year 5'!$G$2:$G$107</definedName>
    <definedName name="Year1_Hampshire">'Year 1'!$G$2:$G$107</definedName>
    <definedName name="Year1_Isle_of_Wight" localSheetId="4">'Year 5'!$H$2:$H$107</definedName>
    <definedName name="Year1_Isle_of_Wight">'Year 1'!$H$2:$H$107</definedName>
    <definedName name="Year1_Juvenile_Offenders__Age_10_17">'Year 1'!$A$104:$Z$104</definedName>
    <definedName name="Year1_Juvenile_Offenders__Age_1017">'Year 1'!$C$104:$Z$104</definedName>
    <definedName name="Year1_Juvenile_Re_offenders__Age_10_17">'Year 1'!$A$105:$Z$105</definedName>
    <definedName name="Year1_Juvenile_Reoffenders__Age_1017">'Year 1'!$C$105:$Z$105</definedName>
    <definedName name="Year1_Kent" localSheetId="4">'Year 5'!$I$2:$I$107</definedName>
    <definedName name="Year1_Kent">'Year 1'!$I$2:$I$107</definedName>
    <definedName name="Year1_LAC">'Year 1'!$C$61:$Z$61</definedName>
    <definedName name="Year1_LAC_10to15">'Year 1'!$C$66:$Z$66</definedName>
    <definedName name="Year1_LAC_16plus">'Year 1'!$C$67:$Z$67</definedName>
    <definedName name="Year1_LAC_1to4">'Year 1'!$C$64:$Z$64</definedName>
    <definedName name="Year1_LAC_3_or_more_Placements">'Year 1'!$C$72:$Z$72</definedName>
    <definedName name="Year1_LAC_4weeks">'Year 1'!$C$73:$Z$73</definedName>
    <definedName name="Year1_LAC_4weeks_reviews_in_timescales">'Year 1'!$C$74:$Z$74</definedName>
    <definedName name="Year1_LAC_5to9">'Year 1'!$C$65:$Z$65</definedName>
    <definedName name="Year1_LAC_Remanded">'Year 1'!$C$77:$Z$77</definedName>
    <definedName name="Year1_LAC_Start">'Year 1'!$C$75:$Z$75</definedName>
    <definedName name="Year1_LAC_Start_2nd_time">'Year 1'!$C$76:$Z$76</definedName>
    <definedName name="Year1_LAC_UASC">'Year 1'!$C$71:$Z$71</definedName>
    <definedName name="Year1_LAC_Under1">'Year 1'!$C$63:$Z$63</definedName>
    <definedName name="Year1_LAC_under16">'Year 1'!$C$68:$Z$68</definedName>
    <definedName name="Year1_LAC_under16_2.5years">'Year 1'!$C$69:$Z$69</definedName>
    <definedName name="Year1_LAC_under16_2.5years_sameplacement2years">'Year 1'!$C$70:$Z$70</definedName>
    <definedName name="Year1_Medway" localSheetId="4">'Year 5'!$J$2:$J$107</definedName>
    <definedName name="Year1_Medway">'Year 1'!$J$2:$J$107</definedName>
    <definedName name="Year1_Milton_Keynes" localSheetId="4">'Year 5'!$K$2:$K$107</definedName>
    <definedName name="Year1_Milton_Keynes">'Year 1'!$K$2:$K$107</definedName>
    <definedName name="Year1_New_EHC__within_20_weeks">'Year 1'!$C$95:$Z$95</definedName>
    <definedName name="Year1_Number_EHC_Plans">'Year 1'!$C$94:$Z$94</definedName>
    <definedName name="Year1_Oxfordshire" localSheetId="4">'Year 5'!$L$2:$L$107</definedName>
    <definedName name="Year1_Oxfordshire">'Year 1'!$L$2:$L$107</definedName>
    <definedName name="Year1_Portsmouth" localSheetId="4">'Year 5'!$M$2:$M$107</definedName>
    <definedName name="Year1_Portsmouth">'Year 1'!$M$2:$M$107</definedName>
    <definedName name="Year1_Reading" localSheetId="4">'Year 5'!$N$2:$N$107</definedName>
    <definedName name="Year1_Reading">'Year 1'!$N$2:$N$107</definedName>
    <definedName name="Year1_Referrals">'Year 1'!$C$12:$Z$12</definedName>
    <definedName name="Year1_ReferralsAssessment">'Year 1'!$C$14:$Z$14</definedName>
    <definedName name="Year1_ReferralSource_Anonymous">'Year 1'!$C$35:$Z$35</definedName>
    <definedName name="Year1_ReferralSource_EducationServices">'Year 1'!$C$21:$Z$21</definedName>
    <definedName name="Year1_ReferralSource_Health_services_AE">'Year 1'!$C$26:$Z$26</definedName>
    <definedName name="Year1_ReferralSource_Health_services_GP">'Year 1'!$C$22:$Z$22</definedName>
    <definedName name="Year1_ReferralSource_Health_services_HealthVisitor">'Year 1'!$C$23:$Z$23</definedName>
    <definedName name="Year1_ReferralSource_Health_services_Other">'Year 1'!$C$27:$Z$27</definedName>
    <definedName name="Year1_ReferralSource_Health_services_OthPrimary">'Year 1'!$C$25:$Z$25</definedName>
    <definedName name="Year1_ReferralSource_Health_services_SchoolNurse">'Year 1'!$C$24:$Z$24</definedName>
    <definedName name="Year1_ReferralSource_Housing">'Year 1'!$C$28:$Z$28</definedName>
    <definedName name="Year1_ReferralSource_Individual_Acquaintance">'Year 1'!$C$17:$Z$17</definedName>
    <definedName name="Year1_ReferralSource_Individual_Family">'Year 1'!$C$16:$Z$16</definedName>
    <definedName name="Year1_ReferralSource_Individual_Other">'Year 1'!$C$19:$Z$19</definedName>
    <definedName name="Year1_ReferralSource_Individual_Self">'Year 1'!$C$18:$Z$18</definedName>
    <definedName name="Year1_ReferralSource_LA_External">'Year 1'!$C$31:$Z$31</definedName>
    <definedName name="Year1_ReferralSource_LA_Other">'Year 1'!$C$30:$Z$30</definedName>
    <definedName name="Year1_ReferralSource_LA_SC">'Year 1'!$C$29:$Z$29</definedName>
    <definedName name="Year1_ReferralSource_Other">'Year 1'!$C$34:$Z$34</definedName>
    <definedName name="Year1_ReferralSource_Other_Legal">'Year 1'!$C$33:$Z$33</definedName>
    <definedName name="Year1_ReferralSource_Police">'Year 1'!$C$32:$Z$32</definedName>
    <definedName name="Year1_ReferralSource_School">'Year 1'!$C$20:$Z$20</definedName>
    <definedName name="Year1_ReferralSource_Unknown">'Year 1'!$C$36:$Z$36</definedName>
    <definedName name="Year1_ReferralsPriorEH">'Year 1'!$C$13:$Z$13</definedName>
    <definedName name="Year1_ReReferrals">'Year 1'!$C$37:$Z$37</definedName>
    <definedName name="Year1_ROSGO_ceased_LAC_CAO">'Year 1'!$C$90:$Z$90</definedName>
    <definedName name="Year1_ROSGO_ceased_LAC_SGO">'Year 1'!$C$91:$Z$91</definedName>
    <definedName name="Year1_SGO_fundedLA">'Year 1'!#REF!</definedName>
    <definedName name="Year1_SGO_total">'Year 1'!$C$93:$Z$93</definedName>
    <definedName name="Year1_Slough" localSheetId="4">'Year 5'!$O$2:$O$107</definedName>
    <definedName name="Year1_Slough">'Year 1'!$O$2:$O$107</definedName>
    <definedName name="Year1_Somerset" localSheetId="4">'Year 5'!$P$2:$P$107</definedName>
    <definedName name="Year1_Somerset">'Year 1'!$P$2:$P$107</definedName>
    <definedName name="Year1_South_East" localSheetId="4">'Year 5'!$Y$2:$Y$107</definedName>
    <definedName name="Year1_South_East">'Year 1'!$Y$2:$Y$107</definedName>
    <definedName name="Year1_Southampton" localSheetId="4">'Year 5'!$Q$2:$Q$107</definedName>
    <definedName name="Year1_Southampton">'Year 1'!$Q$2:$Q$107</definedName>
    <definedName name="Year1_SouthEast">'Year 1'!$Y$1:$Y$107</definedName>
    <definedName name="Year1_Surrey" localSheetId="4">'Year 5'!$R$2:$R$107</definedName>
    <definedName name="Year1_Surrey">'Year 1'!$R$2:$R$107</definedName>
    <definedName name="Year1_Swindon" localSheetId="4">'Year 5'!$S$2:$S$107</definedName>
    <definedName name="Year1_Swindon">'Year 1'!$S$2:$S$107</definedName>
    <definedName name="Year1_Torbay" localSheetId="4">'Year 5'!#REF!</definedName>
    <definedName name="Year1_Torbay">'Year 1'!$T$2:$T$107</definedName>
    <definedName name="Year1_West_Berkshire" localSheetId="4">'Year 5'!$U$2:$U$107</definedName>
    <definedName name="Year1_West_Berkshire">'Year 1'!$U$2:$U$107</definedName>
    <definedName name="Year1_West_Sussex" localSheetId="4">'Year 5'!$V$2:$V$107</definedName>
    <definedName name="Year1_West_Sussex">'Year 1'!$V$2:$V$107</definedName>
    <definedName name="Year1_Windsor___Maidenhead" localSheetId="4">'Year 5'!$W$2:$W$107</definedName>
    <definedName name="Year1_Windsor___Maidenhead">'Year 1'!$W$2:$W$107</definedName>
    <definedName name="Year1_Windsor_Maidenhead">'Year 1'!$W$1:$W$107</definedName>
    <definedName name="Year1_Wokingham" localSheetId="4">'Year 5'!$X$2:$X$107</definedName>
    <definedName name="Year1_Wokingham">'Year 1'!$X$2:$X$107</definedName>
    <definedName name="Year2__1617__participating_in_EET">'Year 2'!$C$102:$Z$102</definedName>
    <definedName name="Year2__electively_home_educated">'Year 2'!$C$98:$Z$98</definedName>
    <definedName name="Year2_16_17_NEET">'Year 2'!$A$101:$Z$101</definedName>
    <definedName name="Year2_16_17_not_known">'Year 2'!$A$103:$Z$103</definedName>
    <definedName name="Year2_16_17_participating_in_EET">'Year 2'!$A$102:$Z$102</definedName>
    <definedName name="Year2_1617_NEET">'Year 2'!$C$101:$Z$101</definedName>
    <definedName name="Year2_1617_not_known">'Year 2'!$C$103:$Z$103</definedName>
    <definedName name="Year2_1617_participating_in_EET">'Year 2'!$C$102:$Z$102</definedName>
    <definedName name="Year2_Adoption_ceased_LAC">'Year 2'!$C$79:$Z$79</definedName>
    <definedName name="Year2_Adoption_LAC_Adopted">'Year 2'!$C$82:$Z$82</definedName>
    <definedName name="Year2_Adoption_LAC_Adopted_days">'Year 2'!$C$83:$Z$83</definedName>
    <definedName name="Year2_Adoption_LAC_Adopted_placed_with_12months">'Year 2'!$C$84:$Z$84</definedName>
    <definedName name="Year2_Adoption_PFA">'Year 2'!$C$78:$Z$78</definedName>
    <definedName name="Year2_Assessments">'Year 2'!$C$38:$Z$38</definedName>
    <definedName name="Year2_Assessments_10days">'Year 2'!$C$40:$Z$40</definedName>
    <definedName name="Year2_Assessments_11_20days">'Year 2'!$C$41:$Z$41</definedName>
    <definedName name="Year2_Assessments_11_25days">'Year 2'!$C$41:$Y$41</definedName>
    <definedName name="Year2_Assessments_21_30days">'Year 2'!$C$42:$Z$42</definedName>
    <definedName name="Year2_Assessments_26_35days">'Year 2'!$C$42:$Y$42</definedName>
    <definedName name="Year2_Assessments_31_45days">'Year 2'!$C$43:$Z$43</definedName>
    <definedName name="Year2_Assessments_36_45days">'Year 2'!$C$43:$Y$43</definedName>
    <definedName name="Year2_Assessments_No_further_action">'Year 2'!$C$46:$Z$46</definedName>
    <definedName name="Year2_Assessments_over_45days">'Year 2'!$C$44:$Z$44</definedName>
    <definedName name="Year2_Assessments_step_down">'Year 2'!$C$45:$Z$45</definedName>
    <definedName name="Year2_Assessments_within45days">'Year 2'!$C$106:$Z$106</definedName>
    <definedName name="Year2_Bracknell_Forest">'Year 2'!$C$2:$C$107</definedName>
    <definedName name="Year2_Brighton___Hove">'Year 2'!$D$2:$D$107</definedName>
    <definedName name="Year2_Brighton_Hove">'Year 2'!$D$1:$D$107</definedName>
    <definedName name="Year2_Buckinghamshire">'Year 2'!$E$2:$E$107</definedName>
    <definedName name="Year2_CAO_RO_FundedLA">'Year 2'!#REF!</definedName>
    <definedName name="Year2_CAO_RO_Total">'Year 2'!$C$92:$Z$92</definedName>
    <definedName name="Year2_Care_Applications">'Year 2'!$C$99:$Z$99</definedName>
    <definedName name="Year2_Care_Applications_Children">'Year 2'!$C$100:$Z$100</definedName>
    <definedName name="Year2_Care_Leavers_16_18th_birthday">'Year 2'!$C$85:$Z$85</definedName>
    <definedName name="Year2_Care_Leavers_19_20_Ceased18_SP">'Year 2'!$C$85:$Z$85</definedName>
    <definedName name="Year2_Care_Leavers_at_end_of_period">'Year 2'!$C$86:$Z$86</definedName>
    <definedName name="Year2_Care_Leavers_in_EET">'Year 2'!$C$89:$Z$89</definedName>
    <definedName name="Year2_Care_Leavers_in_suitable_accommodation">'Year 2'!$C$88:$Z$88</definedName>
    <definedName name="Year2_Care_Leavers_in_touch">'Year 2'!$C$87:$Z$87</definedName>
    <definedName name="Year2_Ceased_LAC_16plus">'Year 2'!$C$80:$Z$80</definedName>
    <definedName name="Year2_Ceased_LAC_16plus_18th">'Year 2'!$C$81:$Z$81</definedName>
    <definedName name="Year2_Children_missing_Education">'Year 2'!$C$97:$Z$97</definedName>
    <definedName name="Year2_CIN">'Year 2'!$C$47:$Z$47</definedName>
    <definedName name="Year2_CIN_Section47">'Year 2'!$C$48:$Z$48</definedName>
    <definedName name="Year2_Contacts">'Year 2'!$C$2:$Z$2</definedName>
    <definedName name="Year2_Continuous_assessments">'Year 2'!$C$107:$Z$107</definedName>
    <definedName name="Year2_CP_Conference">'Year 2'!$C$49:$Z$49</definedName>
    <definedName name="Year2_CP_Conference_within15days">'Year 2'!$C$50:$Z$50</definedName>
    <definedName name="Year2_CP_Plans">'Year 2'!$C$51:$Z$51</definedName>
    <definedName name="Year2_CP_Plans_2years">'Year 2'!$C$55:$Z$55</definedName>
    <definedName name="Year2_CP_Plans_3months">'Year 2'!$C$52:$Z$52</definedName>
    <definedName name="Year2_CP_Plans_3months_timescales">'Year 2'!$C$53:$Z$53</definedName>
    <definedName name="Year2_CP_Plans_became_subject">'Year 2'!$C$58:$Z$58</definedName>
    <definedName name="Year2_CP_Plans_became_subject_second">'Year 2'!$C$59:$Z$59</definedName>
    <definedName name="Year2_CP_Plans_became_subject_second_2years">'Year 2'!$C$60:$Z$60</definedName>
    <definedName name="Year2_CP_Plans_ceased">'Year 2'!$C$56:$Z$56</definedName>
    <definedName name="Year2_CP_Plans_ceased_2years">'Year 2'!$C$57:$Z$57</definedName>
    <definedName name="Year2_CP_Plans_Seen_in_Timescales">'Year 2'!$C$54:$Z$54</definedName>
    <definedName name="Year2_EarlyHelpAssessments">'Year 2'!$C$7:$Z$7</definedName>
    <definedName name="Year2_EarlyHelpAssessmentsOngoing">'Year 2'!$C$9:$Z$9</definedName>
    <definedName name="Year2_EarlyHelpAssessmentsStepUp">'Year 2'!$C$10:$Z$10</definedName>
    <definedName name="Year2_EarlyHelpedChildren">'Year 2'!$C$11:$Z$11</definedName>
    <definedName name="Year2_EarlyHelpReferrals">'Year 2'!$C$3:$Z$3</definedName>
    <definedName name="Year2_EarlyHelpReferralsOntoASSESSMENT">'Year 2'!$C$5:$Z$5</definedName>
    <definedName name="Year2_EarlyHelpReferralsSTEPDOWN">'Year 2'!$C$4:$Z$4</definedName>
    <definedName name="Year2_EarlyHelpReReferrals">'Year 2'!$C$6:$Z$6</definedName>
    <definedName name="Year2_East_Sussex">'Year 2'!$F$2:$F$107</definedName>
    <definedName name="Year2_England">'Year 2'!$Z$2:$Z$107</definedName>
    <definedName name="Year2_First_Time_Entrants_to_Youth_Justice_system">'Year 2'!$C$96:$Z$96</definedName>
    <definedName name="Year2_Hampshire">'Year 2'!$G$2:$G$107</definedName>
    <definedName name="Year2_Isle_of_Wight">'Year 2'!$H$2:$H$107</definedName>
    <definedName name="Year2_Juvenile_Offenders__Age_10_17">'Year 2'!$A$104:$Z$104</definedName>
    <definedName name="Year2_Juvenile_Offenders__Age_1017">'Year 2'!$C$104:$Z$104</definedName>
    <definedName name="Year2_Juvenile_Re_offenders__Age_10_17">'Year 2'!$A$105:$Z$105</definedName>
    <definedName name="Year2_Juvenile_Reoffenders__Age_1017">'Year 2'!$C$105:$Z$105</definedName>
    <definedName name="Year2_Kent">'Year 2'!$I$2:$I$107</definedName>
    <definedName name="Year2_LAC">'Year 2'!$C$61:$Z$61</definedName>
    <definedName name="Year2_LAC_10to15">'Year 2'!$C$66:$Z$66</definedName>
    <definedName name="Year2_LAC_16plus">'Year 2'!$C$67:$Z$67</definedName>
    <definedName name="Year2_LAC_1to4">'Year 2'!$C$64:$Z$64</definedName>
    <definedName name="Year2_LAC_3_or_more_Placements">'Year 2'!$C$72:$Z$72</definedName>
    <definedName name="Year2_LAC_4weeks">'Year 2'!$C$73:$Z$73</definedName>
    <definedName name="Year2_LAC_4weeks_reviews_in_timescales">'Year 2'!$C$74:$Z$74</definedName>
    <definedName name="Year2_LAC_5to9">'Year 2'!$C$65:$Z$65</definedName>
    <definedName name="Year2_LAC_Remanded">'Year 2'!$C$77:$Z$77</definedName>
    <definedName name="Year2_LAC_Start">'Year 2'!$C$75:$Z$75</definedName>
    <definedName name="Year2_LAC_Start_2nd_time">'Year 2'!$C$76:$Z$76</definedName>
    <definedName name="Year2_LAC_UASC">'Year 2'!$C$71:$Z$71</definedName>
    <definedName name="Year2_LAC_Under1">'Year 2'!$C$63:$Z$63</definedName>
    <definedName name="Year2_LAC_under16">'Year 2'!$C$68:$Z$68</definedName>
    <definedName name="Year2_LAC_under16_2.5years">'Year 2'!$C$69:$Z$69</definedName>
    <definedName name="Year2_LAC_under16_2.5years_sameplacement2years">'Year 2'!$C$70:$Z$70</definedName>
    <definedName name="Year2_Medway">'Year 2'!$J$2:$J$107</definedName>
    <definedName name="Year2_Milton_Keynes">'Year 2'!$K$2:$K$107</definedName>
    <definedName name="Year2_New_EHC__within_20_weeks">'Year 2'!$C$95:$Z$95</definedName>
    <definedName name="Year2_Number_EHC_Plans">'Year 2'!$C$94:$Z$94</definedName>
    <definedName name="Year2_Oxfordshire">'Year 2'!$L$2:$L$107</definedName>
    <definedName name="Year2_Portsmouth">'Year 2'!$M$2:$M$107</definedName>
    <definedName name="Year2_Reading">'Year 2'!$N$2:$N$107</definedName>
    <definedName name="Year2_Referrals">'Year 2'!$C$12:$Z$12</definedName>
    <definedName name="Year2_ReferralsAssessment">'Year 2'!$C$14:$Z$14</definedName>
    <definedName name="Year2_ReferralSource_Anonymous">'Year 2'!$C$35:$Z$35</definedName>
    <definedName name="Year2_ReferralSource_EducationServices">'Year 2'!$C$21:$Z$21</definedName>
    <definedName name="Year2_ReferralSource_Health_services_AE">'Year 2'!$C$26:$Z$26</definedName>
    <definedName name="Year2_ReferralSource_Health_services_GP">'Year 2'!$C$22:$Z$22</definedName>
    <definedName name="Year2_ReferralSource_Health_services_HealthVisitor">'Year 2'!$C$23:$Z$23</definedName>
    <definedName name="Year2_ReferralSource_Health_services_Other">'Year 2'!$C$27:$Z$27</definedName>
    <definedName name="Year2_ReferralSource_Health_services_OthPrimary">'Year 2'!$C$25:$Z$25</definedName>
    <definedName name="Year2_ReferralSource_Health_services_SchoolNurse">'Year 2'!$C$24:$Z$24</definedName>
    <definedName name="Year2_ReferralSource_Housing">'Year 2'!$C$28:$Z$28</definedName>
    <definedName name="Year2_ReferralSource_Individual_Acquaintance">'Year 2'!$C$17:$Z$17</definedName>
    <definedName name="Year2_ReferralSource_Individual_Family">'Year 2'!$C$16:$Z$16</definedName>
    <definedName name="Year2_ReferralSource_Individual_Other">'Year 2'!$C$19:$Z$19</definedName>
    <definedName name="Year2_ReferralSource_Individual_Self">'Year 2'!$C$18:$Z$18</definedName>
    <definedName name="Year2_ReferralSource_LA_External">'Year 2'!$C$31:$Z$31</definedName>
    <definedName name="Year2_ReferralSource_LA_Other">'Year 2'!$C$30:$Z$30</definedName>
    <definedName name="Year2_ReferralSource_LA_SC">'Year 2'!$C$29:$Z$29</definedName>
    <definedName name="Year2_ReferralSource_Other">'Year 2'!$C$34:$Z$34</definedName>
    <definedName name="Year2_ReferralSource_Other_Legal">'Year 2'!$C$33:$Z$33</definedName>
    <definedName name="Year2_ReferralSource_Police">'Year 2'!$C$32:$Z$32</definedName>
    <definedName name="Year2_ReferralSource_School">'Year 2'!$C$20:$Z$20</definedName>
    <definedName name="Year2_ReferralSource_Unknown">'Year 2'!$C$36:$Z$36</definedName>
    <definedName name="Year2_ReferralsPriorEH">'Year 2'!$C$13:$Z$13</definedName>
    <definedName name="Year2_ReReferrals">'Year 2'!$C$37:$Z$37</definedName>
    <definedName name="Year2_ROSGO_ceased_LAC_CAO">'Year 2'!$C$90:$Z$90</definedName>
    <definedName name="Year2_ROSGO_ceased_LAC_SGO">'Year 2'!$C$91:$Z$91</definedName>
    <definedName name="Year2_SGO_fundedLA">'Year 2'!#REF!</definedName>
    <definedName name="Year2_SGO_total">'Year 2'!$C$93:$Z$93</definedName>
    <definedName name="Year2_Slough">'Year 2'!$O$2:$O$107</definedName>
    <definedName name="Year2_Somerset">'Year 2'!$P$2:$P$107</definedName>
    <definedName name="Year2_South_East">'Year 2'!$Y$2:$Y$107</definedName>
    <definedName name="Year2_Southampton">'Year 2'!$Q$2:$Q$107</definedName>
    <definedName name="Year2_SouthEast">'Year 2'!$Y$1:$Y$107</definedName>
    <definedName name="Year2_Surrey">'Year 2'!$R$2:$R$107</definedName>
    <definedName name="Year2_Swindon">'Year 2'!$S$2:$S$107</definedName>
    <definedName name="Year2_Torbay">'Year 2'!$T$2:$T$107</definedName>
    <definedName name="Year2_West_Berkshire">'Year 2'!$U$2:$U$107</definedName>
    <definedName name="Year2_West_Sussex">'Year 2'!$V$2:$V$107</definedName>
    <definedName name="Year2_Windsor___Maidenhead">'Year 2'!$W$2:$W$107</definedName>
    <definedName name="Year2_Windsor_Maidenhead">'Year 2'!$W$1:$W$107</definedName>
    <definedName name="Year2_Wokingham">'Year 2'!$X$2:$X$107</definedName>
    <definedName name="Year3__1617__participating_in_EET">'Year 3'!$C$102:$Z$102</definedName>
    <definedName name="Year3__electively_home_educated">'Year 3'!$C$98:$Z$98</definedName>
    <definedName name="Year3_16_17_NEET">'Year 3'!$A$101:$Z$101</definedName>
    <definedName name="Year3_16_17_not_known">'Year 3'!$A$103:$Z$103</definedName>
    <definedName name="Year3_16_17_participating_in_EET">'Year 3'!$A$102:$Z$102</definedName>
    <definedName name="Year3_1617_NEET">'Year 3'!$C$101:$Z$101</definedName>
    <definedName name="Year3_1617_not_known">'Year 3'!$C$103:$Z$103</definedName>
    <definedName name="Year3_1617_participating_in_EET">'Year 3'!$C$102:$Z$102</definedName>
    <definedName name="Year3_Adoption_ceased_LAC">'Year 3'!$C$79:$Z$79</definedName>
    <definedName name="Year3_Adoption_LAC_Adopted">'Year 3'!$C$82:$Z$82</definedName>
    <definedName name="Year3_Adoption_LAC_Adopted_days">'Year 3'!$C$83:$Z$83</definedName>
    <definedName name="Year3_Adoption_LAC_Adopted_placed_with_12months">'Year 3'!$C$84:$Z$84</definedName>
    <definedName name="Year3_Adoption_PFA">'Year 3'!$C$78:$Z$78</definedName>
    <definedName name="Year3_Assessments">'Year 3'!$C$38:$Z$38</definedName>
    <definedName name="Year3_Assessments_10days">'Year 3'!$C$40:$Z$40</definedName>
    <definedName name="Year3_Assessments_11_20days">'Year 3'!$C$41:$Z$41</definedName>
    <definedName name="Year3_Assessments_11_25days">'Year 3'!$C$41:$Y$41</definedName>
    <definedName name="Year3_Assessments_21_30days">'Year 3'!$C$42:$Z$42</definedName>
    <definedName name="Year3_Assessments_26_35days">'Year 3'!$C$42:$Y$42</definedName>
    <definedName name="Year3_Assessments_31_45days">'Year 3'!$C$43:$Z$43</definedName>
    <definedName name="Year3_Assessments_36_45days">'Year 3'!$C$43:$Y$43</definedName>
    <definedName name="Year3_Assessments_No_further_action">'Year 3'!$C$46:$Z$46</definedName>
    <definedName name="Year3_Assessments_over_45days">'Year 3'!$C$44:$Z$44</definedName>
    <definedName name="Year3_Assessments_step_down">'Year 3'!$C$45:$Z$45</definedName>
    <definedName name="Year3_Assessments_within45days">'Year 3'!$C$106:$Z$106</definedName>
    <definedName name="Year3_Bracknell_Forest">'Year 3'!$C$2:$C$107</definedName>
    <definedName name="Year3_Brighton___Hove">'Year 3'!$D$2:$D$107</definedName>
    <definedName name="Year3_Brighton_Hove">'Year 3'!$D$1:$D$107</definedName>
    <definedName name="Year3_Buckinghamshire">'Year 3'!$E$2:$E$107</definedName>
    <definedName name="Year3_CAO_RO_FundedLA">'Year 3'!#REF!</definedName>
    <definedName name="Year3_CAO_RO_Total">'Year 3'!$C$92:$Z$92</definedName>
    <definedName name="Year3_Care_Applications">'Year 3'!$C$99:$Z$99</definedName>
    <definedName name="Year3_Care_Applications_Children">'Year 3'!$C$100:$Z$100</definedName>
    <definedName name="Year3_Care_Leavers_16_18th_birthday">'Year 3'!$C$85:$Z$85</definedName>
    <definedName name="Year3_Care_Leavers_19_20_Ceased18_SP">'Year 3'!$C$85:$Z$85</definedName>
    <definedName name="Year3_Care_Leavers_at_end_of_period">'Year 3'!$C$86:$Z$86</definedName>
    <definedName name="Year3_Care_Leavers_in_EET">'Year 3'!$C$89:$Z$89</definedName>
    <definedName name="Year3_Care_Leavers_in_suitable_accommodation">'Year 3'!$C$88:$Z$88</definedName>
    <definedName name="Year3_Care_Leavers_in_touch">'Year 3'!$C$87:$Z$87</definedName>
    <definedName name="Year3_Ceased_LAC_16plus">'Year 3'!$C$80:$Z$80</definedName>
    <definedName name="Year3_Ceased_LAC_16plus_18th">'Year 3'!$C$81:$Z$81</definedName>
    <definedName name="Year3_Children_missing_Education">'Year 3'!$C$97:$Z$97</definedName>
    <definedName name="Year3_CIN">'Year 3'!$C$47:$Z$47</definedName>
    <definedName name="Year3_CIN_Section47">'Year 3'!$C$48:$Z$48</definedName>
    <definedName name="Year3_Contacts">'Year 3'!$C$2:$Z$2</definedName>
    <definedName name="Year3_Continuous_assessments">'Year 3'!$C$107:$Z$107</definedName>
    <definedName name="Year3_CP_Conference">'Year 3'!$C$49:$Z$49</definedName>
    <definedName name="Year3_CP_Conference_within15days">'Year 3'!$C$50:$Z$50</definedName>
    <definedName name="Year3_CP_Plans">'Year 3'!$C$51:$Z$51</definedName>
    <definedName name="Year3_CP_Plans_2years">'Year 3'!$C$55:$Z$55</definedName>
    <definedName name="Year3_CP_Plans_3months">'Year 3'!$C$52:$Z$52</definedName>
    <definedName name="Year3_CP_Plans_3months_timescales">'Year 3'!$C$53:$Z$53</definedName>
    <definedName name="Year3_CP_Plans_became_subject">'Year 3'!$C$58:$Z$58</definedName>
    <definedName name="Year3_CP_Plans_became_subject_second">'Year 3'!$C$59:$Z$59</definedName>
    <definedName name="Year3_CP_Plans_became_subject_second_2years">'Year 3'!$C$60:$Z$60</definedName>
    <definedName name="Year3_CP_Plans_ceased">'Year 3'!$C$56:$Z$56</definedName>
    <definedName name="Year3_CP_Plans_ceased_2years">'Year 3'!$C$57:$Z$57</definedName>
    <definedName name="Year3_CP_Plans_Seen_in_Timescales">'Year 3'!$C$54:$Z$54</definedName>
    <definedName name="Year3_EarlyHelpAssessments">'Year 3'!$C$7:$Z$7</definedName>
    <definedName name="Year3_EarlyHelpAssessmentsOngoing">'Year 3'!$C$9:$Z$9</definedName>
    <definedName name="Year3_EarlyHelpAssessmentsStepUp">'Year 3'!$C$10:$Z$10</definedName>
    <definedName name="Year3_EarlyHelpedChildren">'Year 3'!$C$11:$Z$11</definedName>
    <definedName name="Year3_EarlyHelpReferrals">'Year 3'!$C$3:$Z$3</definedName>
    <definedName name="Year3_EarlyHelpReferralsOntoASSESSMENT">'Year 3'!$C$5:$Z$5</definedName>
    <definedName name="Year3_EarlyHelpReferralsSTEPDOWN">'Year 3'!$C$4:$Z$4</definedName>
    <definedName name="Year3_EarlyHelpReReferrals">'Year 3'!$C$6:$Z$6</definedName>
    <definedName name="Year3_East_Sussex">'Year 3'!$F$2:$F$107</definedName>
    <definedName name="Year3_England">'Year 3'!$Z$2:$Z$107</definedName>
    <definedName name="Year3_First_Time_Entrants_to_Youth_Justice_system">'Year 3'!$C$96:$Z$96</definedName>
    <definedName name="Year3_Hampshire">'Year 3'!$G$2:$G$107</definedName>
    <definedName name="Year3_Isle_of_Wight">'Year 3'!$H$2:$H$107</definedName>
    <definedName name="Year3_Juvenile_Offenders__Age_10_17">'Year 3'!$A$104:$Z$104</definedName>
    <definedName name="Year3_Juvenile_Offenders__Age_1017">'Year 3'!$C$104:$Z$104</definedName>
    <definedName name="Year3_Juvenile_Re_offenders__Age_10_17">'Year 3'!$A$105:$Z$105</definedName>
    <definedName name="Year3_Juvenile_Reoffenders__Age_1017">'Year 3'!$C$105:$Z$105</definedName>
    <definedName name="Year3_Kent">'Year 3'!$I$2:$I$107</definedName>
    <definedName name="Year3_LAC">'Year 3'!$C$61:$Z$61</definedName>
    <definedName name="Year3_LAC_10to15">'Year 3'!$C$66:$Z$66</definedName>
    <definedName name="Year3_LAC_16plus">'Year 3'!$C$67:$Z$67</definedName>
    <definedName name="Year3_LAC_1to4">'Year 3'!$C$64:$Z$64</definedName>
    <definedName name="Year3_LAC_3_or_more_Placements">'Year 3'!$C$72:$Z$72</definedName>
    <definedName name="Year3_LAC_4weeks">'Year 3'!$C$73:$Z$73</definedName>
    <definedName name="Year3_LAC_4weeks_reviews_in_timescales">'Year 3'!$C$74:$Z$74</definedName>
    <definedName name="Year3_LAC_5to9">'Year 3'!$C$65:$Z$65</definedName>
    <definedName name="Year3_LAC_Remanded">'Year 3'!$C$77:$Z$77</definedName>
    <definedName name="Year3_LAC_Start">'Year 3'!$C$75:$Z$75</definedName>
    <definedName name="Year3_LAC_Start_2nd_time">'Year 3'!$C$76:$Z$76</definedName>
    <definedName name="Year3_LAC_UASC">'Year 3'!$C$71:$Z$71</definedName>
    <definedName name="Year3_LAC_Under1">'Year 3'!$C$63:$Z$63</definedName>
    <definedName name="Year3_LAC_under16">'Year 3'!$C$68:$Z$68</definedName>
    <definedName name="Year3_LAC_under16_2.5years">'Year 3'!$C$69:$Z$69</definedName>
    <definedName name="Year3_LAC_under16_2.5years_sameplacement2years">'Year 3'!$C$70:$Z$70</definedName>
    <definedName name="Year3_Medway">'Year 3'!$J$2:$J$107</definedName>
    <definedName name="Year3_Milton_Keynes">'Year 3'!$K$2:$K$107</definedName>
    <definedName name="Year3_New_EHC__within_20_weeks">'Year 3'!$C$95:$Z$95</definedName>
    <definedName name="Year3_Number_EHC_Plans">'Year 3'!$C$94:$Z$94</definedName>
    <definedName name="Year3_Oxfordshire">'Year 3'!$L$2:$L$107</definedName>
    <definedName name="Year3_Portsmouth">'Year 3'!$M$2:$M$107</definedName>
    <definedName name="Year3_Reading">'Year 3'!$N$2:$N$107</definedName>
    <definedName name="Year3_Referrals">'Year 3'!$C$12:$Z$12</definedName>
    <definedName name="Year3_ReferralsAssessment">'Year 3'!$C$14:$Z$14</definedName>
    <definedName name="Year3_ReferralSource_Anonymous">'Year 3'!$C$35:$Z$35</definedName>
    <definedName name="Year3_ReferralSource_EducationServices">'Year 3'!$C$21:$Z$21</definedName>
    <definedName name="Year3_ReferralSource_Health_services_AE">'Year 3'!$C$26:$Z$26</definedName>
    <definedName name="Year3_ReferralSource_Health_services_GP">'Year 3'!$C$22:$Z$22</definedName>
    <definedName name="Year3_ReferralSource_Health_services_HealthVisitor">'Year 3'!$C$23:$Z$23</definedName>
    <definedName name="Year3_ReferralSource_Health_services_Other">'Year 3'!$C$27:$Z$27</definedName>
    <definedName name="Year3_ReferralSource_Health_services_OthPrimary">'Year 3'!$C$25:$Z$25</definedName>
    <definedName name="Year3_ReferralSource_Health_services_SchoolNurse">'Year 3'!$C$24:$Z$24</definedName>
    <definedName name="Year3_ReferralSource_Housing">'Year 3'!$C$28:$Z$28</definedName>
    <definedName name="Year3_ReferralSource_Individual_Acquaintance">'Year 3'!$C$17:$Z$17</definedName>
    <definedName name="Year3_ReferralSource_Individual_Family">'Year 3'!$C$16:$Z$16</definedName>
    <definedName name="Year3_ReferralSource_Individual_Other">'Year 3'!$C$19:$Z$19</definedName>
    <definedName name="Year3_ReferralSource_Individual_Self">'Year 3'!$C$18:$Z$18</definedName>
    <definedName name="Year3_ReferralSource_LA_External">'Year 3'!$C$31:$Z$31</definedName>
    <definedName name="Year3_ReferralSource_LA_Other">'Year 3'!$C$30:$Z$30</definedName>
    <definedName name="Year3_ReferralSource_LA_SC">'Year 3'!$C$29:$Z$29</definedName>
    <definedName name="Year3_ReferralSource_Other">'Year 3'!$C$34:$Z$34</definedName>
    <definedName name="Year3_ReferralSource_Other_Legal">'Year 3'!$C$33:$Z$33</definedName>
    <definedName name="Year3_ReferralSource_Police">'Year 3'!$C$32:$Z$32</definedName>
    <definedName name="Year3_ReferralSource_School">'Year 3'!$C$20:$Z$20</definedName>
    <definedName name="Year3_ReferralSource_Unknown">'Year 3'!$C$36:$Z$36</definedName>
    <definedName name="Year3_ReferralsPriorEH">'Year 3'!$C$13:$Z$13</definedName>
    <definedName name="Year3_ReReferrals">'Year 3'!$C$37:$Z$37</definedName>
    <definedName name="Year3_ROSGO_ceased_LAC_CAO">'Year 3'!$C$90:$Z$90</definedName>
    <definedName name="Year3_ROSGO_ceased_LAC_SGO">'Year 3'!$C$91:$Z$91</definedName>
    <definedName name="Year3_SGO_fundedLA">'Year 3'!#REF!</definedName>
    <definedName name="Year3_SGO_total">'Year 3'!$C$93:$Z$93</definedName>
    <definedName name="Year3_Slough">'Year 3'!$O$2:$O$107</definedName>
    <definedName name="Year3_Somerset">'Year 3'!$P$2:$P$107</definedName>
    <definedName name="Year3_South_East">'Year 3'!$Y$2:$Y$107</definedName>
    <definedName name="Year3_Southampton">'Year 3'!$Q$2:$Q$107</definedName>
    <definedName name="Year3_SouthEast">'Year 3'!$Y$1:$Y$107</definedName>
    <definedName name="Year3_Surrey">'Year 3'!$R$2:$R$107</definedName>
    <definedName name="Year3_Swindon">'Year 3'!$S$2:$S$107</definedName>
    <definedName name="Year3_Torbay">'Year 3'!$T$2:$T$107</definedName>
    <definedName name="Year3_West_Berkshire">'Year 3'!$U$2:$U$107</definedName>
    <definedName name="Year3_West_Sussex">'Year 3'!$V$2:$V$107</definedName>
    <definedName name="Year3_Windsor___Maidenhead">'Year 3'!$W$2:$W$107</definedName>
    <definedName name="Year3_Windsor_Maidenhead">'Year 3'!$W$1:$W$107</definedName>
    <definedName name="Year3_Wokingham">'Year 3'!$X$2:$X$107</definedName>
    <definedName name="Year4__1617__participating_in_EET">'Year 4'!$C$102:$Z$102</definedName>
    <definedName name="Year4__electively_home_educated">'Year 4'!$C$98:$Z$98</definedName>
    <definedName name="Year4_017_Population">'Year 4'!#REF!</definedName>
    <definedName name="Year4_16_17_NEET">'Year 4'!$A$101:$Z$101</definedName>
    <definedName name="Year4_16_17_not_known">'Year 4'!$A$103:$Z$103</definedName>
    <definedName name="Year4_16_17_participating_in_EET">'Year 4'!$A$102:$Z$102</definedName>
    <definedName name="Year4_1617_NEET">'Year 4'!$C$101:$Z$101</definedName>
    <definedName name="Year4_1617_not_known">'Year 4'!$C$103:$Z$103</definedName>
    <definedName name="Year4_Adoption_ceased_LAC">'Year 4'!$C$79:$Z$79</definedName>
    <definedName name="Year4_Adoption_LAC_Adopted">'Year 4'!$C$82:$Z$82</definedName>
    <definedName name="Year4_Adoption_LAC_Adopted_days">'Year 4'!$C$83:$Z$83</definedName>
    <definedName name="Year4_Adoption_LAC_Adopted_placed_with_12months">'Year 4'!$C$84:$Z$84</definedName>
    <definedName name="Year4_Adoption_PFA">'Year 4'!$C$78:$Z$78</definedName>
    <definedName name="Year4_Assessments">'Year 4'!$C$38:$Z$38</definedName>
    <definedName name="Year4_Assessments_10days">'Year 4'!$C$40:$Z$40</definedName>
    <definedName name="Year4_Assessments_11_20days">'Year 4'!$C$41:$Z$41</definedName>
    <definedName name="Year4_Assessments_11_25days">'Year 4'!$C$41:$Z$41</definedName>
    <definedName name="Year4_Assessments_21_30days">'Year 4'!$C$42:$Z$42</definedName>
    <definedName name="Year4_Assessments_26_35days">'Year 4'!$C$42:$Z$42</definedName>
    <definedName name="Year4_Assessments_31_45days">'Year 4'!$C$43:$Z$43</definedName>
    <definedName name="Year4_Assessments_36_45days">'Year 4'!$C$43:$Z$43</definedName>
    <definedName name="Year4_Assessments_No_further_action">'Year 4'!$C$46:$Z$46</definedName>
    <definedName name="Year4_Assessments_over_45days">'Year 4'!$C$44:$Z$44</definedName>
    <definedName name="Year4_Assessments_step_down">'Year 4'!$C$45:$Z$45</definedName>
    <definedName name="Year4_Assessments_within45days" localSheetId="4">'Year 4'!$A$106:$Z$106</definedName>
    <definedName name="Year4_Assessments_within45days">'Year 4'!$C$106:$Z$106</definedName>
    <definedName name="Year4_Bracknell_Forest">'Year 4'!$C$2:$C$107</definedName>
    <definedName name="Year4_Brighton___Hove">'Year 4'!$D$2:$D$107</definedName>
    <definedName name="Year4_Brighton_Hove">'Year 4'!$D$1:$D$107</definedName>
    <definedName name="Year4_Buckinghamshire">'Year 4'!$E$2:$E$107</definedName>
    <definedName name="Year4_CAO_RO_FundedLA">'Year 4'!#REF!</definedName>
    <definedName name="Year4_CAO_RO_Total">'Year 4'!$C$92:$Z$92</definedName>
    <definedName name="Year4_Care_Applications">'Year 4'!$C$99:$Z$99</definedName>
    <definedName name="Year4_Care_Applications_Children">'Year 4'!$C$100:$Z$100</definedName>
    <definedName name="Year4_Care_Leavers_16_18th_birthday">'Year 4'!$C$85:$Z$85</definedName>
    <definedName name="Year4_Care_Leavers_19_20_Ceased18_SP">'Year 4'!$C$85:$Z$85</definedName>
    <definedName name="Year4_Care_Leavers_at_end_of_period">'Year 4'!$C$86:$Z$86</definedName>
    <definedName name="Year4_Care_Leavers_in_EET">'Year 4'!$C$89:$Z$89</definedName>
    <definedName name="Year4_Care_Leavers_in_suitable_accommodation">'Year 4'!$C$88:$Z$88</definedName>
    <definedName name="Year4_Care_Leavers_in_touch">'Year 4'!$C$87:$Z$87</definedName>
    <definedName name="Year4_Ceased_LAC_16plus">'Year 4'!$C$80:$Z$80</definedName>
    <definedName name="Year4_Ceased_LAC_16plus_18th">'Year 4'!$C$81:$Z$81</definedName>
    <definedName name="Year4_Children_missing_Education">'Year 4'!$C$97:$Z$97</definedName>
    <definedName name="Year4_CIN">'Year 4'!$C$47:$Z$47</definedName>
    <definedName name="Year4_CIN_Section47">'Year 4'!$C$48:$Z$48</definedName>
    <definedName name="Year4_Contacts">'Year 4'!$C$2:$Z$2</definedName>
    <definedName name="Year4_Continuous_assessments">'Year 4'!$C$107:$Z$107</definedName>
    <definedName name="Year4_CP_Conference">'Year 4'!$C$49:$Z$49</definedName>
    <definedName name="Year4_CP_Conference_within15days">'Year 4'!$C$50:$Z$50</definedName>
    <definedName name="Year4_CP_Plans">'Year 4'!$C$51:$Z$51</definedName>
    <definedName name="Year4_CP_Plans_2years">'Year 4'!$C$55:$Z$55</definedName>
    <definedName name="Year4_CP_Plans_3months">'Year 4'!$C$52:$Z$52</definedName>
    <definedName name="Year4_CP_Plans_3months_timescales">'Year 4'!$C$53:$Z$53</definedName>
    <definedName name="Year4_CP_Plans_became_subject">'Year 4'!$C$58:$Z$58</definedName>
    <definedName name="Year4_CP_Plans_became_subject_second">'Year 4'!$C$59:$Z$59</definedName>
    <definedName name="Year4_CP_Plans_became_subject_second_2years">'Year 4'!$C$60:$Z$60</definedName>
    <definedName name="Year4_CP_Plans_ceased">'Year 4'!$C$56:$Z$56</definedName>
    <definedName name="Year4_CP_Plans_ceased_2years">'Year 4'!$C$57:$Z$57</definedName>
    <definedName name="Year4_CP_Plans_Seen_in_Timescales">'Year 4'!$C$54:$Z$54</definedName>
    <definedName name="Year4_EarlyHelpAssessments">'Year 4'!$C$7:$Z$7</definedName>
    <definedName name="Year4_EarlyHelpAssessmentsOngoing">'Year 4'!$C$9:$Z$9</definedName>
    <definedName name="Year4_EarlyHelpAssessmentsStepUp">'Year 4'!$C$10:$Z$10</definedName>
    <definedName name="Year4_EarlyHelpedChildren">'Year 4'!$C$11:$Z$11</definedName>
    <definedName name="Year4_EarlyHelpReferrals">'Year 4'!$C$3:$Z$3</definedName>
    <definedName name="Year4_EarlyHelpReferralsOntoASSESSMENT">'Year 4'!$C$5:$Z$5</definedName>
    <definedName name="Year4_EarlyHelpReferralsSTEPDOWN">'Year 4'!$C$4:$Z$4</definedName>
    <definedName name="Year4_EarlyHelpReReferrals">'Year 4'!$C$6:$Z$6</definedName>
    <definedName name="Year4_East_Sussex">'Year 4'!$F$2:$F$107</definedName>
    <definedName name="Year4_England">'Year 4'!$Z$2:$Z$107</definedName>
    <definedName name="Year4_First_Time_Entrants_to_Youth_Justice_system">'Year 4'!$C$96:$Z$96</definedName>
    <definedName name="Year4_Hampshire">'Year 4'!$G$2:$G$107</definedName>
    <definedName name="Year4_Isle_of_Wight">'Year 4'!$H$2:$H$107</definedName>
    <definedName name="Year4_Juvenile_Offenders__Age_10_17">'Year 4'!$A$104:$Z$104</definedName>
    <definedName name="Year4_Juvenile_Offenders__Age_1017">'Year 4'!$C$104:$Z$104</definedName>
    <definedName name="Year4_Juvenile_Re_offenders__Age_10_17">'Year 4'!$A$105:$Z$105</definedName>
    <definedName name="Year4_Juvenile_Reoffenders__Age_1017">'Year 4'!$C$105:$Z$105</definedName>
    <definedName name="Year4_Kent">'Year 4'!$I$2:$I$107</definedName>
    <definedName name="Year4_LAC">'Year 4'!$C$61:$Z$61</definedName>
    <definedName name="Year4_LAC_10to15">'Year 4'!$C$66:$Z$66</definedName>
    <definedName name="Year4_LAC_16plus">'Year 4'!$C$67:$Z$67</definedName>
    <definedName name="Year4_LAC_1to4">'Year 4'!$C$64:$Z$64</definedName>
    <definedName name="Year4_LAC_3_or_more_Placements">'Year 4'!$C$72:$Z$72</definedName>
    <definedName name="Year4_LAC_4weeks">'Year 4'!$C$73:$Z$73</definedName>
    <definedName name="Year4_LAC_4weeks_reviews_in_timescales">'Year 4'!$C$74:$Z$74</definedName>
    <definedName name="Year4_LAC_5to9">'Year 4'!$C$65:$Z$65</definedName>
    <definedName name="Year4_LAC_Remanded">'Year 4'!$C$77:$Z$77</definedName>
    <definedName name="Year4_LAC_Start">'Year 4'!$C$75:$Z$75</definedName>
    <definedName name="Year4_LAC_Start_2nd_time">'Year 4'!$C$76:$Z$76</definedName>
    <definedName name="Year4_LAC_UASC">'Year 4'!$C$71:$Z$71</definedName>
    <definedName name="Year4_LAC_Under1">'Year 4'!$C$63:$Z$63</definedName>
    <definedName name="Year4_LAC_under16">'Year 4'!$C$68:$Z$68</definedName>
    <definedName name="Year4_LAC_under16_2.5years">'Year 4'!$C$69:$Z$69</definedName>
    <definedName name="Year4_LAC_under16_2.5years_sameplacement2years">'Year 4'!$C$70:$Z$70</definedName>
    <definedName name="Year4_Medway">'Year 4'!$J$2:$J$107</definedName>
    <definedName name="Year4_Milton_Keynes">'Year 4'!$K$2:$K$107</definedName>
    <definedName name="Year4_New_EHC__within_20_weeks">'Year 4'!$C$95:$Z$95</definedName>
    <definedName name="Year4_Number_EHC_Plans">'Year 4'!$C$94:$Z$94</definedName>
    <definedName name="Year4_Oxfordshire">'Year 4'!$L$2:$L$107</definedName>
    <definedName name="Year4_Portsmouth">'Year 4'!$M$2:$M$107</definedName>
    <definedName name="Year4_Reading">'Year 4'!$N$2:$N$107</definedName>
    <definedName name="Year4_Referrals">'Year 4'!$C$12:$Z$12</definedName>
    <definedName name="Year4_ReferralsAssessment">'Year 4'!$C$14:$Z$14</definedName>
    <definedName name="Year4_ReferralSource_Anonymous">'Year 4'!$C$35:$Z$35</definedName>
    <definedName name="Year4_ReferralSource_EducationServices">'Year 4'!$C$21:$Z$21</definedName>
    <definedName name="Year4_ReferralSource_Health_services_AE">'Year 4'!$C$26:$Z$26</definedName>
    <definedName name="Year4_ReferralSource_Health_services_GP">'Year 4'!$C$22:$Z$22</definedName>
    <definedName name="Year4_ReferralSource_Health_services_HealthVisitor">'Year 4'!$C$23:$Z$23</definedName>
    <definedName name="Year4_ReferralSource_Health_services_Other">'Year 4'!$C$27:$Z$27</definedName>
    <definedName name="Year4_ReferralSource_Health_services_OthPrimary">'Year 4'!$C$25:$Z$25</definedName>
    <definedName name="Year4_ReferralSource_Health_services_SchoolNurse">'Year 4'!$C$24:$Z$24</definedName>
    <definedName name="Year4_ReferralSource_Housing">'Year 4'!$C$28:$Z$28</definedName>
    <definedName name="Year4_ReferralSource_Individual_Acquaintance">'Year 4'!$C$17:$Z$17</definedName>
    <definedName name="Year4_ReferralSource_Individual_Family">'Year 4'!$C$16:$Z$16</definedName>
    <definedName name="Year4_ReferralSource_Individual_Other">'Year 4'!$C$19:$Z$19</definedName>
    <definedName name="Year4_ReferralSource_Individual_Self">'Year 4'!$C$18:$Z$18</definedName>
    <definedName name="Year4_ReferralSource_LA_External">'Year 4'!$C$31:$Z$31</definedName>
    <definedName name="Year4_ReferralSource_LA_Other">'Year 4'!$C$30:$Z$30</definedName>
    <definedName name="Year4_ReferralSource_LA_SC">'Year 4'!$C$29:$Z$29</definedName>
    <definedName name="Year4_ReferralSource_Other">'Year 4'!$C$34:$Z$34</definedName>
    <definedName name="Year4_ReferralSource_Other_Legal">'Year 4'!$C$33:$Z$33</definedName>
    <definedName name="Year4_ReferralSource_Police">'Year 4'!$C$32:$Z$32</definedName>
    <definedName name="Year4_ReferralSource_School">'Year 4'!$C$20:$Z$20</definedName>
    <definedName name="Year4_ReferralSource_Unknown">'Year 4'!$C$36:$Z$36</definedName>
    <definedName name="Year4_ReferralsPriorEH">'Year 4'!$C$13:$Z$13</definedName>
    <definedName name="Year4_ReReferrals">'Year 4'!$C$37:$Z$37</definedName>
    <definedName name="Year4_ROSGO_ceased_LAC_CAO">'Year 4'!$C$90:$Z$90</definedName>
    <definedName name="Year4_ROSGO_ceased_LAC_SGO">'Year 4'!$C$91:$Z$91</definedName>
    <definedName name="Year4_SGO_fundedLA">'Year 4'!#REF!</definedName>
    <definedName name="Year4_SGO_total">'Year 4'!$C$93:$Z$93</definedName>
    <definedName name="Year4_Slough">'Year 4'!$O$2:$O$107</definedName>
    <definedName name="Year4_Somerset">'Year 4'!$P$2:$P$107</definedName>
    <definedName name="Year4_South_East">'Year 4'!$Y$2:$Y$107</definedName>
    <definedName name="Year4_Southampton">'Year 4'!$Q$2:$Q$107</definedName>
    <definedName name="Year4_SouthEast">'Year 4'!$Y$1:$Y$107</definedName>
    <definedName name="Year4_Surrey">'Year 4'!$R$2:$R$107</definedName>
    <definedName name="Year4_Swindon">'Year 4'!$S$2:$S$107</definedName>
    <definedName name="Year4_Torbay">'Year 4'!$T$2:$T$107</definedName>
    <definedName name="Year4_West_Berkshire">'Year 4'!$U$2:$U$107</definedName>
    <definedName name="Year4_West_Sussex">'Year 4'!$V$2:$V$107</definedName>
    <definedName name="Year4_Windsor___Maidenhead">'Year 4'!$W$2:$W$107</definedName>
    <definedName name="Year4_Windsor_Maidenhead">'Year 4'!$W$1:$W$107</definedName>
    <definedName name="Year4_Wokingham">'Year 4'!$X$2:$X$107</definedName>
    <definedName name="Year5__1617__participating_in_EET">'Year 5'!$C$102:$Z$102</definedName>
    <definedName name="Year5__electively_home_educated">'Year 5'!$C$98:$Z$98</definedName>
    <definedName name="Year5_0_17_Population">'Year 5'!#REF!</definedName>
    <definedName name="Year5_16_17_NEET">'Year 5'!$A$101:$Z$101</definedName>
    <definedName name="Year5_16_17_not_known">'Year 5'!$A$103:$Z$103</definedName>
    <definedName name="Year5_16_17_participating_in_EET">'Year 5'!$C$102:$Z$102</definedName>
    <definedName name="Year5_1617_NEET">'Year 5'!$C$101:$Z$101</definedName>
    <definedName name="Year5_1617_not_known">'Year 5'!$C$103:$Z$103</definedName>
    <definedName name="Year5_Adoption_ceased_LAC">'Year 5'!$C$79:$Z$79</definedName>
    <definedName name="Year5_Adoption_LAC_Adopted">'Year 5'!$C$82:$Z$82</definedName>
    <definedName name="Year5_Adoption_LAC_Adopted_days">'Year 5'!$C$83:$Z$83</definedName>
    <definedName name="Year5_Adoption_LAC_Adopted_placed_with_12months">'Year 5'!$C$84:$Z$84</definedName>
    <definedName name="Year5_Adoption_PFA">'Year 5'!$C$78:$Z$78</definedName>
    <definedName name="Year5_Assessments">'Year 5'!$C$38:$Z$38</definedName>
    <definedName name="Year5_Assessments_10days">'Year 5'!$C$40:$Z$40</definedName>
    <definedName name="Year5_Assessments_11_20days">'Year 5'!$C$41:$Z$41</definedName>
    <definedName name="Year5_Assessments_11_25days">'Year 5'!$A$41:$Z$41</definedName>
    <definedName name="Year5_Assessments_21_30days">'Year 5'!$C$42:$Z$42</definedName>
    <definedName name="Year5_Assessments_26_35days">'Year 5'!$A$42:$Z$42</definedName>
    <definedName name="Year5_Assessments_31_45days">'Year 5'!$C$43:$Z$43</definedName>
    <definedName name="Year5_Assessments_36_45days">'Year 5'!$A$43:$Z$43</definedName>
    <definedName name="Year5_Assessments_No_further_action">'Year 5'!$C$46:$Z$46</definedName>
    <definedName name="Year5_Assessments_over_45days">'Year 5'!$C$44:$Z$44</definedName>
    <definedName name="Year5_Assessments_step_down">'Year 5'!$C$45:$Z$45</definedName>
    <definedName name="Year5_Assessments_within45days">'Year 5'!$C$106:$Z$106</definedName>
    <definedName name="Year5_Bracknell_Forest">'Year 5'!$C$2:$C$107</definedName>
    <definedName name="Year5_Braknell_Forest">'Year 5'!$C$2:$C$107</definedName>
    <definedName name="Year5_Brighton___Hove">'Year 5'!$D$2:$D$107</definedName>
    <definedName name="Year5_Brighton_Hove">'Year 5'!$D$1:$D$133</definedName>
    <definedName name="Year5_Buckinghamshire">'Year 5'!$E$2:$E$107</definedName>
    <definedName name="Year5_Bukinghamshire">'Year 5'!$E$2:$E$107</definedName>
    <definedName name="Year5_CAO_RO_FundedLA">'Year 5'!#REF!</definedName>
    <definedName name="Year5_CAO_RO_Total">'Year 5'!$C$92:$Z$92</definedName>
    <definedName name="Year5_Care_Applications">'Year 5'!$C$99:$Z$99</definedName>
    <definedName name="Year5_Care_Applications_Children">'Year 5'!$C$100:$Z$100</definedName>
    <definedName name="Year5_Care_Leavers_16_18th_birthday">'Year 5'!$C$85:$Z$85</definedName>
    <definedName name="Year5_Care_Leavers_19_20_Ceased18_SP">'Year 5'!$C$85:$Z$85</definedName>
    <definedName name="Year5_Care_Leavers_at_end_of_period">'Year 5'!$C$86:$Z$86</definedName>
    <definedName name="Year5_Care_Leavers_in_EET">'Year 5'!$C$89:$Z$89</definedName>
    <definedName name="Year5_Care_Leavers_in_suitable_accommodation">'Year 5'!$C$88:$Z$88</definedName>
    <definedName name="Year5_Care_Leavers_in_touch">'Year 5'!$C$87:$Z$87</definedName>
    <definedName name="Year5_Ceased_LAC_16plus">'Year 5'!$C$80:$Z$80</definedName>
    <definedName name="Year5_Ceased_LAC_16plus_18th">'Year 5'!$C$81:$Z$81</definedName>
    <definedName name="Year5_Children_missing_Education">'Year 5'!$C$97:$Z$97</definedName>
    <definedName name="Year5_CIN">'Year 5'!$C$47:$Z$47</definedName>
    <definedName name="Year5_CIN_Section47">'Year 5'!$C$48:$Z$48</definedName>
    <definedName name="Year5_Contacts">'Year 5'!$C$2:$Z$2</definedName>
    <definedName name="Year5_Continuous_assessments">'Year 5'!$C$107:$Z$107</definedName>
    <definedName name="Year5_CP_Conference">'Year 5'!$C$49:$Z$49</definedName>
    <definedName name="Year5_CP_Conference_within15days">'Year 5'!$C$50:$Z$50</definedName>
    <definedName name="Year5_CP_Plans">'Year 5'!$C$51:$Z$51</definedName>
    <definedName name="Year5_CP_Plans_2years">'Year 5'!$C$55:$Z$55</definedName>
    <definedName name="Year5_CP_Plans_3months">'Year 5'!$C$52:$Z$52</definedName>
    <definedName name="Year5_CP_Plans_3months_timescales">'Year 5'!$C$53:$Z$53</definedName>
    <definedName name="Year5_CP_Plans_became_subject">'Year 5'!$C$58:$Z$58</definedName>
    <definedName name="Year5_CP_Plans_became_subject_second">'Year 5'!$C$59:$Z$59</definedName>
    <definedName name="Year5_CP_Plans_became_subject_second_2years">'Year 5'!$C$60:$Z$60</definedName>
    <definedName name="Year5_CP_Plans_ceased">'Year 5'!$C$56:$Z$56</definedName>
    <definedName name="Year5_CP_Plans_ceased_2years">'Year 5'!$C$57:$Z$57</definedName>
    <definedName name="Year5_CP_Plans_Seen_in_Timescales">'Year 5'!$C$54:$Z$54</definedName>
    <definedName name="Year5_EarlyHelpAssessments">'Year 5'!$C$7:$Z$7</definedName>
    <definedName name="Year5_EarlyHelpAssessmentsOngoing">'Year 5'!$C$9:$Z$9</definedName>
    <definedName name="Year5_EarlyHelpAssessmentsStepUp">'Year 5'!$C$10:$Z$10</definedName>
    <definedName name="Year5_EarlyHelpedChildren">'Year 5'!$C$11:$Z$11</definedName>
    <definedName name="Year5_EarlyHelpReferrals">'Year 5'!$C$3:$Z$3</definedName>
    <definedName name="Year5_EarlyHelpReferralsOntoASSESSMENT">'Year 5'!$C$5:$Z$5</definedName>
    <definedName name="Year5_EarlyHelpReferralsSTEPDOWN">'Year 5'!$C$4:$Z$4</definedName>
    <definedName name="Year5_EarlyHelpReReferrals">'Year 5'!$C$6:$Z$6</definedName>
    <definedName name="Year5_East_Sussex">'Year 5'!$F$2:$F$107</definedName>
    <definedName name="Year5_England">'Year 5'!$Z$2:$Z$107</definedName>
    <definedName name="Year5_First_Time_Entrants_to_Youth_Justice_system">'Year 5'!$C$96:$Z$96</definedName>
    <definedName name="Year5_Hampshire">'Year 5'!$G$2:$G$107</definedName>
    <definedName name="Year5_Isle_of_Wight">'Year 5'!$H$2:$H$107</definedName>
    <definedName name="Year5_Juvenile_Offenders__Age_10_17">'Year 5'!$A$104:$Z$104</definedName>
    <definedName name="Year5_Juvenile_Offenders__Age_1017">'Year 5'!$C$104:$Z$104</definedName>
    <definedName name="Year5_Juvenile_Re_offenders__Age_10_17">'Year 5'!$A$105:$Z$105</definedName>
    <definedName name="Year5_Juvenile_Reoffenders__Age_1017">'Year 5'!$C$105:$Z$105</definedName>
    <definedName name="Year5_Kent">'Year 5'!$I$2:$I$107</definedName>
    <definedName name="Year5_LAC">'Year 5'!$C$61:$Z$61</definedName>
    <definedName name="Year5_LAC_10to15">'Year 5'!$C$66:$Z$66</definedName>
    <definedName name="Year5_LAC_16plus">'Year 5'!$C$67:$Z$67</definedName>
    <definedName name="Year5_LAC_1to4">'Year 5'!$C$64:$Z$64</definedName>
    <definedName name="Year5_LAC_3_or_more_Placements">'Year 5'!$C$72:$Z$72</definedName>
    <definedName name="Year5_LAC_4weeks">'Year 5'!$C$73:$Z$73</definedName>
    <definedName name="Year5_LAC_4weeks_reviews_in_timescales">'Year 5'!$C$74:$Z$74</definedName>
    <definedName name="Year5_LAC_5to9">'Year 5'!$C$65:$Z$65</definedName>
    <definedName name="Year5_LAC_Remanded">'Year 5'!$C$77:$Z$77</definedName>
    <definedName name="Year5_LAC_Start">'Year 5'!$C$75:$Z$75</definedName>
    <definedName name="Year5_LAC_Start_2nd_time">'Year 5'!$C$76:$Z$76</definedName>
    <definedName name="Year5_LAC_UASC">'Year 5'!$C$71:$Z$71</definedName>
    <definedName name="Year5_LAC_Under1">'Year 5'!$C$63:$Z$63</definedName>
    <definedName name="Year5_LAC_under16">'Year 5'!$C$68:$Z$68</definedName>
    <definedName name="Year5_LAC_under16_2.5years">'Year 5'!$C$69:$Z$69</definedName>
    <definedName name="Year5_LAC_under16_2.5years_sameplacement2years">'Year 5'!$C$70:$Z$70</definedName>
    <definedName name="Year5_Medway">'Year 5'!$J$2:$J$107</definedName>
    <definedName name="Year5_Milton_Keynes">'Year 5'!$K$2:$K$107</definedName>
    <definedName name="Year5_New_EHC__within_20_weeks">'Year 5'!$C$95:$Z$95</definedName>
    <definedName name="Year5_Number_EHC_Plans">'Year 5'!$C$94:$Z$94</definedName>
    <definedName name="Year5_Oxfordshire">'Year 5'!$L$2:$L$107</definedName>
    <definedName name="Year5_Portsmouth">'Year 5'!$M$2:$M$107</definedName>
    <definedName name="Year5_Reading">'Year 5'!$N$2:$N$107</definedName>
    <definedName name="Year5_Referrals">'Year 5'!$C$12:$Z$12</definedName>
    <definedName name="Year5_ReferralsAssessment">'Year 5'!$C$14:$Z$14</definedName>
    <definedName name="Year5_ReferralSource_Anonymous">'Year 5'!$C$35:$Z$35</definedName>
    <definedName name="Year5_ReferralSource_EducationServices">'Year 5'!$C$21:$Z$21</definedName>
    <definedName name="Year5_ReferralSource_Health_services_AE">'Year 5'!$C$26:$Z$26</definedName>
    <definedName name="Year5_ReferralSource_Health_services_GP">'Year 5'!$C$22:$Z$22</definedName>
    <definedName name="Year5_ReferralSource_Health_services_HealthVisitor">'Year 5'!$C$23:$Z$23</definedName>
    <definedName name="Year5_ReferralSource_Health_services_Other">'Year 5'!$C$27:$Z$27</definedName>
    <definedName name="Year5_ReferralSource_Health_services_OthPrimary">'Year 5'!$C$25:$Z$25</definedName>
    <definedName name="Year5_ReferralSource_Health_services_SchoolNurse">'Year 5'!$C$24:$Z$24</definedName>
    <definedName name="Year5_ReferralSource_Housing">'Year 5'!$C$28:$Z$28</definedName>
    <definedName name="Year5_ReferralSource_Individual_Acquaintance">'Year 5'!$C$17:$Z$17</definedName>
    <definedName name="Year5_ReferralSource_Individual_Family">'Year 5'!$C$16:$Z$16</definedName>
    <definedName name="Year5_ReferralSource_Individual_Other">'Year 5'!$C$19:$Z$19</definedName>
    <definedName name="Year5_ReferralSource_Individual_Self">'Year 5'!$C$18:$Z$18</definedName>
    <definedName name="Year5_ReferralSource_LA_External">'Year 5'!$C$31:$Z$31</definedName>
    <definedName name="Year5_ReferralSource_LA_Other">'Year 5'!$C$30:$Z$30</definedName>
    <definedName name="Year5_ReferralSource_LA_SC">'Year 5'!$C$29:$Z$29</definedName>
    <definedName name="Year5_ReferralSource_Other">'Year 5'!$C$34:$Z$34</definedName>
    <definedName name="Year5_ReferralSource_Other_Legal">'Year 5'!$C$33:$Z$33</definedName>
    <definedName name="Year5_ReferralSource_Police">'Year 5'!$C$32:$Z$32</definedName>
    <definedName name="Year5_ReferralSource_School">'Year 5'!$C$20:$Z$20</definedName>
    <definedName name="Year5_ReferralSource_Unknown">'Year 5'!$C$36:$Z$36</definedName>
    <definedName name="Year5_ReferralsPriorEH">'Year 5'!$C$13:$Z$13</definedName>
    <definedName name="Year5_ReReferrals">'Year 5'!$C$37:$Z$37</definedName>
    <definedName name="Year5_ROSGO_ceased_LAC_CAO">'Year 5'!$C$90:$Z$90</definedName>
    <definedName name="Year5_ROSGO_ceased_LAC_SGO">'Year 5'!$C$91:$Z$91</definedName>
    <definedName name="Year5_SGO_fundedLA">'Year 5'!#REF!</definedName>
    <definedName name="Year5_SGO_total">'Year 5'!$C$93:$Z$93</definedName>
    <definedName name="Year5_Slough">'Year 5'!$O$2:$O$107</definedName>
    <definedName name="Year5_Somerset">'Year 5'!$P$2:$P$107</definedName>
    <definedName name="Year5_South_East">'Year 5'!$Y$2:$Y$107</definedName>
    <definedName name="Year5_Southampton">'Year 5'!$Q$2:$Q$107</definedName>
    <definedName name="Year5_SouthEast">'Year 5'!$Y$1:$Y$133</definedName>
    <definedName name="Year5_Surrey">'Year 5'!$R$2:$R$107</definedName>
    <definedName name="Year5_Swindon">'Year 5'!$S$2:$S$107</definedName>
    <definedName name="Year5_Torbay">'Year 5'!$T$2:$T$107</definedName>
    <definedName name="Year5_West_Berkshire">'Year 5'!$U$2:$U$107</definedName>
    <definedName name="Year5_West_Sussex">'Year 5'!$V$2:$V$107</definedName>
    <definedName name="Year5_Windsor___Maidenhead">'Year 5'!$W$2:$W$107</definedName>
    <definedName name="Year5_Windsor_Maidenhead">'Year 5'!$W$1:$W$133</definedName>
    <definedName name="Year5_Wokingham">'Year 5'!$X$2:$X$107</definedName>
    <definedName name="yr4_Bracknell_Forest">[2]Year4!$F$2:$F$386</definedName>
    <definedName name="yr4_Brighton___Hove">[2]Year4!$G$2:$G$386</definedName>
    <definedName name="yr4_Buckinghamshire">[2]Year4!$H$2:$H$386</definedName>
    <definedName name="yr4_East_Sussex">[2]Year4!$I$2:$I$386</definedName>
    <definedName name="yr4_England">[2]Year4!$Z$2:$Z$386</definedName>
    <definedName name="yr4_Female">[2]Year4!$F$20:$Z$20</definedName>
    <definedName name="yr4_Hampshire">[2]Year4!$J$2:$J$386</definedName>
    <definedName name="yr4_Isle_of_Wight">[2]Year4!$K$2:$K$386</definedName>
    <definedName name="yr4_Kent">[2]Year4!$L$2:$L$386</definedName>
    <definedName name="yr4_Maintained_EHCP">[2]Year4!$F$2:$Z$2</definedName>
    <definedName name="yr4_Medway">[2]Year4!$M$2:$M$386</definedName>
    <definedName name="yr4_Milton_Keynes">[2]Year4!$N$2:$N$386</definedName>
    <definedName name="yr4_Oxfordshire">[2]Year4!$O$2:$O$386</definedName>
    <definedName name="yr4_Portsmouth">[2]Year4!$P$2:$P$386</definedName>
    <definedName name="yr4_Reading">[2]Year4!$Q$2:$Q$386</definedName>
    <definedName name="yr4_Slough">[2]Year4!$R$2:$R$386</definedName>
    <definedName name="yr4_South_East">[2]Year4!$Y$2:$Y$386</definedName>
    <definedName name="yr4_Southampton">[2]Year4!$S$2:$S$386</definedName>
    <definedName name="yr4_Surrey">[2]Year4!$T$2:$T$386</definedName>
    <definedName name="yr4_West_Berkshire">[2]Year4!$U$2:$U$386</definedName>
    <definedName name="yr4_West_Sussex">[2]Year4!$V$2:$V$386</definedName>
    <definedName name="yr4_Windsor___Maidenhead">[2]Year4!$W$2:$W$386</definedName>
    <definedName name="yr4_Wokingham">[2]Year4!$X$2:$X$386</definedName>
    <definedName name="Yr5_Age_0_To_4">[2]Year5!$F$133:$Y$133</definedName>
    <definedName name="Yr5_Age_0_To_4_Prim_Autistic">[2]Year5!$F$139:$Z$139</definedName>
    <definedName name="Yr5_Age_0_To_4_Prim_Hearing_Impairment">[2]Year5!$F$146:$Z$146</definedName>
    <definedName name="Yr5_Age_0_To_4_Prim_MLD">[2]Year5!$F$142:$Z$142</definedName>
    <definedName name="Yr5_Age_0_To_4_Prim_Multi_Sensory_Impairment">[2]Year5!$F$148:$Z$148</definedName>
    <definedName name="Yr5_Age_0_To_4_Prim_Physical_Disability">[2]Year5!$F$145:$Z$145</definedName>
    <definedName name="Yr5_Age_0_To_4_Prim_Profound_Multi_Learning_Diff">[2]Year5!$F$144:$Z$144</definedName>
    <definedName name="Yr5_Age_0_To_4_Prim_SEMH">[2]Year5!$F$138:$Z$138</definedName>
    <definedName name="Yr5_Age_0_To_4_Prim_Severe_LearningDiff">[2]Year5!$F$143:$Z$143</definedName>
    <definedName name="Yr5_Age_0_To_4_Prim_SLCN">[2]Year5!$F$140:$Z$140</definedName>
    <definedName name="Yr5_Age_0_To_4_Prim_Special_Learning_Diff">[2]Year5!$F$141:$Z$141</definedName>
    <definedName name="Yr5_Age_0_To_4_Prim_Visual_Impairment">[2]Year5!$F$147:$Z$147</definedName>
    <definedName name="Yr5_Age_11_to_15">[2]Year5!$F$135:$Z$135</definedName>
    <definedName name="Yr5_Age_11_To_15_Prim_Autistic">[2]Year5!$F$161:$Z$161</definedName>
    <definedName name="Yr5_Age_11_To_15_Prim_Hearing_Impairment">[2]Year5!$F$168:$Z$168</definedName>
    <definedName name="Yr5_Age_11_To_15_Prim_MLD">[2]Year5!$F$164:$Z$164</definedName>
    <definedName name="Yr5_Age_11_To_15_Prim_Multi_Sensory_Impairment">[2]Year5!$F$170:$Z$170</definedName>
    <definedName name="Yr5_Age_11_To_15_Prim_Physical_Disability">[2]Year5!$F$167:$Z$167</definedName>
    <definedName name="Yr5_Age_11_To_15_Prim_Profound_Multi_Learning_Diff">[2]Year5!$F$166:$Z$166</definedName>
    <definedName name="Yr5_Age_11_To_15_Prim_SEMH">[2]Year5!$F$160:$Z$160</definedName>
    <definedName name="Yr5_Age_11_To_15_Prim_Severe_LearningDiff">[2]Year5!$F$165:$Z$165</definedName>
    <definedName name="Yr5_Age_11_To_15_Prim_SLCN">[2]Year5!$F$162:$Z$162</definedName>
    <definedName name="Yr5_Age_11_To_15_Prim_Special_Learning_Diff">[2]Year5!$F$163:$Z$163</definedName>
    <definedName name="Yr5_Age_11_To_15_Prim_Visual_Impairment">[2]Year5!$F$169:$Z$169</definedName>
    <definedName name="Yr5_Age_16_to_19">[2]Year5!$F$136:$Z$136</definedName>
    <definedName name="Yr5_Age_16_To_19_Prim_Autistic">[2]Year5!$F$172:$Z$172</definedName>
    <definedName name="Yr5_Age_16_To_19_Prim_Hearing_Impairment">[2]Year5!$F$179:$Z$179</definedName>
    <definedName name="Yr5_Age_16_To_19_Prim_MLD">[2]Year5!$F$175:$Z$175</definedName>
    <definedName name="Yr5_Age_16_To_19_Prim_Multi_Sensory_Impairment">[2]Year5!$F$181:$Z$181</definedName>
    <definedName name="Yr5_Age_16_To_19_Prim_Physical_Disability">[2]Year5!$F$178:$Z$178</definedName>
    <definedName name="Yr5_Age_16_To_19_Prim_Profound_Multi_Learning_Diff">[2]Year5!$F$177:$Z$177</definedName>
    <definedName name="Yr5_Age_16_To_19_Prim_SEMH">[2]Year5!$F$171:$Z$171</definedName>
    <definedName name="Yr5_Age_16_To_19_Prim_Severe_LearningDiff">[2]Year5!$F$176:$Z$176</definedName>
    <definedName name="Yr5_Age_16_To_19_Prim_SLCN">[2]Year5!$F$173:$Z$173</definedName>
    <definedName name="Yr5_Age_16_To_19_Prim_Special_Learning_Diff">[2]Year5!$F$174:$Z$174</definedName>
    <definedName name="Yr5_Age_16_To_19_Prim_Visual_Impairment">[2]Year5!$F$180:$Z$180</definedName>
    <definedName name="Yr5_Age_20_to_25">[2]Year5!$F$137:$Z$137</definedName>
    <definedName name="Yr5_Age_20_To_25_Prim_Autistic">[2]Year5!$F$183:$Z$183</definedName>
    <definedName name="Yr5_Age_20_To_25_Prim_Hearing_Impairment">[2]Year5!$F$190:$Z$190</definedName>
    <definedName name="Yr5_Age_20_To_25_Prim_MLD">[2]Year5!$F$186:$Z$186</definedName>
    <definedName name="Yr5_Age_20_To_25_Prim_Multi_Sensory_Impairment">[2]Year5!$F$192:$Z$192</definedName>
    <definedName name="Yr5_Age_20_To_25_Prim_Physical_Disability">[2]Year5!$F$189:$Z$189</definedName>
    <definedName name="Yr5_Age_20_To_25_Prim_Profound_Multi_Learning_Diff">[2]Year5!$F$188:$Z$188</definedName>
    <definedName name="Yr5_Age_20_To_25_Prim_SEMH">[2]Year5!$F$182:$Z$182</definedName>
    <definedName name="Yr5_Age_20_To_25_Prim_Severe_LearningDiff">[2]Year5!$F$187:$Z$187</definedName>
    <definedName name="Yr5_Age_20_To_25_Prim_SLCN">[2]Year5!$F$184:$Z$184</definedName>
    <definedName name="Yr5_Age_20_To_25_Prim_Special_Learning_Diff">[2]Year5!$F$185:$Z$185</definedName>
    <definedName name="Yr5_Age_20_To_25_Prim_Visual_Impairment">[2]Year5!$F$191:$Z$191</definedName>
    <definedName name="Yr5_Age_5_to_10">[2]Year5!$F$134:$Z$134</definedName>
    <definedName name="Yr5_Age_5_To_10_Prim_Autistic">[2]Year5!$F$150:$Z$150</definedName>
    <definedName name="Yr5_Age_5_To_10_Prim_Hearing_Impairment">[2]Year5!$F$157:$Z$157</definedName>
    <definedName name="Yr5_Age_5_To_10_Prim_MLD">[2]Year5!$F$153:$Z$153</definedName>
    <definedName name="Yr5_Age_5_To_10_Prim_Multi_Sensory_Impairment">[2]Year5!$F$159:$Z$159</definedName>
    <definedName name="Yr5_Age_5_To_10_Prim_Physical_Disability">[2]Year5!$F$156:$Z$156</definedName>
    <definedName name="Yr5_Age_5_To_10_Prim_Profound_Multi_Learning_Diff">[2]Year5!$F$155:$Z$155</definedName>
    <definedName name="Yr5_Age_5_To_10_Prim_SEMH">[2]Year5!$F$149:$Z$149</definedName>
    <definedName name="Yr5_Age_5_To_10_Prim_Severe_LearningDiff">[2]Year5!$F$154:$Z$154</definedName>
    <definedName name="Yr5_Age_5_To_10_Prim_SLCN">[2]Year5!$F$151:$Z$151</definedName>
    <definedName name="Yr5_Age_5_To_10_Prim_Special_Learning_Diff">[2]Year5!$F$152:$Z$152</definedName>
    <definedName name="Yr5_Age_5_To_10_Prim_Visual_Impairment">[2]Year5!$F$158:$Z$158</definedName>
    <definedName name="Yr5_Age_Care_Leavers_Prim_Autistic">[2]Year5!$F$255:$Z$255</definedName>
    <definedName name="Yr5_Age_Care_Leavers_Prim_Hearing_Impairment">[2]Year5!$F$262:$Z$262</definedName>
    <definedName name="Yr5_Age_Care_Leavers_Prim_MLD">[2]Year5!$F$258:$Z$258</definedName>
    <definedName name="Yr5_Age_Care_Leavers_Prim_Multi_Sensory_Impairment">[2]Year5!$F$264:$Z$264</definedName>
    <definedName name="Yr5_Age_Care_Leavers_Prim_Physical_Disability">[2]Year5!$F$261:$Z$261</definedName>
    <definedName name="Yr5_Age_Care_Leavers_Prim_Profound_Multi_Learning_Diff">[2]Year5!$F$260:$Z$260</definedName>
    <definedName name="Yr5_Age_Care_Leavers_Prim_SEMH">[2]Year5!$F$254:$Z$254</definedName>
    <definedName name="Yr5_Age_Care_Leavers_Prim_Severe_LearningDiff">[2]Year5!$F$259:$Z$259</definedName>
    <definedName name="Yr5_Age_Care_Leavers_Prim_SLCN">[2]Year5!$F$256:$Z$256</definedName>
    <definedName name="Yr5_Age_Care_Leavers_Prim_Special_Learning_Diff">[2]Year5!$F$257:$Z$257</definedName>
    <definedName name="Yr5_Age_Care_Leavers_Prim_Visual_Impairment">[2]Year5!$F$263:$Z$263</definedName>
    <definedName name="Yr5_Age_CIN_Prim_Autistic">[2]Year5!$F$211:$Z$211</definedName>
    <definedName name="Yr5_Age_CIN_Prim_Hearing_Impairment">[2]Year5!$F$218:$Z$218</definedName>
    <definedName name="Yr5_Age_CIN_Prim_MLD">[2]Year5!$F$214:$Z$214</definedName>
    <definedName name="Yr5_Age_CIN_Prim_Multi_Sensory_Impairment">[2]Year5!$F$220:$Z$220</definedName>
    <definedName name="Yr5_Age_CIN_Prim_Physical_Disability">[2]Year5!$F$217:$Z$217</definedName>
    <definedName name="Yr5_Age_CIN_Prim_Profound_Multi_Learning_Diff">[2]Year5!$F$216:$Z$216</definedName>
    <definedName name="Yr5_Age_CIN_Prim_SEMH">[2]Year5!$F$210:$Z$210</definedName>
    <definedName name="Yr5_Age_CIN_Prim_Severe_LearningDiff">[2]Year5!$F$215:$Z$215</definedName>
    <definedName name="Yr5_Age_CIN_Prim_SLCN">[2]Year5!$F$212:$Z$212</definedName>
    <definedName name="Yr5_Age_CIN_Prim_Special_Learning_Diff">[2]Year5!$F$213:$Z$213</definedName>
    <definedName name="Yr5_Age_CIN_Prim_Visual_Impairment">[2]Year5!$F$219:$Z$219</definedName>
    <definedName name="Yr5_Age_CP_Prim_Autistic">[2]Year5!$F$222:$Z$222</definedName>
    <definedName name="Yr5_Age_CP_Prim_Hearing_Impairment">[2]Year5!$F$229:$Z$229</definedName>
    <definedName name="Yr5_Age_CP_Prim_MLD">[2]Year5!$F$225:$Z$225</definedName>
    <definedName name="Yr5_Age_CP_Prim_Multi_Sensory_Impairment">[2]Year5!$F$231:$Z$231</definedName>
    <definedName name="Yr5_Age_CP_Prim_Physical_Disability">[2]Year5!$F$228:$Z$228</definedName>
    <definedName name="Yr5_Age_CP_Prim_Profound_Multi_Learning_Diff">[2]Year5!$F$227:$Z$227</definedName>
    <definedName name="Yr5_Age_CP_Prim_SEMH">[2]Year5!$F$221:$Z$221</definedName>
    <definedName name="Yr5_Age_CP_Prim_Severe_LearningDiff">[2]Year5!$F$226:$Z$226</definedName>
    <definedName name="Yr5_Age_CP_Prim_SLCN">[2]Year5!$F$223:$Z$223</definedName>
    <definedName name="Yr5_Age_CP_Prim_Special_Learning_Diff">[2]Year5!$F$224:$Z$224</definedName>
    <definedName name="Yr5_Age_CP_Prim_Visual_Impairment">[2]Year5!$F$230:$Z$230</definedName>
    <definedName name="Yr5_Age_Early_Help_Prim_Autistic">[2]Year5!$F$200:$Z$200</definedName>
    <definedName name="Yr5_Age_Early_Help_Prim_Hearing_Impairment">[2]Year5!$F$207:$Z$207</definedName>
    <definedName name="Yr5_Age_Early_Help_Prim_MLD">[2]Year5!$F$203:$Z$203</definedName>
    <definedName name="Yr5_Age_Early_Help_Prim_Multi_Sensory_Impairment">[2]Year5!$F$209:$Z$209</definedName>
    <definedName name="Yr5_Age_Early_Help_Prim_Physical_Disability">[2]Year5!$F$206:$Z$206</definedName>
    <definedName name="Yr5_Age_Early_Help_Prim_Profound_Multi_Learning_Diff">[2]Year5!$F$205:$Z$205</definedName>
    <definedName name="Yr5_Age_Early_Help_Prim_SEMH">[2]Year5!$F$199:$Z$199</definedName>
    <definedName name="Yr5_Age_Early_Help_Prim_Severe_LearningDiff">[2]Year5!$F$204:$Z$204</definedName>
    <definedName name="Yr5_Age_Early_Help_Prim_SLCN">[2]Year5!$F$201:$Z$201</definedName>
    <definedName name="Yr5_Age_Early_Help_Prim_Special_Learning_Diff">[2]Year5!$F$202:$Z$202</definedName>
    <definedName name="Yr5_Age_Early_Help_Prim_Visual_Impairment">[2]Year5!$F$208:$Z$208</definedName>
    <definedName name="Yr5_Age_LAC_Prim_Autistic">[2]Year5!$F$233:$Z$233</definedName>
    <definedName name="Yr5_Age_LAC_Prim_Hearing_Impairment">[2]Year5!$F$240:$Z$240</definedName>
    <definedName name="Yr5_Age_LAC_Prim_MLD">[2]Year5!$F$236:$Z$236</definedName>
    <definedName name="Yr5_Age_LAC_Prim_Multi_Sensory_Impairment">[2]Year5!$F$242:$Z$242</definedName>
    <definedName name="Yr5_Age_LAC_Prim_Physical_Disability">[2]Year5!$F$239:$Z$239</definedName>
    <definedName name="Yr5_Age_LAC_Prim_Profound_Multi_Learning_Diff">[2]Year5!$F$238:$Z$238</definedName>
    <definedName name="Yr5_Age_LAC_Prim_SEMH">[2]Year5!$F$232:$Z$232</definedName>
    <definedName name="Yr5_Age_LAC_Prim_Severe_LearningDiff">[2]Year5!$F$237:$Z$237</definedName>
    <definedName name="Yr5_Age_LAC_Prim_SLCN">[2]Year5!$F$234:$Z$234</definedName>
    <definedName name="Yr5_Age_LAC_Prim_Special_Learning_Diff">[2]Year5!$F$235:$Z$235</definedName>
    <definedName name="Yr5_Age_LAC_Prim_Visual_Impairment">[2]Year5!$F$241:$Z$241</definedName>
    <definedName name="Yr5_Age_S20_Prim_Autistic">[2]Year5!$F$244:$Z$244</definedName>
    <definedName name="Yr5_Age_S20_Prim_Hearing_Impairment">[2]Year5!$F$251:$Z$251</definedName>
    <definedName name="Yr5_Age_S20_Prim_MLD">[2]Year5!$F$247:$Z$247</definedName>
    <definedName name="Yr5_Age_S20_Prim_Multi_Sensory_Impairment">[2]Year5!$F$253:$Z$253</definedName>
    <definedName name="Yr5_Age_S20_Prim_Physical_Disability">[2]Year5!$F$250:$Z$250</definedName>
    <definedName name="Yr5_Age_S20_Prim_Profound_Multi_Learning_Diff">[2]Year5!$F$249:$Z$249</definedName>
    <definedName name="Yr5_Age_S20_Prim_SEMH">[2]Year5!$F$243:$Z$243</definedName>
    <definedName name="Yr5_Age_S20_Prim_Severe_LearningDiff">[2]Year5!$F$248:$Z$248</definedName>
    <definedName name="Yr5_Age_S20_Prim_SLCN">[2]Year5!$F$245:$Z$245</definedName>
    <definedName name="Yr5_Age_S20_Prim_Special_Learning_Diff">[2]Year5!$F$246:$Z$246</definedName>
    <definedName name="Yr5_Age_S20_Prim_Visual_Impairment">[2]Year5!$F$252:$Z$252</definedName>
    <definedName name="Yr5_Care_Leavers">[2]Year5!$F$198:$Z$198</definedName>
    <definedName name="Yr5_CIN">[2]Year5!$F$194:$Z$194</definedName>
    <definedName name="Yr5_CP">[2]Year5!$F$195:$Z$195</definedName>
    <definedName name="Yr5_Early_Help">[2]Year5!$F$193:$Z$193</definedName>
    <definedName name="Yr5_Educated_Ahead">[2]Year5!$F$325:$Z$325</definedName>
    <definedName name="Yr5_Educated_Behind">[2]Year5!$F$326:$Z$326</definedName>
    <definedName name="Yr5_EHC_Plans_20Weeks_Plans_Issued_ExcEx">[2]Year5!$F$340:$Z$340</definedName>
    <definedName name="Yr5_EHC_Plans_20Weeks_Plans_Issued_IncEx">[2]Year5!$F$338:$Z$338</definedName>
    <definedName name="Yr5_EHC_Plans_20Weeks_Plans_Issued_Within_20_Weeks_ExcEx">[2]Year5!$F$341:$Z$341</definedName>
    <definedName name="Yr5_EHC_Plans_20Weeks_Plans_Issued_Within_20_Weeks_IncEx">[2]Year5!$F$339:$Z$339</definedName>
    <definedName name="Yr5_Eth_AnyOtherAsian">[2]Year5!$F$59:$Z$59</definedName>
    <definedName name="Yr5_Eth_Asian_Autisic">[2]Year5!$F$101:$Z$101</definedName>
    <definedName name="Yr5_Eth_Asian_Hearing_Impairment">[2]Year5!$F$108:$Z$108</definedName>
    <definedName name="Yr5_Eth_Asian_MLD">[2]Year5!$F$104:$Z$104</definedName>
    <definedName name="Yr5_Eth_Asian_Multi_Sensory_Impairment">[2]Year5!$F$110:$Z$110</definedName>
    <definedName name="Yr5_Eth_Asian_Physical_Disability">[2]Year5!$F$107:$Z$107</definedName>
    <definedName name="Yr5_Eth_Asian_Profound_Multi_Learning_Diff">[2]Year5!$F$106:$Z$106</definedName>
    <definedName name="Yr5_Eth_Asian_SEMH">[2]Year5!$F$100:$Z$100</definedName>
    <definedName name="Yr5_Eth_Asian_Severe_LearningDiff">[2]Year5!$F$105:$Z$105</definedName>
    <definedName name="Yr5_Eth_Asian_SLCN">[2]Year5!$F$102:$Z$102</definedName>
    <definedName name="Yr5_Eth_Asian_Special_Learning_Diff">[2]Year5!$F$103:$Z$103</definedName>
    <definedName name="Yr5_Eth_Asian_Visual_Impairment">[2]Year5!$F$109:$Z$109</definedName>
    <definedName name="Yr5_Eth_Bangladeshi">[2]Year5!$F$58:$Z$58</definedName>
    <definedName name="Yr5_Eth_Black_African">[2]Year5!$F$61:$Z$61</definedName>
    <definedName name="Yr5_Eth_Black_Autisic">[2]Year5!$F$112:$Z$112</definedName>
    <definedName name="Yr5_Eth_Black_Car">[2]Year5!$F$60:$Z$60</definedName>
    <definedName name="Yr5_Eth_Black_Hearing_Impairment">[2]Year5!$F$119:$Z$119</definedName>
    <definedName name="Yr5_Eth_Black_MLD">[2]Year5!$F$115:$Z$115</definedName>
    <definedName name="Yr5_Eth_Black_Multi_Sensory_Impairment">[2]Year5!$F$121:$Z$121</definedName>
    <definedName name="Yr5_Eth_Black_Physical_Disability">[2]Year5!$F$118:$Z$118</definedName>
    <definedName name="Yr5_Eth_Black_Profound_Multi_Learning_Diff">[2]Year5!$F$117:$Z$117</definedName>
    <definedName name="Yr5_Eth_Black_SEMH">[2]Year5!$F$111:$Z$111</definedName>
    <definedName name="Yr5_Eth_Black_Severe_LearningDiff">[2]Year5!$F$116:$Z$116</definedName>
    <definedName name="Yr5_Eth_Black_SLCN">[2]Year5!$F$113:$Z$113</definedName>
    <definedName name="Yr5_Eth_Black_Special_Learning_Diff">[2]Year5!$F$114:$Z$114</definedName>
    <definedName name="Yr5_Eth_Black_Visual_Impairment">[2]Year5!$F$120:$Z$120</definedName>
    <definedName name="Yr5_Eth_Chinese">[2]Year5!$F$63:$Z$63</definedName>
    <definedName name="Yr5_Eth_Indian">[2]Year5!$F$56:$Z$56</definedName>
    <definedName name="Yr5_Eth_Mix_OtherMixed">[2]Year5!$F$55:$Z$55</definedName>
    <definedName name="Yr5_Eth_Mix_WhiteAsian">[2]Year5!$F$54:$Z$54</definedName>
    <definedName name="Yr5_Eth_Mix_WhiteBlack_Afr">[2]Year5!$F$53:$Z$53</definedName>
    <definedName name="Yr5_Eth_Mix_WhiteBlack_Car">[2]Year5!$F$52:$Z$52</definedName>
    <definedName name="Yr5_Eth_Mixed_Autisic">[2]Year5!$F$90:$Z$90</definedName>
    <definedName name="Yr5_Eth_Mixed_Hearing_Impairment">[2]Year5!$F$97:$Z$97</definedName>
    <definedName name="Yr5_Eth_Mixed_MLD">[2]Year5!$F$93:$Z$93</definedName>
    <definedName name="Yr5_Eth_Mixed_Multi_Sensory_Impairment">[2]Year5!$F$99:$Z$99</definedName>
    <definedName name="Yr5_Eth_Mixed_Physical_Disability">[2]Year5!$F$96:$Z$96</definedName>
    <definedName name="Yr5_Eth_Mixed_Profound_Multi_Learning_Diff">[2]Year5!$F$95:$Z$95</definedName>
    <definedName name="Yr5_Eth_Mixed_SEMH">[2]Year5!$F$89:$Z$89</definedName>
    <definedName name="Yr5_Eth_Mixed_Severe_LearningDiff">[2]Year5!$F$94:$Z$94</definedName>
    <definedName name="Yr5_Eth_Mixed_SLCN">[2]Year5!$F$91:$Z$91</definedName>
    <definedName name="Yr5_Eth_Mixed_Special_Learning_Diff">[2]Year5!$F$92:$Z$92</definedName>
    <definedName name="Yr5_Eth_Mixed_Visual_Impairment">[2]Year5!$F$98:$Z$98</definedName>
    <definedName name="Yr5_Eth_NotKnown">[2]Year5!$F$66:$Z$66</definedName>
    <definedName name="Yr5_Eth_Other_Autisic">[2]Year5!$F$123:$Z$123</definedName>
    <definedName name="Yr5_Eth_Other_Black">[2]Year5!$F$62:$Z$62</definedName>
    <definedName name="Yr5_Eth_Other_Group">[2]Year5!$F$64:$Z$64</definedName>
    <definedName name="Yr5_Eth_Other_Hearing_Impairment">[2]Year5!$F$130:$Z$130</definedName>
    <definedName name="Yr5_Eth_Other_MLD">[2]Year5!$F$126:$Z$126</definedName>
    <definedName name="Yr5_Eth_Other_Multi_Sensory_Impairment">[2]Year5!$F$132:$Z$132</definedName>
    <definedName name="Yr5_Eth_Other_Physical_Disability">[2]Year5!$F$129:$Z$129</definedName>
    <definedName name="Yr5_Eth_Other_Profound_Multi_Learning_Diff">[2]Year5!$F$128:$Z$128</definedName>
    <definedName name="Yr5_Eth_Other_SEMH">[2]Year5!$F$122:$Z$122</definedName>
    <definedName name="Yr5_Eth_Other_Severe_LearningDiff">[2]Year5!$F$127:$Z$127</definedName>
    <definedName name="Yr5_Eth_Other_SLCN">[2]Year5!$F$124:$Z$124</definedName>
    <definedName name="Yr5_Eth_Other_Special_Learning_Diff">[2]Year5!$F$125:$Z$125</definedName>
    <definedName name="Yr5_Eth_Other_Visual_Impairment">[2]Year5!$F$131:$Z$131</definedName>
    <definedName name="Yr5_Eth_Pakistani">[2]Year5!$F$57:$Z$57</definedName>
    <definedName name="Yr5_Eth_White_Gypsy">[2]Year5!$F$50:$Z$50</definedName>
    <definedName name="Yr5_Eth_White_Other_Autisic">[2]Year5!$F$79:$Z$79</definedName>
    <definedName name="Yr5_Eth_White_Other_Hearing_Impairment">[2]Year5!$F$86:$Z$86</definedName>
    <definedName name="Yr5_Eth_White_Other_MLD">[2]Year5!$F$82:$Z$82</definedName>
    <definedName name="Yr5_Eth_White_Other_Multi_Sensory_Impairment">[2]Year5!$F$88:$Z$88</definedName>
    <definedName name="Yr5_Eth_White_Other_Physical_Disability">[2]Year5!$F$85:$Z$85</definedName>
    <definedName name="Yr5_Eth_White_Other_Profound_Multi_Learning_Diff">[2]Year5!$F$84:$Z$84</definedName>
    <definedName name="Yr5_Eth_White_Other_SEMH">[2]Year5!$F$78:$Z$78</definedName>
    <definedName name="Yr5_Eth_White_Other_Severe_LearningDiff">[2]Year5!$F$83:$Z$83</definedName>
    <definedName name="Yr5_Eth_White_Other_SLCN">[2]Year5!$F$80:$Z$80</definedName>
    <definedName name="Yr5_Eth_White_Other_Special_Learning_Diff">[2]Year5!$F$81:$Z$81</definedName>
    <definedName name="Yr5_Eth_White_Other_Visual_Impairment">[2]Year5!$F$87:$Z$87</definedName>
    <definedName name="Yr5_Eth_White_OtherWhite">[2]Year5!$F$51:$Z$51</definedName>
    <definedName name="Yr5_Eth_White_Traveller">[2]Year5!$F$49:$Z$49</definedName>
    <definedName name="Yr5_Eth_White_WhiteBritish">[2]Year5!$F$47:$Z$47</definedName>
    <definedName name="Yr5_Eth_White_WhiteIrish">[2]Year5!$F$48:$Z$48</definedName>
    <definedName name="Yr5_Eth_WhiteBritish_Autisic">[2]Year5!$F$68:$Z$68</definedName>
    <definedName name="Yr5_Eth_WhiteBritish_Hearing_Impairment">[2]Year5!$F$75:$Z$75</definedName>
    <definedName name="Yr5_Eth_WhiteBritish_MLD">[2]Year5!$F$71:$Z$71</definedName>
    <definedName name="Yr5_Eth_WhiteBritish_Multi_Sensory_Impairment">[2]Year5!$F$77:$Z$77</definedName>
    <definedName name="Yr5_Eth_WhiteBritish_Physical_Disability">[2]Year5!$F$74:$Z$74</definedName>
    <definedName name="Yr5_Eth_WhiteBritish_Profound_Multi_Learning_Diff">[2]Year5!$F$73:$Z$73</definedName>
    <definedName name="Yr5_Eth_WhiteBritish_SEMH">[2]Year5!$F$67:$Z$67</definedName>
    <definedName name="Yr5_Eth_WhiteBritish_Severe_LearningDiff">[2]Year5!$F$72:$Z$72</definedName>
    <definedName name="Yr5_Eth_WhiteBritish_SLCN">[2]Year5!$F$69:$Z$69</definedName>
    <definedName name="Yr5_Eth_WhiteBritish_Special_Learning_Diff">[2]Year5!$F$70:$Z$70</definedName>
    <definedName name="Yr5_Eth_WhiteBritish_Visual_Impairment">[2]Year5!$F$76:$Z$76</definedName>
    <definedName name="Yr5_Female">[2]Year5!$F$20:$Z$20</definedName>
    <definedName name="Yr5_LAC_All">[2]Year5!$F$196:$Z$196</definedName>
    <definedName name="Yr5_Maintained_EHCP">[2]Year5!$F$2:$Z$2</definedName>
    <definedName name="Yr5_Male">[2]Year5!$F$21:$Z$21</definedName>
    <definedName name="Yr5_NotSpecified">[2]Year5!$F$22:$Z$22</definedName>
    <definedName name="Yr5_Placement_Apprenticeship">[2]Year5!$F$291:$Z$291</definedName>
    <definedName name="Yr5_Placement_Awaiting_Placement">[2]Year5!$F$288:$Z$288</definedName>
    <definedName name="Yr5_Placement_Excluded_On_Census">[2]Year5!$F$287:$Z$287</definedName>
    <definedName name="Yr5_Placement_GEO_Neighbouring_LA">[2]Year5!$F$295:$Z$295</definedName>
    <definedName name="Yr5_Placement_GEO_Other_LA">[2]Year5!$F$296:$Z$296</definedName>
    <definedName name="Yr5_Placement_GEO_Supported_Own_LA">[2]Year5!$F$294:$Z$294</definedName>
    <definedName name="Yr5_Placement_Hospital">[2]Year5!$F$280:$Z$280</definedName>
    <definedName name="Yr5_Placement_LA_Home_and_Funding_LA">[2]Year5!$F$342:$Z$342</definedName>
    <definedName name="Yr5_Placement_Mainstream_Sch_Acadeny_Free_Sch_ool">[2]Year5!$F$272:$Y$272</definedName>
    <definedName name="Yr5_Placement_Mainstream_Sch_Acadeny_Independent_Sch_ool">[2]Year5!$F$273:$Y$273</definedName>
    <definedName name="Yr5_Placement_Mainstream_Sch_Acadeny_RP">[2]Year5!$F$271:$Z$271</definedName>
    <definedName name="Yr5_Placement_Mainstream_Sch_Acadeny_Sch_ool">[2]Year5!$F$269:$Z$269</definedName>
    <definedName name="Yr5_Placement_Mainstream_Sch_Acadeny_SEN_Unit">[2]Year5!$F$270:$Z$270</definedName>
    <definedName name="Yr5_Placement_Mainstream_Sch_LAM_RP">[2]Year5!$F$268:$Z$268</definedName>
    <definedName name="Yr5_Placement_Mainstream_Sch_LAM_Sch_ool">[2]Year5!$F$266:$Z$266</definedName>
    <definedName name="Yr5_Placement_Mainstream_Sch_LAM_SEN_Unit">[2]Year5!$F$267:$Z$267</definedName>
    <definedName name="Yr5_Placement_NEET">[2]Year5!$F$289:$Z$289</definedName>
    <definedName name="Yr5_Placement_Non_Main_EY">[2]Year5!$F$265:$Z$265</definedName>
    <definedName name="Yr5_Placement_Other">[2]Year5!$F$290:$Z$290</definedName>
    <definedName name="Yr5_Placement_Other_Arrangement_LA">[2]Year5!$F$285:$Z$285</definedName>
    <definedName name="Yr5_Placement_Other_Arrangement_Parent">[2]Year5!$F$286:$Z$286</definedName>
    <definedName name="Yr5_Placement_Post16_General_FE_Colleges_HE">[2]Year5!$F$281:$Z$281</definedName>
    <definedName name="Yr5_Placement_Post16_Other_FE">[2]Year5!$F$282:$Z$282</definedName>
    <definedName name="Yr5_Placement_Post16_Sixth_Form_College">[2]Year5!$F$283:$Z$283</definedName>
    <definedName name="Yr5_Placement_Post16_Specialist_Institutions">[2]Year5!$F$284:$Z$284</definedName>
    <definedName name="Yr5_Placement_PruAlt_Sch_Academy_Free">[2]Year5!$F$279:$Z$279</definedName>
    <definedName name="Yr5_Placement_PruAlt_Sch_LAM_Foundation">[2]Year5!$F$278:$Z$278</definedName>
    <definedName name="Yr5_Placement_Special_Sch_Academy_Free">[2]Year5!$F$275:$Z$275</definedName>
    <definedName name="Yr5_Placement_Special_Sch_Independent">[2]Year5!$F$277:$Z$277</definedName>
    <definedName name="Yr5_Placement_Special_Sch_LAM_Foundation">[2]Year5!$F$274:$Z$274</definedName>
    <definedName name="Yr5_Placement_Special_Sch_Non_Maintained">[2]Year5!$F$276:$Z$276</definedName>
    <definedName name="Yr5_Placement_Supported_Internships">[2]Year5!$F$293:$Z$293</definedName>
    <definedName name="Yr5_Placement_Traineeeships">[2]Year5!$F$292:$Z$292</definedName>
    <definedName name="Yr5_PlacementmGEO_Outside_LA_Awaiting_Placementment">[2]Year5!$F$320:$Z$320</definedName>
    <definedName name="Yr5_PlacementmGEO_Outside_LA_Excluded_On_Census">[2]Year5!$F$319:$Z$319</definedName>
    <definedName name="Yr5_PlacementmGEO_Outside_LA_Hospital">[2]Year5!$F$312:$Z$312</definedName>
    <definedName name="Yr5_PlacementmGEO_Outside_LA_Mainstream_Sch_Acadeny_Free_Sch_ool">[2]Year5!$F$304:$Z$304</definedName>
    <definedName name="Yr5_PlacementmGEO_Outside_LA_Mainstream_Sch_Acadeny_IndependGEO_Outside_LA_Sch_ool">[2]Year5!$F$305:$Z$305</definedName>
    <definedName name="Yr5_PlacementmGEO_Outside_LA_Mainstream_Sch_Acadeny_RP">[2]Year5!$F$303:$Z$303</definedName>
    <definedName name="Yr5_PlacementmGEO_Outside_LA_Mainstream_Sch_Acadeny_Sch_ool">[2]Year5!$F$301:$Z$301</definedName>
    <definedName name="Yr5_PlacementmGEO_Outside_LA_Mainstream_Sch_Acadeny_SEN_Unit">[2]Year5!$F$302:$Z$302</definedName>
    <definedName name="Yr5_PlacementmGEO_Outside_LA_Mainstream_Sch_LAM_RP">[2]Year5!$F$300:$Z$300</definedName>
    <definedName name="Yr5_PlacementmGEO_Outside_LA_Mainstream_Sch_LAM_Sch_ool">[2]Year5!$F$298:$Z$298</definedName>
    <definedName name="Yr5_PlacementmGEO_Outside_LA_Mainstream_Sch_LAM_SEN_Unit">[2]Year5!$F$299:$Z$299</definedName>
    <definedName name="Yr5_PlacementmGEO_Outside_LA_NEET">[2]Year5!$F$321:$Z$321</definedName>
    <definedName name="Yr5_PlacementmGEO_Outside_LA_Non_Main_EY">[2]Year5!$F$297:$Z$297</definedName>
    <definedName name="Yr5_PlacementmGEO_Outside_LA_Other">[2]Year5!$F$322:$Z$322</definedName>
    <definedName name="Yr5_PlacementmGEO_Outside_LA_Other_ArrangemGEO_Outside_LA_LA">[2]Year5!$F$317:$Z$317</definedName>
    <definedName name="Yr5_PlacementmGEO_Outside_LA_Other_ArrangemGEO_Outside_LA_Parent">[2]Year5!$F$318:$Z$318</definedName>
    <definedName name="Yr5_PlacementmGEO_Outside_LA_Post16_General_FE_Colleges_HE">[2]Year5!$F$313:$Z$313</definedName>
    <definedName name="Yr5_PlacementmGEO_Outside_LA_Post16_Other_FE">[2]Year5!$F$314:$Z$314</definedName>
    <definedName name="Yr5_PlacementmGEO_Outside_LA_Post16_Sixth_Form_College">[2]Year5!$F$315:$Z$315</definedName>
    <definedName name="Yr5_PlacementmGEO_Outside_LA_Post16_Specialist_Institutions">[2]Year5!$F$316:$Z$316</definedName>
    <definedName name="Yr5_PlacementmGEO_Outside_LA_PruAlt_Sch_Academy_Free">[2]Year5!$F$311:$Z$311</definedName>
    <definedName name="Yr5_PlacementmGEO_Outside_LA_PruAlt_Sch_LAM_Foundation">[2]Year5!$F$310:$Z$310</definedName>
    <definedName name="Yr5_PlacementmGEO_Outside_LA_Special_Sch_Academy_Free">[2]Year5!$F$307:$Z$307</definedName>
    <definedName name="Yr5_PlacementmGEO_Outside_LA_Special_Sch_Independent">[2]Year5!$F$309:$Z$309</definedName>
    <definedName name="Yr5_PlacementmGEO_Outside_LA_Special_Sch_LAM_Foundation">[2]Year5!$F$306:$Z$306</definedName>
    <definedName name="Yr5_PlacementmGEO_Outside_LA_Special_Sch_Non_Maintained">[2]Year5!$F$308:$Z$308</definedName>
    <definedName name="Yr5_Plans_LA_Home_Funding">[2]Year5!$F$386:$Z$386</definedName>
    <definedName name="Yr5_Prim_Female_Autisic">[2]Year5!$F$24:$Z$24</definedName>
    <definedName name="Yr5_Prim_Female_Hearing_Impairment">[2]Year5!$F$31:$Z$31</definedName>
    <definedName name="Yr5_Prim_Female_MLD">[2]Year5!$F$27:$Z$27</definedName>
    <definedName name="Yr5_Prim_Female_Multi_Sensory_Impairment">[2]Year5!$F$33:$Z$33</definedName>
    <definedName name="Yr5_Prim_Female_Other">[2]Year5!$F$34:$Z$34</definedName>
    <definedName name="Yr5_Prim_Female_Physical_Disability">[2]Year5!$F$30:$Z$30</definedName>
    <definedName name="Yr5_Prim_Female_Profound_Multi_Learning_Diff">[2]Year5!$F$29:$Z$29</definedName>
    <definedName name="Yr5_Prim_Female_SEMH">[2]Year5!$F$23:$Z$23</definedName>
    <definedName name="Yr5_Prim_Female_Severe_LearningDiff">[2]Year5!$F$28:$Z$28</definedName>
    <definedName name="Yr5_Prim_Female_SLCN">[2]Year5!$F$25:$Z$25</definedName>
    <definedName name="Yr5_Prim_Female_Special_Learning_Diff">[2]Year5!$F$26:$Z$26</definedName>
    <definedName name="Yr5_Prim_Female_Visual_Impairment">[2]Year5!$F$32:$Z$32</definedName>
    <definedName name="Yr5_Prim_Male_Autisic">[2]Year5!$F$36:$Z$36</definedName>
    <definedName name="Yr5_Prim_Male_Hearing_Impairment">[2]Year5!$F$43:$Z$43</definedName>
    <definedName name="Yr5_Prim_Male_MLD">[2]Year5!$F$39:$Z$39</definedName>
    <definedName name="Yr5_Prim_Male_Multi_Sensory_Impairment">[2]Year5!$F$45:$Z$45</definedName>
    <definedName name="Yr5_Prim_Male_Other">[2]Year5!$F$46:$Z$46</definedName>
    <definedName name="Yr5_Prim_Male_Physical_Disability">[2]Year5!$F$42:$Z$42</definedName>
    <definedName name="Yr5_Prim_Male_Profound_Multi_Learning_Diff">[2]Year5!$F$41:$Z$41</definedName>
    <definedName name="Yr5_Prim_Male_SEMH">[2]Year5!$F$35:$Z$35</definedName>
    <definedName name="Yr5_Prim_Male_Severe_LearningDiff">[2]Year5!$F$40:$Z$40</definedName>
    <definedName name="Yr5_Prim_Male_SLCN">[2]Year5!$F$37:$Z$37</definedName>
    <definedName name="Yr5_Prim_Male_Special_Learning_Diff">[2]Year5!$F$38:$Z$38</definedName>
    <definedName name="Yr5_Prim_Male_Visual_Impairment">[2]Year5!$F$44:$Z$44</definedName>
    <definedName name="Yr5_Primary_Autistic">[2]Year5!$F$9:$Z$9</definedName>
    <definedName name="Yr5_Primary_Hearing_Impairment">[2]Year5!$F$16:$Z$16</definedName>
    <definedName name="Yr5_Primary_MLD">[2]Year5!$F$12:$Z$12</definedName>
    <definedName name="Yr5_Primary_Multi_Sensory_Impairment">[2]Year5!$F$18:$Z$18</definedName>
    <definedName name="Yr5_Primary_Other">[2]Year5!$F$19:$Z$19</definedName>
    <definedName name="Yr5_Primary_Physical_Disability">[2]Year5!$F$15:$Z$15</definedName>
    <definedName name="Yr5_Primary_Profound_Multi_Learning_Diff">[2]Year5!$F$14:$Z$14</definedName>
    <definedName name="Yr5_Primary_SEMH">[2]Year5!$F$8:$Z$8</definedName>
    <definedName name="Yr5_Primary_Severe_LearningDiff">[2]Year5!$F$13:$Z$13</definedName>
    <definedName name="Yr5_Primary_SLCN">[2]Year5!$F$10:$Z$10</definedName>
    <definedName name="Yr5_Primary_Special_Learning_Diff">[2]Year5!$F$11:$Z$11</definedName>
    <definedName name="Yr5_Primary_Visual_Impairment">[2]Year5!$F$17:$Z$17</definedName>
    <definedName name="Yr5_Requests_Referrals">[2]Year5!$F$327:$Z$327</definedName>
    <definedName name="Yr5_Requests_Referrals_By_EdEstab">[2]Year5!$F$334:$Z$334</definedName>
    <definedName name="Yr5_Requests_Referrals_By_Other_Professional">[2]Year5!$F$337:$Z$337</definedName>
    <definedName name="Yr5_Requests_Referrals_By_Parents_Carer">[2]Year5!$F$335:$Z$335</definedName>
    <definedName name="Yr5_Requests_Referrals_By_Self_Referral">[2]Year5!$F$336:$Z$336</definedName>
    <definedName name="Yr5_Requests_Referrals_Repeats_Within_6_Months">[2]Year5!$F$333:$Z$333</definedName>
    <definedName name="Yr5_Requests_Stage1_Agreed">[2]Year5!$F$328:$Z$328</definedName>
    <definedName name="Yr5_Requests_Stage1_Not_Agreed">[2]Year5!$F$329:$Z$329</definedName>
    <definedName name="Yr5_Requests_Stage2_EHC_Not_Required">[2]Year5!$F$331:$Z$331</definedName>
    <definedName name="Yr5_Requests_Stage2_EHC_Required">[2]Year5!$F$330:$Z$330</definedName>
    <definedName name="Yr5_Residential_38_To_51_Weeks">[2]Year5!$F$323:$Z$323</definedName>
    <definedName name="Yr5_Residential_52_Weeks">[2]Year5!$F$324:$Z$324</definedName>
    <definedName name="Yr5_S20">[2]Year5!$F$197:$Z$197</definedName>
    <definedName name="Yr5_Statement_EHCP_HNB">[2]Year5!$F$7:$Z$7</definedName>
    <definedName name="Yr5_Statement_EHCP_PB">[2]Year5!$F$6:$Z$6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T9" i="86" l="1"/>
  <c r="AS10" i="86"/>
  <c r="AS11" i="86"/>
  <c r="AS12" i="86"/>
  <c r="AS13" i="86"/>
  <c r="AS14" i="86"/>
  <c r="AS15" i="86"/>
  <c r="AS16" i="86"/>
  <c r="AS17" i="86"/>
  <c r="AS18" i="86"/>
  <c r="AS19" i="86"/>
  <c r="AS20" i="86"/>
  <c r="AS21" i="86"/>
  <c r="AS22" i="86"/>
  <c r="AS23" i="86"/>
  <c r="AS24" i="86"/>
  <c r="AS25" i="86"/>
  <c r="AS26" i="86"/>
  <c r="AS27" i="86"/>
  <c r="AS28" i="86"/>
  <c r="AS29" i="86"/>
  <c r="AS30" i="86"/>
  <c r="AS31" i="86"/>
  <c r="AS9" i="86"/>
  <c r="A69" i="76"/>
  <c r="A39" i="76"/>
  <c r="BB14" i="76" l="1"/>
  <c r="BY197" i="50"/>
  <c r="BX197" i="50"/>
  <c r="BW197" i="50"/>
  <c r="BV197" i="50"/>
  <c r="BU197" i="50"/>
  <c r="BT197" i="50"/>
  <c r="BS197" i="50"/>
  <c r="BR197" i="50"/>
  <c r="BQ197" i="50"/>
  <c r="BP197" i="50"/>
  <c r="BO197" i="50"/>
  <c r="BN197" i="50"/>
  <c r="BM197" i="50"/>
  <c r="BL197" i="50"/>
  <c r="BK197" i="50"/>
  <c r="BJ197" i="50"/>
  <c r="BI197" i="50"/>
  <c r="BH197" i="50"/>
  <c r="BG197" i="50"/>
  <c r="BF197" i="50"/>
  <c r="BE197" i="50"/>
  <c r="BD197" i="50"/>
  <c r="BC197" i="50"/>
  <c r="BB197" i="50"/>
  <c r="BA197" i="50"/>
  <c r="AZ197" i="50"/>
  <c r="AY197" i="50"/>
  <c r="AX197" i="50"/>
  <c r="AW197" i="50"/>
  <c r="AV197" i="50"/>
  <c r="AU197" i="50"/>
  <c r="AT197" i="50"/>
  <c r="AS197" i="50"/>
  <c r="AR197" i="50"/>
  <c r="AQ197" i="50"/>
  <c r="BY196" i="50"/>
  <c r="BX196" i="50"/>
  <c r="BW196" i="50"/>
  <c r="BV196" i="50"/>
  <c r="BU196" i="50"/>
  <c r="BT196" i="50"/>
  <c r="BS196" i="50"/>
  <c r="BR196" i="50"/>
  <c r="BQ196" i="50"/>
  <c r="BP196" i="50"/>
  <c r="BO196" i="50"/>
  <c r="BN196" i="50"/>
  <c r="BM196" i="50"/>
  <c r="BL196" i="50"/>
  <c r="BK196" i="50"/>
  <c r="BJ196" i="50"/>
  <c r="BI196" i="50"/>
  <c r="BH196" i="50"/>
  <c r="BG196" i="50"/>
  <c r="BF196" i="50"/>
  <c r="BE196" i="50"/>
  <c r="BD196" i="50"/>
  <c r="BC196" i="50"/>
  <c r="BB196" i="50"/>
  <c r="BA196" i="50"/>
  <c r="AZ196" i="50"/>
  <c r="AY196" i="50"/>
  <c r="AX196" i="50"/>
  <c r="AW196" i="50"/>
  <c r="AV196" i="50"/>
  <c r="AU196" i="50"/>
  <c r="AT196" i="50"/>
  <c r="AS196" i="50"/>
  <c r="AR196" i="50"/>
  <c r="AQ196" i="50"/>
  <c r="BY195" i="50"/>
  <c r="BX195" i="50"/>
  <c r="BW195" i="50"/>
  <c r="BV195" i="50"/>
  <c r="BU195" i="50"/>
  <c r="BT195" i="50"/>
  <c r="BS195" i="50"/>
  <c r="BR195" i="50"/>
  <c r="BQ195" i="50"/>
  <c r="BP195" i="50"/>
  <c r="BO195" i="50"/>
  <c r="BN195" i="50"/>
  <c r="BM195" i="50"/>
  <c r="BL195" i="50"/>
  <c r="BK195" i="50"/>
  <c r="BJ195" i="50"/>
  <c r="BI195" i="50"/>
  <c r="BH195" i="50"/>
  <c r="BG195" i="50"/>
  <c r="BF195" i="50"/>
  <c r="BE195" i="50"/>
  <c r="BD195" i="50"/>
  <c r="BC195" i="50"/>
  <c r="BB195" i="50"/>
  <c r="BA195" i="50"/>
  <c r="AZ195" i="50"/>
  <c r="AY195" i="50"/>
  <c r="AX195" i="50"/>
  <c r="AW195" i="50"/>
  <c r="AV195" i="50"/>
  <c r="AU195" i="50"/>
  <c r="AT195" i="50"/>
  <c r="AS195" i="50"/>
  <c r="AR195" i="50"/>
  <c r="AQ195" i="50"/>
  <c r="BY194" i="50"/>
  <c r="BX194" i="50"/>
  <c r="BW194" i="50"/>
  <c r="BV194" i="50"/>
  <c r="BU194" i="50"/>
  <c r="BT194" i="50"/>
  <c r="BS194" i="50"/>
  <c r="BR194" i="50"/>
  <c r="BQ194" i="50"/>
  <c r="BP194" i="50"/>
  <c r="BO194" i="50"/>
  <c r="BN194" i="50"/>
  <c r="BM194" i="50"/>
  <c r="BL194" i="50"/>
  <c r="BK194" i="50"/>
  <c r="BJ194" i="50"/>
  <c r="BI194" i="50"/>
  <c r="BH194" i="50"/>
  <c r="BG194" i="50"/>
  <c r="BF194" i="50"/>
  <c r="BE194" i="50"/>
  <c r="BD194" i="50"/>
  <c r="BC194" i="50"/>
  <c r="BB194" i="50"/>
  <c r="BA194" i="50"/>
  <c r="AZ194" i="50"/>
  <c r="AY194" i="50"/>
  <c r="AX194" i="50"/>
  <c r="AW194" i="50"/>
  <c r="AV194" i="50"/>
  <c r="AU194" i="50"/>
  <c r="AT194" i="50"/>
  <c r="AS194" i="50"/>
  <c r="AR194" i="50"/>
  <c r="AQ194" i="50"/>
  <c r="BY193" i="50"/>
  <c r="BX193" i="50"/>
  <c r="BW193" i="50"/>
  <c r="BV193" i="50"/>
  <c r="BU193" i="50"/>
  <c r="BT193" i="50"/>
  <c r="BS193" i="50"/>
  <c r="BR193" i="50"/>
  <c r="BQ193" i="50"/>
  <c r="BP193" i="50"/>
  <c r="BO193" i="50"/>
  <c r="BN193" i="50"/>
  <c r="BM193" i="50"/>
  <c r="BL193" i="50"/>
  <c r="BK193" i="50"/>
  <c r="BJ193" i="50"/>
  <c r="BI193" i="50"/>
  <c r="BH193" i="50"/>
  <c r="BG193" i="50"/>
  <c r="BF193" i="50"/>
  <c r="BE193" i="50"/>
  <c r="BD193" i="50"/>
  <c r="BC193" i="50"/>
  <c r="BB193" i="50"/>
  <c r="BA193" i="50"/>
  <c r="AZ193" i="50"/>
  <c r="AY193" i="50"/>
  <c r="AX193" i="50"/>
  <c r="AW193" i="50"/>
  <c r="AV193" i="50"/>
  <c r="AU193" i="50"/>
  <c r="AT193" i="50"/>
  <c r="AS193" i="50"/>
  <c r="AR193" i="50"/>
  <c r="AQ193" i="50"/>
  <c r="BY192" i="50"/>
  <c r="BX192" i="50"/>
  <c r="BW192" i="50"/>
  <c r="BV192" i="50"/>
  <c r="BU192" i="50"/>
  <c r="BT192" i="50"/>
  <c r="BS192" i="50"/>
  <c r="BR192" i="50"/>
  <c r="BQ192" i="50"/>
  <c r="BP192" i="50"/>
  <c r="BO192" i="50"/>
  <c r="BN192" i="50"/>
  <c r="BM192" i="50"/>
  <c r="BL192" i="50"/>
  <c r="BK192" i="50"/>
  <c r="BJ192" i="50"/>
  <c r="BI192" i="50"/>
  <c r="BH192" i="50"/>
  <c r="BG192" i="50"/>
  <c r="BF192" i="50"/>
  <c r="BE192" i="50"/>
  <c r="BD192" i="50"/>
  <c r="BC192" i="50"/>
  <c r="BB192" i="50"/>
  <c r="BA192" i="50"/>
  <c r="AZ192" i="50"/>
  <c r="AY192" i="50"/>
  <c r="AX192" i="50"/>
  <c r="AW192" i="50"/>
  <c r="AV192" i="50"/>
  <c r="AU192" i="50"/>
  <c r="AT192" i="50"/>
  <c r="AS192" i="50"/>
  <c r="AR192" i="50"/>
  <c r="AQ192" i="50"/>
  <c r="BY191" i="50"/>
  <c r="BX191" i="50"/>
  <c r="BW191" i="50"/>
  <c r="BV191" i="50"/>
  <c r="BU191" i="50"/>
  <c r="BT191" i="50"/>
  <c r="BS191" i="50"/>
  <c r="BR191" i="50"/>
  <c r="BQ191" i="50"/>
  <c r="BP191" i="50"/>
  <c r="BO191" i="50"/>
  <c r="BN191" i="50"/>
  <c r="BM191" i="50"/>
  <c r="BL191" i="50"/>
  <c r="BK191" i="50"/>
  <c r="BJ191" i="50"/>
  <c r="BI191" i="50"/>
  <c r="BH191" i="50"/>
  <c r="BG191" i="50"/>
  <c r="BF191" i="50"/>
  <c r="BE191" i="50"/>
  <c r="BD191" i="50"/>
  <c r="BC191" i="50"/>
  <c r="BB191" i="50"/>
  <c r="BA191" i="50"/>
  <c r="AZ191" i="50"/>
  <c r="AY191" i="50"/>
  <c r="AX191" i="50"/>
  <c r="AW191" i="50"/>
  <c r="AV191" i="50"/>
  <c r="AU191" i="50"/>
  <c r="AT191" i="50"/>
  <c r="AS191" i="50"/>
  <c r="AR191" i="50"/>
  <c r="AQ191" i="50"/>
  <c r="BY190" i="50"/>
  <c r="BX190" i="50"/>
  <c r="BW190" i="50"/>
  <c r="BV190" i="50"/>
  <c r="BU190" i="50"/>
  <c r="BT190" i="50"/>
  <c r="BS190" i="50"/>
  <c r="BR190" i="50"/>
  <c r="BQ190" i="50"/>
  <c r="BP190" i="50"/>
  <c r="BO190" i="50"/>
  <c r="BN190" i="50"/>
  <c r="BM190" i="50"/>
  <c r="BL190" i="50"/>
  <c r="BK190" i="50"/>
  <c r="BJ190" i="50"/>
  <c r="BI190" i="50"/>
  <c r="BH190" i="50"/>
  <c r="BG190" i="50"/>
  <c r="BF190" i="50"/>
  <c r="BE190" i="50"/>
  <c r="BD190" i="50"/>
  <c r="BC190" i="50"/>
  <c r="BB190" i="50"/>
  <c r="BA190" i="50"/>
  <c r="AZ190" i="50"/>
  <c r="AY190" i="50"/>
  <c r="AX190" i="50"/>
  <c r="AW190" i="50"/>
  <c r="AV190" i="50"/>
  <c r="AU190" i="50"/>
  <c r="AT190" i="50"/>
  <c r="AS190" i="50"/>
  <c r="AR190" i="50"/>
  <c r="AQ190" i="50"/>
  <c r="CD189" i="50"/>
  <c r="CC189" i="50"/>
  <c r="CB189" i="50"/>
  <c r="CA189" i="50"/>
  <c r="BY189" i="50"/>
  <c r="BX189" i="50"/>
  <c r="BW189" i="50"/>
  <c r="BV189" i="50"/>
  <c r="BU189" i="50"/>
  <c r="BT189" i="50"/>
  <c r="BS189" i="50"/>
  <c r="BR189" i="50"/>
  <c r="BQ189" i="50"/>
  <c r="BP189" i="50"/>
  <c r="BO189" i="50"/>
  <c r="BN189" i="50"/>
  <c r="BM189" i="50"/>
  <c r="BL189" i="50"/>
  <c r="BK189" i="50"/>
  <c r="BJ189" i="50"/>
  <c r="BI189" i="50"/>
  <c r="BH189" i="50"/>
  <c r="BG189" i="50"/>
  <c r="BF189" i="50"/>
  <c r="BE189" i="50"/>
  <c r="BD189" i="50"/>
  <c r="BC189" i="50"/>
  <c r="BB189" i="50"/>
  <c r="BA189" i="50"/>
  <c r="AZ189" i="50"/>
  <c r="AY189" i="50"/>
  <c r="AX189" i="50"/>
  <c r="AW189" i="50"/>
  <c r="AV189" i="50"/>
  <c r="AU189" i="50"/>
  <c r="AT189" i="50"/>
  <c r="AS189" i="50"/>
  <c r="AR189" i="50"/>
  <c r="AQ189" i="50"/>
  <c r="AP189" i="50"/>
  <c r="AO189" i="50"/>
  <c r="AN189" i="50"/>
  <c r="AM189" i="50"/>
  <c r="AK189" i="50"/>
  <c r="AJ189" i="50"/>
  <c r="AI189" i="50"/>
  <c r="AH189" i="50"/>
  <c r="AF189" i="50"/>
  <c r="AE189" i="50"/>
  <c r="AD189" i="50"/>
  <c r="AC189" i="50"/>
  <c r="CD164" i="50"/>
  <c r="CC164" i="50"/>
  <c r="CB164" i="50"/>
  <c r="CA164" i="50"/>
  <c r="BZ164" i="50"/>
  <c r="BY164" i="50"/>
  <c r="BX164" i="50"/>
  <c r="BW164" i="50"/>
  <c r="BV164" i="50"/>
  <c r="BU164" i="50"/>
  <c r="BT164" i="50"/>
  <c r="BS164" i="50"/>
  <c r="BR164" i="50"/>
  <c r="BQ164" i="50"/>
  <c r="BP164" i="50"/>
  <c r="BO164" i="50"/>
  <c r="BN164" i="50"/>
  <c r="BM164" i="50"/>
  <c r="BL164" i="50"/>
  <c r="BK164" i="50"/>
  <c r="BJ164" i="50"/>
  <c r="BI164" i="50"/>
  <c r="BH164" i="50"/>
  <c r="BG164" i="50"/>
  <c r="BF164" i="50"/>
  <c r="BE164" i="50"/>
  <c r="BD164" i="50"/>
  <c r="BC164" i="50"/>
  <c r="BB164" i="50"/>
  <c r="BA164" i="50"/>
  <c r="AZ164" i="50"/>
  <c r="AY164" i="50"/>
  <c r="AX164" i="50"/>
  <c r="AW164" i="50"/>
  <c r="AV164" i="50"/>
  <c r="AU164" i="50"/>
  <c r="AT164" i="50"/>
  <c r="AS164" i="50"/>
  <c r="AR164" i="50"/>
  <c r="AQ164" i="50"/>
  <c r="AP164" i="50"/>
  <c r="AO164" i="50"/>
  <c r="AN164" i="50"/>
  <c r="AM164" i="50"/>
  <c r="AL164" i="50"/>
  <c r="AK164" i="50"/>
  <c r="AJ164" i="50"/>
  <c r="AI164" i="50"/>
  <c r="AH164" i="50"/>
  <c r="AG164" i="50"/>
  <c r="AF164" i="50"/>
  <c r="AE164" i="50"/>
  <c r="AD164" i="50"/>
  <c r="AC164" i="50"/>
  <c r="AB164" i="50"/>
  <c r="CD163" i="50"/>
  <c r="CC163" i="50"/>
  <c r="CB163" i="50"/>
  <c r="CA163" i="50"/>
  <c r="BZ163" i="50"/>
  <c r="BY163" i="50"/>
  <c r="BX163" i="50"/>
  <c r="BW163" i="50"/>
  <c r="BV163" i="50"/>
  <c r="BU163" i="50"/>
  <c r="BT163" i="50"/>
  <c r="BS163" i="50"/>
  <c r="BR163" i="50"/>
  <c r="BQ163" i="50"/>
  <c r="BP163" i="50"/>
  <c r="BO163" i="50"/>
  <c r="BN163" i="50"/>
  <c r="BM163" i="50"/>
  <c r="BL163" i="50"/>
  <c r="BK163" i="50"/>
  <c r="BJ163" i="50"/>
  <c r="BI163" i="50"/>
  <c r="BH163" i="50"/>
  <c r="BG163" i="50"/>
  <c r="BF163" i="50"/>
  <c r="BE163" i="50"/>
  <c r="BD163" i="50"/>
  <c r="BC163" i="50"/>
  <c r="BB163" i="50"/>
  <c r="BA163" i="50"/>
  <c r="AZ163" i="50"/>
  <c r="AY163" i="50"/>
  <c r="AX163" i="50"/>
  <c r="AW163" i="50"/>
  <c r="AV163" i="50"/>
  <c r="AU163" i="50"/>
  <c r="AT163" i="50"/>
  <c r="AS163" i="50"/>
  <c r="AR163" i="50"/>
  <c r="AQ163" i="50"/>
  <c r="AP163" i="50"/>
  <c r="AO163" i="50"/>
  <c r="AN163" i="50"/>
  <c r="AM163" i="50"/>
  <c r="AL163" i="50"/>
  <c r="AK163" i="50"/>
  <c r="AJ163" i="50"/>
  <c r="AI163" i="50"/>
  <c r="AH163" i="50"/>
  <c r="AG163" i="50"/>
  <c r="AF163" i="50"/>
  <c r="AE163" i="50"/>
  <c r="AD163" i="50"/>
  <c r="AC163" i="50"/>
  <c r="AB163" i="50"/>
  <c r="BU162" i="50"/>
  <c r="BP162" i="50"/>
  <c r="BK162" i="50"/>
  <c r="BF162" i="50"/>
  <c r="BA162" i="50"/>
  <c r="AV162" i="50"/>
  <c r="AQ162" i="50"/>
  <c r="AL162" i="50"/>
  <c r="AG162" i="50"/>
  <c r="AB162" i="50"/>
  <c r="BY137" i="50"/>
  <c r="BX137" i="50"/>
  <c r="BW137" i="50"/>
  <c r="BV137" i="50"/>
  <c r="BU137" i="50"/>
  <c r="BT137" i="50"/>
  <c r="BS137" i="50"/>
  <c r="BR137" i="50"/>
  <c r="BQ137" i="50"/>
  <c r="BP137" i="50"/>
  <c r="BO137" i="50"/>
  <c r="BN137" i="50"/>
  <c r="BM137" i="50"/>
  <c r="BL137" i="50"/>
  <c r="BK137" i="50"/>
  <c r="BJ137" i="50"/>
  <c r="BI137" i="50"/>
  <c r="BH137" i="50"/>
  <c r="BG137" i="50"/>
  <c r="BF137" i="50"/>
  <c r="AL191" i="50" s="1"/>
  <c r="BE137" i="50"/>
  <c r="AK191" i="50" s="1"/>
  <c r="BD137" i="50"/>
  <c r="AJ191" i="50" s="1"/>
  <c r="BC137" i="50"/>
  <c r="BB137" i="50"/>
  <c r="BA137" i="50"/>
  <c r="AZ137" i="50"/>
  <c r="AY137" i="50"/>
  <c r="AX137" i="50"/>
  <c r="AW137" i="50"/>
  <c r="AV137" i="50"/>
  <c r="AU137" i="50"/>
  <c r="AT137" i="50"/>
  <c r="AS137" i="50"/>
  <c r="AR137" i="50"/>
  <c r="AQ137" i="50"/>
  <c r="AP137" i="50"/>
  <c r="AO137" i="50"/>
  <c r="AN137" i="50"/>
  <c r="AM137" i="50"/>
  <c r="AL137" i="50"/>
  <c r="AK137" i="50"/>
  <c r="AJ137" i="50"/>
  <c r="AI137" i="50"/>
  <c r="AH137" i="50"/>
  <c r="AG137" i="50"/>
  <c r="AF137" i="50"/>
  <c r="AE137" i="50"/>
  <c r="AD137" i="50"/>
  <c r="AC137" i="50"/>
  <c r="AB137" i="50"/>
  <c r="BY136" i="50"/>
  <c r="BX136" i="50"/>
  <c r="BW136" i="50"/>
  <c r="BV136" i="50"/>
  <c r="BU136" i="50"/>
  <c r="BT136" i="50"/>
  <c r="BS136" i="50"/>
  <c r="BR136" i="50"/>
  <c r="BQ136" i="50"/>
  <c r="BP136" i="50"/>
  <c r="BO136" i="50"/>
  <c r="BN136" i="50"/>
  <c r="BM136" i="50"/>
  <c r="BL136" i="50"/>
  <c r="BK136" i="50"/>
  <c r="BJ136" i="50"/>
  <c r="BI136" i="50"/>
  <c r="BH136" i="50"/>
  <c r="AN190" i="50" s="1"/>
  <c r="BG136" i="50"/>
  <c r="AM190" i="50" s="1"/>
  <c r="BF136" i="50"/>
  <c r="BE136" i="50"/>
  <c r="BD136" i="50"/>
  <c r="BC136" i="50"/>
  <c r="BB136" i="50"/>
  <c r="BA136" i="50"/>
  <c r="AG190" i="50" s="1"/>
  <c r="AZ136" i="50"/>
  <c r="AY136" i="50"/>
  <c r="AX136" i="50"/>
  <c r="AW136" i="50"/>
  <c r="AV136" i="50"/>
  <c r="AU136" i="50"/>
  <c r="AT136" i="50"/>
  <c r="AS136" i="50"/>
  <c r="AR136" i="50"/>
  <c r="AQ136" i="50"/>
  <c r="AP136" i="50"/>
  <c r="AO136" i="50"/>
  <c r="AN136" i="50"/>
  <c r="AM136" i="50"/>
  <c r="AL136" i="50"/>
  <c r="AK136" i="50"/>
  <c r="AJ136" i="50"/>
  <c r="AI136" i="50"/>
  <c r="AH136" i="50"/>
  <c r="AG136" i="50"/>
  <c r="AF136" i="50"/>
  <c r="AE136" i="50"/>
  <c r="AD136" i="50"/>
  <c r="AC136" i="50"/>
  <c r="AB136" i="50"/>
  <c r="BU135" i="50"/>
  <c r="BP135" i="50"/>
  <c r="BK135" i="50"/>
  <c r="BF135" i="50"/>
  <c r="BA135" i="50"/>
  <c r="AG189" i="50" s="1"/>
  <c r="AV135" i="50"/>
  <c r="AQ135" i="50"/>
  <c r="AL135" i="50"/>
  <c r="AG135" i="50"/>
  <c r="AB135" i="50"/>
  <c r="CD134" i="50"/>
  <c r="CC134" i="50"/>
  <c r="CB134" i="50"/>
  <c r="CA134" i="50"/>
  <c r="BZ134" i="50"/>
  <c r="BY134" i="50"/>
  <c r="BX134" i="50"/>
  <c r="BW134" i="50"/>
  <c r="BV134" i="50"/>
  <c r="BU134" i="50"/>
  <c r="BT134" i="50"/>
  <c r="BS134" i="50"/>
  <c r="BR134" i="50"/>
  <c r="BQ134" i="50"/>
  <c r="BP134" i="50"/>
  <c r="BO134" i="50"/>
  <c r="BN134" i="50"/>
  <c r="BM134" i="50"/>
  <c r="BL134" i="50"/>
  <c r="BK134" i="50"/>
  <c r="BJ134" i="50"/>
  <c r="BI134" i="50"/>
  <c r="BH134" i="50"/>
  <c r="BG134" i="50"/>
  <c r="BF134" i="50"/>
  <c r="BE134" i="50"/>
  <c r="BD134" i="50"/>
  <c r="BC134" i="50"/>
  <c r="BB134" i="50"/>
  <c r="BA134" i="50"/>
  <c r="AG188" i="50" s="1"/>
  <c r="AZ134" i="50"/>
  <c r="AY134" i="50"/>
  <c r="AX134" i="50"/>
  <c r="AW134" i="50"/>
  <c r="AV134" i="50"/>
  <c r="AU134" i="50"/>
  <c r="AT134" i="50"/>
  <c r="AS134" i="50"/>
  <c r="AR134" i="50"/>
  <c r="AQ134" i="50"/>
  <c r="AP134" i="50"/>
  <c r="AO134" i="50"/>
  <c r="AN134" i="50"/>
  <c r="AM134" i="50"/>
  <c r="AL134" i="50"/>
  <c r="AK134" i="50"/>
  <c r="AJ134" i="50"/>
  <c r="AI134" i="50"/>
  <c r="AH134" i="50"/>
  <c r="AG134" i="50"/>
  <c r="AF134" i="50"/>
  <c r="AE134" i="50"/>
  <c r="AD134" i="50"/>
  <c r="AC134" i="50"/>
  <c r="AB134" i="50"/>
  <c r="CD132" i="50"/>
  <c r="CC132" i="50"/>
  <c r="CB132" i="50"/>
  <c r="CA132" i="50"/>
  <c r="BZ132" i="50"/>
  <c r="BY132" i="50"/>
  <c r="BX132" i="50"/>
  <c r="BW132" i="50"/>
  <c r="BV132" i="50"/>
  <c r="BU132" i="50"/>
  <c r="BT132" i="50"/>
  <c r="BS132" i="50"/>
  <c r="BR132" i="50"/>
  <c r="BQ132" i="50"/>
  <c r="BP132" i="50"/>
  <c r="BO132" i="50"/>
  <c r="BN132" i="50"/>
  <c r="BM132" i="50"/>
  <c r="BL132" i="50"/>
  <c r="BK132" i="50"/>
  <c r="BJ132" i="50"/>
  <c r="BI132" i="50"/>
  <c r="BH132" i="50"/>
  <c r="BG132" i="50"/>
  <c r="BF132" i="50"/>
  <c r="BE132" i="50"/>
  <c r="BD132" i="50"/>
  <c r="BC132" i="50"/>
  <c r="BB132" i="50"/>
  <c r="BA132" i="50"/>
  <c r="AZ132" i="50"/>
  <c r="AY132" i="50"/>
  <c r="AX132" i="50"/>
  <c r="AW132" i="50"/>
  <c r="AV132" i="50"/>
  <c r="AU132" i="50"/>
  <c r="AT132" i="50"/>
  <c r="AS132" i="50"/>
  <c r="AR132" i="50"/>
  <c r="AQ132" i="50"/>
  <c r="AP132" i="50"/>
  <c r="AO132" i="50"/>
  <c r="AN132" i="50"/>
  <c r="AM132" i="50"/>
  <c r="AL132" i="50"/>
  <c r="AK132" i="50"/>
  <c r="AJ132" i="50"/>
  <c r="AI132" i="50"/>
  <c r="AH132" i="50"/>
  <c r="AG132" i="50"/>
  <c r="AF132" i="50"/>
  <c r="AE132" i="50"/>
  <c r="AD132" i="50"/>
  <c r="AC132" i="50"/>
  <c r="AB132" i="50"/>
  <c r="CD131" i="50"/>
  <c r="CC131" i="50"/>
  <c r="CB131" i="50"/>
  <c r="CA131" i="50"/>
  <c r="BZ131" i="50"/>
  <c r="BY131" i="50"/>
  <c r="BX131" i="50"/>
  <c r="BW131" i="50"/>
  <c r="BV131" i="50"/>
  <c r="BU131" i="50"/>
  <c r="BT131" i="50"/>
  <c r="BS131" i="50"/>
  <c r="BR131" i="50"/>
  <c r="BQ131" i="50"/>
  <c r="BP131" i="50"/>
  <c r="BO131" i="50"/>
  <c r="BN131" i="50"/>
  <c r="BM131" i="50"/>
  <c r="BL131" i="50"/>
  <c r="BK131" i="50"/>
  <c r="BJ131" i="50"/>
  <c r="BI131" i="50"/>
  <c r="BH131" i="50"/>
  <c r="BG131" i="50"/>
  <c r="BF131" i="50"/>
  <c r="BE131" i="50"/>
  <c r="AK185" i="50" s="1"/>
  <c r="BD131" i="50"/>
  <c r="BC131" i="50"/>
  <c r="BB131" i="50"/>
  <c r="BA131" i="50"/>
  <c r="AZ131" i="50"/>
  <c r="AY131" i="50"/>
  <c r="AX131" i="50"/>
  <c r="AW131" i="50"/>
  <c r="AV131" i="50"/>
  <c r="AU131" i="50"/>
  <c r="AT131" i="50"/>
  <c r="AS131" i="50"/>
  <c r="AR131" i="50"/>
  <c r="AQ131" i="50"/>
  <c r="AP131" i="50"/>
  <c r="AO131" i="50"/>
  <c r="AN131" i="50"/>
  <c r="AM131" i="50"/>
  <c r="AL131" i="50"/>
  <c r="AK131" i="50"/>
  <c r="AJ131" i="50"/>
  <c r="AI131" i="50"/>
  <c r="AH131" i="50"/>
  <c r="AG131" i="50"/>
  <c r="AF131" i="50"/>
  <c r="AE131" i="50"/>
  <c r="AD131" i="50"/>
  <c r="AC131" i="50"/>
  <c r="AB131" i="50"/>
  <c r="CD130" i="50"/>
  <c r="CC130" i="50"/>
  <c r="CB130" i="50"/>
  <c r="CA130" i="50"/>
  <c r="BZ130" i="50"/>
  <c r="BY130" i="50"/>
  <c r="BX130" i="50"/>
  <c r="BW130" i="50"/>
  <c r="BV130" i="50"/>
  <c r="BU130" i="50"/>
  <c r="BT130" i="50"/>
  <c r="BS130" i="50"/>
  <c r="BR130" i="50"/>
  <c r="BQ130" i="50"/>
  <c r="BP130" i="50"/>
  <c r="BO130" i="50"/>
  <c r="BN130" i="50"/>
  <c r="BM130" i="50"/>
  <c r="BL130" i="50"/>
  <c r="BK130" i="50"/>
  <c r="BJ130" i="50"/>
  <c r="BI130" i="50"/>
  <c r="BH130" i="50"/>
  <c r="BG130" i="50"/>
  <c r="BF130" i="50"/>
  <c r="BE130" i="50"/>
  <c r="AK184" i="50" s="1"/>
  <c r="BD130" i="50"/>
  <c r="AJ184" i="50" s="1"/>
  <c r="BC130" i="50"/>
  <c r="BB130" i="50"/>
  <c r="BA130" i="50"/>
  <c r="AZ130" i="50"/>
  <c r="AY130" i="50"/>
  <c r="AX130" i="50"/>
  <c r="AW130" i="50"/>
  <c r="AV130" i="50"/>
  <c r="AU130" i="50"/>
  <c r="AT130" i="50"/>
  <c r="AS130" i="50"/>
  <c r="AR130" i="50"/>
  <c r="AQ130" i="50"/>
  <c r="AP130" i="50"/>
  <c r="AO130" i="50"/>
  <c r="AN130" i="50"/>
  <c r="AM130" i="50"/>
  <c r="AL130" i="50"/>
  <c r="AK130" i="50"/>
  <c r="AJ130" i="50"/>
  <c r="AI130" i="50"/>
  <c r="AH130" i="50"/>
  <c r="AG130" i="50"/>
  <c r="AF130" i="50"/>
  <c r="AE130" i="50"/>
  <c r="AD130" i="50"/>
  <c r="AC130" i="50"/>
  <c r="AB130" i="50"/>
  <c r="CD129" i="50"/>
  <c r="CC129" i="50"/>
  <c r="CB129" i="50"/>
  <c r="CA129" i="50"/>
  <c r="BZ129" i="50"/>
  <c r="BY129" i="50"/>
  <c r="BX129" i="50"/>
  <c r="BW129" i="50"/>
  <c r="BV129" i="50"/>
  <c r="BU129" i="50"/>
  <c r="BT129" i="50"/>
  <c r="BS129" i="50"/>
  <c r="BR129" i="50"/>
  <c r="BQ129" i="50"/>
  <c r="BP129" i="50"/>
  <c r="BO129" i="50"/>
  <c r="BN129" i="50"/>
  <c r="BM129" i="50"/>
  <c r="BL129" i="50"/>
  <c r="BK129" i="50"/>
  <c r="BJ129" i="50"/>
  <c r="BI129" i="50"/>
  <c r="BH129" i="50"/>
  <c r="BG129" i="50"/>
  <c r="BF129" i="50"/>
  <c r="BE129" i="50"/>
  <c r="BD129" i="50"/>
  <c r="AJ183" i="50" s="1"/>
  <c r="BC129" i="50"/>
  <c r="AI183" i="50" s="1"/>
  <c r="BB129" i="50"/>
  <c r="BA129" i="50"/>
  <c r="AZ129" i="50"/>
  <c r="AY129" i="50"/>
  <c r="AX129" i="50"/>
  <c r="AW129" i="50"/>
  <c r="AV129" i="50"/>
  <c r="AU129" i="50"/>
  <c r="AT129" i="50"/>
  <c r="AS129" i="50"/>
  <c r="AR129" i="50"/>
  <c r="AQ129" i="50"/>
  <c r="AP129" i="50"/>
  <c r="AO129" i="50"/>
  <c r="AN129" i="50"/>
  <c r="AM129" i="50"/>
  <c r="AL129" i="50"/>
  <c r="AK129" i="50"/>
  <c r="AJ129" i="50"/>
  <c r="AI129" i="50"/>
  <c r="AH129" i="50"/>
  <c r="AG129" i="50"/>
  <c r="AF129" i="50"/>
  <c r="AE129" i="50"/>
  <c r="AD129" i="50"/>
  <c r="AC129" i="50"/>
  <c r="AB129" i="50"/>
  <c r="CD128" i="50"/>
  <c r="CC128" i="50"/>
  <c r="CB128" i="50"/>
  <c r="CA128" i="50"/>
  <c r="BZ128" i="50"/>
  <c r="BY128" i="50"/>
  <c r="BX128" i="50"/>
  <c r="BW128" i="50"/>
  <c r="BV128" i="50"/>
  <c r="BU128" i="50"/>
  <c r="BT128" i="50"/>
  <c r="BS128" i="50"/>
  <c r="BR128" i="50"/>
  <c r="BQ128" i="50"/>
  <c r="BP128" i="50"/>
  <c r="BO128" i="50"/>
  <c r="BN128" i="50"/>
  <c r="BM128" i="50"/>
  <c r="BL128" i="50"/>
  <c r="BK128" i="50"/>
  <c r="BJ128" i="50"/>
  <c r="BI128" i="50"/>
  <c r="BH128" i="50"/>
  <c r="BG128" i="50"/>
  <c r="BF128" i="50"/>
  <c r="BE128" i="50"/>
  <c r="AK182" i="50" s="1"/>
  <c r="BD128" i="50"/>
  <c r="BC128" i="50"/>
  <c r="AI182" i="50" s="1"/>
  <c r="BB128" i="50"/>
  <c r="AH182" i="50" s="1"/>
  <c r="BA128" i="50"/>
  <c r="AZ128" i="50"/>
  <c r="AY128" i="50"/>
  <c r="AX128" i="50"/>
  <c r="AW128" i="50"/>
  <c r="AV128" i="50"/>
  <c r="AU128" i="50"/>
  <c r="AT128" i="50"/>
  <c r="AS128" i="50"/>
  <c r="AR128" i="50"/>
  <c r="AQ128" i="50"/>
  <c r="AP128" i="50"/>
  <c r="AO128" i="50"/>
  <c r="AN128" i="50"/>
  <c r="AM128" i="50"/>
  <c r="AL128" i="50"/>
  <c r="AK128" i="50"/>
  <c r="AJ128" i="50"/>
  <c r="AI128" i="50"/>
  <c r="AH128" i="50"/>
  <c r="AG128" i="50"/>
  <c r="AF128" i="50"/>
  <c r="AE128" i="50"/>
  <c r="AD128" i="50"/>
  <c r="AC128" i="50"/>
  <c r="AB128" i="50"/>
  <c r="CD127" i="50"/>
  <c r="CC127" i="50"/>
  <c r="CB127" i="50"/>
  <c r="CA127" i="50"/>
  <c r="BZ127" i="50"/>
  <c r="BY127" i="50"/>
  <c r="BX127" i="50"/>
  <c r="BW127" i="50"/>
  <c r="BV127" i="50"/>
  <c r="BU127" i="50"/>
  <c r="BT127" i="50"/>
  <c r="BS127" i="50"/>
  <c r="BR127" i="50"/>
  <c r="BQ127" i="50"/>
  <c r="BP127" i="50"/>
  <c r="BO127" i="50"/>
  <c r="BN127" i="50"/>
  <c r="BM127" i="50"/>
  <c r="BL127" i="50"/>
  <c r="BK127" i="50"/>
  <c r="BJ127" i="50"/>
  <c r="BI127" i="50"/>
  <c r="BH127" i="50"/>
  <c r="BG127" i="50"/>
  <c r="BF127" i="50"/>
  <c r="BE127" i="50"/>
  <c r="BD127" i="50"/>
  <c r="AJ181" i="50" s="1"/>
  <c r="BC127" i="50"/>
  <c r="BB127" i="50"/>
  <c r="AH181" i="50" s="1"/>
  <c r="BA127" i="50"/>
  <c r="AG181" i="50" s="1"/>
  <c r="AZ127" i="50"/>
  <c r="AY127" i="50"/>
  <c r="AX127" i="50"/>
  <c r="AW127" i="50"/>
  <c r="AV127" i="50"/>
  <c r="AU127" i="50"/>
  <c r="AT127" i="50"/>
  <c r="AS127" i="50"/>
  <c r="AR127" i="50"/>
  <c r="AQ127" i="50"/>
  <c r="AP127" i="50"/>
  <c r="AO127" i="50"/>
  <c r="AN127" i="50"/>
  <c r="AM127" i="50"/>
  <c r="AL127" i="50"/>
  <c r="AK127" i="50"/>
  <c r="AJ127" i="50"/>
  <c r="AI127" i="50"/>
  <c r="AH127" i="50"/>
  <c r="AG127" i="50"/>
  <c r="AF127" i="50"/>
  <c r="AE127" i="50"/>
  <c r="AD127" i="50"/>
  <c r="AC127" i="50"/>
  <c r="AB127" i="50"/>
  <c r="CD126" i="50"/>
  <c r="CC126" i="50"/>
  <c r="CB126" i="50"/>
  <c r="CA126" i="50"/>
  <c r="BZ126" i="50"/>
  <c r="BY126" i="50"/>
  <c r="BX126" i="50"/>
  <c r="BW126" i="50"/>
  <c r="BV126" i="50"/>
  <c r="BU126" i="50"/>
  <c r="BT126" i="50"/>
  <c r="BS126" i="50"/>
  <c r="BR126" i="50"/>
  <c r="BQ126" i="50"/>
  <c r="BP126" i="50"/>
  <c r="BO126" i="50"/>
  <c r="BN126" i="50"/>
  <c r="BM126" i="50"/>
  <c r="BL126" i="50"/>
  <c r="BK126" i="50"/>
  <c r="BJ126" i="50"/>
  <c r="BI126" i="50"/>
  <c r="BH126" i="50"/>
  <c r="BG126" i="50"/>
  <c r="BF126" i="50"/>
  <c r="BE126" i="50"/>
  <c r="BD126" i="50"/>
  <c r="BC126" i="50"/>
  <c r="AI180" i="50" s="1"/>
  <c r="BB126" i="50"/>
  <c r="BA126" i="50"/>
  <c r="AG180" i="50" s="1"/>
  <c r="AZ126" i="50"/>
  <c r="AY126" i="50"/>
  <c r="AX126" i="50"/>
  <c r="AW126" i="50"/>
  <c r="AV126" i="50"/>
  <c r="AU126" i="50"/>
  <c r="AT126" i="50"/>
  <c r="AS126" i="50"/>
  <c r="AR126" i="50"/>
  <c r="AQ126" i="50"/>
  <c r="AP126" i="50"/>
  <c r="AO126" i="50"/>
  <c r="AN126" i="50"/>
  <c r="AM126" i="50"/>
  <c r="AL126" i="50"/>
  <c r="AK126" i="50"/>
  <c r="AJ126" i="50"/>
  <c r="AI126" i="50"/>
  <c r="AH126" i="50"/>
  <c r="AG126" i="50"/>
  <c r="AF126" i="50"/>
  <c r="AE126" i="50"/>
  <c r="AD126" i="50"/>
  <c r="AC126" i="50"/>
  <c r="AB126" i="50"/>
  <c r="CD125" i="50"/>
  <c r="CC125" i="50"/>
  <c r="CB125" i="50"/>
  <c r="CA125" i="50"/>
  <c r="BZ125" i="50"/>
  <c r="BY125" i="50"/>
  <c r="BX125" i="50"/>
  <c r="BW125" i="50"/>
  <c r="BV125" i="50"/>
  <c r="BU125" i="50"/>
  <c r="BT125" i="50"/>
  <c r="BS125" i="50"/>
  <c r="BR125" i="50"/>
  <c r="BQ125" i="50"/>
  <c r="BP125" i="50"/>
  <c r="BO125" i="50"/>
  <c r="BN125" i="50"/>
  <c r="BM125" i="50"/>
  <c r="BL125" i="50"/>
  <c r="BK125" i="50"/>
  <c r="BJ125" i="50"/>
  <c r="BI125" i="50"/>
  <c r="BH125" i="50"/>
  <c r="BG125" i="50"/>
  <c r="BF125" i="50"/>
  <c r="BE125" i="50"/>
  <c r="BD125" i="50"/>
  <c r="BC125" i="50"/>
  <c r="AI179" i="50" s="1"/>
  <c r="BB125" i="50"/>
  <c r="AH179" i="50" s="1"/>
  <c r="BA125" i="50"/>
  <c r="AZ125" i="50"/>
  <c r="AY125" i="50"/>
  <c r="AX125" i="50"/>
  <c r="AW125" i="50"/>
  <c r="AV125" i="50"/>
  <c r="AU125" i="50"/>
  <c r="AT125" i="50"/>
  <c r="AS125" i="50"/>
  <c r="AR125" i="50"/>
  <c r="AQ125" i="50"/>
  <c r="AP125" i="50"/>
  <c r="AO125" i="50"/>
  <c r="AN125" i="50"/>
  <c r="AM125" i="50"/>
  <c r="AL125" i="50"/>
  <c r="AK125" i="50"/>
  <c r="AJ125" i="50"/>
  <c r="AI125" i="50"/>
  <c r="AH125" i="50"/>
  <c r="AG125" i="50"/>
  <c r="AF125" i="50"/>
  <c r="AE125" i="50"/>
  <c r="AD125" i="50"/>
  <c r="AC125" i="50"/>
  <c r="AB125" i="50"/>
  <c r="CD124" i="50"/>
  <c r="CC124" i="50"/>
  <c r="CB124" i="50"/>
  <c r="CA124" i="50"/>
  <c r="BZ124" i="50"/>
  <c r="BY124" i="50"/>
  <c r="BX124" i="50"/>
  <c r="BW124" i="50"/>
  <c r="BV124" i="50"/>
  <c r="BU124" i="50"/>
  <c r="BT124" i="50"/>
  <c r="BS124" i="50"/>
  <c r="BR124" i="50"/>
  <c r="BQ124" i="50"/>
  <c r="BP124" i="50"/>
  <c r="BO124" i="50"/>
  <c r="BN124" i="50"/>
  <c r="BM124" i="50"/>
  <c r="BL124" i="50"/>
  <c r="BK124" i="50"/>
  <c r="BJ124" i="50"/>
  <c r="BI124" i="50"/>
  <c r="BH124" i="50"/>
  <c r="BG124" i="50"/>
  <c r="BF124" i="50"/>
  <c r="BE124" i="50"/>
  <c r="BD124" i="50"/>
  <c r="BC124" i="50"/>
  <c r="BB124" i="50"/>
  <c r="AH178" i="50" s="1"/>
  <c r="BA124" i="50"/>
  <c r="AG178" i="50" s="1"/>
  <c r="AZ124" i="50"/>
  <c r="AY124" i="50"/>
  <c r="AX124" i="50"/>
  <c r="AW124" i="50"/>
  <c r="AV124" i="50"/>
  <c r="AU124" i="50"/>
  <c r="AT124" i="50"/>
  <c r="AS124" i="50"/>
  <c r="AR124" i="50"/>
  <c r="AQ124" i="50"/>
  <c r="AP124" i="50"/>
  <c r="AO124" i="50"/>
  <c r="AN124" i="50"/>
  <c r="AM124" i="50"/>
  <c r="AL124" i="50"/>
  <c r="AK124" i="50"/>
  <c r="AJ124" i="50"/>
  <c r="AI124" i="50"/>
  <c r="AH124" i="50"/>
  <c r="AG124" i="50"/>
  <c r="AF124" i="50"/>
  <c r="AE124" i="50"/>
  <c r="AD124" i="50"/>
  <c r="AC124" i="50"/>
  <c r="AB124" i="50"/>
  <c r="CD123" i="50"/>
  <c r="CC123" i="50"/>
  <c r="CB123" i="50"/>
  <c r="CA123" i="50"/>
  <c r="BZ123" i="50"/>
  <c r="BY123" i="50"/>
  <c r="BX123" i="50"/>
  <c r="BW123" i="50"/>
  <c r="BV123" i="50"/>
  <c r="BU123" i="50"/>
  <c r="BT123" i="50"/>
  <c r="BS123" i="50"/>
  <c r="BR123" i="50"/>
  <c r="BQ123" i="50"/>
  <c r="BP123" i="50"/>
  <c r="BO123" i="50"/>
  <c r="BN123" i="50"/>
  <c r="BM123" i="50"/>
  <c r="BL123" i="50"/>
  <c r="BK123" i="50"/>
  <c r="BJ123" i="50"/>
  <c r="BI123" i="50"/>
  <c r="BH123" i="50"/>
  <c r="BG123" i="50"/>
  <c r="BF123" i="50"/>
  <c r="BE123" i="50"/>
  <c r="AK177" i="50" s="1"/>
  <c r="BD123" i="50"/>
  <c r="BC123" i="50"/>
  <c r="BB123" i="50"/>
  <c r="BA123" i="50"/>
  <c r="AG177" i="50" s="1"/>
  <c r="AZ123" i="50"/>
  <c r="AY123" i="50"/>
  <c r="AX123" i="50"/>
  <c r="AW123" i="50"/>
  <c r="AV123" i="50"/>
  <c r="AU123" i="50"/>
  <c r="AT123" i="50"/>
  <c r="AS123" i="50"/>
  <c r="AR123" i="50"/>
  <c r="AQ123" i="50"/>
  <c r="AP123" i="50"/>
  <c r="AO123" i="50"/>
  <c r="AN123" i="50"/>
  <c r="AM123" i="50"/>
  <c r="AL123" i="50"/>
  <c r="AK123" i="50"/>
  <c r="AJ123" i="50"/>
  <c r="AI123" i="50"/>
  <c r="AH123" i="50"/>
  <c r="AG123" i="50"/>
  <c r="AF123" i="50"/>
  <c r="AE123" i="50"/>
  <c r="AD123" i="50"/>
  <c r="AC123" i="50"/>
  <c r="AB123" i="50"/>
  <c r="CD122" i="50"/>
  <c r="CC122" i="50"/>
  <c r="CB122" i="50"/>
  <c r="CA122" i="50"/>
  <c r="BZ122" i="50"/>
  <c r="BY122" i="50"/>
  <c r="BX122" i="50"/>
  <c r="BW122" i="50"/>
  <c r="BV122" i="50"/>
  <c r="BU122" i="50"/>
  <c r="BT122" i="50"/>
  <c r="BS122" i="50"/>
  <c r="BR122" i="50"/>
  <c r="BQ122" i="50"/>
  <c r="BP122" i="50"/>
  <c r="BO122" i="50"/>
  <c r="BN122" i="50"/>
  <c r="BM122" i="50"/>
  <c r="BL122" i="50"/>
  <c r="BK122" i="50"/>
  <c r="BJ122" i="50"/>
  <c r="BI122" i="50"/>
  <c r="BH122" i="50"/>
  <c r="BG122" i="50"/>
  <c r="BF122" i="50"/>
  <c r="BE122" i="50"/>
  <c r="AK176" i="50" s="1"/>
  <c r="BD122" i="50"/>
  <c r="AJ176" i="50" s="1"/>
  <c r="BC122" i="50"/>
  <c r="BB122" i="50"/>
  <c r="BA122" i="50"/>
  <c r="AZ122" i="50"/>
  <c r="AY122" i="50"/>
  <c r="AX122" i="50"/>
  <c r="AW122" i="50"/>
  <c r="AV122" i="50"/>
  <c r="AU122" i="50"/>
  <c r="AT122" i="50"/>
  <c r="AS122" i="50"/>
  <c r="AR122" i="50"/>
  <c r="AQ122" i="50"/>
  <c r="AP122" i="50"/>
  <c r="AO122" i="50"/>
  <c r="AN122" i="50"/>
  <c r="AM122" i="50"/>
  <c r="AL122" i="50"/>
  <c r="AK122" i="50"/>
  <c r="AJ122" i="50"/>
  <c r="AI122" i="50"/>
  <c r="AH122" i="50"/>
  <c r="AG122" i="50"/>
  <c r="AF122" i="50"/>
  <c r="AE122" i="50"/>
  <c r="AD122" i="50"/>
  <c r="AC122" i="50"/>
  <c r="AB122" i="50"/>
  <c r="CD121" i="50"/>
  <c r="CC121" i="50"/>
  <c r="CB121" i="50"/>
  <c r="CA121" i="50"/>
  <c r="BZ121" i="50"/>
  <c r="BY121" i="50"/>
  <c r="BX121" i="50"/>
  <c r="BW121" i="50"/>
  <c r="BV121" i="50"/>
  <c r="BU121" i="50"/>
  <c r="BT121" i="50"/>
  <c r="BS121" i="50"/>
  <c r="BR121" i="50"/>
  <c r="BQ121" i="50"/>
  <c r="BP121" i="50"/>
  <c r="BO121" i="50"/>
  <c r="BN121" i="50"/>
  <c r="BM121" i="50"/>
  <c r="BL121" i="50"/>
  <c r="BK121" i="50"/>
  <c r="BJ121" i="50"/>
  <c r="BI121" i="50"/>
  <c r="BH121" i="50"/>
  <c r="BG121" i="50"/>
  <c r="BF121" i="50"/>
  <c r="BE121" i="50"/>
  <c r="BD121" i="50"/>
  <c r="AJ175" i="50" s="1"/>
  <c r="BC121" i="50"/>
  <c r="AI175" i="50" s="1"/>
  <c r="BB121" i="50"/>
  <c r="BA121" i="50"/>
  <c r="AZ121" i="50"/>
  <c r="AY121" i="50"/>
  <c r="AX121" i="50"/>
  <c r="AW121" i="50"/>
  <c r="AV121" i="50"/>
  <c r="AU121" i="50"/>
  <c r="AT121" i="50"/>
  <c r="AS121" i="50"/>
  <c r="AR121" i="50"/>
  <c r="AQ121" i="50"/>
  <c r="AP121" i="50"/>
  <c r="AO121" i="50"/>
  <c r="AN121" i="50"/>
  <c r="AM121" i="50"/>
  <c r="AL121" i="50"/>
  <c r="AK121" i="50"/>
  <c r="AJ121" i="50"/>
  <c r="AI121" i="50"/>
  <c r="AH121" i="50"/>
  <c r="AG121" i="50"/>
  <c r="AF121" i="50"/>
  <c r="AE121" i="50"/>
  <c r="AD121" i="50"/>
  <c r="AC121" i="50"/>
  <c r="AB121" i="50"/>
  <c r="CD120" i="50"/>
  <c r="CC120" i="50"/>
  <c r="CB120" i="50"/>
  <c r="CA120" i="50"/>
  <c r="BZ120" i="50"/>
  <c r="BY120" i="50"/>
  <c r="BX120" i="50"/>
  <c r="BW120" i="50"/>
  <c r="BV120" i="50"/>
  <c r="BU120" i="50"/>
  <c r="BT120" i="50"/>
  <c r="BS120" i="50"/>
  <c r="BR120" i="50"/>
  <c r="BQ120" i="50"/>
  <c r="BP120" i="50"/>
  <c r="BO120" i="50"/>
  <c r="BN120" i="50"/>
  <c r="BM120" i="50"/>
  <c r="BL120" i="50"/>
  <c r="BK120" i="50"/>
  <c r="BJ120" i="50"/>
  <c r="BI120" i="50"/>
  <c r="BH120" i="50"/>
  <c r="BG120" i="50"/>
  <c r="BF120" i="50"/>
  <c r="BE120" i="50"/>
  <c r="BD120" i="50"/>
  <c r="BC120" i="50"/>
  <c r="AI174" i="50" s="1"/>
  <c r="BB120" i="50"/>
  <c r="AH174" i="50" s="1"/>
  <c r="BA120" i="50"/>
  <c r="AZ120" i="50"/>
  <c r="AY120" i="50"/>
  <c r="AX120" i="50"/>
  <c r="AW120" i="50"/>
  <c r="AV120" i="50"/>
  <c r="AU120" i="50"/>
  <c r="AT120" i="50"/>
  <c r="AS120" i="50"/>
  <c r="AR120" i="50"/>
  <c r="AQ120" i="50"/>
  <c r="AP120" i="50"/>
  <c r="AO120" i="50"/>
  <c r="AN120" i="50"/>
  <c r="AM120" i="50"/>
  <c r="AL120" i="50"/>
  <c r="AK120" i="50"/>
  <c r="AJ120" i="50"/>
  <c r="AI120" i="50"/>
  <c r="AH120" i="50"/>
  <c r="AG120" i="50"/>
  <c r="AF120" i="50"/>
  <c r="AE120" i="50"/>
  <c r="AD120" i="50"/>
  <c r="AC120" i="50"/>
  <c r="AB120" i="50"/>
  <c r="CD119" i="50"/>
  <c r="CC119" i="50"/>
  <c r="CB119" i="50"/>
  <c r="CA119" i="50"/>
  <c r="BZ119" i="50"/>
  <c r="BY119" i="50"/>
  <c r="BX119" i="50"/>
  <c r="BW119" i="50"/>
  <c r="BV119" i="50"/>
  <c r="BU119" i="50"/>
  <c r="BT119" i="50"/>
  <c r="BS119" i="50"/>
  <c r="BR119" i="50"/>
  <c r="BQ119" i="50"/>
  <c r="BP119" i="50"/>
  <c r="BO119" i="50"/>
  <c r="BN119" i="50"/>
  <c r="BM119" i="50"/>
  <c r="BL119" i="50"/>
  <c r="BK119" i="50"/>
  <c r="BJ119" i="50"/>
  <c r="BI119" i="50"/>
  <c r="BH119" i="50"/>
  <c r="BG119" i="50"/>
  <c r="BF119" i="50"/>
  <c r="BE119" i="50"/>
  <c r="AK173" i="50" s="1"/>
  <c r="BD119" i="50"/>
  <c r="BC119" i="50"/>
  <c r="BB119" i="50"/>
  <c r="AH173" i="50" s="1"/>
  <c r="BA119" i="50"/>
  <c r="AG173" i="50" s="1"/>
  <c r="AZ119" i="50"/>
  <c r="AY119" i="50"/>
  <c r="AX119" i="50"/>
  <c r="AW119" i="50"/>
  <c r="AV119" i="50"/>
  <c r="AU119" i="50"/>
  <c r="AT119" i="50"/>
  <c r="AS119" i="50"/>
  <c r="AR119" i="50"/>
  <c r="AQ119" i="50"/>
  <c r="AP119" i="50"/>
  <c r="AO119" i="50"/>
  <c r="AN119" i="50"/>
  <c r="AM119" i="50"/>
  <c r="AL119" i="50"/>
  <c r="AK119" i="50"/>
  <c r="AJ119" i="50"/>
  <c r="AI119" i="50"/>
  <c r="AH119" i="50"/>
  <c r="AG119" i="50"/>
  <c r="AF119" i="50"/>
  <c r="AE119" i="50"/>
  <c r="AD119" i="50"/>
  <c r="AC119" i="50"/>
  <c r="AB119" i="50"/>
  <c r="CD118" i="50"/>
  <c r="CC118" i="50"/>
  <c r="CB118" i="50"/>
  <c r="CA118" i="50"/>
  <c r="BZ118" i="50"/>
  <c r="BY118" i="50"/>
  <c r="BX118" i="50"/>
  <c r="BW118" i="50"/>
  <c r="BV118" i="50"/>
  <c r="BU118" i="50"/>
  <c r="BT118" i="50"/>
  <c r="BS118" i="50"/>
  <c r="BR118" i="50"/>
  <c r="BQ118" i="50"/>
  <c r="BP118" i="50"/>
  <c r="BO118" i="50"/>
  <c r="BN118" i="50"/>
  <c r="BM118" i="50"/>
  <c r="BL118" i="50"/>
  <c r="BK118" i="50"/>
  <c r="BJ118" i="50"/>
  <c r="BI118" i="50"/>
  <c r="BH118" i="50"/>
  <c r="BG118" i="50"/>
  <c r="BF118" i="50"/>
  <c r="BE118" i="50"/>
  <c r="BD118" i="50"/>
  <c r="AJ172" i="50" s="1"/>
  <c r="BC118" i="50"/>
  <c r="AI172" i="50" s="1"/>
  <c r="BB118" i="50"/>
  <c r="BA118" i="50"/>
  <c r="AG172" i="50" s="1"/>
  <c r="AZ118" i="50"/>
  <c r="AY118" i="50"/>
  <c r="AX118" i="50"/>
  <c r="AW118" i="50"/>
  <c r="AV118" i="50"/>
  <c r="AU118" i="50"/>
  <c r="AT118" i="50"/>
  <c r="AS118" i="50"/>
  <c r="AR118" i="50"/>
  <c r="AQ118" i="50"/>
  <c r="AP118" i="50"/>
  <c r="AO118" i="50"/>
  <c r="AN118" i="50"/>
  <c r="AM118" i="50"/>
  <c r="AL118" i="50"/>
  <c r="AK118" i="50"/>
  <c r="AJ118" i="50"/>
  <c r="AI118" i="50"/>
  <c r="AH118" i="50"/>
  <c r="AG118" i="50"/>
  <c r="AF118" i="50"/>
  <c r="AE118" i="50"/>
  <c r="AD118" i="50"/>
  <c r="AC118" i="50"/>
  <c r="AB118" i="50"/>
  <c r="CD117" i="50"/>
  <c r="CC117" i="50"/>
  <c r="CB117" i="50"/>
  <c r="CA117" i="50"/>
  <c r="BZ117" i="50"/>
  <c r="BY117" i="50"/>
  <c r="BX117" i="50"/>
  <c r="BW117" i="50"/>
  <c r="BV117" i="50"/>
  <c r="BU117" i="50"/>
  <c r="BT117" i="50"/>
  <c r="BS117" i="50"/>
  <c r="BR117" i="50"/>
  <c r="BQ117" i="50"/>
  <c r="BP117" i="50"/>
  <c r="BO117" i="50"/>
  <c r="BN117" i="50"/>
  <c r="BM117" i="50"/>
  <c r="BL117" i="50"/>
  <c r="BK117" i="50"/>
  <c r="BJ117" i="50"/>
  <c r="BI117" i="50"/>
  <c r="BH117" i="50"/>
  <c r="BG117" i="50"/>
  <c r="BF117" i="50"/>
  <c r="BE117" i="50"/>
  <c r="BD117" i="50"/>
  <c r="BC117" i="50"/>
  <c r="AI171" i="50" s="1"/>
  <c r="BB117" i="50"/>
  <c r="AH171" i="50" s="1"/>
  <c r="BA117" i="50"/>
  <c r="AZ117" i="50"/>
  <c r="AY117" i="50"/>
  <c r="AX117" i="50"/>
  <c r="AW117" i="50"/>
  <c r="AV117" i="50"/>
  <c r="AU117" i="50"/>
  <c r="AT117" i="50"/>
  <c r="AS117" i="50"/>
  <c r="AR117" i="50"/>
  <c r="AQ117" i="50"/>
  <c r="AP117" i="50"/>
  <c r="AO117" i="50"/>
  <c r="AN117" i="50"/>
  <c r="AM117" i="50"/>
  <c r="AL117" i="50"/>
  <c r="AK117" i="50"/>
  <c r="AJ117" i="50"/>
  <c r="AI117" i="50"/>
  <c r="AH117" i="50"/>
  <c r="AG117" i="50"/>
  <c r="AF117" i="50"/>
  <c r="AE117" i="50"/>
  <c r="AD117" i="50"/>
  <c r="AC117" i="50"/>
  <c r="AB117" i="50"/>
  <c r="CD116" i="50"/>
  <c r="CC116" i="50"/>
  <c r="CB116" i="50"/>
  <c r="CA116" i="50"/>
  <c r="BZ116" i="50"/>
  <c r="BY116" i="50"/>
  <c r="BX116" i="50"/>
  <c r="BW116" i="50"/>
  <c r="BV116" i="50"/>
  <c r="BU116" i="50"/>
  <c r="BT116" i="50"/>
  <c r="BS116" i="50"/>
  <c r="BR116" i="50"/>
  <c r="BQ116" i="50"/>
  <c r="BP116" i="50"/>
  <c r="BO116" i="50"/>
  <c r="BN116" i="50"/>
  <c r="BM116" i="50"/>
  <c r="BL116" i="50"/>
  <c r="BK116" i="50"/>
  <c r="BJ116" i="50"/>
  <c r="BI116" i="50"/>
  <c r="BH116" i="50"/>
  <c r="BG116" i="50"/>
  <c r="BF116" i="50"/>
  <c r="BE116" i="50"/>
  <c r="BD116" i="50"/>
  <c r="BC116" i="50"/>
  <c r="BB116" i="50"/>
  <c r="AH170" i="50" s="1"/>
  <c r="BA116" i="50"/>
  <c r="AG170" i="50" s="1"/>
  <c r="AZ116" i="50"/>
  <c r="AY116" i="50"/>
  <c r="AX116" i="50"/>
  <c r="AW116" i="50"/>
  <c r="AV116" i="50"/>
  <c r="AU116" i="50"/>
  <c r="AT116" i="50"/>
  <c r="AS116" i="50"/>
  <c r="AR116" i="50"/>
  <c r="AQ116" i="50"/>
  <c r="AP116" i="50"/>
  <c r="AO116" i="50"/>
  <c r="AN116" i="50"/>
  <c r="AM116" i="50"/>
  <c r="AL116" i="50"/>
  <c r="AK116" i="50"/>
  <c r="AJ116" i="50"/>
  <c r="AI116" i="50"/>
  <c r="AH116" i="50"/>
  <c r="AG116" i="50"/>
  <c r="AF116" i="50"/>
  <c r="AE116" i="50"/>
  <c r="AD116" i="50"/>
  <c r="AC116" i="50"/>
  <c r="AB116" i="50"/>
  <c r="CD115" i="50"/>
  <c r="CC115" i="50"/>
  <c r="CB115" i="50"/>
  <c r="CA115" i="50"/>
  <c r="BZ115" i="50"/>
  <c r="BY115" i="50"/>
  <c r="BX115" i="50"/>
  <c r="BW115" i="50"/>
  <c r="BV115" i="50"/>
  <c r="BU115" i="50"/>
  <c r="BT115" i="50"/>
  <c r="BS115" i="50"/>
  <c r="BR115" i="50"/>
  <c r="BQ115" i="50"/>
  <c r="BP115" i="50"/>
  <c r="BO115" i="50"/>
  <c r="BN115" i="50"/>
  <c r="BM115" i="50"/>
  <c r="BL115" i="50"/>
  <c r="BK115" i="50"/>
  <c r="BJ115" i="50"/>
  <c r="BI115" i="50"/>
  <c r="BH115" i="50"/>
  <c r="BG115" i="50"/>
  <c r="BF115" i="50"/>
  <c r="BE115" i="50"/>
  <c r="AK169" i="50" s="1"/>
  <c r="BD115" i="50"/>
  <c r="BC115" i="50"/>
  <c r="BB115" i="50"/>
  <c r="BA115" i="50"/>
  <c r="AG169" i="50" s="1"/>
  <c r="AZ115" i="50"/>
  <c r="AY115" i="50"/>
  <c r="AX115" i="50"/>
  <c r="AW115" i="50"/>
  <c r="AV115" i="50"/>
  <c r="AU115" i="50"/>
  <c r="AT115" i="50"/>
  <c r="AS115" i="50"/>
  <c r="AR115" i="50"/>
  <c r="AQ115" i="50"/>
  <c r="AP115" i="50"/>
  <c r="AO115" i="50"/>
  <c r="AN115" i="50"/>
  <c r="AM115" i="50"/>
  <c r="AL115" i="50"/>
  <c r="AK115" i="50"/>
  <c r="AJ115" i="50"/>
  <c r="AI115" i="50"/>
  <c r="AH115" i="50"/>
  <c r="AG115" i="50"/>
  <c r="AF115" i="50"/>
  <c r="AE115" i="50"/>
  <c r="AD115" i="50"/>
  <c r="AC115" i="50"/>
  <c r="AB115" i="50"/>
  <c r="CD114" i="50"/>
  <c r="CC114" i="50"/>
  <c r="CB114" i="50"/>
  <c r="CA114" i="50"/>
  <c r="BZ114" i="50"/>
  <c r="BY114" i="50"/>
  <c r="BX114" i="50"/>
  <c r="BW114" i="50"/>
  <c r="BV114" i="50"/>
  <c r="BU114" i="50"/>
  <c r="BT114" i="50"/>
  <c r="BS114" i="50"/>
  <c r="BR114" i="50"/>
  <c r="BQ114" i="50"/>
  <c r="BP114" i="50"/>
  <c r="BO114" i="50"/>
  <c r="BN114" i="50"/>
  <c r="BM114" i="50"/>
  <c r="BL114" i="50"/>
  <c r="BK114" i="50"/>
  <c r="BJ114" i="50"/>
  <c r="BI114" i="50"/>
  <c r="BH114" i="50"/>
  <c r="BG114" i="50"/>
  <c r="BF114" i="50"/>
  <c r="BE114" i="50"/>
  <c r="AK168" i="50" s="1"/>
  <c r="BD114" i="50"/>
  <c r="AJ168" i="50" s="1"/>
  <c r="BC114" i="50"/>
  <c r="BB114" i="50"/>
  <c r="BA114" i="50"/>
  <c r="AZ114" i="50"/>
  <c r="AY114" i="50"/>
  <c r="AX114" i="50"/>
  <c r="AW114" i="50"/>
  <c r="AV114" i="50"/>
  <c r="AU114" i="50"/>
  <c r="AT114" i="50"/>
  <c r="AS114" i="50"/>
  <c r="AR114" i="50"/>
  <c r="AQ114" i="50"/>
  <c r="AP114" i="50"/>
  <c r="AO114" i="50"/>
  <c r="AN114" i="50"/>
  <c r="AM114" i="50"/>
  <c r="AL114" i="50"/>
  <c r="AK114" i="50"/>
  <c r="AJ114" i="50"/>
  <c r="AI114" i="50"/>
  <c r="AH114" i="50"/>
  <c r="AG114" i="50"/>
  <c r="AF114" i="50"/>
  <c r="AE114" i="50"/>
  <c r="AD114" i="50"/>
  <c r="AC114" i="50"/>
  <c r="AB114" i="50"/>
  <c r="CD113" i="50"/>
  <c r="CC113" i="50"/>
  <c r="CB113" i="50"/>
  <c r="CA113" i="50"/>
  <c r="BZ113" i="50"/>
  <c r="BY113" i="50"/>
  <c r="BX113" i="50"/>
  <c r="BW113" i="50"/>
  <c r="BV113" i="50"/>
  <c r="BU113" i="50"/>
  <c r="BT113" i="50"/>
  <c r="BS113" i="50"/>
  <c r="BR113" i="50"/>
  <c r="BQ113" i="50"/>
  <c r="BP113" i="50"/>
  <c r="BO113" i="50"/>
  <c r="BN113" i="50"/>
  <c r="BM113" i="50"/>
  <c r="BL113" i="50"/>
  <c r="BK113" i="50"/>
  <c r="BJ113" i="50"/>
  <c r="BI113" i="50"/>
  <c r="BH113" i="50"/>
  <c r="BG113" i="50"/>
  <c r="BF113" i="50"/>
  <c r="BE113" i="50"/>
  <c r="BD113" i="50"/>
  <c r="AJ167" i="50" s="1"/>
  <c r="BC113" i="50"/>
  <c r="AI167" i="50" s="1"/>
  <c r="BB113" i="50"/>
  <c r="BA113" i="50"/>
  <c r="AZ113" i="50"/>
  <c r="AY113" i="50"/>
  <c r="AX113" i="50"/>
  <c r="AW113" i="50"/>
  <c r="AV113" i="50"/>
  <c r="AU113" i="50"/>
  <c r="AT113" i="50"/>
  <c r="AS113" i="50"/>
  <c r="AR113" i="50"/>
  <c r="AQ113" i="50"/>
  <c r="AP113" i="50"/>
  <c r="AO113" i="50"/>
  <c r="AN113" i="50"/>
  <c r="AM113" i="50"/>
  <c r="AL113" i="50"/>
  <c r="AK113" i="50"/>
  <c r="AJ113" i="50"/>
  <c r="AI113" i="50"/>
  <c r="AH113" i="50"/>
  <c r="AG113" i="50"/>
  <c r="AF113" i="50"/>
  <c r="AE113" i="50"/>
  <c r="AD113" i="50"/>
  <c r="AC113" i="50"/>
  <c r="AB113" i="50"/>
  <c r="CD112" i="50"/>
  <c r="CC112" i="50"/>
  <c r="CB112" i="50"/>
  <c r="CA112" i="50"/>
  <c r="BZ112" i="50"/>
  <c r="BY112" i="50"/>
  <c r="BX112" i="50"/>
  <c r="BW112" i="50"/>
  <c r="BV112" i="50"/>
  <c r="BU112" i="50"/>
  <c r="BT112" i="50"/>
  <c r="BS112" i="50"/>
  <c r="BR112" i="50"/>
  <c r="BQ112" i="50"/>
  <c r="BP112" i="50"/>
  <c r="BO112" i="50"/>
  <c r="BN112" i="50"/>
  <c r="BM112" i="50"/>
  <c r="BL112" i="50"/>
  <c r="BK112" i="50"/>
  <c r="BJ112" i="50"/>
  <c r="BI112" i="50"/>
  <c r="BH112" i="50"/>
  <c r="BG112" i="50"/>
  <c r="BF112" i="50"/>
  <c r="BE112" i="50"/>
  <c r="BD112" i="50"/>
  <c r="BC112" i="50"/>
  <c r="AI166" i="50" s="1"/>
  <c r="BB112" i="50"/>
  <c r="AH166" i="50" s="1"/>
  <c r="BA112" i="50"/>
  <c r="AZ112" i="50"/>
  <c r="AY112" i="50"/>
  <c r="AX112" i="50"/>
  <c r="AW112" i="50"/>
  <c r="AV112" i="50"/>
  <c r="AU112" i="50"/>
  <c r="AT112" i="50"/>
  <c r="AS112" i="50"/>
  <c r="AR112" i="50"/>
  <c r="AQ112" i="50"/>
  <c r="AP112" i="50"/>
  <c r="AO112" i="50"/>
  <c r="AN112" i="50"/>
  <c r="AM112" i="50"/>
  <c r="AL112" i="50"/>
  <c r="AK112" i="50"/>
  <c r="AJ112" i="50"/>
  <c r="AI112" i="50"/>
  <c r="AH112" i="50"/>
  <c r="AG112" i="50"/>
  <c r="AF112" i="50"/>
  <c r="AE112" i="50"/>
  <c r="AD112" i="50"/>
  <c r="AC112" i="50"/>
  <c r="AB112" i="50"/>
  <c r="CD111" i="50"/>
  <c r="CC111" i="50"/>
  <c r="CB111" i="50"/>
  <c r="CA111" i="50"/>
  <c r="BZ111" i="50"/>
  <c r="BY111" i="50"/>
  <c r="BX111" i="50"/>
  <c r="BW111" i="50"/>
  <c r="BV111" i="50"/>
  <c r="BU111" i="50"/>
  <c r="BT111" i="50"/>
  <c r="BS111" i="50"/>
  <c r="BR111" i="50"/>
  <c r="BQ111" i="50"/>
  <c r="BP111" i="50"/>
  <c r="BO111" i="50"/>
  <c r="BN111" i="50"/>
  <c r="BM111" i="50"/>
  <c r="BL111" i="50"/>
  <c r="BK111" i="50"/>
  <c r="BJ111" i="50"/>
  <c r="BI111" i="50"/>
  <c r="BH111" i="50"/>
  <c r="BG111" i="50"/>
  <c r="BF111" i="50"/>
  <c r="BE111" i="50"/>
  <c r="BD111" i="50"/>
  <c r="BC111" i="50"/>
  <c r="BB111" i="50"/>
  <c r="BA111" i="50"/>
  <c r="AZ111" i="50"/>
  <c r="AY111" i="50"/>
  <c r="AX111" i="50"/>
  <c r="AW111" i="50"/>
  <c r="AV111" i="50"/>
  <c r="AU111" i="50"/>
  <c r="AT111" i="50"/>
  <c r="AS111" i="50"/>
  <c r="AR111" i="50"/>
  <c r="AQ111" i="50"/>
  <c r="AP111" i="50"/>
  <c r="AO111" i="50"/>
  <c r="AN111" i="50"/>
  <c r="AM111" i="50"/>
  <c r="AL111" i="50"/>
  <c r="AK111" i="50"/>
  <c r="AJ111" i="50"/>
  <c r="AI111" i="50"/>
  <c r="AH111" i="50"/>
  <c r="AG111" i="50"/>
  <c r="AF111" i="50"/>
  <c r="AE111" i="50"/>
  <c r="AD111" i="50"/>
  <c r="AC111" i="50"/>
  <c r="AB111" i="50"/>
  <c r="CD110" i="50"/>
  <c r="CC110" i="50"/>
  <c r="CB110" i="50"/>
  <c r="CA110" i="50"/>
  <c r="BZ110" i="50"/>
  <c r="BY110" i="50"/>
  <c r="BX110" i="50"/>
  <c r="BW110" i="50"/>
  <c r="BV110" i="50"/>
  <c r="BU110" i="50"/>
  <c r="BT110" i="50"/>
  <c r="BS110" i="50"/>
  <c r="BR110" i="50"/>
  <c r="BQ110" i="50"/>
  <c r="BP110" i="50"/>
  <c r="BO110" i="50"/>
  <c r="BN110" i="50"/>
  <c r="BM110" i="50"/>
  <c r="BL110" i="50"/>
  <c r="BK110" i="50"/>
  <c r="BJ110" i="50"/>
  <c r="BI110" i="50"/>
  <c r="BH110" i="50"/>
  <c r="BG110" i="50"/>
  <c r="BF110" i="50"/>
  <c r="BE110" i="50"/>
  <c r="BD110" i="50"/>
  <c r="BC110" i="50"/>
  <c r="BB110" i="50"/>
  <c r="BA110" i="50"/>
  <c r="AZ110" i="50"/>
  <c r="AY110" i="50"/>
  <c r="AX110" i="50"/>
  <c r="AW110" i="50"/>
  <c r="AV110" i="50"/>
  <c r="AU110" i="50"/>
  <c r="AT110" i="50"/>
  <c r="AS110" i="50"/>
  <c r="AR110" i="50"/>
  <c r="AQ110" i="50"/>
  <c r="AP110" i="50"/>
  <c r="AO110" i="50"/>
  <c r="AN110" i="50"/>
  <c r="AM110" i="50"/>
  <c r="AL110" i="50"/>
  <c r="AK110" i="50"/>
  <c r="AJ110" i="50"/>
  <c r="AI110" i="50"/>
  <c r="AH110" i="50"/>
  <c r="AG110" i="50"/>
  <c r="AF110" i="50"/>
  <c r="AE110" i="50"/>
  <c r="AD110" i="50"/>
  <c r="AC110" i="50"/>
  <c r="AB110" i="50"/>
  <c r="CD109" i="50"/>
  <c r="CC109" i="50"/>
  <c r="CB109" i="50"/>
  <c r="CA109" i="50"/>
  <c r="BZ109" i="50"/>
  <c r="BY109" i="50"/>
  <c r="BX109" i="50"/>
  <c r="BW109" i="50"/>
  <c r="BV109" i="50"/>
  <c r="BU109" i="50"/>
  <c r="BT109" i="50"/>
  <c r="BS109" i="50"/>
  <c r="BR109" i="50"/>
  <c r="BQ109" i="50"/>
  <c r="BP109" i="50"/>
  <c r="BO109" i="50"/>
  <c r="BN109" i="50"/>
  <c r="BM109" i="50"/>
  <c r="BL109" i="50"/>
  <c r="BK109" i="50"/>
  <c r="BJ109" i="50"/>
  <c r="BI109" i="50"/>
  <c r="BH109" i="50"/>
  <c r="BG109" i="50"/>
  <c r="BF109" i="50"/>
  <c r="BE109" i="50"/>
  <c r="BD109" i="50"/>
  <c r="BC109" i="50"/>
  <c r="BB109" i="50"/>
  <c r="BA109" i="50"/>
  <c r="AZ109" i="50"/>
  <c r="AY109" i="50"/>
  <c r="AX109" i="50"/>
  <c r="AW109" i="50"/>
  <c r="AV109" i="50"/>
  <c r="AU109" i="50"/>
  <c r="AT109" i="50"/>
  <c r="AS109" i="50"/>
  <c r="AR109" i="50"/>
  <c r="AQ109" i="50"/>
  <c r="AP109" i="50"/>
  <c r="AO109" i="50"/>
  <c r="AN109" i="50"/>
  <c r="AM109" i="50"/>
  <c r="AL109" i="50"/>
  <c r="AK109" i="50"/>
  <c r="AJ109" i="50"/>
  <c r="AI109" i="50"/>
  <c r="AH109" i="50"/>
  <c r="AG109" i="50"/>
  <c r="AF109" i="50"/>
  <c r="AE109" i="50"/>
  <c r="AD109" i="50"/>
  <c r="AC109" i="50"/>
  <c r="AB109" i="50"/>
  <c r="BZ108" i="50"/>
  <c r="BU108" i="50"/>
  <c r="BP108" i="50"/>
  <c r="BK108" i="50"/>
  <c r="BF108" i="50"/>
  <c r="BA108" i="50"/>
  <c r="AV108" i="50"/>
  <c r="AQ108" i="50"/>
  <c r="AL108" i="50"/>
  <c r="AG108" i="50"/>
  <c r="AB108" i="50"/>
  <c r="AC170" i="50" l="1"/>
  <c r="AJ180" i="50"/>
  <c r="AK181" i="50"/>
  <c r="AG185" i="50"/>
  <c r="AI133" i="50"/>
  <c r="AQ133" i="50"/>
  <c r="AY133" i="50"/>
  <c r="BO133" i="50"/>
  <c r="BW133" i="50"/>
  <c r="AB133" i="50"/>
  <c r="AJ133" i="50"/>
  <c r="AR133" i="50"/>
  <c r="AZ133" i="50"/>
  <c r="BP133" i="50"/>
  <c r="BX133" i="50"/>
  <c r="AG166" i="50"/>
  <c r="AH167" i="50"/>
  <c r="AG174" i="50"/>
  <c r="AH175" i="50"/>
  <c r="AI176" i="50"/>
  <c r="AJ177" i="50"/>
  <c r="AK178" i="50"/>
  <c r="AG182" i="50"/>
  <c r="AH183" i="50"/>
  <c r="AI184" i="50"/>
  <c r="AJ185" i="50"/>
  <c r="AK186" i="50"/>
  <c r="AK133" i="50"/>
  <c r="AD166" i="50"/>
  <c r="AC173" i="50"/>
  <c r="AF176" i="50"/>
  <c r="AC181" i="50"/>
  <c r="BG133" i="50"/>
  <c r="AB179" i="50"/>
  <c r="AC180" i="50"/>
  <c r="BH133" i="50"/>
  <c r="AB165" i="50"/>
  <c r="BZ190" i="50"/>
  <c r="AB190" i="50"/>
  <c r="AF168" i="50"/>
  <c r="AB172" i="50"/>
  <c r="AD165" i="50"/>
  <c r="AD133" i="50"/>
  <c r="BZ133" i="50"/>
  <c r="AD173" i="50"/>
  <c r="AD181" i="50"/>
  <c r="AE165" i="50"/>
  <c r="AE133" i="50"/>
  <c r="AM133" i="50"/>
  <c r="AU133" i="50"/>
  <c r="AI165" i="50"/>
  <c r="BC133" i="50"/>
  <c r="BK133" i="50"/>
  <c r="BS133" i="50"/>
  <c r="CA133" i="50"/>
  <c r="AF166" i="50"/>
  <c r="AJ166" i="50"/>
  <c r="AK167" i="50"/>
  <c r="AC166" i="50"/>
  <c r="AD167" i="50"/>
  <c r="AC188" i="50"/>
  <c r="AG165" i="50"/>
  <c r="BA133" i="50"/>
  <c r="AD174" i="50"/>
  <c r="AE175" i="50"/>
  <c r="AF184" i="50"/>
  <c r="AH165" i="50"/>
  <c r="BB133" i="50"/>
  <c r="AF167" i="50"/>
  <c r="AE174" i="50"/>
  <c r="AF175" i="50"/>
  <c r="AE182" i="50"/>
  <c r="AF183" i="50"/>
  <c r="AF165" i="50"/>
  <c r="AF133" i="50"/>
  <c r="AN133" i="50"/>
  <c r="AV133" i="50"/>
  <c r="AJ165" i="50"/>
  <c r="BD133" i="50"/>
  <c r="AJ187" i="50" s="1"/>
  <c r="BL133" i="50"/>
  <c r="BT133" i="50"/>
  <c r="CB133" i="50"/>
  <c r="AK166" i="50"/>
  <c r="BQ133" i="50"/>
  <c r="AD182" i="50"/>
  <c r="AE183" i="50"/>
  <c r="AL133" i="50"/>
  <c r="BR133" i="50"/>
  <c r="AG133" i="50"/>
  <c r="AO133" i="50"/>
  <c r="AW133" i="50"/>
  <c r="AK165" i="50"/>
  <c r="BE133" i="50"/>
  <c r="AK187" i="50" s="1"/>
  <c r="BM133" i="50"/>
  <c r="BU133" i="50"/>
  <c r="CC133" i="50"/>
  <c r="AB168" i="50"/>
  <c r="AC169" i="50"/>
  <c r="AD170" i="50"/>
  <c r="AE171" i="50"/>
  <c r="AC165" i="50"/>
  <c r="AC133" i="50"/>
  <c r="BI133" i="50"/>
  <c r="AE167" i="50"/>
  <c r="BJ133" i="50"/>
  <c r="AH133" i="50"/>
  <c r="AP133" i="50"/>
  <c r="AX133" i="50"/>
  <c r="BF133" i="50"/>
  <c r="BN133" i="50"/>
  <c r="BV133" i="50"/>
  <c r="AB167" i="50"/>
  <c r="AC168" i="50"/>
  <c r="AE170" i="50"/>
  <c r="AI170" i="50"/>
  <c r="AF171" i="50"/>
  <c r="AJ171" i="50"/>
  <c r="AK172" i="50"/>
  <c r="AB175" i="50"/>
  <c r="AE168" i="50"/>
  <c r="AS133" i="50"/>
  <c r="BY133" i="50"/>
  <c r="AB180" i="50"/>
  <c r="AT133" i="50"/>
  <c r="AE166" i="50"/>
  <c r="AB171" i="50"/>
  <c r="AC172" i="50"/>
  <c r="CD133" i="50"/>
  <c r="AG168" i="50"/>
  <c r="AD169" i="50"/>
  <c r="AH169" i="50"/>
  <c r="AB166" i="50"/>
  <c r="AC167" i="50"/>
  <c r="AG167" i="50"/>
  <c r="AB188" i="50"/>
  <c r="AB170" i="50"/>
  <c r="AC171" i="50"/>
  <c r="AG171" i="50"/>
  <c r="AD172" i="50"/>
  <c r="AH172" i="50"/>
  <c r="AE173" i="50"/>
  <c r="AI173" i="50"/>
  <c r="AF174" i="50"/>
  <c r="AJ174" i="50"/>
  <c r="AK175" i="50"/>
  <c r="AB178" i="50"/>
  <c r="AC179" i="50"/>
  <c r="AG179" i="50"/>
  <c r="AD180" i="50"/>
  <c r="AH180" i="50"/>
  <c r="AE181" i="50"/>
  <c r="AI181" i="50"/>
  <c r="AF182" i="50"/>
  <c r="AJ182" i="50"/>
  <c r="AK183" i="50"/>
  <c r="AB186" i="50"/>
  <c r="AD188" i="50"/>
  <c r="AH188" i="50"/>
  <c r="CA190" i="50"/>
  <c r="AC190" i="50"/>
  <c r="AO190" i="50"/>
  <c r="AM191" i="50"/>
  <c r="AB169" i="50"/>
  <c r="AD171" i="50"/>
  <c r="AE172" i="50"/>
  <c r="AJ173" i="50"/>
  <c r="AK174" i="50"/>
  <c r="AB177" i="50"/>
  <c r="AC178" i="50"/>
  <c r="AD179" i="50"/>
  <c r="AE180" i="50"/>
  <c r="AF181" i="50"/>
  <c r="AB185" i="50"/>
  <c r="AC186" i="50"/>
  <c r="AG186" i="50"/>
  <c r="AE188" i="50"/>
  <c r="AI188" i="50"/>
  <c r="AF173" i="50"/>
  <c r="AF172" i="50"/>
  <c r="AB176" i="50"/>
  <c r="AC177" i="50"/>
  <c r="AD178" i="50"/>
  <c r="AE179" i="50"/>
  <c r="AF180" i="50"/>
  <c r="AB184" i="50"/>
  <c r="AC185" i="50"/>
  <c r="AD186" i="50"/>
  <c r="AH186" i="50"/>
  <c r="AF188" i="50"/>
  <c r="AJ188" i="50"/>
  <c r="CC190" i="50"/>
  <c r="AE190" i="50"/>
  <c r="AI190" i="50"/>
  <c r="CA191" i="50"/>
  <c r="AC191" i="50"/>
  <c r="AG191" i="50"/>
  <c r="AO191" i="50"/>
  <c r="AC176" i="50"/>
  <c r="AG176" i="50"/>
  <c r="AD177" i="50"/>
  <c r="AH177" i="50"/>
  <c r="AE178" i="50"/>
  <c r="AI178" i="50"/>
  <c r="AF179" i="50"/>
  <c r="AJ179" i="50"/>
  <c r="AK180" i="50"/>
  <c r="AB183" i="50"/>
  <c r="AC184" i="50"/>
  <c r="AG184" i="50"/>
  <c r="AD185" i="50"/>
  <c r="AH185" i="50"/>
  <c r="AE186" i="50"/>
  <c r="AI186" i="50"/>
  <c r="AK188" i="50"/>
  <c r="AD168" i="50"/>
  <c r="AH168" i="50"/>
  <c r="AE169" i="50"/>
  <c r="AI169" i="50"/>
  <c r="AF170" i="50"/>
  <c r="AJ170" i="50"/>
  <c r="AK171" i="50"/>
  <c r="AB174" i="50"/>
  <c r="AC175" i="50"/>
  <c r="AG175" i="50"/>
  <c r="AD176" i="50"/>
  <c r="AH176" i="50"/>
  <c r="AE177" i="50"/>
  <c r="AI177" i="50"/>
  <c r="AF178" i="50"/>
  <c r="AJ178" i="50"/>
  <c r="AK179" i="50"/>
  <c r="AB182" i="50"/>
  <c r="AC183" i="50"/>
  <c r="AG183" i="50"/>
  <c r="AD184" i="50"/>
  <c r="AH184" i="50"/>
  <c r="AE185" i="50"/>
  <c r="AI185" i="50"/>
  <c r="AF186" i="50"/>
  <c r="AJ186" i="50"/>
  <c r="AI168" i="50"/>
  <c r="AF169" i="50"/>
  <c r="AJ169" i="50"/>
  <c r="AK170" i="50"/>
  <c r="AB173" i="50"/>
  <c r="AC174" i="50"/>
  <c r="AD175" i="50"/>
  <c r="AE176" i="50"/>
  <c r="AF177" i="50"/>
  <c r="AB181" i="50"/>
  <c r="AC182" i="50"/>
  <c r="AD183" i="50"/>
  <c r="AE184" i="50"/>
  <c r="AF185" i="50"/>
  <c r="BZ189" i="50"/>
  <c r="AB189" i="50"/>
  <c r="AL190" i="50"/>
  <c r="CD191" i="50"/>
  <c r="AF191" i="50"/>
  <c r="CB190" i="50"/>
  <c r="AD190" i="50"/>
  <c r="AH190" i="50"/>
  <c r="AP190" i="50"/>
  <c r="AB191" i="50"/>
  <c r="BZ191" i="50"/>
  <c r="AN191" i="50"/>
  <c r="AL189" i="50"/>
  <c r="CD190" i="50"/>
  <c r="AF190" i="50"/>
  <c r="AJ190" i="50"/>
  <c r="CB191" i="50"/>
  <c r="AD191" i="50"/>
  <c r="AH191" i="50"/>
  <c r="AP191" i="50"/>
  <c r="AK190" i="50"/>
  <c r="CC191" i="50"/>
  <c r="AE191" i="50"/>
  <c r="AI191" i="50"/>
  <c r="AH187" i="50" l="1"/>
  <c r="AG187" i="50"/>
  <c r="AE187" i="50"/>
  <c r="AC187" i="50"/>
  <c r="AB187" i="50"/>
  <c r="AI187" i="50"/>
  <c r="AD187" i="50"/>
  <c r="AF187" i="50"/>
  <c r="AB198" i="50" l="1"/>
  <c r="AC198" i="50"/>
  <c r="AD198" i="50"/>
  <c r="AE198" i="50"/>
  <c r="AF198" i="50"/>
  <c r="AG198" i="50"/>
  <c r="AH198" i="50"/>
  <c r="AI198" i="50"/>
  <c r="AJ198" i="50"/>
  <c r="AK198" i="50"/>
  <c r="AL198" i="50"/>
  <c r="AM198" i="50"/>
  <c r="AN198" i="50"/>
  <c r="AO198" i="50"/>
  <c r="AP198" i="50"/>
  <c r="AQ198" i="50"/>
  <c r="AR198" i="50"/>
  <c r="AS198" i="50"/>
  <c r="AT198" i="50"/>
  <c r="AU198" i="50"/>
  <c r="AV198" i="50"/>
  <c r="AW198" i="50"/>
  <c r="AX198" i="50"/>
  <c r="AY198" i="50"/>
  <c r="AZ198" i="50"/>
  <c r="BA198" i="50"/>
  <c r="BB198" i="50"/>
  <c r="BC198" i="50"/>
  <c r="BD198" i="50"/>
  <c r="BE198" i="50"/>
  <c r="BF198" i="50"/>
  <c r="BG198" i="50"/>
  <c r="BH198" i="50"/>
  <c r="BI198" i="50"/>
  <c r="BJ198" i="50"/>
  <c r="BK198" i="50"/>
  <c r="BL198" i="50"/>
  <c r="BM198" i="50"/>
  <c r="BN198" i="50"/>
  <c r="BO198" i="50"/>
  <c r="BP198" i="50"/>
  <c r="BQ198" i="50"/>
  <c r="BR198" i="50"/>
  <c r="BS198" i="50"/>
  <c r="BT198" i="50"/>
  <c r="BU198" i="50"/>
  <c r="BV198" i="50"/>
  <c r="BW198" i="50"/>
  <c r="BX198" i="50"/>
  <c r="BY198" i="50"/>
  <c r="AB199" i="50"/>
  <c r="AC199" i="50"/>
  <c r="AD199" i="50"/>
  <c r="AE199" i="50"/>
  <c r="AF199" i="50"/>
  <c r="AG199" i="50"/>
  <c r="AH199" i="50"/>
  <c r="AI199" i="50"/>
  <c r="AJ199" i="50"/>
  <c r="AK199" i="50"/>
  <c r="AL199" i="50"/>
  <c r="AM199" i="50"/>
  <c r="AN199" i="50"/>
  <c r="AO199" i="50"/>
  <c r="AP199" i="50"/>
  <c r="AQ199" i="50"/>
  <c r="AR199" i="50"/>
  <c r="AS199" i="50"/>
  <c r="AT199" i="50"/>
  <c r="AU199" i="50"/>
  <c r="AV199" i="50"/>
  <c r="AW199" i="50"/>
  <c r="AX199" i="50"/>
  <c r="AY199" i="50"/>
  <c r="AZ199" i="50"/>
  <c r="BA199" i="50"/>
  <c r="BB199" i="50"/>
  <c r="BC199" i="50"/>
  <c r="BD199" i="50"/>
  <c r="BE199" i="50"/>
  <c r="BF199" i="50"/>
  <c r="BG199" i="50"/>
  <c r="BH199" i="50"/>
  <c r="BI199" i="50"/>
  <c r="BJ199" i="50"/>
  <c r="BK199" i="50"/>
  <c r="BL199" i="50"/>
  <c r="BM199" i="50"/>
  <c r="BN199" i="50"/>
  <c r="BO199" i="50"/>
  <c r="BP199" i="50"/>
  <c r="BQ199" i="50"/>
  <c r="BR199" i="50"/>
  <c r="BS199" i="50"/>
  <c r="BT199" i="50"/>
  <c r="BU199" i="50"/>
  <c r="BV199" i="50"/>
  <c r="BW199" i="50"/>
  <c r="BX199" i="50"/>
  <c r="BY199" i="50"/>
  <c r="AB200" i="50"/>
  <c r="AC200" i="50"/>
  <c r="AD200" i="50"/>
  <c r="AE200" i="50"/>
  <c r="AF200" i="50"/>
  <c r="AG200" i="50"/>
  <c r="AH200" i="50"/>
  <c r="AI200" i="50"/>
  <c r="AJ200" i="50"/>
  <c r="AK200" i="50"/>
  <c r="AL200" i="50"/>
  <c r="AM200" i="50"/>
  <c r="AN200" i="50"/>
  <c r="AO200" i="50"/>
  <c r="AP200" i="50"/>
  <c r="AQ200" i="50"/>
  <c r="AR200" i="50"/>
  <c r="AS200" i="50"/>
  <c r="AT200" i="50"/>
  <c r="AU200" i="50"/>
  <c r="AV200" i="50"/>
  <c r="AW200" i="50"/>
  <c r="AX200" i="50"/>
  <c r="AY200" i="50"/>
  <c r="AZ200" i="50"/>
  <c r="BA200" i="50"/>
  <c r="BB200" i="50"/>
  <c r="BC200" i="50"/>
  <c r="BD200" i="50"/>
  <c r="BE200" i="50"/>
  <c r="BF200" i="50"/>
  <c r="BG200" i="50"/>
  <c r="BH200" i="50"/>
  <c r="BI200" i="50"/>
  <c r="BJ200" i="50"/>
  <c r="BK200" i="50"/>
  <c r="BL200" i="50"/>
  <c r="BM200" i="50"/>
  <c r="BN200" i="50"/>
  <c r="BO200" i="50"/>
  <c r="BP200" i="50"/>
  <c r="BQ200" i="50"/>
  <c r="BR200" i="50"/>
  <c r="BS200" i="50"/>
  <c r="BT200" i="50"/>
  <c r="BU200" i="50"/>
  <c r="BV200" i="50"/>
  <c r="BW200" i="50"/>
  <c r="BX200" i="50"/>
  <c r="BY200" i="50"/>
  <c r="AD243" i="83"/>
  <c r="AC243" i="83"/>
  <c r="AB243" i="83"/>
  <c r="AA243" i="83"/>
  <c r="Z243" i="83"/>
  <c r="AD242" i="83"/>
  <c r="AC242" i="83"/>
  <c r="AB242" i="83"/>
  <c r="AA242" i="83"/>
  <c r="Z242" i="83"/>
  <c r="AD241" i="83"/>
  <c r="AC241" i="83"/>
  <c r="AB241" i="83"/>
  <c r="AA241" i="83"/>
  <c r="Z241" i="83"/>
  <c r="AD240" i="83"/>
  <c r="AC240" i="83"/>
  <c r="AB240" i="83"/>
  <c r="AA240" i="83"/>
  <c r="Z240" i="83"/>
  <c r="AD239" i="83"/>
  <c r="AC239" i="83"/>
  <c r="AB239" i="83"/>
  <c r="AA239" i="83"/>
  <c r="Z239" i="83"/>
  <c r="AD238" i="83"/>
  <c r="AC238" i="83"/>
  <c r="AB238" i="83"/>
  <c r="AA238" i="83"/>
  <c r="Z238" i="83"/>
  <c r="AD237" i="83"/>
  <c r="AC237" i="83"/>
  <c r="AB237" i="83"/>
  <c r="F237" i="83" s="1"/>
  <c r="AA237" i="83"/>
  <c r="Z237" i="83"/>
  <c r="AD236" i="83"/>
  <c r="AC236" i="83"/>
  <c r="AB236" i="83"/>
  <c r="AA236" i="83"/>
  <c r="Z236" i="83"/>
  <c r="AD235" i="83"/>
  <c r="AC235" i="83"/>
  <c r="AB235" i="83"/>
  <c r="AA235" i="83"/>
  <c r="Z235" i="83"/>
  <c r="AD234" i="83"/>
  <c r="AC234" i="83"/>
  <c r="AB234" i="83"/>
  <c r="AA234" i="83"/>
  <c r="Z234" i="83"/>
  <c r="AD233" i="83"/>
  <c r="AC233" i="83"/>
  <c r="AB233" i="83"/>
  <c r="AA233" i="83"/>
  <c r="Z233" i="83"/>
  <c r="AD232" i="83"/>
  <c r="AC232" i="83"/>
  <c r="AB232" i="83"/>
  <c r="AA232" i="83"/>
  <c r="Z232" i="83"/>
  <c r="AD231" i="83"/>
  <c r="AC231" i="83"/>
  <c r="AB231" i="83"/>
  <c r="AA231" i="83"/>
  <c r="Z231" i="83"/>
  <c r="AD230" i="83"/>
  <c r="AC230" i="83"/>
  <c r="AB230" i="83"/>
  <c r="AA230" i="83"/>
  <c r="Z230" i="83"/>
  <c r="AD229" i="83"/>
  <c r="AC229" i="83"/>
  <c r="AB229" i="83"/>
  <c r="AA229" i="83"/>
  <c r="Z229" i="83"/>
  <c r="AD228" i="83"/>
  <c r="AC228" i="83"/>
  <c r="AB228" i="83"/>
  <c r="AA228" i="83"/>
  <c r="Z228" i="83"/>
  <c r="AD227" i="83"/>
  <c r="AC227" i="83"/>
  <c r="AB227" i="83"/>
  <c r="AA227" i="83"/>
  <c r="Z227" i="83"/>
  <c r="AD226" i="83"/>
  <c r="AC226" i="83"/>
  <c r="AB226" i="83"/>
  <c r="AA226" i="83"/>
  <c r="Z226" i="83"/>
  <c r="AD225" i="83"/>
  <c r="AC225" i="83"/>
  <c r="AB225" i="83"/>
  <c r="AA225" i="83"/>
  <c r="Z225" i="83"/>
  <c r="AD224" i="83"/>
  <c r="AC224" i="83"/>
  <c r="G224" i="83" s="1"/>
  <c r="AB224" i="83"/>
  <c r="AA224" i="83"/>
  <c r="Z224" i="83"/>
  <c r="AD223" i="83"/>
  <c r="AC223" i="83"/>
  <c r="AB223" i="83"/>
  <c r="AA223" i="83"/>
  <c r="Z223" i="83"/>
  <c r="AD222" i="83"/>
  <c r="AC222" i="83"/>
  <c r="AB222" i="83"/>
  <c r="AA222" i="83"/>
  <c r="Z222" i="83"/>
  <c r="AD221" i="83"/>
  <c r="AC221" i="83"/>
  <c r="AB221" i="83"/>
  <c r="AA221" i="83"/>
  <c r="Z221" i="83"/>
  <c r="AD220" i="83"/>
  <c r="AC220" i="83"/>
  <c r="AB220" i="83"/>
  <c r="AA220" i="83"/>
  <c r="Z220" i="83"/>
  <c r="A250" i="83"/>
  <c r="AI243" i="83"/>
  <c r="AH243" i="83"/>
  <c r="G243" i="83" s="1"/>
  <c r="AG243" i="83"/>
  <c r="F243" i="83" s="1"/>
  <c r="AF243" i="83"/>
  <c r="E243" i="83" s="1"/>
  <c r="AE243" i="83"/>
  <c r="D243" i="83" s="1"/>
  <c r="AI242" i="83"/>
  <c r="AH242" i="83"/>
  <c r="AG242" i="83"/>
  <c r="AF242" i="83"/>
  <c r="AE242" i="83"/>
  <c r="D242" i="83" s="1"/>
  <c r="G242" i="83"/>
  <c r="AI241" i="83"/>
  <c r="H241" i="83" s="1"/>
  <c r="AH241" i="83"/>
  <c r="G241" i="83" s="1"/>
  <c r="AG241" i="83"/>
  <c r="F241" i="83" s="1"/>
  <c r="AF241" i="83"/>
  <c r="AE241" i="83"/>
  <c r="AI240" i="83"/>
  <c r="AH240" i="83"/>
  <c r="AG240" i="83"/>
  <c r="F240" i="83" s="1"/>
  <c r="AF240" i="83"/>
  <c r="AE240" i="83"/>
  <c r="D240" i="83" s="1"/>
  <c r="AI239" i="83"/>
  <c r="H239" i="83" s="1"/>
  <c r="AH239" i="83"/>
  <c r="AG239" i="83"/>
  <c r="AF239" i="83"/>
  <c r="AE239" i="83"/>
  <c r="AI238" i="83"/>
  <c r="H238" i="83" s="1"/>
  <c r="AH238" i="83"/>
  <c r="G238" i="83" s="1"/>
  <c r="AG238" i="83"/>
  <c r="AF238" i="83"/>
  <c r="E238" i="83" s="1"/>
  <c r="AE238" i="83"/>
  <c r="AI237" i="83"/>
  <c r="AH237" i="83"/>
  <c r="AG237" i="83"/>
  <c r="AF237" i="83"/>
  <c r="E237" i="83" s="1"/>
  <c r="AE237" i="83"/>
  <c r="D237" i="83" s="1"/>
  <c r="AI236" i="83"/>
  <c r="AH236" i="83"/>
  <c r="G236" i="83" s="1"/>
  <c r="AG236" i="83"/>
  <c r="AF236" i="83"/>
  <c r="E236" i="83" s="1"/>
  <c r="AE236" i="83"/>
  <c r="AI235" i="83"/>
  <c r="AH235" i="83"/>
  <c r="G235" i="83" s="1"/>
  <c r="AG235" i="83"/>
  <c r="F235" i="83" s="1"/>
  <c r="AF235" i="83"/>
  <c r="E235" i="83" s="1"/>
  <c r="AE235" i="83"/>
  <c r="D235" i="83" s="1"/>
  <c r="AI234" i="83"/>
  <c r="AH234" i="83"/>
  <c r="G234" i="83" s="1"/>
  <c r="AG234" i="83"/>
  <c r="AF234" i="83"/>
  <c r="AE234" i="83"/>
  <c r="D234" i="83" s="1"/>
  <c r="AI233" i="83"/>
  <c r="H233" i="83" s="1"/>
  <c r="AH233" i="83"/>
  <c r="AG233" i="83"/>
  <c r="F233" i="83" s="1"/>
  <c r="AF233" i="83"/>
  <c r="AE233" i="83"/>
  <c r="AI232" i="83"/>
  <c r="AH232" i="83"/>
  <c r="AG232" i="83"/>
  <c r="F232" i="83" s="1"/>
  <c r="AF232" i="83"/>
  <c r="E232" i="83" s="1"/>
  <c r="AE232" i="83"/>
  <c r="AI231" i="83"/>
  <c r="H231" i="83" s="1"/>
  <c r="AH231" i="83"/>
  <c r="AG231" i="83"/>
  <c r="AF231" i="83"/>
  <c r="AE231" i="83"/>
  <c r="AI230" i="83"/>
  <c r="H230" i="83" s="1"/>
  <c r="AH230" i="83"/>
  <c r="G230" i="83" s="1"/>
  <c r="AG230" i="83"/>
  <c r="AF230" i="83"/>
  <c r="E230" i="83" s="1"/>
  <c r="AE230" i="83"/>
  <c r="AI229" i="83"/>
  <c r="AH229" i="83"/>
  <c r="AG229" i="83"/>
  <c r="AF229" i="83"/>
  <c r="AE229" i="83"/>
  <c r="D229" i="83" s="1"/>
  <c r="E229" i="83"/>
  <c r="AI228" i="83"/>
  <c r="AH228" i="83"/>
  <c r="G228" i="83" s="1"/>
  <c r="AG228" i="83"/>
  <c r="AF228" i="83"/>
  <c r="AE228" i="83"/>
  <c r="AI227" i="83"/>
  <c r="AH227" i="83"/>
  <c r="G227" i="83" s="1"/>
  <c r="AG227" i="83"/>
  <c r="F227" i="83" s="1"/>
  <c r="AF227" i="83"/>
  <c r="AE227" i="83"/>
  <c r="D227" i="83" s="1"/>
  <c r="AI226" i="83"/>
  <c r="AH226" i="83"/>
  <c r="AG226" i="83"/>
  <c r="AF226" i="83"/>
  <c r="AE226" i="83"/>
  <c r="D226" i="83" s="1"/>
  <c r="E226" i="83"/>
  <c r="AI225" i="83"/>
  <c r="AH225" i="83"/>
  <c r="AG225" i="83"/>
  <c r="F225" i="83" s="1"/>
  <c r="AF225" i="83"/>
  <c r="AE225" i="83"/>
  <c r="H225" i="83"/>
  <c r="AI224" i="83"/>
  <c r="AH224" i="83"/>
  <c r="AG224" i="83"/>
  <c r="F224" i="83" s="1"/>
  <c r="AF224" i="83"/>
  <c r="E224" i="83" s="1"/>
  <c r="AE224" i="83"/>
  <c r="D224" i="83" s="1"/>
  <c r="AI223" i="83"/>
  <c r="H223" i="83" s="1"/>
  <c r="AH223" i="83"/>
  <c r="AG223" i="83"/>
  <c r="AF223" i="83"/>
  <c r="AE223" i="83"/>
  <c r="AI222" i="83"/>
  <c r="H222" i="83" s="1"/>
  <c r="AH222" i="83"/>
  <c r="G222" i="83" s="1"/>
  <c r="AG222" i="83"/>
  <c r="AF222" i="83"/>
  <c r="E222" i="83" s="1"/>
  <c r="AE222" i="83"/>
  <c r="AI221" i="83"/>
  <c r="AH221" i="83"/>
  <c r="AG221" i="83"/>
  <c r="AF221" i="83"/>
  <c r="E221" i="83" s="1"/>
  <c r="AE221" i="83"/>
  <c r="D221" i="83" s="1"/>
  <c r="AI220" i="83"/>
  <c r="AH220" i="83"/>
  <c r="G220" i="83" s="1"/>
  <c r="AG220" i="83"/>
  <c r="AF220" i="83"/>
  <c r="E220" i="83" s="1"/>
  <c r="AE220" i="83"/>
  <c r="AI219" i="83"/>
  <c r="AH219" i="83"/>
  <c r="AG219" i="83"/>
  <c r="AF219" i="83"/>
  <c r="AE219" i="83"/>
  <c r="AD219" i="83"/>
  <c r="AC219" i="83"/>
  <c r="AB219" i="83"/>
  <c r="AA219" i="83"/>
  <c r="Z219" i="83"/>
  <c r="H219" i="83"/>
  <c r="G219" i="83"/>
  <c r="F219" i="83"/>
  <c r="E219" i="83"/>
  <c r="D219" i="83"/>
  <c r="AI218" i="83"/>
  <c r="AH218" i="83"/>
  <c r="AG218" i="83"/>
  <c r="AF218" i="83"/>
  <c r="AE218" i="83"/>
  <c r="AD218" i="83"/>
  <c r="AC218" i="83"/>
  <c r="AB218" i="83"/>
  <c r="AA218" i="83"/>
  <c r="Z218" i="83"/>
  <c r="H218" i="83"/>
  <c r="G218" i="83"/>
  <c r="F218" i="83"/>
  <c r="E218" i="83"/>
  <c r="D218" i="83"/>
  <c r="AC99" i="60"/>
  <c r="AI207" i="83"/>
  <c r="AH207" i="83"/>
  <c r="AG207" i="83"/>
  <c r="AF207" i="83"/>
  <c r="AE207" i="83"/>
  <c r="AI206" i="83"/>
  <c r="AH206" i="83"/>
  <c r="AG206" i="83"/>
  <c r="AF206" i="83"/>
  <c r="AE206" i="83"/>
  <c r="AI205" i="83"/>
  <c r="AH205" i="83"/>
  <c r="AG205" i="83"/>
  <c r="AF205" i="83"/>
  <c r="AE205" i="83"/>
  <c r="AI204" i="83"/>
  <c r="AH204" i="83"/>
  <c r="AG204" i="83"/>
  <c r="AF204" i="83"/>
  <c r="AE204" i="83"/>
  <c r="AI203" i="83"/>
  <c r="AH203" i="83"/>
  <c r="AG203" i="83"/>
  <c r="AF203" i="83"/>
  <c r="AE203" i="83"/>
  <c r="AI202" i="83"/>
  <c r="AH202" i="83"/>
  <c r="AG202" i="83"/>
  <c r="AF202" i="83"/>
  <c r="AE202" i="83"/>
  <c r="AI201" i="83"/>
  <c r="AH201" i="83"/>
  <c r="AG201" i="83"/>
  <c r="AF201" i="83"/>
  <c r="AE201" i="83"/>
  <c r="AI200" i="83"/>
  <c r="AH200" i="83"/>
  <c r="AG200" i="83"/>
  <c r="AF200" i="83"/>
  <c r="AE200" i="83"/>
  <c r="AI199" i="83"/>
  <c r="AH199" i="83"/>
  <c r="AG199" i="83"/>
  <c r="AF199" i="83"/>
  <c r="AE199" i="83"/>
  <c r="AI198" i="83"/>
  <c r="AH198" i="83"/>
  <c r="AG198" i="83"/>
  <c r="AF198" i="83"/>
  <c r="AE198" i="83"/>
  <c r="AI197" i="83"/>
  <c r="AH197" i="83"/>
  <c r="AG197" i="83"/>
  <c r="AF197" i="83"/>
  <c r="AE197" i="83"/>
  <c r="AI196" i="83"/>
  <c r="AH196" i="83"/>
  <c r="AG196" i="83"/>
  <c r="AF196" i="83"/>
  <c r="AE196" i="83"/>
  <c r="AI195" i="83"/>
  <c r="AH195" i="83"/>
  <c r="AG195" i="83"/>
  <c r="AF195" i="83"/>
  <c r="AE195" i="83"/>
  <c r="AI194" i="83"/>
  <c r="AH194" i="83"/>
  <c r="AG194" i="83"/>
  <c r="AF194" i="83"/>
  <c r="AE194" i="83"/>
  <c r="AI193" i="83"/>
  <c r="AH193" i="83"/>
  <c r="AG193" i="83"/>
  <c r="AF193" i="83"/>
  <c r="AE193" i="83"/>
  <c r="AI192" i="83"/>
  <c r="AH192" i="83"/>
  <c r="AG192" i="83"/>
  <c r="AF192" i="83"/>
  <c r="AE192" i="83"/>
  <c r="AI191" i="83"/>
  <c r="AH191" i="83"/>
  <c r="AG191" i="83"/>
  <c r="AF191" i="83"/>
  <c r="AE191" i="83"/>
  <c r="AI190" i="83"/>
  <c r="AH190" i="83"/>
  <c r="AG190" i="83"/>
  <c r="AF190" i="83"/>
  <c r="AE190" i="83"/>
  <c r="AI189" i="83"/>
  <c r="AH189" i="83"/>
  <c r="AG189" i="83"/>
  <c r="AF189" i="83"/>
  <c r="AE189" i="83"/>
  <c r="AI188" i="83"/>
  <c r="AH188" i="83"/>
  <c r="AG188" i="83"/>
  <c r="AF188" i="83"/>
  <c r="AE188" i="83"/>
  <c r="AI187" i="83"/>
  <c r="AH187" i="83"/>
  <c r="AG187" i="83"/>
  <c r="AF187" i="83"/>
  <c r="AE187" i="83"/>
  <c r="AI186" i="83"/>
  <c r="AH186" i="83"/>
  <c r="AG186" i="83"/>
  <c r="AF186" i="83"/>
  <c r="AE186" i="83"/>
  <c r="AI185" i="83"/>
  <c r="AH185" i="83"/>
  <c r="AG185" i="83"/>
  <c r="AF185" i="83"/>
  <c r="AE185" i="83"/>
  <c r="AI184" i="83"/>
  <c r="AH184" i="83"/>
  <c r="AG184" i="83"/>
  <c r="AF184" i="83"/>
  <c r="AE184" i="83"/>
  <c r="AD207" i="83"/>
  <c r="AC207" i="83"/>
  <c r="AB207" i="83"/>
  <c r="AA207" i="83"/>
  <c r="Z207" i="83"/>
  <c r="AD206" i="83"/>
  <c r="AC206" i="83"/>
  <c r="AB206" i="83"/>
  <c r="AA206" i="83"/>
  <c r="Z206" i="83"/>
  <c r="AD205" i="83"/>
  <c r="AC205" i="83"/>
  <c r="AB205" i="83"/>
  <c r="AA205" i="83"/>
  <c r="Z205" i="83"/>
  <c r="AD204" i="83"/>
  <c r="AC204" i="83"/>
  <c r="AB204" i="83"/>
  <c r="AA204" i="83"/>
  <c r="Z204" i="83"/>
  <c r="AD203" i="83"/>
  <c r="AC203" i="83"/>
  <c r="AB203" i="83"/>
  <c r="AA203" i="83"/>
  <c r="Z203" i="83"/>
  <c r="AD202" i="83"/>
  <c r="AC202" i="83"/>
  <c r="AB202" i="83"/>
  <c r="AA202" i="83"/>
  <c r="Z202" i="83"/>
  <c r="AD201" i="83"/>
  <c r="AC201" i="83"/>
  <c r="AB201" i="83"/>
  <c r="AA201" i="83"/>
  <c r="Z201" i="83"/>
  <c r="AD200" i="83"/>
  <c r="AC200" i="83"/>
  <c r="AB200" i="83"/>
  <c r="AA200" i="83"/>
  <c r="Z200" i="83"/>
  <c r="AD199" i="83"/>
  <c r="AC199" i="83"/>
  <c r="AB199" i="83"/>
  <c r="AA199" i="83"/>
  <c r="Z199" i="83"/>
  <c r="AD198" i="83"/>
  <c r="AC198" i="83"/>
  <c r="AB198" i="83"/>
  <c r="AA198" i="83"/>
  <c r="Z198" i="83"/>
  <c r="AD197" i="83"/>
  <c r="AC197" i="83"/>
  <c r="AB197" i="83"/>
  <c r="AA197" i="83"/>
  <c r="Z197" i="83"/>
  <c r="AD196" i="83"/>
  <c r="AC196" i="83"/>
  <c r="AB196" i="83"/>
  <c r="AA196" i="83"/>
  <c r="Z196" i="83"/>
  <c r="AD195" i="83"/>
  <c r="AC195" i="83"/>
  <c r="AB195" i="83"/>
  <c r="AA195" i="83"/>
  <c r="Z195" i="83"/>
  <c r="AD194" i="83"/>
  <c r="AC194" i="83"/>
  <c r="AB194" i="83"/>
  <c r="AA194" i="83"/>
  <c r="Z194" i="83"/>
  <c r="AD193" i="83"/>
  <c r="AC193" i="83"/>
  <c r="AB193" i="83"/>
  <c r="AA193" i="83"/>
  <c r="Z193" i="83"/>
  <c r="AD192" i="83"/>
  <c r="AC192" i="83"/>
  <c r="AB192" i="83"/>
  <c r="AA192" i="83"/>
  <c r="Z192" i="83"/>
  <c r="AD191" i="83"/>
  <c r="AC191" i="83"/>
  <c r="AB191" i="83"/>
  <c r="AA191" i="83"/>
  <c r="Z191" i="83"/>
  <c r="AD190" i="83"/>
  <c r="AC190" i="83"/>
  <c r="AB190" i="83"/>
  <c r="AA190" i="83"/>
  <c r="Z190" i="83"/>
  <c r="AD189" i="83"/>
  <c r="AC189" i="83"/>
  <c r="AB189" i="83"/>
  <c r="AA189" i="83"/>
  <c r="Z189" i="83"/>
  <c r="AD188" i="83"/>
  <c r="AC188" i="83"/>
  <c r="AB188" i="83"/>
  <c r="AA188" i="83"/>
  <c r="Z188" i="83"/>
  <c r="AD187" i="83"/>
  <c r="AC187" i="83"/>
  <c r="AB187" i="83"/>
  <c r="AA187" i="83"/>
  <c r="Z187" i="83"/>
  <c r="AD186" i="83"/>
  <c r="AC186" i="83"/>
  <c r="AB186" i="83"/>
  <c r="AA186" i="83"/>
  <c r="Z186" i="83"/>
  <c r="AD185" i="83"/>
  <c r="AC185" i="83"/>
  <c r="AB185" i="83"/>
  <c r="AA185" i="83"/>
  <c r="Z185" i="83"/>
  <c r="AD184" i="83"/>
  <c r="H184" i="83" s="1"/>
  <c r="AC184" i="83"/>
  <c r="AB184" i="83"/>
  <c r="AA184" i="83"/>
  <c r="Z184" i="83"/>
  <c r="AD183" i="83"/>
  <c r="AC183" i="83"/>
  <c r="AB183" i="83"/>
  <c r="AA183" i="83"/>
  <c r="Z183" i="83"/>
  <c r="H227" i="83" l="1"/>
  <c r="F229" i="83"/>
  <c r="D231" i="83"/>
  <c r="G232" i="83"/>
  <c r="E234" i="83"/>
  <c r="E225" i="83"/>
  <c r="E233" i="83"/>
  <c r="E241" i="83"/>
  <c r="H235" i="83"/>
  <c r="D239" i="83"/>
  <c r="G240" i="83"/>
  <c r="E227" i="83"/>
  <c r="F230" i="83"/>
  <c r="F238" i="83"/>
  <c r="F221" i="83"/>
  <c r="D223" i="83"/>
  <c r="E242" i="83"/>
  <c r="H243" i="83"/>
  <c r="H220" i="83"/>
  <c r="D222" i="83"/>
  <c r="F228" i="83"/>
  <c r="F220" i="83"/>
  <c r="H226" i="83"/>
  <c r="E240" i="83"/>
  <c r="G223" i="83"/>
  <c r="F222" i="83"/>
  <c r="H228" i="83"/>
  <c r="D220" i="83"/>
  <c r="G221" i="83"/>
  <c r="E223" i="83"/>
  <c r="H224" i="83"/>
  <c r="F226" i="83"/>
  <c r="D228" i="83"/>
  <c r="G229" i="83"/>
  <c r="E231" i="83"/>
  <c r="H232" i="83"/>
  <c r="F234" i="83"/>
  <c r="D236" i="83"/>
  <c r="G237" i="83"/>
  <c r="E239" i="83"/>
  <c r="H240" i="83"/>
  <c r="F242" i="83"/>
  <c r="D230" i="83"/>
  <c r="G231" i="83"/>
  <c r="F236" i="83"/>
  <c r="H242" i="83"/>
  <c r="G226" i="83"/>
  <c r="E228" i="83"/>
  <c r="H229" i="83"/>
  <c r="F231" i="83"/>
  <c r="H237" i="83"/>
  <c r="F239" i="83"/>
  <c r="D232" i="83"/>
  <c r="H236" i="83"/>
  <c r="D238" i="83"/>
  <c r="G239" i="83"/>
  <c r="G225" i="83"/>
  <c r="G233" i="83"/>
  <c r="H234" i="83"/>
  <c r="F223" i="83"/>
  <c r="D225" i="83"/>
  <c r="D233" i="83"/>
  <c r="D241" i="83"/>
  <c r="H221" i="83"/>
  <c r="Y109" i="77"/>
  <c r="Y83" i="77"/>
  <c r="D83" i="77"/>
  <c r="E83" i="77"/>
  <c r="F83" i="77"/>
  <c r="G83" i="77"/>
  <c r="I83" i="77"/>
  <c r="J83" i="77"/>
  <c r="K83" i="77"/>
  <c r="L83" i="77"/>
  <c r="M83" i="77"/>
  <c r="N83" i="77"/>
  <c r="O83" i="77"/>
  <c r="P83" i="77"/>
  <c r="Q83" i="77"/>
  <c r="R83" i="77"/>
  <c r="T83" i="77"/>
  <c r="V83" i="77"/>
  <c r="Z83" i="77"/>
  <c r="Y108" i="78"/>
  <c r="Y83" i="78"/>
  <c r="D83" i="78"/>
  <c r="E83" i="78"/>
  <c r="F83" i="78"/>
  <c r="G83" i="78"/>
  <c r="H83" i="78"/>
  <c r="I83" i="78"/>
  <c r="J83" i="78"/>
  <c r="L83" i="78"/>
  <c r="M83" i="78"/>
  <c r="N83" i="78"/>
  <c r="O83" i="78"/>
  <c r="P83" i="78"/>
  <c r="Q83" i="78"/>
  <c r="R83" i="78"/>
  <c r="S83" i="78"/>
  <c r="T83" i="78"/>
  <c r="U83" i="78"/>
  <c r="V83" i="78"/>
  <c r="Z83" i="78"/>
  <c r="Y83" i="79"/>
  <c r="Y109" i="79" s="1"/>
  <c r="Z83" i="79"/>
  <c r="D83" i="79"/>
  <c r="E83" i="79"/>
  <c r="F83" i="79"/>
  <c r="G83" i="79"/>
  <c r="H83" i="79"/>
  <c r="I83" i="79"/>
  <c r="J83" i="79"/>
  <c r="L83" i="79"/>
  <c r="M83" i="79"/>
  <c r="N83" i="79"/>
  <c r="O83" i="79"/>
  <c r="P83" i="79"/>
  <c r="Q83" i="79"/>
  <c r="R83" i="79"/>
  <c r="S83" i="79"/>
  <c r="T83" i="79"/>
  <c r="V83" i="79"/>
  <c r="Z83" i="80"/>
  <c r="D83" i="80"/>
  <c r="Y83" i="80"/>
  <c r="Y109" i="80" s="1"/>
  <c r="E83" i="80"/>
  <c r="F83" i="80"/>
  <c r="G83" i="80"/>
  <c r="H83" i="80"/>
  <c r="I83" i="80"/>
  <c r="J83" i="80"/>
  <c r="K83" i="80"/>
  <c r="L83" i="80"/>
  <c r="M83" i="80"/>
  <c r="N83" i="80"/>
  <c r="O83" i="80"/>
  <c r="P83" i="80"/>
  <c r="Q83" i="80"/>
  <c r="R83" i="80"/>
  <c r="S83" i="80"/>
  <c r="T83" i="80"/>
  <c r="V83" i="80"/>
  <c r="F82" i="70"/>
  <c r="E82" i="70"/>
  <c r="R95" i="70" l="1"/>
  <c r="G103" i="70"/>
  <c r="C15" i="76"/>
  <c r="BB15" i="76"/>
  <c r="BB16" i="76"/>
  <c r="BB17" i="76"/>
  <c r="BB18" i="76"/>
  <c r="BB19" i="76"/>
  <c r="BB20" i="76"/>
  <c r="BB21" i="76"/>
  <c r="Y100" i="77" l="1"/>
  <c r="Y91" i="77"/>
  <c r="Y78" i="77"/>
  <c r="Y72" i="77"/>
  <c r="Y67" i="77"/>
  <c r="Y66" i="77"/>
  <c r="Y65" i="77"/>
  <c r="Y64" i="77"/>
  <c r="Y63" i="77"/>
  <c r="Y62" i="77"/>
  <c r="Y40" i="77"/>
  <c r="Y14" i="77"/>
  <c r="Y100" i="78"/>
  <c r="Y62" i="78"/>
  <c r="Y12" i="78"/>
  <c r="D106" i="79"/>
  <c r="E106" i="79"/>
  <c r="F106" i="79"/>
  <c r="G106" i="79"/>
  <c r="H106" i="79"/>
  <c r="I106" i="79"/>
  <c r="J106" i="79"/>
  <c r="K106" i="79"/>
  <c r="L106" i="79"/>
  <c r="M106" i="79"/>
  <c r="N106" i="79"/>
  <c r="O106" i="79"/>
  <c r="P106" i="79"/>
  <c r="Q106" i="79"/>
  <c r="R106" i="79"/>
  <c r="S106" i="79"/>
  <c r="T106" i="79"/>
  <c r="U106" i="79"/>
  <c r="V106" i="79"/>
  <c r="W106" i="79"/>
  <c r="X106" i="79"/>
  <c r="Y106" i="79"/>
  <c r="Z106" i="79"/>
  <c r="D107" i="79"/>
  <c r="E107" i="79"/>
  <c r="F107" i="79"/>
  <c r="G107" i="79"/>
  <c r="H107" i="79"/>
  <c r="I107" i="79"/>
  <c r="J107" i="79"/>
  <c r="K107" i="79"/>
  <c r="L107" i="79"/>
  <c r="M107" i="79"/>
  <c r="N107" i="79"/>
  <c r="O107" i="79"/>
  <c r="P107" i="79"/>
  <c r="Q107" i="79"/>
  <c r="R107" i="79"/>
  <c r="S107" i="79"/>
  <c r="T107" i="79"/>
  <c r="U107" i="79"/>
  <c r="V107" i="79"/>
  <c r="W107" i="79"/>
  <c r="X107" i="79"/>
  <c r="Y107" i="79"/>
  <c r="Z107" i="79"/>
  <c r="C107" i="79"/>
  <c r="C106" i="79"/>
  <c r="Y100" i="79"/>
  <c r="Y62" i="79"/>
  <c r="Y56" i="79"/>
  <c r="C106" i="78"/>
  <c r="D106" i="78"/>
  <c r="E106" i="78"/>
  <c r="F106" i="78"/>
  <c r="G106" i="78"/>
  <c r="H106" i="78"/>
  <c r="I106" i="78"/>
  <c r="J106" i="78"/>
  <c r="K106" i="78"/>
  <c r="L106" i="78"/>
  <c r="M106" i="78"/>
  <c r="N106" i="78"/>
  <c r="O106" i="78"/>
  <c r="P106" i="78"/>
  <c r="Q106" i="78"/>
  <c r="R106" i="78"/>
  <c r="S106" i="78"/>
  <c r="T106" i="78"/>
  <c r="U106" i="78"/>
  <c r="V106" i="78"/>
  <c r="W106" i="78"/>
  <c r="X106" i="78"/>
  <c r="Y106" i="78"/>
  <c r="Z106" i="78"/>
  <c r="C107" i="78"/>
  <c r="D107" i="78"/>
  <c r="E107" i="78"/>
  <c r="F107" i="78"/>
  <c r="G107" i="78"/>
  <c r="H107" i="78"/>
  <c r="I107" i="78"/>
  <c r="J107" i="78"/>
  <c r="K107" i="78"/>
  <c r="L107" i="78"/>
  <c r="M107" i="78"/>
  <c r="N107" i="78"/>
  <c r="O107" i="78"/>
  <c r="P107" i="78"/>
  <c r="Q107" i="78"/>
  <c r="R107" i="78"/>
  <c r="S107" i="78"/>
  <c r="T107" i="78"/>
  <c r="U107" i="78"/>
  <c r="V107" i="78"/>
  <c r="W107" i="78"/>
  <c r="X107" i="78"/>
  <c r="Y107" i="78"/>
  <c r="Z107" i="78"/>
  <c r="Y100" i="80"/>
  <c r="Y99" i="80"/>
  <c r="Y62" i="80"/>
  <c r="T83" i="81" l="1"/>
  <c r="T107" i="81"/>
  <c r="T106" i="81"/>
  <c r="T68" i="81"/>
  <c r="X98" i="70" l="1"/>
  <c r="D83" i="81"/>
  <c r="E83" i="81"/>
  <c r="F83" i="81"/>
  <c r="G83" i="81"/>
  <c r="I83" i="81"/>
  <c r="J83" i="81"/>
  <c r="K83" i="81"/>
  <c r="L83" i="81"/>
  <c r="M83" i="81"/>
  <c r="N83" i="81"/>
  <c r="O83" i="81"/>
  <c r="P83" i="81"/>
  <c r="Q83" i="81"/>
  <c r="R83" i="81"/>
  <c r="S83" i="81"/>
  <c r="V83" i="81"/>
  <c r="Y83" i="81"/>
  <c r="Z83" i="81"/>
  <c r="C68" i="81" l="1"/>
  <c r="AK171" i="60" l="1"/>
  <c r="AM171" i="60" s="1"/>
  <c r="AL64" i="60"/>
  <c r="AM64" i="60"/>
  <c r="AN64" i="60"/>
  <c r="AO64" i="60"/>
  <c r="AP64" i="60"/>
  <c r="AQ64" i="60"/>
  <c r="Z327" i="69"/>
  <c r="AA327" i="69"/>
  <c r="AB327" i="69"/>
  <c r="AC327" i="69"/>
  <c r="AD327" i="69"/>
  <c r="Z328" i="69"/>
  <c r="AA328" i="69"/>
  <c r="AB328" i="69"/>
  <c r="AC328" i="69"/>
  <c r="AD328" i="69"/>
  <c r="Z329" i="69"/>
  <c r="AA329" i="69"/>
  <c r="AB329" i="69"/>
  <c r="AC329" i="69"/>
  <c r="AD329" i="69"/>
  <c r="Z330" i="69"/>
  <c r="AA330" i="69"/>
  <c r="AB330" i="69"/>
  <c r="AC330" i="69"/>
  <c r="AD330" i="69"/>
  <c r="Z331" i="69"/>
  <c r="AA331" i="69"/>
  <c r="AB331" i="69"/>
  <c r="AC331" i="69"/>
  <c r="AD331" i="69"/>
  <c r="Z332" i="69"/>
  <c r="AA332" i="69"/>
  <c r="AB332" i="69"/>
  <c r="AC332" i="69"/>
  <c r="AD332" i="69"/>
  <c r="Z333" i="69"/>
  <c r="AA333" i="69"/>
  <c r="AB333" i="69"/>
  <c r="AC333" i="69"/>
  <c r="AD333" i="69"/>
  <c r="Z334" i="69"/>
  <c r="AA334" i="69"/>
  <c r="AB334" i="69"/>
  <c r="AC334" i="69"/>
  <c r="AD334" i="69"/>
  <c r="Z335" i="69"/>
  <c r="AA335" i="69"/>
  <c r="AB335" i="69"/>
  <c r="AC335" i="69"/>
  <c r="AD335" i="69"/>
  <c r="Z336" i="69"/>
  <c r="AA336" i="69"/>
  <c r="AB336" i="69"/>
  <c r="AC336" i="69"/>
  <c r="AD336" i="69"/>
  <c r="Z337" i="69"/>
  <c r="AA337" i="69"/>
  <c r="AB337" i="69"/>
  <c r="AC337" i="69"/>
  <c r="AD337" i="69"/>
  <c r="Z338" i="69"/>
  <c r="AA338" i="69"/>
  <c r="AB338" i="69"/>
  <c r="AC338" i="69"/>
  <c r="AD338" i="69"/>
  <c r="Z339" i="69"/>
  <c r="AA339" i="69"/>
  <c r="AB339" i="69"/>
  <c r="AC339" i="69"/>
  <c r="AD339" i="69"/>
  <c r="Z340" i="69"/>
  <c r="AA340" i="69"/>
  <c r="AB340" i="69"/>
  <c r="AC340" i="69"/>
  <c r="AD340" i="69"/>
  <c r="Z341" i="69"/>
  <c r="AA341" i="69"/>
  <c r="AB341" i="69"/>
  <c r="AC341" i="69"/>
  <c r="AD341" i="69"/>
  <c r="Z342" i="69"/>
  <c r="AA342" i="69"/>
  <c r="AB342" i="69"/>
  <c r="AC342" i="69"/>
  <c r="AD342" i="69"/>
  <c r="Z343" i="69"/>
  <c r="AA343" i="69"/>
  <c r="AB343" i="69"/>
  <c r="AC343" i="69"/>
  <c r="AD343" i="69"/>
  <c r="Z344" i="69"/>
  <c r="AA344" i="69"/>
  <c r="AB344" i="69"/>
  <c r="AC344" i="69"/>
  <c r="AD344" i="69"/>
  <c r="Z345" i="69"/>
  <c r="AA345" i="69"/>
  <c r="AB345" i="69"/>
  <c r="AC345" i="69"/>
  <c r="AD345" i="69"/>
  <c r="Z346" i="69"/>
  <c r="AA346" i="69"/>
  <c r="AB346" i="69"/>
  <c r="AC346" i="69"/>
  <c r="AD346" i="69"/>
  <c r="Z347" i="69"/>
  <c r="AA347" i="69"/>
  <c r="AB347" i="69"/>
  <c r="AC347" i="69"/>
  <c r="AD347" i="69"/>
  <c r="Z348" i="69"/>
  <c r="AA348" i="69"/>
  <c r="AB348" i="69"/>
  <c r="AC348" i="69"/>
  <c r="AD348" i="69"/>
  <c r="Z349" i="69"/>
  <c r="AA349" i="69"/>
  <c r="AB349" i="69"/>
  <c r="AC349" i="69"/>
  <c r="AD349" i="69"/>
  <c r="AA326" i="69"/>
  <c r="AB326" i="69"/>
  <c r="AC326" i="69"/>
  <c r="AD326" i="69"/>
  <c r="Z326" i="69"/>
  <c r="AQ171" i="60" l="1"/>
  <c r="AP171" i="60"/>
  <c r="AO171" i="60"/>
  <c r="AN171" i="60"/>
  <c r="AL171" i="60"/>
  <c r="Z44" i="84" l="1"/>
  <c r="Y44" i="84"/>
  <c r="AC172" i="84" l="1"/>
  <c r="AB172" i="84"/>
  <c r="AA172" i="84"/>
  <c r="Z172" i="84"/>
  <c r="AF172" i="84" s="1"/>
  <c r="Y172" i="84"/>
  <c r="X172" i="84"/>
  <c r="AD172" i="84" s="1"/>
  <c r="AC100" i="84"/>
  <c r="AB100" i="84"/>
  <c r="AA100" i="84"/>
  <c r="Z100" i="84"/>
  <c r="Y100" i="84"/>
  <c r="AE100" i="84" s="1"/>
  <c r="D100" i="84" s="1"/>
  <c r="AR64" i="84" s="1"/>
  <c r="X100" i="84"/>
  <c r="AD100" i="84" s="1"/>
  <c r="AC136" i="84"/>
  <c r="AB136" i="84"/>
  <c r="AA136" i="84"/>
  <c r="Z136" i="84"/>
  <c r="Y136" i="84"/>
  <c r="AD136" i="84"/>
  <c r="X136" i="84"/>
  <c r="B100" i="84"/>
  <c r="B136" i="84"/>
  <c r="B172" i="84"/>
  <c r="AE172" i="84" l="1"/>
  <c r="H33" i="84"/>
  <c r="G33" i="84"/>
  <c r="AH172" i="84" s="1"/>
  <c r="F33" i="84"/>
  <c r="E33" i="84"/>
  <c r="D33" i="84"/>
  <c r="T33" i="84"/>
  <c r="B33" i="84"/>
  <c r="AT7" i="86"/>
  <c r="AU7" i="86"/>
  <c r="AV7" i="86"/>
  <c r="AW7" i="86"/>
  <c r="AX7" i="86"/>
  <c r="AZ7" i="86"/>
  <c r="BA7" i="86"/>
  <c r="BB7" i="86"/>
  <c r="BC7" i="86"/>
  <c r="BD7" i="86"/>
  <c r="AT8" i="86"/>
  <c r="AU8" i="86"/>
  <c r="AV8" i="86"/>
  <c r="AW8" i="86"/>
  <c r="AX8" i="86"/>
  <c r="AZ8" i="86"/>
  <c r="BA8" i="86"/>
  <c r="BB8" i="86"/>
  <c r="BC8" i="86"/>
  <c r="BD8" i="86"/>
  <c r="AI136" i="84" l="1"/>
  <c r="H136" i="84" s="1"/>
  <c r="AG100" i="84"/>
  <c r="F100" i="84" s="1"/>
  <c r="AT64" i="84" s="1"/>
  <c r="AH100" i="84"/>
  <c r="G100" i="84" s="1"/>
  <c r="AU64" i="84" s="1"/>
  <c r="AI172" i="84"/>
  <c r="AE136" i="84"/>
  <c r="D136" i="84" s="1"/>
  <c r="AW64" i="84" s="1"/>
  <c r="G172" i="84"/>
  <c r="BE64" i="84" s="1"/>
  <c r="AG172" i="84"/>
  <c r="H172" i="84"/>
  <c r="D172" i="84"/>
  <c r="BB64" i="84" s="1"/>
  <c r="AH136" i="84"/>
  <c r="G136" i="84" s="1"/>
  <c r="AZ64" i="84" s="1"/>
  <c r="F172" i="84"/>
  <c r="BD64" i="84" s="1"/>
  <c r="AI100" i="84"/>
  <c r="H100" i="84" s="1"/>
  <c r="AG136" i="84"/>
  <c r="F136" i="84" s="1"/>
  <c r="AY64" i="84" s="1"/>
  <c r="E172" i="84"/>
  <c r="BC64" i="84" s="1"/>
  <c r="AF100" i="84"/>
  <c r="E100" i="84" s="1"/>
  <c r="AS64" i="84" s="1"/>
  <c r="AF136" i="84"/>
  <c r="E136" i="84" s="1"/>
  <c r="AX64" i="84" s="1"/>
  <c r="B134" i="50"/>
  <c r="B99" i="50"/>
  <c r="B32" i="50"/>
  <c r="B31" i="50"/>
  <c r="B64" i="50"/>
  <c r="AV64" i="84" l="1"/>
  <c r="AA74" i="76"/>
  <c r="BF64" i="84"/>
  <c r="AA76" i="76"/>
  <c r="BA64" i="84"/>
  <c r="AA75" i="76"/>
  <c r="X68" i="81"/>
  <c r="W68" i="81"/>
  <c r="V68" i="81"/>
  <c r="U68" i="81"/>
  <c r="S68" i="81"/>
  <c r="R68" i="81"/>
  <c r="Q68" i="81"/>
  <c r="P68" i="81"/>
  <c r="O68" i="81"/>
  <c r="N68" i="81"/>
  <c r="M68" i="81"/>
  <c r="L68" i="81"/>
  <c r="K68" i="81"/>
  <c r="J68" i="81"/>
  <c r="I68" i="81"/>
  <c r="H68" i="81"/>
  <c r="G68" i="81"/>
  <c r="F68" i="81"/>
  <c r="E68" i="81"/>
  <c r="D68" i="81"/>
  <c r="Z68" i="81"/>
  <c r="AJ257" i="67" l="1"/>
  <c r="AD257" i="67"/>
  <c r="H257" i="67" l="1"/>
  <c r="A3" i="92"/>
  <c r="A4" i="92"/>
  <c r="A5" i="92"/>
  <c r="A6" i="92"/>
  <c r="A7" i="92"/>
  <c r="A8" i="92"/>
  <c r="A9" i="92"/>
  <c r="A10" i="92"/>
  <c r="A11" i="92"/>
  <c r="A12" i="92"/>
  <c r="A13" i="92"/>
  <c r="A14" i="92"/>
  <c r="A15" i="92"/>
  <c r="A16" i="92"/>
  <c r="A17" i="92"/>
  <c r="A18" i="92"/>
  <c r="A19" i="92"/>
  <c r="A20" i="92"/>
  <c r="A21" i="92"/>
  <c r="A22" i="92"/>
  <c r="A23" i="92"/>
  <c r="A24" i="92"/>
  <c r="A25" i="92"/>
  <c r="A26" i="92"/>
  <c r="A27" i="92"/>
  <c r="A28" i="92"/>
  <c r="A29" i="92"/>
  <c r="A2" i="92"/>
  <c r="E41" i="22" l="1"/>
  <c r="F41" i="22"/>
  <c r="G41" i="22"/>
  <c r="H41" i="22"/>
  <c r="D41" i="22"/>
  <c r="D43" i="22"/>
  <c r="H200" i="75"/>
  <c r="G200" i="75"/>
  <c r="F200" i="75"/>
  <c r="E200" i="75"/>
  <c r="D200" i="75"/>
  <c r="H226" i="75"/>
  <c r="F43" i="22"/>
  <c r="E43" i="22"/>
  <c r="J43" i="22"/>
  <c r="D45" i="22"/>
  <c r="J45" i="22"/>
  <c r="P45" i="22"/>
  <c r="Z107" i="80" l="1"/>
  <c r="Y107" i="80"/>
  <c r="X107" i="80"/>
  <c r="W107" i="80"/>
  <c r="V107" i="80"/>
  <c r="U107" i="80"/>
  <c r="T107" i="80"/>
  <c r="S107" i="80"/>
  <c r="R107" i="80"/>
  <c r="Q107" i="80"/>
  <c r="P107" i="80"/>
  <c r="O107" i="80"/>
  <c r="N107" i="80"/>
  <c r="M107" i="80"/>
  <c r="L107" i="80"/>
  <c r="K107" i="80"/>
  <c r="J107" i="80"/>
  <c r="I107" i="80"/>
  <c r="H107" i="80"/>
  <c r="G107" i="80"/>
  <c r="F107" i="80"/>
  <c r="E107" i="80"/>
  <c r="D107" i="80"/>
  <c r="C107" i="80"/>
  <c r="Z106" i="80"/>
  <c r="Y106" i="80"/>
  <c r="X106" i="80"/>
  <c r="W106" i="80"/>
  <c r="V106" i="80"/>
  <c r="U106" i="80"/>
  <c r="T106" i="80"/>
  <c r="S106" i="80"/>
  <c r="R106" i="80"/>
  <c r="Q106" i="80"/>
  <c r="P106" i="80"/>
  <c r="O106" i="80"/>
  <c r="N106" i="80"/>
  <c r="M106" i="80"/>
  <c r="L106" i="80"/>
  <c r="K106" i="80"/>
  <c r="J106" i="80"/>
  <c r="I106" i="80"/>
  <c r="H106" i="80"/>
  <c r="G106" i="80"/>
  <c r="F106" i="80"/>
  <c r="E106" i="80"/>
  <c r="D106" i="80"/>
  <c r="C106" i="80"/>
  <c r="Z107" i="77"/>
  <c r="X107" i="77"/>
  <c r="W107" i="77"/>
  <c r="V107" i="77"/>
  <c r="U107" i="77"/>
  <c r="T107" i="77"/>
  <c r="S107" i="77"/>
  <c r="R107" i="77"/>
  <c r="Q107" i="77"/>
  <c r="P107" i="77"/>
  <c r="O107" i="77"/>
  <c r="N107" i="77"/>
  <c r="M107" i="77"/>
  <c r="L107" i="77"/>
  <c r="K107" i="77"/>
  <c r="J107" i="77"/>
  <c r="I107" i="77"/>
  <c r="H107" i="77"/>
  <c r="G107" i="77"/>
  <c r="F107" i="77"/>
  <c r="D107" i="77"/>
  <c r="C107" i="77"/>
  <c r="Z106" i="77"/>
  <c r="X106" i="77"/>
  <c r="W106" i="77"/>
  <c r="V106" i="77"/>
  <c r="U106" i="77"/>
  <c r="T106" i="77"/>
  <c r="S106" i="77"/>
  <c r="R106" i="77"/>
  <c r="Q106" i="77"/>
  <c r="P106" i="77"/>
  <c r="O106" i="77"/>
  <c r="N106" i="77"/>
  <c r="M106" i="77"/>
  <c r="L106" i="77"/>
  <c r="K106" i="77"/>
  <c r="J106" i="77"/>
  <c r="I106" i="77"/>
  <c r="H106" i="77"/>
  <c r="G106" i="77"/>
  <c r="F106" i="77"/>
  <c r="D106" i="77"/>
  <c r="C106" i="77"/>
  <c r="Y106" i="77"/>
  <c r="Y107" i="77" l="1"/>
  <c r="Y105" i="81" l="1"/>
  <c r="Y104" i="81"/>
  <c r="Y100" i="81"/>
  <c r="Y99" i="81"/>
  <c r="Y80" i="81"/>
  <c r="Y68" i="81"/>
  <c r="C106" i="81"/>
  <c r="C107" i="81"/>
  <c r="G226" i="75" l="1"/>
  <c r="F226" i="75"/>
  <c r="E226" i="75"/>
  <c r="D226" i="75"/>
  <c r="H32" i="87" l="1"/>
  <c r="D106" i="81"/>
  <c r="E106" i="81"/>
  <c r="F106" i="81"/>
  <c r="G106" i="81"/>
  <c r="H106" i="81"/>
  <c r="I106" i="81"/>
  <c r="J106" i="81"/>
  <c r="K106" i="81"/>
  <c r="L106" i="81"/>
  <c r="M106" i="81"/>
  <c r="N106" i="81"/>
  <c r="O106" i="81"/>
  <c r="P106" i="81"/>
  <c r="Q106" i="81"/>
  <c r="R106" i="81"/>
  <c r="S106" i="81"/>
  <c r="U106" i="81"/>
  <c r="V106" i="81"/>
  <c r="W106" i="81"/>
  <c r="X106" i="81"/>
  <c r="Z106" i="81"/>
  <c r="D107" i="81"/>
  <c r="E107" i="81"/>
  <c r="F107" i="81"/>
  <c r="G107" i="81"/>
  <c r="H107" i="81"/>
  <c r="I107" i="81"/>
  <c r="J107" i="81"/>
  <c r="K107" i="81"/>
  <c r="L107" i="81"/>
  <c r="M107" i="81"/>
  <c r="N107" i="81"/>
  <c r="O107" i="81"/>
  <c r="P107" i="81"/>
  <c r="Q107" i="81"/>
  <c r="R107" i="81"/>
  <c r="S107" i="81"/>
  <c r="U107" i="81"/>
  <c r="V107" i="81"/>
  <c r="W107" i="81"/>
  <c r="X107" i="81"/>
  <c r="Z107" i="81"/>
  <c r="H32" i="75"/>
  <c r="E3" i="75"/>
  <c r="Y106" i="81" l="1"/>
  <c r="Y107" i="81"/>
  <c r="H28" i="75" l="1"/>
  <c r="H13" i="72" l="1"/>
  <c r="G13" i="72"/>
  <c r="F13" i="72"/>
  <c r="E13" i="72"/>
  <c r="D13" i="72"/>
  <c r="H191" i="83" l="1"/>
  <c r="H199" i="83"/>
  <c r="G188" i="83"/>
  <c r="G204" i="83"/>
  <c r="G196" i="83"/>
  <c r="F201" i="83"/>
  <c r="F193" i="83"/>
  <c r="F206" i="83"/>
  <c r="F185" i="83"/>
  <c r="E198" i="83"/>
  <c r="E190" i="83"/>
  <c r="D203" i="83"/>
  <c r="D195" i="83"/>
  <c r="D187" i="83"/>
  <c r="G202" i="83"/>
  <c r="E204" i="83"/>
  <c r="H205" i="83"/>
  <c r="G207" i="83"/>
  <c r="G184" i="83"/>
  <c r="E186" i="83"/>
  <c r="H187" i="83"/>
  <c r="F189" i="83"/>
  <c r="D191" i="83"/>
  <c r="G192" i="83"/>
  <c r="E194" i="83"/>
  <c r="H195" i="83"/>
  <c r="F197" i="83"/>
  <c r="D199" i="83"/>
  <c r="G200" i="83"/>
  <c r="E202" i="83"/>
  <c r="H203" i="83"/>
  <c r="F205" i="83"/>
  <c r="D185" i="83"/>
  <c r="G186" i="83"/>
  <c r="F191" i="83"/>
  <c r="D193" i="83"/>
  <c r="E196" i="83"/>
  <c r="F199" i="83"/>
  <c r="D201" i="83"/>
  <c r="E188" i="83"/>
  <c r="H189" i="83"/>
  <c r="G194" i="83"/>
  <c r="E207" i="83"/>
  <c r="H197" i="83"/>
  <c r="F184" i="83"/>
  <c r="D186" i="83"/>
  <c r="G187" i="83"/>
  <c r="E189" i="83"/>
  <c r="H190" i="83"/>
  <c r="F192" i="83"/>
  <c r="D194" i="83"/>
  <c r="G195" i="83"/>
  <c r="E197" i="83"/>
  <c r="H198" i="83"/>
  <c r="F200" i="83"/>
  <c r="D202" i="83"/>
  <c r="G203" i="83"/>
  <c r="E205" i="83"/>
  <c r="D207" i="83"/>
  <c r="D184" i="83"/>
  <c r="G185" i="83"/>
  <c r="E187" i="83"/>
  <c r="H188" i="83"/>
  <c r="F190" i="83"/>
  <c r="D192" i="83"/>
  <c r="G193" i="83"/>
  <c r="E195" i="83"/>
  <c r="H196" i="83"/>
  <c r="F198" i="83"/>
  <c r="D200" i="83"/>
  <c r="G201" i="83"/>
  <c r="E203" i="83"/>
  <c r="H204" i="83"/>
  <c r="G206" i="83"/>
  <c r="H193" i="83"/>
  <c r="F195" i="83"/>
  <c r="D197" i="83"/>
  <c r="G198" i="83"/>
  <c r="E200" i="83"/>
  <c r="H201" i="83"/>
  <c r="F203" i="83"/>
  <c r="D205" i="83"/>
  <c r="F186" i="83"/>
  <c r="D188" i="83"/>
  <c r="G189" i="83"/>
  <c r="E191" i="83"/>
  <c r="H192" i="83"/>
  <c r="F194" i="83"/>
  <c r="D196" i="83"/>
  <c r="G197" i="83"/>
  <c r="E199" i="83"/>
  <c r="H200" i="83"/>
  <c r="F202" i="83"/>
  <c r="D204" i="83"/>
  <c r="G205" i="83"/>
  <c r="F207" i="83"/>
  <c r="E206" i="83"/>
  <c r="E184" i="83"/>
  <c r="H185" i="83"/>
  <c r="F187" i="83"/>
  <c r="D189" i="83"/>
  <c r="G190" i="83"/>
  <c r="E192" i="83"/>
  <c r="E185" i="83"/>
  <c r="H186" i="83"/>
  <c r="F188" i="83"/>
  <c r="D190" i="83"/>
  <c r="G191" i="83"/>
  <c r="E193" i="83"/>
  <c r="H194" i="83"/>
  <c r="F196" i="83"/>
  <c r="D198" i="83"/>
  <c r="G199" i="83"/>
  <c r="E201" i="83"/>
  <c r="H202" i="83"/>
  <c r="F204" i="83"/>
  <c r="H207" i="83"/>
  <c r="D206" i="83"/>
  <c r="AD294" i="83" l="1"/>
  <c r="AD293" i="83" s="1"/>
  <c r="AA294" i="83"/>
  <c r="Z294" i="83"/>
  <c r="AD176" i="83"/>
  <c r="AD175" i="83" s="1"/>
  <c r="AA176" i="83"/>
  <c r="Z176" i="83"/>
  <c r="Z44" i="83"/>
  <c r="AD44" i="83"/>
  <c r="AD43" i="83" s="1"/>
  <c r="AA44" i="83"/>
  <c r="AD44" i="69" l="1"/>
  <c r="AD43" i="69" s="1"/>
  <c r="Z44" i="69"/>
  <c r="AA44" i="69"/>
  <c r="AD150" i="68"/>
  <c r="AD149" i="68" s="1"/>
  <c r="AA150" i="68"/>
  <c r="Z150" i="68"/>
  <c r="AD44" i="68"/>
  <c r="AD43" i="68" s="1"/>
  <c r="AA44" i="68"/>
  <c r="Z44" i="68"/>
  <c r="AD44" i="67"/>
  <c r="AD43" i="67" s="1"/>
  <c r="AA44" i="67"/>
  <c r="Z44" i="67"/>
  <c r="AD44" i="66"/>
  <c r="AD43" i="66" s="1"/>
  <c r="AA44" i="66"/>
  <c r="Z44" i="66"/>
  <c r="AD44" i="65"/>
  <c r="AD43" i="65" s="1"/>
  <c r="AA44" i="65"/>
  <c r="Z44" i="65"/>
  <c r="AD44" i="64"/>
  <c r="AD43" i="64" s="1"/>
  <c r="AA44" i="64"/>
  <c r="Z44" i="64"/>
  <c r="AD44" i="49"/>
  <c r="AD43" i="49" s="1"/>
  <c r="AD44" i="63"/>
  <c r="AD43" i="63" s="1"/>
  <c r="AA44" i="63"/>
  <c r="Z44" i="63"/>
  <c r="AD44" i="62"/>
  <c r="AD43" i="62" s="1"/>
  <c r="AA44" i="62"/>
  <c r="Z44" i="62"/>
  <c r="AA44" i="49"/>
  <c r="Z44" i="49"/>
  <c r="A34" i="92"/>
  <c r="H206" i="83" l="1"/>
  <c r="C32" i="44"/>
  <c r="D31" i="44"/>
  <c r="E30" i="44"/>
  <c r="E29" i="44"/>
  <c r="E28" i="44"/>
  <c r="E27" i="44"/>
  <c r="E26" i="44"/>
  <c r="E25" i="44"/>
  <c r="E24" i="44"/>
  <c r="E23" i="44"/>
  <c r="E22" i="44"/>
  <c r="E21" i="44"/>
  <c r="E20" i="44"/>
  <c r="E19" i="44"/>
  <c r="E18" i="44"/>
  <c r="E17" i="44"/>
  <c r="E16" i="44"/>
  <c r="E15" i="44"/>
  <c r="E14" i="44"/>
  <c r="E13" i="44"/>
  <c r="E12" i="44"/>
  <c r="E11" i="44"/>
  <c r="E10" i="44"/>
  <c r="E9" i="44"/>
  <c r="E31" i="44" s="1"/>
  <c r="C31" i="44" s="1"/>
  <c r="H139" i="68" l="1"/>
  <c r="G139" i="68"/>
  <c r="F139" i="68"/>
  <c r="E139" i="68"/>
  <c r="D139" i="68"/>
  <c r="H137" i="68"/>
  <c r="G137" i="68"/>
  <c r="F137" i="68"/>
  <c r="E137" i="68"/>
  <c r="D137" i="68"/>
  <c r="H136" i="68"/>
  <c r="G136" i="68"/>
  <c r="F136" i="68"/>
  <c r="E136" i="68"/>
  <c r="D136" i="68"/>
  <c r="H135" i="68"/>
  <c r="G135" i="68"/>
  <c r="F135" i="68"/>
  <c r="E135" i="68"/>
  <c r="D135" i="68"/>
  <c r="H134" i="68"/>
  <c r="G134" i="68"/>
  <c r="F134" i="68"/>
  <c r="E134" i="68"/>
  <c r="D134" i="68"/>
  <c r="H133" i="68"/>
  <c r="G133" i="68"/>
  <c r="F133" i="68"/>
  <c r="E133" i="68"/>
  <c r="D133" i="68"/>
  <c r="H132" i="68"/>
  <c r="G132" i="68"/>
  <c r="F132" i="68"/>
  <c r="E132" i="68"/>
  <c r="D132" i="68"/>
  <c r="H131" i="68"/>
  <c r="G131" i="68"/>
  <c r="F131" i="68"/>
  <c r="E131" i="68"/>
  <c r="D131" i="68"/>
  <c r="H130" i="68"/>
  <c r="G130" i="68"/>
  <c r="F130" i="68"/>
  <c r="E130" i="68"/>
  <c r="D130" i="68"/>
  <c r="H129" i="68"/>
  <c r="G129" i="68"/>
  <c r="F129" i="68"/>
  <c r="E129" i="68"/>
  <c r="D129" i="68"/>
  <c r="H128" i="68"/>
  <c r="G128" i="68"/>
  <c r="F128" i="68"/>
  <c r="E128" i="68"/>
  <c r="D128" i="68"/>
  <c r="H127" i="68"/>
  <c r="G127" i="68"/>
  <c r="F127" i="68"/>
  <c r="E127" i="68"/>
  <c r="D127" i="68"/>
  <c r="H126" i="68"/>
  <c r="G126" i="68"/>
  <c r="F126" i="68"/>
  <c r="E126" i="68"/>
  <c r="D126" i="68"/>
  <c r="H125" i="68"/>
  <c r="G125" i="68"/>
  <c r="F125" i="68"/>
  <c r="E125" i="68"/>
  <c r="D125" i="68"/>
  <c r="H124" i="68"/>
  <c r="G124" i="68"/>
  <c r="F124" i="68"/>
  <c r="E124" i="68"/>
  <c r="D124" i="68"/>
  <c r="H123" i="68"/>
  <c r="G123" i="68"/>
  <c r="F123" i="68"/>
  <c r="E123" i="68"/>
  <c r="D123" i="68"/>
  <c r="H122" i="68"/>
  <c r="G122" i="68"/>
  <c r="F122" i="68"/>
  <c r="E122" i="68"/>
  <c r="D122" i="68"/>
  <c r="H121" i="68"/>
  <c r="G121" i="68"/>
  <c r="F121" i="68"/>
  <c r="E121" i="68"/>
  <c r="D121" i="68"/>
  <c r="H120" i="68"/>
  <c r="G120" i="68"/>
  <c r="F120" i="68"/>
  <c r="E120" i="68"/>
  <c r="D120" i="68"/>
  <c r="H119" i="68"/>
  <c r="G119" i="68"/>
  <c r="F119" i="68"/>
  <c r="E119" i="68"/>
  <c r="D119" i="68"/>
  <c r="H118" i="68"/>
  <c r="G118" i="68"/>
  <c r="F118" i="68"/>
  <c r="E118" i="68"/>
  <c r="D118" i="68"/>
  <c r="H117" i="68"/>
  <c r="G117" i="68"/>
  <c r="F117" i="68"/>
  <c r="E117" i="68"/>
  <c r="D117" i="68"/>
  <c r="H116" i="68"/>
  <c r="G116" i="68"/>
  <c r="F116" i="68"/>
  <c r="E116" i="68"/>
  <c r="D116" i="68"/>
  <c r="H33" i="68"/>
  <c r="G33" i="68"/>
  <c r="F33" i="68"/>
  <c r="E33" i="68"/>
  <c r="D33" i="68"/>
  <c r="H31" i="68"/>
  <c r="G31" i="68"/>
  <c r="F31" i="68"/>
  <c r="E31" i="68"/>
  <c r="D31" i="68"/>
  <c r="H30" i="68"/>
  <c r="G30" i="68"/>
  <c r="F30" i="68"/>
  <c r="E30" i="68"/>
  <c r="D30" i="68"/>
  <c r="H29" i="68"/>
  <c r="G29" i="68"/>
  <c r="F29" i="68"/>
  <c r="E29" i="68"/>
  <c r="D29" i="68"/>
  <c r="H28" i="68"/>
  <c r="G28" i="68"/>
  <c r="F28" i="68"/>
  <c r="E28" i="68"/>
  <c r="D28" i="68"/>
  <c r="H27" i="68"/>
  <c r="G27" i="68"/>
  <c r="F27" i="68"/>
  <c r="E27" i="68"/>
  <c r="D27" i="68"/>
  <c r="H26" i="68"/>
  <c r="G26" i="68"/>
  <c r="F26" i="68"/>
  <c r="E26" i="68"/>
  <c r="D26" i="68"/>
  <c r="H25" i="68"/>
  <c r="G25" i="68"/>
  <c r="F25" i="68"/>
  <c r="E25" i="68"/>
  <c r="D25" i="68"/>
  <c r="H24" i="68"/>
  <c r="G24" i="68"/>
  <c r="F24" i="68"/>
  <c r="E24" i="68"/>
  <c r="D24" i="68"/>
  <c r="H23" i="68"/>
  <c r="G23" i="68"/>
  <c r="F23" i="68"/>
  <c r="E23" i="68"/>
  <c r="D23" i="68"/>
  <c r="H22" i="68"/>
  <c r="G22" i="68"/>
  <c r="F22" i="68"/>
  <c r="E22" i="68"/>
  <c r="D22" i="68"/>
  <c r="H21" i="68"/>
  <c r="G21" i="68"/>
  <c r="F21" i="68"/>
  <c r="E21" i="68"/>
  <c r="D21" i="68"/>
  <c r="H20" i="68"/>
  <c r="G20" i="68"/>
  <c r="F20" i="68"/>
  <c r="E20" i="68"/>
  <c r="D20" i="68"/>
  <c r="H19" i="68"/>
  <c r="G19" i="68"/>
  <c r="F19" i="68"/>
  <c r="E19" i="68"/>
  <c r="D19" i="68"/>
  <c r="H18" i="68"/>
  <c r="G18" i="68"/>
  <c r="F18" i="68"/>
  <c r="E18" i="68"/>
  <c r="D18" i="68"/>
  <c r="H17" i="68"/>
  <c r="G17" i="68"/>
  <c r="F17" i="68"/>
  <c r="E17" i="68"/>
  <c r="D17" i="68"/>
  <c r="H16" i="68"/>
  <c r="G16" i="68"/>
  <c r="F16" i="68"/>
  <c r="E16" i="68"/>
  <c r="D16" i="68"/>
  <c r="H15" i="68"/>
  <c r="G15" i="68"/>
  <c r="F15" i="68"/>
  <c r="E15" i="68"/>
  <c r="D15" i="68"/>
  <c r="H14" i="68"/>
  <c r="G14" i="68"/>
  <c r="F14" i="68"/>
  <c r="E14" i="68"/>
  <c r="D14" i="68"/>
  <c r="H13" i="68"/>
  <c r="G13" i="68"/>
  <c r="F13" i="68"/>
  <c r="E13" i="68"/>
  <c r="D13" i="68"/>
  <c r="H12" i="68"/>
  <c r="G12" i="68"/>
  <c r="F12" i="68"/>
  <c r="E12" i="68"/>
  <c r="D12" i="68"/>
  <c r="H11" i="68"/>
  <c r="G11" i="68"/>
  <c r="F11" i="68"/>
  <c r="E11" i="68"/>
  <c r="D11" i="68"/>
  <c r="H10" i="68"/>
  <c r="G10" i="68"/>
  <c r="F10" i="68"/>
  <c r="E10" i="68"/>
  <c r="D10" i="68"/>
  <c r="D32" i="68"/>
  <c r="D138" i="68"/>
  <c r="E32" i="68"/>
  <c r="E138" i="68"/>
  <c r="F32" i="68"/>
  <c r="F138" i="68"/>
  <c r="G32" i="68"/>
  <c r="G138" i="68"/>
  <c r="H32" i="68"/>
  <c r="H138" i="68"/>
  <c r="AJ231" i="67" l="1"/>
  <c r="D88" i="75" l="1"/>
  <c r="E88" i="75"/>
  <c r="F88" i="75"/>
  <c r="H88" i="75"/>
  <c r="H256" i="75" l="1"/>
  <c r="A1" i="80" l="1"/>
  <c r="A1" i="79"/>
  <c r="A1" i="78"/>
  <c r="A1" i="77"/>
  <c r="A1" i="81"/>
  <c r="AJ148" i="83" l="1"/>
  <c r="AJ149" i="83"/>
  <c r="AJ150" i="83"/>
  <c r="AJ151" i="83"/>
  <c r="AJ152" i="83"/>
  <c r="AJ153" i="83"/>
  <c r="AJ154" i="83"/>
  <c r="AJ155" i="83"/>
  <c r="AJ156" i="83"/>
  <c r="AJ157" i="83"/>
  <c r="AJ158" i="83"/>
  <c r="AJ159" i="83"/>
  <c r="AJ160" i="83"/>
  <c r="AJ161" i="83"/>
  <c r="AJ162" i="83"/>
  <c r="AJ163" i="83"/>
  <c r="AJ164" i="83"/>
  <c r="AJ165" i="83"/>
  <c r="AJ166" i="83"/>
  <c r="AJ167" i="83"/>
  <c r="AJ168" i="83"/>
  <c r="AJ169" i="83"/>
  <c r="AJ170" i="83"/>
  <c r="AJ171" i="83"/>
  <c r="BB22" i="76" l="1"/>
  <c r="BB23" i="76"/>
  <c r="BB24" i="76"/>
  <c r="BB25" i="76"/>
  <c r="BB26" i="76"/>
  <c r="BB27" i="76"/>
  <c r="BB28" i="76"/>
  <c r="BB39" i="76"/>
  <c r="BB40" i="76"/>
  <c r="BB41" i="76"/>
  <c r="BB42" i="76"/>
  <c r="BB29" i="76"/>
  <c r="BB30" i="76"/>
  <c r="BB31" i="76"/>
  <c r="BB32" i="76"/>
  <c r="BB33" i="76"/>
  <c r="BB34" i="76"/>
  <c r="BB35" i="76"/>
  <c r="BB36" i="76"/>
  <c r="BB37" i="76"/>
  <c r="BB38" i="76"/>
  <c r="BB43" i="76"/>
  <c r="BB44" i="76"/>
  <c r="BB45" i="76"/>
  <c r="BB46" i="76"/>
  <c r="BB47" i="76"/>
  <c r="BB48" i="76"/>
  <c r="BB49" i="76"/>
  <c r="BB50" i="76"/>
  <c r="BB51" i="76"/>
  <c r="BB52" i="76"/>
  <c r="BB53" i="76"/>
  <c r="BB54" i="76"/>
  <c r="BB55" i="76"/>
  <c r="BB56" i="76"/>
  <c r="BB57" i="76"/>
  <c r="BB58" i="76"/>
  <c r="BB59" i="76"/>
  <c r="BB60" i="76"/>
  <c r="BB68" i="76"/>
  <c r="BB69" i="76"/>
  <c r="BB70" i="76"/>
  <c r="BB71" i="76"/>
  <c r="BB72" i="76"/>
  <c r="BB61" i="76"/>
  <c r="BB62" i="76"/>
  <c r="BB63" i="76"/>
  <c r="BB64" i="76"/>
  <c r="BB65" i="76"/>
  <c r="BB73" i="76"/>
  <c r="BB74" i="76"/>
  <c r="BB75" i="76"/>
  <c r="BB76" i="76"/>
  <c r="BB77" i="76"/>
  <c r="BB78" i="76"/>
  <c r="BB79" i="76"/>
  <c r="BB66" i="76"/>
  <c r="BB67" i="76"/>
  <c r="BB80" i="76"/>
  <c r="BB81" i="76"/>
  <c r="BB82" i="76"/>
  <c r="O3" i="92"/>
  <c r="R3" i="92"/>
  <c r="S3" i="92"/>
  <c r="O4" i="92"/>
  <c r="R4" i="92"/>
  <c r="S4" i="92"/>
  <c r="O5" i="92"/>
  <c r="R5" i="92"/>
  <c r="S5" i="92"/>
  <c r="O6" i="92"/>
  <c r="R6" i="92"/>
  <c r="S6" i="92"/>
  <c r="O7" i="92"/>
  <c r="R7" i="92"/>
  <c r="S7" i="92"/>
  <c r="O8" i="92"/>
  <c r="R8" i="92"/>
  <c r="S8" i="92"/>
  <c r="O9" i="92"/>
  <c r="R9" i="92"/>
  <c r="S9" i="92"/>
  <c r="O10" i="92"/>
  <c r="R10" i="92"/>
  <c r="S10" i="92"/>
  <c r="O11" i="92"/>
  <c r="R11" i="92"/>
  <c r="S11" i="92"/>
  <c r="O12" i="92"/>
  <c r="R12" i="92"/>
  <c r="S12" i="92"/>
  <c r="O13" i="92"/>
  <c r="R13" i="92"/>
  <c r="S13" i="92"/>
  <c r="O14" i="92"/>
  <c r="R14" i="92"/>
  <c r="S14" i="92"/>
  <c r="O15" i="92"/>
  <c r="R15" i="92"/>
  <c r="S15" i="92"/>
  <c r="O16" i="92"/>
  <c r="R16" i="92"/>
  <c r="S16" i="92"/>
  <c r="O17" i="92"/>
  <c r="R17" i="92"/>
  <c r="S17" i="92"/>
  <c r="O18" i="92"/>
  <c r="R18" i="92"/>
  <c r="S18" i="92"/>
  <c r="O19" i="92"/>
  <c r="R19" i="92"/>
  <c r="S19" i="92"/>
  <c r="O20" i="92"/>
  <c r="R20" i="92"/>
  <c r="S20" i="92"/>
  <c r="O21" i="92"/>
  <c r="R21" i="92"/>
  <c r="S21" i="92"/>
  <c r="O22" i="92"/>
  <c r="R22" i="92"/>
  <c r="S22" i="92"/>
  <c r="O23" i="92"/>
  <c r="R23" i="92"/>
  <c r="S23" i="92"/>
  <c r="O24" i="92"/>
  <c r="R24" i="92"/>
  <c r="S24" i="92"/>
  <c r="O25" i="92"/>
  <c r="R25" i="92"/>
  <c r="S25" i="92"/>
  <c r="O26" i="92"/>
  <c r="R26" i="92"/>
  <c r="S26" i="92"/>
  <c r="O27" i="92"/>
  <c r="R27" i="92"/>
  <c r="S27" i="92"/>
  <c r="O28" i="92"/>
  <c r="R28" i="92"/>
  <c r="S28" i="92"/>
  <c r="O29" i="92"/>
  <c r="R29" i="92"/>
  <c r="S29" i="92"/>
  <c r="O2" i="92"/>
  <c r="R2" i="92"/>
  <c r="S2" i="92"/>
  <c r="B32" i="86" l="1"/>
  <c r="AS32" i="86" s="1"/>
  <c r="H8" i="86" l="1"/>
  <c r="G8" i="86"/>
  <c r="F8" i="86"/>
  <c r="E8" i="86"/>
  <c r="D8" i="86"/>
  <c r="AJ147" i="68" l="1"/>
  <c r="AJ148" i="68"/>
  <c r="Y149" i="68"/>
  <c r="AJ149" i="68"/>
  <c r="Y150" i="68"/>
  <c r="AJ150" i="68"/>
  <c r="AJ151" i="68"/>
  <c r="AJ152" i="68"/>
  <c r="AJ153" i="68"/>
  <c r="AJ154" i="68"/>
  <c r="AJ155" i="68"/>
  <c r="AJ156" i="68"/>
  <c r="AJ157" i="68"/>
  <c r="AJ158" i="68"/>
  <c r="AJ159" i="68"/>
  <c r="AJ160" i="68"/>
  <c r="AJ161" i="68"/>
  <c r="AJ162" i="68"/>
  <c r="AJ163" i="68"/>
  <c r="AJ164" i="68"/>
  <c r="AJ165" i="68"/>
  <c r="AJ166" i="68"/>
  <c r="AJ167" i="68"/>
  <c r="AJ168" i="68"/>
  <c r="AJ169" i="68"/>
  <c r="AJ170" i="68"/>
  <c r="F3" i="75" l="1"/>
  <c r="B107" i="50" s="1"/>
  <c r="H3" i="75"/>
  <c r="G3" i="75"/>
  <c r="C67" i="76" l="1"/>
  <c r="C66" i="76"/>
  <c r="C73" i="76"/>
  <c r="C52" i="76"/>
  <c r="C54" i="76"/>
  <c r="C81" i="76"/>
  <c r="C65" i="76"/>
  <c r="C55" i="76"/>
  <c r="C78" i="76"/>
  <c r="C61" i="76"/>
  <c r="C63" i="76"/>
  <c r="C77" i="76"/>
  <c r="C49" i="76"/>
  <c r="C62" i="76"/>
  <c r="C51" i="76"/>
  <c r="C48" i="76"/>
  <c r="C37" i="76"/>
  <c r="C50" i="76"/>
  <c r="C38" i="76"/>
  <c r="C44" i="76"/>
  <c r="C35" i="76"/>
  <c r="C36" i="76"/>
  <c r="C27" i="76"/>
  <c r="C29" i="76"/>
  <c r="AC44" i="85"/>
  <c r="AC43" i="85"/>
  <c r="E14" i="76" l="1"/>
  <c r="F14" i="76"/>
  <c r="G14" i="76"/>
  <c r="H14" i="76"/>
  <c r="I14" i="76"/>
  <c r="J14" i="76"/>
  <c r="K14" i="76"/>
  <c r="L14" i="76"/>
  <c r="M14" i="76"/>
  <c r="N14" i="76"/>
  <c r="O14" i="76"/>
  <c r="P14" i="76"/>
  <c r="Q14" i="76"/>
  <c r="R14" i="76"/>
  <c r="S14" i="76"/>
  <c r="T14" i="76"/>
  <c r="U14" i="76"/>
  <c r="V14" i="76"/>
  <c r="W14" i="76"/>
  <c r="X14" i="76"/>
  <c r="Y14" i="76"/>
  <c r="D14" i="76"/>
  <c r="S10" i="65" l="1"/>
  <c r="Z116" i="68"/>
  <c r="Z117" i="68"/>
  <c r="Z118" i="68"/>
  <c r="Z119" i="68"/>
  <c r="Z120" i="68"/>
  <c r="Z121" i="68"/>
  <c r="Z122" i="68"/>
  <c r="Z123" i="68"/>
  <c r="Z124" i="68"/>
  <c r="Z125" i="68"/>
  <c r="Z126" i="68"/>
  <c r="Z127" i="68"/>
  <c r="Z128" i="68"/>
  <c r="Z129" i="68"/>
  <c r="Z130" i="68"/>
  <c r="Z131" i="68"/>
  <c r="Z132" i="68"/>
  <c r="Z133" i="68"/>
  <c r="Z134" i="68"/>
  <c r="Z135" i="68"/>
  <c r="Z136" i="68"/>
  <c r="Z137" i="68"/>
  <c r="Z10" i="68"/>
  <c r="AI207" i="69" l="1"/>
  <c r="AH207" i="69"/>
  <c r="AG207" i="69"/>
  <c r="AF207" i="69"/>
  <c r="AE207" i="69"/>
  <c r="Y44" i="83"/>
  <c r="AA82" i="70"/>
  <c r="R98" i="70"/>
  <c r="R99" i="70"/>
  <c r="AM113" i="70"/>
  <c r="AM114" i="70"/>
  <c r="AM115" i="70"/>
  <c r="AM116" i="70"/>
  <c r="AM117" i="70"/>
  <c r="AM118" i="70"/>
  <c r="AM119" i="70"/>
  <c r="AM120" i="70"/>
  <c r="AM121" i="70"/>
  <c r="AM122" i="70"/>
  <c r="AM123" i="70"/>
  <c r="AM124" i="70"/>
  <c r="AM125" i="70"/>
  <c r="AM126" i="70"/>
  <c r="AM127" i="70"/>
  <c r="AM128" i="70"/>
  <c r="AM129" i="70"/>
  <c r="AM130" i="70"/>
  <c r="AM131" i="70"/>
  <c r="AM132" i="70"/>
  <c r="AM133" i="70"/>
  <c r="AM134" i="70"/>
  <c r="AM135" i="70"/>
  <c r="AM136" i="70"/>
  <c r="AI149" i="70"/>
  <c r="AI150" i="70"/>
  <c r="AI151" i="70"/>
  <c r="AI152" i="70"/>
  <c r="AI153" i="70"/>
  <c r="AI154" i="70"/>
  <c r="AI155" i="70"/>
  <c r="AI156" i="70"/>
  <c r="AI157" i="70"/>
  <c r="AI158" i="70"/>
  <c r="AI159" i="70"/>
  <c r="AI160" i="70"/>
  <c r="AI161" i="70"/>
  <c r="AI162" i="70"/>
  <c r="AI163" i="70"/>
  <c r="AI164" i="70"/>
  <c r="AI165" i="70"/>
  <c r="AI166" i="70"/>
  <c r="AI167" i="70"/>
  <c r="AI168" i="70"/>
  <c r="AI169" i="70"/>
  <c r="AI170" i="70"/>
  <c r="AI172" i="70"/>
  <c r="T83" i="70"/>
  <c r="T84" i="70"/>
  <c r="T85" i="70"/>
  <c r="T86" i="70"/>
  <c r="T87" i="70"/>
  <c r="T88" i="70"/>
  <c r="T89" i="70"/>
  <c r="T90" i="70"/>
  <c r="T91" i="70"/>
  <c r="T92" i="70"/>
  <c r="T93" i="70"/>
  <c r="T94" i="70"/>
  <c r="T95" i="70"/>
  <c r="T96" i="70"/>
  <c r="T97" i="70"/>
  <c r="T98" i="70"/>
  <c r="T99" i="70"/>
  <c r="T100" i="70"/>
  <c r="T101" i="70"/>
  <c r="T102" i="70"/>
  <c r="T103" i="70"/>
  <c r="T82" i="70"/>
  <c r="R105" i="70"/>
  <c r="R104" i="70"/>
  <c r="AO77" i="70"/>
  <c r="I79" i="70"/>
  <c r="A143" i="70"/>
  <c r="AB116" i="70"/>
  <c r="X116" i="70"/>
  <c r="AB115" i="70"/>
  <c r="X115" i="70"/>
  <c r="AB45" i="70" l="1"/>
  <c r="X45" i="70"/>
  <c r="AB44" i="70"/>
  <c r="X44" i="70"/>
  <c r="AB151" i="60"/>
  <c r="X151" i="60"/>
  <c r="AB150" i="60"/>
  <c r="X150" i="60"/>
  <c r="AB44" i="60"/>
  <c r="X44" i="60"/>
  <c r="AB43" i="60"/>
  <c r="X43" i="60"/>
  <c r="AD43" i="87"/>
  <c r="Y43" i="87" l="1"/>
  <c r="X33" i="91"/>
  <c r="X32" i="91"/>
  <c r="X31" i="91"/>
  <c r="X30" i="91"/>
  <c r="X29" i="91"/>
  <c r="X28" i="91"/>
  <c r="X27" i="91"/>
  <c r="X26" i="91"/>
  <c r="X25" i="91"/>
  <c r="X24" i="91"/>
  <c r="X23" i="91"/>
  <c r="X22" i="91"/>
  <c r="X21" i="91"/>
  <c r="X20" i="91"/>
  <c r="X19" i="91"/>
  <c r="X18" i="91"/>
  <c r="X17" i="91"/>
  <c r="X16" i="91"/>
  <c r="X15" i="91"/>
  <c r="X14" i="91"/>
  <c r="X13" i="91"/>
  <c r="X12" i="91"/>
  <c r="X11" i="91"/>
  <c r="X10" i="91"/>
  <c r="I78" i="91"/>
  <c r="H104" i="91"/>
  <c r="P104" i="91" s="1"/>
  <c r="G104" i="91"/>
  <c r="O104" i="91" s="1"/>
  <c r="F104" i="91"/>
  <c r="N104" i="91" s="1"/>
  <c r="E104" i="91"/>
  <c r="M104" i="91" s="1"/>
  <c r="D104" i="91"/>
  <c r="L104" i="91" s="1"/>
  <c r="H102" i="91"/>
  <c r="AE102" i="91" s="1"/>
  <c r="G102" i="91"/>
  <c r="O102" i="91" s="1"/>
  <c r="F102" i="91"/>
  <c r="AC102" i="91" s="1"/>
  <c r="E102" i="91"/>
  <c r="M102" i="91" s="1"/>
  <c r="D102" i="91"/>
  <c r="AA102" i="91" s="1"/>
  <c r="H101" i="91"/>
  <c r="P101" i="91" s="1"/>
  <c r="G101" i="91"/>
  <c r="AD101" i="91" s="1"/>
  <c r="F101" i="91"/>
  <c r="N101" i="91" s="1"/>
  <c r="E101" i="91"/>
  <c r="AB101" i="91" s="1"/>
  <c r="D101" i="91"/>
  <c r="L101" i="91" s="1"/>
  <c r="H100" i="91"/>
  <c r="G100" i="91"/>
  <c r="F100" i="91"/>
  <c r="E100" i="91"/>
  <c r="D100" i="91"/>
  <c r="H99" i="91"/>
  <c r="G99" i="91"/>
  <c r="F99" i="91"/>
  <c r="E99" i="91"/>
  <c r="D99" i="91"/>
  <c r="H98" i="91"/>
  <c r="G98" i="91"/>
  <c r="F98" i="91"/>
  <c r="E98" i="91"/>
  <c r="D98" i="91"/>
  <c r="H97" i="91"/>
  <c r="Y97" i="91" s="1"/>
  <c r="G97" i="91"/>
  <c r="F97" i="91"/>
  <c r="E97" i="91"/>
  <c r="D97" i="91"/>
  <c r="H96" i="91"/>
  <c r="G96" i="91"/>
  <c r="F96" i="91"/>
  <c r="E96" i="91"/>
  <c r="D96" i="91"/>
  <c r="H95" i="91"/>
  <c r="P95" i="91" s="1"/>
  <c r="G95" i="91"/>
  <c r="E95" i="91"/>
  <c r="AB95" i="91" s="1"/>
  <c r="D95" i="91"/>
  <c r="L95" i="91" s="1"/>
  <c r="H94" i="91"/>
  <c r="G94" i="91"/>
  <c r="F94" i="91"/>
  <c r="E94" i="91"/>
  <c r="D94" i="91"/>
  <c r="H93" i="91"/>
  <c r="Y93" i="91" s="1"/>
  <c r="G93" i="91"/>
  <c r="AD93" i="91" s="1"/>
  <c r="F93" i="91"/>
  <c r="N93" i="91" s="1"/>
  <c r="E93" i="91"/>
  <c r="AB93" i="91" s="1"/>
  <c r="D93" i="91"/>
  <c r="H92" i="91"/>
  <c r="G92" i="91"/>
  <c r="F92" i="91"/>
  <c r="E92" i="91"/>
  <c r="D92" i="91"/>
  <c r="H91" i="91"/>
  <c r="P91" i="91" s="1"/>
  <c r="G91" i="91"/>
  <c r="AD91" i="91" s="1"/>
  <c r="F91" i="91"/>
  <c r="E91" i="91"/>
  <c r="AB91" i="91" s="1"/>
  <c r="D91" i="91"/>
  <c r="L91" i="91" s="1"/>
  <c r="H90" i="91"/>
  <c r="G90" i="91"/>
  <c r="F90" i="91"/>
  <c r="E90" i="91"/>
  <c r="D90" i="91"/>
  <c r="H89" i="91"/>
  <c r="Y89" i="91" s="1"/>
  <c r="G89" i="91"/>
  <c r="F89" i="91"/>
  <c r="E89" i="91"/>
  <c r="D89" i="91"/>
  <c r="H88" i="91"/>
  <c r="G88" i="91"/>
  <c r="F88" i="91"/>
  <c r="E88" i="91"/>
  <c r="D88" i="91"/>
  <c r="H87" i="91"/>
  <c r="P87" i="91" s="1"/>
  <c r="G87" i="91"/>
  <c r="AD87" i="91" s="1"/>
  <c r="F87" i="91"/>
  <c r="E87" i="91"/>
  <c r="AB87" i="91" s="1"/>
  <c r="D87" i="91"/>
  <c r="L87" i="91" s="1"/>
  <c r="H86" i="91"/>
  <c r="G86" i="91"/>
  <c r="F86" i="91"/>
  <c r="E86" i="91"/>
  <c r="D86" i="91"/>
  <c r="H85" i="91"/>
  <c r="Y85" i="91" s="1"/>
  <c r="G85" i="91"/>
  <c r="F85" i="91"/>
  <c r="E85" i="91"/>
  <c r="D85" i="91"/>
  <c r="H84" i="91"/>
  <c r="G84" i="91"/>
  <c r="F84" i="91"/>
  <c r="E84" i="91"/>
  <c r="D84" i="91"/>
  <c r="H83" i="91"/>
  <c r="G83" i="91"/>
  <c r="F83" i="91"/>
  <c r="E83" i="91"/>
  <c r="D83" i="91"/>
  <c r="H82" i="91"/>
  <c r="G82" i="91"/>
  <c r="F82" i="91"/>
  <c r="E82" i="91"/>
  <c r="D82" i="91"/>
  <c r="H81" i="91"/>
  <c r="Y81" i="91" s="1"/>
  <c r="G81" i="91"/>
  <c r="F81" i="91"/>
  <c r="E81" i="91"/>
  <c r="D81" i="91"/>
  <c r="F23" i="91"/>
  <c r="Y1" i="91"/>
  <c r="I7" i="91"/>
  <c r="B342" i="75"/>
  <c r="B343" i="75"/>
  <c r="B344" i="75"/>
  <c r="B345" i="75"/>
  <c r="B346" i="75"/>
  <c r="B347" i="75"/>
  <c r="B348" i="75"/>
  <c r="B349" i="75"/>
  <c r="B350" i="75"/>
  <c r="B351" i="75"/>
  <c r="B352" i="75"/>
  <c r="B353" i="75"/>
  <c r="B354" i="75"/>
  <c r="B355" i="75"/>
  <c r="B356" i="75"/>
  <c r="B357" i="75"/>
  <c r="B358" i="75"/>
  <c r="B359" i="75"/>
  <c r="B360" i="75"/>
  <c r="B361" i="75"/>
  <c r="B362" i="75"/>
  <c r="B363" i="75"/>
  <c r="B364" i="75"/>
  <c r="B365" i="75"/>
  <c r="B370" i="75"/>
  <c r="B371" i="75"/>
  <c r="B372" i="75"/>
  <c r="B373" i="75"/>
  <c r="B374" i="75"/>
  <c r="B375" i="75"/>
  <c r="B376" i="75"/>
  <c r="B377" i="75"/>
  <c r="B378" i="75"/>
  <c r="B379" i="75"/>
  <c r="B380" i="75"/>
  <c r="B381" i="75"/>
  <c r="B382" i="75"/>
  <c r="B383" i="75"/>
  <c r="B384" i="75"/>
  <c r="B385" i="75"/>
  <c r="B386" i="75"/>
  <c r="B387" i="75"/>
  <c r="B388" i="75"/>
  <c r="B389" i="75"/>
  <c r="B390" i="75"/>
  <c r="B391" i="75"/>
  <c r="B392" i="75"/>
  <c r="B393" i="75"/>
  <c r="B369" i="75"/>
  <c r="B341" i="75"/>
  <c r="H368" i="75"/>
  <c r="G368" i="75"/>
  <c r="F368" i="75"/>
  <c r="E368" i="75"/>
  <c r="D368" i="75"/>
  <c r="H367" i="75"/>
  <c r="G367" i="75"/>
  <c r="F367" i="75"/>
  <c r="E367" i="75"/>
  <c r="D367" i="75"/>
  <c r="H340" i="75"/>
  <c r="G340" i="75"/>
  <c r="F340" i="75"/>
  <c r="E340" i="75"/>
  <c r="D340" i="75"/>
  <c r="H33" i="91"/>
  <c r="P33" i="91" s="1"/>
  <c r="G33" i="91"/>
  <c r="AD33" i="91" s="1"/>
  <c r="F33" i="91"/>
  <c r="N33" i="91" s="1"/>
  <c r="E33" i="91"/>
  <c r="AB33" i="91" s="1"/>
  <c r="D33" i="91"/>
  <c r="L33" i="91" s="1"/>
  <c r="H31" i="91"/>
  <c r="P31" i="91" s="1"/>
  <c r="G31" i="91"/>
  <c r="AD31" i="91" s="1"/>
  <c r="F31" i="91"/>
  <c r="AC31" i="91" s="1"/>
  <c r="E31" i="91"/>
  <c r="D31" i="91"/>
  <c r="L31" i="91" s="1"/>
  <c r="H30" i="91"/>
  <c r="P30" i="91" s="1"/>
  <c r="G30" i="91"/>
  <c r="AD30" i="91" s="1"/>
  <c r="F30" i="91"/>
  <c r="N30" i="91" s="1"/>
  <c r="E30" i="91"/>
  <c r="M30" i="91" s="1"/>
  <c r="D30" i="91"/>
  <c r="L30" i="91" s="1"/>
  <c r="H29" i="91"/>
  <c r="G29" i="91"/>
  <c r="F29" i="91"/>
  <c r="E29" i="91"/>
  <c r="D29" i="91"/>
  <c r="H28" i="91"/>
  <c r="G28" i="91"/>
  <c r="F28" i="91"/>
  <c r="E28" i="91"/>
  <c r="D28" i="91"/>
  <c r="H27" i="91"/>
  <c r="G27" i="91"/>
  <c r="F27" i="91"/>
  <c r="E27" i="91"/>
  <c r="D27" i="91"/>
  <c r="H26" i="91"/>
  <c r="G26" i="91"/>
  <c r="F26" i="91"/>
  <c r="E26" i="91"/>
  <c r="D26" i="91"/>
  <c r="H25" i="91"/>
  <c r="G25" i="91"/>
  <c r="F25" i="91"/>
  <c r="E25" i="91"/>
  <c r="D25" i="91"/>
  <c r="H24" i="91"/>
  <c r="Z24" i="91" s="1"/>
  <c r="G24" i="91"/>
  <c r="AD24" i="91" s="1"/>
  <c r="E24" i="91"/>
  <c r="AB24" i="91" s="1"/>
  <c r="D24" i="91"/>
  <c r="L24" i="91" s="1"/>
  <c r="H23" i="91"/>
  <c r="G23" i="91"/>
  <c r="E23" i="91"/>
  <c r="D23" i="91"/>
  <c r="H22" i="91"/>
  <c r="P22" i="91" s="1"/>
  <c r="G22" i="91"/>
  <c r="AD22" i="91" s="1"/>
  <c r="F22" i="91"/>
  <c r="N22" i="91" s="1"/>
  <c r="E22" i="91"/>
  <c r="M22" i="91" s="1"/>
  <c r="D22" i="91"/>
  <c r="H21" i="91"/>
  <c r="G21" i="91"/>
  <c r="F21" i="91"/>
  <c r="E21" i="91"/>
  <c r="D21" i="91"/>
  <c r="H20" i="91"/>
  <c r="Z20" i="91" s="1"/>
  <c r="G20" i="91"/>
  <c r="AD20" i="91" s="1"/>
  <c r="F20" i="91"/>
  <c r="N20" i="91" s="1"/>
  <c r="E20" i="91"/>
  <c r="AB20" i="91" s="1"/>
  <c r="D20" i="91"/>
  <c r="L20" i="91" s="1"/>
  <c r="H19" i="91"/>
  <c r="G19" i="91"/>
  <c r="F19" i="91"/>
  <c r="E19" i="91"/>
  <c r="D19" i="91"/>
  <c r="L19" i="91" s="1"/>
  <c r="H18" i="91"/>
  <c r="Y18" i="91" s="1"/>
  <c r="G18" i="91"/>
  <c r="F18" i="91"/>
  <c r="E18" i="91"/>
  <c r="D18" i="91"/>
  <c r="H17" i="91"/>
  <c r="G17" i="91"/>
  <c r="F17" i="91"/>
  <c r="E17" i="91"/>
  <c r="D17" i="91"/>
  <c r="H16" i="91"/>
  <c r="Z16" i="91" s="1"/>
  <c r="G16" i="91"/>
  <c r="AD16" i="91" s="1"/>
  <c r="F16" i="91"/>
  <c r="N16" i="91" s="1"/>
  <c r="E16" i="91"/>
  <c r="AB16" i="91" s="1"/>
  <c r="D16" i="91"/>
  <c r="L16" i="91" s="1"/>
  <c r="H15" i="91"/>
  <c r="G15" i="91"/>
  <c r="F15" i="91"/>
  <c r="E15" i="91"/>
  <c r="D15" i="91"/>
  <c r="H14" i="91"/>
  <c r="G14" i="91"/>
  <c r="F14" i="91"/>
  <c r="E14" i="91"/>
  <c r="D14" i="91"/>
  <c r="H13" i="91"/>
  <c r="G13" i="91"/>
  <c r="F13" i="91"/>
  <c r="E13" i="91"/>
  <c r="D13" i="91"/>
  <c r="H12" i="91"/>
  <c r="G12" i="91"/>
  <c r="F12" i="91"/>
  <c r="E12" i="91"/>
  <c r="D12" i="91"/>
  <c r="H11" i="91"/>
  <c r="G11" i="91"/>
  <c r="F11" i="91"/>
  <c r="E11" i="91"/>
  <c r="D11" i="91"/>
  <c r="H10" i="91"/>
  <c r="G10" i="91"/>
  <c r="F10" i="91"/>
  <c r="E10" i="91"/>
  <c r="D10" i="91"/>
  <c r="J104" i="91" l="1"/>
  <c r="B5" i="91"/>
  <c r="B76" i="91"/>
  <c r="P102" i="91"/>
  <c r="Z26" i="91"/>
  <c r="O91" i="91"/>
  <c r="Y30" i="91"/>
  <c r="Y22" i="91"/>
  <c r="M101" i="91"/>
  <c r="Y26" i="91"/>
  <c r="Y14" i="91"/>
  <c r="M93" i="91"/>
  <c r="Z30" i="91"/>
  <c r="Z22" i="91"/>
  <c r="Y101" i="91"/>
  <c r="Z15" i="91"/>
  <c r="Y15" i="91"/>
  <c r="Y28" i="91"/>
  <c r="Y87" i="91"/>
  <c r="Y12" i="91"/>
  <c r="P16" i="91"/>
  <c r="Y16" i="91"/>
  <c r="AM21" i="91"/>
  <c r="AK23" i="91"/>
  <c r="Y25" i="91"/>
  <c r="Y11" i="91"/>
  <c r="P19" i="91"/>
  <c r="Z19" i="91"/>
  <c r="Y19" i="91"/>
  <c r="P24" i="91"/>
  <c r="Y24" i="91"/>
  <c r="Y95" i="91"/>
  <c r="AM13" i="91"/>
  <c r="AK15" i="91"/>
  <c r="AM17" i="91"/>
  <c r="P20" i="91"/>
  <c r="Y20" i="91"/>
  <c r="Y99" i="91"/>
  <c r="Y91" i="91"/>
  <c r="Y83" i="91"/>
  <c r="O101" i="91"/>
  <c r="M95" i="91"/>
  <c r="O93" i="91"/>
  <c r="M87" i="91"/>
  <c r="Y31" i="91"/>
  <c r="Y29" i="91"/>
  <c r="Y27" i="91"/>
  <c r="Y23" i="91"/>
  <c r="Y21" i="91"/>
  <c r="Y17" i="91"/>
  <c r="Y13" i="91"/>
  <c r="N102" i="91"/>
  <c r="M91" i="91"/>
  <c r="AK81" i="91"/>
  <c r="L102" i="91"/>
  <c r="O87" i="91"/>
  <c r="Z31" i="91"/>
  <c r="Z27" i="91"/>
  <c r="Z21" i="91"/>
  <c r="Y10" i="91"/>
  <c r="Y102" i="91"/>
  <c r="Y100" i="91"/>
  <c r="Y98" i="91"/>
  <c r="Y96" i="91"/>
  <c r="Y94" i="91"/>
  <c r="Y92" i="91"/>
  <c r="Y90" i="91"/>
  <c r="Y88" i="91"/>
  <c r="Y86" i="91"/>
  <c r="Y84" i="91"/>
  <c r="Y82" i="91"/>
  <c r="N87" i="91"/>
  <c r="AC87" i="91"/>
  <c r="N91" i="91"/>
  <c r="AC91" i="91"/>
  <c r="L93" i="91"/>
  <c r="AA93" i="91"/>
  <c r="P93" i="91"/>
  <c r="AE93" i="91"/>
  <c r="AC101" i="91"/>
  <c r="AA91" i="91"/>
  <c r="AE87" i="91"/>
  <c r="AD102" i="91"/>
  <c r="AA101" i="91"/>
  <c r="AC93" i="91"/>
  <c r="AA87" i="91"/>
  <c r="L22" i="91"/>
  <c r="AA22" i="91"/>
  <c r="AB102" i="91"/>
  <c r="AE95" i="91"/>
  <c r="AE101" i="91"/>
  <c r="AA95" i="91"/>
  <c r="AE91" i="91"/>
  <c r="AM25" i="91"/>
  <c r="AM29" i="91"/>
  <c r="AK31" i="91"/>
  <c r="M31" i="91"/>
  <c r="AK25" i="91"/>
  <c r="AM31" i="91"/>
  <c r="AE30" i="91"/>
  <c r="AM11" i="91"/>
  <c r="AK13" i="91"/>
  <c r="AM15" i="91"/>
  <c r="AK17" i="91"/>
  <c r="AM19" i="91"/>
  <c r="AK21" i="91"/>
  <c r="AA30" i="91"/>
  <c r="AC20" i="91"/>
  <c r="AM27" i="91"/>
  <c r="AK29" i="91"/>
  <c r="O31" i="91"/>
  <c r="O33" i="91"/>
  <c r="AE22" i="91"/>
  <c r="AC16" i="91"/>
  <c r="AM23" i="91"/>
  <c r="AM10" i="91"/>
  <c r="AL33" i="91"/>
  <c r="AL31" i="91"/>
  <c r="AL30" i="91"/>
  <c r="AL29" i="91"/>
  <c r="AL28" i="91"/>
  <c r="AL27" i="91"/>
  <c r="AL26" i="91"/>
  <c r="AL25" i="91"/>
  <c r="AL23" i="91"/>
  <c r="AL22" i="91"/>
  <c r="AL21" i="91"/>
  <c r="AL20" i="91"/>
  <c r="AL19" i="91"/>
  <c r="AL18" i="91"/>
  <c r="AL17" i="91"/>
  <c r="AL16" i="91"/>
  <c r="AL15" i="91"/>
  <c r="AL14" i="91"/>
  <c r="AL13" i="91"/>
  <c r="AL12" i="91"/>
  <c r="AL11" i="91"/>
  <c r="M33" i="91"/>
  <c r="AB31" i="91"/>
  <c r="AE24" i="91"/>
  <c r="AA20" i="91"/>
  <c r="AE16" i="91"/>
  <c r="J33" i="91"/>
  <c r="AL10" i="91"/>
  <c r="AK33" i="91"/>
  <c r="AK30" i="91"/>
  <c r="AK28" i="91"/>
  <c r="AK27" i="91"/>
  <c r="AK26" i="91"/>
  <c r="AK24" i="91"/>
  <c r="AK22" i="91"/>
  <c r="AK20" i="91"/>
  <c r="AK19" i="91"/>
  <c r="AK18" i="91"/>
  <c r="AK16" i="91"/>
  <c r="AK14" i="91"/>
  <c r="AK12" i="91"/>
  <c r="AK11" i="91"/>
  <c r="AK10" i="91"/>
  <c r="AN33" i="91"/>
  <c r="AN31" i="91"/>
  <c r="AN30" i="91"/>
  <c r="AN29" i="91"/>
  <c r="AN28" i="91"/>
  <c r="AN27" i="91"/>
  <c r="AN26" i="91"/>
  <c r="AN25" i="91"/>
  <c r="AN24" i="91"/>
  <c r="AN23" i="91"/>
  <c r="AN22" i="91"/>
  <c r="AN21" i="91"/>
  <c r="AN20" i="91"/>
  <c r="AN19" i="91"/>
  <c r="AN18" i="91"/>
  <c r="AN17" i="91"/>
  <c r="AN16" i="91"/>
  <c r="AN15" i="91"/>
  <c r="AN14" i="91"/>
  <c r="AN13" i="91"/>
  <c r="AN12" i="91"/>
  <c r="AN11" i="91"/>
  <c r="AC30" i="91"/>
  <c r="AA24" i="91"/>
  <c r="AC22" i="91"/>
  <c r="AE20" i="91"/>
  <c r="AA16" i="91"/>
  <c r="AN10" i="91"/>
  <c r="AM33" i="91"/>
  <c r="AM30" i="91"/>
  <c r="AM28" i="91"/>
  <c r="AM26" i="91"/>
  <c r="AM22" i="91"/>
  <c r="AM20" i="91"/>
  <c r="AM18" i="91"/>
  <c r="AM16" i="91"/>
  <c r="AM14" i="91"/>
  <c r="AM12" i="91"/>
  <c r="O30" i="91"/>
  <c r="O24" i="91"/>
  <c r="O22" i="91"/>
  <c r="O20" i="91"/>
  <c r="O16" i="91"/>
  <c r="AC33" i="91"/>
  <c r="N31" i="91"/>
  <c r="AE31" i="91"/>
  <c r="AA31" i="91"/>
  <c r="AB30" i="91"/>
  <c r="AB22" i="91"/>
  <c r="AE19" i="91"/>
  <c r="AA19" i="91"/>
  <c r="M24" i="91"/>
  <c r="M20" i="91"/>
  <c r="M16" i="91"/>
  <c r="AA33" i="91"/>
  <c r="AE33" i="91"/>
  <c r="Y32" i="91" l="1"/>
  <c r="Y103" i="91"/>
  <c r="A142" i="91" l="1"/>
  <c r="A109" i="91"/>
  <c r="AQ108" i="91"/>
  <c r="AP108" i="91"/>
  <c r="AO108" i="91"/>
  <c r="AN108" i="91"/>
  <c r="AM108" i="91"/>
  <c r="AL108" i="91"/>
  <c r="AL104" i="91"/>
  <c r="AA104" i="91"/>
  <c r="B104" i="91"/>
  <c r="AK135" i="91" s="1"/>
  <c r="B103" i="91"/>
  <c r="T102" i="91"/>
  <c r="B102" i="91"/>
  <c r="AK133" i="91" s="1"/>
  <c r="T101" i="91"/>
  <c r="B101" i="91"/>
  <c r="T100" i="91"/>
  <c r="B100" i="91"/>
  <c r="T99" i="91"/>
  <c r="B99" i="91"/>
  <c r="AK130" i="91" s="1"/>
  <c r="T98" i="91"/>
  <c r="B98" i="91"/>
  <c r="T97" i="91"/>
  <c r="B97" i="91"/>
  <c r="T96" i="91"/>
  <c r="B96" i="91"/>
  <c r="T95" i="91"/>
  <c r="B95" i="91"/>
  <c r="T94" i="91"/>
  <c r="B94" i="91"/>
  <c r="T93" i="91"/>
  <c r="B93" i="91"/>
  <c r="AK124" i="91" s="1"/>
  <c r="T92" i="91"/>
  <c r="B92" i="91"/>
  <c r="AK123" i="91" s="1"/>
  <c r="T91" i="91"/>
  <c r="B91" i="91"/>
  <c r="AK122" i="91" s="1"/>
  <c r="T90" i="91"/>
  <c r="B90" i="91"/>
  <c r="T89" i="91"/>
  <c r="B89" i="91"/>
  <c r="T88" i="91"/>
  <c r="B88" i="91"/>
  <c r="AK119" i="91" s="1"/>
  <c r="T87" i="91"/>
  <c r="B87" i="91"/>
  <c r="T86" i="91"/>
  <c r="B86" i="91"/>
  <c r="T85" i="91"/>
  <c r="B85" i="91"/>
  <c r="T84" i="91"/>
  <c r="B84" i="91"/>
  <c r="T83" i="91"/>
  <c r="B83" i="91"/>
  <c r="T82" i="91"/>
  <c r="B82" i="91"/>
  <c r="AK113" i="91" s="1"/>
  <c r="T81" i="91"/>
  <c r="B81" i="91"/>
  <c r="AH80" i="91"/>
  <c r="A71" i="91"/>
  <c r="A38" i="91"/>
  <c r="AQ37" i="91"/>
  <c r="AP37" i="91"/>
  <c r="AO37" i="91"/>
  <c r="AN37" i="91"/>
  <c r="AM37" i="91"/>
  <c r="AL37" i="91"/>
  <c r="B33" i="91"/>
  <c r="B32" i="91"/>
  <c r="T31" i="91"/>
  <c r="Q31" i="91"/>
  <c r="B31" i="91"/>
  <c r="T30" i="91"/>
  <c r="B30" i="91"/>
  <c r="T29" i="91"/>
  <c r="B29" i="91"/>
  <c r="T28" i="91"/>
  <c r="B28" i="91"/>
  <c r="T27" i="91"/>
  <c r="B27" i="91"/>
  <c r="T26" i="91"/>
  <c r="B26" i="91"/>
  <c r="T25" i="91"/>
  <c r="B25" i="91"/>
  <c r="T24" i="91"/>
  <c r="B24" i="91"/>
  <c r="T23" i="91"/>
  <c r="B23" i="91"/>
  <c r="T22" i="91"/>
  <c r="B22" i="91"/>
  <c r="T21" i="91"/>
  <c r="B21" i="91"/>
  <c r="T20" i="91"/>
  <c r="B20" i="91"/>
  <c r="T19" i="91"/>
  <c r="B19" i="91"/>
  <c r="T18" i="91"/>
  <c r="B18" i="91"/>
  <c r="T17" i="91"/>
  <c r="B17" i="91"/>
  <c r="T16" i="91"/>
  <c r="B16" i="91"/>
  <c r="T15" i="91"/>
  <c r="B15" i="91"/>
  <c r="T14" i="91"/>
  <c r="B14" i="91"/>
  <c r="T13" i="91"/>
  <c r="B13" i="91"/>
  <c r="T12" i="91"/>
  <c r="B12" i="91"/>
  <c r="T11" i="91"/>
  <c r="B11" i="91"/>
  <c r="T10" i="91"/>
  <c r="B10" i="91"/>
  <c r="AH9" i="91"/>
  <c r="AK8" i="91"/>
  <c r="Y4" i="91"/>
  <c r="Z4" i="91" s="1"/>
  <c r="X2" i="91"/>
  <c r="AD100" i="87"/>
  <c r="AC100" i="87"/>
  <c r="AB100" i="87"/>
  <c r="AA100" i="87"/>
  <c r="Z100" i="87"/>
  <c r="AD98" i="87"/>
  <c r="AC98" i="87"/>
  <c r="AB98" i="87"/>
  <c r="AA98" i="87"/>
  <c r="Z98" i="87"/>
  <c r="AD97" i="87"/>
  <c r="AC97" i="87"/>
  <c r="AB97" i="87"/>
  <c r="AA97" i="87"/>
  <c r="Z97" i="87"/>
  <c r="AD96" i="87"/>
  <c r="AC96" i="87"/>
  <c r="AB96" i="87"/>
  <c r="AA96" i="87"/>
  <c r="Z96" i="87"/>
  <c r="AD95" i="87"/>
  <c r="AC95" i="87"/>
  <c r="AB95" i="87"/>
  <c r="AA95" i="87"/>
  <c r="Z95" i="87"/>
  <c r="AD94" i="87"/>
  <c r="AC94" i="87"/>
  <c r="AB94" i="87"/>
  <c r="AA94" i="87"/>
  <c r="Z94" i="87"/>
  <c r="AD93" i="87"/>
  <c r="AC93" i="87"/>
  <c r="AB93" i="87"/>
  <c r="AA93" i="87"/>
  <c r="Z93" i="87"/>
  <c r="AD92" i="87"/>
  <c r="AC92" i="87"/>
  <c r="AB92" i="87"/>
  <c r="AA92" i="87"/>
  <c r="Z92" i="87"/>
  <c r="AD91" i="87"/>
  <c r="AC91" i="87"/>
  <c r="AA91" i="87"/>
  <c r="Z91" i="87"/>
  <c r="AD90" i="87"/>
  <c r="AC90" i="87"/>
  <c r="AB90" i="87"/>
  <c r="AA90" i="87"/>
  <c r="Z90" i="87"/>
  <c r="AD89" i="87"/>
  <c r="AC89" i="87"/>
  <c r="AB89" i="87"/>
  <c r="AA89" i="87"/>
  <c r="Z89" i="87"/>
  <c r="AD88" i="87"/>
  <c r="AC88" i="87"/>
  <c r="AB88" i="87"/>
  <c r="AA88" i="87"/>
  <c r="Z88" i="87"/>
  <c r="AD87" i="87"/>
  <c r="AC87" i="87"/>
  <c r="AB87" i="87"/>
  <c r="AA87" i="87"/>
  <c r="Z87" i="87"/>
  <c r="AD86" i="87"/>
  <c r="AC86" i="87"/>
  <c r="AB86" i="87"/>
  <c r="AA86" i="87"/>
  <c r="Z86" i="87"/>
  <c r="AD85" i="87"/>
  <c r="AC85" i="87"/>
  <c r="AB85" i="87"/>
  <c r="AA85" i="87"/>
  <c r="Z85" i="87"/>
  <c r="AD84" i="87"/>
  <c r="AC84" i="87"/>
  <c r="AB84" i="87"/>
  <c r="AA84" i="87"/>
  <c r="Z84" i="87"/>
  <c r="AD83" i="87"/>
  <c r="AC83" i="87"/>
  <c r="AB83" i="87"/>
  <c r="AA83" i="87"/>
  <c r="Z83" i="87"/>
  <c r="AD82" i="87"/>
  <c r="AC82" i="87"/>
  <c r="AB82" i="87"/>
  <c r="AA82" i="87"/>
  <c r="Z82" i="87"/>
  <c r="AD81" i="87"/>
  <c r="AC81" i="87"/>
  <c r="AB81" i="87"/>
  <c r="AA81" i="87"/>
  <c r="Z81" i="87"/>
  <c r="AD80" i="87"/>
  <c r="AC80" i="87"/>
  <c r="AB80" i="87"/>
  <c r="AA80" i="87"/>
  <c r="Z80" i="87"/>
  <c r="AD79" i="87"/>
  <c r="AC79" i="87"/>
  <c r="AB79" i="87"/>
  <c r="AA79" i="87"/>
  <c r="Z79" i="87"/>
  <c r="AD78" i="87"/>
  <c r="AC78" i="87"/>
  <c r="AB78" i="87"/>
  <c r="AA78" i="87"/>
  <c r="Z78" i="87"/>
  <c r="AD77" i="87"/>
  <c r="AC77" i="87"/>
  <c r="AB77" i="87"/>
  <c r="AA77" i="87"/>
  <c r="Z77" i="87"/>
  <c r="AL8" i="85"/>
  <c r="Y2" i="87"/>
  <c r="AC44" i="87" s="1"/>
  <c r="Z1" i="87"/>
  <c r="S7" i="87"/>
  <c r="I7" i="87"/>
  <c r="AL8" i="87" s="1"/>
  <c r="AI168" i="85"/>
  <c r="AF168" i="85"/>
  <c r="AG168" i="85"/>
  <c r="AH168" i="85"/>
  <c r="AJ168" i="85"/>
  <c r="AD136" i="85"/>
  <c r="AC136" i="85"/>
  <c r="AB136" i="85"/>
  <c r="AA136" i="85"/>
  <c r="Z136" i="85"/>
  <c r="AD134" i="85"/>
  <c r="AC134" i="85"/>
  <c r="AB134" i="85"/>
  <c r="AA134" i="85"/>
  <c r="Z134" i="85"/>
  <c r="AD133" i="85"/>
  <c r="AC133" i="85"/>
  <c r="AB133" i="85"/>
  <c r="AA133" i="85"/>
  <c r="Z133" i="85"/>
  <c r="AD132" i="85"/>
  <c r="AC132" i="85"/>
  <c r="AB132" i="85"/>
  <c r="AA132" i="85"/>
  <c r="Z132" i="85"/>
  <c r="AD131" i="85"/>
  <c r="AC131" i="85"/>
  <c r="AB131" i="85"/>
  <c r="AA131" i="85"/>
  <c r="Z131" i="85"/>
  <c r="AD130" i="85"/>
  <c r="AC130" i="85"/>
  <c r="AB130" i="85"/>
  <c r="AA130" i="85"/>
  <c r="Z130" i="85"/>
  <c r="AD129" i="85"/>
  <c r="AC129" i="85"/>
  <c r="AB129" i="85"/>
  <c r="AA129" i="85"/>
  <c r="Z129" i="85"/>
  <c r="AD128" i="85"/>
  <c r="AC128" i="85"/>
  <c r="AB128" i="85"/>
  <c r="AA128" i="85"/>
  <c r="Z128" i="85"/>
  <c r="AD127" i="85"/>
  <c r="AC127" i="85"/>
  <c r="AA127" i="85"/>
  <c r="Z127" i="85"/>
  <c r="AD126" i="85"/>
  <c r="AC126" i="85"/>
  <c r="AB126" i="85"/>
  <c r="AA126" i="85"/>
  <c r="Z126" i="85"/>
  <c r="AD125" i="85"/>
  <c r="AC125" i="85"/>
  <c r="AB125" i="85"/>
  <c r="AA125" i="85"/>
  <c r="Z125" i="85"/>
  <c r="AD124" i="85"/>
  <c r="AC124" i="85"/>
  <c r="AB124" i="85"/>
  <c r="AA124" i="85"/>
  <c r="Z124" i="85"/>
  <c r="AD123" i="85"/>
  <c r="AC123" i="85"/>
  <c r="AB123" i="85"/>
  <c r="AA123" i="85"/>
  <c r="Z123" i="85"/>
  <c r="AD122" i="85"/>
  <c r="AC122" i="85"/>
  <c r="AB122" i="85"/>
  <c r="AA122" i="85"/>
  <c r="Z122" i="85"/>
  <c r="AD121" i="85"/>
  <c r="AC121" i="85"/>
  <c r="AB121" i="85"/>
  <c r="AA121" i="85"/>
  <c r="Z121" i="85"/>
  <c r="AD120" i="85"/>
  <c r="AC120" i="85"/>
  <c r="AB120" i="85"/>
  <c r="AA120" i="85"/>
  <c r="Z120" i="85"/>
  <c r="AD119" i="85"/>
  <c r="AC119" i="85"/>
  <c r="AB119" i="85"/>
  <c r="AA119" i="85"/>
  <c r="Z119" i="85"/>
  <c r="AD118" i="85"/>
  <c r="AC118" i="85"/>
  <c r="AB118" i="85"/>
  <c r="AA118" i="85"/>
  <c r="Z118" i="85"/>
  <c r="AD117" i="85"/>
  <c r="AC117" i="85"/>
  <c r="AB117" i="85"/>
  <c r="AA117" i="85"/>
  <c r="Z117" i="85"/>
  <c r="AD116" i="85"/>
  <c r="AC116" i="85"/>
  <c r="AB116" i="85"/>
  <c r="AA116" i="85"/>
  <c r="Z116" i="85"/>
  <c r="AD115" i="85"/>
  <c r="AC115" i="85"/>
  <c r="AB115" i="85"/>
  <c r="AA115" i="85"/>
  <c r="Z115" i="85"/>
  <c r="AD114" i="85"/>
  <c r="AC114" i="85"/>
  <c r="AB114" i="85"/>
  <c r="AA114" i="85"/>
  <c r="Z114" i="85"/>
  <c r="AD113" i="85"/>
  <c r="AC113" i="85"/>
  <c r="AB113" i="85"/>
  <c r="AA113" i="85"/>
  <c r="Z113" i="85"/>
  <c r="AD100" i="85"/>
  <c r="AC100" i="85"/>
  <c r="AB100" i="85"/>
  <c r="AA100" i="85"/>
  <c r="Z100" i="85"/>
  <c r="AD98" i="85"/>
  <c r="AC98" i="85"/>
  <c r="AB98" i="85"/>
  <c r="AA98" i="85"/>
  <c r="Z98" i="85"/>
  <c r="AD97" i="85"/>
  <c r="AC97" i="85"/>
  <c r="AB97" i="85"/>
  <c r="AA97" i="85"/>
  <c r="Z97" i="85"/>
  <c r="AD96" i="85"/>
  <c r="AC96" i="85"/>
  <c r="AB96" i="85"/>
  <c r="AA96" i="85"/>
  <c r="Z96" i="85"/>
  <c r="AD95" i="85"/>
  <c r="AC95" i="85"/>
  <c r="AB95" i="85"/>
  <c r="AA95" i="85"/>
  <c r="Z95" i="85"/>
  <c r="AD94" i="85"/>
  <c r="AC94" i="85"/>
  <c r="AB94" i="85"/>
  <c r="AA94" i="85"/>
  <c r="Z94" i="85"/>
  <c r="AD93" i="85"/>
  <c r="AC93" i="85"/>
  <c r="AB93" i="85"/>
  <c r="AA93" i="85"/>
  <c r="Z93" i="85"/>
  <c r="AD92" i="85"/>
  <c r="AC92" i="85"/>
  <c r="AB92" i="85"/>
  <c r="AA92" i="85"/>
  <c r="Z92" i="85"/>
  <c r="AD91" i="85"/>
  <c r="AC91" i="85"/>
  <c r="AA91" i="85"/>
  <c r="Z91" i="85"/>
  <c r="AD90" i="85"/>
  <c r="AC90" i="85"/>
  <c r="AB90" i="85"/>
  <c r="AA90" i="85"/>
  <c r="Z90" i="85"/>
  <c r="AD89" i="85"/>
  <c r="AC89" i="85"/>
  <c r="AB89" i="85"/>
  <c r="AA89" i="85"/>
  <c r="Z89" i="85"/>
  <c r="AD88" i="85"/>
  <c r="AC88" i="85"/>
  <c r="AB88" i="85"/>
  <c r="AA88" i="85"/>
  <c r="Z88" i="85"/>
  <c r="AD87" i="85"/>
  <c r="AC87" i="85"/>
  <c r="AB87" i="85"/>
  <c r="AA87" i="85"/>
  <c r="Z87" i="85"/>
  <c r="AD86" i="85"/>
  <c r="AC86" i="85"/>
  <c r="AB86" i="85"/>
  <c r="AA86" i="85"/>
  <c r="Z86" i="85"/>
  <c r="AD85" i="85"/>
  <c r="AC85" i="85"/>
  <c r="AB85" i="85"/>
  <c r="AA85" i="85"/>
  <c r="Z85" i="85"/>
  <c r="AD84" i="85"/>
  <c r="AC84" i="85"/>
  <c r="AB84" i="85"/>
  <c r="AA84" i="85"/>
  <c r="Z84" i="85"/>
  <c r="AD83" i="85"/>
  <c r="AC83" i="85"/>
  <c r="AB83" i="85"/>
  <c r="AA83" i="85"/>
  <c r="Z83" i="85"/>
  <c r="AD82" i="85"/>
  <c r="AC82" i="85"/>
  <c r="AB82" i="85"/>
  <c r="AA82" i="85"/>
  <c r="Z82" i="85"/>
  <c r="AD81" i="85"/>
  <c r="AC81" i="85"/>
  <c r="AB81" i="85"/>
  <c r="AA81" i="85"/>
  <c r="Z81" i="85"/>
  <c r="AD80" i="85"/>
  <c r="AC80" i="85"/>
  <c r="AB80" i="85"/>
  <c r="AA80" i="85"/>
  <c r="Z80" i="85"/>
  <c r="AD79" i="85"/>
  <c r="AC79" i="85"/>
  <c r="AB79" i="85"/>
  <c r="AA79" i="85"/>
  <c r="Z79" i="85"/>
  <c r="AD78" i="85"/>
  <c r="AC78" i="85"/>
  <c r="AB78" i="85"/>
  <c r="AA78" i="85"/>
  <c r="Z78" i="85"/>
  <c r="AD77" i="85"/>
  <c r="AC77" i="85"/>
  <c r="AB77" i="85"/>
  <c r="AA77" i="85"/>
  <c r="Z77" i="85"/>
  <c r="Y43" i="85"/>
  <c r="AC43" i="87" l="1"/>
  <c r="AG81" i="91"/>
  <c r="AK112" i="91"/>
  <c r="X83" i="91"/>
  <c r="AK114" i="91"/>
  <c r="X87" i="91"/>
  <c r="AK118" i="91"/>
  <c r="X89" i="91"/>
  <c r="AK120" i="91"/>
  <c r="X103" i="91"/>
  <c r="AK134" i="91"/>
  <c r="X84" i="91"/>
  <c r="AK115" i="91"/>
  <c r="X86" i="91"/>
  <c r="AK117" i="91"/>
  <c r="X90" i="91"/>
  <c r="AK121" i="91"/>
  <c r="X94" i="91"/>
  <c r="AK125" i="91"/>
  <c r="X96" i="91"/>
  <c r="AK127" i="91"/>
  <c r="X98" i="91"/>
  <c r="AK129" i="91"/>
  <c r="X100" i="91"/>
  <c r="AK131" i="91"/>
  <c r="X85" i="91"/>
  <c r="AK116" i="91"/>
  <c r="X95" i="91"/>
  <c r="AK126" i="91"/>
  <c r="X97" i="91"/>
  <c r="AK128" i="91"/>
  <c r="X101" i="91"/>
  <c r="AK132" i="91"/>
  <c r="AK136" i="91"/>
  <c r="AK65" i="91"/>
  <c r="AK51" i="91"/>
  <c r="AM51" i="91" s="1"/>
  <c r="M65" i="91"/>
  <c r="M136" i="91"/>
  <c r="AM97" i="91"/>
  <c r="AM98" i="91"/>
  <c r="AK101" i="91"/>
  <c r="AN101" i="91"/>
  <c r="X91" i="91"/>
  <c r="X92" i="91"/>
  <c r="X93" i="91"/>
  <c r="X99" i="91"/>
  <c r="X102" i="91"/>
  <c r="AN92" i="91"/>
  <c r="AK94" i="91"/>
  <c r="AK49" i="91"/>
  <c r="X82" i="91"/>
  <c r="AN90" i="91"/>
  <c r="AM94" i="91"/>
  <c r="AN100" i="91"/>
  <c r="AM102" i="91"/>
  <c r="AN82" i="91"/>
  <c r="AM83" i="91"/>
  <c r="AL83" i="91"/>
  <c r="AM89" i="91"/>
  <c r="AM87" i="91"/>
  <c r="AL81" i="91"/>
  <c r="AL86" i="91"/>
  <c r="AM91" i="91"/>
  <c r="AL91" i="91"/>
  <c r="AK100" i="91"/>
  <c r="AM86" i="91"/>
  <c r="AN88" i="91"/>
  <c r="AK91" i="91"/>
  <c r="AL92" i="91"/>
  <c r="AL94" i="91"/>
  <c r="AM96" i="91"/>
  <c r="AM99" i="91"/>
  <c r="AN84" i="91"/>
  <c r="AK85" i="91"/>
  <c r="AL89" i="91"/>
  <c r="AM92" i="91"/>
  <c r="AL88" i="91"/>
  <c r="AK93" i="91"/>
  <c r="AK99" i="91"/>
  <c r="Q30" i="91"/>
  <c r="AK50" i="91"/>
  <c r="AK58" i="91"/>
  <c r="AH16" i="91"/>
  <c r="AO15" i="91"/>
  <c r="I15" i="91" s="1"/>
  <c r="J15" i="91" s="1"/>
  <c r="AQ136" i="91"/>
  <c r="AQ65" i="91"/>
  <c r="AK78" i="91"/>
  <c r="AK43" i="91"/>
  <c r="AK45" i="91"/>
  <c r="AK47" i="91"/>
  <c r="AH22" i="91"/>
  <c r="AK56" i="91"/>
  <c r="AH27" i="91"/>
  <c r="AO30" i="91"/>
  <c r="I30" i="91" s="1"/>
  <c r="J30" i="91" s="1"/>
  <c r="Z33" i="91"/>
  <c r="Y33" i="91"/>
  <c r="AO33" i="91"/>
  <c r="I33" i="91" s="1"/>
  <c r="AL84" i="91"/>
  <c r="AM84" i="91"/>
  <c r="AG10" i="91"/>
  <c r="R104" i="91" s="1"/>
  <c r="AK44" i="91"/>
  <c r="AK46" i="91"/>
  <c r="AK48" i="91"/>
  <c r="AK52" i="91"/>
  <c r="AH23" i="91"/>
  <c r="AK61" i="91"/>
  <c r="AK41" i="91"/>
  <c r="AH20" i="91"/>
  <c r="Q22" i="91"/>
  <c r="AK54" i="91"/>
  <c r="AH28" i="91"/>
  <c r="AI28" i="91" s="1"/>
  <c r="AK42" i="91"/>
  <c r="AK59" i="91"/>
  <c r="AK62" i="91"/>
  <c r="AO31" i="91"/>
  <c r="I31" i="91" s="1"/>
  <c r="J31" i="91" s="1"/>
  <c r="AK64" i="91"/>
  <c r="AK60" i="91"/>
  <c r="AK53" i="91"/>
  <c r="AK55" i="91"/>
  <c r="AK63" i="91"/>
  <c r="AK57" i="91"/>
  <c r="X81" i="91"/>
  <c r="AM81" i="91"/>
  <c r="AL85" i="91"/>
  <c r="AM85" i="91"/>
  <c r="AN94" i="91"/>
  <c r="AL82" i="91"/>
  <c r="AN86" i="91"/>
  <c r="X88" i="91"/>
  <c r="AM88" i="91"/>
  <c r="AN89" i="91"/>
  <c r="AL93" i="91"/>
  <c r="AM93" i="91"/>
  <c r="AM82" i="91"/>
  <c r="AN83" i="91"/>
  <c r="AK83" i="91"/>
  <c r="AK86" i="91"/>
  <c r="AK87" i="91"/>
  <c r="AL90" i="91"/>
  <c r="AN99" i="91"/>
  <c r="AN81" i="91"/>
  <c r="AK84" i="91"/>
  <c r="AN87" i="91"/>
  <c r="AL87" i="91"/>
  <c r="AK89" i="91"/>
  <c r="AM90" i="91"/>
  <c r="AK92" i="91"/>
  <c r="AN95" i="91"/>
  <c r="AK95" i="91"/>
  <c r="AN96" i="91"/>
  <c r="AK96" i="91"/>
  <c r="AN97" i="91"/>
  <c r="AK97" i="91"/>
  <c r="AK98" i="91"/>
  <c r="AN98" i="91"/>
  <c r="AM100" i="91"/>
  <c r="AL100" i="91"/>
  <c r="AN102" i="91"/>
  <c r="AH99" i="91"/>
  <c r="AI99" i="91" s="1"/>
  <c r="AC104" i="91"/>
  <c r="AK88" i="91"/>
  <c r="AN91" i="91"/>
  <c r="AL96" i="91"/>
  <c r="AL97" i="91"/>
  <c r="AL98" i="91"/>
  <c r="AL101" i="91"/>
  <c r="AM101" i="91"/>
  <c r="AK82" i="91"/>
  <c r="AN85" i="91"/>
  <c r="AK90" i="91"/>
  <c r="AH91" i="91"/>
  <c r="AN93" i="91"/>
  <c r="AL99" i="91"/>
  <c r="AM104" i="91"/>
  <c r="AL102" i="91"/>
  <c r="AK102" i="91"/>
  <c r="AB104" i="91"/>
  <c r="AK104" i="91"/>
  <c r="X104" i="91"/>
  <c r="AD104" i="91"/>
  <c r="AE104" i="91"/>
  <c r="AN104" i="91"/>
  <c r="AP51" i="91" l="1"/>
  <c r="R31" i="91"/>
  <c r="R103" i="91"/>
  <c r="AQ51" i="91"/>
  <c r="AL51" i="91"/>
  <c r="AH87" i="91"/>
  <c r="Q87" i="91"/>
  <c r="AH98" i="91"/>
  <c r="Q101" i="91"/>
  <c r="AO81" i="91"/>
  <c r="I81" i="91" s="1"/>
  <c r="R23" i="91"/>
  <c r="AO99" i="91"/>
  <c r="I99" i="91" s="1"/>
  <c r="AO91" i="91"/>
  <c r="I91" i="91" s="1"/>
  <c r="AO92" i="91"/>
  <c r="I92" i="91" s="1"/>
  <c r="AO102" i="91"/>
  <c r="I102" i="91" s="1"/>
  <c r="AQ49" i="91"/>
  <c r="AO94" i="91"/>
  <c r="I94" i="91" s="1"/>
  <c r="AO27" i="91"/>
  <c r="I27" i="91" s="1"/>
  <c r="J27" i="91" s="1"/>
  <c r="R27" i="91"/>
  <c r="AO90" i="91"/>
  <c r="I90" i="91" s="1"/>
  <c r="AO101" i="91"/>
  <c r="AO100" i="91"/>
  <c r="I100" i="91" s="1"/>
  <c r="AO29" i="91"/>
  <c r="I29" i="91" s="1"/>
  <c r="J29" i="91" s="1"/>
  <c r="AO51" i="91"/>
  <c r="AO11" i="91"/>
  <c r="I11" i="91" s="1"/>
  <c r="J11" i="91" s="1"/>
  <c r="AO22" i="91"/>
  <c r="I22" i="91" s="1"/>
  <c r="J22" i="91" s="1"/>
  <c r="AO17" i="91"/>
  <c r="I17" i="91" s="1"/>
  <c r="J17" i="91" s="1"/>
  <c r="AO97" i="91"/>
  <c r="I97" i="91" s="1"/>
  <c r="AO26" i="91"/>
  <c r="I26" i="91" s="1"/>
  <c r="J26" i="91" s="1"/>
  <c r="AO88" i="91"/>
  <c r="I88" i="91" s="1"/>
  <c r="AO93" i="91"/>
  <c r="I93" i="91" s="1"/>
  <c r="AO21" i="91"/>
  <c r="I21" i="91" s="1"/>
  <c r="J21" i="91" s="1"/>
  <c r="AO25" i="91"/>
  <c r="I25" i="91" s="1"/>
  <c r="J25" i="91" s="1"/>
  <c r="AO14" i="91"/>
  <c r="I14" i="91" s="1"/>
  <c r="J14" i="91" s="1"/>
  <c r="AO13" i="91"/>
  <c r="I13" i="91" s="1"/>
  <c r="J13" i="91" s="1"/>
  <c r="AQ46" i="91"/>
  <c r="AQ126" i="91"/>
  <c r="AM126" i="91"/>
  <c r="AP126" i="91"/>
  <c r="AL126" i="91"/>
  <c r="AQ122" i="91"/>
  <c r="AM122" i="91"/>
  <c r="AP122" i="91"/>
  <c r="AL122" i="91"/>
  <c r="AO122" i="91"/>
  <c r="AN122" i="91"/>
  <c r="AQ62" i="91"/>
  <c r="AM62" i="91"/>
  <c r="AP62" i="91"/>
  <c r="AO62" i="91"/>
  <c r="AL62" i="91"/>
  <c r="AN62" i="91"/>
  <c r="AO28" i="91"/>
  <c r="I28" i="91" s="1"/>
  <c r="J28" i="91" s="1"/>
  <c r="AQ45" i="91"/>
  <c r="AO12" i="91"/>
  <c r="I12" i="91" s="1"/>
  <c r="J12" i="91" s="1"/>
  <c r="AM135" i="91"/>
  <c r="AP135" i="91"/>
  <c r="AL135" i="91"/>
  <c r="AO135" i="91"/>
  <c r="AN135" i="91"/>
  <c r="AQ127" i="91"/>
  <c r="AO118" i="91"/>
  <c r="AN118" i="91"/>
  <c r="AP118" i="91"/>
  <c r="AL118" i="91"/>
  <c r="AM118" i="91"/>
  <c r="AQ118" i="91"/>
  <c r="AQ119" i="91"/>
  <c r="AQ54" i="91"/>
  <c r="AQ52" i="91"/>
  <c r="AQ44" i="91"/>
  <c r="AQ43" i="91"/>
  <c r="AO89" i="91"/>
  <c r="I89" i="91" s="1"/>
  <c r="AO87" i="91"/>
  <c r="I87" i="91" s="1"/>
  <c r="AQ57" i="91"/>
  <c r="AP53" i="91"/>
  <c r="AL53" i="91"/>
  <c r="AM53" i="91"/>
  <c r="AQ53" i="91"/>
  <c r="AN53" i="91"/>
  <c r="AO53" i="91"/>
  <c r="Q19" i="91"/>
  <c r="AQ50" i="91"/>
  <c r="AP50" i="91"/>
  <c r="AL50" i="91"/>
  <c r="AQ133" i="91"/>
  <c r="AM133" i="91"/>
  <c r="AP133" i="91"/>
  <c r="AL133" i="91"/>
  <c r="AO133" i="91"/>
  <c r="AN133" i="91"/>
  <c r="AQ129" i="91"/>
  <c r="AQ125" i="91"/>
  <c r="AO104" i="91"/>
  <c r="I104" i="91" s="1"/>
  <c r="AQ114" i="91"/>
  <c r="AO82" i="91"/>
  <c r="I82" i="91" s="1"/>
  <c r="Q95" i="91"/>
  <c r="Q93" i="91"/>
  <c r="AH93" i="91"/>
  <c r="AQ117" i="91"/>
  <c r="AO84" i="91"/>
  <c r="I84" i="91" s="1"/>
  <c r="AO83" i="91"/>
  <c r="I83" i="91" s="1"/>
  <c r="AO85" i="91"/>
  <c r="I85" i="91" s="1"/>
  <c r="AQ41" i="91"/>
  <c r="AP61" i="91"/>
  <c r="AL61" i="91"/>
  <c r="AN61" i="91"/>
  <c r="AM61" i="91"/>
  <c r="AO61" i="91"/>
  <c r="AQ61" i="91"/>
  <c r="AN51" i="91"/>
  <c r="R102" i="91"/>
  <c r="R94" i="91"/>
  <c r="R98" i="91"/>
  <c r="R97" i="91"/>
  <c r="R32" i="91"/>
  <c r="R33" i="91"/>
  <c r="R26" i="91"/>
  <c r="Q24" i="91"/>
  <c r="AO20" i="91"/>
  <c r="I20" i="91" s="1"/>
  <c r="J20" i="91" s="1"/>
  <c r="AN47" i="91"/>
  <c r="AO47" i="91"/>
  <c r="AM47" i="91"/>
  <c r="AP47" i="91"/>
  <c r="AL47" i="91"/>
  <c r="AQ47" i="91"/>
  <c r="AO10" i="91"/>
  <c r="I10" i="91" s="1"/>
  <c r="J10" i="91" s="1"/>
  <c r="AQ131" i="91"/>
  <c r="AQ123" i="91"/>
  <c r="Q102" i="91"/>
  <c r="AO98" i="91"/>
  <c r="I98" i="91" s="1"/>
  <c r="AQ48" i="91"/>
  <c r="AQ130" i="91"/>
  <c r="AQ120" i="91"/>
  <c r="AQ112" i="91"/>
  <c r="AQ59" i="91"/>
  <c r="AQ42" i="91"/>
  <c r="AH19" i="91"/>
  <c r="AI19" i="91" s="1"/>
  <c r="R90" i="91" s="1"/>
  <c r="AQ132" i="91"/>
  <c r="AM132" i="91"/>
  <c r="AP132" i="91"/>
  <c r="AL132" i="91"/>
  <c r="AO132" i="91"/>
  <c r="AN132" i="91"/>
  <c r="AQ128" i="91"/>
  <c r="AQ124" i="91"/>
  <c r="AM124" i="91"/>
  <c r="AP124" i="91"/>
  <c r="AL124" i="91"/>
  <c r="AO124" i="91"/>
  <c r="AN124" i="91"/>
  <c r="AQ121" i="91"/>
  <c r="AQ116" i="91"/>
  <c r="Q91" i="91"/>
  <c r="AQ115" i="91"/>
  <c r="AO96" i="91"/>
  <c r="I96" i="91" s="1"/>
  <c r="AO86" i="91"/>
  <c r="I86" i="91" s="1"/>
  <c r="AQ113" i="91"/>
  <c r="AH94" i="91"/>
  <c r="AQ55" i="91"/>
  <c r="AL55" i="91"/>
  <c r="AP55" i="91"/>
  <c r="AM55" i="91"/>
  <c r="AO55" i="91"/>
  <c r="AQ60" i="91"/>
  <c r="AO64" i="91"/>
  <c r="AP64" i="91"/>
  <c r="AN64" i="91"/>
  <c r="AL64" i="91"/>
  <c r="AM64" i="91"/>
  <c r="AO19" i="91"/>
  <c r="I19" i="91" s="1"/>
  <c r="J19" i="91" s="1"/>
  <c r="AQ56" i="91"/>
  <c r="AO23" i="91"/>
  <c r="I23" i="91" s="1"/>
  <c r="J23" i="91" s="1"/>
  <c r="Q20" i="91"/>
  <c r="AO16" i="91"/>
  <c r="I16" i="91" s="1"/>
  <c r="J16" i="91" s="1"/>
  <c r="Q16" i="91"/>
  <c r="AQ58" i="91"/>
  <c r="AO18" i="91"/>
  <c r="I18" i="91" s="1"/>
  <c r="J18" i="91" s="1"/>
  <c r="J96" i="91" l="1"/>
  <c r="J84" i="91"/>
  <c r="J89" i="91"/>
  <c r="J85" i="91"/>
  <c r="J88" i="91"/>
  <c r="J92" i="91"/>
  <c r="J83" i="91"/>
  <c r="J93" i="91"/>
  <c r="Z93" i="91"/>
  <c r="J97" i="91"/>
  <c r="J94" i="91"/>
  <c r="J102" i="91"/>
  <c r="Z102" i="91"/>
  <c r="J99" i="91"/>
  <c r="J81" i="91"/>
  <c r="J82" i="91"/>
  <c r="J90" i="91"/>
  <c r="J98" i="91"/>
  <c r="J87" i="91"/>
  <c r="Z87" i="91"/>
  <c r="J86" i="91"/>
  <c r="J100" i="91"/>
  <c r="J91" i="91"/>
  <c r="Z91" i="91"/>
  <c r="I101" i="91"/>
  <c r="AI93" i="91"/>
  <c r="R19" i="91"/>
  <c r="AI20" i="91"/>
  <c r="AI87" i="91"/>
  <c r="AI91" i="91"/>
  <c r="AI22" i="91"/>
  <c r="AI27" i="91"/>
  <c r="AI23" i="91"/>
  <c r="AI98" i="91"/>
  <c r="AI16" i="91"/>
  <c r="AI94" i="91"/>
  <c r="J101" i="91" l="1"/>
  <c r="Z101" i="91"/>
  <c r="R101" i="91"/>
  <c r="R30" i="91"/>
  <c r="R20" i="91"/>
  <c r="R91" i="91"/>
  <c r="R87" i="91"/>
  <c r="R16" i="91"/>
  <c r="R93" i="91"/>
  <c r="R22" i="91"/>
  <c r="R95" i="91"/>
  <c r="R24" i="91"/>
  <c r="Z1" i="85" l="1"/>
  <c r="E25" i="85" l="1"/>
  <c r="S7" i="85"/>
  <c r="I7" i="85"/>
  <c r="I115" i="60" l="1"/>
  <c r="I8" i="60"/>
  <c r="Z1" i="60"/>
  <c r="B5" i="60" s="1"/>
  <c r="Y2" i="60"/>
  <c r="AE32" i="86"/>
  <c r="AE31" i="86"/>
  <c r="AE30" i="86"/>
  <c r="AE29" i="86"/>
  <c r="AE28" i="86"/>
  <c r="AE27" i="86"/>
  <c r="AE26" i="86"/>
  <c r="AE25" i="86"/>
  <c r="AE24" i="86"/>
  <c r="AE23" i="86"/>
  <c r="AE22" i="86"/>
  <c r="AE21" i="86"/>
  <c r="AE20" i="86"/>
  <c r="AE19" i="86"/>
  <c r="AE18" i="86"/>
  <c r="AE17" i="86"/>
  <c r="AE16" i="86"/>
  <c r="AE15" i="86"/>
  <c r="AE14" i="86"/>
  <c r="AE13" i="86"/>
  <c r="AE12" i="86"/>
  <c r="AE11" i="86"/>
  <c r="AE10" i="86"/>
  <c r="AE9" i="86"/>
  <c r="Y32" i="86"/>
  <c r="Y31" i="86"/>
  <c r="Y30" i="86"/>
  <c r="Y29" i="86"/>
  <c r="Y28" i="86"/>
  <c r="Y27" i="86"/>
  <c r="Y26" i="86"/>
  <c r="Y25" i="86"/>
  <c r="Y24" i="86"/>
  <c r="Y23" i="86"/>
  <c r="Y22" i="86"/>
  <c r="Y21" i="86"/>
  <c r="Y20" i="86"/>
  <c r="Y19" i="86"/>
  <c r="Y18" i="86"/>
  <c r="Y17" i="86"/>
  <c r="Y16" i="86"/>
  <c r="Y15" i="86"/>
  <c r="Y14" i="86"/>
  <c r="Y13" i="86"/>
  <c r="Y12" i="86"/>
  <c r="Y11" i="86"/>
  <c r="Y10" i="86"/>
  <c r="Y9" i="86"/>
  <c r="H33" i="85"/>
  <c r="B33" i="87"/>
  <c r="B32" i="87"/>
  <c r="B31" i="87"/>
  <c r="B30" i="87"/>
  <c r="B29" i="87"/>
  <c r="B28" i="87"/>
  <c r="B27" i="87"/>
  <c r="B26" i="87"/>
  <c r="B25" i="87"/>
  <c r="B24" i="87"/>
  <c r="B23" i="87"/>
  <c r="B22" i="87"/>
  <c r="B21" i="87"/>
  <c r="B20" i="87"/>
  <c r="B19" i="87"/>
  <c r="B18" i="87"/>
  <c r="B17" i="87"/>
  <c r="B16" i="87"/>
  <c r="B15" i="87"/>
  <c r="B14" i="87"/>
  <c r="B13" i="87"/>
  <c r="B12" i="87"/>
  <c r="B11" i="87"/>
  <c r="B10" i="87"/>
  <c r="B33" i="85"/>
  <c r="B32" i="85"/>
  <c r="B31" i="85"/>
  <c r="B30" i="85"/>
  <c r="B29" i="85"/>
  <c r="B28" i="85"/>
  <c r="B27" i="85"/>
  <c r="B26" i="85"/>
  <c r="B25" i="85"/>
  <c r="B24" i="85"/>
  <c r="B23" i="85"/>
  <c r="B22" i="85"/>
  <c r="B21" i="85"/>
  <c r="B20" i="85"/>
  <c r="B19" i="85"/>
  <c r="B18" i="85"/>
  <c r="B17" i="85"/>
  <c r="B16" i="85"/>
  <c r="B15" i="85"/>
  <c r="B14" i="85"/>
  <c r="B13" i="85"/>
  <c r="B12" i="85"/>
  <c r="B11" i="85"/>
  <c r="B10" i="85"/>
  <c r="B33" i="60"/>
  <c r="B32" i="60"/>
  <c r="B31" i="60"/>
  <c r="B30" i="60"/>
  <c r="B29" i="60"/>
  <c r="B28" i="60"/>
  <c r="B27" i="60"/>
  <c r="B26" i="60"/>
  <c r="B25" i="60"/>
  <c r="B24" i="60"/>
  <c r="B23" i="60"/>
  <c r="B22" i="60"/>
  <c r="B21" i="60"/>
  <c r="B20" i="60"/>
  <c r="B19" i="60"/>
  <c r="B18" i="60"/>
  <c r="B17" i="60"/>
  <c r="B16" i="60"/>
  <c r="B15" i="60"/>
  <c r="B14" i="60"/>
  <c r="B13" i="60"/>
  <c r="B12" i="60"/>
  <c r="B11" i="60"/>
  <c r="B33" i="70"/>
  <c r="AO136" i="70" s="1"/>
  <c r="B32" i="70"/>
  <c r="AO135" i="70" s="1"/>
  <c r="B31" i="70"/>
  <c r="AO134" i="70" s="1"/>
  <c r="B30" i="70"/>
  <c r="AO133" i="70" s="1"/>
  <c r="B29" i="70"/>
  <c r="AO132" i="70" s="1"/>
  <c r="B28" i="70"/>
  <c r="AO131" i="70" s="1"/>
  <c r="B27" i="70"/>
  <c r="AO130" i="70" s="1"/>
  <c r="B26" i="70"/>
  <c r="AO129" i="70" s="1"/>
  <c r="B25" i="70"/>
  <c r="AO128" i="70" s="1"/>
  <c r="B24" i="70"/>
  <c r="AO127" i="70" s="1"/>
  <c r="B23" i="70"/>
  <c r="AO126" i="70" s="1"/>
  <c r="B22" i="70"/>
  <c r="AO125" i="70" s="1"/>
  <c r="B21" i="70"/>
  <c r="AO124" i="70" s="1"/>
  <c r="B20" i="70"/>
  <c r="AO123" i="70" s="1"/>
  <c r="B19" i="70"/>
  <c r="AO122" i="70" s="1"/>
  <c r="B18" i="70"/>
  <c r="AO121" i="70" s="1"/>
  <c r="B17" i="70"/>
  <c r="AO120" i="70" s="1"/>
  <c r="B16" i="70"/>
  <c r="AO119" i="70" s="1"/>
  <c r="B15" i="70"/>
  <c r="AO118" i="70" s="1"/>
  <c r="B14" i="70"/>
  <c r="AO117" i="70" s="1"/>
  <c r="B13" i="70"/>
  <c r="AO116" i="70" s="1"/>
  <c r="B12" i="70"/>
  <c r="AO115" i="70" s="1"/>
  <c r="B11" i="70"/>
  <c r="AO114" i="70" s="1"/>
  <c r="B10" i="70"/>
  <c r="AO113" i="70" s="1"/>
  <c r="B32" i="84"/>
  <c r="B31" i="84"/>
  <c r="B30" i="84"/>
  <c r="B29" i="84"/>
  <c r="B28" i="84"/>
  <c r="B27" i="84"/>
  <c r="B26" i="84"/>
  <c r="B25" i="84"/>
  <c r="B24" i="84"/>
  <c r="B23" i="84"/>
  <c r="B22" i="84"/>
  <c r="B21" i="84"/>
  <c r="B20" i="84"/>
  <c r="B19" i="84"/>
  <c r="B18" i="84"/>
  <c r="B17" i="84"/>
  <c r="B16" i="84"/>
  <c r="B15" i="84"/>
  <c r="B14" i="84"/>
  <c r="B13" i="84"/>
  <c r="B12" i="84"/>
  <c r="B11" i="84"/>
  <c r="B10" i="84"/>
  <c r="B283" i="83"/>
  <c r="B282" i="83"/>
  <c r="B281" i="83"/>
  <c r="B280" i="83"/>
  <c r="B279" i="83"/>
  <c r="B278" i="83"/>
  <c r="B277" i="83"/>
  <c r="B276" i="83"/>
  <c r="B275" i="83"/>
  <c r="B274" i="83"/>
  <c r="B273" i="83"/>
  <c r="B272" i="83"/>
  <c r="B271" i="83"/>
  <c r="B270" i="83"/>
  <c r="B269" i="83"/>
  <c r="B268" i="83"/>
  <c r="B267" i="83"/>
  <c r="B266" i="83"/>
  <c r="B265" i="83"/>
  <c r="B264" i="83"/>
  <c r="B263" i="83"/>
  <c r="B262" i="83"/>
  <c r="B261" i="83"/>
  <c r="B260" i="83"/>
  <c r="B140" i="83"/>
  <c r="B139" i="83"/>
  <c r="B138" i="83"/>
  <c r="B137" i="83"/>
  <c r="B136" i="83"/>
  <c r="B135" i="83"/>
  <c r="B134" i="83"/>
  <c r="B133" i="83"/>
  <c r="B132" i="83"/>
  <c r="B131" i="83"/>
  <c r="B130" i="83"/>
  <c r="B129" i="83"/>
  <c r="B128" i="83"/>
  <c r="B127" i="83"/>
  <c r="B126" i="83"/>
  <c r="B125" i="83"/>
  <c r="B124" i="83"/>
  <c r="B123" i="83"/>
  <c r="B122" i="83"/>
  <c r="B121" i="83"/>
  <c r="B120" i="83"/>
  <c r="B119" i="83"/>
  <c r="B118" i="83"/>
  <c r="B117" i="83"/>
  <c r="B33" i="83"/>
  <c r="B32" i="83"/>
  <c r="B31" i="83"/>
  <c r="B30" i="83"/>
  <c r="B29" i="83"/>
  <c r="B28" i="83"/>
  <c r="B27" i="83"/>
  <c r="B26" i="83"/>
  <c r="B25" i="83"/>
  <c r="B24" i="83"/>
  <c r="B23" i="83"/>
  <c r="B22" i="83"/>
  <c r="B21" i="83"/>
  <c r="B20" i="83"/>
  <c r="B19" i="83"/>
  <c r="B18" i="83"/>
  <c r="B17" i="83"/>
  <c r="B16" i="83"/>
  <c r="B15" i="83"/>
  <c r="B14" i="83"/>
  <c r="B13" i="83"/>
  <c r="B12" i="83"/>
  <c r="B11" i="83"/>
  <c r="B10" i="83"/>
  <c r="B33" i="69"/>
  <c r="B32" i="69"/>
  <c r="B31" i="69"/>
  <c r="B30" i="69"/>
  <c r="B29" i="69"/>
  <c r="B28" i="69"/>
  <c r="B27" i="69"/>
  <c r="B26" i="69"/>
  <c r="B25" i="69"/>
  <c r="B24" i="69"/>
  <c r="B23" i="69"/>
  <c r="B22" i="69"/>
  <c r="B21" i="69"/>
  <c r="B20" i="69"/>
  <c r="B19" i="69"/>
  <c r="B18" i="69"/>
  <c r="B17" i="69"/>
  <c r="B16" i="69"/>
  <c r="B15" i="69"/>
  <c r="B14" i="69"/>
  <c r="B13" i="69"/>
  <c r="B12" i="69"/>
  <c r="B11" i="69"/>
  <c r="B10" i="69"/>
  <c r="B139" i="68"/>
  <c r="B138" i="68"/>
  <c r="B137" i="68"/>
  <c r="B136" i="68"/>
  <c r="B135" i="68"/>
  <c r="B134" i="68"/>
  <c r="B133" i="68"/>
  <c r="B132" i="68"/>
  <c r="B131" i="68"/>
  <c r="B130" i="68"/>
  <c r="B129" i="68"/>
  <c r="B128" i="68"/>
  <c r="B127" i="68"/>
  <c r="B126" i="68"/>
  <c r="B125" i="68"/>
  <c r="B124" i="68"/>
  <c r="B123" i="68"/>
  <c r="B122" i="68"/>
  <c r="B121" i="68"/>
  <c r="B120" i="68"/>
  <c r="B119" i="68"/>
  <c r="B118" i="68"/>
  <c r="B117" i="68"/>
  <c r="B116" i="68"/>
  <c r="B33" i="68"/>
  <c r="B32" i="68"/>
  <c r="B31" i="68"/>
  <c r="B30" i="68"/>
  <c r="B29" i="68"/>
  <c r="B28" i="68"/>
  <c r="B27" i="68"/>
  <c r="B26" i="68"/>
  <c r="B25" i="68"/>
  <c r="B24" i="68"/>
  <c r="B23" i="68"/>
  <c r="B22" i="68"/>
  <c r="B21" i="68"/>
  <c r="B20" i="68"/>
  <c r="B19" i="68"/>
  <c r="B18" i="68"/>
  <c r="B17" i="68"/>
  <c r="B16" i="68"/>
  <c r="B15" i="68"/>
  <c r="B14" i="68"/>
  <c r="B13" i="68"/>
  <c r="B12" i="68"/>
  <c r="B11" i="68"/>
  <c r="B10" i="68"/>
  <c r="B33" i="67"/>
  <c r="B32" i="67"/>
  <c r="B31" i="67"/>
  <c r="B30" i="67"/>
  <c r="B29" i="67"/>
  <c r="B28" i="67"/>
  <c r="B27" i="67"/>
  <c r="B26" i="67"/>
  <c r="B25" i="67"/>
  <c r="B24" i="67"/>
  <c r="B23" i="67"/>
  <c r="B22" i="67"/>
  <c r="B21" i="67"/>
  <c r="B20" i="67"/>
  <c r="B19" i="67"/>
  <c r="B18" i="67"/>
  <c r="B17" i="67"/>
  <c r="B16" i="67"/>
  <c r="B15" i="67"/>
  <c r="B14" i="67"/>
  <c r="B13" i="67"/>
  <c r="B12" i="67"/>
  <c r="B11" i="67"/>
  <c r="B10" i="67"/>
  <c r="B33" i="66"/>
  <c r="B32" i="66"/>
  <c r="B31" i="66"/>
  <c r="B30" i="66"/>
  <c r="B29" i="66"/>
  <c r="B28" i="66"/>
  <c r="B27" i="66"/>
  <c r="B26" i="66"/>
  <c r="B25" i="66"/>
  <c r="B24" i="66"/>
  <c r="B23" i="66"/>
  <c r="B22" i="66"/>
  <c r="B21" i="66"/>
  <c r="B20" i="66"/>
  <c r="B19" i="66"/>
  <c r="B18" i="66"/>
  <c r="B17" i="66"/>
  <c r="B16" i="66"/>
  <c r="B15" i="66"/>
  <c r="B14" i="66"/>
  <c r="B13" i="66"/>
  <c r="B12" i="66"/>
  <c r="B11" i="66"/>
  <c r="B10" i="66"/>
  <c r="B33" i="65"/>
  <c r="B32" i="65"/>
  <c r="B31" i="65"/>
  <c r="B30" i="65"/>
  <c r="B29" i="65"/>
  <c r="B28" i="65"/>
  <c r="B27" i="65"/>
  <c r="B26" i="65"/>
  <c r="B25" i="65"/>
  <c r="B24" i="65"/>
  <c r="B23" i="65"/>
  <c r="B22" i="65"/>
  <c r="B21" i="65"/>
  <c r="B20" i="65"/>
  <c r="B19" i="65"/>
  <c r="B18" i="65"/>
  <c r="B17" i="65"/>
  <c r="B16" i="65"/>
  <c r="B15" i="65"/>
  <c r="B14" i="65"/>
  <c r="B13" i="65"/>
  <c r="B12" i="65"/>
  <c r="B11" i="65"/>
  <c r="B10" i="65"/>
  <c r="B33" i="64"/>
  <c r="B32" i="64"/>
  <c r="B31" i="64"/>
  <c r="B30" i="64"/>
  <c r="B29" i="64"/>
  <c r="B28" i="64"/>
  <c r="B27" i="64"/>
  <c r="B26" i="64"/>
  <c r="B25" i="64"/>
  <c r="B24" i="64"/>
  <c r="B23" i="64"/>
  <c r="B22" i="64"/>
  <c r="B21" i="64"/>
  <c r="B20" i="64"/>
  <c r="B19" i="64"/>
  <c r="B18" i="64"/>
  <c r="B17" i="64"/>
  <c r="B16" i="64"/>
  <c r="B15" i="64"/>
  <c r="B14" i="64"/>
  <c r="B13" i="64"/>
  <c r="B12" i="64"/>
  <c r="B11" i="64"/>
  <c r="B10" i="64"/>
  <c r="B33" i="63"/>
  <c r="B32" i="63"/>
  <c r="B31" i="63"/>
  <c r="B30" i="63"/>
  <c r="B29" i="63"/>
  <c r="B28" i="63"/>
  <c r="B27" i="63"/>
  <c r="B26" i="63"/>
  <c r="B25" i="63"/>
  <c r="B24" i="63"/>
  <c r="B23" i="63"/>
  <c r="B22" i="63"/>
  <c r="B21" i="63"/>
  <c r="B20" i="63"/>
  <c r="B19" i="63"/>
  <c r="B18" i="63"/>
  <c r="B17" i="63"/>
  <c r="B16" i="63"/>
  <c r="B15" i="63"/>
  <c r="B14" i="63"/>
  <c r="B13" i="63"/>
  <c r="B12" i="63"/>
  <c r="B11" i="63"/>
  <c r="B10" i="63"/>
  <c r="B33" i="62"/>
  <c r="B32" i="62"/>
  <c r="B31" i="62"/>
  <c r="B30" i="62"/>
  <c r="B29" i="62"/>
  <c r="B28" i="62"/>
  <c r="B27" i="62"/>
  <c r="B26" i="62"/>
  <c r="B25" i="62"/>
  <c r="B24" i="62"/>
  <c r="B23" i="62"/>
  <c r="B22" i="62"/>
  <c r="B21" i="62"/>
  <c r="B20" i="62"/>
  <c r="B19" i="62"/>
  <c r="B18" i="62"/>
  <c r="B17" i="62"/>
  <c r="B16" i="62"/>
  <c r="B15" i="62"/>
  <c r="B14" i="62"/>
  <c r="B13" i="62"/>
  <c r="B12" i="62"/>
  <c r="B11" i="62"/>
  <c r="B10" i="62"/>
  <c r="Z32" i="86"/>
  <c r="Z30" i="86"/>
  <c r="Z29" i="86"/>
  <c r="Z28" i="86"/>
  <c r="Z27" i="86"/>
  <c r="Z26" i="86"/>
  <c r="Z25" i="86"/>
  <c r="Z24" i="86"/>
  <c r="Z23" i="86"/>
  <c r="Z22" i="86"/>
  <c r="Z21" i="86"/>
  <c r="Z20" i="86"/>
  <c r="Z19" i="86"/>
  <c r="Z18" i="86"/>
  <c r="Z17" i="86"/>
  <c r="Z16" i="86"/>
  <c r="Z15" i="86"/>
  <c r="Z14" i="86"/>
  <c r="Z13" i="86"/>
  <c r="Z12" i="86"/>
  <c r="Z11" i="86"/>
  <c r="Z10" i="86"/>
  <c r="Z9" i="86"/>
  <c r="AA32" i="86"/>
  <c r="AA30" i="86"/>
  <c r="AA29" i="86"/>
  <c r="AA28" i="86"/>
  <c r="AA27" i="86"/>
  <c r="AA26" i="86"/>
  <c r="AA25" i="86"/>
  <c r="AA24" i="86"/>
  <c r="AA23" i="86"/>
  <c r="AA22" i="86"/>
  <c r="AA21" i="86"/>
  <c r="AA20" i="86"/>
  <c r="AA19" i="86"/>
  <c r="AA18" i="86"/>
  <c r="AA17" i="86"/>
  <c r="AA16" i="86"/>
  <c r="AA15" i="86"/>
  <c r="AA14" i="86"/>
  <c r="AA13" i="86"/>
  <c r="AA12" i="86"/>
  <c r="AA11" i="86"/>
  <c r="AA10" i="86"/>
  <c r="AA9" i="86"/>
  <c r="AP32" i="86"/>
  <c r="AO32" i="86"/>
  <c r="AN32" i="86"/>
  <c r="AM32" i="86"/>
  <c r="AL32" i="86"/>
  <c r="AP30" i="86"/>
  <c r="AO30" i="86"/>
  <c r="AN30" i="86"/>
  <c r="AM30" i="86"/>
  <c r="AL30" i="86"/>
  <c r="AP29" i="86"/>
  <c r="AO29" i="86"/>
  <c r="AN29" i="86"/>
  <c r="AM29" i="86"/>
  <c r="AL29" i="86"/>
  <c r="AP28" i="86"/>
  <c r="AO28" i="86"/>
  <c r="AN28" i="86"/>
  <c r="AM28" i="86"/>
  <c r="AL28" i="86"/>
  <c r="AP27" i="86"/>
  <c r="AO27" i="86"/>
  <c r="AN27" i="86"/>
  <c r="AM27" i="86"/>
  <c r="AL27" i="86"/>
  <c r="AP26" i="86"/>
  <c r="AO26" i="86"/>
  <c r="AN26" i="86"/>
  <c r="AM26" i="86"/>
  <c r="AL26" i="86"/>
  <c r="AP25" i="86"/>
  <c r="AO25" i="86"/>
  <c r="AN25" i="86"/>
  <c r="AM25" i="86"/>
  <c r="AL25" i="86"/>
  <c r="AP24" i="86"/>
  <c r="AO24" i="86"/>
  <c r="AN24" i="86"/>
  <c r="AM24" i="86"/>
  <c r="AL24" i="86"/>
  <c r="AP23" i="86"/>
  <c r="AO23" i="86"/>
  <c r="AM23" i="86"/>
  <c r="AL23" i="86"/>
  <c r="AP22" i="86"/>
  <c r="AO22" i="86"/>
  <c r="AN22" i="86"/>
  <c r="AM22" i="86"/>
  <c r="AL22" i="86"/>
  <c r="AP21" i="86"/>
  <c r="AO21" i="86"/>
  <c r="AN21" i="86"/>
  <c r="AM21" i="86"/>
  <c r="AL21" i="86"/>
  <c r="AP20" i="86"/>
  <c r="AO20" i="86"/>
  <c r="AN20" i="86"/>
  <c r="AM20" i="86"/>
  <c r="AL20" i="86"/>
  <c r="AP19" i="86"/>
  <c r="AO19" i="86"/>
  <c r="AN19" i="86"/>
  <c r="AM19" i="86"/>
  <c r="AL19" i="86"/>
  <c r="AP18" i="86"/>
  <c r="AO18" i="86"/>
  <c r="AN18" i="86"/>
  <c r="AM18" i="86"/>
  <c r="AL18" i="86"/>
  <c r="AP17" i="86"/>
  <c r="AO17" i="86"/>
  <c r="AN17" i="86"/>
  <c r="AM17" i="86"/>
  <c r="AL17" i="86"/>
  <c r="AP16" i="86"/>
  <c r="AO16" i="86"/>
  <c r="AN16" i="86"/>
  <c r="AM16" i="86"/>
  <c r="AL16" i="86"/>
  <c r="AP15" i="86"/>
  <c r="AO15" i="86"/>
  <c r="AN15" i="86"/>
  <c r="AM15" i="86"/>
  <c r="AL15" i="86"/>
  <c r="AP14" i="86"/>
  <c r="AO14" i="86"/>
  <c r="AN14" i="86"/>
  <c r="AM14" i="86"/>
  <c r="AL14" i="86"/>
  <c r="AP13" i="86"/>
  <c r="AO13" i="86"/>
  <c r="AN13" i="86"/>
  <c r="AM13" i="86"/>
  <c r="AL13" i="86"/>
  <c r="AP12" i="86"/>
  <c r="AO12" i="86"/>
  <c r="AN12" i="86"/>
  <c r="AM12" i="86"/>
  <c r="AL12" i="86"/>
  <c r="AP11" i="86"/>
  <c r="AO11" i="86"/>
  <c r="AN11" i="86"/>
  <c r="AM11" i="86"/>
  <c r="AL11" i="86"/>
  <c r="AP10" i="86"/>
  <c r="AO10" i="86"/>
  <c r="AN10" i="86"/>
  <c r="AM10" i="86"/>
  <c r="AL10" i="86"/>
  <c r="AP9" i="86"/>
  <c r="AO9" i="86"/>
  <c r="AN9" i="86"/>
  <c r="AM9" i="86"/>
  <c r="AL9" i="86"/>
  <c r="AD32" i="86"/>
  <c r="AC32" i="86"/>
  <c r="AB32" i="86"/>
  <c r="AD30" i="86"/>
  <c r="AC30" i="86"/>
  <c r="AB30" i="86"/>
  <c r="AD29" i="86"/>
  <c r="AC29" i="86"/>
  <c r="AB29" i="86"/>
  <c r="AD28" i="86"/>
  <c r="AC28" i="86"/>
  <c r="AB28" i="86"/>
  <c r="AD27" i="86"/>
  <c r="AC27" i="86"/>
  <c r="AB27" i="86"/>
  <c r="AD26" i="86"/>
  <c r="AC26" i="86"/>
  <c r="AB26" i="86"/>
  <c r="AD25" i="86"/>
  <c r="AC25" i="86"/>
  <c r="AB25" i="86"/>
  <c r="AD24" i="86"/>
  <c r="AC24" i="86"/>
  <c r="AB24" i="86"/>
  <c r="AD23" i="86"/>
  <c r="AC23" i="86"/>
  <c r="AD22" i="86"/>
  <c r="AC22" i="86"/>
  <c r="AB22" i="86"/>
  <c r="AD21" i="86"/>
  <c r="AC21" i="86"/>
  <c r="AB21" i="86"/>
  <c r="AD20" i="86"/>
  <c r="AC20" i="86"/>
  <c r="AB20" i="86"/>
  <c r="AD19" i="86"/>
  <c r="AC19" i="86"/>
  <c r="AB19" i="86"/>
  <c r="AD18" i="86"/>
  <c r="AC18" i="86"/>
  <c r="AB18" i="86"/>
  <c r="AD17" i="86"/>
  <c r="AC17" i="86"/>
  <c r="AB17" i="86"/>
  <c r="AD16" i="86"/>
  <c r="AC16" i="86"/>
  <c r="AB16" i="86"/>
  <c r="AD15" i="86"/>
  <c r="AC15" i="86"/>
  <c r="AB15" i="86"/>
  <c r="AD14" i="86"/>
  <c r="AC14" i="86"/>
  <c r="AB14" i="86"/>
  <c r="AD13" i="86"/>
  <c r="AC13" i="86"/>
  <c r="AB13" i="86"/>
  <c r="AD12" i="86"/>
  <c r="AC12" i="86"/>
  <c r="AB12" i="86"/>
  <c r="AD11" i="86"/>
  <c r="AC11" i="86"/>
  <c r="AB11" i="86"/>
  <c r="AD10" i="86"/>
  <c r="AC10" i="86"/>
  <c r="AB10" i="86"/>
  <c r="AD9" i="86"/>
  <c r="AC9" i="86"/>
  <c r="AB9" i="86"/>
  <c r="AQ64" i="84" l="1"/>
  <c r="E32" i="86"/>
  <c r="AF9" i="86"/>
  <c r="AF17" i="86"/>
  <c r="AF21" i="86"/>
  <c r="AG24" i="86"/>
  <c r="AF25" i="86"/>
  <c r="AG28" i="86"/>
  <c r="AF29" i="86"/>
  <c r="AJ9" i="86"/>
  <c r="AH11" i="86"/>
  <c r="AJ13" i="86"/>
  <c r="AH15" i="86"/>
  <c r="AJ17" i="86"/>
  <c r="AH19" i="86"/>
  <c r="AI23" i="86"/>
  <c r="AG25" i="86"/>
  <c r="AF26" i="86"/>
  <c r="AI27" i="86"/>
  <c r="AG29" i="86"/>
  <c r="AF30" i="86"/>
  <c r="AI32" i="86"/>
  <c r="AG9" i="86"/>
  <c r="AF10" i="86"/>
  <c r="AI11" i="86"/>
  <c r="AF14" i="86"/>
  <c r="AG17" i="86"/>
  <c r="AF18" i="86"/>
  <c r="AG21" i="86"/>
  <c r="AF22" i="86"/>
  <c r="AG26" i="86"/>
  <c r="AG30" i="86"/>
  <c r="AG11" i="86"/>
  <c r="AF12" i="86"/>
  <c r="AG15" i="86"/>
  <c r="AF16" i="86"/>
  <c r="AG19" i="86"/>
  <c r="AF20" i="86"/>
  <c r="AG23" i="86"/>
  <c r="AI15" i="86"/>
  <c r="AI19" i="86"/>
  <c r="AJ23" i="86"/>
  <c r="AJ27" i="86"/>
  <c r="AJ32" i="86"/>
  <c r="AF24" i="86"/>
  <c r="AG27" i="86"/>
  <c r="AF28" i="86"/>
  <c r="AG32" i="86"/>
  <c r="AF27" i="86"/>
  <c r="AF32" i="86"/>
  <c r="AF11" i="86"/>
  <c r="AF15" i="86"/>
  <c r="AF19" i="86"/>
  <c r="AF23" i="86"/>
  <c r="AG12" i="86"/>
  <c r="AG16" i="86"/>
  <c r="AG20" i="86"/>
  <c r="AG10" i="86"/>
  <c r="AG18" i="86"/>
  <c r="AG22" i="86"/>
  <c r="AH10" i="86"/>
  <c r="AH18" i="86"/>
  <c r="AH22" i="86"/>
  <c r="AH27" i="86"/>
  <c r="AH32" i="86"/>
  <c r="AH26" i="86"/>
  <c r="AH30" i="86"/>
  <c r="AI10" i="86"/>
  <c r="AI18" i="86"/>
  <c r="AI17" i="86"/>
  <c r="AI26" i="86"/>
  <c r="AI30" i="86"/>
  <c r="AI22" i="86"/>
  <c r="AI28" i="86"/>
  <c r="AI12" i="86"/>
  <c r="AI16" i="86"/>
  <c r="AI25" i="86"/>
  <c r="AI29" i="86"/>
  <c r="AJ14" i="86"/>
  <c r="AJ22" i="86"/>
  <c r="AJ16" i="86"/>
  <c r="AJ20" i="86"/>
  <c r="AJ25" i="86"/>
  <c r="AJ29" i="86"/>
  <c r="AJ30" i="86"/>
  <c r="AJ18" i="86"/>
  <c r="AJ15" i="86"/>
  <c r="AJ19" i="86"/>
  <c r="AJ24" i="86"/>
  <c r="AJ28" i="86"/>
  <c r="AJ12" i="86"/>
  <c r="AJ26" i="86"/>
  <c r="AI20" i="86"/>
  <c r="AJ11" i="86"/>
  <c r="AJ10" i="86"/>
  <c r="AF13" i="86"/>
  <c r="AI21" i="86"/>
  <c r="AK5" i="60"/>
  <c r="AK116" i="60"/>
  <c r="AI13" i="86"/>
  <c r="AI14" i="86"/>
  <c r="AI9" i="86"/>
  <c r="AI24" i="86"/>
  <c r="AG14" i="86"/>
  <c r="AH9" i="86"/>
  <c r="AH17" i="86"/>
  <c r="AH21" i="86"/>
  <c r="AH25" i="86"/>
  <c r="AH29" i="86"/>
  <c r="AH12" i="86"/>
  <c r="AH16" i="86"/>
  <c r="AH20" i="86"/>
  <c r="AH24" i="86"/>
  <c r="AH28" i="86"/>
  <c r="AH14" i="86"/>
  <c r="AH13" i="86"/>
  <c r="AG13" i="86"/>
  <c r="AJ21" i="86"/>
  <c r="B112" i="60"/>
  <c r="AD31" i="86"/>
  <c r="AC31" i="86"/>
  <c r="AA31" i="86"/>
  <c r="Z31" i="86"/>
  <c r="AF31" i="86" l="1"/>
  <c r="AJ31" i="86"/>
  <c r="AI31" i="86"/>
  <c r="AG31" i="86"/>
  <c r="Y2" i="86"/>
  <c r="Z1" i="86"/>
  <c r="Y2" i="70" l="1"/>
  <c r="Z1" i="70"/>
  <c r="I7" i="70"/>
  <c r="AO5" i="70"/>
  <c r="AC170" i="84"/>
  <c r="AB170" i="84"/>
  <c r="AA170" i="84"/>
  <c r="Z170" i="84"/>
  <c r="Y170" i="84"/>
  <c r="AC169" i="84"/>
  <c r="AB169" i="84"/>
  <c r="AA169" i="84"/>
  <c r="Z169" i="84"/>
  <c r="Y169" i="84"/>
  <c r="AC168" i="84"/>
  <c r="AB168" i="84"/>
  <c r="AA168" i="84"/>
  <c r="Z168" i="84"/>
  <c r="Y168" i="84"/>
  <c r="AC167" i="84"/>
  <c r="AB167" i="84"/>
  <c r="AA167" i="84"/>
  <c r="Z167" i="84"/>
  <c r="Y167" i="84"/>
  <c r="AC166" i="84"/>
  <c r="AB166" i="84"/>
  <c r="AA166" i="84"/>
  <c r="Z166" i="84"/>
  <c r="Y166" i="84"/>
  <c r="AC165" i="84"/>
  <c r="AB165" i="84"/>
  <c r="AA165" i="84"/>
  <c r="Z165" i="84"/>
  <c r="Y165" i="84"/>
  <c r="AC164" i="84"/>
  <c r="AB164" i="84"/>
  <c r="AA164" i="84"/>
  <c r="Z164" i="84"/>
  <c r="Y164" i="84"/>
  <c r="AC163" i="84"/>
  <c r="AB163" i="84"/>
  <c r="Z163" i="84"/>
  <c r="AF163" i="84" s="1"/>
  <c r="Y163" i="84"/>
  <c r="AC162" i="84"/>
  <c r="AB162" i="84"/>
  <c r="AA162" i="84"/>
  <c r="Z162" i="84"/>
  <c r="Y162" i="84"/>
  <c r="AC161" i="84"/>
  <c r="AB161" i="84"/>
  <c r="AA161" i="84"/>
  <c r="Z161" i="84"/>
  <c r="Y161" i="84"/>
  <c r="AC160" i="84"/>
  <c r="AB160" i="84"/>
  <c r="AA160" i="84"/>
  <c r="Z160" i="84"/>
  <c r="Y160" i="84"/>
  <c r="AC159" i="84"/>
  <c r="AB159" i="84"/>
  <c r="AA159" i="84"/>
  <c r="Z159" i="84"/>
  <c r="Y159" i="84"/>
  <c r="AC158" i="84"/>
  <c r="AB158" i="84"/>
  <c r="AA158" i="84"/>
  <c r="Z158" i="84"/>
  <c r="Y158" i="84"/>
  <c r="AC157" i="84"/>
  <c r="AB157" i="84"/>
  <c r="AA157" i="84"/>
  <c r="Z157" i="84"/>
  <c r="Y157" i="84"/>
  <c r="AC156" i="84"/>
  <c r="AB156" i="84"/>
  <c r="AA156" i="84"/>
  <c r="Z156" i="84"/>
  <c r="Y156" i="84"/>
  <c r="AC155" i="84"/>
  <c r="AB155" i="84"/>
  <c r="AA155" i="84"/>
  <c r="Z155" i="84"/>
  <c r="Y155" i="84"/>
  <c r="AC154" i="84"/>
  <c r="AB154" i="84"/>
  <c r="AA154" i="84"/>
  <c r="Z154" i="84"/>
  <c r="Y154" i="84"/>
  <c r="AC153" i="84"/>
  <c r="AB153" i="84"/>
  <c r="AA153" i="84"/>
  <c r="Z153" i="84"/>
  <c r="Y153" i="84"/>
  <c r="AC152" i="84"/>
  <c r="AB152" i="84"/>
  <c r="AA152" i="84"/>
  <c r="Z152" i="84"/>
  <c r="Y152" i="84"/>
  <c r="AC151" i="84"/>
  <c r="AB151" i="84"/>
  <c r="AA151" i="84"/>
  <c r="Z151" i="84"/>
  <c r="Y151" i="84"/>
  <c r="AC150" i="84"/>
  <c r="AB150" i="84"/>
  <c r="AA150" i="84"/>
  <c r="Z150" i="84"/>
  <c r="Y150" i="84"/>
  <c r="AC149" i="84"/>
  <c r="AB149" i="84"/>
  <c r="AA149" i="84"/>
  <c r="Z149" i="84"/>
  <c r="Y149" i="84"/>
  <c r="AC134" i="84"/>
  <c r="AB134" i="84"/>
  <c r="AA134" i="84"/>
  <c r="Z134" i="84"/>
  <c r="Y134" i="84"/>
  <c r="AC133" i="84"/>
  <c r="AB133" i="84"/>
  <c r="AA133" i="84"/>
  <c r="Z133" i="84"/>
  <c r="Y133" i="84"/>
  <c r="AC132" i="84"/>
  <c r="AB132" i="84"/>
  <c r="AA132" i="84"/>
  <c r="Z132" i="84"/>
  <c r="Y132" i="84"/>
  <c r="AC131" i="84"/>
  <c r="AB131" i="84"/>
  <c r="AA131" i="84"/>
  <c r="Z131" i="84"/>
  <c r="Y131" i="84"/>
  <c r="AC130" i="84"/>
  <c r="AB130" i="84"/>
  <c r="AA130" i="84"/>
  <c r="Z130" i="84"/>
  <c r="Y130" i="84"/>
  <c r="AC129" i="84"/>
  <c r="AB129" i="84"/>
  <c r="AA129" i="84"/>
  <c r="Z129" i="84"/>
  <c r="Y129" i="84"/>
  <c r="AC128" i="84"/>
  <c r="AB128" i="84"/>
  <c r="AA128" i="84"/>
  <c r="Z128" i="84"/>
  <c r="Y128" i="84"/>
  <c r="AC127" i="84"/>
  <c r="AB127" i="84"/>
  <c r="Z127" i="84"/>
  <c r="Y127" i="84"/>
  <c r="AC126" i="84"/>
  <c r="AB126" i="84"/>
  <c r="AA126" i="84"/>
  <c r="Z126" i="84"/>
  <c r="Y126" i="84"/>
  <c r="AC125" i="84"/>
  <c r="AB125" i="84"/>
  <c r="AA125" i="84"/>
  <c r="Z125" i="84"/>
  <c r="Y125" i="84"/>
  <c r="AC124" i="84"/>
  <c r="AB124" i="84"/>
  <c r="AA124" i="84"/>
  <c r="Z124" i="84"/>
  <c r="Y124" i="84"/>
  <c r="AC123" i="84"/>
  <c r="AB123" i="84"/>
  <c r="AA123" i="84"/>
  <c r="Z123" i="84"/>
  <c r="Y123" i="84"/>
  <c r="AC122" i="84"/>
  <c r="AB122" i="84"/>
  <c r="AA122" i="84"/>
  <c r="Z122" i="84"/>
  <c r="Y122" i="84"/>
  <c r="AC121" i="84"/>
  <c r="AB121" i="84"/>
  <c r="AA121" i="84"/>
  <c r="Z121" i="84"/>
  <c r="Y121" i="84"/>
  <c r="AC120" i="84"/>
  <c r="AB120" i="84"/>
  <c r="AA120" i="84"/>
  <c r="Z120" i="84"/>
  <c r="Y120" i="84"/>
  <c r="AC119" i="84"/>
  <c r="AB119" i="84"/>
  <c r="AA119" i="84"/>
  <c r="Z119" i="84"/>
  <c r="Y119" i="84"/>
  <c r="AC118" i="84"/>
  <c r="AB118" i="84"/>
  <c r="AA118" i="84"/>
  <c r="Z118" i="84"/>
  <c r="Y118" i="84"/>
  <c r="AC117" i="84"/>
  <c r="AB117" i="84"/>
  <c r="AA117" i="84"/>
  <c r="Z117" i="84"/>
  <c r="Y117" i="84"/>
  <c r="AC116" i="84"/>
  <c r="AB116" i="84"/>
  <c r="AA116" i="84"/>
  <c r="Z116" i="84"/>
  <c r="Y116" i="84"/>
  <c r="AC115" i="84"/>
  <c r="AB115" i="84"/>
  <c r="AA115" i="84"/>
  <c r="Z115" i="84"/>
  <c r="Y115" i="84"/>
  <c r="AC114" i="84"/>
  <c r="AB114" i="84"/>
  <c r="AA114" i="84"/>
  <c r="Z114" i="84"/>
  <c r="Y114" i="84"/>
  <c r="AC113" i="84"/>
  <c r="AB113" i="84"/>
  <c r="AA113" i="84"/>
  <c r="Z113" i="84"/>
  <c r="Y113" i="84"/>
  <c r="AC98" i="84"/>
  <c r="AB98" i="84"/>
  <c r="AA98" i="84"/>
  <c r="Z98" i="84"/>
  <c r="Y98" i="84"/>
  <c r="AC97" i="84"/>
  <c r="AB97" i="84"/>
  <c r="AA97" i="84"/>
  <c r="Z97" i="84"/>
  <c r="Y97" i="84"/>
  <c r="AC96" i="84"/>
  <c r="AB96" i="84"/>
  <c r="AA96" i="84"/>
  <c r="Z96" i="84"/>
  <c r="Y96" i="84"/>
  <c r="AC95" i="84"/>
  <c r="AB95" i="84"/>
  <c r="AA95" i="84"/>
  <c r="Z95" i="84"/>
  <c r="Y95" i="84"/>
  <c r="AC94" i="84"/>
  <c r="AB94" i="84"/>
  <c r="AA94" i="84"/>
  <c r="Z94" i="84"/>
  <c r="Y94" i="84"/>
  <c r="AC93" i="84"/>
  <c r="AB93" i="84"/>
  <c r="AA93" i="84"/>
  <c r="Z93" i="84"/>
  <c r="Y93" i="84"/>
  <c r="AC92" i="84"/>
  <c r="AB92" i="84"/>
  <c r="AA92" i="84"/>
  <c r="Z92" i="84"/>
  <c r="Y92" i="84"/>
  <c r="AC91" i="84"/>
  <c r="AB91" i="84"/>
  <c r="Z91" i="84"/>
  <c r="Y91" i="84"/>
  <c r="AE91" i="84" s="1"/>
  <c r="AC90" i="84"/>
  <c r="AB90" i="84"/>
  <c r="AA90" i="84"/>
  <c r="Z90" i="84"/>
  <c r="Y90" i="84"/>
  <c r="AC89" i="84"/>
  <c r="AB89" i="84"/>
  <c r="AA89" i="84"/>
  <c r="Z89" i="84"/>
  <c r="Y89" i="84"/>
  <c r="AC88" i="84"/>
  <c r="AB88" i="84"/>
  <c r="AA88" i="84"/>
  <c r="Z88" i="84"/>
  <c r="Y88" i="84"/>
  <c r="AC87" i="84"/>
  <c r="AB87" i="84"/>
  <c r="AA87" i="84"/>
  <c r="Z87" i="84"/>
  <c r="Y87" i="84"/>
  <c r="AC86" i="84"/>
  <c r="AB86" i="84"/>
  <c r="AA86" i="84"/>
  <c r="Z86" i="84"/>
  <c r="Y86" i="84"/>
  <c r="AC85" i="84"/>
  <c r="AB85" i="84"/>
  <c r="AA85" i="84"/>
  <c r="Z85" i="84"/>
  <c r="Y85" i="84"/>
  <c r="AC84" i="84"/>
  <c r="AB84" i="84"/>
  <c r="AA84" i="84"/>
  <c r="Z84" i="84"/>
  <c r="Y84" i="84"/>
  <c r="AC83" i="84"/>
  <c r="AB83" i="84"/>
  <c r="AA83" i="84"/>
  <c r="Z83" i="84"/>
  <c r="Y83" i="84"/>
  <c r="AC82" i="84"/>
  <c r="AB82" i="84"/>
  <c r="AA82" i="84"/>
  <c r="Z82" i="84"/>
  <c r="Y82" i="84"/>
  <c r="AC81" i="84"/>
  <c r="AB81" i="84"/>
  <c r="AA81" i="84"/>
  <c r="Z81" i="84"/>
  <c r="Y81" i="84"/>
  <c r="AC80" i="84"/>
  <c r="AB80" i="84"/>
  <c r="AA80" i="84"/>
  <c r="Z80" i="84"/>
  <c r="Y80" i="84"/>
  <c r="AC79" i="84"/>
  <c r="AB79" i="84"/>
  <c r="AA79" i="84"/>
  <c r="Z79" i="84"/>
  <c r="Y79" i="84"/>
  <c r="AC78" i="84"/>
  <c r="AB78" i="84"/>
  <c r="AA78" i="84"/>
  <c r="Z78" i="84"/>
  <c r="Y78" i="84"/>
  <c r="AC77" i="84"/>
  <c r="AB77" i="84"/>
  <c r="AA77" i="84"/>
  <c r="Z77" i="84"/>
  <c r="Y77" i="84"/>
  <c r="I7" i="84"/>
  <c r="AB43" i="84"/>
  <c r="AB44" i="84"/>
  <c r="X43" i="84" l="1"/>
  <c r="Y293" i="83" l="1"/>
  <c r="Y175" i="83"/>
  <c r="AC44" i="69"/>
  <c r="AC43" i="69"/>
  <c r="Y43" i="83"/>
  <c r="Y43" i="69"/>
  <c r="AJ292" i="83"/>
  <c r="AJ293" i="83"/>
  <c r="AJ295" i="83"/>
  <c r="AJ296" i="83"/>
  <c r="AJ297" i="83"/>
  <c r="AJ298" i="83"/>
  <c r="AJ299" i="83"/>
  <c r="AJ300" i="83"/>
  <c r="AJ301" i="83"/>
  <c r="AJ302" i="83"/>
  <c r="AJ303" i="83"/>
  <c r="AJ308" i="83"/>
  <c r="AJ309" i="83"/>
  <c r="AJ310" i="83"/>
  <c r="AJ311" i="83"/>
  <c r="AJ312" i="83"/>
  <c r="AJ314" i="83"/>
  <c r="AJ294" i="83"/>
  <c r="AJ304" i="83"/>
  <c r="AJ305" i="83"/>
  <c r="AJ306" i="83"/>
  <c r="AJ307" i="83"/>
  <c r="AJ313" i="83"/>
  <c r="AJ291" i="83"/>
  <c r="Y43" i="68"/>
  <c r="Y43" i="67"/>
  <c r="AC44" i="67" l="1"/>
  <c r="AC43" i="67"/>
  <c r="I113" i="68"/>
  <c r="A212" i="68"/>
  <c r="Y206" i="68"/>
  <c r="Y205" i="68"/>
  <c r="Y204" i="68"/>
  <c r="Y203" i="68"/>
  <c r="Y202" i="68"/>
  <c r="Y201" i="68"/>
  <c r="Y200" i="68"/>
  <c r="Y199" i="68"/>
  <c r="Y198" i="68"/>
  <c r="Y197" i="68"/>
  <c r="Y196" i="68"/>
  <c r="Y195" i="68"/>
  <c r="Y194" i="68"/>
  <c r="Y193" i="68"/>
  <c r="Y192" i="68"/>
  <c r="Y191" i="68"/>
  <c r="Y190" i="68"/>
  <c r="Y189" i="68"/>
  <c r="Y188" i="68"/>
  <c r="Y187" i="68"/>
  <c r="Y186" i="68"/>
  <c r="Y185" i="68"/>
  <c r="Y184" i="68"/>
  <c r="Y183" i="68"/>
  <c r="A177" i="68"/>
  <c r="AA139" i="68"/>
  <c r="Z139" i="68"/>
  <c r="AL170" i="68"/>
  <c r="AL169" i="68"/>
  <c r="AL168" i="68"/>
  <c r="AL167" i="68"/>
  <c r="AL166" i="68"/>
  <c r="AL165" i="68"/>
  <c r="AL164" i="68"/>
  <c r="AL163" i="68"/>
  <c r="AL162" i="68"/>
  <c r="AL161" i="68"/>
  <c r="AL160" i="68"/>
  <c r="AL159" i="68"/>
  <c r="AL158" i="68"/>
  <c r="AL157" i="68"/>
  <c r="AL156" i="68"/>
  <c r="AL155" i="68"/>
  <c r="AL154" i="68"/>
  <c r="AL153" i="68"/>
  <c r="AL152" i="68"/>
  <c r="AL151" i="68"/>
  <c r="AL150" i="68"/>
  <c r="AL149" i="68"/>
  <c r="AL148" i="68"/>
  <c r="AL147" i="68"/>
  <c r="A144" i="68"/>
  <c r="AR143" i="68"/>
  <c r="AQ143" i="68"/>
  <c r="AP143" i="68"/>
  <c r="AO143" i="68"/>
  <c r="AN143" i="68"/>
  <c r="AM143" i="68"/>
  <c r="AO139" i="68"/>
  <c r="AN139" i="68"/>
  <c r="AM139" i="68"/>
  <c r="AL139" i="68"/>
  <c r="AF139" i="68"/>
  <c r="AE139" i="68"/>
  <c r="AD139" i="68"/>
  <c r="AC139" i="68"/>
  <c r="AB139" i="68"/>
  <c r="Y139" i="68"/>
  <c r="Y138" i="68"/>
  <c r="AO137" i="68"/>
  <c r="AN137" i="68"/>
  <c r="AM137" i="68"/>
  <c r="AL137" i="68"/>
  <c r="Y137" i="68"/>
  <c r="AO136" i="68"/>
  <c r="AN136" i="68"/>
  <c r="AM136" i="68"/>
  <c r="AL136" i="68"/>
  <c r="Y136" i="68"/>
  <c r="AO135" i="68"/>
  <c r="AN135" i="68"/>
  <c r="AM135" i="68"/>
  <c r="AL135" i="68"/>
  <c r="Y135" i="68"/>
  <c r="AO134" i="68"/>
  <c r="AN134" i="68"/>
  <c r="AM134" i="68"/>
  <c r="AL134" i="68"/>
  <c r="Y134" i="68"/>
  <c r="AO133" i="68"/>
  <c r="AN133" i="68"/>
  <c r="AM133" i="68"/>
  <c r="AL133" i="68"/>
  <c r="Y133" i="68"/>
  <c r="AO132" i="68"/>
  <c r="AN132" i="68"/>
  <c r="AM132" i="68"/>
  <c r="AL132" i="68"/>
  <c r="Y132" i="68"/>
  <c r="AO131" i="68"/>
  <c r="AN131" i="68"/>
  <c r="AM131" i="68"/>
  <c r="AL131" i="68"/>
  <c r="Y131" i="68"/>
  <c r="AO130" i="68"/>
  <c r="AN130" i="68"/>
  <c r="AM130" i="68"/>
  <c r="AL130" i="68"/>
  <c r="Y130" i="68"/>
  <c r="AO129" i="68"/>
  <c r="AN129" i="68"/>
  <c r="AM129" i="68"/>
  <c r="AL129" i="68"/>
  <c r="Y129" i="68"/>
  <c r="AO128" i="68"/>
  <c r="AN128" i="68"/>
  <c r="AM128" i="68"/>
  <c r="AL128" i="68"/>
  <c r="Y128" i="68"/>
  <c r="AO127" i="68"/>
  <c r="AN127" i="68"/>
  <c r="AM127" i="68"/>
  <c r="AL127" i="68"/>
  <c r="Y127" i="68"/>
  <c r="AO126" i="68"/>
  <c r="AN126" i="68"/>
  <c r="AM126" i="68"/>
  <c r="AL126" i="68"/>
  <c r="Y126" i="68"/>
  <c r="AO125" i="68"/>
  <c r="AN125" i="68"/>
  <c r="AM125" i="68"/>
  <c r="AL125" i="68"/>
  <c r="Y125" i="68"/>
  <c r="AO124" i="68"/>
  <c r="AN124" i="68"/>
  <c r="AM124" i="68"/>
  <c r="AL124" i="68"/>
  <c r="Y124" i="68"/>
  <c r="AO123" i="68"/>
  <c r="AN123" i="68"/>
  <c r="AM123" i="68"/>
  <c r="AL123" i="68"/>
  <c r="Y123" i="68"/>
  <c r="AO122" i="68"/>
  <c r="AN122" i="68"/>
  <c r="AM122" i="68"/>
  <c r="AL122" i="68"/>
  <c r="Y122" i="68"/>
  <c r="AO121" i="68"/>
  <c r="AN121" i="68"/>
  <c r="AM121" i="68"/>
  <c r="AL121" i="68"/>
  <c r="Y121" i="68"/>
  <c r="AO120" i="68"/>
  <c r="AN120" i="68"/>
  <c r="AM120" i="68"/>
  <c r="AL120" i="68"/>
  <c r="Y120" i="68"/>
  <c r="AO119" i="68"/>
  <c r="AN119" i="68"/>
  <c r="AM119" i="68"/>
  <c r="AL119" i="68"/>
  <c r="Y119" i="68"/>
  <c r="AO118" i="68"/>
  <c r="AN118" i="68"/>
  <c r="AM118" i="68"/>
  <c r="AL118" i="68"/>
  <c r="Y118" i="68"/>
  <c r="AO117" i="68"/>
  <c r="AN117" i="68"/>
  <c r="AM117" i="68"/>
  <c r="AL117" i="68"/>
  <c r="Y117" i="68"/>
  <c r="AO116" i="68"/>
  <c r="AN116" i="68"/>
  <c r="AM116" i="68"/>
  <c r="AL116" i="68"/>
  <c r="AG116" i="68"/>
  <c r="Y116" i="68"/>
  <c r="AH115" i="68"/>
  <c r="S113" i="68"/>
  <c r="Z134" i="67"/>
  <c r="AA134" i="67"/>
  <c r="AB134" i="67"/>
  <c r="AP139" i="68" l="1"/>
  <c r="I139" i="68" s="1"/>
  <c r="AP118" i="68"/>
  <c r="I118" i="68" s="1"/>
  <c r="AP117" i="68"/>
  <c r="I117" i="68" s="1"/>
  <c r="AP136" i="68"/>
  <c r="I136" i="68" s="1"/>
  <c r="AP119" i="68"/>
  <c r="I119" i="68" s="1"/>
  <c r="AP120" i="68"/>
  <c r="I120" i="68" s="1"/>
  <c r="AP124" i="68"/>
  <c r="I124" i="68" s="1"/>
  <c r="AP126" i="68"/>
  <c r="I126" i="68" s="1"/>
  <c r="AP135" i="68"/>
  <c r="I135" i="68" s="1"/>
  <c r="AP134" i="68"/>
  <c r="I134" i="68" s="1"/>
  <c r="AP133" i="68"/>
  <c r="I133" i="68" s="1"/>
  <c r="AP122" i="68"/>
  <c r="I122" i="68" s="1"/>
  <c r="AP131" i="68"/>
  <c r="I131" i="68" s="1"/>
  <c r="AP132" i="68"/>
  <c r="I132" i="68" s="1"/>
  <c r="AP137" i="68"/>
  <c r="I137" i="68" s="1"/>
  <c r="AP128" i="68"/>
  <c r="I128" i="68" s="1"/>
  <c r="AP129" i="68"/>
  <c r="I129" i="68" s="1"/>
  <c r="AP116" i="68"/>
  <c r="I116" i="68" s="1"/>
  <c r="AP123" i="68"/>
  <c r="I123" i="68" s="1"/>
  <c r="AP127" i="68"/>
  <c r="I127" i="68" s="1"/>
  <c r="AP130" i="68"/>
  <c r="I130" i="68" s="1"/>
  <c r="AP121" i="68"/>
  <c r="I121" i="68" s="1"/>
  <c r="AP125" i="68"/>
  <c r="I125" i="68" s="1"/>
  <c r="Z138" i="68"/>
  <c r="Y35" i="66"/>
  <c r="AC44" i="64"/>
  <c r="AC43" i="64"/>
  <c r="AB76" i="73"/>
  <c r="AC167" i="63"/>
  <c r="Z133" i="63"/>
  <c r="AD33" i="74"/>
  <c r="AJ134" i="49" l="1"/>
  <c r="H135" i="49" s="1"/>
  <c r="AI134" i="49"/>
  <c r="G135" i="49" s="1"/>
  <c r="AH134" i="49"/>
  <c r="F135" i="49" s="1"/>
  <c r="AG134" i="49"/>
  <c r="E135" i="49" s="1"/>
  <c r="AF134" i="49"/>
  <c r="D135" i="49" s="1"/>
  <c r="B65" i="75"/>
  <c r="B66" i="75"/>
  <c r="B67" i="75"/>
  <c r="B68" i="75"/>
  <c r="B69" i="75"/>
  <c r="B70" i="75"/>
  <c r="B71" i="75"/>
  <c r="B72" i="75"/>
  <c r="B73" i="75"/>
  <c r="B74" i="75"/>
  <c r="B75" i="75"/>
  <c r="B76" i="75"/>
  <c r="B77" i="75"/>
  <c r="B78" i="75"/>
  <c r="B79" i="75"/>
  <c r="B80" i="75"/>
  <c r="B81" i="75"/>
  <c r="B82" i="75"/>
  <c r="B83" i="75"/>
  <c r="B84" i="75"/>
  <c r="B85" i="75"/>
  <c r="B62" i="75"/>
  <c r="B63" i="75"/>
  <c r="B64" i="75"/>
  <c r="B314" i="75" l="1"/>
  <c r="B315" i="75"/>
  <c r="B316" i="75"/>
  <c r="B317" i="75"/>
  <c r="B318" i="75"/>
  <c r="B319" i="75"/>
  <c r="B320" i="75"/>
  <c r="B321" i="75"/>
  <c r="B322" i="75"/>
  <c r="B323" i="75"/>
  <c r="B324" i="75"/>
  <c r="B325" i="75"/>
  <c r="B326" i="75"/>
  <c r="B327" i="75"/>
  <c r="B328" i="75"/>
  <c r="B329" i="75"/>
  <c r="B330" i="75"/>
  <c r="B331" i="75"/>
  <c r="B332" i="75"/>
  <c r="B333" i="75"/>
  <c r="B334" i="75"/>
  <c r="B335" i="75"/>
  <c r="B336" i="75"/>
  <c r="B337" i="75"/>
  <c r="B313" i="75"/>
  <c r="B286" i="75" l="1"/>
  <c r="B287" i="75"/>
  <c r="B288" i="75"/>
  <c r="B289" i="75"/>
  <c r="B290" i="75"/>
  <c r="B291" i="75"/>
  <c r="B292" i="75"/>
  <c r="B293" i="75"/>
  <c r="B294" i="75"/>
  <c r="B295" i="75"/>
  <c r="B296" i="75"/>
  <c r="B297" i="75"/>
  <c r="B298" i="75"/>
  <c r="B299" i="75"/>
  <c r="B300" i="75"/>
  <c r="B301" i="75"/>
  <c r="B302" i="75"/>
  <c r="B303" i="75"/>
  <c r="B304" i="75"/>
  <c r="B305" i="75"/>
  <c r="B306" i="75"/>
  <c r="B307" i="75"/>
  <c r="B308" i="75"/>
  <c r="B309" i="75"/>
  <c r="B285" i="75"/>
  <c r="B258" i="75"/>
  <c r="B259" i="75"/>
  <c r="B260" i="75"/>
  <c r="B261" i="75"/>
  <c r="B262" i="75"/>
  <c r="B263" i="75"/>
  <c r="B264" i="75"/>
  <c r="B265" i="75"/>
  <c r="B266" i="75"/>
  <c r="B267" i="75"/>
  <c r="B268" i="75"/>
  <c r="B269" i="75"/>
  <c r="B270" i="75"/>
  <c r="B271" i="75"/>
  <c r="B272" i="75"/>
  <c r="B273" i="75"/>
  <c r="B274" i="75"/>
  <c r="B275" i="75"/>
  <c r="B276" i="75"/>
  <c r="B277" i="75"/>
  <c r="B278" i="75"/>
  <c r="B279" i="75"/>
  <c r="B280" i="75"/>
  <c r="B281" i="75"/>
  <c r="B257" i="75"/>
  <c r="H284" i="75"/>
  <c r="G284" i="75"/>
  <c r="F284" i="75"/>
  <c r="E284" i="75"/>
  <c r="D284" i="75"/>
  <c r="H283" i="75"/>
  <c r="G283" i="75"/>
  <c r="F283" i="75"/>
  <c r="E283" i="75"/>
  <c r="D283" i="75"/>
  <c r="G256" i="75"/>
  <c r="F256" i="75"/>
  <c r="E256" i="75"/>
  <c r="D256" i="75"/>
  <c r="H228" i="75"/>
  <c r="G228" i="75"/>
  <c r="F228" i="75"/>
  <c r="E228" i="75"/>
  <c r="D228" i="75"/>
  <c r="H227" i="75"/>
  <c r="G227" i="75"/>
  <c r="F227" i="75"/>
  <c r="E227" i="75"/>
  <c r="D227" i="75"/>
  <c r="H172" i="75"/>
  <c r="G172" i="75"/>
  <c r="F172" i="75"/>
  <c r="E172" i="75"/>
  <c r="D172" i="75"/>
  <c r="H171" i="75"/>
  <c r="G171" i="75"/>
  <c r="F171" i="75"/>
  <c r="E171" i="75"/>
  <c r="D171" i="75"/>
  <c r="H116" i="75"/>
  <c r="G116" i="75"/>
  <c r="F116" i="75"/>
  <c r="E116" i="75"/>
  <c r="D116" i="75"/>
  <c r="H115" i="75"/>
  <c r="G115" i="75"/>
  <c r="F115" i="75"/>
  <c r="E115" i="75"/>
  <c r="D115" i="75"/>
  <c r="H144" i="75"/>
  <c r="G144" i="75"/>
  <c r="F144" i="75"/>
  <c r="E144" i="75"/>
  <c r="D144" i="75"/>
  <c r="G88" i="75"/>
  <c r="E32" i="75"/>
  <c r="F32" i="75"/>
  <c r="G32" i="75"/>
  <c r="D32" i="75"/>
  <c r="E60" i="75"/>
  <c r="F60" i="75"/>
  <c r="G60" i="75"/>
  <c r="H60" i="75"/>
  <c r="D60" i="75"/>
  <c r="E59" i="75"/>
  <c r="F59" i="75"/>
  <c r="G59" i="75"/>
  <c r="H59" i="75"/>
  <c r="D59" i="75"/>
  <c r="B230" i="75"/>
  <c r="B231" i="75"/>
  <c r="B232" i="75"/>
  <c r="B233" i="75"/>
  <c r="B234" i="75"/>
  <c r="B235" i="75"/>
  <c r="B236" i="75"/>
  <c r="B237" i="75"/>
  <c r="B238" i="75"/>
  <c r="B239" i="75"/>
  <c r="B240" i="75"/>
  <c r="B241" i="75"/>
  <c r="B242" i="75"/>
  <c r="B243" i="75"/>
  <c r="B244" i="75"/>
  <c r="B245" i="75"/>
  <c r="B246" i="75"/>
  <c r="B247" i="75"/>
  <c r="B248" i="75"/>
  <c r="B249" i="75"/>
  <c r="B250" i="75"/>
  <c r="B251" i="75"/>
  <c r="B252" i="75"/>
  <c r="B253" i="75"/>
  <c r="B229" i="75"/>
  <c r="B202" i="75"/>
  <c r="B203" i="75"/>
  <c r="B204" i="75"/>
  <c r="B205" i="75"/>
  <c r="B206" i="75"/>
  <c r="B207" i="75"/>
  <c r="B208" i="75"/>
  <c r="B209" i="75"/>
  <c r="B210" i="75"/>
  <c r="B211" i="75"/>
  <c r="B212" i="75"/>
  <c r="B213" i="75"/>
  <c r="B214" i="75"/>
  <c r="B215" i="75"/>
  <c r="B216" i="75"/>
  <c r="B217" i="75"/>
  <c r="B218" i="75"/>
  <c r="B219" i="75"/>
  <c r="B220" i="75"/>
  <c r="B221" i="75"/>
  <c r="B222" i="75"/>
  <c r="B223" i="75"/>
  <c r="B224" i="75"/>
  <c r="B225" i="75"/>
  <c r="B201" i="75"/>
  <c r="B174" i="75"/>
  <c r="B175" i="75"/>
  <c r="B176" i="75"/>
  <c r="B177" i="75"/>
  <c r="B178" i="75"/>
  <c r="B179" i="75"/>
  <c r="B180" i="75"/>
  <c r="B181" i="75"/>
  <c r="B182" i="75"/>
  <c r="B183" i="75"/>
  <c r="B184" i="75"/>
  <c r="B185" i="75"/>
  <c r="B186" i="75"/>
  <c r="B187" i="75"/>
  <c r="B188" i="75"/>
  <c r="B189" i="75"/>
  <c r="B190" i="75"/>
  <c r="B191" i="75"/>
  <c r="B192" i="75"/>
  <c r="B193" i="75"/>
  <c r="B194" i="75"/>
  <c r="B195" i="75"/>
  <c r="B196" i="75"/>
  <c r="B197" i="75"/>
  <c r="B173" i="75"/>
  <c r="B146" i="75"/>
  <c r="B147" i="75"/>
  <c r="B148" i="75"/>
  <c r="B149" i="75"/>
  <c r="B150" i="75"/>
  <c r="B151" i="75"/>
  <c r="B152" i="75"/>
  <c r="B153" i="75"/>
  <c r="B154" i="75"/>
  <c r="B155" i="75"/>
  <c r="B156" i="75"/>
  <c r="B157" i="75"/>
  <c r="B158" i="75"/>
  <c r="B159" i="75"/>
  <c r="B160" i="75"/>
  <c r="B161" i="75"/>
  <c r="B162" i="75"/>
  <c r="B163" i="75"/>
  <c r="B164" i="75"/>
  <c r="B165" i="75"/>
  <c r="B166" i="75"/>
  <c r="B167" i="75"/>
  <c r="B168" i="75"/>
  <c r="B169" i="75"/>
  <c r="B145" i="75"/>
  <c r="B118" i="75"/>
  <c r="B119" i="75"/>
  <c r="B120" i="75"/>
  <c r="B121" i="75"/>
  <c r="B122" i="75"/>
  <c r="B123" i="75"/>
  <c r="B124" i="75"/>
  <c r="B125" i="75"/>
  <c r="B126" i="75"/>
  <c r="B127" i="75"/>
  <c r="B128" i="75"/>
  <c r="B129" i="75"/>
  <c r="B130" i="75"/>
  <c r="B131" i="75"/>
  <c r="B132" i="75"/>
  <c r="B133" i="75"/>
  <c r="B134" i="75"/>
  <c r="B135" i="75"/>
  <c r="B136" i="75"/>
  <c r="B137" i="75"/>
  <c r="B138" i="75"/>
  <c r="B139" i="75"/>
  <c r="B140" i="75"/>
  <c r="B141" i="75"/>
  <c r="B117" i="75"/>
  <c r="B90" i="75"/>
  <c r="B91" i="75"/>
  <c r="B92" i="75"/>
  <c r="B93" i="75"/>
  <c r="B94" i="75"/>
  <c r="B95" i="75"/>
  <c r="B96" i="75"/>
  <c r="B97" i="75"/>
  <c r="B98" i="75"/>
  <c r="B99" i="75"/>
  <c r="B100" i="75"/>
  <c r="B101" i="75"/>
  <c r="B102" i="75"/>
  <c r="B103" i="75"/>
  <c r="B104" i="75"/>
  <c r="B105" i="75"/>
  <c r="B106" i="75"/>
  <c r="B107" i="75"/>
  <c r="B108" i="75"/>
  <c r="B109" i="75"/>
  <c r="B110" i="75"/>
  <c r="B111" i="75"/>
  <c r="B112" i="75"/>
  <c r="B113" i="75"/>
  <c r="B89" i="75"/>
  <c r="B61" i="75"/>
  <c r="B34" i="75"/>
  <c r="B35" i="75"/>
  <c r="B36" i="75"/>
  <c r="B37" i="75"/>
  <c r="B38" i="75"/>
  <c r="B39" i="75"/>
  <c r="B40" i="75"/>
  <c r="B41" i="75"/>
  <c r="B42" i="75"/>
  <c r="B43" i="75"/>
  <c r="B44" i="75"/>
  <c r="B45" i="75"/>
  <c r="B46" i="75"/>
  <c r="B47" i="75"/>
  <c r="B48" i="75"/>
  <c r="B49" i="75"/>
  <c r="B50" i="75"/>
  <c r="B51" i="75"/>
  <c r="B52" i="75"/>
  <c r="B53" i="75"/>
  <c r="B54" i="75"/>
  <c r="B55" i="75"/>
  <c r="B56" i="75"/>
  <c r="B57" i="75"/>
  <c r="B33" i="75"/>
  <c r="Q47" i="22" l="1"/>
  <c r="R46" i="22"/>
  <c r="N11" i="91" s="1"/>
  <c r="AN42" i="91" s="1"/>
  <c r="P43" i="22"/>
  <c r="D11" i="22"/>
  <c r="AB117" i="68" s="1"/>
  <c r="F17" i="22"/>
  <c r="AD123" i="68" s="1"/>
  <c r="H23" i="22"/>
  <c r="AF129" i="68" s="1"/>
  <c r="G30" i="22"/>
  <c r="D13" i="22"/>
  <c r="AB119" i="68" s="1"/>
  <c r="G16" i="22"/>
  <c r="F19" i="22"/>
  <c r="AD125" i="68" s="1"/>
  <c r="H25" i="22"/>
  <c r="AF131" i="68" s="1"/>
  <c r="D12" i="22"/>
  <c r="AB118" i="68" s="1"/>
  <c r="F26" i="22"/>
  <c r="AD132" i="68" s="1"/>
  <c r="E13" i="22"/>
  <c r="AC119" i="68" s="1"/>
  <c r="G27" i="22"/>
  <c r="F31" i="22"/>
  <c r="AD137" i="68" s="1"/>
  <c r="F22" i="22"/>
  <c r="AD128" i="68" s="1"/>
  <c r="H14" i="22"/>
  <c r="AF120" i="68" s="1"/>
  <c r="E25" i="22"/>
  <c r="AC131" i="68" s="1"/>
  <c r="Q58" i="22"/>
  <c r="S56" i="22"/>
  <c r="O92" i="91" s="1"/>
  <c r="AO123" i="91" s="1"/>
  <c r="Q46" i="22"/>
  <c r="AB11" i="91" s="1"/>
  <c r="T43" i="22"/>
  <c r="P66" i="22"/>
  <c r="Q53" i="22"/>
  <c r="Q68" i="22"/>
  <c r="T61" i="22"/>
  <c r="R55" i="22"/>
  <c r="R43" i="22"/>
  <c r="Q57" i="22"/>
  <c r="T45" i="22"/>
  <c r="AE81" i="91" s="1"/>
  <c r="Q63" i="22"/>
  <c r="T56" i="22"/>
  <c r="P21" i="91" s="1"/>
  <c r="R50" i="22"/>
  <c r="AC86" i="91" s="1"/>
  <c r="D15" i="22"/>
  <c r="AB121" i="68" s="1"/>
  <c r="F21" i="22"/>
  <c r="AD127" i="68" s="1"/>
  <c r="H27" i="22"/>
  <c r="AF133" i="68" s="1"/>
  <c r="H13" i="22"/>
  <c r="AF119" i="68" s="1"/>
  <c r="G20" i="22"/>
  <c r="E26" i="22"/>
  <c r="AC132" i="68" s="1"/>
  <c r="H16" i="22"/>
  <c r="AF122" i="68" s="1"/>
  <c r="E27" i="22"/>
  <c r="AC133" i="68" s="1"/>
  <c r="D14" i="22"/>
  <c r="AB120" i="68" s="1"/>
  <c r="F28" i="22"/>
  <c r="AD134" i="68" s="1"/>
  <c r="H12" i="22"/>
  <c r="AF118" i="68" s="1"/>
  <c r="E23" i="22"/>
  <c r="AC129" i="68" s="1"/>
  <c r="G15" i="22"/>
  <c r="D26" i="22"/>
  <c r="AB132" i="68" s="1"/>
  <c r="T51" i="22"/>
  <c r="S68" i="22"/>
  <c r="T67" i="22"/>
  <c r="S45" i="22"/>
  <c r="AD10" i="91" s="1"/>
  <c r="P58" i="22"/>
  <c r="P46" i="22"/>
  <c r="L82" i="91" s="1"/>
  <c r="AL113" i="91" s="1"/>
  <c r="Q64" i="22"/>
  <c r="T57" i="22"/>
  <c r="R51" i="22"/>
  <c r="R68" i="22"/>
  <c r="S55" i="22"/>
  <c r="T68" i="22"/>
  <c r="R62" i="22"/>
  <c r="P56" i="22"/>
  <c r="S49" i="22"/>
  <c r="O14" i="91" s="1"/>
  <c r="AO45" i="91" s="1"/>
  <c r="E12" i="22"/>
  <c r="AC118" i="68" s="1"/>
  <c r="H15" i="22"/>
  <c r="AF121" i="68" s="1"/>
  <c r="D19" i="22"/>
  <c r="AB125" i="68" s="1"/>
  <c r="G22" i="22"/>
  <c r="F25" i="22"/>
  <c r="AD131" i="68" s="1"/>
  <c r="E28" i="22"/>
  <c r="AC134" i="68" s="1"/>
  <c r="H31" i="22"/>
  <c r="AF137" i="68" s="1"/>
  <c r="F11" i="22"/>
  <c r="AD117" i="68" s="1"/>
  <c r="E14" i="22"/>
  <c r="AC120" i="68" s="1"/>
  <c r="H17" i="22"/>
  <c r="AF123" i="68" s="1"/>
  <c r="D21" i="22"/>
  <c r="AB127" i="68" s="1"/>
  <c r="G24" i="22"/>
  <c r="F27" i="22"/>
  <c r="AD133" i="68" s="1"/>
  <c r="E30" i="22"/>
  <c r="AC136" i="68" s="1"/>
  <c r="G17" i="22"/>
  <c r="H24" i="22"/>
  <c r="AF130" i="68" s="1"/>
  <c r="D28" i="22"/>
  <c r="AB134" i="68" s="1"/>
  <c r="G11" i="22"/>
  <c r="H18" i="22"/>
  <c r="AF124" i="68" s="1"/>
  <c r="D22" i="22"/>
  <c r="AB128" i="68" s="1"/>
  <c r="E29" i="22"/>
  <c r="AC135" i="68" s="1"/>
  <c r="D33" i="22"/>
  <c r="AB33" i="68" s="1"/>
  <c r="G13" i="22"/>
  <c r="H20" i="22"/>
  <c r="AF126" i="68" s="1"/>
  <c r="D24" i="22"/>
  <c r="AB130" i="68" s="1"/>
  <c r="E31" i="22"/>
  <c r="AC137" i="68" s="1"/>
  <c r="F16" i="22"/>
  <c r="AD122" i="68" s="1"/>
  <c r="G23" i="22"/>
  <c r="H30" i="22"/>
  <c r="AF136" i="68" s="1"/>
  <c r="E10" i="22"/>
  <c r="AC116" i="68" s="1"/>
  <c r="P67" i="22"/>
  <c r="Q66" i="22"/>
  <c r="R65" i="22"/>
  <c r="S52" i="22"/>
  <c r="AD88" i="91" s="1"/>
  <c r="S64" i="22"/>
  <c r="AD100" i="91" s="1"/>
  <c r="R57" i="22"/>
  <c r="T59" i="22"/>
  <c r="R45" i="22"/>
  <c r="AC10" i="91" s="1"/>
  <c r="T62" i="22"/>
  <c r="P27" i="91" s="1"/>
  <c r="R56" i="22"/>
  <c r="N21" i="91" s="1"/>
  <c r="AN52" i="91" s="1"/>
  <c r="P50" i="22"/>
  <c r="L15" i="91" s="1"/>
  <c r="AL46" i="91" s="1"/>
  <c r="S66" i="22"/>
  <c r="R63" i="22"/>
  <c r="Q60" i="22"/>
  <c r="M96" i="91" s="1"/>
  <c r="AM127" i="91" s="1"/>
  <c r="P57" i="22"/>
  <c r="T53" i="22"/>
  <c r="P89" i="91" s="1"/>
  <c r="S50" i="22"/>
  <c r="AD86" i="91" s="1"/>
  <c r="R47" i="22"/>
  <c r="N12" i="91" s="1"/>
  <c r="AN43" i="91" s="1"/>
  <c r="T66" i="22"/>
  <c r="R60" i="22"/>
  <c r="AC25" i="91" s="1"/>
  <c r="P54" i="22"/>
  <c r="S47" i="22"/>
  <c r="O83" i="91" s="1"/>
  <c r="AO114" i="91" s="1"/>
  <c r="P68" i="22"/>
  <c r="T64" i="22"/>
  <c r="AE100" i="91" s="1"/>
  <c r="S61" i="22"/>
  <c r="R58" i="22"/>
  <c r="Q55" i="22"/>
  <c r="P52" i="22"/>
  <c r="AA88" i="91" s="1"/>
  <c r="T48" i="22"/>
  <c r="P13" i="91" s="1"/>
  <c r="G14" i="22"/>
  <c r="E20" i="22"/>
  <c r="AC126" i="68" s="1"/>
  <c r="D27" i="22"/>
  <c r="AB133" i="68" s="1"/>
  <c r="F33" i="22"/>
  <c r="M139" i="68" s="1"/>
  <c r="E22" i="22"/>
  <c r="AC128" i="68" s="1"/>
  <c r="D29" i="22"/>
  <c r="AB135" i="68" s="1"/>
  <c r="E19" i="22"/>
  <c r="AC125" i="68" s="1"/>
  <c r="G33" i="22"/>
  <c r="F20" i="22"/>
  <c r="AD126" i="68" s="1"/>
  <c r="F10" i="22"/>
  <c r="AD116" i="68" s="1"/>
  <c r="E15" i="22"/>
  <c r="AC121" i="68" s="1"/>
  <c r="G29" i="22"/>
  <c r="D18" i="22"/>
  <c r="AB124" i="68" s="1"/>
  <c r="F32" i="22"/>
  <c r="M138" i="68" s="1"/>
  <c r="Q54" i="22"/>
  <c r="P59" i="22"/>
  <c r="S48" i="22"/>
  <c r="AD13" i="91" s="1"/>
  <c r="Q50" i="22"/>
  <c r="AB15" i="91" s="1"/>
  <c r="S59" i="22"/>
  <c r="T46" i="22"/>
  <c r="P82" i="91" s="1"/>
  <c r="P65" i="22"/>
  <c r="S58" i="22"/>
  <c r="Q52" i="22"/>
  <c r="M88" i="91" s="1"/>
  <c r="AM119" i="91" s="1"/>
  <c r="P49" i="22"/>
  <c r="L85" i="91" s="1"/>
  <c r="AL116" i="91" s="1"/>
  <c r="S63" i="22"/>
  <c r="AD99" i="91" s="1"/>
  <c r="T50" i="22"/>
  <c r="R66" i="22"/>
  <c r="P60" i="22"/>
  <c r="AA96" i="91" s="1"/>
  <c r="S53" i="22"/>
  <c r="AD18" i="91" s="1"/>
  <c r="H11" i="22"/>
  <c r="AF117" i="68" s="1"/>
  <c r="G18" i="22"/>
  <c r="E24" i="22"/>
  <c r="AC130" i="68" s="1"/>
  <c r="D31" i="22"/>
  <c r="AB137" i="68" s="1"/>
  <c r="H10" i="22"/>
  <c r="AF116" i="68" s="1"/>
  <c r="D17" i="22"/>
  <c r="AB123" i="68" s="1"/>
  <c r="F23" i="22"/>
  <c r="AD129" i="68" s="1"/>
  <c r="H29" i="22"/>
  <c r="AF135" i="68" s="1"/>
  <c r="D20" i="22"/>
  <c r="AB126" i="68" s="1"/>
  <c r="G10" i="22"/>
  <c r="E21" i="22"/>
  <c r="AC127" i="68" s="1"/>
  <c r="H33" i="22"/>
  <c r="O139" i="68" s="1"/>
  <c r="P139" i="68" s="1"/>
  <c r="D16" i="22"/>
  <c r="AB122" i="68" s="1"/>
  <c r="F30" i="22"/>
  <c r="AD136" i="68" s="1"/>
  <c r="H22" i="22"/>
  <c r="AF128" i="68" s="1"/>
  <c r="E33" i="22"/>
  <c r="L139" i="68" s="1"/>
  <c r="T47" i="22"/>
  <c r="AE83" i="91" s="1"/>
  <c r="T55" i="22"/>
  <c r="T63" i="22"/>
  <c r="P99" i="91" s="1"/>
  <c r="P47" i="22"/>
  <c r="R64" i="22"/>
  <c r="N100" i="91" s="1"/>
  <c r="AN131" i="91" s="1"/>
  <c r="S51" i="22"/>
  <c r="R67" i="22"/>
  <c r="P61" i="22"/>
  <c r="S54" i="22"/>
  <c r="Q48" i="22"/>
  <c r="P62" i="22"/>
  <c r="Q49" i="22"/>
  <c r="AB85" i="91" s="1"/>
  <c r="S65" i="22"/>
  <c r="Q59" i="22"/>
  <c r="T52" i="22"/>
  <c r="AE17" i="91" s="1"/>
  <c r="P9" i="22"/>
  <c r="D10" i="22"/>
  <c r="F46" i="22"/>
  <c r="E47" i="22"/>
  <c r="D48" i="22"/>
  <c r="H48" i="22"/>
  <c r="G49" i="22"/>
  <c r="F50" i="22"/>
  <c r="E51" i="22"/>
  <c r="D52" i="22"/>
  <c r="H52" i="22"/>
  <c r="G53" i="22"/>
  <c r="F54" i="22"/>
  <c r="E55" i="22"/>
  <c r="D56" i="22"/>
  <c r="H56" i="22"/>
  <c r="G57" i="22"/>
  <c r="F58" i="22"/>
  <c r="E59" i="22"/>
  <c r="D60" i="22"/>
  <c r="H60" i="22"/>
  <c r="G61" i="22"/>
  <c r="F62" i="22"/>
  <c r="E63" i="22"/>
  <c r="D64" i="22"/>
  <c r="H64" i="22"/>
  <c r="G65" i="22"/>
  <c r="F66" i="22"/>
  <c r="E67" i="22"/>
  <c r="D68" i="22"/>
  <c r="H68" i="22"/>
  <c r="H45" i="22"/>
  <c r="L11" i="22"/>
  <c r="Q11" i="22"/>
  <c r="J12" i="22"/>
  <c r="N12" i="22"/>
  <c r="S12" i="22"/>
  <c r="L13" i="22"/>
  <c r="Q13" i="22"/>
  <c r="J14" i="22"/>
  <c r="N14" i="22"/>
  <c r="S14" i="22"/>
  <c r="L15" i="22"/>
  <c r="Q15" i="22"/>
  <c r="J16" i="22"/>
  <c r="N16" i="22"/>
  <c r="S16" i="22"/>
  <c r="L17" i="22"/>
  <c r="Q17" i="22"/>
  <c r="J18" i="22"/>
  <c r="N18" i="22"/>
  <c r="S18" i="22"/>
  <c r="L19" i="22"/>
  <c r="Q19" i="22"/>
  <c r="J20" i="22"/>
  <c r="N20" i="22"/>
  <c r="S20" i="22"/>
  <c r="L21" i="22"/>
  <c r="Q21" i="22"/>
  <c r="J22" i="22"/>
  <c r="N22" i="22"/>
  <c r="S22" i="22"/>
  <c r="L23" i="22"/>
  <c r="Q23" i="22"/>
  <c r="J24" i="22"/>
  <c r="N24" i="22"/>
  <c r="S24" i="22"/>
  <c r="L25" i="22"/>
  <c r="Q25" i="22"/>
  <c r="J26" i="22"/>
  <c r="N26" i="22"/>
  <c r="S26" i="22"/>
  <c r="L27" i="22"/>
  <c r="Q27" i="22"/>
  <c r="J28" i="22"/>
  <c r="N28" i="22"/>
  <c r="S28" i="22"/>
  <c r="L29" i="22"/>
  <c r="Q29" i="22"/>
  <c r="J30" i="22"/>
  <c r="N30" i="22"/>
  <c r="S30" i="22"/>
  <c r="L31" i="22"/>
  <c r="Q31" i="22"/>
  <c r="J32" i="22"/>
  <c r="N32" i="22"/>
  <c r="G46" i="22"/>
  <c r="F47" i="22"/>
  <c r="E48" i="22"/>
  <c r="D49" i="22"/>
  <c r="H49" i="22"/>
  <c r="G50" i="22"/>
  <c r="F51" i="22"/>
  <c r="E52" i="22"/>
  <c r="D53" i="22"/>
  <c r="H53" i="22"/>
  <c r="G54" i="22"/>
  <c r="F55" i="22"/>
  <c r="E56" i="22"/>
  <c r="D57" i="22"/>
  <c r="H57" i="22"/>
  <c r="G58" i="22"/>
  <c r="F59" i="22"/>
  <c r="E60" i="22"/>
  <c r="D61" i="22"/>
  <c r="H61" i="22"/>
  <c r="G62" i="22"/>
  <c r="F63" i="22"/>
  <c r="E64" i="22"/>
  <c r="D65" i="22"/>
  <c r="H65" i="22"/>
  <c r="G66" i="22"/>
  <c r="F67" i="22"/>
  <c r="E68" i="22"/>
  <c r="E45" i="22"/>
  <c r="M11" i="22"/>
  <c r="R11" i="22"/>
  <c r="K12" i="22"/>
  <c r="P12" i="22"/>
  <c r="T12" i="22"/>
  <c r="M13" i="22"/>
  <c r="R13" i="22"/>
  <c r="K14" i="22"/>
  <c r="P14" i="22"/>
  <c r="T14" i="22"/>
  <c r="M15" i="22"/>
  <c r="R15" i="22"/>
  <c r="K16" i="22"/>
  <c r="P16" i="22"/>
  <c r="T16" i="22"/>
  <c r="M17" i="22"/>
  <c r="R17" i="22"/>
  <c r="K18" i="22"/>
  <c r="P18" i="22"/>
  <c r="T18" i="22"/>
  <c r="M19" i="22"/>
  <c r="R19" i="22"/>
  <c r="K20" i="22"/>
  <c r="P20" i="22"/>
  <c r="T20" i="22"/>
  <c r="M21" i="22"/>
  <c r="R21" i="22"/>
  <c r="K22" i="22"/>
  <c r="P22" i="22"/>
  <c r="T22" i="22"/>
  <c r="M23" i="22"/>
  <c r="R23" i="22"/>
  <c r="K24" i="22"/>
  <c r="P24" i="22"/>
  <c r="T24" i="22"/>
  <c r="M25" i="22"/>
  <c r="R25" i="22"/>
  <c r="K26" i="22"/>
  <c r="P26" i="22"/>
  <c r="T26" i="22"/>
  <c r="M27" i="22"/>
  <c r="R27" i="22"/>
  <c r="K28" i="22"/>
  <c r="P28" i="22"/>
  <c r="T28" i="22"/>
  <c r="M29" i="22"/>
  <c r="R29" i="22"/>
  <c r="K30" i="22"/>
  <c r="P30" i="22"/>
  <c r="T30" i="22"/>
  <c r="M31" i="22"/>
  <c r="R31" i="22"/>
  <c r="K32" i="22"/>
  <c r="P32" i="22"/>
  <c r="D46" i="22"/>
  <c r="G47" i="22"/>
  <c r="E49" i="22"/>
  <c r="H50" i="22"/>
  <c r="F52" i="22"/>
  <c r="D54" i="22"/>
  <c r="G55" i="22"/>
  <c r="E57" i="22"/>
  <c r="H58" i="22"/>
  <c r="F60" i="22"/>
  <c r="D62" i="22"/>
  <c r="G63" i="22"/>
  <c r="E65" i="22"/>
  <c r="H66" i="22"/>
  <c r="F68" i="22"/>
  <c r="J11" i="22"/>
  <c r="S11" i="22"/>
  <c r="Q12" i="22"/>
  <c r="N13" i="22"/>
  <c r="L14" i="22"/>
  <c r="J15" i="22"/>
  <c r="S15" i="22"/>
  <c r="Q16" i="22"/>
  <c r="N17" i="22"/>
  <c r="L18" i="22"/>
  <c r="J19" i="22"/>
  <c r="S19" i="22"/>
  <c r="Q20" i="22"/>
  <c r="N21" i="22"/>
  <c r="L22" i="22"/>
  <c r="J23" i="22"/>
  <c r="S23" i="22"/>
  <c r="Q24" i="22"/>
  <c r="N25" i="22"/>
  <c r="L26" i="22"/>
  <c r="J27" i="22"/>
  <c r="S27" i="22"/>
  <c r="Q28" i="22"/>
  <c r="N29" i="22"/>
  <c r="L30" i="22"/>
  <c r="J31" i="22"/>
  <c r="S31" i="22"/>
  <c r="Q32" i="22"/>
  <c r="J33" i="22"/>
  <c r="N33" i="22"/>
  <c r="S33" i="22"/>
  <c r="O33" i="84" s="1"/>
  <c r="L10" i="22"/>
  <c r="Q10" i="22"/>
  <c r="E9" i="22"/>
  <c r="J9" i="22"/>
  <c r="N9" i="22"/>
  <c r="T9" i="22"/>
  <c r="E46" i="22"/>
  <c r="F49" i="22"/>
  <c r="D51" i="22"/>
  <c r="E54" i="22"/>
  <c r="F57" i="22"/>
  <c r="G60" i="22"/>
  <c r="E62" i="22"/>
  <c r="F65" i="22"/>
  <c r="G68" i="22"/>
  <c r="T11" i="22"/>
  <c r="P13" i="22"/>
  <c r="K15" i="22"/>
  <c r="R16" i="22"/>
  <c r="M18" i="22"/>
  <c r="K19" i="22"/>
  <c r="R20" i="22"/>
  <c r="M22" i="22"/>
  <c r="T23" i="22"/>
  <c r="P25" i="22"/>
  <c r="K27" i="22"/>
  <c r="R28" i="22"/>
  <c r="M30" i="22"/>
  <c r="T31" i="22"/>
  <c r="K33" i="22"/>
  <c r="T33" i="22"/>
  <c r="P33" i="84" s="1"/>
  <c r="R10" i="22"/>
  <c r="K9" i="22"/>
  <c r="D9" i="22"/>
  <c r="F48" i="22"/>
  <c r="D50" i="22"/>
  <c r="E53" i="22"/>
  <c r="F56" i="22"/>
  <c r="G59" i="22"/>
  <c r="H62" i="22"/>
  <c r="F64" i="22"/>
  <c r="G67" i="22"/>
  <c r="N11" i="22"/>
  <c r="D47" i="22"/>
  <c r="G48" i="22"/>
  <c r="E50" i="22"/>
  <c r="H51" i="22"/>
  <c r="F53" i="22"/>
  <c r="D55" i="22"/>
  <c r="G56" i="22"/>
  <c r="E58" i="22"/>
  <c r="H59" i="22"/>
  <c r="F61" i="22"/>
  <c r="D63" i="22"/>
  <c r="G64" i="22"/>
  <c r="E66" i="22"/>
  <c r="H67" i="22"/>
  <c r="G45" i="22"/>
  <c r="P11" i="22"/>
  <c r="M12" i="22"/>
  <c r="K13" i="22"/>
  <c r="T13" i="22"/>
  <c r="R14" i="22"/>
  <c r="P15" i="22"/>
  <c r="M16" i="22"/>
  <c r="K17" i="22"/>
  <c r="T17" i="22"/>
  <c r="R18" i="22"/>
  <c r="P19" i="22"/>
  <c r="M20" i="22"/>
  <c r="K21" i="22"/>
  <c r="T21" i="22"/>
  <c r="R22" i="22"/>
  <c r="P23" i="22"/>
  <c r="M24" i="22"/>
  <c r="K25" i="22"/>
  <c r="T25" i="22"/>
  <c r="R26" i="22"/>
  <c r="P27" i="22"/>
  <c r="M28" i="22"/>
  <c r="K29" i="22"/>
  <c r="T29" i="22"/>
  <c r="R30" i="22"/>
  <c r="P31" i="22"/>
  <c r="M32" i="22"/>
  <c r="T32" i="22"/>
  <c r="M33" i="22"/>
  <c r="R33" i="22"/>
  <c r="N33" i="84" s="1"/>
  <c r="K10" i="22"/>
  <c r="P10" i="22"/>
  <c r="T10" i="22"/>
  <c r="H9" i="22"/>
  <c r="M9" i="22"/>
  <c r="S9" i="22"/>
  <c r="H47" i="22"/>
  <c r="G52" i="22"/>
  <c r="H55" i="22"/>
  <c r="D59" i="22"/>
  <c r="H63" i="22"/>
  <c r="D67" i="22"/>
  <c r="K11" i="22"/>
  <c r="R12" i="22"/>
  <c r="M14" i="22"/>
  <c r="T15" i="22"/>
  <c r="P17" i="22"/>
  <c r="T19" i="22"/>
  <c r="P21" i="22"/>
  <c r="K23" i="22"/>
  <c r="R24" i="22"/>
  <c r="M26" i="22"/>
  <c r="T27" i="22"/>
  <c r="P29" i="22"/>
  <c r="K31" i="22"/>
  <c r="R32" i="22"/>
  <c r="P33" i="22"/>
  <c r="L33" i="84" s="1"/>
  <c r="M10" i="22"/>
  <c r="F9" i="22"/>
  <c r="Q9" i="22"/>
  <c r="G43" i="22"/>
  <c r="H46" i="22"/>
  <c r="G51" i="22"/>
  <c r="H54" i="22"/>
  <c r="D58" i="22"/>
  <c r="E61" i="22"/>
  <c r="D66" i="22"/>
  <c r="F45" i="22"/>
  <c r="L12" i="22"/>
  <c r="N15" i="22"/>
  <c r="Q18" i="22"/>
  <c r="S21" i="22"/>
  <c r="J25" i="22"/>
  <c r="L28" i="22"/>
  <c r="N31" i="22"/>
  <c r="Q33" i="22"/>
  <c r="M33" i="84" s="1"/>
  <c r="AM64" i="84" s="1"/>
  <c r="G9" i="22"/>
  <c r="H43" i="22"/>
  <c r="J13" i="22"/>
  <c r="L16" i="22"/>
  <c r="N19" i="22"/>
  <c r="Q22" i="22"/>
  <c r="S25" i="22"/>
  <c r="J29" i="22"/>
  <c r="L32" i="22"/>
  <c r="J10" i="22"/>
  <c r="S13" i="22"/>
  <c r="L20" i="22"/>
  <c r="Q26" i="22"/>
  <c r="S32" i="22"/>
  <c r="R9" i="22"/>
  <c r="Q14" i="22"/>
  <c r="S17" i="22"/>
  <c r="J21" i="22"/>
  <c r="L24" i="22"/>
  <c r="N27" i="22"/>
  <c r="Q30" i="22"/>
  <c r="L33" i="22"/>
  <c r="S10" i="22"/>
  <c r="L9" i="22"/>
  <c r="J17" i="22"/>
  <c r="N23" i="22"/>
  <c r="S29" i="22"/>
  <c r="N10" i="22"/>
  <c r="F13" i="22"/>
  <c r="AD119" i="68" s="1"/>
  <c r="E16" i="22"/>
  <c r="AC122" i="68" s="1"/>
  <c r="H19" i="22"/>
  <c r="AF125" i="68" s="1"/>
  <c r="D23" i="22"/>
  <c r="AB129" i="68" s="1"/>
  <c r="G26" i="22"/>
  <c r="F29" i="22"/>
  <c r="AD135" i="68" s="1"/>
  <c r="E32" i="22"/>
  <c r="L138" i="68" s="1"/>
  <c r="AR138" i="68" s="1"/>
  <c r="G12" i="22"/>
  <c r="F15" i="22"/>
  <c r="AD121" i="68" s="1"/>
  <c r="E18" i="22"/>
  <c r="AC124" i="68" s="1"/>
  <c r="H21" i="22"/>
  <c r="AF127" i="68" s="1"/>
  <c r="D25" i="22"/>
  <c r="AB131" i="68" s="1"/>
  <c r="G28" i="22"/>
  <c r="E11" i="22"/>
  <c r="AC117" i="68" s="1"/>
  <c r="F18" i="22"/>
  <c r="AD124" i="68" s="1"/>
  <c r="G25" i="22"/>
  <c r="H32" i="22"/>
  <c r="O138" i="68" s="1"/>
  <c r="Z50" i="76" s="1"/>
  <c r="F12" i="22"/>
  <c r="AD118" i="68" s="1"/>
  <c r="G19" i="22"/>
  <c r="H26" i="22"/>
  <c r="AF132" i="68" s="1"/>
  <c r="D30" i="22"/>
  <c r="AB136" i="68" s="1"/>
  <c r="G32" i="22"/>
  <c r="F14" i="22"/>
  <c r="AD120" i="68" s="1"/>
  <c r="G21" i="22"/>
  <c r="H28" i="22"/>
  <c r="AF134" i="68" s="1"/>
  <c r="D32" i="22"/>
  <c r="K138" i="68" s="1"/>
  <c r="E17" i="22"/>
  <c r="AC123" i="68" s="1"/>
  <c r="F24" i="22"/>
  <c r="AD130" i="68" s="1"/>
  <c r="G31" i="22"/>
  <c r="R61" i="22"/>
  <c r="S60" i="22"/>
  <c r="AD96" i="91" s="1"/>
  <c r="P63" i="22"/>
  <c r="Q62" i="22"/>
  <c r="R49" i="22"/>
  <c r="AC14" i="91" s="1"/>
  <c r="P55" i="22"/>
  <c r="P51" i="22"/>
  <c r="R53" i="22"/>
  <c r="AC89" i="91" s="1"/>
  <c r="S67" i="22"/>
  <c r="Q61" i="22"/>
  <c r="T54" i="22"/>
  <c r="P90" i="91" s="1"/>
  <c r="R48" i="22"/>
  <c r="AC84" i="91" s="1"/>
  <c r="Q45" i="22"/>
  <c r="T65" i="22"/>
  <c r="S62" i="22"/>
  <c r="R59" i="22"/>
  <c r="Q56" i="22"/>
  <c r="P53" i="22"/>
  <c r="T49" i="22"/>
  <c r="AE85" i="91" s="1"/>
  <c r="S46" i="22"/>
  <c r="AD82" i="91" s="1"/>
  <c r="Q65" i="22"/>
  <c r="T58" i="22"/>
  <c r="P23" i="91" s="1"/>
  <c r="R52" i="22"/>
  <c r="N17" i="91" s="1"/>
  <c r="AN48" i="91" s="1"/>
  <c r="S43" i="22"/>
  <c r="Q67" i="22"/>
  <c r="P64" i="22"/>
  <c r="T60" i="22"/>
  <c r="AE25" i="91" s="1"/>
  <c r="S57" i="22"/>
  <c r="R54" i="22"/>
  <c r="Q51" i="22"/>
  <c r="P48" i="22"/>
  <c r="Q43" i="22"/>
  <c r="AE27" i="91"/>
  <c r="AD95" i="91"/>
  <c r="O95" i="91"/>
  <c r="AO126" i="91" s="1"/>
  <c r="AE15" i="91"/>
  <c r="AE86" i="91"/>
  <c r="P86" i="91"/>
  <c r="P15" i="91"/>
  <c r="K46" i="22"/>
  <c r="M47" i="22"/>
  <c r="K48" i="22"/>
  <c r="M49" i="22"/>
  <c r="K50" i="22"/>
  <c r="M51" i="22"/>
  <c r="K52" i="22"/>
  <c r="M53" i="22"/>
  <c r="K54" i="22"/>
  <c r="M55" i="22"/>
  <c r="K56" i="22"/>
  <c r="M57" i="22"/>
  <c r="K58" i="22"/>
  <c r="M59" i="22"/>
  <c r="K60" i="22"/>
  <c r="M61" i="22"/>
  <c r="K62" i="22"/>
  <c r="M63" i="22"/>
  <c r="K64" i="22"/>
  <c r="M65" i="22"/>
  <c r="K66" i="22"/>
  <c r="M67" i="22"/>
  <c r="K68" i="22"/>
  <c r="N45" i="22"/>
  <c r="L43" i="22"/>
  <c r="M50" i="22"/>
  <c r="K51" i="22"/>
  <c r="M54" i="22"/>
  <c r="K55" i="22"/>
  <c r="M58" i="22"/>
  <c r="M60" i="22"/>
  <c r="K61" i="22"/>
  <c r="M64" i="22"/>
  <c r="K65" i="22"/>
  <c r="L45" i="22"/>
  <c r="N43" i="22"/>
  <c r="J46" i="22"/>
  <c r="L47" i="22"/>
  <c r="J48" i="22"/>
  <c r="N50" i="22"/>
  <c r="L51" i="22"/>
  <c r="J52" i="22"/>
  <c r="N54" i="22"/>
  <c r="L55" i="22"/>
  <c r="J56" i="22"/>
  <c r="L59" i="22"/>
  <c r="J60" i="22"/>
  <c r="J62" i="22"/>
  <c r="L63" i="22"/>
  <c r="J64" i="22"/>
  <c r="L65" i="22"/>
  <c r="J66" i="22"/>
  <c r="M45" i="22"/>
  <c r="L46" i="22"/>
  <c r="J47" i="22"/>
  <c r="N47" i="22"/>
  <c r="L48" i="22"/>
  <c r="J49" i="22"/>
  <c r="N49" i="22"/>
  <c r="L50" i="22"/>
  <c r="J51" i="22"/>
  <c r="N51" i="22"/>
  <c r="L52" i="22"/>
  <c r="J53" i="22"/>
  <c r="N53" i="22"/>
  <c r="L54" i="22"/>
  <c r="J55" i="22"/>
  <c r="N55" i="22"/>
  <c r="L56" i="22"/>
  <c r="J57" i="22"/>
  <c r="N57" i="22"/>
  <c r="L58" i="22"/>
  <c r="J59" i="22"/>
  <c r="N59" i="22"/>
  <c r="L60" i="22"/>
  <c r="J61" i="22"/>
  <c r="N61" i="22"/>
  <c r="L62" i="22"/>
  <c r="J63" i="22"/>
  <c r="N63" i="22"/>
  <c r="L64" i="22"/>
  <c r="J65" i="22"/>
  <c r="N65" i="22"/>
  <c r="L66" i="22"/>
  <c r="J67" i="22"/>
  <c r="N67" i="22"/>
  <c r="L68" i="22"/>
  <c r="K45" i="22"/>
  <c r="M43" i="22"/>
  <c r="M46" i="22"/>
  <c r="K47" i="22"/>
  <c r="M48" i="22"/>
  <c r="K49" i="22"/>
  <c r="M52" i="22"/>
  <c r="K53" i="22"/>
  <c r="M56" i="22"/>
  <c r="K57" i="22"/>
  <c r="K59" i="22"/>
  <c r="M62" i="22"/>
  <c r="K63" i="22"/>
  <c r="M66" i="22"/>
  <c r="K67" i="22"/>
  <c r="M68" i="22"/>
  <c r="N46" i="22"/>
  <c r="N48" i="22"/>
  <c r="L49" i="22"/>
  <c r="J50" i="22"/>
  <c r="N52" i="22"/>
  <c r="L53" i="22"/>
  <c r="J54" i="22"/>
  <c r="N56" i="22"/>
  <c r="L57" i="22"/>
  <c r="J58" i="22"/>
  <c r="N58" i="22"/>
  <c r="N60" i="22"/>
  <c r="L61" i="22"/>
  <c r="N62" i="22"/>
  <c r="N64" i="22"/>
  <c r="N66" i="22"/>
  <c r="L67" i="22"/>
  <c r="J68" i="22"/>
  <c r="N68" i="22"/>
  <c r="K43" i="22"/>
  <c r="X2" i="84"/>
  <c r="Y1" i="84"/>
  <c r="AK33" i="84" l="1"/>
  <c r="AL64" i="84"/>
  <c r="AL33" i="84"/>
  <c r="AN64" i="84"/>
  <c r="AM33" i="84"/>
  <c r="AO64" i="84"/>
  <c r="AA73" i="76"/>
  <c r="Q33" i="84"/>
  <c r="AN33" i="84"/>
  <c r="AP64" i="84"/>
  <c r="AB19" i="91"/>
  <c r="M19" i="91"/>
  <c r="AM50" i="91" s="1"/>
  <c r="AC19" i="91"/>
  <c r="N19" i="91"/>
  <c r="AN50" i="91" s="1"/>
  <c r="AD21" i="91"/>
  <c r="AD19" i="91"/>
  <c r="O19" i="91"/>
  <c r="AO50" i="91" s="1"/>
  <c r="AD15" i="91"/>
  <c r="AA94" i="91"/>
  <c r="AA23" i="91"/>
  <c r="L23" i="91"/>
  <c r="AL54" i="91" s="1"/>
  <c r="L94" i="91"/>
  <c r="AL125" i="91" s="1"/>
  <c r="AA98" i="91"/>
  <c r="AA27" i="91"/>
  <c r="L27" i="91"/>
  <c r="AL58" i="91" s="1"/>
  <c r="L98" i="91"/>
  <c r="AL129" i="91" s="1"/>
  <c r="AA90" i="91"/>
  <c r="L90" i="91"/>
  <c r="AL121" i="91" s="1"/>
  <c r="M98" i="91"/>
  <c r="AM129" i="91" s="1"/>
  <c r="AB98" i="91"/>
  <c r="M27" i="91"/>
  <c r="AM58" i="91" s="1"/>
  <c r="AB27" i="91"/>
  <c r="AA92" i="91"/>
  <c r="L92" i="91"/>
  <c r="AL123" i="91" s="1"/>
  <c r="AA28" i="91"/>
  <c r="L99" i="91"/>
  <c r="AL130" i="91" s="1"/>
  <c r="L28" i="91"/>
  <c r="AL59" i="91" s="1"/>
  <c r="AA99" i="91"/>
  <c r="AB23" i="91"/>
  <c r="AB94" i="91"/>
  <c r="M94" i="91"/>
  <c r="AM125" i="91" s="1"/>
  <c r="M23" i="91"/>
  <c r="AM54" i="91" s="1"/>
  <c r="M90" i="91"/>
  <c r="AM121" i="91" s="1"/>
  <c r="AB90" i="91"/>
  <c r="L96" i="91"/>
  <c r="AL127" i="91" s="1"/>
  <c r="M121" i="68"/>
  <c r="AS121" i="68" s="1"/>
  <c r="O21" i="91"/>
  <c r="AO52" i="91" s="1"/>
  <c r="L17" i="91"/>
  <c r="AL48" i="91" s="1"/>
  <c r="AC90" i="91"/>
  <c r="N90" i="91"/>
  <c r="AN121" i="91" s="1"/>
  <c r="N138" i="68"/>
  <c r="L100" i="91"/>
  <c r="AL131" i="91" s="1"/>
  <c r="AA29" i="91"/>
  <c r="AA100" i="91"/>
  <c r="L29" i="91"/>
  <c r="AL60" i="91" s="1"/>
  <c r="L89" i="91"/>
  <c r="AL120" i="91" s="1"/>
  <c r="L18" i="91"/>
  <c r="AL49" i="91" s="1"/>
  <c r="AA89" i="91"/>
  <c r="AA18" i="91"/>
  <c r="M26" i="91"/>
  <c r="AM57" i="91" s="1"/>
  <c r="M97" i="91"/>
  <c r="AM128" i="91" s="1"/>
  <c r="AB26" i="91"/>
  <c r="AB97" i="91"/>
  <c r="AE125" i="68"/>
  <c r="L26" i="91"/>
  <c r="AL57" i="91" s="1"/>
  <c r="AA97" i="91"/>
  <c r="AA26" i="91"/>
  <c r="L97" i="91"/>
  <c r="AL128" i="91" s="1"/>
  <c r="AA12" i="91"/>
  <c r="L83" i="91"/>
  <c r="AL114" i="91" s="1"/>
  <c r="AA83" i="91"/>
  <c r="L12" i="91"/>
  <c r="AL43" i="91" s="1"/>
  <c r="AE120" i="68"/>
  <c r="N23" i="91"/>
  <c r="AN54" i="91" s="1"/>
  <c r="AC94" i="91"/>
  <c r="N94" i="91"/>
  <c r="AN125" i="91" s="1"/>
  <c r="AC23" i="91"/>
  <c r="AB99" i="91"/>
  <c r="M99" i="91"/>
  <c r="AM130" i="91" s="1"/>
  <c r="M28" i="91"/>
  <c r="AM59" i="91" s="1"/>
  <c r="AB28" i="91"/>
  <c r="M92" i="91"/>
  <c r="AM123" i="91" s="1"/>
  <c r="AB92" i="91"/>
  <c r="N97" i="91"/>
  <c r="AN128" i="91" s="1"/>
  <c r="N26" i="91"/>
  <c r="AN57" i="91" s="1"/>
  <c r="AC97" i="91"/>
  <c r="AC26" i="91"/>
  <c r="AE121" i="68"/>
  <c r="AE126" i="68"/>
  <c r="AE134" i="68"/>
  <c r="AE132" i="68"/>
  <c r="AE116" i="68"/>
  <c r="AE124" i="68"/>
  <c r="AE119" i="68"/>
  <c r="AE123" i="68"/>
  <c r="L21" i="91"/>
  <c r="AL52" i="91" s="1"/>
  <c r="AA21" i="91"/>
  <c r="AE135" i="68"/>
  <c r="AE33" i="68"/>
  <c r="O97" i="91"/>
  <c r="AO128" i="91" s="1"/>
  <c r="O26" i="91"/>
  <c r="AO57" i="91" s="1"/>
  <c r="AD97" i="91"/>
  <c r="AD26" i="91"/>
  <c r="AE129" i="68"/>
  <c r="AE130" i="68"/>
  <c r="AE128" i="68"/>
  <c r="AE133" i="68"/>
  <c r="AE136" i="68"/>
  <c r="AE137" i="68"/>
  <c r="AA84" i="91"/>
  <c r="L13" i="91"/>
  <c r="AA13" i="91"/>
  <c r="L84" i="91"/>
  <c r="AE127" i="68"/>
  <c r="AE131" i="68"/>
  <c r="AE118" i="68"/>
  <c r="L10" i="91"/>
  <c r="AL41" i="91" s="1"/>
  <c r="L81" i="91"/>
  <c r="AL112" i="91" s="1"/>
  <c r="AA10" i="91"/>
  <c r="AA81" i="91"/>
  <c r="AE117" i="68"/>
  <c r="AC27" i="91"/>
  <c r="N27" i="91"/>
  <c r="AN58" i="91" s="1"/>
  <c r="AC98" i="91"/>
  <c r="N98" i="91"/>
  <c r="AN129" i="91" s="1"/>
  <c r="AE122" i="68"/>
  <c r="AD23" i="68"/>
  <c r="AB17" i="68"/>
  <c r="AC16" i="68"/>
  <c r="AD29" i="68"/>
  <c r="P84" i="91"/>
  <c r="AP115" i="91" s="1"/>
  <c r="P26" i="91"/>
  <c r="AE97" i="91"/>
  <c r="AE26" i="91"/>
  <c r="P97" i="91"/>
  <c r="O131" i="68"/>
  <c r="AU131" i="68" s="1"/>
  <c r="AE82" i="91"/>
  <c r="M118" i="68"/>
  <c r="O100" i="91"/>
  <c r="AO131" i="91" s="1"/>
  <c r="P29" i="91"/>
  <c r="AP60" i="91" s="1"/>
  <c r="K127" i="68"/>
  <c r="AE13" i="68"/>
  <c r="AE10" i="68"/>
  <c r="N86" i="91"/>
  <c r="AN117" i="91" s="1"/>
  <c r="K125" i="68"/>
  <c r="N123" i="68"/>
  <c r="O137" i="68"/>
  <c r="AE18" i="91"/>
  <c r="AC18" i="91"/>
  <c r="AE18" i="68"/>
  <c r="K133" i="68"/>
  <c r="M125" i="68"/>
  <c r="N134" i="68"/>
  <c r="AT134" i="68" s="1"/>
  <c r="M17" i="91"/>
  <c r="AM48" i="91" s="1"/>
  <c r="N25" i="91"/>
  <c r="AN56" i="91" s="1"/>
  <c r="AC82" i="91"/>
  <c r="AC19" i="68"/>
  <c r="AF28" i="68"/>
  <c r="AB27" i="68"/>
  <c r="N119" i="68"/>
  <c r="N116" i="68"/>
  <c r="AT116" i="68" s="1"/>
  <c r="AF31" i="68"/>
  <c r="O10" i="91"/>
  <c r="AO41" i="91" s="1"/>
  <c r="AC11" i="91"/>
  <c r="L88" i="91"/>
  <c r="AL119" i="91" s="1"/>
  <c r="AB30" i="68"/>
  <c r="L120" i="68"/>
  <c r="AE31" i="68"/>
  <c r="M136" i="68"/>
  <c r="AS136" i="68" s="1"/>
  <c r="AD15" i="68"/>
  <c r="AB19" i="68"/>
  <c r="AB17" i="91"/>
  <c r="P100" i="91"/>
  <c r="AH97" i="91" s="1"/>
  <c r="O29" i="91"/>
  <c r="AO60" i="91" s="1"/>
  <c r="N82" i="91"/>
  <c r="AN113" i="91" s="1"/>
  <c r="M82" i="91"/>
  <c r="AM113" i="91" s="1"/>
  <c r="AA11" i="91"/>
  <c r="AE98" i="91"/>
  <c r="AC15" i="68"/>
  <c r="O134" i="68"/>
  <c r="AU134" i="68" s="1"/>
  <c r="K123" i="68"/>
  <c r="N137" i="68"/>
  <c r="AD30" i="68"/>
  <c r="AE28" i="68"/>
  <c r="O82" i="91"/>
  <c r="AO113" i="91" s="1"/>
  <c r="AD83" i="91"/>
  <c r="AE89" i="91"/>
  <c r="N15" i="91"/>
  <c r="AN46" i="91" s="1"/>
  <c r="M11" i="91"/>
  <c r="AM42" i="91" s="1"/>
  <c r="AA82" i="91"/>
  <c r="N96" i="91"/>
  <c r="AN127" i="91" s="1"/>
  <c r="O81" i="91"/>
  <c r="AO112" i="91" s="1"/>
  <c r="O12" i="91"/>
  <c r="AO43" i="91" s="1"/>
  <c r="AD84" i="91"/>
  <c r="AB21" i="91"/>
  <c r="M21" i="91"/>
  <c r="AM52" i="91" s="1"/>
  <c r="M10" i="91"/>
  <c r="AM41" i="91" s="1"/>
  <c r="AB81" i="91"/>
  <c r="M81" i="91"/>
  <c r="AM112" i="91" s="1"/>
  <c r="AB10" i="91"/>
  <c r="N28" i="91"/>
  <c r="AC28" i="91"/>
  <c r="N99" i="91"/>
  <c r="AC99" i="91"/>
  <c r="AC85" i="91"/>
  <c r="AD12" i="91"/>
  <c r="O85" i="91"/>
  <c r="AO116" i="91" s="1"/>
  <c r="P10" i="91"/>
  <c r="Q10" i="91" s="1"/>
  <c r="L14" i="91"/>
  <c r="AL45" i="91" s="1"/>
  <c r="M13" i="91"/>
  <c r="M84" i="91"/>
  <c r="AB84" i="91"/>
  <c r="AB13" i="91"/>
  <c r="M127" i="68"/>
  <c r="AC21" i="91"/>
  <c r="N92" i="91"/>
  <c r="AN123" i="91" s="1"/>
  <c r="AC92" i="91"/>
  <c r="AB100" i="91"/>
  <c r="AB29" i="91"/>
  <c r="M29" i="91"/>
  <c r="AM60" i="91" s="1"/>
  <c r="M100" i="91"/>
  <c r="AM131" i="91" s="1"/>
  <c r="N121" i="68"/>
  <c r="AB22" i="68"/>
  <c r="K117" i="68"/>
  <c r="O136" i="68"/>
  <c r="P136" i="68" s="1"/>
  <c r="O127" i="68"/>
  <c r="O50" i="76" s="1"/>
  <c r="K121" i="68"/>
  <c r="AD33" i="68"/>
  <c r="L127" i="68"/>
  <c r="K119" i="68"/>
  <c r="AE23" i="68"/>
  <c r="AE88" i="91"/>
  <c r="AE28" i="91"/>
  <c r="N89" i="91"/>
  <c r="AN120" i="91" s="1"/>
  <c r="O98" i="91"/>
  <c r="AO129" i="91" s="1"/>
  <c r="AD27" i="91"/>
  <c r="AD98" i="91"/>
  <c r="O27" i="91"/>
  <c r="AO58" i="91" s="1"/>
  <c r="O90" i="91"/>
  <c r="AO121" i="91" s="1"/>
  <c r="AD90" i="91"/>
  <c r="AF138" i="68"/>
  <c r="AD23" i="91"/>
  <c r="O94" i="91"/>
  <c r="AO125" i="91" s="1"/>
  <c r="O23" i="91"/>
  <c r="AO54" i="91" s="1"/>
  <c r="AD94" i="91"/>
  <c r="AM138" i="68"/>
  <c r="AB89" i="91"/>
  <c r="AB18" i="91"/>
  <c r="M89" i="91"/>
  <c r="AM120" i="91" s="1"/>
  <c r="M18" i="91"/>
  <c r="AM49" i="91" s="1"/>
  <c r="AB83" i="91"/>
  <c r="AB12" i="91"/>
  <c r="M83" i="91"/>
  <c r="AM114" i="91" s="1"/>
  <c r="M12" i="91"/>
  <c r="AM43" i="91" s="1"/>
  <c r="AD26" i="68"/>
  <c r="P85" i="91"/>
  <c r="AD31" i="68"/>
  <c r="AA15" i="91"/>
  <c r="AF30" i="68"/>
  <c r="N118" i="68"/>
  <c r="AD27" i="68"/>
  <c r="AB31" i="68"/>
  <c r="M120" i="68"/>
  <c r="AD18" i="68"/>
  <c r="AB11" i="68"/>
  <c r="M130" i="68"/>
  <c r="AS130" i="68" s="1"/>
  <c r="AC22" i="68"/>
  <c r="L118" i="68"/>
  <c r="N84" i="91"/>
  <c r="AN115" i="91" s="1"/>
  <c r="AE23" i="91"/>
  <c r="AC33" i="68"/>
  <c r="M133" i="68"/>
  <c r="AS133" i="68" s="1"/>
  <c r="AB18" i="68"/>
  <c r="AF29" i="68"/>
  <c r="AC17" i="68"/>
  <c r="AB28" i="68"/>
  <c r="L128" i="68"/>
  <c r="AR128" i="68" s="1"/>
  <c r="AD25" i="68"/>
  <c r="M85" i="91"/>
  <c r="AM116" i="91" s="1"/>
  <c r="N83" i="91"/>
  <c r="AN114" i="91" s="1"/>
  <c r="P94" i="91"/>
  <c r="Q94" i="91" s="1"/>
  <c r="O132" i="68"/>
  <c r="P96" i="91"/>
  <c r="AP127" i="91" s="1"/>
  <c r="O88" i="91"/>
  <c r="AO119" i="91" s="1"/>
  <c r="AD92" i="91"/>
  <c r="AF33" i="68"/>
  <c r="AE19" i="68"/>
  <c r="AB12" i="68"/>
  <c r="K137" i="68"/>
  <c r="M116" i="68"/>
  <c r="AS116" i="68" s="1"/>
  <c r="O135" i="68"/>
  <c r="AH132" i="68" s="1"/>
  <c r="M123" i="68"/>
  <c r="L137" i="68"/>
  <c r="M134" i="68"/>
  <c r="AB29" i="68"/>
  <c r="O125" i="68"/>
  <c r="AH125" i="68" s="1"/>
  <c r="AD20" i="68"/>
  <c r="K126" i="68"/>
  <c r="AC17" i="91"/>
  <c r="AD25" i="91"/>
  <c r="M14" i="91"/>
  <c r="AM45" i="91" s="1"/>
  <c r="O18" i="91"/>
  <c r="AO49" i="91" s="1"/>
  <c r="M25" i="91"/>
  <c r="AM56" i="91" s="1"/>
  <c r="AE92" i="91"/>
  <c r="M86" i="91"/>
  <c r="AM117" i="91" s="1"/>
  <c r="O99" i="91"/>
  <c r="AO130" i="91" s="1"/>
  <c r="AC83" i="91"/>
  <c r="N81" i="91"/>
  <c r="AN112" i="91" s="1"/>
  <c r="P12" i="91"/>
  <c r="AE11" i="68"/>
  <c r="O118" i="68"/>
  <c r="F50" i="76" s="1"/>
  <c r="K132" i="68"/>
  <c r="K118" i="68"/>
  <c r="AC14" i="68"/>
  <c r="AD21" i="68"/>
  <c r="AF11" i="68"/>
  <c r="AC29" i="68"/>
  <c r="N131" i="68"/>
  <c r="AT131" i="68" s="1"/>
  <c r="AC26" i="68"/>
  <c r="AE14" i="68"/>
  <c r="AB24" i="68"/>
  <c r="AB13" i="68"/>
  <c r="M126" i="68"/>
  <c r="L134" i="68"/>
  <c r="AR134" i="68" s="1"/>
  <c r="AC12" i="68"/>
  <c r="O96" i="91"/>
  <c r="AO127" i="91" s="1"/>
  <c r="AD81" i="91"/>
  <c r="AD89" i="91"/>
  <c r="O84" i="91"/>
  <c r="AO115" i="91" s="1"/>
  <c r="AD28" i="91"/>
  <c r="L86" i="91"/>
  <c r="AL117" i="91" s="1"/>
  <c r="N29" i="91"/>
  <c r="AN60" i="91" s="1"/>
  <c r="AE21" i="91"/>
  <c r="AD22" i="68"/>
  <c r="M132" i="68"/>
  <c r="AC30" i="68"/>
  <c r="O117" i="68"/>
  <c r="E50" i="76" s="1"/>
  <c r="AE21" i="68"/>
  <c r="K135" i="68"/>
  <c r="P25" i="91"/>
  <c r="Q25" i="91" s="1"/>
  <c r="AE14" i="91"/>
  <c r="P92" i="91"/>
  <c r="AH92" i="91" s="1"/>
  <c r="M15" i="91"/>
  <c r="AM46" i="91" s="1"/>
  <c r="AB26" i="68"/>
  <c r="M128" i="68"/>
  <c r="N125" i="68"/>
  <c r="L136" i="68"/>
  <c r="AR136" i="68" s="1"/>
  <c r="AF17" i="68"/>
  <c r="AF10" i="68"/>
  <c r="AF27" i="68"/>
  <c r="AS138" i="68"/>
  <c r="K124" i="68"/>
  <c r="N127" i="68"/>
  <c r="M137" i="68"/>
  <c r="AS137" i="68" s="1"/>
  <c r="L135" i="68"/>
  <c r="AR135" i="68" s="1"/>
  <c r="M124" i="68"/>
  <c r="L132" i="68"/>
  <c r="L126" i="68"/>
  <c r="N120" i="68"/>
  <c r="L123" i="68"/>
  <c r="K130" i="68"/>
  <c r="AD28" i="68"/>
  <c r="K134" i="68"/>
  <c r="AE16" i="68"/>
  <c r="K129" i="68"/>
  <c r="AC10" i="68"/>
  <c r="K122" i="68"/>
  <c r="K139" i="68"/>
  <c r="O122" i="68"/>
  <c r="AH122" i="68" s="1"/>
  <c r="K131" i="68"/>
  <c r="M131" i="68"/>
  <c r="O121" i="68"/>
  <c r="AU121" i="68" s="1"/>
  <c r="AE96" i="91"/>
  <c r="AC88" i="91"/>
  <c r="O11" i="91"/>
  <c r="AO42" i="91" s="1"/>
  <c r="P14" i="91"/>
  <c r="AP45" i="91" s="1"/>
  <c r="O25" i="91"/>
  <c r="AO56" i="91" s="1"/>
  <c r="AB14" i="91"/>
  <c r="O89" i="91"/>
  <c r="AO120" i="91" s="1"/>
  <c r="O17" i="91"/>
  <c r="AO48" i="91" s="1"/>
  <c r="AB86" i="91"/>
  <c r="O13" i="91"/>
  <c r="AO44" i="91" s="1"/>
  <c r="AC13" i="91"/>
  <c r="O28" i="91"/>
  <c r="AO59" i="91" s="1"/>
  <c r="AC12" i="91"/>
  <c r="AA86" i="91"/>
  <c r="N10" i="91"/>
  <c r="AN41" i="91" s="1"/>
  <c r="AC29" i="91"/>
  <c r="AE94" i="91"/>
  <c r="AE90" i="91"/>
  <c r="AE12" i="91"/>
  <c r="AB96" i="91"/>
  <c r="AC138" i="68"/>
  <c r="AD138" i="68"/>
  <c r="N117" i="68"/>
  <c r="AC20" i="68"/>
  <c r="AB23" i="68"/>
  <c r="AB16" i="68"/>
  <c r="AF16" i="68"/>
  <c r="AB25" i="68"/>
  <c r="AF15" i="68"/>
  <c r="N88" i="91"/>
  <c r="AN119" i="91" s="1"/>
  <c r="AD17" i="91"/>
  <c r="AC81" i="91"/>
  <c r="AC100" i="91"/>
  <c r="P83" i="91"/>
  <c r="AP114" i="91" s="1"/>
  <c r="AF26" i="68"/>
  <c r="O123" i="68"/>
  <c r="AH123" i="68" s="1"/>
  <c r="O116" i="68"/>
  <c r="AU116" i="68" s="1"/>
  <c r="O133" i="68"/>
  <c r="U50" i="76" s="1"/>
  <c r="AD14" i="68"/>
  <c r="AD10" i="68"/>
  <c r="AE25" i="68"/>
  <c r="AD17" i="68"/>
  <c r="AD24" i="68"/>
  <c r="AC31" i="68"/>
  <c r="N122" i="68"/>
  <c r="AF19" i="68"/>
  <c r="L116" i="68"/>
  <c r="AF12" i="68"/>
  <c r="AB20" i="68"/>
  <c r="AF21" i="68"/>
  <c r="AE12" i="68"/>
  <c r="AC28" i="68"/>
  <c r="AB25" i="91"/>
  <c r="AE29" i="68"/>
  <c r="K128" i="68"/>
  <c r="M129" i="68"/>
  <c r="AB14" i="68"/>
  <c r="AF24" i="68"/>
  <c r="AL138" i="68"/>
  <c r="M135" i="68"/>
  <c r="L122" i="68"/>
  <c r="N129" i="68"/>
  <c r="N85" i="91"/>
  <c r="AN116" i="91" s="1"/>
  <c r="P88" i="91"/>
  <c r="AP119" i="91" s="1"/>
  <c r="AE11" i="91"/>
  <c r="AE10" i="91"/>
  <c r="AA14" i="91"/>
  <c r="AB116" i="68"/>
  <c r="AB138" i="68" s="1"/>
  <c r="K116" i="68"/>
  <c r="AB10" i="68"/>
  <c r="O128" i="68"/>
  <c r="P128" i="68" s="1"/>
  <c r="N135" i="68"/>
  <c r="AT135" i="68" s="1"/>
  <c r="K136" i="68"/>
  <c r="N139" i="68"/>
  <c r="AT139" i="68" s="1"/>
  <c r="L125" i="68"/>
  <c r="AR125" i="68" s="1"/>
  <c r="N130" i="68"/>
  <c r="AT130" i="68" s="1"/>
  <c r="M117" i="68"/>
  <c r="L130" i="68"/>
  <c r="N124" i="68"/>
  <c r="AT124" i="68" s="1"/>
  <c r="AC25" i="68"/>
  <c r="AF14" i="68"/>
  <c r="AF18" i="68"/>
  <c r="AU138" i="68"/>
  <c r="AC11" i="68"/>
  <c r="AE20" i="68"/>
  <c r="AF13" i="68"/>
  <c r="AE30" i="68"/>
  <c r="AF23" i="68"/>
  <c r="AF20" i="68"/>
  <c r="K120" i="68"/>
  <c r="O130" i="68"/>
  <c r="AE26" i="68"/>
  <c r="AD13" i="68"/>
  <c r="AD16" i="68"/>
  <c r="AC23" i="68"/>
  <c r="AE27" i="68"/>
  <c r="AC13" i="68"/>
  <c r="AC27" i="68"/>
  <c r="AC18" i="68"/>
  <c r="AE22" i="68"/>
  <c r="AD11" i="91"/>
  <c r="N14" i="91"/>
  <c r="AN45" i="91" s="1"/>
  <c r="P17" i="91"/>
  <c r="AH17" i="91" s="1"/>
  <c r="AB88" i="91"/>
  <c r="P11" i="91"/>
  <c r="AH11" i="91" s="1"/>
  <c r="AE84" i="91"/>
  <c r="AE29" i="91"/>
  <c r="O86" i="91"/>
  <c r="AO117" i="91" s="1"/>
  <c r="P18" i="91"/>
  <c r="AP49" i="91" s="1"/>
  <c r="AD29" i="91"/>
  <c r="AD85" i="91"/>
  <c r="P28" i="91"/>
  <c r="AC15" i="91"/>
  <c r="P81" i="91"/>
  <c r="AB82" i="91"/>
  <c r="N13" i="91"/>
  <c r="AN44" i="91" s="1"/>
  <c r="N18" i="91"/>
  <c r="AN49" i="91" s="1"/>
  <c r="L11" i="91"/>
  <c r="AL42" i="91" s="1"/>
  <c r="AA25" i="91"/>
  <c r="AA85" i="91"/>
  <c r="AA17" i="91"/>
  <c r="AC96" i="91"/>
  <c r="P98" i="91"/>
  <c r="AF22" i="68"/>
  <c r="AE24" i="68"/>
  <c r="AD11" i="68"/>
  <c r="AC24" i="68"/>
  <c r="AE13" i="91"/>
  <c r="O15" i="91"/>
  <c r="AO46" i="91" s="1"/>
  <c r="AD14" i="91"/>
  <c r="AE99" i="91"/>
  <c r="L25" i="91"/>
  <c r="AL56" i="91" s="1"/>
  <c r="L121" i="68"/>
  <c r="AE15" i="68"/>
  <c r="AD12" i="68"/>
  <c r="AB21" i="68"/>
  <c r="AB15" i="68"/>
  <c r="L131" i="68"/>
  <c r="O120" i="68"/>
  <c r="P120" i="68" s="1"/>
  <c r="O124" i="68"/>
  <c r="L50" i="76" s="1"/>
  <c r="P138" i="68"/>
  <c r="L117" i="68"/>
  <c r="AR117" i="68" s="1"/>
  <c r="N126" i="68"/>
  <c r="O119" i="68"/>
  <c r="AH119" i="68" s="1"/>
  <c r="N136" i="68"/>
  <c r="O129" i="68"/>
  <c r="Q50" i="76" s="1"/>
  <c r="O126" i="68"/>
  <c r="P126" i="68" s="1"/>
  <c r="AC21" i="68"/>
  <c r="AE17" i="68"/>
  <c r="AF25" i="68"/>
  <c r="AD19" i="68"/>
  <c r="N132" i="68"/>
  <c r="AT132" i="68" s="1"/>
  <c r="M119" i="68"/>
  <c r="M122" i="68"/>
  <c r="AS122" i="68" s="1"/>
  <c r="L129" i="68"/>
  <c r="N133" i="68"/>
  <c r="L119" i="68"/>
  <c r="AR119" i="68" s="1"/>
  <c r="L133" i="68"/>
  <c r="L124" i="68"/>
  <c r="N128" i="68"/>
  <c r="AP54" i="91"/>
  <c r="Q23" i="91"/>
  <c r="AH90" i="91"/>
  <c r="AP121" i="91"/>
  <c r="Q90" i="91"/>
  <c r="AP58" i="91"/>
  <c r="Q27" i="91"/>
  <c r="AH21" i="91"/>
  <c r="AP52" i="91"/>
  <c r="Q21" i="91"/>
  <c r="AA50" i="76"/>
  <c r="AP136" i="91"/>
  <c r="Q86" i="91"/>
  <c r="AH86" i="91"/>
  <c r="AP117" i="91"/>
  <c r="O33" i="85"/>
  <c r="AF33" i="85"/>
  <c r="H100" i="85"/>
  <c r="H136" i="85"/>
  <c r="L25" i="85"/>
  <c r="AC25" i="85"/>
  <c r="E128" i="85"/>
  <c r="E92" i="85"/>
  <c r="AH82" i="91"/>
  <c r="AP113" i="91"/>
  <c r="Q82" i="91"/>
  <c r="AH13" i="91"/>
  <c r="Q13" i="91"/>
  <c r="AP44" i="91"/>
  <c r="AH89" i="91"/>
  <c r="Q89" i="91"/>
  <c r="AP120" i="91"/>
  <c r="AP130" i="91"/>
  <c r="AH96" i="91"/>
  <c r="Q99" i="91"/>
  <c r="AH15" i="91"/>
  <c r="Q15" i="91"/>
  <c r="AP46" i="91"/>
  <c r="AR139" i="68"/>
  <c r="AU139" i="68"/>
  <c r="AS139" i="68"/>
  <c r="AO33" i="84" l="1"/>
  <c r="I33" i="84" s="1"/>
  <c r="J33" i="84" s="1"/>
  <c r="AA103" i="91"/>
  <c r="AB103" i="91"/>
  <c r="AM115" i="91"/>
  <c r="AM136" i="91"/>
  <c r="AL115" i="91"/>
  <c r="AL136" i="91"/>
  <c r="AM44" i="91"/>
  <c r="AM65" i="91"/>
  <c r="AL44" i="91"/>
  <c r="AL65" i="91"/>
  <c r="AT138" i="68"/>
  <c r="AV138" i="68" s="1"/>
  <c r="AH12" i="91"/>
  <c r="P131" i="68"/>
  <c r="AE138" i="68"/>
  <c r="AO138" i="68"/>
  <c r="AN138" i="68"/>
  <c r="AS118" i="68"/>
  <c r="AH130" i="68"/>
  <c r="AR120" i="68"/>
  <c r="P137" i="68"/>
  <c r="AH84" i="91"/>
  <c r="Q26" i="91"/>
  <c r="AP57" i="91"/>
  <c r="S50" i="76"/>
  <c r="Q84" i="91"/>
  <c r="AO65" i="91"/>
  <c r="Q97" i="91"/>
  <c r="AP128" i="91"/>
  <c r="AO136" i="91"/>
  <c r="Y50" i="76"/>
  <c r="Q29" i="91"/>
  <c r="AN59" i="91"/>
  <c r="AN65" i="91"/>
  <c r="AN130" i="91"/>
  <c r="AN136" i="91"/>
  <c r="AP65" i="91"/>
  <c r="P129" i="68"/>
  <c r="AS124" i="68"/>
  <c r="AU136" i="68"/>
  <c r="P125" i="68"/>
  <c r="AP131" i="91"/>
  <c r="AR127" i="68"/>
  <c r="AH133" i="68"/>
  <c r="Q100" i="91"/>
  <c r="AR121" i="68"/>
  <c r="M50" i="76"/>
  <c r="AH26" i="91"/>
  <c r="AH127" i="68"/>
  <c r="AT129" i="68"/>
  <c r="AS125" i="68"/>
  <c r="AT123" i="68"/>
  <c r="AT118" i="68"/>
  <c r="P130" i="68"/>
  <c r="AT119" i="68"/>
  <c r="P134" i="68"/>
  <c r="AP41" i="91"/>
  <c r="AU137" i="68"/>
  <c r="AT133" i="68"/>
  <c r="K50" i="76"/>
  <c r="AR129" i="68"/>
  <c r="AU123" i="68"/>
  <c r="AS128" i="68"/>
  <c r="AH134" i="68"/>
  <c r="AR132" i="68"/>
  <c r="AU127" i="68"/>
  <c r="AS132" i="68"/>
  <c r="AT121" i="68"/>
  <c r="AH131" i="68"/>
  <c r="AT137" i="68"/>
  <c r="AS127" i="68"/>
  <c r="AH118" i="68"/>
  <c r="AH10" i="91"/>
  <c r="AS126" i="68"/>
  <c r="AS120" i="68"/>
  <c r="P116" i="68"/>
  <c r="AH116" i="68"/>
  <c r="V50" i="76"/>
  <c r="P127" i="68"/>
  <c r="AR123" i="68"/>
  <c r="AP116" i="91"/>
  <c r="AU128" i="68"/>
  <c r="X50" i="76"/>
  <c r="AT127" i="68"/>
  <c r="Q81" i="91"/>
  <c r="Q92" i="91"/>
  <c r="AH85" i="91"/>
  <c r="Q88" i="91"/>
  <c r="Q85" i="91"/>
  <c r="Q96" i="91"/>
  <c r="Q12" i="91"/>
  <c r="P132" i="68"/>
  <c r="Q14" i="91"/>
  <c r="AH128" i="68"/>
  <c r="AS119" i="68"/>
  <c r="AR137" i="68"/>
  <c r="AT136" i="68"/>
  <c r="AS134" i="68"/>
  <c r="AW134" i="68" s="1"/>
  <c r="P123" i="68"/>
  <c r="AU132" i="68"/>
  <c r="I50" i="76"/>
  <c r="AH14" i="91"/>
  <c r="Q11" i="91"/>
  <c r="P50" i="76"/>
  <c r="AP125" i="91"/>
  <c r="P121" i="68"/>
  <c r="AH121" i="68"/>
  <c r="T50" i="76"/>
  <c r="G50" i="76"/>
  <c r="AP112" i="91"/>
  <c r="AT120" i="68"/>
  <c r="P133" i="68"/>
  <c r="AR118" i="68"/>
  <c r="AU125" i="68"/>
  <c r="AU126" i="68"/>
  <c r="AS123" i="68"/>
  <c r="AR131" i="68"/>
  <c r="AU133" i="68"/>
  <c r="AH120" i="68"/>
  <c r="Q83" i="91"/>
  <c r="AR126" i="68"/>
  <c r="AU122" i="68"/>
  <c r="AU118" i="68"/>
  <c r="AT126" i="68"/>
  <c r="AS117" i="68"/>
  <c r="AT125" i="68"/>
  <c r="W50" i="76"/>
  <c r="Q98" i="91"/>
  <c r="AH81" i="91"/>
  <c r="AH25" i="91"/>
  <c r="AH83" i="91"/>
  <c r="AA32" i="91"/>
  <c r="AB32" i="91"/>
  <c r="AE103" i="91"/>
  <c r="AD103" i="91"/>
  <c r="AB32" i="68"/>
  <c r="AR116" i="68"/>
  <c r="AV116" i="68" s="1"/>
  <c r="AU135" i="68"/>
  <c r="AT117" i="68"/>
  <c r="P118" i="68"/>
  <c r="AU117" i="68"/>
  <c r="J50" i="76"/>
  <c r="Q18" i="91"/>
  <c r="AH95" i="91"/>
  <c r="AP43" i="91"/>
  <c r="AS131" i="68"/>
  <c r="P135" i="68"/>
  <c r="P122" i="68"/>
  <c r="AU119" i="68"/>
  <c r="AU124" i="68"/>
  <c r="AT122" i="68"/>
  <c r="AT128" i="68"/>
  <c r="P117" i="68"/>
  <c r="AR130" i="68"/>
  <c r="AH124" i="68"/>
  <c r="D50" i="76"/>
  <c r="AP123" i="91"/>
  <c r="AP56" i="91"/>
  <c r="AH129" i="68"/>
  <c r="AD32" i="68"/>
  <c r="AF32" i="68"/>
  <c r="AE32" i="91"/>
  <c r="P119" i="68"/>
  <c r="P124" i="68"/>
  <c r="AH18" i="91"/>
  <c r="AP42" i="91"/>
  <c r="AH24" i="91"/>
  <c r="AH117" i="68"/>
  <c r="AE32" i="68"/>
  <c r="AD32" i="91"/>
  <c r="AC32" i="68"/>
  <c r="AS135" i="68"/>
  <c r="AU129" i="68"/>
  <c r="AU130" i="68"/>
  <c r="AP48" i="91"/>
  <c r="AP59" i="91"/>
  <c r="AR124" i="68"/>
  <c r="AR133" i="68"/>
  <c r="AU120" i="68"/>
  <c r="N50" i="76"/>
  <c r="Q28" i="91"/>
  <c r="Q17" i="91"/>
  <c r="R50" i="76"/>
  <c r="AH88" i="91"/>
  <c r="AP129" i="91"/>
  <c r="AR122" i="68"/>
  <c r="AH126" i="68"/>
  <c r="H50" i="76"/>
  <c r="AS129" i="68"/>
  <c r="P33" i="85"/>
  <c r="AV139" i="68"/>
  <c r="AW139" i="68"/>
  <c r="AC134" i="67"/>
  <c r="AW138" i="68" l="1"/>
  <c r="AX138" i="68" s="1"/>
  <c r="AW135" i="68"/>
  <c r="AP138" i="68"/>
  <c r="I138" i="68" s="1"/>
  <c r="AW137" i="68"/>
  <c r="AV134" i="68"/>
  <c r="AX134" i="68" s="1"/>
  <c r="AW136" i="68"/>
  <c r="AW121" i="68"/>
  <c r="AI86" i="91"/>
  <c r="AI15" i="91"/>
  <c r="R15" i="91" s="1"/>
  <c r="AV121" i="68"/>
  <c r="AV119" i="68"/>
  <c r="AV117" i="68"/>
  <c r="AW125" i="68"/>
  <c r="AV136" i="68"/>
  <c r="AW123" i="68"/>
  <c r="AV137" i="68"/>
  <c r="AV127" i="68"/>
  <c r="AW118" i="68"/>
  <c r="AV126" i="68"/>
  <c r="AW129" i="68"/>
  <c r="AV122" i="68"/>
  <c r="AV131" i="68"/>
  <c r="AV125" i="68"/>
  <c r="AW116" i="68"/>
  <c r="AX116" i="68" s="1"/>
  <c r="AV123" i="68"/>
  <c r="AV132" i="68"/>
  <c r="AW127" i="68"/>
  <c r="AW132" i="68"/>
  <c r="AW128" i="68"/>
  <c r="AW120" i="68"/>
  <c r="AI83" i="91"/>
  <c r="AI13" i="91"/>
  <c r="R13" i="91" s="1"/>
  <c r="AW124" i="68"/>
  <c r="AI25" i="91"/>
  <c r="R28" i="91" s="1"/>
  <c r="AI122" i="68"/>
  <c r="AI130" i="68"/>
  <c r="AV118" i="68"/>
  <c r="AI125" i="68"/>
  <c r="AW126" i="68"/>
  <c r="AV129" i="68"/>
  <c r="AW122" i="68"/>
  <c r="AW131" i="68"/>
  <c r="AW117" i="68"/>
  <c r="AI89" i="91"/>
  <c r="AW119" i="68"/>
  <c r="AV120" i="68"/>
  <c r="AV128" i="68"/>
  <c r="AV133" i="68"/>
  <c r="AI17" i="91"/>
  <c r="R17" i="91" s="1"/>
  <c r="AI24" i="91"/>
  <c r="R96" i="91" s="1"/>
  <c r="AI12" i="91"/>
  <c r="R83" i="91" s="1"/>
  <c r="AI26" i="91"/>
  <c r="R100" i="91" s="1"/>
  <c r="AI11" i="91"/>
  <c r="R82" i="91" s="1"/>
  <c r="AI88" i="91"/>
  <c r="AI14" i="91"/>
  <c r="R14" i="91" s="1"/>
  <c r="AI85" i="91"/>
  <c r="AI92" i="91"/>
  <c r="AI18" i="91"/>
  <c r="R18" i="91" s="1"/>
  <c r="AI21" i="91"/>
  <c r="R21" i="91" s="1"/>
  <c r="AV130" i="68"/>
  <c r="AI120" i="68"/>
  <c r="AV124" i="68"/>
  <c r="AI97" i="91"/>
  <c r="AI124" i="68"/>
  <c r="AI131" i="68"/>
  <c r="AI10" i="91"/>
  <c r="R10" i="91" s="1"/>
  <c r="AI127" i="68"/>
  <c r="AI121" i="68"/>
  <c r="AV135" i="68"/>
  <c r="AW130" i="68"/>
  <c r="AI132" i="68"/>
  <c r="AI84" i="91"/>
  <c r="AI128" i="68"/>
  <c r="AI133" i="68"/>
  <c r="AI126" i="68"/>
  <c r="AI116" i="68"/>
  <c r="Q116" i="68" s="1"/>
  <c r="AW133" i="68"/>
  <c r="AI134" i="68"/>
  <c r="AI82" i="91"/>
  <c r="AI81" i="91"/>
  <c r="AI96" i="91"/>
  <c r="AI129" i="68"/>
  <c r="AI119" i="68"/>
  <c r="AI95" i="91"/>
  <c r="AI123" i="68"/>
  <c r="AI118" i="68"/>
  <c r="AI90" i="91"/>
  <c r="AI117" i="68"/>
  <c r="AX139" i="68"/>
  <c r="AC99" i="84"/>
  <c r="AC135" i="84"/>
  <c r="AC171" i="84"/>
  <c r="AX137" i="68" l="1"/>
  <c r="AX135" i="68"/>
  <c r="AX118" i="68"/>
  <c r="AX120" i="68"/>
  <c r="AX131" i="68"/>
  <c r="AX122" i="68"/>
  <c r="AX136" i="68"/>
  <c r="AX121" i="68"/>
  <c r="AX126" i="68"/>
  <c r="AX117" i="68"/>
  <c r="AX119" i="68"/>
  <c r="AX128" i="68"/>
  <c r="R86" i="91"/>
  <c r="AX127" i="68"/>
  <c r="AX125" i="68"/>
  <c r="AX123" i="68"/>
  <c r="AX132" i="68"/>
  <c r="AX129" i="68"/>
  <c r="AX130" i="68"/>
  <c r="R84" i="91"/>
  <c r="AX124" i="68"/>
  <c r="R11" i="91"/>
  <c r="R81" i="91"/>
  <c r="R89" i="91"/>
  <c r="R25" i="91"/>
  <c r="R99" i="91"/>
  <c r="R88" i="91"/>
  <c r="R85" i="91"/>
  <c r="R12" i="91"/>
  <c r="R29" i="91"/>
  <c r="AX133" i="68"/>
  <c r="R92" i="91"/>
  <c r="H32" i="84"/>
  <c r="I257" i="83" l="1"/>
  <c r="S261" i="83"/>
  <c r="S262" i="83"/>
  <c r="S263" i="83"/>
  <c r="S264" i="83"/>
  <c r="S265" i="83"/>
  <c r="S266" i="83"/>
  <c r="S267" i="83"/>
  <c r="S268" i="83"/>
  <c r="S269" i="83"/>
  <c r="S270" i="83"/>
  <c r="S271" i="83"/>
  <c r="S272" i="83"/>
  <c r="S273" i="83"/>
  <c r="S274" i="83"/>
  <c r="S275" i="83"/>
  <c r="S276" i="83"/>
  <c r="S277" i="83"/>
  <c r="S278" i="83"/>
  <c r="S279" i="83"/>
  <c r="S280" i="83"/>
  <c r="S281" i="83"/>
  <c r="S260" i="83"/>
  <c r="A321" i="83"/>
  <c r="AC294" i="83"/>
  <c r="Y294" i="83"/>
  <c r="AC293" i="83"/>
  <c r="AL314" i="83"/>
  <c r="AL313" i="83"/>
  <c r="AL312" i="83"/>
  <c r="AL311" i="83"/>
  <c r="AL310" i="83"/>
  <c r="AL309" i="83"/>
  <c r="AL308" i="83"/>
  <c r="AL307" i="83"/>
  <c r="AL306" i="83"/>
  <c r="AL305" i="83"/>
  <c r="AL304" i="83"/>
  <c r="AL303" i="83"/>
  <c r="AL302" i="83"/>
  <c r="AL301" i="83"/>
  <c r="AL300" i="83"/>
  <c r="AL299" i="83"/>
  <c r="AL298" i="83"/>
  <c r="AL297" i="83"/>
  <c r="AL296" i="83"/>
  <c r="AL295" i="83"/>
  <c r="AL294" i="83"/>
  <c r="AL293" i="83"/>
  <c r="AL292" i="83"/>
  <c r="AL291" i="83"/>
  <c r="AQ289" i="83"/>
  <c r="AP289" i="83"/>
  <c r="AO289" i="83"/>
  <c r="AN289" i="83"/>
  <c r="AM289" i="83"/>
  <c r="A288" i="83"/>
  <c r="AR287" i="83"/>
  <c r="AQ287" i="83"/>
  <c r="AP287" i="83"/>
  <c r="AO287" i="83"/>
  <c r="AN287" i="83"/>
  <c r="AM287" i="83"/>
  <c r="Y283" i="83"/>
  <c r="Y282" i="83"/>
  <c r="Y281" i="83"/>
  <c r="Y280" i="83"/>
  <c r="Y279" i="83"/>
  <c r="Y278" i="83"/>
  <c r="Y277" i="83"/>
  <c r="Y276" i="83"/>
  <c r="Y275" i="83"/>
  <c r="Y274" i="83"/>
  <c r="Y273" i="83"/>
  <c r="Y272" i="83"/>
  <c r="Y271" i="83"/>
  <c r="Y270" i="83"/>
  <c r="Y269" i="83"/>
  <c r="Y268" i="83"/>
  <c r="Y267" i="83"/>
  <c r="Y266" i="83"/>
  <c r="Y265" i="83"/>
  <c r="Y264" i="83"/>
  <c r="Y263" i="83"/>
  <c r="Y262" i="83"/>
  <c r="Y261" i="83"/>
  <c r="AG260" i="83"/>
  <c r="Y260" i="83"/>
  <c r="AH259" i="83"/>
  <c r="AF258" i="83"/>
  <c r="AE258" i="83"/>
  <c r="AD258" i="83"/>
  <c r="AC258" i="83"/>
  <c r="AB258" i="83"/>
  <c r="S257" i="83"/>
  <c r="AK5" i="84" l="1"/>
  <c r="Z1" i="83"/>
  <c r="B255" i="83" s="1"/>
  <c r="B185" i="83"/>
  <c r="B186" i="83"/>
  <c r="B187" i="83"/>
  <c r="B188" i="83"/>
  <c r="B189" i="83"/>
  <c r="B190" i="83"/>
  <c r="B191" i="83"/>
  <c r="B192" i="83"/>
  <c r="B193" i="83"/>
  <c r="B194" i="83"/>
  <c r="B195" i="83"/>
  <c r="B196" i="83"/>
  <c r="B197" i="83"/>
  <c r="B198" i="83"/>
  <c r="B199" i="83"/>
  <c r="B200" i="83"/>
  <c r="B201" i="83"/>
  <c r="B202" i="83"/>
  <c r="B203" i="83"/>
  <c r="B204" i="83"/>
  <c r="B205" i="83"/>
  <c r="B206" i="83"/>
  <c r="B207" i="83"/>
  <c r="B184" i="83"/>
  <c r="B220" i="83" s="1"/>
  <c r="AD182" i="83"/>
  <c r="AC182" i="83"/>
  <c r="AB182" i="83"/>
  <c r="AA182" i="83"/>
  <c r="Z182" i="83"/>
  <c r="AH116" i="83"/>
  <c r="AR144" i="83"/>
  <c r="AR294" i="83" s="1"/>
  <c r="AQ144" i="83"/>
  <c r="AP144" i="83"/>
  <c r="AO144" i="83"/>
  <c r="AN144" i="83"/>
  <c r="AM144" i="83"/>
  <c r="S118" i="83"/>
  <c r="S119" i="83"/>
  <c r="S120" i="83"/>
  <c r="S121" i="83"/>
  <c r="S122" i="83"/>
  <c r="S123" i="83"/>
  <c r="S124" i="83"/>
  <c r="S125" i="83"/>
  <c r="S126" i="83"/>
  <c r="S127" i="83"/>
  <c r="S128" i="83"/>
  <c r="S129" i="83"/>
  <c r="S130" i="83"/>
  <c r="S131" i="83"/>
  <c r="S132" i="83"/>
  <c r="S133" i="83"/>
  <c r="S134" i="83"/>
  <c r="S135" i="83"/>
  <c r="S136" i="83"/>
  <c r="S137" i="83"/>
  <c r="S138" i="83"/>
  <c r="S117" i="83"/>
  <c r="H140" i="83"/>
  <c r="AF140" i="83" s="1"/>
  <c r="G140" i="83"/>
  <c r="F140" i="83"/>
  <c r="E140" i="83"/>
  <c r="D140" i="83"/>
  <c r="AB140" i="83" s="1"/>
  <c r="H138" i="83"/>
  <c r="G138" i="83"/>
  <c r="AE138" i="83" s="1"/>
  <c r="F138" i="83"/>
  <c r="AD138" i="83" s="1"/>
  <c r="E138" i="83"/>
  <c r="AC138" i="83" s="1"/>
  <c r="D138" i="83"/>
  <c r="H137" i="83"/>
  <c r="G137" i="83"/>
  <c r="F137" i="83"/>
  <c r="AD137" i="83" s="1"/>
  <c r="E137" i="83"/>
  <c r="D137" i="83"/>
  <c r="H136" i="83"/>
  <c r="G136" i="83"/>
  <c r="AE136" i="83" s="1"/>
  <c r="F136" i="83"/>
  <c r="E136" i="83"/>
  <c r="AC136" i="83" s="1"/>
  <c r="D136" i="83"/>
  <c r="AB136" i="83" s="1"/>
  <c r="H135" i="83"/>
  <c r="G135" i="83"/>
  <c r="AE135" i="83" s="1"/>
  <c r="F135" i="83"/>
  <c r="AD135" i="83" s="1"/>
  <c r="E135" i="83"/>
  <c r="AC135" i="83" s="1"/>
  <c r="D135" i="83"/>
  <c r="AB135" i="83" s="1"/>
  <c r="H134" i="83"/>
  <c r="G134" i="83"/>
  <c r="AE134" i="83" s="1"/>
  <c r="F134" i="83"/>
  <c r="AD134" i="83" s="1"/>
  <c r="E134" i="83"/>
  <c r="D134" i="83"/>
  <c r="H133" i="83"/>
  <c r="G133" i="83"/>
  <c r="AE133" i="83" s="1"/>
  <c r="F133" i="83"/>
  <c r="AD133" i="83" s="1"/>
  <c r="E133" i="83"/>
  <c r="D133" i="83"/>
  <c r="H132" i="83"/>
  <c r="G132" i="83"/>
  <c r="F132" i="83"/>
  <c r="E132" i="83"/>
  <c r="D132" i="83"/>
  <c r="H131" i="83"/>
  <c r="G131" i="83"/>
  <c r="AE131" i="83" s="1"/>
  <c r="E131" i="83"/>
  <c r="D131" i="83"/>
  <c r="H130" i="83"/>
  <c r="G130" i="83"/>
  <c r="F130" i="83"/>
  <c r="AD130" i="83" s="1"/>
  <c r="E130" i="83"/>
  <c r="AC130" i="83" s="1"/>
  <c r="D130" i="83"/>
  <c r="H129" i="83"/>
  <c r="G129" i="83"/>
  <c r="AE129" i="83" s="1"/>
  <c r="F129" i="83"/>
  <c r="AD129" i="83" s="1"/>
  <c r="E129" i="83"/>
  <c r="D129" i="83"/>
  <c r="H128" i="83"/>
  <c r="G128" i="83"/>
  <c r="F128" i="83"/>
  <c r="E128" i="83"/>
  <c r="D128" i="83"/>
  <c r="AB128" i="83" s="1"/>
  <c r="H127" i="83"/>
  <c r="G127" i="83"/>
  <c r="AE127" i="83" s="1"/>
  <c r="F127" i="83"/>
  <c r="AD127" i="83" s="1"/>
  <c r="E127" i="83"/>
  <c r="D127" i="83"/>
  <c r="H126" i="83"/>
  <c r="G126" i="83"/>
  <c r="AE126" i="83" s="1"/>
  <c r="F126" i="83"/>
  <c r="AD126" i="83" s="1"/>
  <c r="E126" i="83"/>
  <c r="AC126" i="83" s="1"/>
  <c r="D126" i="83"/>
  <c r="H125" i="83"/>
  <c r="G125" i="83"/>
  <c r="AE125" i="83" s="1"/>
  <c r="F125" i="83"/>
  <c r="AD125" i="83" s="1"/>
  <c r="E125" i="83"/>
  <c r="D125" i="83"/>
  <c r="H124" i="83"/>
  <c r="G124" i="83"/>
  <c r="AE124" i="83" s="1"/>
  <c r="F124" i="83"/>
  <c r="E124" i="83"/>
  <c r="AC124" i="83" s="1"/>
  <c r="D124" i="83"/>
  <c r="H123" i="83"/>
  <c r="G123" i="83"/>
  <c r="AE123" i="83" s="1"/>
  <c r="F123" i="83"/>
  <c r="E123" i="83"/>
  <c r="D123" i="83"/>
  <c r="AB123" i="83" s="1"/>
  <c r="H122" i="83"/>
  <c r="G122" i="83"/>
  <c r="AE122" i="83" s="1"/>
  <c r="F122" i="83"/>
  <c r="AD122" i="83" s="1"/>
  <c r="E122" i="83"/>
  <c r="AC122" i="83" s="1"/>
  <c r="D122" i="83"/>
  <c r="H121" i="83"/>
  <c r="G121" i="83"/>
  <c r="F121" i="83"/>
  <c r="AD121" i="83" s="1"/>
  <c r="E121" i="83"/>
  <c r="D121" i="83"/>
  <c r="AB121" i="83" s="1"/>
  <c r="H120" i="83"/>
  <c r="G120" i="83"/>
  <c r="AE120" i="83" s="1"/>
  <c r="F120" i="83"/>
  <c r="E120" i="83"/>
  <c r="D120" i="83"/>
  <c r="H119" i="83"/>
  <c r="G119" i="83"/>
  <c r="AE119" i="83" s="1"/>
  <c r="F119" i="83"/>
  <c r="E119" i="83"/>
  <c r="AC119" i="83" s="1"/>
  <c r="D119" i="83"/>
  <c r="AB119" i="83" s="1"/>
  <c r="H118" i="83"/>
  <c r="G118" i="83"/>
  <c r="AE118" i="83" s="1"/>
  <c r="F118" i="83"/>
  <c r="AD118" i="83" s="1"/>
  <c r="E118" i="83"/>
  <c r="D118" i="83"/>
  <c r="H117" i="83"/>
  <c r="G117" i="83"/>
  <c r="F117" i="83"/>
  <c r="AD117" i="83" s="1"/>
  <c r="E117" i="83"/>
  <c r="D117" i="83"/>
  <c r="I114" i="83"/>
  <c r="S114" i="83"/>
  <c r="I7" i="83"/>
  <c r="AD100" i="83"/>
  <c r="AC100" i="83"/>
  <c r="AB100" i="83"/>
  <c r="AA100" i="83"/>
  <c r="Z100" i="83"/>
  <c r="AD98" i="83"/>
  <c r="AC98" i="83"/>
  <c r="AB98" i="83"/>
  <c r="AA98" i="83"/>
  <c r="Z98" i="83"/>
  <c r="AD97" i="83"/>
  <c r="AC97" i="83"/>
  <c r="AB97" i="83"/>
  <c r="AA97" i="83"/>
  <c r="Z97" i="83"/>
  <c r="AD96" i="83"/>
  <c r="AC96" i="83"/>
  <c r="AB96" i="83"/>
  <c r="AA96" i="83"/>
  <c r="Z96" i="83"/>
  <c r="AD95" i="83"/>
  <c r="AC95" i="83"/>
  <c r="AB95" i="83"/>
  <c r="AA95" i="83"/>
  <c r="Z95" i="83"/>
  <c r="AD94" i="83"/>
  <c r="AC94" i="83"/>
  <c r="AB94" i="83"/>
  <c r="AA94" i="83"/>
  <c r="Z94" i="83"/>
  <c r="AD93" i="83"/>
  <c r="AC93" i="83"/>
  <c r="AB93" i="83"/>
  <c r="AA93" i="83"/>
  <c r="Z93" i="83"/>
  <c r="AD92" i="83"/>
  <c r="AC92" i="83"/>
  <c r="AB92" i="83"/>
  <c r="AA92" i="83"/>
  <c r="Z92" i="83"/>
  <c r="AD91" i="83"/>
  <c r="AC91" i="83"/>
  <c r="AA91" i="83"/>
  <c r="Z91" i="83"/>
  <c r="AD90" i="83"/>
  <c r="AC90" i="83"/>
  <c r="AB90" i="83"/>
  <c r="AA90" i="83"/>
  <c r="Z90" i="83"/>
  <c r="AD89" i="83"/>
  <c r="AC89" i="83"/>
  <c r="AB89" i="83"/>
  <c r="AA89" i="83"/>
  <c r="Z89" i="83"/>
  <c r="AD88" i="83"/>
  <c r="AC88" i="83"/>
  <c r="AB88" i="83"/>
  <c r="AA88" i="83"/>
  <c r="Z88" i="83"/>
  <c r="AD87" i="83"/>
  <c r="AC87" i="83"/>
  <c r="AB87" i="83"/>
  <c r="AA87" i="83"/>
  <c r="Z87" i="83"/>
  <c r="AD86" i="83"/>
  <c r="AC86" i="83"/>
  <c r="AB86" i="83"/>
  <c r="AA86" i="83"/>
  <c r="Z86" i="83"/>
  <c r="AD85" i="83"/>
  <c r="AC85" i="83"/>
  <c r="AB85" i="83"/>
  <c r="AA85" i="83"/>
  <c r="Z85" i="83"/>
  <c r="AD84" i="83"/>
  <c r="AC84" i="83"/>
  <c r="AB84" i="83"/>
  <c r="AA84" i="83"/>
  <c r="Z84" i="83"/>
  <c r="AD83" i="83"/>
  <c r="AC83" i="83"/>
  <c r="AB83" i="83"/>
  <c r="AA83" i="83"/>
  <c r="Z83" i="83"/>
  <c r="AD82" i="83"/>
  <c r="AC82" i="83"/>
  <c r="AB82" i="83"/>
  <c r="AA82" i="83"/>
  <c r="Z82" i="83"/>
  <c r="AD81" i="83"/>
  <c r="AC81" i="83"/>
  <c r="AB81" i="83"/>
  <c r="AA81" i="83"/>
  <c r="Z81" i="83"/>
  <c r="AD80" i="83"/>
  <c r="AC80" i="83"/>
  <c r="AB80" i="83"/>
  <c r="AA80" i="83"/>
  <c r="Z80" i="83"/>
  <c r="AD79" i="83"/>
  <c r="AC79" i="83"/>
  <c r="AB79" i="83"/>
  <c r="AA79" i="83"/>
  <c r="Z79" i="83"/>
  <c r="AD78" i="83"/>
  <c r="AC78" i="83"/>
  <c r="AB78" i="83"/>
  <c r="AA78" i="83"/>
  <c r="Z78" i="83"/>
  <c r="AD77" i="83"/>
  <c r="AC77" i="83"/>
  <c r="AB77" i="83"/>
  <c r="AA77" i="83"/>
  <c r="Z77" i="83"/>
  <c r="Y2" i="83"/>
  <c r="AH9" i="83"/>
  <c r="Z1" i="69"/>
  <c r="AR37" i="83"/>
  <c r="AQ37" i="83"/>
  <c r="AP37" i="83"/>
  <c r="AO37" i="83"/>
  <c r="AN37" i="83"/>
  <c r="AM37" i="83"/>
  <c r="S7" i="83"/>
  <c r="Z1" i="67"/>
  <c r="B5" i="67" s="1"/>
  <c r="BN37" i="69"/>
  <c r="BO37" i="69"/>
  <c r="BP37" i="69"/>
  <c r="BQ37" i="69"/>
  <c r="BM37" i="69"/>
  <c r="BI37" i="69"/>
  <c r="BJ37" i="69"/>
  <c r="BK37" i="69"/>
  <c r="BL37" i="69"/>
  <c r="BH37" i="69"/>
  <c r="BD37" i="69"/>
  <c r="BE37" i="69"/>
  <c r="BF37" i="69"/>
  <c r="BG37" i="69"/>
  <c r="BC37" i="69"/>
  <c r="AY37" i="69"/>
  <c r="AZ37" i="69"/>
  <c r="BA37" i="69"/>
  <c r="BB37" i="69"/>
  <c r="AX37" i="69"/>
  <c r="AT37" i="69"/>
  <c r="AU37" i="69"/>
  <c r="AV37" i="69"/>
  <c r="AW37" i="69"/>
  <c r="AS37" i="69"/>
  <c r="AR37" i="69"/>
  <c r="AN37" i="69"/>
  <c r="AO37" i="69"/>
  <c r="AP37" i="69"/>
  <c r="AQ37" i="69"/>
  <c r="AM37" i="69"/>
  <c r="AH9" i="69"/>
  <c r="S7" i="69"/>
  <c r="I7" i="69"/>
  <c r="AL5" i="69" s="1"/>
  <c r="AR37" i="68"/>
  <c r="AQ37" i="68"/>
  <c r="AP37" i="68"/>
  <c r="AO37" i="68"/>
  <c r="AN37" i="68"/>
  <c r="AM37" i="68"/>
  <c r="AH9" i="68"/>
  <c r="Y2" i="68"/>
  <c r="Z1" i="68"/>
  <c r="B111" i="68" s="1"/>
  <c r="AO33" i="68"/>
  <c r="AN33" i="68"/>
  <c r="AM33" i="68"/>
  <c r="AL33" i="68"/>
  <c r="AO31" i="68"/>
  <c r="AN31" i="68"/>
  <c r="AM31" i="68"/>
  <c r="AL31" i="68"/>
  <c r="AO30" i="68"/>
  <c r="AN30" i="68"/>
  <c r="AM30" i="68"/>
  <c r="AL30" i="68"/>
  <c r="AO29" i="68"/>
  <c r="AN29" i="68"/>
  <c r="AM29" i="68"/>
  <c r="AL29" i="68"/>
  <c r="AO28" i="68"/>
  <c r="AN28" i="68"/>
  <c r="AM28" i="68"/>
  <c r="AL28" i="68"/>
  <c r="AO27" i="68"/>
  <c r="AN27" i="68"/>
  <c r="AM27" i="68"/>
  <c r="AL27" i="68"/>
  <c r="AO26" i="68"/>
  <c r="AN26" i="68"/>
  <c r="AM26" i="68"/>
  <c r="AL26" i="68"/>
  <c r="AO25" i="68"/>
  <c r="AN25" i="68"/>
  <c r="AM25" i="68"/>
  <c r="AL25" i="68"/>
  <c r="AO24" i="68"/>
  <c r="AN24" i="68"/>
  <c r="AM24" i="68"/>
  <c r="AL24" i="68"/>
  <c r="AO23" i="68"/>
  <c r="AN23" i="68"/>
  <c r="AM23" i="68"/>
  <c r="AL23" i="68"/>
  <c r="AO22" i="68"/>
  <c r="AN22" i="68"/>
  <c r="AM22" i="68"/>
  <c r="AL22" i="68"/>
  <c r="AO21" i="68"/>
  <c r="AN21" i="68"/>
  <c r="AM21" i="68"/>
  <c r="AL21" i="68"/>
  <c r="AO20" i="68"/>
  <c r="AN20" i="68"/>
  <c r="AM20" i="68"/>
  <c r="AL20" i="68"/>
  <c r="AO19" i="68"/>
  <c r="AN19" i="68"/>
  <c r="AM19" i="68"/>
  <c r="AL19" i="68"/>
  <c r="AO18" i="68"/>
  <c r="AN18" i="68"/>
  <c r="AM18" i="68"/>
  <c r="AL18" i="68"/>
  <c r="AO17" i="68"/>
  <c r="AN17" i="68"/>
  <c r="AM17" i="68"/>
  <c r="AL17" i="68"/>
  <c r="AO16" i="68"/>
  <c r="AN16" i="68"/>
  <c r="AM16" i="68"/>
  <c r="AL16" i="68"/>
  <c r="AO15" i="68"/>
  <c r="AN15" i="68"/>
  <c r="AM15" i="68"/>
  <c r="AL15" i="68"/>
  <c r="AO14" i="68"/>
  <c r="AN14" i="68"/>
  <c r="AM14" i="68"/>
  <c r="AL14" i="68"/>
  <c r="AO13" i="68"/>
  <c r="AN13" i="68"/>
  <c r="AM13" i="68"/>
  <c r="AL13" i="68"/>
  <c r="AO12" i="68"/>
  <c r="AN12" i="68"/>
  <c r="AM12" i="68"/>
  <c r="AL12" i="68"/>
  <c r="AO11" i="68"/>
  <c r="AN11" i="68"/>
  <c r="AM11" i="68"/>
  <c r="AL11" i="68"/>
  <c r="AO10" i="68"/>
  <c r="AN10" i="68"/>
  <c r="AM10" i="68"/>
  <c r="AL10" i="68"/>
  <c r="S7" i="68"/>
  <c r="I7" i="68"/>
  <c r="AJ171" i="67"/>
  <c r="AI171" i="67"/>
  <c r="AH171" i="67"/>
  <c r="AG171" i="67"/>
  <c r="AF171" i="67"/>
  <c r="AJ169" i="67"/>
  <c r="AI169" i="67"/>
  <c r="AH169" i="67"/>
  <c r="AG169" i="67"/>
  <c r="AF169" i="67"/>
  <c r="AJ168" i="67"/>
  <c r="AI168" i="67"/>
  <c r="AH168" i="67"/>
  <c r="AG168" i="67"/>
  <c r="AF168" i="67"/>
  <c r="AJ167" i="67"/>
  <c r="AI167" i="67"/>
  <c r="AH167" i="67"/>
  <c r="AG167" i="67"/>
  <c r="AF167" i="67"/>
  <c r="AJ166" i="67"/>
  <c r="AD166" i="67" s="1"/>
  <c r="AI166" i="67"/>
  <c r="AH166" i="67"/>
  <c r="AG166" i="67"/>
  <c r="AF166" i="67"/>
  <c r="AJ165" i="67"/>
  <c r="AI165" i="67"/>
  <c r="AH165" i="67"/>
  <c r="AG165" i="67"/>
  <c r="AF165" i="67"/>
  <c r="AJ164" i="67"/>
  <c r="AD164" i="67" s="1"/>
  <c r="AI164" i="67"/>
  <c r="AH164" i="67"/>
  <c r="AG164" i="67"/>
  <c r="AF164" i="67"/>
  <c r="AJ163" i="67"/>
  <c r="AI163" i="67"/>
  <c r="AH163" i="67"/>
  <c r="AG163" i="67"/>
  <c r="AF163" i="67"/>
  <c r="AJ162" i="67"/>
  <c r="AD162" i="67" s="1"/>
  <c r="AI162" i="67"/>
  <c r="AC162" i="67" s="1"/>
  <c r="AG162" i="67"/>
  <c r="AA162" i="67" s="1"/>
  <c r="AF162" i="67"/>
  <c r="AJ161" i="67"/>
  <c r="AI161" i="67"/>
  <c r="AH161" i="67"/>
  <c r="AG161" i="67"/>
  <c r="AF161" i="67"/>
  <c r="AJ160" i="67"/>
  <c r="AI160" i="67"/>
  <c r="AH160" i="67"/>
  <c r="AG160" i="67"/>
  <c r="AF160" i="67"/>
  <c r="AJ159" i="67"/>
  <c r="AI159" i="67"/>
  <c r="AH159" i="67"/>
  <c r="AG159" i="67"/>
  <c r="AF159" i="67"/>
  <c r="AJ158" i="67"/>
  <c r="AI158" i="67"/>
  <c r="AH158" i="67"/>
  <c r="AG158" i="67"/>
  <c r="AF158" i="67"/>
  <c r="AJ157" i="67"/>
  <c r="AI157" i="67"/>
  <c r="AH157" i="67"/>
  <c r="AG157" i="67"/>
  <c r="AF157" i="67"/>
  <c r="AJ156" i="67"/>
  <c r="AI156" i="67"/>
  <c r="AH156" i="67"/>
  <c r="AG156" i="67"/>
  <c r="AF156" i="67"/>
  <c r="AJ155" i="67"/>
  <c r="AI155" i="67"/>
  <c r="AH155" i="67"/>
  <c r="AG155" i="67"/>
  <c r="AF155" i="67"/>
  <c r="AJ154" i="67"/>
  <c r="AD154" i="67" s="1"/>
  <c r="AI154" i="67"/>
  <c r="AC154" i="67" s="1"/>
  <c r="AH154" i="67"/>
  <c r="AB154" i="67" s="1"/>
  <c r="AG154" i="67"/>
  <c r="AA154" i="67" s="1"/>
  <c r="AF154" i="67"/>
  <c r="AJ153" i="67"/>
  <c r="AD153" i="67" s="1"/>
  <c r="AI153" i="67"/>
  <c r="AH153" i="67"/>
  <c r="AG153" i="67"/>
  <c r="AA153" i="67" s="1"/>
  <c r="AF153" i="67"/>
  <c r="AJ152" i="67"/>
  <c r="AI152" i="67"/>
  <c r="AH152" i="67"/>
  <c r="AG152" i="67"/>
  <c r="AF152" i="67"/>
  <c r="AJ151" i="67"/>
  <c r="AD151" i="67" s="1"/>
  <c r="AI151" i="67"/>
  <c r="AH151" i="67"/>
  <c r="AG151" i="67"/>
  <c r="AF151" i="67"/>
  <c r="AJ150" i="67"/>
  <c r="AI150" i="67"/>
  <c r="AH150" i="67"/>
  <c r="AG150" i="67"/>
  <c r="AF150" i="67"/>
  <c r="AJ149" i="67"/>
  <c r="AD149" i="67" s="1"/>
  <c r="AI149" i="67"/>
  <c r="AC149" i="67" s="1"/>
  <c r="AH149" i="67"/>
  <c r="AB149" i="67" s="1"/>
  <c r="AG149" i="67"/>
  <c r="AA149" i="67" s="1"/>
  <c r="AF149" i="67"/>
  <c r="AJ148" i="67"/>
  <c r="AI148" i="67"/>
  <c r="AC148" i="67" s="1"/>
  <c r="AH148" i="67"/>
  <c r="AB148" i="67" s="1"/>
  <c r="AG148" i="67"/>
  <c r="AA148" i="67" s="1"/>
  <c r="AF148" i="67"/>
  <c r="AD171" i="67"/>
  <c r="AC171" i="67"/>
  <c r="AB171" i="67"/>
  <c r="AA171" i="67"/>
  <c r="Z171" i="67"/>
  <c r="BW39" i="67"/>
  <c r="BV39" i="67"/>
  <c r="BU39" i="67"/>
  <c r="BT39" i="67"/>
  <c r="BS39" i="67"/>
  <c r="BQ39" i="67"/>
  <c r="BP39" i="67"/>
  <c r="BO39" i="67"/>
  <c r="BN39" i="67"/>
  <c r="BM39" i="67"/>
  <c r="BL39" i="67"/>
  <c r="BK39" i="67"/>
  <c r="BJ39" i="67"/>
  <c r="BI39" i="67"/>
  <c r="BH39" i="67"/>
  <c r="BG39" i="67"/>
  <c r="BF39" i="67"/>
  <c r="BE39" i="67"/>
  <c r="BD39" i="67"/>
  <c r="BC39" i="67"/>
  <c r="BB39" i="67"/>
  <c r="BA39" i="67"/>
  <c r="AZ39" i="67"/>
  <c r="AY39" i="67"/>
  <c r="AX39" i="67"/>
  <c r="AV39" i="67"/>
  <c r="AU39" i="67"/>
  <c r="AT39" i="67"/>
  <c r="AS39" i="67"/>
  <c r="AR39" i="67"/>
  <c r="AQ39" i="67"/>
  <c r="AP39" i="67"/>
  <c r="AO39" i="67"/>
  <c r="AN39" i="67"/>
  <c r="AM39" i="67"/>
  <c r="AY37" i="67"/>
  <c r="AZ37" i="67"/>
  <c r="BA37" i="67"/>
  <c r="BB37" i="67"/>
  <c r="AX37" i="67"/>
  <c r="AT37" i="67"/>
  <c r="AU37" i="67"/>
  <c r="AV37" i="67"/>
  <c r="AW37" i="67"/>
  <c r="AS37" i="67"/>
  <c r="BC37" i="67"/>
  <c r="AD134" i="67"/>
  <c r="AD135" i="67"/>
  <c r="AC135" i="67"/>
  <c r="AB135" i="67"/>
  <c r="AA135" i="67"/>
  <c r="Z135" i="67"/>
  <c r="AD133" i="67"/>
  <c r="AC133" i="67"/>
  <c r="AB133" i="67"/>
  <c r="AA133" i="67"/>
  <c r="Z133" i="67"/>
  <c r="AD132" i="67"/>
  <c r="AC132" i="67"/>
  <c r="AB132" i="67"/>
  <c r="AA132" i="67"/>
  <c r="Z132" i="67"/>
  <c r="AD131" i="67"/>
  <c r="AC131" i="67"/>
  <c r="AB131" i="67"/>
  <c r="AA131" i="67"/>
  <c r="Z131" i="67"/>
  <c r="AD130" i="67"/>
  <c r="AC130" i="67"/>
  <c r="AB130" i="67"/>
  <c r="AA130" i="67"/>
  <c r="Z130" i="67"/>
  <c r="AD129" i="67"/>
  <c r="AC129" i="67"/>
  <c r="AB129" i="67"/>
  <c r="AA129" i="67"/>
  <c r="Z129" i="67"/>
  <c r="AD128" i="67"/>
  <c r="AC128" i="67"/>
  <c r="AB128" i="67"/>
  <c r="AA128" i="67"/>
  <c r="Z128" i="67"/>
  <c r="AD127" i="67"/>
  <c r="AC127" i="67"/>
  <c r="AB127" i="67"/>
  <c r="AA127" i="67"/>
  <c r="Z127" i="67"/>
  <c r="AD126" i="67"/>
  <c r="AC126" i="67"/>
  <c r="AA126" i="67"/>
  <c r="Z126" i="67"/>
  <c r="AD125" i="67"/>
  <c r="AC125" i="67"/>
  <c r="AB125" i="67"/>
  <c r="AA125" i="67"/>
  <c r="Z125" i="67"/>
  <c r="AD124" i="67"/>
  <c r="AC124" i="67"/>
  <c r="AB124" i="67"/>
  <c r="AA124" i="67"/>
  <c r="Z124" i="67"/>
  <c r="AD123" i="67"/>
  <c r="AC123" i="67"/>
  <c r="AB123" i="67"/>
  <c r="AA123" i="67"/>
  <c r="Z123" i="67"/>
  <c r="AD122" i="67"/>
  <c r="AC122" i="67"/>
  <c r="AB122" i="67"/>
  <c r="AA122" i="67"/>
  <c r="Z122" i="67"/>
  <c r="AD121" i="67"/>
  <c r="AC121" i="67"/>
  <c r="AB121" i="67"/>
  <c r="AA121" i="67"/>
  <c r="Z121" i="67"/>
  <c r="AD120" i="67"/>
  <c r="AC120" i="67"/>
  <c r="AB120" i="67"/>
  <c r="AA120" i="67"/>
  <c r="Z120" i="67"/>
  <c r="AD119" i="67"/>
  <c r="AC119" i="67"/>
  <c r="AB119" i="67"/>
  <c r="AA119" i="67"/>
  <c r="Z119" i="67"/>
  <c r="AD118" i="67"/>
  <c r="AC118" i="67"/>
  <c r="AB118" i="67"/>
  <c r="AA118" i="67"/>
  <c r="Z118" i="67"/>
  <c r="AD117" i="67"/>
  <c r="AC117" i="67"/>
  <c r="AB117" i="67"/>
  <c r="AA117" i="67"/>
  <c r="Z117" i="67"/>
  <c r="AD116" i="67"/>
  <c r="AC116" i="67"/>
  <c r="AB116" i="67"/>
  <c r="AA116" i="67"/>
  <c r="Z116" i="67"/>
  <c r="AD115" i="67"/>
  <c r="AC115" i="67"/>
  <c r="AB115" i="67"/>
  <c r="AA115" i="67"/>
  <c r="Z115" i="67"/>
  <c r="AD114" i="67"/>
  <c r="AC114" i="67"/>
  <c r="AB114" i="67"/>
  <c r="AA114" i="67"/>
  <c r="Z114" i="67"/>
  <c r="AD113" i="67"/>
  <c r="AC113" i="67"/>
  <c r="AB113" i="67"/>
  <c r="AA113" i="67"/>
  <c r="Z113" i="67"/>
  <c r="AD112" i="67"/>
  <c r="AC112" i="67"/>
  <c r="AB112" i="67"/>
  <c r="AA112" i="67"/>
  <c r="Z112" i="67"/>
  <c r="Y205" i="83" l="1"/>
  <c r="B241" i="83"/>
  <c r="Y197" i="83"/>
  <c r="B233" i="83"/>
  <c r="Y189" i="83"/>
  <c r="B225" i="83"/>
  <c r="Y204" i="83"/>
  <c r="B240" i="83"/>
  <c r="Y196" i="83"/>
  <c r="B232" i="83"/>
  <c r="Y188" i="83"/>
  <c r="B224" i="83"/>
  <c r="Y203" i="83"/>
  <c r="B239" i="83"/>
  <c r="Y195" i="83"/>
  <c r="B231" i="83"/>
  <c r="Y187" i="83"/>
  <c r="B223" i="83"/>
  <c r="Y202" i="83"/>
  <c r="B238" i="83"/>
  <c r="Y194" i="83"/>
  <c r="B230" i="83"/>
  <c r="Y186" i="83"/>
  <c r="B222" i="83"/>
  <c r="Y201" i="83"/>
  <c r="B237" i="83"/>
  <c r="Y193" i="83"/>
  <c r="B229" i="83"/>
  <c r="Y185" i="83"/>
  <c r="B221" i="83"/>
  <c r="Y220" i="83"/>
  <c r="Y200" i="83"/>
  <c r="B236" i="83"/>
  <c r="Y192" i="83"/>
  <c r="B228" i="83"/>
  <c r="Y207" i="83"/>
  <c r="B243" i="83"/>
  <c r="Y243" i="83" s="1"/>
  <c r="Y199" i="83"/>
  <c r="B235" i="83"/>
  <c r="Y191" i="83"/>
  <c r="B227" i="83"/>
  <c r="Y206" i="83"/>
  <c r="B242" i="83"/>
  <c r="Y242" i="83" s="1"/>
  <c r="Y198" i="83"/>
  <c r="B234" i="83"/>
  <c r="Y190" i="83"/>
  <c r="B226" i="83"/>
  <c r="AR295" i="83"/>
  <c r="Y184" i="83"/>
  <c r="X64" i="76"/>
  <c r="G64" i="76"/>
  <c r="F64" i="76"/>
  <c r="H64" i="76"/>
  <c r="V64" i="76"/>
  <c r="O64" i="76"/>
  <c r="W64" i="76"/>
  <c r="E64" i="76"/>
  <c r="S64" i="76"/>
  <c r="N64" i="76"/>
  <c r="P64" i="76"/>
  <c r="J64" i="76"/>
  <c r="AA64" i="76"/>
  <c r="Q64" i="76"/>
  <c r="I64" i="76"/>
  <c r="R64" i="76"/>
  <c r="U64" i="76"/>
  <c r="Y64" i="76"/>
  <c r="L64" i="76"/>
  <c r="D64" i="76"/>
  <c r="K64" i="76"/>
  <c r="T64" i="76"/>
  <c r="M64" i="76"/>
  <c r="Z64" i="76"/>
  <c r="AR304" i="83"/>
  <c r="AR308" i="83"/>
  <c r="AO170" i="68"/>
  <c r="AO169" i="68"/>
  <c r="AO152" i="68"/>
  <c r="AO153" i="68"/>
  <c r="AO162" i="68"/>
  <c r="AO147" i="68"/>
  <c r="AO160" i="68"/>
  <c r="AO163" i="68"/>
  <c r="AO155" i="68"/>
  <c r="AO159" i="68"/>
  <c r="AO165" i="68"/>
  <c r="AO156" i="68"/>
  <c r="AO154" i="68"/>
  <c r="AO150" i="68"/>
  <c r="AO164" i="68"/>
  <c r="AO151" i="68"/>
  <c r="AO157" i="68"/>
  <c r="AO168" i="68"/>
  <c r="AO149" i="68"/>
  <c r="AO158" i="68"/>
  <c r="AO166" i="68"/>
  <c r="AO148" i="68"/>
  <c r="AO167" i="68"/>
  <c r="AO161" i="68"/>
  <c r="AR300" i="83"/>
  <c r="AR291" i="83"/>
  <c r="AQ169" i="68"/>
  <c r="AQ170" i="68"/>
  <c r="AQ167" i="68"/>
  <c r="AQ161" i="68"/>
  <c r="AQ165" i="68"/>
  <c r="AQ164" i="68"/>
  <c r="AQ150" i="68"/>
  <c r="AQ160" i="68"/>
  <c r="AQ149" i="68"/>
  <c r="AQ158" i="68"/>
  <c r="AQ152" i="68"/>
  <c r="AQ157" i="68"/>
  <c r="AQ153" i="68"/>
  <c r="AQ159" i="68"/>
  <c r="AQ154" i="68"/>
  <c r="AQ156" i="68"/>
  <c r="AQ147" i="68"/>
  <c r="AQ151" i="68"/>
  <c r="AQ155" i="68"/>
  <c r="AQ163" i="68"/>
  <c r="AQ148" i="68"/>
  <c r="AQ166" i="68"/>
  <c r="AQ168" i="68"/>
  <c r="AQ162" i="68"/>
  <c r="AR312" i="83"/>
  <c r="AR307" i="83"/>
  <c r="AR299" i="83"/>
  <c r="AR298" i="83"/>
  <c r="AR305" i="83"/>
  <c r="AR303" i="83"/>
  <c r="AR306" i="83"/>
  <c r="AR293" i="83"/>
  <c r="AR311" i="83"/>
  <c r="AR297" i="83"/>
  <c r="AR302" i="83"/>
  <c r="AM169" i="68"/>
  <c r="AM170" i="68"/>
  <c r="AM147" i="68"/>
  <c r="AM161" i="68"/>
  <c r="AM153" i="68"/>
  <c r="AM163" i="68"/>
  <c r="AM162" i="68"/>
  <c r="AM156" i="68"/>
  <c r="AM165" i="68"/>
  <c r="AM160" i="68"/>
  <c r="AM149" i="68"/>
  <c r="AM166" i="68"/>
  <c r="AM157" i="68"/>
  <c r="AM155" i="68"/>
  <c r="AM154" i="68"/>
  <c r="AM168" i="68"/>
  <c r="AM164" i="68"/>
  <c r="AM150" i="68"/>
  <c r="AM167" i="68"/>
  <c r="AM148" i="68"/>
  <c r="AM152" i="68"/>
  <c r="AM151" i="68"/>
  <c r="AM159" i="68"/>
  <c r="AM158" i="68"/>
  <c r="B216" i="69"/>
  <c r="AR292" i="83"/>
  <c r="AR301" i="83"/>
  <c r="AR310" i="83"/>
  <c r="AP169" i="68"/>
  <c r="AP167" i="68"/>
  <c r="AP168" i="68"/>
  <c r="AP148" i="68"/>
  <c r="AP164" i="68"/>
  <c r="AP159" i="68"/>
  <c r="AP160" i="68"/>
  <c r="AP151" i="68"/>
  <c r="AP155" i="68"/>
  <c r="AP158" i="68"/>
  <c r="AP150" i="68"/>
  <c r="AP153" i="68"/>
  <c r="AP147" i="68"/>
  <c r="AP165" i="68"/>
  <c r="AP156" i="68"/>
  <c r="AP161" i="68"/>
  <c r="AP154" i="68"/>
  <c r="AP157" i="68"/>
  <c r="AP163" i="68"/>
  <c r="AP170" i="68"/>
  <c r="AP149" i="68"/>
  <c r="AP162" i="68"/>
  <c r="AP166" i="68"/>
  <c r="AP152" i="68"/>
  <c r="AN170" i="68"/>
  <c r="AN169" i="68"/>
  <c r="AN160" i="68"/>
  <c r="AN161" i="68"/>
  <c r="AN154" i="68"/>
  <c r="AN153" i="68"/>
  <c r="AN150" i="68"/>
  <c r="AN148" i="68"/>
  <c r="AN157" i="68"/>
  <c r="AN156" i="68"/>
  <c r="AN166" i="68"/>
  <c r="AN163" i="68"/>
  <c r="AN155" i="68"/>
  <c r="AN152" i="68"/>
  <c r="AN151" i="68"/>
  <c r="AN168" i="68"/>
  <c r="AN149" i="68"/>
  <c r="AN162" i="68"/>
  <c r="AN158" i="68"/>
  <c r="AN147" i="68"/>
  <c r="AN167" i="68"/>
  <c r="AN164" i="68"/>
  <c r="AN165" i="68"/>
  <c r="AN159" i="68"/>
  <c r="AR296" i="83"/>
  <c r="AR309" i="83"/>
  <c r="AP10" i="68"/>
  <c r="I10" i="68" s="1"/>
  <c r="AC149" i="68"/>
  <c r="AC150" i="68"/>
  <c r="T264" i="83"/>
  <c r="T268" i="83"/>
  <c r="T272" i="83"/>
  <c r="T276" i="83"/>
  <c r="T280" i="83"/>
  <c r="T117" i="83"/>
  <c r="T136" i="83"/>
  <c r="T132" i="83"/>
  <c r="T128" i="83"/>
  <c r="T124" i="83"/>
  <c r="T120" i="83"/>
  <c r="T262" i="83"/>
  <c r="T274" i="83"/>
  <c r="T278" i="83"/>
  <c r="T138" i="83"/>
  <c r="T130" i="83"/>
  <c r="T122" i="83"/>
  <c r="T261" i="83"/>
  <c r="T265" i="83"/>
  <c r="T269" i="83"/>
  <c r="T273" i="83"/>
  <c r="T277" i="83"/>
  <c r="T281" i="83"/>
  <c r="T135" i="83"/>
  <c r="T131" i="83"/>
  <c r="T127" i="83"/>
  <c r="T123" i="83"/>
  <c r="T119" i="83"/>
  <c r="T266" i="83"/>
  <c r="T270" i="83"/>
  <c r="T134" i="83"/>
  <c r="T126" i="83"/>
  <c r="T118" i="83"/>
  <c r="T263" i="83"/>
  <c r="T267" i="83"/>
  <c r="T271" i="83"/>
  <c r="T275" i="83"/>
  <c r="T279" i="83"/>
  <c r="T260" i="83"/>
  <c r="T137" i="83"/>
  <c r="T133" i="83"/>
  <c r="T129" i="83"/>
  <c r="T125" i="83"/>
  <c r="T121" i="83"/>
  <c r="AC43" i="83"/>
  <c r="AC175" i="83"/>
  <c r="AC176" i="83"/>
  <c r="AC44" i="83"/>
  <c r="AF118" i="83"/>
  <c r="Z118" i="83"/>
  <c r="AF130" i="83"/>
  <c r="Z130" i="83"/>
  <c r="AF134" i="83"/>
  <c r="AA134" i="83"/>
  <c r="Z134" i="83"/>
  <c r="AF138" i="83"/>
  <c r="Z138" i="83"/>
  <c r="Z120" i="83"/>
  <c r="Z124" i="83"/>
  <c r="AF128" i="83"/>
  <c r="Z128" i="83"/>
  <c r="AF132" i="83"/>
  <c r="Z132" i="83"/>
  <c r="AF136" i="83"/>
  <c r="Z136" i="83"/>
  <c r="AF117" i="83"/>
  <c r="Z117" i="83"/>
  <c r="AF121" i="83"/>
  <c r="Z121" i="83"/>
  <c r="AF125" i="83"/>
  <c r="Z125" i="83"/>
  <c r="AF129" i="83"/>
  <c r="AA129" i="83"/>
  <c r="Z129" i="83"/>
  <c r="AA133" i="83"/>
  <c r="Z133" i="83"/>
  <c r="Z137" i="83"/>
  <c r="AF122" i="83"/>
  <c r="Z122" i="83"/>
  <c r="AF126" i="83"/>
  <c r="Z126" i="83"/>
  <c r="Z119" i="83"/>
  <c r="Z123" i="83"/>
  <c r="Z127" i="83"/>
  <c r="Z131" i="83"/>
  <c r="AF135" i="83"/>
  <c r="Z135" i="83"/>
  <c r="B5" i="69"/>
  <c r="B144" i="69"/>
  <c r="B252" i="69"/>
  <c r="B108" i="69"/>
  <c r="B180" i="69"/>
  <c r="AC43" i="68"/>
  <c r="AC44" i="68"/>
  <c r="AP11" i="68"/>
  <c r="I11" i="68" s="1"/>
  <c r="AP12" i="68"/>
  <c r="I12" i="68" s="1"/>
  <c r="AP13" i="68"/>
  <c r="I13" i="68" s="1"/>
  <c r="AP14" i="68"/>
  <c r="I14" i="68" s="1"/>
  <c r="AP15" i="68"/>
  <c r="I15" i="68" s="1"/>
  <c r="AP16" i="68"/>
  <c r="I16" i="68" s="1"/>
  <c r="AP17" i="68"/>
  <c r="I17" i="68" s="1"/>
  <c r="AP18" i="68"/>
  <c r="I18" i="68" s="1"/>
  <c r="AP19" i="68"/>
  <c r="I19" i="68" s="1"/>
  <c r="AP20" i="68"/>
  <c r="I20" i="68" s="1"/>
  <c r="AP21" i="68"/>
  <c r="I21" i="68" s="1"/>
  <c r="AP22" i="68"/>
  <c r="I22" i="68" s="1"/>
  <c r="AP23" i="68"/>
  <c r="I23" i="68" s="1"/>
  <c r="AP24" i="68"/>
  <c r="I24" i="68" s="1"/>
  <c r="AP25" i="68"/>
  <c r="I25" i="68" s="1"/>
  <c r="AP26" i="68"/>
  <c r="I26" i="68" s="1"/>
  <c r="AP27" i="68"/>
  <c r="I27" i="68" s="1"/>
  <c r="AP28" i="68"/>
  <c r="I28" i="68" s="1"/>
  <c r="AP29" i="68"/>
  <c r="I29" i="68" s="1"/>
  <c r="AP30" i="68"/>
  <c r="I30" i="68" s="1"/>
  <c r="AP31" i="68"/>
  <c r="I31" i="68" s="1"/>
  <c r="AP33" i="68"/>
  <c r="I33" i="68" s="1"/>
  <c r="AL111" i="68"/>
  <c r="B5" i="68"/>
  <c r="AL5" i="68" s="1"/>
  <c r="O133" i="83"/>
  <c r="T63" i="76" s="1"/>
  <c r="AF133" i="83"/>
  <c r="O137" i="83"/>
  <c r="X63" i="76" s="1"/>
  <c r="AF137" i="83"/>
  <c r="O119" i="83"/>
  <c r="F63" i="76" s="1"/>
  <c r="AF119" i="83"/>
  <c r="O123" i="83"/>
  <c r="AF123" i="83"/>
  <c r="O127" i="83"/>
  <c r="AF127" i="83"/>
  <c r="O131" i="83"/>
  <c r="AF131" i="83"/>
  <c r="O120" i="83"/>
  <c r="G63" i="76" s="1"/>
  <c r="AF120" i="83"/>
  <c r="O124" i="83"/>
  <c r="K63" i="76" s="1"/>
  <c r="AF124" i="83"/>
  <c r="N128" i="83"/>
  <c r="AT128" i="83" s="1"/>
  <c r="AE128" i="83"/>
  <c r="N132" i="83"/>
  <c r="AT132" i="83" s="1"/>
  <c r="AE132" i="83"/>
  <c r="N130" i="83"/>
  <c r="AT130" i="83" s="1"/>
  <c r="AE130" i="83"/>
  <c r="N140" i="83"/>
  <c r="AT140" i="83" s="1"/>
  <c r="AE140" i="83"/>
  <c r="N117" i="83"/>
  <c r="AT117" i="83" s="1"/>
  <c r="AE117" i="83"/>
  <c r="N121" i="83"/>
  <c r="AT121" i="83" s="1"/>
  <c r="AE121" i="83"/>
  <c r="N137" i="83"/>
  <c r="AT137" i="83" s="1"/>
  <c r="AE137" i="83"/>
  <c r="M119" i="83"/>
  <c r="AS119" i="83" s="1"/>
  <c r="AD119" i="83"/>
  <c r="M140" i="83"/>
  <c r="AS140" i="83" s="1"/>
  <c r="AD140" i="83"/>
  <c r="M120" i="83"/>
  <c r="AS120" i="83" s="1"/>
  <c r="AD120" i="83"/>
  <c r="M128" i="83"/>
  <c r="AS128" i="83" s="1"/>
  <c r="AD128" i="83"/>
  <c r="M136" i="83"/>
  <c r="AS136" i="83" s="1"/>
  <c r="AD136" i="83"/>
  <c r="M123" i="83"/>
  <c r="AS123" i="83" s="1"/>
  <c r="AD123" i="83"/>
  <c r="M124" i="83"/>
  <c r="AS124" i="83" s="1"/>
  <c r="AD124" i="83"/>
  <c r="M132" i="83"/>
  <c r="AS132" i="83" s="1"/>
  <c r="AD132" i="83"/>
  <c r="L120" i="83"/>
  <c r="AR120" i="83" s="1"/>
  <c r="AC120" i="83"/>
  <c r="L128" i="83"/>
  <c r="AR128" i="83" s="1"/>
  <c r="AC128" i="83"/>
  <c r="L132" i="83"/>
  <c r="AR132" i="83" s="1"/>
  <c r="AC132" i="83"/>
  <c r="L117" i="83"/>
  <c r="AR117" i="83" s="1"/>
  <c r="AC117" i="83"/>
  <c r="L121" i="83"/>
  <c r="AR121" i="83" s="1"/>
  <c r="AC121" i="83"/>
  <c r="L125" i="83"/>
  <c r="AR125" i="83" s="1"/>
  <c r="AC125" i="83"/>
  <c r="L129" i="83"/>
  <c r="AR129" i="83" s="1"/>
  <c r="AC129" i="83"/>
  <c r="L133" i="83"/>
  <c r="AR133" i="83" s="1"/>
  <c r="AC133" i="83"/>
  <c r="L137" i="83"/>
  <c r="AR137" i="83" s="1"/>
  <c r="AC137" i="83"/>
  <c r="L118" i="83"/>
  <c r="AR118" i="83" s="1"/>
  <c r="AC118" i="83"/>
  <c r="L134" i="83"/>
  <c r="AR134" i="83" s="1"/>
  <c r="AC134" i="83"/>
  <c r="L123" i="83"/>
  <c r="AR123" i="83" s="1"/>
  <c r="AC123" i="83"/>
  <c r="L127" i="83"/>
  <c r="AR127" i="83" s="1"/>
  <c r="AC127" i="83"/>
  <c r="L131" i="83"/>
  <c r="AR131" i="83" s="1"/>
  <c r="AC131" i="83"/>
  <c r="L140" i="83"/>
  <c r="AR140" i="83" s="1"/>
  <c r="AC140" i="83"/>
  <c r="K125" i="83"/>
  <c r="AB125" i="83"/>
  <c r="K129" i="83"/>
  <c r="AB129" i="83"/>
  <c r="K133" i="83"/>
  <c r="AB133" i="83"/>
  <c r="K137" i="83"/>
  <c r="AB137" i="83"/>
  <c r="K118" i="83"/>
  <c r="AB118" i="83"/>
  <c r="K122" i="83"/>
  <c r="AB122" i="83"/>
  <c r="K126" i="83"/>
  <c r="AB126" i="83"/>
  <c r="K130" i="83"/>
  <c r="AB130" i="83"/>
  <c r="K134" i="83"/>
  <c r="AB134" i="83"/>
  <c r="K138" i="83"/>
  <c r="AB138" i="83"/>
  <c r="K127" i="83"/>
  <c r="AB127" i="83"/>
  <c r="K131" i="83"/>
  <c r="AB131" i="83"/>
  <c r="K120" i="83"/>
  <c r="AB120" i="83"/>
  <c r="K124" i="83"/>
  <c r="AB124" i="83"/>
  <c r="K132" i="83"/>
  <c r="AB132" i="83"/>
  <c r="K117" i="83"/>
  <c r="AB117" i="83"/>
  <c r="B5" i="83"/>
  <c r="AL255" i="83"/>
  <c r="B112" i="83"/>
  <c r="AL112" i="83" s="1"/>
  <c r="AL5" i="83"/>
  <c r="M135" i="83"/>
  <c r="M127" i="83"/>
  <c r="K121" i="83"/>
  <c r="N133" i="83"/>
  <c r="K128" i="83"/>
  <c r="AL123" i="83"/>
  <c r="AL127" i="83"/>
  <c r="AL135" i="83"/>
  <c r="L135" i="83"/>
  <c r="M130" i="83"/>
  <c r="AS130" i="83" s="1"/>
  <c r="O140" i="83"/>
  <c r="P140" i="83" s="1"/>
  <c r="M126" i="83"/>
  <c r="M133" i="83"/>
  <c r="AM122" i="83"/>
  <c r="K140" i="83"/>
  <c r="M138" i="83"/>
  <c r="K136" i="83"/>
  <c r="N129" i="83"/>
  <c r="M125" i="83"/>
  <c r="L122" i="83"/>
  <c r="L119" i="83"/>
  <c r="N136" i="83"/>
  <c r="M134" i="83"/>
  <c r="L130" i="83"/>
  <c r="N125" i="83"/>
  <c r="AO117" i="83"/>
  <c r="AN118" i="83"/>
  <c r="AO121" i="83"/>
  <c r="AL124" i="83"/>
  <c r="AL128" i="83"/>
  <c r="AN130" i="83"/>
  <c r="AO133" i="83"/>
  <c r="AN134" i="83"/>
  <c r="AL136" i="83"/>
  <c r="AO137" i="83"/>
  <c r="AN138" i="83"/>
  <c r="AL140" i="83"/>
  <c r="M117" i="83"/>
  <c r="AL119" i="83"/>
  <c r="K119" i="83"/>
  <c r="AM118" i="83"/>
  <c r="M137" i="83"/>
  <c r="K135" i="83"/>
  <c r="M129" i="83"/>
  <c r="L126" i="83"/>
  <c r="N124" i="83"/>
  <c r="K123" i="83"/>
  <c r="N120" i="83"/>
  <c r="AM126" i="83"/>
  <c r="AM130" i="83"/>
  <c r="L138" i="83"/>
  <c r="O135" i="83"/>
  <c r="V63" i="76" s="1"/>
  <c r="N134" i="83"/>
  <c r="L124" i="83"/>
  <c r="M122" i="83"/>
  <c r="M121" i="83"/>
  <c r="M118" i="83"/>
  <c r="AL131" i="83"/>
  <c r="AM138" i="83"/>
  <c r="N138" i="83"/>
  <c r="L136" i="83"/>
  <c r="O121" i="83"/>
  <c r="AN117" i="83"/>
  <c r="AO120" i="83"/>
  <c r="AN121" i="83"/>
  <c r="AO124" i="83"/>
  <c r="AN125" i="83"/>
  <c r="AO128" i="83"/>
  <c r="AN129" i="83"/>
  <c r="AO132" i="83"/>
  <c r="AN133" i="83"/>
  <c r="AO136" i="83"/>
  <c r="AN137" i="83"/>
  <c r="AO140" i="83"/>
  <c r="AM119" i="83"/>
  <c r="AM123" i="83"/>
  <c r="AM127" i="83"/>
  <c r="AM134" i="83"/>
  <c r="AM135" i="83"/>
  <c r="O136" i="83"/>
  <c r="O132" i="83"/>
  <c r="O128" i="83"/>
  <c r="O63" i="76" s="1"/>
  <c r="O118" i="83"/>
  <c r="AO118" i="83"/>
  <c r="N119" i="83"/>
  <c r="AN119" i="83"/>
  <c r="O122" i="83"/>
  <c r="AO122" i="83"/>
  <c r="O130" i="83"/>
  <c r="AO130" i="83"/>
  <c r="N135" i="83"/>
  <c r="AN135" i="83"/>
  <c r="O138" i="83"/>
  <c r="AO138" i="83"/>
  <c r="AM120" i="83"/>
  <c r="AM124" i="83"/>
  <c r="AM129" i="83"/>
  <c r="AO119" i="83"/>
  <c r="AO123" i="83"/>
  <c r="AO127" i="83"/>
  <c r="AN128" i="83"/>
  <c r="AN132" i="83"/>
  <c r="AN136" i="83"/>
  <c r="AN140" i="83"/>
  <c r="AN122" i="83"/>
  <c r="N122" i="83"/>
  <c r="O125" i="83"/>
  <c r="AO125" i="83"/>
  <c r="AN126" i="83"/>
  <c r="N126" i="83"/>
  <c r="AO129" i="83"/>
  <c r="O129" i="83"/>
  <c r="AL118" i="83"/>
  <c r="AL120" i="83"/>
  <c r="AL121" i="83"/>
  <c r="AL122" i="83"/>
  <c r="AL125" i="83"/>
  <c r="AL126" i="83"/>
  <c r="AL129" i="83"/>
  <c r="AL130" i="83"/>
  <c r="AL132" i="83"/>
  <c r="AL133" i="83"/>
  <c r="AL134" i="83"/>
  <c r="AL137" i="83"/>
  <c r="AL138" i="83"/>
  <c r="AL117" i="83"/>
  <c r="N123" i="83"/>
  <c r="AN123" i="83"/>
  <c r="O126" i="83"/>
  <c r="AO126" i="83"/>
  <c r="N127" i="83"/>
  <c r="AN127" i="83"/>
  <c r="N131" i="83"/>
  <c r="O134" i="83"/>
  <c r="AO134" i="83"/>
  <c r="AM117" i="83"/>
  <c r="AM121" i="83"/>
  <c r="AM125" i="83"/>
  <c r="AM128" i="83"/>
  <c r="AM132" i="83"/>
  <c r="AM133" i="83"/>
  <c r="AM136" i="83"/>
  <c r="AM137" i="83"/>
  <c r="AM140" i="83"/>
  <c r="AN120" i="83"/>
  <c r="AN124" i="83"/>
  <c r="AO131" i="83"/>
  <c r="AO135" i="83"/>
  <c r="O117" i="83"/>
  <c r="D63" i="76" s="1"/>
  <c r="N118" i="83"/>
  <c r="AH9" i="67"/>
  <c r="BT37" i="67"/>
  <c r="BU37" i="67"/>
  <c r="BV37" i="67"/>
  <c r="BW37" i="67"/>
  <c r="BS37" i="67"/>
  <c r="BN37" i="67"/>
  <c r="BO37" i="67"/>
  <c r="BP37" i="67"/>
  <c r="BQ37" i="67"/>
  <c r="BM37" i="67"/>
  <c r="BI37" i="67"/>
  <c r="BJ37" i="67"/>
  <c r="BK37" i="67"/>
  <c r="BL37" i="67"/>
  <c r="BH37" i="67"/>
  <c r="BD37" i="67"/>
  <c r="BE37" i="67"/>
  <c r="BF37" i="67"/>
  <c r="BG37" i="67"/>
  <c r="AR37" i="67"/>
  <c r="AN37" i="67"/>
  <c r="AO37" i="67"/>
  <c r="AP37" i="67"/>
  <c r="AQ37" i="67"/>
  <c r="AM37" i="67"/>
  <c r="S7" i="67"/>
  <c r="I7" i="67"/>
  <c r="AL5" i="67" s="1"/>
  <c r="Y43" i="66"/>
  <c r="Y226" i="83" l="1"/>
  <c r="Y235" i="83"/>
  <c r="Y222" i="83"/>
  <c r="Y231" i="83"/>
  <c r="Y240" i="83"/>
  <c r="Y234" i="83"/>
  <c r="Y221" i="83"/>
  <c r="Y230" i="83"/>
  <c r="Y239" i="83"/>
  <c r="Y225" i="83"/>
  <c r="Y228" i="83"/>
  <c r="Y229" i="83"/>
  <c r="Y238" i="83"/>
  <c r="Y224" i="83"/>
  <c r="Y233" i="83"/>
  <c r="Y227" i="83"/>
  <c r="Y236" i="83"/>
  <c r="Y237" i="83"/>
  <c r="Y223" i="83"/>
  <c r="Y232" i="83"/>
  <c r="Y241" i="83"/>
  <c r="AA63" i="76"/>
  <c r="U134" i="83"/>
  <c r="U63" i="76"/>
  <c r="U122" i="83"/>
  <c r="I63" i="76"/>
  <c r="U126" i="83"/>
  <c r="M63" i="76"/>
  <c r="U138" i="83"/>
  <c r="Y63" i="76"/>
  <c r="U130" i="83"/>
  <c r="Q63" i="76"/>
  <c r="U132" i="83"/>
  <c r="S63" i="76"/>
  <c r="U121" i="83"/>
  <c r="H63" i="76"/>
  <c r="U131" i="83"/>
  <c r="R63" i="76"/>
  <c r="AH123" i="83"/>
  <c r="J63" i="76"/>
  <c r="U129" i="83"/>
  <c r="P63" i="76"/>
  <c r="U136" i="83"/>
  <c r="W63" i="76"/>
  <c r="U125" i="83"/>
  <c r="L63" i="76"/>
  <c r="U118" i="83"/>
  <c r="E63" i="76"/>
  <c r="U127" i="83"/>
  <c r="N63" i="76"/>
  <c r="AU120" i="83"/>
  <c r="U120" i="83"/>
  <c r="P119" i="83"/>
  <c r="U119" i="83"/>
  <c r="AU133" i="83"/>
  <c r="U133" i="83"/>
  <c r="U117" i="83"/>
  <c r="AH132" i="83"/>
  <c r="U135" i="83"/>
  <c r="P128" i="83"/>
  <c r="U128" i="83"/>
  <c r="AU124" i="83"/>
  <c r="U124" i="83"/>
  <c r="AU123" i="83"/>
  <c r="U123" i="83"/>
  <c r="AU137" i="83"/>
  <c r="U137" i="83"/>
  <c r="AH120" i="83"/>
  <c r="P133" i="83"/>
  <c r="AH124" i="83"/>
  <c r="P123" i="83"/>
  <c r="AU131" i="83"/>
  <c r="AB139" i="83"/>
  <c r="AF139" i="83"/>
  <c r="P131" i="83"/>
  <c r="P137" i="83"/>
  <c r="AH134" i="83"/>
  <c r="AH127" i="83"/>
  <c r="P127" i="83"/>
  <c r="P120" i="83"/>
  <c r="P124" i="83"/>
  <c r="AH119" i="83"/>
  <c r="AU119" i="83"/>
  <c r="AU127" i="83"/>
  <c r="AH130" i="83"/>
  <c r="AE139" i="83"/>
  <c r="AC139" i="83"/>
  <c r="AU128" i="83"/>
  <c r="AW128" i="83" s="1"/>
  <c r="AS121" i="83"/>
  <c r="AT134" i="83"/>
  <c r="AT124" i="83"/>
  <c r="AS137" i="83"/>
  <c r="AR130" i="83"/>
  <c r="AR122" i="83"/>
  <c r="AS138" i="83"/>
  <c r="AS126" i="83"/>
  <c r="AS127" i="83"/>
  <c r="AT135" i="83"/>
  <c r="AR136" i="83"/>
  <c r="AS122" i="83"/>
  <c r="AR126" i="83"/>
  <c r="AS134" i="83"/>
  <c r="AS125" i="83"/>
  <c r="AU140" i="83"/>
  <c r="AV140" i="83" s="1"/>
  <c r="AT133" i="83"/>
  <c r="AS135" i="83"/>
  <c r="AT131" i="83"/>
  <c r="AT118" i="83"/>
  <c r="AU134" i="83"/>
  <c r="AT127" i="83"/>
  <c r="AT123" i="83"/>
  <c r="AT138" i="83"/>
  <c r="AR124" i="83"/>
  <c r="AR138" i="83"/>
  <c r="AT120" i="83"/>
  <c r="AS129" i="83"/>
  <c r="AT136" i="83"/>
  <c r="AT129" i="83"/>
  <c r="AS133" i="83"/>
  <c r="AT126" i="83"/>
  <c r="AT122" i="83"/>
  <c r="AU130" i="83"/>
  <c r="AT119" i="83"/>
  <c r="AS118" i="83"/>
  <c r="AS117" i="83"/>
  <c r="AT125" i="83"/>
  <c r="AR119" i="83"/>
  <c r="AR135" i="83"/>
  <c r="AH121" i="83"/>
  <c r="AH125" i="83"/>
  <c r="AU135" i="83"/>
  <c r="P135" i="83"/>
  <c r="P134" i="83"/>
  <c r="P138" i="83"/>
  <c r="AU121" i="83"/>
  <c r="P136" i="83"/>
  <c r="AH129" i="83"/>
  <c r="P118" i="83"/>
  <c r="AH128" i="83"/>
  <c r="AH131" i="83"/>
  <c r="P117" i="83"/>
  <c r="P126" i="83"/>
  <c r="AP140" i="83"/>
  <c r="I140" i="83" s="1"/>
  <c r="P121" i="83"/>
  <c r="AP119" i="83"/>
  <c r="I119" i="83" s="1"/>
  <c r="AU132" i="83"/>
  <c r="AW132" i="83" s="1"/>
  <c r="AP117" i="83"/>
  <c r="I117" i="83" s="1"/>
  <c r="AP124" i="83"/>
  <c r="I124" i="83" s="1"/>
  <c r="AP136" i="83"/>
  <c r="I136" i="83" s="1"/>
  <c r="AP121" i="83"/>
  <c r="I121" i="83" s="1"/>
  <c r="AP132" i="83"/>
  <c r="I132" i="83" s="1"/>
  <c r="AP128" i="83"/>
  <c r="I128" i="83" s="1"/>
  <c r="AP127" i="83"/>
  <c r="I127" i="83" s="1"/>
  <c r="AP130" i="83"/>
  <c r="I130" i="83" s="1"/>
  <c r="AP118" i="83"/>
  <c r="I118" i="83" s="1"/>
  <c r="AU136" i="83"/>
  <c r="AH133" i="83"/>
  <c r="AU138" i="83"/>
  <c r="AH135" i="83"/>
  <c r="AP135" i="83"/>
  <c r="I135" i="83" s="1"/>
  <c r="P132" i="83"/>
  <c r="AU126" i="83"/>
  <c r="AH126" i="83"/>
  <c r="AP123" i="83"/>
  <c r="I123" i="83" s="1"/>
  <c r="AP122" i="83"/>
  <c r="I122" i="83" s="1"/>
  <c r="AU122" i="83"/>
  <c r="AH122" i="83"/>
  <c r="AU118" i="83"/>
  <c r="AH118" i="83"/>
  <c r="AP137" i="83"/>
  <c r="I137" i="83" s="1"/>
  <c r="P130" i="83"/>
  <c r="AU117" i="83"/>
  <c r="AP126" i="83"/>
  <c r="I126" i="83" s="1"/>
  <c r="P129" i="83"/>
  <c r="AU129" i="83"/>
  <c r="P122" i="83"/>
  <c r="AP138" i="83"/>
  <c r="I138" i="83" s="1"/>
  <c r="AP133" i="83"/>
  <c r="I133" i="83" s="1"/>
  <c r="AP129" i="83"/>
  <c r="I129" i="83" s="1"/>
  <c r="AP134" i="83"/>
  <c r="I134" i="83" s="1"/>
  <c r="AP125" i="83"/>
  <c r="I125" i="83" s="1"/>
  <c r="AP120" i="83"/>
  <c r="I120" i="83" s="1"/>
  <c r="P125" i="83"/>
  <c r="AU125" i="83"/>
  <c r="AH9" i="66"/>
  <c r="AH9" i="65"/>
  <c r="AH9" i="64"/>
  <c r="AH9" i="63"/>
  <c r="AH9" i="62"/>
  <c r="AH9" i="49"/>
  <c r="AY37" i="66"/>
  <c r="AZ37" i="66"/>
  <c r="BA37" i="66"/>
  <c r="BB37" i="66"/>
  <c r="AX37" i="66"/>
  <c r="AT37" i="66"/>
  <c r="AU37" i="66"/>
  <c r="AV37" i="66"/>
  <c r="AW37" i="66"/>
  <c r="AS37" i="66"/>
  <c r="AR37" i="66"/>
  <c r="AQ37" i="66"/>
  <c r="AP37" i="66"/>
  <c r="AO37" i="66"/>
  <c r="AN37" i="66"/>
  <c r="AM37" i="66"/>
  <c r="Y2" i="66"/>
  <c r="AC43" i="66" s="1"/>
  <c r="Z1" i="66"/>
  <c r="B5" i="66" s="1"/>
  <c r="S7" i="66"/>
  <c r="I7" i="66"/>
  <c r="AL5" i="66" s="1"/>
  <c r="Z1" i="65"/>
  <c r="B5" i="65" s="1"/>
  <c r="Z1" i="64"/>
  <c r="B5" i="64" s="1"/>
  <c r="Z1" i="63"/>
  <c r="B5" i="63" s="1"/>
  <c r="Z1" i="62"/>
  <c r="B5" i="62" s="1"/>
  <c r="Z1" i="49"/>
  <c r="B5" i="49" s="1"/>
  <c r="Z1" i="74"/>
  <c r="B5" i="74" s="1"/>
  <c r="Z1" i="73"/>
  <c r="B5" i="73" s="1"/>
  <c r="Z1" i="72"/>
  <c r="B5" i="72" s="1"/>
  <c r="X1" i="82"/>
  <c r="B5" i="82" s="1"/>
  <c r="S7" i="49"/>
  <c r="Y43" i="49"/>
  <c r="Y43" i="62"/>
  <c r="Y43" i="63"/>
  <c r="Y43" i="65"/>
  <c r="AR37" i="65"/>
  <c r="AQ37" i="65"/>
  <c r="AP37" i="65"/>
  <c r="AO37" i="65"/>
  <c r="AN37" i="65"/>
  <c r="AM37" i="65"/>
  <c r="S7" i="65"/>
  <c r="I7" i="65"/>
  <c r="AL5" i="65" s="1"/>
  <c r="Y2" i="65"/>
  <c r="AR37" i="64"/>
  <c r="AN37" i="64"/>
  <c r="AO37" i="64"/>
  <c r="AP37" i="64"/>
  <c r="AQ37" i="64"/>
  <c r="AM37" i="64"/>
  <c r="AR37" i="63"/>
  <c r="BI37" i="63"/>
  <c r="BJ37" i="63"/>
  <c r="BK37" i="63"/>
  <c r="BL37" i="63"/>
  <c r="BH37" i="63"/>
  <c r="BD37" i="63"/>
  <c r="BE37" i="63"/>
  <c r="BF37" i="63"/>
  <c r="BG37" i="63"/>
  <c r="BC37" i="63"/>
  <c r="AY37" i="63"/>
  <c r="AZ37" i="63"/>
  <c r="BA37" i="63"/>
  <c r="BB37" i="63"/>
  <c r="AX37" i="63"/>
  <c r="AT37" i="63"/>
  <c r="AU37" i="63"/>
  <c r="AV37" i="63"/>
  <c r="AW37" i="63"/>
  <c r="AS37" i="63"/>
  <c r="AN37" i="63"/>
  <c r="AO37" i="63"/>
  <c r="AP37" i="63"/>
  <c r="AQ37" i="63"/>
  <c r="AM37" i="63"/>
  <c r="AW37" i="62"/>
  <c r="AV37" i="62"/>
  <c r="AU37" i="62"/>
  <c r="AT37" i="62"/>
  <c r="AS37" i="62"/>
  <c r="AR37" i="62"/>
  <c r="AQ37" i="62"/>
  <c r="AP37" i="62"/>
  <c r="AO37" i="62"/>
  <c r="AN37" i="62"/>
  <c r="AM37" i="62"/>
  <c r="S7" i="63"/>
  <c r="I7" i="63"/>
  <c r="S7" i="62"/>
  <c r="I7" i="62"/>
  <c r="Y43" i="64"/>
  <c r="Y2" i="63"/>
  <c r="S7" i="64"/>
  <c r="I7" i="64"/>
  <c r="AL5" i="64" s="1"/>
  <c r="AW123" i="83" l="1"/>
  <c r="T10" i="65"/>
  <c r="AW120" i="83"/>
  <c r="AV137" i="83"/>
  <c r="AC44" i="66"/>
  <c r="AC43" i="65"/>
  <c r="AC44" i="65"/>
  <c r="AW124" i="83"/>
  <c r="AC44" i="63"/>
  <c r="AC43" i="63"/>
  <c r="AV121" i="83"/>
  <c r="AV127" i="83"/>
  <c r="AV119" i="83"/>
  <c r="AV133" i="83"/>
  <c r="AW117" i="83"/>
  <c r="AV120" i="83"/>
  <c r="AW137" i="83"/>
  <c r="AW119" i="83"/>
  <c r="AV124" i="83"/>
  <c r="AV123" i="83"/>
  <c r="AW129" i="83"/>
  <c r="AV118" i="83"/>
  <c r="AW133" i="83"/>
  <c r="AW127" i="83"/>
  <c r="AV128" i="83"/>
  <c r="AX128" i="83" s="1"/>
  <c r="AW135" i="83"/>
  <c r="AV134" i="83"/>
  <c r="AV130" i="83"/>
  <c r="AW121" i="83"/>
  <c r="AW140" i="83"/>
  <c r="AX140" i="83" s="1"/>
  <c r="AW122" i="83"/>
  <c r="AW126" i="83"/>
  <c r="AW134" i="83"/>
  <c r="AW130" i="83"/>
  <c r="AW136" i="83"/>
  <c r="AV135" i="83"/>
  <c r="AW118" i="83"/>
  <c r="AV132" i="83"/>
  <c r="AX132" i="83" s="1"/>
  <c r="AV136" i="83"/>
  <c r="AV138" i="83"/>
  <c r="AW138" i="83"/>
  <c r="AV126" i="83"/>
  <c r="AV122" i="83"/>
  <c r="AW125" i="83"/>
  <c r="AV125" i="83"/>
  <c r="AV129" i="83"/>
  <c r="AV117" i="83"/>
  <c r="Y2" i="62"/>
  <c r="AL5" i="63"/>
  <c r="AX123" i="83" l="1"/>
  <c r="AX121" i="83"/>
  <c r="AX124" i="83"/>
  <c r="AX120" i="83"/>
  <c r="AX137" i="83"/>
  <c r="AC43" i="62"/>
  <c r="AC44" i="62"/>
  <c r="AX119" i="83"/>
  <c r="AX127" i="83"/>
  <c r="AX133" i="83"/>
  <c r="AX117" i="83"/>
  <c r="AX129" i="83"/>
  <c r="AX118" i="83"/>
  <c r="AX135" i="83"/>
  <c r="AX130" i="83"/>
  <c r="AX134" i="83"/>
  <c r="AX122" i="83"/>
  <c r="AX136" i="83"/>
  <c r="AX126" i="83"/>
  <c r="AX138" i="83"/>
  <c r="AX125" i="83"/>
  <c r="EB134" i="50" l="1"/>
  <c r="BY188" i="50" s="1"/>
  <c r="EA134" i="50"/>
  <c r="BX188" i="50" s="1"/>
  <c r="DZ134" i="50"/>
  <c r="BW188" i="50" s="1"/>
  <c r="DY134" i="50"/>
  <c r="BV188" i="50" s="1"/>
  <c r="DX134" i="50"/>
  <c r="BU188" i="50" s="1"/>
  <c r="EB132" i="50"/>
  <c r="BY186" i="50" s="1"/>
  <c r="EA132" i="50"/>
  <c r="BX186" i="50" s="1"/>
  <c r="DZ132" i="50"/>
  <c r="BW186" i="50" s="1"/>
  <c r="DY132" i="50"/>
  <c r="BV186" i="50" s="1"/>
  <c r="DX132" i="50"/>
  <c r="BU186" i="50" s="1"/>
  <c r="EB131" i="50"/>
  <c r="BY185" i="50" s="1"/>
  <c r="EA131" i="50"/>
  <c r="BX185" i="50" s="1"/>
  <c r="DZ131" i="50"/>
  <c r="BW185" i="50" s="1"/>
  <c r="DY131" i="50"/>
  <c r="BV185" i="50" s="1"/>
  <c r="DX131" i="50"/>
  <c r="BU185" i="50" s="1"/>
  <c r="EB130" i="50"/>
  <c r="BY184" i="50" s="1"/>
  <c r="EA130" i="50"/>
  <c r="BX184" i="50" s="1"/>
  <c r="DZ130" i="50"/>
  <c r="BW184" i="50" s="1"/>
  <c r="DY130" i="50"/>
  <c r="BV184" i="50" s="1"/>
  <c r="DX130" i="50"/>
  <c r="BU184" i="50" s="1"/>
  <c r="EB129" i="50"/>
  <c r="BY183" i="50" s="1"/>
  <c r="EA129" i="50"/>
  <c r="BX183" i="50" s="1"/>
  <c r="DZ129" i="50"/>
  <c r="BW183" i="50" s="1"/>
  <c r="DY129" i="50"/>
  <c r="BV183" i="50" s="1"/>
  <c r="DX129" i="50"/>
  <c r="BU183" i="50" s="1"/>
  <c r="EB128" i="50"/>
  <c r="BY182" i="50" s="1"/>
  <c r="EA128" i="50"/>
  <c r="BX182" i="50" s="1"/>
  <c r="DZ128" i="50"/>
  <c r="BW182" i="50" s="1"/>
  <c r="DY128" i="50"/>
  <c r="BV182" i="50" s="1"/>
  <c r="DX128" i="50"/>
  <c r="BU182" i="50" s="1"/>
  <c r="EB127" i="50"/>
  <c r="BY181" i="50" s="1"/>
  <c r="EA127" i="50"/>
  <c r="BX181" i="50" s="1"/>
  <c r="DZ127" i="50"/>
  <c r="BW181" i="50" s="1"/>
  <c r="DY127" i="50"/>
  <c r="BV181" i="50" s="1"/>
  <c r="DX127" i="50"/>
  <c r="BU181" i="50" s="1"/>
  <c r="EB126" i="50"/>
  <c r="BY180" i="50" s="1"/>
  <c r="EA126" i="50"/>
  <c r="BX180" i="50" s="1"/>
  <c r="DZ126" i="50"/>
  <c r="BW180" i="50" s="1"/>
  <c r="DY126" i="50"/>
  <c r="BV180" i="50" s="1"/>
  <c r="DX126" i="50"/>
  <c r="BU180" i="50" s="1"/>
  <c r="EB125" i="50"/>
  <c r="BY179" i="50" s="1"/>
  <c r="EA125" i="50"/>
  <c r="BX179" i="50" s="1"/>
  <c r="DY125" i="50"/>
  <c r="BV179" i="50" s="1"/>
  <c r="DX125" i="50"/>
  <c r="BU179" i="50" s="1"/>
  <c r="EB124" i="50"/>
  <c r="BY178" i="50" s="1"/>
  <c r="EA124" i="50"/>
  <c r="BX178" i="50" s="1"/>
  <c r="DZ124" i="50"/>
  <c r="BW178" i="50" s="1"/>
  <c r="DY124" i="50"/>
  <c r="BV178" i="50" s="1"/>
  <c r="DX124" i="50"/>
  <c r="BU178" i="50" s="1"/>
  <c r="EB123" i="50"/>
  <c r="BY177" i="50" s="1"/>
  <c r="EA123" i="50"/>
  <c r="BX177" i="50" s="1"/>
  <c r="DZ123" i="50"/>
  <c r="BW177" i="50" s="1"/>
  <c r="DY123" i="50"/>
  <c r="BV177" i="50" s="1"/>
  <c r="DX123" i="50"/>
  <c r="BU177" i="50" s="1"/>
  <c r="EB122" i="50"/>
  <c r="BY176" i="50" s="1"/>
  <c r="EA122" i="50"/>
  <c r="BX176" i="50" s="1"/>
  <c r="DZ122" i="50"/>
  <c r="BW176" i="50" s="1"/>
  <c r="DY122" i="50"/>
  <c r="BV176" i="50" s="1"/>
  <c r="DX122" i="50"/>
  <c r="BU176" i="50" s="1"/>
  <c r="EB121" i="50"/>
  <c r="BY175" i="50" s="1"/>
  <c r="EA121" i="50"/>
  <c r="BX175" i="50" s="1"/>
  <c r="DZ121" i="50"/>
  <c r="BW175" i="50" s="1"/>
  <c r="DY121" i="50"/>
  <c r="BV175" i="50" s="1"/>
  <c r="DX121" i="50"/>
  <c r="BU175" i="50" s="1"/>
  <c r="EB120" i="50"/>
  <c r="BY174" i="50" s="1"/>
  <c r="EA120" i="50"/>
  <c r="BX174" i="50" s="1"/>
  <c r="DZ120" i="50"/>
  <c r="BW174" i="50" s="1"/>
  <c r="DY120" i="50"/>
  <c r="BV174" i="50" s="1"/>
  <c r="DX120" i="50"/>
  <c r="BU174" i="50" s="1"/>
  <c r="EB119" i="50"/>
  <c r="BY173" i="50" s="1"/>
  <c r="EA119" i="50"/>
  <c r="BX173" i="50" s="1"/>
  <c r="DZ119" i="50"/>
  <c r="BW173" i="50" s="1"/>
  <c r="DY119" i="50"/>
  <c r="BV173" i="50" s="1"/>
  <c r="DX119" i="50"/>
  <c r="BU173" i="50" s="1"/>
  <c r="EB118" i="50"/>
  <c r="BY172" i="50" s="1"/>
  <c r="EA118" i="50"/>
  <c r="BX172" i="50" s="1"/>
  <c r="DZ118" i="50"/>
  <c r="BW172" i="50" s="1"/>
  <c r="DY118" i="50"/>
  <c r="BV172" i="50" s="1"/>
  <c r="DX118" i="50"/>
  <c r="BU172" i="50" s="1"/>
  <c r="EB117" i="50"/>
  <c r="BY171" i="50" s="1"/>
  <c r="EA117" i="50"/>
  <c r="BX171" i="50" s="1"/>
  <c r="DZ117" i="50"/>
  <c r="BW171" i="50" s="1"/>
  <c r="DY117" i="50"/>
  <c r="BV171" i="50" s="1"/>
  <c r="DX117" i="50"/>
  <c r="BU171" i="50" s="1"/>
  <c r="EB116" i="50"/>
  <c r="BY170" i="50" s="1"/>
  <c r="EA116" i="50"/>
  <c r="BX170" i="50" s="1"/>
  <c r="DZ116" i="50"/>
  <c r="BW170" i="50" s="1"/>
  <c r="DY116" i="50"/>
  <c r="BV170" i="50" s="1"/>
  <c r="DX116" i="50"/>
  <c r="BU170" i="50" s="1"/>
  <c r="EB115" i="50"/>
  <c r="BY169" i="50" s="1"/>
  <c r="EA115" i="50"/>
  <c r="BX169" i="50" s="1"/>
  <c r="DZ115" i="50"/>
  <c r="BW169" i="50" s="1"/>
  <c r="DY115" i="50"/>
  <c r="BV169" i="50" s="1"/>
  <c r="DX115" i="50"/>
  <c r="BU169" i="50" s="1"/>
  <c r="EB114" i="50"/>
  <c r="BY168" i="50" s="1"/>
  <c r="EA114" i="50"/>
  <c r="BX168" i="50" s="1"/>
  <c r="DZ114" i="50"/>
  <c r="BW168" i="50" s="1"/>
  <c r="DY114" i="50"/>
  <c r="BV168" i="50" s="1"/>
  <c r="DX114" i="50"/>
  <c r="BU168" i="50" s="1"/>
  <c r="EB113" i="50"/>
  <c r="BY167" i="50" s="1"/>
  <c r="EA113" i="50"/>
  <c r="BX167" i="50" s="1"/>
  <c r="DZ113" i="50"/>
  <c r="BW167" i="50" s="1"/>
  <c r="DY113" i="50"/>
  <c r="BV167" i="50" s="1"/>
  <c r="DX113" i="50"/>
  <c r="BU167" i="50" s="1"/>
  <c r="EB112" i="50"/>
  <c r="BY166" i="50" s="1"/>
  <c r="EA112" i="50"/>
  <c r="BX166" i="50" s="1"/>
  <c r="DZ112" i="50"/>
  <c r="BW166" i="50" s="1"/>
  <c r="DY112" i="50"/>
  <c r="BV166" i="50" s="1"/>
  <c r="DX112" i="50"/>
  <c r="BU166" i="50" s="1"/>
  <c r="EB111" i="50"/>
  <c r="BY165" i="50" s="1"/>
  <c r="EA111" i="50"/>
  <c r="BX165" i="50" s="1"/>
  <c r="DZ111" i="50"/>
  <c r="BW165" i="50" s="1"/>
  <c r="DY111" i="50"/>
  <c r="BV165" i="50" s="1"/>
  <c r="DX111" i="50"/>
  <c r="BU165" i="50" s="1"/>
  <c r="DW134" i="50"/>
  <c r="BT188" i="50" s="1"/>
  <c r="DV134" i="50"/>
  <c r="BS188" i="50" s="1"/>
  <c r="DU134" i="50"/>
  <c r="BR188" i="50" s="1"/>
  <c r="DT134" i="50"/>
  <c r="BQ188" i="50" s="1"/>
  <c r="DS134" i="50"/>
  <c r="BP188" i="50" s="1"/>
  <c r="DW132" i="50"/>
  <c r="BT186" i="50" s="1"/>
  <c r="DV132" i="50"/>
  <c r="BS186" i="50" s="1"/>
  <c r="DU132" i="50"/>
  <c r="BR186" i="50" s="1"/>
  <c r="DT132" i="50"/>
  <c r="BQ186" i="50" s="1"/>
  <c r="DS132" i="50"/>
  <c r="BP186" i="50" s="1"/>
  <c r="DW131" i="50"/>
  <c r="BT185" i="50" s="1"/>
  <c r="DV131" i="50"/>
  <c r="BS185" i="50" s="1"/>
  <c r="DU131" i="50"/>
  <c r="BR185" i="50" s="1"/>
  <c r="DT131" i="50"/>
  <c r="BQ185" i="50" s="1"/>
  <c r="DS131" i="50"/>
  <c r="BP185" i="50" s="1"/>
  <c r="DW130" i="50"/>
  <c r="BT184" i="50" s="1"/>
  <c r="DV130" i="50"/>
  <c r="BS184" i="50" s="1"/>
  <c r="DU130" i="50"/>
  <c r="BR184" i="50" s="1"/>
  <c r="DT130" i="50"/>
  <c r="BQ184" i="50" s="1"/>
  <c r="DS130" i="50"/>
  <c r="BP184" i="50" s="1"/>
  <c r="DW129" i="50"/>
  <c r="BT183" i="50" s="1"/>
  <c r="DV129" i="50"/>
  <c r="BS183" i="50" s="1"/>
  <c r="DU129" i="50"/>
  <c r="BR183" i="50" s="1"/>
  <c r="DT129" i="50"/>
  <c r="BQ183" i="50" s="1"/>
  <c r="DS129" i="50"/>
  <c r="BP183" i="50" s="1"/>
  <c r="DW128" i="50"/>
  <c r="BT182" i="50" s="1"/>
  <c r="DV128" i="50"/>
  <c r="BS182" i="50" s="1"/>
  <c r="DU128" i="50"/>
  <c r="BR182" i="50" s="1"/>
  <c r="DT128" i="50"/>
  <c r="BQ182" i="50" s="1"/>
  <c r="DS128" i="50"/>
  <c r="BP182" i="50" s="1"/>
  <c r="DW127" i="50"/>
  <c r="BT181" i="50" s="1"/>
  <c r="DV127" i="50"/>
  <c r="BS181" i="50" s="1"/>
  <c r="DU127" i="50"/>
  <c r="BR181" i="50" s="1"/>
  <c r="DT127" i="50"/>
  <c r="BQ181" i="50" s="1"/>
  <c r="DS127" i="50"/>
  <c r="BP181" i="50" s="1"/>
  <c r="DW126" i="50"/>
  <c r="BT180" i="50" s="1"/>
  <c r="DV126" i="50"/>
  <c r="BS180" i="50" s="1"/>
  <c r="DU126" i="50"/>
  <c r="BR180" i="50" s="1"/>
  <c r="DT126" i="50"/>
  <c r="BQ180" i="50" s="1"/>
  <c r="DS126" i="50"/>
  <c r="BP180" i="50" s="1"/>
  <c r="DW125" i="50"/>
  <c r="BT179" i="50" s="1"/>
  <c r="DV125" i="50"/>
  <c r="BS179" i="50" s="1"/>
  <c r="DT125" i="50"/>
  <c r="BQ179" i="50" s="1"/>
  <c r="DS125" i="50"/>
  <c r="BP179" i="50" s="1"/>
  <c r="DW124" i="50"/>
  <c r="BT178" i="50" s="1"/>
  <c r="DV124" i="50"/>
  <c r="BS178" i="50" s="1"/>
  <c r="DU124" i="50"/>
  <c r="BR178" i="50" s="1"/>
  <c r="DT124" i="50"/>
  <c r="BQ178" i="50" s="1"/>
  <c r="DS124" i="50"/>
  <c r="BP178" i="50" s="1"/>
  <c r="DW123" i="50"/>
  <c r="BT177" i="50" s="1"/>
  <c r="DV123" i="50"/>
  <c r="BS177" i="50" s="1"/>
  <c r="DU123" i="50"/>
  <c r="BR177" i="50" s="1"/>
  <c r="DT123" i="50"/>
  <c r="BQ177" i="50" s="1"/>
  <c r="DS123" i="50"/>
  <c r="BP177" i="50" s="1"/>
  <c r="DW122" i="50"/>
  <c r="BT176" i="50" s="1"/>
  <c r="DV122" i="50"/>
  <c r="BS176" i="50" s="1"/>
  <c r="DU122" i="50"/>
  <c r="BR176" i="50" s="1"/>
  <c r="DT122" i="50"/>
  <c r="BQ176" i="50" s="1"/>
  <c r="DS122" i="50"/>
  <c r="BP176" i="50" s="1"/>
  <c r="DW121" i="50"/>
  <c r="BT175" i="50" s="1"/>
  <c r="DV121" i="50"/>
  <c r="BS175" i="50" s="1"/>
  <c r="DU121" i="50"/>
  <c r="BR175" i="50" s="1"/>
  <c r="DT121" i="50"/>
  <c r="BQ175" i="50" s="1"/>
  <c r="DS121" i="50"/>
  <c r="BP175" i="50" s="1"/>
  <c r="DW120" i="50"/>
  <c r="BT174" i="50" s="1"/>
  <c r="DV120" i="50"/>
  <c r="BS174" i="50" s="1"/>
  <c r="DU120" i="50"/>
  <c r="BR174" i="50" s="1"/>
  <c r="DT120" i="50"/>
  <c r="BQ174" i="50" s="1"/>
  <c r="DS120" i="50"/>
  <c r="BP174" i="50" s="1"/>
  <c r="DW119" i="50"/>
  <c r="BT173" i="50" s="1"/>
  <c r="DV119" i="50"/>
  <c r="BS173" i="50" s="1"/>
  <c r="DU119" i="50"/>
  <c r="BR173" i="50" s="1"/>
  <c r="DT119" i="50"/>
  <c r="BQ173" i="50" s="1"/>
  <c r="DS119" i="50"/>
  <c r="BP173" i="50" s="1"/>
  <c r="DW118" i="50"/>
  <c r="BT172" i="50" s="1"/>
  <c r="DV118" i="50"/>
  <c r="BS172" i="50" s="1"/>
  <c r="DU118" i="50"/>
  <c r="BR172" i="50" s="1"/>
  <c r="DT118" i="50"/>
  <c r="BQ172" i="50" s="1"/>
  <c r="DS118" i="50"/>
  <c r="BP172" i="50" s="1"/>
  <c r="DW117" i="50"/>
  <c r="BT171" i="50" s="1"/>
  <c r="DV117" i="50"/>
  <c r="BS171" i="50" s="1"/>
  <c r="DU117" i="50"/>
  <c r="BR171" i="50" s="1"/>
  <c r="DT117" i="50"/>
  <c r="BQ171" i="50" s="1"/>
  <c r="DS117" i="50"/>
  <c r="BP171" i="50" s="1"/>
  <c r="DW116" i="50"/>
  <c r="BT170" i="50" s="1"/>
  <c r="DV116" i="50"/>
  <c r="BS170" i="50" s="1"/>
  <c r="DU116" i="50"/>
  <c r="BR170" i="50" s="1"/>
  <c r="DT116" i="50"/>
  <c r="BQ170" i="50" s="1"/>
  <c r="DS116" i="50"/>
  <c r="BP170" i="50" s="1"/>
  <c r="DW115" i="50"/>
  <c r="BT169" i="50" s="1"/>
  <c r="DV115" i="50"/>
  <c r="BS169" i="50" s="1"/>
  <c r="DU115" i="50"/>
  <c r="BR169" i="50" s="1"/>
  <c r="DT115" i="50"/>
  <c r="BQ169" i="50" s="1"/>
  <c r="DS115" i="50"/>
  <c r="BP169" i="50" s="1"/>
  <c r="DW114" i="50"/>
  <c r="BT168" i="50" s="1"/>
  <c r="DV114" i="50"/>
  <c r="BS168" i="50" s="1"/>
  <c r="DU114" i="50"/>
  <c r="BR168" i="50" s="1"/>
  <c r="DT114" i="50"/>
  <c r="BQ168" i="50" s="1"/>
  <c r="DS114" i="50"/>
  <c r="BP168" i="50" s="1"/>
  <c r="DW113" i="50"/>
  <c r="BT167" i="50" s="1"/>
  <c r="DV113" i="50"/>
  <c r="BS167" i="50" s="1"/>
  <c r="DU113" i="50"/>
  <c r="BR167" i="50" s="1"/>
  <c r="DT113" i="50"/>
  <c r="BQ167" i="50" s="1"/>
  <c r="DS113" i="50"/>
  <c r="BP167" i="50" s="1"/>
  <c r="DW112" i="50"/>
  <c r="BT166" i="50" s="1"/>
  <c r="DV112" i="50"/>
  <c r="BS166" i="50" s="1"/>
  <c r="DU112" i="50"/>
  <c r="BR166" i="50" s="1"/>
  <c r="DT112" i="50"/>
  <c r="BQ166" i="50" s="1"/>
  <c r="DS112" i="50"/>
  <c r="BP166" i="50" s="1"/>
  <c r="DW111" i="50"/>
  <c r="BT165" i="50" s="1"/>
  <c r="DV111" i="50"/>
  <c r="BS165" i="50" s="1"/>
  <c r="DU111" i="50"/>
  <c r="BR165" i="50" s="1"/>
  <c r="DT111" i="50"/>
  <c r="BQ165" i="50" s="1"/>
  <c r="DS111" i="50"/>
  <c r="BP165" i="50" s="1"/>
  <c r="DR134" i="50"/>
  <c r="BO188" i="50" s="1"/>
  <c r="DQ134" i="50"/>
  <c r="BN188" i="50" s="1"/>
  <c r="DP134" i="50"/>
  <c r="BM188" i="50" s="1"/>
  <c r="DO134" i="50"/>
  <c r="BL188" i="50" s="1"/>
  <c r="DN134" i="50"/>
  <c r="BK188" i="50" s="1"/>
  <c r="DR132" i="50"/>
  <c r="BO186" i="50" s="1"/>
  <c r="DQ132" i="50"/>
  <c r="BN186" i="50" s="1"/>
  <c r="DP132" i="50"/>
  <c r="BM186" i="50" s="1"/>
  <c r="DO132" i="50"/>
  <c r="BL186" i="50" s="1"/>
  <c r="DN132" i="50"/>
  <c r="BK186" i="50" s="1"/>
  <c r="DR131" i="50"/>
  <c r="BO185" i="50" s="1"/>
  <c r="DQ131" i="50"/>
  <c r="BN185" i="50" s="1"/>
  <c r="DP131" i="50"/>
  <c r="BM185" i="50" s="1"/>
  <c r="DO131" i="50"/>
  <c r="BL185" i="50" s="1"/>
  <c r="DN131" i="50"/>
  <c r="BK185" i="50" s="1"/>
  <c r="DR130" i="50"/>
  <c r="BO184" i="50" s="1"/>
  <c r="DQ130" i="50"/>
  <c r="BN184" i="50" s="1"/>
  <c r="DP130" i="50"/>
  <c r="BM184" i="50" s="1"/>
  <c r="DO130" i="50"/>
  <c r="BL184" i="50" s="1"/>
  <c r="DN130" i="50"/>
  <c r="BK184" i="50" s="1"/>
  <c r="DR129" i="50"/>
  <c r="BO183" i="50" s="1"/>
  <c r="DQ129" i="50"/>
  <c r="BN183" i="50" s="1"/>
  <c r="DP129" i="50"/>
  <c r="BM183" i="50" s="1"/>
  <c r="DO129" i="50"/>
  <c r="BL183" i="50" s="1"/>
  <c r="DN129" i="50"/>
  <c r="BK183" i="50" s="1"/>
  <c r="DR128" i="50"/>
  <c r="BO182" i="50" s="1"/>
  <c r="DQ128" i="50"/>
  <c r="BN182" i="50" s="1"/>
  <c r="DP128" i="50"/>
  <c r="BM182" i="50" s="1"/>
  <c r="DO128" i="50"/>
  <c r="BL182" i="50" s="1"/>
  <c r="DN128" i="50"/>
  <c r="BK182" i="50" s="1"/>
  <c r="DR127" i="50"/>
  <c r="BO181" i="50" s="1"/>
  <c r="DQ127" i="50"/>
  <c r="BN181" i="50" s="1"/>
  <c r="DP127" i="50"/>
  <c r="BM181" i="50" s="1"/>
  <c r="DO127" i="50"/>
  <c r="BL181" i="50" s="1"/>
  <c r="DN127" i="50"/>
  <c r="BK181" i="50" s="1"/>
  <c r="DR126" i="50"/>
  <c r="BO180" i="50" s="1"/>
  <c r="DQ126" i="50"/>
  <c r="BN180" i="50" s="1"/>
  <c r="DP126" i="50"/>
  <c r="BM180" i="50" s="1"/>
  <c r="DO126" i="50"/>
  <c r="BL180" i="50" s="1"/>
  <c r="DN126" i="50"/>
  <c r="BK180" i="50" s="1"/>
  <c r="DR125" i="50"/>
  <c r="BO179" i="50" s="1"/>
  <c r="DQ125" i="50"/>
  <c r="BN179" i="50" s="1"/>
  <c r="DO125" i="50"/>
  <c r="BL179" i="50" s="1"/>
  <c r="DN125" i="50"/>
  <c r="BK179" i="50" s="1"/>
  <c r="DR124" i="50"/>
  <c r="BO178" i="50" s="1"/>
  <c r="DQ124" i="50"/>
  <c r="BN178" i="50" s="1"/>
  <c r="DP124" i="50"/>
  <c r="BM178" i="50" s="1"/>
  <c r="DO124" i="50"/>
  <c r="BL178" i="50" s="1"/>
  <c r="DN124" i="50"/>
  <c r="BK178" i="50" s="1"/>
  <c r="DR123" i="50"/>
  <c r="BO177" i="50" s="1"/>
  <c r="DQ123" i="50"/>
  <c r="BN177" i="50" s="1"/>
  <c r="DP123" i="50"/>
  <c r="BM177" i="50" s="1"/>
  <c r="DO123" i="50"/>
  <c r="BL177" i="50" s="1"/>
  <c r="DN123" i="50"/>
  <c r="BK177" i="50" s="1"/>
  <c r="DR122" i="50"/>
  <c r="BO176" i="50" s="1"/>
  <c r="DQ122" i="50"/>
  <c r="BN176" i="50" s="1"/>
  <c r="DP122" i="50"/>
  <c r="BM176" i="50" s="1"/>
  <c r="DO122" i="50"/>
  <c r="BL176" i="50" s="1"/>
  <c r="DN122" i="50"/>
  <c r="BK176" i="50" s="1"/>
  <c r="DR121" i="50"/>
  <c r="BO175" i="50" s="1"/>
  <c r="DQ121" i="50"/>
  <c r="BN175" i="50" s="1"/>
  <c r="DP121" i="50"/>
  <c r="BM175" i="50" s="1"/>
  <c r="DO121" i="50"/>
  <c r="BL175" i="50" s="1"/>
  <c r="DN121" i="50"/>
  <c r="BK175" i="50" s="1"/>
  <c r="DR120" i="50"/>
  <c r="BO174" i="50" s="1"/>
  <c r="DQ120" i="50"/>
  <c r="BN174" i="50" s="1"/>
  <c r="DP120" i="50"/>
  <c r="BM174" i="50" s="1"/>
  <c r="DO120" i="50"/>
  <c r="BL174" i="50" s="1"/>
  <c r="DN120" i="50"/>
  <c r="BK174" i="50" s="1"/>
  <c r="DR119" i="50"/>
  <c r="BO173" i="50" s="1"/>
  <c r="DQ119" i="50"/>
  <c r="BN173" i="50" s="1"/>
  <c r="DP119" i="50"/>
  <c r="BM173" i="50" s="1"/>
  <c r="DO119" i="50"/>
  <c r="BL173" i="50" s="1"/>
  <c r="DN119" i="50"/>
  <c r="BK173" i="50" s="1"/>
  <c r="DR118" i="50"/>
  <c r="BO172" i="50" s="1"/>
  <c r="DQ118" i="50"/>
  <c r="BN172" i="50" s="1"/>
  <c r="DP118" i="50"/>
  <c r="BM172" i="50" s="1"/>
  <c r="DO118" i="50"/>
  <c r="BL172" i="50" s="1"/>
  <c r="DN118" i="50"/>
  <c r="BK172" i="50" s="1"/>
  <c r="DR117" i="50"/>
  <c r="BO171" i="50" s="1"/>
  <c r="DQ117" i="50"/>
  <c r="BN171" i="50" s="1"/>
  <c r="DP117" i="50"/>
  <c r="BM171" i="50" s="1"/>
  <c r="DO117" i="50"/>
  <c r="BL171" i="50" s="1"/>
  <c r="DN117" i="50"/>
  <c r="BK171" i="50" s="1"/>
  <c r="DR116" i="50"/>
  <c r="BO170" i="50" s="1"/>
  <c r="DQ116" i="50"/>
  <c r="BN170" i="50" s="1"/>
  <c r="DP116" i="50"/>
  <c r="BM170" i="50" s="1"/>
  <c r="DO116" i="50"/>
  <c r="BL170" i="50" s="1"/>
  <c r="DN116" i="50"/>
  <c r="BK170" i="50" s="1"/>
  <c r="DR115" i="50"/>
  <c r="BO169" i="50" s="1"/>
  <c r="DQ115" i="50"/>
  <c r="BN169" i="50" s="1"/>
  <c r="DP115" i="50"/>
  <c r="BM169" i="50" s="1"/>
  <c r="DO115" i="50"/>
  <c r="BL169" i="50" s="1"/>
  <c r="DN115" i="50"/>
  <c r="BK169" i="50" s="1"/>
  <c r="DR114" i="50"/>
  <c r="BO168" i="50" s="1"/>
  <c r="DQ114" i="50"/>
  <c r="BN168" i="50" s="1"/>
  <c r="DP114" i="50"/>
  <c r="BM168" i="50" s="1"/>
  <c r="DO114" i="50"/>
  <c r="BL168" i="50" s="1"/>
  <c r="DN114" i="50"/>
  <c r="BK168" i="50" s="1"/>
  <c r="DR113" i="50"/>
  <c r="BO167" i="50" s="1"/>
  <c r="DQ113" i="50"/>
  <c r="BN167" i="50" s="1"/>
  <c r="DP113" i="50"/>
  <c r="BM167" i="50" s="1"/>
  <c r="DO113" i="50"/>
  <c r="BL167" i="50" s="1"/>
  <c r="DN113" i="50"/>
  <c r="BK167" i="50" s="1"/>
  <c r="DR112" i="50"/>
  <c r="BO166" i="50" s="1"/>
  <c r="DQ112" i="50"/>
  <c r="BN166" i="50" s="1"/>
  <c r="DP112" i="50"/>
  <c r="BM166" i="50" s="1"/>
  <c r="DO112" i="50"/>
  <c r="BL166" i="50" s="1"/>
  <c r="DN112" i="50"/>
  <c r="BK166" i="50" s="1"/>
  <c r="DR111" i="50"/>
  <c r="BO165" i="50" s="1"/>
  <c r="DQ111" i="50"/>
  <c r="BN165" i="50" s="1"/>
  <c r="DP111" i="50"/>
  <c r="BM165" i="50" s="1"/>
  <c r="DO111" i="50"/>
  <c r="BL165" i="50" s="1"/>
  <c r="DN111" i="50"/>
  <c r="BK165" i="50" s="1"/>
  <c r="DM134" i="50"/>
  <c r="BJ188" i="50" s="1"/>
  <c r="DL134" i="50"/>
  <c r="BI188" i="50" s="1"/>
  <c r="DK134" i="50"/>
  <c r="BH188" i="50" s="1"/>
  <c r="DJ134" i="50"/>
  <c r="BG188" i="50" s="1"/>
  <c r="DI134" i="50"/>
  <c r="BF188" i="50" s="1"/>
  <c r="DM132" i="50"/>
  <c r="BJ186" i="50" s="1"/>
  <c r="DL132" i="50"/>
  <c r="BI186" i="50" s="1"/>
  <c r="DK132" i="50"/>
  <c r="BH186" i="50" s="1"/>
  <c r="DJ132" i="50"/>
  <c r="BG186" i="50" s="1"/>
  <c r="DI132" i="50"/>
  <c r="BF186" i="50" s="1"/>
  <c r="DM131" i="50"/>
  <c r="BJ185" i="50" s="1"/>
  <c r="DL131" i="50"/>
  <c r="BI185" i="50" s="1"/>
  <c r="DK131" i="50"/>
  <c r="BH185" i="50" s="1"/>
  <c r="DJ131" i="50"/>
  <c r="BG185" i="50" s="1"/>
  <c r="DI131" i="50"/>
  <c r="BF185" i="50" s="1"/>
  <c r="DM130" i="50"/>
  <c r="BJ184" i="50" s="1"/>
  <c r="DL130" i="50"/>
  <c r="BI184" i="50" s="1"/>
  <c r="DK130" i="50"/>
  <c r="BH184" i="50" s="1"/>
  <c r="DJ130" i="50"/>
  <c r="BG184" i="50" s="1"/>
  <c r="DI130" i="50"/>
  <c r="BF184" i="50" s="1"/>
  <c r="DM129" i="50"/>
  <c r="BJ183" i="50" s="1"/>
  <c r="DL129" i="50"/>
  <c r="BI183" i="50" s="1"/>
  <c r="DK129" i="50"/>
  <c r="BH183" i="50" s="1"/>
  <c r="DJ129" i="50"/>
  <c r="BG183" i="50" s="1"/>
  <c r="DI129" i="50"/>
  <c r="BF183" i="50" s="1"/>
  <c r="DM128" i="50"/>
  <c r="BJ182" i="50" s="1"/>
  <c r="DL128" i="50"/>
  <c r="BI182" i="50" s="1"/>
  <c r="DK128" i="50"/>
  <c r="BH182" i="50" s="1"/>
  <c r="DJ128" i="50"/>
  <c r="BG182" i="50" s="1"/>
  <c r="DI128" i="50"/>
  <c r="BF182" i="50" s="1"/>
  <c r="DM127" i="50"/>
  <c r="BJ181" i="50" s="1"/>
  <c r="DL127" i="50"/>
  <c r="BI181" i="50" s="1"/>
  <c r="DK127" i="50"/>
  <c r="BH181" i="50" s="1"/>
  <c r="DJ127" i="50"/>
  <c r="BG181" i="50" s="1"/>
  <c r="DI127" i="50"/>
  <c r="BF181" i="50" s="1"/>
  <c r="DM126" i="50"/>
  <c r="BJ180" i="50" s="1"/>
  <c r="DL126" i="50"/>
  <c r="BI180" i="50" s="1"/>
  <c r="DK126" i="50"/>
  <c r="BH180" i="50" s="1"/>
  <c r="DJ126" i="50"/>
  <c r="BG180" i="50" s="1"/>
  <c r="DI126" i="50"/>
  <c r="BF180" i="50" s="1"/>
  <c r="DM125" i="50"/>
  <c r="BJ179" i="50" s="1"/>
  <c r="DL125" i="50"/>
  <c r="BI179" i="50" s="1"/>
  <c r="DJ125" i="50"/>
  <c r="BG179" i="50" s="1"/>
  <c r="DI125" i="50"/>
  <c r="BF179" i="50" s="1"/>
  <c r="DM124" i="50"/>
  <c r="BJ178" i="50" s="1"/>
  <c r="DL124" i="50"/>
  <c r="BI178" i="50" s="1"/>
  <c r="DK124" i="50"/>
  <c r="BH178" i="50" s="1"/>
  <c r="DJ124" i="50"/>
  <c r="BG178" i="50" s="1"/>
  <c r="DI124" i="50"/>
  <c r="BF178" i="50" s="1"/>
  <c r="DM123" i="50"/>
  <c r="BJ177" i="50" s="1"/>
  <c r="DL123" i="50"/>
  <c r="BI177" i="50" s="1"/>
  <c r="DK123" i="50"/>
  <c r="BH177" i="50" s="1"/>
  <c r="DJ123" i="50"/>
  <c r="BG177" i="50" s="1"/>
  <c r="DI123" i="50"/>
  <c r="BF177" i="50" s="1"/>
  <c r="DM122" i="50"/>
  <c r="BJ176" i="50" s="1"/>
  <c r="DL122" i="50"/>
  <c r="BI176" i="50" s="1"/>
  <c r="DK122" i="50"/>
  <c r="BH176" i="50" s="1"/>
  <c r="DJ122" i="50"/>
  <c r="BG176" i="50" s="1"/>
  <c r="DI122" i="50"/>
  <c r="BF176" i="50" s="1"/>
  <c r="DM121" i="50"/>
  <c r="BJ175" i="50" s="1"/>
  <c r="DL121" i="50"/>
  <c r="BI175" i="50" s="1"/>
  <c r="DK121" i="50"/>
  <c r="BH175" i="50" s="1"/>
  <c r="DJ121" i="50"/>
  <c r="BG175" i="50" s="1"/>
  <c r="DI121" i="50"/>
  <c r="BF175" i="50" s="1"/>
  <c r="DM120" i="50"/>
  <c r="BJ174" i="50" s="1"/>
  <c r="DL120" i="50"/>
  <c r="BI174" i="50" s="1"/>
  <c r="DK120" i="50"/>
  <c r="BH174" i="50" s="1"/>
  <c r="DJ120" i="50"/>
  <c r="BG174" i="50" s="1"/>
  <c r="DI120" i="50"/>
  <c r="BF174" i="50" s="1"/>
  <c r="DM119" i="50"/>
  <c r="BJ173" i="50" s="1"/>
  <c r="DL119" i="50"/>
  <c r="BI173" i="50" s="1"/>
  <c r="DK119" i="50"/>
  <c r="BH173" i="50" s="1"/>
  <c r="DJ119" i="50"/>
  <c r="BG173" i="50" s="1"/>
  <c r="DI119" i="50"/>
  <c r="BF173" i="50" s="1"/>
  <c r="DM118" i="50"/>
  <c r="BJ172" i="50" s="1"/>
  <c r="DL118" i="50"/>
  <c r="BI172" i="50" s="1"/>
  <c r="DK118" i="50"/>
  <c r="BH172" i="50" s="1"/>
  <c r="DJ118" i="50"/>
  <c r="BG172" i="50" s="1"/>
  <c r="DI118" i="50"/>
  <c r="BF172" i="50" s="1"/>
  <c r="DM117" i="50"/>
  <c r="BJ171" i="50" s="1"/>
  <c r="DL117" i="50"/>
  <c r="BI171" i="50" s="1"/>
  <c r="DK117" i="50"/>
  <c r="BH171" i="50" s="1"/>
  <c r="DJ117" i="50"/>
  <c r="BG171" i="50" s="1"/>
  <c r="DI117" i="50"/>
  <c r="BF171" i="50" s="1"/>
  <c r="DM116" i="50"/>
  <c r="BJ170" i="50" s="1"/>
  <c r="DL116" i="50"/>
  <c r="BI170" i="50" s="1"/>
  <c r="DK116" i="50"/>
  <c r="BH170" i="50" s="1"/>
  <c r="DJ116" i="50"/>
  <c r="BG170" i="50" s="1"/>
  <c r="DI116" i="50"/>
  <c r="BF170" i="50" s="1"/>
  <c r="DM115" i="50"/>
  <c r="BJ169" i="50" s="1"/>
  <c r="DL115" i="50"/>
  <c r="BI169" i="50" s="1"/>
  <c r="DK115" i="50"/>
  <c r="BH169" i="50" s="1"/>
  <c r="DJ115" i="50"/>
  <c r="BG169" i="50" s="1"/>
  <c r="DI115" i="50"/>
  <c r="BF169" i="50" s="1"/>
  <c r="DM114" i="50"/>
  <c r="BJ168" i="50" s="1"/>
  <c r="DL114" i="50"/>
  <c r="BI168" i="50" s="1"/>
  <c r="DK114" i="50"/>
  <c r="BH168" i="50" s="1"/>
  <c r="DJ114" i="50"/>
  <c r="BG168" i="50" s="1"/>
  <c r="DI114" i="50"/>
  <c r="BF168" i="50" s="1"/>
  <c r="DM113" i="50"/>
  <c r="BJ167" i="50" s="1"/>
  <c r="DL113" i="50"/>
  <c r="BI167" i="50" s="1"/>
  <c r="DK113" i="50"/>
  <c r="BH167" i="50" s="1"/>
  <c r="DJ113" i="50"/>
  <c r="BG167" i="50" s="1"/>
  <c r="DI113" i="50"/>
  <c r="BF167" i="50" s="1"/>
  <c r="DM112" i="50"/>
  <c r="BJ166" i="50" s="1"/>
  <c r="DL112" i="50"/>
  <c r="BI166" i="50" s="1"/>
  <c r="DK112" i="50"/>
  <c r="BH166" i="50" s="1"/>
  <c r="DJ112" i="50"/>
  <c r="BG166" i="50" s="1"/>
  <c r="DI112" i="50"/>
  <c r="BF166" i="50" s="1"/>
  <c r="DM111" i="50"/>
  <c r="BJ165" i="50" s="1"/>
  <c r="DL111" i="50"/>
  <c r="BI165" i="50" s="1"/>
  <c r="DK111" i="50"/>
  <c r="BH165" i="50" s="1"/>
  <c r="DJ111" i="50"/>
  <c r="BG165" i="50" s="1"/>
  <c r="DI111" i="50"/>
  <c r="BF165" i="50" s="1"/>
  <c r="DH134" i="50"/>
  <c r="BE188" i="50" s="1"/>
  <c r="DG134" i="50"/>
  <c r="BD188" i="50" s="1"/>
  <c r="DF134" i="50"/>
  <c r="BC188" i="50" s="1"/>
  <c r="DE134" i="50"/>
  <c r="BB188" i="50" s="1"/>
  <c r="DD134" i="50"/>
  <c r="BA188" i="50" s="1"/>
  <c r="DH132" i="50"/>
  <c r="BE186" i="50" s="1"/>
  <c r="DG132" i="50"/>
  <c r="BD186" i="50" s="1"/>
  <c r="DF132" i="50"/>
  <c r="BC186" i="50" s="1"/>
  <c r="DE132" i="50"/>
  <c r="BB186" i="50" s="1"/>
  <c r="DD132" i="50"/>
  <c r="BA186" i="50" s="1"/>
  <c r="DH131" i="50"/>
  <c r="BE185" i="50" s="1"/>
  <c r="DG131" i="50"/>
  <c r="BD185" i="50" s="1"/>
  <c r="DF131" i="50"/>
  <c r="BC185" i="50" s="1"/>
  <c r="DE131" i="50"/>
  <c r="BB185" i="50" s="1"/>
  <c r="DD131" i="50"/>
  <c r="BA185" i="50" s="1"/>
  <c r="DH130" i="50"/>
  <c r="BE184" i="50" s="1"/>
  <c r="DG130" i="50"/>
  <c r="BD184" i="50" s="1"/>
  <c r="DF130" i="50"/>
  <c r="BC184" i="50" s="1"/>
  <c r="DE130" i="50"/>
  <c r="BB184" i="50" s="1"/>
  <c r="DD130" i="50"/>
  <c r="BA184" i="50" s="1"/>
  <c r="DH129" i="50"/>
  <c r="BE183" i="50" s="1"/>
  <c r="DG129" i="50"/>
  <c r="BD183" i="50" s="1"/>
  <c r="DF129" i="50"/>
  <c r="BC183" i="50" s="1"/>
  <c r="DE129" i="50"/>
  <c r="BB183" i="50" s="1"/>
  <c r="DD129" i="50"/>
  <c r="BA183" i="50" s="1"/>
  <c r="DH128" i="50"/>
  <c r="BE182" i="50" s="1"/>
  <c r="DG128" i="50"/>
  <c r="BD182" i="50" s="1"/>
  <c r="DF128" i="50"/>
  <c r="BC182" i="50" s="1"/>
  <c r="DE128" i="50"/>
  <c r="BB182" i="50" s="1"/>
  <c r="DD128" i="50"/>
  <c r="BA182" i="50" s="1"/>
  <c r="DH127" i="50"/>
  <c r="BE181" i="50" s="1"/>
  <c r="DG127" i="50"/>
  <c r="BD181" i="50" s="1"/>
  <c r="DF127" i="50"/>
  <c r="BC181" i="50" s="1"/>
  <c r="DE127" i="50"/>
  <c r="BB181" i="50" s="1"/>
  <c r="DD127" i="50"/>
  <c r="BA181" i="50" s="1"/>
  <c r="DH126" i="50"/>
  <c r="BE180" i="50" s="1"/>
  <c r="DG126" i="50"/>
  <c r="BD180" i="50" s="1"/>
  <c r="DF126" i="50"/>
  <c r="BC180" i="50" s="1"/>
  <c r="DE126" i="50"/>
  <c r="BB180" i="50" s="1"/>
  <c r="DD126" i="50"/>
  <c r="BA180" i="50" s="1"/>
  <c r="DH125" i="50"/>
  <c r="BE179" i="50" s="1"/>
  <c r="DG125" i="50"/>
  <c r="BD179" i="50" s="1"/>
  <c r="DE125" i="50"/>
  <c r="BB179" i="50" s="1"/>
  <c r="DD125" i="50"/>
  <c r="BA179" i="50" s="1"/>
  <c r="DH124" i="50"/>
  <c r="BE178" i="50" s="1"/>
  <c r="DG124" i="50"/>
  <c r="BD178" i="50" s="1"/>
  <c r="DF124" i="50"/>
  <c r="BC178" i="50" s="1"/>
  <c r="DE124" i="50"/>
  <c r="BB178" i="50" s="1"/>
  <c r="DD124" i="50"/>
  <c r="BA178" i="50" s="1"/>
  <c r="DH123" i="50"/>
  <c r="BE177" i="50" s="1"/>
  <c r="DG123" i="50"/>
  <c r="BD177" i="50" s="1"/>
  <c r="DF123" i="50"/>
  <c r="BC177" i="50" s="1"/>
  <c r="DE123" i="50"/>
  <c r="BB177" i="50" s="1"/>
  <c r="DD123" i="50"/>
  <c r="BA177" i="50" s="1"/>
  <c r="DH122" i="50"/>
  <c r="BE176" i="50" s="1"/>
  <c r="DG122" i="50"/>
  <c r="BD176" i="50" s="1"/>
  <c r="DF122" i="50"/>
  <c r="BC176" i="50" s="1"/>
  <c r="DE122" i="50"/>
  <c r="BB176" i="50" s="1"/>
  <c r="DD122" i="50"/>
  <c r="BA176" i="50" s="1"/>
  <c r="DH121" i="50"/>
  <c r="BE175" i="50" s="1"/>
  <c r="DG121" i="50"/>
  <c r="BD175" i="50" s="1"/>
  <c r="DF121" i="50"/>
  <c r="BC175" i="50" s="1"/>
  <c r="DE121" i="50"/>
  <c r="BB175" i="50" s="1"/>
  <c r="DD121" i="50"/>
  <c r="BA175" i="50" s="1"/>
  <c r="DH120" i="50"/>
  <c r="BE174" i="50" s="1"/>
  <c r="DG120" i="50"/>
  <c r="BD174" i="50" s="1"/>
  <c r="DF120" i="50"/>
  <c r="BC174" i="50" s="1"/>
  <c r="DE120" i="50"/>
  <c r="BB174" i="50" s="1"/>
  <c r="DD120" i="50"/>
  <c r="BA174" i="50" s="1"/>
  <c r="DH119" i="50"/>
  <c r="BE173" i="50" s="1"/>
  <c r="DG119" i="50"/>
  <c r="BD173" i="50" s="1"/>
  <c r="DF119" i="50"/>
  <c r="BC173" i="50" s="1"/>
  <c r="DE119" i="50"/>
  <c r="BB173" i="50" s="1"/>
  <c r="DD119" i="50"/>
  <c r="BA173" i="50" s="1"/>
  <c r="DH118" i="50"/>
  <c r="BE172" i="50" s="1"/>
  <c r="DG118" i="50"/>
  <c r="BD172" i="50" s="1"/>
  <c r="DF118" i="50"/>
  <c r="BC172" i="50" s="1"/>
  <c r="DE118" i="50"/>
  <c r="BB172" i="50" s="1"/>
  <c r="DD118" i="50"/>
  <c r="BA172" i="50" s="1"/>
  <c r="DH117" i="50"/>
  <c r="BE171" i="50" s="1"/>
  <c r="DG117" i="50"/>
  <c r="BD171" i="50" s="1"/>
  <c r="DF117" i="50"/>
  <c r="BC171" i="50" s="1"/>
  <c r="DE117" i="50"/>
  <c r="BB171" i="50" s="1"/>
  <c r="DD117" i="50"/>
  <c r="BA171" i="50" s="1"/>
  <c r="DH116" i="50"/>
  <c r="BE170" i="50" s="1"/>
  <c r="DG116" i="50"/>
  <c r="BD170" i="50" s="1"/>
  <c r="DF116" i="50"/>
  <c r="BC170" i="50" s="1"/>
  <c r="DE116" i="50"/>
  <c r="BB170" i="50" s="1"/>
  <c r="DD116" i="50"/>
  <c r="BA170" i="50" s="1"/>
  <c r="DH115" i="50"/>
  <c r="BE169" i="50" s="1"/>
  <c r="DG115" i="50"/>
  <c r="BD169" i="50" s="1"/>
  <c r="DF115" i="50"/>
  <c r="BC169" i="50" s="1"/>
  <c r="DE115" i="50"/>
  <c r="BB169" i="50" s="1"/>
  <c r="DD115" i="50"/>
  <c r="BA169" i="50" s="1"/>
  <c r="DH114" i="50"/>
  <c r="BE168" i="50" s="1"/>
  <c r="DG114" i="50"/>
  <c r="BD168" i="50" s="1"/>
  <c r="DF114" i="50"/>
  <c r="BC168" i="50" s="1"/>
  <c r="DE114" i="50"/>
  <c r="BB168" i="50" s="1"/>
  <c r="DD114" i="50"/>
  <c r="BA168" i="50" s="1"/>
  <c r="DH113" i="50"/>
  <c r="BE167" i="50" s="1"/>
  <c r="DG113" i="50"/>
  <c r="BD167" i="50" s="1"/>
  <c r="DF113" i="50"/>
  <c r="BC167" i="50" s="1"/>
  <c r="DE113" i="50"/>
  <c r="BB167" i="50" s="1"/>
  <c r="DD113" i="50"/>
  <c r="BA167" i="50" s="1"/>
  <c r="DH112" i="50"/>
  <c r="BE166" i="50" s="1"/>
  <c r="DG112" i="50"/>
  <c r="BD166" i="50" s="1"/>
  <c r="DF112" i="50"/>
  <c r="BC166" i="50" s="1"/>
  <c r="DE112" i="50"/>
  <c r="BB166" i="50" s="1"/>
  <c r="DD112" i="50"/>
  <c r="BA166" i="50" s="1"/>
  <c r="DH111" i="50"/>
  <c r="BE165" i="50" s="1"/>
  <c r="DG111" i="50"/>
  <c r="BD165" i="50" s="1"/>
  <c r="DF111" i="50"/>
  <c r="BC165" i="50" s="1"/>
  <c r="DE111" i="50"/>
  <c r="BB165" i="50" s="1"/>
  <c r="DD111" i="50"/>
  <c r="BA165" i="50" s="1"/>
  <c r="DC134" i="50"/>
  <c r="DB134" i="50"/>
  <c r="DA134" i="50"/>
  <c r="CZ134" i="50"/>
  <c r="CY134" i="50"/>
  <c r="DC132" i="50"/>
  <c r="DB132" i="50"/>
  <c r="DA132" i="50"/>
  <c r="CZ132" i="50"/>
  <c r="CY132" i="50"/>
  <c r="DC131" i="50"/>
  <c r="DB131" i="50"/>
  <c r="DA131" i="50"/>
  <c r="CZ131" i="50"/>
  <c r="CY131" i="50"/>
  <c r="DC130" i="50"/>
  <c r="DB130" i="50"/>
  <c r="DA130" i="50"/>
  <c r="CZ130" i="50"/>
  <c r="CY130" i="50"/>
  <c r="DC129" i="50"/>
  <c r="DB129" i="50"/>
  <c r="DA129" i="50"/>
  <c r="CZ129" i="50"/>
  <c r="CY129" i="50"/>
  <c r="DC128" i="50"/>
  <c r="DB128" i="50"/>
  <c r="DA128" i="50"/>
  <c r="CZ128" i="50"/>
  <c r="CY128" i="50"/>
  <c r="DC127" i="50"/>
  <c r="DB127" i="50"/>
  <c r="DA127" i="50"/>
  <c r="CZ127" i="50"/>
  <c r="CY127" i="50"/>
  <c r="DC126" i="50"/>
  <c r="DB126" i="50"/>
  <c r="DA126" i="50"/>
  <c r="CZ126" i="50"/>
  <c r="CY126" i="50"/>
  <c r="DC125" i="50"/>
  <c r="DB125" i="50"/>
  <c r="CZ125" i="50"/>
  <c r="CY125" i="50"/>
  <c r="DC124" i="50"/>
  <c r="DB124" i="50"/>
  <c r="DA124" i="50"/>
  <c r="CZ124" i="50"/>
  <c r="CY124" i="50"/>
  <c r="DC123" i="50"/>
  <c r="DB123" i="50"/>
  <c r="DA123" i="50"/>
  <c r="CZ123" i="50"/>
  <c r="CY123" i="50"/>
  <c r="DC122" i="50"/>
  <c r="DB122" i="50"/>
  <c r="DA122" i="50"/>
  <c r="CZ122" i="50"/>
  <c r="CY122" i="50"/>
  <c r="DC121" i="50"/>
  <c r="DB121" i="50"/>
  <c r="DA121" i="50"/>
  <c r="CZ121" i="50"/>
  <c r="CY121" i="50"/>
  <c r="DC120" i="50"/>
  <c r="DB120" i="50"/>
  <c r="DA120" i="50"/>
  <c r="CZ120" i="50"/>
  <c r="CY120" i="50"/>
  <c r="DC119" i="50"/>
  <c r="DB119" i="50"/>
  <c r="DA119" i="50"/>
  <c r="CZ119" i="50"/>
  <c r="CY119" i="50"/>
  <c r="DC118" i="50"/>
  <c r="DB118" i="50"/>
  <c r="DA118" i="50"/>
  <c r="CZ118" i="50"/>
  <c r="CY118" i="50"/>
  <c r="DC117" i="50"/>
  <c r="DB117" i="50"/>
  <c r="DA117" i="50"/>
  <c r="CZ117" i="50"/>
  <c r="CY117" i="50"/>
  <c r="DC116" i="50"/>
  <c r="DB116" i="50"/>
  <c r="DA116" i="50"/>
  <c r="CZ116" i="50"/>
  <c r="CY116" i="50"/>
  <c r="DC115" i="50"/>
  <c r="DB115" i="50"/>
  <c r="DA115" i="50"/>
  <c r="CZ115" i="50"/>
  <c r="CY115" i="50"/>
  <c r="DC114" i="50"/>
  <c r="DB114" i="50"/>
  <c r="DA114" i="50"/>
  <c r="CZ114" i="50"/>
  <c r="CY114" i="50"/>
  <c r="DC113" i="50"/>
  <c r="DB113" i="50"/>
  <c r="DA113" i="50"/>
  <c r="CZ113" i="50"/>
  <c r="CY113" i="50"/>
  <c r="DC112" i="50"/>
  <c r="DB112" i="50"/>
  <c r="DA112" i="50"/>
  <c r="CZ112" i="50"/>
  <c r="CY112" i="50"/>
  <c r="DC111" i="50"/>
  <c r="DB111" i="50"/>
  <c r="DA111" i="50"/>
  <c r="CZ111" i="50"/>
  <c r="CY111" i="50"/>
  <c r="CX134" i="50"/>
  <c r="CW134" i="50"/>
  <c r="CV134" i="50"/>
  <c r="CU134" i="50"/>
  <c r="CT134" i="50"/>
  <c r="CX132" i="50"/>
  <c r="CW132" i="50"/>
  <c r="CV132" i="50"/>
  <c r="CU132" i="50"/>
  <c r="CT132" i="50"/>
  <c r="CX131" i="50"/>
  <c r="CW131" i="50"/>
  <c r="CV131" i="50"/>
  <c r="CU131" i="50"/>
  <c r="CT131" i="50"/>
  <c r="CX130" i="50"/>
  <c r="CW130" i="50"/>
  <c r="CV130" i="50"/>
  <c r="CU130" i="50"/>
  <c r="CT130" i="50"/>
  <c r="CX129" i="50"/>
  <c r="CW129" i="50"/>
  <c r="CV129" i="50"/>
  <c r="CU129" i="50"/>
  <c r="CT129" i="50"/>
  <c r="CX128" i="50"/>
  <c r="CW128" i="50"/>
  <c r="CV128" i="50"/>
  <c r="CU128" i="50"/>
  <c r="CT128" i="50"/>
  <c r="CX127" i="50"/>
  <c r="CW127" i="50"/>
  <c r="CV127" i="50"/>
  <c r="CU127" i="50"/>
  <c r="CT127" i="50"/>
  <c r="CX126" i="50"/>
  <c r="CW126" i="50"/>
  <c r="CV126" i="50"/>
  <c r="CU126" i="50"/>
  <c r="CT126" i="50"/>
  <c r="CX125" i="50"/>
  <c r="CW125" i="50"/>
  <c r="CU125" i="50"/>
  <c r="CT125" i="50"/>
  <c r="CX124" i="50"/>
  <c r="CW124" i="50"/>
  <c r="CV124" i="50"/>
  <c r="CU124" i="50"/>
  <c r="CT124" i="50"/>
  <c r="CX123" i="50"/>
  <c r="CW123" i="50"/>
  <c r="CV123" i="50"/>
  <c r="CU123" i="50"/>
  <c r="CT123" i="50"/>
  <c r="CX122" i="50"/>
  <c r="CW122" i="50"/>
  <c r="CV122" i="50"/>
  <c r="CU122" i="50"/>
  <c r="CT122" i="50"/>
  <c r="CX121" i="50"/>
  <c r="CW121" i="50"/>
  <c r="CV121" i="50"/>
  <c r="CU121" i="50"/>
  <c r="CT121" i="50"/>
  <c r="CX120" i="50"/>
  <c r="CW120" i="50"/>
  <c r="CV120" i="50"/>
  <c r="CU120" i="50"/>
  <c r="CT120" i="50"/>
  <c r="CX119" i="50"/>
  <c r="CW119" i="50"/>
  <c r="CV119" i="50"/>
  <c r="CU119" i="50"/>
  <c r="CT119" i="50"/>
  <c r="CX118" i="50"/>
  <c r="CW118" i="50"/>
  <c r="CV118" i="50"/>
  <c r="CU118" i="50"/>
  <c r="CT118" i="50"/>
  <c r="CX117" i="50"/>
  <c r="CW117" i="50"/>
  <c r="CV117" i="50"/>
  <c r="CU117" i="50"/>
  <c r="CT117" i="50"/>
  <c r="CX116" i="50"/>
  <c r="CW116" i="50"/>
  <c r="CV116" i="50"/>
  <c r="CU116" i="50"/>
  <c r="CT116" i="50"/>
  <c r="CX115" i="50"/>
  <c r="CW115" i="50"/>
  <c r="CV115" i="50"/>
  <c r="CU115" i="50"/>
  <c r="CT115" i="50"/>
  <c r="CX114" i="50"/>
  <c r="CW114" i="50"/>
  <c r="CV114" i="50"/>
  <c r="CU114" i="50"/>
  <c r="CT114" i="50"/>
  <c r="CX113" i="50"/>
  <c r="CW113" i="50"/>
  <c r="CV113" i="50"/>
  <c r="CU113" i="50"/>
  <c r="CT113" i="50"/>
  <c r="CX112" i="50"/>
  <c r="CW112" i="50"/>
  <c r="CV112" i="50"/>
  <c r="CU112" i="50"/>
  <c r="CT112" i="50"/>
  <c r="CX111" i="50"/>
  <c r="CW111" i="50"/>
  <c r="CV111" i="50"/>
  <c r="CU111" i="50"/>
  <c r="CT111" i="50"/>
  <c r="CS134" i="50"/>
  <c r="AZ188" i="50" s="1"/>
  <c r="CR134" i="50"/>
  <c r="AY188" i="50" s="1"/>
  <c r="CQ134" i="50"/>
  <c r="CP134" i="50"/>
  <c r="CO134" i="50"/>
  <c r="CS132" i="50"/>
  <c r="CR132" i="50"/>
  <c r="AY186" i="50" s="1"/>
  <c r="CQ132" i="50"/>
  <c r="AX186" i="50" s="1"/>
  <c r="CP132" i="50"/>
  <c r="AW186" i="50" s="1"/>
  <c r="CO132" i="50"/>
  <c r="AV186" i="50" s="1"/>
  <c r="CS131" i="50"/>
  <c r="CR131" i="50"/>
  <c r="CQ131" i="50"/>
  <c r="CP131" i="50"/>
  <c r="CO131" i="50"/>
  <c r="AV185" i="50" s="1"/>
  <c r="CS130" i="50"/>
  <c r="AZ184" i="50" s="1"/>
  <c r="CR130" i="50"/>
  <c r="AY184" i="50" s="1"/>
  <c r="CQ130" i="50"/>
  <c r="AX184" i="50" s="1"/>
  <c r="CP130" i="50"/>
  <c r="CO130" i="50"/>
  <c r="CS129" i="50"/>
  <c r="CR129" i="50"/>
  <c r="CQ129" i="50"/>
  <c r="AX183" i="50" s="1"/>
  <c r="CP129" i="50"/>
  <c r="AW183" i="50" s="1"/>
  <c r="CO129" i="50"/>
  <c r="AV183" i="50" s="1"/>
  <c r="CS128" i="50"/>
  <c r="AZ182" i="50" s="1"/>
  <c r="CR128" i="50"/>
  <c r="CQ128" i="50"/>
  <c r="CP128" i="50"/>
  <c r="CO128" i="50"/>
  <c r="CS127" i="50"/>
  <c r="AZ181" i="50" s="1"/>
  <c r="CR127" i="50"/>
  <c r="AY181" i="50" s="1"/>
  <c r="CQ127" i="50"/>
  <c r="AX181" i="50" s="1"/>
  <c r="CP127" i="50"/>
  <c r="AW181" i="50" s="1"/>
  <c r="CO127" i="50"/>
  <c r="CS126" i="50"/>
  <c r="CR126" i="50"/>
  <c r="CQ126" i="50"/>
  <c r="CP126" i="50"/>
  <c r="AW180" i="50" s="1"/>
  <c r="CO126" i="50"/>
  <c r="AV180" i="50" s="1"/>
  <c r="CS125" i="50"/>
  <c r="AZ179" i="50" s="1"/>
  <c r="CR125" i="50"/>
  <c r="AY179" i="50" s="1"/>
  <c r="CP125" i="50"/>
  <c r="CO125" i="50"/>
  <c r="CS124" i="50"/>
  <c r="CR124" i="50"/>
  <c r="CQ124" i="50"/>
  <c r="AX178" i="50" s="1"/>
  <c r="CP124" i="50"/>
  <c r="AW178" i="50" s="1"/>
  <c r="CO124" i="50"/>
  <c r="AV178" i="50" s="1"/>
  <c r="CS123" i="50"/>
  <c r="AZ177" i="50" s="1"/>
  <c r="CR123" i="50"/>
  <c r="CQ123" i="50"/>
  <c r="CP123" i="50"/>
  <c r="CO123" i="50"/>
  <c r="CS122" i="50"/>
  <c r="AZ176" i="50" s="1"/>
  <c r="CR122" i="50"/>
  <c r="AY176" i="50" s="1"/>
  <c r="CQ122" i="50"/>
  <c r="AX176" i="50" s="1"/>
  <c r="CP122" i="50"/>
  <c r="AW176" i="50" s="1"/>
  <c r="CO122" i="50"/>
  <c r="CS121" i="50"/>
  <c r="CR121" i="50"/>
  <c r="CQ121" i="50"/>
  <c r="CP121" i="50"/>
  <c r="AW175" i="50" s="1"/>
  <c r="CO121" i="50"/>
  <c r="AV175" i="50" s="1"/>
  <c r="CS120" i="50"/>
  <c r="AZ174" i="50" s="1"/>
  <c r="CR120" i="50"/>
  <c r="AY174" i="50" s="1"/>
  <c r="CQ120" i="50"/>
  <c r="CP120" i="50"/>
  <c r="CO120" i="50"/>
  <c r="CS119" i="50"/>
  <c r="CR119" i="50"/>
  <c r="AY173" i="50" s="1"/>
  <c r="CQ119" i="50"/>
  <c r="AX173" i="50" s="1"/>
  <c r="CP119" i="50"/>
  <c r="AW173" i="50" s="1"/>
  <c r="CO119" i="50"/>
  <c r="AV173" i="50" s="1"/>
  <c r="CS118" i="50"/>
  <c r="CR118" i="50"/>
  <c r="CQ118" i="50"/>
  <c r="CP118" i="50"/>
  <c r="CO118" i="50"/>
  <c r="AV172" i="50" s="1"/>
  <c r="CS117" i="50"/>
  <c r="AZ171" i="50" s="1"/>
  <c r="CR117" i="50"/>
  <c r="AY171" i="50" s="1"/>
  <c r="CQ117" i="50"/>
  <c r="AX171" i="50" s="1"/>
  <c r="CP117" i="50"/>
  <c r="CO117" i="50"/>
  <c r="CS116" i="50"/>
  <c r="CR116" i="50"/>
  <c r="CQ116" i="50"/>
  <c r="AX170" i="50" s="1"/>
  <c r="CP116" i="50"/>
  <c r="AW170" i="50" s="1"/>
  <c r="CO116" i="50"/>
  <c r="AV170" i="50" s="1"/>
  <c r="CS115" i="50"/>
  <c r="AZ169" i="50" s="1"/>
  <c r="CR115" i="50"/>
  <c r="CQ115" i="50"/>
  <c r="CP115" i="50"/>
  <c r="CO115" i="50"/>
  <c r="CS114" i="50"/>
  <c r="AZ168" i="50" s="1"/>
  <c r="CR114" i="50"/>
  <c r="AY168" i="50" s="1"/>
  <c r="CQ114" i="50"/>
  <c r="AX168" i="50" s="1"/>
  <c r="CP114" i="50"/>
  <c r="AW168" i="50" s="1"/>
  <c r="CO114" i="50"/>
  <c r="CS113" i="50"/>
  <c r="CR113" i="50"/>
  <c r="CQ113" i="50"/>
  <c r="CP113" i="50"/>
  <c r="AW167" i="50" s="1"/>
  <c r="CO113" i="50"/>
  <c r="AV167" i="50" s="1"/>
  <c r="CS112" i="50"/>
  <c r="AZ166" i="50" s="1"/>
  <c r="CR112" i="50"/>
  <c r="AY166" i="50" s="1"/>
  <c r="CQ112" i="50"/>
  <c r="CP112" i="50"/>
  <c r="CO112" i="50"/>
  <c r="CS111" i="50"/>
  <c r="CR111" i="50"/>
  <c r="AY165" i="50" s="1"/>
  <c r="CQ111" i="50"/>
  <c r="AX165" i="50" s="1"/>
  <c r="CP111" i="50"/>
  <c r="AW165" i="50" s="1"/>
  <c r="CO111" i="50"/>
  <c r="AV165" i="50" s="1"/>
  <c r="CN134" i="50"/>
  <c r="AU188" i="50" s="1"/>
  <c r="CM134" i="50"/>
  <c r="AT188" i="50" s="1"/>
  <c r="CL134" i="50"/>
  <c r="AS188" i="50" s="1"/>
  <c r="CK134" i="50"/>
  <c r="AR188" i="50" s="1"/>
  <c r="CJ134" i="50"/>
  <c r="AQ188" i="50" s="1"/>
  <c r="CN132" i="50"/>
  <c r="AU186" i="50" s="1"/>
  <c r="CM132" i="50"/>
  <c r="AT186" i="50" s="1"/>
  <c r="CL132" i="50"/>
  <c r="AS186" i="50" s="1"/>
  <c r="CK132" i="50"/>
  <c r="AR186" i="50" s="1"/>
  <c r="CJ132" i="50"/>
  <c r="AQ186" i="50" s="1"/>
  <c r="CN131" i="50"/>
  <c r="AU185" i="50" s="1"/>
  <c r="CM131" i="50"/>
  <c r="AT185" i="50" s="1"/>
  <c r="CL131" i="50"/>
  <c r="AS185" i="50" s="1"/>
  <c r="CK131" i="50"/>
  <c r="AR185" i="50" s="1"/>
  <c r="CJ131" i="50"/>
  <c r="AQ185" i="50" s="1"/>
  <c r="CN130" i="50"/>
  <c r="AU184" i="50" s="1"/>
  <c r="CM130" i="50"/>
  <c r="AT184" i="50" s="1"/>
  <c r="CL130" i="50"/>
  <c r="AS184" i="50" s="1"/>
  <c r="CK130" i="50"/>
  <c r="AR184" i="50" s="1"/>
  <c r="CJ130" i="50"/>
  <c r="AQ184" i="50" s="1"/>
  <c r="CN129" i="50"/>
  <c r="AU183" i="50" s="1"/>
  <c r="CM129" i="50"/>
  <c r="AT183" i="50" s="1"/>
  <c r="CL129" i="50"/>
  <c r="AS183" i="50" s="1"/>
  <c r="CK129" i="50"/>
  <c r="AR183" i="50" s="1"/>
  <c r="CJ129" i="50"/>
  <c r="AQ183" i="50" s="1"/>
  <c r="CN128" i="50"/>
  <c r="AU182" i="50" s="1"/>
  <c r="CM128" i="50"/>
  <c r="AT182" i="50" s="1"/>
  <c r="CL128" i="50"/>
  <c r="AS182" i="50" s="1"/>
  <c r="CK128" i="50"/>
  <c r="AR182" i="50" s="1"/>
  <c r="CJ128" i="50"/>
  <c r="AQ182" i="50" s="1"/>
  <c r="CN127" i="50"/>
  <c r="AU181" i="50" s="1"/>
  <c r="CM127" i="50"/>
  <c r="AT181" i="50" s="1"/>
  <c r="CL127" i="50"/>
  <c r="AS181" i="50" s="1"/>
  <c r="CK127" i="50"/>
  <c r="AR181" i="50" s="1"/>
  <c r="CJ127" i="50"/>
  <c r="AQ181" i="50" s="1"/>
  <c r="CN126" i="50"/>
  <c r="AU180" i="50" s="1"/>
  <c r="CM126" i="50"/>
  <c r="AT180" i="50" s="1"/>
  <c r="CL126" i="50"/>
  <c r="AS180" i="50" s="1"/>
  <c r="CK126" i="50"/>
  <c r="AR180" i="50" s="1"/>
  <c r="CJ126" i="50"/>
  <c r="AQ180" i="50" s="1"/>
  <c r="CN125" i="50"/>
  <c r="AU179" i="50" s="1"/>
  <c r="CM125" i="50"/>
  <c r="AT179" i="50" s="1"/>
  <c r="CK125" i="50"/>
  <c r="AR179" i="50" s="1"/>
  <c r="CJ125" i="50"/>
  <c r="AQ179" i="50" s="1"/>
  <c r="CN124" i="50"/>
  <c r="AU178" i="50" s="1"/>
  <c r="CM124" i="50"/>
  <c r="AT178" i="50" s="1"/>
  <c r="CL124" i="50"/>
  <c r="AS178" i="50" s="1"/>
  <c r="CK124" i="50"/>
  <c r="AR178" i="50" s="1"/>
  <c r="CJ124" i="50"/>
  <c r="AQ178" i="50" s="1"/>
  <c r="CN123" i="50"/>
  <c r="AU177" i="50" s="1"/>
  <c r="CM123" i="50"/>
  <c r="AT177" i="50" s="1"/>
  <c r="CL123" i="50"/>
  <c r="AS177" i="50" s="1"/>
  <c r="CK123" i="50"/>
  <c r="AR177" i="50" s="1"/>
  <c r="CJ123" i="50"/>
  <c r="AQ177" i="50" s="1"/>
  <c r="CN122" i="50"/>
  <c r="AU176" i="50" s="1"/>
  <c r="CM122" i="50"/>
  <c r="AT176" i="50" s="1"/>
  <c r="CL122" i="50"/>
  <c r="AS176" i="50" s="1"/>
  <c r="CK122" i="50"/>
  <c r="AR176" i="50" s="1"/>
  <c r="CJ122" i="50"/>
  <c r="AQ176" i="50" s="1"/>
  <c r="CN121" i="50"/>
  <c r="AU175" i="50" s="1"/>
  <c r="CM121" i="50"/>
  <c r="AT175" i="50" s="1"/>
  <c r="CL121" i="50"/>
  <c r="AS175" i="50" s="1"/>
  <c r="CK121" i="50"/>
  <c r="AR175" i="50" s="1"/>
  <c r="CJ121" i="50"/>
  <c r="AQ175" i="50" s="1"/>
  <c r="CN120" i="50"/>
  <c r="AU174" i="50" s="1"/>
  <c r="CM120" i="50"/>
  <c r="AT174" i="50" s="1"/>
  <c r="CL120" i="50"/>
  <c r="AS174" i="50" s="1"/>
  <c r="CK120" i="50"/>
  <c r="AR174" i="50" s="1"/>
  <c r="CJ120" i="50"/>
  <c r="AQ174" i="50" s="1"/>
  <c r="CN119" i="50"/>
  <c r="AU173" i="50" s="1"/>
  <c r="CM119" i="50"/>
  <c r="AT173" i="50" s="1"/>
  <c r="CL119" i="50"/>
  <c r="AS173" i="50" s="1"/>
  <c r="CK119" i="50"/>
  <c r="AR173" i="50" s="1"/>
  <c r="CJ119" i="50"/>
  <c r="AQ173" i="50" s="1"/>
  <c r="CN118" i="50"/>
  <c r="AU172" i="50" s="1"/>
  <c r="CM118" i="50"/>
  <c r="AT172" i="50" s="1"/>
  <c r="CL118" i="50"/>
  <c r="AS172" i="50" s="1"/>
  <c r="CK118" i="50"/>
  <c r="AR172" i="50" s="1"/>
  <c r="CJ118" i="50"/>
  <c r="AQ172" i="50" s="1"/>
  <c r="CN117" i="50"/>
  <c r="AU171" i="50" s="1"/>
  <c r="CM117" i="50"/>
  <c r="AT171" i="50" s="1"/>
  <c r="CL117" i="50"/>
  <c r="AS171" i="50" s="1"/>
  <c r="CK117" i="50"/>
  <c r="AR171" i="50" s="1"/>
  <c r="CJ117" i="50"/>
  <c r="AQ171" i="50" s="1"/>
  <c r="CN116" i="50"/>
  <c r="AU170" i="50" s="1"/>
  <c r="CM116" i="50"/>
  <c r="AT170" i="50" s="1"/>
  <c r="CL116" i="50"/>
  <c r="AS170" i="50" s="1"/>
  <c r="CK116" i="50"/>
  <c r="AR170" i="50" s="1"/>
  <c r="CJ116" i="50"/>
  <c r="AQ170" i="50" s="1"/>
  <c r="CN115" i="50"/>
  <c r="AU169" i="50" s="1"/>
  <c r="CM115" i="50"/>
  <c r="AT169" i="50" s="1"/>
  <c r="CL115" i="50"/>
  <c r="AS169" i="50" s="1"/>
  <c r="CK115" i="50"/>
  <c r="AR169" i="50" s="1"/>
  <c r="CJ115" i="50"/>
  <c r="AQ169" i="50" s="1"/>
  <c r="CN114" i="50"/>
  <c r="AU168" i="50" s="1"/>
  <c r="CM114" i="50"/>
  <c r="AT168" i="50" s="1"/>
  <c r="CL114" i="50"/>
  <c r="AS168" i="50" s="1"/>
  <c r="CK114" i="50"/>
  <c r="AR168" i="50" s="1"/>
  <c r="CJ114" i="50"/>
  <c r="AQ168" i="50" s="1"/>
  <c r="CN113" i="50"/>
  <c r="AU167" i="50" s="1"/>
  <c r="CM113" i="50"/>
  <c r="AT167" i="50" s="1"/>
  <c r="CL113" i="50"/>
  <c r="AS167" i="50" s="1"/>
  <c r="CK113" i="50"/>
  <c r="AR167" i="50" s="1"/>
  <c r="CJ113" i="50"/>
  <c r="AQ167" i="50" s="1"/>
  <c r="CN112" i="50"/>
  <c r="AU166" i="50" s="1"/>
  <c r="CM112" i="50"/>
  <c r="AT166" i="50" s="1"/>
  <c r="CL112" i="50"/>
  <c r="AS166" i="50" s="1"/>
  <c r="CK112" i="50"/>
  <c r="AR166" i="50" s="1"/>
  <c r="CJ112" i="50"/>
  <c r="AQ166" i="50" s="1"/>
  <c r="CN111" i="50"/>
  <c r="AU165" i="50" s="1"/>
  <c r="CM111" i="50"/>
  <c r="AT165" i="50" s="1"/>
  <c r="CL111" i="50"/>
  <c r="AS165" i="50" s="1"/>
  <c r="CK111" i="50"/>
  <c r="AR165" i="50" s="1"/>
  <c r="CJ111" i="50"/>
  <c r="AQ165" i="50" s="1"/>
  <c r="CI134" i="50"/>
  <c r="CH134" i="50"/>
  <c r="CG134" i="50"/>
  <c r="CF134" i="50"/>
  <c r="CE134" i="50"/>
  <c r="CI132" i="50"/>
  <c r="CH132" i="50"/>
  <c r="CG132" i="50"/>
  <c r="CF132" i="50"/>
  <c r="CE132" i="50"/>
  <c r="CI131" i="50"/>
  <c r="CH131" i="50"/>
  <c r="CG131" i="50"/>
  <c r="CF131" i="50"/>
  <c r="CE131" i="50"/>
  <c r="CI130" i="50"/>
  <c r="CH130" i="50"/>
  <c r="CG130" i="50"/>
  <c r="CF130" i="50"/>
  <c r="CE130" i="50"/>
  <c r="CI129" i="50"/>
  <c r="CH129" i="50"/>
  <c r="CG129" i="50"/>
  <c r="CF129" i="50"/>
  <c r="CE129" i="50"/>
  <c r="CI128" i="50"/>
  <c r="CH128" i="50"/>
  <c r="CG128" i="50"/>
  <c r="CF128" i="50"/>
  <c r="CE128" i="50"/>
  <c r="CI127" i="50"/>
  <c r="CH127" i="50"/>
  <c r="CG127" i="50"/>
  <c r="CF127" i="50"/>
  <c r="CE127" i="50"/>
  <c r="CI126" i="50"/>
  <c r="CH126" i="50"/>
  <c r="CG126" i="50"/>
  <c r="CF126" i="50"/>
  <c r="CE126" i="50"/>
  <c r="CI125" i="50"/>
  <c r="CH125" i="50"/>
  <c r="CF125" i="50"/>
  <c r="CE125" i="50"/>
  <c r="CI124" i="50"/>
  <c r="CH124" i="50"/>
  <c r="CG124" i="50"/>
  <c r="CF124" i="50"/>
  <c r="CE124" i="50"/>
  <c r="CI123" i="50"/>
  <c r="CH123" i="50"/>
  <c r="CG123" i="50"/>
  <c r="CF123" i="50"/>
  <c r="CE123" i="50"/>
  <c r="CI122" i="50"/>
  <c r="CH122" i="50"/>
  <c r="CG122" i="50"/>
  <c r="CF122" i="50"/>
  <c r="CE122" i="50"/>
  <c r="CI121" i="50"/>
  <c r="CH121" i="50"/>
  <c r="CG121" i="50"/>
  <c r="CF121" i="50"/>
  <c r="CE121" i="50"/>
  <c r="CI120" i="50"/>
  <c r="CH120" i="50"/>
  <c r="CG120" i="50"/>
  <c r="CF120" i="50"/>
  <c r="CE120" i="50"/>
  <c r="CI119" i="50"/>
  <c r="CH119" i="50"/>
  <c r="CG119" i="50"/>
  <c r="CF119" i="50"/>
  <c r="CE119" i="50"/>
  <c r="CI118" i="50"/>
  <c r="CH118" i="50"/>
  <c r="CG118" i="50"/>
  <c r="CF118" i="50"/>
  <c r="CE118" i="50"/>
  <c r="CI117" i="50"/>
  <c r="CH117" i="50"/>
  <c r="CG117" i="50"/>
  <c r="CF117" i="50"/>
  <c r="CE117" i="50"/>
  <c r="CI116" i="50"/>
  <c r="CH116" i="50"/>
  <c r="CG116" i="50"/>
  <c r="CF116" i="50"/>
  <c r="CE116" i="50"/>
  <c r="CI115" i="50"/>
  <c r="CH115" i="50"/>
  <c r="CG115" i="50"/>
  <c r="CF115" i="50"/>
  <c r="CE115" i="50"/>
  <c r="CI114" i="50"/>
  <c r="CH114" i="50"/>
  <c r="CG114" i="50"/>
  <c r="CF114" i="50"/>
  <c r="CE114" i="50"/>
  <c r="CI113" i="50"/>
  <c r="CH113" i="50"/>
  <c r="CG113" i="50"/>
  <c r="CF113" i="50"/>
  <c r="CE113" i="50"/>
  <c r="CI112" i="50"/>
  <c r="CH112" i="50"/>
  <c r="CG112" i="50"/>
  <c r="CF112" i="50"/>
  <c r="CE112" i="50"/>
  <c r="CI111" i="50"/>
  <c r="CH111" i="50"/>
  <c r="CG111" i="50"/>
  <c r="CF111" i="50"/>
  <c r="CE111" i="50"/>
  <c r="DX108" i="50"/>
  <c r="DS108" i="50"/>
  <c r="DN108" i="50"/>
  <c r="DI108" i="50"/>
  <c r="DD108" i="50"/>
  <c r="CY108" i="50"/>
  <c r="CT108" i="50"/>
  <c r="CO108" i="50"/>
  <c r="CJ108" i="50"/>
  <c r="CE108" i="50"/>
  <c r="AB2" i="50"/>
  <c r="A140" i="50"/>
  <c r="B133" i="50"/>
  <c r="B132" i="50"/>
  <c r="B131" i="50"/>
  <c r="B130" i="50"/>
  <c r="B129" i="50"/>
  <c r="B128" i="50"/>
  <c r="B127" i="50"/>
  <c r="B126" i="50"/>
  <c r="B125" i="50"/>
  <c r="B124" i="50"/>
  <c r="B123" i="50"/>
  <c r="B122" i="50"/>
  <c r="B121" i="50"/>
  <c r="B120" i="50"/>
  <c r="B119" i="50"/>
  <c r="B118" i="50"/>
  <c r="B117" i="50"/>
  <c r="B116" i="50"/>
  <c r="B115" i="50"/>
  <c r="B114" i="50"/>
  <c r="B113" i="50"/>
  <c r="B112" i="50"/>
  <c r="B111" i="50"/>
  <c r="CB167" i="50" l="1"/>
  <c r="AN167" i="50"/>
  <c r="AN140" i="50" s="1"/>
  <c r="CB175" i="50"/>
  <c r="BC148" i="50" s="1"/>
  <c r="AN175" i="50"/>
  <c r="AL182" i="50"/>
  <c r="BZ182" i="50"/>
  <c r="BF155" i="50" s="1"/>
  <c r="AT141" i="50"/>
  <c r="BD149" i="50"/>
  <c r="BF138" i="50"/>
  <c r="AL192" i="50" s="1"/>
  <c r="BM150" i="50"/>
  <c r="AS143" i="50"/>
  <c r="AR153" i="50"/>
  <c r="BF156" i="50"/>
  <c r="BR145" i="50"/>
  <c r="BP161" i="50"/>
  <c r="BX138" i="50"/>
  <c r="BU145" i="50"/>
  <c r="BY149" i="50"/>
  <c r="BW151" i="50"/>
  <c r="BU158" i="50"/>
  <c r="CC170" i="50"/>
  <c r="AO170" i="50"/>
  <c r="AO143" i="50" s="1"/>
  <c r="AO178" i="50"/>
  <c r="AO151" i="50" s="1"/>
  <c r="CC178" i="50"/>
  <c r="BA153" i="50"/>
  <c r="BK144" i="50"/>
  <c r="BR140" i="50"/>
  <c r="BR148" i="50"/>
  <c r="BQ158" i="50"/>
  <c r="AO167" i="50"/>
  <c r="AO140" i="50" s="1"/>
  <c r="CC167" i="50"/>
  <c r="AO175" i="50"/>
  <c r="CC175" i="50"/>
  <c r="BS148" i="50" s="1"/>
  <c r="AP183" i="50"/>
  <c r="AP156" i="50" s="1"/>
  <c r="CD183" i="50"/>
  <c r="AW138" i="50"/>
  <c r="BE149" i="50"/>
  <c r="BM139" i="50"/>
  <c r="BT143" i="50"/>
  <c r="BQ155" i="50"/>
  <c r="AP175" i="50"/>
  <c r="AP148" i="50" s="1"/>
  <c r="CD175" i="50"/>
  <c r="BZ184" i="50"/>
  <c r="AL184" i="50"/>
  <c r="AL157" i="50" s="1"/>
  <c r="AR145" i="50"/>
  <c r="AT156" i="50"/>
  <c r="BZ168" i="50"/>
  <c r="AL168" i="50"/>
  <c r="CB174" i="50"/>
  <c r="AN174" i="50"/>
  <c r="AN147" i="50" s="1"/>
  <c r="BZ181" i="50"/>
  <c r="AL181" i="50"/>
  <c r="AV145" i="50"/>
  <c r="AZ154" i="50"/>
  <c r="AX156" i="50"/>
  <c r="CD165" i="50"/>
  <c r="AU138" i="50" s="1"/>
  <c r="AP165" i="50"/>
  <c r="AP138" i="50" s="1"/>
  <c r="CA172" i="50"/>
  <c r="AM172" i="50"/>
  <c r="AM145" i="50" s="1"/>
  <c r="AN180" i="50"/>
  <c r="CB180" i="50"/>
  <c r="BR153" i="50" s="1"/>
  <c r="CA185" i="50"/>
  <c r="AM185" i="50"/>
  <c r="AT149" i="50"/>
  <c r="AZ150" i="50"/>
  <c r="AY161" i="50"/>
  <c r="BO148" i="50"/>
  <c r="BN158" i="50"/>
  <c r="CA177" i="50"/>
  <c r="AM177" i="50"/>
  <c r="AM150" i="50" s="1"/>
  <c r="AT138" i="50"/>
  <c r="AT146" i="50"/>
  <c r="BG138" i="50"/>
  <c r="AM192" i="50" s="1"/>
  <c r="BI144" i="50"/>
  <c r="BN155" i="50"/>
  <c r="CB169" i="50"/>
  <c r="BR142" i="50" s="1"/>
  <c r="AN169" i="50"/>
  <c r="AN142" i="50" s="1"/>
  <c r="CA174" i="50"/>
  <c r="AM174" i="50"/>
  <c r="AN182" i="50"/>
  <c r="CB182" i="50"/>
  <c r="BM155" i="50" s="1"/>
  <c r="AS140" i="50"/>
  <c r="AV140" i="50"/>
  <c r="AX146" i="50"/>
  <c r="BZ165" i="50"/>
  <c r="AL165" i="50"/>
  <c r="AL138" i="50" s="1"/>
  <c r="AM168" i="50"/>
  <c r="CA168" i="50"/>
  <c r="AO174" i="50"/>
  <c r="CC174" i="50"/>
  <c r="CD177" i="50"/>
  <c r="AP177" i="50"/>
  <c r="CC179" i="50"/>
  <c r="AY152" i="50" s="1"/>
  <c r="AO179" i="50"/>
  <c r="AO152" i="50" s="1"/>
  <c r="CA181" i="50"/>
  <c r="AM181" i="50"/>
  <c r="AM154" i="50" s="1"/>
  <c r="CD182" i="50"/>
  <c r="AP182" i="50"/>
  <c r="AN184" i="50"/>
  <c r="AN157" i="50" s="1"/>
  <c r="CB184" i="50"/>
  <c r="BH157" i="50" s="1"/>
  <c r="BZ186" i="50"/>
  <c r="AL186" i="50"/>
  <c r="AO188" i="50"/>
  <c r="CC188" i="50"/>
  <c r="AR139" i="50"/>
  <c r="AU140" i="50"/>
  <c r="AR147" i="50"/>
  <c r="AU148" i="50"/>
  <c r="AQ152" i="50"/>
  <c r="AU153" i="50"/>
  <c r="AQ157" i="50"/>
  <c r="AR161" i="50"/>
  <c r="AZ165" i="50"/>
  <c r="AZ138" i="50" s="1"/>
  <c r="AX167" i="50"/>
  <c r="AX140" i="50" s="1"/>
  <c r="AV169" i="50"/>
  <c r="AV142" i="50" s="1"/>
  <c r="AY170" i="50"/>
  <c r="AY143" i="50" s="1"/>
  <c r="AW172" i="50"/>
  <c r="AW145" i="50" s="1"/>
  <c r="AZ173" i="50"/>
  <c r="AX175" i="50"/>
  <c r="AV177" i="50"/>
  <c r="AY178" i="50"/>
  <c r="AY151" i="50" s="1"/>
  <c r="AX180" i="50"/>
  <c r="AV182" i="50"/>
  <c r="AV155" i="50" s="1"/>
  <c r="AY183" i="50"/>
  <c r="AY156" i="50" s="1"/>
  <c r="AW185" i="50"/>
  <c r="AW158" i="50" s="1"/>
  <c r="AZ186" i="50"/>
  <c r="AP173" i="50"/>
  <c r="CD173" i="50"/>
  <c r="BE146" i="50" s="1"/>
  <c r="AS159" i="50"/>
  <c r="AV146" i="50"/>
  <c r="BK152" i="50"/>
  <c r="BP142" i="50"/>
  <c r="BP150" i="50"/>
  <c r="CD170" i="50"/>
  <c r="BE143" i="50" s="1"/>
  <c r="AK197" i="50" s="1"/>
  <c r="AP170" i="50"/>
  <c r="AP178" i="50"/>
  <c r="CD178" i="50"/>
  <c r="BT151" i="50" s="1"/>
  <c r="AL188" i="50"/>
  <c r="AL161" i="50" s="1"/>
  <c r="BZ188" i="50"/>
  <c r="BJ147" i="50"/>
  <c r="BG159" i="50"/>
  <c r="BQ150" i="50"/>
  <c r="CA166" i="50"/>
  <c r="BQ139" i="50" s="1"/>
  <c r="AM166" i="50"/>
  <c r="BZ171" i="50"/>
  <c r="AL171" i="50"/>
  <c r="AL144" i="50" s="1"/>
  <c r="AL179" i="50"/>
  <c r="AL152" i="50" s="1"/>
  <c r="BZ179" i="50"/>
  <c r="AM188" i="50"/>
  <c r="CA188" i="50"/>
  <c r="BL161" i="50" s="1"/>
  <c r="AS148" i="50"/>
  <c r="AR158" i="50"/>
  <c r="AZ144" i="50"/>
  <c r="AV153" i="50"/>
  <c r="AM171" i="50"/>
  <c r="AM144" i="50" s="1"/>
  <c r="CA171" i="50"/>
  <c r="AO177" i="50"/>
  <c r="CC177" i="50"/>
  <c r="CA184" i="50"/>
  <c r="BB157" i="50" s="1"/>
  <c r="AM184" i="50"/>
  <c r="CB188" i="50"/>
  <c r="AN188" i="50"/>
  <c r="AU143" i="50"/>
  <c r="AQ161" i="50"/>
  <c r="AW148" i="50"/>
  <c r="AP169" i="50"/>
  <c r="CD169" i="50"/>
  <c r="CB171" i="50"/>
  <c r="BR144" i="50" s="1"/>
  <c r="AN171" i="50"/>
  <c r="AN144" i="50" s="1"/>
  <c r="AL173" i="50"/>
  <c r="AL146" i="50" s="1"/>
  <c r="BZ173" i="50"/>
  <c r="AM176" i="50"/>
  <c r="CA176" i="50"/>
  <c r="AR149" i="50" s="1"/>
  <c r="CA165" i="50"/>
  <c r="AM165" i="50"/>
  <c r="AM138" i="50" s="1"/>
  <c r="CD166" i="50"/>
  <c r="BT139" i="50" s="1"/>
  <c r="AP166" i="50"/>
  <c r="AP139" i="50" s="1"/>
  <c r="CB168" i="50"/>
  <c r="AX141" i="50" s="1"/>
  <c r="AN168" i="50"/>
  <c r="BZ170" i="50"/>
  <c r="AL170" i="50"/>
  <c r="AO171" i="50"/>
  <c r="CC171" i="50"/>
  <c r="CA173" i="50"/>
  <c r="AW146" i="50" s="1"/>
  <c r="AM173" i="50"/>
  <c r="AM146" i="50" s="1"/>
  <c r="CD174" i="50"/>
  <c r="AP174" i="50"/>
  <c r="AN176" i="50"/>
  <c r="CB176" i="50"/>
  <c r="AL178" i="50"/>
  <c r="BZ178" i="50"/>
  <c r="CD179" i="50"/>
  <c r="BT152" i="50" s="1"/>
  <c r="AP179" i="50"/>
  <c r="AP152" i="50" s="1"/>
  <c r="CB181" i="50"/>
  <c r="AX154" i="50" s="1"/>
  <c r="AN181" i="50"/>
  <c r="AL183" i="50"/>
  <c r="BZ183" i="50"/>
  <c r="AV156" i="50" s="1"/>
  <c r="CC184" i="50"/>
  <c r="AO184" i="50"/>
  <c r="AO157" i="50" s="1"/>
  <c r="CA186" i="50"/>
  <c r="AM186" i="50"/>
  <c r="AM159" i="50" s="1"/>
  <c r="AP188" i="50"/>
  <c r="AP161" i="50" s="1"/>
  <c r="CD188" i="50"/>
  <c r="AQ141" i="50"/>
  <c r="AR144" i="50"/>
  <c r="AU145" i="50"/>
  <c r="AS147" i="50"/>
  <c r="AT150" i="50"/>
  <c r="AU158" i="50"/>
  <c r="AS161" i="50"/>
  <c r="BG141" i="50"/>
  <c r="BI152" i="50"/>
  <c r="BL139" i="50"/>
  <c r="BL147" i="50"/>
  <c r="BK157" i="50"/>
  <c r="BS143" i="50"/>
  <c r="BU140" i="50"/>
  <c r="BZ166" i="50"/>
  <c r="AL166" i="50"/>
  <c r="AL139" i="50" s="1"/>
  <c r="AN172" i="50"/>
  <c r="CB172" i="50"/>
  <c r="AO180" i="50"/>
  <c r="CC180" i="50"/>
  <c r="AU141" i="50"/>
  <c r="AV151" i="50"/>
  <c r="AZ161" i="50"/>
  <c r="BK141" i="50"/>
  <c r="BS140" i="50"/>
  <c r="BS153" i="50"/>
  <c r="AP167" i="50"/>
  <c r="AP140" i="50" s="1"/>
  <c r="CD167" i="50"/>
  <c r="BO140" i="50" s="1"/>
  <c r="AO172" i="50"/>
  <c r="CC172" i="50"/>
  <c r="CD180" i="50"/>
  <c r="BE153" i="50" s="1"/>
  <c r="AP180" i="50"/>
  <c r="AT143" i="50"/>
  <c r="AT151" i="50"/>
  <c r="AX138" i="50"/>
  <c r="CD172" i="50"/>
  <c r="AP172" i="50"/>
  <c r="AP145" i="50" s="1"/>
  <c r="CD185" i="50"/>
  <c r="AP185" i="50"/>
  <c r="AP158" i="50" s="1"/>
  <c r="AR142" i="50"/>
  <c r="AQ147" i="50"/>
  <c r="AU156" i="50"/>
  <c r="AZ149" i="50"/>
  <c r="BZ167" i="50"/>
  <c r="AL167" i="50"/>
  <c r="AL140" i="50" s="1"/>
  <c r="CA170" i="50"/>
  <c r="BV143" i="50" s="1"/>
  <c r="AM170" i="50"/>
  <c r="AM143" i="50" s="1"/>
  <c r="AP171" i="50"/>
  <c r="AP144" i="50" s="1"/>
  <c r="CD171" i="50"/>
  <c r="BE144" i="50" s="1"/>
  <c r="AL175" i="50"/>
  <c r="BZ175" i="50"/>
  <c r="BU148" i="50" s="1"/>
  <c r="CC176" i="50"/>
  <c r="AO176" i="50"/>
  <c r="AO149" i="50" s="1"/>
  <c r="AM178" i="50"/>
  <c r="CA178" i="50"/>
  <c r="AW151" i="50" s="1"/>
  <c r="AL180" i="50"/>
  <c r="AL153" i="50" s="1"/>
  <c r="BZ180" i="50"/>
  <c r="BU153" i="50" s="1"/>
  <c r="AO181" i="50"/>
  <c r="CC181" i="50"/>
  <c r="AT154" i="50" s="1"/>
  <c r="CA183" i="50"/>
  <c r="AM183" i="50"/>
  <c r="AM156" i="50" s="1"/>
  <c r="CD184" i="50"/>
  <c r="BE157" i="50" s="1"/>
  <c r="AP184" i="50"/>
  <c r="AP157" i="50" s="1"/>
  <c r="CB186" i="50"/>
  <c r="AX159" i="50" s="1"/>
  <c r="AN186" i="50"/>
  <c r="AQ138" i="50"/>
  <c r="AT139" i="50"/>
  <c r="AR141" i="50"/>
  <c r="AU142" i="50"/>
  <c r="AS144" i="50"/>
  <c r="AQ146" i="50"/>
  <c r="AU150" i="50"/>
  <c r="AT152" i="50"/>
  <c r="AR154" i="50"/>
  <c r="AS157" i="50"/>
  <c r="AQ159" i="50"/>
  <c r="AT161" i="50"/>
  <c r="AW166" i="50"/>
  <c r="AZ167" i="50"/>
  <c r="AZ140" i="50" s="1"/>
  <c r="AX169" i="50"/>
  <c r="AV171" i="50"/>
  <c r="AV144" i="50" s="1"/>
  <c r="AY172" i="50"/>
  <c r="AY145" i="50" s="1"/>
  <c r="AW174" i="50"/>
  <c r="AW147" i="50" s="1"/>
  <c r="AZ175" i="50"/>
  <c r="AZ148" i="50" s="1"/>
  <c r="AX177" i="50"/>
  <c r="AV179" i="50"/>
  <c r="AV152" i="50" s="1"/>
  <c r="AZ180" i="50"/>
  <c r="AX182" i="50"/>
  <c r="AX155" i="50" s="1"/>
  <c r="AL169" i="50"/>
  <c r="BZ169" i="50"/>
  <c r="BZ177" i="50"/>
  <c r="AL177" i="50"/>
  <c r="AL150" i="50" s="1"/>
  <c r="AO183" i="50"/>
  <c r="CC183" i="50"/>
  <c r="BS156" i="50" s="1"/>
  <c r="AP186" i="50"/>
  <c r="CD186" i="50"/>
  <c r="BT159" i="50" s="1"/>
  <c r="AY139" i="50"/>
  <c r="AY147" i="50"/>
  <c r="AV159" i="50"/>
  <c r="BB156" i="50"/>
  <c r="BJ142" i="50"/>
  <c r="BJ150" i="50"/>
  <c r="BF159" i="50"/>
  <c r="BN145" i="50"/>
  <c r="BT138" i="50"/>
  <c r="BS151" i="50"/>
  <c r="BX149" i="50"/>
  <c r="BV156" i="50"/>
  <c r="AM169" i="50"/>
  <c r="CA169" i="50"/>
  <c r="BQ142" i="50" s="1"/>
  <c r="BZ174" i="50"/>
  <c r="AL174" i="50"/>
  <c r="AL147" i="50" s="1"/>
  <c r="CA182" i="50"/>
  <c r="AM182" i="50"/>
  <c r="AM155" i="50" s="1"/>
  <c r="AN185" i="50"/>
  <c r="CB185" i="50"/>
  <c r="BR158" i="50" s="1"/>
  <c r="AZ147" i="50"/>
  <c r="AY157" i="50"/>
  <c r="BB148" i="50"/>
  <c r="BE154" i="50"/>
  <c r="BH141" i="50"/>
  <c r="BN142" i="50"/>
  <c r="BN150" i="50"/>
  <c r="BO158" i="50"/>
  <c r="BP147" i="50"/>
  <c r="BT156" i="50"/>
  <c r="CB177" i="50"/>
  <c r="AS150" i="50" s="1"/>
  <c r="AN177" i="50"/>
  <c r="AN150" i="50" s="1"/>
  <c r="CC185" i="50"/>
  <c r="AO185" i="50"/>
  <c r="AO158" i="50" s="1"/>
  <c r="AQ142" i="50"/>
  <c r="AU159" i="50"/>
  <c r="AN166" i="50"/>
  <c r="AN139" i="50" s="1"/>
  <c r="CB166" i="50"/>
  <c r="CC169" i="50"/>
  <c r="AO169" i="50"/>
  <c r="AO142" i="50" s="1"/>
  <c r="AL176" i="50"/>
  <c r="AL149" i="50" s="1"/>
  <c r="BZ176" i="50"/>
  <c r="BK149" i="50" s="1"/>
  <c r="AM179" i="50"/>
  <c r="CA179" i="50"/>
  <c r="AO182" i="50"/>
  <c r="AO155" i="50" s="1"/>
  <c r="CC182" i="50"/>
  <c r="AT140" i="50"/>
  <c r="AS145" i="50"/>
  <c r="AR150" i="50"/>
  <c r="AT153" i="50"/>
  <c r="CC166" i="50"/>
  <c r="AO166" i="50"/>
  <c r="AO139" i="50" s="1"/>
  <c r="CB165" i="50"/>
  <c r="AN165" i="50"/>
  <c r="AN138" i="50" s="1"/>
  <c r="AO168" i="50"/>
  <c r="CC168" i="50"/>
  <c r="BD141" i="50" s="1"/>
  <c r="AN173" i="50"/>
  <c r="CB173" i="50"/>
  <c r="AS146" i="50" s="1"/>
  <c r="AO165" i="50"/>
  <c r="CC165" i="50"/>
  <c r="CA167" i="50"/>
  <c r="AR140" i="50" s="1"/>
  <c r="AM167" i="50"/>
  <c r="AM140" i="50" s="1"/>
  <c r="CD168" i="50"/>
  <c r="BY141" i="50" s="1"/>
  <c r="AP168" i="50"/>
  <c r="AP141" i="50" s="1"/>
  <c r="AN170" i="50"/>
  <c r="CB170" i="50"/>
  <c r="BW143" i="50" s="1"/>
  <c r="AL172" i="50"/>
  <c r="BZ172" i="50"/>
  <c r="CC173" i="50"/>
  <c r="AO173" i="50"/>
  <c r="AO146" i="50" s="1"/>
  <c r="CA175" i="50"/>
  <c r="AR148" i="50" s="1"/>
  <c r="AM175" i="50"/>
  <c r="AM148" i="50" s="1"/>
  <c r="CD176" i="50"/>
  <c r="AU149" i="50" s="1"/>
  <c r="AP176" i="50"/>
  <c r="AP149" i="50" s="1"/>
  <c r="AN178" i="50"/>
  <c r="CB178" i="50"/>
  <c r="CA180" i="50"/>
  <c r="BB153" i="50" s="1"/>
  <c r="AM180" i="50"/>
  <c r="AM153" i="50" s="1"/>
  <c r="CD181" i="50"/>
  <c r="BY154" i="50" s="1"/>
  <c r="AP181" i="50"/>
  <c r="AP154" i="50" s="1"/>
  <c r="AN183" i="50"/>
  <c r="CB183" i="50"/>
  <c r="AL185" i="50"/>
  <c r="BZ185" i="50"/>
  <c r="CC186" i="50"/>
  <c r="BN159" i="50" s="1"/>
  <c r="AO186" i="50"/>
  <c r="AO159" i="50" s="1"/>
  <c r="AR138" i="50"/>
  <c r="AS141" i="50"/>
  <c r="AQ143" i="50"/>
  <c r="AT144" i="50"/>
  <c r="AU147" i="50"/>
  <c r="AS149" i="50"/>
  <c r="AQ151" i="50"/>
  <c r="AS154" i="50"/>
  <c r="AQ156" i="50"/>
  <c r="AT157" i="50"/>
  <c r="AU161" i="50"/>
  <c r="BE138" i="50"/>
  <c r="AK192" i="50" s="1"/>
  <c r="BC140" i="50"/>
  <c r="AI194" i="50" s="1"/>
  <c r="BD143" i="50"/>
  <c r="BB145" i="50"/>
  <c r="BA150" i="50"/>
  <c r="BD151" i="50"/>
  <c r="BD156" i="50"/>
  <c r="BB158" i="50"/>
  <c r="BF140" i="50"/>
  <c r="BI141" i="50"/>
  <c r="BJ144" i="50"/>
  <c r="BF148" i="50"/>
  <c r="BI149" i="50"/>
  <c r="BF153" i="50"/>
  <c r="BI154" i="50"/>
  <c r="BH159" i="50"/>
  <c r="BK138" i="50"/>
  <c r="BN139" i="50"/>
  <c r="BL141" i="50"/>
  <c r="BO142" i="50"/>
  <c r="BM144" i="50"/>
  <c r="BK146" i="50"/>
  <c r="BO150" i="50"/>
  <c r="BN152" i="50"/>
  <c r="BL154" i="50"/>
  <c r="BO155" i="50"/>
  <c r="BM157" i="50"/>
  <c r="BK159" i="50"/>
  <c r="BN161" i="50"/>
  <c r="BT140" i="50"/>
  <c r="BP144" i="50"/>
  <c r="BS145" i="50"/>
  <c r="BQ147" i="50"/>
  <c r="BT148" i="50"/>
  <c r="BR150" i="50"/>
  <c r="BP152" i="50"/>
  <c r="BT153" i="50"/>
  <c r="BP157" i="50"/>
  <c r="BS158" i="50"/>
  <c r="BQ161" i="50"/>
  <c r="BY138" i="50"/>
  <c r="BW140" i="50"/>
  <c r="BX143" i="50"/>
  <c r="BV145" i="50"/>
  <c r="BW148" i="50"/>
  <c r="BU150" i="50"/>
  <c r="BX151" i="50"/>
  <c r="BX156" i="50"/>
  <c r="BV158" i="50"/>
  <c r="BA139" i="50"/>
  <c r="AG193" i="50" s="1"/>
  <c r="BD140" i="50"/>
  <c r="AJ194" i="50" s="1"/>
  <c r="BB142" i="50"/>
  <c r="BC145" i="50"/>
  <c r="BA147" i="50"/>
  <c r="BB150" i="50"/>
  <c r="BE151" i="50"/>
  <c r="BD153" i="50"/>
  <c r="BE156" i="50"/>
  <c r="BA161" i="50"/>
  <c r="BI138" i="50"/>
  <c r="BJ141" i="50"/>
  <c r="BH143" i="50"/>
  <c r="BG148" i="50"/>
  <c r="BJ149" i="50"/>
  <c r="BH151" i="50"/>
  <c r="BJ154" i="50"/>
  <c r="BH156" i="50"/>
  <c r="BL138" i="50"/>
  <c r="BM141" i="50"/>
  <c r="BK143" i="50"/>
  <c r="BN144" i="50"/>
  <c r="BL146" i="50"/>
  <c r="BO147" i="50"/>
  <c r="BK151" i="50"/>
  <c r="BM154" i="50"/>
  <c r="BN157" i="50"/>
  <c r="BO161" i="50"/>
  <c r="BQ144" i="50"/>
  <c r="BT145" i="50"/>
  <c r="BR147" i="50"/>
  <c r="BP149" i="50"/>
  <c r="BS150" i="50"/>
  <c r="BQ152" i="50"/>
  <c r="BQ157" i="50"/>
  <c r="BT158" i="50"/>
  <c r="BR161" i="50"/>
  <c r="BU139" i="50"/>
  <c r="BX140" i="50"/>
  <c r="BV142" i="50"/>
  <c r="BW145" i="50"/>
  <c r="BU147" i="50"/>
  <c r="BV150" i="50"/>
  <c r="BY151" i="50"/>
  <c r="BX153" i="50"/>
  <c r="BY156" i="50"/>
  <c r="BU161" i="50"/>
  <c r="BE140" i="50"/>
  <c r="AK194" i="50" s="1"/>
  <c r="BC142" i="50"/>
  <c r="BA144" i="50"/>
  <c r="BD145" i="50"/>
  <c r="BB147" i="50"/>
  <c r="BE148" i="50"/>
  <c r="BC150" i="50"/>
  <c r="BA152" i="50"/>
  <c r="BC155" i="50"/>
  <c r="BA157" i="50"/>
  <c r="BD158" i="50"/>
  <c r="BB161" i="50"/>
  <c r="BJ138" i="50"/>
  <c r="BH140" i="50"/>
  <c r="AN194" i="50" s="1"/>
  <c r="BF142" i="50"/>
  <c r="BI143" i="50"/>
  <c r="BG145" i="50"/>
  <c r="BJ146" i="50"/>
  <c r="BI151" i="50"/>
  <c r="BI156" i="50"/>
  <c r="BG158" i="50"/>
  <c r="BJ159" i="50"/>
  <c r="BK140" i="50"/>
  <c r="BN141" i="50"/>
  <c r="BO144" i="50"/>
  <c r="BK148" i="50"/>
  <c r="BN149" i="50"/>
  <c r="BK153" i="50"/>
  <c r="BL156" i="50"/>
  <c r="BM159" i="50"/>
  <c r="BP138" i="50"/>
  <c r="BS139" i="50"/>
  <c r="BQ141" i="50"/>
  <c r="BT142" i="50"/>
  <c r="BP146" i="50"/>
  <c r="BQ149" i="50"/>
  <c r="BT150" i="50"/>
  <c r="BS152" i="50"/>
  <c r="BQ154" i="50"/>
  <c r="BR157" i="50"/>
  <c r="BP159" i="50"/>
  <c r="BS161" i="50"/>
  <c r="BV139" i="50"/>
  <c r="BY140" i="50"/>
  <c r="BW142" i="50"/>
  <c r="BU144" i="50"/>
  <c r="BX145" i="50"/>
  <c r="BV147" i="50"/>
  <c r="BY148" i="50"/>
  <c r="BW150" i="50"/>
  <c r="BU152" i="50"/>
  <c r="BY153" i="50"/>
  <c r="BW155" i="50"/>
  <c r="BU157" i="50"/>
  <c r="BX158" i="50"/>
  <c r="BV161" i="50"/>
  <c r="AV166" i="50"/>
  <c r="AV139" i="50" s="1"/>
  <c r="AY167" i="50"/>
  <c r="AY140" i="50" s="1"/>
  <c r="AW169" i="50"/>
  <c r="AW142" i="50" s="1"/>
  <c r="AZ170" i="50"/>
  <c r="AZ143" i="50" s="1"/>
  <c r="AX172" i="50"/>
  <c r="AX145" i="50" s="1"/>
  <c r="AV174" i="50"/>
  <c r="AV147" i="50" s="1"/>
  <c r="AY175" i="50"/>
  <c r="AW177" i="50"/>
  <c r="AW150" i="50" s="1"/>
  <c r="AZ178" i="50"/>
  <c r="AY180" i="50"/>
  <c r="AY153" i="50" s="1"/>
  <c r="AW182" i="50"/>
  <c r="AW155" i="50" s="1"/>
  <c r="AZ183" i="50"/>
  <c r="AZ156" i="50" s="1"/>
  <c r="AX185" i="50"/>
  <c r="AX158" i="50" s="1"/>
  <c r="AV188" i="50"/>
  <c r="AV161" i="50" s="1"/>
  <c r="BD142" i="50"/>
  <c r="BB144" i="50"/>
  <c r="BE145" i="50"/>
  <c r="BC147" i="50"/>
  <c r="BA149" i="50"/>
  <c r="BD150" i="50"/>
  <c r="BB152" i="50"/>
  <c r="BD155" i="50"/>
  <c r="BE158" i="50"/>
  <c r="BC161" i="50"/>
  <c r="BF139" i="50"/>
  <c r="BI140" i="50"/>
  <c r="BG142" i="50"/>
  <c r="BH145" i="50"/>
  <c r="BF147" i="50"/>
  <c r="BG150" i="50"/>
  <c r="BJ151" i="50"/>
  <c r="BI153" i="50"/>
  <c r="BJ156" i="50"/>
  <c r="BF161" i="50"/>
  <c r="BN138" i="50"/>
  <c r="BL140" i="50"/>
  <c r="BO141" i="50"/>
  <c r="BL148" i="50"/>
  <c r="BO149" i="50"/>
  <c r="BM151" i="50"/>
  <c r="BL153" i="50"/>
  <c r="BO154" i="50"/>
  <c r="BQ138" i="50"/>
  <c r="BR141" i="50"/>
  <c r="BP143" i="50"/>
  <c r="BS144" i="50"/>
  <c r="BT147" i="50"/>
  <c r="BP151" i="50"/>
  <c r="BR154" i="50"/>
  <c r="BP156" i="50"/>
  <c r="BS157" i="50"/>
  <c r="BT161" i="50"/>
  <c r="BU141" i="50"/>
  <c r="BX142" i="50"/>
  <c r="BV144" i="50"/>
  <c r="BY145" i="50"/>
  <c r="BW147" i="50"/>
  <c r="BU149" i="50"/>
  <c r="BX150" i="50"/>
  <c r="BV152" i="50"/>
  <c r="BX155" i="50"/>
  <c r="BV157" i="50"/>
  <c r="BY158" i="50"/>
  <c r="BW161" i="50"/>
  <c r="AV184" i="50"/>
  <c r="AV157" i="50" s="1"/>
  <c r="AY185" i="50"/>
  <c r="AY158" i="50" s="1"/>
  <c r="AW188" i="50"/>
  <c r="AW161" i="50" s="1"/>
  <c r="BA138" i="50"/>
  <c r="BD139" i="50"/>
  <c r="BB141" i="50"/>
  <c r="BE142" i="50"/>
  <c r="BC144" i="50"/>
  <c r="BA146" i="50"/>
  <c r="BE150" i="50"/>
  <c r="BD152" i="50"/>
  <c r="BB154" i="50"/>
  <c r="BE155" i="50"/>
  <c r="BC157" i="50"/>
  <c r="BA159" i="50"/>
  <c r="BD161" i="50"/>
  <c r="BJ140" i="50"/>
  <c r="BF144" i="50"/>
  <c r="BI145" i="50"/>
  <c r="BG147" i="50"/>
  <c r="BJ148" i="50"/>
  <c r="BH150" i="50"/>
  <c r="BF152" i="50"/>
  <c r="BJ153" i="50"/>
  <c r="BH155" i="50"/>
  <c r="BF157" i="50"/>
  <c r="BI158" i="50"/>
  <c r="BG161" i="50"/>
  <c r="BO138" i="50"/>
  <c r="BM140" i="50"/>
  <c r="BN143" i="50"/>
  <c r="BL145" i="50"/>
  <c r="BO146" i="50"/>
  <c r="BM148" i="50"/>
  <c r="BK150" i="50"/>
  <c r="BN151" i="50"/>
  <c r="BN156" i="50"/>
  <c r="BL158" i="50"/>
  <c r="BO159" i="50"/>
  <c r="BR138" i="50"/>
  <c r="BP140" i="50"/>
  <c r="BS141" i="50"/>
  <c r="BT144" i="50"/>
  <c r="BR146" i="50"/>
  <c r="BP148" i="50"/>
  <c r="BS149" i="50"/>
  <c r="BP153" i="50"/>
  <c r="BQ156" i="50"/>
  <c r="BR159" i="50"/>
  <c r="BU138" i="50"/>
  <c r="BX139" i="50"/>
  <c r="BV141" i="50"/>
  <c r="BY142" i="50"/>
  <c r="BU146" i="50"/>
  <c r="BV149" i="50"/>
  <c r="BY150" i="50"/>
  <c r="BX152" i="50"/>
  <c r="BV154" i="50"/>
  <c r="BY155" i="50"/>
  <c r="BW157" i="50"/>
  <c r="BU159" i="50"/>
  <c r="BX161" i="50"/>
  <c r="AX166" i="50"/>
  <c r="AX139" i="50" s="1"/>
  <c r="AV168" i="50"/>
  <c r="AV141" i="50" s="1"/>
  <c r="AY169" i="50"/>
  <c r="AY142" i="50" s="1"/>
  <c r="AW171" i="50"/>
  <c r="AW144" i="50" s="1"/>
  <c r="AZ172" i="50"/>
  <c r="AZ145" i="50" s="1"/>
  <c r="AX174" i="50"/>
  <c r="AX147" i="50" s="1"/>
  <c r="AV176" i="50"/>
  <c r="AV149" i="50" s="1"/>
  <c r="AY177" i="50"/>
  <c r="AY150" i="50" s="1"/>
  <c r="AW179" i="50"/>
  <c r="AW152" i="50" s="1"/>
  <c r="AV181" i="50"/>
  <c r="AY182" i="50"/>
  <c r="AY155" i="50" s="1"/>
  <c r="AW184" i="50"/>
  <c r="AW157" i="50" s="1"/>
  <c r="AZ185" i="50"/>
  <c r="AZ158" i="50" s="1"/>
  <c r="AX188" i="50"/>
  <c r="AX161" i="50" s="1"/>
  <c r="BB138" i="50"/>
  <c r="BC141" i="50"/>
  <c r="BA143" i="50"/>
  <c r="BD144" i="50"/>
  <c r="BB146" i="50"/>
  <c r="BE147" i="50"/>
  <c r="BA151" i="50"/>
  <c r="BC154" i="50"/>
  <c r="BA156" i="50"/>
  <c r="BD157" i="50"/>
  <c r="BB159" i="50"/>
  <c r="BE161" i="50"/>
  <c r="BH139" i="50"/>
  <c r="BG144" i="50"/>
  <c r="BJ145" i="50"/>
  <c r="BH147" i="50"/>
  <c r="BF149" i="50"/>
  <c r="BI150" i="50"/>
  <c r="BG152" i="50"/>
  <c r="BG157" i="50"/>
  <c r="BJ158" i="50"/>
  <c r="BH161" i="50"/>
  <c r="BK139" i="50"/>
  <c r="BN140" i="50"/>
  <c r="BL142" i="50"/>
  <c r="BM145" i="50"/>
  <c r="BK147" i="50"/>
  <c r="BL150" i="50"/>
  <c r="BO151" i="50"/>
  <c r="BN153" i="50"/>
  <c r="BL155" i="50"/>
  <c r="BO156" i="50"/>
  <c r="BK161" i="50"/>
  <c r="BS138" i="50"/>
  <c r="BT141" i="50"/>
  <c r="BR143" i="50"/>
  <c r="BQ148" i="50"/>
  <c r="BT149" i="50"/>
  <c r="BR151" i="50"/>
  <c r="BT154" i="50"/>
  <c r="BR156" i="50"/>
  <c r="BV138" i="50"/>
  <c r="BW141" i="50"/>
  <c r="BU143" i="50"/>
  <c r="BX144" i="50"/>
  <c r="BV146" i="50"/>
  <c r="BY147" i="50"/>
  <c r="BU151" i="50"/>
  <c r="BW154" i="50"/>
  <c r="BU156" i="50"/>
  <c r="BX157" i="50"/>
  <c r="BV159" i="50"/>
  <c r="BY161" i="50"/>
  <c r="EB133" i="50"/>
  <c r="BY187" i="50" s="1"/>
  <c r="DG133" i="50"/>
  <c r="BD187" i="50" s="1"/>
  <c r="DM133" i="50"/>
  <c r="BJ187" i="50" s="1"/>
  <c r="DT133" i="50"/>
  <c r="BQ187" i="50" s="1"/>
  <c r="DS133" i="50"/>
  <c r="BP187" i="50" s="1"/>
  <c r="CT133" i="50"/>
  <c r="CX133" i="50"/>
  <c r="CH133" i="50"/>
  <c r="CN133" i="50"/>
  <c r="AU187" i="50" s="1"/>
  <c r="CK133" i="50"/>
  <c r="AR187" i="50" s="1"/>
  <c r="CS133" i="50"/>
  <c r="CW133" i="50"/>
  <c r="CY133" i="50"/>
  <c r="DE133" i="50"/>
  <c r="BB187" i="50" s="1"/>
  <c r="DD133" i="50"/>
  <c r="BA187" i="50" s="1"/>
  <c r="DH133" i="50"/>
  <c r="BE187" i="50" s="1"/>
  <c r="DI133" i="50"/>
  <c r="BF187" i="50" s="1"/>
  <c r="DQ133" i="50"/>
  <c r="BN187" i="50" s="1"/>
  <c r="DW133" i="50"/>
  <c r="BT187" i="50" s="1"/>
  <c r="CO133" i="50"/>
  <c r="CM133" i="50"/>
  <c r="AT187" i="50" s="1"/>
  <c r="CU133" i="50"/>
  <c r="DO133" i="50"/>
  <c r="BL187" i="50" s="1"/>
  <c r="EA133" i="50"/>
  <c r="BX187" i="50" s="1"/>
  <c r="CF133" i="50"/>
  <c r="CE133" i="50"/>
  <c r="CI133" i="50"/>
  <c r="CJ133" i="50"/>
  <c r="AQ187" i="50" s="1"/>
  <c r="CP133" i="50"/>
  <c r="DB133" i="50"/>
  <c r="DJ133" i="50"/>
  <c r="BG187" i="50" s="1"/>
  <c r="DN133" i="50"/>
  <c r="BK187" i="50" s="1"/>
  <c r="DR133" i="50"/>
  <c r="BO187" i="50" s="1"/>
  <c r="DV133" i="50"/>
  <c r="BS187" i="50" s="1"/>
  <c r="DX133" i="50"/>
  <c r="BU187" i="50" s="1"/>
  <c r="CR133" i="50"/>
  <c r="CZ133" i="50"/>
  <c r="DC133" i="50"/>
  <c r="DL133" i="50"/>
  <c r="BI187" i="50" s="1"/>
  <c r="DY133" i="50"/>
  <c r="BV187" i="50" s="1"/>
  <c r="B98" i="50"/>
  <c r="B97" i="50"/>
  <c r="B96" i="50"/>
  <c r="B95" i="50"/>
  <c r="B94" i="50"/>
  <c r="B93" i="50"/>
  <c r="B92" i="50"/>
  <c r="B91" i="50"/>
  <c r="B90" i="50"/>
  <c r="B89" i="50"/>
  <c r="B88" i="50"/>
  <c r="B87" i="50"/>
  <c r="B86" i="50"/>
  <c r="B85" i="50"/>
  <c r="B84" i="50"/>
  <c r="B83" i="50"/>
  <c r="B82" i="50"/>
  <c r="B81" i="50"/>
  <c r="B80" i="50"/>
  <c r="B79" i="50"/>
  <c r="B78" i="50"/>
  <c r="B77" i="50"/>
  <c r="B76" i="50"/>
  <c r="B63" i="50"/>
  <c r="B62" i="50"/>
  <c r="B61" i="50"/>
  <c r="B60" i="50"/>
  <c r="B59" i="50"/>
  <c r="B58" i="50"/>
  <c r="B57" i="50"/>
  <c r="B56" i="50"/>
  <c r="B55" i="50"/>
  <c r="B54" i="50"/>
  <c r="B53" i="50"/>
  <c r="B52" i="50"/>
  <c r="B51" i="50"/>
  <c r="B50" i="50"/>
  <c r="B49" i="50"/>
  <c r="B48" i="50"/>
  <c r="B47" i="50"/>
  <c r="B46" i="50"/>
  <c r="B45" i="50"/>
  <c r="B44" i="50"/>
  <c r="B43" i="50"/>
  <c r="B42" i="50"/>
  <c r="B41" i="50"/>
  <c r="B30" i="50"/>
  <c r="B29" i="50"/>
  <c r="B28" i="50"/>
  <c r="B27" i="50"/>
  <c r="B26" i="50"/>
  <c r="B25" i="50"/>
  <c r="B24" i="50"/>
  <c r="B23" i="50"/>
  <c r="B22" i="50"/>
  <c r="B21" i="50"/>
  <c r="B20" i="50"/>
  <c r="B19" i="50"/>
  <c r="B18" i="50"/>
  <c r="B17" i="50"/>
  <c r="B16" i="50"/>
  <c r="B15" i="50"/>
  <c r="B14" i="50"/>
  <c r="B13" i="50"/>
  <c r="B12" i="50"/>
  <c r="B11" i="50"/>
  <c r="B10" i="50"/>
  <c r="B9" i="50"/>
  <c r="AG154" i="50" l="1"/>
  <c r="AB154" i="50"/>
  <c r="AP195" i="50"/>
  <c r="AL194" i="50"/>
  <c r="AI138" i="50"/>
  <c r="AD138" i="50"/>
  <c r="BL159" i="50"/>
  <c r="AH159" i="50"/>
  <c r="AC159" i="50"/>
  <c r="AP155" i="50"/>
  <c r="AK155" i="50"/>
  <c r="AF155" i="50"/>
  <c r="AW187" i="50"/>
  <c r="BQ153" i="50"/>
  <c r="BQ140" i="50"/>
  <c r="AH195" i="50"/>
  <c r="BI148" i="50"/>
  <c r="BM146" i="50"/>
  <c r="AO197" i="50"/>
  <c r="BK156" i="50"/>
  <c r="BG153" i="50"/>
  <c r="BG140" i="50"/>
  <c r="AM194" i="50" s="1"/>
  <c r="BY159" i="50"/>
  <c r="BY146" i="50"/>
  <c r="BG151" i="50"/>
  <c r="BH138" i="50"/>
  <c r="AR159" i="50"/>
  <c r="AR146" i="50"/>
  <c r="AG158" i="50"/>
  <c r="AB158" i="50"/>
  <c r="AI151" i="50"/>
  <c r="AD151" i="50"/>
  <c r="AG145" i="50"/>
  <c r="AB145" i="50"/>
  <c r="AJ138" i="50"/>
  <c r="AE138" i="50"/>
  <c r="AE142" i="50"/>
  <c r="AE196" i="50" s="1"/>
  <c r="AJ142" i="50"/>
  <c r="AU146" i="50"/>
  <c r="BD138" i="50"/>
  <c r="AB142" i="50"/>
  <c r="AG142" i="50"/>
  <c r="AU155" i="50"/>
  <c r="AQ158" i="50"/>
  <c r="AG139" i="50"/>
  <c r="BZ193" i="50" s="1"/>
  <c r="AB139" i="50"/>
  <c r="AR157" i="50"/>
  <c r="AG151" i="50"/>
  <c r="AB151" i="50"/>
  <c r="AE144" i="50"/>
  <c r="AJ144" i="50"/>
  <c r="AK142" i="50"/>
  <c r="AF142" i="50"/>
  <c r="AN161" i="50"/>
  <c r="AI161" i="50"/>
  <c r="AD161" i="50"/>
  <c r="AB144" i="50"/>
  <c r="AG144" i="50"/>
  <c r="BA158" i="50"/>
  <c r="AP151" i="50"/>
  <c r="AQ148" i="50"/>
  <c r="AX153" i="50"/>
  <c r="AE161" i="50"/>
  <c r="AJ161" i="50"/>
  <c r="AH141" i="50"/>
  <c r="AC141" i="50"/>
  <c r="AQ155" i="50"/>
  <c r="BC151" i="50"/>
  <c r="BM142" i="50"/>
  <c r="AW141" i="50"/>
  <c r="AW153" i="50"/>
  <c r="AI147" i="50"/>
  <c r="AD147" i="50"/>
  <c r="BL157" i="50"/>
  <c r="AO148" i="50"/>
  <c r="AE143" i="50"/>
  <c r="AJ143" i="50"/>
  <c r="BV148" i="50"/>
  <c r="BJ139" i="50"/>
  <c r="AP193" i="50" s="1"/>
  <c r="AL155" i="50"/>
  <c r="AJ147" i="50"/>
  <c r="AE147" i="50"/>
  <c r="AE146" i="50"/>
  <c r="AJ146" i="50"/>
  <c r="AB150" i="50"/>
  <c r="AG150" i="50"/>
  <c r="BG146" i="50"/>
  <c r="AV187" i="50"/>
  <c r="BN148" i="50"/>
  <c r="AV154" i="50"/>
  <c r="BH142" i="50"/>
  <c r="AJ193" i="50"/>
  <c r="BS147" i="50"/>
  <c r="BO157" i="50"/>
  <c r="BB139" i="50"/>
  <c r="BX148" i="50"/>
  <c r="AO192" i="50"/>
  <c r="BD148" i="50"/>
  <c r="BR155" i="50"/>
  <c r="BE159" i="50"/>
  <c r="AL158" i="50"/>
  <c r="AN151" i="50"/>
  <c r="AL145" i="50"/>
  <c r="AO138" i="50"/>
  <c r="AE139" i="50"/>
  <c r="AJ139" i="50"/>
  <c r="AE155" i="50"/>
  <c r="AJ155" i="50"/>
  <c r="AI139" i="50"/>
  <c r="AD139" i="50"/>
  <c r="AH155" i="50"/>
  <c r="AC155" i="50"/>
  <c r="AP196" i="50"/>
  <c r="AL142" i="50"/>
  <c r="CA195" i="50"/>
  <c r="AH156" i="50"/>
  <c r="AC156" i="50"/>
  <c r="AJ149" i="50"/>
  <c r="AE149" i="50"/>
  <c r="AG140" i="50"/>
  <c r="AB140" i="50"/>
  <c r="AK158" i="50"/>
  <c r="AF158" i="50"/>
  <c r="AP153" i="50"/>
  <c r="BK154" i="50"/>
  <c r="BV151" i="50"/>
  <c r="AM195" i="50"/>
  <c r="AT155" i="50"/>
  <c r="AT142" i="50"/>
  <c r="AJ157" i="50"/>
  <c r="AE157" i="50"/>
  <c r="AL151" i="50"/>
  <c r="AO144" i="50"/>
  <c r="AC138" i="50"/>
  <c r="AH138" i="50"/>
  <c r="AP142" i="50"/>
  <c r="AM157" i="50"/>
  <c r="AM139" i="50"/>
  <c r="BD146" i="50"/>
  <c r="AP143" i="50"/>
  <c r="BI161" i="50"/>
  <c r="AS138" i="50"/>
  <c r="AO161" i="50"/>
  <c r="AH154" i="50"/>
  <c r="AC154" i="50"/>
  <c r="AM141" i="50"/>
  <c r="BE141" i="50"/>
  <c r="AH150" i="50"/>
  <c r="AC150" i="50"/>
  <c r="BG154" i="50"/>
  <c r="AR156" i="50"/>
  <c r="AC145" i="50"/>
  <c r="AH145" i="50"/>
  <c r="AX151" i="50"/>
  <c r="AL141" i="50"/>
  <c r="AJ140" i="50"/>
  <c r="AE140" i="50"/>
  <c r="AE194" i="50" s="1"/>
  <c r="AZ142" i="50"/>
  <c r="AK196" i="50" s="1"/>
  <c r="BX159" i="50"/>
  <c r="BX146" i="50"/>
  <c r="AX157" i="50"/>
  <c r="AN148" i="50"/>
  <c r="AI158" i="50"/>
  <c r="AD158" i="50"/>
  <c r="AH143" i="50"/>
  <c r="AC143" i="50"/>
  <c r="AK139" i="50"/>
  <c r="AF139" i="50"/>
  <c r="BB140" i="50"/>
  <c r="AG155" i="50"/>
  <c r="AB155" i="50"/>
  <c r="AP187" i="50"/>
  <c r="CD187" i="50"/>
  <c r="BO160" i="50" s="1"/>
  <c r="AP194" i="50"/>
  <c r="AI156" i="50"/>
  <c r="AD156" i="50"/>
  <c r="BQ151" i="50"/>
  <c r="AH153" i="50"/>
  <c r="AC153" i="50"/>
  <c r="AS153" i="50"/>
  <c r="AM151" i="50"/>
  <c r="AK152" i="50"/>
  <c r="AF152" i="50"/>
  <c r="AK151" i="50"/>
  <c r="AF151" i="50"/>
  <c r="AN153" i="50"/>
  <c r="BJ160" i="50"/>
  <c r="BY139" i="50"/>
  <c r="AI195" i="50"/>
  <c r="BH158" i="50"/>
  <c r="BH153" i="50"/>
  <c r="AD146" i="50"/>
  <c r="AI146" i="50"/>
  <c r="AY146" i="50"/>
  <c r="AO154" i="50"/>
  <c r="AJ154" i="50"/>
  <c r="AE154" i="50"/>
  <c r="AQ154" i="50"/>
  <c r="AI149" i="50"/>
  <c r="AD149" i="50"/>
  <c r="AH157" i="50"/>
  <c r="AC157" i="50"/>
  <c r="AK146" i="50"/>
  <c r="AF146" i="50"/>
  <c r="AI155" i="50"/>
  <c r="AD155" i="50"/>
  <c r="AB141" i="50"/>
  <c r="AG141" i="50"/>
  <c r="AU157" i="50"/>
  <c r="AD148" i="50"/>
  <c r="AI148" i="50"/>
  <c r="AL187" i="50"/>
  <c r="BZ187" i="50"/>
  <c r="BP160" i="50" s="1"/>
  <c r="AR160" i="50"/>
  <c r="BM158" i="50"/>
  <c r="BI155" i="50"/>
  <c r="BI142" i="50"/>
  <c r="AO196" i="50" s="1"/>
  <c r="BE152" i="50"/>
  <c r="BE139" i="50"/>
  <c r="AK193" i="50" s="1"/>
  <c r="BX147" i="50"/>
  <c r="BT157" i="50"/>
  <c r="BK155" i="50"/>
  <c r="BK142" i="50"/>
  <c r="AL196" i="50" s="1"/>
  <c r="BG139" i="50"/>
  <c r="AM193" i="50" s="1"/>
  <c r="BB149" i="50"/>
  <c r="BW139" i="50"/>
  <c r="BR149" i="50"/>
  <c r="BN146" i="50"/>
  <c r="BJ143" i="50"/>
  <c r="AP197" i="50" s="1"/>
  <c r="BA154" i="50"/>
  <c r="BA141" i="50"/>
  <c r="AG195" i="50" s="1"/>
  <c r="BN154" i="50"/>
  <c r="AP192" i="50"/>
  <c r="BW158" i="50"/>
  <c r="BS155" i="50"/>
  <c r="BS142" i="50"/>
  <c r="BC158" i="50"/>
  <c r="BU155" i="50"/>
  <c r="BU142" i="50"/>
  <c r="BL149" i="50"/>
  <c r="BH146" i="50"/>
  <c r="AJ197" i="50"/>
  <c r="AN156" i="50"/>
  <c r="AK149" i="50"/>
  <c r="AF149" i="50"/>
  <c r="AN143" i="50"/>
  <c r="AN146" i="50"/>
  <c r="AZ141" i="50"/>
  <c r="AM152" i="50"/>
  <c r="AH152" i="50"/>
  <c r="AC152" i="50"/>
  <c r="AW156" i="50"/>
  <c r="AJ158" i="50"/>
  <c r="AE158" i="50"/>
  <c r="BI157" i="50"/>
  <c r="AZ139" i="50"/>
  <c r="AB147" i="50"/>
  <c r="AG147" i="50"/>
  <c r="BT146" i="50"/>
  <c r="BA148" i="50"/>
  <c r="AP159" i="50"/>
  <c r="AZ153" i="50"/>
  <c r="AL148" i="50"/>
  <c r="AW140" i="50"/>
  <c r="AF145" i="50"/>
  <c r="AK145" i="50"/>
  <c r="AJ145" i="50"/>
  <c r="AE145" i="50"/>
  <c r="BF151" i="50"/>
  <c r="AJ153" i="50"/>
  <c r="AE153" i="50"/>
  <c r="BP155" i="50"/>
  <c r="AR152" i="50"/>
  <c r="AS139" i="50"/>
  <c r="AL156" i="50"/>
  <c r="AN149" i="50"/>
  <c r="AL143" i="50"/>
  <c r="AG143" i="50"/>
  <c r="AB143" i="50"/>
  <c r="AM149" i="50"/>
  <c r="AJ150" i="50"/>
  <c r="AE150" i="50"/>
  <c r="AH161" i="50"/>
  <c r="AC161" i="50"/>
  <c r="AV143" i="50"/>
  <c r="AG197" i="50" s="1"/>
  <c r="AP146" i="50"/>
  <c r="AX148" i="50"/>
  <c r="AT158" i="50"/>
  <c r="AT145" i="50"/>
  <c r="AL159" i="50"/>
  <c r="AG159" i="50"/>
  <c r="AB159" i="50"/>
  <c r="AJ152" i="50"/>
  <c r="AE152" i="50"/>
  <c r="AG138" i="50"/>
  <c r="AB138" i="50"/>
  <c r="AN155" i="50"/>
  <c r="BM147" i="50"/>
  <c r="AX149" i="50"/>
  <c r="BW146" i="50"/>
  <c r="BC159" i="50"/>
  <c r="AR143" i="50"/>
  <c r="AF138" i="50"/>
  <c r="CD192" i="50" s="1"/>
  <c r="AK138" i="50"/>
  <c r="AY138" i="50"/>
  <c r="AG157" i="50"/>
  <c r="AB157" i="50"/>
  <c r="BH154" i="50"/>
  <c r="AS151" i="50"/>
  <c r="BX154" i="50"/>
  <c r="AR151" i="50"/>
  <c r="BW156" i="50"/>
  <c r="BM161" i="50"/>
  <c r="AV138" i="50"/>
  <c r="AG192" i="50" s="1"/>
  <c r="BA160" i="50"/>
  <c r="AJ159" i="50"/>
  <c r="AE159" i="50"/>
  <c r="AN158" i="50"/>
  <c r="AK157" i="50"/>
  <c r="AF157" i="50"/>
  <c r="AH146" i="50"/>
  <c r="AC146" i="50"/>
  <c r="AD142" i="50"/>
  <c r="AI142" i="50"/>
  <c r="AQ150" i="50"/>
  <c r="AY187" i="50"/>
  <c r="BU154" i="50"/>
  <c r="AJ196" i="50"/>
  <c r="AI143" i="50"/>
  <c r="AD143" i="50"/>
  <c r="AX142" i="50"/>
  <c r="AI196" i="50" s="1"/>
  <c r="BD154" i="50"/>
  <c r="AH139" i="50"/>
  <c r="AC139" i="50"/>
  <c r="CA193" i="50" s="1"/>
  <c r="AZ152" i="50"/>
  <c r="BG149" i="50"/>
  <c r="BF160" i="50"/>
  <c r="AU160" i="50"/>
  <c r="BW149" i="50"/>
  <c r="BS159" i="50"/>
  <c r="BS146" i="50"/>
  <c r="BO143" i="50"/>
  <c r="BF154" i="50"/>
  <c r="BF141" i="50"/>
  <c r="AH192" i="50"/>
  <c r="BQ143" i="50"/>
  <c r="BM153" i="50"/>
  <c r="BD147" i="50"/>
  <c r="BK158" i="50"/>
  <c r="BK145" i="50"/>
  <c r="BG155" i="50"/>
  <c r="AM196" i="50"/>
  <c r="BC139" i="50"/>
  <c r="AI193" i="50" s="1"/>
  <c r="AY148" i="50"/>
  <c r="BT155" i="50"/>
  <c r="BF150" i="50"/>
  <c r="BY143" i="50"/>
  <c r="BP154" i="50"/>
  <c r="BP141" i="50"/>
  <c r="BM149" i="50"/>
  <c r="BI159" i="50"/>
  <c r="BI146" i="50"/>
  <c r="BW153" i="50"/>
  <c r="BN147" i="50"/>
  <c r="BJ157" i="50"/>
  <c r="BA155" i="50"/>
  <c r="BA142" i="50"/>
  <c r="AG196" i="50" s="1"/>
  <c r="AU152" i="50"/>
  <c r="AU139" i="50"/>
  <c r="AJ141" i="50"/>
  <c r="AE141" i="50"/>
  <c r="AS158" i="50"/>
  <c r="AY149" i="50"/>
  <c r="BH149" i="50"/>
  <c r="AU154" i="50"/>
  <c r="AH142" i="50"/>
  <c r="AC142" i="50"/>
  <c r="CA196" i="50" s="1"/>
  <c r="BC138" i="50"/>
  <c r="AI192" i="50" s="1"/>
  <c r="AJ156" i="50"/>
  <c r="AE156" i="50"/>
  <c r="AW139" i="50"/>
  <c r="AN159" i="50"/>
  <c r="AB153" i="50"/>
  <c r="AG153" i="50"/>
  <c r="AK144" i="50"/>
  <c r="AF144" i="50"/>
  <c r="AZ157" i="50"/>
  <c r="AO145" i="50"/>
  <c r="BD159" i="50"/>
  <c r="AO153" i="50"/>
  <c r="AZ155" i="50"/>
  <c r="AF161" i="50"/>
  <c r="AK161" i="50"/>
  <c r="AN154" i="50"/>
  <c r="AP147" i="50"/>
  <c r="AN141" i="50"/>
  <c r="AG146" i="50"/>
  <c r="AB146" i="50"/>
  <c r="AR155" i="50"/>
  <c r="AO150" i="50"/>
  <c r="AM161" i="50"/>
  <c r="BP139" i="50"/>
  <c r="AL193" i="50" s="1"/>
  <c r="BY144" i="50"/>
  <c r="BC146" i="50"/>
  <c r="AZ159" i="50"/>
  <c r="AZ146" i="50"/>
  <c r="AQ144" i="50"/>
  <c r="AI157" i="50"/>
  <c r="AD157" i="50"/>
  <c r="AP150" i="50"/>
  <c r="AX143" i="50"/>
  <c r="CB197" i="50" s="1"/>
  <c r="AM147" i="50"/>
  <c r="BJ161" i="50"/>
  <c r="BB151" i="50"/>
  <c r="AM158" i="50"/>
  <c r="AY159" i="50"/>
  <c r="AQ139" i="50"/>
  <c r="AK148" i="50"/>
  <c r="AF148" i="50"/>
  <c r="BF143" i="50"/>
  <c r="AL197" i="50" s="1"/>
  <c r="BI147" i="50"/>
  <c r="AQ140" i="50"/>
  <c r="BL152" i="50"/>
  <c r="AY144" i="50"/>
  <c r="BJ155" i="50"/>
  <c r="AQ153" i="50"/>
  <c r="AI140" i="50"/>
  <c r="CB194" i="50" s="1"/>
  <c r="AD140" i="50"/>
  <c r="AH151" i="50"/>
  <c r="AC151" i="50"/>
  <c r="AI153" i="50"/>
  <c r="AD153" i="50"/>
  <c r="AH140" i="50"/>
  <c r="AC140" i="50"/>
  <c r="AC194" i="50" s="1"/>
  <c r="AI144" i="50"/>
  <c r="AD144" i="50"/>
  <c r="AO147" i="50"/>
  <c r="AJ148" i="50"/>
  <c r="AE148" i="50"/>
  <c r="BB143" i="50"/>
  <c r="BU160" i="50"/>
  <c r="AZ187" i="50"/>
  <c r="BY152" i="50"/>
  <c r="AZ151" i="50"/>
  <c r="BL143" i="50"/>
  <c r="BO152" i="50"/>
  <c r="BO139" i="50"/>
  <c r="AK159" i="50"/>
  <c r="AF159" i="50"/>
  <c r="AB148" i="50"/>
  <c r="AG148" i="50"/>
  <c r="AF153" i="50"/>
  <c r="AK153" i="50"/>
  <c r="AG156" i="50"/>
  <c r="AB156" i="50"/>
  <c r="AC149" i="50"/>
  <c r="AH149" i="50"/>
  <c r="AK143" i="50"/>
  <c r="AF143" i="50"/>
  <c r="AV150" i="50"/>
  <c r="AW159" i="50"/>
  <c r="BY157" i="50"/>
  <c r="BH144" i="50"/>
  <c r="BC143" i="50"/>
  <c r="AI197" i="50" s="1"/>
  <c r="AW149" i="50"/>
  <c r="CA187" i="50"/>
  <c r="BQ160" i="50" s="1"/>
  <c r="AM187" i="50"/>
  <c r="BV160" i="50"/>
  <c r="BK160" i="50"/>
  <c r="CC187" i="50"/>
  <c r="BN160" i="50" s="1"/>
  <c r="AO187" i="50"/>
  <c r="BP158" i="50"/>
  <c r="BP145" i="50"/>
  <c r="AN193" i="50"/>
  <c r="BC149" i="50"/>
  <c r="BW144" i="50"/>
  <c r="BS154" i="50"/>
  <c r="BQ159" i="50"/>
  <c r="BQ146" i="50"/>
  <c r="BM156" i="50"/>
  <c r="BM143" i="50"/>
  <c r="AN197" i="50" s="1"/>
  <c r="AO194" i="50"/>
  <c r="BL151" i="50"/>
  <c r="BM138" i="50"/>
  <c r="BH148" i="50"/>
  <c r="BV155" i="50"/>
  <c r="BR139" i="50"/>
  <c r="BF158" i="50"/>
  <c r="BF145" i="50"/>
  <c r="BB155" i="50"/>
  <c r="AH196" i="50"/>
  <c r="BG156" i="50"/>
  <c r="BG143" i="50"/>
  <c r="AM197" i="50" s="1"/>
  <c r="BC153" i="50"/>
  <c r="CA192" i="50"/>
  <c r="AK154" i="50"/>
  <c r="AF154" i="50"/>
  <c r="AH148" i="50"/>
  <c r="AC148" i="50"/>
  <c r="AF141" i="50"/>
  <c r="CD195" i="50" s="1"/>
  <c r="AK141" i="50"/>
  <c r="AO141" i="50"/>
  <c r="AG149" i="50"/>
  <c r="AB149" i="50"/>
  <c r="AY141" i="50"/>
  <c r="AJ195" i="50" s="1"/>
  <c r="AI150" i="50"/>
  <c r="AD150" i="50"/>
  <c r="AN195" i="50"/>
  <c r="AQ145" i="50"/>
  <c r="AM142" i="50"/>
  <c r="BO153" i="50"/>
  <c r="AO156" i="50"/>
  <c r="AX150" i="50"/>
  <c r="AT147" i="50"/>
  <c r="AI159" i="50"/>
  <c r="AD159" i="50"/>
  <c r="AU151" i="50"/>
  <c r="AV148" i="50"/>
  <c r="AF140" i="50"/>
  <c r="AK140" i="50"/>
  <c r="BA145" i="50"/>
  <c r="AN145" i="50"/>
  <c r="AD145" i="50"/>
  <c r="AI145" i="50"/>
  <c r="AX144" i="50"/>
  <c r="AQ149" i="50"/>
  <c r="AD154" i="50"/>
  <c r="AI154" i="50"/>
  <c r="AF147" i="50"/>
  <c r="AK147" i="50"/>
  <c r="AI141" i="50"/>
  <c r="AD141" i="50"/>
  <c r="AD195" i="50" s="1"/>
  <c r="AT148" i="50"/>
  <c r="AH144" i="50"/>
  <c r="AC144" i="50"/>
  <c r="AG152" i="50"/>
  <c r="AB152" i="50"/>
  <c r="BO145" i="50"/>
  <c r="AB161" i="50"/>
  <c r="AG161" i="50"/>
  <c r="BW138" i="50"/>
  <c r="AW154" i="50"/>
  <c r="AS155" i="50"/>
  <c r="AS142" i="50"/>
  <c r="AF150" i="50"/>
  <c r="AK150" i="50"/>
  <c r="AY154" i="50"/>
  <c r="AH147" i="50"/>
  <c r="AC147" i="50"/>
  <c r="BJ152" i="50"/>
  <c r="AS156" i="50"/>
  <c r="BQ145" i="50"/>
  <c r="BA140" i="50"/>
  <c r="AG194" i="50" s="1"/>
  <c r="AC158" i="50"/>
  <c r="AH158" i="50"/>
  <c r="AV158" i="50"/>
  <c r="AL154" i="50"/>
  <c r="AW143" i="50"/>
  <c r="BC156" i="50"/>
  <c r="AK156" i="50"/>
  <c r="AF156" i="50"/>
  <c r="BX141" i="50"/>
  <c r="AO195" i="50" s="1"/>
  <c r="BI139" i="50"/>
  <c r="AO193" i="50" s="1"/>
  <c r="AJ151" i="50"/>
  <c r="AE151" i="50"/>
  <c r="BV153" i="50"/>
  <c r="BV140" i="50"/>
  <c r="BL144" i="50"/>
  <c r="AT159" i="50"/>
  <c r="BF146" i="50"/>
  <c r="AU144" i="50"/>
  <c r="BW159" i="50"/>
  <c r="J5" i="29"/>
  <c r="B144" i="63"/>
  <c r="B33" i="49"/>
  <c r="B135" i="49" s="1"/>
  <c r="Y134" i="49" s="1"/>
  <c r="B32" i="49"/>
  <c r="B31" i="49"/>
  <c r="B30" i="49"/>
  <c r="B29" i="49"/>
  <c r="B28" i="49"/>
  <c r="B27" i="49"/>
  <c r="B26" i="49"/>
  <c r="B25" i="49"/>
  <c r="B24" i="49"/>
  <c r="B23" i="49"/>
  <c r="B22" i="49"/>
  <c r="B21" i="49"/>
  <c r="B20" i="49"/>
  <c r="B19" i="49"/>
  <c r="B18" i="49"/>
  <c r="B17" i="49"/>
  <c r="B16" i="49"/>
  <c r="B15" i="49"/>
  <c r="B14" i="49"/>
  <c r="B13" i="49"/>
  <c r="B12" i="49"/>
  <c r="B11" i="49"/>
  <c r="B10" i="49"/>
  <c r="B32" i="74"/>
  <c r="B31" i="74"/>
  <c r="B30" i="74"/>
  <c r="B29" i="74"/>
  <c r="B28" i="74"/>
  <c r="B27" i="74"/>
  <c r="B26" i="74"/>
  <c r="B25" i="74"/>
  <c r="B24" i="74"/>
  <c r="B23" i="74"/>
  <c r="B22" i="74"/>
  <c r="B21" i="74"/>
  <c r="B20" i="74"/>
  <c r="B19" i="74"/>
  <c r="B18" i="74"/>
  <c r="B17" i="74"/>
  <c r="B16" i="74"/>
  <c r="B15" i="74"/>
  <c r="B14" i="74"/>
  <c r="B13" i="74"/>
  <c r="B12" i="74"/>
  <c r="B11" i="74"/>
  <c r="B10" i="74"/>
  <c r="B32" i="73"/>
  <c r="B31" i="73"/>
  <c r="B30" i="73"/>
  <c r="B29" i="73"/>
  <c r="B28" i="73"/>
  <c r="B27" i="73"/>
  <c r="B26" i="73"/>
  <c r="B25" i="73"/>
  <c r="B24" i="73"/>
  <c r="B23" i="73"/>
  <c r="B22" i="73"/>
  <c r="B21" i="73"/>
  <c r="B20" i="73"/>
  <c r="B19" i="73"/>
  <c r="B18" i="73"/>
  <c r="B17" i="73"/>
  <c r="B16" i="73"/>
  <c r="B15" i="73"/>
  <c r="B14" i="73"/>
  <c r="B13" i="73"/>
  <c r="B12" i="73"/>
  <c r="B11" i="73"/>
  <c r="B10" i="73"/>
  <c r="Y2" i="49"/>
  <c r="AF195" i="50" l="1"/>
  <c r="BE160" i="50"/>
  <c r="AH197" i="50"/>
  <c r="BY160" i="50"/>
  <c r="BD160" i="50"/>
  <c r="AQ160" i="50"/>
  <c r="CA197" i="50"/>
  <c r="AC197" i="50"/>
  <c r="AN196" i="50"/>
  <c r="AB193" i="50"/>
  <c r="AY160" i="50"/>
  <c r="AB197" i="50"/>
  <c r="BZ197" i="50"/>
  <c r="AF196" i="50"/>
  <c r="CD196" i="50"/>
  <c r="AL195" i="50"/>
  <c r="AD197" i="50"/>
  <c r="AD196" i="50"/>
  <c r="BZ195" i="50"/>
  <c r="AB195" i="50"/>
  <c r="AP160" i="50"/>
  <c r="CC196" i="50"/>
  <c r="CC197" i="50"/>
  <c r="AE197" i="50"/>
  <c r="AJ160" i="50"/>
  <c r="AE160" i="50"/>
  <c r="BX160" i="50"/>
  <c r="AG160" i="50"/>
  <c r="AB160" i="50"/>
  <c r="BB160" i="50"/>
  <c r="AH193" i="50"/>
  <c r="CC192" i="50"/>
  <c r="AE192" i="50"/>
  <c r="AW160" i="50"/>
  <c r="CB192" i="50"/>
  <c r="AD192" i="50"/>
  <c r="AT160" i="50"/>
  <c r="CD193" i="50"/>
  <c r="AK160" i="50"/>
  <c r="AF160" i="50"/>
  <c r="AB194" i="50"/>
  <c r="BZ194" i="50"/>
  <c r="AE193" i="50"/>
  <c r="CC193" i="50"/>
  <c r="AM160" i="50"/>
  <c r="AF197" i="50"/>
  <c r="CD197" i="50"/>
  <c r="AL160" i="50"/>
  <c r="CC194" i="50"/>
  <c r="AC192" i="50"/>
  <c r="AD193" i="50"/>
  <c r="CB193" i="50"/>
  <c r="AC195" i="50"/>
  <c r="AH160" i="50"/>
  <c r="AC160" i="50"/>
  <c r="AZ160" i="50"/>
  <c r="BG160" i="50"/>
  <c r="BS160" i="50"/>
  <c r="AH194" i="50"/>
  <c r="AV160" i="50"/>
  <c r="BI160" i="50"/>
  <c r="BZ196" i="50"/>
  <c r="AB196" i="50"/>
  <c r="AN192" i="50"/>
  <c r="AF192" i="50"/>
  <c r="CC195" i="50"/>
  <c r="AE195" i="50"/>
  <c r="AC196" i="50"/>
  <c r="CB196" i="50"/>
  <c r="CD194" i="50"/>
  <c r="AF194" i="50"/>
  <c r="AO160" i="50"/>
  <c r="AD194" i="50"/>
  <c r="CB195" i="50"/>
  <c r="AC193" i="50"/>
  <c r="BT160" i="50"/>
  <c r="BZ192" i="50"/>
  <c r="AB192" i="50"/>
  <c r="AF193" i="50"/>
  <c r="BL160" i="50"/>
  <c r="AK195" i="50"/>
  <c r="AJ192" i="50"/>
  <c r="CA194" i="50"/>
  <c r="AC44" i="49"/>
  <c r="B72" i="50"/>
  <c r="C2" i="76"/>
  <c r="X3" i="92" s="1"/>
  <c r="B37" i="50"/>
  <c r="B5" i="50"/>
  <c r="AC43" i="49"/>
  <c r="AY37" i="49"/>
  <c r="AZ37" i="49"/>
  <c r="BA37" i="49"/>
  <c r="BB37" i="49"/>
  <c r="AX37" i="49"/>
  <c r="AT37" i="49"/>
  <c r="AU37" i="49"/>
  <c r="AV37" i="49"/>
  <c r="AW37" i="49"/>
  <c r="AS37" i="49"/>
  <c r="AR37" i="49"/>
  <c r="AN37" i="49"/>
  <c r="AO37" i="49"/>
  <c r="AP37" i="49"/>
  <c r="AQ37" i="49"/>
  <c r="AM37" i="49"/>
  <c r="AS36" i="82"/>
  <c r="AT36" i="82"/>
  <c r="AU36" i="82"/>
  <c r="AV36" i="82"/>
  <c r="AX36" i="82"/>
  <c r="AY36" i="82"/>
  <c r="AZ36" i="82"/>
  <c r="BA36" i="82"/>
  <c r="AW36" i="82"/>
  <c r="AR36" i="82"/>
  <c r="AQ36" i="82"/>
  <c r="AP36" i="82"/>
  <c r="AO36" i="82"/>
  <c r="AN36" i="82"/>
  <c r="AM36" i="82"/>
  <c r="AL36" i="82"/>
  <c r="AG9" i="82"/>
  <c r="I7" i="82"/>
  <c r="AZ37" i="72"/>
  <c r="BA37" i="72"/>
  <c r="BB37" i="72"/>
  <c r="BC37" i="72"/>
  <c r="AY37" i="72"/>
  <c r="AW37" i="72"/>
  <c r="AV37" i="72"/>
  <c r="AU37" i="72"/>
  <c r="AT37" i="72"/>
  <c r="AS37" i="72"/>
  <c r="AG9" i="72"/>
  <c r="AG9" i="73"/>
  <c r="AR36" i="72"/>
  <c r="AP36" i="72"/>
  <c r="AO36" i="72"/>
  <c r="AN36" i="72"/>
  <c r="AM36" i="72"/>
  <c r="AL36" i="72"/>
  <c r="I7" i="72"/>
  <c r="AT37" i="73"/>
  <c r="AU37" i="73"/>
  <c r="AV37" i="73"/>
  <c r="AW37" i="73"/>
  <c r="AS37" i="73"/>
  <c r="AL36" i="73"/>
  <c r="AR36" i="73"/>
  <c r="AP36" i="73"/>
  <c r="AO36" i="73"/>
  <c r="AN36" i="73"/>
  <c r="AM36" i="73"/>
  <c r="I7" i="73"/>
  <c r="AR36" i="74"/>
  <c r="AM36" i="74"/>
  <c r="AN36" i="74"/>
  <c r="AO36" i="74"/>
  <c r="AP36" i="74"/>
  <c r="AL36" i="74"/>
  <c r="AG9" i="74"/>
  <c r="X2" i="92" l="1"/>
  <c r="B2" i="92" s="1"/>
  <c r="X7" i="92"/>
  <c r="X11" i="92"/>
  <c r="X15" i="92"/>
  <c r="X19" i="92"/>
  <c r="X23" i="92"/>
  <c r="X27" i="92"/>
  <c r="X8" i="92"/>
  <c r="X12" i="92"/>
  <c r="X20" i="92"/>
  <c r="X28" i="92"/>
  <c r="X9" i="92"/>
  <c r="X25" i="92"/>
  <c r="X6" i="92"/>
  <c r="X10" i="92"/>
  <c r="X14" i="92"/>
  <c r="X18" i="92"/>
  <c r="X22" i="92"/>
  <c r="X26" i="92"/>
  <c r="X4" i="92"/>
  <c r="X16" i="92"/>
  <c r="X24" i="92"/>
  <c r="X5" i="92"/>
  <c r="X13" i="92"/>
  <c r="X17" i="92"/>
  <c r="X21" i="92"/>
  <c r="X29" i="92"/>
  <c r="I7" i="74"/>
  <c r="G27" i="75"/>
  <c r="D33" i="49"/>
  <c r="E33" i="49"/>
  <c r="F33" i="49"/>
  <c r="G33" i="49"/>
  <c r="H33" i="49"/>
  <c r="AC147" i="83" l="1"/>
  <c r="AH148" i="84"/>
  <c r="AH112" i="84"/>
  <c r="AH76" i="84"/>
  <c r="H29" i="92"/>
  <c r="N29" i="92"/>
  <c r="V29" i="92"/>
  <c r="W29" i="92"/>
  <c r="L29" i="92"/>
  <c r="P29" i="92"/>
  <c r="K29" i="92"/>
  <c r="C29" i="92"/>
  <c r="F29" i="92"/>
  <c r="T29" i="92"/>
  <c r="G29" i="92"/>
  <c r="B29" i="92"/>
  <c r="J29" i="92"/>
  <c r="Q29" i="92"/>
  <c r="U29" i="92"/>
  <c r="D29" i="92"/>
  <c r="M29" i="92"/>
  <c r="I29" i="92"/>
  <c r="E29" i="92"/>
  <c r="H28" i="92"/>
  <c r="N28" i="92"/>
  <c r="P28" i="92"/>
  <c r="V28" i="92"/>
  <c r="W28" i="92"/>
  <c r="L28" i="92"/>
  <c r="K28" i="92"/>
  <c r="G28" i="92"/>
  <c r="T28" i="92"/>
  <c r="D28" i="92"/>
  <c r="M28" i="92"/>
  <c r="E28" i="92"/>
  <c r="C28" i="92"/>
  <c r="J28" i="92"/>
  <c r="Q28" i="92"/>
  <c r="F28" i="92"/>
  <c r="I28" i="92"/>
  <c r="U28" i="92"/>
  <c r="B28" i="92"/>
  <c r="K2" i="92"/>
  <c r="J2" i="92"/>
  <c r="C2" i="92"/>
  <c r="E2" i="92"/>
  <c r="I2" i="92"/>
  <c r="V2" i="92"/>
  <c r="U2" i="92"/>
  <c r="D2" i="92"/>
  <c r="L2" i="92"/>
  <c r="N2" i="92"/>
  <c r="F2" i="92"/>
  <c r="Q2" i="92"/>
  <c r="H2" i="92"/>
  <c r="W2" i="92"/>
  <c r="M2" i="92"/>
  <c r="T2" i="92"/>
  <c r="G2" i="92"/>
  <c r="P2" i="92"/>
  <c r="D15" i="92"/>
  <c r="C15" i="92"/>
  <c r="M15" i="92"/>
  <c r="J15" i="92"/>
  <c r="P15" i="92"/>
  <c r="E15" i="92"/>
  <c r="B15" i="92"/>
  <c r="V15" i="92"/>
  <c r="H15" i="92"/>
  <c r="G15" i="92"/>
  <c r="W15" i="92"/>
  <c r="N15" i="92"/>
  <c r="T15" i="92"/>
  <c r="U15" i="92"/>
  <c r="F15" i="92"/>
  <c r="K15" i="92"/>
  <c r="I15" i="92"/>
  <c r="L15" i="92"/>
  <c r="Q15" i="92"/>
  <c r="V18" i="92"/>
  <c r="T18" i="92"/>
  <c r="M18" i="92"/>
  <c r="D18" i="92"/>
  <c r="B18" i="92"/>
  <c r="I18" i="92"/>
  <c r="E18" i="92"/>
  <c r="C18" i="92"/>
  <c r="G18" i="92"/>
  <c r="N18" i="92"/>
  <c r="H18" i="92"/>
  <c r="J18" i="92"/>
  <c r="K18" i="92"/>
  <c r="W18" i="92"/>
  <c r="F18" i="92"/>
  <c r="U18" i="92"/>
  <c r="P18" i="92"/>
  <c r="L18" i="92"/>
  <c r="Q18" i="92"/>
  <c r="AP39" i="64"/>
  <c r="AC3" i="74"/>
  <c r="AC3" i="63"/>
  <c r="AC3" i="64"/>
  <c r="BK40" i="63"/>
  <c r="BA40" i="63"/>
  <c r="AH111" i="63"/>
  <c r="AC3" i="49"/>
  <c r="AC3" i="62"/>
  <c r="BF40" i="63"/>
  <c r="AP40" i="63"/>
  <c r="AC111" i="63"/>
  <c r="AC3" i="65"/>
  <c r="AC3" i="67"/>
  <c r="AP145" i="68"/>
  <c r="AF3" i="50"/>
  <c r="AP39" i="68"/>
  <c r="AC3" i="66"/>
  <c r="AC3" i="68"/>
  <c r="AH183" i="69"/>
  <c r="AC147" i="69"/>
  <c r="AC111" i="69"/>
  <c r="BE39" i="84"/>
  <c r="AU39" i="84"/>
  <c r="O80" i="70"/>
  <c r="AS111" i="70"/>
  <c r="AB3" i="84"/>
  <c r="AI111" i="69"/>
  <c r="AZ39" i="84"/>
  <c r="AO39" i="84"/>
  <c r="AY111" i="70"/>
  <c r="G80" i="70"/>
  <c r="AH255" i="69"/>
  <c r="AC183" i="69"/>
  <c r="AI80" i="70"/>
  <c r="AY40" i="70"/>
  <c r="AB147" i="70"/>
  <c r="BD40" i="70"/>
  <c r="AO39" i="60"/>
  <c r="AC3" i="70"/>
  <c r="AB183" i="60"/>
  <c r="AD117" i="60"/>
  <c r="AU40" i="85"/>
  <c r="AD9" i="70"/>
  <c r="AZ147" i="60"/>
  <c r="AO147" i="60"/>
  <c r="AB76" i="60"/>
  <c r="AZ40" i="85"/>
  <c r="AP40" i="85"/>
  <c r="AS40" i="70"/>
  <c r="AH147" i="70"/>
  <c r="AU147" i="60"/>
  <c r="AC3" i="60"/>
  <c r="AI76" i="87"/>
  <c r="AO40" i="91"/>
  <c r="AO110" i="91"/>
  <c r="AV40" i="87"/>
  <c r="S41" i="22"/>
  <c r="AC3" i="86"/>
  <c r="AC76" i="87"/>
  <c r="AE9" i="87"/>
  <c r="AP40" i="87"/>
  <c r="AH183" i="83"/>
  <c r="AP147" i="83"/>
  <c r="AE9" i="83"/>
  <c r="AV147" i="83"/>
  <c r="AE116" i="83"/>
  <c r="AC76" i="83"/>
  <c r="G79" i="91"/>
  <c r="G8" i="91"/>
  <c r="AC76" i="85"/>
  <c r="AD79" i="91"/>
  <c r="G8" i="87"/>
  <c r="AC112" i="85"/>
  <c r="G75" i="87"/>
  <c r="N8" i="87"/>
  <c r="AD8" i="91"/>
  <c r="AE9" i="85"/>
  <c r="O79" i="91"/>
  <c r="O8" i="91"/>
  <c r="AB3" i="91"/>
  <c r="AC3" i="87"/>
  <c r="G111" i="85"/>
  <c r="G75" i="85"/>
  <c r="AC3" i="85"/>
  <c r="N8" i="85"/>
  <c r="G8" i="85"/>
  <c r="G116" i="60"/>
  <c r="AI8" i="86"/>
  <c r="AC8" i="86"/>
  <c r="G75" i="60"/>
  <c r="O116" i="60"/>
  <c r="G9" i="60"/>
  <c r="G182" i="60"/>
  <c r="O9" i="60"/>
  <c r="AO8" i="86"/>
  <c r="G8" i="70"/>
  <c r="G75" i="84"/>
  <c r="AB76" i="84"/>
  <c r="G111" i="84"/>
  <c r="AD80" i="70"/>
  <c r="G147" i="84"/>
  <c r="AB112" i="84"/>
  <c r="G147" i="70"/>
  <c r="O8" i="70"/>
  <c r="AB148" i="84"/>
  <c r="AA33" i="49"/>
  <c r="Z33" i="49"/>
  <c r="G114" i="68"/>
  <c r="AE114" i="68"/>
  <c r="N114" i="68"/>
  <c r="AE8" i="69"/>
  <c r="AE8" i="67"/>
  <c r="AE8" i="65"/>
  <c r="AE8" i="63"/>
  <c r="AD8" i="72"/>
  <c r="AD9" i="60"/>
  <c r="AE8" i="68"/>
  <c r="AD8" i="84"/>
  <c r="AE8" i="66"/>
  <c r="AD8" i="82"/>
  <c r="AD8" i="74"/>
  <c r="AE8" i="64"/>
  <c r="AD8" i="73"/>
  <c r="AI109" i="49"/>
  <c r="AE8" i="62"/>
  <c r="O33" i="49"/>
  <c r="AF33" i="49"/>
  <c r="N33" i="49"/>
  <c r="AE33" i="49"/>
  <c r="K33" i="49"/>
  <c r="AB33" i="49"/>
  <c r="L33" i="49"/>
  <c r="AC33" i="49"/>
  <c r="M33" i="49"/>
  <c r="AD33" i="49"/>
  <c r="M41" i="22"/>
  <c r="S7" i="22"/>
  <c r="M7" i="22"/>
  <c r="G7" i="22"/>
  <c r="AE259" i="83"/>
  <c r="N258" i="83"/>
  <c r="G258" i="83"/>
  <c r="AP290" i="83"/>
  <c r="O8" i="84"/>
  <c r="G75" i="83"/>
  <c r="N8" i="83"/>
  <c r="G110" i="69"/>
  <c r="G182" i="69"/>
  <c r="G254" i="69"/>
  <c r="G218" i="67"/>
  <c r="BP40" i="67"/>
  <c r="BF40" i="67"/>
  <c r="AU40" i="67"/>
  <c r="G8" i="84"/>
  <c r="G115" i="83"/>
  <c r="G182" i="83"/>
  <c r="AC3" i="83"/>
  <c r="G8" i="68"/>
  <c r="G8" i="83"/>
  <c r="N8" i="68"/>
  <c r="G254" i="67"/>
  <c r="G218" i="69"/>
  <c r="BK40" i="67"/>
  <c r="AP40" i="67"/>
  <c r="N115" i="83"/>
  <c r="G8" i="69"/>
  <c r="AC3" i="69"/>
  <c r="G182" i="67"/>
  <c r="G146" i="69"/>
  <c r="N8" i="69"/>
  <c r="G146" i="67"/>
  <c r="G110" i="67"/>
  <c r="BV40" i="67"/>
  <c r="BA40" i="67"/>
  <c r="G8" i="67"/>
  <c r="G146" i="66"/>
  <c r="N8" i="67"/>
  <c r="G110" i="66"/>
  <c r="N8" i="66"/>
  <c r="G8" i="66"/>
  <c r="G8" i="63"/>
  <c r="N8" i="64"/>
  <c r="G8" i="64"/>
  <c r="G8" i="65"/>
  <c r="N8" i="63"/>
  <c r="N8" i="65"/>
  <c r="N8" i="62"/>
  <c r="G8" i="62"/>
  <c r="G110" i="63"/>
  <c r="G110" i="62"/>
  <c r="G8" i="82"/>
  <c r="G8" i="72"/>
  <c r="P33" i="49" l="1"/>
  <c r="AA15" i="76"/>
  <c r="Y15" i="92" a="1"/>
  <c r="Y15" i="92" s="1"/>
  <c r="Z148" i="68" s="1"/>
  <c r="AA15" i="92" a="1"/>
  <c r="AA15" i="92" s="1"/>
  <c r="AD147" i="68" s="1"/>
  <c r="AD148" i="68" s="1"/>
  <c r="Z15" i="92" a="1"/>
  <c r="Z15" i="92" s="1"/>
  <c r="AA148" i="68" s="1"/>
  <c r="Z29" i="92" a="1"/>
  <c r="Z29" i="92" s="1"/>
  <c r="Z113" i="91" s="1"/>
  <c r="AA29" i="92" a="1"/>
  <c r="AA29" i="92" s="1"/>
  <c r="AC112" i="91" s="1"/>
  <c r="AC113" i="91" s="1"/>
  <c r="Y29" i="92" a="1"/>
  <c r="Y29" i="92" s="1"/>
  <c r="Y113" i="91" s="1"/>
  <c r="AA28" i="92" a="1"/>
  <c r="AA28" i="92" s="1"/>
  <c r="AC41" i="91" s="1"/>
  <c r="AC42" i="91" s="1"/>
  <c r="Z28" i="92" a="1"/>
  <c r="Z28" i="92" s="1"/>
  <c r="Z42" i="91" s="1"/>
  <c r="Y28" i="92" a="1"/>
  <c r="Y28" i="92" s="1"/>
  <c r="Y42" i="91" s="1"/>
  <c r="Y18" i="92" a="1"/>
  <c r="Y18" i="92" s="1"/>
  <c r="Z174" i="83" s="1"/>
  <c r="Z18" i="92" a="1"/>
  <c r="Z18" i="92" s="1"/>
  <c r="AA174" i="83" s="1"/>
  <c r="AA18" i="92" a="1"/>
  <c r="AA18" i="92" s="1"/>
  <c r="AD173" i="83" s="1"/>
  <c r="AD174" i="83" s="1"/>
  <c r="DQ110" i="50"/>
  <c r="EA110" i="50"/>
  <c r="CR110" i="50"/>
  <c r="CW110" i="50"/>
  <c r="DG110" i="50"/>
  <c r="CM110" i="50"/>
  <c r="DV110" i="50"/>
  <c r="CH110" i="50"/>
  <c r="DL110" i="50"/>
  <c r="DB110" i="50"/>
  <c r="AL5" i="62"/>
  <c r="I7" i="49"/>
  <c r="AL5" i="49" s="1"/>
  <c r="Y174" i="83" l="1"/>
  <c r="AC174" i="83"/>
  <c r="AC173" i="83"/>
  <c r="AB112" i="91"/>
  <c r="AB113" i="91"/>
  <c r="X113" i="91"/>
  <c r="AB42" i="91"/>
  <c r="AB41" i="91"/>
  <c r="X42" i="91"/>
  <c r="Y148" i="68"/>
  <c r="AC147" i="68"/>
  <c r="AC148" i="68"/>
  <c r="Y77" i="49"/>
  <c r="Y78" i="49"/>
  <c r="Y79" i="49"/>
  <c r="Y80" i="49"/>
  <c r="Y81" i="49"/>
  <c r="Y82" i="49"/>
  <c r="Y83" i="49"/>
  <c r="Y84" i="49"/>
  <c r="Y85" i="49"/>
  <c r="Y86" i="49"/>
  <c r="Y87" i="49"/>
  <c r="Y88" i="49"/>
  <c r="Y89" i="49"/>
  <c r="Y90" i="49"/>
  <c r="Y91" i="49"/>
  <c r="Y92" i="49"/>
  <c r="Y93" i="49"/>
  <c r="Y94" i="49"/>
  <c r="Y95" i="49"/>
  <c r="Y96" i="49"/>
  <c r="Y97" i="49"/>
  <c r="Y98" i="49"/>
  <c r="Y99" i="49"/>
  <c r="Y100" i="49"/>
  <c r="A106" i="49"/>
  <c r="H31" i="73" l="1"/>
  <c r="H30" i="73"/>
  <c r="H29" i="73"/>
  <c r="H28" i="73"/>
  <c r="H27" i="73"/>
  <c r="H26" i="73"/>
  <c r="H25" i="73"/>
  <c r="H24" i="73"/>
  <c r="H23" i="73"/>
  <c r="H22" i="73"/>
  <c r="H21" i="73"/>
  <c r="H20" i="73"/>
  <c r="H19" i="73"/>
  <c r="H18" i="73"/>
  <c r="H17" i="73"/>
  <c r="H16" i="73"/>
  <c r="H15" i="73"/>
  <c r="H14" i="73"/>
  <c r="H13" i="73"/>
  <c r="H12" i="73"/>
  <c r="H11" i="73"/>
  <c r="H10" i="73"/>
  <c r="AE12" i="73" l="1"/>
  <c r="Y12" i="73"/>
  <c r="AE20" i="73"/>
  <c r="Z20" i="73"/>
  <c r="Y20" i="73"/>
  <c r="AE13" i="73"/>
  <c r="Y13" i="73"/>
  <c r="AE21" i="73"/>
  <c r="Y21" i="73"/>
  <c r="AE25" i="73"/>
  <c r="Z25" i="73"/>
  <c r="Y25" i="73"/>
  <c r="AE10" i="73"/>
  <c r="Y10" i="73"/>
  <c r="AE14" i="73"/>
  <c r="Y14" i="73"/>
  <c r="AE18" i="73"/>
  <c r="Y18" i="73"/>
  <c r="AE22" i="73"/>
  <c r="Z22" i="73"/>
  <c r="Y22" i="73"/>
  <c r="AE26" i="73"/>
  <c r="Z26" i="73"/>
  <c r="Y26" i="73"/>
  <c r="AE30" i="73"/>
  <c r="Z30" i="73"/>
  <c r="Y30" i="73"/>
  <c r="AE16" i="73"/>
  <c r="Y16" i="73"/>
  <c r="AE24" i="73"/>
  <c r="Y24" i="73"/>
  <c r="AE28" i="73"/>
  <c r="Z28" i="73"/>
  <c r="Y28" i="73"/>
  <c r="AE17" i="73"/>
  <c r="Y17" i="73"/>
  <c r="AE29" i="73"/>
  <c r="Y29" i="73"/>
  <c r="AE11" i="73"/>
  <c r="Y11" i="73"/>
  <c r="AE15" i="73"/>
  <c r="Y15" i="73"/>
  <c r="AE19" i="73"/>
  <c r="Z19" i="73"/>
  <c r="Y19" i="73"/>
  <c r="AE23" i="73"/>
  <c r="Y23" i="73"/>
  <c r="AE27" i="73"/>
  <c r="Z27" i="73"/>
  <c r="Y27" i="73"/>
  <c r="AE31" i="73"/>
  <c r="Y31" i="73"/>
  <c r="H32" i="73"/>
  <c r="H33" i="87"/>
  <c r="G33" i="87"/>
  <c r="F33" i="87"/>
  <c r="AH100" i="87" s="1"/>
  <c r="E33" i="87"/>
  <c r="AG100" i="87" s="1"/>
  <c r="D33" i="87"/>
  <c r="AF100" i="87" s="1"/>
  <c r="H31" i="87"/>
  <c r="G31" i="87"/>
  <c r="F31" i="87"/>
  <c r="E31" i="87"/>
  <c r="D31" i="87"/>
  <c r="H30" i="87"/>
  <c r="G30" i="87"/>
  <c r="F30" i="87"/>
  <c r="E30" i="87"/>
  <c r="D30" i="87"/>
  <c r="H29" i="87"/>
  <c r="AF29" i="87" s="1"/>
  <c r="G29" i="87"/>
  <c r="F29" i="87"/>
  <c r="E29" i="87"/>
  <c r="D29" i="87"/>
  <c r="H28" i="87"/>
  <c r="G28" i="87"/>
  <c r="F28" i="87"/>
  <c r="E28" i="87"/>
  <c r="D28" i="87"/>
  <c r="H27" i="87"/>
  <c r="G27" i="87"/>
  <c r="F27" i="87"/>
  <c r="E27" i="87"/>
  <c r="D27" i="87"/>
  <c r="H26" i="87"/>
  <c r="G26" i="87"/>
  <c r="F26" i="87"/>
  <c r="E26" i="87"/>
  <c r="D26" i="87"/>
  <c r="H25" i="87"/>
  <c r="AF25" i="87" s="1"/>
  <c r="G25" i="87"/>
  <c r="F25" i="87"/>
  <c r="AD25" i="87" s="1"/>
  <c r="E25" i="87"/>
  <c r="D25" i="87"/>
  <c r="H24" i="87"/>
  <c r="G24" i="87"/>
  <c r="E24" i="87"/>
  <c r="D24" i="87"/>
  <c r="H23" i="87"/>
  <c r="G23" i="87"/>
  <c r="F23" i="87"/>
  <c r="E23" i="87"/>
  <c r="D23" i="87"/>
  <c r="H22" i="87"/>
  <c r="G22" i="87"/>
  <c r="F22" i="87"/>
  <c r="E22" i="87"/>
  <c r="D22" i="87"/>
  <c r="H21" i="87"/>
  <c r="AF21" i="87" s="1"/>
  <c r="G21" i="87"/>
  <c r="F21" i="87"/>
  <c r="E21" i="87"/>
  <c r="D21" i="87"/>
  <c r="H20" i="87"/>
  <c r="G20" i="87"/>
  <c r="F20" i="87"/>
  <c r="E20" i="87"/>
  <c r="D20" i="87"/>
  <c r="H19" i="87"/>
  <c r="G19" i="87"/>
  <c r="F19" i="87"/>
  <c r="E19" i="87"/>
  <c r="D19" i="87"/>
  <c r="H18" i="87"/>
  <c r="AF18" i="87" s="1"/>
  <c r="G18" i="87"/>
  <c r="F18" i="87"/>
  <c r="E18" i="87"/>
  <c r="D18" i="87"/>
  <c r="H17" i="87"/>
  <c r="AF17" i="87" s="1"/>
  <c r="G17" i="87"/>
  <c r="F17" i="87"/>
  <c r="AD17" i="87" s="1"/>
  <c r="E17" i="87"/>
  <c r="D17" i="87"/>
  <c r="H16" i="87"/>
  <c r="G16" i="87"/>
  <c r="F16" i="87"/>
  <c r="E16" i="87"/>
  <c r="D16" i="87"/>
  <c r="H15" i="87"/>
  <c r="AF15" i="87" s="1"/>
  <c r="G15" i="87"/>
  <c r="F15" i="87"/>
  <c r="E15" i="87"/>
  <c r="D15" i="87"/>
  <c r="H14" i="87"/>
  <c r="AF14" i="87" s="1"/>
  <c r="G14" i="87"/>
  <c r="F14" i="87"/>
  <c r="E14" i="87"/>
  <c r="AC14" i="87" s="1"/>
  <c r="D14" i="87"/>
  <c r="H13" i="87"/>
  <c r="AF13" i="87" s="1"/>
  <c r="G13" i="87"/>
  <c r="F13" i="87"/>
  <c r="AD13" i="87" s="1"/>
  <c r="E13" i="87"/>
  <c r="D13" i="87"/>
  <c r="H12" i="87"/>
  <c r="G12" i="87"/>
  <c r="AE12" i="87" s="1"/>
  <c r="F12" i="87"/>
  <c r="E12" i="87"/>
  <c r="D12" i="87"/>
  <c r="H11" i="87"/>
  <c r="AF11" i="87" s="1"/>
  <c r="G11" i="87"/>
  <c r="F11" i="87"/>
  <c r="E11" i="87"/>
  <c r="D11" i="87"/>
  <c r="H10" i="87"/>
  <c r="AF10" i="87" s="1"/>
  <c r="G10" i="87"/>
  <c r="F10" i="87"/>
  <c r="E10" i="87"/>
  <c r="D10" i="87"/>
  <c r="AI100" i="87" l="1"/>
  <c r="N33" i="87"/>
  <c r="AJ100" i="87"/>
  <c r="O33" i="87"/>
  <c r="AF30" i="87"/>
  <c r="AJ97" i="87"/>
  <c r="AF22" i="87"/>
  <c r="AJ89" i="87"/>
  <c r="AF24" i="87"/>
  <c r="AJ91" i="87"/>
  <c r="AF16" i="87"/>
  <c r="AJ83" i="87"/>
  <c r="AF26" i="87"/>
  <c r="AJ93" i="87"/>
  <c r="AF31" i="87"/>
  <c r="AJ98" i="87"/>
  <c r="AF20" i="87"/>
  <c r="AJ87" i="87"/>
  <c r="AD16" i="87"/>
  <c r="AH83" i="87"/>
  <c r="AE24" i="87"/>
  <c r="AI91" i="87"/>
  <c r="AB31" i="87"/>
  <c r="AF98" i="87"/>
  <c r="AE16" i="87"/>
  <c r="AI83" i="87"/>
  <c r="AB28" i="87"/>
  <c r="AF95" i="87"/>
  <c r="AC31" i="87"/>
  <c r="AG98" i="87"/>
  <c r="AE22" i="87"/>
  <c r="AI89" i="87"/>
  <c r="AB20" i="87"/>
  <c r="AF87" i="87"/>
  <c r="AC28" i="87"/>
  <c r="AG95" i="87"/>
  <c r="AD31" i="87"/>
  <c r="AH98" i="87"/>
  <c r="AC16" i="87"/>
  <c r="AG83" i="87"/>
  <c r="AC20" i="87"/>
  <c r="AG87" i="87"/>
  <c r="AB30" i="87"/>
  <c r="AF97" i="87"/>
  <c r="AE31" i="87"/>
  <c r="AI98" i="87"/>
  <c r="AD20" i="87"/>
  <c r="AH87" i="87"/>
  <c r="AB22" i="87"/>
  <c r="AF89" i="87"/>
  <c r="AC30" i="87"/>
  <c r="AG97" i="87"/>
  <c r="AE20" i="87"/>
  <c r="AI87" i="87"/>
  <c r="AC22" i="87"/>
  <c r="AG89" i="87"/>
  <c r="AD30" i="87"/>
  <c r="AH97" i="87"/>
  <c r="AC24" i="87"/>
  <c r="AG91" i="87"/>
  <c r="AB16" i="87"/>
  <c r="AF83" i="87"/>
  <c r="AD22" i="87"/>
  <c r="AH89" i="87"/>
  <c r="AB24" i="87"/>
  <c r="AF91" i="87"/>
  <c r="AE30" i="87"/>
  <c r="AI97" i="87"/>
  <c r="AD28" i="87"/>
  <c r="AH95" i="87"/>
  <c r="AE28" i="87"/>
  <c r="AI95" i="87"/>
  <c r="AB23" i="87"/>
  <c r="AF90" i="87"/>
  <c r="AB29" i="87"/>
  <c r="AF96" i="87"/>
  <c r="AF28" i="87"/>
  <c r="AJ95" i="87"/>
  <c r="AC23" i="87"/>
  <c r="AG90" i="87"/>
  <c r="AB26" i="87"/>
  <c r="AF93" i="87"/>
  <c r="AB27" i="87"/>
  <c r="AF94" i="87"/>
  <c r="AB19" i="87"/>
  <c r="AF86" i="87"/>
  <c r="AD23" i="87"/>
  <c r="AH90" i="87"/>
  <c r="AC19" i="87"/>
  <c r="AG86" i="87"/>
  <c r="AC26" i="87"/>
  <c r="AG93" i="87"/>
  <c r="AC27" i="87"/>
  <c r="AG94" i="87"/>
  <c r="AB11" i="87"/>
  <c r="AF78" i="87"/>
  <c r="AB10" i="87"/>
  <c r="AF77" i="87"/>
  <c r="AE23" i="87"/>
  <c r="AI90" i="87"/>
  <c r="AD27" i="87"/>
  <c r="AH94" i="87"/>
  <c r="AD26" i="87"/>
  <c r="AH93" i="87"/>
  <c r="AD19" i="87"/>
  <c r="AH86" i="87"/>
  <c r="AC11" i="87"/>
  <c r="AG78" i="87"/>
  <c r="AB21" i="87"/>
  <c r="AF88" i="87"/>
  <c r="AB12" i="87"/>
  <c r="AF79" i="87"/>
  <c r="AB18" i="87"/>
  <c r="AF85" i="87"/>
  <c r="AI78" i="87"/>
  <c r="AE11" i="87"/>
  <c r="AH79" i="87"/>
  <c r="AD12" i="87"/>
  <c r="AG80" i="87"/>
  <c r="AC13" i="87"/>
  <c r="AF81" i="87"/>
  <c r="AB14" i="87"/>
  <c r="AI82" i="87"/>
  <c r="AE15" i="87"/>
  <c r="AG84" i="87"/>
  <c r="AC17" i="87"/>
  <c r="AI86" i="87"/>
  <c r="AE19" i="87"/>
  <c r="AJ94" i="87"/>
  <c r="AF27" i="87"/>
  <c r="AH96" i="87"/>
  <c r="AD29" i="87"/>
  <c r="AG77" i="87"/>
  <c r="AC10" i="87"/>
  <c r="AF82" i="87"/>
  <c r="AB15" i="87"/>
  <c r="AG85" i="87"/>
  <c r="AC18" i="87"/>
  <c r="AJ86" i="87"/>
  <c r="AF19" i="87"/>
  <c r="AH88" i="87"/>
  <c r="AD21" i="87"/>
  <c r="AJ90" i="87"/>
  <c r="AF23" i="87"/>
  <c r="AI92" i="87"/>
  <c r="AE25" i="87"/>
  <c r="AI96" i="87"/>
  <c r="AE29" i="87"/>
  <c r="AH77" i="87"/>
  <c r="AD10" i="87"/>
  <c r="AJ79" i="87"/>
  <c r="AF12" i="87"/>
  <c r="AI80" i="87"/>
  <c r="AE13" i="87"/>
  <c r="AH81" i="87"/>
  <c r="AD14" i="87"/>
  <c r="AG82" i="87"/>
  <c r="AC15" i="87"/>
  <c r="AI84" i="87"/>
  <c r="AE17" i="87"/>
  <c r="AH85" i="87"/>
  <c r="AD18" i="87"/>
  <c r="AI88" i="87"/>
  <c r="AE21" i="87"/>
  <c r="AF92" i="87"/>
  <c r="AB25" i="87"/>
  <c r="AI93" i="87"/>
  <c r="AE26" i="87"/>
  <c r="AI77" i="87"/>
  <c r="AE10" i="87"/>
  <c r="AH78" i="87"/>
  <c r="AD11" i="87"/>
  <c r="AG79" i="87"/>
  <c r="AC12" i="87"/>
  <c r="AF80" i="87"/>
  <c r="AB13" i="87"/>
  <c r="AI81" i="87"/>
  <c r="AE14" i="87"/>
  <c r="AH82" i="87"/>
  <c r="AD15" i="87"/>
  <c r="AF84" i="87"/>
  <c r="AB17" i="87"/>
  <c r="AI85" i="87"/>
  <c r="AE18" i="87"/>
  <c r="AG92" i="87"/>
  <c r="AC25" i="87"/>
  <c r="AI94" i="87"/>
  <c r="AE27" i="87"/>
  <c r="AG96" i="87"/>
  <c r="AC29" i="87"/>
  <c r="AG88" i="87"/>
  <c r="AC21" i="87"/>
  <c r="AE32" i="73"/>
  <c r="D77" i="87"/>
  <c r="Y32" i="73"/>
  <c r="AL10" i="87"/>
  <c r="AN16" i="87"/>
  <c r="AN20" i="87"/>
  <c r="AM21" i="87"/>
  <c r="AN28" i="87"/>
  <c r="AM29" i="87"/>
  <c r="Z12" i="87"/>
  <c r="Z16" i="87"/>
  <c r="AA16" i="87"/>
  <c r="Z24" i="87"/>
  <c r="AA24" i="87"/>
  <c r="AJ88" i="87"/>
  <c r="Z21" i="87"/>
  <c r="AJ96" i="87"/>
  <c r="Z29" i="87"/>
  <c r="Z11" i="87"/>
  <c r="Z15" i="87"/>
  <c r="Z19" i="87"/>
  <c r="Z23" i="87"/>
  <c r="AA27" i="87"/>
  <c r="Z27" i="87"/>
  <c r="AA31" i="87"/>
  <c r="Z31" i="87"/>
  <c r="AN33" i="87"/>
  <c r="Z20" i="87"/>
  <c r="AA20" i="87"/>
  <c r="Z28" i="87"/>
  <c r="AA28" i="87"/>
  <c r="AJ80" i="87"/>
  <c r="Z13" i="87"/>
  <c r="AJ84" i="87"/>
  <c r="AA17" i="87"/>
  <c r="Z17" i="87"/>
  <c r="AJ92" i="87"/>
  <c r="Z25" i="87"/>
  <c r="AJ77" i="87"/>
  <c r="Z10" i="87"/>
  <c r="AJ81" i="87"/>
  <c r="Z14" i="87"/>
  <c r="AJ85" i="87"/>
  <c r="Z18" i="87"/>
  <c r="Z22" i="87"/>
  <c r="AA22" i="87"/>
  <c r="Z26" i="87"/>
  <c r="AA26" i="87"/>
  <c r="Z30" i="87"/>
  <c r="AA30" i="87"/>
  <c r="AM25" i="87"/>
  <c r="AH92" i="87"/>
  <c r="AO19" i="87"/>
  <c r="AO23" i="87"/>
  <c r="AO27" i="87"/>
  <c r="AO31" i="87"/>
  <c r="AL18" i="87"/>
  <c r="AL22" i="87"/>
  <c r="AL26" i="87"/>
  <c r="AL30" i="87"/>
  <c r="AL14" i="87"/>
  <c r="AG81" i="87"/>
  <c r="AM13" i="87"/>
  <c r="AH80" i="87"/>
  <c r="AM17" i="87"/>
  <c r="AH84" i="87"/>
  <c r="AN12" i="87"/>
  <c r="AI79" i="87"/>
  <c r="AO11" i="87"/>
  <c r="AJ78" i="87"/>
  <c r="AO15" i="87"/>
  <c r="AJ82" i="87"/>
  <c r="AN11" i="87"/>
  <c r="AM12" i="87"/>
  <c r="AL13" i="87"/>
  <c r="AO14" i="87"/>
  <c r="AN15" i="87"/>
  <c r="AM16" i="87"/>
  <c r="AL17" i="87"/>
  <c r="AO18" i="87"/>
  <c r="AN19" i="87"/>
  <c r="AM20" i="87"/>
  <c r="AL21" i="87"/>
  <c r="AO22" i="87"/>
  <c r="AN23" i="87"/>
  <c r="AL25" i="87"/>
  <c r="AO26" i="87"/>
  <c r="AN27" i="87"/>
  <c r="AM28" i="87"/>
  <c r="AL29" i="87"/>
  <c r="AO30" i="87"/>
  <c r="AN31" i="87"/>
  <c r="AM33" i="87"/>
  <c r="AM10" i="87"/>
  <c r="AM14" i="87"/>
  <c r="AO16" i="87"/>
  <c r="AM18" i="87"/>
  <c r="AO20" i="87"/>
  <c r="AM22" i="87"/>
  <c r="AO24" i="87"/>
  <c r="AM26" i="87"/>
  <c r="AM30" i="87"/>
  <c r="AO33" i="87"/>
  <c r="AN10" i="87"/>
  <c r="AM11" i="87"/>
  <c r="AL12" i="87"/>
  <c r="AO13" i="87"/>
  <c r="AN14" i="87"/>
  <c r="AM15" i="87"/>
  <c r="AL16" i="87"/>
  <c r="AO17" i="87"/>
  <c r="AN18" i="87"/>
  <c r="AM19" i="87"/>
  <c r="AL20" i="87"/>
  <c r="AO21" i="87"/>
  <c r="AN22" i="87"/>
  <c r="AM23" i="87"/>
  <c r="AL24" i="87"/>
  <c r="AO25" i="87"/>
  <c r="AN26" i="87"/>
  <c r="AM27" i="87"/>
  <c r="AL28" i="87"/>
  <c r="AO29" i="87"/>
  <c r="AN30" i="87"/>
  <c r="AM31" i="87"/>
  <c r="AL33" i="87"/>
  <c r="AL11" i="87"/>
  <c r="AO12" i="87"/>
  <c r="AN13" i="87"/>
  <c r="AL15" i="87"/>
  <c r="AN17" i="87"/>
  <c r="AL19" i="87"/>
  <c r="AN21" i="87"/>
  <c r="AL23" i="87"/>
  <c r="AN25" i="87"/>
  <c r="AL27" i="87"/>
  <c r="AO28" i="87"/>
  <c r="AN29" i="87"/>
  <c r="AL31" i="87"/>
  <c r="H77" i="87"/>
  <c r="AO10" i="87"/>
  <c r="L10" i="87"/>
  <c r="E77" i="87"/>
  <c r="O11" i="87"/>
  <c r="H78" i="87"/>
  <c r="M13" i="87"/>
  <c r="F80" i="87"/>
  <c r="O15" i="87"/>
  <c r="I81" i="76" s="1"/>
  <c r="G27" i="92" s="1"/>
  <c r="H82" i="87"/>
  <c r="M17" i="87"/>
  <c r="F84" i="87"/>
  <c r="K19" i="87"/>
  <c r="D86" i="87"/>
  <c r="N20" i="87"/>
  <c r="G87" i="87"/>
  <c r="M21" i="87"/>
  <c r="F88" i="87"/>
  <c r="K23" i="87"/>
  <c r="D90" i="87"/>
  <c r="N24" i="87"/>
  <c r="G91" i="87"/>
  <c r="L26" i="87"/>
  <c r="E93" i="87"/>
  <c r="O27" i="87"/>
  <c r="H94" i="87"/>
  <c r="M29" i="87"/>
  <c r="F96" i="87"/>
  <c r="K31" i="87"/>
  <c r="D98" i="87"/>
  <c r="G100" i="87"/>
  <c r="M10" i="87"/>
  <c r="F77" i="87"/>
  <c r="K12" i="87"/>
  <c r="D79" i="87"/>
  <c r="O12" i="87"/>
  <c r="F81" i="76" s="1"/>
  <c r="D27" i="92" s="1"/>
  <c r="H79" i="87"/>
  <c r="M14" i="87"/>
  <c r="F81" i="87"/>
  <c r="K16" i="87"/>
  <c r="D83" i="87"/>
  <c r="N17" i="87"/>
  <c r="G84" i="87"/>
  <c r="L19" i="87"/>
  <c r="E86" i="87"/>
  <c r="O20" i="87"/>
  <c r="N81" i="76" s="1"/>
  <c r="L27" i="92" s="1"/>
  <c r="H87" i="87"/>
  <c r="M22" i="87"/>
  <c r="F89" i="87"/>
  <c r="K24" i="87"/>
  <c r="D91" i="87"/>
  <c r="N25" i="87"/>
  <c r="G92" i="87"/>
  <c r="L27" i="87"/>
  <c r="E94" i="87"/>
  <c r="K28" i="87"/>
  <c r="D95" i="87"/>
  <c r="N29" i="87"/>
  <c r="G96" i="87"/>
  <c r="L31" i="87"/>
  <c r="E98" i="87"/>
  <c r="K33" i="87"/>
  <c r="D100" i="87"/>
  <c r="AA81" i="76"/>
  <c r="H100" i="87"/>
  <c r="N10" i="87"/>
  <c r="G77" i="87"/>
  <c r="M11" i="87"/>
  <c r="F78" i="87"/>
  <c r="L12" i="87"/>
  <c r="E79" i="87"/>
  <c r="K13" i="87"/>
  <c r="D80" i="87"/>
  <c r="O13" i="87"/>
  <c r="G81" i="76" s="1"/>
  <c r="E27" i="92" s="1"/>
  <c r="H80" i="87"/>
  <c r="N14" i="87"/>
  <c r="G81" i="87"/>
  <c r="M15" i="87"/>
  <c r="F82" i="87"/>
  <c r="L16" i="87"/>
  <c r="E83" i="87"/>
  <c r="K17" i="87"/>
  <c r="D84" i="87"/>
  <c r="O17" i="87"/>
  <c r="K81" i="76" s="1"/>
  <c r="I27" i="92" s="1"/>
  <c r="H84" i="87"/>
  <c r="N18" i="87"/>
  <c r="G85" i="87"/>
  <c r="M19" i="87"/>
  <c r="F86" i="87"/>
  <c r="L20" i="87"/>
  <c r="E87" i="87"/>
  <c r="K21" i="87"/>
  <c r="D88" i="87"/>
  <c r="O21" i="87"/>
  <c r="O81" i="76" s="1"/>
  <c r="M27" i="92" s="1"/>
  <c r="H88" i="87"/>
  <c r="N22" i="87"/>
  <c r="G89" i="87"/>
  <c r="M23" i="87"/>
  <c r="F90" i="87"/>
  <c r="L24" i="87"/>
  <c r="E91" i="87"/>
  <c r="K25" i="87"/>
  <c r="D92" i="87"/>
  <c r="O25" i="87"/>
  <c r="S81" i="76" s="1"/>
  <c r="Q27" i="92" s="1"/>
  <c r="H92" i="87"/>
  <c r="N26" i="87"/>
  <c r="G93" i="87"/>
  <c r="M27" i="87"/>
  <c r="F94" i="87"/>
  <c r="L28" i="87"/>
  <c r="E95" i="87"/>
  <c r="K29" i="87"/>
  <c r="D96" i="87"/>
  <c r="O29" i="87"/>
  <c r="W81" i="76" s="1"/>
  <c r="U27" i="92" s="1"/>
  <c r="H96" i="87"/>
  <c r="N30" i="87"/>
  <c r="G97" i="87"/>
  <c r="M31" i="87"/>
  <c r="F98" i="87"/>
  <c r="L33" i="87"/>
  <c r="E100" i="87"/>
  <c r="K11" i="87"/>
  <c r="D78" i="87"/>
  <c r="N12" i="87"/>
  <c r="G79" i="87"/>
  <c r="L14" i="87"/>
  <c r="E81" i="87"/>
  <c r="K15" i="87"/>
  <c r="D82" i="87"/>
  <c r="N16" i="87"/>
  <c r="G83" i="87"/>
  <c r="L18" i="87"/>
  <c r="E85" i="87"/>
  <c r="O19" i="87"/>
  <c r="M81" i="76" s="1"/>
  <c r="K27" i="92" s="1"/>
  <c r="H86" i="87"/>
  <c r="L22" i="87"/>
  <c r="E89" i="87"/>
  <c r="O23" i="87"/>
  <c r="H90" i="87"/>
  <c r="M25" i="87"/>
  <c r="F92" i="87"/>
  <c r="K27" i="87"/>
  <c r="D94" i="87"/>
  <c r="N28" i="87"/>
  <c r="G95" i="87"/>
  <c r="L30" i="87"/>
  <c r="E97" i="87"/>
  <c r="O31" i="87"/>
  <c r="H98" i="87"/>
  <c r="L11" i="87"/>
  <c r="E78" i="87"/>
  <c r="N13" i="87"/>
  <c r="G80" i="87"/>
  <c r="L15" i="87"/>
  <c r="E82" i="87"/>
  <c r="O16" i="87"/>
  <c r="J81" i="76" s="1"/>
  <c r="H27" i="92" s="1"/>
  <c r="H83" i="87"/>
  <c r="M18" i="87"/>
  <c r="F85" i="87"/>
  <c r="K20" i="87"/>
  <c r="D87" i="87"/>
  <c r="N21" i="87"/>
  <c r="G88" i="87"/>
  <c r="L23" i="87"/>
  <c r="E90" i="87"/>
  <c r="O24" i="87"/>
  <c r="R81" i="76" s="1"/>
  <c r="P27" i="92" s="1"/>
  <c r="H91" i="87"/>
  <c r="M26" i="87"/>
  <c r="F93" i="87"/>
  <c r="O28" i="87"/>
  <c r="V81" i="76" s="1"/>
  <c r="T27" i="92" s="1"/>
  <c r="H95" i="87"/>
  <c r="M30" i="87"/>
  <c r="F97" i="87"/>
  <c r="K10" i="87"/>
  <c r="N11" i="87"/>
  <c r="G78" i="87"/>
  <c r="M12" i="87"/>
  <c r="F79" i="87"/>
  <c r="L13" i="87"/>
  <c r="E80" i="87"/>
  <c r="K14" i="87"/>
  <c r="D81" i="87"/>
  <c r="O14" i="87"/>
  <c r="H81" i="76" s="1"/>
  <c r="F27" i="92" s="1"/>
  <c r="H81" i="87"/>
  <c r="N15" i="87"/>
  <c r="G82" i="87"/>
  <c r="M16" i="87"/>
  <c r="F83" i="87"/>
  <c r="L17" i="87"/>
  <c r="E84" i="87"/>
  <c r="K18" i="87"/>
  <c r="D85" i="87"/>
  <c r="O18" i="87"/>
  <c r="L81" i="76" s="1"/>
  <c r="J27" i="92" s="1"/>
  <c r="H85" i="87"/>
  <c r="N19" i="87"/>
  <c r="G86" i="87"/>
  <c r="M20" i="87"/>
  <c r="F87" i="87"/>
  <c r="L21" i="87"/>
  <c r="E88" i="87"/>
  <c r="K22" i="87"/>
  <c r="D89" i="87"/>
  <c r="O22" i="87"/>
  <c r="P81" i="76" s="1"/>
  <c r="N27" i="92" s="1"/>
  <c r="H89" i="87"/>
  <c r="N23" i="87"/>
  <c r="G90" i="87"/>
  <c r="L25" i="87"/>
  <c r="E92" i="87"/>
  <c r="K26" i="87"/>
  <c r="D93" i="87"/>
  <c r="O26" i="87"/>
  <c r="H93" i="87"/>
  <c r="N27" i="87"/>
  <c r="G94" i="87"/>
  <c r="M28" i="87"/>
  <c r="F95" i="87"/>
  <c r="L29" i="87"/>
  <c r="E96" i="87"/>
  <c r="K30" i="87"/>
  <c r="D97" i="87"/>
  <c r="O30" i="87"/>
  <c r="X81" i="76" s="1"/>
  <c r="V27" i="92" s="1"/>
  <c r="H97" i="87"/>
  <c r="N31" i="87"/>
  <c r="G98" i="87"/>
  <c r="M33" i="87"/>
  <c r="F100" i="87"/>
  <c r="O10" i="87"/>
  <c r="A107" i="87"/>
  <c r="B100" i="87"/>
  <c r="Y100" i="87" s="1"/>
  <c r="AE100" i="87" s="1"/>
  <c r="B99" i="87"/>
  <c r="Y99" i="87" s="1"/>
  <c r="AE99" i="87" s="1"/>
  <c r="B98" i="87"/>
  <c r="B97" i="87"/>
  <c r="Y97" i="87" s="1"/>
  <c r="AE97" i="87" s="1"/>
  <c r="B96" i="87"/>
  <c r="Y96" i="87" s="1"/>
  <c r="AE96" i="87" s="1"/>
  <c r="B95" i="87"/>
  <c r="B94" i="87"/>
  <c r="Y94" i="87" s="1"/>
  <c r="AE94" i="87" s="1"/>
  <c r="B93" i="87"/>
  <c r="Y93" i="87" s="1"/>
  <c r="AE93" i="87" s="1"/>
  <c r="B92" i="87"/>
  <c r="Y92" i="87" s="1"/>
  <c r="AE92" i="87" s="1"/>
  <c r="B91" i="87"/>
  <c r="B90" i="87"/>
  <c r="B89" i="87"/>
  <c r="Y89" i="87" s="1"/>
  <c r="AE89" i="87" s="1"/>
  <c r="B88" i="87"/>
  <c r="Y88" i="87" s="1"/>
  <c r="AE88" i="87" s="1"/>
  <c r="B87" i="87"/>
  <c r="B86" i="87"/>
  <c r="Y86" i="87" s="1"/>
  <c r="AE86" i="87" s="1"/>
  <c r="B85" i="87"/>
  <c r="Y85" i="87" s="1"/>
  <c r="AE85" i="87" s="1"/>
  <c r="B84" i="87"/>
  <c r="Y84" i="87" s="1"/>
  <c r="AE84" i="87" s="1"/>
  <c r="B83" i="87"/>
  <c r="B82" i="87"/>
  <c r="B81" i="87"/>
  <c r="Y81" i="87" s="1"/>
  <c r="AE81" i="87" s="1"/>
  <c r="B80" i="87"/>
  <c r="Y80" i="87" s="1"/>
  <c r="AE80" i="87" s="1"/>
  <c r="B79" i="87"/>
  <c r="B78" i="87"/>
  <c r="Y78" i="87" s="1"/>
  <c r="AE78" i="87" s="1"/>
  <c r="B77" i="87"/>
  <c r="Y77" i="87" s="1"/>
  <c r="AE77" i="87" s="1"/>
  <c r="A71" i="87"/>
  <c r="Y44" i="87"/>
  <c r="AL64" i="87"/>
  <c r="AL63" i="87"/>
  <c r="AL62" i="87"/>
  <c r="AL61" i="87"/>
  <c r="AL60" i="87"/>
  <c r="AL59" i="87"/>
  <c r="AL58" i="87"/>
  <c r="AL57" i="87"/>
  <c r="AL56" i="87"/>
  <c r="AL55" i="87"/>
  <c r="AL54" i="87"/>
  <c r="AL53" i="87"/>
  <c r="AL52" i="87"/>
  <c r="AL51" i="87"/>
  <c r="AL50" i="87"/>
  <c r="AL49" i="87"/>
  <c r="AL48" i="87"/>
  <c r="AL47" i="87"/>
  <c r="AL46" i="87"/>
  <c r="AL45" i="87"/>
  <c r="AL44" i="87"/>
  <c r="AL43" i="87"/>
  <c r="AL42" i="87"/>
  <c r="AL41" i="87"/>
  <c r="A38" i="87"/>
  <c r="Y32" i="87"/>
  <c r="Y31" i="87"/>
  <c r="S31" i="87"/>
  <c r="T31" i="87" s="1"/>
  <c r="Y30" i="87"/>
  <c r="S30" i="87"/>
  <c r="T30" i="87" s="1"/>
  <c r="Y29" i="87"/>
  <c r="S29" i="87"/>
  <c r="T29" i="87" s="1"/>
  <c r="Y28" i="87"/>
  <c r="S28" i="87"/>
  <c r="T28" i="87" s="1"/>
  <c r="Y27" i="87"/>
  <c r="S27" i="87"/>
  <c r="T27" i="87" s="1"/>
  <c r="Y26" i="87"/>
  <c r="S26" i="87"/>
  <c r="T26" i="87" s="1"/>
  <c r="Y25" i="87"/>
  <c r="S25" i="87"/>
  <c r="T25" i="87" s="1"/>
  <c r="Y24" i="87"/>
  <c r="S24" i="87"/>
  <c r="T24" i="87" s="1"/>
  <c r="Y23" i="87"/>
  <c r="S23" i="87"/>
  <c r="T23" i="87" s="1"/>
  <c r="Y22" i="87"/>
  <c r="S22" i="87"/>
  <c r="T22" i="87" s="1"/>
  <c r="Y21" i="87"/>
  <c r="S21" i="87"/>
  <c r="T21" i="87" s="1"/>
  <c r="Y20" i="87"/>
  <c r="S20" i="87"/>
  <c r="T20" i="87" s="1"/>
  <c r="Y19" i="87"/>
  <c r="S19" i="87"/>
  <c r="T19" i="87" s="1"/>
  <c r="Y18" i="87"/>
  <c r="S18" i="87"/>
  <c r="T18" i="87" s="1"/>
  <c r="Y17" i="87"/>
  <c r="S17" i="87"/>
  <c r="T17" i="87" s="1"/>
  <c r="Y16" i="87"/>
  <c r="S16" i="87"/>
  <c r="T16" i="87" s="1"/>
  <c r="Y15" i="87"/>
  <c r="S15" i="87"/>
  <c r="T15" i="87" s="1"/>
  <c r="Y14" i="87"/>
  <c r="S14" i="87"/>
  <c r="T14" i="87" s="1"/>
  <c r="Y13" i="87"/>
  <c r="S13" i="87"/>
  <c r="T13" i="87" s="1"/>
  <c r="Y12" i="87"/>
  <c r="S12" i="87"/>
  <c r="T12" i="87" s="1"/>
  <c r="Y11" i="87"/>
  <c r="S11" i="87"/>
  <c r="T11" i="87" s="1"/>
  <c r="AH10" i="87"/>
  <c r="Y10" i="87"/>
  <c r="S10" i="87"/>
  <c r="T10" i="87" s="1"/>
  <c r="Z4" i="87"/>
  <c r="AR65" i="87" s="1"/>
  <c r="Y81" i="76" l="1"/>
  <c r="W27" i="92" s="1"/>
  <c r="U31" i="87"/>
  <c r="P33" i="87"/>
  <c r="AF32" i="87"/>
  <c r="O32" i="87" s="1"/>
  <c r="Z32" i="87"/>
  <c r="AI99" i="87"/>
  <c r="AF99" i="87"/>
  <c r="AB32" i="87"/>
  <c r="AE32" i="87"/>
  <c r="AG99" i="87"/>
  <c r="AC32" i="87"/>
  <c r="AM61" i="87"/>
  <c r="AN44" i="87"/>
  <c r="AN61" i="87"/>
  <c r="AM58" i="87"/>
  <c r="AO62" i="87"/>
  <c r="AS41" i="87"/>
  <c r="R82" i="76"/>
  <c r="M82" i="76"/>
  <c r="O82" i="76"/>
  <c r="N82" i="76"/>
  <c r="L82" i="76"/>
  <c r="AO44" i="87"/>
  <c r="J82" i="76"/>
  <c r="Y82" i="76"/>
  <c r="S82" i="76"/>
  <c r="K82" i="76"/>
  <c r="AA82" i="76"/>
  <c r="F82" i="76"/>
  <c r="U82" i="76"/>
  <c r="I82" i="76"/>
  <c r="E82" i="76"/>
  <c r="V82" i="76"/>
  <c r="Q82" i="76"/>
  <c r="W82" i="76"/>
  <c r="G82" i="76"/>
  <c r="X82" i="76"/>
  <c r="T82" i="76"/>
  <c r="P82" i="76"/>
  <c r="H82" i="76"/>
  <c r="AO56" i="87"/>
  <c r="AP61" i="87"/>
  <c r="AO58" i="87"/>
  <c r="AM62" i="87"/>
  <c r="D82" i="76"/>
  <c r="AI10" i="87"/>
  <c r="D81" i="76"/>
  <c r="B27" i="92" s="1"/>
  <c r="P26" i="87"/>
  <c r="T81" i="76"/>
  <c r="P27" i="87"/>
  <c r="U81" i="76"/>
  <c r="U11" i="87"/>
  <c r="E81" i="76"/>
  <c r="C27" i="92" s="1"/>
  <c r="P23" i="87"/>
  <c r="Q81" i="76"/>
  <c r="AP31" i="87"/>
  <c r="I31" i="87" s="1"/>
  <c r="AP20" i="87"/>
  <c r="I20" i="87" s="1"/>
  <c r="AP11" i="87"/>
  <c r="I11" i="87" s="1"/>
  <c r="AP13" i="87"/>
  <c r="I13" i="87" s="1"/>
  <c r="AP14" i="87"/>
  <c r="I14" i="87" s="1"/>
  <c r="AP29" i="87"/>
  <c r="I29" i="87" s="1"/>
  <c r="AP23" i="87"/>
  <c r="I23" i="87" s="1"/>
  <c r="AP15" i="87"/>
  <c r="I15" i="87" s="1"/>
  <c r="AP21" i="87"/>
  <c r="I21" i="87" s="1"/>
  <c r="AP22" i="87"/>
  <c r="I22" i="87" s="1"/>
  <c r="AP17" i="87"/>
  <c r="I17" i="87" s="1"/>
  <c r="AP27" i="87"/>
  <c r="I27" i="87" s="1"/>
  <c r="AP19" i="87"/>
  <c r="I19" i="87" s="1"/>
  <c r="AJ99" i="87"/>
  <c r="AP26" i="87"/>
  <c r="I26" i="87" s="1"/>
  <c r="AP25" i="87"/>
  <c r="I25" i="87" s="1"/>
  <c r="AP30" i="87"/>
  <c r="I30" i="87" s="1"/>
  <c r="AP18" i="87"/>
  <c r="I18" i="87" s="1"/>
  <c r="AP10" i="87"/>
  <c r="I10" i="87" s="1"/>
  <c r="P10" i="87"/>
  <c r="P18" i="87"/>
  <c r="AI18" i="87"/>
  <c r="P24" i="87"/>
  <c r="AI23" i="87"/>
  <c r="P19" i="87"/>
  <c r="AI19" i="87"/>
  <c r="P21" i="87"/>
  <c r="AI21" i="87"/>
  <c r="P30" i="87"/>
  <c r="AI27" i="87"/>
  <c r="P22" i="87"/>
  <c r="AI22" i="87"/>
  <c r="P14" i="87"/>
  <c r="AI14" i="87"/>
  <c r="P16" i="87"/>
  <c r="AI16" i="87"/>
  <c r="P31" i="87"/>
  <c r="AI28" i="87"/>
  <c r="P25" i="87"/>
  <c r="AI24" i="87"/>
  <c r="P17" i="87"/>
  <c r="AI17" i="87"/>
  <c r="P12" i="87"/>
  <c r="AI12" i="87"/>
  <c r="P15" i="87"/>
  <c r="AI15" i="87"/>
  <c r="P11" i="87"/>
  <c r="AI11" i="87"/>
  <c r="AP33" i="87"/>
  <c r="I33" i="87" s="1"/>
  <c r="AP28" i="87"/>
  <c r="I28" i="87" s="1"/>
  <c r="AP16" i="87"/>
  <c r="I16" i="87" s="1"/>
  <c r="AP12" i="87"/>
  <c r="I12" i="87" s="1"/>
  <c r="P28" i="87"/>
  <c r="AI25" i="87"/>
  <c r="P29" i="87"/>
  <c r="AI26" i="87"/>
  <c r="P13" i="87"/>
  <c r="AI13" i="87"/>
  <c r="P20" i="87"/>
  <c r="AI20" i="87"/>
  <c r="AR50" i="87"/>
  <c r="AR53" i="87"/>
  <c r="AR57" i="87"/>
  <c r="AR44" i="87"/>
  <c r="AR46" i="87"/>
  <c r="AR49" i="87"/>
  <c r="AR54" i="87"/>
  <c r="AR60" i="87"/>
  <c r="AR59" i="87"/>
  <c r="AR62" i="87"/>
  <c r="AN56" i="87"/>
  <c r="AR42" i="87"/>
  <c r="AR45" i="87"/>
  <c r="AR47" i="87"/>
  <c r="AR51" i="87"/>
  <c r="AO49" i="87"/>
  <c r="AR43" i="87"/>
  <c r="AR48" i="87"/>
  <c r="AR52" i="87"/>
  <c r="AR56" i="87"/>
  <c r="Q32" i="87"/>
  <c r="Q33" i="87"/>
  <c r="Q23" i="87"/>
  <c r="Q27" i="87"/>
  <c r="Q26" i="87"/>
  <c r="AN43" i="87"/>
  <c r="AO54" i="87"/>
  <c r="AO53" i="87"/>
  <c r="AQ56" i="87"/>
  <c r="AP59" i="87"/>
  <c r="AM64" i="87"/>
  <c r="AR41" i="87"/>
  <c r="AQ41" i="87"/>
  <c r="AR55" i="87"/>
  <c r="AR58" i="87"/>
  <c r="AR61" i="87"/>
  <c r="AQ48" i="87"/>
  <c r="U18" i="87"/>
  <c r="U16" i="87"/>
  <c r="AN53" i="87"/>
  <c r="AM56" i="87"/>
  <c r="AP64" i="87"/>
  <c r="AO42" i="87"/>
  <c r="U21" i="87"/>
  <c r="AN62" i="87"/>
  <c r="U22" i="87"/>
  <c r="AQ58" i="87"/>
  <c r="AP60" i="87"/>
  <c r="AQ60" i="87"/>
  <c r="U20" i="87"/>
  <c r="U28" i="87"/>
  <c r="AN58" i="87"/>
  <c r="U24" i="87"/>
  <c r="AM57" i="87"/>
  <c r="AP41" i="87"/>
  <c r="AO48" i="87"/>
  <c r="AM48" i="87"/>
  <c r="AM51" i="87"/>
  <c r="AN52" i="87"/>
  <c r="AN59" i="87"/>
  <c r="AO52" i="87"/>
  <c r="AM52" i="87"/>
  <c r="AN48" i="87"/>
  <c r="AP50" i="87"/>
  <c r="AP51" i="87"/>
  <c r="AQ52" i="87"/>
  <c r="AQ57" i="87"/>
  <c r="AO59" i="87"/>
  <c r="AU62" i="87"/>
  <c r="AU53" i="87"/>
  <c r="AU61" i="87"/>
  <c r="AU54" i="87"/>
  <c r="AT59" i="87"/>
  <c r="AT61" i="87"/>
  <c r="AT62" i="87"/>
  <c r="AW42" i="87"/>
  <c r="AV44" i="87"/>
  <c r="AS46" i="87"/>
  <c r="AU50" i="87"/>
  <c r="AS54" i="87"/>
  <c r="AT55" i="87"/>
  <c r="AT56" i="87"/>
  <c r="AS65" i="87"/>
  <c r="AS62" i="87"/>
  <c r="AS64" i="87"/>
  <c r="AW64" i="87"/>
  <c r="AS43" i="87"/>
  <c r="AW52" i="87"/>
  <c r="AS60" i="87"/>
  <c r="AU41" i="87"/>
  <c r="AS44" i="87"/>
  <c r="AS52" i="87"/>
  <c r="AS53" i="87"/>
  <c r="AS42" i="87"/>
  <c r="AU60" i="87"/>
  <c r="AW60" i="87"/>
  <c r="AU64" i="87"/>
  <c r="AT44" i="87"/>
  <c r="AT47" i="87"/>
  <c r="AU46" i="87"/>
  <c r="AU58" i="87"/>
  <c r="AU43" i="87"/>
  <c r="AU56" i="87"/>
  <c r="AV42" i="87"/>
  <c r="AW44" i="87"/>
  <c r="AW46" i="87"/>
  <c r="AW53" i="87"/>
  <c r="AW54" i="87"/>
  <c r="AW61" i="87"/>
  <c r="AW62" i="87"/>
  <c r="AW43" i="87"/>
  <c r="AT60" i="87"/>
  <c r="AU42" i="87"/>
  <c r="AS45" i="87"/>
  <c r="AW45" i="87"/>
  <c r="AT46" i="87"/>
  <c r="AT48" i="87"/>
  <c r="AS48" i="87"/>
  <c r="AW48" i="87"/>
  <c r="AS49" i="87"/>
  <c r="AW49" i="87"/>
  <c r="AT51" i="87"/>
  <c r="AS51" i="87"/>
  <c r="AW51" i="87"/>
  <c r="AU52" i="87"/>
  <c r="AT52" i="87"/>
  <c r="AT53" i="87"/>
  <c r="AT54" i="87"/>
  <c r="AU57" i="87"/>
  <c r="AU59" i="87"/>
  <c r="AU49" i="87"/>
  <c r="AS59" i="87"/>
  <c r="AW59" i="87"/>
  <c r="AW41" i="87"/>
  <c r="AU44" i="87"/>
  <c r="AT45" i="87"/>
  <c r="AU48" i="87"/>
  <c r="AU51" i="87"/>
  <c r="AS57" i="87"/>
  <c r="AW57" i="87"/>
  <c r="AS55" i="87"/>
  <c r="AW55" i="87"/>
  <c r="AT41" i="87"/>
  <c r="AS47" i="87"/>
  <c r="AW47" i="87"/>
  <c r="AS50" i="87"/>
  <c r="AW50" i="87"/>
  <c r="AT57" i="87"/>
  <c r="AS58" i="87"/>
  <c r="AW58" i="87"/>
  <c r="AT64" i="87"/>
  <c r="AV41" i="87"/>
  <c r="AT42" i="87"/>
  <c r="AV43" i="87"/>
  <c r="AU45" i="87"/>
  <c r="AU47" i="87"/>
  <c r="AT49" i="87"/>
  <c r="AT50" i="87"/>
  <c r="AS56" i="87"/>
  <c r="AW56" i="87"/>
  <c r="AT58" i="87"/>
  <c r="AQ51" i="87"/>
  <c r="AQ47" i="87"/>
  <c r="AO41" i="87"/>
  <c r="AP45" i="87"/>
  <c r="AP54" i="87"/>
  <c r="AO45" i="87"/>
  <c r="AN46" i="87"/>
  <c r="AP46" i="87"/>
  <c r="AM55" i="87"/>
  <c r="AQ55" i="87"/>
  <c r="AN65" i="87"/>
  <c r="AO65" i="87"/>
  <c r="AA4" i="87"/>
  <c r="AN42" i="87"/>
  <c r="U15" i="87"/>
  <c r="AN47" i="87"/>
  <c r="AN49" i="87"/>
  <c r="U19" i="87"/>
  <c r="U23" i="87"/>
  <c r="AN55" i="87"/>
  <c r="AN57" i="87"/>
  <c r="AP62" i="87"/>
  <c r="AN64" i="87"/>
  <c r="AO43" i="87"/>
  <c r="AO46" i="87"/>
  <c r="AO47" i="87"/>
  <c r="AP47" i="87"/>
  <c r="AM47" i="87"/>
  <c r="AP55" i="87"/>
  <c r="AN45" i="87"/>
  <c r="AP43" i="87"/>
  <c r="AP44" i="87"/>
  <c r="AM41" i="87"/>
  <c r="AQ46" i="87"/>
  <c r="AN50" i="87"/>
  <c r="AQ50" i="87"/>
  <c r="AM50" i="87"/>
  <c r="AO50" i="87"/>
  <c r="Y83" i="87"/>
  <c r="AE83" i="87" s="1"/>
  <c r="AN41" i="87"/>
  <c r="AM42" i="87"/>
  <c r="AM43" i="87"/>
  <c r="AM44" i="87"/>
  <c r="AM45" i="87"/>
  <c r="AQ45" i="87"/>
  <c r="AM46" i="87"/>
  <c r="U17" i="87"/>
  <c r="U25" i="87"/>
  <c r="U26" i="87"/>
  <c r="U27" i="87"/>
  <c r="U29" i="87"/>
  <c r="AN54" i="87"/>
  <c r="AQ54" i="87"/>
  <c r="AM54" i="87"/>
  <c r="Y98" i="87"/>
  <c r="AE98" i="87" s="1"/>
  <c r="AQ61" i="87"/>
  <c r="AP42" i="87"/>
  <c r="AQ49" i="87"/>
  <c r="AM49" i="87"/>
  <c r="AP49" i="87"/>
  <c r="AO51" i="87"/>
  <c r="AN51" i="87"/>
  <c r="AO57" i="87"/>
  <c r="AP57" i="87"/>
  <c r="AN60" i="87"/>
  <c r="AO60" i="87"/>
  <c r="AM60" i="87"/>
  <c r="Y90" i="87"/>
  <c r="AE90" i="87" s="1"/>
  <c r="AP53" i="87"/>
  <c r="AP48" i="87"/>
  <c r="AP52" i="87"/>
  <c r="AM53" i="87"/>
  <c r="AQ53" i="87"/>
  <c r="AP56" i="87"/>
  <c r="AQ59" i="87"/>
  <c r="AM59" i="87"/>
  <c r="AO61" i="87"/>
  <c r="Y82" i="87"/>
  <c r="AE82" i="87" s="1"/>
  <c r="Y91" i="87"/>
  <c r="AE91" i="87" s="1"/>
  <c r="AP58" i="87"/>
  <c r="AQ62" i="87"/>
  <c r="AO64" i="87"/>
  <c r="Y79" i="87"/>
  <c r="AE79" i="87" s="1"/>
  <c r="Y95" i="87"/>
  <c r="AE95" i="87" s="1"/>
  <c r="Y87" i="87"/>
  <c r="AE87" i="87" s="1"/>
  <c r="AJ20" i="87" l="1"/>
  <c r="Q20" i="87" s="1"/>
  <c r="AJ16" i="87"/>
  <c r="Q16" i="87" s="1"/>
  <c r="AJ23" i="87"/>
  <c r="Q24" i="87" s="1"/>
  <c r="AJ28" i="87"/>
  <c r="Q31" i="87" s="1"/>
  <c r="AJ27" i="87"/>
  <c r="Q30" i="87" s="1"/>
  <c r="Y27" i="92" a="1"/>
  <c r="Y27" i="92" s="1"/>
  <c r="Z42" i="87" s="1"/>
  <c r="Z27" i="92" a="1"/>
  <c r="Z27" i="92" s="1"/>
  <c r="AA42" i="87" s="1"/>
  <c r="AA27" i="92" a="1"/>
  <c r="AA27" i="92" s="1"/>
  <c r="AD41" i="87" s="1"/>
  <c r="AD42" i="87" s="1"/>
  <c r="AJ19" i="87"/>
  <c r="Q19" i="87" s="1"/>
  <c r="AJ12" i="87"/>
  <c r="Q12" i="87" s="1"/>
  <c r="AJ15" i="87"/>
  <c r="AJ17" i="87"/>
  <c r="AJ14" i="87"/>
  <c r="AJ18" i="87"/>
  <c r="AJ11" i="87"/>
  <c r="AJ24" i="87"/>
  <c r="AJ22" i="87"/>
  <c r="AJ21" i="87"/>
  <c r="AJ26" i="87"/>
  <c r="AJ13" i="87"/>
  <c r="AJ25" i="87"/>
  <c r="AS61" i="87"/>
  <c r="AU65" i="87"/>
  <c r="AT65" i="87"/>
  <c r="AT43" i="87"/>
  <c r="AM65" i="87"/>
  <c r="AW65" i="87"/>
  <c r="AP65" i="87"/>
  <c r="U13" i="87"/>
  <c r="AQ44" i="87"/>
  <c r="AQ42" i="87"/>
  <c r="AQ64" i="87"/>
  <c r="U14" i="87"/>
  <c r="M65" i="87"/>
  <c r="AL65" i="87"/>
  <c r="U30" i="87"/>
  <c r="U12" i="87"/>
  <c r="U10" i="87"/>
  <c r="AQ43" i="87"/>
  <c r="AQ65" i="87"/>
  <c r="AC41" i="87" l="1"/>
  <c r="AC42" i="87"/>
  <c r="Y42" i="87"/>
  <c r="Q13" i="87"/>
  <c r="Q28" i="87"/>
  <c r="Q29" i="87"/>
  <c r="Q25" i="87"/>
  <c r="Q22" i="87"/>
  <c r="Q21" i="87"/>
  <c r="Q18" i="87"/>
  <c r="Q17" i="87"/>
  <c r="Q15" i="87"/>
  <c r="Q14" i="87"/>
  <c r="Q11" i="87"/>
  <c r="AJ10" i="87"/>
  <c r="Q10" i="87" s="1"/>
  <c r="A39" i="86"/>
  <c r="AK32" i="86"/>
  <c r="AK31" i="86"/>
  <c r="AK29" i="86"/>
  <c r="AK28" i="86"/>
  <c r="AK27" i="86"/>
  <c r="AK20" i="86"/>
  <c r="AK17" i="86"/>
  <c r="AK16" i="86"/>
  <c r="AK15" i="86"/>
  <c r="AK14" i="86"/>
  <c r="AK11" i="86"/>
  <c r="Z4" i="86"/>
  <c r="G33" i="85"/>
  <c r="N33" i="85" s="1"/>
  <c r="F33" i="85"/>
  <c r="M33" i="85" s="1"/>
  <c r="E33" i="85"/>
  <c r="L33" i="85" s="1"/>
  <c r="D33" i="85"/>
  <c r="K33" i="85" s="1"/>
  <c r="H31" i="85"/>
  <c r="O31" i="85" s="1"/>
  <c r="W25" i="92" s="1"/>
  <c r="G31" i="85"/>
  <c r="N31" i="85" s="1"/>
  <c r="F31" i="85"/>
  <c r="M31" i="85" s="1"/>
  <c r="E31" i="85"/>
  <c r="L31" i="85" s="1"/>
  <c r="D31" i="85"/>
  <c r="K31" i="85" s="1"/>
  <c r="H30" i="85"/>
  <c r="O30" i="85" s="1"/>
  <c r="V25" i="92" s="1"/>
  <c r="G30" i="85"/>
  <c r="N30" i="85" s="1"/>
  <c r="F30" i="85"/>
  <c r="M30" i="85" s="1"/>
  <c r="E30" i="85"/>
  <c r="L30" i="85" s="1"/>
  <c r="D30" i="85"/>
  <c r="K30" i="85" s="1"/>
  <c r="H29" i="85"/>
  <c r="O29" i="85" s="1"/>
  <c r="U25" i="92" s="1"/>
  <c r="G29" i="85"/>
  <c r="N29" i="85" s="1"/>
  <c r="F29" i="85"/>
  <c r="M29" i="85" s="1"/>
  <c r="E29" i="85"/>
  <c r="L29" i="85" s="1"/>
  <c r="D29" i="85"/>
  <c r="K29" i="85" s="1"/>
  <c r="H28" i="85"/>
  <c r="O28" i="85" s="1"/>
  <c r="T25" i="92" s="1"/>
  <c r="G28" i="85"/>
  <c r="N28" i="85" s="1"/>
  <c r="F28" i="85"/>
  <c r="M28" i="85" s="1"/>
  <c r="E28" i="85"/>
  <c r="L28" i="85" s="1"/>
  <c r="D28" i="85"/>
  <c r="K28" i="85" s="1"/>
  <c r="H27" i="85"/>
  <c r="O27" i="85" s="1"/>
  <c r="G27" i="85"/>
  <c r="N27" i="85" s="1"/>
  <c r="F27" i="85"/>
  <c r="M27" i="85" s="1"/>
  <c r="E27" i="85"/>
  <c r="L27" i="85" s="1"/>
  <c r="D27" i="85"/>
  <c r="K27" i="85" s="1"/>
  <c r="H26" i="85"/>
  <c r="O26" i="85" s="1"/>
  <c r="G26" i="85"/>
  <c r="N26" i="85" s="1"/>
  <c r="F26" i="85"/>
  <c r="M26" i="85" s="1"/>
  <c r="E26" i="85"/>
  <c r="L26" i="85" s="1"/>
  <c r="D26" i="85"/>
  <c r="K26" i="85" s="1"/>
  <c r="H25" i="85"/>
  <c r="O25" i="85" s="1"/>
  <c r="Q25" i="92" s="1"/>
  <c r="G25" i="85"/>
  <c r="N25" i="85" s="1"/>
  <c r="F25" i="85"/>
  <c r="M25" i="85" s="1"/>
  <c r="D25" i="85"/>
  <c r="K25" i="85" s="1"/>
  <c r="H24" i="85"/>
  <c r="O24" i="85" s="1"/>
  <c r="P25" i="92" s="1"/>
  <c r="G24" i="85"/>
  <c r="N24" i="85" s="1"/>
  <c r="E24" i="85"/>
  <c r="L24" i="85" s="1"/>
  <c r="D24" i="85"/>
  <c r="K24" i="85" s="1"/>
  <c r="H23" i="85"/>
  <c r="O23" i="85" s="1"/>
  <c r="G23" i="85"/>
  <c r="N23" i="85" s="1"/>
  <c r="F23" i="85"/>
  <c r="M23" i="85" s="1"/>
  <c r="E23" i="85"/>
  <c r="L23" i="85" s="1"/>
  <c r="D23" i="85"/>
  <c r="K23" i="85" s="1"/>
  <c r="H22" i="85"/>
  <c r="O22" i="85" s="1"/>
  <c r="N25" i="92" s="1"/>
  <c r="G22" i="85"/>
  <c r="N22" i="85" s="1"/>
  <c r="F22" i="85"/>
  <c r="M22" i="85" s="1"/>
  <c r="E22" i="85"/>
  <c r="L22" i="85" s="1"/>
  <c r="D22" i="85"/>
  <c r="K22" i="85" s="1"/>
  <c r="H21" i="85"/>
  <c r="O21" i="85" s="1"/>
  <c r="M25" i="92" s="1"/>
  <c r="G21" i="85"/>
  <c r="N21" i="85" s="1"/>
  <c r="F21" i="85"/>
  <c r="M21" i="85" s="1"/>
  <c r="E21" i="85"/>
  <c r="L21" i="85" s="1"/>
  <c r="D21" i="85"/>
  <c r="K21" i="85" s="1"/>
  <c r="H20" i="85"/>
  <c r="O20" i="85" s="1"/>
  <c r="L25" i="92" s="1"/>
  <c r="G20" i="85"/>
  <c r="N20" i="85" s="1"/>
  <c r="F20" i="85"/>
  <c r="M20" i="85" s="1"/>
  <c r="E20" i="85"/>
  <c r="L20" i="85" s="1"/>
  <c r="D20" i="85"/>
  <c r="K20" i="85" s="1"/>
  <c r="H19" i="85"/>
  <c r="O19" i="85" s="1"/>
  <c r="K25" i="92" s="1"/>
  <c r="G19" i="85"/>
  <c r="N19" i="85" s="1"/>
  <c r="F19" i="85"/>
  <c r="M19" i="85" s="1"/>
  <c r="E19" i="85"/>
  <c r="L19" i="85" s="1"/>
  <c r="D19" i="85"/>
  <c r="K19" i="85" s="1"/>
  <c r="H18" i="85"/>
  <c r="O18" i="85" s="1"/>
  <c r="J25" i="92" s="1"/>
  <c r="G18" i="85"/>
  <c r="N18" i="85" s="1"/>
  <c r="F18" i="85"/>
  <c r="M18" i="85" s="1"/>
  <c r="E18" i="85"/>
  <c r="L18" i="85" s="1"/>
  <c r="D18" i="85"/>
  <c r="K18" i="85" s="1"/>
  <c r="H17" i="85"/>
  <c r="O17" i="85" s="1"/>
  <c r="I25" i="92" s="1"/>
  <c r="G17" i="85"/>
  <c r="N17" i="85" s="1"/>
  <c r="F17" i="85"/>
  <c r="M17" i="85" s="1"/>
  <c r="E17" i="85"/>
  <c r="L17" i="85" s="1"/>
  <c r="D17" i="85"/>
  <c r="K17" i="85" s="1"/>
  <c r="H16" i="85"/>
  <c r="O16" i="85" s="1"/>
  <c r="H25" i="92" s="1"/>
  <c r="G16" i="85"/>
  <c r="N16" i="85" s="1"/>
  <c r="F16" i="85"/>
  <c r="M16" i="85" s="1"/>
  <c r="E16" i="85"/>
  <c r="L16" i="85" s="1"/>
  <c r="D16" i="85"/>
  <c r="K16" i="85" s="1"/>
  <c r="H15" i="85"/>
  <c r="O15" i="85" s="1"/>
  <c r="G25" i="92" s="1"/>
  <c r="G15" i="85"/>
  <c r="N15" i="85" s="1"/>
  <c r="F15" i="85"/>
  <c r="M15" i="85" s="1"/>
  <c r="E15" i="85"/>
  <c r="L15" i="85" s="1"/>
  <c r="D15" i="85"/>
  <c r="K15" i="85" s="1"/>
  <c r="H14" i="85"/>
  <c r="O14" i="85" s="1"/>
  <c r="F25" i="92" s="1"/>
  <c r="G14" i="85"/>
  <c r="N14" i="85" s="1"/>
  <c r="F14" i="85"/>
  <c r="M14" i="85" s="1"/>
  <c r="E14" i="85"/>
  <c r="L14" i="85" s="1"/>
  <c r="D14" i="85"/>
  <c r="K14" i="85" s="1"/>
  <c r="H13" i="85"/>
  <c r="O13" i="85" s="1"/>
  <c r="E25" i="92" s="1"/>
  <c r="G13" i="85"/>
  <c r="N13" i="85" s="1"/>
  <c r="F13" i="85"/>
  <c r="M13" i="85" s="1"/>
  <c r="E13" i="85"/>
  <c r="L13" i="85" s="1"/>
  <c r="D13" i="85"/>
  <c r="K13" i="85" s="1"/>
  <c r="H12" i="85"/>
  <c r="O12" i="85" s="1"/>
  <c r="D25" i="92" s="1"/>
  <c r="G12" i="85"/>
  <c r="N12" i="85" s="1"/>
  <c r="F12" i="85"/>
  <c r="M12" i="85" s="1"/>
  <c r="E12" i="85"/>
  <c r="L12" i="85" s="1"/>
  <c r="D12" i="85"/>
  <c r="K12" i="85" s="1"/>
  <c r="H11" i="85"/>
  <c r="O11" i="85" s="1"/>
  <c r="C25" i="92" s="1"/>
  <c r="G11" i="85"/>
  <c r="N11" i="85" s="1"/>
  <c r="F11" i="85"/>
  <c r="M11" i="85" s="1"/>
  <c r="E11" i="85"/>
  <c r="L11" i="85" s="1"/>
  <c r="D11" i="85"/>
  <c r="K11" i="85" s="1"/>
  <c r="H10" i="85"/>
  <c r="O10" i="85" s="1"/>
  <c r="B25" i="92" s="1"/>
  <c r="G10" i="85"/>
  <c r="N10" i="85" s="1"/>
  <c r="F10" i="85"/>
  <c r="M10" i="85" s="1"/>
  <c r="E10" i="85"/>
  <c r="L10" i="85" s="1"/>
  <c r="D10" i="85"/>
  <c r="K10" i="85" s="1"/>
  <c r="A143" i="85"/>
  <c r="B136" i="85"/>
  <c r="Y136" i="85" s="1"/>
  <c r="B135" i="85"/>
  <c r="B134" i="85"/>
  <c r="B133" i="85"/>
  <c r="Y133" i="85" s="1"/>
  <c r="B132" i="85"/>
  <c r="Y132" i="85" s="1"/>
  <c r="B131" i="85"/>
  <c r="Y131" i="85" s="1"/>
  <c r="B130" i="85"/>
  <c r="B129" i="85"/>
  <c r="B128" i="85"/>
  <c r="Y128" i="85" s="1"/>
  <c r="B127" i="85"/>
  <c r="B126" i="85"/>
  <c r="Y126" i="85" s="1"/>
  <c r="B125" i="85"/>
  <c r="Y125" i="85" s="1"/>
  <c r="B124" i="85"/>
  <c r="Y124" i="85" s="1"/>
  <c r="B123" i="85"/>
  <c r="B122" i="85"/>
  <c r="Y122" i="85" s="1"/>
  <c r="B121" i="85"/>
  <c r="Y121" i="85" s="1"/>
  <c r="B120" i="85"/>
  <c r="B119" i="85"/>
  <c r="Y119" i="85" s="1"/>
  <c r="B118" i="85"/>
  <c r="B117" i="85"/>
  <c r="Y117" i="85" s="1"/>
  <c r="B116" i="85"/>
  <c r="B115" i="85"/>
  <c r="Y115" i="85" s="1"/>
  <c r="B114" i="85"/>
  <c r="B113" i="85"/>
  <c r="A107" i="85"/>
  <c r="B100" i="85"/>
  <c r="Y100" i="85" s="1"/>
  <c r="B99" i="85"/>
  <c r="Y99" i="85" s="1"/>
  <c r="B98" i="85"/>
  <c r="Y98" i="85" s="1"/>
  <c r="B97" i="85"/>
  <c r="B96" i="85"/>
  <c r="B95" i="85"/>
  <c r="B94" i="85"/>
  <c r="Y94" i="85" s="1"/>
  <c r="B93" i="85"/>
  <c r="B92" i="85"/>
  <c r="Y92" i="85" s="1"/>
  <c r="B91" i="85"/>
  <c r="Y91" i="85" s="1"/>
  <c r="B90" i="85"/>
  <c r="Y90" i="85" s="1"/>
  <c r="B89" i="85"/>
  <c r="B88" i="85"/>
  <c r="B87" i="85"/>
  <c r="B86" i="85"/>
  <c r="B85" i="85"/>
  <c r="B84" i="85"/>
  <c r="Y84" i="85" s="1"/>
  <c r="B83" i="85"/>
  <c r="B82" i="85"/>
  <c r="Y82" i="85" s="1"/>
  <c r="B81" i="85"/>
  <c r="Y81" i="85" s="1"/>
  <c r="B80" i="85"/>
  <c r="B79" i="85"/>
  <c r="Y79" i="85" s="1"/>
  <c r="B78" i="85"/>
  <c r="Y78" i="85" s="1"/>
  <c r="B77" i="85"/>
  <c r="A71" i="85"/>
  <c r="Y44" i="85"/>
  <c r="AL64" i="85"/>
  <c r="AL63" i="85"/>
  <c r="AL62" i="85"/>
  <c r="AL61" i="85"/>
  <c r="AL60" i="85"/>
  <c r="AL59" i="85"/>
  <c r="AL58" i="85"/>
  <c r="AL57" i="85"/>
  <c r="AL56" i="85"/>
  <c r="AL55" i="85"/>
  <c r="AL54" i="85"/>
  <c r="AL53" i="85"/>
  <c r="AL52" i="85"/>
  <c r="AL51" i="85"/>
  <c r="AL50" i="85"/>
  <c r="AL49" i="85"/>
  <c r="AL48" i="85"/>
  <c r="AL47" i="85"/>
  <c r="AL46" i="85"/>
  <c r="AL45" i="85"/>
  <c r="AL44" i="85"/>
  <c r="AL43" i="85"/>
  <c r="AL42" i="85"/>
  <c r="AL41" i="85"/>
  <c r="A38" i="85"/>
  <c r="Y33" i="85"/>
  <c r="Y32" i="85"/>
  <c r="Y31" i="85"/>
  <c r="S31" i="85"/>
  <c r="T31" i="85" s="1"/>
  <c r="Y30" i="85"/>
  <c r="S30" i="85"/>
  <c r="T30" i="85" s="1"/>
  <c r="Y29" i="85"/>
  <c r="S29" i="85"/>
  <c r="T29" i="85" s="1"/>
  <c r="Y28" i="85"/>
  <c r="S28" i="85"/>
  <c r="T28" i="85" s="1"/>
  <c r="Y27" i="85"/>
  <c r="S27" i="85"/>
  <c r="T27" i="85" s="1"/>
  <c r="Y26" i="85"/>
  <c r="S26" i="85"/>
  <c r="T26" i="85" s="1"/>
  <c r="Y25" i="85"/>
  <c r="S25" i="85"/>
  <c r="T25" i="85" s="1"/>
  <c r="Y24" i="85"/>
  <c r="S24" i="85"/>
  <c r="T24" i="85" s="1"/>
  <c r="Y23" i="85"/>
  <c r="S23" i="85"/>
  <c r="T23" i="85" s="1"/>
  <c r="Y22" i="85"/>
  <c r="S22" i="85"/>
  <c r="T22" i="85" s="1"/>
  <c r="Y21" i="85"/>
  <c r="S21" i="85"/>
  <c r="T21" i="85" s="1"/>
  <c r="Y20" i="85"/>
  <c r="S20" i="85"/>
  <c r="T20" i="85" s="1"/>
  <c r="Y19" i="85"/>
  <c r="S19" i="85"/>
  <c r="T19" i="85" s="1"/>
  <c r="Y18" i="85"/>
  <c r="S18" i="85"/>
  <c r="T18" i="85" s="1"/>
  <c r="Y17" i="85"/>
  <c r="S17" i="85"/>
  <c r="T17" i="85" s="1"/>
  <c r="Y16" i="85"/>
  <c r="S16" i="85"/>
  <c r="T16" i="85" s="1"/>
  <c r="Y15" i="85"/>
  <c r="S15" i="85"/>
  <c r="T15" i="85" s="1"/>
  <c r="Y14" i="85"/>
  <c r="S14" i="85"/>
  <c r="T14" i="85" s="1"/>
  <c r="Y13" i="85"/>
  <c r="S13" i="85"/>
  <c r="T13" i="85" s="1"/>
  <c r="Y12" i="85"/>
  <c r="S12" i="85"/>
  <c r="T12" i="85" s="1"/>
  <c r="Y11" i="85"/>
  <c r="S11" i="85"/>
  <c r="T11" i="85" s="1"/>
  <c r="AG10" i="85"/>
  <c r="Y10" i="85"/>
  <c r="S10" i="85"/>
  <c r="T10" i="85" s="1"/>
  <c r="Z4" i="85"/>
  <c r="AR65" i="85" s="1"/>
  <c r="A214" i="83"/>
  <c r="H31" i="84"/>
  <c r="G31" i="84"/>
  <c r="F31" i="84"/>
  <c r="E31" i="84"/>
  <c r="D31" i="84"/>
  <c r="H30" i="84"/>
  <c r="G30" i="84"/>
  <c r="F30" i="84"/>
  <c r="E30" i="84"/>
  <c r="D30" i="84"/>
  <c r="H29" i="84"/>
  <c r="G29" i="84"/>
  <c r="F29" i="84"/>
  <c r="E29" i="84"/>
  <c r="D29" i="84"/>
  <c r="H28" i="84"/>
  <c r="G28" i="84"/>
  <c r="F28" i="84"/>
  <c r="E28" i="84"/>
  <c r="D28" i="84"/>
  <c r="H27" i="84"/>
  <c r="G27" i="84"/>
  <c r="F27" i="84"/>
  <c r="E27" i="84"/>
  <c r="D27" i="84"/>
  <c r="H26" i="84"/>
  <c r="G26" i="84"/>
  <c r="F26" i="84"/>
  <c r="E26" i="84"/>
  <c r="D26" i="84"/>
  <c r="H25" i="84"/>
  <c r="G25" i="84"/>
  <c r="F25" i="84"/>
  <c r="E25" i="84"/>
  <c r="D25" i="84"/>
  <c r="H24" i="84"/>
  <c r="G24" i="84"/>
  <c r="E24" i="84"/>
  <c r="D24" i="84"/>
  <c r="H23" i="84"/>
  <c r="G23" i="84"/>
  <c r="F23" i="84"/>
  <c r="E23" i="84"/>
  <c r="D23" i="84"/>
  <c r="H22" i="84"/>
  <c r="G22" i="84"/>
  <c r="F22" i="84"/>
  <c r="E22" i="84"/>
  <c r="D22" i="84"/>
  <c r="H21" i="84"/>
  <c r="G21" i="84"/>
  <c r="F21" i="84"/>
  <c r="E21" i="84"/>
  <c r="D21" i="84"/>
  <c r="H20" i="84"/>
  <c r="G20" i="84"/>
  <c r="F20" i="84"/>
  <c r="E20" i="84"/>
  <c r="D20" i="84"/>
  <c r="H19" i="84"/>
  <c r="G19" i="84"/>
  <c r="F19" i="84"/>
  <c r="E19" i="84"/>
  <c r="D19" i="84"/>
  <c r="H18" i="84"/>
  <c r="G18" i="84"/>
  <c r="F18" i="84"/>
  <c r="E18" i="84"/>
  <c r="D18" i="84"/>
  <c r="H17" i="84"/>
  <c r="G17" i="84"/>
  <c r="F17" i="84"/>
  <c r="E17" i="84"/>
  <c r="D17" i="84"/>
  <c r="H16" i="84"/>
  <c r="G16" i="84"/>
  <c r="F16" i="84"/>
  <c r="E16" i="84"/>
  <c r="D16" i="84"/>
  <c r="H15" i="84"/>
  <c r="G15" i="84"/>
  <c r="F15" i="84"/>
  <c r="E15" i="84"/>
  <c r="D15" i="84"/>
  <c r="H14" i="84"/>
  <c r="G14" i="84"/>
  <c r="F14" i="84"/>
  <c r="E14" i="84"/>
  <c r="D14" i="84"/>
  <c r="H13" i="84"/>
  <c r="G13" i="84"/>
  <c r="F13" i="84"/>
  <c r="E13" i="84"/>
  <c r="D13" i="84"/>
  <c r="H12" i="84"/>
  <c r="G12" i="84"/>
  <c r="F12" i="84"/>
  <c r="E12" i="84"/>
  <c r="D12" i="84"/>
  <c r="H11" i="84"/>
  <c r="G11" i="84"/>
  <c r="F11" i="84"/>
  <c r="E11" i="84"/>
  <c r="D11" i="84"/>
  <c r="H10" i="84"/>
  <c r="G10" i="84"/>
  <c r="F10" i="84"/>
  <c r="E10" i="84"/>
  <c r="D10" i="84"/>
  <c r="A179" i="84"/>
  <c r="A143" i="84"/>
  <c r="B135" i="84"/>
  <c r="B171" i="84" s="1"/>
  <c r="B134" i="84"/>
  <c r="B133" i="84"/>
  <c r="B169" i="84" s="1"/>
  <c r="B132" i="84"/>
  <c r="B131" i="84"/>
  <c r="B167" i="84" s="1"/>
  <c r="B130" i="84"/>
  <c r="X130" i="84" s="1"/>
  <c r="AD130" i="84" s="1"/>
  <c r="B129" i="84"/>
  <c r="B165" i="84" s="1"/>
  <c r="B128" i="84"/>
  <c r="B127" i="84"/>
  <c r="B126" i="84"/>
  <c r="B125" i="84"/>
  <c r="B161" i="84" s="1"/>
  <c r="B124" i="84"/>
  <c r="B123" i="84"/>
  <c r="B122" i="84"/>
  <c r="B121" i="84"/>
  <c r="B157" i="84" s="1"/>
  <c r="B120" i="84"/>
  <c r="X120" i="84" s="1"/>
  <c r="AD120" i="84" s="1"/>
  <c r="B119" i="84"/>
  <c r="B118" i="84"/>
  <c r="B117" i="84"/>
  <c r="B116" i="84"/>
  <c r="B152" i="84" s="1"/>
  <c r="B115" i="84"/>
  <c r="B151" i="84" s="1"/>
  <c r="X151" i="84" s="1"/>
  <c r="AD151" i="84" s="1"/>
  <c r="B114" i="84"/>
  <c r="X114" i="84" s="1"/>
  <c r="AD114" i="84" s="1"/>
  <c r="B113" i="84"/>
  <c r="A107" i="84"/>
  <c r="B99" i="84"/>
  <c r="X99" i="84" s="1"/>
  <c r="AD99" i="84" s="1"/>
  <c r="B98" i="84"/>
  <c r="X98" i="84" s="1"/>
  <c r="AD98" i="84" s="1"/>
  <c r="B97" i="84"/>
  <c r="B96" i="84"/>
  <c r="X96" i="84" s="1"/>
  <c r="AD96" i="84" s="1"/>
  <c r="B95" i="84"/>
  <c r="B94" i="84"/>
  <c r="X94" i="84" s="1"/>
  <c r="AD94" i="84" s="1"/>
  <c r="B93" i="84"/>
  <c r="B92" i="84"/>
  <c r="X92" i="84" s="1"/>
  <c r="AD92" i="84" s="1"/>
  <c r="B91" i="84"/>
  <c r="X91" i="84" s="1"/>
  <c r="AD91" i="84" s="1"/>
  <c r="B90" i="84"/>
  <c r="X90" i="84" s="1"/>
  <c r="AD90" i="84" s="1"/>
  <c r="B89" i="84"/>
  <c r="B88" i="84"/>
  <c r="B87" i="84"/>
  <c r="X87" i="84" s="1"/>
  <c r="AD87" i="84" s="1"/>
  <c r="B86" i="84"/>
  <c r="X86" i="84" s="1"/>
  <c r="AD86" i="84" s="1"/>
  <c r="B85" i="84"/>
  <c r="B84" i="84"/>
  <c r="X84" i="84" s="1"/>
  <c r="AD84" i="84" s="1"/>
  <c r="B83" i="84"/>
  <c r="B82" i="84"/>
  <c r="X82" i="84" s="1"/>
  <c r="AD82" i="84" s="1"/>
  <c r="B81" i="84"/>
  <c r="B80" i="84"/>
  <c r="X80" i="84" s="1"/>
  <c r="AD80" i="84" s="1"/>
  <c r="B79" i="84"/>
  <c r="B78" i="84"/>
  <c r="X78" i="84" s="1"/>
  <c r="AD78" i="84" s="1"/>
  <c r="B77" i="84"/>
  <c r="A71" i="84"/>
  <c r="X44" i="84"/>
  <c r="AK63" i="84"/>
  <c r="AK62" i="84"/>
  <c r="AK61" i="84"/>
  <c r="AK60" i="84"/>
  <c r="AK59" i="84"/>
  <c r="AK58" i="84"/>
  <c r="AK57" i="84"/>
  <c r="AK56" i="84"/>
  <c r="AK55" i="84"/>
  <c r="AK54" i="84"/>
  <c r="AK53" i="84"/>
  <c r="AK52" i="84"/>
  <c r="AK51" i="84"/>
  <c r="AK50" i="84"/>
  <c r="AK49" i="84"/>
  <c r="AK48" i="84"/>
  <c r="AK47" i="84"/>
  <c r="AK46" i="84"/>
  <c r="AK45" i="84"/>
  <c r="AK44" i="84"/>
  <c r="AK43" i="84"/>
  <c r="AK42" i="84"/>
  <c r="AK41" i="84"/>
  <c r="A38" i="84"/>
  <c r="X32" i="84"/>
  <c r="X31" i="84"/>
  <c r="T31" i="84"/>
  <c r="X30" i="84"/>
  <c r="T30" i="84"/>
  <c r="X29" i="84"/>
  <c r="T29" i="84"/>
  <c r="X28" i="84"/>
  <c r="T28" i="84"/>
  <c r="X27" i="84"/>
  <c r="T27" i="84"/>
  <c r="X26" i="84"/>
  <c r="T26" i="84"/>
  <c r="X25" i="84"/>
  <c r="T25" i="84"/>
  <c r="X24" i="84"/>
  <c r="T24" i="84"/>
  <c r="X23" i="84"/>
  <c r="T23" i="84"/>
  <c r="X22" i="84"/>
  <c r="T22" i="84"/>
  <c r="X21" i="84"/>
  <c r="T21" i="84"/>
  <c r="X20" i="84"/>
  <c r="T20" i="84"/>
  <c r="X19" i="84"/>
  <c r="T19" i="84"/>
  <c r="X18" i="84"/>
  <c r="T18" i="84"/>
  <c r="X17" i="84"/>
  <c r="T17" i="84"/>
  <c r="X16" i="84"/>
  <c r="T16" i="84"/>
  <c r="X15" i="84"/>
  <c r="T15" i="84"/>
  <c r="X14" i="84"/>
  <c r="T14" i="84"/>
  <c r="X13" i="84"/>
  <c r="T13" i="84"/>
  <c r="X12" i="84"/>
  <c r="T12" i="84"/>
  <c r="X11" i="84"/>
  <c r="T11" i="84"/>
  <c r="AF10" i="84"/>
  <c r="X10" i="84"/>
  <c r="T10" i="84"/>
  <c r="Y4" i="84"/>
  <c r="A178" i="83"/>
  <c r="Y176" i="83"/>
  <c r="AL171" i="83"/>
  <c r="AL170" i="83"/>
  <c r="AL169" i="83"/>
  <c r="AL168" i="83"/>
  <c r="AL167" i="83"/>
  <c r="AL166" i="83"/>
  <c r="AL165" i="83"/>
  <c r="AL164" i="83"/>
  <c r="AL163" i="83"/>
  <c r="AL162" i="83"/>
  <c r="AL161" i="83"/>
  <c r="AL160" i="83"/>
  <c r="AL159" i="83"/>
  <c r="AL158" i="83"/>
  <c r="AL157" i="83"/>
  <c r="AL156" i="83"/>
  <c r="AL155" i="83"/>
  <c r="AL154" i="83"/>
  <c r="AL153" i="83"/>
  <c r="AL152" i="83"/>
  <c r="AL151" i="83"/>
  <c r="AL150" i="83"/>
  <c r="AL149" i="83"/>
  <c r="AL148" i="83"/>
  <c r="A145" i="83"/>
  <c r="Y140" i="83"/>
  <c r="Y139" i="83"/>
  <c r="Y138" i="83"/>
  <c r="Y137" i="83"/>
  <c r="Y136" i="83"/>
  <c r="Y135" i="83"/>
  <c r="Y134" i="83"/>
  <c r="Y133" i="83"/>
  <c r="Y132" i="83"/>
  <c r="Y131" i="83"/>
  <c r="Y130" i="83"/>
  <c r="Y129" i="83"/>
  <c r="Y128" i="83"/>
  <c r="Y127" i="83"/>
  <c r="Y126" i="83"/>
  <c r="Y125" i="83"/>
  <c r="Y124" i="83"/>
  <c r="Y123" i="83"/>
  <c r="Y122" i="83"/>
  <c r="Y121" i="83"/>
  <c r="Y120" i="83"/>
  <c r="Y119" i="83"/>
  <c r="Y118" i="83"/>
  <c r="AG117" i="83"/>
  <c r="AH117" i="83" s="1"/>
  <c r="AI117" i="83" s="1"/>
  <c r="Y117" i="83"/>
  <c r="H33" i="83"/>
  <c r="G33" i="83"/>
  <c r="F33" i="83"/>
  <c r="E33" i="83"/>
  <c r="D33" i="83"/>
  <c r="H31" i="83"/>
  <c r="AD169" i="83" s="1"/>
  <c r="G31" i="83"/>
  <c r="AC169" i="83" s="1"/>
  <c r="F31" i="83"/>
  <c r="AB169" i="83" s="1"/>
  <c r="E31" i="83"/>
  <c r="AA169" i="83" s="1"/>
  <c r="D31" i="83"/>
  <c r="Z169" i="83" s="1"/>
  <c r="H30" i="83"/>
  <c r="AD168" i="83" s="1"/>
  <c r="G30" i="83"/>
  <c r="AC168" i="83" s="1"/>
  <c r="F30" i="83"/>
  <c r="AB168" i="83" s="1"/>
  <c r="E30" i="83"/>
  <c r="AA168" i="83" s="1"/>
  <c r="D30" i="83"/>
  <c r="Z168" i="83" s="1"/>
  <c r="H29" i="83"/>
  <c r="AD167" i="83" s="1"/>
  <c r="G29" i="83"/>
  <c r="AC167" i="83" s="1"/>
  <c r="F29" i="83"/>
  <c r="AB167" i="83" s="1"/>
  <c r="E29" i="83"/>
  <c r="AA167" i="83" s="1"/>
  <c r="D29" i="83"/>
  <c r="Z167" i="83" s="1"/>
  <c r="H28" i="83"/>
  <c r="AD166" i="83" s="1"/>
  <c r="G28" i="83"/>
  <c r="AC166" i="83" s="1"/>
  <c r="F28" i="83"/>
  <c r="AB166" i="83" s="1"/>
  <c r="E28" i="83"/>
  <c r="AA166" i="83" s="1"/>
  <c r="D28" i="83"/>
  <c r="Z166" i="83" s="1"/>
  <c r="H27" i="83"/>
  <c r="AD165" i="83" s="1"/>
  <c r="G27" i="83"/>
  <c r="AC165" i="83" s="1"/>
  <c r="F27" i="83"/>
  <c r="AB165" i="83" s="1"/>
  <c r="E27" i="83"/>
  <c r="AA165" i="83" s="1"/>
  <c r="D27" i="83"/>
  <c r="Z165" i="83" s="1"/>
  <c r="H26" i="83"/>
  <c r="AD164" i="83" s="1"/>
  <c r="G26" i="83"/>
  <c r="AC164" i="83" s="1"/>
  <c r="F26" i="83"/>
  <c r="AB164" i="83" s="1"/>
  <c r="E26" i="83"/>
  <c r="AA164" i="83" s="1"/>
  <c r="D26" i="83"/>
  <c r="Z164" i="83" s="1"/>
  <c r="H25" i="83"/>
  <c r="AD163" i="83" s="1"/>
  <c r="G25" i="83"/>
  <c r="AC163" i="83" s="1"/>
  <c r="F25" i="83"/>
  <c r="AB163" i="83" s="1"/>
  <c r="E25" i="83"/>
  <c r="AA163" i="83" s="1"/>
  <c r="D25" i="83"/>
  <c r="Z163" i="83" s="1"/>
  <c r="H24" i="83"/>
  <c r="AD162" i="83" s="1"/>
  <c r="G24" i="83"/>
  <c r="AC162" i="83" s="1"/>
  <c r="E24" i="83"/>
  <c r="AA162" i="83" s="1"/>
  <c r="D24" i="83"/>
  <c r="Z162" i="83" s="1"/>
  <c r="H23" i="83"/>
  <c r="AD161" i="83" s="1"/>
  <c r="G23" i="83"/>
  <c r="AC161" i="83" s="1"/>
  <c r="F23" i="83"/>
  <c r="AB161" i="83" s="1"/>
  <c r="E23" i="83"/>
  <c r="AA161" i="83" s="1"/>
  <c r="D23" i="83"/>
  <c r="Z161" i="83" s="1"/>
  <c r="H22" i="83"/>
  <c r="AD160" i="83" s="1"/>
  <c r="G22" i="83"/>
  <c r="AC160" i="83" s="1"/>
  <c r="F22" i="83"/>
  <c r="AB160" i="83" s="1"/>
  <c r="E22" i="83"/>
  <c r="AA160" i="83" s="1"/>
  <c r="D22" i="83"/>
  <c r="Z160" i="83" s="1"/>
  <c r="H21" i="83"/>
  <c r="AD159" i="83" s="1"/>
  <c r="G21" i="83"/>
  <c r="AC159" i="83" s="1"/>
  <c r="F21" i="83"/>
  <c r="AB159" i="83" s="1"/>
  <c r="E21" i="83"/>
  <c r="AA159" i="83" s="1"/>
  <c r="D21" i="83"/>
  <c r="Z159" i="83" s="1"/>
  <c r="H20" i="83"/>
  <c r="AD158" i="83" s="1"/>
  <c r="G20" i="83"/>
  <c r="AC158" i="83" s="1"/>
  <c r="F20" i="83"/>
  <c r="AB158" i="83" s="1"/>
  <c r="E20" i="83"/>
  <c r="AA158" i="83" s="1"/>
  <c r="D20" i="83"/>
  <c r="Z158" i="83" s="1"/>
  <c r="H19" i="83"/>
  <c r="AD157" i="83" s="1"/>
  <c r="G19" i="83"/>
  <c r="AC157" i="83" s="1"/>
  <c r="F19" i="83"/>
  <c r="AB157" i="83" s="1"/>
  <c r="E19" i="83"/>
  <c r="AA157" i="83" s="1"/>
  <c r="D19" i="83"/>
  <c r="Z157" i="83" s="1"/>
  <c r="H18" i="83"/>
  <c r="AD156" i="83" s="1"/>
  <c r="G18" i="83"/>
  <c r="AC156" i="83" s="1"/>
  <c r="F18" i="83"/>
  <c r="AB156" i="83" s="1"/>
  <c r="E18" i="83"/>
  <c r="AA156" i="83" s="1"/>
  <c r="D18" i="83"/>
  <c r="Z156" i="83" s="1"/>
  <c r="H17" i="83"/>
  <c r="AD155" i="83" s="1"/>
  <c r="G17" i="83"/>
  <c r="AC155" i="83" s="1"/>
  <c r="F17" i="83"/>
  <c r="AB155" i="83" s="1"/>
  <c r="E17" i="83"/>
  <c r="AA155" i="83" s="1"/>
  <c r="D17" i="83"/>
  <c r="Z155" i="83" s="1"/>
  <c r="H16" i="83"/>
  <c r="AD154" i="83" s="1"/>
  <c r="G16" i="83"/>
  <c r="AC154" i="83" s="1"/>
  <c r="F16" i="83"/>
  <c r="AB154" i="83" s="1"/>
  <c r="E16" i="83"/>
  <c r="AA154" i="83" s="1"/>
  <c r="D16" i="83"/>
  <c r="Z154" i="83" s="1"/>
  <c r="H15" i="83"/>
  <c r="AD153" i="83" s="1"/>
  <c r="G15" i="83"/>
  <c r="AC153" i="83" s="1"/>
  <c r="F15" i="83"/>
  <c r="AB153" i="83" s="1"/>
  <c r="E15" i="83"/>
  <c r="AA153" i="83" s="1"/>
  <c r="D15" i="83"/>
  <c r="Z153" i="83" s="1"/>
  <c r="H14" i="83"/>
  <c r="AD152" i="83" s="1"/>
  <c r="G14" i="83"/>
  <c r="AC152" i="83" s="1"/>
  <c r="F14" i="83"/>
  <c r="AB152" i="83" s="1"/>
  <c r="E14" i="83"/>
  <c r="AA152" i="83" s="1"/>
  <c r="D14" i="83"/>
  <c r="Z152" i="83" s="1"/>
  <c r="H13" i="83"/>
  <c r="AD151" i="83" s="1"/>
  <c r="G13" i="83"/>
  <c r="AC151" i="83" s="1"/>
  <c r="F13" i="83"/>
  <c r="AB151" i="83" s="1"/>
  <c r="E13" i="83"/>
  <c r="AA151" i="83" s="1"/>
  <c r="D13" i="83"/>
  <c r="Z151" i="83" s="1"/>
  <c r="H12" i="83"/>
  <c r="AD150" i="83" s="1"/>
  <c r="G12" i="83"/>
  <c r="AC150" i="83" s="1"/>
  <c r="F12" i="83"/>
  <c r="AB150" i="83" s="1"/>
  <c r="E12" i="83"/>
  <c r="AA150" i="83" s="1"/>
  <c r="D12" i="83"/>
  <c r="Z150" i="83" s="1"/>
  <c r="H11" i="83"/>
  <c r="AD149" i="83" s="1"/>
  <c r="G11" i="83"/>
  <c r="AC149" i="83" s="1"/>
  <c r="F11" i="83"/>
  <c r="AB149" i="83" s="1"/>
  <c r="E11" i="83"/>
  <c r="AA149" i="83" s="1"/>
  <c r="D11" i="83"/>
  <c r="Z149" i="83" s="1"/>
  <c r="H10" i="83"/>
  <c r="AD148" i="83" s="1"/>
  <c r="G10" i="83"/>
  <c r="AC148" i="83" s="1"/>
  <c r="F10" i="83"/>
  <c r="AB148" i="83" s="1"/>
  <c r="E10" i="83"/>
  <c r="AA148" i="83" s="1"/>
  <c r="D10" i="83"/>
  <c r="Z148" i="83" s="1"/>
  <c r="A107" i="83"/>
  <c r="B100" i="83"/>
  <c r="B99" i="83"/>
  <c r="B98" i="83"/>
  <c r="Y98" i="83" s="1"/>
  <c r="B97" i="83"/>
  <c r="B96" i="83"/>
  <c r="Y96" i="83" s="1"/>
  <c r="B95" i="83"/>
  <c r="Y95" i="83" s="1"/>
  <c r="B94" i="83"/>
  <c r="Y94" i="83" s="1"/>
  <c r="B93" i="83"/>
  <c r="B92" i="83"/>
  <c r="B91" i="83"/>
  <c r="B90" i="83"/>
  <c r="Y90" i="83" s="1"/>
  <c r="B89" i="83"/>
  <c r="B88" i="83"/>
  <c r="Y88" i="83" s="1"/>
  <c r="B87" i="83"/>
  <c r="Y87" i="83" s="1"/>
  <c r="B86" i="83"/>
  <c r="B85" i="83"/>
  <c r="B84" i="83"/>
  <c r="B83" i="83"/>
  <c r="Y83" i="83" s="1"/>
  <c r="B82" i="83"/>
  <c r="B81" i="83"/>
  <c r="Y81" i="83" s="1"/>
  <c r="B80" i="83"/>
  <c r="B79" i="83"/>
  <c r="Y79" i="83" s="1"/>
  <c r="B78" i="83"/>
  <c r="Y78" i="83" s="1"/>
  <c r="B77" i="83"/>
  <c r="Y77" i="83" s="1"/>
  <c r="A71" i="83"/>
  <c r="AL64" i="83"/>
  <c r="AL63" i="83"/>
  <c r="AL62" i="83"/>
  <c r="AL61" i="83"/>
  <c r="AL60" i="83"/>
  <c r="AL59" i="83"/>
  <c r="AL58" i="83"/>
  <c r="AL57" i="83"/>
  <c r="AL56" i="83"/>
  <c r="AL55" i="83"/>
  <c r="AL54" i="83"/>
  <c r="AL53" i="83"/>
  <c r="AL52" i="83"/>
  <c r="AL51" i="83"/>
  <c r="AL50" i="83"/>
  <c r="AL49" i="83"/>
  <c r="AL48" i="83"/>
  <c r="AL47" i="83"/>
  <c r="AL46" i="83"/>
  <c r="AL45" i="83"/>
  <c r="AL44" i="83"/>
  <c r="AL43" i="83"/>
  <c r="AL42" i="83"/>
  <c r="AL41" i="83"/>
  <c r="A38" i="83"/>
  <c r="Y33" i="83"/>
  <c r="Y32" i="83"/>
  <c r="Y31" i="83"/>
  <c r="S31" i="83"/>
  <c r="T31" i="83" s="1"/>
  <c r="Y30" i="83"/>
  <c r="S30" i="83"/>
  <c r="T30" i="83" s="1"/>
  <c r="Y29" i="83"/>
  <c r="S29" i="83"/>
  <c r="T29" i="83" s="1"/>
  <c r="Y28" i="83"/>
  <c r="S28" i="83"/>
  <c r="T28" i="83" s="1"/>
  <c r="Y27" i="83"/>
  <c r="S27" i="83"/>
  <c r="T27" i="83" s="1"/>
  <c r="Y26" i="83"/>
  <c r="S26" i="83"/>
  <c r="T26" i="83" s="1"/>
  <c r="Y25" i="83"/>
  <c r="S25" i="83"/>
  <c r="T25" i="83" s="1"/>
  <c r="Y24" i="83"/>
  <c r="S24" i="83"/>
  <c r="T24" i="83" s="1"/>
  <c r="Y23" i="83"/>
  <c r="S23" i="83"/>
  <c r="T23" i="83" s="1"/>
  <c r="Y22" i="83"/>
  <c r="S22" i="83"/>
  <c r="T22" i="83" s="1"/>
  <c r="Y21" i="83"/>
  <c r="S21" i="83"/>
  <c r="T21" i="83" s="1"/>
  <c r="Y20" i="83"/>
  <c r="S20" i="83"/>
  <c r="T20" i="83" s="1"/>
  <c r="Y19" i="83"/>
  <c r="S19" i="83"/>
  <c r="T19" i="83" s="1"/>
  <c r="Y18" i="83"/>
  <c r="S18" i="83"/>
  <c r="T18" i="83" s="1"/>
  <c r="Y17" i="83"/>
  <c r="S17" i="83"/>
  <c r="T17" i="83" s="1"/>
  <c r="Y16" i="83"/>
  <c r="S16" i="83"/>
  <c r="T16" i="83" s="1"/>
  <c r="Y15" i="83"/>
  <c r="S15" i="83"/>
  <c r="T15" i="83" s="1"/>
  <c r="Y14" i="83"/>
  <c r="S14" i="83"/>
  <c r="T14" i="83" s="1"/>
  <c r="Y13" i="83"/>
  <c r="S13" i="83"/>
  <c r="T13" i="83" s="1"/>
  <c r="Y12" i="83"/>
  <c r="S12" i="83"/>
  <c r="T12" i="83" s="1"/>
  <c r="Y11" i="83"/>
  <c r="S11" i="83"/>
  <c r="T11" i="83" s="1"/>
  <c r="AG10" i="83"/>
  <c r="Y10" i="83"/>
  <c r="S10" i="83"/>
  <c r="T10" i="83" s="1"/>
  <c r="Z4" i="83"/>
  <c r="A142" i="67"/>
  <c r="A178" i="67"/>
  <c r="BA152" i="83" l="1"/>
  <c r="AY152" i="83"/>
  <c r="BB152" i="83"/>
  <c r="AZ152" i="83"/>
  <c r="BC152" i="83"/>
  <c r="BC153" i="83"/>
  <c r="BA153" i="83"/>
  <c r="BB153" i="83"/>
  <c r="AY153" i="83"/>
  <c r="AZ153" i="83"/>
  <c r="BC161" i="83"/>
  <c r="BA161" i="83"/>
  <c r="AY161" i="83"/>
  <c r="AZ161" i="83"/>
  <c r="BB161" i="83"/>
  <c r="BC169" i="83"/>
  <c r="BA169" i="83"/>
  <c r="BB169" i="83"/>
  <c r="AZ169" i="83"/>
  <c r="AY169" i="83"/>
  <c r="AY168" i="83"/>
  <c r="BA168" i="83"/>
  <c r="AZ168" i="83"/>
  <c r="BC168" i="83"/>
  <c r="BB168" i="83"/>
  <c r="AY154" i="83"/>
  <c r="AZ154" i="83"/>
  <c r="BA154" i="83"/>
  <c r="BB154" i="83"/>
  <c r="BC154" i="83"/>
  <c r="BB162" i="83"/>
  <c r="AY162" i="83"/>
  <c r="BA162" i="83"/>
  <c r="AZ162" i="83"/>
  <c r="BC162" i="83"/>
  <c r="AY170" i="83"/>
  <c r="BB170" i="83"/>
  <c r="BA170" i="83"/>
  <c r="AZ170" i="83"/>
  <c r="BC170" i="83"/>
  <c r="AY155" i="83"/>
  <c r="BA155" i="83"/>
  <c r="BB155" i="83"/>
  <c r="BC155" i="83"/>
  <c r="AZ155" i="83"/>
  <c r="BA163" i="83"/>
  <c r="AZ163" i="83"/>
  <c r="AY163" i="83"/>
  <c r="BB163" i="83"/>
  <c r="BC163" i="83"/>
  <c r="AY171" i="83"/>
  <c r="AZ171" i="83"/>
  <c r="BA171" i="83"/>
  <c r="BB171" i="83"/>
  <c r="BC171" i="83"/>
  <c r="BB148" i="83"/>
  <c r="AZ148" i="83"/>
  <c r="AY148" i="83"/>
  <c r="BA148" i="83"/>
  <c r="BC148" i="83"/>
  <c r="BB156" i="83"/>
  <c r="BC156" i="83"/>
  <c r="AY156" i="83"/>
  <c r="AZ156" i="83"/>
  <c r="BA156" i="83"/>
  <c r="BB164" i="83"/>
  <c r="AZ164" i="83"/>
  <c r="AY164" i="83"/>
  <c r="BA164" i="83"/>
  <c r="BC164" i="83"/>
  <c r="AZ149" i="83"/>
  <c r="AY149" i="83"/>
  <c r="BC149" i="83"/>
  <c r="BB149" i="83"/>
  <c r="BA149" i="83"/>
  <c r="AY157" i="83"/>
  <c r="AZ157" i="83"/>
  <c r="BB157" i="83"/>
  <c r="BA157" i="83"/>
  <c r="BC157" i="83"/>
  <c r="BA165" i="83"/>
  <c r="AZ165" i="83"/>
  <c r="AY165" i="83"/>
  <c r="BB165" i="83"/>
  <c r="BC165" i="83"/>
  <c r="BC150" i="83"/>
  <c r="AZ150" i="83"/>
  <c r="BB150" i="83"/>
  <c r="AY150" i="83"/>
  <c r="BA150" i="83"/>
  <c r="BB158" i="83"/>
  <c r="AZ158" i="83"/>
  <c r="BC158" i="83"/>
  <c r="BA158" i="83"/>
  <c r="AY158" i="83"/>
  <c r="BC166" i="83"/>
  <c r="BB166" i="83"/>
  <c r="AZ166" i="83"/>
  <c r="AY166" i="83"/>
  <c r="BA166" i="83"/>
  <c r="BA160" i="83"/>
  <c r="AZ160" i="83"/>
  <c r="AY160" i="83"/>
  <c r="BC160" i="83"/>
  <c r="BB160" i="83"/>
  <c r="BC151" i="83"/>
  <c r="BA151" i="83"/>
  <c r="BB151" i="83"/>
  <c r="AY151" i="83"/>
  <c r="AZ151" i="83"/>
  <c r="BC159" i="83"/>
  <c r="BA159" i="83"/>
  <c r="BB159" i="83"/>
  <c r="AY159" i="83"/>
  <c r="AZ159" i="83"/>
  <c r="BC167" i="83"/>
  <c r="BA167" i="83"/>
  <c r="AZ167" i="83"/>
  <c r="BB167" i="83"/>
  <c r="AY167" i="83"/>
  <c r="BB172" i="83"/>
  <c r="BC172" i="83"/>
  <c r="AY172" i="83"/>
  <c r="AZ172" i="83"/>
  <c r="BA172" i="83"/>
  <c r="AR65" i="84"/>
  <c r="AU65" i="84"/>
  <c r="AS65" i="84"/>
  <c r="AT65" i="84"/>
  <c r="AV65" i="84"/>
  <c r="R27" i="84"/>
  <c r="R33" i="84"/>
  <c r="AY12" i="86"/>
  <c r="AY20" i="86"/>
  <c r="AY28" i="86"/>
  <c r="AY13" i="86"/>
  <c r="AY21" i="86"/>
  <c r="AY29" i="86"/>
  <c r="AY14" i="86"/>
  <c r="AY22" i="86"/>
  <c r="AY30" i="86"/>
  <c r="AX33" i="86"/>
  <c r="AY33" i="86"/>
  <c r="BA33" i="86"/>
  <c r="AZ33" i="86"/>
  <c r="AT33" i="86"/>
  <c r="BB33" i="86"/>
  <c r="AU33" i="86"/>
  <c r="BC33" i="86"/>
  <c r="AW33" i="86"/>
  <c r="AV33" i="86"/>
  <c r="BD33" i="86"/>
  <c r="AY15" i="86"/>
  <c r="AY23" i="86"/>
  <c r="AY9" i="86"/>
  <c r="AY16" i="86"/>
  <c r="AY24" i="86"/>
  <c r="AY17" i="86"/>
  <c r="AY25" i="86"/>
  <c r="AY10" i="86"/>
  <c r="AY18" i="86"/>
  <c r="AY26" i="86"/>
  <c r="AK9" i="86"/>
  <c r="BA32" i="86"/>
  <c r="AY11" i="86"/>
  <c r="AY19" i="86"/>
  <c r="AY27" i="86"/>
  <c r="AX149" i="83"/>
  <c r="AX157" i="83"/>
  <c r="AX166" i="83"/>
  <c r="AX159" i="83"/>
  <c r="AX167" i="83"/>
  <c r="AX160" i="83"/>
  <c r="AX168" i="83"/>
  <c r="AX161" i="83"/>
  <c r="AX169" i="83"/>
  <c r="AX162" i="83"/>
  <c r="AX170" i="83"/>
  <c r="AX150" i="83"/>
  <c r="AX151" i="83"/>
  <c r="AX152" i="83"/>
  <c r="AX153" i="83"/>
  <c r="AX154" i="83"/>
  <c r="AX155" i="83"/>
  <c r="AX163" i="83"/>
  <c r="AX171" i="83"/>
  <c r="AX164" i="83"/>
  <c r="AX165" i="83"/>
  <c r="AX148" i="83"/>
  <c r="AX158" i="83"/>
  <c r="AX156" i="83"/>
  <c r="AH127" i="84"/>
  <c r="AH91" i="84"/>
  <c r="AH163" i="84"/>
  <c r="AE163" i="84"/>
  <c r="AE127" i="84"/>
  <c r="AF91" i="84"/>
  <c r="AF127" i="84"/>
  <c r="AI127" i="84"/>
  <c r="AI91" i="84"/>
  <c r="AI163" i="84"/>
  <c r="AG129" i="84"/>
  <c r="AG165" i="84"/>
  <c r="AG93" i="84"/>
  <c r="AH165" i="84"/>
  <c r="AH129" i="84"/>
  <c r="AH93" i="84"/>
  <c r="AF151" i="84"/>
  <c r="AF79" i="84"/>
  <c r="AF115" i="84"/>
  <c r="AF98" i="84"/>
  <c r="AF134" i="84"/>
  <c r="AF170" i="84"/>
  <c r="AE134" i="84"/>
  <c r="AE98" i="84"/>
  <c r="AE170" i="84"/>
  <c r="AI97" i="84"/>
  <c r="AI133" i="84"/>
  <c r="AI169" i="84"/>
  <c r="AI165" i="84"/>
  <c r="AI129" i="84"/>
  <c r="AI93" i="84"/>
  <c r="AI122" i="84"/>
  <c r="AI158" i="84"/>
  <c r="AI86" i="84"/>
  <c r="AH122" i="84"/>
  <c r="AH158" i="84"/>
  <c r="AH86" i="84"/>
  <c r="AI157" i="84"/>
  <c r="AI85" i="84"/>
  <c r="AI121" i="84"/>
  <c r="AH94" i="84"/>
  <c r="AH166" i="84"/>
  <c r="AH130" i="84"/>
  <c r="AG168" i="84"/>
  <c r="AG132" i="84"/>
  <c r="AG96" i="84"/>
  <c r="AG170" i="84"/>
  <c r="AG134" i="84"/>
  <c r="AG98" i="84"/>
  <c r="AG151" i="84"/>
  <c r="AG79" i="84"/>
  <c r="AG115" i="84"/>
  <c r="AF160" i="84"/>
  <c r="AF88" i="84"/>
  <c r="AF124" i="84"/>
  <c r="AE126" i="84"/>
  <c r="AE162" i="84"/>
  <c r="AE90" i="84"/>
  <c r="AE167" i="84"/>
  <c r="AE131" i="84"/>
  <c r="AE95" i="84"/>
  <c r="AE97" i="84"/>
  <c r="AE133" i="84"/>
  <c r="AE169" i="84"/>
  <c r="AE94" i="84"/>
  <c r="AE166" i="84"/>
  <c r="AE130" i="84"/>
  <c r="AE86" i="84"/>
  <c r="AE158" i="84"/>
  <c r="AE122" i="84"/>
  <c r="AE165" i="84"/>
  <c r="AE129" i="84"/>
  <c r="AE93" i="84"/>
  <c r="AI94" i="84"/>
  <c r="AI130" i="84"/>
  <c r="AI166" i="84"/>
  <c r="AI164" i="84"/>
  <c r="AI128" i="84"/>
  <c r="AI92" i="84"/>
  <c r="AF77" i="84"/>
  <c r="AF149" i="84"/>
  <c r="AF113" i="84"/>
  <c r="AG116" i="84"/>
  <c r="AG80" i="84"/>
  <c r="AG152" i="84"/>
  <c r="AE118" i="84"/>
  <c r="AE82" i="84"/>
  <c r="AE154" i="84"/>
  <c r="AH83" i="84"/>
  <c r="AH119" i="84"/>
  <c r="AH155" i="84"/>
  <c r="AF121" i="84"/>
  <c r="AF85" i="84"/>
  <c r="AF157" i="84"/>
  <c r="AG160" i="84"/>
  <c r="AG124" i="84"/>
  <c r="AG88" i="84"/>
  <c r="AH168" i="84"/>
  <c r="AH132" i="84"/>
  <c r="AH96" i="84"/>
  <c r="AH114" i="84"/>
  <c r="AH78" i="84"/>
  <c r="AH150" i="84"/>
  <c r="AE85" i="84"/>
  <c r="AE157" i="84"/>
  <c r="AE121" i="84"/>
  <c r="AF165" i="84"/>
  <c r="AF129" i="84"/>
  <c r="AF93" i="84"/>
  <c r="AG113" i="84"/>
  <c r="AG149" i="84"/>
  <c r="AG77" i="84"/>
  <c r="AE115" i="84"/>
  <c r="AE151" i="84"/>
  <c r="AE79" i="84"/>
  <c r="AH116" i="84"/>
  <c r="AH152" i="84"/>
  <c r="AH80" i="84"/>
  <c r="AF118" i="84"/>
  <c r="AF82" i="84"/>
  <c r="AF154" i="84"/>
  <c r="AG121" i="84"/>
  <c r="AG157" i="84"/>
  <c r="AG85" i="84"/>
  <c r="AE87" i="84"/>
  <c r="AE159" i="84"/>
  <c r="AE123" i="84"/>
  <c r="AH124" i="84"/>
  <c r="AH160" i="84"/>
  <c r="AH88" i="84"/>
  <c r="AF90" i="84"/>
  <c r="AF126" i="84"/>
  <c r="AF162" i="84"/>
  <c r="AE92" i="84"/>
  <c r="AE164" i="84"/>
  <c r="AE128" i="84"/>
  <c r="AF95" i="84"/>
  <c r="AF167" i="84"/>
  <c r="AF131" i="84"/>
  <c r="AH77" i="84"/>
  <c r="AH149" i="84"/>
  <c r="AH113" i="84"/>
  <c r="AG118" i="84"/>
  <c r="AG154" i="84"/>
  <c r="AG82" i="84"/>
  <c r="AE120" i="84"/>
  <c r="AE84" i="84"/>
  <c r="AE156" i="84"/>
  <c r="AH157" i="84"/>
  <c r="AH121" i="84"/>
  <c r="AH85" i="84"/>
  <c r="AF159" i="84"/>
  <c r="AF123" i="84"/>
  <c r="AF87" i="84"/>
  <c r="AG162" i="84"/>
  <c r="AG126" i="84"/>
  <c r="AG90" i="84"/>
  <c r="AF164" i="84"/>
  <c r="AF128" i="84"/>
  <c r="AF92" i="84"/>
  <c r="AG95" i="84"/>
  <c r="AG167" i="84"/>
  <c r="AG131" i="84"/>
  <c r="AH98" i="84"/>
  <c r="AH170" i="84"/>
  <c r="AH134" i="84"/>
  <c r="AE149" i="84"/>
  <c r="AE77" i="84"/>
  <c r="AE113" i="84"/>
  <c r="AE117" i="84"/>
  <c r="AE81" i="84"/>
  <c r="AE153" i="84"/>
  <c r="AH118" i="84"/>
  <c r="AH82" i="84"/>
  <c r="AH154" i="84"/>
  <c r="AF84" i="84"/>
  <c r="AF156" i="84"/>
  <c r="AF120" i="84"/>
  <c r="AG123" i="84"/>
  <c r="AG87" i="84"/>
  <c r="AG159" i="84"/>
  <c r="AE161" i="84"/>
  <c r="AE89" i="84"/>
  <c r="AE125" i="84"/>
  <c r="AH126" i="84"/>
  <c r="AH90" i="84"/>
  <c r="AH162" i="84"/>
  <c r="AG92" i="84"/>
  <c r="AG128" i="84"/>
  <c r="AG164" i="84"/>
  <c r="AH167" i="84"/>
  <c r="AH95" i="84"/>
  <c r="AH131" i="84"/>
  <c r="AF133" i="84"/>
  <c r="AF97" i="84"/>
  <c r="AF169" i="84"/>
  <c r="AF116" i="84"/>
  <c r="AF80" i="84"/>
  <c r="AF152" i="84"/>
  <c r="AE114" i="84"/>
  <c r="AE150" i="84"/>
  <c r="AE78" i="84"/>
  <c r="AH151" i="84"/>
  <c r="AH115" i="84"/>
  <c r="AH79" i="84"/>
  <c r="AF81" i="84"/>
  <c r="AF153" i="84"/>
  <c r="AF117" i="84"/>
  <c r="AG84" i="84"/>
  <c r="AG156" i="84"/>
  <c r="AG120" i="84"/>
  <c r="AH123" i="84"/>
  <c r="AH87" i="84"/>
  <c r="AH159" i="84"/>
  <c r="AF125" i="84"/>
  <c r="AF89" i="84"/>
  <c r="AF161" i="84"/>
  <c r="AH92" i="84"/>
  <c r="AH164" i="84"/>
  <c r="AH128" i="84"/>
  <c r="AF130" i="84"/>
  <c r="AF94" i="84"/>
  <c r="AF166" i="84"/>
  <c r="AG169" i="84"/>
  <c r="AG133" i="84"/>
  <c r="AG97" i="84"/>
  <c r="AG155" i="84"/>
  <c r="AG119" i="84"/>
  <c r="AG83" i="84"/>
  <c r="AF150" i="84"/>
  <c r="AF114" i="84"/>
  <c r="AF78" i="84"/>
  <c r="AG153" i="84"/>
  <c r="AG81" i="84"/>
  <c r="AG117" i="84"/>
  <c r="AE83" i="84"/>
  <c r="AE155" i="84"/>
  <c r="AE119" i="84"/>
  <c r="AH156" i="84"/>
  <c r="AH120" i="84"/>
  <c r="AH84" i="84"/>
  <c r="AF86" i="84"/>
  <c r="AF158" i="84"/>
  <c r="AF122" i="84"/>
  <c r="AG89" i="84"/>
  <c r="AG161" i="84"/>
  <c r="AG125" i="84"/>
  <c r="AG130" i="84"/>
  <c r="AG166" i="84"/>
  <c r="AG94" i="84"/>
  <c r="AE132" i="84"/>
  <c r="AE168" i="84"/>
  <c r="AE96" i="84"/>
  <c r="AH169" i="84"/>
  <c r="AH97" i="84"/>
  <c r="AH133" i="84"/>
  <c r="AG78" i="84"/>
  <c r="AG150" i="84"/>
  <c r="AG114" i="84"/>
  <c r="AE152" i="84"/>
  <c r="AE116" i="84"/>
  <c r="AE80" i="84"/>
  <c r="AH81" i="84"/>
  <c r="AH153" i="84"/>
  <c r="AH117" i="84"/>
  <c r="AF83" i="84"/>
  <c r="AF155" i="84"/>
  <c r="AF119" i="84"/>
  <c r="AG86" i="84"/>
  <c r="AG158" i="84"/>
  <c r="AG122" i="84"/>
  <c r="AE124" i="84"/>
  <c r="AE88" i="84"/>
  <c r="AE160" i="84"/>
  <c r="AH125" i="84"/>
  <c r="AH89" i="84"/>
  <c r="AH161" i="84"/>
  <c r="AF168" i="84"/>
  <c r="AF96" i="84"/>
  <c r="AF132" i="84"/>
  <c r="AI87" i="84"/>
  <c r="AI159" i="84"/>
  <c r="AI123" i="84"/>
  <c r="AI132" i="84"/>
  <c r="AI96" i="84"/>
  <c r="AI168" i="84"/>
  <c r="AI81" i="84"/>
  <c r="AI153" i="84"/>
  <c r="AI117" i="84"/>
  <c r="AI89" i="84"/>
  <c r="AI161" i="84"/>
  <c r="AI125" i="84"/>
  <c r="AI83" i="84"/>
  <c r="AI155" i="84"/>
  <c r="AI119" i="84"/>
  <c r="AI150" i="84"/>
  <c r="AI78" i="84"/>
  <c r="AI114" i="84"/>
  <c r="AI152" i="84"/>
  <c r="AI116" i="84"/>
  <c r="AI80" i="84"/>
  <c r="AI88" i="84"/>
  <c r="AI160" i="84"/>
  <c r="AI124" i="84"/>
  <c r="AI77" i="84"/>
  <c r="AI113" i="84"/>
  <c r="AI149" i="84"/>
  <c r="AI98" i="84"/>
  <c r="AI170" i="84"/>
  <c r="AI134" i="84"/>
  <c r="AI118" i="84"/>
  <c r="AI154" i="84"/>
  <c r="AI82" i="84"/>
  <c r="AI126" i="84"/>
  <c r="AI162" i="84"/>
  <c r="AI90" i="84"/>
  <c r="AI131" i="84"/>
  <c r="AI95" i="84"/>
  <c r="AI167" i="84"/>
  <c r="AI115" i="84"/>
  <c r="AI151" i="84"/>
  <c r="AI79" i="84"/>
  <c r="AI84" i="84"/>
  <c r="AI120" i="84"/>
  <c r="AI156" i="84"/>
  <c r="L31" i="84"/>
  <c r="AL62" i="84" s="1"/>
  <c r="AD170" i="83"/>
  <c r="AC170" i="83"/>
  <c r="Z170" i="83"/>
  <c r="AA170" i="83"/>
  <c r="Y25" i="92" a="1"/>
  <c r="Y25" i="92" s="1"/>
  <c r="Z42" i="85" s="1"/>
  <c r="Z25" i="92" a="1"/>
  <c r="Z25" i="92" s="1"/>
  <c r="AA42" i="85" s="1"/>
  <c r="AA25" i="92" a="1"/>
  <c r="AA25" i="92" s="1"/>
  <c r="AD41" i="85" s="1"/>
  <c r="AD42" i="85" s="1"/>
  <c r="AS159" i="83"/>
  <c r="AW159" i="83"/>
  <c r="AV159" i="83"/>
  <c r="AT159" i="83"/>
  <c r="AU159" i="83"/>
  <c r="AT167" i="83"/>
  <c r="AU167" i="83"/>
  <c r="AW167" i="83"/>
  <c r="AS167" i="83"/>
  <c r="AV167" i="83"/>
  <c r="AU151" i="83"/>
  <c r="AW151" i="83"/>
  <c r="AV151" i="83"/>
  <c r="AS151" i="83"/>
  <c r="AT151" i="83"/>
  <c r="AS155" i="83"/>
  <c r="AT155" i="83"/>
  <c r="AW155" i="83"/>
  <c r="AV155" i="83"/>
  <c r="AU155" i="83"/>
  <c r="AS163" i="83"/>
  <c r="AW163" i="83"/>
  <c r="AV163" i="83"/>
  <c r="AT163" i="83"/>
  <c r="AU163" i="83"/>
  <c r="AU171" i="83"/>
  <c r="AW171" i="83"/>
  <c r="AT171" i="83"/>
  <c r="AV171" i="83"/>
  <c r="AS171" i="83"/>
  <c r="AT152" i="83"/>
  <c r="AS152" i="83"/>
  <c r="AV152" i="83"/>
  <c r="AW152" i="83"/>
  <c r="AU152" i="83"/>
  <c r="AU156" i="83"/>
  <c r="AT156" i="83"/>
  <c r="AV156" i="83"/>
  <c r="AW156" i="83"/>
  <c r="AS156" i="83"/>
  <c r="AV160" i="83"/>
  <c r="AW160" i="83"/>
  <c r="AU160" i="83"/>
  <c r="AS160" i="83"/>
  <c r="AT160" i="83"/>
  <c r="AU164" i="83"/>
  <c r="AW164" i="83"/>
  <c r="AV164" i="83"/>
  <c r="AS164" i="83"/>
  <c r="AT164" i="83"/>
  <c r="AV168" i="83"/>
  <c r="AS168" i="83"/>
  <c r="AW168" i="83"/>
  <c r="AT168" i="83"/>
  <c r="AU168" i="83"/>
  <c r="AT149" i="83"/>
  <c r="AS149" i="83"/>
  <c r="AU149" i="83"/>
  <c r="AV149" i="83"/>
  <c r="AW149" i="83"/>
  <c r="AS153" i="83"/>
  <c r="AU153" i="83"/>
  <c r="AV153" i="83"/>
  <c r="AT153" i="83"/>
  <c r="AW153" i="83"/>
  <c r="AV157" i="83"/>
  <c r="AS157" i="83"/>
  <c r="AT157" i="83"/>
  <c r="AU157" i="83"/>
  <c r="AW157" i="83"/>
  <c r="AT161" i="83"/>
  <c r="AS161" i="83"/>
  <c r="AW161" i="83"/>
  <c r="AV161" i="83"/>
  <c r="AU161" i="83"/>
  <c r="AU165" i="83"/>
  <c r="AV165" i="83"/>
  <c r="AS165" i="83"/>
  <c r="AT165" i="83"/>
  <c r="AW165" i="83"/>
  <c r="AV169" i="83"/>
  <c r="AS169" i="83"/>
  <c r="AU169" i="83"/>
  <c r="AT169" i="83"/>
  <c r="AW169" i="83"/>
  <c r="AT150" i="83"/>
  <c r="AV150" i="83"/>
  <c r="AS150" i="83"/>
  <c r="AU150" i="83"/>
  <c r="AW150" i="83"/>
  <c r="AV154" i="83"/>
  <c r="AU154" i="83"/>
  <c r="AS154" i="83"/>
  <c r="AW154" i="83"/>
  <c r="AT154" i="83"/>
  <c r="AV158" i="83"/>
  <c r="AT158" i="83"/>
  <c r="AW158" i="83"/>
  <c r="AS158" i="83"/>
  <c r="AU158" i="83"/>
  <c r="AV162" i="83"/>
  <c r="AT162" i="83"/>
  <c r="AW162" i="83"/>
  <c r="AS162" i="83"/>
  <c r="AS166" i="83"/>
  <c r="AT166" i="83"/>
  <c r="AU166" i="83"/>
  <c r="AV166" i="83"/>
  <c r="AW166" i="83"/>
  <c r="B149" i="84"/>
  <c r="X149" i="84" s="1"/>
  <c r="AD149" i="84" s="1"/>
  <c r="AS148" i="83"/>
  <c r="AW148" i="83"/>
  <c r="AV148" i="83"/>
  <c r="AT148" i="83"/>
  <c r="AU148" i="83"/>
  <c r="AR315" i="83"/>
  <c r="AW172" i="83"/>
  <c r="AV172" i="83"/>
  <c r="AU172" i="83"/>
  <c r="AT172" i="83"/>
  <c r="AS172" i="83"/>
  <c r="Z21" i="83"/>
  <c r="Z29" i="83"/>
  <c r="Y25" i="84"/>
  <c r="AC10" i="85"/>
  <c r="AP43" i="85"/>
  <c r="AE12" i="85"/>
  <c r="AB15" i="85"/>
  <c r="AE16" i="85"/>
  <c r="AD17" i="85"/>
  <c r="AB19" i="85"/>
  <c r="AE20" i="85"/>
  <c r="AC22" i="85"/>
  <c r="AE24" i="85"/>
  <c r="AN58" i="85"/>
  <c r="AC27" i="85"/>
  <c r="AE29" i="85"/>
  <c r="AO61" i="85"/>
  <c r="AD30" i="85"/>
  <c r="AA12" i="83"/>
  <c r="Z12" i="83"/>
  <c r="Z16" i="83"/>
  <c r="Z20" i="83"/>
  <c r="AA24" i="83"/>
  <c r="Z24" i="83"/>
  <c r="Z28" i="83"/>
  <c r="Y12" i="84"/>
  <c r="Y16" i="84"/>
  <c r="Y20" i="84"/>
  <c r="Z24" i="84"/>
  <c r="Y24" i="84"/>
  <c r="Y28" i="84"/>
  <c r="AM41" i="85"/>
  <c r="AB10" i="85"/>
  <c r="AH10" i="85"/>
  <c r="Z10" i="85"/>
  <c r="AF10" i="85"/>
  <c r="AE11" i="85"/>
  <c r="AO43" i="85"/>
  <c r="AD12" i="85"/>
  <c r="AC13" i="85"/>
  <c r="AM45" i="85"/>
  <c r="AB14" i="85"/>
  <c r="U14" i="85"/>
  <c r="Z14" i="85"/>
  <c r="AF14" i="85"/>
  <c r="AE15" i="85"/>
  <c r="AD16" i="85"/>
  <c r="AC17" i="85"/>
  <c r="AB18" i="85"/>
  <c r="Z18" i="85"/>
  <c r="AF18" i="85"/>
  <c r="AE19" i="85"/>
  <c r="AO51" i="85"/>
  <c r="AD20" i="85"/>
  <c r="AC21" i="85"/>
  <c r="AM53" i="85"/>
  <c r="AB22" i="85"/>
  <c r="Z22" i="85"/>
  <c r="AF22" i="85"/>
  <c r="AE23" i="85"/>
  <c r="AD25" i="85"/>
  <c r="AN57" i="85"/>
  <c r="AC26" i="85"/>
  <c r="AB27" i="85"/>
  <c r="P27" i="85"/>
  <c r="Z27" i="85"/>
  <c r="AF27" i="85"/>
  <c r="AE28" i="85"/>
  <c r="AD29" i="85"/>
  <c r="AC30" i="85"/>
  <c r="AB31" i="85"/>
  <c r="P31" i="85"/>
  <c r="Z31" i="85"/>
  <c r="AF31" i="85"/>
  <c r="AP64" i="85"/>
  <c r="AE33" i="85"/>
  <c r="Y21" i="84"/>
  <c r="AB11" i="85"/>
  <c r="AD13" i="85"/>
  <c r="AC18" i="85"/>
  <c r="AD21" i="85"/>
  <c r="P23" i="85"/>
  <c r="Z23" i="85"/>
  <c r="AF23" i="85"/>
  <c r="AE25" i="85"/>
  <c r="AB28" i="85"/>
  <c r="AC31" i="85"/>
  <c r="AB10" i="83"/>
  <c r="D260" i="83"/>
  <c r="AB260" i="83" s="1"/>
  <c r="Z10" i="83"/>
  <c r="Z14" i="83"/>
  <c r="Z18" i="83"/>
  <c r="AA22" i="83"/>
  <c r="Z22" i="83"/>
  <c r="AA26" i="83"/>
  <c r="Z26" i="83"/>
  <c r="Z30" i="83"/>
  <c r="D149" i="84"/>
  <c r="BB41" i="84" s="1"/>
  <c r="AA10" i="84"/>
  <c r="Y10" i="84"/>
  <c r="Y14" i="84"/>
  <c r="Y18" i="84"/>
  <c r="Y22" i="84"/>
  <c r="Z22" i="84"/>
  <c r="Y26" i="84"/>
  <c r="Z26" i="84"/>
  <c r="Y30" i="84"/>
  <c r="AD10" i="85"/>
  <c r="AC11" i="85"/>
  <c r="AB12" i="85"/>
  <c r="U12" i="85"/>
  <c r="Z12" i="85"/>
  <c r="AF12" i="85"/>
  <c r="AE13" i="85"/>
  <c r="AD14" i="85"/>
  <c r="AC15" i="85"/>
  <c r="AB16" i="85"/>
  <c r="Z16" i="85"/>
  <c r="AF16" i="85"/>
  <c r="AE17" i="85"/>
  <c r="AD18" i="85"/>
  <c r="AC19" i="85"/>
  <c r="AB20" i="85"/>
  <c r="P20" i="85"/>
  <c r="Z20" i="85"/>
  <c r="AF20" i="85"/>
  <c r="AE21" i="85"/>
  <c r="AD22" i="85"/>
  <c r="AC23" i="85"/>
  <c r="AB24" i="85"/>
  <c r="Z24" i="85"/>
  <c r="AF24" i="85"/>
  <c r="AH24" i="85"/>
  <c r="Z25" i="85"/>
  <c r="AF25" i="85"/>
  <c r="AE26" i="85"/>
  <c r="AD27" i="85"/>
  <c r="AC28" i="85"/>
  <c r="AB29" i="85"/>
  <c r="AH26" i="85"/>
  <c r="Z29" i="85"/>
  <c r="AF29" i="85"/>
  <c r="AE30" i="85"/>
  <c r="AD31" i="85"/>
  <c r="AC33" i="85"/>
  <c r="Z13" i="83"/>
  <c r="Z17" i="83"/>
  <c r="Z25" i="83"/>
  <c r="Y13" i="84"/>
  <c r="Y17" i="84"/>
  <c r="Y29" i="84"/>
  <c r="P11" i="85"/>
  <c r="Z11" i="85"/>
  <c r="AF11" i="85"/>
  <c r="AC14" i="85"/>
  <c r="Z15" i="85"/>
  <c r="AF15" i="85"/>
  <c r="U19" i="85"/>
  <c r="Z19" i="85"/>
  <c r="AF19" i="85"/>
  <c r="AB23" i="85"/>
  <c r="AD26" i="85"/>
  <c r="Z28" i="85"/>
  <c r="AF28" i="85"/>
  <c r="AB33" i="85"/>
  <c r="Z11" i="83"/>
  <c r="Z15" i="83"/>
  <c r="Z19" i="83"/>
  <c r="Z23" i="83"/>
  <c r="AA27" i="83"/>
  <c r="Z27" i="83"/>
  <c r="Z31" i="83"/>
  <c r="Y11" i="84"/>
  <c r="Y15" i="84"/>
  <c r="Y19" i="84"/>
  <c r="Y23" i="84"/>
  <c r="Y27" i="84"/>
  <c r="Z27" i="84"/>
  <c r="Y31" i="84"/>
  <c r="AE10" i="85"/>
  <c r="AD11" i="85"/>
  <c r="AC12" i="85"/>
  <c r="AB13" i="85"/>
  <c r="Z13" i="85"/>
  <c r="AF13" i="85"/>
  <c r="AE14" i="85"/>
  <c r="AD15" i="85"/>
  <c r="AC16" i="85"/>
  <c r="AB17" i="85"/>
  <c r="AH17" i="85"/>
  <c r="Z17" i="85"/>
  <c r="AF17" i="85"/>
  <c r="AE18" i="85"/>
  <c r="AD19" i="85"/>
  <c r="AC20" i="85"/>
  <c r="AB21" i="85"/>
  <c r="Z21" i="85"/>
  <c r="AF21" i="85"/>
  <c r="AE22" i="85"/>
  <c r="AD23" i="85"/>
  <c r="AC24" i="85"/>
  <c r="AB25" i="85"/>
  <c r="AB26" i="85"/>
  <c r="Z26" i="85"/>
  <c r="AF26" i="85"/>
  <c r="AE27" i="85"/>
  <c r="AD28" i="85"/>
  <c r="AC29" i="85"/>
  <c r="AB30" i="85"/>
  <c r="P30" i="85"/>
  <c r="Z30" i="85"/>
  <c r="AF30" i="85"/>
  <c r="AE31" i="85"/>
  <c r="AD33" i="85"/>
  <c r="AL10" i="85"/>
  <c r="AL33" i="85"/>
  <c r="AM33" i="85"/>
  <c r="AN33" i="85"/>
  <c r="AO33" i="85"/>
  <c r="E114" i="85"/>
  <c r="AY42" i="85" s="1"/>
  <c r="E78" i="85"/>
  <c r="AT42" i="85" s="1"/>
  <c r="AL11" i="85"/>
  <c r="H79" i="85"/>
  <c r="AO12" i="85"/>
  <c r="H115" i="85"/>
  <c r="AM14" i="85"/>
  <c r="AO45" i="85"/>
  <c r="F117" i="85"/>
  <c r="AZ45" i="85" s="1"/>
  <c r="F81" i="85"/>
  <c r="AU45" i="85" s="1"/>
  <c r="D83" i="85"/>
  <c r="AS47" i="85" s="1"/>
  <c r="D119" i="85"/>
  <c r="AX47" i="85" s="1"/>
  <c r="AN17" i="85"/>
  <c r="G120" i="85"/>
  <c r="BA48" i="85" s="1"/>
  <c r="G84" i="85"/>
  <c r="AN50" i="85"/>
  <c r="E86" i="85"/>
  <c r="AT50" i="85" s="1"/>
  <c r="AL19" i="85"/>
  <c r="E122" i="85"/>
  <c r="AY50" i="85" s="1"/>
  <c r="H123" i="85"/>
  <c r="H87" i="85"/>
  <c r="AO20" i="85"/>
  <c r="AN21" i="85"/>
  <c r="G88" i="85"/>
  <c r="G124" i="85"/>
  <c r="BA52" i="85" s="1"/>
  <c r="AN54" i="85"/>
  <c r="E90" i="85"/>
  <c r="AT54" i="85" s="1"/>
  <c r="E126" i="85"/>
  <c r="AY54" i="85" s="1"/>
  <c r="AL23" i="85"/>
  <c r="H128" i="85"/>
  <c r="H92" i="85"/>
  <c r="AO25" i="85"/>
  <c r="AM27" i="85"/>
  <c r="F130" i="85"/>
  <c r="AZ58" i="85" s="1"/>
  <c r="AO58" i="85"/>
  <c r="F94" i="85"/>
  <c r="AU58" i="85" s="1"/>
  <c r="E131" i="85"/>
  <c r="AY59" i="85" s="1"/>
  <c r="AL28" i="85"/>
  <c r="E95" i="85"/>
  <c r="AT59" i="85" s="1"/>
  <c r="AN59" i="85"/>
  <c r="H132" i="85"/>
  <c r="H96" i="85"/>
  <c r="AO29" i="85"/>
  <c r="AM31" i="85"/>
  <c r="F134" i="85"/>
  <c r="AZ62" i="85" s="1"/>
  <c r="F98" i="85"/>
  <c r="AU62" i="85" s="1"/>
  <c r="AO62" i="85"/>
  <c r="AM11" i="85"/>
  <c r="F114" i="85"/>
  <c r="AZ42" i="85" s="1"/>
  <c r="AO42" i="85"/>
  <c r="F78" i="85"/>
  <c r="AU42" i="85" s="1"/>
  <c r="D116" i="85"/>
  <c r="AX44" i="85" s="1"/>
  <c r="D80" i="85"/>
  <c r="AS44" i="85" s="1"/>
  <c r="H116" i="85"/>
  <c r="H80" i="85"/>
  <c r="AO13" i="85"/>
  <c r="AM15" i="85"/>
  <c r="F118" i="85"/>
  <c r="AZ46" i="85" s="1"/>
  <c r="F82" i="85"/>
  <c r="AU46" i="85" s="1"/>
  <c r="AO46" i="85"/>
  <c r="D120" i="85"/>
  <c r="AX48" i="85" s="1"/>
  <c r="D84" i="85"/>
  <c r="AS48" i="85" s="1"/>
  <c r="AN18" i="85"/>
  <c r="G121" i="85"/>
  <c r="BA49" i="85" s="1"/>
  <c r="G85" i="85"/>
  <c r="E123" i="85"/>
  <c r="AY51" i="85" s="1"/>
  <c r="AL20" i="85"/>
  <c r="E87" i="85"/>
  <c r="AT51" i="85" s="1"/>
  <c r="H124" i="85"/>
  <c r="H88" i="85"/>
  <c r="AO21" i="85"/>
  <c r="AM23" i="85"/>
  <c r="F126" i="85"/>
  <c r="AZ54" i="85" s="1"/>
  <c r="F90" i="85"/>
  <c r="AU54" i="85" s="1"/>
  <c r="D128" i="85"/>
  <c r="AX56" i="85" s="1"/>
  <c r="D92" i="85"/>
  <c r="AS56" i="85" s="1"/>
  <c r="AM56" i="85"/>
  <c r="AL25" i="85"/>
  <c r="AO26" i="85"/>
  <c r="H129" i="85"/>
  <c r="H93" i="85"/>
  <c r="D133" i="85"/>
  <c r="AX61" i="85" s="1"/>
  <c r="D97" i="85"/>
  <c r="AS61" i="85" s="1"/>
  <c r="AM61" i="85"/>
  <c r="E113" i="85"/>
  <c r="AY41" i="85" s="1"/>
  <c r="E77" i="85"/>
  <c r="AT41" i="85" s="1"/>
  <c r="AM42" i="85"/>
  <c r="D114" i="85"/>
  <c r="AX42" i="85" s="1"/>
  <c r="D78" i="85"/>
  <c r="AS42" i="85" s="1"/>
  <c r="H114" i="85"/>
  <c r="AO11" i="85"/>
  <c r="H78" i="85"/>
  <c r="AN12" i="85"/>
  <c r="G115" i="85"/>
  <c r="G79" i="85"/>
  <c r="AM13" i="85"/>
  <c r="AO44" i="85"/>
  <c r="F116" i="85"/>
  <c r="AZ44" i="85" s="1"/>
  <c r="F80" i="85"/>
  <c r="AU44" i="85" s="1"/>
  <c r="AN45" i="85"/>
  <c r="AL14" i="85"/>
  <c r="E117" i="85"/>
  <c r="AY45" i="85" s="1"/>
  <c r="E81" i="85"/>
  <c r="AT45" i="85" s="1"/>
  <c r="AM46" i="85"/>
  <c r="D118" i="85"/>
  <c r="AX46" i="85" s="1"/>
  <c r="D82" i="85"/>
  <c r="AS46" i="85" s="1"/>
  <c r="H118" i="85"/>
  <c r="AO15" i="85"/>
  <c r="H82" i="85"/>
  <c r="AP47" i="85"/>
  <c r="AN16" i="85"/>
  <c r="G119" i="85"/>
  <c r="BA47" i="85" s="1"/>
  <c r="G83" i="85"/>
  <c r="AM17" i="85"/>
  <c r="AO48" i="85"/>
  <c r="F120" i="85"/>
  <c r="AZ48" i="85" s="1"/>
  <c r="F84" i="85"/>
  <c r="AU48" i="85" s="1"/>
  <c r="AN49" i="85"/>
  <c r="AL18" i="85"/>
  <c r="E121" i="85"/>
  <c r="AY49" i="85" s="1"/>
  <c r="E85" i="85"/>
  <c r="AT49" i="85" s="1"/>
  <c r="AM50" i="85"/>
  <c r="D122" i="85"/>
  <c r="AX50" i="85" s="1"/>
  <c r="D86" i="85"/>
  <c r="AS50" i="85" s="1"/>
  <c r="H122" i="85"/>
  <c r="AO19" i="85"/>
  <c r="H86" i="85"/>
  <c r="AN20" i="85"/>
  <c r="G123" i="85"/>
  <c r="BA51" i="85" s="1"/>
  <c r="G87" i="85"/>
  <c r="AM21" i="85"/>
  <c r="AO52" i="85"/>
  <c r="F124" i="85"/>
  <c r="AZ52" i="85" s="1"/>
  <c r="F88" i="85"/>
  <c r="AU52" i="85" s="1"/>
  <c r="AL22" i="85"/>
  <c r="E125" i="85"/>
  <c r="AY53" i="85" s="1"/>
  <c r="E89" i="85"/>
  <c r="AT53" i="85" s="1"/>
  <c r="D126" i="85"/>
  <c r="AX54" i="85" s="1"/>
  <c r="D90" i="85"/>
  <c r="AS54" i="85" s="1"/>
  <c r="AO23" i="85"/>
  <c r="H126" i="85"/>
  <c r="H90" i="85"/>
  <c r="G127" i="85"/>
  <c r="BA55" i="85" s="1"/>
  <c r="G91" i="85"/>
  <c r="AN25" i="85"/>
  <c r="AP56" i="85"/>
  <c r="G92" i="85"/>
  <c r="G128" i="85"/>
  <c r="BA56" i="85" s="1"/>
  <c r="AM26" i="85"/>
  <c r="F93" i="85"/>
  <c r="AU57" i="85" s="1"/>
  <c r="F129" i="85"/>
  <c r="AZ57" i="85" s="1"/>
  <c r="E130" i="85"/>
  <c r="AY58" i="85" s="1"/>
  <c r="E94" i="85"/>
  <c r="AT58" i="85" s="1"/>
  <c r="AL27" i="85"/>
  <c r="AM59" i="85"/>
  <c r="D95" i="85"/>
  <c r="AS59" i="85" s="1"/>
  <c r="D131" i="85"/>
  <c r="AX59" i="85" s="1"/>
  <c r="P28" i="85"/>
  <c r="H95" i="85"/>
  <c r="AO28" i="85"/>
  <c r="H131" i="85"/>
  <c r="AN29" i="85"/>
  <c r="G96" i="85"/>
  <c r="G132" i="85"/>
  <c r="BA60" i="85" s="1"/>
  <c r="AM30" i="85"/>
  <c r="F133" i="85"/>
  <c r="AZ61" i="85" s="1"/>
  <c r="F97" i="85"/>
  <c r="AU61" i="85" s="1"/>
  <c r="AN62" i="85"/>
  <c r="E98" i="85"/>
  <c r="AT62" i="85" s="1"/>
  <c r="AL31" i="85"/>
  <c r="E134" i="85"/>
  <c r="AY62" i="85" s="1"/>
  <c r="D136" i="85"/>
  <c r="AX64" i="85" s="1"/>
  <c r="D100" i="85"/>
  <c r="AS64" i="85" s="1"/>
  <c r="AO41" i="85"/>
  <c r="AM10" i="85"/>
  <c r="F113" i="85"/>
  <c r="AZ41" i="85" s="1"/>
  <c r="F77" i="85"/>
  <c r="AU41" i="85" s="1"/>
  <c r="AM43" i="85"/>
  <c r="D79" i="85"/>
  <c r="AS43" i="85" s="1"/>
  <c r="D115" i="85"/>
  <c r="AN13" i="85"/>
  <c r="G80" i="85"/>
  <c r="AV44" i="85" s="1"/>
  <c r="G116" i="85"/>
  <c r="BA44" i="85" s="1"/>
  <c r="E82" i="85"/>
  <c r="AT46" i="85" s="1"/>
  <c r="AL15" i="85"/>
  <c r="E118" i="85"/>
  <c r="AY46" i="85" s="1"/>
  <c r="H83" i="85"/>
  <c r="AO16" i="85"/>
  <c r="H119" i="85"/>
  <c r="AM18" i="85"/>
  <c r="AO49" i="85"/>
  <c r="F85" i="85"/>
  <c r="AU49" i="85" s="1"/>
  <c r="F121" i="85"/>
  <c r="AZ49" i="85" s="1"/>
  <c r="D87" i="85"/>
  <c r="AS51" i="85" s="1"/>
  <c r="D123" i="85"/>
  <c r="AX51" i="85" s="1"/>
  <c r="AM22" i="85"/>
  <c r="F89" i="85"/>
  <c r="AU53" i="85" s="1"/>
  <c r="F125" i="85"/>
  <c r="AZ53" i="85" s="1"/>
  <c r="AM55" i="85"/>
  <c r="D127" i="85"/>
  <c r="AX55" i="85" s="1"/>
  <c r="D91" i="85"/>
  <c r="AS55" i="85" s="1"/>
  <c r="H91" i="85"/>
  <c r="AO24" i="85"/>
  <c r="H127" i="85"/>
  <c r="AN26" i="85"/>
  <c r="G129" i="85"/>
  <c r="BA57" i="85" s="1"/>
  <c r="G93" i="85"/>
  <c r="D132" i="85"/>
  <c r="AX60" i="85" s="1"/>
  <c r="AM60" i="85"/>
  <c r="D96" i="85"/>
  <c r="AS60" i="85" s="1"/>
  <c r="AN30" i="85"/>
  <c r="G133" i="85"/>
  <c r="BA61" i="85" s="1"/>
  <c r="AP61" i="85"/>
  <c r="G97" i="85"/>
  <c r="E136" i="85"/>
  <c r="AY64" i="85" s="1"/>
  <c r="E100" i="85"/>
  <c r="AT64" i="85" s="1"/>
  <c r="AN10" i="85"/>
  <c r="G113" i="85"/>
  <c r="BA41" i="85" s="1"/>
  <c r="G77" i="85"/>
  <c r="AV41" i="85" s="1"/>
  <c r="E115" i="85"/>
  <c r="AL12" i="85"/>
  <c r="E79" i="85"/>
  <c r="AN14" i="85"/>
  <c r="G117" i="85"/>
  <c r="BA45" i="85" s="1"/>
  <c r="G81" i="85"/>
  <c r="E119" i="85"/>
  <c r="AY47" i="85" s="1"/>
  <c r="AL16" i="85"/>
  <c r="AN47" i="85"/>
  <c r="E83" i="85"/>
  <c r="AT47" i="85" s="1"/>
  <c r="H120" i="85"/>
  <c r="H84" i="85"/>
  <c r="AO17" i="85"/>
  <c r="AM19" i="85"/>
  <c r="F122" i="85"/>
  <c r="AZ50" i="85" s="1"/>
  <c r="AO50" i="85"/>
  <c r="F86" i="85"/>
  <c r="AU50" i="85" s="1"/>
  <c r="D124" i="85"/>
  <c r="AX52" i="85" s="1"/>
  <c r="AM52" i="85"/>
  <c r="D88" i="85"/>
  <c r="AS52" i="85" s="1"/>
  <c r="AN22" i="85"/>
  <c r="G125" i="85"/>
  <c r="BA53" i="85" s="1"/>
  <c r="G89" i="85"/>
  <c r="E127" i="85"/>
  <c r="AY55" i="85" s="1"/>
  <c r="AL24" i="85"/>
  <c r="AN55" i="85"/>
  <c r="E91" i="85"/>
  <c r="AT55" i="85" s="1"/>
  <c r="AM57" i="85"/>
  <c r="D93" i="85"/>
  <c r="AS57" i="85" s="1"/>
  <c r="D129" i="85"/>
  <c r="AX57" i="85" s="1"/>
  <c r="AN27" i="85"/>
  <c r="AP58" i="85"/>
  <c r="G130" i="85"/>
  <c r="BA58" i="85" s="1"/>
  <c r="G94" i="85"/>
  <c r="AM28" i="85"/>
  <c r="F131" i="85"/>
  <c r="AZ59" i="85" s="1"/>
  <c r="F95" i="85"/>
  <c r="AU59" i="85" s="1"/>
  <c r="AO59" i="85"/>
  <c r="AN60" i="85"/>
  <c r="AL29" i="85"/>
  <c r="E96" i="85"/>
  <c r="AT60" i="85" s="1"/>
  <c r="E132" i="85"/>
  <c r="AY60" i="85" s="1"/>
  <c r="AO30" i="85"/>
  <c r="H133" i="85"/>
  <c r="H97" i="85"/>
  <c r="AN31" i="85"/>
  <c r="G134" i="85"/>
  <c r="BA62" i="85" s="1"/>
  <c r="G98" i="85"/>
  <c r="AP62" i="85"/>
  <c r="AO64" i="85"/>
  <c r="F136" i="85"/>
  <c r="AZ64" i="85" s="1"/>
  <c r="F100" i="85"/>
  <c r="AU64" i="85" s="1"/>
  <c r="AR47" i="85"/>
  <c r="D113" i="85"/>
  <c r="AX41" i="85" s="1"/>
  <c r="D77" i="85"/>
  <c r="AS41" i="85" s="1"/>
  <c r="AO10" i="85"/>
  <c r="H113" i="85"/>
  <c r="H77" i="85"/>
  <c r="AN11" i="85"/>
  <c r="AP42" i="85"/>
  <c r="G114" i="85"/>
  <c r="BA42" i="85" s="1"/>
  <c r="G78" i="85"/>
  <c r="AV42" i="85" s="1"/>
  <c r="AM12" i="85"/>
  <c r="F115" i="85"/>
  <c r="AZ43" i="85" s="1"/>
  <c r="F79" i="85"/>
  <c r="AU43" i="85" s="1"/>
  <c r="AN44" i="85"/>
  <c r="AL13" i="85"/>
  <c r="E80" i="85"/>
  <c r="AT44" i="85" s="1"/>
  <c r="E116" i="85"/>
  <c r="AY44" i="85" s="1"/>
  <c r="D117" i="85"/>
  <c r="AX45" i="85" s="1"/>
  <c r="D81" i="85"/>
  <c r="AS45" i="85" s="1"/>
  <c r="AO14" i="85"/>
  <c r="H117" i="85"/>
  <c r="H81" i="85"/>
  <c r="AN15" i="85"/>
  <c r="G118" i="85"/>
  <c r="BA46" i="85" s="1"/>
  <c r="G82" i="85"/>
  <c r="AP46" i="85"/>
  <c r="AM16" i="85"/>
  <c r="AO47" i="85"/>
  <c r="F83" i="85"/>
  <c r="AU47" i="85" s="1"/>
  <c r="F119" i="85"/>
  <c r="AZ47" i="85" s="1"/>
  <c r="AL17" i="85"/>
  <c r="E120" i="85"/>
  <c r="AY48" i="85" s="1"/>
  <c r="E84" i="85"/>
  <c r="AT48" i="85" s="1"/>
  <c r="AN48" i="85"/>
  <c r="D121" i="85"/>
  <c r="AX49" i="85" s="1"/>
  <c r="D85" i="85"/>
  <c r="AS49" i="85" s="1"/>
  <c r="H121" i="85"/>
  <c r="AO18" i="85"/>
  <c r="H85" i="85"/>
  <c r="AN19" i="85"/>
  <c r="G86" i="85"/>
  <c r="G122" i="85"/>
  <c r="BA50" i="85" s="1"/>
  <c r="AM20" i="85"/>
  <c r="F123" i="85"/>
  <c r="AZ51" i="85" s="1"/>
  <c r="F87" i="85"/>
  <c r="AU51" i="85" s="1"/>
  <c r="AN52" i="85"/>
  <c r="E124" i="85"/>
  <c r="AY52" i="85" s="1"/>
  <c r="AL21" i="85"/>
  <c r="E88" i="85"/>
  <c r="AT52" i="85" s="1"/>
  <c r="D125" i="85"/>
  <c r="AX53" i="85" s="1"/>
  <c r="D89" i="85"/>
  <c r="AS53" i="85" s="1"/>
  <c r="AO22" i="85"/>
  <c r="H89" i="85"/>
  <c r="H125" i="85"/>
  <c r="AN23" i="85"/>
  <c r="G126" i="85"/>
  <c r="BA54" i="85" s="1"/>
  <c r="G90" i="85"/>
  <c r="AP54" i="85"/>
  <c r="AM25" i="85"/>
  <c r="AO56" i="85"/>
  <c r="F128" i="85"/>
  <c r="AZ56" i="85" s="1"/>
  <c r="F92" i="85"/>
  <c r="AU56" i="85" s="1"/>
  <c r="AL26" i="85"/>
  <c r="E129" i="85"/>
  <c r="AY57" i="85" s="1"/>
  <c r="E93" i="85"/>
  <c r="AT57" i="85" s="1"/>
  <c r="AM58" i="85"/>
  <c r="D130" i="85"/>
  <c r="AX58" i="85" s="1"/>
  <c r="D94" i="85"/>
  <c r="AS58" i="85" s="1"/>
  <c r="H130" i="85"/>
  <c r="AO27" i="85"/>
  <c r="H94" i="85"/>
  <c r="AN28" i="85"/>
  <c r="G131" i="85"/>
  <c r="BA59" i="85" s="1"/>
  <c r="G95" i="85"/>
  <c r="AM29" i="85"/>
  <c r="AO60" i="85"/>
  <c r="F132" i="85"/>
  <c r="AZ60" i="85" s="1"/>
  <c r="F96" i="85"/>
  <c r="AU60" i="85" s="1"/>
  <c r="AL30" i="85"/>
  <c r="E133" i="85"/>
  <c r="AY61" i="85" s="1"/>
  <c r="E97" i="85"/>
  <c r="AT61" i="85" s="1"/>
  <c r="AM62" i="85"/>
  <c r="D134" i="85"/>
  <c r="AX62" i="85" s="1"/>
  <c r="D98" i="85"/>
  <c r="AS62" i="85" s="1"/>
  <c r="H134" i="85"/>
  <c r="AO31" i="85"/>
  <c r="H98" i="85"/>
  <c r="G136" i="85"/>
  <c r="BA64" i="85" s="1"/>
  <c r="G100" i="85"/>
  <c r="AR45" i="85"/>
  <c r="AR42" i="85"/>
  <c r="AR44" i="85"/>
  <c r="AR46" i="85"/>
  <c r="AR48" i="85"/>
  <c r="AR50" i="85"/>
  <c r="AR52" i="85"/>
  <c r="AR54" i="85"/>
  <c r="AR56" i="85"/>
  <c r="AR58" i="85"/>
  <c r="AR60" i="85"/>
  <c r="AR62" i="85"/>
  <c r="AR41" i="85"/>
  <c r="AR43" i="85"/>
  <c r="AR51" i="85"/>
  <c r="AR53" i="85"/>
  <c r="AR55" i="85"/>
  <c r="AR57" i="85"/>
  <c r="AR59" i="85"/>
  <c r="AR61" i="85"/>
  <c r="Q32" i="85"/>
  <c r="AR49" i="85"/>
  <c r="G32" i="85"/>
  <c r="N32" i="85" s="1"/>
  <c r="AM44" i="85"/>
  <c r="Q33" i="85"/>
  <c r="E32" i="85"/>
  <c r="L32" i="85" s="1"/>
  <c r="D32" i="85"/>
  <c r="K32" i="85" s="1"/>
  <c r="H32" i="85"/>
  <c r="O32" i="85" s="1"/>
  <c r="AN41" i="85"/>
  <c r="AN53" i="85"/>
  <c r="AM54" i="85"/>
  <c r="AN51" i="85"/>
  <c r="Q130" i="83"/>
  <c r="Q283" i="83"/>
  <c r="Q277" i="83"/>
  <c r="Q273" i="83"/>
  <c r="Q282" i="83"/>
  <c r="Q276" i="83"/>
  <c r="AU9" i="86"/>
  <c r="AT10" i="86"/>
  <c r="AX10" i="86"/>
  <c r="AW11" i="86"/>
  <c r="AV12" i="86"/>
  <c r="AU13" i="86"/>
  <c r="AT14" i="86"/>
  <c r="AX14" i="86"/>
  <c r="AW15" i="86"/>
  <c r="AV16" i="86"/>
  <c r="AU17" i="86"/>
  <c r="AT18" i="86"/>
  <c r="AX18" i="86"/>
  <c r="AW19" i="86"/>
  <c r="AV20" i="86"/>
  <c r="AU21" i="86"/>
  <c r="AT22" i="86"/>
  <c r="AX22" i="86"/>
  <c r="AW23" i="86"/>
  <c r="AV24" i="86"/>
  <c r="AU25" i="86"/>
  <c r="AT26" i="86"/>
  <c r="AX26" i="86"/>
  <c r="AW27" i="86"/>
  <c r="AV28" i="86"/>
  <c r="AU29" i="86"/>
  <c r="AT30" i="86"/>
  <c r="AX30" i="86"/>
  <c r="AW32" i="86"/>
  <c r="AU10" i="86"/>
  <c r="AX11" i="86"/>
  <c r="AW12" i="86"/>
  <c r="AU14" i="86"/>
  <c r="AX15" i="86"/>
  <c r="AU18" i="86"/>
  <c r="AX27" i="86"/>
  <c r="AW9" i="86"/>
  <c r="AV10" i="86"/>
  <c r="AU11" i="86"/>
  <c r="AT12" i="86"/>
  <c r="AX12" i="86"/>
  <c r="AW13" i="86"/>
  <c r="AV14" i="86"/>
  <c r="AU15" i="86"/>
  <c r="AT16" i="86"/>
  <c r="AX16" i="86"/>
  <c r="AW17" i="86"/>
  <c r="AV18" i="86"/>
  <c r="AU19" i="86"/>
  <c r="AT20" i="86"/>
  <c r="AX20" i="86"/>
  <c r="AW21" i="86"/>
  <c r="AV22" i="86"/>
  <c r="AU23" i="86"/>
  <c r="AT24" i="86"/>
  <c r="AX24" i="86"/>
  <c r="AW25" i="86"/>
  <c r="AV26" i="86"/>
  <c r="AU27" i="86"/>
  <c r="AT28" i="86"/>
  <c r="AX28" i="86"/>
  <c r="AW29" i="86"/>
  <c r="AV30" i="86"/>
  <c r="AU32" i="86"/>
  <c r="AV9" i="86"/>
  <c r="AT11" i="86"/>
  <c r="AV13" i="86"/>
  <c r="AT15" i="86"/>
  <c r="AW16" i="86"/>
  <c r="AV17" i="86"/>
  <c r="AT19" i="86"/>
  <c r="AX19" i="86"/>
  <c r="AW20" i="86"/>
  <c r="AV21" i="86"/>
  <c r="AU22" i="86"/>
  <c r="AT23" i="86"/>
  <c r="AX23" i="86"/>
  <c r="AW24" i="86"/>
  <c r="AV25" i="86"/>
  <c r="AU26" i="86"/>
  <c r="AT27" i="86"/>
  <c r="AW28" i="86"/>
  <c r="AV29" i="86"/>
  <c r="AU30" i="86"/>
  <c r="AT32" i="86"/>
  <c r="AX32" i="86"/>
  <c r="AX9" i="86"/>
  <c r="AW10" i="86"/>
  <c r="AV11" i="86"/>
  <c r="AU12" i="86"/>
  <c r="AT13" i="86"/>
  <c r="AX13" i="86"/>
  <c r="AW14" i="86"/>
  <c r="AV15" i="86"/>
  <c r="AU16" i="86"/>
  <c r="AT17" i="86"/>
  <c r="AX17" i="86"/>
  <c r="AW18" i="86"/>
  <c r="AV19" i="86"/>
  <c r="AU20" i="86"/>
  <c r="AT21" i="86"/>
  <c r="AX21" i="86"/>
  <c r="AW22" i="86"/>
  <c r="AU24" i="86"/>
  <c r="AT25" i="86"/>
  <c r="AX25" i="86"/>
  <c r="AW26" i="86"/>
  <c r="AV27" i="86"/>
  <c r="AU28" i="86"/>
  <c r="AT29" i="86"/>
  <c r="AX29" i="86"/>
  <c r="AW30" i="86"/>
  <c r="AV32" i="86"/>
  <c r="E77" i="84"/>
  <c r="AS41" i="84" s="1"/>
  <c r="E113" i="84"/>
  <c r="AX41" i="84" s="1"/>
  <c r="D78" i="84"/>
  <c r="AR42" i="84" s="1"/>
  <c r="D114" i="84"/>
  <c r="AW42" i="84" s="1"/>
  <c r="H78" i="84"/>
  <c r="H114" i="84"/>
  <c r="G79" i="84"/>
  <c r="G115" i="84"/>
  <c r="AZ43" i="84" s="1"/>
  <c r="F80" i="84"/>
  <c r="AT44" i="84" s="1"/>
  <c r="F116" i="84"/>
  <c r="AY44" i="84" s="1"/>
  <c r="E81" i="84"/>
  <c r="AS45" i="84" s="1"/>
  <c r="E117" i="84"/>
  <c r="AX45" i="84" s="1"/>
  <c r="D82" i="84"/>
  <c r="AR46" i="84" s="1"/>
  <c r="D118" i="84"/>
  <c r="AW46" i="84" s="1"/>
  <c r="H82" i="84"/>
  <c r="H118" i="84"/>
  <c r="G83" i="84"/>
  <c r="G119" i="84"/>
  <c r="AZ47" i="84" s="1"/>
  <c r="F84" i="84"/>
  <c r="AT48" i="84" s="1"/>
  <c r="F120" i="84"/>
  <c r="AY48" i="84" s="1"/>
  <c r="E85" i="84"/>
  <c r="AS49" i="84" s="1"/>
  <c r="E121" i="84"/>
  <c r="AX49" i="84" s="1"/>
  <c r="D86" i="84"/>
  <c r="AR50" i="84" s="1"/>
  <c r="D122" i="84"/>
  <c r="AW50" i="84" s="1"/>
  <c r="H86" i="84"/>
  <c r="H122" i="84"/>
  <c r="G87" i="84"/>
  <c r="G123" i="84"/>
  <c r="AZ51" i="84" s="1"/>
  <c r="F88" i="84"/>
  <c r="AT52" i="84" s="1"/>
  <c r="F124" i="84"/>
  <c r="AY52" i="84" s="1"/>
  <c r="E89" i="84"/>
  <c r="AS53" i="84" s="1"/>
  <c r="E125" i="84"/>
  <c r="AX53" i="84" s="1"/>
  <c r="D90" i="84"/>
  <c r="AR54" i="84" s="1"/>
  <c r="D126" i="84"/>
  <c r="AW54" i="84" s="1"/>
  <c r="H90" i="84"/>
  <c r="H126" i="84"/>
  <c r="G91" i="84"/>
  <c r="G127" i="84"/>
  <c r="AZ55" i="84" s="1"/>
  <c r="F92" i="84"/>
  <c r="AT56" i="84" s="1"/>
  <c r="F128" i="84"/>
  <c r="AY56" i="84" s="1"/>
  <c r="E93" i="84"/>
  <c r="AS57" i="84" s="1"/>
  <c r="E129" i="84"/>
  <c r="AX57" i="84" s="1"/>
  <c r="D94" i="84"/>
  <c r="AR58" i="84" s="1"/>
  <c r="D130" i="84"/>
  <c r="AW58" i="84" s="1"/>
  <c r="H94" i="84"/>
  <c r="H130" i="84"/>
  <c r="G95" i="84"/>
  <c r="G131" i="84"/>
  <c r="AZ59" i="84" s="1"/>
  <c r="F96" i="84"/>
  <c r="AT60" i="84" s="1"/>
  <c r="F132" i="84"/>
  <c r="AY60" i="84" s="1"/>
  <c r="E97" i="84"/>
  <c r="AS61" i="84" s="1"/>
  <c r="E133" i="84"/>
  <c r="AX61" i="84" s="1"/>
  <c r="D98" i="84"/>
  <c r="AR62" i="84" s="1"/>
  <c r="D134" i="84"/>
  <c r="AW62" i="84" s="1"/>
  <c r="H98" i="84"/>
  <c r="H134" i="84"/>
  <c r="F77" i="84"/>
  <c r="AT41" i="84" s="1"/>
  <c r="F113" i="84"/>
  <c r="AY41" i="84" s="1"/>
  <c r="E78" i="84"/>
  <c r="AS42" i="84" s="1"/>
  <c r="E114" i="84"/>
  <c r="AX42" i="84" s="1"/>
  <c r="D79" i="84"/>
  <c r="AR43" i="84" s="1"/>
  <c r="D115" i="84"/>
  <c r="H79" i="84"/>
  <c r="H115" i="84"/>
  <c r="F75" i="76" s="1"/>
  <c r="G80" i="84"/>
  <c r="AU44" i="84" s="1"/>
  <c r="G116" i="84"/>
  <c r="AZ44" i="84" s="1"/>
  <c r="F81" i="84"/>
  <c r="AT45" i="84" s="1"/>
  <c r="F117" i="84"/>
  <c r="AY45" i="84" s="1"/>
  <c r="E82" i="84"/>
  <c r="AS46" i="84" s="1"/>
  <c r="E118" i="84"/>
  <c r="AX46" i="84" s="1"/>
  <c r="D83" i="84"/>
  <c r="AR47" i="84" s="1"/>
  <c r="D119" i="84"/>
  <c r="AW47" i="84" s="1"/>
  <c r="H83" i="84"/>
  <c r="H119" i="84"/>
  <c r="G84" i="84"/>
  <c r="G120" i="84"/>
  <c r="AZ48" i="84" s="1"/>
  <c r="F85" i="84"/>
  <c r="AT49" i="84" s="1"/>
  <c r="F121" i="84"/>
  <c r="AY49" i="84" s="1"/>
  <c r="E86" i="84"/>
  <c r="AS50" i="84" s="1"/>
  <c r="E122" i="84"/>
  <c r="AX50" i="84" s="1"/>
  <c r="D87" i="84"/>
  <c r="AR51" i="84" s="1"/>
  <c r="D123" i="84"/>
  <c r="AW51" i="84" s="1"/>
  <c r="H87" i="84"/>
  <c r="H123" i="84"/>
  <c r="G88" i="84"/>
  <c r="G124" i="84"/>
  <c r="AZ52" i="84" s="1"/>
  <c r="F89" i="84"/>
  <c r="AT53" i="84" s="1"/>
  <c r="F125" i="84"/>
  <c r="AY53" i="84" s="1"/>
  <c r="E90" i="84"/>
  <c r="AS54" i="84" s="1"/>
  <c r="E126" i="84"/>
  <c r="AX54" i="84" s="1"/>
  <c r="D91" i="84"/>
  <c r="AR55" i="84" s="1"/>
  <c r="D127" i="84"/>
  <c r="AW55" i="84" s="1"/>
  <c r="H91" i="84"/>
  <c r="H127" i="84"/>
  <c r="G92" i="84"/>
  <c r="G128" i="84"/>
  <c r="AZ56" i="84" s="1"/>
  <c r="F93" i="84"/>
  <c r="AT57" i="84" s="1"/>
  <c r="F129" i="84"/>
  <c r="AY57" i="84" s="1"/>
  <c r="E94" i="84"/>
  <c r="AS58" i="84" s="1"/>
  <c r="E130" i="84"/>
  <c r="AX58" i="84" s="1"/>
  <c r="D95" i="84"/>
  <c r="AR59" i="84" s="1"/>
  <c r="D131" i="84"/>
  <c r="AW59" i="84" s="1"/>
  <c r="H95" i="84"/>
  <c r="H131" i="84"/>
  <c r="G96" i="84"/>
  <c r="G132" i="84"/>
  <c r="AZ60" i="84" s="1"/>
  <c r="F97" i="84"/>
  <c r="AT61" i="84" s="1"/>
  <c r="F133" i="84"/>
  <c r="AY61" i="84" s="1"/>
  <c r="E98" i="84"/>
  <c r="AS62" i="84" s="1"/>
  <c r="E134" i="84"/>
  <c r="AX62" i="84" s="1"/>
  <c r="G77" i="84"/>
  <c r="AU41" i="84" s="1"/>
  <c r="G113" i="84"/>
  <c r="AZ41" i="84" s="1"/>
  <c r="F78" i="84"/>
  <c r="AT42" i="84" s="1"/>
  <c r="F114" i="84"/>
  <c r="AY42" i="84" s="1"/>
  <c r="E79" i="84"/>
  <c r="E115" i="84"/>
  <c r="AX43" i="84" s="1"/>
  <c r="D80" i="84"/>
  <c r="AR44" i="84" s="1"/>
  <c r="D116" i="84"/>
  <c r="AW44" i="84" s="1"/>
  <c r="H80" i="84"/>
  <c r="H116" i="84"/>
  <c r="G81" i="84"/>
  <c r="G117" i="84"/>
  <c r="AZ45" i="84" s="1"/>
  <c r="F82" i="84"/>
  <c r="AT46" i="84" s="1"/>
  <c r="F118" i="84"/>
  <c r="AY46" i="84" s="1"/>
  <c r="E83" i="84"/>
  <c r="AS47" i="84" s="1"/>
  <c r="E119" i="84"/>
  <c r="AX47" i="84" s="1"/>
  <c r="D84" i="84"/>
  <c r="AR48" i="84" s="1"/>
  <c r="D120" i="84"/>
  <c r="AW48" i="84" s="1"/>
  <c r="H84" i="84"/>
  <c r="H120" i="84"/>
  <c r="G85" i="84"/>
  <c r="G121" i="84"/>
  <c r="AZ49" i="84" s="1"/>
  <c r="F86" i="84"/>
  <c r="AT50" i="84" s="1"/>
  <c r="F122" i="84"/>
  <c r="AY50" i="84" s="1"/>
  <c r="E87" i="84"/>
  <c r="AS51" i="84" s="1"/>
  <c r="E123" i="84"/>
  <c r="AX51" i="84" s="1"/>
  <c r="D88" i="84"/>
  <c r="AR52" i="84" s="1"/>
  <c r="D124" i="84"/>
  <c r="AW52" i="84" s="1"/>
  <c r="H88" i="84"/>
  <c r="H124" i="84"/>
  <c r="G89" i="84"/>
  <c r="G125" i="84"/>
  <c r="AZ53" i="84" s="1"/>
  <c r="F90" i="84"/>
  <c r="AT54" i="84" s="1"/>
  <c r="F126" i="84"/>
  <c r="AY54" i="84" s="1"/>
  <c r="E91" i="84"/>
  <c r="AS55" i="84" s="1"/>
  <c r="E127" i="84"/>
  <c r="AX55" i="84" s="1"/>
  <c r="D92" i="84"/>
  <c r="AR56" i="84" s="1"/>
  <c r="D128" i="84"/>
  <c r="AW56" i="84" s="1"/>
  <c r="H92" i="84"/>
  <c r="H128" i="84"/>
  <c r="G93" i="84"/>
  <c r="G129" i="84"/>
  <c r="AZ57" i="84" s="1"/>
  <c r="F94" i="84"/>
  <c r="AT58" i="84" s="1"/>
  <c r="F130" i="84"/>
  <c r="AY58" i="84" s="1"/>
  <c r="E95" i="84"/>
  <c r="AS59" i="84" s="1"/>
  <c r="E131" i="84"/>
  <c r="AX59" i="84" s="1"/>
  <c r="D96" i="84"/>
  <c r="AR60" i="84" s="1"/>
  <c r="D132" i="84"/>
  <c r="AW60" i="84" s="1"/>
  <c r="H96" i="84"/>
  <c r="H132" i="84"/>
  <c r="G97" i="84"/>
  <c r="G133" i="84"/>
  <c r="AZ61" i="84" s="1"/>
  <c r="F98" i="84"/>
  <c r="AT62" i="84" s="1"/>
  <c r="F134" i="84"/>
  <c r="AY62" i="84" s="1"/>
  <c r="D77" i="84"/>
  <c r="AR41" i="84" s="1"/>
  <c r="D113" i="84"/>
  <c r="AW41" i="84" s="1"/>
  <c r="H77" i="84"/>
  <c r="H113" i="84"/>
  <c r="G78" i="84"/>
  <c r="AU42" i="84" s="1"/>
  <c r="G114" i="84"/>
  <c r="AZ42" i="84" s="1"/>
  <c r="F79" i="84"/>
  <c r="AT43" i="84" s="1"/>
  <c r="F115" i="84"/>
  <c r="E80" i="84"/>
  <c r="AS44" i="84" s="1"/>
  <c r="E116" i="84"/>
  <c r="AX44" i="84" s="1"/>
  <c r="D81" i="84"/>
  <c r="AR45" i="84" s="1"/>
  <c r="D117" i="84"/>
  <c r="AW45" i="84" s="1"/>
  <c r="H81" i="84"/>
  <c r="H117" i="84"/>
  <c r="G82" i="84"/>
  <c r="G118" i="84"/>
  <c r="AZ46" i="84" s="1"/>
  <c r="F83" i="84"/>
  <c r="AT47" i="84" s="1"/>
  <c r="F119" i="84"/>
  <c r="AY47" i="84" s="1"/>
  <c r="E84" i="84"/>
  <c r="AS48" i="84" s="1"/>
  <c r="E120" i="84"/>
  <c r="AX48" i="84" s="1"/>
  <c r="D85" i="84"/>
  <c r="AR49" i="84" s="1"/>
  <c r="D121" i="84"/>
  <c r="AW49" i="84" s="1"/>
  <c r="H85" i="84"/>
  <c r="H121" i="84"/>
  <c r="G86" i="84"/>
  <c r="G122" i="84"/>
  <c r="AZ50" i="84" s="1"/>
  <c r="F87" i="84"/>
  <c r="AT51" i="84" s="1"/>
  <c r="F123" i="84"/>
  <c r="AY51" i="84" s="1"/>
  <c r="E88" i="84"/>
  <c r="AS52" i="84" s="1"/>
  <c r="E124" i="84"/>
  <c r="AX52" i="84" s="1"/>
  <c r="D89" i="84"/>
  <c r="AR53" i="84" s="1"/>
  <c r="D125" i="84"/>
  <c r="AW53" i="84" s="1"/>
  <c r="H89" i="84"/>
  <c r="H125" i="84"/>
  <c r="G90" i="84"/>
  <c r="G126" i="84"/>
  <c r="AZ54" i="84" s="1"/>
  <c r="E92" i="84"/>
  <c r="AS56" i="84" s="1"/>
  <c r="E128" i="84"/>
  <c r="AX56" i="84" s="1"/>
  <c r="D93" i="84"/>
  <c r="AR57" i="84" s="1"/>
  <c r="D129" i="84"/>
  <c r="AW57" i="84" s="1"/>
  <c r="H93" i="84"/>
  <c r="H129" i="84"/>
  <c r="G94" i="84"/>
  <c r="G130" i="84"/>
  <c r="AZ58" i="84" s="1"/>
  <c r="F95" i="84"/>
  <c r="AT59" i="84" s="1"/>
  <c r="F131" i="84"/>
  <c r="AY59" i="84" s="1"/>
  <c r="E96" i="84"/>
  <c r="AS60" i="84" s="1"/>
  <c r="E132" i="84"/>
  <c r="AX60" i="84" s="1"/>
  <c r="D97" i="84"/>
  <c r="AR61" i="84" s="1"/>
  <c r="D133" i="84"/>
  <c r="AW61" i="84" s="1"/>
  <c r="H97" i="84"/>
  <c r="H133" i="84"/>
  <c r="G98" i="84"/>
  <c r="G134" i="84"/>
  <c r="AZ62" i="84" s="1"/>
  <c r="R26" i="84"/>
  <c r="AQ42" i="84"/>
  <c r="AQ44" i="84"/>
  <c r="AQ46" i="84"/>
  <c r="AQ48" i="84"/>
  <c r="AQ50" i="84"/>
  <c r="AQ52" i="84"/>
  <c r="AQ54" i="84"/>
  <c r="AQ56" i="84"/>
  <c r="AQ58" i="84"/>
  <c r="AQ60" i="84"/>
  <c r="AQ62" i="84"/>
  <c r="X129" i="84"/>
  <c r="AD129" i="84" s="1"/>
  <c r="O10" i="84"/>
  <c r="AD10" i="84"/>
  <c r="N11" i="84"/>
  <c r="AC11" i="84"/>
  <c r="M12" i="84"/>
  <c r="AB12" i="84"/>
  <c r="L13" i="84"/>
  <c r="AL44" i="84" s="1"/>
  <c r="AA13" i="84"/>
  <c r="AE13" i="84"/>
  <c r="P13" i="84"/>
  <c r="O14" i="84"/>
  <c r="AD14" i="84"/>
  <c r="N15" i="84"/>
  <c r="AC15" i="84"/>
  <c r="M16" i="84"/>
  <c r="AB16" i="84"/>
  <c r="L17" i="84"/>
  <c r="AL48" i="84" s="1"/>
  <c r="AA17" i="84"/>
  <c r="AE17" i="84"/>
  <c r="P17" i="84"/>
  <c r="O18" i="84"/>
  <c r="AD18" i="84"/>
  <c r="N19" i="84"/>
  <c r="AC19" i="84"/>
  <c r="M20" i="84"/>
  <c r="AB20" i="84"/>
  <c r="L21" i="84"/>
  <c r="AL52" i="84" s="1"/>
  <c r="AA21" i="84"/>
  <c r="AE21" i="84"/>
  <c r="P21" i="84"/>
  <c r="O22" i="84"/>
  <c r="AD22" i="84"/>
  <c r="N23" i="84"/>
  <c r="AC23" i="84"/>
  <c r="M24" i="84"/>
  <c r="AB24" i="84"/>
  <c r="L25" i="84"/>
  <c r="AL56" i="84" s="1"/>
  <c r="AA25" i="84"/>
  <c r="AE25" i="84"/>
  <c r="P25" i="84"/>
  <c r="O26" i="84"/>
  <c r="AD26" i="84"/>
  <c r="N27" i="84"/>
  <c r="AC27" i="84"/>
  <c r="M28" i="84"/>
  <c r="AB28" i="84"/>
  <c r="L29" i="84"/>
  <c r="AL60" i="84" s="1"/>
  <c r="AA29" i="84"/>
  <c r="AE29" i="84"/>
  <c r="P29" i="84"/>
  <c r="O30" i="84"/>
  <c r="AD30" i="84"/>
  <c r="N31" i="84"/>
  <c r="AC31" i="84"/>
  <c r="N10" i="84"/>
  <c r="AC10" i="84"/>
  <c r="M11" i="84"/>
  <c r="AB11" i="84"/>
  <c r="L12" i="84"/>
  <c r="AL43" i="84" s="1"/>
  <c r="AA12" i="84"/>
  <c r="AE12" i="84"/>
  <c r="P12" i="84"/>
  <c r="O13" i="84"/>
  <c r="AD13" i="84"/>
  <c r="N14" i="84"/>
  <c r="AC14" i="84"/>
  <c r="M15" i="84"/>
  <c r="AB15" i="84"/>
  <c r="L16" i="84"/>
  <c r="AL47" i="84" s="1"/>
  <c r="AA16" i="84"/>
  <c r="AE16" i="84"/>
  <c r="P16" i="84"/>
  <c r="O17" i="84"/>
  <c r="AD17" i="84"/>
  <c r="N18" i="84"/>
  <c r="AC18" i="84"/>
  <c r="M19" i="84"/>
  <c r="AB19" i="84"/>
  <c r="L20" i="84"/>
  <c r="AL51" i="84" s="1"/>
  <c r="AA20" i="84"/>
  <c r="AE20" i="84"/>
  <c r="P20" i="84"/>
  <c r="O21" i="84"/>
  <c r="AD21" i="84"/>
  <c r="N22" i="84"/>
  <c r="AC22" i="84"/>
  <c r="M23" i="84"/>
  <c r="AB23" i="84"/>
  <c r="L24" i="84"/>
  <c r="AL55" i="84" s="1"/>
  <c r="AA24" i="84"/>
  <c r="AE24" i="84"/>
  <c r="P24" i="84"/>
  <c r="O25" i="84"/>
  <c r="AD25" i="84"/>
  <c r="N26" i="84"/>
  <c r="AC26" i="84"/>
  <c r="M27" i="84"/>
  <c r="AB27" i="84"/>
  <c r="L28" i="84"/>
  <c r="AL59" i="84" s="1"/>
  <c r="AA28" i="84"/>
  <c r="AE28" i="84"/>
  <c r="P28" i="84"/>
  <c r="O29" i="84"/>
  <c r="AD29" i="84"/>
  <c r="N30" i="84"/>
  <c r="AC30" i="84"/>
  <c r="M31" i="84"/>
  <c r="AB31" i="84"/>
  <c r="R32" i="84"/>
  <c r="AQ65" i="84"/>
  <c r="L10" i="84"/>
  <c r="AL41" i="84" s="1"/>
  <c r="AE10" i="84"/>
  <c r="P10" i="84"/>
  <c r="O11" i="84"/>
  <c r="AD11" i="84"/>
  <c r="N12" i="84"/>
  <c r="AC12" i="84"/>
  <c r="M13" i="84"/>
  <c r="AB13" i="84"/>
  <c r="L14" i="84"/>
  <c r="AL45" i="84" s="1"/>
  <c r="AA14" i="84"/>
  <c r="AE14" i="84"/>
  <c r="P14" i="84"/>
  <c r="O15" i="84"/>
  <c r="AD15" i="84"/>
  <c r="N16" i="84"/>
  <c r="AN47" i="84" s="1"/>
  <c r="AC16" i="84"/>
  <c r="M17" i="84"/>
  <c r="AB17" i="84"/>
  <c r="L18" i="84"/>
  <c r="AL49" i="84" s="1"/>
  <c r="AA18" i="84"/>
  <c r="AE18" i="84"/>
  <c r="P18" i="84"/>
  <c r="O19" i="84"/>
  <c r="AD19" i="84"/>
  <c r="N20" i="84"/>
  <c r="AC20" i="84"/>
  <c r="M21" i="84"/>
  <c r="AB21" i="84"/>
  <c r="L22" i="84"/>
  <c r="AL53" i="84" s="1"/>
  <c r="AA22" i="84"/>
  <c r="AE22" i="84"/>
  <c r="P22" i="84"/>
  <c r="O23" i="84"/>
  <c r="AD23" i="84"/>
  <c r="M25" i="84"/>
  <c r="AB25" i="84"/>
  <c r="L26" i="84"/>
  <c r="AL57" i="84" s="1"/>
  <c r="AA26" i="84"/>
  <c r="AE26" i="84"/>
  <c r="P26" i="84"/>
  <c r="T73" i="76" s="1"/>
  <c r="O27" i="84"/>
  <c r="AD27" i="84"/>
  <c r="N28" i="84"/>
  <c r="AC28" i="84"/>
  <c r="M29" i="84"/>
  <c r="AB29" i="84"/>
  <c r="L30" i="84"/>
  <c r="AL61" i="84" s="1"/>
  <c r="AA30" i="84"/>
  <c r="AE30" i="84"/>
  <c r="P30" i="84"/>
  <c r="O31" i="84"/>
  <c r="AD31" i="84"/>
  <c r="AQ41" i="84"/>
  <c r="AQ43" i="84"/>
  <c r="AQ45" i="84"/>
  <c r="AQ47" i="84"/>
  <c r="AQ49" i="84"/>
  <c r="AQ51" i="84"/>
  <c r="AQ53" i="84"/>
  <c r="AQ55" i="84"/>
  <c r="AQ57" i="84"/>
  <c r="AQ59" i="84"/>
  <c r="AQ61" i="84"/>
  <c r="M10" i="84"/>
  <c r="AB10" i="84"/>
  <c r="L11" i="84"/>
  <c r="AL42" i="84" s="1"/>
  <c r="AA11" i="84"/>
  <c r="AE11" i="84"/>
  <c r="P11" i="84"/>
  <c r="O12" i="84"/>
  <c r="AD12" i="84"/>
  <c r="N13" i="84"/>
  <c r="AN44" i="84" s="1"/>
  <c r="AC13" i="84"/>
  <c r="M14" i="84"/>
  <c r="AB14" i="84"/>
  <c r="L15" i="84"/>
  <c r="AL46" i="84" s="1"/>
  <c r="AA15" i="84"/>
  <c r="AE15" i="84"/>
  <c r="P15" i="84"/>
  <c r="O16" i="84"/>
  <c r="AD16" i="84"/>
  <c r="N17" i="84"/>
  <c r="AC17" i="84"/>
  <c r="M18" i="84"/>
  <c r="AB18" i="84"/>
  <c r="L19" i="84"/>
  <c r="AL50" i="84" s="1"/>
  <c r="AA19" i="84"/>
  <c r="AE19" i="84"/>
  <c r="P19" i="84"/>
  <c r="O20" i="84"/>
  <c r="AD20" i="84"/>
  <c r="N21" i="84"/>
  <c r="AC21" i="84"/>
  <c r="M22" i="84"/>
  <c r="AB22" i="84"/>
  <c r="L23" i="84"/>
  <c r="AL54" i="84" s="1"/>
  <c r="AA23" i="84"/>
  <c r="AE23" i="84"/>
  <c r="P23" i="84"/>
  <c r="Q73" i="76" s="1"/>
  <c r="O24" i="84"/>
  <c r="AD24" i="84"/>
  <c r="N25" i="84"/>
  <c r="AC25" i="84"/>
  <c r="M26" i="84"/>
  <c r="AB26" i="84"/>
  <c r="L27" i="84"/>
  <c r="AL58" i="84" s="1"/>
  <c r="AA27" i="84"/>
  <c r="AE27" i="84"/>
  <c r="P27" i="84"/>
  <c r="U73" i="76" s="1"/>
  <c r="O28" i="84"/>
  <c r="AD28" i="84"/>
  <c r="N29" i="84"/>
  <c r="AC29" i="84"/>
  <c r="M30" i="84"/>
  <c r="AB30" i="84"/>
  <c r="AA31" i="84"/>
  <c r="AE31" i="84"/>
  <c r="P31" i="84"/>
  <c r="H264" i="83"/>
  <c r="AF14" i="83"/>
  <c r="H272" i="83"/>
  <c r="AF22" i="83"/>
  <c r="H280" i="83"/>
  <c r="AF30" i="83"/>
  <c r="H262" i="83"/>
  <c r="AF12" i="83"/>
  <c r="H266" i="83"/>
  <c r="AF16" i="83"/>
  <c r="H270" i="83"/>
  <c r="AF20" i="83"/>
  <c r="H274" i="83"/>
  <c r="AF24" i="83"/>
  <c r="H278" i="83"/>
  <c r="AF28" i="83"/>
  <c r="H283" i="83"/>
  <c r="AF33" i="83"/>
  <c r="H263" i="83"/>
  <c r="AF13" i="83"/>
  <c r="H267" i="83"/>
  <c r="AF17" i="83"/>
  <c r="H271" i="83"/>
  <c r="AF21" i="83"/>
  <c r="H275" i="83"/>
  <c r="AF25" i="83"/>
  <c r="H279" i="83"/>
  <c r="AF29" i="83"/>
  <c r="H260" i="83"/>
  <c r="AF10" i="83"/>
  <c r="H268" i="83"/>
  <c r="AF18" i="83"/>
  <c r="H276" i="83"/>
  <c r="AF26" i="83"/>
  <c r="H261" i="83"/>
  <c r="AF11" i="83"/>
  <c r="H265" i="83"/>
  <c r="AF15" i="83"/>
  <c r="H269" i="83"/>
  <c r="AF19" i="83"/>
  <c r="H273" i="83"/>
  <c r="AF23" i="83"/>
  <c r="H277" i="83"/>
  <c r="AF27" i="83"/>
  <c r="H281" i="83"/>
  <c r="AF31" i="83"/>
  <c r="G261" i="83"/>
  <c r="AE11" i="83"/>
  <c r="G263" i="83"/>
  <c r="AE13" i="83"/>
  <c r="G267" i="83"/>
  <c r="AE17" i="83"/>
  <c r="G271" i="83"/>
  <c r="AE21" i="83"/>
  <c r="G275" i="83"/>
  <c r="AE25" i="83"/>
  <c r="G279" i="83"/>
  <c r="AE29" i="83"/>
  <c r="G260" i="83"/>
  <c r="AE10" i="83"/>
  <c r="G264" i="83"/>
  <c r="AE14" i="83"/>
  <c r="G268" i="83"/>
  <c r="AE18" i="83"/>
  <c r="G272" i="83"/>
  <c r="AE22" i="83"/>
  <c r="G276" i="83"/>
  <c r="AE26" i="83"/>
  <c r="G280" i="83"/>
  <c r="AE30" i="83"/>
  <c r="G265" i="83"/>
  <c r="AE15" i="83"/>
  <c r="G269" i="83"/>
  <c r="AE19" i="83"/>
  <c r="G273" i="83"/>
  <c r="AE23" i="83"/>
  <c r="G277" i="83"/>
  <c r="AE27" i="83"/>
  <c r="G281" i="83"/>
  <c r="AE31" i="83"/>
  <c r="G262" i="83"/>
  <c r="AE12" i="83"/>
  <c r="G266" i="83"/>
  <c r="AE16" i="83"/>
  <c r="G270" i="83"/>
  <c r="AE20" i="83"/>
  <c r="G274" i="83"/>
  <c r="AE24" i="83"/>
  <c r="G278" i="83"/>
  <c r="AE28" i="83"/>
  <c r="G283" i="83"/>
  <c r="AE33" i="83"/>
  <c r="F264" i="83"/>
  <c r="AD14" i="83"/>
  <c r="F268" i="83"/>
  <c r="AD18" i="83"/>
  <c r="F276" i="83"/>
  <c r="AD26" i="83"/>
  <c r="F280" i="83"/>
  <c r="AD30" i="83"/>
  <c r="F261" i="83"/>
  <c r="AD11" i="83"/>
  <c r="F265" i="83"/>
  <c r="AD15" i="83"/>
  <c r="F269" i="83"/>
  <c r="AD19" i="83"/>
  <c r="F273" i="83"/>
  <c r="AD23" i="83"/>
  <c r="F277" i="83"/>
  <c r="AD27" i="83"/>
  <c r="F281" i="83"/>
  <c r="AD31" i="83"/>
  <c r="F260" i="83"/>
  <c r="AD10" i="83"/>
  <c r="F272" i="83"/>
  <c r="AD22" i="83"/>
  <c r="F262" i="83"/>
  <c r="AD12" i="83"/>
  <c r="F266" i="83"/>
  <c r="AD16" i="83"/>
  <c r="F270" i="83"/>
  <c r="AD20" i="83"/>
  <c r="F278" i="83"/>
  <c r="AD28" i="83"/>
  <c r="F283" i="83"/>
  <c r="AD33" i="83"/>
  <c r="F263" i="83"/>
  <c r="AD13" i="83"/>
  <c r="F267" i="83"/>
  <c r="AD17" i="83"/>
  <c r="F271" i="83"/>
  <c r="AD21" i="83"/>
  <c r="F275" i="83"/>
  <c r="AD25" i="83"/>
  <c r="F279" i="83"/>
  <c r="AD29" i="83"/>
  <c r="E265" i="83"/>
  <c r="AC15" i="83"/>
  <c r="E269" i="83"/>
  <c r="AC19" i="83"/>
  <c r="E273" i="83"/>
  <c r="AC23" i="83"/>
  <c r="E277" i="83"/>
  <c r="AC27" i="83"/>
  <c r="E281" i="83"/>
  <c r="AC31" i="83"/>
  <c r="E262" i="83"/>
  <c r="AC12" i="83"/>
  <c r="E266" i="83"/>
  <c r="AC16" i="83"/>
  <c r="E270" i="83"/>
  <c r="AC20" i="83"/>
  <c r="E274" i="83"/>
  <c r="AC24" i="83"/>
  <c r="E278" i="83"/>
  <c r="AC28" i="83"/>
  <c r="E283" i="83"/>
  <c r="AC33" i="83"/>
  <c r="E261" i="83"/>
  <c r="AC11" i="83"/>
  <c r="E263" i="83"/>
  <c r="AC13" i="83"/>
  <c r="E267" i="83"/>
  <c r="AC17" i="83"/>
  <c r="E271" i="83"/>
  <c r="AC21" i="83"/>
  <c r="E275" i="83"/>
  <c r="AC25" i="83"/>
  <c r="E279" i="83"/>
  <c r="AC29" i="83"/>
  <c r="E260" i="83"/>
  <c r="AC10" i="83"/>
  <c r="E264" i="83"/>
  <c r="AC14" i="83"/>
  <c r="E268" i="83"/>
  <c r="AC18" i="83"/>
  <c r="E272" i="83"/>
  <c r="AC22" i="83"/>
  <c r="E276" i="83"/>
  <c r="AC26" i="83"/>
  <c r="E280" i="83"/>
  <c r="AC30" i="83"/>
  <c r="D266" i="83"/>
  <c r="AB16" i="83"/>
  <c r="D278" i="83"/>
  <c r="AB28" i="83"/>
  <c r="D283" i="83"/>
  <c r="K283" i="83" s="1"/>
  <c r="AM314" i="83" s="1"/>
  <c r="AB33" i="83"/>
  <c r="D263" i="83"/>
  <c r="AB13" i="83"/>
  <c r="D267" i="83"/>
  <c r="AB17" i="83"/>
  <c r="D271" i="83"/>
  <c r="AB21" i="83"/>
  <c r="D275" i="83"/>
  <c r="AB25" i="83"/>
  <c r="D279" i="83"/>
  <c r="AB279" i="83" s="1"/>
  <c r="AB29" i="83"/>
  <c r="D262" i="83"/>
  <c r="AB12" i="83"/>
  <c r="D270" i="83"/>
  <c r="AB270" i="83" s="1"/>
  <c r="AB20" i="83"/>
  <c r="D274" i="83"/>
  <c r="AB274" i="83" s="1"/>
  <c r="AB24" i="83"/>
  <c r="D264" i="83"/>
  <c r="AB264" i="83" s="1"/>
  <c r="AB14" i="83"/>
  <c r="D268" i="83"/>
  <c r="AB268" i="83" s="1"/>
  <c r="AB18" i="83"/>
  <c r="D272" i="83"/>
  <c r="AB22" i="83"/>
  <c r="D276" i="83"/>
  <c r="AB26" i="83"/>
  <c r="D280" i="83"/>
  <c r="AB280" i="83" s="1"/>
  <c r="AB30" i="83"/>
  <c r="D261" i="83"/>
  <c r="AB261" i="83" s="1"/>
  <c r="AB11" i="83"/>
  <c r="D265" i="83"/>
  <c r="AB265" i="83" s="1"/>
  <c r="AB15" i="83"/>
  <c r="D269" i="83"/>
  <c r="AB269" i="83" s="1"/>
  <c r="AB19" i="83"/>
  <c r="D273" i="83"/>
  <c r="AB23" i="83"/>
  <c r="D277" i="83"/>
  <c r="AB277" i="83" s="1"/>
  <c r="AB27" i="83"/>
  <c r="D281" i="83"/>
  <c r="AB31" i="83"/>
  <c r="AM12" i="84"/>
  <c r="AK14" i="84"/>
  <c r="AM16" i="84"/>
  <c r="AK18" i="84"/>
  <c r="AM20" i="84"/>
  <c r="AK22" i="84"/>
  <c r="AN23" i="84"/>
  <c r="AL25" i="84"/>
  <c r="AM28" i="84"/>
  <c r="AK30" i="84"/>
  <c r="AN31" i="84"/>
  <c r="AN10" i="84"/>
  <c r="AM11" i="84"/>
  <c r="AL12" i="84"/>
  <c r="AK13" i="84"/>
  <c r="AN14" i="84"/>
  <c r="AM15" i="84"/>
  <c r="AL16" i="84"/>
  <c r="AK17" i="84"/>
  <c r="AN18" i="84"/>
  <c r="AM19" i="84"/>
  <c r="AL20" i="84"/>
  <c r="AK21" i="84"/>
  <c r="AN22" i="84"/>
  <c r="AM23" i="84"/>
  <c r="AK25" i="84"/>
  <c r="AN26" i="84"/>
  <c r="AM27" i="84"/>
  <c r="AL28" i="84"/>
  <c r="AK29" i="84"/>
  <c r="AN30" i="84"/>
  <c r="AM31" i="84"/>
  <c r="AL10" i="84"/>
  <c r="AK11" i="84"/>
  <c r="AN12" i="84"/>
  <c r="AM13" i="84"/>
  <c r="AL14" i="84"/>
  <c r="AK15" i="84"/>
  <c r="AN16" i="84"/>
  <c r="AM17" i="84"/>
  <c r="AL18" i="84"/>
  <c r="AK19" i="84"/>
  <c r="AN20" i="84"/>
  <c r="AM21" i="84"/>
  <c r="AL22" i="84"/>
  <c r="AK23" i="84"/>
  <c r="AN24" i="84"/>
  <c r="AM25" i="84"/>
  <c r="AL26" i="84"/>
  <c r="AK27" i="84"/>
  <c r="AN28" i="84"/>
  <c r="AM29" i="84"/>
  <c r="AL30" i="84"/>
  <c r="AK31" i="84"/>
  <c r="AK10" i="84"/>
  <c r="AN11" i="84"/>
  <c r="AL13" i="84"/>
  <c r="AN15" i="84"/>
  <c r="AL17" i="84"/>
  <c r="AN19" i="84"/>
  <c r="AL21" i="84"/>
  <c r="AK26" i="84"/>
  <c r="AN27" i="84"/>
  <c r="AL29" i="84"/>
  <c r="D77" i="83"/>
  <c r="AM10" i="84"/>
  <c r="AL11" i="84"/>
  <c r="AK12" i="84"/>
  <c r="AN13" i="84"/>
  <c r="AM14" i="84"/>
  <c r="AL15" i="84"/>
  <c r="AK16" i="84"/>
  <c r="AN17" i="84"/>
  <c r="AM18" i="84"/>
  <c r="AL19" i="84"/>
  <c r="AK20" i="84"/>
  <c r="AN21" i="84"/>
  <c r="AM22" i="84"/>
  <c r="AL23" i="84"/>
  <c r="AK24" i="84"/>
  <c r="AN25" i="84"/>
  <c r="AM26" i="84"/>
  <c r="AL27" i="84"/>
  <c r="AK28" i="84"/>
  <c r="AN29" i="84"/>
  <c r="AM30" i="84"/>
  <c r="AL31" i="84"/>
  <c r="AI124" i="83"/>
  <c r="AI132" i="83"/>
  <c r="AI134" i="83"/>
  <c r="AI135" i="83"/>
  <c r="AI129" i="83"/>
  <c r="Y82" i="83"/>
  <c r="Y86" i="83"/>
  <c r="Y91" i="83"/>
  <c r="Y85" i="83"/>
  <c r="Y89" i="83"/>
  <c r="Y93" i="83"/>
  <c r="Y97" i="83"/>
  <c r="Q140" i="83"/>
  <c r="Q33" i="83"/>
  <c r="Q23" i="83"/>
  <c r="Q27" i="83"/>
  <c r="Q32" i="83"/>
  <c r="Q26" i="83"/>
  <c r="Y99" i="83"/>
  <c r="AI122" i="83"/>
  <c r="AI128" i="83"/>
  <c r="AI118" i="83"/>
  <c r="AI131" i="83"/>
  <c r="AI133" i="83"/>
  <c r="AI125" i="83"/>
  <c r="AI127" i="83"/>
  <c r="AI123" i="83"/>
  <c r="AI130" i="83"/>
  <c r="AI121" i="83"/>
  <c r="AI119" i="83"/>
  <c r="AI126" i="83"/>
  <c r="AI120" i="83"/>
  <c r="Y80" i="83"/>
  <c r="Y84" i="83"/>
  <c r="Y92" i="83"/>
  <c r="Y100" i="83"/>
  <c r="AR148" i="83"/>
  <c r="AO148" i="83"/>
  <c r="AM148" i="83"/>
  <c r="AN148" i="83"/>
  <c r="AP148" i="83"/>
  <c r="AQ148" i="83"/>
  <c r="AR152" i="83"/>
  <c r="AN152" i="83"/>
  <c r="AQ152" i="83"/>
  <c r="AP152" i="83"/>
  <c r="AM152" i="83"/>
  <c r="AO152" i="83"/>
  <c r="AR156" i="83"/>
  <c r="AQ156" i="83"/>
  <c r="AO156" i="83"/>
  <c r="AN156" i="83"/>
  <c r="AP156" i="83"/>
  <c r="AM156" i="83"/>
  <c r="AM160" i="83"/>
  <c r="AQ160" i="83"/>
  <c r="AR160" i="83"/>
  <c r="AO160" i="83"/>
  <c r="AP160" i="83"/>
  <c r="AN160" i="83"/>
  <c r="AR166" i="83"/>
  <c r="AO166" i="83"/>
  <c r="AQ166" i="83"/>
  <c r="AM166" i="83"/>
  <c r="AP166" i="83"/>
  <c r="AN166" i="83"/>
  <c r="AR65" i="83"/>
  <c r="AP172" i="83"/>
  <c r="AR172" i="83"/>
  <c r="AN172" i="83"/>
  <c r="AM172" i="83"/>
  <c r="AO172" i="83"/>
  <c r="AQ172" i="83"/>
  <c r="AR150" i="83"/>
  <c r="AO150" i="83"/>
  <c r="AM150" i="83"/>
  <c r="AN150" i="83"/>
  <c r="AQ150" i="83"/>
  <c r="AP150" i="83"/>
  <c r="AR154" i="83"/>
  <c r="AO154" i="83"/>
  <c r="AQ154" i="83"/>
  <c r="AN154" i="83"/>
  <c r="AM154" i="83"/>
  <c r="AP154" i="83"/>
  <c r="AR158" i="83"/>
  <c r="AO158" i="83"/>
  <c r="AN158" i="83"/>
  <c r="AQ158" i="83"/>
  <c r="AP158" i="83"/>
  <c r="AM158" i="83"/>
  <c r="AR162" i="83"/>
  <c r="AM162" i="83"/>
  <c r="AP162" i="83"/>
  <c r="AQ162" i="83"/>
  <c r="AN162" i="83"/>
  <c r="AR164" i="83"/>
  <c r="AM164" i="83"/>
  <c r="AO164" i="83"/>
  <c r="AN164" i="83"/>
  <c r="AQ164" i="83"/>
  <c r="AP164" i="83"/>
  <c r="AR168" i="83"/>
  <c r="AM168" i="83"/>
  <c r="AO168" i="83"/>
  <c r="AQ168" i="83"/>
  <c r="AN168" i="83"/>
  <c r="AP168" i="83"/>
  <c r="AR149" i="83"/>
  <c r="AQ149" i="83"/>
  <c r="AN149" i="83"/>
  <c r="AP149" i="83"/>
  <c r="AO149" i="83"/>
  <c r="AM149" i="83"/>
  <c r="AR151" i="83"/>
  <c r="AN151" i="83"/>
  <c r="AQ151" i="83"/>
  <c r="AO151" i="83"/>
  <c r="AM151" i="83"/>
  <c r="AP151" i="83"/>
  <c r="AR153" i="83"/>
  <c r="AP153" i="83"/>
  <c r="AN153" i="83"/>
  <c r="AM153" i="83"/>
  <c r="AO153" i="83"/>
  <c r="AQ153" i="83"/>
  <c r="AR155" i="83"/>
  <c r="AN155" i="83"/>
  <c r="AO155" i="83"/>
  <c r="AQ155" i="83"/>
  <c r="AP155" i="83"/>
  <c r="AM155" i="83"/>
  <c r="AR157" i="83"/>
  <c r="AP157" i="83"/>
  <c r="AQ157" i="83"/>
  <c r="AM157" i="83"/>
  <c r="AO157" i="83"/>
  <c r="AN157" i="83"/>
  <c r="AR159" i="83"/>
  <c r="AN159" i="83"/>
  <c r="AP159" i="83"/>
  <c r="AO159" i="83"/>
  <c r="AQ159" i="83"/>
  <c r="AM159" i="83"/>
  <c r="AR161" i="83"/>
  <c r="AM161" i="83"/>
  <c r="AQ161" i="83"/>
  <c r="AO161" i="83"/>
  <c r="AN161" i="83"/>
  <c r="AP161" i="83"/>
  <c r="AR163" i="83"/>
  <c r="AN163" i="83"/>
  <c r="AO163" i="83"/>
  <c r="AQ163" i="83"/>
  <c r="AM163" i="83"/>
  <c r="AP163" i="83"/>
  <c r="AR165" i="83"/>
  <c r="AP165" i="83"/>
  <c r="AN165" i="83"/>
  <c r="AQ165" i="83"/>
  <c r="AO165" i="83"/>
  <c r="AM165" i="83"/>
  <c r="AR167" i="83"/>
  <c r="AN167" i="83"/>
  <c r="AQ167" i="83"/>
  <c r="AO167" i="83"/>
  <c r="AM167" i="83"/>
  <c r="AP167" i="83"/>
  <c r="AR169" i="83"/>
  <c r="AN169" i="83"/>
  <c r="AO169" i="83"/>
  <c r="AP169" i="83"/>
  <c r="AM169" i="83"/>
  <c r="AQ169" i="83"/>
  <c r="AN171" i="83"/>
  <c r="AP171" i="83"/>
  <c r="AM171" i="83"/>
  <c r="AQ171" i="83"/>
  <c r="AO171" i="83"/>
  <c r="F77" i="83"/>
  <c r="AZ41" i="83" s="1"/>
  <c r="E78" i="83"/>
  <c r="K12" i="83"/>
  <c r="AM43" i="83" s="1"/>
  <c r="D79" i="83"/>
  <c r="H79" i="83"/>
  <c r="F62" i="76" s="1"/>
  <c r="G80" i="83"/>
  <c r="F81" i="83"/>
  <c r="E82" i="83"/>
  <c r="K16" i="83"/>
  <c r="D83" i="83"/>
  <c r="AX47" i="83" s="1"/>
  <c r="H83" i="83"/>
  <c r="J62" i="76" s="1"/>
  <c r="G84" i="83"/>
  <c r="BA48" i="83" s="1"/>
  <c r="F85" i="83"/>
  <c r="E86" i="83"/>
  <c r="K20" i="83"/>
  <c r="AM51" i="83" s="1"/>
  <c r="D87" i="83"/>
  <c r="AX51" i="83" s="1"/>
  <c r="H87" i="83"/>
  <c r="N62" i="76" s="1"/>
  <c r="G88" i="83"/>
  <c r="BA52" i="83" s="1"/>
  <c r="F89" i="83"/>
  <c r="E90" i="83"/>
  <c r="K24" i="83"/>
  <c r="AM55" i="83" s="1"/>
  <c r="D91" i="83"/>
  <c r="H91" i="83"/>
  <c r="R62" i="76" s="1"/>
  <c r="G92" i="83"/>
  <c r="BA56" i="83" s="1"/>
  <c r="F93" i="83"/>
  <c r="E94" i="83"/>
  <c r="AY58" i="83" s="1"/>
  <c r="K28" i="83"/>
  <c r="AM59" i="83" s="1"/>
  <c r="D95" i="83"/>
  <c r="H95" i="83"/>
  <c r="V62" i="76" s="1"/>
  <c r="G96" i="83"/>
  <c r="F97" i="83"/>
  <c r="E98" i="83"/>
  <c r="K33" i="83"/>
  <c r="AM64" i="83" s="1"/>
  <c r="AS64" i="83"/>
  <c r="D100" i="83"/>
  <c r="H100" i="83"/>
  <c r="AA62" i="76" s="1"/>
  <c r="G77" i="83"/>
  <c r="AM11" i="83"/>
  <c r="F78" i="83"/>
  <c r="AL12" i="83"/>
  <c r="E79" i="83"/>
  <c r="D80" i="83"/>
  <c r="AX44" i="83" s="1"/>
  <c r="H80" i="83"/>
  <c r="G62" i="76" s="1"/>
  <c r="AN14" i="83"/>
  <c r="G81" i="83"/>
  <c r="BA45" i="83" s="1"/>
  <c r="AM15" i="83"/>
  <c r="F82" i="83"/>
  <c r="AZ46" i="83" s="1"/>
  <c r="E83" i="83"/>
  <c r="D84" i="83"/>
  <c r="AX48" i="83" s="1"/>
  <c r="H84" i="83"/>
  <c r="K62" i="76" s="1"/>
  <c r="AN18" i="83"/>
  <c r="G85" i="83"/>
  <c r="AM19" i="83"/>
  <c r="F86" i="83"/>
  <c r="AZ50" i="83" s="1"/>
  <c r="AL20" i="83"/>
  <c r="E87" i="83"/>
  <c r="D88" i="83"/>
  <c r="H88" i="83"/>
  <c r="O62" i="76" s="1"/>
  <c r="AN22" i="83"/>
  <c r="G89" i="83"/>
  <c r="AM23" i="83"/>
  <c r="F90" i="83"/>
  <c r="AZ54" i="83" s="1"/>
  <c r="E91" i="83"/>
  <c r="D92" i="83"/>
  <c r="AX56" i="83" s="1"/>
  <c r="H92" i="83"/>
  <c r="S62" i="76" s="1"/>
  <c r="AN26" i="83"/>
  <c r="G93" i="83"/>
  <c r="AM27" i="83"/>
  <c r="F94" i="83"/>
  <c r="E95" i="83"/>
  <c r="AY59" i="83" s="1"/>
  <c r="D96" i="83"/>
  <c r="H96" i="83"/>
  <c r="W62" i="76" s="1"/>
  <c r="G97" i="83"/>
  <c r="F98" i="83"/>
  <c r="AU62" i="83"/>
  <c r="AL33" i="83"/>
  <c r="E100" i="83"/>
  <c r="H77" i="83"/>
  <c r="D62" i="76" s="1"/>
  <c r="G78" i="83"/>
  <c r="BA42" i="83" s="1"/>
  <c r="F79" i="83"/>
  <c r="E80" i="83"/>
  <c r="AY44" i="83" s="1"/>
  <c r="K14" i="83"/>
  <c r="AM45" i="83" s="1"/>
  <c r="D81" i="83"/>
  <c r="AX45" i="83" s="1"/>
  <c r="H81" i="83"/>
  <c r="H62" i="76" s="1"/>
  <c r="G82" i="83"/>
  <c r="F83" i="83"/>
  <c r="E84" i="83"/>
  <c r="K18" i="83"/>
  <c r="D85" i="83"/>
  <c r="H85" i="83"/>
  <c r="L62" i="76" s="1"/>
  <c r="G86" i="83"/>
  <c r="F87" i="83"/>
  <c r="E88" i="83"/>
  <c r="AY52" i="83" s="1"/>
  <c r="K22" i="83"/>
  <c r="AM53" i="83" s="1"/>
  <c r="D89" i="83"/>
  <c r="H89" i="83"/>
  <c r="P62" i="76" s="1"/>
  <c r="G90" i="83"/>
  <c r="BA54" i="83" s="1"/>
  <c r="E92" i="83"/>
  <c r="K26" i="83"/>
  <c r="AM57" i="83" s="1"/>
  <c r="D93" i="83"/>
  <c r="H93" i="83"/>
  <c r="T62" i="76" s="1"/>
  <c r="G94" i="83"/>
  <c r="F95" i="83"/>
  <c r="AZ59" i="83" s="1"/>
  <c r="E96" i="83"/>
  <c r="AY60" i="83" s="1"/>
  <c r="D97" i="83"/>
  <c r="H97" i="83"/>
  <c r="X62" i="76" s="1"/>
  <c r="G98" i="83"/>
  <c r="F100" i="83"/>
  <c r="E77" i="83"/>
  <c r="AY41" i="83" s="1"/>
  <c r="D78" i="83"/>
  <c r="H78" i="83"/>
  <c r="E62" i="76" s="1"/>
  <c r="AN12" i="83"/>
  <c r="G79" i="83"/>
  <c r="F80" i="83"/>
  <c r="AZ44" i="83" s="1"/>
  <c r="AL14" i="83"/>
  <c r="E81" i="83"/>
  <c r="AY45" i="83" s="1"/>
  <c r="D82" i="83"/>
  <c r="AX46" i="83" s="1"/>
  <c r="H82" i="83"/>
  <c r="I62" i="76" s="1"/>
  <c r="AN16" i="83"/>
  <c r="G83" i="83"/>
  <c r="F84" i="83"/>
  <c r="AZ48" i="83" s="1"/>
  <c r="AL18" i="83"/>
  <c r="E85" i="83"/>
  <c r="D86" i="83"/>
  <c r="H86" i="83"/>
  <c r="M62" i="76" s="1"/>
  <c r="AN20" i="83"/>
  <c r="G87" i="83"/>
  <c r="F88" i="83"/>
  <c r="AL22" i="83"/>
  <c r="E89" i="83"/>
  <c r="D90" i="83"/>
  <c r="H90" i="83"/>
  <c r="Q62" i="76" s="1"/>
  <c r="G91" i="83"/>
  <c r="F92" i="83"/>
  <c r="AZ56" i="83" s="1"/>
  <c r="AL26" i="83"/>
  <c r="E93" i="83"/>
  <c r="D94" i="83"/>
  <c r="H94" i="83"/>
  <c r="U62" i="76" s="1"/>
  <c r="AN28" i="83"/>
  <c r="G95" i="83"/>
  <c r="F96" i="83"/>
  <c r="AL30" i="83"/>
  <c r="E97" i="83"/>
  <c r="D98" i="83"/>
  <c r="AX62" i="83" s="1"/>
  <c r="H98" i="83"/>
  <c r="Y62" i="76" s="1"/>
  <c r="G100" i="83"/>
  <c r="BA64" i="83" s="1"/>
  <c r="AO21" i="83"/>
  <c r="AO29" i="83"/>
  <c r="AM31" i="83"/>
  <c r="AR41" i="83"/>
  <c r="K10" i="83"/>
  <c r="AM41" i="83" s="1"/>
  <c r="AO10" i="83"/>
  <c r="N11" i="83"/>
  <c r="AT11" i="83" s="1"/>
  <c r="AN11" i="83"/>
  <c r="M12" i="83"/>
  <c r="AS12" i="83" s="1"/>
  <c r="AM12" i="83"/>
  <c r="L13" i="83"/>
  <c r="AR13" i="83" s="1"/>
  <c r="AL13" i="83"/>
  <c r="AO14" i="83"/>
  <c r="N15" i="83"/>
  <c r="AT15" i="83" s="1"/>
  <c r="AN15" i="83"/>
  <c r="AM16" i="83"/>
  <c r="L17" i="83"/>
  <c r="AR17" i="83" s="1"/>
  <c r="AL17" i="83"/>
  <c r="AO18" i="83"/>
  <c r="N19" i="83"/>
  <c r="AT19" i="83" s="1"/>
  <c r="AN19" i="83"/>
  <c r="M20" i="83"/>
  <c r="AS20" i="83" s="1"/>
  <c r="AM20" i="83"/>
  <c r="L21" i="83"/>
  <c r="AR21" i="83" s="1"/>
  <c r="AL21" i="83"/>
  <c r="AO22" i="83"/>
  <c r="N23" i="83"/>
  <c r="AT23" i="83" s="1"/>
  <c r="AN23" i="83"/>
  <c r="L25" i="83"/>
  <c r="AR25" i="83" s="1"/>
  <c r="AL25" i="83"/>
  <c r="AO26" i="83"/>
  <c r="N27" i="83"/>
  <c r="AT27" i="83" s="1"/>
  <c r="AN27" i="83"/>
  <c r="M28" i="83"/>
  <c r="AS28" i="83" s="1"/>
  <c r="AM28" i="83"/>
  <c r="L29" i="83"/>
  <c r="AN60" i="83" s="1"/>
  <c r="AL29" i="83"/>
  <c r="AO30" i="83"/>
  <c r="N31" i="83"/>
  <c r="AT31" i="83" s="1"/>
  <c r="AN31" i="83"/>
  <c r="AM33" i="83"/>
  <c r="AN10" i="83"/>
  <c r="L28" i="83"/>
  <c r="AR28" i="83" s="1"/>
  <c r="AL28" i="83"/>
  <c r="N30" i="83"/>
  <c r="AT30" i="83" s="1"/>
  <c r="AN30" i="83"/>
  <c r="L10" i="83"/>
  <c r="AR10" i="83" s="1"/>
  <c r="AL10" i="83"/>
  <c r="AO11" i="83"/>
  <c r="AM13" i="83"/>
  <c r="AO15" i="83"/>
  <c r="AM17" i="83"/>
  <c r="AO19" i="83"/>
  <c r="AM21" i="83"/>
  <c r="AO23" i="83"/>
  <c r="AM25" i="83"/>
  <c r="AO27" i="83"/>
  <c r="AM29" i="83"/>
  <c r="AO31" i="83"/>
  <c r="N33" i="83"/>
  <c r="AT33" i="83" s="1"/>
  <c r="AN33" i="83"/>
  <c r="AO13" i="83"/>
  <c r="L16" i="83"/>
  <c r="AN47" i="83" s="1"/>
  <c r="AL16" i="83"/>
  <c r="AO17" i="83"/>
  <c r="L24" i="83"/>
  <c r="AR24" i="83" s="1"/>
  <c r="AL24" i="83"/>
  <c r="AO25" i="83"/>
  <c r="AR42" i="83"/>
  <c r="AR44" i="83"/>
  <c r="AR46" i="83"/>
  <c r="AR48" i="83"/>
  <c r="AR50" i="83"/>
  <c r="AR52" i="83"/>
  <c r="AR54" i="83"/>
  <c r="AR56" i="83"/>
  <c r="AR58" i="83"/>
  <c r="AR60" i="83"/>
  <c r="AR62" i="83"/>
  <c r="M10" i="83"/>
  <c r="AS10" i="83" s="1"/>
  <c r="AM10" i="83"/>
  <c r="L11" i="83"/>
  <c r="AR11" i="83" s="1"/>
  <c r="AL11" i="83"/>
  <c r="AO12" i="83"/>
  <c r="N13" i="83"/>
  <c r="AT13" i="83" s="1"/>
  <c r="AN13" i="83"/>
  <c r="AM14" i="83"/>
  <c r="L15" i="83"/>
  <c r="AR15" i="83" s="1"/>
  <c r="AL15" i="83"/>
  <c r="AO16" i="83"/>
  <c r="N17" i="83"/>
  <c r="AT17" i="83" s="1"/>
  <c r="AN17" i="83"/>
  <c r="AM18" i="83"/>
  <c r="L19" i="83"/>
  <c r="AR19" i="83" s="1"/>
  <c r="AL19" i="83"/>
  <c r="AO20" i="83"/>
  <c r="N21" i="83"/>
  <c r="AT21" i="83" s="1"/>
  <c r="AN21" i="83"/>
  <c r="M22" i="83"/>
  <c r="AS22" i="83" s="1"/>
  <c r="AM22" i="83"/>
  <c r="L23" i="83"/>
  <c r="AN54" i="83" s="1"/>
  <c r="AL23" i="83"/>
  <c r="AO24" i="83"/>
  <c r="N25" i="83"/>
  <c r="AT25" i="83" s="1"/>
  <c r="AN25" i="83"/>
  <c r="M26" i="83"/>
  <c r="AS26" i="83" s="1"/>
  <c r="AM26" i="83"/>
  <c r="L27" i="83"/>
  <c r="AN58" i="83" s="1"/>
  <c r="AL27" i="83"/>
  <c r="AO28" i="83"/>
  <c r="N29" i="83"/>
  <c r="AT29" i="83" s="1"/>
  <c r="AN29" i="83"/>
  <c r="AM30" i="83"/>
  <c r="L31" i="83"/>
  <c r="AR31" i="83" s="1"/>
  <c r="AL31" i="83"/>
  <c r="AO33" i="83"/>
  <c r="AR43" i="83"/>
  <c r="AR45" i="83"/>
  <c r="AR47" i="83"/>
  <c r="AR49" i="83"/>
  <c r="AR51" i="83"/>
  <c r="AR53" i="83"/>
  <c r="AR55" i="83"/>
  <c r="AR57" i="83"/>
  <c r="AR59" i="83"/>
  <c r="AR61" i="83"/>
  <c r="E21" i="86"/>
  <c r="BA21" i="86" s="1"/>
  <c r="G10" i="86"/>
  <c r="BC10" i="86" s="1"/>
  <c r="AY56" i="85"/>
  <c r="G9" i="86"/>
  <c r="BC9" i="86" s="1"/>
  <c r="E22" i="86"/>
  <c r="BA22" i="86" s="1"/>
  <c r="E18" i="86"/>
  <c r="BA18" i="86" s="1"/>
  <c r="F9" i="86"/>
  <c r="BB9" i="86" s="1"/>
  <c r="H16" i="86"/>
  <c r="BD16" i="86" s="1"/>
  <c r="H24" i="86"/>
  <c r="BD24" i="86" s="1"/>
  <c r="F149" i="67"/>
  <c r="D28" i="86"/>
  <c r="AZ28" i="86" s="1"/>
  <c r="E9" i="86"/>
  <c r="BA9" i="86" s="1"/>
  <c r="E10" i="86"/>
  <c r="BA10" i="86" s="1"/>
  <c r="E11" i="86"/>
  <c r="BA11" i="86" s="1"/>
  <c r="D18" i="86"/>
  <c r="AZ18" i="86" s="1"/>
  <c r="H18" i="86"/>
  <c r="BD18" i="86" s="1"/>
  <c r="E14" i="86"/>
  <c r="BA14" i="86" s="1"/>
  <c r="H28" i="86"/>
  <c r="BD28" i="86" s="1"/>
  <c r="D14" i="86"/>
  <c r="AZ14" i="86" s="1"/>
  <c r="H14" i="86"/>
  <c r="BD14" i="86" s="1"/>
  <c r="H15" i="86"/>
  <c r="BD15" i="86" s="1"/>
  <c r="F16" i="86"/>
  <c r="BB16" i="86" s="1"/>
  <c r="F17" i="86"/>
  <c r="BB17" i="86" s="1"/>
  <c r="F19" i="86"/>
  <c r="BB19" i="86" s="1"/>
  <c r="D22" i="86"/>
  <c r="AZ22" i="86" s="1"/>
  <c r="H22" i="86"/>
  <c r="BD22" i="86" s="1"/>
  <c r="F25" i="86"/>
  <c r="BB25" i="86" s="1"/>
  <c r="F27" i="86"/>
  <c r="BB27" i="86" s="1"/>
  <c r="E30" i="86"/>
  <c r="BA30" i="86" s="1"/>
  <c r="F32" i="86"/>
  <c r="BB32" i="86" s="1"/>
  <c r="AQ64" i="85"/>
  <c r="E165" i="84"/>
  <c r="E12" i="86"/>
  <c r="BA12" i="86" s="1"/>
  <c r="F13" i="86"/>
  <c r="BB13" i="86" s="1"/>
  <c r="D16" i="86"/>
  <c r="AZ16" i="86" s="1"/>
  <c r="D19" i="86"/>
  <c r="AZ19" i="86" s="1"/>
  <c r="H19" i="86"/>
  <c r="BD19" i="86" s="1"/>
  <c r="E25" i="86"/>
  <c r="BA25" i="86" s="1"/>
  <c r="E27" i="86"/>
  <c r="BA27" i="86" s="1"/>
  <c r="F30" i="86"/>
  <c r="BB30" i="86" s="1"/>
  <c r="D32" i="86"/>
  <c r="AZ32" i="86" s="1"/>
  <c r="H32" i="86"/>
  <c r="AA80" i="76" s="1"/>
  <c r="E149" i="67"/>
  <c r="M18" i="83"/>
  <c r="F10" i="86"/>
  <c r="BB10" i="86" s="1"/>
  <c r="E15" i="86"/>
  <c r="BA15" i="86" s="1"/>
  <c r="F18" i="86"/>
  <c r="BB18" i="86" s="1"/>
  <c r="D23" i="86"/>
  <c r="AZ23" i="86" s="1"/>
  <c r="H23" i="86"/>
  <c r="BD23" i="86" s="1"/>
  <c r="F26" i="86"/>
  <c r="BB26" i="86" s="1"/>
  <c r="E26" i="86"/>
  <c r="BA26" i="86" s="1"/>
  <c r="AT56" i="85"/>
  <c r="D9" i="86"/>
  <c r="AZ9" i="86" s="1"/>
  <c r="G11" i="86"/>
  <c r="BC11" i="86" s="1"/>
  <c r="E13" i="86"/>
  <c r="BA13" i="86" s="1"/>
  <c r="F15" i="86"/>
  <c r="BB15" i="86" s="1"/>
  <c r="E17" i="86"/>
  <c r="BA17" i="86" s="1"/>
  <c r="D17" i="86"/>
  <c r="AZ17" i="86" s="1"/>
  <c r="D20" i="86"/>
  <c r="AZ20" i="86" s="1"/>
  <c r="F22" i="86"/>
  <c r="BB22" i="86" s="1"/>
  <c r="D24" i="86"/>
  <c r="AZ24" i="86" s="1"/>
  <c r="D25" i="86"/>
  <c r="AZ25" i="86" s="1"/>
  <c r="F28" i="86"/>
  <c r="BB28" i="86" s="1"/>
  <c r="E29" i="86"/>
  <c r="BA29" i="86" s="1"/>
  <c r="AK24" i="86"/>
  <c r="AK13" i="86"/>
  <c r="AK19" i="86"/>
  <c r="E19" i="86"/>
  <c r="BA19" i="86" s="1"/>
  <c r="H20" i="86"/>
  <c r="BD20" i="86" s="1"/>
  <c r="AK23" i="86"/>
  <c r="H13" i="86"/>
  <c r="BD13" i="86" s="1"/>
  <c r="F11" i="86"/>
  <c r="BB11" i="86" s="1"/>
  <c r="G12" i="86"/>
  <c r="BC12" i="86" s="1"/>
  <c r="AK21" i="86"/>
  <c r="E23" i="86"/>
  <c r="BA23" i="86" s="1"/>
  <c r="AK25" i="86"/>
  <c r="D11" i="86"/>
  <c r="AZ11" i="86" s="1"/>
  <c r="H11" i="86"/>
  <c r="BD11" i="86" s="1"/>
  <c r="D12" i="86"/>
  <c r="AZ12" i="86" s="1"/>
  <c r="H12" i="86"/>
  <c r="BD12" i="86" s="1"/>
  <c r="D15" i="86"/>
  <c r="AZ15" i="86" s="1"/>
  <c r="F21" i="86"/>
  <c r="BB21" i="86" s="1"/>
  <c r="D27" i="86"/>
  <c r="AZ27" i="86" s="1"/>
  <c r="D10" i="86"/>
  <c r="AZ10" i="86" s="1"/>
  <c r="H10" i="86"/>
  <c r="BD10" i="86" s="1"/>
  <c r="F12" i="86"/>
  <c r="BB12" i="86" s="1"/>
  <c r="F20" i="86"/>
  <c r="BB20" i="86" s="1"/>
  <c r="F24" i="86"/>
  <c r="BB24" i="86" s="1"/>
  <c r="D26" i="86"/>
  <c r="AZ26" i="86" s="1"/>
  <c r="H26" i="86"/>
  <c r="BD26" i="86" s="1"/>
  <c r="D30" i="86"/>
  <c r="AZ30" i="86" s="1"/>
  <c r="H30" i="86"/>
  <c r="BD30" i="86" s="1"/>
  <c r="H27" i="86"/>
  <c r="BD27" i="86" s="1"/>
  <c r="D29" i="86"/>
  <c r="AZ29" i="86" s="1"/>
  <c r="H29" i="86"/>
  <c r="BD29" i="86" s="1"/>
  <c r="M14" i="83"/>
  <c r="E24" i="86"/>
  <c r="BA24" i="86" s="1"/>
  <c r="AA4" i="86"/>
  <c r="F29" i="86"/>
  <c r="BB29" i="86" s="1"/>
  <c r="H9" i="86"/>
  <c r="BD9" i="86" s="1"/>
  <c r="F14" i="86"/>
  <c r="BB14" i="86" s="1"/>
  <c r="E16" i="86"/>
  <c r="BA16" i="86" s="1"/>
  <c r="D21" i="86"/>
  <c r="AZ21" i="86" s="1"/>
  <c r="H21" i="86"/>
  <c r="BD21" i="86" s="1"/>
  <c r="AK10" i="86"/>
  <c r="AK12" i="86"/>
  <c r="H17" i="86"/>
  <c r="BD17" i="86" s="1"/>
  <c r="E28" i="86"/>
  <c r="BA28" i="86" s="1"/>
  <c r="E20" i="86"/>
  <c r="BA20" i="86" s="1"/>
  <c r="H25" i="86"/>
  <c r="BD25" i="86" s="1"/>
  <c r="AK18" i="86"/>
  <c r="AK26" i="86"/>
  <c r="D13" i="86"/>
  <c r="AZ13" i="86" s="1"/>
  <c r="AK22" i="86"/>
  <c r="AK30" i="86"/>
  <c r="Y77" i="85"/>
  <c r="Y80" i="85"/>
  <c r="Y87" i="85"/>
  <c r="Y86" i="85"/>
  <c r="Y127" i="85"/>
  <c r="Y83" i="85"/>
  <c r="Y95" i="85"/>
  <c r="AN46" i="85"/>
  <c r="Q23" i="85"/>
  <c r="BB64" i="85"/>
  <c r="AW64" i="85"/>
  <c r="Y129" i="85"/>
  <c r="Q26" i="85"/>
  <c r="Q27" i="85"/>
  <c r="Y114" i="85"/>
  <c r="Y123" i="85"/>
  <c r="AN42" i="85"/>
  <c r="AA4" i="85"/>
  <c r="M65" i="85" s="1"/>
  <c r="Y135" i="85"/>
  <c r="G154" i="67"/>
  <c r="AO53" i="85"/>
  <c r="AO54" i="85"/>
  <c r="AO57" i="85"/>
  <c r="AM64" i="85"/>
  <c r="AM48" i="85"/>
  <c r="AM51" i="85"/>
  <c r="Y88" i="85"/>
  <c r="Y120" i="85"/>
  <c r="AP60" i="85"/>
  <c r="AN43" i="85"/>
  <c r="AM47" i="85"/>
  <c r="Y96" i="85"/>
  <c r="F154" i="67"/>
  <c r="E163" i="84"/>
  <c r="Z33" i="85"/>
  <c r="AM49" i="85"/>
  <c r="AA33" i="85"/>
  <c r="Y89" i="85"/>
  <c r="AN56" i="85"/>
  <c r="Y130" i="85"/>
  <c r="Y97" i="85"/>
  <c r="Y113" i="85"/>
  <c r="Y85" i="85"/>
  <c r="Y134" i="85"/>
  <c r="Y93" i="85"/>
  <c r="Y116" i="85"/>
  <c r="Y118" i="85"/>
  <c r="X122" i="84"/>
  <c r="AD122" i="84" s="1"/>
  <c r="X125" i="84"/>
  <c r="AD125" i="84" s="1"/>
  <c r="X128" i="84"/>
  <c r="AD128" i="84" s="1"/>
  <c r="X113" i="84"/>
  <c r="AD113" i="84" s="1"/>
  <c r="X121" i="84"/>
  <c r="AD121" i="84" s="1"/>
  <c r="X133" i="84"/>
  <c r="AD133" i="84" s="1"/>
  <c r="M16" i="83"/>
  <c r="B163" i="84"/>
  <c r="X163" i="84" s="1"/>
  <c r="AD163" i="84" s="1"/>
  <c r="H153" i="84"/>
  <c r="X88" i="84"/>
  <c r="AD88" i="84" s="1"/>
  <c r="B155" i="84"/>
  <c r="X155" i="84" s="1"/>
  <c r="AD155" i="84" s="1"/>
  <c r="X95" i="84"/>
  <c r="AD95" i="84" s="1"/>
  <c r="H152" i="84"/>
  <c r="E167" i="84"/>
  <c r="B153" i="84"/>
  <c r="X153" i="84" s="1"/>
  <c r="AD153" i="84" s="1"/>
  <c r="X117" i="84"/>
  <c r="AD117" i="84" s="1"/>
  <c r="X79" i="84"/>
  <c r="AD79" i="84" s="1"/>
  <c r="B159" i="84"/>
  <c r="X83" i="84"/>
  <c r="AD83" i="84" s="1"/>
  <c r="X135" i="84"/>
  <c r="AD135" i="84" s="1"/>
  <c r="G152" i="84"/>
  <c r="E158" i="84"/>
  <c r="Z4" i="84"/>
  <c r="H149" i="84"/>
  <c r="E151" i="84"/>
  <c r="E155" i="84"/>
  <c r="E161" i="84"/>
  <c r="H169" i="84"/>
  <c r="G150" i="84"/>
  <c r="E152" i="84"/>
  <c r="G154" i="84"/>
  <c r="E156" i="84"/>
  <c r="G158" i="84"/>
  <c r="G165" i="84"/>
  <c r="D166" i="84"/>
  <c r="H166" i="84"/>
  <c r="E150" i="84"/>
  <c r="E154" i="84"/>
  <c r="G156" i="84"/>
  <c r="G153" i="84"/>
  <c r="G157" i="84"/>
  <c r="E159" i="84"/>
  <c r="F168" i="84"/>
  <c r="D169" i="84"/>
  <c r="F148" i="67"/>
  <c r="N10" i="83"/>
  <c r="F149" i="84"/>
  <c r="BD41" i="84" s="1"/>
  <c r="G151" i="84"/>
  <c r="E153" i="84"/>
  <c r="G155" i="84"/>
  <c r="E157" i="84"/>
  <c r="E160" i="84"/>
  <c r="E162" i="84"/>
  <c r="F164" i="84"/>
  <c r="B154" i="84"/>
  <c r="X118" i="84"/>
  <c r="AD118" i="84" s="1"/>
  <c r="X124" i="84"/>
  <c r="AD124" i="84" s="1"/>
  <c r="B160" i="84"/>
  <c r="B170" i="84"/>
  <c r="X134" i="84"/>
  <c r="AD134" i="84" s="1"/>
  <c r="X152" i="84"/>
  <c r="AD152" i="84" s="1"/>
  <c r="G162" i="67"/>
  <c r="D171" i="67"/>
  <c r="H171" i="67"/>
  <c r="G171" i="67"/>
  <c r="G149" i="84"/>
  <c r="F150" i="84"/>
  <c r="F151" i="84"/>
  <c r="F152" i="84"/>
  <c r="F153" i="84"/>
  <c r="F154" i="84"/>
  <c r="F155" i="84"/>
  <c r="F156" i="84"/>
  <c r="F157" i="84"/>
  <c r="F158" i="84"/>
  <c r="F159" i="84"/>
  <c r="F160" i="84"/>
  <c r="F161" i="84"/>
  <c r="F162" i="84"/>
  <c r="R23" i="84"/>
  <c r="H165" i="84"/>
  <c r="F167" i="84"/>
  <c r="E169" i="84"/>
  <c r="F170" i="84"/>
  <c r="X116" i="84"/>
  <c r="AD116" i="84" s="1"/>
  <c r="D151" i="84"/>
  <c r="D155" i="84"/>
  <c r="D157" i="84"/>
  <c r="D159" i="84"/>
  <c r="D161" i="84"/>
  <c r="D163" i="84"/>
  <c r="D165" i="84"/>
  <c r="D167" i="84"/>
  <c r="G159" i="84"/>
  <c r="G161" i="84"/>
  <c r="G163" i="84"/>
  <c r="D164" i="84"/>
  <c r="H164" i="84"/>
  <c r="F166" i="84"/>
  <c r="G167" i="84"/>
  <c r="D168" i="84"/>
  <c r="H168" i="84"/>
  <c r="F169" i="84"/>
  <c r="B162" i="84"/>
  <c r="X126" i="84"/>
  <c r="AD126" i="84" s="1"/>
  <c r="B168" i="84"/>
  <c r="X132" i="84"/>
  <c r="AD132" i="84" s="1"/>
  <c r="E171" i="67"/>
  <c r="E149" i="84"/>
  <c r="BC41" i="84" s="1"/>
  <c r="D150" i="84"/>
  <c r="H150" i="84"/>
  <c r="H151" i="84"/>
  <c r="D152" i="84"/>
  <c r="D153" i="84"/>
  <c r="D154" i="84"/>
  <c r="H154" i="84"/>
  <c r="H155" i="84"/>
  <c r="D156" i="84"/>
  <c r="H156" i="84"/>
  <c r="H157" i="84"/>
  <c r="D158" i="84"/>
  <c r="H158" i="84"/>
  <c r="H159" i="84"/>
  <c r="D160" i="84"/>
  <c r="H160" i="84"/>
  <c r="H161" i="84"/>
  <c r="D162" i="84"/>
  <c r="H162" i="84"/>
  <c r="H163" i="84"/>
  <c r="F165" i="84"/>
  <c r="H167" i="84"/>
  <c r="D170" i="84"/>
  <c r="H170" i="84"/>
  <c r="G160" i="84"/>
  <c r="G162" i="84"/>
  <c r="G164" i="84"/>
  <c r="G166" i="84"/>
  <c r="G168" i="84"/>
  <c r="G170" i="84"/>
  <c r="X77" i="84"/>
  <c r="AD77" i="84" s="1"/>
  <c r="X85" i="84"/>
  <c r="AD85" i="84" s="1"/>
  <c r="X93" i="84"/>
  <c r="AD93" i="84" s="1"/>
  <c r="B156" i="84"/>
  <c r="B164" i="84"/>
  <c r="E164" i="84"/>
  <c r="E166" i="84"/>
  <c r="E168" i="84"/>
  <c r="G169" i="84"/>
  <c r="E170" i="84"/>
  <c r="X81" i="84"/>
  <c r="AD81" i="84" s="1"/>
  <c r="X89" i="84"/>
  <c r="AD89" i="84" s="1"/>
  <c r="X97" i="84"/>
  <c r="AD97" i="84" s="1"/>
  <c r="B150" i="84"/>
  <c r="B158" i="84"/>
  <c r="B166" i="84"/>
  <c r="X171" i="84"/>
  <c r="AD171" i="84" s="1"/>
  <c r="X115" i="84"/>
  <c r="AD115" i="84" s="1"/>
  <c r="X119" i="84"/>
  <c r="AD119" i="84" s="1"/>
  <c r="X157" i="84"/>
  <c r="AD157" i="84" s="1"/>
  <c r="X123" i="84"/>
  <c r="AD123" i="84" s="1"/>
  <c r="X161" i="84"/>
  <c r="AD161" i="84" s="1"/>
  <c r="X127" i="84"/>
  <c r="AD127" i="84" s="1"/>
  <c r="X165" i="84"/>
  <c r="AD165" i="84" s="1"/>
  <c r="X131" i="84"/>
  <c r="AD131" i="84" s="1"/>
  <c r="X169" i="84"/>
  <c r="AD169" i="84" s="1"/>
  <c r="X167" i="84"/>
  <c r="AD167" i="84" s="1"/>
  <c r="Q133" i="83"/>
  <c r="Q134" i="83"/>
  <c r="Q139" i="83"/>
  <c r="L12" i="83"/>
  <c r="L20" i="83"/>
  <c r="AA140" i="83"/>
  <c r="Z140" i="83"/>
  <c r="AA4" i="83"/>
  <c r="L18" i="83"/>
  <c r="L26" i="83"/>
  <c r="AR26" i="83" s="1"/>
  <c r="L14" i="83"/>
  <c r="L22" i="83"/>
  <c r="O10" i="83"/>
  <c r="D61" i="76" s="1"/>
  <c r="B17" i="92" s="1"/>
  <c r="O13" i="83"/>
  <c r="G61" i="76" s="1"/>
  <c r="E17" i="92" s="1"/>
  <c r="O17" i="83"/>
  <c r="K61" i="76" s="1"/>
  <c r="I17" i="92" s="1"/>
  <c r="O21" i="83"/>
  <c r="O61" i="76" s="1"/>
  <c r="M17" i="92" s="1"/>
  <c r="O25" i="83"/>
  <c r="S61" i="76" s="1"/>
  <c r="Q17" i="92" s="1"/>
  <c r="O29" i="83"/>
  <c r="W61" i="76" s="1"/>
  <c r="U17" i="92" s="1"/>
  <c r="O30" i="83"/>
  <c r="X61" i="76" s="1"/>
  <c r="V17" i="92" s="1"/>
  <c r="O31" i="83"/>
  <c r="Y61" i="76" s="1"/>
  <c r="W17" i="92" s="1"/>
  <c r="M11" i="83"/>
  <c r="K13" i="83"/>
  <c r="O14" i="83"/>
  <c r="H61" i="76" s="1"/>
  <c r="F17" i="92" s="1"/>
  <c r="M15" i="83"/>
  <c r="K17" i="83"/>
  <c r="AM48" i="83" s="1"/>
  <c r="O18" i="83"/>
  <c r="L61" i="76" s="1"/>
  <c r="J17" i="92" s="1"/>
  <c r="M19" i="83"/>
  <c r="K21" i="83"/>
  <c r="AM52" i="83" s="1"/>
  <c r="O22" i="83"/>
  <c r="P61" i="76" s="1"/>
  <c r="N17" i="92" s="1"/>
  <c r="M23" i="83"/>
  <c r="K25" i="83"/>
  <c r="AM56" i="83" s="1"/>
  <c r="O26" i="83"/>
  <c r="T61" i="76" s="1"/>
  <c r="M27" i="83"/>
  <c r="AS27" i="83" s="1"/>
  <c r="K29" i="83"/>
  <c r="K30" i="83"/>
  <c r="K31" i="83"/>
  <c r="AA33" i="83"/>
  <c r="O33" i="83"/>
  <c r="P33" i="83" s="1"/>
  <c r="Z33" i="83"/>
  <c r="O11" i="83"/>
  <c r="E61" i="76" s="1"/>
  <c r="C17" i="92" s="1"/>
  <c r="O15" i="83"/>
  <c r="I61" i="76" s="1"/>
  <c r="G17" i="92" s="1"/>
  <c r="O19" i="83"/>
  <c r="M61" i="76" s="1"/>
  <c r="K17" i="92" s="1"/>
  <c r="O23" i="83"/>
  <c r="Q61" i="76" s="1"/>
  <c r="O27" i="83"/>
  <c r="U61" i="76" s="1"/>
  <c r="M30" i="83"/>
  <c r="K11" i="83"/>
  <c r="O12" i="83"/>
  <c r="F61" i="76" s="1"/>
  <c r="D17" i="92" s="1"/>
  <c r="M13" i="83"/>
  <c r="K15" i="83"/>
  <c r="AM46" i="83" s="1"/>
  <c r="O16" i="83"/>
  <c r="J61" i="76" s="1"/>
  <c r="H17" i="92" s="1"/>
  <c r="M17" i="83"/>
  <c r="K19" i="83"/>
  <c r="AM50" i="83" s="1"/>
  <c r="O20" i="83"/>
  <c r="N61" i="76" s="1"/>
  <c r="L17" i="92" s="1"/>
  <c r="M21" i="83"/>
  <c r="AS21" i="83" s="1"/>
  <c r="K23" i="83"/>
  <c r="O24" i="83"/>
  <c r="R61" i="76" s="1"/>
  <c r="P17" i="92" s="1"/>
  <c r="M25" i="83"/>
  <c r="K27" i="83"/>
  <c r="O28" i="83"/>
  <c r="V61" i="76" s="1"/>
  <c r="T17" i="92" s="1"/>
  <c r="M29" i="83"/>
  <c r="M31" i="83"/>
  <c r="M33" i="83"/>
  <c r="E154" i="67"/>
  <c r="F171" i="67"/>
  <c r="N12" i="83"/>
  <c r="N14" i="83"/>
  <c r="N16" i="83"/>
  <c r="N18" i="83"/>
  <c r="N20" i="83"/>
  <c r="N22" i="83"/>
  <c r="AT22" i="83" s="1"/>
  <c r="N24" i="83"/>
  <c r="N26" i="83"/>
  <c r="N28" i="83"/>
  <c r="L30" i="83"/>
  <c r="AR30" i="83" s="1"/>
  <c r="L33" i="83"/>
  <c r="AR33" i="83" s="1"/>
  <c r="E148" i="67"/>
  <c r="H153" i="67"/>
  <c r="H151" i="67"/>
  <c r="H166" i="67"/>
  <c r="H149" i="67"/>
  <c r="H164" i="67"/>
  <c r="H154" i="67"/>
  <c r="G149" i="67"/>
  <c r="E162" i="67"/>
  <c r="H162" i="67"/>
  <c r="G148" i="67"/>
  <c r="E153" i="67"/>
  <c r="AD41" i="72"/>
  <c r="X133" i="72"/>
  <c r="X132" i="72"/>
  <c r="X131" i="72"/>
  <c r="X130" i="72"/>
  <c r="X129" i="72"/>
  <c r="X128" i="72"/>
  <c r="X127" i="72"/>
  <c r="X126" i="72"/>
  <c r="X125" i="72"/>
  <c r="X124" i="72"/>
  <c r="X123" i="72"/>
  <c r="X122" i="72"/>
  <c r="X121" i="72"/>
  <c r="X120" i="72"/>
  <c r="X119" i="72"/>
  <c r="X118" i="72"/>
  <c r="X117" i="72"/>
  <c r="X116" i="72"/>
  <c r="X115" i="72"/>
  <c r="X114" i="72"/>
  <c r="X113" i="72"/>
  <c r="X112" i="72"/>
  <c r="X111" i="72"/>
  <c r="X98" i="72"/>
  <c r="X97" i="72"/>
  <c r="X96" i="72"/>
  <c r="X95" i="72"/>
  <c r="X94" i="72"/>
  <c r="X93" i="72"/>
  <c r="X92" i="72"/>
  <c r="X91" i="72"/>
  <c r="X90" i="72"/>
  <c r="X89" i="72"/>
  <c r="X88" i="72"/>
  <c r="X87" i="72"/>
  <c r="X86" i="72"/>
  <c r="X85" i="72"/>
  <c r="X84" i="72"/>
  <c r="X83" i="72"/>
  <c r="X82" i="72"/>
  <c r="X81" i="72"/>
  <c r="X80" i="72"/>
  <c r="X79" i="72"/>
  <c r="X78" i="72"/>
  <c r="X77" i="72"/>
  <c r="X76" i="72"/>
  <c r="X32" i="72"/>
  <c r="X31" i="72"/>
  <c r="X30" i="72"/>
  <c r="X29" i="72"/>
  <c r="X28" i="72"/>
  <c r="X27" i="72"/>
  <c r="X26" i="72"/>
  <c r="X25" i="72"/>
  <c r="X24" i="72"/>
  <c r="X23" i="72"/>
  <c r="X22" i="72"/>
  <c r="X21" i="72"/>
  <c r="X20" i="72"/>
  <c r="X19" i="72"/>
  <c r="X18" i="72"/>
  <c r="X17" i="72"/>
  <c r="X16" i="72"/>
  <c r="X15" i="72"/>
  <c r="X14" i="72"/>
  <c r="X13" i="72"/>
  <c r="X12" i="72"/>
  <c r="X11" i="72"/>
  <c r="X10" i="72"/>
  <c r="B133" i="72"/>
  <c r="B132" i="72"/>
  <c r="B131" i="72"/>
  <c r="B130" i="72"/>
  <c r="B129" i="72"/>
  <c r="B128" i="72"/>
  <c r="B127" i="72"/>
  <c r="B126" i="72"/>
  <c r="B125" i="72"/>
  <c r="B124" i="72"/>
  <c r="B123" i="72"/>
  <c r="B122" i="72"/>
  <c r="B121" i="72"/>
  <c r="B120" i="72"/>
  <c r="B119" i="72"/>
  <c r="B118" i="72"/>
  <c r="B117" i="72"/>
  <c r="B116" i="72"/>
  <c r="B115" i="72"/>
  <c r="B114" i="72"/>
  <c r="B113" i="72"/>
  <c r="B112" i="72"/>
  <c r="B111" i="72"/>
  <c r="B98" i="72"/>
  <c r="B97" i="72"/>
  <c r="B96" i="72"/>
  <c r="B95" i="72"/>
  <c r="B94" i="72"/>
  <c r="B93" i="72"/>
  <c r="B92" i="72"/>
  <c r="B91" i="72"/>
  <c r="B90" i="72"/>
  <c r="B89" i="72"/>
  <c r="B88" i="72"/>
  <c r="B87" i="72"/>
  <c r="B86" i="72"/>
  <c r="B85" i="72"/>
  <c r="B84" i="72"/>
  <c r="B83" i="72"/>
  <c r="B82" i="72"/>
  <c r="B81" i="72"/>
  <c r="B80" i="72"/>
  <c r="B79" i="72"/>
  <c r="B78" i="72"/>
  <c r="B77" i="72"/>
  <c r="B76" i="72"/>
  <c r="B32" i="72"/>
  <c r="B31" i="72"/>
  <c r="B30" i="72"/>
  <c r="B29" i="72"/>
  <c r="B28" i="72"/>
  <c r="B27" i="72"/>
  <c r="B26" i="72"/>
  <c r="B25" i="72"/>
  <c r="B24" i="72"/>
  <c r="B23" i="72"/>
  <c r="B22" i="72"/>
  <c r="B21" i="72"/>
  <c r="B20" i="72"/>
  <c r="B19" i="72"/>
  <c r="B18" i="72"/>
  <c r="B17" i="72"/>
  <c r="B16" i="72"/>
  <c r="B15" i="72"/>
  <c r="B14" i="72"/>
  <c r="B13" i="72"/>
  <c r="B12" i="72"/>
  <c r="B11" i="72"/>
  <c r="B10" i="72"/>
  <c r="AK62" i="72"/>
  <c r="AK41" i="72"/>
  <c r="AK42" i="72"/>
  <c r="AK43" i="72"/>
  <c r="AK44" i="72"/>
  <c r="AK45" i="72"/>
  <c r="AK46" i="72"/>
  <c r="AK47" i="72"/>
  <c r="AK48" i="72"/>
  <c r="AK49" i="72"/>
  <c r="AK50" i="72"/>
  <c r="AK51" i="72"/>
  <c r="AK52" i="72"/>
  <c r="AK53" i="72"/>
  <c r="AK54" i="72"/>
  <c r="AK55" i="72"/>
  <c r="AK56" i="72"/>
  <c r="AK57" i="72"/>
  <c r="AK58" i="72"/>
  <c r="AK59" i="72"/>
  <c r="AK60" i="72"/>
  <c r="AK61" i="72"/>
  <c r="AK40" i="72"/>
  <c r="AJ62" i="72"/>
  <c r="AJ61" i="72"/>
  <c r="AJ60" i="72"/>
  <c r="AJ59" i="72"/>
  <c r="AJ58" i="72"/>
  <c r="AJ57" i="72"/>
  <c r="AJ56" i="72"/>
  <c r="AJ55" i="72"/>
  <c r="AJ54" i="72"/>
  <c r="AJ53" i="72"/>
  <c r="AJ52" i="72"/>
  <c r="AJ51" i="72"/>
  <c r="AJ50" i="72"/>
  <c r="AJ49" i="72"/>
  <c r="AJ48" i="72"/>
  <c r="AJ47" i="72"/>
  <c r="AJ46" i="72"/>
  <c r="AJ45" i="72"/>
  <c r="AJ44" i="72"/>
  <c r="AJ43" i="72"/>
  <c r="AJ42" i="72"/>
  <c r="AJ41" i="72"/>
  <c r="AJ40" i="72"/>
  <c r="BD32" i="86" l="1"/>
  <c r="AS33" i="86"/>
  <c r="AE99" i="84"/>
  <c r="AF99" i="84"/>
  <c r="AH99" i="84"/>
  <c r="AH135" i="84"/>
  <c r="AH171" i="84"/>
  <c r="AF135" i="84"/>
  <c r="AE171" i="84"/>
  <c r="AE135" i="84"/>
  <c r="AF171" i="84"/>
  <c r="AI99" i="84"/>
  <c r="H99" i="84" s="1"/>
  <c r="Z74" i="76" s="1"/>
  <c r="AI135" i="84"/>
  <c r="H135" i="84" s="1"/>
  <c r="Z75" i="76" s="1"/>
  <c r="AI171" i="84"/>
  <c r="AL260" i="83"/>
  <c r="AG28" i="84"/>
  <c r="Y73" i="76"/>
  <c r="W20" i="92" s="1"/>
  <c r="AG18" i="84"/>
  <c r="L73" i="76"/>
  <c r="J20" i="92" s="1"/>
  <c r="AG15" i="84"/>
  <c r="I73" i="76"/>
  <c r="G20" i="92" s="1"/>
  <c r="AG11" i="84"/>
  <c r="E73" i="76"/>
  <c r="C20" i="92" s="1"/>
  <c r="AG23" i="84"/>
  <c r="R73" i="76"/>
  <c r="P20" i="92" s="1"/>
  <c r="AG17" i="84"/>
  <c r="K73" i="76"/>
  <c r="I20" i="92" s="1"/>
  <c r="AG12" i="84"/>
  <c r="F73" i="76"/>
  <c r="D20" i="92" s="1"/>
  <c r="AG20" i="84"/>
  <c r="N73" i="76"/>
  <c r="L20" i="92" s="1"/>
  <c r="AG26" i="84"/>
  <c r="W73" i="76"/>
  <c r="U20" i="92" s="1"/>
  <c r="AG13" i="84"/>
  <c r="G73" i="76"/>
  <c r="E20" i="92" s="1"/>
  <c r="AG27" i="84"/>
  <c r="X73" i="76"/>
  <c r="V20" i="92" s="1"/>
  <c r="AG10" i="84"/>
  <c r="D73" i="76"/>
  <c r="B20" i="92" s="1"/>
  <c r="AG25" i="84"/>
  <c r="V73" i="76"/>
  <c r="T20" i="92" s="1"/>
  <c r="AG19" i="84"/>
  <c r="M73" i="76"/>
  <c r="K20" i="92" s="1"/>
  <c r="AG16" i="84"/>
  <c r="J73" i="76"/>
  <c r="H20" i="92" s="1"/>
  <c r="AG24" i="84"/>
  <c r="S73" i="76"/>
  <c r="Q20" i="92" s="1"/>
  <c r="AG21" i="84"/>
  <c r="O73" i="76"/>
  <c r="M20" i="92" s="1"/>
  <c r="AG22" i="84"/>
  <c r="P73" i="76"/>
  <c r="N20" i="92" s="1"/>
  <c r="AG14" i="84"/>
  <c r="H73" i="76"/>
  <c r="F20" i="92" s="1"/>
  <c r="AL266" i="83"/>
  <c r="AM275" i="83"/>
  <c r="AM270" i="83"/>
  <c r="AM260" i="83"/>
  <c r="AM277" i="83"/>
  <c r="AM269" i="83"/>
  <c r="AN278" i="83"/>
  <c r="AN272" i="83"/>
  <c r="AN279" i="83"/>
  <c r="AO281" i="83"/>
  <c r="AO275" i="83"/>
  <c r="AO283" i="83"/>
  <c r="AM267" i="83"/>
  <c r="AO276" i="83"/>
  <c r="AL272" i="83"/>
  <c r="AC279" i="83"/>
  <c r="AL279" i="83"/>
  <c r="AC283" i="83"/>
  <c r="AL283" i="83"/>
  <c r="AL281" i="83"/>
  <c r="AD283" i="83"/>
  <c r="AM283" i="83"/>
  <c r="AD261" i="83"/>
  <c r="AM261" i="83"/>
  <c r="AD276" i="83"/>
  <c r="AM276" i="83"/>
  <c r="AE270" i="83"/>
  <c r="AN270" i="83"/>
  <c r="AN269" i="83"/>
  <c r="AE263" i="83"/>
  <c r="AN263" i="83"/>
  <c r="AF260" i="83"/>
  <c r="AO260" i="83"/>
  <c r="AF267" i="83"/>
  <c r="AO267" i="83"/>
  <c r="AF266" i="83"/>
  <c r="AO266" i="83"/>
  <c r="AL271" i="83"/>
  <c r="AC265" i="83"/>
  <c r="AL265" i="83"/>
  <c r="AN277" i="83"/>
  <c r="AE280" i="83"/>
  <c r="AN280" i="83"/>
  <c r="AE264" i="83"/>
  <c r="AN264" i="83"/>
  <c r="AE271" i="83"/>
  <c r="AN271" i="83"/>
  <c r="AF273" i="83"/>
  <c r="AO273" i="83"/>
  <c r="AF280" i="83"/>
  <c r="AO280" i="83"/>
  <c r="AC276" i="83"/>
  <c r="AL276" i="83"/>
  <c r="AC268" i="83"/>
  <c r="AL268" i="83"/>
  <c r="AL275" i="83"/>
  <c r="AL267" i="83"/>
  <c r="AC261" i="83"/>
  <c r="AL261" i="83"/>
  <c r="AC278" i="83"/>
  <c r="AL278" i="83"/>
  <c r="AC270" i="83"/>
  <c r="AL270" i="83"/>
  <c r="AL262" i="83"/>
  <c r="AC277" i="83"/>
  <c r="AL277" i="83"/>
  <c r="AL269" i="83"/>
  <c r="AM279" i="83"/>
  <c r="AM271" i="83"/>
  <c r="AM263" i="83"/>
  <c r="AD278" i="83"/>
  <c r="AM278" i="83"/>
  <c r="AD266" i="83"/>
  <c r="AM266" i="83"/>
  <c r="AD272" i="83"/>
  <c r="AM272" i="83"/>
  <c r="AD281" i="83"/>
  <c r="AM281" i="83"/>
  <c r="AD273" i="83"/>
  <c r="AM273" i="83"/>
  <c r="AD265" i="83"/>
  <c r="AM265" i="83"/>
  <c r="AM280" i="83"/>
  <c r="AM268" i="83"/>
  <c r="AE283" i="83"/>
  <c r="AN283" i="83"/>
  <c r="AN266" i="83"/>
  <c r="AE281" i="83"/>
  <c r="AN281" i="83"/>
  <c r="AE273" i="83"/>
  <c r="AN273" i="83"/>
  <c r="AN265" i="83"/>
  <c r="AE276" i="83"/>
  <c r="AN276" i="83"/>
  <c r="AE268" i="83"/>
  <c r="AN268" i="83"/>
  <c r="AE260" i="83"/>
  <c r="AN260" i="83"/>
  <c r="AN275" i="83"/>
  <c r="AN267" i="83"/>
  <c r="AN261" i="83"/>
  <c r="AF277" i="83"/>
  <c r="AO277" i="83"/>
  <c r="AF269" i="83"/>
  <c r="AO269" i="83"/>
  <c r="AF261" i="83"/>
  <c r="AO261" i="83"/>
  <c r="AO268" i="83"/>
  <c r="AF279" i="83"/>
  <c r="AO279" i="83"/>
  <c r="AO271" i="83"/>
  <c r="AF263" i="83"/>
  <c r="AO263" i="83"/>
  <c r="AF278" i="83"/>
  <c r="AO278" i="83"/>
  <c r="AF270" i="83"/>
  <c r="AO270" i="83"/>
  <c r="AO262" i="83"/>
  <c r="AO272" i="83"/>
  <c r="AC280" i="83"/>
  <c r="AL280" i="83"/>
  <c r="AL264" i="83"/>
  <c r="AC263" i="83"/>
  <c r="AL263" i="83"/>
  <c r="AC274" i="83"/>
  <c r="AL274" i="83"/>
  <c r="AC273" i="83"/>
  <c r="AL273" i="83"/>
  <c r="AD262" i="83"/>
  <c r="AM262" i="83"/>
  <c r="AM264" i="83"/>
  <c r="AE262" i="83"/>
  <c r="AN262" i="83"/>
  <c r="AF265" i="83"/>
  <c r="AO265" i="83"/>
  <c r="AF274" i="83"/>
  <c r="AO274" i="83"/>
  <c r="AF264" i="83"/>
  <c r="AO264" i="83"/>
  <c r="AC41" i="85"/>
  <c r="Y42" i="85"/>
  <c r="AC42" i="85"/>
  <c r="Z17" i="92" a="1"/>
  <c r="Z17" i="92" s="1"/>
  <c r="AA42" i="83" s="1"/>
  <c r="AA17" i="92" a="1"/>
  <c r="AA17" i="92" s="1"/>
  <c r="AD41" i="83" s="1"/>
  <c r="AD42" i="83" s="1"/>
  <c r="Y17" i="92" a="1"/>
  <c r="Y17" i="92" s="1"/>
  <c r="Z42" i="83" s="1"/>
  <c r="BE41" i="84"/>
  <c r="O76" i="76"/>
  <c r="F76" i="76"/>
  <c r="R76" i="76"/>
  <c r="J76" i="76"/>
  <c r="Y76" i="76"/>
  <c r="U76" i="76"/>
  <c r="Q76" i="76"/>
  <c r="W76" i="76"/>
  <c r="V76" i="76"/>
  <c r="N76" i="76"/>
  <c r="K76" i="76"/>
  <c r="E76" i="76"/>
  <c r="T76" i="76"/>
  <c r="X76" i="76"/>
  <c r="L76" i="76"/>
  <c r="I76" i="76"/>
  <c r="S76" i="76"/>
  <c r="P76" i="76"/>
  <c r="M76" i="76"/>
  <c r="G76" i="76"/>
  <c r="H76" i="76"/>
  <c r="L273" i="83"/>
  <c r="AR273" i="83" s="1"/>
  <c r="L283" i="83"/>
  <c r="AN314" i="83" s="1"/>
  <c r="L265" i="83"/>
  <c r="AR265" i="83" s="1"/>
  <c r="BB64" i="83"/>
  <c r="L279" i="83"/>
  <c r="AR279" i="83" s="1"/>
  <c r="AM65" i="83"/>
  <c r="AA61" i="76"/>
  <c r="K80" i="76"/>
  <c r="E26" i="92"/>
  <c r="H26" i="92"/>
  <c r="C26" i="92"/>
  <c r="E80" i="76"/>
  <c r="O80" i="76"/>
  <c r="R80" i="76"/>
  <c r="S80" i="76"/>
  <c r="V26" i="92"/>
  <c r="Q26" i="92"/>
  <c r="K26" i="92"/>
  <c r="T80" i="76"/>
  <c r="P80" i="76"/>
  <c r="D80" i="76"/>
  <c r="V80" i="76"/>
  <c r="Y80" i="76"/>
  <c r="G80" i="76"/>
  <c r="M80" i="76"/>
  <c r="F26" i="92"/>
  <c r="M26" i="92"/>
  <c r="T26" i="92"/>
  <c r="W26" i="92"/>
  <c r="G26" i="92"/>
  <c r="X80" i="76"/>
  <c r="U80" i="76"/>
  <c r="F80" i="76"/>
  <c r="N80" i="76"/>
  <c r="J80" i="76"/>
  <c r="J26" i="92"/>
  <c r="L26" i="92"/>
  <c r="U26" i="92"/>
  <c r="I80" i="76"/>
  <c r="L80" i="76"/>
  <c r="H80" i="76"/>
  <c r="Q80" i="76"/>
  <c r="W80" i="76"/>
  <c r="N26" i="92"/>
  <c r="B26" i="92"/>
  <c r="P26" i="92"/>
  <c r="I26" i="92"/>
  <c r="D26" i="92"/>
  <c r="BB49" i="85"/>
  <c r="BB55" i="85"/>
  <c r="AW57" i="85"/>
  <c r="BB60" i="85"/>
  <c r="BB62" i="85"/>
  <c r="BB58" i="85"/>
  <c r="AW48" i="85"/>
  <c r="AW59" i="85"/>
  <c r="AW42" i="85"/>
  <c r="BB57" i="85"/>
  <c r="BB51" i="85"/>
  <c r="AW43" i="85"/>
  <c r="AW62" i="85"/>
  <c r="AW58" i="85"/>
  <c r="BB53" i="85"/>
  <c r="AW45" i="85"/>
  <c r="AW41" i="85"/>
  <c r="BB47" i="85"/>
  <c r="BB59" i="85"/>
  <c r="AW54" i="85"/>
  <c r="BB42" i="85"/>
  <c r="AW52" i="85"/>
  <c r="BB44" i="85"/>
  <c r="AW60" i="85"/>
  <c r="BB56" i="85"/>
  <c r="BB43" i="85"/>
  <c r="AW53" i="85"/>
  <c r="BB45" i="85"/>
  <c r="BB41" i="85"/>
  <c r="AW61" i="85"/>
  <c r="BB54" i="85"/>
  <c r="BB50" i="85"/>
  <c r="AW46" i="85"/>
  <c r="BB52" i="85"/>
  <c r="AW51" i="85"/>
  <c r="BB61" i="85"/>
  <c r="AW47" i="85"/>
  <c r="AW49" i="85"/>
  <c r="BB48" i="85"/>
  <c r="AW55" i="85"/>
  <c r="AW50" i="85"/>
  <c r="BB46" i="85"/>
  <c r="AW44" i="85"/>
  <c r="AW56" i="85"/>
  <c r="AV57" i="84"/>
  <c r="T74" i="76"/>
  <c r="AV49" i="84"/>
  <c r="L74" i="76"/>
  <c r="AV41" i="84"/>
  <c r="D74" i="76"/>
  <c r="AV60" i="84"/>
  <c r="W74" i="76"/>
  <c r="AV52" i="84"/>
  <c r="O74" i="76"/>
  <c r="AV44" i="84"/>
  <c r="G74" i="76"/>
  <c r="AV59" i="84"/>
  <c r="V74" i="76"/>
  <c r="AV51" i="84"/>
  <c r="N74" i="76"/>
  <c r="AV43" i="84"/>
  <c r="F74" i="76"/>
  <c r="AV62" i="84"/>
  <c r="Y74" i="76"/>
  <c r="AV54" i="84"/>
  <c r="Q74" i="76"/>
  <c r="BA45" i="84"/>
  <c r="H75" i="76"/>
  <c r="BA48" i="84"/>
  <c r="K75" i="76"/>
  <c r="BA55" i="84"/>
  <c r="R75" i="76"/>
  <c r="BA47" i="84"/>
  <c r="J75" i="76"/>
  <c r="BA58" i="84"/>
  <c r="U75" i="76"/>
  <c r="BA42" i="84"/>
  <c r="E75" i="76"/>
  <c r="AV61" i="84"/>
  <c r="X74" i="76"/>
  <c r="AV53" i="84"/>
  <c r="P74" i="76"/>
  <c r="AV45" i="84"/>
  <c r="H74" i="76"/>
  <c r="AV56" i="84"/>
  <c r="S74" i="76"/>
  <c r="AV48" i="84"/>
  <c r="K74" i="76"/>
  <c r="AV55" i="84"/>
  <c r="R74" i="76"/>
  <c r="AV47" i="84"/>
  <c r="J74" i="76"/>
  <c r="AV58" i="84"/>
  <c r="U74" i="76"/>
  <c r="AV50" i="84"/>
  <c r="M74" i="76"/>
  <c r="AV42" i="84"/>
  <c r="E74" i="76"/>
  <c r="AV46" i="84"/>
  <c r="I74" i="76"/>
  <c r="BF41" i="84"/>
  <c r="D76" i="76"/>
  <c r="BA61" i="84"/>
  <c r="X75" i="76"/>
  <c r="BA53" i="84"/>
  <c r="P75" i="76"/>
  <c r="BA56" i="84"/>
  <c r="S75" i="76"/>
  <c r="BA50" i="84"/>
  <c r="M75" i="76"/>
  <c r="BA57" i="84"/>
  <c r="T75" i="76"/>
  <c r="BA49" i="84"/>
  <c r="L75" i="76"/>
  <c r="BA41" i="84"/>
  <c r="D75" i="76"/>
  <c r="BA60" i="84"/>
  <c r="W75" i="76"/>
  <c r="BA52" i="84"/>
  <c r="O75" i="76"/>
  <c r="BA44" i="84"/>
  <c r="G75" i="76"/>
  <c r="BA59" i="84"/>
  <c r="V75" i="76"/>
  <c r="BA51" i="84"/>
  <c r="N75" i="76"/>
  <c r="BA62" i="84"/>
  <c r="Y75" i="76"/>
  <c r="BA54" i="84"/>
  <c r="Q75" i="76"/>
  <c r="BA46" i="84"/>
  <c r="I75" i="76"/>
  <c r="BB61" i="83"/>
  <c r="BB52" i="83"/>
  <c r="BB58" i="83"/>
  <c r="BB54" i="83"/>
  <c r="BB50" i="83"/>
  <c r="BB42" i="83"/>
  <c r="BB57" i="83"/>
  <c r="BB55" i="83"/>
  <c r="BB51" i="83"/>
  <c r="BB56" i="83"/>
  <c r="BB48" i="83"/>
  <c r="BB62" i="83"/>
  <c r="AW50" i="83"/>
  <c r="AW52" i="83"/>
  <c r="P17" i="85"/>
  <c r="P25" i="85"/>
  <c r="AQ61" i="85"/>
  <c r="AB276" i="83"/>
  <c r="K262" i="83"/>
  <c r="AM293" i="83" s="1"/>
  <c r="AB262" i="83"/>
  <c r="K275" i="83"/>
  <c r="AM306" i="83" s="1"/>
  <c r="AB275" i="83"/>
  <c r="K267" i="83"/>
  <c r="AM298" i="83" s="1"/>
  <c r="AB267" i="83"/>
  <c r="K266" i="83"/>
  <c r="AM297" i="83" s="1"/>
  <c r="AB266" i="83"/>
  <c r="L260" i="83"/>
  <c r="AR260" i="83" s="1"/>
  <c r="AC260" i="83"/>
  <c r="L275" i="83"/>
  <c r="AN306" i="83" s="1"/>
  <c r="AC275" i="83"/>
  <c r="L267" i="83"/>
  <c r="AR267" i="83" s="1"/>
  <c r="AC267" i="83"/>
  <c r="AC262" i="83"/>
  <c r="L269" i="83"/>
  <c r="AN300" i="83" s="1"/>
  <c r="AC269" i="83"/>
  <c r="M279" i="83"/>
  <c r="AS279" i="83" s="1"/>
  <c r="AD279" i="83"/>
  <c r="M271" i="83"/>
  <c r="AS271" i="83" s="1"/>
  <c r="AD271" i="83"/>
  <c r="M263" i="83"/>
  <c r="AS263" i="83" s="1"/>
  <c r="AD263" i="83"/>
  <c r="AD270" i="83"/>
  <c r="M260" i="83"/>
  <c r="AO291" i="83" s="1"/>
  <c r="AD260" i="83"/>
  <c r="AD277" i="83"/>
  <c r="M269" i="83"/>
  <c r="AO300" i="83" s="1"/>
  <c r="AD269" i="83"/>
  <c r="M264" i="83"/>
  <c r="AS264" i="83" s="1"/>
  <c r="AD264" i="83"/>
  <c r="N278" i="83"/>
  <c r="AT278" i="83" s="1"/>
  <c r="AE278" i="83"/>
  <c r="N277" i="83"/>
  <c r="AP308" i="83" s="1"/>
  <c r="AE277" i="83"/>
  <c r="N269" i="83"/>
  <c r="AT269" i="83" s="1"/>
  <c r="AE269" i="83"/>
  <c r="N272" i="83"/>
  <c r="AT272" i="83" s="1"/>
  <c r="AE272" i="83"/>
  <c r="N279" i="83"/>
  <c r="AT279" i="83" s="1"/>
  <c r="AE279" i="83"/>
  <c r="O281" i="83"/>
  <c r="AF281" i="83"/>
  <c r="O276" i="83"/>
  <c r="AF276" i="83"/>
  <c r="O275" i="83"/>
  <c r="AF275" i="83"/>
  <c r="Z273" i="83"/>
  <c r="Z269" i="83"/>
  <c r="Z263" i="83"/>
  <c r="Z264" i="83"/>
  <c r="Z260" i="83"/>
  <c r="AF32" i="85"/>
  <c r="P32" i="85" s="1"/>
  <c r="AB32" i="85"/>
  <c r="Y32" i="84"/>
  <c r="Z278" i="83"/>
  <c r="K273" i="83"/>
  <c r="AM304" i="83" s="1"/>
  <c r="AB273" i="83"/>
  <c r="Z281" i="83"/>
  <c r="AA277" i="83"/>
  <c r="Z277" i="83"/>
  <c r="Z275" i="83"/>
  <c r="Z267" i="83"/>
  <c r="Z32" i="85"/>
  <c r="AA32" i="84"/>
  <c r="Z268" i="83"/>
  <c r="K272" i="83"/>
  <c r="AM303" i="83" s="1"/>
  <c r="AB272" i="83"/>
  <c r="K271" i="83"/>
  <c r="AM302" i="83" s="1"/>
  <c r="AB271" i="83"/>
  <c r="K263" i="83"/>
  <c r="AM294" i="83" s="1"/>
  <c r="AB263" i="83"/>
  <c r="K278" i="83"/>
  <c r="AM309" i="83" s="1"/>
  <c r="AB278" i="83"/>
  <c r="L272" i="83"/>
  <c r="AN303" i="83" s="1"/>
  <c r="AC272" i="83"/>
  <c r="L264" i="83"/>
  <c r="AN295" i="83" s="1"/>
  <c r="AC264" i="83"/>
  <c r="L271" i="83"/>
  <c r="AN302" i="83" s="1"/>
  <c r="AC271" i="83"/>
  <c r="L266" i="83"/>
  <c r="AN297" i="83" s="1"/>
  <c r="AC266" i="83"/>
  <c r="L281" i="83"/>
  <c r="AN312" i="83" s="1"/>
  <c r="AC281" i="83"/>
  <c r="M275" i="83"/>
  <c r="AO306" i="83" s="1"/>
  <c r="AD275" i="83"/>
  <c r="M267" i="83"/>
  <c r="AO298" i="83" s="1"/>
  <c r="AD267" i="83"/>
  <c r="M280" i="83"/>
  <c r="AO311" i="83" s="1"/>
  <c r="AD280" i="83"/>
  <c r="M268" i="83"/>
  <c r="AS268" i="83" s="1"/>
  <c r="AD268" i="83"/>
  <c r="N274" i="83"/>
  <c r="AP305" i="83" s="1"/>
  <c r="AE274" i="83"/>
  <c r="N266" i="83"/>
  <c r="AP297" i="83" s="1"/>
  <c r="AE266" i="83"/>
  <c r="N265" i="83"/>
  <c r="AP296" i="83" s="1"/>
  <c r="AE265" i="83"/>
  <c r="N275" i="83"/>
  <c r="AT275" i="83" s="1"/>
  <c r="AE275" i="83"/>
  <c r="N267" i="83"/>
  <c r="AP298" i="83" s="1"/>
  <c r="AE267" i="83"/>
  <c r="N261" i="83"/>
  <c r="AT261" i="83" s="1"/>
  <c r="AE261" i="83"/>
  <c r="O268" i="83"/>
  <c r="AQ299" i="83" s="1"/>
  <c r="AF268" i="83"/>
  <c r="O271" i="83"/>
  <c r="AF271" i="83"/>
  <c r="O262" i="83"/>
  <c r="AF262" i="83"/>
  <c r="O272" i="83"/>
  <c r="AF272" i="83"/>
  <c r="Z265" i="83"/>
  <c r="Z276" i="83"/>
  <c r="AA276" i="83"/>
  <c r="Z272" i="83"/>
  <c r="AA272" i="83"/>
  <c r="Z266" i="83"/>
  <c r="AA262" i="83"/>
  <c r="Z262" i="83"/>
  <c r="AC32" i="85"/>
  <c r="Z271" i="83"/>
  <c r="AB281" i="83"/>
  <c r="AE32" i="85"/>
  <c r="Z261" i="83"/>
  <c r="Z280" i="83"/>
  <c r="AA274" i="83"/>
  <c r="Z274" i="83"/>
  <c r="Z270" i="83"/>
  <c r="Z279" i="83"/>
  <c r="U25" i="85"/>
  <c r="L263" i="83"/>
  <c r="AN294" i="83" s="1"/>
  <c r="U29" i="85"/>
  <c r="O283" i="83"/>
  <c r="P283" i="83" s="1"/>
  <c r="K264" i="83"/>
  <c r="AM295" i="83" s="1"/>
  <c r="L274" i="83"/>
  <c r="AN305" i="83" s="1"/>
  <c r="K270" i="83"/>
  <c r="AM301" i="83" s="1"/>
  <c r="AH27" i="85"/>
  <c r="N260" i="83"/>
  <c r="AP291" i="83" s="1"/>
  <c r="L280" i="83"/>
  <c r="AN311" i="83" s="1"/>
  <c r="P29" i="85"/>
  <c r="AP17" i="85"/>
  <c r="I17" i="85" s="1"/>
  <c r="AQ65" i="85"/>
  <c r="U30" i="85"/>
  <c r="U17" i="85"/>
  <c r="K265" i="83"/>
  <c r="AM296" i="83" s="1"/>
  <c r="AP19" i="85"/>
  <c r="I19" i="85" s="1"/>
  <c r="AP18" i="85"/>
  <c r="I18" i="85" s="1"/>
  <c r="AP20" i="85"/>
  <c r="I20" i="85" s="1"/>
  <c r="AQ48" i="85"/>
  <c r="U27" i="85"/>
  <c r="AP33" i="85"/>
  <c r="I33" i="85" s="1"/>
  <c r="AH11" i="85"/>
  <c r="U28" i="85"/>
  <c r="AP29" i="85"/>
  <c r="I29" i="85" s="1"/>
  <c r="AQ59" i="85"/>
  <c r="U31" i="85"/>
  <c r="U11" i="85"/>
  <c r="AP16" i="85"/>
  <c r="I16" i="85" s="1"/>
  <c r="AP21" i="85"/>
  <c r="I21" i="85" s="1"/>
  <c r="AQ51" i="85"/>
  <c r="AP27" i="85"/>
  <c r="I27" i="85" s="1"/>
  <c r="P10" i="85"/>
  <c r="AP22" i="85"/>
  <c r="I22" i="85" s="1"/>
  <c r="AO32" i="85"/>
  <c r="AH25" i="85"/>
  <c r="AH20" i="85"/>
  <c r="AH28" i="85"/>
  <c r="AP31" i="85"/>
  <c r="I31" i="85" s="1"/>
  <c r="AP30" i="85"/>
  <c r="I30" i="85" s="1"/>
  <c r="AP26" i="85"/>
  <c r="I26" i="85" s="1"/>
  <c r="AP13" i="85"/>
  <c r="I13" i="85" s="1"/>
  <c r="AP23" i="85"/>
  <c r="I23" i="85" s="1"/>
  <c r="AP11" i="85"/>
  <c r="I11" i="85" s="1"/>
  <c r="U20" i="85"/>
  <c r="AL32" i="85"/>
  <c r="AP25" i="85"/>
  <c r="I25" i="85" s="1"/>
  <c r="AP15" i="85"/>
  <c r="I15" i="85" s="1"/>
  <c r="AP14" i="85"/>
  <c r="I14" i="85" s="1"/>
  <c r="AP12" i="85"/>
  <c r="I12" i="85" s="1"/>
  <c r="AP10" i="85"/>
  <c r="AP28" i="85"/>
  <c r="I28" i="85" s="1"/>
  <c r="U26" i="85"/>
  <c r="P26" i="85"/>
  <c r="U23" i="85"/>
  <c r="U15" i="85"/>
  <c r="P15" i="85"/>
  <c r="AH15" i="85"/>
  <c r="P18" i="85"/>
  <c r="AH18" i="85"/>
  <c r="P13" i="85"/>
  <c r="AH13" i="85"/>
  <c r="P16" i="85"/>
  <c r="AH16" i="85"/>
  <c r="U13" i="85"/>
  <c r="P19" i="85"/>
  <c r="AH19" i="85"/>
  <c r="U22" i="85"/>
  <c r="P22" i="85"/>
  <c r="AH22" i="85"/>
  <c r="P14" i="85"/>
  <c r="AH14" i="85"/>
  <c r="P21" i="85"/>
  <c r="AH21" i="85"/>
  <c r="P24" i="85"/>
  <c r="AH23" i="85"/>
  <c r="P12" i="85"/>
  <c r="AH12" i="85"/>
  <c r="AF283" i="83"/>
  <c r="N280" i="83"/>
  <c r="AP311" i="83" s="1"/>
  <c r="N264" i="83"/>
  <c r="AT264" i="83" s="1"/>
  <c r="N270" i="83"/>
  <c r="AP301" i="83" s="1"/>
  <c r="N262" i="83"/>
  <c r="AP293" i="83" s="1"/>
  <c r="M272" i="83"/>
  <c r="AO303" i="83" s="1"/>
  <c r="M283" i="83"/>
  <c r="AS283" i="83" s="1"/>
  <c r="M273" i="83"/>
  <c r="AO304" i="83" s="1"/>
  <c r="M281" i="83"/>
  <c r="AS281" i="83" s="1"/>
  <c r="M278" i="83"/>
  <c r="AO309" i="83" s="1"/>
  <c r="M270" i="83"/>
  <c r="AO301" i="83" s="1"/>
  <c r="M262" i="83"/>
  <c r="AO293" i="83" s="1"/>
  <c r="M277" i="83"/>
  <c r="AO308" i="83" s="1"/>
  <c r="M261" i="83"/>
  <c r="AS261" i="83" s="1"/>
  <c r="M276" i="83"/>
  <c r="AS276" i="83" s="1"/>
  <c r="M265" i="83"/>
  <c r="AO296" i="83" s="1"/>
  <c r="M266" i="83"/>
  <c r="AO297" i="83" s="1"/>
  <c r="K279" i="83"/>
  <c r="AM310" i="83" s="1"/>
  <c r="K280" i="83"/>
  <c r="AM311" i="83" s="1"/>
  <c r="L270" i="83"/>
  <c r="AR270" i="83" s="1"/>
  <c r="L278" i="83"/>
  <c r="AR278" i="83" s="1"/>
  <c r="L277" i="83"/>
  <c r="AR277" i="83" s="1"/>
  <c r="L268" i="83"/>
  <c r="AN299" i="83" s="1"/>
  <c r="L262" i="83"/>
  <c r="AN293" i="83" s="1"/>
  <c r="L276" i="83"/>
  <c r="AR276" i="83" s="1"/>
  <c r="L261" i="83"/>
  <c r="AR261" i="83" s="1"/>
  <c r="AN64" i="85"/>
  <c r="AP41" i="85"/>
  <c r="AP48" i="85"/>
  <c r="AP44" i="85"/>
  <c r="AQ41" i="85"/>
  <c r="AQ58" i="85"/>
  <c r="AQ47" i="85"/>
  <c r="AN61" i="85"/>
  <c r="AP59" i="85"/>
  <c r="AP57" i="85"/>
  <c r="AP55" i="85"/>
  <c r="AP53" i="85"/>
  <c r="AP50" i="85"/>
  <c r="AQ55" i="85"/>
  <c r="AQ42" i="85"/>
  <c r="AQ60" i="85"/>
  <c r="AP52" i="85"/>
  <c r="AP51" i="85"/>
  <c r="AQ62" i="85"/>
  <c r="AP49" i="85"/>
  <c r="AP45" i="85"/>
  <c r="AQ56" i="85"/>
  <c r="K274" i="83"/>
  <c r="AM305" i="83" s="1"/>
  <c r="AB283" i="83"/>
  <c r="K277" i="83"/>
  <c r="AM308" i="83" s="1"/>
  <c r="O278" i="83"/>
  <c r="AU20" i="83"/>
  <c r="U20" i="83"/>
  <c r="AU27" i="83"/>
  <c r="U27" i="83"/>
  <c r="AU31" i="83"/>
  <c r="U31" i="83"/>
  <c r="AU25" i="83"/>
  <c r="U25" i="83"/>
  <c r="AU16" i="83"/>
  <c r="U16" i="83"/>
  <c r="AU15" i="83"/>
  <c r="U15" i="83"/>
  <c r="AU29" i="83"/>
  <c r="U29" i="83"/>
  <c r="AU17" i="83"/>
  <c r="U17" i="83"/>
  <c r="AU10" i="83"/>
  <c r="U10" i="83"/>
  <c r="K269" i="83"/>
  <c r="AM300" i="83" s="1"/>
  <c r="AU28" i="83"/>
  <c r="U28" i="83"/>
  <c r="AU12" i="83"/>
  <c r="U12" i="83"/>
  <c r="AU19" i="83"/>
  <c r="U19" i="83"/>
  <c r="AU26" i="83"/>
  <c r="U26" i="83"/>
  <c r="AU30" i="83"/>
  <c r="U30" i="83"/>
  <c r="AU24" i="83"/>
  <c r="U24" i="83"/>
  <c r="AU23" i="83"/>
  <c r="U23" i="83"/>
  <c r="AU11" i="83"/>
  <c r="U11" i="83"/>
  <c r="AU22" i="83"/>
  <c r="U22" i="83"/>
  <c r="AU18" i="83"/>
  <c r="U18" i="83"/>
  <c r="AU14" i="83"/>
  <c r="U14" i="83"/>
  <c r="AU21" i="83"/>
  <c r="AW21" i="83" s="1"/>
  <c r="U21" i="83"/>
  <c r="AU13" i="83"/>
  <c r="U13" i="83"/>
  <c r="AN49" i="84"/>
  <c r="AN48" i="84"/>
  <c r="AO43" i="84"/>
  <c r="AE32" i="84"/>
  <c r="P32" i="84" s="1"/>
  <c r="Z73" i="76" s="1"/>
  <c r="AB32" i="84"/>
  <c r="AD32" i="84"/>
  <c r="AN52" i="84"/>
  <c r="AN59" i="84"/>
  <c r="AN43" i="84"/>
  <c r="AO53" i="84"/>
  <c r="AN50" i="84"/>
  <c r="O280" i="83"/>
  <c r="X65" i="76" s="1"/>
  <c r="V19" i="92" s="1"/>
  <c r="O264" i="83"/>
  <c r="H65" i="76" s="1"/>
  <c r="F19" i="92" s="1"/>
  <c r="O274" i="83"/>
  <c r="O269" i="83"/>
  <c r="M65" i="76" s="1"/>
  <c r="K19" i="92" s="1"/>
  <c r="O261" i="83"/>
  <c r="E65" i="76" s="1"/>
  <c r="C19" i="92" s="1"/>
  <c r="O265" i="83"/>
  <c r="I65" i="76" s="1"/>
  <c r="G19" i="92" s="1"/>
  <c r="O277" i="83"/>
  <c r="U65" i="76" s="1"/>
  <c r="O267" i="83"/>
  <c r="K65" i="76" s="1"/>
  <c r="I19" i="92" s="1"/>
  <c r="O266" i="83"/>
  <c r="J65" i="76" s="1"/>
  <c r="H19" i="92" s="1"/>
  <c r="AP49" i="84"/>
  <c r="O260" i="83"/>
  <c r="D65" i="76" s="1"/>
  <c r="B19" i="92" s="1"/>
  <c r="O263" i="83"/>
  <c r="G65" i="76" s="1"/>
  <c r="E19" i="92" s="1"/>
  <c r="O273" i="83"/>
  <c r="Q65" i="76" s="1"/>
  <c r="AL315" i="83"/>
  <c r="M315" i="83"/>
  <c r="O279" i="83"/>
  <c r="W65" i="76" s="1"/>
  <c r="U19" i="92" s="1"/>
  <c r="O270" i="83"/>
  <c r="N65" i="76" s="1"/>
  <c r="L19" i="92" s="1"/>
  <c r="N281" i="83"/>
  <c r="AP312" i="83" s="1"/>
  <c r="K268" i="83"/>
  <c r="AM299" i="83" s="1"/>
  <c r="AB32" i="83"/>
  <c r="AF32" i="83"/>
  <c r="N273" i="83"/>
  <c r="AP304" i="83" s="1"/>
  <c r="N271" i="83"/>
  <c r="AT271" i="83" s="1"/>
  <c r="AE32" i="83"/>
  <c r="AO41" i="84"/>
  <c r="N268" i="83"/>
  <c r="AP299" i="83" s="1"/>
  <c r="N283" i="83"/>
  <c r="AT283" i="83" s="1"/>
  <c r="N263" i="83"/>
  <c r="AT263" i="83" s="1"/>
  <c r="N276" i="83"/>
  <c r="AP307" i="83" s="1"/>
  <c r="AO49" i="84"/>
  <c r="AP27" i="83"/>
  <c r="I27" i="83" s="1"/>
  <c r="AC32" i="83"/>
  <c r="AP23" i="83"/>
  <c r="I23" i="83" s="1"/>
  <c r="K276" i="83"/>
  <c r="AM307" i="83" s="1"/>
  <c r="K261" i="83"/>
  <c r="AM292" i="83" s="1"/>
  <c r="K281" i="83"/>
  <c r="AM312" i="83" s="1"/>
  <c r="AP52" i="83"/>
  <c r="AO21" i="84"/>
  <c r="I21" i="84" s="1"/>
  <c r="J21" i="84" s="1"/>
  <c r="AP44" i="83"/>
  <c r="AN42" i="84"/>
  <c r="AO16" i="84"/>
  <c r="I16" i="84" s="1"/>
  <c r="J16" i="84" s="1"/>
  <c r="AN62" i="83"/>
  <c r="AO51" i="84"/>
  <c r="AP46" i="84"/>
  <c r="AO48" i="84"/>
  <c r="AM62" i="84"/>
  <c r="AN45" i="84"/>
  <c r="AP48" i="83"/>
  <c r="Q29" i="84"/>
  <c r="AM47" i="84"/>
  <c r="AN54" i="84"/>
  <c r="AM57" i="84"/>
  <c r="AO42" i="84"/>
  <c r="AO46" i="84"/>
  <c r="AO45" i="84"/>
  <c r="AM55" i="84"/>
  <c r="AM44" i="84"/>
  <c r="Q24" i="84"/>
  <c r="AO56" i="84"/>
  <c r="AN56" i="84"/>
  <c r="AM52" i="84"/>
  <c r="AM51" i="84"/>
  <c r="AO31" i="84"/>
  <c r="I31" i="84" s="1"/>
  <c r="J31" i="84" s="1"/>
  <c r="AO23" i="84"/>
  <c r="I23" i="84" s="1"/>
  <c r="J23" i="84" s="1"/>
  <c r="AO14" i="84"/>
  <c r="I14" i="84" s="1"/>
  <c r="J14" i="84" s="1"/>
  <c r="AO61" i="84"/>
  <c r="AN62" i="84"/>
  <c r="AN46" i="84"/>
  <c r="AO62" i="84"/>
  <c r="AM61" i="84"/>
  <c r="Q26" i="84"/>
  <c r="Q22" i="84"/>
  <c r="Q11" i="84"/>
  <c r="AO44" i="84"/>
  <c r="Q30" i="84"/>
  <c r="AM53" i="84"/>
  <c r="AM59" i="84"/>
  <c r="AM48" i="84"/>
  <c r="AN53" i="84"/>
  <c r="AO50" i="84"/>
  <c r="AM56" i="84"/>
  <c r="AM49" i="84"/>
  <c r="AO47" i="84"/>
  <c r="Q18" i="84"/>
  <c r="AO26" i="84"/>
  <c r="I26" i="84" s="1"/>
  <c r="J26" i="84" s="1"/>
  <c r="AM41" i="84"/>
  <c r="AO27" i="84"/>
  <c r="I27" i="84" s="1"/>
  <c r="J27" i="84" s="1"/>
  <c r="AO19" i="84"/>
  <c r="I19" i="84" s="1"/>
  <c r="J19" i="84" s="1"/>
  <c r="AO15" i="84"/>
  <c r="I15" i="84" s="1"/>
  <c r="J15" i="84" s="1"/>
  <c r="AO29" i="84"/>
  <c r="I29" i="84" s="1"/>
  <c r="J29" i="84" s="1"/>
  <c r="AO25" i="84"/>
  <c r="I25" i="84" s="1"/>
  <c r="J25" i="84" s="1"/>
  <c r="AO17" i="84"/>
  <c r="I17" i="84" s="1"/>
  <c r="J17" i="84" s="1"/>
  <c r="AO13" i="84"/>
  <c r="I13" i="84" s="1"/>
  <c r="J13" i="84" s="1"/>
  <c r="AO18" i="84"/>
  <c r="I18" i="84" s="1"/>
  <c r="J18" i="84" s="1"/>
  <c r="AO58" i="84"/>
  <c r="AO59" i="84"/>
  <c r="AO60" i="84"/>
  <c r="Q14" i="84"/>
  <c r="AN41" i="84"/>
  <c r="AM46" i="84"/>
  <c r="Q10" i="84"/>
  <c r="AM50" i="84"/>
  <c r="AO10" i="84"/>
  <c r="I10" i="84" s="1"/>
  <c r="J10" i="84" s="1"/>
  <c r="AN61" i="84"/>
  <c r="AO54" i="84"/>
  <c r="AM58" i="84"/>
  <c r="AP47" i="84"/>
  <c r="AO52" i="84"/>
  <c r="K260" i="83"/>
  <c r="AM291" i="83" s="1"/>
  <c r="Q15" i="84"/>
  <c r="Q16" i="84"/>
  <c r="AM60" i="84"/>
  <c r="Q28" i="84"/>
  <c r="AN58" i="84"/>
  <c r="AO55" i="84"/>
  <c r="AM54" i="84"/>
  <c r="AN60" i="84"/>
  <c r="AM42" i="84"/>
  <c r="AO57" i="84"/>
  <c r="AN51" i="84"/>
  <c r="AO28" i="84"/>
  <c r="I28" i="84" s="1"/>
  <c r="J28" i="84" s="1"/>
  <c r="AO20" i="84"/>
  <c r="I20" i="84" s="1"/>
  <c r="J20" i="84" s="1"/>
  <c r="AO12" i="84"/>
  <c r="I12" i="84" s="1"/>
  <c r="J12" i="84" s="1"/>
  <c r="AN57" i="84"/>
  <c r="AO11" i="84"/>
  <c r="I11" i="84" s="1"/>
  <c r="J11" i="84" s="1"/>
  <c r="AO30" i="84"/>
  <c r="I30" i="84" s="1"/>
  <c r="J30" i="84" s="1"/>
  <c r="AO22" i="84"/>
  <c r="I22" i="84" s="1"/>
  <c r="J22" i="84" s="1"/>
  <c r="AM45" i="84"/>
  <c r="AS62" i="83"/>
  <c r="AU56" i="83"/>
  <c r="AW49" i="83"/>
  <c r="AW48" i="83"/>
  <c r="AT47" i="83"/>
  <c r="AW44" i="83"/>
  <c r="AU52" i="83"/>
  <c r="AS59" i="83"/>
  <c r="AW58" i="83"/>
  <c r="AW42" i="83"/>
  <c r="AT41" i="83"/>
  <c r="AT59" i="83"/>
  <c r="AT50" i="83"/>
  <c r="AU51" i="83"/>
  <c r="AS41" i="83"/>
  <c r="AW46" i="83"/>
  <c r="AW53" i="83"/>
  <c r="AS45" i="83"/>
  <c r="AU53" i="83"/>
  <c r="AT46" i="83"/>
  <c r="AT56" i="83"/>
  <c r="AS53" i="83"/>
  <c r="AT51" i="83"/>
  <c r="AT43" i="83"/>
  <c r="AP61" i="83"/>
  <c r="AP50" i="83"/>
  <c r="AP56" i="83"/>
  <c r="AN46" i="83"/>
  <c r="AP18" i="83"/>
  <c r="I18" i="83" s="1"/>
  <c r="AP14" i="83"/>
  <c r="I14" i="83" s="1"/>
  <c r="AN48" i="83"/>
  <c r="AN50" i="83"/>
  <c r="AP60" i="83"/>
  <c r="AP54" i="83"/>
  <c r="AN42" i="83"/>
  <c r="AP62" i="83"/>
  <c r="Q20" i="84"/>
  <c r="Q27" i="84"/>
  <c r="AP56" i="84"/>
  <c r="Q25" i="84"/>
  <c r="Q12" i="84"/>
  <c r="AP50" i="84"/>
  <c r="Q19" i="84"/>
  <c r="AP44" i="84"/>
  <c r="Q13" i="84"/>
  <c r="Q17" i="84"/>
  <c r="AP62" i="84"/>
  <c r="Q31" i="84"/>
  <c r="Q21" i="84"/>
  <c r="Q23" i="84"/>
  <c r="AN55" i="83"/>
  <c r="AN59" i="83"/>
  <c r="AO59" i="83"/>
  <c r="AO51" i="83"/>
  <c r="M172" i="83"/>
  <c r="AL172" i="83"/>
  <c r="AX172" i="83" s="1"/>
  <c r="AO53" i="83"/>
  <c r="AP33" i="83"/>
  <c r="I33" i="83" s="1"/>
  <c r="AP30" i="83"/>
  <c r="I30" i="83" s="1"/>
  <c r="AP26" i="83"/>
  <c r="I26" i="83" s="1"/>
  <c r="AP22" i="83"/>
  <c r="I22" i="83" s="1"/>
  <c r="AO43" i="83"/>
  <c r="AP12" i="83"/>
  <c r="I12" i="83" s="1"/>
  <c r="AM49" i="83"/>
  <c r="AN41" i="83"/>
  <c r="AO57" i="83"/>
  <c r="AP19" i="83"/>
  <c r="I19" i="83" s="1"/>
  <c r="AP11" i="83"/>
  <c r="I11" i="83" s="1"/>
  <c r="AP20" i="83"/>
  <c r="I20" i="83" s="1"/>
  <c r="AM47" i="83"/>
  <c r="AP64" i="83"/>
  <c r="AO41" i="83"/>
  <c r="AP55" i="83"/>
  <c r="AT24" i="83"/>
  <c r="AO54" i="83"/>
  <c r="AS23" i="83"/>
  <c r="AO42" i="83"/>
  <c r="AS11" i="83"/>
  <c r="AP28" i="83"/>
  <c r="I28" i="83" s="1"/>
  <c r="AT26" i="83"/>
  <c r="AT18" i="83"/>
  <c r="AO60" i="83"/>
  <c r="AS29" i="83"/>
  <c r="AS13" i="83"/>
  <c r="AP42" i="83"/>
  <c r="AO50" i="83"/>
  <c r="AS19" i="83"/>
  <c r="AN45" i="83"/>
  <c r="AR14" i="83"/>
  <c r="AP46" i="83"/>
  <c r="AR20" i="83"/>
  <c r="AS18" i="83"/>
  <c r="AP47" i="83"/>
  <c r="AT16" i="83"/>
  <c r="AP41" i="83"/>
  <c r="AT10" i="83"/>
  <c r="AP59" i="83"/>
  <c r="AT28" i="83"/>
  <c r="AP51" i="83"/>
  <c r="AT20" i="83"/>
  <c r="AP58" i="83"/>
  <c r="AO48" i="83"/>
  <c r="AS17" i="83"/>
  <c r="AO65" i="83"/>
  <c r="AS30" i="83"/>
  <c r="AN52" i="83"/>
  <c r="AN49" i="83"/>
  <c r="AR18" i="83"/>
  <c r="AP31" i="83"/>
  <c r="I31" i="83" s="1"/>
  <c r="AP15" i="83"/>
  <c r="I15" i="83" s="1"/>
  <c r="AP16" i="83"/>
  <c r="I16" i="83" s="1"/>
  <c r="AS31" i="83"/>
  <c r="AO56" i="83"/>
  <c r="AS25" i="83"/>
  <c r="AS14" i="83"/>
  <c r="AP10" i="83"/>
  <c r="I10" i="83" s="1"/>
  <c r="AR29" i="83"/>
  <c r="AP43" i="83"/>
  <c r="AT12" i="83"/>
  <c r="AP45" i="83"/>
  <c r="AT14" i="83"/>
  <c r="AS33" i="83"/>
  <c r="AQ64" i="83"/>
  <c r="AU33" i="83"/>
  <c r="AO46" i="83"/>
  <c r="AS15" i="83"/>
  <c r="AN53" i="83"/>
  <c r="AR22" i="83"/>
  <c r="AN44" i="83"/>
  <c r="AL65" i="83"/>
  <c r="M65" i="83"/>
  <c r="AR12" i="83"/>
  <c r="AN56" i="83"/>
  <c r="AO47" i="83"/>
  <c r="AS16" i="83"/>
  <c r="AR27" i="83"/>
  <c r="AR23" i="83"/>
  <c r="AR16" i="83"/>
  <c r="AP29" i="83"/>
  <c r="I29" i="83" s="1"/>
  <c r="AP25" i="83"/>
  <c r="I25" i="83" s="1"/>
  <c r="AP21" i="83"/>
  <c r="I21" i="83" s="1"/>
  <c r="AP17" i="83"/>
  <c r="I17" i="83" s="1"/>
  <c r="AP13" i="83"/>
  <c r="I13" i="83" s="1"/>
  <c r="AH11" i="83"/>
  <c r="P11" i="83"/>
  <c r="AH28" i="83"/>
  <c r="P31" i="83"/>
  <c r="AH18" i="83"/>
  <c r="P18" i="83"/>
  <c r="P29" i="83"/>
  <c r="AH26" i="83"/>
  <c r="AH10" i="83"/>
  <c r="P10" i="83"/>
  <c r="AH15" i="83"/>
  <c r="P15" i="83"/>
  <c r="P26" i="83"/>
  <c r="AH22" i="83"/>
  <c r="P22" i="83"/>
  <c r="P21" i="83"/>
  <c r="AH21" i="83"/>
  <c r="P17" i="83"/>
  <c r="AH17" i="83"/>
  <c r="P28" i="83"/>
  <c r="AH25" i="83"/>
  <c r="AH23" i="83"/>
  <c r="P24" i="83"/>
  <c r="P20" i="83"/>
  <c r="AH20" i="83"/>
  <c r="AH16" i="83"/>
  <c r="P16" i="83"/>
  <c r="P12" i="83"/>
  <c r="AH12" i="83"/>
  <c r="P23" i="83"/>
  <c r="AH14" i="83"/>
  <c r="P14" i="83"/>
  <c r="AH27" i="83"/>
  <c r="P30" i="83"/>
  <c r="P13" i="83"/>
  <c r="AH13" i="83"/>
  <c r="AH19" i="83"/>
  <c r="P19" i="83"/>
  <c r="P27" i="83"/>
  <c r="P25" i="83"/>
  <c r="AH24" i="83"/>
  <c r="AS43" i="83"/>
  <c r="AW60" i="83"/>
  <c r="AY56" i="83"/>
  <c r="AU58" i="83"/>
  <c r="AY65" i="85"/>
  <c r="AT44" i="83"/>
  <c r="AS57" i="83"/>
  <c r="BB47" i="83"/>
  <c r="AU59" i="83"/>
  <c r="AT64" i="83"/>
  <c r="AY50" i="83"/>
  <c r="AU65" i="83"/>
  <c r="AT65" i="85"/>
  <c r="AN43" i="83"/>
  <c r="AM65" i="84"/>
  <c r="AN65" i="85"/>
  <c r="AM65" i="85"/>
  <c r="AY65" i="83"/>
  <c r="AX61" i="83"/>
  <c r="AX55" i="83"/>
  <c r="AN65" i="84"/>
  <c r="AQ46" i="85"/>
  <c r="BA59" i="83"/>
  <c r="BA65" i="85"/>
  <c r="AX65" i="85"/>
  <c r="BA65" i="84"/>
  <c r="AU65" i="85"/>
  <c r="AY65" i="84"/>
  <c r="AS60" i="83"/>
  <c r="AX65" i="83"/>
  <c r="AM43" i="84"/>
  <c r="AO65" i="84"/>
  <c r="AW65" i="84"/>
  <c r="AZ65" i="84"/>
  <c r="AW55" i="83"/>
  <c r="AY46" i="83"/>
  <c r="AY43" i="84"/>
  <c r="U16" i="85"/>
  <c r="AW51" i="83"/>
  <c r="AW65" i="85"/>
  <c r="AQ43" i="85"/>
  <c r="AW65" i="83"/>
  <c r="AW43" i="83"/>
  <c r="U21" i="85"/>
  <c r="AQ52" i="85"/>
  <c r="BB41" i="83"/>
  <c r="BB65" i="85"/>
  <c r="AQ44" i="85"/>
  <c r="AU45" i="83"/>
  <c r="AV43" i="83"/>
  <c r="BB46" i="83"/>
  <c r="BA50" i="83"/>
  <c r="AS42" i="83"/>
  <c r="BB59" i="83"/>
  <c r="AP43" i="84"/>
  <c r="AP65" i="84"/>
  <c r="AX43" i="85"/>
  <c r="BB43" i="83"/>
  <c r="BB53" i="83"/>
  <c r="BA61" i="83"/>
  <c r="AS52" i="83"/>
  <c r="AU46" i="83"/>
  <c r="BA62" i="83"/>
  <c r="AT48" i="83"/>
  <c r="BA58" i="83"/>
  <c r="AW64" i="83"/>
  <c r="AT42" i="83"/>
  <c r="AU48" i="83"/>
  <c r="BA46" i="83"/>
  <c r="AQ53" i="85"/>
  <c r="AV42" i="83"/>
  <c r="AZ57" i="83"/>
  <c r="BB65" i="83"/>
  <c r="AP58" i="84"/>
  <c r="AS56" i="83"/>
  <c r="AZ47" i="83"/>
  <c r="AO49" i="83"/>
  <c r="AW43" i="84"/>
  <c r="AQ54" i="85"/>
  <c r="AS48" i="83"/>
  <c r="BB60" i="83"/>
  <c r="AO45" i="83"/>
  <c r="AN65" i="83"/>
  <c r="AZ65" i="85"/>
  <c r="AP65" i="85"/>
  <c r="AZ49" i="83"/>
  <c r="AU44" i="83"/>
  <c r="AW57" i="83"/>
  <c r="BA43" i="85"/>
  <c r="AS65" i="85"/>
  <c r="AS65" i="83"/>
  <c r="AS51" i="83"/>
  <c r="AV44" i="83"/>
  <c r="AU41" i="83"/>
  <c r="BA43" i="84"/>
  <c r="AP48" i="84"/>
  <c r="AP51" i="84"/>
  <c r="AT43" i="85"/>
  <c r="AV43" i="85"/>
  <c r="AQ50" i="85"/>
  <c r="AQ45" i="85"/>
  <c r="AQ57" i="85"/>
  <c r="U18" i="85"/>
  <c r="U24" i="85"/>
  <c r="AQ49" i="85"/>
  <c r="AL65" i="85"/>
  <c r="AO65" i="85"/>
  <c r="AT49" i="83"/>
  <c r="AT65" i="83"/>
  <c r="BB44" i="83"/>
  <c r="AX52" i="83"/>
  <c r="AS54" i="83"/>
  <c r="BA41" i="83"/>
  <c r="AU43" i="84"/>
  <c r="AS43" i="84"/>
  <c r="U10" i="85"/>
  <c r="AM54" i="83"/>
  <c r="AY43" i="85"/>
  <c r="AY62" i="83"/>
  <c r="AY55" i="83"/>
  <c r="AY54" i="83"/>
  <c r="AW47" i="83"/>
  <c r="AY64" i="83"/>
  <c r="AM44" i="83"/>
  <c r="AZ45" i="83"/>
  <c r="AX65" i="84"/>
  <c r="AL65" i="84"/>
  <c r="AP52" i="84"/>
  <c r="AT45" i="83"/>
  <c r="AS50" i="83"/>
  <c r="AO44" i="83"/>
  <c r="AU60" i="83"/>
  <c r="AT53" i="83"/>
  <c r="AS47" i="83"/>
  <c r="AP54" i="84"/>
  <c r="X159" i="84"/>
  <c r="AD159" i="84" s="1"/>
  <c r="BE61" i="84"/>
  <c r="X158" i="84"/>
  <c r="AD158" i="84" s="1"/>
  <c r="X150" i="84"/>
  <c r="AD150" i="84" s="1"/>
  <c r="BE62" i="84"/>
  <c r="BB61" i="84"/>
  <c r="BD57" i="84"/>
  <c r="BF55" i="84"/>
  <c r="BE52" i="84"/>
  <c r="BB51" i="84"/>
  <c r="BD49" i="84"/>
  <c r="BF47" i="84"/>
  <c r="BE44" i="84"/>
  <c r="BB43" i="84"/>
  <c r="BC62" i="84"/>
  <c r="BB57" i="84"/>
  <c r="BF53" i="84"/>
  <c r="BC52" i="84"/>
  <c r="BB49" i="84"/>
  <c r="BD47" i="84"/>
  <c r="BF45" i="84"/>
  <c r="BC44" i="84"/>
  <c r="BB55" i="84"/>
  <c r="BD53" i="84"/>
  <c r="BF51" i="84"/>
  <c r="BB47" i="84"/>
  <c r="BD45" i="84"/>
  <c r="BF43" i="84"/>
  <c r="BD61" i="84"/>
  <c r="BD59" i="84"/>
  <c r="BF57" i="84"/>
  <c r="BC56" i="84"/>
  <c r="BE54" i="84"/>
  <c r="BD51" i="84"/>
  <c r="BE46" i="84"/>
  <c r="BD43" i="84"/>
  <c r="BF49" i="84"/>
  <c r="BB45" i="84"/>
  <c r="BC48" i="84"/>
  <c r="BB53" i="84"/>
  <c r="BE57" i="84"/>
  <c r="BC51" i="84"/>
  <c r="X156" i="84"/>
  <c r="AD156" i="84" s="1"/>
  <c r="BF62" i="84"/>
  <c r="BE47" i="84"/>
  <c r="BC45" i="84"/>
  <c r="BF61" i="84"/>
  <c r="BB56" i="84"/>
  <c r="BD56" i="84"/>
  <c r="BC46" i="84"/>
  <c r="X162" i="84"/>
  <c r="AD162" i="84" s="1"/>
  <c r="BF60" i="84"/>
  <c r="BE58" i="84"/>
  <c r="BB59" i="84"/>
  <c r="BB52" i="84"/>
  <c r="BD52" i="84"/>
  <c r="BB44" i="84"/>
  <c r="BD44" i="84"/>
  <c r="X160" i="84"/>
  <c r="AD160" i="84" s="1"/>
  <c r="BD58" i="84"/>
  <c r="BB58" i="84"/>
  <c r="BC65" i="84"/>
  <c r="BD65" i="84"/>
  <c r="BD42" i="84"/>
  <c r="BB42" i="84"/>
  <c r="AT57" i="83"/>
  <c r="AY48" i="83"/>
  <c r="AU42" i="83"/>
  <c r="AZ58" i="83"/>
  <c r="BE53" i="84"/>
  <c r="BC47" i="84"/>
  <c r="BE51" i="84"/>
  <c r="BC49" i="84"/>
  <c r="BF56" i="84"/>
  <c r="BB48" i="84"/>
  <c r="BD48" i="84"/>
  <c r="AP55" i="84"/>
  <c r="X168" i="84"/>
  <c r="AD168" i="84" s="1"/>
  <c r="BE60" i="84"/>
  <c r="BC60" i="84"/>
  <c r="BC59" i="84"/>
  <c r="BF52" i="84"/>
  <c r="BF44" i="84"/>
  <c r="AP45" i="84"/>
  <c r="X154" i="84"/>
  <c r="AD154" i="84" s="1"/>
  <c r="BF58" i="84"/>
  <c r="AP41" i="84"/>
  <c r="BD50" i="84"/>
  <c r="BB50" i="84"/>
  <c r="BF65" i="84"/>
  <c r="BB65" i="84"/>
  <c r="AP42" i="84"/>
  <c r="BF42" i="84"/>
  <c r="AU50" i="83"/>
  <c r="BE49" i="84"/>
  <c r="BC43" i="84"/>
  <c r="BE55" i="84"/>
  <c r="BC53" i="84"/>
  <c r="BC61" i="84"/>
  <c r="BF48" i="84"/>
  <c r="AP59" i="84"/>
  <c r="BD60" i="84"/>
  <c r="BD54" i="84"/>
  <c r="BB54" i="84"/>
  <c r="BD46" i="84"/>
  <c r="BB46" i="84"/>
  <c r="AP60" i="84"/>
  <c r="BE59" i="84"/>
  <c r="BC58" i="84"/>
  <c r="X170" i="84"/>
  <c r="AD170" i="84" s="1"/>
  <c r="BF50" i="84"/>
  <c r="M65" i="84"/>
  <c r="AK65" i="84"/>
  <c r="BE65" i="84"/>
  <c r="BC42" i="84"/>
  <c r="BE42" i="84"/>
  <c r="AT61" i="83"/>
  <c r="AX53" i="83"/>
  <c r="AX43" i="83"/>
  <c r="AU54" i="83"/>
  <c r="AS44" i="83"/>
  <c r="AX54" i="83"/>
  <c r="X166" i="84"/>
  <c r="AD166" i="84" s="1"/>
  <c r="BD62" i="84"/>
  <c r="BC55" i="84"/>
  <c r="BE45" i="84"/>
  <c r="X164" i="84"/>
  <c r="AD164" i="84" s="1"/>
  <c r="BB62" i="84"/>
  <c r="BE43" i="84"/>
  <c r="BC57" i="84"/>
  <c r="BC54" i="84"/>
  <c r="BB60" i="84"/>
  <c r="BF54" i="84"/>
  <c r="BF46" i="84"/>
  <c r="BF59" i="84"/>
  <c r="BE56" i="84"/>
  <c r="BE48" i="84"/>
  <c r="AP57" i="84"/>
  <c r="AP53" i="84"/>
  <c r="BC50" i="84"/>
  <c r="BE50" i="84"/>
  <c r="AP61" i="84"/>
  <c r="AQ48" i="83"/>
  <c r="BA53" i="83"/>
  <c r="BA60" i="83"/>
  <c r="AP65" i="83"/>
  <c r="AW62" i="83"/>
  <c r="AW56" i="83"/>
  <c r="AS58" i="83"/>
  <c r="AY53" i="83"/>
  <c r="AZ61" i="83"/>
  <c r="AZ60" i="83"/>
  <c r="AW59" i="83"/>
  <c r="AU49" i="83"/>
  <c r="AS61" i="83"/>
  <c r="AM58" i="83"/>
  <c r="AW61" i="83"/>
  <c r="AS55" i="83"/>
  <c r="BB49" i="83"/>
  <c r="AM62" i="83"/>
  <c r="BA44" i="83"/>
  <c r="AY42" i="83"/>
  <c r="AX60" i="83"/>
  <c r="BA57" i="83"/>
  <c r="BA49" i="83"/>
  <c r="AV41" i="83"/>
  <c r="AY57" i="83"/>
  <c r="AQ65" i="83"/>
  <c r="AM42" i="83"/>
  <c r="AX64" i="83"/>
  <c r="AX49" i="83"/>
  <c r="AT58" i="83"/>
  <c r="AX58" i="83"/>
  <c r="AP57" i="83"/>
  <c r="AW54" i="83"/>
  <c r="AQ60" i="83"/>
  <c r="AM61" i="83"/>
  <c r="AZ65" i="83"/>
  <c r="AS49" i="83"/>
  <c r="BA51" i="83"/>
  <c r="AX42" i="83"/>
  <c r="AY61" i="83"/>
  <c r="AX50" i="83"/>
  <c r="AT62" i="83"/>
  <c r="AO62" i="83"/>
  <c r="AT55" i="83"/>
  <c r="BB45" i="83"/>
  <c r="AN61" i="83"/>
  <c r="AP53" i="83"/>
  <c r="AO64" i="83"/>
  <c r="AZ62" i="83"/>
  <c r="BA47" i="83"/>
  <c r="AQ52" i="83"/>
  <c r="AQ55" i="83"/>
  <c r="AO52" i="83"/>
  <c r="AQ47" i="83"/>
  <c r="AX59" i="83"/>
  <c r="AQ46" i="83"/>
  <c r="AQ42" i="83"/>
  <c r="AM60" i="83"/>
  <c r="AU61" i="83"/>
  <c r="AW45" i="83"/>
  <c r="AZ51" i="83"/>
  <c r="AU43" i="83"/>
  <c r="AZ53" i="83"/>
  <c r="AS46" i="83"/>
  <c r="AU57" i="83"/>
  <c r="AZ42" i="83"/>
  <c r="AU64" i="83"/>
  <c r="AY43" i="83"/>
  <c r="BA55" i="83"/>
  <c r="AN57" i="83"/>
  <c r="Z139" i="83"/>
  <c r="AZ52" i="83"/>
  <c r="AY49" i="83"/>
  <c r="AX41" i="83"/>
  <c r="AN64" i="83"/>
  <c r="AZ64" i="83"/>
  <c r="AY51" i="83"/>
  <c r="AO58" i="83"/>
  <c r="AT54" i="83"/>
  <c r="AT60" i="83"/>
  <c r="BA43" i="83"/>
  <c r="AX57" i="83"/>
  <c r="AP49" i="83"/>
  <c r="AZ43" i="83"/>
  <c r="AN51" i="83"/>
  <c r="AY47" i="83"/>
  <c r="AT52" i="83"/>
  <c r="AQ41" i="83"/>
  <c r="AO61" i="83"/>
  <c r="AQ62" i="83"/>
  <c r="AQ56" i="83"/>
  <c r="AQ44" i="83"/>
  <c r="AU47" i="83"/>
  <c r="AW41" i="83"/>
  <c r="AQ58" i="83"/>
  <c r="AQ54" i="83"/>
  <c r="AQ51" i="83"/>
  <c r="AQ53" i="83"/>
  <c r="AQ49" i="83"/>
  <c r="AQ57" i="83"/>
  <c r="AQ61" i="83"/>
  <c r="Z32" i="83"/>
  <c r="AQ43" i="83"/>
  <c r="AQ59" i="83"/>
  <c r="BA65" i="83"/>
  <c r="AQ50" i="83"/>
  <c r="AQ45" i="83"/>
  <c r="AK40" i="82"/>
  <c r="AK62" i="82"/>
  <c r="AK63" i="82"/>
  <c r="AK41" i="82"/>
  <c r="AK42" i="82"/>
  <c r="AK43" i="82"/>
  <c r="AK44" i="82"/>
  <c r="AK45" i="82"/>
  <c r="AK46" i="82"/>
  <c r="AK47" i="82"/>
  <c r="AK48" i="82"/>
  <c r="AK49" i="82"/>
  <c r="AK50" i="82"/>
  <c r="AK51" i="82"/>
  <c r="AK52" i="82"/>
  <c r="AK53" i="82"/>
  <c r="AK54" i="82"/>
  <c r="AK55" i="82"/>
  <c r="AK56" i="82"/>
  <c r="AK57" i="82"/>
  <c r="AK58" i="82"/>
  <c r="AK59" i="82"/>
  <c r="AK60" i="82"/>
  <c r="AK61" i="82"/>
  <c r="AJ63" i="82"/>
  <c r="AJ62" i="82"/>
  <c r="AJ61" i="82"/>
  <c r="AJ60" i="82"/>
  <c r="AJ59" i="82"/>
  <c r="AJ58" i="82"/>
  <c r="AJ57" i="82"/>
  <c r="AJ56" i="82"/>
  <c r="AJ55" i="82"/>
  <c r="AJ54" i="82"/>
  <c r="AJ53" i="82"/>
  <c r="AJ52" i="82"/>
  <c r="AJ51" i="82"/>
  <c r="AJ50" i="82"/>
  <c r="AJ49" i="82"/>
  <c r="AJ48" i="82"/>
  <c r="AJ47" i="82"/>
  <c r="AJ46" i="82"/>
  <c r="AJ45" i="82"/>
  <c r="AJ44" i="82"/>
  <c r="AJ43" i="82"/>
  <c r="AJ42" i="82"/>
  <c r="AJ41" i="82"/>
  <c r="AJ40" i="82"/>
  <c r="AF28" i="82"/>
  <c r="AF27" i="82"/>
  <c r="AF26" i="82"/>
  <c r="AF25" i="82"/>
  <c r="AF24" i="82"/>
  <c r="AF23" i="82"/>
  <c r="AF22" i="82"/>
  <c r="AF21" i="82"/>
  <c r="AF20" i="82"/>
  <c r="AF19" i="82"/>
  <c r="AF18" i="82"/>
  <c r="AF17" i="82"/>
  <c r="AF16" i="82"/>
  <c r="AF15" i="82"/>
  <c r="AF14" i="82"/>
  <c r="AF13" i="82"/>
  <c r="AF12" i="82"/>
  <c r="AF11" i="82"/>
  <c r="AF10" i="82"/>
  <c r="B98" i="82"/>
  <c r="B97" i="82"/>
  <c r="B96" i="82"/>
  <c r="B95" i="82"/>
  <c r="B94" i="82"/>
  <c r="B93" i="82"/>
  <c r="B92" i="82"/>
  <c r="B91" i="82"/>
  <c r="B90" i="82"/>
  <c r="B89" i="82"/>
  <c r="B88" i="82"/>
  <c r="B87" i="82"/>
  <c r="B86" i="82"/>
  <c r="B85" i="82"/>
  <c r="B84" i="82"/>
  <c r="B83" i="82"/>
  <c r="B82" i="82"/>
  <c r="B81" i="82"/>
  <c r="B80" i="82"/>
  <c r="B79" i="82"/>
  <c r="B78" i="82"/>
  <c r="B77" i="82"/>
  <c r="B76" i="82"/>
  <c r="X98" i="82"/>
  <c r="X97" i="82"/>
  <c r="X96" i="82"/>
  <c r="X95" i="82"/>
  <c r="X94" i="82"/>
  <c r="X93" i="82"/>
  <c r="X92" i="82"/>
  <c r="X91" i="82"/>
  <c r="X90" i="82"/>
  <c r="X89" i="82"/>
  <c r="X88" i="82"/>
  <c r="X87" i="82"/>
  <c r="X86" i="82"/>
  <c r="X85" i="82"/>
  <c r="X84" i="82"/>
  <c r="X83" i="82"/>
  <c r="X82" i="82"/>
  <c r="X81" i="82"/>
  <c r="X80" i="82"/>
  <c r="X79" i="82"/>
  <c r="X78" i="82"/>
  <c r="X77" i="82"/>
  <c r="X76" i="82"/>
  <c r="X32" i="82"/>
  <c r="X31" i="82"/>
  <c r="X30" i="82"/>
  <c r="X29" i="82"/>
  <c r="X28" i="82"/>
  <c r="X27" i="82"/>
  <c r="X26" i="82"/>
  <c r="X25" i="82"/>
  <c r="X24" i="82"/>
  <c r="X23" i="82"/>
  <c r="X22" i="82"/>
  <c r="X21" i="82"/>
  <c r="X20" i="82"/>
  <c r="X19" i="82"/>
  <c r="X18" i="82"/>
  <c r="X17" i="82"/>
  <c r="X16" i="82"/>
  <c r="X15" i="82"/>
  <c r="X14" i="82"/>
  <c r="X13" i="82"/>
  <c r="X12" i="82"/>
  <c r="X11" i="82"/>
  <c r="X10" i="82"/>
  <c r="B32" i="82"/>
  <c r="B31" i="82"/>
  <c r="B30" i="82"/>
  <c r="B29" i="82"/>
  <c r="B28" i="82"/>
  <c r="B27" i="82"/>
  <c r="B26" i="82"/>
  <c r="B25" i="82"/>
  <c r="B24" i="82"/>
  <c r="B23" i="82"/>
  <c r="B22" i="82"/>
  <c r="B21" i="82"/>
  <c r="B20" i="82"/>
  <c r="B19" i="82"/>
  <c r="B18" i="82"/>
  <c r="B17" i="82"/>
  <c r="B16" i="82"/>
  <c r="B15" i="82"/>
  <c r="B14" i="82"/>
  <c r="B13" i="82"/>
  <c r="B12" i="82"/>
  <c r="B11" i="82"/>
  <c r="B10" i="82"/>
  <c r="AH23" i="84" l="1"/>
  <c r="R24" i="84" s="1"/>
  <c r="AH27" i="84"/>
  <c r="R30" i="84" s="1"/>
  <c r="AH18" i="84"/>
  <c r="R18" i="84" s="1"/>
  <c r="AH24" i="84"/>
  <c r="R25" i="84" s="1"/>
  <c r="AH13" i="84"/>
  <c r="R13" i="84" s="1"/>
  <c r="AH12" i="84"/>
  <c r="R12" i="84" s="1"/>
  <c r="AH28" i="84"/>
  <c r="R31" i="84" s="1"/>
  <c r="AH26" i="84"/>
  <c r="R29" i="84" s="1"/>
  <c r="AH25" i="84"/>
  <c r="R28" i="84" s="1"/>
  <c r="AH20" i="84"/>
  <c r="R20" i="84" s="1"/>
  <c r="AH21" i="84"/>
  <c r="R21" i="84" s="1"/>
  <c r="AH19" i="84"/>
  <c r="R19" i="84" s="1"/>
  <c r="AH17" i="84"/>
  <c r="R17" i="84" s="1"/>
  <c r="AH16" i="84"/>
  <c r="R16" i="84" s="1"/>
  <c r="AH15" i="84"/>
  <c r="R15" i="84" s="1"/>
  <c r="AH14" i="84"/>
  <c r="R14" i="84" s="1"/>
  <c r="AH11" i="84"/>
  <c r="R11" i="84" s="1"/>
  <c r="AH22" i="84"/>
  <c r="R22" i="84" s="1"/>
  <c r="AA20" i="92" a="1"/>
  <c r="AA20" i="92" s="1"/>
  <c r="AC41" i="84" s="1"/>
  <c r="AC42" i="84" s="1"/>
  <c r="Z20" i="92" a="1"/>
  <c r="Z20" i="92" s="1"/>
  <c r="Z42" i="84" s="1"/>
  <c r="Y20" i="92" a="1"/>
  <c r="Y20" i="92" s="1"/>
  <c r="Y42" i="84" s="1"/>
  <c r="AP261" i="83"/>
  <c r="I261" i="83" s="1"/>
  <c r="AP273" i="83"/>
  <c r="I273" i="83" s="1"/>
  <c r="AN304" i="83"/>
  <c r="AC41" i="83"/>
  <c r="AC42" i="83"/>
  <c r="Y42" i="83"/>
  <c r="AA26" i="92" a="1"/>
  <c r="AA26" i="92" s="1"/>
  <c r="Y26" i="92" a="1"/>
  <c r="Y26" i="92" s="1"/>
  <c r="Z26" i="92" a="1"/>
  <c r="Z26" i="92" s="1"/>
  <c r="AN298" i="83"/>
  <c r="AR283" i="83"/>
  <c r="AN310" i="83"/>
  <c r="AN296" i="83"/>
  <c r="AR264" i="83"/>
  <c r="AR263" i="83"/>
  <c r="AT265" i="83"/>
  <c r="AT274" i="83"/>
  <c r="AT277" i="83"/>
  <c r="AR266" i="83"/>
  <c r="AT267" i="83"/>
  <c r="AN291" i="83"/>
  <c r="AS275" i="83"/>
  <c r="AP303" i="83"/>
  <c r="AS280" i="83"/>
  <c r="AO295" i="83"/>
  <c r="AR269" i="83"/>
  <c r="AO302" i="83"/>
  <c r="AN301" i="83"/>
  <c r="AT266" i="83"/>
  <c r="AO294" i="83"/>
  <c r="AO299" i="83"/>
  <c r="AP295" i="83"/>
  <c r="AS269" i="83"/>
  <c r="AR272" i="83"/>
  <c r="AP306" i="83"/>
  <c r="AR271" i="83"/>
  <c r="AA65" i="76"/>
  <c r="AR275" i="83"/>
  <c r="AS267" i="83"/>
  <c r="AO310" i="83"/>
  <c r="AR281" i="83"/>
  <c r="AR280" i="83"/>
  <c r="AP292" i="83"/>
  <c r="AP309" i="83"/>
  <c r="AP310" i="83"/>
  <c r="AS260" i="83"/>
  <c r="AO315" i="83"/>
  <c r="AP300" i="83"/>
  <c r="AE282" i="83"/>
  <c r="AB282" i="83"/>
  <c r="U268" i="83"/>
  <c r="L65" i="76"/>
  <c r="J19" i="92" s="1"/>
  <c r="U275" i="83"/>
  <c r="S65" i="76"/>
  <c r="Q19" i="92" s="1"/>
  <c r="U272" i="83"/>
  <c r="P65" i="76"/>
  <c r="N19" i="92" s="1"/>
  <c r="U271" i="83"/>
  <c r="O65" i="76"/>
  <c r="M19" i="92" s="1"/>
  <c r="U278" i="83"/>
  <c r="V65" i="76"/>
  <c r="T19" i="92" s="1"/>
  <c r="U262" i="83"/>
  <c r="F65" i="76"/>
  <c r="D19" i="92" s="1"/>
  <c r="U281" i="83"/>
  <c r="Y65" i="76"/>
  <c r="W19" i="92" s="1"/>
  <c r="AQ305" i="83"/>
  <c r="R65" i="76"/>
  <c r="P19" i="92" s="1"/>
  <c r="P276" i="83"/>
  <c r="T65" i="76"/>
  <c r="AU275" i="83"/>
  <c r="AH278" i="83"/>
  <c r="AU281" i="83"/>
  <c r="AQ312" i="83"/>
  <c r="AU262" i="83"/>
  <c r="P262" i="83"/>
  <c r="AQ309" i="83"/>
  <c r="AH274" i="83"/>
  <c r="P281" i="83"/>
  <c r="P275" i="83"/>
  <c r="AH262" i="83"/>
  <c r="AQ306" i="83"/>
  <c r="AF282" i="83"/>
  <c r="P268" i="83"/>
  <c r="AU276" i="83"/>
  <c r="AQ293" i="83"/>
  <c r="AU268" i="83"/>
  <c r="AH268" i="83"/>
  <c r="U276" i="83"/>
  <c r="P272" i="83"/>
  <c r="AH271" i="83"/>
  <c r="AU271" i="83"/>
  <c r="AH272" i="83"/>
  <c r="P271" i="83"/>
  <c r="AQ302" i="83"/>
  <c r="AQ303" i="83"/>
  <c r="AQ307" i="83"/>
  <c r="AC282" i="83"/>
  <c r="AU272" i="83"/>
  <c r="AU283" i="83"/>
  <c r="AN315" i="83"/>
  <c r="AS272" i="83"/>
  <c r="AQ314" i="83"/>
  <c r="AO292" i="83"/>
  <c r="AO314" i="83"/>
  <c r="AP276" i="83"/>
  <c r="I276" i="83" s="1"/>
  <c r="AR268" i="83"/>
  <c r="AR274" i="83"/>
  <c r="AM315" i="83"/>
  <c r="AP315" i="83"/>
  <c r="AT260" i="83"/>
  <c r="AT270" i="83"/>
  <c r="AN309" i="83"/>
  <c r="AS273" i="83"/>
  <c r="AT280" i="83"/>
  <c r="AS265" i="83"/>
  <c r="AP283" i="83"/>
  <c r="I283" i="83" s="1"/>
  <c r="AI20" i="85"/>
  <c r="Q20" i="85" s="1"/>
  <c r="AI23" i="85"/>
  <c r="Q24" i="85" s="1"/>
  <c r="AI14" i="85"/>
  <c r="Q14" i="85" s="1"/>
  <c r="AI24" i="85"/>
  <c r="Q25" i="85" s="1"/>
  <c r="AI16" i="85"/>
  <c r="Q16" i="85" s="1"/>
  <c r="AI18" i="85"/>
  <c r="Q18" i="85" s="1"/>
  <c r="AI12" i="85"/>
  <c r="Q12" i="85" s="1"/>
  <c r="AI21" i="85"/>
  <c r="Q21" i="85" s="1"/>
  <c r="AI22" i="85"/>
  <c r="Q22" i="85" s="1"/>
  <c r="AI11" i="85"/>
  <c r="Q11" i="85" s="1"/>
  <c r="AI13" i="85"/>
  <c r="Q13" i="85" s="1"/>
  <c r="AI15" i="85"/>
  <c r="Q15" i="85" s="1"/>
  <c r="AI28" i="85"/>
  <c r="Q31" i="85" s="1"/>
  <c r="AI25" i="85"/>
  <c r="Q28" i="85" s="1"/>
  <c r="AI26" i="85"/>
  <c r="Q29" i="85" s="1"/>
  <c r="AI19" i="85"/>
  <c r="Q19" i="85" s="1"/>
  <c r="AI27" i="85"/>
  <c r="Q30" i="85" s="1"/>
  <c r="AI17" i="85"/>
  <c r="Q17" i="85" s="1"/>
  <c r="AI10" i="85"/>
  <c r="Q10" i="85" s="1"/>
  <c r="AT262" i="83"/>
  <c r="AS262" i="83"/>
  <c r="AP279" i="83"/>
  <c r="I279" i="83" s="1"/>
  <c r="AO312" i="83"/>
  <c r="AS278" i="83"/>
  <c r="AS270" i="83"/>
  <c r="AO307" i="83"/>
  <c r="AS266" i="83"/>
  <c r="AP269" i="83"/>
  <c r="I269" i="83" s="1"/>
  <c r="AS277" i="83"/>
  <c r="AN307" i="83"/>
  <c r="AR262" i="83"/>
  <c r="AN308" i="83"/>
  <c r="AN292" i="83"/>
  <c r="AU278" i="83"/>
  <c r="P278" i="83"/>
  <c r="AH275" i="83"/>
  <c r="AW30" i="83"/>
  <c r="AV13" i="83"/>
  <c r="AV28" i="83"/>
  <c r="AW19" i="83"/>
  <c r="AP271" i="83"/>
  <c r="I271" i="83" s="1"/>
  <c r="AV31" i="83"/>
  <c r="AV10" i="83"/>
  <c r="AW15" i="83"/>
  <c r="AV25" i="83"/>
  <c r="AW17" i="83"/>
  <c r="AW26" i="83"/>
  <c r="P263" i="83"/>
  <c r="U263" i="83"/>
  <c r="AH273" i="83"/>
  <c r="U274" i="83"/>
  <c r="AV26" i="83"/>
  <c r="AW11" i="83"/>
  <c r="P274" i="83"/>
  <c r="AP278" i="83"/>
  <c r="I278" i="83" s="1"/>
  <c r="AP272" i="83"/>
  <c r="I272" i="83" s="1"/>
  <c r="AQ304" i="83"/>
  <c r="U273" i="83"/>
  <c r="AH266" i="83"/>
  <c r="U266" i="83"/>
  <c r="AQ292" i="83"/>
  <c r="U261" i="83"/>
  <c r="AP267" i="83"/>
  <c r="I267" i="83" s="1"/>
  <c r="AP264" i="83"/>
  <c r="I264" i="83" s="1"/>
  <c r="AU279" i="83"/>
  <c r="AW279" i="83" s="1"/>
  <c r="U279" i="83"/>
  <c r="AH277" i="83"/>
  <c r="U280" i="83"/>
  <c r="AV21" i="83"/>
  <c r="AX21" i="83" s="1"/>
  <c r="AU280" i="83"/>
  <c r="AP270" i="83"/>
  <c r="I270" i="83" s="1"/>
  <c r="P260" i="83"/>
  <c r="U260" i="83"/>
  <c r="AQ308" i="83"/>
  <c r="U277" i="83"/>
  <c r="AQ298" i="83"/>
  <c r="U267" i="83"/>
  <c r="P270" i="83"/>
  <c r="U270" i="83"/>
  <c r="AQ296" i="83"/>
  <c r="U265" i="83"/>
  <c r="AH269" i="83"/>
  <c r="U269" i="83"/>
  <c r="AH264" i="83"/>
  <c r="U264" i="83"/>
  <c r="AQ311" i="83"/>
  <c r="AP302" i="83"/>
  <c r="P273" i="83"/>
  <c r="P264" i="83"/>
  <c r="P261" i="83"/>
  <c r="AU269" i="83"/>
  <c r="P266" i="83"/>
  <c r="AQ300" i="83"/>
  <c r="AH265" i="83"/>
  <c r="AQ295" i="83"/>
  <c r="P265" i="83"/>
  <c r="AP280" i="83"/>
  <c r="I280" i="83" s="1"/>
  <c r="AQ297" i="83"/>
  <c r="AH261" i="83"/>
  <c r="P269" i="83"/>
  <c r="AU264" i="83"/>
  <c r="AU274" i="83"/>
  <c r="P280" i="83"/>
  <c r="AQ315" i="83"/>
  <c r="AP275" i="83"/>
  <c r="I275" i="83" s="1"/>
  <c r="P267" i="83"/>
  <c r="AH267" i="83"/>
  <c r="AU267" i="83"/>
  <c r="AP281" i="83"/>
  <c r="I281" i="83" s="1"/>
  <c r="AU266" i="83"/>
  <c r="AU265" i="83"/>
  <c r="AU261" i="83"/>
  <c r="AW261" i="83" s="1"/>
  <c r="AU277" i="83"/>
  <c r="P277" i="83"/>
  <c r="AU263" i="83"/>
  <c r="AU260" i="83"/>
  <c r="AT268" i="83"/>
  <c r="P279" i="83"/>
  <c r="AT276" i="83"/>
  <c r="Z282" i="83"/>
  <c r="AQ291" i="83"/>
  <c r="AH260" i="83"/>
  <c r="AQ301" i="83"/>
  <c r="AH270" i="83"/>
  <c r="AI10" i="83"/>
  <c r="AU273" i="83"/>
  <c r="AQ310" i="83"/>
  <c r="AH276" i="83"/>
  <c r="AQ294" i="83"/>
  <c r="AH263" i="83"/>
  <c r="AU270" i="83"/>
  <c r="AP277" i="83"/>
  <c r="I277" i="83" s="1"/>
  <c r="AP262" i="83"/>
  <c r="I262" i="83" s="1"/>
  <c r="AT281" i="83"/>
  <c r="AP294" i="83"/>
  <c r="AP268" i="83"/>
  <c r="I268" i="83" s="1"/>
  <c r="AP265" i="83"/>
  <c r="I265" i="83" s="1"/>
  <c r="AP260" i="83"/>
  <c r="I260" i="83" s="1"/>
  <c r="AP266" i="83"/>
  <c r="I266" i="83" s="1"/>
  <c r="AP263" i="83"/>
  <c r="I263" i="83" s="1"/>
  <c r="AT273" i="83"/>
  <c r="AP314" i="83"/>
  <c r="AQ63" i="82"/>
  <c r="AV15" i="83"/>
  <c r="AW31" i="83"/>
  <c r="AV16" i="83"/>
  <c r="AW28" i="83"/>
  <c r="AW10" i="83"/>
  <c r="AV17" i="83"/>
  <c r="AW16" i="83"/>
  <c r="AV11" i="83"/>
  <c r="AW13" i="83"/>
  <c r="AW33" i="83"/>
  <c r="AW25" i="83"/>
  <c r="AW12" i="83"/>
  <c r="AV12" i="83"/>
  <c r="AV30" i="83"/>
  <c r="AV33" i="83"/>
  <c r="AW18" i="83"/>
  <c r="AV18" i="83"/>
  <c r="AV19" i="83"/>
  <c r="AW27" i="83"/>
  <c r="AV27" i="83"/>
  <c r="AW22" i="83"/>
  <c r="AV22" i="83"/>
  <c r="AW14" i="83"/>
  <c r="AV14" i="83"/>
  <c r="AW23" i="83"/>
  <c r="AV23" i="83"/>
  <c r="AW29" i="83"/>
  <c r="AV29" i="83"/>
  <c r="AW20" i="83"/>
  <c r="AV20" i="83"/>
  <c r="AI27" i="83"/>
  <c r="Q280" i="83" s="1"/>
  <c r="AI28" i="83"/>
  <c r="Q281" i="83" s="1"/>
  <c r="AI22" i="83"/>
  <c r="Q272" i="83" s="1"/>
  <c r="AI17" i="83"/>
  <c r="Q267" i="83" s="1"/>
  <c r="AH10" i="84"/>
  <c r="R10" i="84" s="1"/>
  <c r="AI26" i="83"/>
  <c r="Q279" i="83" s="1"/>
  <c r="AI21" i="83"/>
  <c r="Q271" i="83" s="1"/>
  <c r="AI25" i="83"/>
  <c r="Q278" i="83" s="1"/>
  <c r="AI11" i="83"/>
  <c r="Q261" i="83" s="1"/>
  <c r="AI16" i="83"/>
  <c r="Q266" i="83" s="1"/>
  <c r="AI13" i="83"/>
  <c r="Q263" i="83" s="1"/>
  <c r="AI14" i="83"/>
  <c r="Q264" i="83" s="1"/>
  <c r="AI12" i="83"/>
  <c r="Q262" i="83" s="1"/>
  <c r="AI18" i="83"/>
  <c r="Q268" i="83" s="1"/>
  <c r="AI20" i="83"/>
  <c r="Q270" i="83" s="1"/>
  <c r="AI15" i="83"/>
  <c r="Q265" i="83" s="1"/>
  <c r="AI23" i="83"/>
  <c r="Q274" i="83" s="1"/>
  <c r="AI24" i="83"/>
  <c r="Q275" i="83" s="1"/>
  <c r="AI19" i="83"/>
  <c r="Q269" i="83" s="1"/>
  <c r="N4" i="75"/>
  <c r="AB41" i="84" l="1"/>
  <c r="X42" i="84"/>
  <c r="AB42" i="84"/>
  <c r="AI278" i="83"/>
  <c r="AV267" i="83"/>
  <c r="AA19" i="92" a="1"/>
  <c r="AA19" i="92" s="1"/>
  <c r="AD291" i="83" s="1"/>
  <c r="AD292" i="83" s="1"/>
  <c r="Y19" i="92" a="1"/>
  <c r="Y19" i="92" s="1"/>
  <c r="Z292" i="83" s="1"/>
  <c r="Z19" i="92" a="1"/>
  <c r="Z19" i="92" s="1"/>
  <c r="AA292" i="83" s="1"/>
  <c r="AI269" i="83"/>
  <c r="AW283" i="83"/>
  <c r="AW264" i="83"/>
  <c r="AI262" i="83"/>
  <c r="AV263" i="83"/>
  <c r="AW266" i="83"/>
  <c r="AW269" i="83"/>
  <c r="AV272" i="83"/>
  <c r="AV275" i="83"/>
  <c r="AW271" i="83"/>
  <c r="AW275" i="83"/>
  <c r="AW281" i="83"/>
  <c r="AW272" i="83"/>
  <c r="AV276" i="83"/>
  <c r="AV271" i="83"/>
  <c r="AV283" i="83"/>
  <c r="AV268" i="83"/>
  <c r="AW270" i="83"/>
  <c r="AV280" i="83"/>
  <c r="AV260" i="83"/>
  <c r="AV262" i="83"/>
  <c r="AW265" i="83"/>
  <c r="AW262" i="83"/>
  <c r="AW277" i="83"/>
  <c r="AV277" i="83"/>
  <c r="AV278" i="83"/>
  <c r="AX13" i="83"/>
  <c r="AX31" i="83"/>
  <c r="AW278" i="83"/>
  <c r="AX30" i="83"/>
  <c r="AX10" i="83"/>
  <c r="AX28" i="83"/>
  <c r="AW280" i="83"/>
  <c r="AX19" i="83"/>
  <c r="AX26" i="83"/>
  <c r="AX15" i="83"/>
  <c r="AX25" i="83"/>
  <c r="AX17" i="83"/>
  <c r="AX11" i="83"/>
  <c r="AV279" i="83"/>
  <c r="AX279" i="83" s="1"/>
  <c r="AV269" i="83"/>
  <c r="AV264" i="83"/>
  <c r="AV266" i="83"/>
  <c r="AW267" i="83"/>
  <c r="AW263" i="83"/>
  <c r="AV281" i="83"/>
  <c r="AV261" i="83"/>
  <c r="AX261" i="83" s="1"/>
  <c r="AW273" i="83"/>
  <c r="AW260" i="83"/>
  <c r="AV265" i="83"/>
  <c r="AW276" i="83"/>
  <c r="AW268" i="83"/>
  <c r="AV270" i="83"/>
  <c r="AI261" i="83"/>
  <c r="AI271" i="83"/>
  <c r="AI275" i="83"/>
  <c r="AI270" i="83"/>
  <c r="Q260" i="83"/>
  <c r="Q10" i="83"/>
  <c r="AI265" i="83"/>
  <c r="AI266" i="83"/>
  <c r="AI268" i="83"/>
  <c r="AI276" i="83"/>
  <c r="AI272" i="83"/>
  <c r="AI260" i="83"/>
  <c r="AI277" i="83"/>
  <c r="AI264" i="83"/>
  <c r="AI267" i="83"/>
  <c r="AI263" i="83"/>
  <c r="AI274" i="83"/>
  <c r="AI273" i="83"/>
  <c r="AV273" i="83"/>
  <c r="Q17" i="83"/>
  <c r="Q13" i="83"/>
  <c r="Q29" i="83"/>
  <c r="Q19" i="83"/>
  <c r="Q25" i="83"/>
  <c r="Q24" i="83"/>
  <c r="Q16" i="83"/>
  <c r="Q28" i="83"/>
  <c r="Q31" i="83"/>
  <c r="Q15" i="83"/>
  <c r="Q12" i="83"/>
  <c r="Q21" i="83"/>
  <c r="Q20" i="83"/>
  <c r="Q14" i="83"/>
  <c r="Q18" i="83"/>
  <c r="Q11" i="83"/>
  <c r="Q30" i="83"/>
  <c r="AX16" i="83"/>
  <c r="AX14" i="83"/>
  <c r="Q138" i="83"/>
  <c r="AX33" i="83"/>
  <c r="AX12" i="83"/>
  <c r="AX20" i="83"/>
  <c r="AX27" i="83"/>
  <c r="AX18" i="83"/>
  <c r="Q137" i="83"/>
  <c r="AX29" i="83"/>
  <c r="AX23" i="83"/>
  <c r="AX22" i="83"/>
  <c r="Q124" i="83"/>
  <c r="Q129" i="83"/>
  <c r="Q22" i="83"/>
  <c r="Q131" i="83"/>
  <c r="Q123" i="83"/>
  <c r="Q128" i="83"/>
  <c r="Q127" i="83"/>
  <c r="Q121" i="83"/>
  <c r="Q118" i="83"/>
  <c r="Q136" i="83"/>
  <c r="Q132" i="83"/>
  <c r="Q126" i="83"/>
  <c r="Q117" i="83"/>
  <c r="Q122" i="83"/>
  <c r="Q135" i="83"/>
  <c r="Q125" i="83"/>
  <c r="Q119" i="83"/>
  <c r="Q120" i="83"/>
  <c r="M5" i="75"/>
  <c r="AX267" i="83" l="1"/>
  <c r="Y292" i="83"/>
  <c r="AC291" i="83"/>
  <c r="AC292" i="83"/>
  <c r="AX266" i="83"/>
  <c r="AX268" i="83"/>
  <c r="AX270" i="83"/>
  <c r="AX269" i="83"/>
  <c r="AX283" i="83"/>
  <c r="AX264" i="83"/>
  <c r="AX263" i="83"/>
  <c r="AX272" i="83"/>
  <c r="AX275" i="83"/>
  <c r="AX271" i="83"/>
  <c r="AX276" i="83"/>
  <c r="AX281" i="83"/>
  <c r="AX262" i="83"/>
  <c r="AX260" i="83"/>
  <c r="AX265" i="83"/>
  <c r="AX280" i="83"/>
  <c r="AX277" i="83"/>
  <c r="AX278" i="83"/>
  <c r="AX273" i="83"/>
  <c r="N5" i="75"/>
  <c r="M6" i="75"/>
  <c r="M7" i="75" l="1"/>
  <c r="N6" i="75"/>
  <c r="H31" i="82"/>
  <c r="G31" i="82"/>
  <c r="F31" i="82"/>
  <c r="E31" i="82"/>
  <c r="D31" i="82"/>
  <c r="H30" i="82"/>
  <c r="G30" i="82"/>
  <c r="F30" i="82"/>
  <c r="E30" i="82"/>
  <c r="D30" i="82"/>
  <c r="H29" i="82"/>
  <c r="G29" i="82"/>
  <c r="F29" i="82"/>
  <c r="E29" i="82"/>
  <c r="D29" i="82"/>
  <c r="H28" i="82"/>
  <c r="G28" i="82"/>
  <c r="F28" i="82"/>
  <c r="E28" i="82"/>
  <c r="D28" i="82"/>
  <c r="H27" i="82"/>
  <c r="G27" i="82"/>
  <c r="F27" i="82"/>
  <c r="E27" i="82"/>
  <c r="D27" i="82"/>
  <c r="H26" i="82"/>
  <c r="G26" i="82"/>
  <c r="F26" i="82"/>
  <c r="E26" i="82"/>
  <c r="D26" i="82"/>
  <c r="H25" i="82"/>
  <c r="G25" i="82"/>
  <c r="F25" i="82"/>
  <c r="E25" i="82"/>
  <c r="D25" i="82"/>
  <c r="H24" i="82"/>
  <c r="G24" i="82"/>
  <c r="E24" i="82"/>
  <c r="D24" i="82"/>
  <c r="H23" i="82"/>
  <c r="G23" i="82"/>
  <c r="F23" i="82"/>
  <c r="E23" i="82"/>
  <c r="D23" i="82"/>
  <c r="H22" i="82"/>
  <c r="G22" i="82"/>
  <c r="F22" i="82"/>
  <c r="E22" i="82"/>
  <c r="D22" i="82"/>
  <c r="H21" i="82"/>
  <c r="G21" i="82"/>
  <c r="F21" i="82"/>
  <c r="E21" i="82"/>
  <c r="D21" i="82"/>
  <c r="H20" i="82"/>
  <c r="G20" i="82"/>
  <c r="F20" i="82"/>
  <c r="E20" i="82"/>
  <c r="D20" i="82"/>
  <c r="H19" i="82"/>
  <c r="G19" i="82"/>
  <c r="F19" i="82"/>
  <c r="E19" i="82"/>
  <c r="D19" i="82"/>
  <c r="H18" i="82"/>
  <c r="G18" i="82"/>
  <c r="F18" i="82"/>
  <c r="E18" i="82"/>
  <c r="D18" i="82"/>
  <c r="H17" i="82"/>
  <c r="G17" i="82"/>
  <c r="F17" i="82"/>
  <c r="E17" i="82"/>
  <c r="D17" i="82"/>
  <c r="H16" i="82"/>
  <c r="G16" i="82"/>
  <c r="F16" i="82"/>
  <c r="E16" i="82"/>
  <c r="D16" i="82"/>
  <c r="H15" i="82"/>
  <c r="G15" i="82"/>
  <c r="F15" i="82"/>
  <c r="E15" i="82"/>
  <c r="D15" i="82"/>
  <c r="H14" i="82"/>
  <c r="G14" i="82"/>
  <c r="F14" i="82"/>
  <c r="E14" i="82"/>
  <c r="D14" i="82"/>
  <c r="H13" i="82"/>
  <c r="G13" i="82"/>
  <c r="F13" i="82"/>
  <c r="E13" i="82"/>
  <c r="D13" i="82"/>
  <c r="H12" i="82"/>
  <c r="G12" i="82"/>
  <c r="F12" i="82"/>
  <c r="E12" i="82"/>
  <c r="D12" i="82"/>
  <c r="H11" i="82"/>
  <c r="G11" i="82"/>
  <c r="F11" i="82"/>
  <c r="E11" i="82"/>
  <c r="D11" i="82"/>
  <c r="H10" i="82"/>
  <c r="G10" i="82"/>
  <c r="F10" i="82"/>
  <c r="E10" i="82"/>
  <c r="D10" i="82"/>
  <c r="A105" i="82"/>
  <c r="A70" i="82"/>
  <c r="A37" i="82"/>
  <c r="T31" i="82"/>
  <c r="AQ61" i="82" s="1"/>
  <c r="T30" i="82"/>
  <c r="AQ60" i="82" s="1"/>
  <c r="T29" i="82"/>
  <c r="AQ59" i="82" s="1"/>
  <c r="T28" i="82"/>
  <c r="AQ58" i="82" s="1"/>
  <c r="T27" i="82"/>
  <c r="AQ57" i="82" s="1"/>
  <c r="T26" i="82"/>
  <c r="AQ56" i="82" s="1"/>
  <c r="T25" i="82"/>
  <c r="AQ55" i="82" s="1"/>
  <c r="T24" i="82"/>
  <c r="AQ54" i="82" s="1"/>
  <c r="T23" i="82"/>
  <c r="AQ53" i="82" s="1"/>
  <c r="T22" i="82"/>
  <c r="AQ52" i="82" s="1"/>
  <c r="T21" i="82"/>
  <c r="AQ51" i="82" s="1"/>
  <c r="T20" i="82"/>
  <c r="AQ50" i="82" s="1"/>
  <c r="T19" i="82"/>
  <c r="AQ49" i="82" s="1"/>
  <c r="T18" i="82"/>
  <c r="AQ48" i="82" s="1"/>
  <c r="T17" i="82"/>
  <c r="AQ47" i="82" s="1"/>
  <c r="T16" i="82"/>
  <c r="AQ46" i="82" s="1"/>
  <c r="T15" i="82"/>
  <c r="AQ45" i="82" s="1"/>
  <c r="T14" i="82"/>
  <c r="AQ44" i="82" s="1"/>
  <c r="T13" i="82"/>
  <c r="AQ43" i="82" s="1"/>
  <c r="T12" i="82"/>
  <c r="AQ42" i="82" s="1"/>
  <c r="T11" i="82"/>
  <c r="AQ41" i="82" s="1"/>
  <c r="T10" i="82"/>
  <c r="AQ40" i="82" s="1"/>
  <c r="Y4" i="82"/>
  <c r="Y14" i="82" l="1"/>
  <c r="Y22" i="82"/>
  <c r="Z22" i="82"/>
  <c r="Y30" i="82"/>
  <c r="Y11" i="82"/>
  <c r="Y15" i="82"/>
  <c r="Y19" i="82"/>
  <c r="Y23" i="82"/>
  <c r="Z27" i="82"/>
  <c r="Y27" i="82"/>
  <c r="Y31" i="82"/>
  <c r="Y12" i="82"/>
  <c r="Y16" i="82"/>
  <c r="Z16" i="82"/>
  <c r="Y20" i="82"/>
  <c r="Y24" i="82"/>
  <c r="Y28" i="82"/>
  <c r="Y10" i="82"/>
  <c r="Y18" i="82"/>
  <c r="Y26" i="82"/>
  <c r="Z26" i="82"/>
  <c r="AQ64" i="82"/>
  <c r="Y13" i="82"/>
  <c r="Y17" i="82"/>
  <c r="Y21" i="82"/>
  <c r="Y25" i="82"/>
  <c r="Y29" i="82"/>
  <c r="AA10" i="82"/>
  <c r="AE10" i="82"/>
  <c r="AD11" i="82"/>
  <c r="AC12" i="82"/>
  <c r="AB13" i="82"/>
  <c r="AE14" i="82"/>
  <c r="AD15" i="82"/>
  <c r="AC16" i="82"/>
  <c r="AB17" i="82"/>
  <c r="AE18" i="82"/>
  <c r="AD19" i="82"/>
  <c r="AC20" i="82"/>
  <c r="AB21" i="82"/>
  <c r="AE22" i="82"/>
  <c r="AD23" i="82"/>
  <c r="AB25" i="82"/>
  <c r="AA26" i="82"/>
  <c r="AE26" i="82"/>
  <c r="AD27" i="82"/>
  <c r="AC28" i="82"/>
  <c r="AB29" i="82"/>
  <c r="AA30" i="82"/>
  <c r="AE30" i="82"/>
  <c r="AD31" i="82"/>
  <c r="AB10" i="82"/>
  <c r="AE11" i="82"/>
  <c r="AD12" i="82"/>
  <c r="AC13" i="82"/>
  <c r="AB14" i="82"/>
  <c r="AE15" i="82"/>
  <c r="AD16" i="82"/>
  <c r="AC17" i="82"/>
  <c r="AB18" i="82"/>
  <c r="AE19" i="82"/>
  <c r="AD20" i="82"/>
  <c r="AC21" i="82"/>
  <c r="AB22" i="82"/>
  <c r="AE23" i="82"/>
  <c r="AD24" i="82"/>
  <c r="AC25" i="82"/>
  <c r="AB26" i="82"/>
  <c r="AE27" i="82"/>
  <c r="AD28" i="82"/>
  <c r="AC29" i="82"/>
  <c r="AB30" i="82"/>
  <c r="AE31" i="82"/>
  <c r="AC10" i="82"/>
  <c r="AB11" i="82"/>
  <c r="AE12" i="82"/>
  <c r="AD13" i="82"/>
  <c r="AC14" i="82"/>
  <c r="AB15" i="82"/>
  <c r="AE16" i="82"/>
  <c r="AD17" i="82"/>
  <c r="AC18" i="82"/>
  <c r="AB19" i="82"/>
  <c r="AE20" i="82"/>
  <c r="AD21" i="82"/>
  <c r="AC22" i="82"/>
  <c r="AB23" i="82"/>
  <c r="AA24" i="82"/>
  <c r="AE24" i="82"/>
  <c r="AD25" i="82"/>
  <c r="AC26" i="82"/>
  <c r="AB27" i="82"/>
  <c r="AE28" i="82"/>
  <c r="AD29" i="82"/>
  <c r="AC30" i="82"/>
  <c r="AB31" i="82"/>
  <c r="AD10" i="82"/>
  <c r="AC11" i="82"/>
  <c r="AB12" i="82"/>
  <c r="AE13" i="82"/>
  <c r="AD14" i="82"/>
  <c r="AC15" i="82"/>
  <c r="AB16" i="82"/>
  <c r="AE17" i="82"/>
  <c r="AD18" i="82"/>
  <c r="AC19" i="82"/>
  <c r="AB20" i="82"/>
  <c r="AE21" i="82"/>
  <c r="AD22" i="82"/>
  <c r="AC23" i="82"/>
  <c r="AB24" i="82"/>
  <c r="AE25" i="82"/>
  <c r="AD26" i="82"/>
  <c r="AC27" i="82"/>
  <c r="AB28" i="82"/>
  <c r="AE29" i="82"/>
  <c r="AD30" i="82"/>
  <c r="AC31" i="82"/>
  <c r="L15" i="82"/>
  <c r="AL45" i="82" s="1"/>
  <c r="AA15" i="82"/>
  <c r="L23" i="82"/>
  <c r="AL53" i="82" s="1"/>
  <c r="AA23" i="82"/>
  <c r="AA16" i="82"/>
  <c r="L14" i="82"/>
  <c r="AL44" i="82" s="1"/>
  <c r="AA14" i="82"/>
  <c r="L18" i="82"/>
  <c r="AL48" i="82" s="1"/>
  <c r="AA18" i="82"/>
  <c r="L22" i="82"/>
  <c r="AL52" i="82" s="1"/>
  <c r="AA22" i="82"/>
  <c r="AA11" i="82"/>
  <c r="L19" i="82"/>
  <c r="AL49" i="82" s="1"/>
  <c r="AA19" i="82"/>
  <c r="L27" i="82"/>
  <c r="AL57" i="82" s="1"/>
  <c r="AA27" i="82"/>
  <c r="L31" i="82"/>
  <c r="AL61" i="82" s="1"/>
  <c r="AA31" i="82"/>
  <c r="AA12" i="82"/>
  <c r="L20" i="82"/>
  <c r="AL50" i="82" s="1"/>
  <c r="AA20" i="82"/>
  <c r="AA28" i="82"/>
  <c r="L13" i="82"/>
  <c r="AL43" i="82" s="1"/>
  <c r="AA13" i="82"/>
  <c r="L17" i="82"/>
  <c r="AL47" i="82" s="1"/>
  <c r="AA17" i="82"/>
  <c r="L21" i="82"/>
  <c r="AL51" i="82" s="1"/>
  <c r="AA21" i="82"/>
  <c r="L25" i="82"/>
  <c r="AL55" i="82" s="1"/>
  <c r="AA25" i="82"/>
  <c r="L29" i="82"/>
  <c r="AL59" i="82" s="1"/>
  <c r="AA29" i="82"/>
  <c r="P10" i="82"/>
  <c r="B3" i="92" s="1"/>
  <c r="AN10" i="82"/>
  <c r="N12" i="82"/>
  <c r="AL12" i="82"/>
  <c r="P14" i="82"/>
  <c r="AN14" i="82"/>
  <c r="M17" i="82"/>
  <c r="AM47" i="82" s="1"/>
  <c r="AK17" i="82"/>
  <c r="AL20" i="82"/>
  <c r="AN22" i="82"/>
  <c r="AK25" i="82"/>
  <c r="P26" i="82"/>
  <c r="AN26" i="82"/>
  <c r="AK29" i="82"/>
  <c r="O31" i="82"/>
  <c r="AM31" i="82"/>
  <c r="AN11" i="82"/>
  <c r="AM12" i="82"/>
  <c r="N13" i="82"/>
  <c r="AN43" i="82" s="1"/>
  <c r="AL13" i="82"/>
  <c r="M14" i="82"/>
  <c r="AM44" i="82" s="1"/>
  <c r="AK14" i="82"/>
  <c r="AN15" i="82"/>
  <c r="AM16" i="82"/>
  <c r="N17" i="82"/>
  <c r="AN47" i="82" s="1"/>
  <c r="AL17" i="82"/>
  <c r="M18" i="82"/>
  <c r="AM48" i="82" s="1"/>
  <c r="AK18" i="82"/>
  <c r="AN19" i="82"/>
  <c r="AM20" i="82"/>
  <c r="AL21" i="82"/>
  <c r="AK22" i="82"/>
  <c r="AN23" i="82"/>
  <c r="O24" i="82"/>
  <c r="AO54" i="82" s="1"/>
  <c r="AL25" i="82"/>
  <c r="M26" i="82"/>
  <c r="AM56" i="82" s="1"/>
  <c r="AK26" i="82"/>
  <c r="AN27" i="82"/>
  <c r="O28" i="82"/>
  <c r="AO58" i="82" s="1"/>
  <c r="AM28" i="82"/>
  <c r="AL29" i="82"/>
  <c r="AK30" i="82"/>
  <c r="P31" i="82"/>
  <c r="AN31" i="82"/>
  <c r="O15" i="82"/>
  <c r="AO45" i="82" s="1"/>
  <c r="AM15" i="82"/>
  <c r="AN18" i="82"/>
  <c r="M21" i="82"/>
  <c r="AM51" i="82" s="1"/>
  <c r="AK21" i="82"/>
  <c r="AM27" i="82"/>
  <c r="AK10" i="82"/>
  <c r="AK11" i="82"/>
  <c r="AM13" i="82"/>
  <c r="AK15" i="82"/>
  <c r="AN16" i="82"/>
  <c r="AM17" i="82"/>
  <c r="AL18" i="82"/>
  <c r="AK19" i="82"/>
  <c r="AN20" i="82"/>
  <c r="AM21" i="82"/>
  <c r="AL22" i="82"/>
  <c r="AK23" i="82"/>
  <c r="P24" i="82"/>
  <c r="AN24" i="82"/>
  <c r="O25" i="82"/>
  <c r="AM25" i="82"/>
  <c r="AL26" i="82"/>
  <c r="AK27" i="82"/>
  <c r="AN28" i="82"/>
  <c r="O29" i="82"/>
  <c r="AO59" i="82" s="1"/>
  <c r="AM29" i="82"/>
  <c r="N30" i="82"/>
  <c r="AL30" i="82"/>
  <c r="M31" i="82"/>
  <c r="AM61" i="82" s="1"/>
  <c r="AK31" i="82"/>
  <c r="O11" i="82"/>
  <c r="AO41" i="82" s="1"/>
  <c r="AM11" i="82"/>
  <c r="M13" i="82"/>
  <c r="AM43" i="82" s="1"/>
  <c r="AK13" i="82"/>
  <c r="N16" i="82"/>
  <c r="AL16" i="82"/>
  <c r="O19" i="82"/>
  <c r="AO49" i="82" s="1"/>
  <c r="AM19" i="82"/>
  <c r="AM23" i="82"/>
  <c r="AL28" i="82"/>
  <c r="P30" i="82"/>
  <c r="AN30" i="82"/>
  <c r="AL10" i="82"/>
  <c r="P12" i="82"/>
  <c r="AN12" i="82"/>
  <c r="AL14" i="82"/>
  <c r="O10" i="82"/>
  <c r="AO40" i="82" s="1"/>
  <c r="AM10" i="82"/>
  <c r="AL11" i="82"/>
  <c r="AK12" i="82"/>
  <c r="AN13" i="82"/>
  <c r="AM14" i="82"/>
  <c r="N15" i="82"/>
  <c r="AL15" i="82"/>
  <c r="AK16" i="82"/>
  <c r="P17" i="82"/>
  <c r="I3" i="92" s="1"/>
  <c r="AN17" i="82"/>
  <c r="AM18" i="82"/>
  <c r="AL19" i="82"/>
  <c r="AK20" i="82"/>
  <c r="P21" i="82"/>
  <c r="AN21" i="82"/>
  <c r="O22" i="82"/>
  <c r="AO52" i="82" s="1"/>
  <c r="AM22" i="82"/>
  <c r="AL23" i="82"/>
  <c r="M24" i="82"/>
  <c r="AM54" i="82" s="1"/>
  <c r="AK24" i="82"/>
  <c r="P25" i="82"/>
  <c r="Q3" i="92" s="1"/>
  <c r="AN25" i="82"/>
  <c r="AM26" i="82"/>
  <c r="AL27" i="82"/>
  <c r="M28" i="82"/>
  <c r="AM58" i="82" s="1"/>
  <c r="AK28" i="82"/>
  <c r="AN29" i="82"/>
  <c r="O30" i="82"/>
  <c r="AO60" i="82" s="1"/>
  <c r="AM30" i="82"/>
  <c r="AL31" i="82"/>
  <c r="M8" i="75"/>
  <c r="N7" i="75"/>
  <c r="L24" i="82"/>
  <c r="AL54" i="82" s="1"/>
  <c r="L28" i="82"/>
  <c r="AL58" i="82" s="1"/>
  <c r="P27" i="82"/>
  <c r="O27" i="82"/>
  <c r="L10" i="82"/>
  <c r="AL40" i="82" s="1"/>
  <c r="L26" i="82"/>
  <c r="AL56" i="82" s="1"/>
  <c r="P23" i="82"/>
  <c r="M22" i="82"/>
  <c r="AM52" i="82" s="1"/>
  <c r="M16" i="82"/>
  <c r="AM46" i="82" s="1"/>
  <c r="O26" i="82"/>
  <c r="O12" i="82"/>
  <c r="AO42" i="82" s="1"/>
  <c r="P19" i="82"/>
  <c r="K3" i="92" s="1"/>
  <c r="P29" i="82"/>
  <c r="U3" i="92" s="1"/>
  <c r="P22" i="82"/>
  <c r="N3" i="92" s="1"/>
  <c r="O18" i="82"/>
  <c r="O14" i="82"/>
  <c r="AO44" i="82" s="1"/>
  <c r="O16" i="82"/>
  <c r="AO46" i="82" s="1"/>
  <c r="N14" i="82"/>
  <c r="AN44" i="82" s="1"/>
  <c r="M12" i="82"/>
  <c r="P18" i="82"/>
  <c r="J3" i="92" s="1"/>
  <c r="N18" i="82"/>
  <c r="AN48" i="82" s="1"/>
  <c r="P28" i="82"/>
  <c r="T3" i="92" s="1"/>
  <c r="O23" i="82"/>
  <c r="AO53" i="82" s="1"/>
  <c r="N11" i="82"/>
  <c r="M11" i="82"/>
  <c r="AM41" i="82" s="1"/>
  <c r="O13" i="82"/>
  <c r="AO43" i="82" s="1"/>
  <c r="M15" i="82"/>
  <c r="AM45" i="82" s="1"/>
  <c r="O17" i="82"/>
  <c r="AO47" i="82" s="1"/>
  <c r="M19" i="82"/>
  <c r="AM49" i="82" s="1"/>
  <c r="M20" i="82"/>
  <c r="AM50" i="82" s="1"/>
  <c r="M23" i="82"/>
  <c r="AM53" i="82" s="1"/>
  <c r="M25" i="82"/>
  <c r="AM55" i="82" s="1"/>
  <c r="M27" i="82"/>
  <c r="AM57" i="82" s="1"/>
  <c r="M29" i="82"/>
  <c r="AM59" i="82" s="1"/>
  <c r="M30" i="82"/>
  <c r="O20" i="82"/>
  <c r="AO50" i="82" s="1"/>
  <c r="O21" i="82"/>
  <c r="Z4" i="82"/>
  <c r="N10" i="82"/>
  <c r="N19" i="82"/>
  <c r="N20" i="82"/>
  <c r="N21" i="82"/>
  <c r="AN51" i="82" s="1"/>
  <c r="N22" i="82"/>
  <c r="AN52" i="82" s="1"/>
  <c r="N23" i="82"/>
  <c r="AN53" i="82" s="1"/>
  <c r="N25" i="82"/>
  <c r="N26" i="82"/>
  <c r="AN56" i="82" s="1"/>
  <c r="N27" i="82"/>
  <c r="AN57" i="82" s="1"/>
  <c r="N28" i="82"/>
  <c r="AN58" i="82" s="1"/>
  <c r="N29" i="82"/>
  <c r="AN59" i="82" s="1"/>
  <c r="L30" i="82"/>
  <c r="AL60" i="82" s="1"/>
  <c r="N31" i="82"/>
  <c r="AN61" i="82" s="1"/>
  <c r="R32" i="82"/>
  <c r="M10" i="82"/>
  <c r="AM40" i="82" s="1"/>
  <c r="L11" i="82"/>
  <c r="AL41" i="82" s="1"/>
  <c r="P11" i="82"/>
  <c r="C3" i="92" s="1"/>
  <c r="L12" i="82"/>
  <c r="AL42" i="82" s="1"/>
  <c r="P13" i="82"/>
  <c r="E3" i="92" s="1"/>
  <c r="P15" i="82"/>
  <c r="G3" i="92" s="1"/>
  <c r="L16" i="82"/>
  <c r="AL46" i="82" s="1"/>
  <c r="P16" i="82"/>
  <c r="H3" i="92" s="1"/>
  <c r="P20" i="82"/>
  <c r="L3" i="92" s="1"/>
  <c r="AP44" i="82" l="1"/>
  <c r="F3" i="92"/>
  <c r="AP51" i="82"/>
  <c r="M3" i="92"/>
  <c r="AP60" i="82"/>
  <c r="V3" i="92"/>
  <c r="AP61" i="82"/>
  <c r="W3" i="92"/>
  <c r="Q26" i="82"/>
  <c r="AP54" i="82"/>
  <c r="P3" i="92"/>
  <c r="Q23" i="82"/>
  <c r="Q27" i="82"/>
  <c r="AP42" i="82"/>
  <c r="D3" i="92"/>
  <c r="AN64" i="82"/>
  <c r="Y32" i="82"/>
  <c r="AE32" i="82"/>
  <c r="AB32" i="82"/>
  <c r="AD32" i="82"/>
  <c r="AA32" i="82"/>
  <c r="AO20" i="82"/>
  <c r="I20" i="82" s="1"/>
  <c r="J20" i="82" s="1"/>
  <c r="AO16" i="82"/>
  <c r="I16" i="82" s="1"/>
  <c r="J16" i="82" s="1"/>
  <c r="AO12" i="82"/>
  <c r="I12" i="82" s="1"/>
  <c r="J12" i="82" s="1"/>
  <c r="AO55" i="82"/>
  <c r="AN60" i="82"/>
  <c r="AP56" i="82"/>
  <c r="Q28" i="82"/>
  <c r="AG25" i="82"/>
  <c r="Q22" i="82"/>
  <c r="AG22" i="82"/>
  <c r="Q25" i="82"/>
  <c r="AG24" i="82"/>
  <c r="Q21" i="82"/>
  <c r="AG21" i="82"/>
  <c r="Q17" i="82"/>
  <c r="AG17" i="82"/>
  <c r="Q20" i="82"/>
  <c r="AG20" i="82"/>
  <c r="Q15" i="82"/>
  <c r="AG15" i="82"/>
  <c r="Q11" i="82"/>
  <c r="AG11" i="82"/>
  <c r="AP47" i="82"/>
  <c r="Q18" i="82"/>
  <c r="AG18" i="82"/>
  <c r="Q29" i="82"/>
  <c r="AG26" i="82"/>
  <c r="AO28" i="82"/>
  <c r="I28" i="82" s="1"/>
  <c r="J28" i="82" s="1"/>
  <c r="AO10" i="82"/>
  <c r="AO29" i="82"/>
  <c r="I29" i="82" s="1"/>
  <c r="J29" i="82" s="1"/>
  <c r="AO25" i="82"/>
  <c r="I25" i="82" s="1"/>
  <c r="J25" i="82" s="1"/>
  <c r="AP55" i="82"/>
  <c r="Q19" i="82"/>
  <c r="AG19" i="82"/>
  <c r="Q12" i="82"/>
  <c r="AG12" i="82"/>
  <c r="Q30" i="82"/>
  <c r="AG27" i="82"/>
  <c r="Q24" i="82"/>
  <c r="AG23" i="82"/>
  <c r="Q31" i="82"/>
  <c r="AG28" i="82"/>
  <c r="Q14" i="82"/>
  <c r="AG14" i="82"/>
  <c r="Q10" i="82"/>
  <c r="AG10" i="82"/>
  <c r="Q16" i="82"/>
  <c r="AG16" i="82"/>
  <c r="Q13" i="82"/>
  <c r="AG13" i="82"/>
  <c r="AP64" i="82"/>
  <c r="AO13" i="82"/>
  <c r="I13" i="82" s="1"/>
  <c r="J13" i="82" s="1"/>
  <c r="AO31" i="82"/>
  <c r="I31" i="82" s="1"/>
  <c r="J31" i="82" s="1"/>
  <c r="AO27" i="82"/>
  <c r="I27" i="82" s="1"/>
  <c r="J27" i="82" s="1"/>
  <c r="AO23" i="82"/>
  <c r="I23" i="82" s="1"/>
  <c r="J23" i="82" s="1"/>
  <c r="AO19" i="82"/>
  <c r="I19" i="82" s="1"/>
  <c r="J19" i="82" s="1"/>
  <c r="AO15" i="82"/>
  <c r="I15" i="82" s="1"/>
  <c r="J15" i="82" s="1"/>
  <c r="AO11" i="82"/>
  <c r="I11" i="82" s="1"/>
  <c r="J11" i="82" s="1"/>
  <c r="AO21" i="82"/>
  <c r="I21" i="82" s="1"/>
  <c r="J21" i="82" s="1"/>
  <c r="AO30" i="82"/>
  <c r="I30" i="82" s="1"/>
  <c r="J30" i="82" s="1"/>
  <c r="AO26" i="82"/>
  <c r="I26" i="82" s="1"/>
  <c r="J26" i="82" s="1"/>
  <c r="AO22" i="82"/>
  <c r="I22" i="82" s="1"/>
  <c r="J22" i="82" s="1"/>
  <c r="AO18" i="82"/>
  <c r="I18" i="82" s="1"/>
  <c r="J18" i="82" s="1"/>
  <c r="AO14" i="82"/>
  <c r="I14" i="82" s="1"/>
  <c r="J14" i="82" s="1"/>
  <c r="AO17" i="82"/>
  <c r="I17" i="82" s="1"/>
  <c r="J17" i="82" s="1"/>
  <c r="AN45" i="82"/>
  <c r="AM42" i="82"/>
  <c r="AO61" i="82"/>
  <c r="AN55" i="82"/>
  <c r="AN49" i="82"/>
  <c r="AN42" i="82"/>
  <c r="AO57" i="82"/>
  <c r="AM60" i="82"/>
  <c r="AN50" i="82"/>
  <c r="AN46" i="82"/>
  <c r="AN40" i="82"/>
  <c r="AO51" i="82"/>
  <c r="AN41" i="82"/>
  <c r="AO48" i="82"/>
  <c r="AO56" i="82"/>
  <c r="AP41" i="82"/>
  <c r="AP57" i="82"/>
  <c r="AP59" i="82"/>
  <c r="AP53" i="82"/>
  <c r="AP50" i="82"/>
  <c r="AP46" i="82"/>
  <c r="AP43" i="82"/>
  <c r="AL64" i="82"/>
  <c r="AO64" i="82"/>
  <c r="AM64" i="82"/>
  <c r="N8" i="75"/>
  <c r="M9" i="75"/>
  <c r="AP49" i="82"/>
  <c r="AP52" i="82"/>
  <c r="AP48" i="82"/>
  <c r="AP58" i="82"/>
  <c r="M64" i="82"/>
  <c r="AK64" i="82"/>
  <c r="AP40" i="82"/>
  <c r="AP45" i="82"/>
  <c r="B148" i="49"/>
  <c r="Y3" i="92" l="1" a="1"/>
  <c r="Y3" i="92" s="1"/>
  <c r="Y41" i="82" s="1"/>
  <c r="Z3" i="92" a="1"/>
  <c r="Z3" i="92" s="1"/>
  <c r="Z41" i="82" s="1"/>
  <c r="AA3" i="92" a="1"/>
  <c r="AA3" i="92" s="1"/>
  <c r="AC41" i="82" s="1"/>
  <c r="AC42" i="82" s="1"/>
  <c r="I10" i="82"/>
  <c r="J10" i="82" s="1"/>
  <c r="N9" i="75"/>
  <c r="M10" i="75"/>
  <c r="AH16" i="82"/>
  <c r="R16" i="82" s="1"/>
  <c r="AH11" i="82"/>
  <c r="R11" i="82" s="1"/>
  <c r="AH10" i="82"/>
  <c r="R10" i="82" s="1"/>
  <c r="AH22" i="82"/>
  <c r="R22" i="82" s="1"/>
  <c r="AH23" i="82"/>
  <c r="AH28" i="82"/>
  <c r="R31" i="82" s="1"/>
  <c r="AH17" i="82"/>
  <c r="R17" i="82" s="1"/>
  <c r="AH24" i="82"/>
  <c r="AH25" i="82"/>
  <c r="AH26" i="82"/>
  <c r="AH27" i="82"/>
  <c r="AH21" i="82"/>
  <c r="R21" i="82" s="1"/>
  <c r="AH18" i="82"/>
  <c r="R18" i="82" s="1"/>
  <c r="AH13" i="82"/>
  <c r="R13" i="82" s="1"/>
  <c r="AH15" i="82"/>
  <c r="R15" i="82" s="1"/>
  <c r="AH19" i="82"/>
  <c r="R19" i="82" s="1"/>
  <c r="AH14" i="82"/>
  <c r="R14" i="82" s="1"/>
  <c r="AH20" i="82"/>
  <c r="R20" i="82" s="1"/>
  <c r="AH12" i="82"/>
  <c r="R12" i="82" s="1"/>
  <c r="B76" i="73"/>
  <c r="D12" i="72"/>
  <c r="AA12" i="72" s="1"/>
  <c r="H23" i="75"/>
  <c r="G23" i="75"/>
  <c r="F23" i="75"/>
  <c r="E23" i="75"/>
  <c r="D23" i="75"/>
  <c r="AB40" i="82" l="1"/>
  <c r="X41" i="82"/>
  <c r="AB41" i="82"/>
  <c r="R28" i="82"/>
  <c r="R24" i="82"/>
  <c r="R23" i="82"/>
  <c r="R25" i="82"/>
  <c r="R29" i="82"/>
  <c r="R26" i="82"/>
  <c r="R30" i="82"/>
  <c r="R27" i="82"/>
  <c r="N10" i="75"/>
  <c r="M11" i="75"/>
  <c r="E27" i="75"/>
  <c r="D28" i="75"/>
  <c r="E28" i="75"/>
  <c r="F28" i="75"/>
  <c r="G28" i="75"/>
  <c r="F27" i="75"/>
  <c r="H27" i="75"/>
  <c r="D27" i="75"/>
  <c r="AA146" i="83" l="1"/>
  <c r="AF111" i="84"/>
  <c r="AF147" i="84"/>
  <c r="AF75" i="84"/>
  <c r="Z147" i="83"/>
  <c r="AE112" i="84"/>
  <c r="AE148" i="84"/>
  <c r="AE76" i="84"/>
  <c r="AA147" i="83"/>
  <c r="AF148" i="84"/>
  <c r="AF112" i="84"/>
  <c r="AF76" i="84"/>
  <c r="AB147" i="83"/>
  <c r="AG148" i="84"/>
  <c r="AG112" i="84"/>
  <c r="AG76" i="84"/>
  <c r="AD147" i="83"/>
  <c r="AI112" i="84"/>
  <c r="AI148" i="84"/>
  <c r="AI76" i="84"/>
  <c r="AD146" i="83"/>
  <c r="AI111" i="84"/>
  <c r="AI147" i="84"/>
  <c r="AI75" i="84"/>
  <c r="AC146" i="83"/>
  <c r="AH111" i="84"/>
  <c r="AH147" i="84"/>
  <c r="AH75" i="84"/>
  <c r="Z146" i="83"/>
  <c r="AE147" i="84"/>
  <c r="AE111" i="84"/>
  <c r="AE75" i="84"/>
  <c r="AB146" i="83"/>
  <c r="AG147" i="84"/>
  <c r="AG111" i="84"/>
  <c r="AG75" i="84"/>
  <c r="AD2" i="74"/>
  <c r="BB39" i="63"/>
  <c r="AD2" i="63"/>
  <c r="AD2" i="66"/>
  <c r="AD2" i="67"/>
  <c r="AQ39" i="63"/>
  <c r="BL39" i="63"/>
  <c r="AI110" i="63"/>
  <c r="AD2" i="62"/>
  <c r="BG39" i="63"/>
  <c r="AD110" i="63"/>
  <c r="AD2" i="68"/>
  <c r="AD2" i="49"/>
  <c r="AD2" i="64"/>
  <c r="AG2" i="50"/>
  <c r="AD2" i="65"/>
  <c r="AD146" i="69"/>
  <c r="AI254" i="69"/>
  <c r="AJ110" i="69"/>
  <c r="AC2" i="84"/>
  <c r="AI182" i="69"/>
  <c r="AD110" i="69"/>
  <c r="AD182" i="69"/>
  <c r="AD2" i="69"/>
  <c r="AE8" i="70"/>
  <c r="AV146" i="60"/>
  <c r="AD2" i="60"/>
  <c r="AE116" i="60"/>
  <c r="BA146" i="60"/>
  <c r="AC75" i="60"/>
  <c r="AD2" i="70"/>
  <c r="AP146" i="60"/>
  <c r="BA39" i="85"/>
  <c r="AC182" i="60"/>
  <c r="AV39" i="85"/>
  <c r="AQ39" i="85"/>
  <c r="AW39" i="87"/>
  <c r="AD75" i="87"/>
  <c r="AP39" i="91"/>
  <c r="AD2" i="86"/>
  <c r="AQ39" i="87"/>
  <c r="AC2" i="91"/>
  <c r="AJ75" i="87"/>
  <c r="AF8" i="87"/>
  <c r="T42" i="22"/>
  <c r="AI182" i="83"/>
  <c r="AD75" i="83"/>
  <c r="AQ146" i="83"/>
  <c r="AF8" i="83"/>
  <c r="AD2" i="83"/>
  <c r="AW146" i="83"/>
  <c r="AF115" i="83"/>
  <c r="AD75" i="85"/>
  <c r="AD111" i="85"/>
  <c r="AD2" i="87"/>
  <c r="AF8" i="85"/>
  <c r="AD2" i="85"/>
  <c r="AJ7" i="86"/>
  <c r="AD7" i="86"/>
  <c r="AP7" i="86"/>
  <c r="AC111" i="84"/>
  <c r="AC147" i="84"/>
  <c r="AC75" i="84"/>
  <c r="AC2" i="62"/>
  <c r="BF39" i="63"/>
  <c r="AC110" i="63"/>
  <c r="AC2" i="68"/>
  <c r="AC2" i="74"/>
  <c r="AC2" i="63"/>
  <c r="AC2" i="66"/>
  <c r="AC2" i="49"/>
  <c r="AC2" i="64"/>
  <c r="AF2" i="50"/>
  <c r="BK39" i="63"/>
  <c r="AH110" i="63"/>
  <c r="AC2" i="65"/>
  <c r="BA39" i="63"/>
  <c r="AC2" i="67"/>
  <c r="AP39" i="63"/>
  <c r="AC182" i="69"/>
  <c r="AC2" i="69"/>
  <c r="AH254" i="69"/>
  <c r="AI110" i="69"/>
  <c r="AC146" i="69"/>
  <c r="AB2" i="84"/>
  <c r="AH182" i="69"/>
  <c r="AC110" i="69"/>
  <c r="AZ146" i="60"/>
  <c r="AB75" i="60"/>
  <c r="AP39" i="85"/>
  <c r="AZ39" i="85"/>
  <c r="AU39" i="85"/>
  <c r="AD8" i="70"/>
  <c r="AU146" i="60"/>
  <c r="AC2" i="60"/>
  <c r="AC2" i="70"/>
  <c r="AO146" i="60"/>
  <c r="AB182" i="60"/>
  <c r="AD116" i="60"/>
  <c r="AI75" i="87"/>
  <c r="AE8" i="87"/>
  <c r="S42" i="22"/>
  <c r="AB2" i="91"/>
  <c r="AV39" i="87"/>
  <c r="AC75" i="87"/>
  <c r="AO39" i="91"/>
  <c r="AP39" i="87"/>
  <c r="AC2" i="86"/>
  <c r="AE115" i="83"/>
  <c r="AC2" i="83"/>
  <c r="AV146" i="83"/>
  <c r="AP146" i="83"/>
  <c r="AH182" i="83"/>
  <c r="AC75" i="83"/>
  <c r="AE8" i="83"/>
  <c r="AC111" i="85"/>
  <c r="AE8" i="85"/>
  <c r="AC75" i="85"/>
  <c r="AC2" i="87"/>
  <c r="AC2" i="85"/>
  <c r="AO7" i="86"/>
  <c r="AC7" i="86"/>
  <c r="AI7" i="86"/>
  <c r="AB147" i="84"/>
  <c r="AB111" i="84"/>
  <c r="AB75" i="84"/>
  <c r="AE2" i="50"/>
  <c r="BJ39" i="63"/>
  <c r="AG110" i="63"/>
  <c r="AB2" i="65"/>
  <c r="AB2" i="62"/>
  <c r="BE39" i="63"/>
  <c r="AB2" i="68"/>
  <c r="AZ39" i="63"/>
  <c r="AB2" i="67"/>
  <c r="AB2" i="49"/>
  <c r="AO39" i="63"/>
  <c r="AB2" i="64"/>
  <c r="AB110" i="63"/>
  <c r="AB2" i="74"/>
  <c r="AB2" i="63"/>
  <c r="AB2" i="66"/>
  <c r="AG182" i="69"/>
  <c r="AB110" i="69"/>
  <c r="AB146" i="69"/>
  <c r="AA2" i="84"/>
  <c r="AB182" i="69"/>
  <c r="AB2" i="69"/>
  <c r="AG254" i="69"/>
  <c r="AH110" i="69"/>
  <c r="AA182" i="60"/>
  <c r="AC116" i="60"/>
  <c r="AT39" i="85"/>
  <c r="AC8" i="70"/>
  <c r="AT146" i="60"/>
  <c r="AB2" i="70"/>
  <c r="AN146" i="60"/>
  <c r="AY146" i="60"/>
  <c r="AA75" i="60"/>
  <c r="AO39" i="85"/>
  <c r="AB2" i="60"/>
  <c r="AY39" i="85"/>
  <c r="AB2" i="86"/>
  <c r="AU39" i="87"/>
  <c r="AB75" i="87"/>
  <c r="AO39" i="87"/>
  <c r="AH75" i="87"/>
  <c r="AD8" i="87"/>
  <c r="R42" i="22"/>
  <c r="AN39" i="91"/>
  <c r="AA2" i="91"/>
  <c r="AO146" i="83"/>
  <c r="AD8" i="83"/>
  <c r="AG182" i="83"/>
  <c r="AU146" i="83"/>
  <c r="AD115" i="83"/>
  <c r="AB2" i="83"/>
  <c r="AB75" i="83"/>
  <c r="AB2" i="85"/>
  <c r="AB2" i="87"/>
  <c r="AD8" i="85"/>
  <c r="AB111" i="85"/>
  <c r="AB75" i="85"/>
  <c r="AB7" i="86"/>
  <c r="AN7" i="86"/>
  <c r="AH7" i="86"/>
  <c r="AA111" i="84"/>
  <c r="AA147" i="84"/>
  <c r="AA75" i="84"/>
  <c r="Z2" i="74"/>
  <c r="AX39" i="63"/>
  <c r="Z2" i="63"/>
  <c r="Z2" i="66"/>
  <c r="Z2" i="67"/>
  <c r="Z2" i="49"/>
  <c r="Z2" i="64"/>
  <c r="AC2" i="50"/>
  <c r="BH39" i="63"/>
  <c r="Z2" i="65"/>
  <c r="Z2" i="62"/>
  <c r="BC39" i="63"/>
  <c r="Z110" i="63"/>
  <c r="Z2" i="68"/>
  <c r="AM39" i="63"/>
  <c r="AE110" i="63"/>
  <c r="Z146" i="69"/>
  <c r="AE182" i="69"/>
  <c r="Z110" i="69"/>
  <c r="Z2" i="69"/>
  <c r="AE254" i="69"/>
  <c r="AF110" i="69"/>
  <c r="Y2" i="84"/>
  <c r="Z182" i="69"/>
  <c r="AA8" i="70"/>
  <c r="AR146" i="60"/>
  <c r="Z2" i="60"/>
  <c r="Y182" i="60"/>
  <c r="AR39" i="85"/>
  <c r="AM39" i="85"/>
  <c r="Z2" i="70"/>
  <c r="AL146" i="60"/>
  <c r="AW39" i="85"/>
  <c r="AA116" i="60"/>
  <c r="AW146" i="60"/>
  <c r="Y75" i="60"/>
  <c r="AS39" i="87"/>
  <c r="Z75" i="87"/>
  <c r="AL39" i="91"/>
  <c r="AB8" i="87"/>
  <c r="P42" i="22"/>
  <c r="AM39" i="87"/>
  <c r="Y2" i="91"/>
  <c r="Z2" i="86"/>
  <c r="AF75" i="87"/>
  <c r="AE182" i="83"/>
  <c r="Z75" i="83"/>
  <c r="AB115" i="83"/>
  <c r="AS146" i="83"/>
  <c r="AM146" i="83"/>
  <c r="AB8" i="83"/>
  <c r="Z2" i="83"/>
  <c r="Z75" i="85"/>
  <c r="Z111" i="85"/>
  <c r="Z2" i="87"/>
  <c r="AB8" i="85"/>
  <c r="Z2" i="85"/>
  <c r="AF7" i="86"/>
  <c r="Z7" i="86"/>
  <c r="AL7" i="86"/>
  <c r="Y111" i="84"/>
  <c r="Y147" i="84"/>
  <c r="Y75" i="84"/>
  <c r="AA2" i="49"/>
  <c r="AN39" i="63"/>
  <c r="AA2" i="64"/>
  <c r="BI39" i="63"/>
  <c r="AF110" i="63"/>
  <c r="AA110" i="63"/>
  <c r="AA2" i="74"/>
  <c r="AY39" i="63"/>
  <c r="AA2" i="63"/>
  <c r="AA2" i="66"/>
  <c r="AA2" i="67"/>
  <c r="AD2" i="50"/>
  <c r="AA2" i="65"/>
  <c r="AA2" i="62"/>
  <c r="BD39" i="63"/>
  <c r="AA2" i="68"/>
  <c r="AF254" i="69"/>
  <c r="AG110" i="69"/>
  <c r="Z2" i="84"/>
  <c r="AA146" i="69"/>
  <c r="AF182" i="69"/>
  <c r="AA110" i="69"/>
  <c r="AA182" i="69"/>
  <c r="AA2" i="69"/>
  <c r="AA2" i="70"/>
  <c r="AM146" i="60"/>
  <c r="AX39" i="85"/>
  <c r="Z75" i="60"/>
  <c r="AA2" i="60"/>
  <c r="Z182" i="60"/>
  <c r="AB116" i="60"/>
  <c r="AS39" i="85"/>
  <c r="AX146" i="60"/>
  <c r="AN39" i="85"/>
  <c r="AB8" i="70"/>
  <c r="AS146" i="60"/>
  <c r="AN39" i="87"/>
  <c r="Z2" i="91"/>
  <c r="AG75" i="87"/>
  <c r="Q42" i="22"/>
  <c r="AA75" i="87"/>
  <c r="AA2" i="86"/>
  <c r="AC8" i="87"/>
  <c r="AT39" i="87"/>
  <c r="AM39" i="91"/>
  <c r="AT146" i="83"/>
  <c r="AC115" i="83"/>
  <c r="AA2" i="83"/>
  <c r="AF182" i="83"/>
  <c r="AN146" i="83"/>
  <c r="AC8" i="83"/>
  <c r="AA75" i="83"/>
  <c r="AA2" i="87"/>
  <c r="AC8" i="85"/>
  <c r="AA111" i="85"/>
  <c r="AA2" i="85"/>
  <c r="AA75" i="85"/>
  <c r="AM7" i="86"/>
  <c r="AG7" i="86"/>
  <c r="AA7" i="86"/>
  <c r="Z147" i="84"/>
  <c r="Z75" i="84"/>
  <c r="Z111" i="84"/>
  <c r="AQ40" i="68"/>
  <c r="AQ146" i="68"/>
  <c r="AQ40" i="64"/>
  <c r="BA40" i="84"/>
  <c r="AP40" i="84"/>
  <c r="AJ81" i="70"/>
  <c r="AZ112" i="70"/>
  <c r="BF40" i="84"/>
  <c r="AI148" i="70"/>
  <c r="H81" i="70"/>
  <c r="P81" i="70"/>
  <c r="AT112" i="70"/>
  <c r="AV40" i="84"/>
  <c r="BE41" i="70"/>
  <c r="AT41" i="70"/>
  <c r="AP40" i="60"/>
  <c r="AZ41" i="70"/>
  <c r="AC148" i="70"/>
  <c r="AP111" i="91"/>
  <c r="H80" i="91"/>
  <c r="H9" i="91"/>
  <c r="AE80" i="91"/>
  <c r="AE9" i="91"/>
  <c r="O9" i="87"/>
  <c r="P80" i="91"/>
  <c r="P9" i="91"/>
  <c r="H76" i="87"/>
  <c r="H9" i="87"/>
  <c r="H112" i="85"/>
  <c r="H76" i="85"/>
  <c r="O9" i="85"/>
  <c r="H9" i="85"/>
  <c r="P117" i="60"/>
  <c r="H10" i="60"/>
  <c r="H183" i="60"/>
  <c r="P10" i="60"/>
  <c r="H76" i="60"/>
  <c r="H117" i="60"/>
  <c r="P9" i="70"/>
  <c r="H112" i="84"/>
  <c r="H76" i="84"/>
  <c r="H148" i="70"/>
  <c r="H9" i="70"/>
  <c r="AE81" i="70"/>
  <c r="H148" i="84"/>
  <c r="Z3" i="74"/>
  <c r="AC3" i="50"/>
  <c r="BH40" i="63"/>
  <c r="AX40" i="63"/>
  <c r="AE111" i="63"/>
  <c r="Z3" i="63"/>
  <c r="Z3" i="64"/>
  <c r="AM39" i="68"/>
  <c r="Z3" i="66"/>
  <c r="AM39" i="64"/>
  <c r="Z3" i="62"/>
  <c r="AM40" i="63"/>
  <c r="Z3" i="67"/>
  <c r="Z3" i="68"/>
  <c r="Z3" i="49"/>
  <c r="Z3" i="65"/>
  <c r="Z111" i="63"/>
  <c r="AM145" i="68"/>
  <c r="BC40" i="63"/>
  <c r="Y3" i="84"/>
  <c r="D80" i="70"/>
  <c r="Z183" i="69"/>
  <c r="AW39" i="84"/>
  <c r="AF80" i="70"/>
  <c r="AV111" i="70"/>
  <c r="AE183" i="69"/>
  <c r="Z147" i="69"/>
  <c r="Z111" i="69"/>
  <c r="BB39" i="84"/>
  <c r="AR39" i="84"/>
  <c r="L80" i="70"/>
  <c r="AP111" i="70"/>
  <c r="AE255" i="69"/>
  <c r="AF111" i="69"/>
  <c r="AL39" i="84"/>
  <c r="AA9" i="70"/>
  <c r="AW147" i="60"/>
  <c r="AL147" i="60"/>
  <c r="Y76" i="60"/>
  <c r="AW40" i="85"/>
  <c r="BB40" i="85" s="1"/>
  <c r="AM40" i="85"/>
  <c r="AR147" i="60"/>
  <c r="Z3" i="60"/>
  <c r="AR40" i="85"/>
  <c r="BA40" i="70"/>
  <c r="AP40" i="70"/>
  <c r="AE147" i="70"/>
  <c r="AL39" i="60"/>
  <c r="Z3" i="70"/>
  <c r="Y183" i="60"/>
  <c r="AA117" i="60"/>
  <c r="AV40" i="70"/>
  <c r="Y147" i="70"/>
  <c r="AS40" i="87"/>
  <c r="P41" i="22"/>
  <c r="Z3" i="86"/>
  <c r="Z76" i="87"/>
  <c r="AB9" i="87"/>
  <c r="AM40" i="87"/>
  <c r="AL40" i="91"/>
  <c r="AF76" i="87"/>
  <c r="AL110" i="91"/>
  <c r="AS147" i="83"/>
  <c r="AB116" i="83"/>
  <c r="Z76" i="83"/>
  <c r="AB9" i="83"/>
  <c r="AE183" i="83"/>
  <c r="AM147" i="83"/>
  <c r="D75" i="87"/>
  <c r="K8" i="87"/>
  <c r="Y3" i="91"/>
  <c r="Z3" i="87"/>
  <c r="AA79" i="91"/>
  <c r="AA8" i="91"/>
  <c r="D8" i="87"/>
  <c r="Z112" i="85"/>
  <c r="AB9" i="85"/>
  <c r="L79" i="91"/>
  <c r="L8" i="91"/>
  <c r="Z76" i="85"/>
  <c r="D79" i="91"/>
  <c r="D8" i="91"/>
  <c r="Z3" i="85"/>
  <c r="D75" i="85"/>
  <c r="D111" i="85"/>
  <c r="D8" i="85"/>
  <c r="K8" i="85"/>
  <c r="D182" i="60"/>
  <c r="L9" i="60"/>
  <c r="D116" i="60"/>
  <c r="AF8" i="86"/>
  <c r="Z8" i="86"/>
  <c r="AL8" i="86"/>
  <c r="D75" i="60"/>
  <c r="L116" i="60"/>
  <c r="D9" i="60"/>
  <c r="AA80" i="70"/>
  <c r="D147" i="84"/>
  <c r="Y76" i="84"/>
  <c r="Y148" i="84"/>
  <c r="D111" i="84"/>
  <c r="D147" i="70"/>
  <c r="L8" i="70"/>
  <c r="Y112" i="84"/>
  <c r="D75" i="84"/>
  <c r="D8" i="70"/>
  <c r="AD3" i="74"/>
  <c r="AG3" i="50"/>
  <c r="BL40" i="63"/>
  <c r="BB40" i="63"/>
  <c r="AI111" i="63"/>
  <c r="AD3" i="63"/>
  <c r="AD3" i="64"/>
  <c r="AQ39" i="68"/>
  <c r="AD3" i="66"/>
  <c r="AQ39" i="64"/>
  <c r="AD111" i="63"/>
  <c r="BG40" i="63"/>
  <c r="AD3" i="65"/>
  <c r="AD3" i="67"/>
  <c r="AD3" i="49"/>
  <c r="AD3" i="68"/>
  <c r="AD3" i="62"/>
  <c r="AQ40" i="63"/>
  <c r="AQ145" i="68"/>
  <c r="AC3" i="84"/>
  <c r="H80" i="70"/>
  <c r="AI255" i="69"/>
  <c r="AP39" i="84"/>
  <c r="AJ80" i="70"/>
  <c r="AZ111" i="70"/>
  <c r="AI183" i="69"/>
  <c r="AD147" i="69"/>
  <c r="AD111" i="69"/>
  <c r="BF39" i="84"/>
  <c r="AV39" i="84"/>
  <c r="P80" i="70"/>
  <c r="AT111" i="70"/>
  <c r="AD183" i="69"/>
  <c r="AJ111" i="69"/>
  <c r="BA39" i="84"/>
  <c r="AI147" i="70"/>
  <c r="AE9" i="70"/>
  <c r="BA147" i="60"/>
  <c r="AP147" i="60"/>
  <c r="AC76" i="60"/>
  <c r="BA40" i="85"/>
  <c r="AQ40" i="85"/>
  <c r="AC183" i="60"/>
  <c r="AV147" i="60"/>
  <c r="AV40" i="85"/>
  <c r="AC147" i="70"/>
  <c r="BE40" i="70"/>
  <c r="AT40" i="70"/>
  <c r="AP39" i="60"/>
  <c r="AD3" i="70"/>
  <c r="AE117" i="60"/>
  <c r="AD3" i="60"/>
  <c r="AZ40" i="70"/>
  <c r="AW40" i="87"/>
  <c r="T41" i="22"/>
  <c r="AD3" i="86"/>
  <c r="AD76" i="87"/>
  <c r="AF9" i="87"/>
  <c r="AQ40" i="87"/>
  <c r="AP110" i="91"/>
  <c r="AP40" i="91"/>
  <c r="AJ76" i="87"/>
  <c r="AW147" i="83"/>
  <c r="AF116" i="83"/>
  <c r="AI183" i="83"/>
  <c r="AD76" i="83"/>
  <c r="AF9" i="83"/>
  <c r="AQ147" i="83"/>
  <c r="H75" i="87"/>
  <c r="O8" i="87"/>
  <c r="P8" i="91"/>
  <c r="AD3" i="87"/>
  <c r="AE79" i="91"/>
  <c r="AE8" i="91"/>
  <c r="H8" i="87"/>
  <c r="AD112" i="85"/>
  <c r="AF9" i="85"/>
  <c r="P79" i="91"/>
  <c r="AC3" i="91"/>
  <c r="AD76" i="85"/>
  <c r="H79" i="91"/>
  <c r="H8" i="91"/>
  <c r="H75" i="85"/>
  <c r="AD3" i="85"/>
  <c r="H111" i="85"/>
  <c r="H8" i="85"/>
  <c r="O8" i="85"/>
  <c r="H182" i="60"/>
  <c r="P9" i="60"/>
  <c r="AP8" i="86"/>
  <c r="H9" i="60"/>
  <c r="H116" i="60"/>
  <c r="AJ8" i="86"/>
  <c r="AD8" i="86"/>
  <c r="H75" i="60"/>
  <c r="P116" i="60"/>
  <c r="AE80" i="70"/>
  <c r="H147" i="84"/>
  <c r="AC76" i="84"/>
  <c r="P8" i="70"/>
  <c r="AC112" i="84"/>
  <c r="H111" i="84"/>
  <c r="H147" i="70"/>
  <c r="AC148" i="84"/>
  <c r="H75" i="84"/>
  <c r="H8" i="70"/>
  <c r="AO40" i="64"/>
  <c r="AO146" i="68"/>
  <c r="AO40" i="68"/>
  <c r="BD40" i="84"/>
  <c r="AT40" i="84"/>
  <c r="F81" i="70"/>
  <c r="AY40" i="84"/>
  <c r="AX112" i="70"/>
  <c r="N81" i="70"/>
  <c r="AR112" i="70"/>
  <c r="AN40" i="84"/>
  <c r="AH81" i="70"/>
  <c r="AX41" i="70"/>
  <c r="AA148" i="70"/>
  <c r="AN40" i="60"/>
  <c r="BC41" i="70"/>
  <c r="AR41" i="70"/>
  <c r="AG148" i="70"/>
  <c r="AN111" i="91"/>
  <c r="AC80" i="91"/>
  <c r="AC9" i="91"/>
  <c r="M9" i="87"/>
  <c r="F9" i="91"/>
  <c r="N80" i="91"/>
  <c r="N9" i="91"/>
  <c r="F76" i="87"/>
  <c r="F9" i="87"/>
  <c r="F80" i="91"/>
  <c r="F76" i="85"/>
  <c r="F112" i="85"/>
  <c r="F9" i="85"/>
  <c r="M9" i="85"/>
  <c r="N10" i="60"/>
  <c r="F10" i="60"/>
  <c r="F76" i="60"/>
  <c r="F117" i="60"/>
  <c r="F183" i="60"/>
  <c r="N117" i="60"/>
  <c r="F76" i="84"/>
  <c r="N9" i="70"/>
  <c r="F112" i="84"/>
  <c r="AC81" i="70"/>
  <c r="F148" i="84"/>
  <c r="F148" i="70"/>
  <c r="F9" i="70"/>
  <c r="AM40" i="68"/>
  <c r="AM146" i="68"/>
  <c r="AM40" i="64"/>
  <c r="AW40" i="84"/>
  <c r="AL40" i="84"/>
  <c r="AF81" i="70"/>
  <c r="AV112" i="70"/>
  <c r="BB40" i="84"/>
  <c r="D81" i="70"/>
  <c r="L81" i="70"/>
  <c r="AP112" i="70"/>
  <c r="AR40" i="84"/>
  <c r="BA41" i="70"/>
  <c r="AP41" i="70"/>
  <c r="AL40" i="60"/>
  <c r="AE148" i="70"/>
  <c r="AV41" i="70"/>
  <c r="Y148" i="70"/>
  <c r="AL111" i="91"/>
  <c r="D80" i="91"/>
  <c r="D9" i="91"/>
  <c r="AA9" i="91"/>
  <c r="K9" i="87"/>
  <c r="AA80" i="91"/>
  <c r="D9" i="87"/>
  <c r="L80" i="91"/>
  <c r="L9" i="91"/>
  <c r="D76" i="87"/>
  <c r="D76" i="85"/>
  <c r="D112" i="85"/>
  <c r="K9" i="85"/>
  <c r="D9" i="85"/>
  <c r="L117" i="60"/>
  <c r="D10" i="60"/>
  <c r="D183" i="60"/>
  <c r="L10" i="60"/>
  <c r="D76" i="60"/>
  <c r="D117" i="60"/>
  <c r="L9" i="70"/>
  <c r="D112" i="84"/>
  <c r="D9" i="70"/>
  <c r="D76" i="84"/>
  <c r="D148" i="70"/>
  <c r="AA81" i="70"/>
  <c r="D148" i="84"/>
  <c r="AP40" i="68"/>
  <c r="AP40" i="64"/>
  <c r="AP146" i="68"/>
  <c r="AZ40" i="84"/>
  <c r="AI81" i="70"/>
  <c r="O81" i="70"/>
  <c r="AS112" i="70"/>
  <c r="BE40" i="84"/>
  <c r="AU40" i="84"/>
  <c r="G81" i="70"/>
  <c r="AO40" i="84"/>
  <c r="AY112" i="70"/>
  <c r="BD41" i="70"/>
  <c r="AS41" i="70"/>
  <c r="AO40" i="60"/>
  <c r="AH148" i="70"/>
  <c r="AY41" i="70"/>
  <c r="AB148" i="70"/>
  <c r="AO111" i="91"/>
  <c r="O80" i="91"/>
  <c r="O9" i="91"/>
  <c r="G76" i="87"/>
  <c r="G9" i="87"/>
  <c r="G80" i="91"/>
  <c r="G9" i="91"/>
  <c r="N9" i="87"/>
  <c r="AD80" i="91"/>
  <c r="AD9" i="91"/>
  <c r="G112" i="85"/>
  <c r="G76" i="85"/>
  <c r="N9" i="85"/>
  <c r="G9" i="85"/>
  <c r="G183" i="60"/>
  <c r="O10" i="60"/>
  <c r="G10" i="60"/>
  <c r="G117" i="60"/>
  <c r="O117" i="60"/>
  <c r="G76" i="60"/>
  <c r="AD81" i="70"/>
  <c r="G148" i="84"/>
  <c r="G148" i="70"/>
  <c r="G9" i="70"/>
  <c r="O9" i="70"/>
  <c r="G112" i="84"/>
  <c r="G76" i="84"/>
  <c r="AA3" i="66"/>
  <c r="AA3" i="68"/>
  <c r="BD40" i="63"/>
  <c r="AN40" i="63"/>
  <c r="AA3" i="65"/>
  <c r="AA111" i="63"/>
  <c r="AA3" i="67"/>
  <c r="AA3" i="74"/>
  <c r="AD3" i="50"/>
  <c r="BI40" i="63"/>
  <c r="AY40" i="63"/>
  <c r="AF111" i="63"/>
  <c r="AA3" i="63"/>
  <c r="AA3" i="64"/>
  <c r="AN39" i="68"/>
  <c r="AA3" i="49"/>
  <c r="AA3" i="62"/>
  <c r="AN145" i="68"/>
  <c r="AN39" i="64"/>
  <c r="AF255" i="69"/>
  <c r="AA183" i="69"/>
  <c r="AG111" i="69"/>
  <c r="AX39" i="84"/>
  <c r="AM39" i="84"/>
  <c r="AG80" i="70"/>
  <c r="AA111" i="69"/>
  <c r="AS39" i="84"/>
  <c r="M80" i="70"/>
  <c r="AQ111" i="70"/>
  <c r="Z3" i="84"/>
  <c r="E80" i="70"/>
  <c r="AW111" i="70"/>
  <c r="AF183" i="69"/>
  <c r="AA147" i="69"/>
  <c r="BC39" i="84"/>
  <c r="BB40" i="70"/>
  <c r="AQ40" i="70"/>
  <c r="AF147" i="70"/>
  <c r="AM39" i="60"/>
  <c r="Z147" i="70"/>
  <c r="AB9" i="70"/>
  <c r="Z76" i="60"/>
  <c r="AN40" i="85"/>
  <c r="AA3" i="70"/>
  <c r="Z183" i="60"/>
  <c r="AS147" i="60"/>
  <c r="AB117" i="60"/>
  <c r="AA3" i="60"/>
  <c r="AS40" i="85"/>
  <c r="AW40" i="70"/>
  <c r="AX147" i="60"/>
  <c r="AM147" i="60"/>
  <c r="AX40" i="85"/>
  <c r="AA3" i="86"/>
  <c r="AA76" i="87"/>
  <c r="AC9" i="87"/>
  <c r="AM40" i="91"/>
  <c r="AN40" i="87"/>
  <c r="AG76" i="87"/>
  <c r="AM110" i="91"/>
  <c r="AT40" i="87"/>
  <c r="Q41" i="22"/>
  <c r="AC116" i="83"/>
  <c r="AF183" i="83"/>
  <c r="AN147" i="83"/>
  <c r="AA76" i="83"/>
  <c r="AC9" i="83"/>
  <c r="AT147" i="83"/>
  <c r="AB79" i="91"/>
  <c r="AB8" i="91"/>
  <c r="E8" i="87"/>
  <c r="AA112" i="85"/>
  <c r="AC9" i="85"/>
  <c r="E8" i="91"/>
  <c r="AA76" i="85"/>
  <c r="M79" i="91"/>
  <c r="M8" i="91"/>
  <c r="Z3" i="91"/>
  <c r="AA3" i="87"/>
  <c r="E79" i="91"/>
  <c r="E75" i="87"/>
  <c r="L8" i="87"/>
  <c r="AA3" i="85"/>
  <c r="E111" i="85"/>
  <c r="E75" i="85"/>
  <c r="E8" i="85"/>
  <c r="L8" i="85"/>
  <c r="M9" i="60"/>
  <c r="AM8" i="86"/>
  <c r="M116" i="60"/>
  <c r="E9" i="60"/>
  <c r="E116" i="60"/>
  <c r="AG8" i="86"/>
  <c r="E182" i="60"/>
  <c r="E75" i="60"/>
  <c r="AA8" i="86"/>
  <c r="E111" i="84"/>
  <c r="Z148" i="84"/>
  <c r="Z112" i="84"/>
  <c r="E8" i="70"/>
  <c r="Z76" i="84"/>
  <c r="E147" i="70"/>
  <c r="M8" i="70"/>
  <c r="E75" i="84"/>
  <c r="AB80" i="70"/>
  <c r="E147" i="84"/>
  <c r="AB3" i="49"/>
  <c r="AB3" i="62"/>
  <c r="BE40" i="63"/>
  <c r="AO40" i="63"/>
  <c r="AB111" i="63"/>
  <c r="AB3" i="65"/>
  <c r="AB3" i="67"/>
  <c r="AO145" i="68"/>
  <c r="AO39" i="64"/>
  <c r="AB3" i="66"/>
  <c r="AB3" i="68"/>
  <c r="AB3" i="74"/>
  <c r="BJ40" i="63"/>
  <c r="AB3" i="64"/>
  <c r="AE3" i="50"/>
  <c r="AZ40" i="63"/>
  <c r="AO39" i="68"/>
  <c r="AG111" i="63"/>
  <c r="AB3" i="63"/>
  <c r="AX111" i="70"/>
  <c r="AG183" i="69"/>
  <c r="AB147" i="69"/>
  <c r="AT39" i="84"/>
  <c r="F80" i="70"/>
  <c r="AG255" i="69"/>
  <c r="AB183" i="69"/>
  <c r="AH111" i="69"/>
  <c r="AY39" i="84"/>
  <c r="AN39" i="84"/>
  <c r="AH80" i="70"/>
  <c r="AB111" i="69"/>
  <c r="BD39" i="84"/>
  <c r="N80" i="70"/>
  <c r="AR111" i="70"/>
  <c r="AA3" i="84"/>
  <c r="AB3" i="70"/>
  <c r="AA183" i="60"/>
  <c r="AT147" i="60"/>
  <c r="AC117" i="60"/>
  <c r="AB3" i="60"/>
  <c r="AT40" i="85"/>
  <c r="AN147" i="60"/>
  <c r="AA76" i="60"/>
  <c r="AY40" i="85"/>
  <c r="AO40" i="85"/>
  <c r="BC40" i="70"/>
  <c r="AR40" i="70"/>
  <c r="AG147" i="70"/>
  <c r="AN39" i="60"/>
  <c r="AX40" i="70"/>
  <c r="AA147" i="70"/>
  <c r="AC9" i="70"/>
  <c r="AY147" i="60"/>
  <c r="AO40" i="87"/>
  <c r="R41" i="22"/>
  <c r="AH76" i="87"/>
  <c r="AN40" i="91"/>
  <c r="AN110" i="91"/>
  <c r="AU40" i="87"/>
  <c r="AB3" i="86"/>
  <c r="AB76" i="87"/>
  <c r="AD9" i="87"/>
  <c r="AG183" i="83"/>
  <c r="AO147" i="83"/>
  <c r="AB76" i="83"/>
  <c r="AD9" i="83"/>
  <c r="AU147" i="83"/>
  <c r="AD116" i="83"/>
  <c r="N79" i="91"/>
  <c r="N8" i="91"/>
  <c r="AA3" i="91"/>
  <c r="AB3" i="87"/>
  <c r="F75" i="87"/>
  <c r="F79" i="91"/>
  <c r="F8" i="91"/>
  <c r="AB76" i="85"/>
  <c r="M8" i="87"/>
  <c r="F8" i="87"/>
  <c r="AC79" i="91"/>
  <c r="AC8" i="91"/>
  <c r="AB112" i="85"/>
  <c r="AD9" i="85"/>
  <c r="F111" i="85"/>
  <c r="F75" i="85"/>
  <c r="AB3" i="85"/>
  <c r="M8" i="85"/>
  <c r="F8" i="85"/>
  <c r="F75" i="60"/>
  <c r="N116" i="60"/>
  <c r="F9" i="60"/>
  <c r="AH8" i="86"/>
  <c r="N9" i="60"/>
  <c r="AN8" i="86"/>
  <c r="F116" i="60"/>
  <c r="AB8" i="86"/>
  <c r="F182" i="60"/>
  <c r="F147" i="70"/>
  <c r="N8" i="70"/>
  <c r="AA148" i="84"/>
  <c r="AA112" i="84"/>
  <c r="F75" i="84"/>
  <c r="F147" i="84"/>
  <c r="F111" i="84"/>
  <c r="F8" i="70"/>
  <c r="AC80" i="70"/>
  <c r="AA76" i="84"/>
  <c r="AN146" i="68"/>
  <c r="AN40" i="64"/>
  <c r="AN40" i="68"/>
  <c r="M81" i="70"/>
  <c r="AQ112" i="70"/>
  <c r="BC40" i="84"/>
  <c r="AX40" i="84"/>
  <c r="AM40" i="84"/>
  <c r="AG81" i="70"/>
  <c r="AW112" i="70"/>
  <c r="AS40" i="84"/>
  <c r="E81" i="70"/>
  <c r="AF148" i="70"/>
  <c r="AM40" i="60"/>
  <c r="AW41" i="70"/>
  <c r="Z148" i="70"/>
  <c r="BB41" i="70"/>
  <c r="AQ41" i="70"/>
  <c r="AM111" i="91"/>
  <c r="E76" i="87"/>
  <c r="AB80" i="91"/>
  <c r="AB9" i="91"/>
  <c r="L9" i="87"/>
  <c r="M80" i="91"/>
  <c r="M9" i="91"/>
  <c r="E9" i="87"/>
  <c r="E80" i="91"/>
  <c r="E9" i="91"/>
  <c r="E112" i="85"/>
  <c r="E76" i="85"/>
  <c r="L9" i="85"/>
  <c r="E9" i="85"/>
  <c r="E76" i="60"/>
  <c r="E117" i="60"/>
  <c r="M10" i="60"/>
  <c r="M117" i="60"/>
  <c r="E10" i="60"/>
  <c r="E183" i="60"/>
  <c r="E148" i="70"/>
  <c r="E9" i="70"/>
  <c r="E76" i="84"/>
  <c r="AB81" i="70"/>
  <c r="E148" i="84"/>
  <c r="E112" i="84"/>
  <c r="M9" i="70"/>
  <c r="H115" i="68"/>
  <c r="AF115" i="68"/>
  <c r="O115" i="68"/>
  <c r="AE9" i="84"/>
  <c r="AE10" i="60"/>
  <c r="AF9" i="68"/>
  <c r="AF9" i="66"/>
  <c r="AF9" i="64"/>
  <c r="AE9" i="82"/>
  <c r="AF9" i="69"/>
  <c r="AF9" i="65"/>
  <c r="AE9" i="74"/>
  <c r="AF9" i="67"/>
  <c r="AF9" i="63"/>
  <c r="AE9" i="73"/>
  <c r="AE9" i="72"/>
  <c r="AJ110" i="49"/>
  <c r="AF9" i="62"/>
  <c r="D115" i="68"/>
  <c r="AB115" i="68"/>
  <c r="K115" i="68"/>
  <c r="AA9" i="84"/>
  <c r="AA10" i="60"/>
  <c r="AB9" i="69"/>
  <c r="AB9" i="68"/>
  <c r="AB9" i="66"/>
  <c r="AB9" i="64"/>
  <c r="AA9" i="82"/>
  <c r="AB9" i="67"/>
  <c r="AB9" i="63"/>
  <c r="AA9" i="74"/>
  <c r="AB9" i="65"/>
  <c r="AA9" i="72"/>
  <c r="AA9" i="73"/>
  <c r="AB9" i="62"/>
  <c r="AF110" i="49"/>
  <c r="AB114" i="68"/>
  <c r="K114" i="68"/>
  <c r="D114" i="68"/>
  <c r="AA8" i="84"/>
  <c r="AB8" i="68"/>
  <c r="AB8" i="66"/>
  <c r="AB8" i="64"/>
  <c r="AA8" i="82"/>
  <c r="AA9" i="60"/>
  <c r="AB8" i="65"/>
  <c r="AA8" i="72"/>
  <c r="AA8" i="74"/>
  <c r="AB8" i="69"/>
  <c r="AB8" i="67"/>
  <c r="AB8" i="63"/>
  <c r="AA8" i="73"/>
  <c r="AF109" i="49"/>
  <c r="AB8" i="62"/>
  <c r="N115" i="68"/>
  <c r="G115" i="68"/>
  <c r="AE115" i="68"/>
  <c r="AD9" i="84"/>
  <c r="AE9" i="68"/>
  <c r="AE9" i="66"/>
  <c r="AE9" i="64"/>
  <c r="AD9" i="82"/>
  <c r="AD10" i="60"/>
  <c r="AD9" i="74"/>
  <c r="AE9" i="67"/>
  <c r="AE9" i="63"/>
  <c r="AD9" i="73"/>
  <c r="AE9" i="69"/>
  <c r="AE9" i="65"/>
  <c r="AD9" i="72"/>
  <c r="AI110" i="49"/>
  <c r="AE9" i="62"/>
  <c r="AC114" i="68"/>
  <c r="L114" i="68"/>
  <c r="E114" i="68"/>
  <c r="AB8" i="84"/>
  <c r="AB9" i="60"/>
  <c r="AC8" i="68"/>
  <c r="AC8" i="66"/>
  <c r="AC8" i="64"/>
  <c r="AB8" i="82"/>
  <c r="AC8" i="69"/>
  <c r="AC8" i="67"/>
  <c r="AC8" i="63"/>
  <c r="AB8" i="73"/>
  <c r="AC8" i="65"/>
  <c r="AB8" i="72"/>
  <c r="AB8" i="74"/>
  <c r="AG109" i="49"/>
  <c r="AC8" i="62"/>
  <c r="AF114" i="68"/>
  <c r="O114" i="68"/>
  <c r="H114" i="68"/>
  <c r="AE8" i="84"/>
  <c r="AE9" i="60"/>
  <c r="AF8" i="69"/>
  <c r="AF8" i="68"/>
  <c r="AF8" i="66"/>
  <c r="AF8" i="64"/>
  <c r="AE8" i="82"/>
  <c r="AF8" i="63"/>
  <c r="AE8" i="74"/>
  <c r="AF8" i="65"/>
  <c r="AE8" i="72"/>
  <c r="AE8" i="73"/>
  <c r="AF8" i="67"/>
  <c r="AJ109" i="49"/>
  <c r="AF8" i="62"/>
  <c r="AD115" i="68"/>
  <c r="M115" i="68"/>
  <c r="F115" i="68"/>
  <c r="AD9" i="69"/>
  <c r="AC9" i="84"/>
  <c r="AD9" i="67"/>
  <c r="AD9" i="65"/>
  <c r="AD9" i="63"/>
  <c r="AC9" i="72"/>
  <c r="AD9" i="66"/>
  <c r="AC9" i="73"/>
  <c r="AD9" i="68"/>
  <c r="AD9" i="64"/>
  <c r="AC10" i="60"/>
  <c r="AC9" i="74"/>
  <c r="AC9" i="82"/>
  <c r="AD9" i="62"/>
  <c r="AH110" i="49"/>
  <c r="M114" i="68"/>
  <c r="F114" i="68"/>
  <c r="AD114" i="68"/>
  <c r="AC9" i="60"/>
  <c r="AD8" i="69"/>
  <c r="AD8" i="67"/>
  <c r="AD8" i="65"/>
  <c r="AD8" i="63"/>
  <c r="AC8" i="72"/>
  <c r="AD8" i="68"/>
  <c r="AC8" i="73"/>
  <c r="AC8" i="84"/>
  <c r="AD8" i="66"/>
  <c r="AC8" i="82"/>
  <c r="AC8" i="74"/>
  <c r="AD8" i="64"/>
  <c r="AD8" i="62"/>
  <c r="AH109" i="49"/>
  <c r="AC115" i="68"/>
  <c r="L115" i="68"/>
  <c r="E115" i="68"/>
  <c r="AB10" i="60"/>
  <c r="AC9" i="69"/>
  <c r="AB9" i="84"/>
  <c r="AC9" i="67"/>
  <c r="AC9" i="65"/>
  <c r="AC9" i="63"/>
  <c r="AB9" i="72"/>
  <c r="AC9" i="66"/>
  <c r="AC9" i="68"/>
  <c r="AC9" i="64"/>
  <c r="AB9" i="74"/>
  <c r="AB9" i="82"/>
  <c r="AB9" i="73"/>
  <c r="AC9" i="62"/>
  <c r="AG110" i="49"/>
  <c r="D42" i="22"/>
  <c r="J8" i="22"/>
  <c r="J42" i="22"/>
  <c r="P8" i="22"/>
  <c r="P7" i="22"/>
  <c r="J7" i="22"/>
  <c r="J41" i="22"/>
  <c r="K7" i="22"/>
  <c r="K41" i="22"/>
  <c r="Q7" i="22"/>
  <c r="T7" i="22"/>
  <c r="N7" i="22"/>
  <c r="N41" i="22"/>
  <c r="L42" i="22"/>
  <c r="R8" i="22"/>
  <c r="F42" i="22"/>
  <c r="L8" i="22"/>
  <c r="H42" i="22"/>
  <c r="N8" i="22"/>
  <c r="N42" i="22"/>
  <c r="T8" i="22"/>
  <c r="M42" i="22"/>
  <c r="S8" i="22"/>
  <c r="G42" i="22"/>
  <c r="M8" i="22"/>
  <c r="L7" i="22"/>
  <c r="L41" i="22"/>
  <c r="R7" i="22"/>
  <c r="K8" i="22"/>
  <c r="K42" i="22"/>
  <c r="Q8" i="22"/>
  <c r="E42" i="22"/>
  <c r="H8" i="22"/>
  <c r="G8" i="22"/>
  <c r="D8" i="22"/>
  <c r="F8" i="22"/>
  <c r="E8" i="22"/>
  <c r="O259" i="83"/>
  <c r="H259" i="83"/>
  <c r="H147" i="69"/>
  <c r="H219" i="69"/>
  <c r="H9" i="68"/>
  <c r="H255" i="67"/>
  <c r="H183" i="67"/>
  <c r="P9" i="84"/>
  <c r="H9" i="84"/>
  <c r="O116" i="83"/>
  <c r="H116" i="83"/>
  <c r="H9" i="69"/>
  <c r="O9" i="68"/>
  <c r="H147" i="67"/>
  <c r="AD147" i="67" s="1"/>
  <c r="AJ147" i="67" s="1"/>
  <c r="O9" i="83"/>
  <c r="H76" i="83"/>
  <c r="H183" i="69"/>
  <c r="H183" i="83"/>
  <c r="O9" i="69"/>
  <c r="H219" i="67"/>
  <c r="H9" i="83"/>
  <c r="H111" i="69"/>
  <c r="H255" i="69"/>
  <c r="H111" i="67"/>
  <c r="AD111" i="67" s="1"/>
  <c r="O9" i="67"/>
  <c r="H9" i="67"/>
  <c r="H111" i="66"/>
  <c r="H147" i="66"/>
  <c r="O9" i="66"/>
  <c r="H9" i="66"/>
  <c r="K259" i="83"/>
  <c r="D259" i="83"/>
  <c r="D147" i="69"/>
  <c r="D219" i="69"/>
  <c r="D9" i="68"/>
  <c r="D255" i="67"/>
  <c r="D183" i="67"/>
  <c r="L9" i="84"/>
  <c r="D9" i="84"/>
  <c r="K116" i="83"/>
  <c r="D116" i="83"/>
  <c r="D9" i="69"/>
  <c r="K9" i="68"/>
  <c r="D147" i="67"/>
  <c r="Z147" i="67" s="1"/>
  <c r="AF147" i="67" s="1"/>
  <c r="K9" i="69"/>
  <c r="D219" i="67"/>
  <c r="D9" i="83"/>
  <c r="D111" i="69"/>
  <c r="D255" i="69"/>
  <c r="K9" i="83"/>
  <c r="D111" i="67"/>
  <c r="Z111" i="67" s="1"/>
  <c r="D183" i="83"/>
  <c r="D76" i="83"/>
  <c r="D183" i="69"/>
  <c r="K9" i="67"/>
  <c r="D9" i="67"/>
  <c r="D111" i="66"/>
  <c r="D147" i="66"/>
  <c r="K9" i="66"/>
  <c r="D9" i="66"/>
  <c r="D7" i="22"/>
  <c r="AM290" i="83"/>
  <c r="D258" i="83"/>
  <c r="AB259" i="83"/>
  <c r="K258" i="83"/>
  <c r="D8" i="84"/>
  <c r="K115" i="83"/>
  <c r="D8" i="83"/>
  <c r="K8" i="69"/>
  <c r="Z3" i="69"/>
  <c r="D146" i="67"/>
  <c r="D110" i="67"/>
  <c r="D182" i="83"/>
  <c r="L8" i="84"/>
  <c r="D75" i="83"/>
  <c r="K8" i="83"/>
  <c r="D110" i="69"/>
  <c r="D182" i="69"/>
  <c r="D254" i="69"/>
  <c r="D218" i="67"/>
  <c r="D115" i="83"/>
  <c r="D146" i="69"/>
  <c r="D8" i="68"/>
  <c r="BC40" i="67"/>
  <c r="Z3" i="83"/>
  <c r="K8" i="68"/>
  <c r="D254" i="67"/>
  <c r="BS40" i="67"/>
  <c r="AX40" i="67"/>
  <c r="D218" i="69"/>
  <c r="BM40" i="67"/>
  <c r="AR40" i="67"/>
  <c r="D8" i="69"/>
  <c r="D182" i="67"/>
  <c r="BH40" i="67"/>
  <c r="AM40" i="67"/>
  <c r="K8" i="67"/>
  <c r="D110" i="66"/>
  <c r="D146" i="66"/>
  <c r="D8" i="67"/>
  <c r="K8" i="66"/>
  <c r="D8" i="66"/>
  <c r="G259" i="83"/>
  <c r="N259" i="83"/>
  <c r="G116" i="83"/>
  <c r="G9" i="69"/>
  <c r="N9" i="68"/>
  <c r="G147" i="67"/>
  <c r="AC147" i="67" s="1"/>
  <c r="AI147" i="67" s="1"/>
  <c r="G111" i="67"/>
  <c r="AC111" i="67" s="1"/>
  <c r="O9" i="84"/>
  <c r="G183" i="83"/>
  <c r="G9" i="84"/>
  <c r="N116" i="83"/>
  <c r="G76" i="83"/>
  <c r="G9" i="83"/>
  <c r="G111" i="69"/>
  <c r="G183" i="69"/>
  <c r="G255" i="69"/>
  <c r="N9" i="69"/>
  <c r="G219" i="67"/>
  <c r="G147" i="69"/>
  <c r="N9" i="83"/>
  <c r="G9" i="68"/>
  <c r="G255" i="67"/>
  <c r="G219" i="69"/>
  <c r="G183" i="67"/>
  <c r="G9" i="67"/>
  <c r="G111" i="66"/>
  <c r="G147" i="66"/>
  <c r="N9" i="67"/>
  <c r="N9" i="66"/>
  <c r="G9" i="66"/>
  <c r="E7" i="22"/>
  <c r="AC259" i="83"/>
  <c r="L258" i="83"/>
  <c r="E258" i="83"/>
  <c r="AN290" i="83"/>
  <c r="E115" i="83"/>
  <c r="E146" i="69"/>
  <c r="E218" i="69"/>
  <c r="E8" i="69"/>
  <c r="L8" i="68"/>
  <c r="E254" i="67"/>
  <c r="E182" i="67"/>
  <c r="BT40" i="67"/>
  <c r="BI40" i="67"/>
  <c r="AY40" i="67"/>
  <c r="AN40" i="67"/>
  <c r="M8" i="84"/>
  <c r="E8" i="84"/>
  <c r="L115" i="83"/>
  <c r="E8" i="83"/>
  <c r="L8" i="69"/>
  <c r="AA3" i="69"/>
  <c r="E146" i="67"/>
  <c r="E182" i="83"/>
  <c r="AA3" i="83"/>
  <c r="E75" i="83"/>
  <c r="E182" i="69"/>
  <c r="E110" i="67"/>
  <c r="BN40" i="67"/>
  <c r="AS40" i="67"/>
  <c r="E218" i="67"/>
  <c r="L8" i="83"/>
  <c r="E110" i="69"/>
  <c r="E254" i="69"/>
  <c r="E8" i="68"/>
  <c r="BD40" i="67"/>
  <c r="E8" i="67"/>
  <c r="L8" i="67"/>
  <c r="E110" i="66"/>
  <c r="E146" i="66"/>
  <c r="E8" i="66"/>
  <c r="L8" i="66"/>
  <c r="H7" i="22"/>
  <c r="AQ290" i="83"/>
  <c r="H258" i="83"/>
  <c r="O258" i="83"/>
  <c r="AF259" i="83"/>
  <c r="H8" i="84"/>
  <c r="O115" i="83"/>
  <c r="H8" i="83"/>
  <c r="O8" i="69"/>
  <c r="AD3" i="69"/>
  <c r="H146" i="67"/>
  <c r="H110" i="67"/>
  <c r="H182" i="83"/>
  <c r="P8" i="84"/>
  <c r="H75" i="83"/>
  <c r="O8" i="83"/>
  <c r="H110" i="69"/>
  <c r="H182" i="69"/>
  <c r="H254" i="69"/>
  <c r="H218" i="67"/>
  <c r="H218" i="69"/>
  <c r="BL40" i="67"/>
  <c r="AQ40" i="67"/>
  <c r="H8" i="69"/>
  <c r="H182" i="67"/>
  <c r="BG40" i="67"/>
  <c r="H146" i="69"/>
  <c r="H8" i="68"/>
  <c r="BW40" i="67"/>
  <c r="BB40" i="67"/>
  <c r="H115" i="83"/>
  <c r="AD3" i="83"/>
  <c r="O8" i="68"/>
  <c r="H254" i="67"/>
  <c r="BQ40" i="67"/>
  <c r="AV40" i="67"/>
  <c r="O8" i="67"/>
  <c r="H110" i="66"/>
  <c r="H8" i="67"/>
  <c r="H146" i="66"/>
  <c r="O8" i="66"/>
  <c r="H8" i="66"/>
  <c r="M259" i="83"/>
  <c r="F259" i="83"/>
  <c r="F9" i="84"/>
  <c r="M116" i="83"/>
  <c r="F76" i="83"/>
  <c r="F9" i="83"/>
  <c r="F111" i="69"/>
  <c r="F183" i="69"/>
  <c r="F255" i="69"/>
  <c r="M9" i="69"/>
  <c r="F219" i="67"/>
  <c r="N9" i="84"/>
  <c r="F183" i="83"/>
  <c r="M9" i="83"/>
  <c r="F183" i="67"/>
  <c r="F111" i="67"/>
  <c r="AB111" i="67" s="1"/>
  <c r="F116" i="83"/>
  <c r="F147" i="69"/>
  <c r="F9" i="69"/>
  <c r="F147" i="67"/>
  <c r="AB147" i="67" s="1"/>
  <c r="AH147" i="67" s="1"/>
  <c r="F9" i="68"/>
  <c r="F255" i="67"/>
  <c r="F219" i="69"/>
  <c r="M9" i="68"/>
  <c r="M9" i="67"/>
  <c r="F147" i="66"/>
  <c r="F9" i="67"/>
  <c r="F111" i="66"/>
  <c r="F9" i="66"/>
  <c r="M9" i="66"/>
  <c r="F7" i="22"/>
  <c r="AD259" i="83"/>
  <c r="M258" i="83"/>
  <c r="AO290" i="83"/>
  <c r="F258" i="83"/>
  <c r="F182" i="83"/>
  <c r="AB3" i="83"/>
  <c r="F8" i="68"/>
  <c r="N8" i="84"/>
  <c r="F8" i="84"/>
  <c r="M115" i="83"/>
  <c r="F115" i="83"/>
  <c r="F146" i="69"/>
  <c r="F218" i="69"/>
  <c r="F8" i="69"/>
  <c r="M8" i="68"/>
  <c r="F254" i="67"/>
  <c r="F182" i="67"/>
  <c r="F75" i="83"/>
  <c r="F182" i="69"/>
  <c r="M8" i="69"/>
  <c r="F146" i="67"/>
  <c r="F110" i="67"/>
  <c r="BU40" i="67"/>
  <c r="BO40" i="67"/>
  <c r="AZ40" i="67"/>
  <c r="AT40" i="67"/>
  <c r="F8" i="83"/>
  <c r="F218" i="67"/>
  <c r="M8" i="83"/>
  <c r="F110" i="69"/>
  <c r="F254" i="69"/>
  <c r="BJ40" i="67"/>
  <c r="BE40" i="67"/>
  <c r="AO40" i="67"/>
  <c r="AB3" i="69"/>
  <c r="F146" i="66"/>
  <c r="F110" i="66"/>
  <c r="F8" i="67"/>
  <c r="M8" i="67"/>
  <c r="M8" i="66"/>
  <c r="F8" i="66"/>
  <c r="E259" i="83"/>
  <c r="L259" i="83"/>
  <c r="M9" i="84"/>
  <c r="E183" i="83"/>
  <c r="L9" i="83"/>
  <c r="E9" i="84"/>
  <c r="E116" i="83"/>
  <c r="E147" i="69"/>
  <c r="E219" i="69"/>
  <c r="E9" i="68"/>
  <c r="E255" i="67"/>
  <c r="E183" i="67"/>
  <c r="L116" i="83"/>
  <c r="E9" i="83"/>
  <c r="E111" i="69"/>
  <c r="E255" i="69"/>
  <c r="L9" i="68"/>
  <c r="E111" i="67"/>
  <c r="AA111" i="67" s="1"/>
  <c r="E76" i="83"/>
  <c r="E183" i="69"/>
  <c r="E9" i="69"/>
  <c r="E147" i="67"/>
  <c r="AA147" i="67" s="1"/>
  <c r="AG147" i="67" s="1"/>
  <c r="L9" i="69"/>
  <c r="E219" i="67"/>
  <c r="E147" i="66"/>
  <c r="E9" i="67"/>
  <c r="AW40" i="67" s="1"/>
  <c r="L9" i="67"/>
  <c r="E111" i="66"/>
  <c r="L9" i="66"/>
  <c r="E9" i="66"/>
  <c r="O9" i="63"/>
  <c r="H9" i="62"/>
  <c r="O9" i="65"/>
  <c r="H9" i="64"/>
  <c r="H9" i="65"/>
  <c r="H9" i="63"/>
  <c r="O9" i="64"/>
  <c r="O9" i="62"/>
  <c r="K8" i="65"/>
  <c r="D8" i="64"/>
  <c r="K8" i="63"/>
  <c r="D8" i="63"/>
  <c r="D8" i="65"/>
  <c r="K8" i="62"/>
  <c r="D8" i="62"/>
  <c r="K8" i="64"/>
  <c r="G9" i="65"/>
  <c r="N9" i="62"/>
  <c r="G9" i="63"/>
  <c r="N9" i="64"/>
  <c r="N9" i="63"/>
  <c r="G9" i="62"/>
  <c r="N9" i="65"/>
  <c r="G9" i="64"/>
  <c r="E8" i="65"/>
  <c r="L8" i="62"/>
  <c r="E8" i="63"/>
  <c r="L8" i="63"/>
  <c r="E8" i="62"/>
  <c r="L8" i="64"/>
  <c r="L8" i="65"/>
  <c r="E8" i="64"/>
  <c r="K9" i="63"/>
  <c r="D9" i="62"/>
  <c r="K9" i="64"/>
  <c r="D9" i="82"/>
  <c r="D9" i="64"/>
  <c r="D9" i="65"/>
  <c r="K9" i="62"/>
  <c r="D9" i="63"/>
  <c r="K9" i="65"/>
  <c r="O8" i="65"/>
  <c r="H8" i="64"/>
  <c r="O8" i="63"/>
  <c r="O8" i="64"/>
  <c r="H8" i="65"/>
  <c r="O8" i="62"/>
  <c r="H8" i="62"/>
  <c r="H8" i="63"/>
  <c r="M9" i="65"/>
  <c r="F9" i="64"/>
  <c r="M9" i="63"/>
  <c r="M9" i="64"/>
  <c r="F9" i="65"/>
  <c r="M9" i="62"/>
  <c r="F9" i="62"/>
  <c r="F9" i="63"/>
  <c r="M8" i="63"/>
  <c r="F8" i="62"/>
  <c r="M8" i="64"/>
  <c r="F8" i="64"/>
  <c r="F8" i="65"/>
  <c r="M8" i="62"/>
  <c r="F8" i="63"/>
  <c r="M8" i="65"/>
  <c r="E9" i="63"/>
  <c r="L9" i="64"/>
  <c r="E9" i="65"/>
  <c r="L9" i="63"/>
  <c r="L9" i="65"/>
  <c r="E9" i="64"/>
  <c r="L9" i="62"/>
  <c r="E9" i="62"/>
  <c r="D111" i="62"/>
  <c r="D111" i="63"/>
  <c r="E110" i="62"/>
  <c r="E110" i="63"/>
  <c r="F111" i="63"/>
  <c r="F111" i="62"/>
  <c r="H111" i="62"/>
  <c r="H111" i="63"/>
  <c r="D110" i="63"/>
  <c r="D110" i="62"/>
  <c r="G111" i="62"/>
  <c r="G111" i="63"/>
  <c r="H110" i="62"/>
  <c r="H110" i="63"/>
  <c r="F110" i="63"/>
  <c r="F110" i="62"/>
  <c r="E111" i="63"/>
  <c r="E111" i="62"/>
  <c r="H9" i="72"/>
  <c r="H9" i="82"/>
  <c r="D8" i="82"/>
  <c r="D8" i="72"/>
  <c r="E8" i="82"/>
  <c r="E8" i="72"/>
  <c r="H8" i="82"/>
  <c r="H8" i="72"/>
  <c r="F9" i="72"/>
  <c r="F9" i="82"/>
  <c r="D9" i="72"/>
  <c r="G9" i="82"/>
  <c r="G9" i="72"/>
  <c r="F8" i="72"/>
  <c r="F8" i="82"/>
  <c r="E9" i="72"/>
  <c r="E9" i="82"/>
  <c r="AA2" i="82"/>
  <c r="AC2" i="72"/>
  <c r="AC2" i="73"/>
  <c r="Z2" i="82"/>
  <c r="AB2" i="72"/>
  <c r="AB2" i="73"/>
  <c r="AB2" i="82"/>
  <c r="AD2" i="72"/>
  <c r="AD2" i="73"/>
  <c r="X2" i="82"/>
  <c r="Z2" i="73"/>
  <c r="Z2" i="72"/>
  <c r="Y2" i="82"/>
  <c r="AA2" i="73"/>
  <c r="AA2" i="72"/>
  <c r="P9" i="74"/>
  <c r="H9" i="73"/>
  <c r="P9" i="82"/>
  <c r="H75" i="82"/>
  <c r="BA39" i="82"/>
  <c r="AC75" i="82"/>
  <c r="AV39" i="82"/>
  <c r="AP39" i="82"/>
  <c r="D75" i="82"/>
  <c r="AW39" i="82"/>
  <c r="Y75" i="82"/>
  <c r="AR39" i="82"/>
  <c r="AL39" i="82"/>
  <c r="L9" i="82"/>
  <c r="P8" i="74"/>
  <c r="H8" i="73"/>
  <c r="AB3" i="82"/>
  <c r="AC74" i="82"/>
  <c r="BA38" i="82"/>
  <c r="AV38" i="82"/>
  <c r="AP38" i="82"/>
  <c r="P8" i="82"/>
  <c r="H74" i="82"/>
  <c r="AD3" i="72"/>
  <c r="AD3" i="73"/>
  <c r="AO39" i="82"/>
  <c r="O9" i="82"/>
  <c r="G75" i="82"/>
  <c r="AZ39" i="82"/>
  <c r="AB75" i="82"/>
  <c r="AU39" i="82"/>
  <c r="Y3" i="82"/>
  <c r="AS38" i="82"/>
  <c r="AM38" i="82"/>
  <c r="M8" i="82"/>
  <c r="E74" i="82"/>
  <c r="Z74" i="82"/>
  <c r="AX38" i="82"/>
  <c r="AA3" i="72"/>
  <c r="AA3" i="73"/>
  <c r="X3" i="82"/>
  <c r="Y74" i="82"/>
  <c r="AW38" i="82"/>
  <c r="AR38" i="82"/>
  <c r="AL38" i="82"/>
  <c r="L8" i="82"/>
  <c r="D74" i="82"/>
  <c r="Z3" i="72"/>
  <c r="Z3" i="73"/>
  <c r="AA3" i="82"/>
  <c r="G74" i="82"/>
  <c r="AB74" i="82"/>
  <c r="AZ38" i="82"/>
  <c r="O8" i="82"/>
  <c r="AU38" i="82"/>
  <c r="AO38" i="82"/>
  <c r="AC3" i="73"/>
  <c r="AC3" i="72"/>
  <c r="AA75" i="82"/>
  <c r="AT39" i="82"/>
  <c r="AN39" i="82"/>
  <c r="N9" i="82"/>
  <c r="F75" i="82"/>
  <c r="AY39" i="82"/>
  <c r="Z3" i="82"/>
  <c r="AN38" i="82"/>
  <c r="N8" i="82"/>
  <c r="F74" i="82"/>
  <c r="AA74" i="82"/>
  <c r="AY38" i="82"/>
  <c r="AT38" i="82"/>
  <c r="AB3" i="73"/>
  <c r="AB3" i="72"/>
  <c r="E75" i="82"/>
  <c r="AX39" i="82"/>
  <c r="Z75" i="82"/>
  <c r="AS39" i="82"/>
  <c r="AM39" i="82"/>
  <c r="M9" i="82"/>
  <c r="N11" i="75"/>
  <c r="M12" i="75"/>
  <c r="K8" i="49"/>
  <c r="D110" i="49"/>
  <c r="D146" i="49"/>
  <c r="AS39" i="49"/>
  <c r="AB8" i="49"/>
  <c r="Z146" i="49"/>
  <c r="AX39" i="49"/>
  <c r="AM39" i="49"/>
  <c r="Z109" i="49"/>
  <c r="K9" i="49"/>
  <c r="AM40" i="49"/>
  <c r="AS40" i="49"/>
  <c r="AB9" i="49"/>
  <c r="Z147" i="49"/>
  <c r="D111" i="49"/>
  <c r="AX40" i="49"/>
  <c r="Z110" i="49"/>
  <c r="D147" i="49"/>
  <c r="N8" i="49"/>
  <c r="G110" i="49"/>
  <c r="BA39" i="49"/>
  <c r="AP39" i="49"/>
  <c r="AC109" i="49"/>
  <c r="G146" i="49"/>
  <c r="AV39" i="49"/>
  <c r="AE8" i="49"/>
  <c r="AC146" i="49"/>
  <c r="M9" i="49"/>
  <c r="AZ40" i="49"/>
  <c r="AO40" i="49"/>
  <c r="AB110" i="49"/>
  <c r="F147" i="49"/>
  <c r="AU40" i="49"/>
  <c r="AD9" i="49"/>
  <c r="AB147" i="49"/>
  <c r="F111" i="49"/>
  <c r="M8" i="49"/>
  <c r="AD8" i="49"/>
  <c r="F110" i="49"/>
  <c r="AZ39" i="49"/>
  <c r="AO39" i="49"/>
  <c r="AB109" i="49"/>
  <c r="F146" i="49"/>
  <c r="AU39" i="49"/>
  <c r="AB146" i="49"/>
  <c r="L9" i="49"/>
  <c r="AA147" i="49"/>
  <c r="E111" i="49"/>
  <c r="AY40" i="49"/>
  <c r="AN40" i="49"/>
  <c r="AA110" i="49"/>
  <c r="E147" i="49"/>
  <c r="AT40" i="49"/>
  <c r="AC9" i="49"/>
  <c r="O9" i="49"/>
  <c r="BB40" i="49"/>
  <c r="AD110" i="49"/>
  <c r="H147" i="49"/>
  <c r="AW40" i="49"/>
  <c r="AF9" i="49"/>
  <c r="AD147" i="49"/>
  <c r="H111" i="49"/>
  <c r="AQ40" i="49"/>
  <c r="O8" i="49"/>
  <c r="AD109" i="49"/>
  <c r="AW39" i="49"/>
  <c r="AF8" i="49"/>
  <c r="AD146" i="49"/>
  <c r="H110" i="49"/>
  <c r="BB39" i="49"/>
  <c r="AQ39" i="49"/>
  <c r="H146" i="49"/>
  <c r="N9" i="49"/>
  <c r="AP40" i="49"/>
  <c r="G147" i="49"/>
  <c r="AV40" i="49"/>
  <c r="AE9" i="49"/>
  <c r="AC147" i="49"/>
  <c r="G111" i="49"/>
  <c r="BA40" i="49"/>
  <c r="AC110" i="49"/>
  <c r="L8" i="49"/>
  <c r="AY39" i="49"/>
  <c r="AT39" i="49"/>
  <c r="AC8" i="49"/>
  <c r="AA146" i="49"/>
  <c r="E110" i="49"/>
  <c r="AN39" i="49"/>
  <c r="AA109" i="49"/>
  <c r="E146" i="49"/>
  <c r="H74" i="72"/>
  <c r="AP38" i="74"/>
  <c r="AH74" i="73"/>
  <c r="AP38" i="73"/>
  <c r="H8" i="49"/>
  <c r="AH74" i="72"/>
  <c r="BC38" i="72"/>
  <c r="AC74" i="72"/>
  <c r="AC109" i="72"/>
  <c r="AC74" i="73"/>
  <c r="AW38" i="72"/>
  <c r="AH109" i="72"/>
  <c r="AW38" i="73"/>
  <c r="AP38" i="72"/>
  <c r="H109" i="72"/>
  <c r="H74" i="73"/>
  <c r="H8" i="74"/>
  <c r="P8" i="73"/>
  <c r="G75" i="72"/>
  <c r="AO39" i="74"/>
  <c r="AG75" i="73"/>
  <c r="AO39" i="73"/>
  <c r="G9" i="49"/>
  <c r="BB39" i="72"/>
  <c r="AV39" i="72"/>
  <c r="AG110" i="72"/>
  <c r="G110" i="72"/>
  <c r="AB75" i="73"/>
  <c r="AO39" i="72"/>
  <c r="AV39" i="73"/>
  <c r="AG75" i="72"/>
  <c r="AB110" i="72"/>
  <c r="AB75" i="72"/>
  <c r="G75" i="73"/>
  <c r="G9" i="73"/>
  <c r="O9" i="74"/>
  <c r="G9" i="74"/>
  <c r="O9" i="73"/>
  <c r="AO38" i="74"/>
  <c r="AG74" i="73"/>
  <c r="AO38" i="73"/>
  <c r="AO38" i="72"/>
  <c r="AB74" i="72"/>
  <c r="G8" i="49"/>
  <c r="AB74" i="73"/>
  <c r="AV38" i="73"/>
  <c r="BB38" i="72"/>
  <c r="AV38" i="72"/>
  <c r="AG74" i="72"/>
  <c r="AG109" i="72"/>
  <c r="G109" i="72"/>
  <c r="G74" i="72"/>
  <c r="AB109" i="72"/>
  <c r="G74" i="73"/>
  <c r="O8" i="74"/>
  <c r="G8" i="74"/>
  <c r="O8" i="73"/>
  <c r="G8" i="73"/>
  <c r="N9" i="72"/>
  <c r="AN39" i="74"/>
  <c r="AF75" i="73"/>
  <c r="AN39" i="73"/>
  <c r="AN39" i="72"/>
  <c r="AA75" i="72"/>
  <c r="F9" i="49"/>
  <c r="AA75" i="73"/>
  <c r="AU39" i="73"/>
  <c r="BA39" i="72"/>
  <c r="AU39" i="72"/>
  <c r="AF75" i="72"/>
  <c r="AF110" i="72"/>
  <c r="F110" i="72"/>
  <c r="F75" i="72"/>
  <c r="AA110" i="72"/>
  <c r="F9" i="74"/>
  <c r="N9" i="73"/>
  <c r="F75" i="73"/>
  <c r="F9" i="73"/>
  <c r="N9" i="74"/>
  <c r="N8" i="72"/>
  <c r="F8" i="49"/>
  <c r="AA74" i="73"/>
  <c r="AU38" i="73"/>
  <c r="BA38" i="72"/>
  <c r="AN38" i="74"/>
  <c r="AF74" i="73"/>
  <c r="AN38" i="72"/>
  <c r="AN38" i="73"/>
  <c r="AF74" i="72"/>
  <c r="F109" i="72"/>
  <c r="F74" i="72"/>
  <c r="AA74" i="72"/>
  <c r="AU38" i="72"/>
  <c r="AA109" i="72"/>
  <c r="AF109" i="72"/>
  <c r="F8" i="73"/>
  <c r="F74" i="73"/>
  <c r="N8" i="74"/>
  <c r="F8" i="74"/>
  <c r="N8" i="73"/>
  <c r="E9" i="49"/>
  <c r="Z75" i="73"/>
  <c r="AT39" i="73"/>
  <c r="AZ39" i="72"/>
  <c r="AE75" i="73"/>
  <c r="AM39" i="73"/>
  <c r="Z75" i="72"/>
  <c r="Z110" i="72"/>
  <c r="AT39" i="72"/>
  <c r="AE110" i="72"/>
  <c r="AM39" i="74"/>
  <c r="AM39" i="72"/>
  <c r="E110" i="72"/>
  <c r="E75" i="72"/>
  <c r="AE75" i="72"/>
  <c r="M9" i="74"/>
  <c r="E9" i="74"/>
  <c r="M9" i="73"/>
  <c r="E75" i="73"/>
  <c r="E9" i="73"/>
  <c r="L8" i="72"/>
  <c r="D74" i="72"/>
  <c r="AL38" i="74"/>
  <c r="AD74" i="73"/>
  <c r="AL38" i="73"/>
  <c r="Y74" i="73"/>
  <c r="AS38" i="73"/>
  <c r="AS38" i="72"/>
  <c r="Y109" i="72"/>
  <c r="D8" i="49"/>
  <c r="AL38" i="72"/>
  <c r="AD109" i="72"/>
  <c r="AY38" i="72"/>
  <c r="AD74" i="72"/>
  <c r="D109" i="72"/>
  <c r="Y74" i="72"/>
  <c r="D74" i="73"/>
  <c r="L8" i="74"/>
  <c r="D8" i="74"/>
  <c r="L8" i="73"/>
  <c r="D8" i="73"/>
  <c r="P9" i="72"/>
  <c r="H9" i="49"/>
  <c r="AC75" i="73"/>
  <c r="AW39" i="73"/>
  <c r="BC39" i="72"/>
  <c r="AW39" i="72"/>
  <c r="AH75" i="72"/>
  <c r="AH110" i="72"/>
  <c r="AP39" i="74"/>
  <c r="AH75" i="73"/>
  <c r="AP39" i="73"/>
  <c r="AP39" i="72"/>
  <c r="AC75" i="72"/>
  <c r="AC110" i="72"/>
  <c r="H110" i="72"/>
  <c r="H75" i="72"/>
  <c r="H9" i="74"/>
  <c r="P9" i="73"/>
  <c r="H75" i="73"/>
  <c r="L9" i="72"/>
  <c r="D9" i="49"/>
  <c r="Y75" i="73"/>
  <c r="AS39" i="73"/>
  <c r="AY39" i="72"/>
  <c r="AS39" i="72"/>
  <c r="AD75" i="72"/>
  <c r="AD110" i="72"/>
  <c r="AL39" i="74"/>
  <c r="AD75" i="73"/>
  <c r="AL39" i="73"/>
  <c r="AL39" i="72"/>
  <c r="Y75" i="72"/>
  <c r="Y110" i="72"/>
  <c r="D110" i="72"/>
  <c r="D75" i="72"/>
  <c r="L9" i="74"/>
  <c r="D9" i="74"/>
  <c r="L9" i="73"/>
  <c r="D75" i="73"/>
  <c r="D9" i="73"/>
  <c r="M8" i="72"/>
  <c r="E8" i="49"/>
  <c r="Z74" i="73"/>
  <c r="AT38" i="73"/>
  <c r="AZ38" i="72"/>
  <c r="AT38" i="72"/>
  <c r="AE74" i="72"/>
  <c r="AM38" i="74"/>
  <c r="AE74" i="73"/>
  <c r="AM38" i="73"/>
  <c r="AM38" i="72"/>
  <c r="Z74" i="72"/>
  <c r="Z109" i="72"/>
  <c r="E109" i="72"/>
  <c r="AE109" i="72"/>
  <c r="E74" i="72"/>
  <c r="E8" i="74"/>
  <c r="M8" i="73"/>
  <c r="E8" i="73"/>
  <c r="E74" i="73"/>
  <c r="M8" i="74"/>
  <c r="O8" i="72"/>
  <c r="P8" i="72"/>
  <c r="M9" i="72"/>
  <c r="O9" i="72"/>
  <c r="Q7" i="85" l="1"/>
  <c r="R80" i="70"/>
  <c r="Q113" i="68"/>
  <c r="Q7" i="87"/>
  <c r="R8" i="70"/>
  <c r="R7" i="91"/>
  <c r="R9" i="60"/>
  <c r="R116" i="60"/>
  <c r="R78" i="91"/>
  <c r="Y288" i="69"/>
  <c r="Q7" i="68"/>
  <c r="AM40" i="83"/>
  <c r="Q7" i="83"/>
  <c r="AW40" i="83"/>
  <c r="BB40" i="83" s="1"/>
  <c r="BC147" i="83" s="1"/>
  <c r="Q7" i="66"/>
  <c r="Q7" i="67"/>
  <c r="AQ40" i="83"/>
  <c r="Q114" i="83"/>
  <c r="AN40" i="83"/>
  <c r="AU40" i="83"/>
  <c r="AZ40" i="83" s="1"/>
  <c r="BA147" i="83" s="1"/>
  <c r="AV40" i="83"/>
  <c r="BA40" i="83" s="1"/>
  <c r="BB147" i="83" s="1"/>
  <c r="AP40" i="83"/>
  <c r="AT40" i="83"/>
  <c r="AY40" i="83" s="1"/>
  <c r="AZ147" i="83" s="1"/>
  <c r="AO40" i="83"/>
  <c r="AS40" i="83"/>
  <c r="AX40" i="83" s="1"/>
  <c r="AY147" i="83" s="1"/>
  <c r="Q7" i="69"/>
  <c r="R7" i="84"/>
  <c r="Q257" i="83"/>
  <c r="Q7" i="62"/>
  <c r="Q7" i="64"/>
  <c r="Q7" i="65"/>
  <c r="Q7" i="63"/>
  <c r="DG109" i="50"/>
  <c r="DQ109" i="50"/>
  <c r="DV109" i="50"/>
  <c r="DL109" i="50"/>
  <c r="CW109" i="50"/>
  <c r="CH109" i="50"/>
  <c r="DB109" i="50"/>
  <c r="EA109" i="50"/>
  <c r="CM109" i="50"/>
  <c r="CR109" i="50"/>
  <c r="DY109" i="50"/>
  <c r="CK109" i="50"/>
  <c r="CU109" i="50"/>
  <c r="DE109" i="50"/>
  <c r="CF109" i="50"/>
  <c r="DO109" i="50"/>
  <c r="DT109" i="50"/>
  <c r="DJ109" i="50"/>
  <c r="CP109" i="50"/>
  <c r="CZ109" i="50"/>
  <c r="CE109" i="50"/>
  <c r="CO109" i="50"/>
  <c r="CY109" i="50"/>
  <c r="DD109" i="50"/>
  <c r="DN109" i="50"/>
  <c r="DX109" i="50"/>
  <c r="CT109" i="50"/>
  <c r="CJ109" i="50"/>
  <c r="DI109" i="50"/>
  <c r="DS109" i="50"/>
  <c r="DZ109" i="50"/>
  <c r="DK109" i="50"/>
  <c r="DF109" i="50"/>
  <c r="CG109" i="50"/>
  <c r="CV109" i="50"/>
  <c r="CL109" i="50"/>
  <c r="CQ109" i="50"/>
  <c r="DA109" i="50"/>
  <c r="DU109" i="50"/>
  <c r="DP109" i="50"/>
  <c r="CX109" i="50"/>
  <c r="DC109" i="50"/>
  <c r="EB109" i="50"/>
  <c r="DM109" i="50"/>
  <c r="DW109" i="50"/>
  <c r="DR109" i="50"/>
  <c r="CS109" i="50"/>
  <c r="CI109" i="50"/>
  <c r="DH109" i="50"/>
  <c r="CN109" i="50"/>
  <c r="CQ110" i="50"/>
  <c r="CL110" i="50"/>
  <c r="DU110" i="50"/>
  <c r="CV110" i="50"/>
  <c r="DP110" i="50"/>
  <c r="DZ110" i="50"/>
  <c r="DF110" i="50"/>
  <c r="CG110" i="50"/>
  <c r="DK110" i="50"/>
  <c r="DA110" i="50"/>
  <c r="DS110" i="50"/>
  <c r="DN110" i="50"/>
  <c r="DD110" i="50"/>
  <c r="DI110" i="50"/>
  <c r="DX110" i="50"/>
  <c r="CE110" i="50"/>
  <c r="CY110" i="50"/>
  <c r="CT110" i="50"/>
  <c r="CJ110" i="50"/>
  <c r="CO110" i="50"/>
  <c r="DW110" i="50"/>
  <c r="CS110" i="50"/>
  <c r="CX110" i="50"/>
  <c r="DR110" i="50"/>
  <c r="DM110" i="50"/>
  <c r="CN110" i="50"/>
  <c r="EB110" i="50"/>
  <c r="DH110" i="50"/>
  <c r="CI110" i="50"/>
  <c r="DC110" i="50"/>
  <c r="DE110" i="50"/>
  <c r="CU110" i="50"/>
  <c r="CK110" i="50"/>
  <c r="CP110" i="50"/>
  <c r="CZ110" i="50"/>
  <c r="CF110" i="50"/>
  <c r="DO110" i="50"/>
  <c r="DT110" i="50"/>
  <c r="DY110" i="50"/>
  <c r="DJ110" i="50"/>
  <c r="R8" i="73"/>
  <c r="R8" i="74"/>
  <c r="R8" i="72"/>
  <c r="R8" i="82"/>
  <c r="Q7" i="49"/>
  <c r="M13" i="75"/>
  <c r="N12" i="75"/>
  <c r="B323" i="69" l="1"/>
  <c r="B288" i="69"/>
  <c r="N13" i="75"/>
  <c r="M14" i="75"/>
  <c r="AZ32" i="50"/>
  <c r="AY32" i="50"/>
  <c r="AX32" i="50"/>
  <c r="AW32" i="50"/>
  <c r="AV32" i="50"/>
  <c r="AU32" i="50"/>
  <c r="AT32" i="50"/>
  <c r="AS32" i="50"/>
  <c r="AR32" i="50"/>
  <c r="AQ32" i="50"/>
  <c r="AP32" i="50"/>
  <c r="AO32" i="50"/>
  <c r="AN32" i="50"/>
  <c r="AM32" i="50"/>
  <c r="AL32" i="50"/>
  <c r="AK32" i="50"/>
  <c r="AJ32" i="50"/>
  <c r="AI32" i="50"/>
  <c r="AH32" i="50"/>
  <c r="AG32" i="50"/>
  <c r="AF32" i="50"/>
  <c r="AZ30" i="50"/>
  <c r="AY30" i="50"/>
  <c r="AX30" i="50"/>
  <c r="AW30" i="50"/>
  <c r="AV30" i="50"/>
  <c r="AU30" i="50"/>
  <c r="AT30" i="50"/>
  <c r="AS30" i="50"/>
  <c r="AR30" i="50"/>
  <c r="AQ30" i="50"/>
  <c r="AP30" i="50"/>
  <c r="AO30" i="50"/>
  <c r="AN30" i="50"/>
  <c r="AM30" i="50"/>
  <c r="AL30" i="50"/>
  <c r="AK30" i="50"/>
  <c r="AJ30" i="50"/>
  <c r="AI30" i="50"/>
  <c r="AH30" i="50"/>
  <c r="AG30" i="50"/>
  <c r="AF30" i="50"/>
  <c r="AU29" i="50"/>
  <c r="AT29" i="50"/>
  <c r="AS29" i="50"/>
  <c r="AR29" i="50"/>
  <c r="AQ29" i="50"/>
  <c r="AP29" i="50"/>
  <c r="AO29" i="50"/>
  <c r="AN29" i="50"/>
  <c r="AM29" i="50"/>
  <c r="AL29" i="50"/>
  <c r="AK29" i="50"/>
  <c r="AJ29" i="50"/>
  <c r="AI29" i="50"/>
  <c r="AH29" i="50"/>
  <c r="AG29" i="50"/>
  <c r="AF29" i="50"/>
  <c r="AU28" i="50"/>
  <c r="AT28" i="50"/>
  <c r="AS28" i="50"/>
  <c r="AR28" i="50"/>
  <c r="AQ28" i="50"/>
  <c r="AP28" i="50"/>
  <c r="AO28" i="50"/>
  <c r="AN28" i="50"/>
  <c r="AM28" i="50"/>
  <c r="AL28" i="50"/>
  <c r="AK28" i="50"/>
  <c r="AJ28" i="50"/>
  <c r="AI28" i="50"/>
  <c r="AH28" i="50"/>
  <c r="AG28" i="50"/>
  <c r="AF28" i="50"/>
  <c r="AU27" i="50"/>
  <c r="AT27" i="50"/>
  <c r="AS27" i="50"/>
  <c r="AR27" i="50"/>
  <c r="AQ27" i="50"/>
  <c r="AP27" i="50"/>
  <c r="AO27" i="50"/>
  <c r="AN27" i="50"/>
  <c r="AM27" i="50"/>
  <c r="AL27" i="50"/>
  <c r="AK27" i="50"/>
  <c r="AJ27" i="50"/>
  <c r="AI27" i="50"/>
  <c r="AH27" i="50"/>
  <c r="AG27" i="50"/>
  <c r="AF27" i="50"/>
  <c r="AU26" i="50"/>
  <c r="AT26" i="50"/>
  <c r="AS26" i="50"/>
  <c r="AR26" i="50"/>
  <c r="AQ26" i="50"/>
  <c r="AP26" i="50"/>
  <c r="AO26" i="50"/>
  <c r="AN26" i="50"/>
  <c r="AM26" i="50"/>
  <c r="AL26" i="50"/>
  <c r="AK26" i="50"/>
  <c r="AJ26" i="50"/>
  <c r="AI26" i="50"/>
  <c r="AH26" i="50"/>
  <c r="AG26" i="50"/>
  <c r="AF26" i="50"/>
  <c r="AU25" i="50"/>
  <c r="AT25" i="50"/>
  <c r="AS25" i="50"/>
  <c r="AR25" i="50"/>
  <c r="AQ25" i="50"/>
  <c r="AP25" i="50"/>
  <c r="AO25" i="50"/>
  <c r="AN25" i="50"/>
  <c r="AM25" i="50"/>
  <c r="AL25" i="50"/>
  <c r="AK25" i="50"/>
  <c r="AJ25" i="50"/>
  <c r="AI25" i="50"/>
  <c r="AH25" i="50"/>
  <c r="AG25" i="50"/>
  <c r="AF25" i="50"/>
  <c r="AU24" i="50"/>
  <c r="AT24" i="50"/>
  <c r="AS24" i="50"/>
  <c r="AR24" i="50"/>
  <c r="AQ24" i="50"/>
  <c r="AP24" i="50"/>
  <c r="AO24" i="50"/>
  <c r="AN24" i="50"/>
  <c r="AM24" i="50"/>
  <c r="AL24" i="50"/>
  <c r="AK24" i="50"/>
  <c r="AJ24" i="50"/>
  <c r="AI24" i="50"/>
  <c r="AH24" i="50"/>
  <c r="AG24" i="50"/>
  <c r="AF24" i="50"/>
  <c r="AU23" i="50"/>
  <c r="AT23" i="50"/>
  <c r="AS23" i="50"/>
  <c r="AR23" i="50"/>
  <c r="AQ23" i="50"/>
  <c r="AP23" i="50"/>
  <c r="AO23" i="50"/>
  <c r="AN23" i="50"/>
  <c r="AM23" i="50"/>
  <c r="AL23" i="50"/>
  <c r="AK23" i="50"/>
  <c r="AJ23" i="50"/>
  <c r="AI23" i="50"/>
  <c r="AH23" i="50"/>
  <c r="AG23" i="50"/>
  <c r="AF23" i="50"/>
  <c r="AU22" i="50"/>
  <c r="AT22" i="50"/>
  <c r="AS22" i="50"/>
  <c r="AR22" i="50"/>
  <c r="AQ22" i="50"/>
  <c r="AP22" i="50"/>
  <c r="AO22" i="50"/>
  <c r="AN22" i="50"/>
  <c r="AM22" i="50"/>
  <c r="AL22" i="50"/>
  <c r="AK22" i="50"/>
  <c r="AJ22" i="50"/>
  <c r="AI22" i="50"/>
  <c r="AH22" i="50"/>
  <c r="AG22" i="50"/>
  <c r="AF22" i="50"/>
  <c r="AU21" i="50"/>
  <c r="AT21" i="50"/>
  <c r="AS21" i="50"/>
  <c r="AR21" i="50"/>
  <c r="AQ21" i="50"/>
  <c r="AP21" i="50"/>
  <c r="AO21" i="50"/>
  <c r="AN21" i="50"/>
  <c r="AM21" i="50"/>
  <c r="AL21" i="50"/>
  <c r="AK21" i="50"/>
  <c r="AJ21" i="50"/>
  <c r="AI21" i="50"/>
  <c r="AH21" i="50"/>
  <c r="AG21" i="50"/>
  <c r="AF21" i="50"/>
  <c r="AU20" i="50"/>
  <c r="AT20" i="50"/>
  <c r="AS20" i="50"/>
  <c r="AR20" i="50"/>
  <c r="AQ20" i="50"/>
  <c r="AP20" i="50"/>
  <c r="AO20" i="50"/>
  <c r="AN20" i="50"/>
  <c r="AM20" i="50"/>
  <c r="AL20" i="50"/>
  <c r="AK20" i="50"/>
  <c r="AJ20" i="50"/>
  <c r="AI20" i="50"/>
  <c r="AH20" i="50"/>
  <c r="AG20" i="50"/>
  <c r="AF20" i="50"/>
  <c r="AU19" i="50"/>
  <c r="AT19" i="50"/>
  <c r="AS19" i="50"/>
  <c r="AR19" i="50"/>
  <c r="AQ19" i="50"/>
  <c r="AP19" i="50"/>
  <c r="AO19" i="50"/>
  <c r="AN19" i="50"/>
  <c r="AM19" i="50"/>
  <c r="AL19" i="50"/>
  <c r="AK19" i="50"/>
  <c r="AJ19" i="50"/>
  <c r="AI19" i="50"/>
  <c r="AH19" i="50"/>
  <c r="AG19" i="50"/>
  <c r="AF19" i="50"/>
  <c r="AV18" i="50"/>
  <c r="AU18" i="50"/>
  <c r="AT18" i="50"/>
  <c r="AS18" i="50"/>
  <c r="AR18" i="50"/>
  <c r="AQ18" i="50"/>
  <c r="AP18" i="50"/>
  <c r="AO18" i="50"/>
  <c r="AN18" i="50"/>
  <c r="AM18" i="50"/>
  <c r="AL18" i="50"/>
  <c r="AK18" i="50"/>
  <c r="AJ18" i="50"/>
  <c r="AI18" i="50"/>
  <c r="AH18" i="50"/>
  <c r="AG18" i="50"/>
  <c r="AF18" i="50"/>
  <c r="AU17" i="50"/>
  <c r="AT17" i="50"/>
  <c r="AS17" i="50"/>
  <c r="AR17" i="50"/>
  <c r="AQ17" i="50"/>
  <c r="AP17" i="50"/>
  <c r="AO17" i="50"/>
  <c r="AN17" i="50"/>
  <c r="AM17" i="50"/>
  <c r="AL17" i="50"/>
  <c r="AK17" i="50"/>
  <c r="AJ17" i="50"/>
  <c r="AI17" i="50"/>
  <c r="AH17" i="50"/>
  <c r="AG17" i="50"/>
  <c r="AF17" i="50"/>
  <c r="AU16" i="50"/>
  <c r="AT16" i="50"/>
  <c r="AS16" i="50"/>
  <c r="AR16" i="50"/>
  <c r="AQ16" i="50"/>
  <c r="AP16" i="50"/>
  <c r="AO16" i="50"/>
  <c r="AN16" i="50"/>
  <c r="AM16" i="50"/>
  <c r="AL16" i="50"/>
  <c r="AK16" i="50"/>
  <c r="AJ16" i="50"/>
  <c r="AI16" i="50"/>
  <c r="AH16" i="50"/>
  <c r="AG16" i="50"/>
  <c r="AF16" i="50"/>
  <c r="AU15" i="50"/>
  <c r="AT15" i="50"/>
  <c r="AS15" i="50"/>
  <c r="AR15" i="50"/>
  <c r="AQ15" i="50"/>
  <c r="AP15" i="50"/>
  <c r="AO15" i="50"/>
  <c r="AN15" i="50"/>
  <c r="AM15" i="50"/>
  <c r="AL15" i="50"/>
  <c r="AK15" i="50"/>
  <c r="AJ15" i="50"/>
  <c r="AI15" i="50"/>
  <c r="AH15" i="50"/>
  <c r="AG15" i="50"/>
  <c r="AF15" i="50"/>
  <c r="AU14" i="50"/>
  <c r="AT14" i="50"/>
  <c r="AS14" i="50"/>
  <c r="AR14" i="50"/>
  <c r="AQ14" i="50"/>
  <c r="AP14" i="50"/>
  <c r="AO14" i="50"/>
  <c r="AN14" i="50"/>
  <c r="AM14" i="50"/>
  <c r="AL14" i="50"/>
  <c r="AK14" i="50"/>
  <c r="AJ14" i="50"/>
  <c r="AI14" i="50"/>
  <c r="AH14" i="50"/>
  <c r="AG14" i="50"/>
  <c r="AF14" i="50"/>
  <c r="AU13" i="50"/>
  <c r="AT13" i="50"/>
  <c r="AS13" i="50"/>
  <c r="AR13" i="50"/>
  <c r="AQ13" i="50"/>
  <c r="AP13" i="50"/>
  <c r="AO13" i="50"/>
  <c r="AN13" i="50"/>
  <c r="AM13" i="50"/>
  <c r="AL13" i="50"/>
  <c r="AK13" i="50"/>
  <c r="AJ13" i="50"/>
  <c r="AI13" i="50"/>
  <c r="AH13" i="50"/>
  <c r="AG13" i="50"/>
  <c r="AF13" i="50"/>
  <c r="AU12" i="50"/>
  <c r="AT12" i="50"/>
  <c r="AS12" i="50"/>
  <c r="AR12" i="50"/>
  <c r="AQ12" i="50"/>
  <c r="AP12" i="50"/>
  <c r="AO12" i="50"/>
  <c r="AN12" i="50"/>
  <c r="AM12" i="50"/>
  <c r="AL12" i="50"/>
  <c r="AK12" i="50"/>
  <c r="AJ12" i="50"/>
  <c r="AI12" i="50"/>
  <c r="AH12" i="50"/>
  <c r="AG12" i="50"/>
  <c r="AF12" i="50"/>
  <c r="AU11" i="50"/>
  <c r="AT11" i="50"/>
  <c r="AS11" i="50"/>
  <c r="AR11" i="50"/>
  <c r="AQ11" i="50"/>
  <c r="AP11" i="50"/>
  <c r="AO11" i="50"/>
  <c r="AN11" i="50"/>
  <c r="AM11" i="50"/>
  <c r="AL11" i="50"/>
  <c r="AK11" i="50"/>
  <c r="AJ11" i="50"/>
  <c r="AI11" i="50"/>
  <c r="AH11" i="50"/>
  <c r="AG11" i="50"/>
  <c r="AF11" i="50"/>
  <c r="AU10" i="50"/>
  <c r="AT10" i="50"/>
  <c r="AS10" i="50"/>
  <c r="AR10" i="50"/>
  <c r="AQ10" i="50"/>
  <c r="AP10" i="50"/>
  <c r="AO10" i="50"/>
  <c r="AN10" i="50"/>
  <c r="AM10" i="50"/>
  <c r="AL10" i="50"/>
  <c r="AK10" i="50"/>
  <c r="AJ10" i="50"/>
  <c r="AI10" i="50"/>
  <c r="AH10" i="50"/>
  <c r="AG10" i="50"/>
  <c r="AF10" i="50"/>
  <c r="AU9" i="50"/>
  <c r="AT9" i="50"/>
  <c r="AS9" i="50"/>
  <c r="AR9" i="50"/>
  <c r="AQ9" i="50"/>
  <c r="AP9" i="50"/>
  <c r="AO9" i="50"/>
  <c r="AN9" i="50"/>
  <c r="AM9" i="50"/>
  <c r="AL9" i="50"/>
  <c r="AK9" i="50"/>
  <c r="AJ9" i="50"/>
  <c r="AI9" i="50"/>
  <c r="AH9" i="50"/>
  <c r="AG9" i="50"/>
  <c r="AF9" i="50"/>
  <c r="AZ9" i="50"/>
  <c r="AY9" i="50"/>
  <c r="AX9" i="50"/>
  <c r="AW9" i="50"/>
  <c r="AV9" i="50"/>
  <c r="AZ10" i="50"/>
  <c r="AY10" i="50"/>
  <c r="AX10" i="50"/>
  <c r="AW10" i="50"/>
  <c r="AV10" i="50"/>
  <c r="AZ11" i="50"/>
  <c r="AY11" i="50"/>
  <c r="AX11" i="50"/>
  <c r="AW11" i="50"/>
  <c r="AV11" i="50"/>
  <c r="AZ12" i="50"/>
  <c r="AY12" i="50"/>
  <c r="AX12" i="50"/>
  <c r="AW12" i="50"/>
  <c r="AV12" i="50"/>
  <c r="AZ13" i="50"/>
  <c r="AY13" i="50"/>
  <c r="AX13" i="50"/>
  <c r="AW13" i="50"/>
  <c r="AV13" i="50"/>
  <c r="AZ14" i="50"/>
  <c r="AY14" i="50"/>
  <c r="AX14" i="50"/>
  <c r="AW14" i="50"/>
  <c r="AV14" i="50"/>
  <c r="AZ15" i="50"/>
  <c r="AY15" i="50"/>
  <c r="AX15" i="50"/>
  <c r="AW15" i="50"/>
  <c r="AV15" i="50"/>
  <c r="AZ16" i="50"/>
  <c r="AY16" i="50"/>
  <c r="AX16" i="50"/>
  <c r="AW16" i="50"/>
  <c r="AV16" i="50"/>
  <c r="AZ17" i="50"/>
  <c r="AY17" i="50"/>
  <c r="AX17" i="50"/>
  <c r="AW17" i="50"/>
  <c r="AV17" i="50"/>
  <c r="AZ18" i="50"/>
  <c r="AY18" i="50"/>
  <c r="AX18" i="50"/>
  <c r="AW18" i="50"/>
  <c r="AZ19" i="50"/>
  <c r="AY19" i="50"/>
  <c r="AX19" i="50"/>
  <c r="AW19" i="50"/>
  <c r="AV19" i="50"/>
  <c r="AZ20" i="50"/>
  <c r="AY20" i="50"/>
  <c r="AX20" i="50"/>
  <c r="AW20" i="50"/>
  <c r="AV20" i="50"/>
  <c r="AZ21" i="50"/>
  <c r="AY21" i="50"/>
  <c r="AX21" i="50"/>
  <c r="AW21" i="50"/>
  <c r="AV21" i="50"/>
  <c r="AZ22" i="50"/>
  <c r="AY22" i="50"/>
  <c r="AX22" i="50"/>
  <c r="AW22" i="50"/>
  <c r="AV22" i="50"/>
  <c r="AZ23" i="50"/>
  <c r="AY23" i="50"/>
  <c r="AX23" i="50"/>
  <c r="AW23" i="50"/>
  <c r="AV23" i="50"/>
  <c r="AZ24" i="50"/>
  <c r="AY24" i="50"/>
  <c r="AX24" i="50"/>
  <c r="AW24" i="50"/>
  <c r="AV24" i="50"/>
  <c r="AZ25" i="50"/>
  <c r="AY25" i="50"/>
  <c r="AX25" i="50"/>
  <c r="AW25" i="50"/>
  <c r="AV25" i="50"/>
  <c r="AZ26" i="50"/>
  <c r="AY26" i="50"/>
  <c r="AX26" i="50"/>
  <c r="AW26" i="50"/>
  <c r="AV26" i="50"/>
  <c r="AZ27" i="50"/>
  <c r="AY27" i="50"/>
  <c r="AX27" i="50"/>
  <c r="AW27" i="50"/>
  <c r="AV27" i="50"/>
  <c r="AZ28" i="50"/>
  <c r="AY28" i="50"/>
  <c r="AX28" i="50"/>
  <c r="AW28" i="50"/>
  <c r="AV28" i="50"/>
  <c r="AZ29" i="50"/>
  <c r="AY29" i="50"/>
  <c r="AX29" i="50"/>
  <c r="AW29" i="50"/>
  <c r="AV29" i="50"/>
  <c r="M15" i="75" l="1"/>
  <c r="N14" i="75"/>
  <c r="BA10" i="50"/>
  <c r="BL34" i="50" s="1"/>
  <c r="BA14" i="50"/>
  <c r="BI38" i="50" s="1"/>
  <c r="BA9" i="50"/>
  <c r="BL33" i="50" s="1"/>
  <c r="BA13" i="50"/>
  <c r="BK37" i="50" s="1"/>
  <c r="BA28" i="50"/>
  <c r="AZ76" i="50" s="1"/>
  <c r="AJ31" i="50"/>
  <c r="BA24" i="50"/>
  <c r="BI48" i="50" s="1"/>
  <c r="BA20" i="50"/>
  <c r="AJ68" i="50" s="1"/>
  <c r="BA17" i="50"/>
  <c r="BI41" i="50" s="1"/>
  <c r="AW31" i="50"/>
  <c r="AG31" i="50"/>
  <c r="AK31" i="50"/>
  <c r="AO31" i="50"/>
  <c r="AS31" i="50"/>
  <c r="BA23" i="50"/>
  <c r="BK47" i="50" s="1"/>
  <c r="BA12" i="50"/>
  <c r="BG36" i="50" s="1"/>
  <c r="G20" i="76" s="1"/>
  <c r="AV31" i="50"/>
  <c r="AN31" i="50"/>
  <c r="BA25" i="50"/>
  <c r="BD49" i="50" s="1"/>
  <c r="T17" i="76" s="1"/>
  <c r="BA21" i="50"/>
  <c r="BJ45" i="50" s="1"/>
  <c r="BA18" i="50"/>
  <c r="BL42" i="50" s="1"/>
  <c r="AX31" i="50"/>
  <c r="AH31" i="50"/>
  <c r="AL31" i="50"/>
  <c r="AP31" i="50"/>
  <c r="AT31" i="50"/>
  <c r="BA27" i="50"/>
  <c r="AG75" i="50" s="1"/>
  <c r="BA19" i="50"/>
  <c r="BI43" i="50" s="1"/>
  <c r="BA16" i="50"/>
  <c r="BI40" i="50" s="1"/>
  <c r="AZ31" i="50"/>
  <c r="AF31" i="50"/>
  <c r="AR31" i="50"/>
  <c r="BA29" i="50"/>
  <c r="AW77" i="50" s="1"/>
  <c r="BA26" i="50"/>
  <c r="AQ74" i="50" s="1"/>
  <c r="BA22" i="50"/>
  <c r="BK46" i="50" s="1"/>
  <c r="BA15" i="50"/>
  <c r="AQ63" i="50" s="1"/>
  <c r="BA11" i="50"/>
  <c r="BM35" i="50" s="1"/>
  <c r="AY31" i="50"/>
  <c r="AI31" i="50"/>
  <c r="AM31" i="50"/>
  <c r="AQ31" i="50"/>
  <c r="AU31" i="50"/>
  <c r="BA30" i="50"/>
  <c r="AQ78" i="50" s="1"/>
  <c r="BA32" i="50"/>
  <c r="AI80" i="50" s="1"/>
  <c r="AM71" i="50" l="1"/>
  <c r="AL76" i="50"/>
  <c r="AU76" i="50"/>
  <c r="AR76" i="50"/>
  <c r="AI76" i="50"/>
  <c r="AI58" i="50"/>
  <c r="AP76" i="50"/>
  <c r="AK76" i="50"/>
  <c r="AS76" i="50"/>
  <c r="AL58" i="50"/>
  <c r="M16" i="75"/>
  <c r="N15" i="75"/>
  <c r="AF71" i="50"/>
  <c r="AW58" i="50"/>
  <c r="AR72" i="50"/>
  <c r="AG73" i="50"/>
  <c r="AP71" i="50"/>
  <c r="AI73" i="50"/>
  <c r="AI59" i="50"/>
  <c r="AI57" i="50"/>
  <c r="AK72" i="50"/>
  <c r="AN71" i="50"/>
  <c r="AI72" i="50"/>
  <c r="AH72" i="50"/>
  <c r="AT73" i="50"/>
  <c r="AM61" i="50"/>
  <c r="AH61" i="50"/>
  <c r="AR69" i="50"/>
  <c r="AT69" i="50"/>
  <c r="AY62" i="50"/>
  <c r="AO68" i="50"/>
  <c r="AU77" i="50"/>
  <c r="AN68" i="50"/>
  <c r="AJ61" i="50"/>
  <c r="AN61" i="50"/>
  <c r="AW61" i="50"/>
  <c r="AT68" i="50"/>
  <c r="AQ59" i="50"/>
  <c r="AK69" i="50"/>
  <c r="AT74" i="50"/>
  <c r="AM69" i="50"/>
  <c r="AZ61" i="50"/>
  <c r="AH57" i="50"/>
  <c r="BA57" i="50"/>
  <c r="AS70" i="50"/>
  <c r="AU61" i="50"/>
  <c r="AV66" i="50"/>
  <c r="AS64" i="50"/>
  <c r="AP61" i="50"/>
  <c r="AO61" i="50"/>
  <c r="AS77" i="50"/>
  <c r="AI68" i="50"/>
  <c r="AQ73" i="50"/>
  <c r="AU69" i="50"/>
  <c r="AH77" i="50"/>
  <c r="AL69" i="50"/>
  <c r="AK64" i="50"/>
  <c r="AI61" i="50"/>
  <c r="AZ64" i="50"/>
  <c r="AV61" i="50"/>
  <c r="AL61" i="50"/>
  <c r="AY71" i="50"/>
  <c r="AK61" i="50"/>
  <c r="BA61" i="50"/>
  <c r="AM63" i="50"/>
  <c r="AS69" i="50"/>
  <c r="AN77" i="50"/>
  <c r="AJ73" i="50"/>
  <c r="AJ69" i="50"/>
  <c r="AS68" i="50"/>
  <c r="AF75" i="50"/>
  <c r="AF68" i="50"/>
  <c r="AQ61" i="50"/>
  <c r="AH64" i="50"/>
  <c r="AH62" i="50"/>
  <c r="AR61" i="50"/>
  <c r="AX61" i="50"/>
  <c r="AX77" i="50"/>
  <c r="AU72" i="50"/>
  <c r="AJ77" i="50"/>
  <c r="AT72" i="50"/>
  <c r="AQ77" i="50"/>
  <c r="AG72" i="50"/>
  <c r="AT77" i="50"/>
  <c r="AZ72" i="50"/>
  <c r="AW72" i="50"/>
  <c r="AK77" i="50"/>
  <c r="AO73" i="50"/>
  <c r="AQ72" i="50"/>
  <c r="AU70" i="50"/>
  <c r="AF77" i="50"/>
  <c r="AR73" i="50"/>
  <c r="AP72" i="50"/>
  <c r="AH71" i="50"/>
  <c r="AM77" i="50"/>
  <c r="AG76" i="50"/>
  <c r="AS72" i="50"/>
  <c r="AS71" i="50"/>
  <c r="AP77" i="50"/>
  <c r="AN76" i="50"/>
  <c r="AP73" i="50"/>
  <c r="AJ72" i="50"/>
  <c r="AN70" i="50"/>
  <c r="AU62" i="50"/>
  <c r="AM57" i="50"/>
  <c r="AY72" i="50"/>
  <c r="AR62" i="50"/>
  <c r="AL57" i="50"/>
  <c r="AX76" i="50"/>
  <c r="AN57" i="50"/>
  <c r="AG62" i="50"/>
  <c r="AZ77" i="50"/>
  <c r="BA62" i="50"/>
  <c r="BK49" i="50"/>
  <c r="AR60" i="50"/>
  <c r="AO77" i="50"/>
  <c r="AN72" i="50"/>
  <c r="AG77" i="50"/>
  <c r="AK73" i="50"/>
  <c r="AM72" i="50"/>
  <c r="AR77" i="50"/>
  <c r="AN73" i="50"/>
  <c r="AL72" i="50"/>
  <c r="AP70" i="50"/>
  <c r="AI77" i="50"/>
  <c r="AU73" i="50"/>
  <c r="AO72" i="50"/>
  <c r="AK71" i="50"/>
  <c r="AL77" i="50"/>
  <c r="AF76" i="50"/>
  <c r="AH73" i="50"/>
  <c r="AF72" i="50"/>
  <c r="AI62" i="50"/>
  <c r="AX72" i="50"/>
  <c r="AP62" i="50"/>
  <c r="BG37" i="50"/>
  <c r="H20" i="76" s="1"/>
  <c r="AM76" i="50"/>
  <c r="AM68" i="50"/>
  <c r="AT76" i="50"/>
  <c r="AT75" i="50"/>
  <c r="AL68" i="50"/>
  <c r="AG74" i="50"/>
  <c r="AL66" i="50"/>
  <c r="AJ76" i="50"/>
  <c r="AR68" i="50"/>
  <c r="AM62" i="50"/>
  <c r="AI60" i="50"/>
  <c r="AX62" i="50"/>
  <c r="AT62" i="50"/>
  <c r="AH60" i="50"/>
  <c r="AS62" i="50"/>
  <c r="AV62" i="50"/>
  <c r="BB28" i="50"/>
  <c r="AS52" i="50" s="1"/>
  <c r="BE48" i="50"/>
  <c r="S18" i="76" s="1"/>
  <c r="BG38" i="50"/>
  <c r="I20" i="76" s="1"/>
  <c r="AF61" i="50"/>
  <c r="AK62" i="50"/>
  <c r="AG61" i="50"/>
  <c r="AW76" i="50"/>
  <c r="BB14" i="50"/>
  <c r="AQ38" i="50" s="1"/>
  <c r="AT61" i="50"/>
  <c r="BB13" i="50"/>
  <c r="AY37" i="50" s="1"/>
  <c r="BI52" i="50"/>
  <c r="BL53" i="50"/>
  <c r="BJ38" i="50"/>
  <c r="AQ76" i="50"/>
  <c r="AQ75" i="50"/>
  <c r="AQ68" i="50"/>
  <c r="AF66" i="50"/>
  <c r="AH76" i="50"/>
  <c r="AP68" i="50"/>
  <c r="AO76" i="50"/>
  <c r="AG68" i="50"/>
  <c r="AF74" i="50"/>
  <c r="AQ62" i="50"/>
  <c r="AQ60" i="50"/>
  <c r="AY68" i="50"/>
  <c r="AY76" i="50"/>
  <c r="AN64" i="50"/>
  <c r="AJ62" i="50"/>
  <c r="AZ62" i="50"/>
  <c r="AN62" i="50"/>
  <c r="AS61" i="50"/>
  <c r="AY61" i="50"/>
  <c r="BH53" i="50"/>
  <c r="X21" i="76" s="1"/>
  <c r="BL48" i="50"/>
  <c r="BJ40" i="50"/>
  <c r="AQ65" i="50"/>
  <c r="AZ69" i="50"/>
  <c r="AW57" i="50"/>
  <c r="BJ33" i="50"/>
  <c r="BM45" i="50"/>
  <c r="BG45" i="50"/>
  <c r="P20" i="76" s="1"/>
  <c r="BK36" i="50"/>
  <c r="AO69" i="50"/>
  <c r="AH70" i="50"/>
  <c r="AF69" i="50"/>
  <c r="AP67" i="50"/>
  <c r="AK70" i="50"/>
  <c r="AI69" i="50"/>
  <c r="AS67" i="50"/>
  <c r="AF70" i="50"/>
  <c r="AH69" i="50"/>
  <c r="AR67" i="50"/>
  <c r="AG64" i="50"/>
  <c r="AM60" i="50"/>
  <c r="AX69" i="50"/>
  <c r="AR57" i="50"/>
  <c r="AW64" i="50"/>
  <c r="AW60" i="50"/>
  <c r="AJ57" i="50"/>
  <c r="AS57" i="50"/>
  <c r="AY57" i="50"/>
  <c r="BH48" i="50"/>
  <c r="S21" i="76" s="1"/>
  <c r="BG40" i="50"/>
  <c r="K20" i="76" s="1"/>
  <c r="BM36" i="50"/>
  <c r="BI45" i="50"/>
  <c r="BM41" i="50"/>
  <c r="BG41" i="50"/>
  <c r="L20" i="76" s="1"/>
  <c r="BM56" i="50"/>
  <c r="BK41" i="50"/>
  <c r="BM44" i="50"/>
  <c r="BM40" i="50"/>
  <c r="BL36" i="50"/>
  <c r="AM70" i="50"/>
  <c r="AG69" i="50"/>
  <c r="AN69" i="50"/>
  <c r="AQ69" i="50"/>
  <c r="AP69" i="50"/>
  <c r="AO64" i="50"/>
  <c r="AV64" i="50"/>
  <c r="AV57" i="50"/>
  <c r="AF60" i="50"/>
  <c r="AY69" i="50"/>
  <c r="AP60" i="50"/>
  <c r="AW69" i="50"/>
  <c r="AG58" i="50"/>
  <c r="AK57" i="50"/>
  <c r="AU58" i="50"/>
  <c r="AX57" i="50"/>
  <c r="BK48" i="50"/>
  <c r="BK53" i="50"/>
  <c r="BI37" i="50"/>
  <c r="BL45" i="50"/>
  <c r="BK54" i="50"/>
  <c r="BJ54" i="50"/>
  <c r="AJ78" i="50"/>
  <c r="BK50" i="50"/>
  <c r="BM50" i="50"/>
  <c r="BJ50" i="50"/>
  <c r="AV74" i="50"/>
  <c r="BF51" i="50"/>
  <c r="V19" i="76" s="1"/>
  <c r="BG51" i="50"/>
  <c r="V20" i="76" s="1"/>
  <c r="AZ75" i="50"/>
  <c r="AO66" i="50"/>
  <c r="BF50" i="50"/>
  <c r="U19" i="76" s="1"/>
  <c r="BM39" i="50"/>
  <c r="AM75" i="50"/>
  <c r="AM74" i="50"/>
  <c r="AN80" i="50"/>
  <c r="AP75" i="50"/>
  <c r="AP74" i="50"/>
  <c r="AS75" i="50"/>
  <c r="AY78" i="50"/>
  <c r="AI78" i="50"/>
  <c r="AI75" i="50"/>
  <c r="AI74" i="50"/>
  <c r="AN66" i="50"/>
  <c r="AT78" i="50"/>
  <c r="AL75" i="50"/>
  <c r="AL74" i="50"/>
  <c r="AQ66" i="50"/>
  <c r="AO75" i="50"/>
  <c r="AO74" i="50"/>
  <c r="AT66" i="50"/>
  <c r="AT80" i="50"/>
  <c r="AN75" i="50"/>
  <c r="AN74" i="50"/>
  <c r="AJ67" i="50"/>
  <c r="AU63" i="50"/>
  <c r="BE35" i="50"/>
  <c r="F18" i="76" s="1"/>
  <c r="BF35" i="50"/>
  <c r="F19" i="76" s="1"/>
  <c r="BJ35" i="50"/>
  <c r="BD35" i="50"/>
  <c r="F17" i="76" s="1"/>
  <c r="BH35" i="50"/>
  <c r="F21" i="76" s="1"/>
  <c r="BL35" i="50"/>
  <c r="BG35" i="50"/>
  <c r="F20" i="76" s="1"/>
  <c r="AF59" i="50"/>
  <c r="AN59" i="50"/>
  <c r="AH59" i="50"/>
  <c r="AR59" i="50"/>
  <c r="AM59" i="50"/>
  <c r="AV75" i="50"/>
  <c r="AX59" i="50"/>
  <c r="AY75" i="50"/>
  <c r="AM66" i="50"/>
  <c r="AH63" i="50"/>
  <c r="AP59" i="50"/>
  <c r="AX68" i="50"/>
  <c r="BL49" i="50"/>
  <c r="BJ49" i="50"/>
  <c r="AK59" i="50"/>
  <c r="AK58" i="50"/>
  <c r="AR58" i="50"/>
  <c r="AT58" i="50"/>
  <c r="BB10" i="50"/>
  <c r="BA34" i="50" s="1"/>
  <c r="BL54" i="50"/>
  <c r="BG50" i="50"/>
  <c r="U20" i="76" s="1"/>
  <c r="BD33" i="50"/>
  <c r="D17" i="76" s="1"/>
  <c r="BH33" i="50"/>
  <c r="D21" i="76" s="1"/>
  <c r="BF33" i="50"/>
  <c r="D19" i="76" s="1"/>
  <c r="BE33" i="50"/>
  <c r="D18" i="76" s="1"/>
  <c r="BK33" i="50"/>
  <c r="BI33" i="50"/>
  <c r="AU57" i="50"/>
  <c r="AT57" i="50"/>
  <c r="AO57" i="50"/>
  <c r="AF57" i="50"/>
  <c r="AZ57" i="50"/>
  <c r="BK43" i="50"/>
  <c r="BG42" i="50"/>
  <c r="M20" i="76" s="1"/>
  <c r="BM43" i="50"/>
  <c r="BG56" i="50"/>
  <c r="AA20" i="76" s="1"/>
  <c r="AU78" i="50"/>
  <c r="AU75" i="50"/>
  <c r="AU74" i="50"/>
  <c r="AS73" i="50"/>
  <c r="AU71" i="50"/>
  <c r="AU68" i="50"/>
  <c r="AI67" i="50"/>
  <c r="AJ66" i="50"/>
  <c r="AL78" i="50"/>
  <c r="AH75" i="50"/>
  <c r="AH74" i="50"/>
  <c r="AF73" i="50"/>
  <c r="AH68" i="50"/>
  <c r="AK75" i="50"/>
  <c r="AK74" i="50"/>
  <c r="AM73" i="50"/>
  <c r="AK68" i="50"/>
  <c r="AP66" i="50"/>
  <c r="AZ78" i="50"/>
  <c r="AJ75" i="50"/>
  <c r="AJ74" i="50"/>
  <c r="AL73" i="50"/>
  <c r="AQ57" i="50"/>
  <c r="AX66" i="50"/>
  <c r="AF58" i="50"/>
  <c r="AL59" i="50"/>
  <c r="AP57" i="50"/>
  <c r="AN58" i="50"/>
  <c r="AG57" i="50"/>
  <c r="AZ58" i="50"/>
  <c r="BB9" i="50"/>
  <c r="BE52" i="50"/>
  <c r="W18" i="76" s="1"/>
  <c r="BA76" i="50"/>
  <c r="AV76" i="50"/>
  <c r="BF53" i="50"/>
  <c r="X19" i="76" s="1"/>
  <c r="BE51" i="50"/>
  <c r="V18" i="76" s="1"/>
  <c r="BD53" i="50"/>
  <c r="X17" i="76" s="1"/>
  <c r="BJ53" i="50"/>
  <c r="BF49" i="50"/>
  <c r="T19" i="76" s="1"/>
  <c r="BD38" i="50"/>
  <c r="I17" i="76" s="1"/>
  <c r="BH38" i="50"/>
  <c r="I21" i="76" s="1"/>
  <c r="BE38" i="50"/>
  <c r="I18" i="76" s="1"/>
  <c r="BF38" i="50"/>
  <c r="I19" i="76" s="1"/>
  <c r="AO62" i="50"/>
  <c r="AW62" i="50"/>
  <c r="AL62" i="50"/>
  <c r="AF62" i="50"/>
  <c r="BK38" i="50"/>
  <c r="BM33" i="50"/>
  <c r="BG33" i="50"/>
  <c r="D20" i="76" s="1"/>
  <c r="BM38" i="50"/>
  <c r="BL38" i="50"/>
  <c r="BE39" i="50"/>
  <c r="J18" i="76" s="1"/>
  <c r="BF39" i="50"/>
  <c r="J19" i="76" s="1"/>
  <c r="BJ39" i="50"/>
  <c r="BD39" i="50"/>
  <c r="J17" i="76" s="1"/>
  <c r="BH39" i="50"/>
  <c r="J21" i="76" s="1"/>
  <c r="BL39" i="50"/>
  <c r="BI39" i="50"/>
  <c r="AP63" i="50"/>
  <c r="AY66" i="50"/>
  <c r="BD42" i="50"/>
  <c r="M17" i="76" s="1"/>
  <c r="BH42" i="50"/>
  <c r="M21" i="76" s="1"/>
  <c r="BE42" i="50"/>
  <c r="M18" i="76" s="1"/>
  <c r="BF42" i="50"/>
  <c r="M19" i="76" s="1"/>
  <c r="BK42" i="50"/>
  <c r="AI66" i="50"/>
  <c r="AZ66" i="50"/>
  <c r="BI54" i="50"/>
  <c r="BF34" i="50"/>
  <c r="E19" i="76" s="1"/>
  <c r="BD34" i="50"/>
  <c r="E17" i="76" s="1"/>
  <c r="BH34" i="50"/>
  <c r="E21" i="76" s="1"/>
  <c r="BE34" i="50"/>
  <c r="E18" i="76" s="1"/>
  <c r="BI34" i="50"/>
  <c r="BG34" i="50"/>
  <c r="E20" i="76" s="1"/>
  <c r="AS58" i="50"/>
  <c r="AX58" i="50"/>
  <c r="AJ58" i="50"/>
  <c r="AY58" i="50"/>
  <c r="AH58" i="50"/>
  <c r="AP58" i="50"/>
  <c r="AM58" i="50"/>
  <c r="BJ34" i="50"/>
  <c r="BJ42" i="50"/>
  <c r="AY80" i="50"/>
  <c r="BD56" i="50"/>
  <c r="AA17" i="76" s="1"/>
  <c r="BH56" i="50"/>
  <c r="AA21" i="76" s="1"/>
  <c r="BL56" i="50"/>
  <c r="BE56" i="50"/>
  <c r="AA18" i="76" s="1"/>
  <c r="BF56" i="50"/>
  <c r="AA19" i="76" s="1"/>
  <c r="BJ56" i="50"/>
  <c r="BK56" i="50"/>
  <c r="AM78" i="50"/>
  <c r="AR66" i="50"/>
  <c r="AU66" i="50"/>
  <c r="AS74" i="50"/>
  <c r="AH66" i="50"/>
  <c r="AR75" i="50"/>
  <c r="AR74" i="50"/>
  <c r="AI63" i="50"/>
  <c r="AQ58" i="50"/>
  <c r="AW74" i="50"/>
  <c r="AJ63" i="50"/>
  <c r="BE43" i="50"/>
  <c r="N18" i="76" s="1"/>
  <c r="BF43" i="50"/>
  <c r="N19" i="76" s="1"/>
  <c r="BD43" i="50"/>
  <c r="N17" i="76" s="1"/>
  <c r="BH43" i="50"/>
  <c r="N21" i="76" s="1"/>
  <c r="BL43" i="50"/>
  <c r="BG43" i="50"/>
  <c r="N20" i="76" s="1"/>
  <c r="BJ43" i="50"/>
  <c r="AW75" i="50"/>
  <c r="AW66" i="50"/>
  <c r="AS63" i="50"/>
  <c r="AO58" i="50"/>
  <c r="AV68" i="50"/>
  <c r="BD44" i="50"/>
  <c r="O17" i="76" s="1"/>
  <c r="BH44" i="50"/>
  <c r="O21" i="76" s="1"/>
  <c r="BL44" i="50"/>
  <c r="BE44" i="50"/>
  <c r="O18" i="76" s="1"/>
  <c r="BF44" i="50"/>
  <c r="O19" i="76" s="1"/>
  <c r="BJ44" i="50"/>
  <c r="BG44" i="50"/>
  <c r="O20" i="76" s="1"/>
  <c r="AG66" i="50"/>
  <c r="AV58" i="50"/>
  <c r="BA58" i="50"/>
  <c r="BH50" i="50"/>
  <c r="U21" i="76" s="1"/>
  <c r="BJ51" i="50"/>
  <c r="BE54" i="50"/>
  <c r="Y18" i="76" s="1"/>
  <c r="BK34" i="50"/>
  <c r="BI42" i="50"/>
  <c r="BK35" i="50"/>
  <c r="BK39" i="50"/>
  <c r="BK44" i="50"/>
  <c r="BG39" i="50"/>
  <c r="J20" i="76" s="1"/>
  <c r="BM34" i="50"/>
  <c r="BM42" i="50"/>
  <c r="BI56" i="50"/>
  <c r="BI35" i="50"/>
  <c r="BI44" i="50"/>
  <c r="AU64" i="50"/>
  <c r="BD40" i="50"/>
  <c r="K17" i="76" s="1"/>
  <c r="BH40" i="50"/>
  <c r="K21" i="76" s="1"/>
  <c r="BE40" i="50"/>
  <c r="K18" i="76" s="1"/>
  <c r="BF40" i="50"/>
  <c r="K19" i="76" s="1"/>
  <c r="BE45" i="50"/>
  <c r="P18" i="76" s="1"/>
  <c r="BF45" i="50"/>
  <c r="P19" i="76" s="1"/>
  <c r="BD45" i="50"/>
  <c r="P17" i="76" s="1"/>
  <c r="BH45" i="50"/>
  <c r="P21" i="76" s="1"/>
  <c r="AO60" i="50"/>
  <c r="BD36" i="50"/>
  <c r="G17" i="76" s="1"/>
  <c r="BH36" i="50"/>
  <c r="G21" i="76" s="1"/>
  <c r="BE36" i="50"/>
  <c r="G18" i="76" s="1"/>
  <c r="BF36" i="50"/>
  <c r="G19" i="76" s="1"/>
  <c r="BE41" i="50"/>
  <c r="L18" i="76" s="1"/>
  <c r="BF41" i="50"/>
  <c r="L19" i="76" s="1"/>
  <c r="BJ41" i="50"/>
  <c r="BD41" i="50"/>
  <c r="L17" i="76" s="1"/>
  <c r="BH41" i="50"/>
  <c r="L21" i="76" s="1"/>
  <c r="BL41" i="50"/>
  <c r="AP65" i="50"/>
  <c r="BE37" i="50"/>
  <c r="H18" i="76" s="1"/>
  <c r="BF37" i="50"/>
  <c r="H19" i="76" s="1"/>
  <c r="BJ37" i="50"/>
  <c r="BD37" i="50"/>
  <c r="H17" i="76" s="1"/>
  <c r="BH37" i="50"/>
  <c r="H21" i="76" s="1"/>
  <c r="BL37" i="50"/>
  <c r="BI36" i="50"/>
  <c r="BM37" i="50"/>
  <c r="BL40" i="50"/>
  <c r="BK40" i="50"/>
  <c r="BK45" i="50"/>
  <c r="BJ36" i="50"/>
  <c r="BD47" i="50"/>
  <c r="R17" i="76" s="1"/>
  <c r="BD46" i="50"/>
  <c r="Q17" i="76" s="1"/>
  <c r="AQ71" i="50"/>
  <c r="AQ70" i="50"/>
  <c r="AT71" i="50"/>
  <c r="AT70" i="50"/>
  <c r="AG71" i="50"/>
  <c r="AG70" i="50"/>
  <c r="AR78" i="50"/>
  <c r="AJ71" i="50"/>
  <c r="AJ70" i="50"/>
  <c r="AZ71" i="50"/>
  <c r="BI53" i="50"/>
  <c r="BM53" i="50"/>
  <c r="BE53" i="50"/>
  <c r="X18" i="76" s="1"/>
  <c r="AY77" i="50"/>
  <c r="BJ48" i="50"/>
  <c r="BG48" i="50"/>
  <c r="S20" i="76" s="1"/>
  <c r="BJ52" i="50"/>
  <c r="BG52" i="50"/>
  <c r="W20" i="76" s="1"/>
  <c r="BH52" i="50"/>
  <c r="W21" i="76" s="1"/>
  <c r="BH46" i="50"/>
  <c r="Q21" i="76" s="1"/>
  <c r="BD52" i="50"/>
  <c r="W17" i="76" s="1"/>
  <c r="BF47" i="50"/>
  <c r="R19" i="76" s="1"/>
  <c r="BL52" i="50"/>
  <c r="BD51" i="50"/>
  <c r="V17" i="76" s="1"/>
  <c r="BM46" i="50"/>
  <c r="BK52" i="50"/>
  <c r="BF52" i="50"/>
  <c r="W19" i="76" s="1"/>
  <c r="BF48" i="50"/>
  <c r="S19" i="76" s="1"/>
  <c r="BL50" i="50"/>
  <c r="BM52" i="50"/>
  <c r="BG54" i="50"/>
  <c r="Y20" i="76" s="1"/>
  <c r="BD48" i="50"/>
  <c r="S17" i="76" s="1"/>
  <c r="AV70" i="50"/>
  <c r="BL47" i="50"/>
  <c r="BI47" i="50"/>
  <c r="BM47" i="50"/>
  <c r="BE46" i="50"/>
  <c r="Q18" i="76" s="1"/>
  <c r="BH47" i="50"/>
  <c r="R21" i="76" s="1"/>
  <c r="BI46" i="50"/>
  <c r="BG47" i="50"/>
  <c r="R20" i="76" s="1"/>
  <c r="BG46" i="50"/>
  <c r="Q20" i="76" s="1"/>
  <c r="AI71" i="50"/>
  <c r="AI70" i="50"/>
  <c r="AL71" i="50"/>
  <c r="AL70" i="50"/>
  <c r="AO71" i="50"/>
  <c r="AO70" i="50"/>
  <c r="AR71" i="50"/>
  <c r="AR70" i="50"/>
  <c r="BL51" i="50"/>
  <c r="BI51" i="50"/>
  <c r="BM51" i="50"/>
  <c r="AV73" i="50"/>
  <c r="BE49" i="50"/>
  <c r="T18" i="76" s="1"/>
  <c r="BI49" i="50"/>
  <c r="BM49" i="50"/>
  <c r="AY73" i="50"/>
  <c r="AV72" i="50"/>
  <c r="BH54" i="50"/>
  <c r="Y21" i="76" s="1"/>
  <c r="BH49" i="50"/>
  <c r="T21" i="76" s="1"/>
  <c r="BF54" i="50"/>
  <c r="Y19" i="76" s="1"/>
  <c r="BD50" i="50"/>
  <c r="U17" i="76" s="1"/>
  <c r="BJ46" i="50"/>
  <c r="BH51" i="50"/>
  <c r="V21" i="76" s="1"/>
  <c r="BE47" i="50"/>
  <c r="R18" i="76" s="1"/>
  <c r="BJ47" i="50"/>
  <c r="BI50" i="50"/>
  <c r="BG53" i="50"/>
  <c r="X20" i="76" s="1"/>
  <c r="BG49" i="50"/>
  <c r="T20" i="76" s="1"/>
  <c r="BL46" i="50"/>
  <c r="BM48" i="50"/>
  <c r="BM54" i="50"/>
  <c r="BD54" i="50"/>
  <c r="Y17" i="76" s="1"/>
  <c r="BE50" i="50"/>
  <c r="U18" i="76" s="1"/>
  <c r="BF46" i="50"/>
  <c r="Q19" i="76" s="1"/>
  <c r="BK51" i="50"/>
  <c r="AS80" i="50"/>
  <c r="AL80" i="50"/>
  <c r="BA67" i="50"/>
  <c r="BB19" i="50"/>
  <c r="BA43" i="50" s="1"/>
  <c r="AX67" i="50"/>
  <c r="AY67" i="50"/>
  <c r="AW67" i="50"/>
  <c r="AV67" i="50"/>
  <c r="AG67" i="50"/>
  <c r="AT67" i="50"/>
  <c r="AM67" i="50"/>
  <c r="AZ67" i="50"/>
  <c r="AF67" i="50"/>
  <c r="AN67" i="50"/>
  <c r="AK67" i="50"/>
  <c r="AH67" i="50"/>
  <c r="AQ67" i="50"/>
  <c r="AU67" i="50"/>
  <c r="AO67" i="50"/>
  <c r="AL67" i="50"/>
  <c r="BA65" i="50"/>
  <c r="BB17" i="50"/>
  <c r="BA41" i="50" s="1"/>
  <c r="AL65" i="50"/>
  <c r="AT65" i="50"/>
  <c r="AW65" i="50"/>
  <c r="AM65" i="50"/>
  <c r="AX65" i="50"/>
  <c r="AN65" i="50"/>
  <c r="AZ65" i="50"/>
  <c r="AR65" i="50"/>
  <c r="AY65" i="50"/>
  <c r="AG65" i="50"/>
  <c r="AO65" i="50"/>
  <c r="AU65" i="50"/>
  <c r="AH65" i="50"/>
  <c r="AI65" i="50"/>
  <c r="AJ65" i="50"/>
  <c r="AV65" i="50"/>
  <c r="AF65" i="50"/>
  <c r="AK65" i="50"/>
  <c r="AS65" i="50"/>
  <c r="AK80" i="50"/>
  <c r="BA80" i="50"/>
  <c r="BB32" i="50"/>
  <c r="AJ80" i="50"/>
  <c r="AR80" i="50"/>
  <c r="AZ80" i="50"/>
  <c r="AG80" i="50"/>
  <c r="AW80" i="50"/>
  <c r="AH80" i="50"/>
  <c r="AP80" i="50"/>
  <c r="AX80" i="50"/>
  <c r="AM80" i="50"/>
  <c r="AU80" i="50"/>
  <c r="AO80" i="50"/>
  <c r="AF80" i="50"/>
  <c r="AV80" i="50"/>
  <c r="AQ80" i="50"/>
  <c r="BA78" i="50"/>
  <c r="BB30" i="50"/>
  <c r="BA54" i="50" s="1"/>
  <c r="AS78" i="50"/>
  <c r="AK78" i="50"/>
  <c r="BA63" i="50"/>
  <c r="BB15" i="50"/>
  <c r="BA39" i="50" s="1"/>
  <c r="AX63" i="50"/>
  <c r="AY63" i="50"/>
  <c r="AG63" i="50"/>
  <c r="AO63" i="50"/>
  <c r="AV63" i="50"/>
  <c r="AL63" i="50"/>
  <c r="AF63" i="50"/>
  <c r="AR63" i="50"/>
  <c r="AZ63" i="50"/>
  <c r="AV78" i="50"/>
  <c r="AN78" i="50"/>
  <c r="AW63" i="50"/>
  <c r="AN63" i="50"/>
  <c r="BA64" i="50"/>
  <c r="BB16" i="50"/>
  <c r="BA40" i="50" s="1"/>
  <c r="AL64" i="50"/>
  <c r="AI64" i="50"/>
  <c r="AQ64" i="50"/>
  <c r="AP64" i="50"/>
  <c r="AJ64" i="50"/>
  <c r="AR64" i="50"/>
  <c r="AT64" i="50"/>
  <c r="BA75" i="50"/>
  <c r="BB27" i="50"/>
  <c r="BA51" i="50" s="1"/>
  <c r="BA73" i="50"/>
  <c r="BB25" i="50"/>
  <c r="BA49" i="50" s="1"/>
  <c r="AZ73" i="50"/>
  <c r="AW73" i="50"/>
  <c r="AX73" i="50"/>
  <c r="AY60" i="50"/>
  <c r="AU60" i="50"/>
  <c r="AX60" i="50"/>
  <c r="AT60" i="50"/>
  <c r="AV60" i="50"/>
  <c r="BB12" i="50"/>
  <c r="BA60" i="50"/>
  <c r="AS60" i="50"/>
  <c r="AZ60" i="50"/>
  <c r="AK60" i="50"/>
  <c r="AJ60" i="50"/>
  <c r="AN60" i="50"/>
  <c r="AL60" i="50"/>
  <c r="BA71" i="50"/>
  <c r="BB23" i="50"/>
  <c r="BA47" i="50" s="1"/>
  <c r="AX71" i="50"/>
  <c r="AW71" i="50"/>
  <c r="AV71" i="50"/>
  <c r="AK63" i="50"/>
  <c r="AX78" i="50"/>
  <c r="AP78" i="50"/>
  <c r="AH78" i="50"/>
  <c r="AW78" i="50"/>
  <c r="AO78" i="50"/>
  <c r="AG78" i="50"/>
  <c r="AF78" i="50"/>
  <c r="BA70" i="50"/>
  <c r="BB22" i="50"/>
  <c r="AX70" i="50"/>
  <c r="AZ70" i="50"/>
  <c r="AW70" i="50"/>
  <c r="BA74" i="50"/>
  <c r="BB26" i="50"/>
  <c r="BA50" i="50" s="1"/>
  <c r="AY74" i="50"/>
  <c r="AX74" i="50"/>
  <c r="AZ74" i="50"/>
  <c r="AF64" i="50"/>
  <c r="AT63" i="50"/>
  <c r="AY64" i="50"/>
  <c r="AM64" i="50"/>
  <c r="AG60" i="50"/>
  <c r="AX64" i="50"/>
  <c r="BA68" i="50"/>
  <c r="BB20" i="50"/>
  <c r="BA44" i="50" s="1"/>
  <c r="AZ68" i="50"/>
  <c r="AW68" i="50"/>
  <c r="AY70" i="50"/>
  <c r="AX75" i="50"/>
  <c r="AT59" i="50"/>
  <c r="BA59" i="50"/>
  <c r="AW59" i="50"/>
  <c r="BB11" i="50"/>
  <c r="AU59" i="50"/>
  <c r="AS59" i="50"/>
  <c r="AZ59" i="50"/>
  <c r="AV59" i="50"/>
  <c r="AY59" i="50"/>
  <c r="BA77" i="50"/>
  <c r="BB29" i="50"/>
  <c r="BA53" i="50" s="1"/>
  <c r="AJ59" i="50"/>
  <c r="BA31" i="50"/>
  <c r="AM79" i="50" s="1"/>
  <c r="BA69" i="50"/>
  <c r="BB21" i="50"/>
  <c r="BA45" i="50" s="1"/>
  <c r="AV69" i="50"/>
  <c r="BA66" i="50"/>
  <c r="BB18" i="50"/>
  <c r="BA42" i="50" s="1"/>
  <c r="AO59" i="50"/>
  <c r="AG59" i="50"/>
  <c r="BA72" i="50"/>
  <c r="BB24" i="50"/>
  <c r="BA48" i="50" s="1"/>
  <c r="AV77" i="50"/>
  <c r="AS66" i="50"/>
  <c r="AK66" i="50"/>
  <c r="AF33" i="50" l="1"/>
  <c r="AY33" i="50"/>
  <c r="AW52" i="50"/>
  <c r="N16" i="75"/>
  <c r="M17" i="75"/>
  <c r="AV37" i="50"/>
  <c r="AM37" i="50"/>
  <c r="AI38" i="50"/>
  <c r="AS38" i="50"/>
  <c r="AU38" i="50"/>
  <c r="AG52" i="50"/>
  <c r="AP52" i="50"/>
  <c r="AZ52" i="50"/>
  <c r="AF52" i="50"/>
  <c r="AM52" i="50"/>
  <c r="AG38" i="50"/>
  <c r="AT38" i="50"/>
  <c r="AH38" i="50"/>
  <c r="AM38" i="50"/>
  <c r="AY38" i="50"/>
  <c r="AR38" i="50"/>
  <c r="AK38" i="50"/>
  <c r="AU37" i="50"/>
  <c r="AS37" i="50"/>
  <c r="AR37" i="50"/>
  <c r="AP37" i="50"/>
  <c r="AL52" i="50"/>
  <c r="BA37" i="50"/>
  <c r="AO37" i="50"/>
  <c r="AY52" i="50"/>
  <c r="AN37" i="50"/>
  <c r="AF37" i="50"/>
  <c r="AK37" i="50"/>
  <c r="AI37" i="50"/>
  <c r="BA52" i="50"/>
  <c r="AN52" i="50"/>
  <c r="AO52" i="50"/>
  <c r="AR52" i="50"/>
  <c r="AH52" i="50"/>
  <c r="AQ52" i="50"/>
  <c r="AT52" i="50"/>
  <c r="AX52" i="50"/>
  <c r="AU52" i="50"/>
  <c r="AN38" i="50"/>
  <c r="AP38" i="50"/>
  <c r="AX38" i="50"/>
  <c r="AZ38" i="50"/>
  <c r="AL38" i="50"/>
  <c r="AG37" i="50"/>
  <c r="AW37" i="50"/>
  <c r="AL37" i="50"/>
  <c r="AQ37" i="50"/>
  <c r="AJ38" i="50"/>
  <c r="BA38" i="50"/>
  <c r="AO38" i="50"/>
  <c r="AW38" i="50"/>
  <c r="AF38" i="50"/>
  <c r="AV38" i="50"/>
  <c r="AZ37" i="50"/>
  <c r="AX37" i="50"/>
  <c r="AJ37" i="50"/>
  <c r="AT37" i="50"/>
  <c r="AH37" i="50"/>
  <c r="AV52" i="50"/>
  <c r="AJ52" i="50"/>
  <c r="AI52" i="50"/>
  <c r="AK52" i="50"/>
  <c r="AX79" i="50"/>
  <c r="BA33" i="50"/>
  <c r="AG33" i="50"/>
  <c r="AS33" i="50"/>
  <c r="AN33" i="50"/>
  <c r="AH33" i="50"/>
  <c r="AT33" i="50"/>
  <c r="AR33" i="50"/>
  <c r="AI33" i="50"/>
  <c r="AU33" i="50"/>
  <c r="AJ33" i="50"/>
  <c r="AW33" i="50"/>
  <c r="AO33" i="50"/>
  <c r="AX33" i="50"/>
  <c r="AL33" i="50"/>
  <c r="AZ33" i="50"/>
  <c r="AM33" i="50"/>
  <c r="AK33" i="50"/>
  <c r="AV33" i="50"/>
  <c r="AP33" i="50"/>
  <c r="AQ33" i="50"/>
  <c r="AY34" i="50"/>
  <c r="AV34" i="50"/>
  <c r="AK34" i="50"/>
  <c r="AU34" i="50"/>
  <c r="AR34" i="50"/>
  <c r="AH34" i="50"/>
  <c r="AT34" i="50"/>
  <c r="AX34" i="50"/>
  <c r="AQ34" i="50"/>
  <c r="AJ34" i="50"/>
  <c r="AZ34" i="50"/>
  <c r="AG34" i="50"/>
  <c r="AS34" i="50"/>
  <c r="AL34" i="50"/>
  <c r="AI34" i="50"/>
  <c r="AN34" i="50"/>
  <c r="AW34" i="50"/>
  <c r="AP34" i="50"/>
  <c r="AF34" i="50"/>
  <c r="AM34" i="50"/>
  <c r="AO34" i="50"/>
  <c r="AG79" i="50"/>
  <c r="AO79" i="50"/>
  <c r="BJ55" i="50"/>
  <c r="BH55" i="50"/>
  <c r="Z21" i="76" s="1"/>
  <c r="BI55" i="50"/>
  <c r="BK55" i="50"/>
  <c r="AW79" i="50"/>
  <c r="AS79" i="50"/>
  <c r="AR79" i="50"/>
  <c r="AZ79" i="50"/>
  <c r="AT79" i="50"/>
  <c r="BD55" i="50"/>
  <c r="Z17" i="76" s="1"/>
  <c r="AL79" i="50"/>
  <c r="AJ79" i="50"/>
  <c r="BF55" i="50"/>
  <c r="Z19" i="76" s="1"/>
  <c r="BM55" i="50"/>
  <c r="BE55" i="50"/>
  <c r="Z18" i="76" s="1"/>
  <c r="BG55" i="50"/>
  <c r="Z20" i="76" s="1"/>
  <c r="BL55" i="50"/>
  <c r="AX36" i="50"/>
  <c r="AR36" i="50"/>
  <c r="AY36" i="50"/>
  <c r="AK36" i="50"/>
  <c r="AS36" i="50"/>
  <c r="AP36" i="50"/>
  <c r="AM36" i="50"/>
  <c r="AF36" i="50"/>
  <c r="AI36" i="50"/>
  <c r="AU36" i="50"/>
  <c r="AJ36" i="50"/>
  <c r="AG36" i="50"/>
  <c r="AH36" i="50"/>
  <c r="AT36" i="50"/>
  <c r="AN36" i="50"/>
  <c r="AV36" i="50"/>
  <c r="AW36" i="50"/>
  <c r="AL36" i="50"/>
  <c r="AZ36" i="50"/>
  <c r="AQ36" i="50"/>
  <c r="AO36" i="50"/>
  <c r="AL56" i="50"/>
  <c r="AT56" i="50"/>
  <c r="AI56" i="50"/>
  <c r="AQ56" i="50"/>
  <c r="AY56" i="50"/>
  <c r="AF56" i="50"/>
  <c r="AN56" i="50"/>
  <c r="AV56" i="50"/>
  <c r="AK56" i="50"/>
  <c r="AS56" i="50"/>
  <c r="AG56" i="50"/>
  <c r="AJ56" i="50"/>
  <c r="AR56" i="50"/>
  <c r="AZ56" i="50"/>
  <c r="AH56" i="50"/>
  <c r="AP56" i="50"/>
  <c r="AX56" i="50"/>
  <c r="AM56" i="50"/>
  <c r="AU56" i="50"/>
  <c r="AO56" i="50"/>
  <c r="AW56" i="50"/>
  <c r="AY46" i="50"/>
  <c r="AV46" i="50"/>
  <c r="AN46" i="50"/>
  <c r="AI46" i="50"/>
  <c r="AQ46" i="50"/>
  <c r="AX46" i="50"/>
  <c r="AG46" i="50"/>
  <c r="AO46" i="50"/>
  <c r="AL46" i="50"/>
  <c r="AT46" i="50"/>
  <c r="AU46" i="50"/>
  <c r="AJ46" i="50"/>
  <c r="AR46" i="50"/>
  <c r="AM46" i="50"/>
  <c r="AK46" i="50"/>
  <c r="AP46" i="50"/>
  <c r="AF46" i="50"/>
  <c r="AZ46" i="50"/>
  <c r="AH46" i="50"/>
  <c r="AW46" i="50"/>
  <c r="AS46" i="50"/>
  <c r="AY79" i="50"/>
  <c r="AQ79" i="50"/>
  <c r="AH79" i="50"/>
  <c r="BA56" i="50"/>
  <c r="AU79" i="50"/>
  <c r="AX40" i="50"/>
  <c r="AM40" i="50"/>
  <c r="AU40" i="50"/>
  <c r="AY40" i="50"/>
  <c r="AL40" i="50"/>
  <c r="AW40" i="50"/>
  <c r="AV40" i="50"/>
  <c r="AP40" i="50"/>
  <c r="AN40" i="50"/>
  <c r="AZ40" i="50"/>
  <c r="AQ40" i="50"/>
  <c r="AF40" i="50"/>
  <c r="AR40" i="50"/>
  <c r="AH40" i="50"/>
  <c r="AK40" i="50"/>
  <c r="AS40" i="50"/>
  <c r="AJ40" i="50"/>
  <c r="AT40" i="50"/>
  <c r="AO40" i="50"/>
  <c r="AG40" i="50"/>
  <c r="AI40" i="50"/>
  <c r="AK79" i="50"/>
  <c r="AN79" i="50"/>
  <c r="AV79" i="50"/>
  <c r="AP79" i="50"/>
  <c r="AF79" i="50"/>
  <c r="AV53" i="50"/>
  <c r="AY53" i="50"/>
  <c r="AW53" i="50"/>
  <c r="AG53" i="50"/>
  <c r="AO53" i="50"/>
  <c r="AF53" i="50"/>
  <c r="AN53" i="50"/>
  <c r="AX53" i="50"/>
  <c r="AH53" i="50"/>
  <c r="AP53" i="50"/>
  <c r="AI53" i="50"/>
  <c r="AQ53" i="50"/>
  <c r="AK53" i="50"/>
  <c r="AS53" i="50"/>
  <c r="AZ53" i="50"/>
  <c r="AM53" i="50"/>
  <c r="AU53" i="50"/>
  <c r="AT53" i="50"/>
  <c r="AR53" i="50"/>
  <c r="AL53" i="50"/>
  <c r="AJ53" i="50"/>
  <c r="AN35" i="50"/>
  <c r="AY35" i="50"/>
  <c r="AG35" i="50"/>
  <c r="AO35" i="50"/>
  <c r="AV35" i="50"/>
  <c r="AT35" i="50"/>
  <c r="AR35" i="50"/>
  <c r="AM35" i="50"/>
  <c r="AJ35" i="50"/>
  <c r="AW35" i="50"/>
  <c r="AS35" i="50"/>
  <c r="AL35" i="50"/>
  <c r="AZ35" i="50"/>
  <c r="AH35" i="50"/>
  <c r="AQ35" i="50"/>
  <c r="AF35" i="50"/>
  <c r="AU35" i="50"/>
  <c r="AP35" i="50"/>
  <c r="AI35" i="50"/>
  <c r="AX35" i="50"/>
  <c r="AK35" i="50"/>
  <c r="BA35" i="50"/>
  <c r="BA46" i="50"/>
  <c r="AY47" i="50"/>
  <c r="AW47" i="50"/>
  <c r="AV47" i="50"/>
  <c r="AI47" i="50"/>
  <c r="AQ47" i="50"/>
  <c r="AF47" i="50"/>
  <c r="AN47" i="50"/>
  <c r="AG47" i="50"/>
  <c r="AO47" i="50"/>
  <c r="AL47" i="50"/>
  <c r="AT47" i="50"/>
  <c r="AM47" i="50"/>
  <c r="AU47" i="50"/>
  <c r="AZ47" i="50"/>
  <c r="AJ47" i="50"/>
  <c r="AH47" i="50"/>
  <c r="AX47" i="50"/>
  <c r="AS47" i="50"/>
  <c r="AR47" i="50"/>
  <c r="AK47" i="50"/>
  <c r="AP47" i="50"/>
  <c r="BA36" i="50"/>
  <c r="AY49" i="50"/>
  <c r="AZ49" i="50"/>
  <c r="AW49" i="50"/>
  <c r="AL49" i="50"/>
  <c r="AT49" i="50"/>
  <c r="AF49" i="50"/>
  <c r="AN49" i="50"/>
  <c r="AG49" i="50"/>
  <c r="AO49" i="50"/>
  <c r="AX49" i="50"/>
  <c r="AI49" i="50"/>
  <c r="AQ49" i="50"/>
  <c r="AS49" i="50"/>
  <c r="AH49" i="50"/>
  <c r="AP49" i="50"/>
  <c r="AJ49" i="50"/>
  <c r="AR49" i="50"/>
  <c r="AK49" i="50"/>
  <c r="AU49" i="50"/>
  <c r="AV49" i="50"/>
  <c r="AM49" i="50"/>
  <c r="AZ51" i="50"/>
  <c r="AW51" i="50"/>
  <c r="AV51" i="50"/>
  <c r="AF51" i="50"/>
  <c r="AN51" i="50"/>
  <c r="AH51" i="50"/>
  <c r="AP51" i="50"/>
  <c r="AI51" i="50"/>
  <c r="AQ51" i="50"/>
  <c r="AX51" i="50"/>
  <c r="AG51" i="50"/>
  <c r="AO51" i="50"/>
  <c r="AU51" i="50"/>
  <c r="AJ51" i="50"/>
  <c r="AR51" i="50"/>
  <c r="AL51" i="50"/>
  <c r="AT51" i="50"/>
  <c r="AM51" i="50"/>
  <c r="AY51" i="50"/>
  <c r="AS51" i="50"/>
  <c r="AK51" i="50"/>
  <c r="AK39" i="50"/>
  <c r="AZ39" i="50"/>
  <c r="AS39" i="50"/>
  <c r="AX39" i="50"/>
  <c r="AP39" i="50"/>
  <c r="AJ39" i="50"/>
  <c r="AW39" i="50"/>
  <c r="AG39" i="50"/>
  <c r="AH39" i="50"/>
  <c r="AI39" i="50"/>
  <c r="AQ39" i="50"/>
  <c r="AY39" i="50"/>
  <c r="AV39" i="50"/>
  <c r="AT39" i="50"/>
  <c r="AF39" i="50"/>
  <c r="AO39" i="50"/>
  <c r="AL39" i="50"/>
  <c r="AN39" i="50"/>
  <c r="AM39" i="50"/>
  <c r="AU39" i="50"/>
  <c r="AR39" i="50"/>
  <c r="AZ41" i="50"/>
  <c r="AL41" i="50"/>
  <c r="AT41" i="50"/>
  <c r="AW41" i="50"/>
  <c r="AM41" i="50"/>
  <c r="AP41" i="50"/>
  <c r="AQ41" i="50"/>
  <c r="AF41" i="50"/>
  <c r="AU41" i="50"/>
  <c r="AR41" i="50"/>
  <c r="AY41" i="50"/>
  <c r="AG41" i="50"/>
  <c r="AO41" i="50"/>
  <c r="AH41" i="50"/>
  <c r="AI41" i="50"/>
  <c r="AJ41" i="50"/>
  <c r="AX41" i="50"/>
  <c r="AK41" i="50"/>
  <c r="AS41" i="50"/>
  <c r="AV41" i="50"/>
  <c r="AN41" i="50"/>
  <c r="AT43" i="50"/>
  <c r="AS43" i="50"/>
  <c r="AX43" i="50"/>
  <c r="AY43" i="50"/>
  <c r="AI43" i="50"/>
  <c r="AV43" i="50"/>
  <c r="AH43" i="50"/>
  <c r="AM43" i="50"/>
  <c r="AJ43" i="50"/>
  <c r="AR43" i="50"/>
  <c r="AP43" i="50"/>
  <c r="AQ43" i="50"/>
  <c r="AU43" i="50"/>
  <c r="AW43" i="50"/>
  <c r="AZ43" i="50"/>
  <c r="AF43" i="50"/>
  <c r="AN43" i="50"/>
  <c r="AO43" i="50"/>
  <c r="AK43" i="50"/>
  <c r="AG43" i="50"/>
  <c r="AL43" i="50"/>
  <c r="AV48" i="50"/>
  <c r="AJ48" i="50"/>
  <c r="AR48" i="50"/>
  <c r="AI48" i="50"/>
  <c r="AQ48" i="50"/>
  <c r="AW48" i="50"/>
  <c r="AF48" i="50"/>
  <c r="AG48" i="50"/>
  <c r="AO48" i="50"/>
  <c r="AL48" i="50"/>
  <c r="AT48" i="50"/>
  <c r="AU48" i="50"/>
  <c r="AX48" i="50"/>
  <c r="AN48" i="50"/>
  <c r="AM48" i="50"/>
  <c r="AZ48" i="50"/>
  <c r="AY48" i="50"/>
  <c r="AK48" i="50"/>
  <c r="AP48" i="50"/>
  <c r="AS48" i="50"/>
  <c r="AH48" i="50"/>
  <c r="AL42" i="50"/>
  <c r="AK42" i="50"/>
  <c r="AP42" i="50"/>
  <c r="AI42" i="50"/>
  <c r="AX42" i="50"/>
  <c r="AG42" i="50"/>
  <c r="AF42" i="50"/>
  <c r="AV42" i="50"/>
  <c r="AS42" i="50"/>
  <c r="AW42" i="50"/>
  <c r="AJ42" i="50"/>
  <c r="AM42" i="50"/>
  <c r="AO42" i="50"/>
  <c r="AZ42" i="50"/>
  <c r="AH42" i="50"/>
  <c r="AQ42" i="50"/>
  <c r="AN42" i="50"/>
  <c r="AR42" i="50"/>
  <c r="AT42" i="50"/>
  <c r="AY42" i="50"/>
  <c r="AU42" i="50"/>
  <c r="AZ45" i="50"/>
  <c r="AW45" i="50"/>
  <c r="AX45" i="50"/>
  <c r="AG45" i="50"/>
  <c r="AO45" i="50"/>
  <c r="AV45" i="50"/>
  <c r="AY45" i="50"/>
  <c r="AL45" i="50"/>
  <c r="AT45" i="50"/>
  <c r="AI45" i="50"/>
  <c r="AQ45" i="50"/>
  <c r="AJ45" i="50"/>
  <c r="AR45" i="50"/>
  <c r="AK45" i="50"/>
  <c r="AS45" i="50"/>
  <c r="AP45" i="50"/>
  <c r="AF45" i="50"/>
  <c r="AH45" i="50"/>
  <c r="AU45" i="50"/>
  <c r="AM45" i="50"/>
  <c r="AN45" i="50"/>
  <c r="BA79" i="50"/>
  <c r="BB31" i="50"/>
  <c r="BA55" i="50" s="1"/>
  <c r="AV44" i="50"/>
  <c r="AZ44" i="50"/>
  <c r="AL44" i="50"/>
  <c r="AT44" i="50"/>
  <c r="AI44" i="50"/>
  <c r="AQ44" i="50"/>
  <c r="AJ44" i="50"/>
  <c r="AR44" i="50"/>
  <c r="AG44" i="50"/>
  <c r="AO44" i="50"/>
  <c r="AM44" i="50"/>
  <c r="AU44" i="50"/>
  <c r="AF44" i="50"/>
  <c r="AH44" i="50"/>
  <c r="AP44" i="50"/>
  <c r="AK44" i="50"/>
  <c r="AS44" i="50"/>
  <c r="AX44" i="50"/>
  <c r="AY44" i="50"/>
  <c r="AN44" i="50"/>
  <c r="AW44" i="50"/>
  <c r="AY50" i="50"/>
  <c r="AZ50" i="50"/>
  <c r="AV50" i="50"/>
  <c r="AH50" i="50"/>
  <c r="AP50" i="50"/>
  <c r="AI50" i="50"/>
  <c r="AQ50" i="50"/>
  <c r="AJ50" i="50"/>
  <c r="AR50" i="50"/>
  <c r="AG50" i="50"/>
  <c r="AO50" i="50"/>
  <c r="AU50" i="50"/>
  <c r="AF50" i="50"/>
  <c r="AL50" i="50"/>
  <c r="AT50" i="50"/>
  <c r="AM50" i="50"/>
  <c r="AX50" i="50"/>
  <c r="AN50" i="50"/>
  <c r="AK50" i="50"/>
  <c r="AS50" i="50"/>
  <c r="AW50" i="50"/>
  <c r="AJ54" i="50"/>
  <c r="AR54" i="50"/>
  <c r="AZ54" i="50"/>
  <c r="AI54" i="50"/>
  <c r="AQ54" i="50"/>
  <c r="AY54" i="50"/>
  <c r="AH54" i="50"/>
  <c r="AP54" i="50"/>
  <c r="AX54" i="50"/>
  <c r="AF54" i="50"/>
  <c r="AG54" i="50"/>
  <c r="AO54" i="50"/>
  <c r="AW54" i="50"/>
  <c r="AU54" i="50"/>
  <c r="AN54" i="50"/>
  <c r="AV54" i="50"/>
  <c r="AM54" i="50"/>
  <c r="AK54" i="50"/>
  <c r="AL54" i="50"/>
  <c r="AS54" i="50"/>
  <c r="AT54" i="50"/>
  <c r="AI79" i="50"/>
  <c r="M18" i="75" l="1"/>
  <c r="N17" i="75"/>
  <c r="AT55" i="50"/>
  <c r="AL55" i="50"/>
  <c r="AZ55" i="50"/>
  <c r="AO55" i="50"/>
  <c r="AR55" i="50"/>
  <c r="AG55" i="50"/>
  <c r="AW55" i="50"/>
  <c r="AJ55" i="50"/>
  <c r="AF55" i="50"/>
  <c r="AI55" i="50"/>
  <c r="AX55" i="50"/>
  <c r="AS55" i="50"/>
  <c r="AH55" i="50"/>
  <c r="AY55" i="50"/>
  <c r="AM55" i="50"/>
  <c r="AP55" i="50"/>
  <c r="AV55" i="50"/>
  <c r="AN55" i="50"/>
  <c r="AK55" i="50"/>
  <c r="AU55" i="50"/>
  <c r="AQ55" i="50"/>
  <c r="M19" i="75" l="1"/>
  <c r="N18" i="75"/>
  <c r="N19" i="75" l="1"/>
  <c r="M20" i="75"/>
  <c r="A38" i="60"/>
  <c r="A71" i="60"/>
  <c r="A145" i="60"/>
  <c r="A178" i="60"/>
  <c r="A107" i="60"/>
  <c r="A214" i="60"/>
  <c r="A179" i="70"/>
  <c r="A110" i="70"/>
  <c r="A72" i="70"/>
  <c r="A39" i="70"/>
  <c r="A356" i="69"/>
  <c r="A321" i="69"/>
  <c r="A286" i="69"/>
  <c r="A250" i="69"/>
  <c r="A214" i="69"/>
  <c r="A178" i="69"/>
  <c r="A142" i="69"/>
  <c r="A106" i="69"/>
  <c r="A71" i="69"/>
  <c r="A38" i="69"/>
  <c r="A106" i="68"/>
  <c r="A71" i="68"/>
  <c r="A38" i="68"/>
  <c r="A214" i="67"/>
  <c r="A287" i="67"/>
  <c r="A286" i="67"/>
  <c r="A250" i="67"/>
  <c r="A106" i="67"/>
  <c r="A71" i="67"/>
  <c r="A38" i="67"/>
  <c r="A178" i="66"/>
  <c r="A142" i="66"/>
  <c r="A106" i="66"/>
  <c r="A71" i="66"/>
  <c r="A38" i="66"/>
  <c r="A106" i="65"/>
  <c r="A71" i="65"/>
  <c r="A38" i="65"/>
  <c r="A106" i="64"/>
  <c r="A71" i="64"/>
  <c r="A38" i="64"/>
  <c r="A177" i="63"/>
  <c r="A142" i="63"/>
  <c r="A106" i="63"/>
  <c r="A71" i="63"/>
  <c r="A38" i="63"/>
  <c r="A142" i="62"/>
  <c r="A106" i="62"/>
  <c r="A71" i="62"/>
  <c r="A38" i="62"/>
  <c r="M21" i="75" l="1"/>
  <c r="N20" i="75"/>
  <c r="AC100" i="60"/>
  <c r="AB100" i="60"/>
  <c r="AA100" i="60"/>
  <c r="Z100" i="60"/>
  <c r="Y100" i="60"/>
  <c r="Z99" i="60"/>
  <c r="N21" i="75" l="1"/>
  <c r="M22" i="75"/>
  <c r="N22" i="75" l="1"/>
  <c r="M23" i="75"/>
  <c r="M24" i="75" l="1"/>
  <c r="N23" i="75"/>
  <c r="M25" i="75" l="1"/>
  <c r="N25" i="75" s="1"/>
  <c r="N24" i="75"/>
  <c r="A35" i="50"/>
  <c r="A70" i="50"/>
  <c r="A105" i="50"/>
  <c r="AC4" i="50"/>
  <c r="A178" i="49"/>
  <c r="A142" i="49"/>
  <c r="A71" i="49"/>
  <c r="A38" i="49"/>
  <c r="A37" i="74"/>
  <c r="A70" i="74"/>
  <c r="A105" i="73"/>
  <c r="A70" i="73"/>
  <c r="A37" i="73"/>
  <c r="A37" i="72"/>
  <c r="A70" i="72"/>
  <c r="A105" i="72"/>
  <c r="A140" i="72"/>
  <c r="A85" i="76"/>
  <c r="AE2" i="27"/>
  <c r="T5" i="44"/>
  <c r="S25" i="44"/>
  <c r="S26" i="44"/>
  <c r="S27" i="44"/>
  <c r="S28" i="44"/>
  <c r="S29" i="44"/>
  <c r="S30" i="44"/>
  <c r="S10" i="44"/>
  <c r="S11" i="44"/>
  <c r="S12" i="44"/>
  <c r="S13" i="44"/>
  <c r="S14" i="44"/>
  <c r="S15" i="44"/>
  <c r="S16" i="44"/>
  <c r="S17" i="44"/>
  <c r="S18" i="44"/>
  <c r="S19" i="44"/>
  <c r="S20" i="44"/>
  <c r="S21" i="44"/>
  <c r="S22" i="44"/>
  <c r="S23" i="44"/>
  <c r="S24" i="44"/>
  <c r="S9" i="44"/>
  <c r="AR3" i="75"/>
  <c r="AR4" i="75" s="1"/>
  <c r="A220" i="83" s="1"/>
  <c r="A81" i="91" l="1"/>
  <c r="A10" i="91"/>
  <c r="A116" i="68"/>
  <c r="AR7" i="75"/>
  <c r="A223" i="83" s="1"/>
  <c r="AR11" i="75"/>
  <c r="A227" i="83" s="1"/>
  <c r="AR15" i="75"/>
  <c r="A231" i="83" s="1"/>
  <c r="AR19" i="75"/>
  <c r="A235" i="83" s="1"/>
  <c r="AR23" i="75"/>
  <c r="A239" i="83" s="1"/>
  <c r="AR12" i="75"/>
  <c r="A228" i="83" s="1"/>
  <c r="AR16" i="75"/>
  <c r="A232" i="83" s="1"/>
  <c r="AR20" i="75"/>
  <c r="A236" i="83" s="1"/>
  <c r="AR24" i="75"/>
  <c r="A240" i="83" s="1"/>
  <c r="AR5" i="75"/>
  <c r="A221" i="83" s="1"/>
  <c r="AR9" i="75"/>
  <c r="A225" i="83" s="1"/>
  <c r="AR13" i="75"/>
  <c r="A229" i="83" s="1"/>
  <c r="AR17" i="75"/>
  <c r="A233" i="83" s="1"/>
  <c r="AR21" i="75"/>
  <c r="A237" i="83" s="1"/>
  <c r="AR25" i="75"/>
  <c r="A241" i="83" s="1"/>
  <c r="AR6" i="75"/>
  <c r="A222" i="83" s="1"/>
  <c r="AR10" i="75"/>
  <c r="A226" i="83" s="1"/>
  <c r="AR14" i="75"/>
  <c r="A230" i="83" s="1"/>
  <c r="AR18" i="75"/>
  <c r="A234" i="83" s="1"/>
  <c r="AR22" i="75"/>
  <c r="A238" i="83" s="1"/>
  <c r="AR8" i="75"/>
  <c r="A224" i="83" s="1"/>
  <c r="AB80" i="50"/>
  <c r="AB56" i="50"/>
  <c r="AB32" i="50"/>
  <c r="A85" i="91" l="1"/>
  <c r="A14" i="91"/>
  <c r="A120" i="68"/>
  <c r="A94" i="91"/>
  <c r="A23" i="91"/>
  <c r="A129" i="68"/>
  <c r="A29" i="91"/>
  <c r="A100" i="91"/>
  <c r="A135" i="68"/>
  <c r="A12" i="91"/>
  <c r="A83" i="91"/>
  <c r="A118" i="68"/>
  <c r="A90" i="91"/>
  <c r="A19" i="91"/>
  <c r="A125" i="68"/>
  <c r="A26" i="91"/>
  <c r="A97" i="91"/>
  <c r="A132" i="68"/>
  <c r="A96" i="91"/>
  <c r="A25" i="91"/>
  <c r="A131" i="68"/>
  <c r="A24" i="91"/>
  <c r="A95" i="91"/>
  <c r="A130" i="68"/>
  <c r="A31" i="91"/>
  <c r="A102" i="91"/>
  <c r="A137" i="68"/>
  <c r="A86" i="91"/>
  <c r="A15" i="91"/>
  <c r="A121" i="68"/>
  <c r="A22" i="91"/>
  <c r="A93" i="91"/>
  <c r="A128" i="68"/>
  <c r="A21" i="91"/>
  <c r="A92" i="91"/>
  <c r="A127" i="68"/>
  <c r="A16" i="91"/>
  <c r="A87" i="91"/>
  <c r="A122" i="68"/>
  <c r="A101" i="91"/>
  <c r="A30" i="91"/>
  <c r="A136" i="68"/>
  <c r="A84" i="91"/>
  <c r="A13" i="91"/>
  <c r="A119" i="68"/>
  <c r="A99" i="91"/>
  <c r="A28" i="91"/>
  <c r="A134" i="68"/>
  <c r="A20" i="91"/>
  <c r="A91" i="91"/>
  <c r="A126" i="68"/>
  <c r="A98" i="91"/>
  <c r="A27" i="91"/>
  <c r="A133" i="68"/>
  <c r="A11" i="91"/>
  <c r="A82" i="91"/>
  <c r="A117" i="68"/>
  <c r="A89" i="91"/>
  <c r="A18" i="91"/>
  <c r="A124" i="68"/>
  <c r="A88" i="91"/>
  <c r="A17" i="91"/>
  <c r="A123" i="68"/>
  <c r="A45" i="22"/>
  <c r="A260" i="83"/>
  <c r="A184" i="83"/>
  <c r="A58" i="22"/>
  <c r="A273" i="83"/>
  <c r="A64" i="22"/>
  <c r="A279" i="83"/>
  <c r="A63" i="22"/>
  <c r="A278" i="83"/>
  <c r="A47" i="22"/>
  <c r="A262" i="83"/>
  <c r="A61" i="22"/>
  <c r="A276" i="83"/>
  <c r="A60" i="22"/>
  <c r="A275" i="83"/>
  <c r="A59" i="22"/>
  <c r="A274" i="83"/>
  <c r="A66" i="22"/>
  <c r="A281" i="83"/>
  <c r="A205" i="83"/>
  <c r="A50" i="22"/>
  <c r="A265" i="83"/>
  <c r="A57" i="22"/>
  <c r="A272" i="83"/>
  <c r="A56" i="22"/>
  <c r="A271" i="83"/>
  <c r="A51" i="22"/>
  <c r="A266" i="83"/>
  <c r="A65" i="22"/>
  <c r="A280" i="83"/>
  <c r="A54" i="22"/>
  <c r="A269" i="83"/>
  <c r="A49" i="22"/>
  <c r="A264" i="83"/>
  <c r="A55" i="22"/>
  <c r="A270" i="83"/>
  <c r="A62" i="22"/>
  <c r="A277" i="83"/>
  <c r="A46" i="22"/>
  <c r="A261" i="83"/>
  <c r="A53" i="22"/>
  <c r="A268" i="83"/>
  <c r="A52" i="22"/>
  <c r="A267" i="83"/>
  <c r="A48" i="22"/>
  <c r="A263" i="83"/>
  <c r="AE56" i="50"/>
  <c r="AD56" i="50"/>
  <c r="AE80" i="50"/>
  <c r="AD80" i="50"/>
  <c r="BC56" i="50"/>
  <c r="AD32" i="50"/>
  <c r="AE32" i="50"/>
  <c r="A28" i="87"/>
  <c r="A95" i="87"/>
  <c r="A28" i="85"/>
  <c r="A131" i="84"/>
  <c r="A135" i="83"/>
  <c r="A27" i="86"/>
  <c r="A131" i="85"/>
  <c r="A28" i="84"/>
  <c r="A95" i="83"/>
  <c r="A28" i="83"/>
  <c r="A95" i="84"/>
  <c r="A201" i="83"/>
  <c r="A167" i="84"/>
  <c r="A95" i="85"/>
  <c r="A12" i="87"/>
  <c r="A79" i="87"/>
  <c r="A11" i="86"/>
  <c r="A12" i="84"/>
  <c r="A12" i="85"/>
  <c r="A12" i="83"/>
  <c r="A119" i="83"/>
  <c r="A115" i="85"/>
  <c r="A79" i="84"/>
  <c r="A185" i="83"/>
  <c r="A79" i="83"/>
  <c r="A79" i="85"/>
  <c r="A115" i="84"/>
  <c r="A151" i="84"/>
  <c r="A19" i="87"/>
  <c r="A86" i="87"/>
  <c r="A19" i="85"/>
  <c r="A126" i="83"/>
  <c r="A192" i="83"/>
  <c r="A19" i="83"/>
  <c r="A19" i="84"/>
  <c r="A86" i="84"/>
  <c r="A122" i="85"/>
  <c r="A86" i="83"/>
  <c r="A122" i="84"/>
  <c r="A18" i="86"/>
  <c r="A86" i="85"/>
  <c r="A158" i="84"/>
  <c r="A26" i="87"/>
  <c r="A93" i="87"/>
  <c r="A26" i="85"/>
  <c r="A133" i="83"/>
  <c r="A26" i="83"/>
  <c r="A26" i="84"/>
  <c r="A199" i="83"/>
  <c r="A93" i="84"/>
  <c r="A129" i="84"/>
  <c r="A25" i="86"/>
  <c r="A165" i="84"/>
  <c r="A93" i="83"/>
  <c r="A129" i="85"/>
  <c r="A93" i="85"/>
  <c r="A25" i="87"/>
  <c r="A92" i="87"/>
  <c r="A25" i="83"/>
  <c r="A25" i="85"/>
  <c r="A25" i="84"/>
  <c r="A132" i="83"/>
  <c r="A92" i="85"/>
  <c r="A24" i="86"/>
  <c r="A198" i="83"/>
  <c r="A128" i="84"/>
  <c r="A128" i="85"/>
  <c r="A92" i="84"/>
  <c r="A92" i="83"/>
  <c r="A164" i="84"/>
  <c r="A24" i="87"/>
  <c r="A91" i="87"/>
  <c r="A24" i="85"/>
  <c r="A24" i="84"/>
  <c r="A131" i="83"/>
  <c r="A91" i="85"/>
  <c r="A24" i="83"/>
  <c r="A127" i="85"/>
  <c r="A91" i="84"/>
  <c r="A197" i="83"/>
  <c r="A127" i="84"/>
  <c r="A91" i="83"/>
  <c r="A23" i="86"/>
  <c r="A163" i="84"/>
  <c r="A31" i="87"/>
  <c r="A98" i="87"/>
  <c r="A98" i="85"/>
  <c r="A31" i="85"/>
  <c r="A138" i="83"/>
  <c r="A204" i="83"/>
  <c r="A31" i="83"/>
  <c r="A31" i="84"/>
  <c r="A134" i="85"/>
  <c r="A134" i="84"/>
  <c r="A30" i="86"/>
  <c r="A98" i="84"/>
  <c r="A98" i="83"/>
  <c r="A170" i="84"/>
  <c r="A15" i="87"/>
  <c r="A82" i="87"/>
  <c r="A188" i="83"/>
  <c r="A82" i="85"/>
  <c r="A14" i="86"/>
  <c r="A122" i="83"/>
  <c r="A15" i="83"/>
  <c r="A118" i="85"/>
  <c r="A15" i="85"/>
  <c r="A15" i="84"/>
  <c r="A82" i="84"/>
  <c r="A118" i="84"/>
  <c r="A82" i="83"/>
  <c r="A154" i="84"/>
  <c r="A22" i="87"/>
  <c r="A89" i="87"/>
  <c r="A125" i="85"/>
  <c r="A129" i="83"/>
  <c r="A22" i="85"/>
  <c r="A22" i="83"/>
  <c r="A195" i="83"/>
  <c r="A22" i="84"/>
  <c r="A89" i="84"/>
  <c r="A21" i="86"/>
  <c r="A89" i="85"/>
  <c r="A161" i="84"/>
  <c r="A125" i="84"/>
  <c r="A89" i="83"/>
  <c r="A88" i="87"/>
  <c r="A21" i="87"/>
  <c r="A128" i="83"/>
  <c r="A21" i="83"/>
  <c r="A21" i="85"/>
  <c r="A21" i="84"/>
  <c r="A88" i="85"/>
  <c r="A20" i="86"/>
  <c r="A194" i="83"/>
  <c r="A124" i="85"/>
  <c r="A124" i="84"/>
  <c r="A88" i="83"/>
  <c r="A88" i="84"/>
  <c r="A160" i="84"/>
  <c r="A81" i="87"/>
  <c r="A14" i="87"/>
  <c r="A81" i="83"/>
  <c r="A14" i="85"/>
  <c r="A121" i="83"/>
  <c r="A14" i="83"/>
  <c r="A117" i="85"/>
  <c r="A14" i="84"/>
  <c r="A187" i="83"/>
  <c r="A81" i="84"/>
  <c r="A81" i="85"/>
  <c r="A13" i="86"/>
  <c r="A117" i="84"/>
  <c r="A153" i="84"/>
  <c r="A20" i="87"/>
  <c r="A87" i="87"/>
  <c r="A20" i="85"/>
  <c r="A127" i="83"/>
  <c r="A20" i="84"/>
  <c r="A20" i="83"/>
  <c r="A193" i="83"/>
  <c r="A123" i="85"/>
  <c r="A19" i="86"/>
  <c r="A87" i="85"/>
  <c r="A123" i="84"/>
  <c r="A159" i="84"/>
  <c r="A87" i="83"/>
  <c r="A87" i="84"/>
  <c r="A94" i="87"/>
  <c r="A27" i="87"/>
  <c r="A94" i="85"/>
  <c r="A200" i="83"/>
  <c r="A27" i="83"/>
  <c r="A27" i="84"/>
  <c r="A134" i="83"/>
  <c r="A27" i="85"/>
  <c r="A26" i="86"/>
  <c r="A94" i="83"/>
  <c r="A130" i="84"/>
  <c r="A130" i="85"/>
  <c r="A94" i="84"/>
  <c r="A166" i="84"/>
  <c r="A11" i="87"/>
  <c r="A78" i="87"/>
  <c r="A11" i="84"/>
  <c r="A78" i="85"/>
  <c r="A11" i="83"/>
  <c r="A118" i="83"/>
  <c r="A11" i="85"/>
  <c r="A10" i="86"/>
  <c r="A114" i="84"/>
  <c r="A114" i="85"/>
  <c r="A78" i="84"/>
  <c r="A78" i="83"/>
  <c r="A150" i="84"/>
  <c r="A85" i="87"/>
  <c r="A18" i="87"/>
  <c r="A125" i="83"/>
  <c r="A121" i="85"/>
  <c r="A17" i="86"/>
  <c r="A18" i="84"/>
  <c r="A18" i="83"/>
  <c r="A191" i="83"/>
  <c r="A18" i="85"/>
  <c r="A85" i="84"/>
  <c r="A157" i="84"/>
  <c r="A85" i="85"/>
  <c r="A121" i="84"/>
  <c r="A85" i="83"/>
  <c r="A84" i="87"/>
  <c r="A17" i="87"/>
  <c r="A17" i="83"/>
  <c r="A17" i="84"/>
  <c r="A124" i="83"/>
  <c r="A84" i="84"/>
  <c r="A84" i="85"/>
  <c r="A17" i="85"/>
  <c r="A190" i="83"/>
  <c r="A120" i="85"/>
  <c r="A16" i="86"/>
  <c r="A84" i="83"/>
  <c r="A120" i="84"/>
  <c r="A156" i="84"/>
  <c r="A77" i="87"/>
  <c r="A10" i="87"/>
  <c r="A10" i="84"/>
  <c r="A117" i="83"/>
  <c r="A113" i="84"/>
  <c r="A10" i="83"/>
  <c r="A10" i="85"/>
  <c r="A9" i="86"/>
  <c r="A113" i="85"/>
  <c r="A77" i="83"/>
  <c r="A77" i="84"/>
  <c r="A77" i="85"/>
  <c r="A149" i="84"/>
  <c r="A16" i="87"/>
  <c r="A83" i="87"/>
  <c r="A119" i="85"/>
  <c r="A16" i="84"/>
  <c r="A123" i="83"/>
  <c r="A15" i="86"/>
  <c r="A16" i="85"/>
  <c r="A16" i="83"/>
  <c r="A189" i="83"/>
  <c r="A119" i="84"/>
  <c r="A155" i="84"/>
  <c r="A83" i="85"/>
  <c r="A83" i="84"/>
  <c r="A83" i="83"/>
  <c r="A23" i="87"/>
  <c r="A90" i="87"/>
  <c r="A90" i="85"/>
  <c r="A196" i="83"/>
  <c r="A130" i="83"/>
  <c r="A23" i="85"/>
  <c r="A23" i="83"/>
  <c r="A23" i="84"/>
  <c r="A90" i="83"/>
  <c r="A126" i="85"/>
  <c r="A90" i="84"/>
  <c r="A22" i="86"/>
  <c r="A126" i="84"/>
  <c r="A162" i="84"/>
  <c r="A30" i="87"/>
  <c r="A97" i="87"/>
  <c r="A133" i="85"/>
  <c r="A30" i="83"/>
  <c r="A29" i="86"/>
  <c r="A30" i="85"/>
  <c r="A203" i="83"/>
  <c r="A137" i="83"/>
  <c r="A30" i="84"/>
  <c r="A97" i="85"/>
  <c r="A133" i="84"/>
  <c r="A97" i="83"/>
  <c r="A97" i="84"/>
  <c r="A169" i="84"/>
  <c r="A29" i="87"/>
  <c r="A96" i="87"/>
  <c r="A29" i="85"/>
  <c r="A29" i="84"/>
  <c r="A136" i="83"/>
  <c r="A29" i="83"/>
  <c r="A96" i="84"/>
  <c r="A28" i="86"/>
  <c r="A96" i="85"/>
  <c r="A202" i="83"/>
  <c r="A132" i="84"/>
  <c r="A96" i="83"/>
  <c r="A132" i="85"/>
  <c r="A168" i="84"/>
  <c r="A80" i="87"/>
  <c r="A13" i="87"/>
  <c r="A13" i="83"/>
  <c r="A120" i="83"/>
  <c r="A13" i="84"/>
  <c r="A13" i="85"/>
  <c r="A186" i="83"/>
  <c r="A80" i="85"/>
  <c r="A80" i="84"/>
  <c r="A80" i="83"/>
  <c r="A12" i="86"/>
  <c r="A152" i="84"/>
  <c r="A116" i="85"/>
  <c r="A116" i="84"/>
  <c r="A28" i="82"/>
  <c r="A94" i="82"/>
  <c r="A12" i="82"/>
  <c r="A78" i="82"/>
  <c r="A19" i="82"/>
  <c r="A85" i="82"/>
  <c r="A26" i="82"/>
  <c r="A92" i="82"/>
  <c r="A91" i="82"/>
  <c r="A25" i="82"/>
  <c r="A90" i="82"/>
  <c r="A24" i="82"/>
  <c r="A31" i="82"/>
  <c r="A97" i="82"/>
  <c r="A15" i="82"/>
  <c r="A81" i="82"/>
  <c r="A22" i="82"/>
  <c r="A88" i="82"/>
  <c r="A87" i="82"/>
  <c r="A21" i="82"/>
  <c r="A14" i="82"/>
  <c r="A80" i="82"/>
  <c r="A86" i="82"/>
  <c r="A20" i="82"/>
  <c r="A27" i="82"/>
  <c r="A93" i="82"/>
  <c r="A11" i="82"/>
  <c r="A77" i="82"/>
  <c r="A18" i="82"/>
  <c r="A84" i="82"/>
  <c r="A83" i="82"/>
  <c r="A17" i="82"/>
  <c r="A10" i="82"/>
  <c r="A76" i="82"/>
  <c r="A82" i="82"/>
  <c r="A16" i="82"/>
  <c r="A89" i="82"/>
  <c r="A23" i="82"/>
  <c r="A30" i="82"/>
  <c r="A96" i="82"/>
  <c r="A29" i="82"/>
  <c r="A95" i="82"/>
  <c r="A79" i="82"/>
  <c r="A13" i="82"/>
  <c r="R24" i="60"/>
  <c r="R27" i="60"/>
  <c r="R28" i="60"/>
  <c r="R33" i="60"/>
  <c r="R33" i="70" l="1"/>
  <c r="R32" i="70"/>
  <c r="R27" i="70"/>
  <c r="R26" i="70"/>
  <c r="R23" i="70"/>
  <c r="Z314" i="69" l="1"/>
  <c r="D314" i="69" s="1"/>
  <c r="H33" i="69" l="1"/>
  <c r="G33" i="69"/>
  <c r="F33" i="69"/>
  <c r="AD33" i="69" s="1"/>
  <c r="E33" i="69"/>
  <c r="AC33" i="69" s="1"/>
  <c r="D33" i="69"/>
  <c r="AB33" i="69" s="1"/>
  <c r="H31" i="69"/>
  <c r="G31" i="69"/>
  <c r="AE31" i="69" s="1"/>
  <c r="F31" i="69"/>
  <c r="AD31" i="69" s="1"/>
  <c r="E31" i="69"/>
  <c r="AC31" i="69" s="1"/>
  <c r="D31" i="69"/>
  <c r="H30" i="69"/>
  <c r="G30" i="69"/>
  <c r="AE30" i="69" s="1"/>
  <c r="F30" i="69"/>
  <c r="AD30" i="69" s="1"/>
  <c r="E30" i="69"/>
  <c r="AC30" i="69" s="1"/>
  <c r="D30" i="69"/>
  <c r="H29" i="69"/>
  <c r="G29" i="69"/>
  <c r="AE29" i="69" s="1"/>
  <c r="F29" i="69"/>
  <c r="AD29" i="69" s="1"/>
  <c r="E29" i="69"/>
  <c r="AC29" i="69" s="1"/>
  <c r="D29" i="69"/>
  <c r="AB29" i="69" s="1"/>
  <c r="H28" i="69"/>
  <c r="G28" i="69"/>
  <c r="AE28" i="69" s="1"/>
  <c r="F28" i="69"/>
  <c r="AD28" i="69" s="1"/>
  <c r="E28" i="69"/>
  <c r="AC28" i="69" s="1"/>
  <c r="D28" i="69"/>
  <c r="AB28" i="69" s="1"/>
  <c r="H27" i="69"/>
  <c r="G27" i="69"/>
  <c r="AE27" i="69" s="1"/>
  <c r="F27" i="69"/>
  <c r="AD27" i="69" s="1"/>
  <c r="E27" i="69"/>
  <c r="AC27" i="69" s="1"/>
  <c r="D27" i="69"/>
  <c r="H26" i="69"/>
  <c r="G26" i="69"/>
  <c r="AE26" i="69" s="1"/>
  <c r="F26" i="69"/>
  <c r="AD26" i="69" s="1"/>
  <c r="E26" i="69"/>
  <c r="AC26" i="69" s="1"/>
  <c r="D26" i="69"/>
  <c r="H25" i="69"/>
  <c r="G25" i="69"/>
  <c r="AE25" i="69" s="1"/>
  <c r="F25" i="69"/>
  <c r="AD25" i="69" s="1"/>
  <c r="E25" i="69"/>
  <c r="AC25" i="69" s="1"/>
  <c r="D25" i="69"/>
  <c r="AB25" i="69" s="1"/>
  <c r="H24" i="69"/>
  <c r="G24" i="69"/>
  <c r="AE24" i="69" s="1"/>
  <c r="E24" i="69"/>
  <c r="AC24" i="69" s="1"/>
  <c r="D24" i="69"/>
  <c r="AB24" i="69" s="1"/>
  <c r="H23" i="69"/>
  <c r="G23" i="69"/>
  <c r="AE23" i="69" s="1"/>
  <c r="F23" i="69"/>
  <c r="AD23" i="69" s="1"/>
  <c r="E23" i="69"/>
  <c r="AC23" i="69" s="1"/>
  <c r="D23" i="69"/>
  <c r="H22" i="69"/>
  <c r="G22" i="69"/>
  <c r="AE22" i="69" s="1"/>
  <c r="F22" i="69"/>
  <c r="AD22" i="69" s="1"/>
  <c r="E22" i="69"/>
  <c r="AC22" i="69" s="1"/>
  <c r="D22" i="69"/>
  <c r="AB22" i="69" s="1"/>
  <c r="H21" i="69"/>
  <c r="G21" i="69"/>
  <c r="AE21" i="69" s="1"/>
  <c r="F21" i="69"/>
  <c r="AD21" i="69" s="1"/>
  <c r="E21" i="69"/>
  <c r="AC21" i="69" s="1"/>
  <c r="D21" i="69"/>
  <c r="H20" i="69"/>
  <c r="G20" i="69"/>
  <c r="AE20" i="69" s="1"/>
  <c r="F20" i="69"/>
  <c r="AD20" i="69" s="1"/>
  <c r="E20" i="69"/>
  <c r="AC20" i="69" s="1"/>
  <c r="D20" i="69"/>
  <c r="AB20" i="69" s="1"/>
  <c r="H19" i="69"/>
  <c r="G19" i="69"/>
  <c r="AE19" i="69" s="1"/>
  <c r="F19" i="69"/>
  <c r="AD19" i="69" s="1"/>
  <c r="E19" i="69"/>
  <c r="AC19" i="69" s="1"/>
  <c r="D19" i="69"/>
  <c r="H18" i="69"/>
  <c r="G18" i="69"/>
  <c r="AE18" i="69" s="1"/>
  <c r="F18" i="69"/>
  <c r="AD18" i="69" s="1"/>
  <c r="E18" i="69"/>
  <c r="AC18" i="69" s="1"/>
  <c r="D18" i="69"/>
  <c r="AB18" i="69" s="1"/>
  <c r="H17" i="69"/>
  <c r="G17" i="69"/>
  <c r="AE17" i="69" s="1"/>
  <c r="F17" i="69"/>
  <c r="AD17" i="69" s="1"/>
  <c r="E17" i="69"/>
  <c r="AC17" i="69" s="1"/>
  <c r="D17" i="69"/>
  <c r="H16" i="69"/>
  <c r="G16" i="69"/>
  <c r="AE16" i="69" s="1"/>
  <c r="F16" i="69"/>
  <c r="AD16" i="69" s="1"/>
  <c r="E16" i="69"/>
  <c r="AC16" i="69" s="1"/>
  <c r="D16" i="69"/>
  <c r="AB16" i="69" s="1"/>
  <c r="H15" i="69"/>
  <c r="G15" i="69"/>
  <c r="AE15" i="69" s="1"/>
  <c r="F15" i="69"/>
  <c r="AD15" i="69" s="1"/>
  <c r="E15" i="69"/>
  <c r="AC15" i="69" s="1"/>
  <c r="D15" i="69"/>
  <c r="H14" i="69"/>
  <c r="G14" i="69"/>
  <c r="AE14" i="69" s="1"/>
  <c r="F14" i="69"/>
  <c r="AD14" i="69" s="1"/>
  <c r="E14" i="69"/>
  <c r="AC14" i="69" s="1"/>
  <c r="D14" i="69"/>
  <c r="AB14" i="69" s="1"/>
  <c r="H13" i="69"/>
  <c r="G13" i="69"/>
  <c r="AE13" i="69" s="1"/>
  <c r="F13" i="69"/>
  <c r="AD13" i="69" s="1"/>
  <c r="E13" i="69"/>
  <c r="AC13" i="69" s="1"/>
  <c r="D13" i="69"/>
  <c r="AB13" i="69" s="1"/>
  <c r="H12" i="69"/>
  <c r="G12" i="69"/>
  <c r="AE12" i="69" s="1"/>
  <c r="F12" i="69"/>
  <c r="AD12" i="69" s="1"/>
  <c r="E12" i="69"/>
  <c r="AC12" i="69" s="1"/>
  <c r="D12" i="69"/>
  <c r="AB12" i="69" s="1"/>
  <c r="H11" i="69"/>
  <c r="G11" i="69"/>
  <c r="AE11" i="69" s="1"/>
  <c r="F11" i="69"/>
  <c r="AD11" i="69" s="1"/>
  <c r="E11" i="69"/>
  <c r="AC11" i="69" s="1"/>
  <c r="D11" i="69"/>
  <c r="H10" i="69"/>
  <c r="G10" i="69"/>
  <c r="AE10" i="69" s="1"/>
  <c r="F10" i="69"/>
  <c r="AD10" i="69" s="1"/>
  <c r="E10" i="69"/>
  <c r="AC10" i="69" s="1"/>
  <c r="D10" i="69"/>
  <c r="AB10" i="69" s="1"/>
  <c r="AE33" i="69" l="1"/>
  <c r="AF33" i="69"/>
  <c r="AF12" i="69"/>
  <c r="Z12" i="69"/>
  <c r="AF16" i="69"/>
  <c r="Z16" i="69"/>
  <c r="AF13" i="69"/>
  <c r="Z13" i="69"/>
  <c r="AF17" i="69"/>
  <c r="Z17" i="69"/>
  <c r="AF21" i="69"/>
  <c r="Z21" i="69"/>
  <c r="AF25" i="69"/>
  <c r="Z25" i="69"/>
  <c r="AF29" i="69"/>
  <c r="Z29" i="69"/>
  <c r="AF14" i="69"/>
  <c r="Z14" i="69"/>
  <c r="AF22" i="69"/>
  <c r="AA22" i="69"/>
  <c r="Z22" i="69"/>
  <c r="AF26" i="69"/>
  <c r="AA26" i="69"/>
  <c r="Z26" i="69"/>
  <c r="AF30" i="69"/>
  <c r="Z30" i="69"/>
  <c r="AF11" i="69"/>
  <c r="Z11" i="69"/>
  <c r="AF15" i="69"/>
  <c r="Z15" i="69"/>
  <c r="AF19" i="69"/>
  <c r="Z19" i="69"/>
  <c r="AF23" i="69"/>
  <c r="Z23" i="69"/>
  <c r="AF27" i="69"/>
  <c r="Z27" i="69"/>
  <c r="AA27" i="69"/>
  <c r="AF31" i="69"/>
  <c r="Z31" i="69"/>
  <c r="AF10" i="69"/>
  <c r="Z10" i="69"/>
  <c r="AF18" i="69"/>
  <c r="Z18" i="69"/>
  <c r="AF20" i="69"/>
  <c r="Z20" i="69"/>
  <c r="AF24" i="69"/>
  <c r="Z24" i="69"/>
  <c r="AF28" i="69"/>
  <c r="Z28" i="69"/>
  <c r="N31" i="69"/>
  <c r="K33" i="69"/>
  <c r="AE32" i="69"/>
  <c r="AC32" i="69"/>
  <c r="K11" i="69"/>
  <c r="AB11" i="69"/>
  <c r="K15" i="69"/>
  <c r="AB15" i="69"/>
  <c r="K23" i="69"/>
  <c r="AB23" i="69"/>
  <c r="K17" i="69"/>
  <c r="AB17" i="69"/>
  <c r="K21" i="69"/>
  <c r="AB21" i="69"/>
  <c r="K26" i="69"/>
  <c r="AB26" i="69"/>
  <c r="K30" i="69"/>
  <c r="AB30" i="69"/>
  <c r="K19" i="69"/>
  <c r="AB19" i="69"/>
  <c r="K27" i="69"/>
  <c r="AB27" i="69"/>
  <c r="K31" i="69"/>
  <c r="AB31" i="69"/>
  <c r="AN11" i="69"/>
  <c r="AL13" i="69"/>
  <c r="AN15" i="69"/>
  <c r="AL17" i="69"/>
  <c r="AN19" i="69"/>
  <c r="AL21" i="69"/>
  <c r="AN23" i="69"/>
  <c r="AN27" i="69"/>
  <c r="AN31" i="69"/>
  <c r="AO10" i="69"/>
  <c r="AM12" i="69"/>
  <c r="AO14" i="69"/>
  <c r="AM16" i="69"/>
  <c r="AO18" i="69"/>
  <c r="AM20" i="69"/>
  <c r="AO22" i="69"/>
  <c r="L25" i="69"/>
  <c r="AL25" i="69"/>
  <c r="M28" i="69"/>
  <c r="AM28" i="69"/>
  <c r="M33" i="69"/>
  <c r="AM33" i="69"/>
  <c r="N12" i="69"/>
  <c r="AN12" i="69"/>
  <c r="L14" i="69"/>
  <c r="AL14" i="69"/>
  <c r="O15" i="69"/>
  <c r="AO15" i="69"/>
  <c r="M17" i="69"/>
  <c r="AM17" i="69"/>
  <c r="AN20" i="69"/>
  <c r="L22" i="69"/>
  <c r="AL22" i="69"/>
  <c r="AO23" i="69"/>
  <c r="M25" i="69"/>
  <c r="AM25" i="69"/>
  <c r="N28" i="69"/>
  <c r="AN28" i="69"/>
  <c r="L30" i="69"/>
  <c r="AL30" i="69"/>
  <c r="AO31" i="69"/>
  <c r="AM10" i="69"/>
  <c r="N10" i="69"/>
  <c r="AN10" i="69"/>
  <c r="AM11" i="69"/>
  <c r="L12" i="69"/>
  <c r="AL12" i="69"/>
  <c r="O13" i="69"/>
  <c r="AO13" i="69"/>
  <c r="AN14" i="69"/>
  <c r="M15" i="69"/>
  <c r="AM15" i="69"/>
  <c r="L16" i="69"/>
  <c r="AL16" i="69"/>
  <c r="O17" i="69"/>
  <c r="AO17" i="69"/>
  <c r="N18" i="69"/>
  <c r="AN18" i="69"/>
  <c r="M19" i="69"/>
  <c r="AM19" i="69"/>
  <c r="L20" i="69"/>
  <c r="AL20" i="69"/>
  <c r="AO21" i="69"/>
  <c r="N22" i="69"/>
  <c r="AN22" i="69"/>
  <c r="AM23" i="69"/>
  <c r="AL24" i="69"/>
  <c r="AO25" i="69"/>
  <c r="AN26" i="69"/>
  <c r="AM27" i="69"/>
  <c r="AL28" i="69"/>
  <c r="AO29" i="69"/>
  <c r="AN30" i="69"/>
  <c r="M31" i="69"/>
  <c r="AM31" i="69"/>
  <c r="AL33" i="69"/>
  <c r="O26" i="69"/>
  <c r="AO26" i="69"/>
  <c r="L29" i="69"/>
  <c r="AL29" i="69"/>
  <c r="O30" i="69"/>
  <c r="AO30" i="69"/>
  <c r="L10" i="69"/>
  <c r="AL10" i="69"/>
  <c r="O11" i="69"/>
  <c r="AO11" i="69"/>
  <c r="M13" i="69"/>
  <c r="AM13" i="69"/>
  <c r="N16" i="69"/>
  <c r="AN16" i="69"/>
  <c r="L18" i="69"/>
  <c r="AL18" i="69"/>
  <c r="O19" i="69"/>
  <c r="AO19" i="69"/>
  <c r="M21" i="69"/>
  <c r="AM21" i="69"/>
  <c r="N24" i="69"/>
  <c r="L26" i="69"/>
  <c r="AL26" i="69"/>
  <c r="AO27" i="69"/>
  <c r="M29" i="69"/>
  <c r="AM29" i="69"/>
  <c r="AN33" i="69"/>
  <c r="AL11" i="69"/>
  <c r="AO12" i="69"/>
  <c r="AN13" i="69"/>
  <c r="AM14" i="69"/>
  <c r="AL15" i="69"/>
  <c r="AO16" i="69"/>
  <c r="AN17" i="69"/>
  <c r="AM18" i="69"/>
  <c r="AL19" i="69"/>
  <c r="AO20" i="69"/>
  <c r="AN21" i="69"/>
  <c r="AM22" i="69"/>
  <c r="AL23" i="69"/>
  <c r="AO24" i="69"/>
  <c r="AN25" i="69"/>
  <c r="AM26" i="69"/>
  <c r="AL27" i="69"/>
  <c r="AO28" i="69"/>
  <c r="AN29" i="69"/>
  <c r="AM30" i="69"/>
  <c r="AL31" i="69"/>
  <c r="AO33" i="69"/>
  <c r="O27" i="69"/>
  <c r="O31" i="69"/>
  <c r="O33" i="69"/>
  <c r="P33" i="69" s="1"/>
  <c r="O23" i="69"/>
  <c r="M10" i="69"/>
  <c r="L11" i="69"/>
  <c r="K12" i="69"/>
  <c r="O12" i="69"/>
  <c r="N13" i="69"/>
  <c r="M14" i="69"/>
  <c r="L15" i="69"/>
  <c r="K16" i="69"/>
  <c r="O16" i="69"/>
  <c r="N17" i="69"/>
  <c r="M18" i="69"/>
  <c r="L19" i="69"/>
  <c r="K20" i="69"/>
  <c r="O20" i="69"/>
  <c r="N21" i="69"/>
  <c r="M22" i="69"/>
  <c r="L23" i="69"/>
  <c r="K24" i="69"/>
  <c r="O24" i="69"/>
  <c r="N25" i="69"/>
  <c r="M26" i="69"/>
  <c r="L27" i="69"/>
  <c r="K28" i="69"/>
  <c r="O28" i="69"/>
  <c r="N29" i="69"/>
  <c r="M30" i="69"/>
  <c r="L31" i="69"/>
  <c r="N33" i="69"/>
  <c r="M11" i="69"/>
  <c r="K13" i="69"/>
  <c r="N14" i="69"/>
  <c r="K10" i="69"/>
  <c r="O10" i="69"/>
  <c r="N11" i="69"/>
  <c r="M12" i="69"/>
  <c r="L13" i="69"/>
  <c r="K14" i="69"/>
  <c r="O14" i="69"/>
  <c r="N15" i="69"/>
  <c r="M16" i="69"/>
  <c r="L17" i="69"/>
  <c r="K18" i="69"/>
  <c r="O18" i="69"/>
  <c r="N19" i="69"/>
  <c r="M20" i="69"/>
  <c r="K22" i="69"/>
  <c r="O22" i="69"/>
  <c r="N23" i="69"/>
  <c r="N27" i="69"/>
  <c r="L33" i="69"/>
  <c r="O21" i="69"/>
  <c r="M23" i="69"/>
  <c r="L24" i="69"/>
  <c r="K25" i="69"/>
  <c r="O25" i="69"/>
  <c r="N26" i="69"/>
  <c r="M27" i="69"/>
  <c r="L28" i="69"/>
  <c r="K29" i="69"/>
  <c r="O29" i="69"/>
  <c r="N30" i="69"/>
  <c r="N20" i="69"/>
  <c r="L21" i="69"/>
  <c r="O33" i="68"/>
  <c r="P33" i="68" s="1"/>
  <c r="N33" i="68"/>
  <c r="M33" i="68"/>
  <c r="L33" i="68"/>
  <c r="K33" i="68"/>
  <c r="O31" i="68"/>
  <c r="N31" i="68"/>
  <c r="M31" i="68"/>
  <c r="L31" i="68"/>
  <c r="K31" i="68"/>
  <c r="O30" i="68"/>
  <c r="N30" i="68"/>
  <c r="M30" i="68"/>
  <c r="L30" i="68"/>
  <c r="K30" i="68"/>
  <c r="O29" i="68"/>
  <c r="N29" i="68"/>
  <c r="M29" i="68"/>
  <c r="L29" i="68"/>
  <c r="K29" i="68"/>
  <c r="O28" i="68"/>
  <c r="N28" i="68"/>
  <c r="M28" i="68"/>
  <c r="L28" i="68"/>
  <c r="K28" i="68"/>
  <c r="O27" i="68"/>
  <c r="N27" i="68"/>
  <c r="M27" i="68"/>
  <c r="L27" i="68"/>
  <c r="K27" i="68"/>
  <c r="O26" i="68"/>
  <c r="N26" i="68"/>
  <c r="M26" i="68"/>
  <c r="L26" i="68"/>
  <c r="K26" i="68"/>
  <c r="O25" i="68"/>
  <c r="N25" i="68"/>
  <c r="M25" i="68"/>
  <c r="L25" i="68"/>
  <c r="K25" i="68"/>
  <c r="O24" i="68"/>
  <c r="N24" i="68"/>
  <c r="M24" i="68"/>
  <c r="L24" i="68"/>
  <c r="K24" i="68"/>
  <c r="O23" i="68"/>
  <c r="N23" i="68"/>
  <c r="M23" i="68"/>
  <c r="L23" i="68"/>
  <c r="K23" i="68"/>
  <c r="O22" i="68"/>
  <c r="N22" i="68"/>
  <c r="M22" i="68"/>
  <c r="L22" i="68"/>
  <c r="K22" i="68"/>
  <c r="O21" i="68"/>
  <c r="N21" i="68"/>
  <c r="M21" i="68"/>
  <c r="L21" i="68"/>
  <c r="K21" i="68"/>
  <c r="O20" i="68"/>
  <c r="N20" i="68"/>
  <c r="M20" i="68"/>
  <c r="L20" i="68"/>
  <c r="K20" i="68"/>
  <c r="O19" i="68"/>
  <c r="N19" i="68"/>
  <c r="M19" i="68"/>
  <c r="L19" i="68"/>
  <c r="K19" i="68"/>
  <c r="O18" i="68"/>
  <c r="N18" i="68"/>
  <c r="M18" i="68"/>
  <c r="L18" i="68"/>
  <c r="K18" i="68"/>
  <c r="O17" i="68"/>
  <c r="N17" i="68"/>
  <c r="M17" i="68"/>
  <c r="L17" i="68"/>
  <c r="K17" i="68"/>
  <c r="O16" i="68"/>
  <c r="N16" i="68"/>
  <c r="M16" i="68"/>
  <c r="L16" i="68"/>
  <c r="K16" i="68"/>
  <c r="O15" i="68"/>
  <c r="N15" i="68"/>
  <c r="M15" i="68"/>
  <c r="L15" i="68"/>
  <c r="K15" i="68"/>
  <c r="O14" i="68"/>
  <c r="N14" i="68"/>
  <c r="M14" i="68"/>
  <c r="L14" i="68"/>
  <c r="K14" i="68"/>
  <c r="O13" i="68"/>
  <c r="N13" i="68"/>
  <c r="M13" i="68"/>
  <c r="L13" i="68"/>
  <c r="K13" i="68"/>
  <c r="O12" i="68"/>
  <c r="N12" i="68"/>
  <c r="M12" i="68"/>
  <c r="L12" i="68"/>
  <c r="K12" i="68"/>
  <c r="O11" i="68"/>
  <c r="N11" i="68"/>
  <c r="M11" i="68"/>
  <c r="L11" i="68"/>
  <c r="K11" i="68"/>
  <c r="O10" i="68"/>
  <c r="N10" i="68"/>
  <c r="M10" i="68"/>
  <c r="L10" i="68"/>
  <c r="K10" i="68"/>
  <c r="AF32" i="69" l="1"/>
  <c r="Z32" i="69"/>
  <c r="AH24" i="69"/>
  <c r="AH21" i="69"/>
  <c r="AH22" i="69"/>
  <c r="AH18" i="69"/>
  <c r="AH23" i="69"/>
  <c r="AH17" i="69"/>
  <c r="AH14" i="69"/>
  <c r="AH20" i="69"/>
  <c r="AH28" i="69"/>
  <c r="AB32" i="69"/>
  <c r="AH16" i="69"/>
  <c r="AH26" i="69"/>
  <c r="AH25" i="69"/>
  <c r="AH12" i="69"/>
  <c r="AH13" i="69"/>
  <c r="AT10" i="68"/>
  <c r="AS11" i="68"/>
  <c r="AR12" i="68"/>
  <c r="AT18" i="68"/>
  <c r="AS19" i="68"/>
  <c r="AR20" i="68"/>
  <c r="AT25" i="68"/>
  <c r="AS26" i="68"/>
  <c r="AR29" i="68"/>
  <c r="AT31" i="68"/>
  <c r="AR33" i="68"/>
  <c r="AT15" i="68"/>
  <c r="AS16" i="68"/>
  <c r="AR17" i="68"/>
  <c r="AT23" i="68"/>
  <c r="AR24" i="68"/>
  <c r="AT26" i="68"/>
  <c r="AR27" i="68"/>
  <c r="AS33" i="68"/>
  <c r="AS13" i="68"/>
  <c r="AT16" i="68"/>
  <c r="AS17" i="68"/>
  <c r="AR18" i="68"/>
  <c r="AT20" i="68"/>
  <c r="AS21" i="68"/>
  <c r="AR22" i="68"/>
  <c r="AS24" i="68"/>
  <c r="AR25" i="68"/>
  <c r="AS27" i="68"/>
  <c r="AT29" i="68"/>
  <c r="AS30" i="68"/>
  <c r="AR31" i="68"/>
  <c r="AT33" i="68"/>
  <c r="AT14" i="68"/>
  <c r="AS15" i="68"/>
  <c r="AR16" i="68"/>
  <c r="AT22" i="68"/>
  <c r="AS23" i="68"/>
  <c r="AS28" i="68"/>
  <c r="AT11" i="68"/>
  <c r="AS12" i="68"/>
  <c r="AR13" i="68"/>
  <c r="AT19" i="68"/>
  <c r="AS20" i="68"/>
  <c r="AR21" i="68"/>
  <c r="AT28" i="68"/>
  <c r="AS29" i="68"/>
  <c r="AR30" i="68"/>
  <c r="AR10" i="68"/>
  <c r="AT12" i="68"/>
  <c r="AR14" i="68"/>
  <c r="AS10" i="68"/>
  <c r="AR11" i="68"/>
  <c r="AT13" i="68"/>
  <c r="AS14" i="68"/>
  <c r="AR15" i="68"/>
  <c r="AT17" i="68"/>
  <c r="AS18" i="68"/>
  <c r="AR19" i="68"/>
  <c r="AT21" i="68"/>
  <c r="AS22" i="68"/>
  <c r="AR23" i="68"/>
  <c r="AT24" i="68"/>
  <c r="AS25" i="68"/>
  <c r="AR26" i="68"/>
  <c r="AT27" i="68"/>
  <c r="AR28" i="68"/>
  <c r="AT30" i="68"/>
  <c r="AS31" i="68"/>
  <c r="T49" i="76"/>
  <c r="P26" i="68"/>
  <c r="AU26" i="68"/>
  <c r="AH17" i="68"/>
  <c r="AU17" i="68"/>
  <c r="P17" i="68"/>
  <c r="U49" i="76"/>
  <c r="P27" i="68"/>
  <c r="AU27" i="68"/>
  <c r="AH27" i="68"/>
  <c r="AU30" i="68"/>
  <c r="P30" i="68"/>
  <c r="AH11" i="68"/>
  <c r="P11" i="68"/>
  <c r="AU11" i="68"/>
  <c r="AU15" i="68"/>
  <c r="P15" i="68"/>
  <c r="AH15" i="68"/>
  <c r="AH19" i="68"/>
  <c r="AU19" i="68"/>
  <c r="P19" i="68"/>
  <c r="P28" i="68"/>
  <c r="AH25" i="68"/>
  <c r="AU28" i="68"/>
  <c r="P12" i="68"/>
  <c r="AH12" i="68"/>
  <c r="AU12" i="68"/>
  <c r="AH13" i="68"/>
  <c r="P13" i="68"/>
  <c r="AU13" i="68"/>
  <c r="AH21" i="68"/>
  <c r="P21" i="68"/>
  <c r="AU21" i="68"/>
  <c r="P24" i="68"/>
  <c r="AU24" i="68"/>
  <c r="AH23" i="68"/>
  <c r="P10" i="68"/>
  <c r="AU10" i="68"/>
  <c r="P14" i="68"/>
  <c r="AH14" i="68"/>
  <c r="AU14" i="68"/>
  <c r="AH18" i="68"/>
  <c r="P18" i="68"/>
  <c r="AU18" i="68"/>
  <c r="P22" i="68"/>
  <c r="AU22" i="68"/>
  <c r="AH22" i="68"/>
  <c r="AH24" i="68"/>
  <c r="P25" i="68"/>
  <c r="AU25" i="68"/>
  <c r="AU31" i="68"/>
  <c r="P31" i="68"/>
  <c r="AH28" i="68"/>
  <c r="Q49" i="76"/>
  <c r="P23" i="68"/>
  <c r="AU23" i="68"/>
  <c r="P16" i="68"/>
  <c r="AH16" i="68"/>
  <c r="AU16" i="68"/>
  <c r="P20" i="68"/>
  <c r="AH20" i="68"/>
  <c r="AU20" i="68"/>
  <c r="P29" i="68"/>
  <c r="AH26" i="68"/>
  <c r="AU29" i="68"/>
  <c r="AA49" i="76"/>
  <c r="AU33" i="68"/>
  <c r="X51" i="76"/>
  <c r="V16" i="92" s="1"/>
  <c r="AH27" i="69"/>
  <c r="M51" i="76"/>
  <c r="K16" i="92" s="1"/>
  <c r="AH19" i="69"/>
  <c r="I51" i="76"/>
  <c r="G16" i="92" s="1"/>
  <c r="AH15" i="69"/>
  <c r="E51" i="76"/>
  <c r="C16" i="92" s="1"/>
  <c r="AH11" i="69"/>
  <c r="AP21" i="69"/>
  <c r="I21" i="69" s="1"/>
  <c r="AP13" i="69"/>
  <c r="I13" i="69" s="1"/>
  <c r="K51" i="76"/>
  <c r="I16" i="92" s="1"/>
  <c r="AP17" i="69"/>
  <c r="I17" i="69" s="1"/>
  <c r="AP27" i="69"/>
  <c r="I27" i="69" s="1"/>
  <c r="AP23" i="69"/>
  <c r="I23" i="69" s="1"/>
  <c r="AP15" i="69"/>
  <c r="I15" i="69" s="1"/>
  <c r="P29" i="69"/>
  <c r="P12" i="69"/>
  <c r="Q51" i="76"/>
  <c r="P23" i="69"/>
  <c r="AP22" i="69"/>
  <c r="I22" i="69" s="1"/>
  <c r="P22" i="69"/>
  <c r="P18" i="69"/>
  <c r="P24" i="69"/>
  <c r="AP31" i="69"/>
  <c r="I31" i="69" s="1"/>
  <c r="P11" i="69"/>
  <c r="T51" i="76"/>
  <c r="P26" i="69"/>
  <c r="P13" i="69"/>
  <c r="AP30" i="69"/>
  <c r="I30" i="69" s="1"/>
  <c r="P10" i="69"/>
  <c r="P16" i="69"/>
  <c r="G51" i="76"/>
  <c r="E16" i="92" s="1"/>
  <c r="U51" i="76"/>
  <c r="P27" i="69"/>
  <c r="AP20" i="69"/>
  <c r="I20" i="69" s="1"/>
  <c r="AP16" i="69"/>
  <c r="I16" i="69" s="1"/>
  <c r="AP14" i="69"/>
  <c r="I14" i="69" s="1"/>
  <c r="AP25" i="69"/>
  <c r="I25" i="69" s="1"/>
  <c r="P28" i="69"/>
  <c r="P25" i="69"/>
  <c r="P21" i="69"/>
  <c r="AP19" i="69"/>
  <c r="I19" i="69" s="1"/>
  <c r="AP11" i="69"/>
  <c r="I11" i="69" s="1"/>
  <c r="P19" i="69"/>
  <c r="P30" i="69"/>
  <c r="AP33" i="69"/>
  <c r="I33" i="69" s="1"/>
  <c r="P14" i="69"/>
  <c r="P20" i="69"/>
  <c r="P31" i="69"/>
  <c r="AP26" i="69"/>
  <c r="I26" i="69" s="1"/>
  <c r="AP18" i="69"/>
  <c r="I18" i="69" s="1"/>
  <c r="AP10" i="69"/>
  <c r="I10" i="69" s="1"/>
  <c r="AP29" i="69"/>
  <c r="I29" i="69" s="1"/>
  <c r="AP28" i="69"/>
  <c r="I28" i="69" s="1"/>
  <c r="P17" i="69"/>
  <c r="AP12" i="69"/>
  <c r="I12" i="69" s="1"/>
  <c r="P15" i="69"/>
  <c r="K49" i="76"/>
  <c r="I14" i="92" s="1"/>
  <c r="O49" i="76"/>
  <c r="M14" i="92" s="1"/>
  <c r="R49" i="76"/>
  <c r="P14" i="92" s="1"/>
  <c r="X49" i="76"/>
  <c r="V14" i="92" s="1"/>
  <c r="D49" i="76"/>
  <c r="B14" i="92" s="1"/>
  <c r="L49" i="76"/>
  <c r="J14" i="92" s="1"/>
  <c r="P49" i="76"/>
  <c r="N14" i="92" s="1"/>
  <c r="Y49" i="76"/>
  <c r="W14" i="92" s="1"/>
  <c r="E49" i="76"/>
  <c r="C14" i="92" s="1"/>
  <c r="I49" i="76"/>
  <c r="G14" i="92" s="1"/>
  <c r="M49" i="76"/>
  <c r="K14" i="92" s="1"/>
  <c r="V49" i="76"/>
  <c r="T14" i="92" s="1"/>
  <c r="G49" i="76"/>
  <c r="E14" i="92" s="1"/>
  <c r="H49" i="76"/>
  <c r="F14" i="92" s="1"/>
  <c r="S49" i="76"/>
  <c r="Q14" i="92" s="1"/>
  <c r="F49" i="76"/>
  <c r="D14" i="92" s="1"/>
  <c r="J49" i="76"/>
  <c r="H14" i="92" s="1"/>
  <c r="N49" i="76"/>
  <c r="L14" i="92" s="1"/>
  <c r="W49" i="76"/>
  <c r="U14" i="92" s="1"/>
  <c r="R51" i="76"/>
  <c r="P16" i="92" s="1"/>
  <c r="L51" i="76"/>
  <c r="J16" i="92" s="1"/>
  <c r="N51" i="76"/>
  <c r="L16" i="92" s="1"/>
  <c r="F51" i="76"/>
  <c r="D16" i="92" s="1"/>
  <c r="W51" i="76"/>
  <c r="U16" i="92" s="1"/>
  <c r="H51" i="76"/>
  <c r="F16" i="92" s="1"/>
  <c r="AA51" i="76"/>
  <c r="P51" i="76"/>
  <c r="N16" i="92" s="1"/>
  <c r="S51" i="76"/>
  <c r="Q16" i="92" s="1"/>
  <c r="O51" i="76"/>
  <c r="M16" i="92" s="1"/>
  <c r="D51" i="76"/>
  <c r="B16" i="92" s="1"/>
  <c r="V51" i="76"/>
  <c r="T16" i="92" s="1"/>
  <c r="J51" i="76"/>
  <c r="H16" i="92" s="1"/>
  <c r="Y51" i="76"/>
  <c r="W16" i="92" s="1"/>
  <c r="Z169" i="66"/>
  <c r="Y4" i="60"/>
  <c r="Y4" i="70"/>
  <c r="Z4" i="69"/>
  <c r="Z4" i="68"/>
  <c r="AR171" i="68" s="1"/>
  <c r="Z4" i="67"/>
  <c r="Z4" i="66"/>
  <c r="Z4" i="65"/>
  <c r="AR65" i="65" s="1"/>
  <c r="Z4" i="64"/>
  <c r="AR65" i="64" s="1"/>
  <c r="Z170" i="63"/>
  <c r="AA170" i="63"/>
  <c r="AB170" i="63"/>
  <c r="AC170" i="63"/>
  <c r="AD170" i="63"/>
  <c r="Z4" i="63"/>
  <c r="Y4" i="72"/>
  <c r="Y4" i="73"/>
  <c r="Y4" i="74"/>
  <c r="Z4" i="62"/>
  <c r="AR65" i="62" s="1"/>
  <c r="Z153" i="49"/>
  <c r="AA14" i="92" l="1" a="1"/>
  <c r="AA14" i="92" s="1"/>
  <c r="AD41" i="68" s="1"/>
  <c r="AD42" i="68" s="1"/>
  <c r="Z14" i="92" a="1"/>
  <c r="Z14" i="92" s="1"/>
  <c r="AA42" i="68" s="1"/>
  <c r="Y14" i="92" a="1"/>
  <c r="Y14" i="92" s="1"/>
  <c r="Z42" i="68" s="1"/>
  <c r="Y16" i="92" a="1"/>
  <c r="Y16" i="92" s="1"/>
  <c r="Z42" i="69" s="1"/>
  <c r="Z16" i="92" a="1"/>
  <c r="Z16" i="92" s="1"/>
  <c r="AA42" i="69" s="1"/>
  <c r="AA16" i="92" a="1"/>
  <c r="AA16" i="92" s="1"/>
  <c r="AD41" i="69" s="1"/>
  <c r="AD42" i="69" s="1"/>
  <c r="BR37" i="67"/>
  <c r="AW15" i="68"/>
  <c r="AV15" i="68"/>
  <c r="AW21" i="68"/>
  <c r="AW20" i="68"/>
  <c r="AV25" i="68"/>
  <c r="AW22" i="68"/>
  <c r="AM171" i="68"/>
  <c r="AP171" i="68"/>
  <c r="AO171" i="68"/>
  <c r="AN171" i="68"/>
  <c r="AQ171" i="68"/>
  <c r="AW23" i="68"/>
  <c r="AW18" i="68"/>
  <c r="AW17" i="68"/>
  <c r="AW10" i="68"/>
  <c r="AW24" i="68"/>
  <c r="AW28" i="68"/>
  <c r="AV19" i="68"/>
  <c r="AV17" i="68"/>
  <c r="Z205" i="68"/>
  <c r="Z201" i="68"/>
  <c r="Z197" i="68"/>
  <c r="Z193" i="68"/>
  <c r="Z189" i="68"/>
  <c r="Z185" i="68"/>
  <c r="AA205" i="68"/>
  <c r="AA201" i="68"/>
  <c r="AA197" i="68"/>
  <c r="AA193" i="68"/>
  <c r="AA189" i="68"/>
  <c r="AA185" i="68"/>
  <c r="Z204" i="68"/>
  <c r="AA192" i="68"/>
  <c r="Z188" i="68"/>
  <c r="Z199" i="68"/>
  <c r="AA196" i="68"/>
  <c r="AA200" i="68"/>
  <c r="Z196" i="68"/>
  <c r="AA184" i="68"/>
  <c r="AA204" i="68"/>
  <c r="Z200" i="68"/>
  <c r="Z191" i="68"/>
  <c r="AA188" i="68"/>
  <c r="Z184" i="68"/>
  <c r="Z183" i="68"/>
  <c r="Z192" i="68"/>
  <c r="Z195" i="68"/>
  <c r="Z198" i="68"/>
  <c r="Z187" i="68"/>
  <c r="Z203" i="68"/>
  <c r="Z202" i="68"/>
  <c r="AA190" i="68"/>
  <c r="AA194" i="68"/>
  <c r="AA206" i="68"/>
  <c r="Z186" i="68"/>
  <c r="Z190" i="68"/>
  <c r="AA187" i="68"/>
  <c r="Z194" i="68"/>
  <c r="Z206" i="68"/>
  <c r="AA191" i="68"/>
  <c r="AA195" i="68"/>
  <c r="AA183" i="68"/>
  <c r="AA199" i="68"/>
  <c r="AA202" i="68"/>
  <c r="AV29" i="68"/>
  <c r="AW27" i="68"/>
  <c r="AW33" i="68"/>
  <c r="AW16" i="68"/>
  <c r="AV31" i="68"/>
  <c r="AW14" i="68"/>
  <c r="AV13" i="68"/>
  <c r="AV12" i="68"/>
  <c r="AV11" i="68"/>
  <c r="AW30" i="68"/>
  <c r="AW26" i="68"/>
  <c r="AV27" i="68"/>
  <c r="AV30" i="68"/>
  <c r="AV21" i="68"/>
  <c r="AW19" i="68"/>
  <c r="AV24" i="68"/>
  <c r="AV23" i="68"/>
  <c r="AV22" i="68"/>
  <c r="AV26" i="68"/>
  <c r="AW13" i="68"/>
  <c r="AV14" i="68"/>
  <c r="AW25" i="68"/>
  <c r="AV18" i="68"/>
  <c r="AW12" i="68"/>
  <c r="AV10" i="68"/>
  <c r="AV33" i="68"/>
  <c r="AW31" i="68"/>
  <c r="AV28" i="68"/>
  <c r="AV16" i="68"/>
  <c r="AW29" i="68"/>
  <c r="AV20" i="68"/>
  <c r="AW11" i="68"/>
  <c r="AE170" i="63"/>
  <c r="F170" i="63" s="1"/>
  <c r="Y42" i="68" l="1"/>
  <c r="AC41" i="68"/>
  <c r="AC42" i="68"/>
  <c r="Y42" i="69"/>
  <c r="AC41" i="69"/>
  <c r="AC42" i="69"/>
  <c r="AX21" i="68"/>
  <c r="AX30" i="68"/>
  <c r="AX18" i="68"/>
  <c r="AX15" i="68"/>
  <c r="AX23" i="68"/>
  <c r="AX20" i="68"/>
  <c r="AX24" i="68"/>
  <c r="AX16" i="68"/>
  <c r="AX17" i="68"/>
  <c r="AX29" i="68"/>
  <c r="AX33" i="68"/>
  <c r="AX26" i="68"/>
  <c r="AX10" i="68"/>
  <c r="AX22" i="68"/>
  <c r="AX25" i="68"/>
  <c r="AX27" i="68"/>
  <c r="AX28" i="68"/>
  <c r="AX14" i="68"/>
  <c r="AX19" i="68"/>
  <c r="AX13" i="68"/>
  <c r="AX12" i="68"/>
  <c r="AX11" i="68"/>
  <c r="AX31" i="68"/>
  <c r="E170" i="63"/>
  <c r="H170" i="63"/>
  <c r="G170" i="63"/>
  <c r="D170" i="63"/>
  <c r="AV58" i="87"/>
  <c r="G26" i="86"/>
  <c r="BC26" i="86" s="1"/>
  <c r="AV58" i="85"/>
  <c r="AU58" i="84"/>
  <c r="AV46" i="87"/>
  <c r="AU46" i="84"/>
  <c r="G14" i="86"/>
  <c r="BC14" i="86" s="1"/>
  <c r="AV46" i="85"/>
  <c r="AV57" i="87"/>
  <c r="AU57" i="84"/>
  <c r="G25" i="86"/>
  <c r="BC25" i="86" s="1"/>
  <c r="AV57" i="85"/>
  <c r="AV45" i="87"/>
  <c r="AV45" i="85"/>
  <c r="G13" i="86"/>
  <c r="BC13" i="86" s="1"/>
  <c r="AU45" i="84"/>
  <c r="AV59" i="87"/>
  <c r="G27" i="86"/>
  <c r="BC27" i="86" s="1"/>
  <c r="AV59" i="85"/>
  <c r="AU59" i="84"/>
  <c r="AV55" i="87"/>
  <c r="AU55" i="84"/>
  <c r="G23" i="86"/>
  <c r="BC23" i="86" s="1"/>
  <c r="AV55" i="85"/>
  <c r="AV51" i="87"/>
  <c r="AU51" i="84"/>
  <c r="G19" i="86"/>
  <c r="BC19" i="86" s="1"/>
  <c r="AV51" i="85"/>
  <c r="AV47" i="87"/>
  <c r="AU47" i="84"/>
  <c r="AV47" i="85"/>
  <c r="G15" i="86"/>
  <c r="BC15" i="86" s="1"/>
  <c r="AV62" i="87"/>
  <c r="G30" i="86"/>
  <c r="BC30" i="86" s="1"/>
  <c r="AU62" i="84"/>
  <c r="AV62" i="85"/>
  <c r="AV54" i="87"/>
  <c r="G22" i="86"/>
  <c r="BC22" i="86" s="1"/>
  <c r="AV54" i="85"/>
  <c r="AU54" i="84"/>
  <c r="AV50" i="87"/>
  <c r="AU50" i="84"/>
  <c r="G18" i="86"/>
  <c r="BC18" i="86" s="1"/>
  <c r="AV50" i="85"/>
  <c r="G29" i="86"/>
  <c r="BC29" i="86" s="1"/>
  <c r="AV53" i="87"/>
  <c r="AV53" i="85"/>
  <c r="AU53" i="84"/>
  <c r="G21" i="86"/>
  <c r="BC21" i="86" s="1"/>
  <c r="AV49" i="87"/>
  <c r="G17" i="86"/>
  <c r="BC17" i="86" s="1"/>
  <c r="AV49" i="85"/>
  <c r="AU49" i="84"/>
  <c r="AV64" i="87"/>
  <c r="G32" i="86"/>
  <c r="BC32" i="86" s="1"/>
  <c r="AV64" i="85"/>
  <c r="AV60" i="87"/>
  <c r="AU60" i="84"/>
  <c r="G28" i="86"/>
  <c r="BC28" i="86" s="1"/>
  <c r="AV60" i="85"/>
  <c r="AV56" i="87"/>
  <c r="AU56" i="84"/>
  <c r="G24" i="86"/>
  <c r="BC24" i="86" s="1"/>
  <c r="AV56" i="85"/>
  <c r="AV52" i="87"/>
  <c r="AV52" i="85"/>
  <c r="AU52" i="84"/>
  <c r="G20" i="86"/>
  <c r="BC20" i="86" s="1"/>
  <c r="AV48" i="87"/>
  <c r="G16" i="86"/>
  <c r="BC16" i="86" s="1"/>
  <c r="AU48" i="84"/>
  <c r="AV48" i="85"/>
  <c r="AV52" i="83" l="1"/>
  <c r="AV47" i="83"/>
  <c r="AV55" i="83"/>
  <c r="AV60" i="83"/>
  <c r="AV64" i="83"/>
  <c r="AV61" i="83"/>
  <c r="AV65" i="83"/>
  <c r="AV61" i="87"/>
  <c r="AV65" i="87"/>
  <c r="AV59" i="83"/>
  <c r="AV46" i="83"/>
  <c r="AV58" i="83"/>
  <c r="AV61" i="85"/>
  <c r="AV65" i="85"/>
  <c r="AV57" i="83"/>
  <c r="AV48" i="83"/>
  <c r="AV49" i="83"/>
  <c r="AU61" i="84"/>
  <c r="AV62" i="83"/>
  <c r="AV45" i="83"/>
  <c r="AV56" i="83"/>
  <c r="AV53" i="83"/>
  <c r="AV50" i="83"/>
  <c r="AV54" i="83"/>
  <c r="AV51" i="83"/>
  <c r="Z4" i="49" l="1"/>
  <c r="AA87" i="49" l="1"/>
  <c r="AA91" i="49"/>
  <c r="AA99" i="49"/>
  <c r="AA77" i="49"/>
  <c r="Z84" i="49"/>
  <c r="Z88" i="49"/>
  <c r="Z96" i="49"/>
  <c r="Z100" i="49"/>
  <c r="AA84" i="49"/>
  <c r="Z87" i="49"/>
  <c r="AA88" i="49"/>
  <c r="Z91" i="49"/>
  <c r="AA96" i="49"/>
  <c r="Z99" i="49"/>
  <c r="AA100" i="49"/>
  <c r="Z86" i="49"/>
  <c r="Z89" i="49"/>
  <c r="AA81" i="49"/>
  <c r="AA86" i="49"/>
  <c r="Z98" i="49"/>
  <c r="Z82" i="49"/>
  <c r="Z85" i="49"/>
  <c r="AA93" i="49"/>
  <c r="AA98" i="49"/>
  <c r="AA82" i="49"/>
  <c r="Z94" i="49"/>
  <c r="Z81" i="49"/>
  <c r="AA89" i="49"/>
  <c r="AA94" i="49"/>
  <c r="AA78" i="49"/>
  <c r="Z78" i="49"/>
  <c r="Z90" i="49"/>
  <c r="Z93" i="49"/>
  <c r="Z77" i="49"/>
  <c r="AA85" i="49"/>
  <c r="AA90" i="49"/>
  <c r="D103" i="91"/>
  <c r="L103" i="91" s="1"/>
  <c r="AL134" i="91" s="1"/>
  <c r="D32" i="91"/>
  <c r="L32" i="91" s="1"/>
  <c r="AL31" i="86"/>
  <c r="D31" i="86" s="1"/>
  <c r="AZ31" i="86" s="1"/>
  <c r="AT31" i="86"/>
  <c r="Z135" i="85"/>
  <c r="D135" i="85" s="1"/>
  <c r="AM63" i="85"/>
  <c r="Z99" i="85"/>
  <c r="D99" i="85" s="1"/>
  <c r="D32" i="87"/>
  <c r="K32" i="87" s="1"/>
  <c r="D140" i="60"/>
  <c r="D33" i="60"/>
  <c r="Y206" i="60"/>
  <c r="Y99" i="60"/>
  <c r="Y171" i="84"/>
  <c r="Y135" i="84"/>
  <c r="D135" i="84" s="1"/>
  <c r="Y99" i="84"/>
  <c r="D99" i="84" s="1"/>
  <c r="AR63" i="84" s="1"/>
  <c r="D32" i="84"/>
  <c r="AS170" i="83"/>
  <c r="AA104" i="70"/>
  <c r="Z99" i="83"/>
  <c r="D32" i="83"/>
  <c r="D282" i="83" s="1"/>
  <c r="K282" i="83" s="1"/>
  <c r="D32" i="69"/>
  <c r="AF170" i="67"/>
  <c r="Z168" i="66"/>
  <c r="Z133" i="49"/>
  <c r="Y98" i="73"/>
  <c r="Y133" i="72"/>
  <c r="Y98" i="72"/>
  <c r="D32" i="82"/>
  <c r="E103" i="91"/>
  <c r="M103" i="91" s="1"/>
  <c r="E32" i="91"/>
  <c r="M32" i="91" s="1"/>
  <c r="AM31" i="86"/>
  <c r="E31" i="86" s="1"/>
  <c r="BA31" i="86" s="1"/>
  <c r="AA135" i="85"/>
  <c r="E135" i="85" s="1"/>
  <c r="AN63" i="85"/>
  <c r="AA99" i="85"/>
  <c r="E99" i="85" s="1"/>
  <c r="AA99" i="87"/>
  <c r="E99" i="87" s="1"/>
  <c r="E32" i="87"/>
  <c r="L32" i="87" s="1"/>
  <c r="E140" i="60"/>
  <c r="Z206" i="60"/>
  <c r="Z171" i="84"/>
  <c r="Z135" i="84"/>
  <c r="E135" i="84" s="1"/>
  <c r="Z99" i="84"/>
  <c r="E99" i="84" s="1"/>
  <c r="E32" i="84"/>
  <c r="AB104" i="70"/>
  <c r="E139" i="83"/>
  <c r="AA99" i="83"/>
  <c r="E32" i="69"/>
  <c r="AG170" i="67"/>
  <c r="AA133" i="49"/>
  <c r="Z98" i="73"/>
  <c r="Z133" i="72"/>
  <c r="Z98" i="72"/>
  <c r="E32" i="82"/>
  <c r="G103" i="91"/>
  <c r="O103" i="91" s="1"/>
  <c r="G32" i="91"/>
  <c r="O32" i="91" s="1"/>
  <c r="AO31" i="86"/>
  <c r="G31" i="86" s="1"/>
  <c r="BC31" i="86" s="1"/>
  <c r="AC135" i="85"/>
  <c r="G135" i="85" s="1"/>
  <c r="AP63" i="85"/>
  <c r="AC99" i="85"/>
  <c r="G99" i="85" s="1"/>
  <c r="AC99" i="87"/>
  <c r="G99" i="87" s="1"/>
  <c r="G32" i="87"/>
  <c r="N32" i="87" s="1"/>
  <c r="G140" i="60"/>
  <c r="AB206" i="60"/>
  <c r="AB99" i="60"/>
  <c r="AB171" i="84"/>
  <c r="AB135" i="84"/>
  <c r="G135" i="84" s="1"/>
  <c r="AB99" i="84"/>
  <c r="G99" i="84" s="1"/>
  <c r="G32" i="84"/>
  <c r="AD104" i="70"/>
  <c r="G139" i="83"/>
  <c r="AC99" i="83"/>
  <c r="G32" i="69"/>
  <c r="AI170" i="67"/>
  <c r="AC133" i="49"/>
  <c r="AB98" i="73"/>
  <c r="AB133" i="72"/>
  <c r="AB98" i="72"/>
  <c r="G32" i="82"/>
  <c r="AC98" i="72"/>
  <c r="AC133" i="72"/>
  <c r="AC98" i="73"/>
  <c r="AD133" i="49"/>
  <c r="AJ170" i="67"/>
  <c r="H32" i="69"/>
  <c r="AD99" i="83"/>
  <c r="H32" i="70"/>
  <c r="H139" i="83"/>
  <c r="AI171" i="70"/>
  <c r="AE104" i="70"/>
  <c r="AC206" i="60"/>
  <c r="H140" i="60"/>
  <c r="AD99" i="87"/>
  <c r="H99" i="87" s="1"/>
  <c r="Z82" i="76" s="1"/>
  <c r="AD99" i="85"/>
  <c r="H99" i="85" s="1"/>
  <c r="AD135" i="85"/>
  <c r="H135" i="85" s="1"/>
  <c r="AP31" i="86"/>
  <c r="H31" i="86" s="1"/>
  <c r="BD31" i="86" s="1"/>
  <c r="H32" i="91"/>
  <c r="P32" i="91" s="1"/>
  <c r="H103" i="91"/>
  <c r="P103" i="91" s="1"/>
  <c r="H32" i="82"/>
  <c r="AX31" i="86" l="1"/>
  <c r="AW31" i="86"/>
  <c r="AU31" i="86"/>
  <c r="AP63" i="91"/>
  <c r="Q32" i="91"/>
  <c r="Q103" i="91"/>
  <c r="AP134" i="91"/>
  <c r="AN32" i="91"/>
  <c r="AO63" i="91"/>
  <c r="AN103" i="91"/>
  <c r="AO134" i="91"/>
  <c r="AM63" i="91"/>
  <c r="AM134" i="91"/>
  <c r="D139" i="83"/>
  <c r="K139" i="83" s="1"/>
  <c r="AM170" i="83" s="1"/>
  <c r="AL63" i="91"/>
  <c r="AK32" i="91"/>
  <c r="Z99" i="87"/>
  <c r="D99" i="87" s="1"/>
  <c r="AK103" i="91"/>
  <c r="Z80" i="76"/>
  <c r="L32" i="84"/>
  <c r="AL63" i="84" s="1"/>
  <c r="Z81" i="76"/>
  <c r="O32" i="84"/>
  <c r="M32" i="84"/>
  <c r="AM63" i="84" s="1"/>
  <c r="AS63" i="84"/>
  <c r="D171" i="84"/>
  <c r="BB63" i="84" s="1"/>
  <c r="L139" i="83"/>
  <c r="AT170" i="83"/>
  <c r="N139" i="83"/>
  <c r="AV170" i="83"/>
  <c r="O139" i="83"/>
  <c r="AO139" i="83"/>
  <c r="H171" i="84"/>
  <c r="E32" i="83"/>
  <c r="E282" i="83" s="1"/>
  <c r="E171" i="84"/>
  <c r="BC63" i="84" s="1"/>
  <c r="H32" i="83"/>
  <c r="H282" i="83" s="1"/>
  <c r="G171" i="84"/>
  <c r="BE63" i="84" s="1"/>
  <c r="G32" i="83"/>
  <c r="G282" i="83" s="1"/>
  <c r="AT63" i="87"/>
  <c r="AT63" i="85"/>
  <c r="AT63" i="82"/>
  <c r="AY63" i="82"/>
  <c r="AR63" i="82"/>
  <c r="AW63" i="82"/>
  <c r="AS63" i="82"/>
  <c r="AX63" i="82"/>
  <c r="P32" i="82"/>
  <c r="O32" i="82"/>
  <c r="M32" i="82"/>
  <c r="L32" i="82"/>
  <c r="L282" i="83" l="1"/>
  <c r="AL282" i="83"/>
  <c r="O282" i="83"/>
  <c r="Z65" i="76" s="1"/>
  <c r="AO282" i="83"/>
  <c r="N282" i="83"/>
  <c r="AL139" i="83"/>
  <c r="AN32" i="84"/>
  <c r="BF63" i="84"/>
  <c r="Z76" i="76"/>
  <c r="Z63" i="76"/>
  <c r="AW170" i="83"/>
  <c r="AL32" i="87"/>
  <c r="P32" i="87"/>
  <c r="AO32" i="87"/>
  <c r="AN63" i="87"/>
  <c r="AM63" i="87"/>
  <c r="AP63" i="87"/>
  <c r="AK32" i="82"/>
  <c r="AK32" i="84"/>
  <c r="Q32" i="82"/>
  <c r="AN32" i="82"/>
  <c r="AR139" i="83"/>
  <c r="AN170" i="83"/>
  <c r="AT139" i="83"/>
  <c r="AP170" i="83"/>
  <c r="AS63" i="85"/>
  <c r="AM313" i="83"/>
  <c r="AO63" i="84"/>
  <c r="Q32" i="84"/>
  <c r="AU139" i="83"/>
  <c r="P139" i="83"/>
  <c r="AQ170" i="83"/>
  <c r="BA63" i="85"/>
  <c r="K32" i="83"/>
  <c r="AM63" i="83" s="1"/>
  <c r="D99" i="83"/>
  <c r="E99" i="83"/>
  <c r="H99" i="83"/>
  <c r="G99" i="83"/>
  <c r="L32" i="83"/>
  <c r="AV63" i="84"/>
  <c r="AV63" i="85"/>
  <c r="AS63" i="87"/>
  <c r="AZ63" i="84"/>
  <c r="AQ63" i="87"/>
  <c r="AP63" i="84"/>
  <c r="O32" i="83"/>
  <c r="AQ63" i="85"/>
  <c r="N32" i="83"/>
  <c r="AX63" i="85"/>
  <c r="BB63" i="85"/>
  <c r="AY63" i="85"/>
  <c r="AW63" i="85"/>
  <c r="AW63" i="87"/>
  <c r="AW63" i="84"/>
  <c r="BA63" i="84"/>
  <c r="AX63" i="84"/>
  <c r="AU63" i="84"/>
  <c r="AV63" i="87"/>
  <c r="AP63" i="82"/>
  <c r="AN63" i="82"/>
  <c r="BA63" i="82"/>
  <c r="AV63" i="82"/>
  <c r="AZ63" i="82"/>
  <c r="AU63" i="82"/>
  <c r="AL62" i="82"/>
  <c r="AL63" i="82"/>
  <c r="AO62" i="82"/>
  <c r="AO63" i="82"/>
  <c r="AM62" i="82"/>
  <c r="AM63" i="82"/>
  <c r="AP62" i="82"/>
  <c r="H139" i="60"/>
  <c r="G139" i="60"/>
  <c r="O139" i="60" s="1"/>
  <c r="F139" i="60"/>
  <c r="N139" i="60" s="1"/>
  <c r="E139" i="60"/>
  <c r="M139" i="60" s="1"/>
  <c r="D139" i="60"/>
  <c r="L139" i="60" s="1"/>
  <c r="H138" i="60"/>
  <c r="G138" i="60"/>
  <c r="O138" i="60" s="1"/>
  <c r="F138" i="60"/>
  <c r="N138" i="60" s="1"/>
  <c r="E138" i="60"/>
  <c r="M138" i="60" s="1"/>
  <c r="D138" i="60"/>
  <c r="L138" i="60" s="1"/>
  <c r="H137" i="60"/>
  <c r="G137" i="60"/>
  <c r="O137" i="60" s="1"/>
  <c r="F137" i="60"/>
  <c r="N137" i="60" s="1"/>
  <c r="E137" i="60"/>
  <c r="M137" i="60" s="1"/>
  <c r="D137" i="60"/>
  <c r="L137" i="60" s="1"/>
  <c r="H136" i="60"/>
  <c r="G136" i="60"/>
  <c r="O136" i="60" s="1"/>
  <c r="F136" i="60"/>
  <c r="N136" i="60" s="1"/>
  <c r="E136" i="60"/>
  <c r="D136" i="60"/>
  <c r="L136" i="60" s="1"/>
  <c r="H135" i="60"/>
  <c r="G135" i="60"/>
  <c r="O135" i="60" s="1"/>
  <c r="F135" i="60"/>
  <c r="E135" i="60"/>
  <c r="M135" i="60" s="1"/>
  <c r="D135" i="60"/>
  <c r="L135" i="60" s="1"/>
  <c r="H134" i="60"/>
  <c r="G134" i="60"/>
  <c r="O134" i="60" s="1"/>
  <c r="F134" i="60"/>
  <c r="N134" i="60" s="1"/>
  <c r="E134" i="60"/>
  <c r="M134" i="60" s="1"/>
  <c r="D134" i="60"/>
  <c r="L134" i="60" s="1"/>
  <c r="H133" i="60"/>
  <c r="G133" i="60"/>
  <c r="O133" i="60" s="1"/>
  <c r="F133" i="60"/>
  <c r="N133" i="60" s="1"/>
  <c r="E133" i="60"/>
  <c r="M133" i="60" s="1"/>
  <c r="D133" i="60"/>
  <c r="L133" i="60" s="1"/>
  <c r="H132" i="60"/>
  <c r="G132" i="60"/>
  <c r="O132" i="60" s="1"/>
  <c r="E132" i="60"/>
  <c r="D132" i="60"/>
  <c r="L132" i="60" s="1"/>
  <c r="H131" i="60"/>
  <c r="G131" i="60"/>
  <c r="O131" i="60" s="1"/>
  <c r="F131" i="60"/>
  <c r="N131" i="60" s="1"/>
  <c r="E131" i="60"/>
  <c r="M131" i="60" s="1"/>
  <c r="D131" i="60"/>
  <c r="L131" i="60" s="1"/>
  <c r="H130" i="60"/>
  <c r="G130" i="60"/>
  <c r="O130" i="60" s="1"/>
  <c r="F130" i="60"/>
  <c r="N130" i="60" s="1"/>
  <c r="E130" i="60"/>
  <c r="M130" i="60" s="1"/>
  <c r="D130" i="60"/>
  <c r="L130" i="60" s="1"/>
  <c r="H129" i="60"/>
  <c r="G129" i="60"/>
  <c r="O129" i="60" s="1"/>
  <c r="F129" i="60"/>
  <c r="N129" i="60" s="1"/>
  <c r="E129" i="60"/>
  <c r="M129" i="60" s="1"/>
  <c r="D129" i="60"/>
  <c r="L129" i="60" s="1"/>
  <c r="H128" i="60"/>
  <c r="G128" i="60"/>
  <c r="O128" i="60" s="1"/>
  <c r="F128" i="60"/>
  <c r="N128" i="60" s="1"/>
  <c r="E128" i="60"/>
  <c r="M128" i="60" s="1"/>
  <c r="D128" i="60"/>
  <c r="L128" i="60" s="1"/>
  <c r="H127" i="60"/>
  <c r="G127" i="60"/>
  <c r="O127" i="60" s="1"/>
  <c r="F127" i="60"/>
  <c r="N127" i="60" s="1"/>
  <c r="E127" i="60"/>
  <c r="M127" i="60" s="1"/>
  <c r="D127" i="60"/>
  <c r="L127" i="60" s="1"/>
  <c r="H126" i="60"/>
  <c r="G126" i="60"/>
  <c r="O126" i="60" s="1"/>
  <c r="F126" i="60"/>
  <c r="N126" i="60" s="1"/>
  <c r="E126" i="60"/>
  <c r="M126" i="60" s="1"/>
  <c r="D126" i="60"/>
  <c r="L126" i="60" s="1"/>
  <c r="H125" i="60"/>
  <c r="G125" i="60"/>
  <c r="O125" i="60" s="1"/>
  <c r="F125" i="60"/>
  <c r="N125" i="60" s="1"/>
  <c r="E125" i="60"/>
  <c r="M125" i="60" s="1"/>
  <c r="D125" i="60"/>
  <c r="L125" i="60" s="1"/>
  <c r="H124" i="60"/>
  <c r="G124" i="60"/>
  <c r="O124" i="60" s="1"/>
  <c r="F124" i="60"/>
  <c r="N124" i="60" s="1"/>
  <c r="E124" i="60"/>
  <c r="M124" i="60" s="1"/>
  <c r="D124" i="60"/>
  <c r="L124" i="60" s="1"/>
  <c r="H123" i="60"/>
  <c r="G123" i="60"/>
  <c r="O123" i="60" s="1"/>
  <c r="F123" i="60"/>
  <c r="N123" i="60" s="1"/>
  <c r="E123" i="60"/>
  <c r="M123" i="60" s="1"/>
  <c r="D123" i="60"/>
  <c r="L123" i="60" s="1"/>
  <c r="H122" i="60"/>
  <c r="G122" i="60"/>
  <c r="O122" i="60" s="1"/>
  <c r="F122" i="60"/>
  <c r="N122" i="60" s="1"/>
  <c r="E122" i="60"/>
  <c r="M122" i="60" s="1"/>
  <c r="D122" i="60"/>
  <c r="L122" i="60" s="1"/>
  <c r="H121" i="60"/>
  <c r="G121" i="60"/>
  <c r="O121" i="60" s="1"/>
  <c r="F121" i="60"/>
  <c r="N121" i="60" s="1"/>
  <c r="E121" i="60"/>
  <c r="M121" i="60" s="1"/>
  <c r="D121" i="60"/>
  <c r="L121" i="60" s="1"/>
  <c r="H120" i="60"/>
  <c r="G120" i="60"/>
  <c r="O120" i="60" s="1"/>
  <c r="F120" i="60"/>
  <c r="N120" i="60" s="1"/>
  <c r="E120" i="60"/>
  <c r="M120" i="60" s="1"/>
  <c r="D120" i="60"/>
  <c r="L120" i="60" s="1"/>
  <c r="H119" i="60"/>
  <c r="G119" i="60"/>
  <c r="O119" i="60" s="1"/>
  <c r="F119" i="60"/>
  <c r="N119" i="60" s="1"/>
  <c r="E119" i="60"/>
  <c r="M119" i="60" s="1"/>
  <c r="D119" i="60"/>
  <c r="L119" i="60" s="1"/>
  <c r="H118" i="60"/>
  <c r="G118" i="60"/>
  <c r="O118" i="60" s="1"/>
  <c r="F118" i="60"/>
  <c r="N118" i="60" s="1"/>
  <c r="E118" i="60"/>
  <c r="M118" i="60" s="1"/>
  <c r="D118" i="60"/>
  <c r="H32" i="60"/>
  <c r="G32" i="60"/>
  <c r="AD32" i="60" s="1"/>
  <c r="F32" i="60"/>
  <c r="AC32" i="60" s="1"/>
  <c r="E32" i="60"/>
  <c r="AB32" i="60" s="1"/>
  <c r="D32" i="60"/>
  <c r="AA32" i="60" s="1"/>
  <c r="H31" i="60"/>
  <c r="G31" i="60"/>
  <c r="F31" i="60"/>
  <c r="E31" i="60"/>
  <c r="D31" i="60"/>
  <c r="AA31" i="60" s="1"/>
  <c r="H30" i="60"/>
  <c r="G30" i="60"/>
  <c r="F30" i="60"/>
  <c r="E30" i="60"/>
  <c r="D30" i="60"/>
  <c r="AA30" i="60" s="1"/>
  <c r="H29" i="60"/>
  <c r="G29" i="60"/>
  <c r="F29" i="60"/>
  <c r="E29" i="60"/>
  <c r="D29" i="60"/>
  <c r="AA29" i="60" s="1"/>
  <c r="H28" i="60"/>
  <c r="G28" i="60"/>
  <c r="F28" i="60"/>
  <c r="E28" i="60"/>
  <c r="D28" i="60"/>
  <c r="AA28" i="60" s="1"/>
  <c r="H27" i="60"/>
  <c r="G27" i="60"/>
  <c r="F27" i="60"/>
  <c r="E27" i="60"/>
  <c r="D27" i="60"/>
  <c r="AA27" i="60" s="1"/>
  <c r="H26" i="60"/>
  <c r="G26" i="60"/>
  <c r="F26" i="60"/>
  <c r="E26" i="60"/>
  <c r="D26" i="60"/>
  <c r="AA26" i="60" s="1"/>
  <c r="H25" i="60"/>
  <c r="G25" i="60"/>
  <c r="E25" i="60"/>
  <c r="D25" i="60"/>
  <c r="AA25" i="60" s="1"/>
  <c r="H24" i="60"/>
  <c r="G24" i="60"/>
  <c r="F24" i="60"/>
  <c r="E24" i="60"/>
  <c r="D24" i="60"/>
  <c r="AA24" i="60" s="1"/>
  <c r="H23" i="60"/>
  <c r="G23" i="60"/>
  <c r="F23" i="60"/>
  <c r="E23" i="60"/>
  <c r="D23" i="60"/>
  <c r="AA23" i="60" s="1"/>
  <c r="H22" i="60"/>
  <c r="G22" i="60"/>
  <c r="F22" i="60"/>
  <c r="E22" i="60"/>
  <c r="D22" i="60"/>
  <c r="AA22" i="60" s="1"/>
  <c r="H21" i="60"/>
  <c r="G21" i="60"/>
  <c r="F21" i="60"/>
  <c r="E21" i="60"/>
  <c r="D21" i="60"/>
  <c r="AA21" i="60" s="1"/>
  <c r="H20" i="60"/>
  <c r="G20" i="60"/>
  <c r="F20" i="60"/>
  <c r="E20" i="60"/>
  <c r="D20" i="60"/>
  <c r="AA20" i="60" s="1"/>
  <c r="H19" i="60"/>
  <c r="G19" i="60"/>
  <c r="F19" i="60"/>
  <c r="E19" i="60"/>
  <c r="D19" i="60"/>
  <c r="AA19" i="60" s="1"/>
  <c r="H18" i="60"/>
  <c r="G18" i="60"/>
  <c r="F18" i="60"/>
  <c r="E18" i="60"/>
  <c r="D18" i="60"/>
  <c r="AA18" i="60" s="1"/>
  <c r="H17" i="60"/>
  <c r="G17" i="60"/>
  <c r="F17" i="60"/>
  <c r="E17" i="60"/>
  <c r="D17" i="60"/>
  <c r="AA17" i="60" s="1"/>
  <c r="H16" i="60"/>
  <c r="G16" i="60"/>
  <c r="F16" i="60"/>
  <c r="E16" i="60"/>
  <c r="D16" i="60"/>
  <c r="AA16" i="60" s="1"/>
  <c r="H15" i="60"/>
  <c r="G15" i="60"/>
  <c r="F15" i="60"/>
  <c r="E15" i="60"/>
  <c r="D15" i="60"/>
  <c r="AA15" i="60" s="1"/>
  <c r="H14" i="60"/>
  <c r="G14" i="60"/>
  <c r="F14" i="60"/>
  <c r="E14" i="60"/>
  <c r="D14" i="60"/>
  <c r="AA14" i="60" s="1"/>
  <c r="H13" i="60"/>
  <c r="G13" i="60"/>
  <c r="F13" i="60"/>
  <c r="E13" i="60"/>
  <c r="D13" i="60"/>
  <c r="AA13" i="60" s="1"/>
  <c r="H12" i="60"/>
  <c r="G12" i="60"/>
  <c r="F12" i="60"/>
  <c r="E12" i="60"/>
  <c r="D12" i="60"/>
  <c r="AA12" i="60" s="1"/>
  <c r="H11" i="60"/>
  <c r="G11" i="60"/>
  <c r="F11" i="60"/>
  <c r="E11" i="60"/>
  <c r="D11" i="60"/>
  <c r="AA11" i="60" s="1"/>
  <c r="H33" i="70"/>
  <c r="G33" i="70"/>
  <c r="F33" i="70"/>
  <c r="E33" i="70"/>
  <c r="D33" i="70"/>
  <c r="D32" i="70"/>
  <c r="H31" i="70"/>
  <c r="G31" i="70"/>
  <c r="F31" i="70"/>
  <c r="E31" i="70"/>
  <c r="D31" i="70"/>
  <c r="H30" i="70"/>
  <c r="G30" i="70"/>
  <c r="F30" i="70"/>
  <c r="E30" i="70"/>
  <c r="D30" i="70"/>
  <c r="H29" i="70"/>
  <c r="G29" i="70"/>
  <c r="F29" i="70"/>
  <c r="E29" i="70"/>
  <c r="D29" i="70"/>
  <c r="H28" i="70"/>
  <c r="G28" i="70"/>
  <c r="F28" i="70"/>
  <c r="E28" i="70"/>
  <c r="D28" i="70"/>
  <c r="H27" i="70"/>
  <c r="G27" i="70"/>
  <c r="F27" i="70"/>
  <c r="E27" i="70"/>
  <c r="D27" i="70"/>
  <c r="H26" i="70"/>
  <c r="G26" i="70"/>
  <c r="F26" i="70"/>
  <c r="E26" i="70"/>
  <c r="D26" i="70"/>
  <c r="H25" i="70"/>
  <c r="G25" i="70"/>
  <c r="F25" i="70"/>
  <c r="E25" i="70"/>
  <c r="D25" i="70"/>
  <c r="H24" i="70"/>
  <c r="G24" i="70"/>
  <c r="E24" i="70"/>
  <c r="D24" i="70"/>
  <c r="H23" i="70"/>
  <c r="G23" i="70"/>
  <c r="F23" i="70"/>
  <c r="E23" i="70"/>
  <c r="D23" i="70"/>
  <c r="H22" i="70"/>
  <c r="G22" i="70"/>
  <c r="F22" i="70"/>
  <c r="E22" i="70"/>
  <c r="D22" i="70"/>
  <c r="H21" i="70"/>
  <c r="G21" i="70"/>
  <c r="F21" i="70"/>
  <c r="E21" i="70"/>
  <c r="D21" i="70"/>
  <c r="H20" i="70"/>
  <c r="G20" i="70"/>
  <c r="F20" i="70"/>
  <c r="E20" i="70"/>
  <c r="D20" i="70"/>
  <c r="H19" i="70"/>
  <c r="G19" i="70"/>
  <c r="F19" i="70"/>
  <c r="E19" i="70"/>
  <c r="D19" i="70"/>
  <c r="H18" i="70"/>
  <c r="G18" i="70"/>
  <c r="F18" i="70"/>
  <c r="E18" i="70"/>
  <c r="D18" i="70"/>
  <c r="H17" i="70"/>
  <c r="G17" i="70"/>
  <c r="F17" i="70"/>
  <c r="E17" i="70"/>
  <c r="D17" i="70"/>
  <c r="H16" i="70"/>
  <c r="G16" i="70"/>
  <c r="F16" i="70"/>
  <c r="E16" i="70"/>
  <c r="D16" i="70"/>
  <c r="H15" i="70"/>
  <c r="G15" i="70"/>
  <c r="F15" i="70"/>
  <c r="E15" i="70"/>
  <c r="D15" i="70"/>
  <c r="H14" i="70"/>
  <c r="G14" i="70"/>
  <c r="F14" i="70"/>
  <c r="E14" i="70"/>
  <c r="D14" i="70"/>
  <c r="H13" i="70"/>
  <c r="G13" i="70"/>
  <c r="F13" i="70"/>
  <c r="E13" i="70"/>
  <c r="D13" i="70"/>
  <c r="H12" i="70"/>
  <c r="G12" i="70"/>
  <c r="F12" i="70"/>
  <c r="E12" i="70"/>
  <c r="D12" i="70"/>
  <c r="H11" i="70"/>
  <c r="G11" i="70"/>
  <c r="F11" i="70"/>
  <c r="E11" i="70"/>
  <c r="D11" i="70"/>
  <c r="H10" i="70"/>
  <c r="G10" i="70"/>
  <c r="F10" i="70"/>
  <c r="E10" i="70"/>
  <c r="D10" i="70"/>
  <c r="AC207" i="60"/>
  <c r="AB207" i="60"/>
  <c r="AA207" i="60"/>
  <c r="Z207" i="60"/>
  <c r="Y207" i="60"/>
  <c r="AC205" i="60"/>
  <c r="AB205" i="60"/>
  <c r="AA205" i="60"/>
  <c r="Z205" i="60"/>
  <c r="Y205" i="60"/>
  <c r="AC204" i="60"/>
  <c r="AB204" i="60"/>
  <c r="AA204" i="60"/>
  <c r="Z204" i="60"/>
  <c r="Y204" i="60"/>
  <c r="AC203" i="60"/>
  <c r="AB203" i="60"/>
  <c r="AA203" i="60"/>
  <c r="Z203" i="60"/>
  <c r="Y203" i="60"/>
  <c r="AC202" i="60"/>
  <c r="AB202" i="60"/>
  <c r="AA202" i="60"/>
  <c r="Z202" i="60"/>
  <c r="Y202" i="60"/>
  <c r="AC201" i="60"/>
  <c r="AB201" i="60"/>
  <c r="AA201" i="60"/>
  <c r="Z201" i="60"/>
  <c r="Y201" i="60"/>
  <c r="AC200" i="60"/>
  <c r="AB200" i="60"/>
  <c r="AA200" i="60"/>
  <c r="Z200" i="60"/>
  <c r="Y200" i="60"/>
  <c r="AC199" i="60"/>
  <c r="AB199" i="60"/>
  <c r="AA199" i="60"/>
  <c r="Z199" i="60"/>
  <c r="Y199" i="60"/>
  <c r="AC198" i="60"/>
  <c r="AB198" i="60"/>
  <c r="Z198" i="60"/>
  <c r="Y198" i="60"/>
  <c r="AC197" i="60"/>
  <c r="AB197" i="60"/>
  <c r="AA197" i="60"/>
  <c r="Z197" i="60"/>
  <c r="Y197" i="60"/>
  <c r="AC196" i="60"/>
  <c r="AB196" i="60"/>
  <c r="AA196" i="60"/>
  <c r="Z196" i="60"/>
  <c r="Y196" i="60"/>
  <c r="AC195" i="60"/>
  <c r="AB195" i="60"/>
  <c r="AA195" i="60"/>
  <c r="Z195" i="60"/>
  <c r="Y195" i="60"/>
  <c r="AC194" i="60"/>
  <c r="AB194" i="60"/>
  <c r="AA194" i="60"/>
  <c r="Z194" i="60"/>
  <c r="Y194" i="60"/>
  <c r="AC193" i="60"/>
  <c r="AB193" i="60"/>
  <c r="AA193" i="60"/>
  <c r="Z193" i="60"/>
  <c r="Y193" i="60"/>
  <c r="AC192" i="60"/>
  <c r="AB192" i="60"/>
  <c r="AA192" i="60"/>
  <c r="Z192" i="60"/>
  <c r="Y192" i="60"/>
  <c r="AC191" i="60"/>
  <c r="AB191" i="60"/>
  <c r="AA191" i="60"/>
  <c r="Z191" i="60"/>
  <c r="Y191" i="60"/>
  <c r="AC190" i="60"/>
  <c r="AB190" i="60"/>
  <c r="AA190" i="60"/>
  <c r="Z190" i="60"/>
  <c r="Y190" i="60"/>
  <c r="AC189" i="60"/>
  <c r="AB189" i="60"/>
  <c r="AA189" i="60"/>
  <c r="Z189" i="60"/>
  <c r="Y189" i="60"/>
  <c r="AC188" i="60"/>
  <c r="AB188" i="60"/>
  <c r="AA188" i="60"/>
  <c r="Z188" i="60"/>
  <c r="Y188" i="60"/>
  <c r="AC187" i="60"/>
  <c r="AB187" i="60"/>
  <c r="AA187" i="60"/>
  <c r="Z187" i="60"/>
  <c r="Y187" i="60"/>
  <c r="AC186" i="60"/>
  <c r="AB186" i="60"/>
  <c r="AA186" i="60"/>
  <c r="Z186" i="60"/>
  <c r="Y186" i="60"/>
  <c r="AC185" i="60"/>
  <c r="AB185" i="60"/>
  <c r="AA185" i="60"/>
  <c r="Z185" i="60"/>
  <c r="Y185" i="60"/>
  <c r="AC184" i="60"/>
  <c r="AB184" i="60"/>
  <c r="AA184" i="60"/>
  <c r="Z184" i="60"/>
  <c r="Y184" i="60"/>
  <c r="AC98" i="60"/>
  <c r="AB98" i="60"/>
  <c r="AA98" i="60"/>
  <c r="Z98" i="60"/>
  <c r="Y98" i="60"/>
  <c r="AC97" i="60"/>
  <c r="AB97" i="60"/>
  <c r="AA97" i="60"/>
  <c r="Z97" i="60"/>
  <c r="Y97" i="60"/>
  <c r="AC96" i="60"/>
  <c r="AB96" i="60"/>
  <c r="AA96" i="60"/>
  <c r="Z96" i="60"/>
  <c r="Y96" i="60"/>
  <c r="AC95" i="60"/>
  <c r="AB95" i="60"/>
  <c r="AA95" i="60"/>
  <c r="Z95" i="60"/>
  <c r="Y95" i="60"/>
  <c r="AC94" i="60"/>
  <c r="AB94" i="60"/>
  <c r="AA94" i="60"/>
  <c r="Z94" i="60"/>
  <c r="Y94" i="60"/>
  <c r="AC93" i="60"/>
  <c r="AB93" i="60"/>
  <c r="AA93" i="60"/>
  <c r="Z93" i="60"/>
  <c r="Y93" i="60"/>
  <c r="AC92" i="60"/>
  <c r="AB92" i="60"/>
  <c r="AA92" i="60"/>
  <c r="Z92" i="60"/>
  <c r="Y92" i="60"/>
  <c r="AC91" i="60"/>
  <c r="AB91" i="60"/>
  <c r="Z91" i="60"/>
  <c r="Y91" i="60"/>
  <c r="AC90" i="60"/>
  <c r="AB90" i="60"/>
  <c r="AA90" i="60"/>
  <c r="Z90" i="60"/>
  <c r="Y90" i="60"/>
  <c r="AC89" i="60"/>
  <c r="AB89" i="60"/>
  <c r="AA89" i="60"/>
  <c r="Z89" i="60"/>
  <c r="Y89" i="60"/>
  <c r="AC88" i="60"/>
  <c r="AB88" i="60"/>
  <c r="AA88" i="60"/>
  <c r="Z88" i="60"/>
  <c r="Y88" i="60"/>
  <c r="AC87" i="60"/>
  <c r="AB87" i="60"/>
  <c r="AA87" i="60"/>
  <c r="Z87" i="60"/>
  <c r="Y87" i="60"/>
  <c r="AC86" i="60"/>
  <c r="AB86" i="60"/>
  <c r="AA86" i="60"/>
  <c r="Z86" i="60"/>
  <c r="Y86" i="60"/>
  <c r="AC85" i="60"/>
  <c r="AB85" i="60"/>
  <c r="AA85" i="60"/>
  <c r="Z85" i="60"/>
  <c r="Y85" i="60"/>
  <c r="AC84" i="60"/>
  <c r="AB84" i="60"/>
  <c r="AA84" i="60"/>
  <c r="Z84" i="60"/>
  <c r="Y84" i="60"/>
  <c r="AC83" i="60"/>
  <c r="AB83" i="60"/>
  <c r="AA83" i="60"/>
  <c r="Z83" i="60"/>
  <c r="Y83" i="60"/>
  <c r="AC82" i="60"/>
  <c r="AB82" i="60"/>
  <c r="AA82" i="60"/>
  <c r="Z82" i="60"/>
  <c r="Y82" i="60"/>
  <c r="AC81" i="60"/>
  <c r="AB81" i="60"/>
  <c r="AA81" i="60"/>
  <c r="Z81" i="60"/>
  <c r="Y81" i="60"/>
  <c r="AC80" i="60"/>
  <c r="AB80" i="60"/>
  <c r="AA80" i="60"/>
  <c r="Z80" i="60"/>
  <c r="Y80" i="60"/>
  <c r="AC79" i="60"/>
  <c r="AB79" i="60"/>
  <c r="AA79" i="60"/>
  <c r="Z79" i="60"/>
  <c r="Y79" i="60"/>
  <c r="AC78" i="60"/>
  <c r="AB78" i="60"/>
  <c r="AA78" i="60"/>
  <c r="Z78" i="60"/>
  <c r="Y78" i="60"/>
  <c r="AC77" i="60"/>
  <c r="AB77" i="60"/>
  <c r="AA77" i="60"/>
  <c r="Z77" i="60"/>
  <c r="Y77" i="60"/>
  <c r="Z62" i="76" l="1"/>
  <c r="AY63" i="83"/>
  <c r="BA63" i="83"/>
  <c r="Z61" i="76"/>
  <c r="Y26" i="60"/>
  <c r="P135" i="60"/>
  <c r="Y135" i="60"/>
  <c r="Z135" i="60"/>
  <c r="P139" i="60"/>
  <c r="Y139" i="60"/>
  <c r="Y13" i="60"/>
  <c r="Y17" i="60"/>
  <c r="Y21" i="60"/>
  <c r="Z25" i="60"/>
  <c r="Y25" i="60"/>
  <c r="Z29" i="60"/>
  <c r="Y29" i="60"/>
  <c r="P118" i="60"/>
  <c r="Y118" i="60"/>
  <c r="P122" i="60"/>
  <c r="Y122" i="60"/>
  <c r="P126" i="60"/>
  <c r="Y126" i="60"/>
  <c r="P130" i="60"/>
  <c r="Y130" i="60"/>
  <c r="Z130" i="60"/>
  <c r="P134" i="60"/>
  <c r="Y134" i="60"/>
  <c r="Z134" i="60"/>
  <c r="P138" i="60"/>
  <c r="Y138" i="60"/>
  <c r="Z138" i="60"/>
  <c r="Y14" i="60"/>
  <c r="Y18" i="60"/>
  <c r="P119" i="60"/>
  <c r="Y119" i="60"/>
  <c r="Y11" i="60"/>
  <c r="Y15" i="60"/>
  <c r="Y19" i="60"/>
  <c r="Z23" i="60"/>
  <c r="Y23" i="60"/>
  <c r="Z27" i="60"/>
  <c r="Y27" i="60"/>
  <c r="Z31" i="60"/>
  <c r="Y31" i="60"/>
  <c r="P120" i="60"/>
  <c r="Y120" i="60"/>
  <c r="P124" i="60"/>
  <c r="Y124" i="60"/>
  <c r="P128" i="60"/>
  <c r="Y128" i="60"/>
  <c r="P132" i="60"/>
  <c r="Y132" i="60"/>
  <c r="Z132" i="60"/>
  <c r="P136" i="60"/>
  <c r="Y136" i="60"/>
  <c r="Z136" i="60"/>
  <c r="Y22" i="60"/>
  <c r="Z30" i="60"/>
  <c r="Y30" i="60"/>
  <c r="P123" i="60"/>
  <c r="Y123" i="60"/>
  <c r="P127" i="60"/>
  <c r="Y127" i="60"/>
  <c r="Z127" i="60"/>
  <c r="P131" i="60"/>
  <c r="Y131" i="60"/>
  <c r="Z131" i="60"/>
  <c r="Z12" i="60"/>
  <c r="Y12" i="60"/>
  <c r="Y16" i="60"/>
  <c r="Z20" i="60"/>
  <c r="Y20" i="60"/>
  <c r="Z24" i="60"/>
  <c r="Y24" i="60"/>
  <c r="Z28" i="60"/>
  <c r="Y28" i="60"/>
  <c r="AE32" i="60"/>
  <c r="Z32" i="60"/>
  <c r="Y32" i="60"/>
  <c r="P121" i="60"/>
  <c r="Y121" i="60"/>
  <c r="P125" i="60"/>
  <c r="Y125" i="60"/>
  <c r="P129" i="60"/>
  <c r="Y129" i="60"/>
  <c r="Y133" i="60"/>
  <c r="Y137" i="60"/>
  <c r="Z137" i="60"/>
  <c r="Y17" i="70"/>
  <c r="Y25" i="70"/>
  <c r="Y29" i="70"/>
  <c r="AE33" i="70"/>
  <c r="Z33" i="70"/>
  <c r="Y33" i="70"/>
  <c r="Y14" i="70"/>
  <c r="Y18" i="70"/>
  <c r="Y26" i="70"/>
  <c r="Z26" i="70"/>
  <c r="Y30" i="70"/>
  <c r="Y11" i="70"/>
  <c r="Y15" i="70"/>
  <c r="Y19" i="70"/>
  <c r="Y23" i="70"/>
  <c r="Y27" i="70"/>
  <c r="Z27" i="70"/>
  <c r="Y31" i="70"/>
  <c r="Y13" i="70"/>
  <c r="Y21" i="70"/>
  <c r="Y10" i="70"/>
  <c r="Y22" i="70"/>
  <c r="Z22" i="70"/>
  <c r="Y12" i="70"/>
  <c r="Y16" i="70"/>
  <c r="Y20" i="70"/>
  <c r="Y24" i="70"/>
  <c r="Y28" i="70"/>
  <c r="P26" i="60"/>
  <c r="AE26" i="60"/>
  <c r="O27" i="60"/>
  <c r="AD27" i="60"/>
  <c r="N28" i="60"/>
  <c r="AC28" i="60"/>
  <c r="M29" i="60"/>
  <c r="AB29" i="60"/>
  <c r="P30" i="60"/>
  <c r="AE30" i="60"/>
  <c r="O31" i="60"/>
  <c r="AD31" i="60"/>
  <c r="O15" i="60"/>
  <c r="AD15" i="60"/>
  <c r="N16" i="60"/>
  <c r="AC16" i="60"/>
  <c r="M17" i="60"/>
  <c r="AB17" i="60"/>
  <c r="O19" i="60"/>
  <c r="AD19" i="60"/>
  <c r="N20" i="60"/>
  <c r="AC20" i="60"/>
  <c r="M21" i="60"/>
  <c r="AB21" i="60"/>
  <c r="P22" i="60"/>
  <c r="AE22" i="60"/>
  <c r="O23" i="60"/>
  <c r="AD23" i="60"/>
  <c r="N24" i="60"/>
  <c r="AC24" i="60"/>
  <c r="M25" i="60"/>
  <c r="AB25" i="60"/>
  <c r="AA33" i="60"/>
  <c r="P11" i="60"/>
  <c r="AE11" i="60"/>
  <c r="O12" i="60"/>
  <c r="AD12" i="60"/>
  <c r="N13" i="60"/>
  <c r="AC13" i="60"/>
  <c r="M14" i="60"/>
  <c r="AB14" i="60"/>
  <c r="P15" i="60"/>
  <c r="AE15" i="60"/>
  <c r="O16" i="60"/>
  <c r="AD16" i="60"/>
  <c r="N17" i="60"/>
  <c r="AC17" i="60"/>
  <c r="M18" i="60"/>
  <c r="AB18" i="60"/>
  <c r="P19" i="60"/>
  <c r="AE19" i="60"/>
  <c r="O20" i="60"/>
  <c r="AD20" i="60"/>
  <c r="N21" i="60"/>
  <c r="AC21" i="60"/>
  <c r="M22" i="60"/>
  <c r="AB22" i="60"/>
  <c r="P23" i="60"/>
  <c r="AE23" i="60"/>
  <c r="O24" i="60"/>
  <c r="AD24" i="60"/>
  <c r="M26" i="60"/>
  <c r="AB26" i="60"/>
  <c r="P27" i="60"/>
  <c r="AE27" i="60"/>
  <c r="O28" i="60"/>
  <c r="AD28" i="60"/>
  <c r="N29" i="60"/>
  <c r="AC29" i="60"/>
  <c r="M30" i="60"/>
  <c r="AB30" i="60"/>
  <c r="P31" i="60"/>
  <c r="AE31" i="60"/>
  <c r="N12" i="60"/>
  <c r="AC12" i="60"/>
  <c r="P14" i="60"/>
  <c r="AE14" i="60"/>
  <c r="P18" i="60"/>
  <c r="AE18" i="60"/>
  <c r="M11" i="60"/>
  <c r="AB11" i="60"/>
  <c r="P12" i="60"/>
  <c r="AE12" i="60"/>
  <c r="O13" i="60"/>
  <c r="AD13" i="60"/>
  <c r="N14" i="60"/>
  <c r="AC14" i="60"/>
  <c r="M15" i="60"/>
  <c r="AB15" i="60"/>
  <c r="P16" i="60"/>
  <c r="AE16" i="60"/>
  <c r="O17" i="60"/>
  <c r="AD17" i="60"/>
  <c r="N18" i="60"/>
  <c r="AC18" i="60"/>
  <c r="M19" i="60"/>
  <c r="AB19" i="60"/>
  <c r="P20" i="60"/>
  <c r="AE20" i="60"/>
  <c r="O21" i="60"/>
  <c r="AD21" i="60"/>
  <c r="N22" i="60"/>
  <c r="AC22" i="60"/>
  <c r="M23" i="60"/>
  <c r="AB23" i="60"/>
  <c r="P24" i="60"/>
  <c r="AE24" i="60"/>
  <c r="O25" i="60"/>
  <c r="AD25" i="60"/>
  <c r="N26" i="60"/>
  <c r="AC26" i="60"/>
  <c r="M27" i="60"/>
  <c r="AB27" i="60"/>
  <c r="P28" i="60"/>
  <c r="AE28" i="60"/>
  <c r="O29" i="60"/>
  <c r="AD29" i="60"/>
  <c r="N30" i="60"/>
  <c r="AC30" i="60"/>
  <c r="M31" i="60"/>
  <c r="AB31" i="60"/>
  <c r="O11" i="60"/>
  <c r="AD11" i="60"/>
  <c r="M13" i="60"/>
  <c r="AB13" i="60"/>
  <c r="N11" i="60"/>
  <c r="AC11" i="60"/>
  <c r="M12" i="60"/>
  <c r="AB12" i="60"/>
  <c r="P13" i="60"/>
  <c r="AE13" i="60"/>
  <c r="O14" i="60"/>
  <c r="AD14" i="60"/>
  <c r="N15" i="60"/>
  <c r="AC15" i="60"/>
  <c r="M16" i="60"/>
  <c r="AB16" i="60"/>
  <c r="P17" i="60"/>
  <c r="AE17" i="60"/>
  <c r="O18" i="60"/>
  <c r="AD18" i="60"/>
  <c r="N19" i="60"/>
  <c r="AC19" i="60"/>
  <c r="M20" i="60"/>
  <c r="AB20" i="60"/>
  <c r="P21" i="60"/>
  <c r="AE21" i="60"/>
  <c r="O22" i="60"/>
  <c r="AD22" i="60"/>
  <c r="N23" i="60"/>
  <c r="AC23" i="60"/>
  <c r="M24" i="60"/>
  <c r="AB24" i="60"/>
  <c r="P25" i="60"/>
  <c r="AE25" i="60"/>
  <c r="O26" i="60"/>
  <c r="AD26" i="60"/>
  <c r="N27" i="60"/>
  <c r="AC27" i="60"/>
  <c r="M28" i="60"/>
  <c r="AB28" i="60"/>
  <c r="P29" i="60"/>
  <c r="AE29" i="60"/>
  <c r="O30" i="60"/>
  <c r="AD30" i="60"/>
  <c r="N31" i="60"/>
  <c r="AC31" i="60"/>
  <c r="AR20" i="70"/>
  <c r="AR24" i="70"/>
  <c r="O32" i="60"/>
  <c r="AM134" i="60"/>
  <c r="AM138" i="60"/>
  <c r="AQ21" i="70"/>
  <c r="AQ29" i="70"/>
  <c r="N32" i="60"/>
  <c r="AL135" i="60"/>
  <c r="N135" i="60"/>
  <c r="AQ25" i="70"/>
  <c r="AP30" i="70"/>
  <c r="AP26" i="70"/>
  <c r="AP22" i="70"/>
  <c r="AK132" i="60"/>
  <c r="M132" i="60"/>
  <c r="AK136" i="60"/>
  <c r="M136" i="60"/>
  <c r="M32" i="60"/>
  <c r="L12" i="60"/>
  <c r="L16" i="60"/>
  <c r="L24" i="60"/>
  <c r="L32" i="60"/>
  <c r="AO27" i="70"/>
  <c r="AO31" i="70"/>
  <c r="L13" i="60"/>
  <c r="L21" i="60"/>
  <c r="L29" i="60"/>
  <c r="L14" i="60"/>
  <c r="L18" i="60"/>
  <c r="L22" i="60"/>
  <c r="L26" i="60"/>
  <c r="L30" i="60"/>
  <c r="L20" i="60"/>
  <c r="L28" i="60"/>
  <c r="AO23" i="70"/>
  <c r="L17" i="60"/>
  <c r="L25" i="60"/>
  <c r="L11" i="60"/>
  <c r="L15" i="60"/>
  <c r="L19" i="60"/>
  <c r="L23" i="60"/>
  <c r="L27" i="60"/>
  <c r="L31" i="60"/>
  <c r="P32" i="60"/>
  <c r="AN133" i="60"/>
  <c r="P133" i="60"/>
  <c r="AN137" i="60"/>
  <c r="P137" i="60"/>
  <c r="AL118" i="60"/>
  <c r="AK119" i="60"/>
  <c r="AN120" i="60"/>
  <c r="AM121" i="60"/>
  <c r="AL122" i="60"/>
  <c r="AK123" i="60"/>
  <c r="AN124" i="60"/>
  <c r="AM125" i="60"/>
  <c r="AL126" i="60"/>
  <c r="AK127" i="60"/>
  <c r="AN128" i="60"/>
  <c r="AM118" i="60"/>
  <c r="AL119" i="60"/>
  <c r="AK120" i="60"/>
  <c r="AN121" i="60"/>
  <c r="AM122" i="60"/>
  <c r="AL123" i="60"/>
  <c r="AK124" i="60"/>
  <c r="AN125" i="60"/>
  <c r="AM126" i="60"/>
  <c r="AL127" i="60"/>
  <c r="AK128" i="60"/>
  <c r="AN129" i="60"/>
  <c r="AM130" i="60"/>
  <c r="AL131" i="60"/>
  <c r="AM119" i="60"/>
  <c r="AK121" i="60"/>
  <c r="AN122" i="60"/>
  <c r="AL124" i="60"/>
  <c r="AM127" i="60"/>
  <c r="AK129" i="60"/>
  <c r="AN130" i="60"/>
  <c r="AN134" i="60"/>
  <c r="AM135" i="60"/>
  <c r="AL136" i="60"/>
  <c r="AN138" i="60"/>
  <c r="AK118" i="60"/>
  <c r="AN119" i="60"/>
  <c r="AM120" i="60"/>
  <c r="AL121" i="60"/>
  <c r="AK122" i="60"/>
  <c r="AN123" i="60"/>
  <c r="AM124" i="60"/>
  <c r="AL125" i="60"/>
  <c r="AK126" i="60"/>
  <c r="AN127" i="60"/>
  <c r="AM128" i="60"/>
  <c r="AL129" i="60"/>
  <c r="AK130" i="60"/>
  <c r="AN131" i="60"/>
  <c r="AL133" i="60"/>
  <c r="AK134" i="60"/>
  <c r="AN135" i="60"/>
  <c r="AM136" i="60"/>
  <c r="AL137" i="60"/>
  <c r="AK138" i="60"/>
  <c r="AN118" i="60"/>
  <c r="AL120" i="60"/>
  <c r="AM123" i="60"/>
  <c r="AK125" i="60"/>
  <c r="AN126" i="60"/>
  <c r="AL128" i="60"/>
  <c r="AM131" i="60"/>
  <c r="AK133" i="60"/>
  <c r="AK137" i="60"/>
  <c r="AM129" i="60"/>
  <c r="AL130" i="60"/>
  <c r="AK131" i="60"/>
  <c r="AN132" i="60"/>
  <c r="AM133" i="60"/>
  <c r="AL134" i="60"/>
  <c r="AK135" i="60"/>
  <c r="AN136" i="60"/>
  <c r="AM137" i="60"/>
  <c r="AL138" i="60"/>
  <c r="AK11" i="60"/>
  <c r="AN12" i="60"/>
  <c r="AM13" i="60"/>
  <c r="AL14" i="60"/>
  <c r="AK15" i="60"/>
  <c r="AN16" i="60"/>
  <c r="AM17" i="60"/>
  <c r="AL18" i="60"/>
  <c r="AK19" i="60"/>
  <c r="AN20" i="60"/>
  <c r="AM21" i="60"/>
  <c r="AL22" i="60"/>
  <c r="AK23" i="60"/>
  <c r="AN24" i="60"/>
  <c r="AL26" i="60"/>
  <c r="AK27" i="60"/>
  <c r="AN28" i="60"/>
  <c r="AM29" i="60"/>
  <c r="AL30" i="60"/>
  <c r="AK31" i="60"/>
  <c r="AL11" i="60"/>
  <c r="AK12" i="60"/>
  <c r="AN13" i="60"/>
  <c r="AM14" i="60"/>
  <c r="AL15" i="60"/>
  <c r="AK16" i="60"/>
  <c r="AN17" i="60"/>
  <c r="AM18" i="60"/>
  <c r="AL19" i="60"/>
  <c r="AK20" i="60"/>
  <c r="AN21" i="60"/>
  <c r="AM22" i="60"/>
  <c r="AL23" i="60"/>
  <c r="AK24" i="60"/>
  <c r="AN25" i="60"/>
  <c r="AM26" i="60"/>
  <c r="AL27" i="60"/>
  <c r="AK28" i="60"/>
  <c r="AN29" i="60"/>
  <c r="AM30" i="60"/>
  <c r="AL31" i="60"/>
  <c r="AM11" i="60"/>
  <c r="AL12" i="60"/>
  <c r="AK13" i="60"/>
  <c r="AN14" i="60"/>
  <c r="AM15" i="60"/>
  <c r="AL16" i="60"/>
  <c r="AK17" i="60"/>
  <c r="AN18" i="60"/>
  <c r="AM19" i="60"/>
  <c r="AL20" i="60"/>
  <c r="AK21" i="60"/>
  <c r="AN22" i="60"/>
  <c r="AM23" i="60"/>
  <c r="AL24" i="60"/>
  <c r="AK25" i="60"/>
  <c r="AN26" i="60"/>
  <c r="AM27" i="60"/>
  <c r="AL28" i="60"/>
  <c r="AK29" i="60"/>
  <c r="AN30" i="60"/>
  <c r="AM31" i="60"/>
  <c r="AN11" i="60"/>
  <c r="AM12" i="60"/>
  <c r="AL13" i="60"/>
  <c r="AK14" i="60"/>
  <c r="AN15" i="60"/>
  <c r="AM16" i="60"/>
  <c r="AL17" i="60"/>
  <c r="AK18" i="60"/>
  <c r="AN19" i="60"/>
  <c r="AM20" i="60"/>
  <c r="AL21" i="60"/>
  <c r="AK22" i="60"/>
  <c r="AN23" i="60"/>
  <c r="AM24" i="60"/>
  <c r="AK26" i="60"/>
  <c r="AN27" i="60"/>
  <c r="AM28" i="60"/>
  <c r="AL29" i="60"/>
  <c r="AK30" i="60"/>
  <c r="AN31" i="60"/>
  <c r="AQ313" i="83"/>
  <c r="AO11" i="70"/>
  <c r="AP14" i="70"/>
  <c r="AO15" i="70"/>
  <c r="AR16" i="70"/>
  <c r="AO19" i="70"/>
  <c r="AP10" i="70"/>
  <c r="AR12" i="70"/>
  <c r="AQ13" i="70"/>
  <c r="AQ17" i="70"/>
  <c r="AP18" i="70"/>
  <c r="AQ11" i="70"/>
  <c r="AP12" i="70"/>
  <c r="AO13" i="70"/>
  <c r="AQ15" i="70"/>
  <c r="AP16" i="70"/>
  <c r="AO17" i="70"/>
  <c r="AQ19" i="70"/>
  <c r="AP20" i="70"/>
  <c r="AO21" i="70"/>
  <c r="AQ23" i="70"/>
  <c r="AO25" i="70"/>
  <c r="AQ27" i="70"/>
  <c r="AP28" i="70"/>
  <c r="AO29" i="70"/>
  <c r="AQ31" i="70"/>
  <c r="AE28" i="70"/>
  <c r="AR28" i="70"/>
  <c r="AQ10" i="70"/>
  <c r="AP11" i="70"/>
  <c r="AO12" i="70"/>
  <c r="AE13" i="70"/>
  <c r="AR13" i="70"/>
  <c r="AQ14" i="70"/>
  <c r="AP15" i="70"/>
  <c r="AO16" i="70"/>
  <c r="AE17" i="70"/>
  <c r="AR17" i="70"/>
  <c r="AQ18" i="70"/>
  <c r="AP19" i="70"/>
  <c r="AO20" i="70"/>
  <c r="AR21" i="70"/>
  <c r="AQ22" i="70"/>
  <c r="AP23" i="70"/>
  <c r="AO24" i="70"/>
  <c r="AE25" i="70"/>
  <c r="AR25" i="70"/>
  <c r="AQ26" i="70"/>
  <c r="AP27" i="70"/>
  <c r="AO28" i="70"/>
  <c r="AE29" i="70"/>
  <c r="AR29" i="70"/>
  <c r="AQ30" i="70"/>
  <c r="AP31" i="70"/>
  <c r="AE10" i="70"/>
  <c r="AR10" i="70"/>
  <c r="AE14" i="70"/>
  <c r="AR14" i="70"/>
  <c r="AE18" i="70"/>
  <c r="AR18" i="70"/>
  <c r="AE22" i="70"/>
  <c r="AR22" i="70"/>
  <c r="AE26" i="70"/>
  <c r="AR26" i="70"/>
  <c r="AE30" i="70"/>
  <c r="AR30" i="70"/>
  <c r="AO10" i="70"/>
  <c r="AR11" i="70"/>
  <c r="AQ12" i="70"/>
  <c r="AP13" i="70"/>
  <c r="AO14" i="70"/>
  <c r="AR15" i="70"/>
  <c r="AQ16" i="70"/>
  <c r="AP17" i="70"/>
  <c r="AO18" i="70"/>
  <c r="AR19" i="70"/>
  <c r="AQ20" i="70"/>
  <c r="AP21" i="70"/>
  <c r="AO22" i="70"/>
  <c r="AE23" i="70"/>
  <c r="AR23" i="70"/>
  <c r="AP25" i="70"/>
  <c r="AO26" i="70"/>
  <c r="AE27" i="70"/>
  <c r="AR27" i="70"/>
  <c r="AQ28" i="70"/>
  <c r="AP29" i="70"/>
  <c r="AO30" i="70"/>
  <c r="AE31" i="70"/>
  <c r="AR31" i="70"/>
  <c r="AR32" i="83"/>
  <c r="AL32" i="83"/>
  <c r="AT32" i="83"/>
  <c r="AO32" i="83"/>
  <c r="P21" i="70"/>
  <c r="O77" i="76" s="1"/>
  <c r="AE21" i="70"/>
  <c r="P11" i="70"/>
  <c r="E77" i="76" s="1"/>
  <c r="AE11" i="70"/>
  <c r="P15" i="70"/>
  <c r="I77" i="76" s="1"/>
  <c r="AE15" i="70"/>
  <c r="P19" i="70"/>
  <c r="M77" i="76" s="1"/>
  <c r="AE19" i="70"/>
  <c r="P12" i="70"/>
  <c r="F77" i="76" s="1"/>
  <c r="AE12" i="70"/>
  <c r="P16" i="70"/>
  <c r="J77" i="76" s="1"/>
  <c r="AE16" i="70"/>
  <c r="P20" i="70"/>
  <c r="N77" i="76" s="1"/>
  <c r="AE20" i="70"/>
  <c r="P24" i="70"/>
  <c r="R77" i="76" s="1"/>
  <c r="AE24" i="70"/>
  <c r="O12" i="70"/>
  <c r="AD12" i="70"/>
  <c r="O20" i="70"/>
  <c r="AD20" i="70"/>
  <c r="O24" i="70"/>
  <c r="AD24" i="70"/>
  <c r="O10" i="70"/>
  <c r="AD10" i="70"/>
  <c r="O14" i="70"/>
  <c r="AD14" i="70"/>
  <c r="O18" i="70"/>
  <c r="AD18" i="70"/>
  <c r="O22" i="70"/>
  <c r="AD22" i="70"/>
  <c r="O26" i="70"/>
  <c r="AD26" i="70"/>
  <c r="O30" i="70"/>
  <c r="AD30" i="70"/>
  <c r="O11" i="70"/>
  <c r="AD11" i="70"/>
  <c r="O15" i="70"/>
  <c r="AD15" i="70"/>
  <c r="O19" i="70"/>
  <c r="AD19" i="70"/>
  <c r="O23" i="70"/>
  <c r="AD23" i="70"/>
  <c r="O27" i="70"/>
  <c r="AD27" i="70"/>
  <c r="O31" i="70"/>
  <c r="AD31" i="70"/>
  <c r="O16" i="70"/>
  <c r="AD16" i="70"/>
  <c r="O28" i="70"/>
  <c r="AD28" i="70"/>
  <c r="O13" i="70"/>
  <c r="AD13" i="70"/>
  <c r="O17" i="70"/>
  <c r="AD17" i="70"/>
  <c r="O21" i="70"/>
  <c r="AD21" i="70"/>
  <c r="O25" i="70"/>
  <c r="AD25" i="70"/>
  <c r="O29" i="70"/>
  <c r="AD29" i="70"/>
  <c r="O33" i="70"/>
  <c r="AD33" i="70"/>
  <c r="N11" i="70"/>
  <c r="AC11" i="70"/>
  <c r="N15" i="70"/>
  <c r="AC15" i="70"/>
  <c r="N19" i="70"/>
  <c r="AC19" i="70"/>
  <c r="N23" i="70"/>
  <c r="AC23" i="70"/>
  <c r="N27" i="70"/>
  <c r="AC27" i="70"/>
  <c r="N31" i="70"/>
  <c r="AC31" i="70"/>
  <c r="N12" i="70"/>
  <c r="AC12" i="70"/>
  <c r="N16" i="70"/>
  <c r="AC16" i="70"/>
  <c r="N20" i="70"/>
  <c r="AC20" i="70"/>
  <c r="N28" i="70"/>
  <c r="AC28" i="70"/>
  <c r="N13" i="70"/>
  <c r="AC13" i="70"/>
  <c r="N17" i="70"/>
  <c r="AC17" i="70"/>
  <c r="N21" i="70"/>
  <c r="AC21" i="70"/>
  <c r="N25" i="70"/>
  <c r="AC25" i="70"/>
  <c r="N29" i="70"/>
  <c r="AC29" i="70"/>
  <c r="N33" i="70"/>
  <c r="AC33" i="70"/>
  <c r="N10" i="70"/>
  <c r="AC10" i="70"/>
  <c r="N14" i="70"/>
  <c r="AC14" i="70"/>
  <c r="N18" i="70"/>
  <c r="AC18" i="70"/>
  <c r="N22" i="70"/>
  <c r="AC22" i="70"/>
  <c r="N26" i="70"/>
  <c r="AC26" i="70"/>
  <c r="N30" i="70"/>
  <c r="AC30" i="70"/>
  <c r="M19" i="70"/>
  <c r="AB19" i="70"/>
  <c r="M27" i="70"/>
  <c r="AB27" i="70"/>
  <c r="M16" i="70"/>
  <c r="AB16" i="70"/>
  <c r="M24" i="70"/>
  <c r="AB24" i="70"/>
  <c r="M13" i="70"/>
  <c r="AB13" i="70"/>
  <c r="M17" i="70"/>
  <c r="AB17" i="70"/>
  <c r="M21" i="70"/>
  <c r="AB21" i="70"/>
  <c r="M25" i="70"/>
  <c r="AB25" i="70"/>
  <c r="M29" i="70"/>
  <c r="AB29" i="70"/>
  <c r="M33" i="70"/>
  <c r="AB33" i="70"/>
  <c r="M11" i="70"/>
  <c r="AB11" i="70"/>
  <c r="M15" i="70"/>
  <c r="AB15" i="70"/>
  <c r="M23" i="70"/>
  <c r="AB23" i="70"/>
  <c r="M31" i="70"/>
  <c r="AB31" i="70"/>
  <c r="M12" i="70"/>
  <c r="AB12" i="70"/>
  <c r="M20" i="70"/>
  <c r="AB20" i="70"/>
  <c r="M28" i="70"/>
  <c r="AB28" i="70"/>
  <c r="M10" i="70"/>
  <c r="AB10" i="70"/>
  <c r="M14" i="70"/>
  <c r="AB14" i="70"/>
  <c r="M18" i="70"/>
  <c r="AB18" i="70"/>
  <c r="M22" i="70"/>
  <c r="AB22" i="70"/>
  <c r="M26" i="70"/>
  <c r="AB26" i="70"/>
  <c r="M30" i="70"/>
  <c r="AB30" i="70"/>
  <c r="L16" i="70"/>
  <c r="AA16" i="70"/>
  <c r="L24" i="70"/>
  <c r="AA24" i="70"/>
  <c r="L17" i="70"/>
  <c r="AA17" i="70"/>
  <c r="L29" i="70"/>
  <c r="AA29" i="70"/>
  <c r="L14" i="70"/>
  <c r="AA14" i="70"/>
  <c r="L18" i="70"/>
  <c r="AA18" i="70"/>
  <c r="L22" i="70"/>
  <c r="AA22" i="70"/>
  <c r="L26" i="70"/>
  <c r="AA26" i="70"/>
  <c r="L30" i="70"/>
  <c r="AA30" i="70"/>
  <c r="L12" i="70"/>
  <c r="AA12" i="70"/>
  <c r="L20" i="70"/>
  <c r="AA20" i="70"/>
  <c r="L28" i="70"/>
  <c r="AA28" i="70"/>
  <c r="L13" i="70"/>
  <c r="AA13" i="70"/>
  <c r="L21" i="70"/>
  <c r="AA21" i="70"/>
  <c r="L25" i="70"/>
  <c r="AA25" i="70"/>
  <c r="L33" i="70"/>
  <c r="AA33" i="70"/>
  <c r="L11" i="70"/>
  <c r="AA11" i="70"/>
  <c r="L15" i="70"/>
  <c r="AA15" i="70"/>
  <c r="L19" i="70"/>
  <c r="AA19" i="70"/>
  <c r="L23" i="70"/>
  <c r="AA23" i="70"/>
  <c r="L27" i="70"/>
  <c r="AA27" i="70"/>
  <c r="L31" i="70"/>
  <c r="AA31" i="70"/>
  <c r="L10" i="70"/>
  <c r="AA10" i="70"/>
  <c r="AN313" i="83"/>
  <c r="AR282" i="83"/>
  <c r="AP313" i="83"/>
  <c r="AT282" i="83"/>
  <c r="AU282" i="83"/>
  <c r="P282" i="83"/>
  <c r="AW63" i="83"/>
  <c r="AT63" i="83"/>
  <c r="AS63" i="83"/>
  <c r="AN63" i="83"/>
  <c r="P32" i="83"/>
  <c r="AU32" i="83"/>
  <c r="AP63" i="83"/>
  <c r="AQ63" i="83"/>
  <c r="AV63" i="83"/>
  <c r="BB63" i="83"/>
  <c r="AX63" i="83"/>
  <c r="P28" i="70"/>
  <c r="V77" i="76" s="1"/>
  <c r="P10" i="70"/>
  <c r="P14" i="70"/>
  <c r="H77" i="76" s="1"/>
  <c r="P18" i="70"/>
  <c r="L77" i="76" s="1"/>
  <c r="P22" i="70"/>
  <c r="P77" i="76" s="1"/>
  <c r="P26" i="70"/>
  <c r="T77" i="76" s="1"/>
  <c r="P30" i="70"/>
  <c r="X77" i="76" s="1"/>
  <c r="AC118" i="60"/>
  <c r="AB119" i="60"/>
  <c r="AA120" i="60"/>
  <c r="AE120" i="60"/>
  <c r="AD121" i="60"/>
  <c r="AC122" i="60"/>
  <c r="AB123" i="60"/>
  <c r="AA124" i="60"/>
  <c r="AE124" i="60"/>
  <c r="AD125" i="60"/>
  <c r="AC126" i="60"/>
  <c r="AB127" i="60"/>
  <c r="AA128" i="60"/>
  <c r="AE128" i="60"/>
  <c r="AD129" i="60"/>
  <c r="AC130" i="60"/>
  <c r="AB131" i="60"/>
  <c r="AA132" i="60"/>
  <c r="AE132" i="60"/>
  <c r="AD133" i="60"/>
  <c r="AC134" i="60"/>
  <c r="AB135" i="60"/>
  <c r="AA136" i="60"/>
  <c r="AE136" i="60"/>
  <c r="AD137" i="60"/>
  <c r="AC138" i="60"/>
  <c r="AB139" i="60"/>
  <c r="P23" i="70"/>
  <c r="Q77" i="76" s="1"/>
  <c r="P27" i="70"/>
  <c r="U77" i="76" s="1"/>
  <c r="P31" i="70"/>
  <c r="Y77" i="76" s="1"/>
  <c r="AD118" i="60"/>
  <c r="AC119" i="60"/>
  <c r="AB120" i="60"/>
  <c r="AA121" i="60"/>
  <c r="AE121" i="60"/>
  <c r="AD122" i="60"/>
  <c r="AC123" i="60"/>
  <c r="AB124" i="60"/>
  <c r="AA125" i="60"/>
  <c r="AE125" i="60"/>
  <c r="AD126" i="60"/>
  <c r="AC127" i="60"/>
  <c r="AB128" i="60"/>
  <c r="AA129" i="60"/>
  <c r="AE129" i="60"/>
  <c r="AD130" i="60"/>
  <c r="AC131" i="60"/>
  <c r="AB132" i="60"/>
  <c r="AA133" i="60"/>
  <c r="AE133" i="60"/>
  <c r="AD134" i="60"/>
  <c r="AC135" i="60"/>
  <c r="AB136" i="60"/>
  <c r="AA137" i="60"/>
  <c r="AE137" i="60"/>
  <c r="AD138" i="60"/>
  <c r="AC139" i="60"/>
  <c r="AL139" i="60"/>
  <c r="L118" i="60"/>
  <c r="AA118" i="60"/>
  <c r="AE118" i="60"/>
  <c r="AD119" i="60"/>
  <c r="AC120" i="60"/>
  <c r="AB121" i="60"/>
  <c r="AA122" i="60"/>
  <c r="AE122" i="60"/>
  <c r="AD123" i="60"/>
  <c r="AC124" i="60"/>
  <c r="AB125" i="60"/>
  <c r="AA126" i="60"/>
  <c r="AE126" i="60"/>
  <c r="AD127" i="60"/>
  <c r="AC128" i="60"/>
  <c r="AB129" i="60"/>
  <c r="AA130" i="60"/>
  <c r="AE130" i="60"/>
  <c r="AD131" i="60"/>
  <c r="AB133" i="60"/>
  <c r="AA134" i="60"/>
  <c r="AE134" i="60"/>
  <c r="AD135" i="60"/>
  <c r="AC136" i="60"/>
  <c r="AB137" i="60"/>
  <c r="AA138" i="60"/>
  <c r="AE138" i="60"/>
  <c r="AD139" i="60"/>
  <c r="P13" i="70"/>
  <c r="G77" i="76" s="1"/>
  <c r="P17" i="70"/>
  <c r="K77" i="76" s="1"/>
  <c r="P25" i="70"/>
  <c r="S77" i="76" s="1"/>
  <c r="P29" i="70"/>
  <c r="W77" i="76" s="1"/>
  <c r="P33" i="70"/>
  <c r="AB118" i="60"/>
  <c r="AA119" i="60"/>
  <c r="AE119" i="60"/>
  <c r="AD120" i="60"/>
  <c r="AC121" i="60"/>
  <c r="AB122" i="60"/>
  <c r="AA123" i="60"/>
  <c r="AE123" i="60"/>
  <c r="AD124" i="60"/>
  <c r="AC125" i="60"/>
  <c r="AB126" i="60"/>
  <c r="AA127" i="60"/>
  <c r="AE127" i="60"/>
  <c r="AD128" i="60"/>
  <c r="AC129" i="60"/>
  <c r="AB130" i="60"/>
  <c r="AA131" i="60"/>
  <c r="AE131" i="60"/>
  <c r="AD132" i="60"/>
  <c r="AC133" i="60"/>
  <c r="AB134" i="60"/>
  <c r="AA135" i="60"/>
  <c r="AE135" i="60"/>
  <c r="AD136" i="60"/>
  <c r="AC137" i="60"/>
  <c r="AB138" i="60"/>
  <c r="AA139" i="60"/>
  <c r="AE139" i="60"/>
  <c r="AH172" i="70"/>
  <c r="AG172" i="70"/>
  <c r="AF172" i="70"/>
  <c r="AE172" i="70"/>
  <c r="AH170" i="70"/>
  <c r="AG170" i="70"/>
  <c r="AF170" i="70"/>
  <c r="AE170" i="70"/>
  <c r="AH169" i="70"/>
  <c r="AG169" i="70"/>
  <c r="AF169" i="70"/>
  <c r="AE169" i="70"/>
  <c r="AH168" i="70"/>
  <c r="AG168" i="70"/>
  <c r="AF168" i="70"/>
  <c r="AE168" i="70"/>
  <c r="AH167" i="70"/>
  <c r="AG167" i="70"/>
  <c r="AF167" i="70"/>
  <c r="AE167" i="70"/>
  <c r="AH166" i="70"/>
  <c r="AG166" i="70"/>
  <c r="AF166" i="70"/>
  <c r="AE166" i="70"/>
  <c r="AH165" i="70"/>
  <c r="AG165" i="70"/>
  <c r="AF165" i="70"/>
  <c r="AE165" i="70"/>
  <c r="AH164" i="70"/>
  <c r="AG164" i="70"/>
  <c r="AF164" i="70"/>
  <c r="AE164" i="70"/>
  <c r="AH163" i="70"/>
  <c r="AF163" i="70"/>
  <c r="AE163" i="70"/>
  <c r="AH162" i="70"/>
  <c r="AG162" i="70"/>
  <c r="AF162" i="70"/>
  <c r="AE162" i="70"/>
  <c r="AH161" i="70"/>
  <c r="AG161" i="70"/>
  <c r="AF161" i="70"/>
  <c r="AE161" i="70"/>
  <c r="AH160" i="70"/>
  <c r="AG160" i="70"/>
  <c r="AF160" i="70"/>
  <c r="AE160" i="70"/>
  <c r="AH159" i="70"/>
  <c r="AG159" i="70"/>
  <c r="AF159" i="70"/>
  <c r="AE159" i="70"/>
  <c r="AH158" i="70"/>
  <c r="AG158" i="70"/>
  <c r="AF158" i="70"/>
  <c r="AE158" i="70"/>
  <c r="AH157" i="70"/>
  <c r="AG157" i="70"/>
  <c r="AF157" i="70"/>
  <c r="AE157" i="70"/>
  <c r="AH156" i="70"/>
  <c r="AG156" i="70"/>
  <c r="AF156" i="70"/>
  <c r="AE156" i="70"/>
  <c r="AH155" i="70"/>
  <c r="AG155" i="70"/>
  <c r="AF155" i="70"/>
  <c r="AE155" i="70"/>
  <c r="AH154" i="70"/>
  <c r="AG154" i="70"/>
  <c r="AF154" i="70"/>
  <c r="AE154" i="70"/>
  <c r="AH153" i="70"/>
  <c r="AG153" i="70"/>
  <c r="AF153" i="70"/>
  <c r="AE153" i="70"/>
  <c r="AH152" i="70"/>
  <c r="AG152" i="70"/>
  <c r="AF152" i="70"/>
  <c r="AE152" i="70"/>
  <c r="AH151" i="70"/>
  <c r="AG151" i="70"/>
  <c r="AF151" i="70"/>
  <c r="AE151" i="70"/>
  <c r="AH150" i="70"/>
  <c r="AG150" i="70"/>
  <c r="AF150" i="70"/>
  <c r="AE150" i="70"/>
  <c r="AH149" i="70"/>
  <c r="AG149" i="70"/>
  <c r="AF149" i="70"/>
  <c r="AE149" i="70"/>
  <c r="AC172" i="70"/>
  <c r="AB172" i="70"/>
  <c r="G100" i="60" s="1"/>
  <c r="AA172" i="70"/>
  <c r="Z172" i="70"/>
  <c r="Y172" i="70"/>
  <c r="AC170" i="70"/>
  <c r="AB170" i="70"/>
  <c r="AA170" i="70"/>
  <c r="Z170" i="70"/>
  <c r="Y170" i="70"/>
  <c r="AC169" i="70"/>
  <c r="AB169" i="70"/>
  <c r="AA169" i="70"/>
  <c r="Z169" i="70"/>
  <c r="Y169" i="70"/>
  <c r="AC168" i="70"/>
  <c r="AB168" i="70"/>
  <c r="AA168" i="70"/>
  <c r="Z168" i="70"/>
  <c r="Y168" i="70"/>
  <c r="AC167" i="70"/>
  <c r="AB167" i="70"/>
  <c r="AA167" i="70"/>
  <c r="Z167" i="70"/>
  <c r="Y167" i="70"/>
  <c r="AC166" i="70"/>
  <c r="AB166" i="70"/>
  <c r="AA166" i="70"/>
  <c r="Z166" i="70"/>
  <c r="Y166" i="70"/>
  <c r="AC165" i="70"/>
  <c r="AB165" i="70"/>
  <c r="AA165" i="70"/>
  <c r="Z165" i="70"/>
  <c r="Y165" i="70"/>
  <c r="AC164" i="70"/>
  <c r="AB164" i="70"/>
  <c r="AA164" i="70"/>
  <c r="Z164" i="70"/>
  <c r="Y164" i="70"/>
  <c r="AC163" i="70"/>
  <c r="AB163" i="70"/>
  <c r="Z163" i="70"/>
  <c r="Y163" i="70"/>
  <c r="AC162" i="70"/>
  <c r="AB162" i="70"/>
  <c r="AA162" i="70"/>
  <c r="Z162" i="70"/>
  <c r="Y162" i="70"/>
  <c r="AC161" i="70"/>
  <c r="AB161" i="70"/>
  <c r="AA161" i="70"/>
  <c r="Z161" i="70"/>
  <c r="Y161" i="70"/>
  <c r="AC160" i="70"/>
  <c r="AB160" i="70"/>
  <c r="AA160" i="70"/>
  <c r="Z160" i="70"/>
  <c r="Y160" i="70"/>
  <c r="AC159" i="70"/>
  <c r="H87" i="60" s="1"/>
  <c r="AB159" i="70"/>
  <c r="AA159" i="70"/>
  <c r="Z159" i="70"/>
  <c r="Y159" i="70"/>
  <c r="AC158" i="70"/>
  <c r="AB158" i="70"/>
  <c r="AA158" i="70"/>
  <c r="Z158" i="70"/>
  <c r="Y158" i="70"/>
  <c r="AC157" i="70"/>
  <c r="AB157" i="70"/>
  <c r="AA157" i="70"/>
  <c r="Z157" i="70"/>
  <c r="Y157" i="70"/>
  <c r="AC156" i="70"/>
  <c r="AB156" i="70"/>
  <c r="AA156" i="70"/>
  <c r="Z156" i="70"/>
  <c r="Y156" i="70"/>
  <c r="AC155" i="70"/>
  <c r="AB155" i="70"/>
  <c r="AA155" i="70"/>
  <c r="Z155" i="70"/>
  <c r="Y155" i="70"/>
  <c r="AC154" i="70"/>
  <c r="AB154" i="70"/>
  <c r="AA154" i="70"/>
  <c r="Z154" i="70"/>
  <c r="Y154" i="70"/>
  <c r="AC153" i="70"/>
  <c r="AB153" i="70"/>
  <c r="AA153" i="70"/>
  <c r="Z153" i="70"/>
  <c r="Y153" i="70"/>
  <c r="AC152" i="70"/>
  <c r="AB152" i="70"/>
  <c r="AA152" i="70"/>
  <c r="Z152" i="70"/>
  <c r="Y152" i="70"/>
  <c r="AC151" i="70"/>
  <c r="AB151" i="70"/>
  <c r="AA151" i="70"/>
  <c r="Z151" i="70"/>
  <c r="Y151" i="70"/>
  <c r="AC150" i="70"/>
  <c r="AB150" i="70"/>
  <c r="AA150" i="70"/>
  <c r="Z150" i="70"/>
  <c r="Y150" i="70"/>
  <c r="AC149" i="70"/>
  <c r="AB149" i="70"/>
  <c r="AA149" i="70"/>
  <c r="Z149" i="70"/>
  <c r="Y149" i="70"/>
  <c r="H105" i="70"/>
  <c r="G105" i="70"/>
  <c r="F105" i="70"/>
  <c r="E105" i="70"/>
  <c r="D105" i="70"/>
  <c r="H103" i="70"/>
  <c r="AF103" i="70"/>
  <c r="H102" i="70"/>
  <c r="G102" i="70"/>
  <c r="E102" i="70"/>
  <c r="D102" i="70"/>
  <c r="AF102" i="70" s="1"/>
  <c r="H101" i="70"/>
  <c r="G101" i="70"/>
  <c r="F101" i="70"/>
  <c r="E101" i="70"/>
  <c r="D101" i="70"/>
  <c r="AF101" i="70" s="1"/>
  <c r="H100" i="70"/>
  <c r="G100" i="70"/>
  <c r="E100" i="70"/>
  <c r="D100" i="70"/>
  <c r="AF100" i="70" s="1"/>
  <c r="H99" i="70"/>
  <c r="G99" i="70"/>
  <c r="F99" i="70"/>
  <c r="E99" i="70"/>
  <c r="D99" i="70"/>
  <c r="AF99" i="70" s="1"/>
  <c r="H98" i="70"/>
  <c r="G98" i="70"/>
  <c r="F98" i="70"/>
  <c r="E98" i="70"/>
  <c r="D98" i="70"/>
  <c r="AF98" i="70" s="1"/>
  <c r="H97" i="70"/>
  <c r="G97" i="70"/>
  <c r="F97" i="70"/>
  <c r="E97" i="70"/>
  <c r="D97" i="70"/>
  <c r="AF97" i="70" s="1"/>
  <c r="H96" i="70"/>
  <c r="G96" i="70"/>
  <c r="E96" i="70"/>
  <c r="D96" i="70"/>
  <c r="AF96" i="70" s="1"/>
  <c r="H95" i="70"/>
  <c r="G95" i="70"/>
  <c r="F95" i="70"/>
  <c r="E95" i="70"/>
  <c r="D95" i="70"/>
  <c r="AF95" i="70" s="1"/>
  <c r="H94" i="70"/>
  <c r="G94" i="70"/>
  <c r="F94" i="70"/>
  <c r="E94" i="70"/>
  <c r="D94" i="70"/>
  <c r="AF94" i="70" s="1"/>
  <c r="H93" i="70"/>
  <c r="G93" i="70"/>
  <c r="F93" i="70"/>
  <c r="E93" i="70"/>
  <c r="D93" i="70"/>
  <c r="AF93" i="70" s="1"/>
  <c r="H92" i="70"/>
  <c r="G92" i="70"/>
  <c r="F92" i="70"/>
  <c r="E92" i="70"/>
  <c r="D92" i="70"/>
  <c r="AF92" i="70" s="1"/>
  <c r="H91" i="70"/>
  <c r="G91" i="70"/>
  <c r="F91" i="70"/>
  <c r="E91" i="70"/>
  <c r="D91" i="70"/>
  <c r="AF91" i="70" s="1"/>
  <c r="H90" i="70"/>
  <c r="G90" i="70"/>
  <c r="F90" i="70"/>
  <c r="E90" i="70"/>
  <c r="D90" i="70"/>
  <c r="AF90" i="70" s="1"/>
  <c r="H89" i="70"/>
  <c r="G89" i="70"/>
  <c r="F89" i="70"/>
  <c r="E89" i="70"/>
  <c r="D89" i="70"/>
  <c r="AF89" i="70" s="1"/>
  <c r="H88" i="70"/>
  <c r="G88" i="70"/>
  <c r="F88" i="70"/>
  <c r="E88" i="70"/>
  <c r="D88" i="70"/>
  <c r="AF88" i="70" s="1"/>
  <c r="H87" i="70"/>
  <c r="G87" i="70"/>
  <c r="F87" i="70"/>
  <c r="E87" i="70"/>
  <c r="D87" i="70"/>
  <c r="AF87" i="70" s="1"/>
  <c r="H86" i="70"/>
  <c r="G86" i="70"/>
  <c r="F86" i="70"/>
  <c r="E86" i="70"/>
  <c r="D86" i="70"/>
  <c r="AF86" i="70" s="1"/>
  <c r="H85" i="70"/>
  <c r="G85" i="70"/>
  <c r="F85" i="70"/>
  <c r="E85" i="70"/>
  <c r="D85" i="70"/>
  <c r="AF85" i="70" s="1"/>
  <c r="H84" i="70"/>
  <c r="G84" i="70"/>
  <c r="F84" i="70"/>
  <c r="E84" i="70"/>
  <c r="D84" i="70"/>
  <c r="AF84" i="70" s="1"/>
  <c r="H83" i="70"/>
  <c r="G83" i="70"/>
  <c r="F83" i="70"/>
  <c r="E83" i="70"/>
  <c r="D83" i="70"/>
  <c r="AF83" i="70" s="1"/>
  <c r="H82" i="70"/>
  <c r="G82" i="70"/>
  <c r="D82" i="70"/>
  <c r="AE105" i="70"/>
  <c r="P105" i="70" s="1"/>
  <c r="AD105" i="70"/>
  <c r="AC105" i="70"/>
  <c r="AB105" i="70"/>
  <c r="AA105" i="70"/>
  <c r="L105" i="70" s="1"/>
  <c r="AE103" i="70"/>
  <c r="AD103" i="70"/>
  <c r="O103" i="70" s="1"/>
  <c r="AC103" i="70"/>
  <c r="N103" i="70" s="1"/>
  <c r="AB103" i="70"/>
  <c r="M103" i="70" s="1"/>
  <c r="AA103" i="70"/>
  <c r="L103" i="70" s="1"/>
  <c r="AE102" i="70"/>
  <c r="P102" i="70" s="1"/>
  <c r="AD102" i="70"/>
  <c r="AC102" i="70"/>
  <c r="N102" i="70" s="1"/>
  <c r="AB102" i="70"/>
  <c r="AA102" i="70"/>
  <c r="AE101" i="70"/>
  <c r="AD101" i="70"/>
  <c r="AC101" i="70"/>
  <c r="AB101" i="70"/>
  <c r="AA101" i="70"/>
  <c r="AE100" i="70"/>
  <c r="P100" i="70" s="1"/>
  <c r="AD100" i="70"/>
  <c r="AC100" i="70"/>
  <c r="N100" i="70" s="1"/>
  <c r="AB100" i="70"/>
  <c r="AA100" i="70"/>
  <c r="L100" i="70" s="1"/>
  <c r="AE99" i="70"/>
  <c r="P99" i="70" s="1"/>
  <c r="AD99" i="70"/>
  <c r="O99" i="70" s="1"/>
  <c r="AC99" i="70"/>
  <c r="AB99" i="70"/>
  <c r="M99" i="70" s="1"/>
  <c r="AA99" i="70"/>
  <c r="L99" i="70" s="1"/>
  <c r="AE98" i="70"/>
  <c r="P98" i="70" s="1"/>
  <c r="AD98" i="70"/>
  <c r="O98" i="70" s="1"/>
  <c r="AC98" i="70"/>
  <c r="N98" i="70" s="1"/>
  <c r="AB98" i="70"/>
  <c r="M98" i="70" s="1"/>
  <c r="AA98" i="70"/>
  <c r="L98" i="70" s="1"/>
  <c r="AE97" i="70"/>
  <c r="P97" i="70" s="1"/>
  <c r="AD97" i="70"/>
  <c r="O97" i="70" s="1"/>
  <c r="AC97" i="70"/>
  <c r="N97" i="70" s="1"/>
  <c r="AB97" i="70"/>
  <c r="M97" i="70" s="1"/>
  <c r="AA97" i="70"/>
  <c r="L97" i="70" s="1"/>
  <c r="AE96" i="70"/>
  <c r="P96" i="70" s="1"/>
  <c r="AD96" i="70"/>
  <c r="O96" i="70" s="1"/>
  <c r="AB96" i="70"/>
  <c r="M96" i="70" s="1"/>
  <c r="AA96" i="70"/>
  <c r="L96" i="70" s="1"/>
  <c r="AE95" i="70"/>
  <c r="P95" i="70" s="1"/>
  <c r="AD95" i="70"/>
  <c r="O95" i="70" s="1"/>
  <c r="AC95" i="70"/>
  <c r="AB95" i="70"/>
  <c r="M95" i="70" s="1"/>
  <c r="AA95" i="70"/>
  <c r="AE94" i="70"/>
  <c r="P94" i="70" s="1"/>
  <c r="AD94" i="70"/>
  <c r="O94" i="70" s="1"/>
  <c r="AC94" i="70"/>
  <c r="N94" i="70" s="1"/>
  <c r="AB94" i="70"/>
  <c r="M94" i="70" s="1"/>
  <c r="AA94" i="70"/>
  <c r="L94" i="70" s="1"/>
  <c r="AE93" i="70"/>
  <c r="P93" i="70" s="1"/>
  <c r="AD93" i="70"/>
  <c r="O93" i="70" s="1"/>
  <c r="AC93" i="70"/>
  <c r="N93" i="70" s="1"/>
  <c r="AB93" i="70"/>
  <c r="M93" i="70" s="1"/>
  <c r="AA93" i="70"/>
  <c r="L93" i="70" s="1"/>
  <c r="AE92" i="70"/>
  <c r="P92" i="70" s="1"/>
  <c r="AD92" i="70"/>
  <c r="O92" i="70" s="1"/>
  <c r="AC92" i="70"/>
  <c r="N92" i="70" s="1"/>
  <c r="AB92" i="70"/>
  <c r="M92" i="70" s="1"/>
  <c r="AA92" i="70"/>
  <c r="L92" i="70" s="1"/>
  <c r="AE91" i="70"/>
  <c r="P91" i="70" s="1"/>
  <c r="AD91" i="70"/>
  <c r="O91" i="70" s="1"/>
  <c r="AC91" i="70"/>
  <c r="AB91" i="70"/>
  <c r="M91" i="70" s="1"/>
  <c r="AA91" i="70"/>
  <c r="L91" i="70" s="1"/>
  <c r="AE90" i="70"/>
  <c r="P90" i="70" s="1"/>
  <c r="AD90" i="70"/>
  <c r="O90" i="70" s="1"/>
  <c r="AC90" i="70"/>
  <c r="AB90" i="70"/>
  <c r="M90" i="70" s="1"/>
  <c r="AA90" i="70"/>
  <c r="L90" i="70" s="1"/>
  <c r="AE89" i="70"/>
  <c r="P89" i="70" s="1"/>
  <c r="AD89" i="70"/>
  <c r="O89" i="70" s="1"/>
  <c r="AC89" i="70"/>
  <c r="N89" i="70" s="1"/>
  <c r="AB89" i="70"/>
  <c r="M89" i="70" s="1"/>
  <c r="AA89" i="70"/>
  <c r="L89" i="70" s="1"/>
  <c r="AE88" i="70"/>
  <c r="P88" i="70" s="1"/>
  <c r="AD88" i="70"/>
  <c r="O88" i="70" s="1"/>
  <c r="AC88" i="70"/>
  <c r="N88" i="70" s="1"/>
  <c r="AB88" i="70"/>
  <c r="M88" i="70" s="1"/>
  <c r="AA88" i="70"/>
  <c r="L88" i="70" s="1"/>
  <c r="AE87" i="70"/>
  <c r="P87" i="70" s="1"/>
  <c r="AD87" i="70"/>
  <c r="O87" i="70" s="1"/>
  <c r="AC87" i="70"/>
  <c r="AB87" i="70"/>
  <c r="M87" i="70" s="1"/>
  <c r="AA87" i="70"/>
  <c r="L87" i="70" s="1"/>
  <c r="AE86" i="70"/>
  <c r="P86" i="70" s="1"/>
  <c r="AD86" i="70"/>
  <c r="O86" i="70" s="1"/>
  <c r="AC86" i="70"/>
  <c r="AB86" i="70"/>
  <c r="M86" i="70" s="1"/>
  <c r="AA86" i="70"/>
  <c r="L86" i="70" s="1"/>
  <c r="AE85" i="70"/>
  <c r="P85" i="70" s="1"/>
  <c r="AD85" i="70"/>
  <c r="O85" i="70" s="1"/>
  <c r="AC85" i="70"/>
  <c r="N85" i="70" s="1"/>
  <c r="AB85" i="70"/>
  <c r="M85" i="70" s="1"/>
  <c r="AA85" i="70"/>
  <c r="L85" i="70" s="1"/>
  <c r="AE84" i="70"/>
  <c r="P84" i="70" s="1"/>
  <c r="AD84" i="70"/>
  <c r="O84" i="70" s="1"/>
  <c r="AC84" i="70"/>
  <c r="N84" i="70" s="1"/>
  <c r="AB84" i="70"/>
  <c r="M84" i="70" s="1"/>
  <c r="AA84" i="70"/>
  <c r="L84" i="70" s="1"/>
  <c r="AE83" i="70"/>
  <c r="P83" i="70" s="1"/>
  <c r="AD83" i="70"/>
  <c r="O83" i="70" s="1"/>
  <c r="AC83" i="70"/>
  <c r="AB83" i="70"/>
  <c r="AA83" i="70"/>
  <c r="L83" i="70" s="1"/>
  <c r="AE82" i="70"/>
  <c r="P82" i="70" s="1"/>
  <c r="AL82" i="70" s="1"/>
  <c r="AM82" i="70" s="1"/>
  <c r="AD82" i="70"/>
  <c r="O82" i="70" s="1"/>
  <c r="AC82" i="70"/>
  <c r="N82" i="70" s="1"/>
  <c r="AB82" i="70"/>
  <c r="M82" i="70" s="1"/>
  <c r="L102" i="70" l="1"/>
  <c r="M102" i="70"/>
  <c r="P103" i="70"/>
  <c r="M105" i="70"/>
  <c r="P101" i="70"/>
  <c r="L95" i="70"/>
  <c r="O105" i="70"/>
  <c r="L101" i="70"/>
  <c r="AF82" i="70"/>
  <c r="L82" i="70"/>
  <c r="M101" i="70"/>
  <c r="M83" i="70"/>
  <c r="M100" i="70"/>
  <c r="N95" i="70"/>
  <c r="N99" i="70"/>
  <c r="N83" i="70"/>
  <c r="N90" i="70"/>
  <c r="N87" i="70"/>
  <c r="N86" i="70"/>
  <c r="N91" i="70"/>
  <c r="N105" i="70"/>
  <c r="N101" i="70"/>
  <c r="O102" i="70"/>
  <c r="O100" i="70"/>
  <c r="O101" i="70"/>
  <c r="V78" i="76"/>
  <c r="H207" i="60"/>
  <c r="H100" i="60"/>
  <c r="H172" i="70"/>
  <c r="AA77" i="76"/>
  <c r="AR33" i="70"/>
  <c r="AO33" i="70"/>
  <c r="AP33" i="70"/>
  <c r="AQ33" i="70"/>
  <c r="L21" i="92"/>
  <c r="AG10" i="70"/>
  <c r="D77" i="76"/>
  <c r="B21" i="92" s="1"/>
  <c r="Q133" i="60"/>
  <c r="Q24" i="60"/>
  <c r="Q128" i="60"/>
  <c r="Q121" i="60"/>
  <c r="Q131" i="60"/>
  <c r="Q132" i="60"/>
  <c r="Q119" i="60"/>
  <c r="Q126" i="60"/>
  <c r="Q137" i="60"/>
  <c r="Q27" i="60"/>
  <c r="Q125" i="60"/>
  <c r="Q136" i="60"/>
  <c r="Q120" i="60"/>
  <c r="Q130" i="60"/>
  <c r="Q127" i="60"/>
  <c r="Q138" i="60"/>
  <c r="Q122" i="60"/>
  <c r="Q129" i="60"/>
  <c r="Q123" i="60"/>
  <c r="Q124" i="60"/>
  <c r="Q134" i="60"/>
  <c r="Q118" i="60"/>
  <c r="Q135" i="60"/>
  <c r="AL65" i="60"/>
  <c r="Y84" i="70"/>
  <c r="Y88" i="70"/>
  <c r="Y92" i="70"/>
  <c r="Y96" i="70"/>
  <c r="Y100" i="70"/>
  <c r="D184" i="60"/>
  <c r="D77" i="60"/>
  <c r="Y85" i="70"/>
  <c r="Y89" i="70"/>
  <c r="Y93" i="70"/>
  <c r="Y97" i="70"/>
  <c r="Y101" i="70"/>
  <c r="Y86" i="70"/>
  <c r="Y94" i="70"/>
  <c r="Z94" i="70"/>
  <c r="Y102" i="70"/>
  <c r="Y83" i="70"/>
  <c r="Y87" i="70"/>
  <c r="Y91" i="70"/>
  <c r="Y95" i="70"/>
  <c r="Y99" i="70"/>
  <c r="Z99" i="70"/>
  <c r="Y103" i="70"/>
  <c r="AA140" i="60"/>
  <c r="L140" i="60" s="1"/>
  <c r="Q11" i="60"/>
  <c r="AG11" i="60"/>
  <c r="Y82" i="70"/>
  <c r="Y90" i="70"/>
  <c r="Y98" i="70"/>
  <c r="Z98" i="70"/>
  <c r="Y140" i="60"/>
  <c r="Y32" i="70"/>
  <c r="J78" i="76"/>
  <c r="AT136" i="70"/>
  <c r="F78" i="76"/>
  <c r="N78" i="76"/>
  <c r="R78" i="76"/>
  <c r="D149" i="70"/>
  <c r="L78" i="76"/>
  <c r="D78" i="76"/>
  <c r="B22" i="92" s="1"/>
  <c r="H78" i="76"/>
  <c r="P78" i="76"/>
  <c r="X78" i="76"/>
  <c r="J105" i="70"/>
  <c r="AI82" i="70"/>
  <c r="AQ82" i="70"/>
  <c r="AH83" i="70"/>
  <c r="AP83" i="70"/>
  <c r="AO84" i="70"/>
  <c r="AG84" i="70"/>
  <c r="AJ85" i="70"/>
  <c r="AR85" i="70"/>
  <c r="AI86" i="70"/>
  <c r="AQ86" i="70"/>
  <c r="AH87" i="70"/>
  <c r="AP87" i="70"/>
  <c r="AO88" i="70"/>
  <c r="AG88" i="70"/>
  <c r="AJ89" i="70"/>
  <c r="AR89" i="70"/>
  <c r="AI90" i="70"/>
  <c r="AQ90" i="70"/>
  <c r="AH91" i="70"/>
  <c r="AP91" i="70"/>
  <c r="AO92" i="70"/>
  <c r="AG92" i="70"/>
  <c r="AJ93" i="70"/>
  <c r="AR93" i="70"/>
  <c r="AI94" i="70"/>
  <c r="AQ94" i="70"/>
  <c r="AH95" i="70"/>
  <c r="AP95" i="70"/>
  <c r="AO96" i="70"/>
  <c r="AG96" i="70"/>
  <c r="AJ97" i="70"/>
  <c r="AR97" i="70"/>
  <c r="AI98" i="70"/>
  <c r="AQ98" i="70"/>
  <c r="AH99" i="70"/>
  <c r="AP99" i="70"/>
  <c r="AO100" i="70"/>
  <c r="AG100" i="70"/>
  <c r="AJ101" i="70"/>
  <c r="AR101" i="70"/>
  <c r="AI102" i="70"/>
  <c r="AQ102" i="70"/>
  <c r="AH103" i="70"/>
  <c r="AP103" i="70"/>
  <c r="G78" i="76"/>
  <c r="K78" i="76"/>
  <c r="O78" i="76"/>
  <c r="S78" i="76"/>
  <c r="W78" i="76"/>
  <c r="AF104" i="70"/>
  <c r="AJ82" i="70"/>
  <c r="AR82" i="70"/>
  <c r="AQ83" i="70"/>
  <c r="AI83" i="70"/>
  <c r="AH84" i="70"/>
  <c r="AP84" i="70"/>
  <c r="AO85" i="70"/>
  <c r="AG85" i="70"/>
  <c r="AR86" i="70"/>
  <c r="AJ86" i="70"/>
  <c r="AI87" i="70"/>
  <c r="AQ87" i="70"/>
  <c r="AP88" i="70"/>
  <c r="AH88" i="70"/>
  <c r="AG89" i="70"/>
  <c r="AO89" i="70"/>
  <c r="AR90" i="70"/>
  <c r="AJ90" i="70"/>
  <c r="AQ91" i="70"/>
  <c r="AI91" i="70"/>
  <c r="AH92" i="70"/>
  <c r="AP92" i="70"/>
  <c r="AO93" i="70"/>
  <c r="AG93" i="70"/>
  <c r="AJ94" i="70"/>
  <c r="AR94" i="70"/>
  <c r="AI95" i="70"/>
  <c r="AQ95" i="70"/>
  <c r="AG97" i="70"/>
  <c r="AO97" i="70"/>
  <c r="AR98" i="70"/>
  <c r="AJ98" i="70"/>
  <c r="AQ99" i="70"/>
  <c r="AI99" i="70"/>
  <c r="AH100" i="70"/>
  <c r="AP100" i="70"/>
  <c r="AO101" i="70"/>
  <c r="AG101" i="70"/>
  <c r="AR102" i="70"/>
  <c r="AJ102" i="70"/>
  <c r="AI103" i="70"/>
  <c r="AQ103" i="70"/>
  <c r="AO82" i="70"/>
  <c r="AG82" i="70"/>
  <c r="AJ83" i="70"/>
  <c r="AR83" i="70"/>
  <c r="AI84" i="70"/>
  <c r="AQ84" i="70"/>
  <c r="AH85" i="70"/>
  <c r="AP85" i="70"/>
  <c r="AO86" i="70"/>
  <c r="AG86" i="70"/>
  <c r="AJ87" i="70"/>
  <c r="AR87" i="70"/>
  <c r="AI88" i="70"/>
  <c r="AQ88" i="70"/>
  <c r="AH89" i="70"/>
  <c r="AP89" i="70"/>
  <c r="AO90" i="70"/>
  <c r="AG90" i="70"/>
  <c r="AJ91" i="70"/>
  <c r="AR91" i="70"/>
  <c r="AI92" i="70"/>
  <c r="AQ92" i="70"/>
  <c r="AH93" i="70"/>
  <c r="AP93" i="70"/>
  <c r="AO94" i="70"/>
  <c r="AG94" i="70"/>
  <c r="AJ95" i="70"/>
  <c r="AR95" i="70"/>
  <c r="AI96" i="70"/>
  <c r="AH97" i="70"/>
  <c r="AP97" i="70"/>
  <c r="AO98" i="70"/>
  <c r="AG98" i="70"/>
  <c r="AJ99" i="70"/>
  <c r="AR99" i="70"/>
  <c r="AI100" i="70"/>
  <c r="AQ100" i="70"/>
  <c r="AH101" i="70"/>
  <c r="AP101" i="70"/>
  <c r="AG102" i="70"/>
  <c r="AO102" i="70"/>
  <c r="AJ103" i="70"/>
  <c r="AR103" i="70"/>
  <c r="E78" i="76"/>
  <c r="I78" i="76"/>
  <c r="M78" i="76"/>
  <c r="Y78" i="76"/>
  <c r="AH82" i="70"/>
  <c r="AP82" i="70"/>
  <c r="AO83" i="70"/>
  <c r="AG83" i="70"/>
  <c r="AR84" i="70"/>
  <c r="AJ84" i="70"/>
  <c r="AI85" i="70"/>
  <c r="AQ85" i="70"/>
  <c r="AP86" i="70"/>
  <c r="AH86" i="70"/>
  <c r="AG87" i="70"/>
  <c r="AO87" i="70"/>
  <c r="AJ88" i="70"/>
  <c r="AR88" i="70"/>
  <c r="AI89" i="70"/>
  <c r="AQ89" i="70"/>
  <c r="AH90" i="70"/>
  <c r="AP90" i="70"/>
  <c r="AO91" i="70"/>
  <c r="AG91" i="70"/>
  <c r="AJ92" i="70"/>
  <c r="AR92" i="70"/>
  <c r="AI93" i="70"/>
  <c r="AQ93" i="70"/>
  <c r="AH94" i="70"/>
  <c r="AP94" i="70"/>
  <c r="AG95" i="70"/>
  <c r="AO95" i="70"/>
  <c r="AJ96" i="70"/>
  <c r="AR96" i="70"/>
  <c r="AQ97" i="70"/>
  <c r="AI97" i="70"/>
  <c r="AH98" i="70"/>
  <c r="AP98" i="70"/>
  <c r="AO99" i="70"/>
  <c r="AG99" i="70"/>
  <c r="AR100" i="70"/>
  <c r="AJ100" i="70"/>
  <c r="AI101" i="70"/>
  <c r="AQ101" i="70"/>
  <c r="AH102" i="70"/>
  <c r="AP102" i="70"/>
  <c r="AO103" i="70"/>
  <c r="AG103" i="70"/>
  <c r="G21" i="92"/>
  <c r="D21" i="92"/>
  <c r="M21" i="92"/>
  <c r="Q23" i="70"/>
  <c r="AB33" i="60"/>
  <c r="AE33" i="60"/>
  <c r="AD33" i="60"/>
  <c r="L33" i="60"/>
  <c r="AO136" i="60"/>
  <c r="I136" i="60" s="1"/>
  <c r="J136" i="60" s="1"/>
  <c r="AO127" i="60"/>
  <c r="I127" i="60" s="1"/>
  <c r="J127" i="60" s="1"/>
  <c r="AO119" i="60"/>
  <c r="I119" i="60" s="1"/>
  <c r="J119" i="60" s="1"/>
  <c r="AO124" i="60"/>
  <c r="I124" i="60" s="1"/>
  <c r="J124" i="60" s="1"/>
  <c r="AO128" i="60"/>
  <c r="I128" i="60" s="1"/>
  <c r="J128" i="60" s="1"/>
  <c r="AO120" i="60"/>
  <c r="I120" i="60" s="1"/>
  <c r="J120" i="60" s="1"/>
  <c r="AO123" i="60"/>
  <c r="I123" i="60" s="1"/>
  <c r="J123" i="60" s="1"/>
  <c r="AO129" i="60"/>
  <c r="I129" i="60" s="1"/>
  <c r="J129" i="60" s="1"/>
  <c r="AO121" i="60"/>
  <c r="I121" i="60" s="1"/>
  <c r="J121" i="60" s="1"/>
  <c r="AO125" i="60"/>
  <c r="I125" i="60" s="1"/>
  <c r="J125" i="60" s="1"/>
  <c r="AO122" i="60"/>
  <c r="I122" i="60" s="1"/>
  <c r="J122" i="60" s="1"/>
  <c r="Q139" i="60"/>
  <c r="AN139" i="60"/>
  <c r="AO134" i="60"/>
  <c r="I134" i="60" s="1"/>
  <c r="J134" i="60" s="1"/>
  <c r="AO118" i="60"/>
  <c r="I118" i="60" s="1"/>
  <c r="J118" i="60" s="1"/>
  <c r="AK139" i="60"/>
  <c r="AO133" i="60"/>
  <c r="I133" i="60" s="1"/>
  <c r="J133" i="60" s="1"/>
  <c r="AM139" i="60"/>
  <c r="AO137" i="60"/>
  <c r="I137" i="60" s="1"/>
  <c r="J137" i="60" s="1"/>
  <c r="AO138" i="60"/>
  <c r="I138" i="60" s="1"/>
  <c r="J138" i="60" s="1"/>
  <c r="AO130" i="60"/>
  <c r="I130" i="60" s="1"/>
  <c r="J130" i="60" s="1"/>
  <c r="AO126" i="60"/>
  <c r="I126" i="60" s="1"/>
  <c r="J126" i="60" s="1"/>
  <c r="AO135" i="60"/>
  <c r="I135" i="60" s="1"/>
  <c r="J135" i="60" s="1"/>
  <c r="AO131" i="60"/>
  <c r="I131" i="60" s="1"/>
  <c r="J131" i="60" s="1"/>
  <c r="I23" i="92"/>
  <c r="Q18" i="60"/>
  <c r="AG18" i="60"/>
  <c r="Q29" i="60"/>
  <c r="AG26" i="60"/>
  <c r="AH26" i="60" s="1"/>
  <c r="R29" i="60" s="1"/>
  <c r="Q13" i="60"/>
  <c r="AG13" i="60"/>
  <c r="Q28" i="60"/>
  <c r="C23" i="92"/>
  <c r="Q12" i="60"/>
  <c r="AG12" i="60"/>
  <c r="U23" i="92"/>
  <c r="Q30" i="60"/>
  <c r="AG27" i="60"/>
  <c r="AH27" i="60" s="1"/>
  <c r="R30" i="60" s="1"/>
  <c r="E23" i="92"/>
  <c r="Q14" i="60"/>
  <c r="AG14" i="60"/>
  <c r="Q23" i="92"/>
  <c r="Q26" i="60"/>
  <c r="AG25" i="60"/>
  <c r="Q21" i="60"/>
  <c r="AG21" i="60"/>
  <c r="K23" i="92"/>
  <c r="Q20" i="60"/>
  <c r="AG20" i="60"/>
  <c r="AH20" i="60" s="1"/>
  <c r="R20" i="60" s="1"/>
  <c r="AM32" i="60"/>
  <c r="Q19" i="60"/>
  <c r="AG19" i="60"/>
  <c r="AO30" i="60"/>
  <c r="I30" i="60" s="1"/>
  <c r="J30" i="60" s="1"/>
  <c r="AO26" i="60"/>
  <c r="I26" i="60" s="1"/>
  <c r="J26" i="60" s="1"/>
  <c r="AO22" i="60"/>
  <c r="I22" i="60" s="1"/>
  <c r="J22" i="60" s="1"/>
  <c r="AO18" i="60"/>
  <c r="I18" i="60" s="1"/>
  <c r="J18" i="60" s="1"/>
  <c r="AO14" i="60"/>
  <c r="I14" i="60" s="1"/>
  <c r="J14" i="60" s="1"/>
  <c r="AO29" i="60"/>
  <c r="I29" i="60" s="1"/>
  <c r="J29" i="60" s="1"/>
  <c r="AO21" i="60"/>
  <c r="I21" i="60" s="1"/>
  <c r="J21" i="60" s="1"/>
  <c r="AO17" i="60"/>
  <c r="I17" i="60" s="1"/>
  <c r="J17" i="60" s="1"/>
  <c r="AO13" i="60"/>
  <c r="I13" i="60" s="1"/>
  <c r="J13" i="60" s="1"/>
  <c r="AO28" i="60"/>
  <c r="I28" i="60" s="1"/>
  <c r="J28" i="60" s="1"/>
  <c r="AO24" i="60"/>
  <c r="I24" i="60" s="1"/>
  <c r="J24" i="60" s="1"/>
  <c r="AO20" i="60"/>
  <c r="I20" i="60" s="1"/>
  <c r="J20" i="60" s="1"/>
  <c r="AO16" i="60"/>
  <c r="I16" i="60" s="1"/>
  <c r="J16" i="60" s="1"/>
  <c r="AO12" i="60"/>
  <c r="I12" i="60" s="1"/>
  <c r="J12" i="60" s="1"/>
  <c r="AO31" i="60"/>
  <c r="I31" i="60" s="1"/>
  <c r="J31" i="60" s="1"/>
  <c r="AO27" i="60"/>
  <c r="I27" i="60" s="1"/>
  <c r="J27" i="60" s="1"/>
  <c r="AO23" i="60"/>
  <c r="I23" i="60" s="1"/>
  <c r="J23" i="60" s="1"/>
  <c r="AO19" i="60"/>
  <c r="I19" i="60" s="1"/>
  <c r="J19" i="60" s="1"/>
  <c r="AO15" i="60"/>
  <c r="I15" i="60" s="1"/>
  <c r="J15" i="60" s="1"/>
  <c r="AO11" i="60"/>
  <c r="I11" i="60" s="1"/>
  <c r="J11" i="60" s="1"/>
  <c r="AK32" i="60"/>
  <c r="P23" i="92"/>
  <c r="Q25" i="60"/>
  <c r="AG24" i="60"/>
  <c r="Q23" i="60"/>
  <c r="AG23" i="60"/>
  <c r="AL32" i="60"/>
  <c r="M23" i="92"/>
  <c r="Q22" i="60"/>
  <c r="AG22" i="60"/>
  <c r="H23" i="92"/>
  <c r="Q17" i="60"/>
  <c r="AG17" i="60"/>
  <c r="Q32" i="60"/>
  <c r="AN32" i="60"/>
  <c r="AG29" i="60"/>
  <c r="Q16" i="60"/>
  <c r="AG16" i="60"/>
  <c r="Q31" i="60"/>
  <c r="AG28" i="60"/>
  <c r="Q15" i="60"/>
  <c r="AG15" i="60"/>
  <c r="T23" i="92"/>
  <c r="L23" i="92"/>
  <c r="D23" i="92"/>
  <c r="W23" i="92"/>
  <c r="G23" i="92"/>
  <c r="J23" i="92"/>
  <c r="B23" i="92"/>
  <c r="N23" i="92"/>
  <c r="F23" i="92"/>
  <c r="AS19" i="70"/>
  <c r="I19" i="70" s="1"/>
  <c r="J19" i="70" s="1"/>
  <c r="AS25" i="70"/>
  <c r="I25" i="70" s="1"/>
  <c r="J25" i="70" s="1"/>
  <c r="AS11" i="70"/>
  <c r="I11" i="70" s="1"/>
  <c r="J11" i="70" s="1"/>
  <c r="AS14" i="70"/>
  <c r="I14" i="70" s="1"/>
  <c r="J14" i="70" s="1"/>
  <c r="AS21" i="70"/>
  <c r="I21" i="70" s="1"/>
  <c r="J21" i="70" s="1"/>
  <c r="AS17" i="70"/>
  <c r="I17" i="70" s="1"/>
  <c r="J17" i="70" s="1"/>
  <c r="Q33" i="70"/>
  <c r="AG28" i="70"/>
  <c r="Q31" i="70"/>
  <c r="AG12" i="70"/>
  <c r="Q12" i="70"/>
  <c r="Q21" i="70"/>
  <c r="AG21" i="70"/>
  <c r="Q29" i="70"/>
  <c r="AG26" i="70"/>
  <c r="Q27" i="70"/>
  <c r="Q26" i="70"/>
  <c r="Q10" i="70"/>
  <c r="AS29" i="70"/>
  <c r="I29" i="70" s="1"/>
  <c r="J29" i="70" s="1"/>
  <c r="AS15" i="70"/>
  <c r="I15" i="70" s="1"/>
  <c r="J15" i="70" s="1"/>
  <c r="Q17" i="70"/>
  <c r="AG17" i="70"/>
  <c r="AG18" i="70"/>
  <c r="Q18" i="70"/>
  <c r="AS27" i="70"/>
  <c r="I27" i="70" s="1"/>
  <c r="J27" i="70" s="1"/>
  <c r="AS13" i="70"/>
  <c r="I13" i="70" s="1"/>
  <c r="J13" i="70" s="1"/>
  <c r="Q13" i="70"/>
  <c r="AG13" i="70"/>
  <c r="Q30" i="70"/>
  <c r="AG27" i="70"/>
  <c r="AG14" i="70"/>
  <c r="Q14" i="70"/>
  <c r="AG20" i="70"/>
  <c r="Q20" i="70"/>
  <c r="Q15" i="70"/>
  <c r="AG15" i="70"/>
  <c r="AS30" i="70"/>
  <c r="I30" i="70" s="1"/>
  <c r="J30" i="70" s="1"/>
  <c r="AS23" i="70"/>
  <c r="I23" i="70" s="1"/>
  <c r="J23" i="70" s="1"/>
  <c r="Q25" i="70"/>
  <c r="AG24" i="70"/>
  <c r="AG22" i="70"/>
  <c r="Q22" i="70"/>
  <c r="Q28" i="70"/>
  <c r="AG25" i="70"/>
  <c r="Q24" i="70"/>
  <c r="AG23" i="70"/>
  <c r="AG16" i="70"/>
  <c r="Q16" i="70"/>
  <c r="Q19" i="70"/>
  <c r="AG19" i="70"/>
  <c r="Q11" i="70"/>
  <c r="AG11" i="70"/>
  <c r="AS22" i="70"/>
  <c r="I22" i="70" s="1"/>
  <c r="J22" i="70" s="1"/>
  <c r="AS10" i="70"/>
  <c r="I10" i="70" s="1"/>
  <c r="J10" i="70" s="1"/>
  <c r="AS31" i="70"/>
  <c r="I31" i="70" s="1"/>
  <c r="J31" i="70" s="1"/>
  <c r="AS18" i="70"/>
  <c r="I18" i="70" s="1"/>
  <c r="J18" i="70" s="1"/>
  <c r="AS20" i="70"/>
  <c r="I20" i="70" s="1"/>
  <c r="J20" i="70" s="1"/>
  <c r="AS16" i="70"/>
  <c r="I16" i="70" s="1"/>
  <c r="J16" i="70" s="1"/>
  <c r="AS12" i="70"/>
  <c r="I12" i="70" s="1"/>
  <c r="J12" i="70" s="1"/>
  <c r="AS26" i="70"/>
  <c r="I26" i="70" s="1"/>
  <c r="J26" i="70" s="1"/>
  <c r="AS28" i="70"/>
  <c r="I28" i="70" s="1"/>
  <c r="J28" i="70" s="1"/>
  <c r="T21" i="92"/>
  <c r="K21" i="92"/>
  <c r="P21" i="92"/>
  <c r="AE32" i="70"/>
  <c r="H21" i="92"/>
  <c r="C21" i="92"/>
  <c r="AD32" i="70"/>
  <c r="AB32" i="70"/>
  <c r="AA32" i="70"/>
  <c r="L32" i="70" s="1"/>
  <c r="AN65" i="60"/>
  <c r="AM65" i="60"/>
  <c r="AO65" i="60"/>
  <c r="V23" i="92"/>
  <c r="AP65" i="60"/>
  <c r="U21" i="92"/>
  <c r="I21" i="92"/>
  <c r="J21" i="92"/>
  <c r="V21" i="92"/>
  <c r="N21" i="92"/>
  <c r="F21" i="92"/>
  <c r="Q21" i="92"/>
  <c r="E21" i="92"/>
  <c r="W21" i="92"/>
  <c r="F185" i="60"/>
  <c r="F78" i="60"/>
  <c r="D187" i="60"/>
  <c r="D80" i="60"/>
  <c r="G188" i="60"/>
  <c r="G81" i="60"/>
  <c r="E190" i="60"/>
  <c r="E83" i="60"/>
  <c r="H191" i="60"/>
  <c r="H84" i="60"/>
  <c r="F193" i="60"/>
  <c r="F86" i="60"/>
  <c r="D195" i="60"/>
  <c r="D88" i="60"/>
  <c r="G196" i="60"/>
  <c r="G89" i="60"/>
  <c r="E198" i="60"/>
  <c r="E91" i="60"/>
  <c r="H199" i="60"/>
  <c r="H92" i="60"/>
  <c r="F201" i="60"/>
  <c r="F94" i="60"/>
  <c r="D203" i="60"/>
  <c r="D96" i="60"/>
  <c r="G97" i="60"/>
  <c r="G204" i="60"/>
  <c r="E207" i="60"/>
  <c r="E100" i="60"/>
  <c r="H149" i="70"/>
  <c r="E152" i="70"/>
  <c r="G185" i="60"/>
  <c r="G78" i="60"/>
  <c r="E187" i="60"/>
  <c r="E80" i="60"/>
  <c r="H188" i="60"/>
  <c r="H81" i="60"/>
  <c r="F190" i="60"/>
  <c r="F83" i="60"/>
  <c r="D192" i="60"/>
  <c r="D85" i="60"/>
  <c r="G193" i="60"/>
  <c r="G86" i="60"/>
  <c r="D196" i="60"/>
  <c r="D89" i="60"/>
  <c r="G197" i="60"/>
  <c r="G90" i="60"/>
  <c r="E199" i="60"/>
  <c r="E92" i="60"/>
  <c r="H200" i="60"/>
  <c r="H93" i="60"/>
  <c r="F202" i="60"/>
  <c r="F95" i="60"/>
  <c r="D204" i="60"/>
  <c r="D97" i="60"/>
  <c r="G205" i="60"/>
  <c r="G98" i="60"/>
  <c r="E149" i="70"/>
  <c r="D150" i="70"/>
  <c r="H150" i="70"/>
  <c r="F152" i="70"/>
  <c r="E153" i="70"/>
  <c r="D154" i="70"/>
  <c r="H154" i="70"/>
  <c r="G155" i="70"/>
  <c r="F156" i="70"/>
  <c r="E157" i="70"/>
  <c r="D158" i="70"/>
  <c r="H158" i="70"/>
  <c r="G159" i="70"/>
  <c r="F160" i="70"/>
  <c r="E161" i="70"/>
  <c r="D162" i="70"/>
  <c r="H162" i="70"/>
  <c r="G163" i="70"/>
  <c r="F164" i="70"/>
  <c r="E165" i="70"/>
  <c r="D166" i="70"/>
  <c r="H166" i="70"/>
  <c r="G167" i="70"/>
  <c r="F168" i="70"/>
  <c r="E169" i="70"/>
  <c r="D170" i="70"/>
  <c r="H170" i="70"/>
  <c r="G172" i="70"/>
  <c r="AB140" i="60"/>
  <c r="M140" i="60" s="1"/>
  <c r="E184" i="60"/>
  <c r="E77" i="60"/>
  <c r="D78" i="60"/>
  <c r="D185" i="60"/>
  <c r="H185" i="60"/>
  <c r="H78" i="60"/>
  <c r="G79" i="60"/>
  <c r="G186" i="60"/>
  <c r="F187" i="60"/>
  <c r="F80" i="60"/>
  <c r="E81" i="60"/>
  <c r="E188" i="60"/>
  <c r="D189" i="60"/>
  <c r="D82" i="60"/>
  <c r="H82" i="60"/>
  <c r="H189" i="60"/>
  <c r="G190" i="60"/>
  <c r="G83" i="60"/>
  <c r="F84" i="60"/>
  <c r="F191" i="60"/>
  <c r="E192" i="60"/>
  <c r="E85" i="60"/>
  <c r="D86" i="60"/>
  <c r="D193" i="60"/>
  <c r="H193" i="60"/>
  <c r="H86" i="60"/>
  <c r="G87" i="60"/>
  <c r="G194" i="60"/>
  <c r="F195" i="60"/>
  <c r="F88" i="60"/>
  <c r="E89" i="60"/>
  <c r="E196" i="60"/>
  <c r="D197" i="60"/>
  <c r="D90" i="60"/>
  <c r="H90" i="60"/>
  <c r="H197" i="60"/>
  <c r="G198" i="60"/>
  <c r="G91" i="60"/>
  <c r="F199" i="60"/>
  <c r="F92" i="60"/>
  <c r="E93" i="60"/>
  <c r="E200" i="60"/>
  <c r="D201" i="60"/>
  <c r="D94" i="60"/>
  <c r="H201" i="60"/>
  <c r="H94" i="60"/>
  <c r="G202" i="60"/>
  <c r="G95" i="60"/>
  <c r="F203" i="60"/>
  <c r="F96" i="60"/>
  <c r="E204" i="60"/>
  <c r="E97" i="60"/>
  <c r="D205" i="60"/>
  <c r="D98" i="60"/>
  <c r="H205" i="60"/>
  <c r="H98" i="60"/>
  <c r="G207" i="60"/>
  <c r="F149" i="70"/>
  <c r="E150" i="70"/>
  <c r="D151" i="70"/>
  <c r="H151" i="70"/>
  <c r="G152" i="70"/>
  <c r="F153" i="70"/>
  <c r="E154" i="70"/>
  <c r="D155" i="70"/>
  <c r="H155" i="70"/>
  <c r="G156" i="70"/>
  <c r="F157" i="70"/>
  <c r="E158" i="70"/>
  <c r="D159" i="70"/>
  <c r="H159" i="70"/>
  <c r="G160" i="70"/>
  <c r="F161" i="70"/>
  <c r="E162" i="70"/>
  <c r="D163" i="70"/>
  <c r="H163" i="70"/>
  <c r="G164" i="70"/>
  <c r="F165" i="70"/>
  <c r="E166" i="70"/>
  <c r="D167" i="70"/>
  <c r="H167" i="70"/>
  <c r="G168" i="70"/>
  <c r="F169" i="70"/>
  <c r="E170" i="70"/>
  <c r="D172" i="70"/>
  <c r="G184" i="60"/>
  <c r="G77" i="60"/>
  <c r="E186" i="60"/>
  <c r="E79" i="60"/>
  <c r="H187" i="60"/>
  <c r="H80" i="60"/>
  <c r="F189" i="60"/>
  <c r="F82" i="60"/>
  <c r="D191" i="60"/>
  <c r="D84" i="60"/>
  <c r="G192" i="60"/>
  <c r="G85" i="60"/>
  <c r="E194" i="60"/>
  <c r="E87" i="60"/>
  <c r="H195" i="60"/>
  <c r="H88" i="60"/>
  <c r="F197" i="60"/>
  <c r="F90" i="60"/>
  <c r="D199" i="60"/>
  <c r="D92" i="60"/>
  <c r="G200" i="60"/>
  <c r="G93" i="60"/>
  <c r="E202" i="60"/>
  <c r="E95" i="60"/>
  <c r="H96" i="60"/>
  <c r="H203" i="60"/>
  <c r="F205" i="60"/>
  <c r="F98" i="60"/>
  <c r="G150" i="70"/>
  <c r="F151" i="70"/>
  <c r="H184" i="60"/>
  <c r="H77" i="60"/>
  <c r="F186" i="60"/>
  <c r="F79" i="60"/>
  <c r="D188" i="60"/>
  <c r="D81" i="60"/>
  <c r="G189" i="60"/>
  <c r="G82" i="60"/>
  <c r="E191" i="60"/>
  <c r="E84" i="60"/>
  <c r="H192" i="60"/>
  <c r="H85" i="60"/>
  <c r="F194" i="60"/>
  <c r="F87" i="60"/>
  <c r="E195" i="60"/>
  <c r="E88" i="60"/>
  <c r="H196" i="60"/>
  <c r="H89" i="60"/>
  <c r="D200" i="60"/>
  <c r="D93" i="60"/>
  <c r="G201" i="60"/>
  <c r="G94" i="60"/>
  <c r="E203" i="60"/>
  <c r="E96" i="60"/>
  <c r="H204" i="60"/>
  <c r="H97" i="60"/>
  <c r="F207" i="60"/>
  <c r="F100" i="60"/>
  <c r="G151" i="70"/>
  <c r="F184" i="60"/>
  <c r="F77" i="60"/>
  <c r="E185" i="60"/>
  <c r="E78" i="60"/>
  <c r="D186" i="60"/>
  <c r="D79" i="60"/>
  <c r="H186" i="60"/>
  <c r="H79" i="60"/>
  <c r="G187" i="60"/>
  <c r="G80" i="60"/>
  <c r="F188" i="60"/>
  <c r="F81" i="60"/>
  <c r="E189" i="60"/>
  <c r="E82" i="60"/>
  <c r="D190" i="60"/>
  <c r="D83" i="60"/>
  <c r="H190" i="60"/>
  <c r="H83" i="60"/>
  <c r="G191" i="60"/>
  <c r="G84" i="60"/>
  <c r="F192" i="60"/>
  <c r="F85" i="60"/>
  <c r="E193" i="60"/>
  <c r="E86" i="60"/>
  <c r="D194" i="60"/>
  <c r="D87" i="60"/>
  <c r="H194" i="60"/>
  <c r="G195" i="60"/>
  <c r="G88" i="60"/>
  <c r="F196" i="60"/>
  <c r="F89" i="60"/>
  <c r="E197" i="60"/>
  <c r="E90" i="60"/>
  <c r="D198" i="60"/>
  <c r="D91" i="60"/>
  <c r="H198" i="60"/>
  <c r="H91" i="60"/>
  <c r="G92" i="60"/>
  <c r="G199" i="60"/>
  <c r="F93" i="60"/>
  <c r="F200" i="60"/>
  <c r="E94" i="60"/>
  <c r="E201" i="60"/>
  <c r="D202" i="60"/>
  <c r="D95" i="60"/>
  <c r="H202" i="60"/>
  <c r="H95" i="60"/>
  <c r="G203" i="60"/>
  <c r="G96" i="60"/>
  <c r="F204" i="60"/>
  <c r="F97" i="60"/>
  <c r="E205" i="60"/>
  <c r="E98" i="60"/>
  <c r="D100" i="60"/>
  <c r="D207" i="60"/>
  <c r="G149" i="70"/>
  <c r="F150" i="70"/>
  <c r="E151" i="70"/>
  <c r="D152" i="70"/>
  <c r="H152" i="70"/>
  <c r="G153" i="70"/>
  <c r="F154" i="70"/>
  <c r="E155" i="70"/>
  <c r="D156" i="70"/>
  <c r="H156" i="70"/>
  <c r="G157" i="70"/>
  <c r="F158" i="70"/>
  <c r="E159" i="70"/>
  <c r="D160" i="70"/>
  <c r="H160" i="70"/>
  <c r="G161" i="70"/>
  <c r="F162" i="70"/>
  <c r="E163" i="70"/>
  <c r="D164" i="70"/>
  <c r="H164" i="70"/>
  <c r="G165" i="70"/>
  <c r="F166" i="70"/>
  <c r="E167" i="70"/>
  <c r="D168" i="70"/>
  <c r="H168" i="70"/>
  <c r="G169" i="70"/>
  <c r="F170" i="70"/>
  <c r="E172" i="70"/>
  <c r="AD140" i="60"/>
  <c r="O140" i="60" s="1"/>
  <c r="D153" i="70"/>
  <c r="H153" i="70"/>
  <c r="G154" i="70"/>
  <c r="F155" i="70"/>
  <c r="E156" i="70"/>
  <c r="D157" i="70"/>
  <c r="H157" i="70"/>
  <c r="G158" i="70"/>
  <c r="F159" i="70"/>
  <c r="E160" i="70"/>
  <c r="D161" i="70"/>
  <c r="H161" i="70"/>
  <c r="G162" i="70"/>
  <c r="E164" i="70"/>
  <c r="D165" i="70"/>
  <c r="H165" i="70"/>
  <c r="G166" i="70"/>
  <c r="F167" i="70"/>
  <c r="E168" i="70"/>
  <c r="D169" i="70"/>
  <c r="H169" i="70"/>
  <c r="G170" i="70"/>
  <c r="F172" i="70"/>
  <c r="AE140" i="60"/>
  <c r="P140" i="60" s="1"/>
  <c r="AS33" i="70" l="1"/>
  <c r="I33" i="70" s="1"/>
  <c r="J33" i="70" s="1"/>
  <c r="AH28" i="60"/>
  <c r="R31" i="60" s="1"/>
  <c r="AH29" i="60"/>
  <c r="R32" i="60" s="1"/>
  <c r="AH28" i="70"/>
  <c r="AT129" i="70"/>
  <c r="T78" i="76"/>
  <c r="AT130" i="70"/>
  <c r="U78" i="76"/>
  <c r="AT126" i="70"/>
  <c r="Q78" i="76"/>
  <c r="Z23" i="92" a="1"/>
  <c r="Z23" i="92" s="1"/>
  <c r="Z42" i="60" s="1"/>
  <c r="Y23" i="92" a="1"/>
  <c r="Y23" i="92" s="1"/>
  <c r="Y42" i="60" s="1"/>
  <c r="AA23" i="92" a="1"/>
  <c r="AA23" i="92" s="1"/>
  <c r="AA21" i="92" a="1"/>
  <c r="AA21" i="92" s="1"/>
  <c r="AC42" i="70" s="1"/>
  <c r="AC43" i="70" s="1"/>
  <c r="Z21" i="92" a="1"/>
  <c r="Z21" i="92" s="1"/>
  <c r="Z43" i="70" s="1"/>
  <c r="Y21" i="92" a="1"/>
  <c r="Y21" i="92" s="1"/>
  <c r="Y43" i="70" s="1"/>
  <c r="AH19" i="70"/>
  <c r="AH12" i="60"/>
  <c r="R12" i="60" s="1"/>
  <c r="AH18" i="60"/>
  <c r="R18" i="60" s="1"/>
  <c r="AH13" i="60"/>
  <c r="R13" i="60" s="1"/>
  <c r="AH12" i="70"/>
  <c r="AW133" i="70"/>
  <c r="AQ133" i="70"/>
  <c r="AV130" i="70"/>
  <c r="AP130" i="70"/>
  <c r="AY123" i="70"/>
  <c r="AS123" i="70"/>
  <c r="AX120" i="70"/>
  <c r="AR120" i="70"/>
  <c r="AW117" i="70"/>
  <c r="AQ117" i="70"/>
  <c r="AV114" i="70"/>
  <c r="AP114" i="70"/>
  <c r="AX134" i="70"/>
  <c r="AR134" i="70"/>
  <c r="AW131" i="70"/>
  <c r="AQ131" i="70"/>
  <c r="AV128" i="70"/>
  <c r="AP128" i="70"/>
  <c r="AY121" i="70"/>
  <c r="AS121" i="70"/>
  <c r="AX118" i="70"/>
  <c r="AR118" i="70"/>
  <c r="AW115" i="70"/>
  <c r="AQ115" i="70"/>
  <c r="AX136" i="70"/>
  <c r="AR136" i="70"/>
  <c r="AV129" i="70"/>
  <c r="AP129" i="70"/>
  <c r="AY122" i="70"/>
  <c r="AS122" i="70"/>
  <c r="AV117" i="70"/>
  <c r="AP117" i="70"/>
  <c r="AV133" i="70"/>
  <c r="AP133" i="70"/>
  <c r="AY126" i="70"/>
  <c r="AS126" i="70"/>
  <c r="AW120" i="70"/>
  <c r="AQ120" i="70"/>
  <c r="AV113" i="70"/>
  <c r="AP113" i="70"/>
  <c r="AY132" i="70"/>
  <c r="AS132" i="70"/>
  <c r="AX125" i="70"/>
  <c r="AR125" i="70"/>
  <c r="AV119" i="70"/>
  <c r="AP119" i="70"/>
  <c r="AV137" i="70"/>
  <c r="AP137" i="70"/>
  <c r="AY128" i="70"/>
  <c r="AS128" i="70"/>
  <c r="AV123" i="70"/>
  <c r="AP123" i="70"/>
  <c r="AY116" i="70"/>
  <c r="AS116" i="70"/>
  <c r="AY136" i="70"/>
  <c r="AS136" i="70"/>
  <c r="AX132" i="70"/>
  <c r="AR132" i="70"/>
  <c r="AW129" i="70"/>
  <c r="AQ129" i="70"/>
  <c r="AV126" i="70"/>
  <c r="AP126" i="70"/>
  <c r="AY119" i="70"/>
  <c r="AS119" i="70"/>
  <c r="AY137" i="70"/>
  <c r="AS137" i="70"/>
  <c r="AX116" i="70"/>
  <c r="AR116" i="70"/>
  <c r="AW113" i="70"/>
  <c r="AQ113" i="70"/>
  <c r="AY133" i="70"/>
  <c r="AS133" i="70"/>
  <c r="AX130" i="70"/>
  <c r="AR130" i="70"/>
  <c r="AW127" i="70"/>
  <c r="AQ127" i="70"/>
  <c r="AV124" i="70"/>
  <c r="AP124" i="70"/>
  <c r="AY117" i="70"/>
  <c r="AS117" i="70"/>
  <c r="AX114" i="70"/>
  <c r="AR114" i="70"/>
  <c r="AV121" i="70"/>
  <c r="AP121" i="70"/>
  <c r="AX115" i="70"/>
  <c r="AR115" i="70"/>
  <c r="AX131" i="70"/>
  <c r="AR131" i="70"/>
  <c r="AV125" i="70"/>
  <c r="AP125" i="70"/>
  <c r="AY118" i="70"/>
  <c r="AS118" i="70"/>
  <c r="AW130" i="70"/>
  <c r="AQ130" i="70"/>
  <c r="AX117" i="70"/>
  <c r="AR117" i="70"/>
  <c r="AX133" i="70"/>
  <c r="AR133" i="70"/>
  <c r="AV127" i="70"/>
  <c r="AP127" i="70"/>
  <c r="AX121" i="70"/>
  <c r="AR121" i="70"/>
  <c r="AV115" i="70"/>
  <c r="AP115" i="70"/>
  <c r="AY131" i="70"/>
  <c r="AS131" i="70"/>
  <c r="AX128" i="70"/>
  <c r="AR128" i="70"/>
  <c r="AW125" i="70"/>
  <c r="AQ125" i="70"/>
  <c r="AV122" i="70"/>
  <c r="AP122" i="70"/>
  <c r="AY115" i="70"/>
  <c r="AS115" i="70"/>
  <c r="AY129" i="70"/>
  <c r="AS129" i="70"/>
  <c r="AX126" i="70"/>
  <c r="AR126" i="70"/>
  <c r="AW123" i="70"/>
  <c r="AQ123" i="70"/>
  <c r="AV120" i="70"/>
  <c r="AP120" i="70"/>
  <c r="AY113" i="70"/>
  <c r="AS113" i="70"/>
  <c r="AW132" i="70"/>
  <c r="AQ132" i="70"/>
  <c r="AX119" i="70"/>
  <c r="AR119" i="70"/>
  <c r="AR137" i="70"/>
  <c r="AX137" i="70"/>
  <c r="AX123" i="70"/>
  <c r="AR123" i="70"/>
  <c r="AW116" i="70"/>
  <c r="AQ116" i="70"/>
  <c r="AV136" i="70"/>
  <c r="AP136" i="70"/>
  <c r="AX129" i="70"/>
  <c r="AR129" i="70"/>
  <c r="AW122" i="70"/>
  <c r="AQ122" i="70"/>
  <c r="AW126" i="70"/>
  <c r="AQ126" i="70"/>
  <c r="AT137" i="70"/>
  <c r="AZ137" i="70"/>
  <c r="AX113" i="70"/>
  <c r="AR113" i="70"/>
  <c r="AV134" i="70"/>
  <c r="AP134" i="70"/>
  <c r="AY127" i="70"/>
  <c r="AS127" i="70"/>
  <c r="AX124" i="70"/>
  <c r="AR124" i="70"/>
  <c r="AW121" i="70"/>
  <c r="AQ121" i="70"/>
  <c r="AV118" i="70"/>
  <c r="AP118" i="70"/>
  <c r="AW136" i="70"/>
  <c r="AQ136" i="70"/>
  <c r="AV132" i="70"/>
  <c r="AP132" i="70"/>
  <c r="AY125" i="70"/>
  <c r="AS125" i="70"/>
  <c r="AX122" i="70"/>
  <c r="AR122" i="70"/>
  <c r="AW119" i="70"/>
  <c r="AQ119" i="70"/>
  <c r="AQ137" i="70"/>
  <c r="AW137" i="70"/>
  <c r="AV116" i="70"/>
  <c r="AP116" i="70"/>
  <c r="AY130" i="70"/>
  <c r="AS130" i="70"/>
  <c r="AW124" i="70"/>
  <c r="AQ124" i="70"/>
  <c r="AY134" i="70"/>
  <c r="AS134" i="70"/>
  <c r="AW128" i="70"/>
  <c r="AQ128" i="70"/>
  <c r="AY114" i="70"/>
  <c r="AS114" i="70"/>
  <c r="AW134" i="70"/>
  <c r="AQ134" i="70"/>
  <c r="AY120" i="70"/>
  <c r="AS120" i="70"/>
  <c r="AW114" i="70"/>
  <c r="AQ114" i="70"/>
  <c r="AV131" i="70"/>
  <c r="AP131" i="70"/>
  <c r="AY124" i="70"/>
  <c r="AS124" i="70"/>
  <c r="AW118" i="70"/>
  <c r="AQ118" i="70"/>
  <c r="AZ124" i="70"/>
  <c r="AT124" i="70"/>
  <c r="AZ120" i="70"/>
  <c r="AT120" i="70"/>
  <c r="AZ134" i="70"/>
  <c r="AT134" i="70"/>
  <c r="AZ118" i="70"/>
  <c r="AT118" i="70"/>
  <c r="AZ132" i="70"/>
  <c r="AT132" i="70"/>
  <c r="AZ116" i="70"/>
  <c r="AT116" i="70"/>
  <c r="AZ125" i="70"/>
  <c r="AT125" i="70"/>
  <c r="AZ113" i="70"/>
  <c r="AT113" i="70"/>
  <c r="AZ115" i="70"/>
  <c r="AT115" i="70"/>
  <c r="AZ131" i="70"/>
  <c r="AT131" i="70"/>
  <c r="AZ119" i="70"/>
  <c r="AT119" i="70"/>
  <c r="AZ122" i="70"/>
  <c r="AT122" i="70"/>
  <c r="AZ133" i="70"/>
  <c r="AT133" i="70"/>
  <c r="AZ123" i="70"/>
  <c r="AT123" i="70"/>
  <c r="AZ114" i="70"/>
  <c r="AT114" i="70"/>
  <c r="AZ128" i="70"/>
  <c r="AT128" i="70"/>
  <c r="AZ117" i="70"/>
  <c r="AT117" i="70"/>
  <c r="AZ121" i="70"/>
  <c r="AT121" i="70"/>
  <c r="AZ127" i="70"/>
  <c r="AT127" i="70"/>
  <c r="Y104" i="70"/>
  <c r="AL88" i="70"/>
  <c r="Q100" i="70"/>
  <c r="AL84" i="70"/>
  <c r="AL97" i="70"/>
  <c r="Q88" i="70"/>
  <c r="AL95" i="70"/>
  <c r="Q99" i="70"/>
  <c r="AZ130" i="70"/>
  <c r="AL92" i="70"/>
  <c r="Q95" i="70"/>
  <c r="AZ126" i="70"/>
  <c r="Q98" i="70"/>
  <c r="AZ129" i="70"/>
  <c r="Q92" i="70"/>
  <c r="Q96" i="70"/>
  <c r="Q84" i="70"/>
  <c r="Q105" i="70"/>
  <c r="AZ136" i="70"/>
  <c r="Q103" i="70"/>
  <c r="AL100" i="70"/>
  <c r="Q87" i="70"/>
  <c r="AL87" i="70"/>
  <c r="Q101" i="70"/>
  <c r="AL98" i="70"/>
  <c r="Q85" i="70"/>
  <c r="AL85" i="70"/>
  <c r="Q86" i="70"/>
  <c r="AL86" i="70"/>
  <c r="Q90" i="70"/>
  <c r="AL90" i="70"/>
  <c r="Q83" i="70"/>
  <c r="AL83" i="70"/>
  <c r="Q97" i="70"/>
  <c r="AL96" i="70"/>
  <c r="Q93" i="70"/>
  <c r="AL93" i="70"/>
  <c r="Q102" i="70"/>
  <c r="AL99" i="70"/>
  <c r="Q91" i="70"/>
  <c r="AL91" i="70"/>
  <c r="Q89" i="70"/>
  <c r="AL89" i="70"/>
  <c r="Q94" i="70"/>
  <c r="AL94" i="70"/>
  <c r="Q82" i="70"/>
  <c r="AS93" i="70"/>
  <c r="I93" i="70" s="1"/>
  <c r="J93" i="70" s="1"/>
  <c r="AS85" i="70"/>
  <c r="I85" i="70" s="1"/>
  <c r="J85" i="70" s="1"/>
  <c r="AS101" i="70"/>
  <c r="I101" i="70" s="1"/>
  <c r="J101" i="70" s="1"/>
  <c r="AS95" i="70"/>
  <c r="I95" i="70" s="1"/>
  <c r="J95" i="70" s="1"/>
  <c r="AS87" i="70"/>
  <c r="I87" i="70" s="1"/>
  <c r="J87" i="70" s="1"/>
  <c r="AS98" i="70"/>
  <c r="I98" i="70" s="1"/>
  <c r="J98" i="70" s="1"/>
  <c r="AS94" i="70"/>
  <c r="I94" i="70" s="1"/>
  <c r="J94" i="70" s="1"/>
  <c r="AS90" i="70"/>
  <c r="I90" i="70" s="1"/>
  <c r="J90" i="70" s="1"/>
  <c r="AS86" i="70"/>
  <c r="I86" i="70" s="1"/>
  <c r="J86" i="70" s="1"/>
  <c r="AS82" i="70"/>
  <c r="I82" i="70" s="1"/>
  <c r="J82" i="70" s="1"/>
  <c r="AJ104" i="70"/>
  <c r="AS102" i="70"/>
  <c r="I102" i="70" s="1"/>
  <c r="J102" i="70" s="1"/>
  <c r="AG104" i="70"/>
  <c r="AS99" i="70"/>
  <c r="I99" i="70" s="1"/>
  <c r="J99" i="70" s="1"/>
  <c r="AS91" i="70"/>
  <c r="I91" i="70" s="1"/>
  <c r="J91" i="70" s="1"/>
  <c r="AS83" i="70"/>
  <c r="I83" i="70" s="1"/>
  <c r="J83" i="70" s="1"/>
  <c r="AS103" i="70"/>
  <c r="I103" i="70" s="1"/>
  <c r="J103" i="70" s="1"/>
  <c r="AS97" i="70"/>
  <c r="I97" i="70" s="1"/>
  <c r="J97" i="70" s="1"/>
  <c r="AS89" i="70"/>
  <c r="I89" i="70" s="1"/>
  <c r="J89" i="70" s="1"/>
  <c r="AS100" i="70"/>
  <c r="I100" i="70" s="1"/>
  <c r="J100" i="70" s="1"/>
  <c r="AS92" i="70"/>
  <c r="I92" i="70" s="1"/>
  <c r="J92" i="70" s="1"/>
  <c r="AS88" i="70"/>
  <c r="I88" i="70" s="1"/>
  <c r="J88" i="70" s="1"/>
  <c r="AS84" i="70"/>
  <c r="I84" i="70" s="1"/>
  <c r="J84" i="70" s="1"/>
  <c r="AI104" i="70"/>
  <c r="W22" i="92"/>
  <c r="D22" i="92"/>
  <c r="E22" i="92"/>
  <c r="G22" i="92"/>
  <c r="P22" i="92"/>
  <c r="J22" i="92"/>
  <c r="U22" i="92"/>
  <c r="L22" i="92"/>
  <c r="C22" i="92"/>
  <c r="Q22" i="92"/>
  <c r="T22" i="92"/>
  <c r="N22" i="92"/>
  <c r="V22" i="92"/>
  <c r="I22" i="92"/>
  <c r="F22" i="92"/>
  <c r="K22" i="92"/>
  <c r="AA78" i="76"/>
  <c r="H22" i="92"/>
  <c r="M22" i="92"/>
  <c r="AO139" i="60"/>
  <c r="I139" i="60" s="1"/>
  <c r="J139" i="60" s="1"/>
  <c r="AO32" i="60"/>
  <c r="I32" i="60" s="1"/>
  <c r="J32" i="60" s="1"/>
  <c r="AH11" i="70"/>
  <c r="AH24" i="70"/>
  <c r="AH13" i="70"/>
  <c r="AH14" i="70"/>
  <c r="AH26" i="70"/>
  <c r="AH23" i="70"/>
  <c r="AH27" i="70"/>
  <c r="AH17" i="70"/>
  <c r="AH25" i="70"/>
  <c r="AH15" i="70"/>
  <c r="AH10" i="70"/>
  <c r="AH16" i="70"/>
  <c r="AH18" i="70"/>
  <c r="AH22" i="70"/>
  <c r="AH20" i="70"/>
  <c r="AH21" i="70"/>
  <c r="AH23" i="60"/>
  <c r="R23" i="60" s="1"/>
  <c r="AH14" i="60"/>
  <c r="R14" i="60" s="1"/>
  <c r="AH25" i="60"/>
  <c r="R26" i="60" s="1"/>
  <c r="AH11" i="60"/>
  <c r="R11" i="60" s="1"/>
  <c r="AH22" i="60"/>
  <c r="R22" i="60" s="1"/>
  <c r="AH19" i="60"/>
  <c r="R19" i="60" s="1"/>
  <c r="AH15" i="60"/>
  <c r="R15" i="60" s="1"/>
  <c r="AH24" i="60"/>
  <c r="R25" i="60" s="1"/>
  <c r="AH16" i="60"/>
  <c r="R16" i="60" s="1"/>
  <c r="AH17" i="60"/>
  <c r="R17" i="60" s="1"/>
  <c r="AH21" i="60"/>
  <c r="R21" i="60" s="1"/>
  <c r="AD314" i="69"/>
  <c r="H314" i="69" s="1"/>
  <c r="AD313" i="69"/>
  <c r="H313" i="69" s="1"/>
  <c r="AD312" i="69"/>
  <c r="H312" i="69" s="1"/>
  <c r="AD311" i="69"/>
  <c r="H311" i="69" s="1"/>
  <c r="AD310" i="69"/>
  <c r="H310" i="69" s="1"/>
  <c r="AD309" i="69"/>
  <c r="H309" i="69" s="1"/>
  <c r="AD308" i="69"/>
  <c r="H308" i="69" s="1"/>
  <c r="AD307" i="69"/>
  <c r="H307" i="69" s="1"/>
  <c r="AD306" i="69"/>
  <c r="H306" i="69" s="1"/>
  <c r="AD305" i="69"/>
  <c r="H305" i="69" s="1"/>
  <c r="AD304" i="69"/>
  <c r="H304" i="69" s="1"/>
  <c r="AD303" i="69"/>
  <c r="H303" i="69" s="1"/>
  <c r="AD302" i="69"/>
  <c r="H302" i="69" s="1"/>
  <c r="AD301" i="69"/>
  <c r="H301" i="69" s="1"/>
  <c r="AD300" i="69"/>
  <c r="H300" i="69" s="1"/>
  <c r="AD299" i="69"/>
  <c r="H299" i="69" s="1"/>
  <c r="AD298" i="69"/>
  <c r="H298" i="69" s="1"/>
  <c r="AD297" i="69"/>
  <c r="H297" i="69" s="1"/>
  <c r="AD296" i="69"/>
  <c r="H296" i="69" s="1"/>
  <c r="AD295" i="69"/>
  <c r="H295" i="69" s="1"/>
  <c r="AD294" i="69"/>
  <c r="H294" i="69" s="1"/>
  <c r="AD293" i="69"/>
  <c r="H293" i="69" s="1"/>
  <c r="AD292" i="69"/>
  <c r="H292" i="69" s="1"/>
  <c r="AD291" i="69"/>
  <c r="H291" i="69" s="1"/>
  <c r="AC314" i="69"/>
  <c r="G314" i="69" s="1"/>
  <c r="AC313" i="69"/>
  <c r="G313" i="69" s="1"/>
  <c r="AC312" i="69"/>
  <c r="G312" i="69" s="1"/>
  <c r="AC311" i="69"/>
  <c r="G311" i="69" s="1"/>
  <c r="AC310" i="69"/>
  <c r="G310" i="69" s="1"/>
  <c r="AC309" i="69"/>
  <c r="G309" i="69" s="1"/>
  <c r="AC308" i="69"/>
  <c r="G308" i="69" s="1"/>
  <c r="AC307" i="69"/>
  <c r="G307" i="69" s="1"/>
  <c r="AC306" i="69"/>
  <c r="G306" i="69" s="1"/>
  <c r="AC305" i="69"/>
  <c r="G305" i="69" s="1"/>
  <c r="AC304" i="69"/>
  <c r="G304" i="69" s="1"/>
  <c r="AC303" i="69"/>
  <c r="G303" i="69" s="1"/>
  <c r="AC302" i="69"/>
  <c r="G302" i="69" s="1"/>
  <c r="AC301" i="69"/>
  <c r="G301" i="69" s="1"/>
  <c r="AC300" i="69"/>
  <c r="G300" i="69" s="1"/>
  <c r="AC299" i="69"/>
  <c r="G299" i="69" s="1"/>
  <c r="AC298" i="69"/>
  <c r="G298" i="69" s="1"/>
  <c r="AC297" i="69"/>
  <c r="G297" i="69" s="1"/>
  <c r="AC296" i="69"/>
  <c r="G296" i="69" s="1"/>
  <c r="AC295" i="69"/>
  <c r="G295" i="69" s="1"/>
  <c r="AC294" i="69"/>
  <c r="G294" i="69" s="1"/>
  <c r="AC293" i="69"/>
  <c r="G293" i="69" s="1"/>
  <c r="AC292" i="69"/>
  <c r="G292" i="69" s="1"/>
  <c r="AC291" i="69"/>
  <c r="G291" i="69" s="1"/>
  <c r="AB314" i="69"/>
  <c r="F314" i="69" s="1"/>
  <c r="AB313" i="69"/>
  <c r="F313" i="69" s="1"/>
  <c r="AB312" i="69"/>
  <c r="F312" i="69" s="1"/>
  <c r="AB311" i="69"/>
  <c r="F311" i="69" s="1"/>
  <c r="AB310" i="69"/>
  <c r="F310" i="69" s="1"/>
  <c r="AB309" i="69"/>
  <c r="F309" i="69" s="1"/>
  <c r="AB308" i="69"/>
  <c r="F308" i="69" s="1"/>
  <c r="AB307" i="69"/>
  <c r="F307" i="69" s="1"/>
  <c r="AB306" i="69"/>
  <c r="F306" i="69" s="1"/>
  <c r="AB305" i="69"/>
  <c r="F305" i="69" s="1"/>
  <c r="AB304" i="69"/>
  <c r="F304" i="69" s="1"/>
  <c r="AB303" i="69"/>
  <c r="F303" i="69" s="1"/>
  <c r="AB302" i="69"/>
  <c r="F302" i="69" s="1"/>
  <c r="AB301" i="69"/>
  <c r="F301" i="69" s="1"/>
  <c r="AB300" i="69"/>
  <c r="F300" i="69" s="1"/>
  <c r="AB299" i="69"/>
  <c r="F299" i="69" s="1"/>
  <c r="AB298" i="69"/>
  <c r="F298" i="69" s="1"/>
  <c r="AB297" i="69"/>
  <c r="F297" i="69" s="1"/>
  <c r="AB296" i="69"/>
  <c r="F296" i="69" s="1"/>
  <c r="AB295" i="69"/>
  <c r="F295" i="69" s="1"/>
  <c r="AB294" i="69"/>
  <c r="F294" i="69" s="1"/>
  <c r="AB293" i="69"/>
  <c r="F293" i="69" s="1"/>
  <c r="AB292" i="69"/>
  <c r="F292" i="69" s="1"/>
  <c r="AB291" i="69"/>
  <c r="F291" i="69" s="1"/>
  <c r="AA314" i="69"/>
  <c r="E314" i="69" s="1"/>
  <c r="AA313" i="69"/>
  <c r="E313" i="69" s="1"/>
  <c r="AA312" i="69"/>
  <c r="E312" i="69" s="1"/>
  <c r="AA311" i="69"/>
  <c r="E311" i="69" s="1"/>
  <c r="AA310" i="69"/>
  <c r="E310" i="69" s="1"/>
  <c r="AA309" i="69"/>
  <c r="E309" i="69" s="1"/>
  <c r="AA308" i="69"/>
  <c r="E308" i="69" s="1"/>
  <c r="AA307" i="69"/>
  <c r="E307" i="69" s="1"/>
  <c r="AA306" i="69"/>
  <c r="E306" i="69" s="1"/>
  <c r="AA305" i="69"/>
  <c r="E305" i="69" s="1"/>
  <c r="AA304" i="69"/>
  <c r="E304" i="69" s="1"/>
  <c r="AA303" i="69"/>
  <c r="E303" i="69" s="1"/>
  <c r="AA302" i="69"/>
  <c r="E302" i="69" s="1"/>
  <c r="AA301" i="69"/>
  <c r="E301" i="69" s="1"/>
  <c r="AA300" i="69"/>
  <c r="E300" i="69" s="1"/>
  <c r="AA299" i="69"/>
  <c r="E299" i="69" s="1"/>
  <c r="AA298" i="69"/>
  <c r="E298" i="69" s="1"/>
  <c r="AA297" i="69"/>
  <c r="E297" i="69" s="1"/>
  <c r="AA296" i="69"/>
  <c r="E296" i="69" s="1"/>
  <c r="AA295" i="69"/>
  <c r="E295" i="69" s="1"/>
  <c r="AA294" i="69"/>
  <c r="E294" i="69" s="1"/>
  <c r="AA293" i="69"/>
  <c r="E293" i="69" s="1"/>
  <c r="AA292" i="69"/>
  <c r="E292" i="69" s="1"/>
  <c r="AA291" i="69"/>
  <c r="E291" i="69" s="1"/>
  <c r="Z313" i="69"/>
  <c r="D313" i="69" s="1"/>
  <c r="Z312" i="69"/>
  <c r="D312" i="69" s="1"/>
  <c r="Z311" i="69"/>
  <c r="D311" i="69" s="1"/>
  <c r="Z310" i="69"/>
  <c r="D310" i="69" s="1"/>
  <c r="Z309" i="69"/>
  <c r="D309" i="69" s="1"/>
  <c r="Z308" i="69"/>
  <c r="D308" i="69" s="1"/>
  <c r="Z307" i="69"/>
  <c r="D307" i="69" s="1"/>
  <c r="Z306" i="69"/>
  <c r="D306" i="69" s="1"/>
  <c r="Z305" i="69"/>
  <c r="D305" i="69" s="1"/>
  <c r="Z304" i="69"/>
  <c r="D304" i="69" s="1"/>
  <c r="Z303" i="69"/>
  <c r="D303" i="69" s="1"/>
  <c r="Z302" i="69"/>
  <c r="D302" i="69" s="1"/>
  <c r="Z301" i="69"/>
  <c r="D301" i="69" s="1"/>
  <c r="Z300" i="69"/>
  <c r="D300" i="69" s="1"/>
  <c r="Z299" i="69"/>
  <c r="D299" i="69" s="1"/>
  <c r="Z298" i="69"/>
  <c r="D298" i="69" s="1"/>
  <c r="Z297" i="69"/>
  <c r="D297" i="69" s="1"/>
  <c r="Z296" i="69"/>
  <c r="D296" i="69" s="1"/>
  <c r="Z295" i="69"/>
  <c r="D295" i="69" s="1"/>
  <c r="Z294" i="69"/>
  <c r="D294" i="69" s="1"/>
  <c r="Z293" i="69"/>
  <c r="D293" i="69" s="1"/>
  <c r="Z292" i="69"/>
  <c r="D292" i="69" s="1"/>
  <c r="Z291" i="69"/>
  <c r="AM99" i="70" l="1"/>
  <c r="R102" i="70" s="1"/>
  <c r="AM100" i="70"/>
  <c r="R103" i="70" s="1"/>
  <c r="AC41" i="60"/>
  <c r="AC42" i="60" s="1"/>
  <c r="AB41" i="60"/>
  <c r="AB42" i="60"/>
  <c r="X42" i="60"/>
  <c r="AB43" i="70"/>
  <c r="X43" i="70"/>
  <c r="AB42" i="70"/>
  <c r="Z22" i="92" a="1"/>
  <c r="Z22" i="92" s="1"/>
  <c r="Z114" i="70" s="1"/>
  <c r="Y22" i="92" a="1"/>
  <c r="Y22" i="92" s="1"/>
  <c r="Y114" i="70" s="1"/>
  <c r="AA22" i="92" a="1"/>
  <c r="AA22" i="92" s="1"/>
  <c r="AC113" i="70" s="1"/>
  <c r="AC114" i="70" s="1"/>
  <c r="AM97" i="70"/>
  <c r="R100" i="70" s="1"/>
  <c r="AM91" i="70"/>
  <c r="R91" i="70" s="1"/>
  <c r="AM89" i="70"/>
  <c r="R89" i="70" s="1"/>
  <c r="AM87" i="70"/>
  <c r="R87" i="70" s="1"/>
  <c r="R82" i="70"/>
  <c r="AM84" i="70"/>
  <c r="R84" i="70" s="1"/>
  <c r="AM95" i="70"/>
  <c r="R96" i="70" s="1"/>
  <c r="AM94" i="70"/>
  <c r="R94" i="70" s="1"/>
  <c r="AM96" i="70"/>
  <c r="R97" i="70" s="1"/>
  <c r="AM88" i="70"/>
  <c r="R88" i="70" s="1"/>
  <c r="AM86" i="70"/>
  <c r="R86" i="70" s="1"/>
  <c r="AM98" i="70"/>
  <c r="R101" i="70" s="1"/>
  <c r="AM93" i="70"/>
  <c r="R93" i="70" s="1"/>
  <c r="AM83" i="70"/>
  <c r="R83" i="70" s="1"/>
  <c r="AM90" i="70"/>
  <c r="R90" i="70" s="1"/>
  <c r="AM85" i="70"/>
  <c r="R85" i="70" s="1"/>
  <c r="AM92" i="70"/>
  <c r="R92" i="70" s="1"/>
  <c r="D291" i="69"/>
  <c r="AF291" i="69"/>
  <c r="AD279" i="69"/>
  <c r="AC279" i="69"/>
  <c r="AB279" i="69"/>
  <c r="AA279" i="69"/>
  <c r="Z279" i="69"/>
  <c r="AD277" i="69"/>
  <c r="AC277" i="69"/>
  <c r="AB277" i="69"/>
  <c r="AA277" i="69"/>
  <c r="Z277" i="69"/>
  <c r="AD276" i="69"/>
  <c r="AC276" i="69"/>
  <c r="AB276" i="69"/>
  <c r="AA276" i="69"/>
  <c r="Z276" i="69"/>
  <c r="AD275" i="69"/>
  <c r="AC275" i="69"/>
  <c r="AB275" i="69"/>
  <c r="AA275" i="69"/>
  <c r="Z275" i="69"/>
  <c r="AD274" i="69"/>
  <c r="AC274" i="69"/>
  <c r="AB274" i="69"/>
  <c r="AA274" i="69"/>
  <c r="Z274" i="69"/>
  <c r="AD273" i="69"/>
  <c r="AC273" i="69"/>
  <c r="AB273" i="69"/>
  <c r="AA273" i="69"/>
  <c r="Z273" i="69"/>
  <c r="AD272" i="69"/>
  <c r="AC272" i="69"/>
  <c r="AB272" i="69"/>
  <c r="AA272" i="69"/>
  <c r="Z272" i="69"/>
  <c r="AD271" i="69"/>
  <c r="AC271" i="69"/>
  <c r="AB271" i="69"/>
  <c r="AA271" i="69"/>
  <c r="Z271" i="69"/>
  <c r="AD270" i="69"/>
  <c r="AC270" i="69"/>
  <c r="AA270" i="69"/>
  <c r="Z270" i="69"/>
  <c r="AD269" i="69"/>
  <c r="AC269" i="69"/>
  <c r="AB269" i="69"/>
  <c r="AA269" i="69"/>
  <c r="Z269" i="69"/>
  <c r="AD268" i="69"/>
  <c r="AC268" i="69"/>
  <c r="AB268" i="69"/>
  <c r="AA268" i="69"/>
  <c r="Z268" i="69"/>
  <c r="AD267" i="69"/>
  <c r="AC267" i="69"/>
  <c r="AB267" i="69"/>
  <c r="AA267" i="69"/>
  <c r="Z267" i="69"/>
  <c r="AD266" i="69"/>
  <c r="AC266" i="69"/>
  <c r="AB266" i="69"/>
  <c r="AA266" i="69"/>
  <c r="Z266" i="69"/>
  <c r="AD265" i="69"/>
  <c r="AC265" i="69"/>
  <c r="AB265" i="69"/>
  <c r="AA265" i="69"/>
  <c r="Z265" i="69"/>
  <c r="AD264" i="69"/>
  <c r="AC264" i="69"/>
  <c r="AB264" i="69"/>
  <c r="AA264" i="69"/>
  <c r="Z264" i="69"/>
  <c r="AD263" i="69"/>
  <c r="AC263" i="69"/>
  <c r="AB263" i="69"/>
  <c r="AA263" i="69"/>
  <c r="Z263" i="69"/>
  <c r="AD262" i="69"/>
  <c r="AC262" i="69"/>
  <c r="AB262" i="69"/>
  <c r="AA262" i="69"/>
  <c r="Z262" i="69"/>
  <c r="AD261" i="69"/>
  <c r="AC261" i="69"/>
  <c r="AB261" i="69"/>
  <c r="AA261" i="69"/>
  <c r="Z261" i="69"/>
  <c r="AD260" i="69"/>
  <c r="AC260" i="69"/>
  <c r="AB260" i="69"/>
  <c r="AA260" i="69"/>
  <c r="Z260" i="69"/>
  <c r="AD259" i="69"/>
  <c r="AC259" i="69"/>
  <c r="AB259" i="69"/>
  <c r="AA259" i="69"/>
  <c r="Z259" i="69"/>
  <c r="AD258" i="69"/>
  <c r="AC258" i="69"/>
  <c r="AB258" i="69"/>
  <c r="AA258" i="69"/>
  <c r="Z258" i="69"/>
  <c r="AD257" i="69"/>
  <c r="AC257" i="69"/>
  <c r="AB257" i="69"/>
  <c r="AA257" i="69"/>
  <c r="Z257" i="69"/>
  <c r="AD256" i="69"/>
  <c r="AC256" i="69"/>
  <c r="AB256" i="69"/>
  <c r="AA256" i="69"/>
  <c r="Z256" i="69"/>
  <c r="AJ243" i="69"/>
  <c r="AI243" i="69"/>
  <c r="AH243" i="69"/>
  <c r="AG243" i="69"/>
  <c r="AF243" i="69"/>
  <c r="AJ241" i="69"/>
  <c r="AI241" i="69"/>
  <c r="AH241" i="69"/>
  <c r="AG241" i="69"/>
  <c r="AF241" i="69"/>
  <c r="AJ240" i="69"/>
  <c r="AI240" i="69"/>
  <c r="AH240" i="69"/>
  <c r="AG240" i="69"/>
  <c r="AF240" i="69"/>
  <c r="AJ239" i="69"/>
  <c r="AI239" i="69"/>
  <c r="AH239" i="69"/>
  <c r="AG239" i="69"/>
  <c r="AF239" i="69"/>
  <c r="AJ238" i="69"/>
  <c r="AI238" i="69"/>
  <c r="AH238" i="69"/>
  <c r="AG238" i="69"/>
  <c r="AF238" i="69"/>
  <c r="AJ237" i="69"/>
  <c r="AI237" i="69"/>
  <c r="AH237" i="69"/>
  <c r="AG237" i="69"/>
  <c r="AF237" i="69"/>
  <c r="AJ236" i="69"/>
  <c r="AI236" i="69"/>
  <c r="AH236" i="69"/>
  <c r="AG236" i="69"/>
  <c r="AF236" i="69"/>
  <c r="AJ235" i="69"/>
  <c r="AI235" i="69"/>
  <c r="AH235" i="69"/>
  <c r="AG235" i="69"/>
  <c r="AF235" i="69"/>
  <c r="AJ234" i="69"/>
  <c r="AI234" i="69"/>
  <c r="AG234" i="69"/>
  <c r="AF234" i="69"/>
  <c r="AJ233" i="69"/>
  <c r="AI233" i="69"/>
  <c r="AH233" i="69"/>
  <c r="AG233" i="69"/>
  <c r="AF233" i="69"/>
  <c r="AJ232" i="69"/>
  <c r="AI232" i="69"/>
  <c r="AH232" i="69"/>
  <c r="AG232" i="69"/>
  <c r="AF232" i="69"/>
  <c r="AJ231" i="69"/>
  <c r="AI231" i="69"/>
  <c r="AH231" i="69"/>
  <c r="AG231" i="69"/>
  <c r="AF231" i="69"/>
  <c r="AJ230" i="69"/>
  <c r="AI230" i="69"/>
  <c r="AH230" i="69"/>
  <c r="AG230" i="69"/>
  <c r="AF230" i="69"/>
  <c r="AJ229" i="69"/>
  <c r="AI229" i="69"/>
  <c r="AH229" i="69"/>
  <c r="AG229" i="69"/>
  <c r="AF229" i="69"/>
  <c r="AJ228" i="69"/>
  <c r="AI228" i="69"/>
  <c r="AH228" i="69"/>
  <c r="AG228" i="69"/>
  <c r="AF228" i="69"/>
  <c r="AJ227" i="69"/>
  <c r="AI227" i="69"/>
  <c r="AH227" i="69"/>
  <c r="AG227" i="69"/>
  <c r="AF227" i="69"/>
  <c r="AJ226" i="69"/>
  <c r="AI226" i="69"/>
  <c r="AH226" i="69"/>
  <c r="AG226" i="69"/>
  <c r="AF226" i="69"/>
  <c r="AJ225" i="69"/>
  <c r="AI225" i="69"/>
  <c r="AH225" i="69"/>
  <c r="AG225" i="69"/>
  <c r="AF225" i="69"/>
  <c r="AJ224" i="69"/>
  <c r="AI224" i="69"/>
  <c r="AH224" i="69"/>
  <c r="AG224" i="69"/>
  <c r="AF224" i="69"/>
  <c r="AJ223" i="69"/>
  <c r="AI223" i="69"/>
  <c r="AH223" i="69"/>
  <c r="AG223" i="69"/>
  <c r="AF223" i="69"/>
  <c r="AJ222" i="69"/>
  <c r="AI222" i="69"/>
  <c r="AH222" i="69"/>
  <c r="AG222" i="69"/>
  <c r="AF222" i="69"/>
  <c r="AJ221" i="69"/>
  <c r="AI221" i="69"/>
  <c r="AH221" i="69"/>
  <c r="AG221" i="69"/>
  <c r="AF221" i="69"/>
  <c r="AJ220" i="69"/>
  <c r="AI220" i="69"/>
  <c r="AH220" i="69"/>
  <c r="AG220" i="69"/>
  <c r="AF220" i="69"/>
  <c r="AD243" i="69"/>
  <c r="AC243" i="69"/>
  <c r="AB243" i="69"/>
  <c r="AA243" i="69"/>
  <c r="Z243" i="69"/>
  <c r="AD241" i="69"/>
  <c r="AC241" i="69"/>
  <c r="AB241" i="69"/>
  <c r="AA241" i="69"/>
  <c r="Z241" i="69"/>
  <c r="AD240" i="69"/>
  <c r="AC240" i="69"/>
  <c r="AB240" i="69"/>
  <c r="AA240" i="69"/>
  <c r="Z240" i="69"/>
  <c r="AD239" i="69"/>
  <c r="AC239" i="69"/>
  <c r="AB239" i="69"/>
  <c r="AA239" i="69"/>
  <c r="Z239" i="69"/>
  <c r="AD238" i="69"/>
  <c r="AC238" i="69"/>
  <c r="AB238" i="69"/>
  <c r="AA238" i="69"/>
  <c r="Z238" i="69"/>
  <c r="AD237" i="69"/>
  <c r="AC237" i="69"/>
  <c r="AB237" i="69"/>
  <c r="AA237" i="69"/>
  <c r="Z237" i="69"/>
  <c r="AD236" i="69"/>
  <c r="AC236" i="69"/>
  <c r="AB236" i="69"/>
  <c r="AA236" i="69"/>
  <c r="Z236" i="69"/>
  <c r="AD235" i="69"/>
  <c r="AC235" i="69"/>
  <c r="AB235" i="69"/>
  <c r="AA235" i="69"/>
  <c r="Z235" i="69"/>
  <c r="AD234" i="69"/>
  <c r="AC234" i="69"/>
  <c r="AA234" i="69"/>
  <c r="Z234" i="69"/>
  <c r="AD233" i="69"/>
  <c r="AC233" i="69"/>
  <c r="AB233" i="69"/>
  <c r="AA233" i="69"/>
  <c r="Z233" i="69"/>
  <c r="AD232" i="69"/>
  <c r="AC232" i="69"/>
  <c r="AB232" i="69"/>
  <c r="AA232" i="69"/>
  <c r="Z232" i="69"/>
  <c r="AD231" i="69"/>
  <c r="AC231" i="69"/>
  <c r="AB231" i="69"/>
  <c r="AA231" i="69"/>
  <c r="Z231" i="69"/>
  <c r="AD230" i="69"/>
  <c r="AC230" i="69"/>
  <c r="AB230" i="69"/>
  <c r="AA230" i="69"/>
  <c r="Z230" i="69"/>
  <c r="AD229" i="69"/>
  <c r="AC229" i="69"/>
  <c r="AB229" i="69"/>
  <c r="AA229" i="69"/>
  <c r="Z229" i="69"/>
  <c r="AD228" i="69"/>
  <c r="AC228" i="69"/>
  <c r="AB228" i="69"/>
  <c r="AA228" i="69"/>
  <c r="Z228" i="69"/>
  <c r="AD227" i="69"/>
  <c r="AC227" i="69"/>
  <c r="AB227" i="69"/>
  <c r="AA227" i="69"/>
  <c r="Z227" i="69"/>
  <c r="AD226" i="69"/>
  <c r="AC226" i="69"/>
  <c r="AB226" i="69"/>
  <c r="AA226" i="69"/>
  <c r="Z226" i="69"/>
  <c r="AD225" i="69"/>
  <c r="AC225" i="69"/>
  <c r="AB225" i="69"/>
  <c r="AA225" i="69"/>
  <c r="Z225" i="69"/>
  <c r="AD224" i="69"/>
  <c r="AC224" i="69"/>
  <c r="AB224" i="69"/>
  <c r="AA224" i="69"/>
  <c r="Z224" i="69"/>
  <c r="AD223" i="69"/>
  <c r="AC223" i="69"/>
  <c r="AB223" i="69"/>
  <c r="AA223" i="69"/>
  <c r="Z223" i="69"/>
  <c r="AD222" i="69"/>
  <c r="AC222" i="69"/>
  <c r="AB222" i="69"/>
  <c r="AA222" i="69"/>
  <c r="Z222" i="69"/>
  <c r="AD221" i="69"/>
  <c r="AC221" i="69"/>
  <c r="AB221" i="69"/>
  <c r="AA221" i="69"/>
  <c r="Z221" i="69"/>
  <c r="AD220" i="69"/>
  <c r="AC220" i="69"/>
  <c r="AB220" i="69"/>
  <c r="AA220" i="69"/>
  <c r="Z220" i="69"/>
  <c r="AD207" i="69"/>
  <c r="H207" i="69" s="1"/>
  <c r="AC207" i="69"/>
  <c r="G207" i="69" s="1"/>
  <c r="AB207" i="69"/>
  <c r="F207" i="69" s="1"/>
  <c r="AA207" i="69"/>
  <c r="E207" i="69" s="1"/>
  <c r="Z207" i="69"/>
  <c r="D207" i="69" s="1"/>
  <c r="AD205" i="69"/>
  <c r="AC205" i="69"/>
  <c r="AB205" i="69"/>
  <c r="AA205" i="69"/>
  <c r="Z205" i="69"/>
  <c r="AD204" i="69"/>
  <c r="AC204" i="69"/>
  <c r="AB204" i="69"/>
  <c r="AA204" i="69"/>
  <c r="Z204" i="69"/>
  <c r="AD203" i="69"/>
  <c r="AC203" i="69"/>
  <c r="AB203" i="69"/>
  <c r="AA203" i="69"/>
  <c r="Z203" i="69"/>
  <c r="AD202" i="69"/>
  <c r="AC202" i="69"/>
  <c r="AB202" i="69"/>
  <c r="AA202" i="69"/>
  <c r="Z202" i="69"/>
  <c r="AD201" i="69"/>
  <c r="AC201" i="69"/>
  <c r="AB201" i="69"/>
  <c r="AA201" i="69"/>
  <c r="Z201" i="69"/>
  <c r="AD200" i="69"/>
  <c r="AC200" i="69"/>
  <c r="AB200" i="69"/>
  <c r="AA200" i="69"/>
  <c r="Z200" i="69"/>
  <c r="AD199" i="69"/>
  <c r="AC199" i="69"/>
  <c r="AB199" i="69"/>
  <c r="AA199" i="69"/>
  <c r="Z199" i="69"/>
  <c r="AD198" i="69"/>
  <c r="AC198" i="69"/>
  <c r="AA198" i="69"/>
  <c r="Z198" i="69"/>
  <c r="AD197" i="69"/>
  <c r="AC197" i="69"/>
  <c r="AB197" i="69"/>
  <c r="AA197" i="69"/>
  <c r="Z197" i="69"/>
  <c r="AD196" i="69"/>
  <c r="AC196" i="69"/>
  <c r="AB196" i="69"/>
  <c r="AA196" i="69"/>
  <c r="Z196" i="69"/>
  <c r="AD195" i="69"/>
  <c r="AC195" i="69"/>
  <c r="AB195" i="69"/>
  <c r="AA195" i="69"/>
  <c r="Z195" i="69"/>
  <c r="AD194" i="69"/>
  <c r="AC194" i="69"/>
  <c r="AB194" i="69"/>
  <c r="AA194" i="69"/>
  <c r="Z194" i="69"/>
  <c r="AD193" i="69"/>
  <c r="AC193" i="69"/>
  <c r="AB193" i="69"/>
  <c r="AA193" i="69"/>
  <c r="Z193" i="69"/>
  <c r="AD192" i="69"/>
  <c r="AC192" i="69"/>
  <c r="AB192" i="69"/>
  <c r="AA192" i="69"/>
  <c r="Z192" i="69"/>
  <c r="AD191" i="69"/>
  <c r="AC191" i="69"/>
  <c r="AB191" i="69"/>
  <c r="AA191" i="69"/>
  <c r="Z191" i="69"/>
  <c r="AD190" i="69"/>
  <c r="AC190" i="69"/>
  <c r="AB190" i="69"/>
  <c r="AA190" i="69"/>
  <c r="Z190" i="69"/>
  <c r="AD189" i="69"/>
  <c r="AC189" i="69"/>
  <c r="AB189" i="69"/>
  <c r="AA189" i="69"/>
  <c r="Z189" i="69"/>
  <c r="AD188" i="69"/>
  <c r="AC188" i="69"/>
  <c r="AB188" i="69"/>
  <c r="AA188" i="69"/>
  <c r="Z188" i="69"/>
  <c r="AD187" i="69"/>
  <c r="AC187" i="69"/>
  <c r="AB187" i="69"/>
  <c r="AA187" i="69"/>
  <c r="Z187" i="69"/>
  <c r="AD186" i="69"/>
  <c r="AC186" i="69"/>
  <c r="AB186" i="69"/>
  <c r="AA186" i="69"/>
  <c r="Z186" i="69"/>
  <c r="AD185" i="69"/>
  <c r="AC185" i="69"/>
  <c r="AB185" i="69"/>
  <c r="AA185" i="69"/>
  <c r="Z185" i="69"/>
  <c r="AD184" i="69"/>
  <c r="AC184" i="69"/>
  <c r="AB184" i="69"/>
  <c r="AA184" i="69"/>
  <c r="Z184" i="69"/>
  <c r="Z242" i="69"/>
  <c r="AF242" i="69"/>
  <c r="AA242" i="69"/>
  <c r="AG242" i="69"/>
  <c r="AI242" i="69"/>
  <c r="AC242" i="69"/>
  <c r="AJ242" i="69"/>
  <c r="AD242" i="69"/>
  <c r="AI279" i="69" l="1"/>
  <c r="H279" i="69"/>
  <c r="D279" i="69"/>
  <c r="AE279" i="69"/>
  <c r="E279" i="69"/>
  <c r="AF279" i="69"/>
  <c r="F279" i="69"/>
  <c r="AG279" i="69"/>
  <c r="AH279" i="69"/>
  <c r="G279" i="69"/>
  <c r="AB113" i="70"/>
  <c r="AB114" i="70"/>
  <c r="X114" i="70"/>
  <c r="F184" i="69"/>
  <c r="AG184" i="69"/>
  <c r="H186" i="69"/>
  <c r="AI186" i="69"/>
  <c r="E189" i="69"/>
  <c r="AF189" i="69"/>
  <c r="D190" i="69"/>
  <c r="AE190" i="69"/>
  <c r="F192" i="69"/>
  <c r="AG192" i="69"/>
  <c r="D194" i="69"/>
  <c r="AE194" i="69"/>
  <c r="F196" i="69"/>
  <c r="AG196" i="69"/>
  <c r="H198" i="69"/>
  <c r="AI198" i="69"/>
  <c r="F200" i="69"/>
  <c r="AG200" i="69"/>
  <c r="G203" i="69"/>
  <c r="AH203" i="69"/>
  <c r="E205" i="69"/>
  <c r="AF205" i="69"/>
  <c r="H257" i="69"/>
  <c r="AI257" i="69"/>
  <c r="E260" i="69"/>
  <c r="AF260" i="69"/>
  <c r="G262" i="69"/>
  <c r="AH262" i="69"/>
  <c r="E264" i="69"/>
  <c r="AF264" i="69"/>
  <c r="H265" i="69"/>
  <c r="AI265" i="69"/>
  <c r="E268" i="69"/>
  <c r="AF268" i="69"/>
  <c r="G270" i="69"/>
  <c r="AH270" i="69"/>
  <c r="D273" i="69"/>
  <c r="AE273" i="69"/>
  <c r="G274" i="69"/>
  <c r="AH274" i="69"/>
  <c r="D277" i="69"/>
  <c r="AE277" i="69"/>
  <c r="H277" i="69"/>
  <c r="AI277" i="69"/>
  <c r="F185" i="69"/>
  <c r="AG185" i="69"/>
  <c r="D187" i="69"/>
  <c r="AE187" i="69"/>
  <c r="F189" i="69"/>
  <c r="AG189" i="69"/>
  <c r="H191" i="69"/>
  <c r="AI191" i="69"/>
  <c r="F193" i="69"/>
  <c r="AG193" i="69"/>
  <c r="D195" i="69"/>
  <c r="AE195" i="69"/>
  <c r="F197" i="69"/>
  <c r="AG197" i="69"/>
  <c r="D199" i="69"/>
  <c r="AE199" i="69"/>
  <c r="G200" i="69"/>
  <c r="AH200" i="69"/>
  <c r="H203" i="69"/>
  <c r="AI203" i="69"/>
  <c r="D184" i="69"/>
  <c r="AE184" i="69"/>
  <c r="G185" i="69"/>
  <c r="AH185" i="69"/>
  <c r="E187" i="69"/>
  <c r="AF187" i="69"/>
  <c r="G189" i="69"/>
  <c r="AH189" i="69"/>
  <c r="E191" i="69"/>
  <c r="AF191" i="69"/>
  <c r="D192" i="69"/>
  <c r="AE192" i="69"/>
  <c r="G193" i="69"/>
  <c r="AH193" i="69"/>
  <c r="D196" i="69"/>
  <c r="AE196" i="69"/>
  <c r="G197" i="69"/>
  <c r="AH197" i="69"/>
  <c r="D200" i="69"/>
  <c r="AE200" i="69"/>
  <c r="G201" i="69"/>
  <c r="AH201" i="69"/>
  <c r="E203" i="69"/>
  <c r="AF203" i="69"/>
  <c r="D204" i="69"/>
  <c r="AE204" i="69"/>
  <c r="E184" i="69"/>
  <c r="AF184" i="69"/>
  <c r="D185" i="69"/>
  <c r="AE185" i="69"/>
  <c r="H185" i="69"/>
  <c r="AI185" i="69"/>
  <c r="G186" i="69"/>
  <c r="AH186" i="69"/>
  <c r="F187" i="69"/>
  <c r="AG187" i="69"/>
  <c r="E188" i="69"/>
  <c r="AF188" i="69"/>
  <c r="D189" i="69"/>
  <c r="AE189" i="69"/>
  <c r="H189" i="69"/>
  <c r="AI189" i="69"/>
  <c r="G190" i="69"/>
  <c r="AH190" i="69"/>
  <c r="F191" i="69"/>
  <c r="AG191" i="69"/>
  <c r="E192" i="69"/>
  <c r="AF192" i="69"/>
  <c r="D193" i="69"/>
  <c r="AE193" i="69"/>
  <c r="H193" i="69"/>
  <c r="AI193" i="69"/>
  <c r="G194" i="69"/>
  <c r="AH194" i="69"/>
  <c r="F195" i="69"/>
  <c r="AG195" i="69"/>
  <c r="E196" i="69"/>
  <c r="AF196" i="69"/>
  <c r="D197" i="69"/>
  <c r="AE197" i="69"/>
  <c r="H197" i="69"/>
  <c r="AI197" i="69"/>
  <c r="G198" i="69"/>
  <c r="AH198" i="69"/>
  <c r="F199" i="69"/>
  <c r="AG199" i="69"/>
  <c r="E200" i="69"/>
  <c r="AF200" i="69"/>
  <c r="D201" i="69"/>
  <c r="AE201" i="69"/>
  <c r="H201" i="69"/>
  <c r="AI201" i="69"/>
  <c r="G202" i="69"/>
  <c r="AH202" i="69"/>
  <c r="F203" i="69"/>
  <c r="AG203" i="69"/>
  <c r="E204" i="69"/>
  <c r="AF204" i="69"/>
  <c r="D205" i="69"/>
  <c r="AE205" i="69"/>
  <c r="H205" i="69"/>
  <c r="AI205" i="69"/>
  <c r="D256" i="69"/>
  <c r="AE256" i="69"/>
  <c r="H256" i="69"/>
  <c r="AI256" i="69"/>
  <c r="G257" i="69"/>
  <c r="AH257" i="69"/>
  <c r="F258" i="69"/>
  <c r="AG258" i="69"/>
  <c r="E259" i="69"/>
  <c r="AF259" i="69"/>
  <c r="D260" i="69"/>
  <c r="AE260" i="69"/>
  <c r="H260" i="69"/>
  <c r="AI260" i="69"/>
  <c r="G261" i="69"/>
  <c r="AH261" i="69"/>
  <c r="F262" i="69"/>
  <c r="AG262" i="69"/>
  <c r="E263" i="69"/>
  <c r="AF263" i="69"/>
  <c r="D264" i="69"/>
  <c r="AE264" i="69"/>
  <c r="H264" i="69"/>
  <c r="AI264" i="69"/>
  <c r="G265" i="69"/>
  <c r="AH265" i="69"/>
  <c r="F266" i="69"/>
  <c r="AG266" i="69"/>
  <c r="E267" i="69"/>
  <c r="AF267" i="69"/>
  <c r="D268" i="69"/>
  <c r="AE268" i="69"/>
  <c r="H268" i="69"/>
  <c r="AI268" i="69"/>
  <c r="G269" i="69"/>
  <c r="AH269" i="69"/>
  <c r="E271" i="69"/>
  <c r="AF271" i="69"/>
  <c r="D272" i="69"/>
  <c r="AE272" i="69"/>
  <c r="H272" i="69"/>
  <c r="AI272" i="69"/>
  <c r="G273" i="69"/>
  <c r="AH273" i="69"/>
  <c r="F274" i="69"/>
  <c r="AG274" i="69"/>
  <c r="E275" i="69"/>
  <c r="AF275" i="69"/>
  <c r="D276" i="69"/>
  <c r="AE276" i="69"/>
  <c r="H276" i="69"/>
  <c r="AI276" i="69"/>
  <c r="G277" i="69"/>
  <c r="AH277" i="69"/>
  <c r="D186" i="69"/>
  <c r="AE186" i="69"/>
  <c r="G187" i="69"/>
  <c r="AH187" i="69"/>
  <c r="H190" i="69"/>
  <c r="AI190" i="69"/>
  <c r="E193" i="69"/>
  <c r="AF193" i="69"/>
  <c r="G195" i="69"/>
  <c r="AH195" i="69"/>
  <c r="D198" i="69"/>
  <c r="AE198" i="69"/>
  <c r="E201" i="69"/>
  <c r="AF201" i="69"/>
  <c r="D202" i="69"/>
  <c r="AE202" i="69"/>
  <c r="F204" i="69"/>
  <c r="AG204" i="69"/>
  <c r="E256" i="69"/>
  <c r="AF256" i="69"/>
  <c r="G258" i="69"/>
  <c r="AH258" i="69"/>
  <c r="D261" i="69"/>
  <c r="AE261" i="69"/>
  <c r="F263" i="69"/>
  <c r="AG263" i="69"/>
  <c r="G266" i="69"/>
  <c r="AH266" i="69"/>
  <c r="D269" i="69"/>
  <c r="AE269" i="69"/>
  <c r="F271" i="69"/>
  <c r="AG271" i="69"/>
  <c r="H273" i="69"/>
  <c r="AI273" i="69"/>
  <c r="F275" i="69"/>
  <c r="AG275" i="69"/>
  <c r="E186" i="69"/>
  <c r="AF186" i="69"/>
  <c r="G188" i="69"/>
  <c r="AH188" i="69"/>
  <c r="D191" i="69"/>
  <c r="AE191" i="69"/>
  <c r="E194" i="69"/>
  <c r="AF194" i="69"/>
  <c r="G196" i="69"/>
  <c r="AH196" i="69"/>
  <c r="E198" i="69"/>
  <c r="AF198" i="69"/>
  <c r="F201" i="69"/>
  <c r="AG201" i="69"/>
  <c r="D203" i="69"/>
  <c r="AE203" i="69"/>
  <c r="G204" i="69"/>
  <c r="AH204" i="69"/>
  <c r="F205" i="69"/>
  <c r="AG205" i="69"/>
  <c r="F256" i="69"/>
  <c r="AG256" i="69"/>
  <c r="E257" i="69"/>
  <c r="AF257" i="69"/>
  <c r="D258" i="69"/>
  <c r="AE258" i="69"/>
  <c r="H258" i="69"/>
  <c r="AI258" i="69"/>
  <c r="G259" i="69"/>
  <c r="AH259" i="69"/>
  <c r="F260" i="69"/>
  <c r="AG260" i="69"/>
  <c r="E261" i="69"/>
  <c r="AF261" i="69"/>
  <c r="D262" i="69"/>
  <c r="AE262" i="69"/>
  <c r="H262" i="69"/>
  <c r="AI262" i="69"/>
  <c r="G263" i="69"/>
  <c r="AH263" i="69"/>
  <c r="F264" i="69"/>
  <c r="AG264" i="69"/>
  <c r="E265" i="69"/>
  <c r="AF265" i="69"/>
  <c r="D266" i="69"/>
  <c r="AE266" i="69"/>
  <c r="H266" i="69"/>
  <c r="AI266" i="69"/>
  <c r="G267" i="69"/>
  <c r="AH267" i="69"/>
  <c r="F268" i="69"/>
  <c r="AG268" i="69"/>
  <c r="E269" i="69"/>
  <c r="AF269" i="69"/>
  <c r="D270" i="69"/>
  <c r="AE270" i="69"/>
  <c r="H270" i="69"/>
  <c r="AI270" i="69"/>
  <c r="G271" i="69"/>
  <c r="AH271" i="69"/>
  <c r="F272" i="69"/>
  <c r="AG272" i="69"/>
  <c r="E273" i="69"/>
  <c r="AF273" i="69"/>
  <c r="D274" i="69"/>
  <c r="AE274" i="69"/>
  <c r="H274" i="69"/>
  <c r="AI274" i="69"/>
  <c r="G275" i="69"/>
  <c r="AH275" i="69"/>
  <c r="F276" i="69"/>
  <c r="AG276" i="69"/>
  <c r="E277" i="69"/>
  <c r="AF277" i="69"/>
  <c r="E185" i="69"/>
  <c r="AF185" i="69"/>
  <c r="F188" i="69"/>
  <c r="AG188" i="69"/>
  <c r="G191" i="69"/>
  <c r="AH191" i="69"/>
  <c r="H194" i="69"/>
  <c r="AI194" i="69"/>
  <c r="E197" i="69"/>
  <c r="AF197" i="69"/>
  <c r="G199" i="69"/>
  <c r="AH199" i="69"/>
  <c r="H202" i="69"/>
  <c r="AI202" i="69"/>
  <c r="D257" i="69"/>
  <c r="AE257" i="69"/>
  <c r="F259" i="69"/>
  <c r="AG259" i="69"/>
  <c r="H261" i="69"/>
  <c r="AI261" i="69"/>
  <c r="D265" i="69"/>
  <c r="AE265" i="69"/>
  <c r="F267" i="69"/>
  <c r="AG267" i="69"/>
  <c r="H269" i="69"/>
  <c r="AI269" i="69"/>
  <c r="E272" i="69"/>
  <c r="AF272" i="69"/>
  <c r="E276" i="69"/>
  <c r="AF276" i="69"/>
  <c r="G184" i="69"/>
  <c r="AH184" i="69"/>
  <c r="H187" i="69"/>
  <c r="AI187" i="69"/>
  <c r="E190" i="69"/>
  <c r="AF190" i="69"/>
  <c r="G192" i="69"/>
  <c r="AH192" i="69"/>
  <c r="H195" i="69"/>
  <c r="AI195" i="69"/>
  <c r="H199" i="69"/>
  <c r="AI199" i="69"/>
  <c r="E202" i="69"/>
  <c r="AF202" i="69"/>
  <c r="H184" i="69"/>
  <c r="AI184" i="69"/>
  <c r="F186" i="69"/>
  <c r="AG186" i="69"/>
  <c r="D188" i="69"/>
  <c r="AE188" i="69"/>
  <c r="H188" i="69"/>
  <c r="AI188" i="69"/>
  <c r="F190" i="69"/>
  <c r="AG190" i="69"/>
  <c r="H192" i="69"/>
  <c r="AI192" i="69"/>
  <c r="F194" i="69"/>
  <c r="AG194" i="69"/>
  <c r="E195" i="69"/>
  <c r="AF195" i="69"/>
  <c r="H196" i="69"/>
  <c r="AI196" i="69"/>
  <c r="E199" i="69"/>
  <c r="AF199" i="69"/>
  <c r="H200" i="69"/>
  <c r="AI200" i="69"/>
  <c r="F202" i="69"/>
  <c r="AG202" i="69"/>
  <c r="H204" i="69"/>
  <c r="AI204" i="69"/>
  <c r="G205" i="69"/>
  <c r="AH205" i="69"/>
  <c r="G256" i="69"/>
  <c r="AH256" i="69"/>
  <c r="F257" i="69"/>
  <c r="AG257" i="69"/>
  <c r="E258" i="69"/>
  <c r="AF258" i="69"/>
  <c r="D259" i="69"/>
  <c r="AE259" i="69"/>
  <c r="H259" i="69"/>
  <c r="AI259" i="69"/>
  <c r="G260" i="69"/>
  <c r="AH260" i="69"/>
  <c r="F261" i="69"/>
  <c r="AG261" i="69"/>
  <c r="E262" i="69"/>
  <c r="AF262" i="69"/>
  <c r="D263" i="69"/>
  <c r="AE263" i="69"/>
  <c r="H263" i="69"/>
  <c r="AI263" i="69"/>
  <c r="G264" i="69"/>
  <c r="AH264" i="69"/>
  <c r="F265" i="69"/>
  <c r="AG265" i="69"/>
  <c r="E266" i="69"/>
  <c r="AF266" i="69"/>
  <c r="D267" i="69"/>
  <c r="AE267" i="69"/>
  <c r="H267" i="69"/>
  <c r="AI267" i="69"/>
  <c r="G268" i="69"/>
  <c r="AH268" i="69"/>
  <c r="F269" i="69"/>
  <c r="AG269" i="69"/>
  <c r="E270" i="69"/>
  <c r="AF270" i="69"/>
  <c r="D271" i="69"/>
  <c r="AE271" i="69"/>
  <c r="H271" i="69"/>
  <c r="AI271" i="69"/>
  <c r="G272" i="69"/>
  <c r="AH272" i="69"/>
  <c r="F273" i="69"/>
  <c r="AG273" i="69"/>
  <c r="E274" i="69"/>
  <c r="AF274" i="69"/>
  <c r="D275" i="69"/>
  <c r="AE275" i="69"/>
  <c r="H275" i="69"/>
  <c r="AI275" i="69"/>
  <c r="G276" i="69"/>
  <c r="AH276" i="69"/>
  <c r="F277" i="69"/>
  <c r="AG277" i="69"/>
  <c r="D222" i="69"/>
  <c r="D226" i="69"/>
  <c r="D230" i="69"/>
  <c r="D234" i="69"/>
  <c r="D238" i="69"/>
  <c r="D243" i="69"/>
  <c r="D242" i="69"/>
  <c r="D220" i="69"/>
  <c r="D224" i="69"/>
  <c r="D228" i="69"/>
  <c r="D232" i="69"/>
  <c r="D236" i="69"/>
  <c r="D240" i="69"/>
  <c r="D221" i="69"/>
  <c r="D225" i="69"/>
  <c r="D229" i="69"/>
  <c r="D233" i="69"/>
  <c r="D237" i="69"/>
  <c r="D241" i="69"/>
  <c r="D223" i="69"/>
  <c r="D227" i="69"/>
  <c r="D231" i="69"/>
  <c r="D235" i="69"/>
  <c r="D239" i="69"/>
  <c r="E230" i="69"/>
  <c r="E234" i="69"/>
  <c r="E238" i="69"/>
  <c r="E243" i="69"/>
  <c r="E226" i="69"/>
  <c r="E223" i="69"/>
  <c r="E227" i="69"/>
  <c r="E235" i="69"/>
  <c r="E239" i="69"/>
  <c r="H221" i="69"/>
  <c r="F223" i="69"/>
  <c r="H225" i="69"/>
  <c r="F227" i="69"/>
  <c r="F231" i="69"/>
  <c r="H233" i="69"/>
  <c r="F235" i="69"/>
  <c r="H237" i="69"/>
  <c r="F239" i="69"/>
  <c r="H241" i="69"/>
  <c r="E222" i="69"/>
  <c r="E242" i="69"/>
  <c r="F220" i="69"/>
  <c r="H222" i="69"/>
  <c r="F224" i="69"/>
  <c r="H226" i="69"/>
  <c r="F228" i="69"/>
  <c r="H230" i="69"/>
  <c r="F232" i="69"/>
  <c r="H234" i="69"/>
  <c r="F236" i="69"/>
  <c r="H238" i="69"/>
  <c r="F240" i="69"/>
  <c r="H243" i="69"/>
  <c r="H242" i="69"/>
  <c r="H229" i="69"/>
  <c r="G222" i="69"/>
  <c r="E228" i="69"/>
  <c r="G230" i="69"/>
  <c r="E232" i="69"/>
  <c r="G234" i="69"/>
  <c r="E236" i="69"/>
  <c r="G238" i="69"/>
  <c r="E240" i="69"/>
  <c r="G243" i="69"/>
  <c r="E221" i="69"/>
  <c r="E225" i="69"/>
  <c r="E229" i="69"/>
  <c r="E233" i="69"/>
  <c r="E237" i="69"/>
  <c r="E241" i="69"/>
  <c r="F221" i="69"/>
  <c r="H223" i="69"/>
  <c r="F225" i="69"/>
  <c r="H227" i="69"/>
  <c r="F229" i="69"/>
  <c r="H231" i="69"/>
  <c r="F233" i="69"/>
  <c r="H235" i="69"/>
  <c r="F237" i="69"/>
  <c r="H239" i="69"/>
  <c r="F241" i="69"/>
  <c r="E220" i="69"/>
  <c r="E224" i="69"/>
  <c r="G226" i="69"/>
  <c r="H220" i="69"/>
  <c r="F222" i="69"/>
  <c r="H224" i="69"/>
  <c r="F226" i="69"/>
  <c r="H228" i="69"/>
  <c r="F230" i="69"/>
  <c r="E231" i="69"/>
  <c r="H232" i="69"/>
  <c r="H236" i="69"/>
  <c r="F238" i="69"/>
  <c r="H240" i="69"/>
  <c r="F243" i="69"/>
  <c r="G221" i="69"/>
  <c r="G225" i="69"/>
  <c r="G229" i="69"/>
  <c r="G233" i="69"/>
  <c r="G237" i="69"/>
  <c r="G241" i="69"/>
  <c r="G224" i="69"/>
  <c r="G228" i="69"/>
  <c r="G232" i="69"/>
  <c r="G236" i="69"/>
  <c r="G240" i="69"/>
  <c r="G223" i="69"/>
  <c r="G227" i="69"/>
  <c r="G231" i="69"/>
  <c r="G235" i="69"/>
  <c r="G239" i="69"/>
  <c r="G242" i="69"/>
  <c r="G220" i="69"/>
  <c r="AA278" i="69"/>
  <c r="AA206" i="69"/>
  <c r="Z171" i="70"/>
  <c r="E33" i="60"/>
  <c r="M33" i="60" s="1"/>
  <c r="Z278" i="69"/>
  <c r="Z206" i="69"/>
  <c r="Y171" i="70"/>
  <c r="AI278" i="69" l="1"/>
  <c r="AE278" i="69"/>
  <c r="D278" i="69" s="1"/>
  <c r="AF206" i="69"/>
  <c r="E206" i="69" s="1"/>
  <c r="AH278" i="69"/>
  <c r="AI206" i="69"/>
  <c r="AF278" i="69"/>
  <c r="E278" i="69" s="1"/>
  <c r="AH206" i="69"/>
  <c r="AE206" i="69"/>
  <c r="D206" i="69" s="1"/>
  <c r="AK140" i="60"/>
  <c r="E206" i="60"/>
  <c r="E99" i="60"/>
  <c r="D206" i="60"/>
  <c r="D99" i="60"/>
  <c r="E32" i="70"/>
  <c r="E104" i="70"/>
  <c r="M104" i="70" s="1"/>
  <c r="AF171" i="70"/>
  <c r="AE171" i="70"/>
  <c r="D104" i="70"/>
  <c r="L104" i="70" s="1"/>
  <c r="AP135" i="70" l="1"/>
  <c r="AV135" i="70"/>
  <c r="AW135" i="70"/>
  <c r="AQ135" i="70"/>
  <c r="AO104" i="70"/>
  <c r="D171" i="70"/>
  <c r="E171" i="70"/>
  <c r="H33" i="60"/>
  <c r="P33" i="60" s="1"/>
  <c r="AC171" i="70"/>
  <c r="AD206" i="69"/>
  <c r="H206" i="69" s="1"/>
  <c r="AD278" i="69"/>
  <c r="H278" i="69" s="1"/>
  <c r="AC206" i="69"/>
  <c r="G206" i="69" s="1"/>
  <c r="H206" i="60" l="1"/>
  <c r="H99" i="60"/>
  <c r="H104" i="70"/>
  <c r="P104" i="70" s="1"/>
  <c r="Q104" i="70" l="1"/>
  <c r="AZ135" i="70"/>
  <c r="AT135" i="70"/>
  <c r="Z78" i="76"/>
  <c r="Q140" i="60"/>
  <c r="H171" i="70"/>
  <c r="AD171" i="69"/>
  <c r="AC171" i="69"/>
  <c r="AB171" i="69"/>
  <c r="AA171" i="69"/>
  <c r="Z171" i="69"/>
  <c r="AD170" i="69"/>
  <c r="AD169" i="69"/>
  <c r="AC169" i="69"/>
  <c r="AB169" i="69"/>
  <c r="AA169" i="69"/>
  <c r="Z169" i="69"/>
  <c r="AD168" i="69"/>
  <c r="AC168" i="69"/>
  <c r="AB168" i="69"/>
  <c r="AA168" i="69"/>
  <c r="Z168" i="69"/>
  <c r="AD167" i="69"/>
  <c r="AC167" i="69"/>
  <c r="AB167" i="69"/>
  <c r="AA167" i="69"/>
  <c r="Z167" i="69"/>
  <c r="AD166" i="69"/>
  <c r="AC166" i="69"/>
  <c r="AB166" i="69"/>
  <c r="AA166" i="69"/>
  <c r="Z166" i="69"/>
  <c r="AD165" i="69"/>
  <c r="AC165" i="69"/>
  <c r="AB165" i="69"/>
  <c r="AA165" i="69"/>
  <c r="Z165" i="69"/>
  <c r="AD164" i="69"/>
  <c r="AC164" i="69"/>
  <c r="AB164" i="69"/>
  <c r="AA164" i="69"/>
  <c r="Z164" i="69"/>
  <c r="AD163" i="69"/>
  <c r="AC163" i="69"/>
  <c r="AB163" i="69"/>
  <c r="AA163" i="69"/>
  <c r="Z163" i="69"/>
  <c r="AD162" i="69"/>
  <c r="AC162" i="69"/>
  <c r="AA162" i="69"/>
  <c r="Z162" i="69"/>
  <c r="AD161" i="69"/>
  <c r="AC161" i="69"/>
  <c r="AB161" i="69"/>
  <c r="AA161" i="69"/>
  <c r="Z161" i="69"/>
  <c r="AD160" i="69"/>
  <c r="AC160" i="69"/>
  <c r="AB160" i="69"/>
  <c r="AA160" i="69"/>
  <c r="Z160" i="69"/>
  <c r="AD159" i="69"/>
  <c r="AC159" i="69"/>
  <c r="AB159" i="69"/>
  <c r="AA159" i="69"/>
  <c r="Z159" i="69"/>
  <c r="AD158" i="69"/>
  <c r="AC158" i="69"/>
  <c r="AB158" i="69"/>
  <c r="AA158" i="69"/>
  <c r="Z158" i="69"/>
  <c r="AD157" i="69"/>
  <c r="AC157" i="69"/>
  <c r="AB157" i="69"/>
  <c r="AA157" i="69"/>
  <c r="Z157" i="69"/>
  <c r="AD156" i="69"/>
  <c r="AC156" i="69"/>
  <c r="AB156" i="69"/>
  <c r="AA156" i="69"/>
  <c r="Z156" i="69"/>
  <c r="AD155" i="69"/>
  <c r="AC155" i="69"/>
  <c r="AB155" i="69"/>
  <c r="AA155" i="69"/>
  <c r="Z155" i="69"/>
  <c r="AD154" i="69"/>
  <c r="AC154" i="69"/>
  <c r="AB154" i="69"/>
  <c r="AA154" i="69"/>
  <c r="Z154" i="69"/>
  <c r="AD153" i="69"/>
  <c r="AC153" i="69"/>
  <c r="AB153" i="69"/>
  <c r="AA153" i="69"/>
  <c r="Z153" i="69"/>
  <c r="AD152" i="69"/>
  <c r="AC152" i="69"/>
  <c r="AB152" i="69"/>
  <c r="AA152" i="69"/>
  <c r="Z152" i="69"/>
  <c r="AD151" i="69"/>
  <c r="AC151" i="69"/>
  <c r="AB151" i="69"/>
  <c r="AA151" i="69"/>
  <c r="Z151" i="69"/>
  <c r="AD150" i="69"/>
  <c r="AC150" i="69"/>
  <c r="AB150" i="69"/>
  <c r="AA150" i="69"/>
  <c r="Z150" i="69"/>
  <c r="AD149" i="69"/>
  <c r="AC149" i="69"/>
  <c r="AB149" i="69"/>
  <c r="AA149" i="69"/>
  <c r="Z149" i="69"/>
  <c r="AD148" i="69"/>
  <c r="AC148" i="69"/>
  <c r="AB148" i="69"/>
  <c r="AA148" i="69"/>
  <c r="Z148" i="69"/>
  <c r="AJ135" i="69"/>
  <c r="AI135" i="69"/>
  <c r="AH135" i="69"/>
  <c r="AG135" i="69"/>
  <c r="AF135" i="69"/>
  <c r="AJ134" i="69"/>
  <c r="AJ133" i="69"/>
  <c r="AI133" i="69"/>
  <c r="AH133" i="69"/>
  <c r="AG133" i="69"/>
  <c r="AF133" i="69"/>
  <c r="AJ132" i="69"/>
  <c r="AI132" i="69"/>
  <c r="AH132" i="69"/>
  <c r="AG132" i="69"/>
  <c r="AF132" i="69"/>
  <c r="AJ131" i="69"/>
  <c r="AI131" i="69"/>
  <c r="AH131" i="69"/>
  <c r="AG131" i="69"/>
  <c r="AF131" i="69"/>
  <c r="AJ130" i="69"/>
  <c r="AI130" i="69"/>
  <c r="AH130" i="69"/>
  <c r="AG130" i="69"/>
  <c r="AF130" i="69"/>
  <c r="AJ129" i="69"/>
  <c r="AI129" i="69"/>
  <c r="AH129" i="69"/>
  <c r="AG129" i="69"/>
  <c r="AF129" i="69"/>
  <c r="AJ128" i="69"/>
  <c r="AI128" i="69"/>
  <c r="AH128" i="69"/>
  <c r="AG128" i="69"/>
  <c r="AF128" i="69"/>
  <c r="AJ127" i="69"/>
  <c r="AI127" i="69"/>
  <c r="AH127" i="69"/>
  <c r="AG127" i="69"/>
  <c r="AF127" i="69"/>
  <c r="AJ126" i="69"/>
  <c r="AI126" i="69"/>
  <c r="AG126" i="69"/>
  <c r="AF126" i="69"/>
  <c r="AJ125" i="69"/>
  <c r="AI125" i="69"/>
  <c r="AH125" i="69"/>
  <c r="AG125" i="69"/>
  <c r="AF125" i="69"/>
  <c r="AJ124" i="69"/>
  <c r="AI124" i="69"/>
  <c r="AH124" i="69"/>
  <c r="AG124" i="69"/>
  <c r="AF124" i="69"/>
  <c r="AJ123" i="69"/>
  <c r="AI123" i="69"/>
  <c r="AH123" i="69"/>
  <c r="AG123" i="69"/>
  <c r="AF123" i="69"/>
  <c r="AJ122" i="69"/>
  <c r="AI122" i="69"/>
  <c r="AH122" i="69"/>
  <c r="AG122" i="69"/>
  <c r="AF122" i="69"/>
  <c r="AJ121" i="69"/>
  <c r="AI121" i="69"/>
  <c r="AH121" i="69"/>
  <c r="AG121" i="69"/>
  <c r="AF121" i="69"/>
  <c r="AJ120" i="69"/>
  <c r="AI120" i="69"/>
  <c r="AH120" i="69"/>
  <c r="AG120" i="69"/>
  <c r="AF120" i="69"/>
  <c r="AJ119" i="69"/>
  <c r="AI119" i="69"/>
  <c r="AH119" i="69"/>
  <c r="AG119" i="69"/>
  <c r="AF119" i="69"/>
  <c r="AJ118" i="69"/>
  <c r="AI118" i="69"/>
  <c r="AH118" i="69"/>
  <c r="AG118" i="69"/>
  <c r="AF118" i="69"/>
  <c r="AJ117" i="69"/>
  <c r="AI117" i="69"/>
  <c r="AH117" i="69"/>
  <c r="AG117" i="69"/>
  <c r="AF117" i="69"/>
  <c r="AJ116" i="69"/>
  <c r="AI116" i="69"/>
  <c r="AH116" i="69"/>
  <c r="AG116" i="69"/>
  <c r="AF116" i="69"/>
  <c r="AJ115" i="69"/>
  <c r="AI115" i="69"/>
  <c r="AH115" i="69"/>
  <c r="AG115" i="69"/>
  <c r="AF115" i="69"/>
  <c r="AJ114" i="69"/>
  <c r="AI114" i="69"/>
  <c r="AH114" i="69"/>
  <c r="AG114" i="69"/>
  <c r="AF114" i="69"/>
  <c r="AJ113" i="69"/>
  <c r="AI113" i="69"/>
  <c r="AH113" i="69"/>
  <c r="AG113" i="69"/>
  <c r="AF113" i="69"/>
  <c r="AJ112" i="69"/>
  <c r="AI112" i="69"/>
  <c r="AH112" i="69"/>
  <c r="AG112" i="69"/>
  <c r="AF112" i="69"/>
  <c r="AD135" i="69"/>
  <c r="AC135" i="69"/>
  <c r="AB135" i="69"/>
  <c r="AA135" i="69"/>
  <c r="Z135" i="69"/>
  <c r="AD134" i="69"/>
  <c r="AD133" i="69"/>
  <c r="AC133" i="69"/>
  <c r="AB133" i="69"/>
  <c r="AA133" i="69"/>
  <c r="Z133" i="69"/>
  <c r="AD132" i="69"/>
  <c r="AC132" i="69"/>
  <c r="AB132" i="69"/>
  <c r="AA132" i="69"/>
  <c r="Z132" i="69"/>
  <c r="AD131" i="69"/>
  <c r="AC131" i="69"/>
  <c r="AB131" i="69"/>
  <c r="AA131" i="69"/>
  <c r="Z131" i="69"/>
  <c r="AD130" i="69"/>
  <c r="AC130" i="69"/>
  <c r="AB130" i="69"/>
  <c r="AA130" i="69"/>
  <c r="Z130" i="69"/>
  <c r="AD129" i="69"/>
  <c r="AC129" i="69"/>
  <c r="AB129" i="69"/>
  <c r="AA129" i="69"/>
  <c r="Z129" i="69"/>
  <c r="AD128" i="69"/>
  <c r="AC128" i="69"/>
  <c r="AB128" i="69"/>
  <c r="AA128" i="69"/>
  <c r="Z128" i="69"/>
  <c r="AD127" i="69"/>
  <c r="AC127" i="69"/>
  <c r="AB127" i="69"/>
  <c r="AA127" i="69"/>
  <c r="Z127" i="69"/>
  <c r="AD126" i="69"/>
  <c r="AC126" i="69"/>
  <c r="AA126" i="69"/>
  <c r="Z126" i="69"/>
  <c r="AD125" i="69"/>
  <c r="AC125" i="69"/>
  <c r="AB125" i="69"/>
  <c r="AA125" i="69"/>
  <c r="Z125" i="69"/>
  <c r="AD124" i="69"/>
  <c r="AC124" i="69"/>
  <c r="AB124" i="69"/>
  <c r="AA124" i="69"/>
  <c r="Z124" i="69"/>
  <c r="AD123" i="69"/>
  <c r="AC123" i="69"/>
  <c r="AB123" i="69"/>
  <c r="AA123" i="69"/>
  <c r="Z123" i="69"/>
  <c r="AD122" i="69"/>
  <c r="AC122" i="69"/>
  <c r="AB122" i="69"/>
  <c r="AA122" i="69"/>
  <c r="Z122" i="69"/>
  <c r="AD121" i="69"/>
  <c r="AC121" i="69"/>
  <c r="AB121" i="69"/>
  <c r="AA121" i="69"/>
  <c r="Z121" i="69"/>
  <c r="AD120" i="69"/>
  <c r="AC120" i="69"/>
  <c r="AB120" i="69"/>
  <c r="AA120" i="69"/>
  <c r="Z120" i="69"/>
  <c r="AD119" i="69"/>
  <c r="AC119" i="69"/>
  <c r="AB119" i="69"/>
  <c r="AA119" i="69"/>
  <c r="Z119" i="69"/>
  <c r="AD118" i="69"/>
  <c r="AC118" i="69"/>
  <c r="AB118" i="69"/>
  <c r="AA118" i="69"/>
  <c r="Z118" i="69"/>
  <c r="AD117" i="69"/>
  <c r="AC117" i="69"/>
  <c r="AB117" i="69"/>
  <c r="AA117" i="69"/>
  <c r="Z117" i="69"/>
  <c r="AD116" i="69"/>
  <c r="AC116" i="69"/>
  <c r="AB116" i="69"/>
  <c r="AA116" i="69"/>
  <c r="Z116" i="69"/>
  <c r="AD115" i="69"/>
  <c r="AC115" i="69"/>
  <c r="AB115" i="69"/>
  <c r="AA115" i="69"/>
  <c r="Z115" i="69"/>
  <c r="AD114" i="69"/>
  <c r="AC114" i="69"/>
  <c r="AB114" i="69"/>
  <c r="AA114" i="69"/>
  <c r="Z114" i="69"/>
  <c r="AD113" i="69"/>
  <c r="AC113" i="69"/>
  <c r="AB113" i="69"/>
  <c r="AA113" i="69"/>
  <c r="Z113" i="69"/>
  <c r="AD112" i="69"/>
  <c r="AC112" i="69"/>
  <c r="AB112" i="69"/>
  <c r="AA112" i="69"/>
  <c r="Z112" i="69"/>
  <c r="AG10" i="69"/>
  <c r="AG10" i="68"/>
  <c r="AH10" i="68" s="1"/>
  <c r="AJ207" i="67"/>
  <c r="AI207" i="67"/>
  <c r="AH207" i="67"/>
  <c r="AG207" i="67"/>
  <c r="AF207" i="67"/>
  <c r="AJ206" i="67"/>
  <c r="AJ205" i="67"/>
  <c r="AI205" i="67"/>
  <c r="AH205" i="67"/>
  <c r="AG205" i="67"/>
  <c r="AF205" i="67"/>
  <c r="AJ204" i="67"/>
  <c r="AI204" i="67"/>
  <c r="AH204" i="67"/>
  <c r="AG204" i="67"/>
  <c r="AF204" i="67"/>
  <c r="AJ203" i="67"/>
  <c r="AI203" i="67"/>
  <c r="AH203" i="67"/>
  <c r="AG203" i="67"/>
  <c r="AF203" i="67"/>
  <c r="AJ202" i="67"/>
  <c r="AI202" i="67"/>
  <c r="AH202" i="67"/>
  <c r="AG202" i="67"/>
  <c r="AF202" i="67"/>
  <c r="AJ201" i="67"/>
  <c r="AI201" i="67"/>
  <c r="AH201" i="67"/>
  <c r="AG201" i="67"/>
  <c r="AF201" i="67"/>
  <c r="AJ200" i="67"/>
  <c r="AI200" i="67"/>
  <c r="AH200" i="67"/>
  <c r="AG200" i="67"/>
  <c r="AF200" i="67"/>
  <c r="AJ199" i="67"/>
  <c r="AI199" i="67"/>
  <c r="AH199" i="67"/>
  <c r="AG199" i="67"/>
  <c r="AF199" i="67"/>
  <c r="AJ198" i="67"/>
  <c r="AI198" i="67"/>
  <c r="AF198" i="67"/>
  <c r="AJ197" i="67"/>
  <c r="AI197" i="67"/>
  <c r="AH197" i="67"/>
  <c r="AG197" i="67"/>
  <c r="AF197" i="67"/>
  <c r="AJ196" i="67"/>
  <c r="AI196" i="67"/>
  <c r="AH196" i="67"/>
  <c r="AG196" i="67"/>
  <c r="AF196" i="67"/>
  <c r="AJ195" i="67"/>
  <c r="AI195" i="67"/>
  <c r="AH195" i="67"/>
  <c r="AG195" i="67"/>
  <c r="AF195" i="67"/>
  <c r="AJ194" i="67"/>
  <c r="AI194" i="67"/>
  <c r="AH194" i="67"/>
  <c r="AG194" i="67"/>
  <c r="AF194" i="67"/>
  <c r="AJ193" i="67"/>
  <c r="AI193" i="67"/>
  <c r="AH193" i="67"/>
  <c r="AG193" i="67"/>
  <c r="AF193" i="67"/>
  <c r="AJ192" i="67"/>
  <c r="AI192" i="67"/>
  <c r="AH192" i="67"/>
  <c r="AG192" i="67"/>
  <c r="AF192" i="67"/>
  <c r="AJ191" i="67"/>
  <c r="AI191" i="67"/>
  <c r="AH191" i="67"/>
  <c r="AG191" i="67"/>
  <c r="AF191" i="67"/>
  <c r="AJ190" i="67"/>
  <c r="AI190" i="67"/>
  <c r="AH190" i="67"/>
  <c r="AG190" i="67"/>
  <c r="AF190" i="67"/>
  <c r="AJ189" i="67"/>
  <c r="AI189" i="67"/>
  <c r="AH189" i="67"/>
  <c r="AG189" i="67"/>
  <c r="AF189" i="67"/>
  <c r="AJ188" i="67"/>
  <c r="AI188" i="67"/>
  <c r="AH188" i="67"/>
  <c r="AG188" i="67"/>
  <c r="AF188" i="67"/>
  <c r="AJ187" i="67"/>
  <c r="AI187" i="67"/>
  <c r="AH187" i="67"/>
  <c r="AG187" i="67"/>
  <c r="AF187" i="67"/>
  <c r="AJ186" i="67"/>
  <c r="AI186" i="67"/>
  <c r="AH186" i="67"/>
  <c r="AG186" i="67"/>
  <c r="AF186" i="67"/>
  <c r="AJ185" i="67"/>
  <c r="AI185" i="67"/>
  <c r="AH185" i="67"/>
  <c r="AG185" i="67"/>
  <c r="AF185" i="67"/>
  <c r="AJ184" i="67"/>
  <c r="AI184" i="67"/>
  <c r="AH184" i="67"/>
  <c r="AG184" i="67"/>
  <c r="AF184" i="67"/>
  <c r="AD207" i="67"/>
  <c r="AC207" i="67"/>
  <c r="AB207" i="67"/>
  <c r="AA207" i="67"/>
  <c r="Z207" i="67"/>
  <c r="AD206" i="67"/>
  <c r="AD205" i="67"/>
  <c r="AC205" i="67"/>
  <c r="AB205" i="67"/>
  <c r="AA205" i="67"/>
  <c r="Z205" i="67"/>
  <c r="AD204" i="67"/>
  <c r="AC204" i="67"/>
  <c r="AB204" i="67"/>
  <c r="AA204" i="67"/>
  <c r="Z204" i="67"/>
  <c r="AD203" i="67"/>
  <c r="AC203" i="67"/>
  <c r="AB203" i="67"/>
  <c r="AA203" i="67"/>
  <c r="Z203" i="67"/>
  <c r="AD202" i="67"/>
  <c r="AC202" i="67"/>
  <c r="AB202" i="67"/>
  <c r="AA202" i="67"/>
  <c r="Z202" i="67"/>
  <c r="AD201" i="67"/>
  <c r="AC201" i="67"/>
  <c r="AB201" i="67"/>
  <c r="AA201" i="67"/>
  <c r="Z201" i="67"/>
  <c r="AD200" i="67"/>
  <c r="AC200" i="67"/>
  <c r="AB200" i="67"/>
  <c r="AA200" i="67"/>
  <c r="Z200" i="67"/>
  <c r="AD199" i="67"/>
  <c r="AC199" i="67"/>
  <c r="AB199" i="67"/>
  <c r="AA199" i="67"/>
  <c r="Z199" i="67"/>
  <c r="AD198" i="67"/>
  <c r="AC198" i="67"/>
  <c r="AA198" i="67"/>
  <c r="Z198" i="67"/>
  <c r="AD197" i="67"/>
  <c r="AC197" i="67"/>
  <c r="AB197" i="67"/>
  <c r="AA197" i="67"/>
  <c r="Z197" i="67"/>
  <c r="AD196" i="67"/>
  <c r="AC196" i="67"/>
  <c r="AB196" i="67"/>
  <c r="AA196" i="67"/>
  <c r="Z196" i="67"/>
  <c r="AD195" i="67"/>
  <c r="AC195" i="67"/>
  <c r="AB195" i="67"/>
  <c r="AA195" i="67"/>
  <c r="Z195" i="67"/>
  <c r="AD194" i="67"/>
  <c r="AC194" i="67"/>
  <c r="AB194" i="67"/>
  <c r="AA194" i="67"/>
  <c r="Z194" i="67"/>
  <c r="AD193" i="67"/>
  <c r="AC193" i="67"/>
  <c r="AB193" i="67"/>
  <c r="AA193" i="67"/>
  <c r="Z193" i="67"/>
  <c r="AD192" i="67"/>
  <c r="AC192" i="67"/>
  <c r="AB192" i="67"/>
  <c r="AA192" i="67"/>
  <c r="Z192" i="67"/>
  <c r="AD191" i="67"/>
  <c r="AC191" i="67"/>
  <c r="AB191" i="67"/>
  <c r="AA191" i="67"/>
  <c r="Z191" i="67"/>
  <c r="AD190" i="67"/>
  <c r="AC190" i="67"/>
  <c r="AB190" i="67"/>
  <c r="AA190" i="67"/>
  <c r="Z190" i="67"/>
  <c r="AD189" i="67"/>
  <c r="AC189" i="67"/>
  <c r="AB189" i="67"/>
  <c r="AA189" i="67"/>
  <c r="Z189" i="67"/>
  <c r="AD188" i="67"/>
  <c r="AC188" i="67"/>
  <c r="AB188" i="67"/>
  <c r="AA188" i="67"/>
  <c r="Z188" i="67"/>
  <c r="AD187" i="67"/>
  <c r="AC187" i="67"/>
  <c r="AB187" i="67"/>
  <c r="AA187" i="67"/>
  <c r="Z187" i="67"/>
  <c r="AD186" i="67"/>
  <c r="AC186" i="67"/>
  <c r="AB186" i="67"/>
  <c r="AA186" i="67"/>
  <c r="Z186" i="67"/>
  <c r="AD185" i="67"/>
  <c r="AC185" i="67"/>
  <c r="AB185" i="67"/>
  <c r="AA185" i="67"/>
  <c r="Z185" i="67"/>
  <c r="AD184" i="67"/>
  <c r="AC184" i="67"/>
  <c r="AB184" i="67"/>
  <c r="AA184" i="67"/>
  <c r="Z184" i="67"/>
  <c r="AJ279" i="67"/>
  <c r="AI279" i="67"/>
  <c r="AH279" i="67"/>
  <c r="AG279" i="67"/>
  <c r="AF279" i="67"/>
  <c r="AJ278" i="67"/>
  <c r="AJ277" i="67"/>
  <c r="AI277" i="67"/>
  <c r="AH277" i="67"/>
  <c r="AG277" i="67"/>
  <c r="AF277" i="67"/>
  <c r="AJ276" i="67"/>
  <c r="AI276" i="67"/>
  <c r="AH276" i="67"/>
  <c r="AG276" i="67"/>
  <c r="AF276" i="67"/>
  <c r="AJ275" i="67"/>
  <c r="AI275" i="67"/>
  <c r="AH275" i="67"/>
  <c r="AG275" i="67"/>
  <c r="AF275" i="67"/>
  <c r="AJ274" i="67"/>
  <c r="AI274" i="67"/>
  <c r="AH274" i="67"/>
  <c r="AG274" i="67"/>
  <c r="AF274" i="67"/>
  <c r="AJ273" i="67"/>
  <c r="AI273" i="67"/>
  <c r="AH273" i="67"/>
  <c r="AG273" i="67"/>
  <c r="AF273" i="67"/>
  <c r="AJ272" i="67"/>
  <c r="AI272" i="67"/>
  <c r="AH272" i="67"/>
  <c r="AG272" i="67"/>
  <c r="AF272" i="67"/>
  <c r="AJ271" i="67"/>
  <c r="AI271" i="67"/>
  <c r="AH271" i="67"/>
  <c r="AG271" i="67"/>
  <c r="AF271" i="67"/>
  <c r="AJ270" i="67"/>
  <c r="AI270" i="67"/>
  <c r="AG270" i="67"/>
  <c r="AF270" i="67"/>
  <c r="AJ269" i="67"/>
  <c r="AI269" i="67"/>
  <c r="AH269" i="67"/>
  <c r="AG269" i="67"/>
  <c r="AF269" i="67"/>
  <c r="AJ268" i="67"/>
  <c r="AI268" i="67"/>
  <c r="AH268" i="67"/>
  <c r="AG268" i="67"/>
  <c r="AF268" i="67"/>
  <c r="AJ267" i="67"/>
  <c r="AI267" i="67"/>
  <c r="AH267" i="67"/>
  <c r="AG267" i="67"/>
  <c r="AF267" i="67"/>
  <c r="AJ266" i="67"/>
  <c r="AI266" i="67"/>
  <c r="AH266" i="67"/>
  <c r="AG266" i="67"/>
  <c r="AF266" i="67"/>
  <c r="AJ265" i="67"/>
  <c r="AI265" i="67"/>
  <c r="AH265" i="67"/>
  <c r="AG265" i="67"/>
  <c r="AF265" i="67"/>
  <c r="AJ264" i="67"/>
  <c r="AI264" i="67"/>
  <c r="AH264" i="67"/>
  <c r="AG264" i="67"/>
  <c r="AF264" i="67"/>
  <c r="AJ263" i="67"/>
  <c r="AI263" i="67"/>
  <c r="AH263" i="67"/>
  <c r="AG263" i="67"/>
  <c r="AF263" i="67"/>
  <c r="AJ262" i="67"/>
  <c r="AI262" i="67"/>
  <c r="AH262" i="67"/>
  <c r="AG262" i="67"/>
  <c r="AF262" i="67"/>
  <c r="AJ261" i="67"/>
  <c r="AI261" i="67"/>
  <c r="AH261" i="67"/>
  <c r="AG261" i="67"/>
  <c r="AF261" i="67"/>
  <c r="AJ260" i="67"/>
  <c r="AI260" i="67"/>
  <c r="AH260" i="67"/>
  <c r="AG260" i="67"/>
  <c r="AF260" i="67"/>
  <c r="AJ259" i="67"/>
  <c r="AI259" i="67"/>
  <c r="AH259" i="67"/>
  <c r="AG259" i="67"/>
  <c r="AF259" i="67"/>
  <c r="AJ258" i="67"/>
  <c r="AI258" i="67"/>
  <c r="AH258" i="67"/>
  <c r="AG258" i="67"/>
  <c r="AF258" i="67"/>
  <c r="AI257" i="67"/>
  <c r="AH257" i="67"/>
  <c r="AG257" i="67"/>
  <c r="AF257" i="67"/>
  <c r="AJ256" i="67"/>
  <c r="AI256" i="67"/>
  <c r="AH256" i="67"/>
  <c r="AG256" i="67"/>
  <c r="AF256" i="67"/>
  <c r="AD279" i="67"/>
  <c r="AC279" i="67"/>
  <c r="AB279" i="67"/>
  <c r="AA279" i="67"/>
  <c r="Z279" i="67"/>
  <c r="AD278" i="67"/>
  <c r="AD277" i="67"/>
  <c r="AC277" i="67"/>
  <c r="AB277" i="67"/>
  <c r="AA277" i="67"/>
  <c r="Z277" i="67"/>
  <c r="AD276" i="67"/>
  <c r="AC276" i="67"/>
  <c r="AB276" i="67"/>
  <c r="AA276" i="67"/>
  <c r="Z276" i="67"/>
  <c r="AD275" i="67"/>
  <c r="AC275" i="67"/>
  <c r="AB275" i="67"/>
  <c r="AA275" i="67"/>
  <c r="Z275" i="67"/>
  <c r="AD274" i="67"/>
  <c r="AC274" i="67"/>
  <c r="AB274" i="67"/>
  <c r="AA274" i="67"/>
  <c r="Z274" i="67"/>
  <c r="AD273" i="67"/>
  <c r="AC273" i="67"/>
  <c r="AB273" i="67"/>
  <c r="AA273" i="67"/>
  <c r="Z273" i="67"/>
  <c r="AD272" i="67"/>
  <c r="AC272" i="67"/>
  <c r="AB272" i="67"/>
  <c r="AA272" i="67"/>
  <c r="Z272" i="67"/>
  <c r="AD271" i="67"/>
  <c r="AC271" i="67"/>
  <c r="AB271" i="67"/>
  <c r="AA271" i="67"/>
  <c r="Z271" i="67"/>
  <c r="AD270" i="67"/>
  <c r="AC270" i="67"/>
  <c r="AA270" i="67"/>
  <c r="Z270" i="67"/>
  <c r="AD269" i="67"/>
  <c r="AC269" i="67"/>
  <c r="AB269" i="67"/>
  <c r="AA269" i="67"/>
  <c r="Z269" i="67"/>
  <c r="AD268" i="67"/>
  <c r="AC268" i="67"/>
  <c r="AB268" i="67"/>
  <c r="AA268" i="67"/>
  <c r="Z268" i="67"/>
  <c r="AD267" i="67"/>
  <c r="AC267" i="67"/>
  <c r="AB267" i="67"/>
  <c r="AA267" i="67"/>
  <c r="Z267" i="67"/>
  <c r="AD266" i="67"/>
  <c r="AC266" i="67"/>
  <c r="AB266" i="67"/>
  <c r="AA266" i="67"/>
  <c r="Z266" i="67"/>
  <c r="AD265" i="67"/>
  <c r="AC265" i="67"/>
  <c r="AB265" i="67"/>
  <c r="AA265" i="67"/>
  <c r="Z265" i="67"/>
  <c r="AD264" i="67"/>
  <c r="AC264" i="67"/>
  <c r="AB264" i="67"/>
  <c r="AA264" i="67"/>
  <c r="Z264" i="67"/>
  <c r="AD263" i="67"/>
  <c r="AC263" i="67"/>
  <c r="AB263" i="67"/>
  <c r="AA263" i="67"/>
  <c r="Z263" i="67"/>
  <c r="AD262" i="67"/>
  <c r="AC262" i="67"/>
  <c r="AB262" i="67"/>
  <c r="AA262" i="67"/>
  <c r="Z262" i="67"/>
  <c r="AD261" i="67"/>
  <c r="AC261" i="67"/>
  <c r="AB261" i="67"/>
  <c r="AA261" i="67"/>
  <c r="Z261" i="67"/>
  <c r="AD260" i="67"/>
  <c r="AC260" i="67"/>
  <c r="AB260" i="67"/>
  <c r="AA260" i="67"/>
  <c r="Z260" i="67"/>
  <c r="AD259" i="67"/>
  <c r="AC259" i="67"/>
  <c r="AB259" i="67"/>
  <c r="AA259" i="67"/>
  <c r="Z259" i="67"/>
  <c r="AD258" i="67"/>
  <c r="AC258" i="67"/>
  <c r="AB258" i="67"/>
  <c r="AA258" i="67"/>
  <c r="Z258" i="67"/>
  <c r="AC257" i="67"/>
  <c r="AB257" i="67"/>
  <c r="AA257" i="67"/>
  <c r="Z257" i="67"/>
  <c r="AD256" i="67"/>
  <c r="AC256" i="67"/>
  <c r="AB256" i="67"/>
  <c r="AA256" i="67"/>
  <c r="Z256" i="67"/>
  <c r="AJ243" i="67"/>
  <c r="AI243" i="67"/>
  <c r="AH243" i="67"/>
  <c r="AG243" i="67"/>
  <c r="AF243" i="67"/>
  <c r="AJ242" i="67"/>
  <c r="AJ241" i="67"/>
  <c r="AI241" i="67"/>
  <c r="AH241" i="67"/>
  <c r="AG241" i="67"/>
  <c r="AF241" i="67"/>
  <c r="AJ240" i="67"/>
  <c r="AI240" i="67"/>
  <c r="AH240" i="67"/>
  <c r="AG240" i="67"/>
  <c r="AF240" i="67"/>
  <c r="AJ239" i="67"/>
  <c r="AI239" i="67"/>
  <c r="AH239" i="67"/>
  <c r="AG239" i="67"/>
  <c r="AF239" i="67"/>
  <c r="AJ238" i="67"/>
  <c r="AI238" i="67"/>
  <c r="AH238" i="67"/>
  <c r="AG238" i="67"/>
  <c r="AF238" i="67"/>
  <c r="AJ237" i="67"/>
  <c r="AI237" i="67"/>
  <c r="AH237" i="67"/>
  <c r="AG237" i="67"/>
  <c r="AF237" i="67"/>
  <c r="AJ236" i="67"/>
  <c r="AI236" i="67"/>
  <c r="AH236" i="67"/>
  <c r="AG236" i="67"/>
  <c r="AF236" i="67"/>
  <c r="AJ235" i="67"/>
  <c r="AI235" i="67"/>
  <c r="AH235" i="67"/>
  <c r="AG235" i="67"/>
  <c r="AF235" i="67"/>
  <c r="AJ234" i="67"/>
  <c r="AI234" i="67"/>
  <c r="AG234" i="67"/>
  <c r="AF234" i="67"/>
  <c r="AJ233" i="67"/>
  <c r="AI233" i="67"/>
  <c r="AH233" i="67"/>
  <c r="AG233" i="67"/>
  <c r="AF233" i="67"/>
  <c r="AJ232" i="67"/>
  <c r="AI232" i="67"/>
  <c r="AH232" i="67"/>
  <c r="AG232" i="67"/>
  <c r="AF232" i="67"/>
  <c r="AI231" i="67"/>
  <c r="AH231" i="67"/>
  <c r="AG231" i="67"/>
  <c r="AF231" i="67"/>
  <c r="AJ230" i="67"/>
  <c r="AI230" i="67"/>
  <c r="AH230" i="67"/>
  <c r="AG230" i="67"/>
  <c r="AF230" i="67"/>
  <c r="AJ229" i="67"/>
  <c r="AI229" i="67"/>
  <c r="AH229" i="67"/>
  <c r="AG229" i="67"/>
  <c r="AF229" i="67"/>
  <c r="AJ228" i="67"/>
  <c r="AI228" i="67"/>
  <c r="AH228" i="67"/>
  <c r="AG228" i="67"/>
  <c r="AF228" i="67"/>
  <c r="AJ227" i="67"/>
  <c r="AI227" i="67"/>
  <c r="AH227" i="67"/>
  <c r="AG227" i="67"/>
  <c r="AF227" i="67"/>
  <c r="AJ226" i="67"/>
  <c r="AI226" i="67"/>
  <c r="AH226" i="67"/>
  <c r="AG226" i="67"/>
  <c r="AF226" i="67"/>
  <c r="AJ225" i="67"/>
  <c r="AI225" i="67"/>
  <c r="AH225" i="67"/>
  <c r="AG225" i="67"/>
  <c r="AF225" i="67"/>
  <c r="AJ224" i="67"/>
  <c r="AI224" i="67"/>
  <c r="AH224" i="67"/>
  <c r="AG224" i="67"/>
  <c r="AF224" i="67"/>
  <c r="AJ223" i="67"/>
  <c r="AI223" i="67"/>
  <c r="AH223" i="67"/>
  <c r="AG223" i="67"/>
  <c r="AF223" i="67"/>
  <c r="AJ222" i="67"/>
  <c r="AI222" i="67"/>
  <c r="AH222" i="67"/>
  <c r="AG222" i="67"/>
  <c r="AF222" i="67"/>
  <c r="AJ221" i="67"/>
  <c r="AI221" i="67"/>
  <c r="AH221" i="67"/>
  <c r="AG221" i="67"/>
  <c r="AF221" i="67"/>
  <c r="AJ220" i="67"/>
  <c r="AI220" i="67"/>
  <c r="AH220" i="67"/>
  <c r="AG220" i="67"/>
  <c r="AF220" i="67"/>
  <c r="AD243" i="67"/>
  <c r="AC243" i="67"/>
  <c r="AB243" i="67"/>
  <c r="AA243" i="67"/>
  <c r="Z243" i="67"/>
  <c r="AD242" i="67"/>
  <c r="AD241" i="67"/>
  <c r="AC241" i="67"/>
  <c r="AB241" i="67"/>
  <c r="AA241" i="67"/>
  <c r="Z241" i="67"/>
  <c r="AD240" i="67"/>
  <c r="AC240" i="67"/>
  <c r="AB240" i="67"/>
  <c r="AA240" i="67"/>
  <c r="Z240" i="67"/>
  <c r="AD239" i="67"/>
  <c r="AC239" i="67"/>
  <c r="AB239" i="67"/>
  <c r="AA239" i="67"/>
  <c r="Z239" i="67"/>
  <c r="AD238" i="67"/>
  <c r="AC238" i="67"/>
  <c r="AB238" i="67"/>
  <c r="AA238" i="67"/>
  <c r="Z238" i="67"/>
  <c r="AD237" i="67"/>
  <c r="AC237" i="67"/>
  <c r="AB237" i="67"/>
  <c r="AA237" i="67"/>
  <c r="Z237" i="67"/>
  <c r="AD236" i="67"/>
  <c r="AC236" i="67"/>
  <c r="AB236" i="67"/>
  <c r="AA236" i="67"/>
  <c r="Z236" i="67"/>
  <c r="AD235" i="67"/>
  <c r="AC235" i="67"/>
  <c r="AB235" i="67"/>
  <c r="AA235" i="67"/>
  <c r="Z235" i="67"/>
  <c r="AD234" i="67"/>
  <c r="AC234" i="67"/>
  <c r="AA234" i="67"/>
  <c r="Z234" i="67"/>
  <c r="AD233" i="67"/>
  <c r="AC233" i="67"/>
  <c r="AB233" i="67"/>
  <c r="AA233" i="67"/>
  <c r="Z233" i="67"/>
  <c r="AD232" i="67"/>
  <c r="AC232" i="67"/>
  <c r="AB232" i="67"/>
  <c r="AA232" i="67"/>
  <c r="Z232" i="67"/>
  <c r="AD231" i="67"/>
  <c r="AC231" i="67"/>
  <c r="AB231" i="67"/>
  <c r="AA231" i="67"/>
  <c r="Z231" i="67"/>
  <c r="AD230" i="67"/>
  <c r="AC230" i="67"/>
  <c r="AB230" i="67"/>
  <c r="AA230" i="67"/>
  <c r="Z230" i="67"/>
  <c r="AD229" i="67"/>
  <c r="AC229" i="67"/>
  <c r="AB229" i="67"/>
  <c r="AA229" i="67"/>
  <c r="Z229" i="67"/>
  <c r="AD228" i="67"/>
  <c r="AC228" i="67"/>
  <c r="AB228" i="67"/>
  <c r="AA228" i="67"/>
  <c r="Z228" i="67"/>
  <c r="AD227" i="67"/>
  <c r="AC227" i="67"/>
  <c r="AB227" i="67"/>
  <c r="AA227" i="67"/>
  <c r="Z227" i="67"/>
  <c r="AD226" i="67"/>
  <c r="AC226" i="67"/>
  <c r="AB226" i="67"/>
  <c r="AA226" i="67"/>
  <c r="Z226" i="67"/>
  <c r="AD225" i="67"/>
  <c r="AC225" i="67"/>
  <c r="AB225" i="67"/>
  <c r="AA225" i="67"/>
  <c r="Z225" i="67"/>
  <c r="AD224" i="67"/>
  <c r="AC224" i="67"/>
  <c r="AB224" i="67"/>
  <c r="AA224" i="67"/>
  <c r="Z224" i="67"/>
  <c r="AD223" i="67"/>
  <c r="AC223" i="67"/>
  <c r="AB223" i="67"/>
  <c r="AA223" i="67"/>
  <c r="Z223" i="67"/>
  <c r="AD222" i="67"/>
  <c r="AC222" i="67"/>
  <c r="AB222" i="67"/>
  <c r="AA222" i="67"/>
  <c r="Z222" i="67"/>
  <c r="AD221" i="67"/>
  <c r="AC221" i="67"/>
  <c r="AB221" i="67"/>
  <c r="AA221" i="67"/>
  <c r="Z221" i="67"/>
  <c r="AD220" i="67"/>
  <c r="AC220" i="67"/>
  <c r="AB220" i="67"/>
  <c r="AA220" i="67"/>
  <c r="Z220" i="67"/>
  <c r="AG10" i="67"/>
  <c r="H33" i="67"/>
  <c r="G33" i="67"/>
  <c r="F33" i="67"/>
  <c r="E33" i="67"/>
  <c r="D33" i="67"/>
  <c r="AB33" i="67" s="1"/>
  <c r="H32" i="67"/>
  <c r="H134" i="67" s="1"/>
  <c r="H31" i="67"/>
  <c r="AD169" i="67" s="1"/>
  <c r="H169" i="67" s="1"/>
  <c r="G31" i="67"/>
  <c r="AC169" i="67" s="1"/>
  <c r="G169" i="67" s="1"/>
  <c r="F31" i="67"/>
  <c r="AB169" i="67" s="1"/>
  <c r="F169" i="67" s="1"/>
  <c r="E31" i="67"/>
  <c r="AA169" i="67" s="1"/>
  <c r="E169" i="67" s="1"/>
  <c r="D31" i="67"/>
  <c r="H30" i="67"/>
  <c r="AD168" i="67" s="1"/>
  <c r="H168" i="67" s="1"/>
  <c r="G30" i="67"/>
  <c r="AC168" i="67" s="1"/>
  <c r="G168" i="67" s="1"/>
  <c r="F30" i="67"/>
  <c r="AB168" i="67" s="1"/>
  <c r="F168" i="67" s="1"/>
  <c r="E30" i="67"/>
  <c r="AA168" i="67" s="1"/>
  <c r="E168" i="67" s="1"/>
  <c r="D30" i="67"/>
  <c r="H29" i="67"/>
  <c r="G29" i="67"/>
  <c r="AC167" i="67" s="1"/>
  <c r="G167" i="67" s="1"/>
  <c r="F29" i="67"/>
  <c r="AB167" i="67" s="1"/>
  <c r="F167" i="67" s="1"/>
  <c r="E29" i="67"/>
  <c r="AA167" i="67" s="1"/>
  <c r="E167" i="67" s="1"/>
  <c r="D29" i="67"/>
  <c r="H28" i="67"/>
  <c r="G28" i="67"/>
  <c r="AC166" i="67" s="1"/>
  <c r="G166" i="67" s="1"/>
  <c r="F28" i="67"/>
  <c r="AB166" i="67" s="1"/>
  <c r="F166" i="67" s="1"/>
  <c r="E28" i="67"/>
  <c r="AA166" i="67" s="1"/>
  <c r="E166" i="67" s="1"/>
  <c r="D28" i="67"/>
  <c r="H27" i="67"/>
  <c r="AD165" i="67" s="1"/>
  <c r="H165" i="67" s="1"/>
  <c r="G27" i="67"/>
  <c r="AC165" i="67" s="1"/>
  <c r="G165" i="67" s="1"/>
  <c r="F27" i="67"/>
  <c r="AB165" i="67" s="1"/>
  <c r="F165" i="67" s="1"/>
  <c r="E27" i="67"/>
  <c r="AA165" i="67" s="1"/>
  <c r="E165" i="67" s="1"/>
  <c r="D27" i="67"/>
  <c r="H26" i="67"/>
  <c r="G26" i="67"/>
  <c r="AC164" i="67" s="1"/>
  <c r="G164" i="67" s="1"/>
  <c r="F26" i="67"/>
  <c r="AB164" i="67" s="1"/>
  <c r="F164" i="67" s="1"/>
  <c r="E26" i="67"/>
  <c r="AA164" i="67" s="1"/>
  <c r="E164" i="67" s="1"/>
  <c r="D26" i="67"/>
  <c r="H25" i="67"/>
  <c r="G25" i="67"/>
  <c r="AC163" i="67" s="1"/>
  <c r="G163" i="67" s="1"/>
  <c r="F25" i="67"/>
  <c r="AB163" i="67" s="1"/>
  <c r="F163" i="67" s="1"/>
  <c r="E25" i="67"/>
  <c r="AA163" i="67" s="1"/>
  <c r="E163" i="67" s="1"/>
  <c r="D25" i="67"/>
  <c r="H24" i="67"/>
  <c r="G24" i="67"/>
  <c r="E24" i="67"/>
  <c r="D24" i="67"/>
  <c r="H23" i="67"/>
  <c r="AD161" i="67" s="1"/>
  <c r="H161" i="67" s="1"/>
  <c r="G23" i="67"/>
  <c r="AC161" i="67" s="1"/>
  <c r="G161" i="67" s="1"/>
  <c r="F23" i="67"/>
  <c r="AB161" i="67" s="1"/>
  <c r="F161" i="67" s="1"/>
  <c r="E23" i="67"/>
  <c r="AA161" i="67" s="1"/>
  <c r="E161" i="67" s="1"/>
  <c r="D23" i="67"/>
  <c r="H22" i="67"/>
  <c r="G22" i="67"/>
  <c r="AC160" i="67" s="1"/>
  <c r="G160" i="67" s="1"/>
  <c r="F22" i="67"/>
  <c r="AB160" i="67" s="1"/>
  <c r="F160" i="67" s="1"/>
  <c r="E22" i="67"/>
  <c r="AA160" i="67" s="1"/>
  <c r="E160" i="67" s="1"/>
  <c r="D22" i="67"/>
  <c r="H21" i="67"/>
  <c r="AD159" i="67" s="1"/>
  <c r="H159" i="67" s="1"/>
  <c r="G21" i="67"/>
  <c r="AC159" i="67" s="1"/>
  <c r="G159" i="67" s="1"/>
  <c r="F21" i="67"/>
  <c r="AB159" i="67" s="1"/>
  <c r="F159" i="67" s="1"/>
  <c r="E21" i="67"/>
  <c r="D21" i="67"/>
  <c r="H20" i="67"/>
  <c r="G20" i="67"/>
  <c r="AC158" i="67" s="1"/>
  <c r="G158" i="67" s="1"/>
  <c r="F20" i="67"/>
  <c r="AB158" i="67" s="1"/>
  <c r="F158" i="67" s="1"/>
  <c r="E20" i="67"/>
  <c r="AA158" i="67" s="1"/>
  <c r="E158" i="67" s="1"/>
  <c r="D20" i="67"/>
  <c r="H19" i="67"/>
  <c r="AD157" i="67" s="1"/>
  <c r="H157" i="67" s="1"/>
  <c r="G19" i="67"/>
  <c r="AC157" i="67" s="1"/>
  <c r="G157" i="67" s="1"/>
  <c r="F19" i="67"/>
  <c r="AB157" i="67" s="1"/>
  <c r="F157" i="67" s="1"/>
  <c r="E19" i="67"/>
  <c r="AA157" i="67" s="1"/>
  <c r="E157" i="67" s="1"/>
  <c r="D19" i="67"/>
  <c r="H18" i="67"/>
  <c r="G18" i="67"/>
  <c r="AC156" i="67" s="1"/>
  <c r="G156" i="67" s="1"/>
  <c r="F18" i="67"/>
  <c r="AB156" i="67" s="1"/>
  <c r="F156" i="67" s="1"/>
  <c r="E18" i="67"/>
  <c r="AA156" i="67" s="1"/>
  <c r="E156" i="67" s="1"/>
  <c r="D18" i="67"/>
  <c r="H17" i="67"/>
  <c r="G17" i="67"/>
  <c r="AC155" i="67" s="1"/>
  <c r="G155" i="67" s="1"/>
  <c r="F17" i="67"/>
  <c r="AB155" i="67" s="1"/>
  <c r="F155" i="67" s="1"/>
  <c r="E17" i="67"/>
  <c r="AA155" i="67" s="1"/>
  <c r="D17" i="67"/>
  <c r="H16" i="67"/>
  <c r="G16" i="67"/>
  <c r="F16" i="67"/>
  <c r="E16" i="67"/>
  <c r="D16" i="67"/>
  <c r="H15" i="67"/>
  <c r="G15" i="67"/>
  <c r="AC153" i="67" s="1"/>
  <c r="G153" i="67" s="1"/>
  <c r="F15" i="67"/>
  <c r="AB153" i="67" s="1"/>
  <c r="F153" i="67" s="1"/>
  <c r="E15" i="67"/>
  <c r="D15" i="67"/>
  <c r="H14" i="67"/>
  <c r="AD152" i="67" s="1"/>
  <c r="H152" i="67" s="1"/>
  <c r="G14" i="67"/>
  <c r="AC152" i="67" s="1"/>
  <c r="G152" i="67" s="1"/>
  <c r="F14" i="67"/>
  <c r="AB152" i="67" s="1"/>
  <c r="F152" i="67" s="1"/>
  <c r="E14" i="67"/>
  <c r="AA152" i="67" s="1"/>
  <c r="E152" i="67" s="1"/>
  <c r="D14" i="67"/>
  <c r="H13" i="67"/>
  <c r="G13" i="67"/>
  <c r="AC151" i="67" s="1"/>
  <c r="F13" i="67"/>
  <c r="AB151" i="67" s="1"/>
  <c r="E13" i="67"/>
  <c r="AA151" i="67" s="1"/>
  <c r="E151" i="67" s="1"/>
  <c r="D13" i="67"/>
  <c r="H12" i="67"/>
  <c r="AD150" i="67" s="1"/>
  <c r="H150" i="67" s="1"/>
  <c r="G12" i="67"/>
  <c r="AC150" i="67" s="1"/>
  <c r="G150" i="67" s="1"/>
  <c r="F12" i="67"/>
  <c r="AB150" i="67" s="1"/>
  <c r="F150" i="67" s="1"/>
  <c r="E12" i="67"/>
  <c r="AA150" i="67" s="1"/>
  <c r="E150" i="67" s="1"/>
  <c r="D12" i="67"/>
  <c r="H11" i="67"/>
  <c r="G11" i="67"/>
  <c r="F11" i="67"/>
  <c r="E11" i="67"/>
  <c r="D11" i="67"/>
  <c r="H10" i="67"/>
  <c r="AD148" i="67" s="1"/>
  <c r="H148" i="67" s="1"/>
  <c r="G10" i="67"/>
  <c r="F10" i="67"/>
  <c r="E10" i="67"/>
  <c r="D10" i="67"/>
  <c r="AD169" i="66"/>
  <c r="AC169" i="66"/>
  <c r="AB169" i="66"/>
  <c r="AA169" i="66"/>
  <c r="AD168" i="66"/>
  <c r="AD167" i="66"/>
  <c r="AC167" i="66"/>
  <c r="AB167" i="66"/>
  <c r="AA167" i="66"/>
  <c r="Z167" i="66"/>
  <c r="AD166" i="66"/>
  <c r="AC166" i="66"/>
  <c r="AB166" i="66"/>
  <c r="AA166" i="66"/>
  <c r="Z166" i="66"/>
  <c r="AD165" i="66"/>
  <c r="AC165" i="66"/>
  <c r="AB165" i="66"/>
  <c r="AA165" i="66"/>
  <c r="Z165" i="66"/>
  <c r="AD164" i="66"/>
  <c r="AC164" i="66"/>
  <c r="AB164" i="66"/>
  <c r="AA164" i="66"/>
  <c r="Z164" i="66"/>
  <c r="AD163" i="66"/>
  <c r="AC163" i="66"/>
  <c r="AB163" i="66"/>
  <c r="AA163" i="66"/>
  <c r="Z163" i="66"/>
  <c r="AD162" i="66"/>
  <c r="AC162" i="66"/>
  <c r="AB162" i="66"/>
  <c r="AA162" i="66"/>
  <c r="Z162" i="66"/>
  <c r="AD161" i="66"/>
  <c r="AC161" i="66"/>
  <c r="AB161" i="66"/>
  <c r="AA161" i="66"/>
  <c r="Z161" i="66"/>
  <c r="AD160" i="66"/>
  <c r="AC160" i="66"/>
  <c r="AA160" i="66"/>
  <c r="Z160" i="66"/>
  <c r="AD159" i="66"/>
  <c r="AC159" i="66"/>
  <c r="AB159" i="66"/>
  <c r="AA159" i="66"/>
  <c r="Z159" i="66"/>
  <c r="AD158" i="66"/>
  <c r="AC158" i="66"/>
  <c r="AB158" i="66"/>
  <c r="AA158" i="66"/>
  <c r="Z158" i="66"/>
  <c r="AD157" i="66"/>
  <c r="AC157" i="66"/>
  <c r="AB157" i="66"/>
  <c r="AA157" i="66"/>
  <c r="Z157" i="66"/>
  <c r="AD156" i="66"/>
  <c r="AC156" i="66"/>
  <c r="AB156" i="66"/>
  <c r="AA156" i="66"/>
  <c r="Z156" i="66"/>
  <c r="AD155" i="66"/>
  <c r="AC155" i="66"/>
  <c r="AB155" i="66"/>
  <c r="AA155" i="66"/>
  <c r="Z155" i="66"/>
  <c r="AD154" i="66"/>
  <c r="AC154" i="66"/>
  <c r="AB154" i="66"/>
  <c r="AA154" i="66"/>
  <c r="Z154" i="66"/>
  <c r="AD153" i="66"/>
  <c r="AC153" i="66"/>
  <c r="AB153" i="66"/>
  <c r="AA153" i="66"/>
  <c r="Z153" i="66"/>
  <c r="AD152" i="66"/>
  <c r="AC152" i="66"/>
  <c r="AB152" i="66"/>
  <c r="AA152" i="66"/>
  <c r="Z152" i="66"/>
  <c r="AD151" i="66"/>
  <c r="AC151" i="66"/>
  <c r="AB151" i="66"/>
  <c r="AA151" i="66"/>
  <c r="Z151" i="66"/>
  <c r="AD150" i="66"/>
  <c r="AC150" i="66"/>
  <c r="AB150" i="66"/>
  <c r="AA150" i="66"/>
  <c r="Z150" i="66"/>
  <c r="AD149" i="66"/>
  <c r="AC149" i="66"/>
  <c r="AB149" i="66"/>
  <c r="AA149" i="66"/>
  <c r="Z149" i="66"/>
  <c r="AD148" i="66"/>
  <c r="AC148" i="66"/>
  <c r="AB148" i="66"/>
  <c r="AA148" i="66"/>
  <c r="Z148" i="66"/>
  <c r="AD147" i="66"/>
  <c r="AC147" i="66"/>
  <c r="AB147" i="66"/>
  <c r="AA147" i="66"/>
  <c r="Z147" i="66"/>
  <c r="AD146" i="66"/>
  <c r="AC146" i="66"/>
  <c r="AB146" i="66"/>
  <c r="AA146" i="66"/>
  <c r="Z146" i="66"/>
  <c r="AG10" i="66"/>
  <c r="H33" i="66"/>
  <c r="G33" i="66"/>
  <c r="F33" i="66"/>
  <c r="E33" i="66"/>
  <c r="D33" i="66"/>
  <c r="H32" i="66"/>
  <c r="H31" i="66"/>
  <c r="G31" i="66"/>
  <c r="F31" i="66"/>
  <c r="E31" i="66"/>
  <c r="D31" i="66"/>
  <c r="H30" i="66"/>
  <c r="G30" i="66"/>
  <c r="F30" i="66"/>
  <c r="E30" i="66"/>
  <c r="D30" i="66"/>
  <c r="H29" i="66"/>
  <c r="G29" i="66"/>
  <c r="F29" i="66"/>
  <c r="E29" i="66"/>
  <c r="D29" i="66"/>
  <c r="H28" i="66"/>
  <c r="G28" i="66"/>
  <c r="F28" i="66"/>
  <c r="E28" i="66"/>
  <c r="D28" i="66"/>
  <c r="H27" i="66"/>
  <c r="G27" i="66"/>
  <c r="F27" i="66"/>
  <c r="E27" i="66"/>
  <c r="D27" i="66"/>
  <c r="H26" i="66"/>
  <c r="G26" i="66"/>
  <c r="F26" i="66"/>
  <c r="E26" i="66"/>
  <c r="D26" i="66"/>
  <c r="H25" i="66"/>
  <c r="G25" i="66"/>
  <c r="F25" i="66"/>
  <c r="E25" i="66"/>
  <c r="D25" i="66"/>
  <c r="H24" i="66"/>
  <c r="G24" i="66"/>
  <c r="E24" i="66"/>
  <c r="D24" i="66"/>
  <c r="H23" i="66"/>
  <c r="G23" i="66"/>
  <c r="F23" i="66"/>
  <c r="E23" i="66"/>
  <c r="D23" i="66"/>
  <c r="H22" i="66"/>
  <c r="G22" i="66"/>
  <c r="F22" i="66"/>
  <c r="E22" i="66"/>
  <c r="D22" i="66"/>
  <c r="H21" i="66"/>
  <c r="G21" i="66"/>
  <c r="F21" i="66"/>
  <c r="E21" i="66"/>
  <c r="D21" i="66"/>
  <c r="H20" i="66"/>
  <c r="G20" i="66"/>
  <c r="F20" i="66"/>
  <c r="E20" i="66"/>
  <c r="D20" i="66"/>
  <c r="H19" i="66"/>
  <c r="G19" i="66"/>
  <c r="F19" i="66"/>
  <c r="E19" i="66"/>
  <c r="D19" i="66"/>
  <c r="H18" i="66"/>
  <c r="G18" i="66"/>
  <c r="F18" i="66"/>
  <c r="E18" i="66"/>
  <c r="D18" i="66"/>
  <c r="H17" i="66"/>
  <c r="G17" i="66"/>
  <c r="F17" i="66"/>
  <c r="E17" i="66"/>
  <c r="D17" i="66"/>
  <c r="H16" i="66"/>
  <c r="G16" i="66"/>
  <c r="F16" i="66"/>
  <c r="E16" i="66"/>
  <c r="D16" i="66"/>
  <c r="H15" i="66"/>
  <c r="G15" i="66"/>
  <c r="F15" i="66"/>
  <c r="E15" i="66"/>
  <c r="D15" i="66"/>
  <c r="H14" i="66"/>
  <c r="G14" i="66"/>
  <c r="F14" i="66"/>
  <c r="E14" i="66"/>
  <c r="D14" i="66"/>
  <c r="H13" i="66"/>
  <c r="G13" i="66"/>
  <c r="F13" i="66"/>
  <c r="E13" i="66"/>
  <c r="D13" i="66"/>
  <c r="H12" i="66"/>
  <c r="G12" i="66"/>
  <c r="F12" i="66"/>
  <c r="E12" i="66"/>
  <c r="D12" i="66"/>
  <c r="H11" i="66"/>
  <c r="G11" i="66"/>
  <c r="F11" i="66"/>
  <c r="E11" i="66"/>
  <c r="D11" i="66"/>
  <c r="H10" i="66"/>
  <c r="G10" i="66"/>
  <c r="F10" i="66"/>
  <c r="E10" i="66"/>
  <c r="D10" i="66"/>
  <c r="AG10" i="65"/>
  <c r="H33" i="65"/>
  <c r="AF33" i="65" s="1"/>
  <c r="G33" i="65"/>
  <c r="F33" i="65"/>
  <c r="AD33" i="65" s="1"/>
  <c r="E33" i="65"/>
  <c r="AC33" i="65" s="1"/>
  <c r="D33" i="65"/>
  <c r="AB33" i="65" s="1"/>
  <c r="H32" i="65"/>
  <c r="H31" i="65"/>
  <c r="G31" i="65"/>
  <c r="F31" i="65"/>
  <c r="AD31" i="65" s="1"/>
  <c r="E31" i="65"/>
  <c r="AC31" i="65" s="1"/>
  <c r="D31" i="65"/>
  <c r="AB31" i="65" s="1"/>
  <c r="H30" i="65"/>
  <c r="G30" i="65"/>
  <c r="F30" i="65"/>
  <c r="AD30" i="65" s="1"/>
  <c r="E30" i="65"/>
  <c r="AC30" i="65" s="1"/>
  <c r="D30" i="65"/>
  <c r="AB30" i="65" s="1"/>
  <c r="H29" i="65"/>
  <c r="G29" i="65"/>
  <c r="F29" i="65"/>
  <c r="AD29" i="65" s="1"/>
  <c r="E29" i="65"/>
  <c r="AC29" i="65" s="1"/>
  <c r="D29" i="65"/>
  <c r="AB29" i="65" s="1"/>
  <c r="H28" i="65"/>
  <c r="G28" i="65"/>
  <c r="F28" i="65"/>
  <c r="AD28" i="65" s="1"/>
  <c r="E28" i="65"/>
  <c r="AC28" i="65" s="1"/>
  <c r="D28" i="65"/>
  <c r="AB28" i="65" s="1"/>
  <c r="H27" i="65"/>
  <c r="G27" i="65"/>
  <c r="F27" i="65"/>
  <c r="AD27" i="65" s="1"/>
  <c r="E27" i="65"/>
  <c r="AC27" i="65" s="1"/>
  <c r="D27" i="65"/>
  <c r="AB27" i="65" s="1"/>
  <c r="H26" i="65"/>
  <c r="G26" i="65"/>
  <c r="F26" i="65"/>
  <c r="AD26" i="65" s="1"/>
  <c r="E26" i="65"/>
  <c r="AC26" i="65" s="1"/>
  <c r="D26" i="65"/>
  <c r="AB26" i="65" s="1"/>
  <c r="H25" i="65"/>
  <c r="G25" i="65"/>
  <c r="F25" i="65"/>
  <c r="AD25" i="65" s="1"/>
  <c r="E25" i="65"/>
  <c r="AC25" i="65" s="1"/>
  <c r="D25" i="65"/>
  <c r="AB25" i="65" s="1"/>
  <c r="H24" i="65"/>
  <c r="G24" i="65"/>
  <c r="E24" i="65"/>
  <c r="AC24" i="65" s="1"/>
  <c r="D24" i="65"/>
  <c r="AB24" i="65" s="1"/>
  <c r="H23" i="65"/>
  <c r="G23" i="65"/>
  <c r="F23" i="65"/>
  <c r="AD23" i="65" s="1"/>
  <c r="E23" i="65"/>
  <c r="AC23" i="65" s="1"/>
  <c r="D23" i="65"/>
  <c r="AB23" i="65" s="1"/>
  <c r="H22" i="65"/>
  <c r="G22" i="65"/>
  <c r="F22" i="65"/>
  <c r="AD22" i="65" s="1"/>
  <c r="E22" i="65"/>
  <c r="AC22" i="65" s="1"/>
  <c r="D22" i="65"/>
  <c r="AB22" i="65" s="1"/>
  <c r="H21" i="65"/>
  <c r="G21" i="65"/>
  <c r="AE21" i="65" s="1"/>
  <c r="F21" i="65"/>
  <c r="AD21" i="65" s="1"/>
  <c r="E21" i="65"/>
  <c r="AC21" i="65" s="1"/>
  <c r="D21" i="65"/>
  <c r="AB21" i="65" s="1"/>
  <c r="H20" i="65"/>
  <c r="G20" i="65"/>
  <c r="F20" i="65"/>
  <c r="AD20" i="65" s="1"/>
  <c r="E20" i="65"/>
  <c r="AC20" i="65" s="1"/>
  <c r="D20" i="65"/>
  <c r="AB20" i="65" s="1"/>
  <c r="H19" i="65"/>
  <c r="G19" i="65"/>
  <c r="F19" i="65"/>
  <c r="AD19" i="65" s="1"/>
  <c r="E19" i="65"/>
  <c r="AC19" i="65" s="1"/>
  <c r="D19" i="65"/>
  <c r="AB19" i="65" s="1"/>
  <c r="H18" i="65"/>
  <c r="G18" i="65"/>
  <c r="F18" i="65"/>
  <c r="AD18" i="65" s="1"/>
  <c r="E18" i="65"/>
  <c r="AC18" i="65" s="1"/>
  <c r="D18" i="65"/>
  <c r="AB18" i="65" s="1"/>
  <c r="H17" i="65"/>
  <c r="G17" i="65"/>
  <c r="F17" i="65"/>
  <c r="AD17" i="65" s="1"/>
  <c r="E17" i="65"/>
  <c r="AC17" i="65" s="1"/>
  <c r="D17" i="65"/>
  <c r="AB17" i="65" s="1"/>
  <c r="H16" i="65"/>
  <c r="G16" i="65"/>
  <c r="F16" i="65"/>
  <c r="AD16" i="65" s="1"/>
  <c r="E16" i="65"/>
  <c r="AC16" i="65" s="1"/>
  <c r="D16" i="65"/>
  <c r="AB16" i="65" s="1"/>
  <c r="H15" i="65"/>
  <c r="G15" i="65"/>
  <c r="F15" i="65"/>
  <c r="AD15" i="65" s="1"/>
  <c r="E15" i="65"/>
  <c r="AC15" i="65" s="1"/>
  <c r="D15" i="65"/>
  <c r="AB15" i="65" s="1"/>
  <c r="H14" i="65"/>
  <c r="G14" i="65"/>
  <c r="F14" i="65"/>
  <c r="AD14" i="65" s="1"/>
  <c r="E14" i="65"/>
  <c r="AC14" i="65" s="1"/>
  <c r="D14" i="65"/>
  <c r="AB14" i="65" s="1"/>
  <c r="H13" i="65"/>
  <c r="G13" i="65"/>
  <c r="F13" i="65"/>
  <c r="AD13" i="65" s="1"/>
  <c r="E13" i="65"/>
  <c r="AC13" i="65" s="1"/>
  <c r="D13" i="65"/>
  <c r="AB13" i="65" s="1"/>
  <c r="H12" i="65"/>
  <c r="G12" i="65"/>
  <c r="F12" i="65"/>
  <c r="AD12" i="65" s="1"/>
  <c r="E12" i="65"/>
  <c r="AC12" i="65" s="1"/>
  <c r="D12" i="65"/>
  <c r="AB12" i="65" s="1"/>
  <c r="H11" i="65"/>
  <c r="G11" i="65"/>
  <c r="F11" i="65"/>
  <c r="AD11" i="65" s="1"/>
  <c r="E11" i="65"/>
  <c r="AC11" i="65" s="1"/>
  <c r="D11" i="65"/>
  <c r="AB11" i="65" s="1"/>
  <c r="H10" i="65"/>
  <c r="G10" i="65"/>
  <c r="F10" i="65"/>
  <c r="AD10" i="65" s="1"/>
  <c r="E10" i="65"/>
  <c r="AC10" i="65" s="1"/>
  <c r="D10" i="65"/>
  <c r="AG10" i="64"/>
  <c r="H33" i="64"/>
  <c r="AF33" i="64" s="1"/>
  <c r="G33" i="64"/>
  <c r="AE33" i="64" s="1"/>
  <c r="F33" i="64"/>
  <c r="AD33" i="64" s="1"/>
  <c r="E33" i="64"/>
  <c r="AC33" i="64" s="1"/>
  <c r="D33" i="64"/>
  <c r="H32" i="64"/>
  <c r="H31" i="64"/>
  <c r="G31" i="64"/>
  <c r="AE31" i="64" s="1"/>
  <c r="F31" i="64"/>
  <c r="AD31" i="64" s="1"/>
  <c r="E31" i="64"/>
  <c r="AC31" i="64" s="1"/>
  <c r="D31" i="64"/>
  <c r="H30" i="64"/>
  <c r="G30" i="64"/>
  <c r="AE30" i="64" s="1"/>
  <c r="F30" i="64"/>
  <c r="AD30" i="64" s="1"/>
  <c r="E30" i="64"/>
  <c r="AC30" i="64" s="1"/>
  <c r="D30" i="64"/>
  <c r="H29" i="64"/>
  <c r="G29" i="64"/>
  <c r="AE29" i="64" s="1"/>
  <c r="F29" i="64"/>
  <c r="AD29" i="64" s="1"/>
  <c r="E29" i="64"/>
  <c r="AC29" i="64" s="1"/>
  <c r="D29" i="64"/>
  <c r="H28" i="64"/>
  <c r="G28" i="64"/>
  <c r="AE28" i="64" s="1"/>
  <c r="F28" i="64"/>
  <c r="AD28" i="64" s="1"/>
  <c r="E28" i="64"/>
  <c r="AC28" i="64" s="1"/>
  <c r="D28" i="64"/>
  <c r="H27" i="64"/>
  <c r="G27" i="64"/>
  <c r="AE27" i="64" s="1"/>
  <c r="F27" i="64"/>
  <c r="AD27" i="64" s="1"/>
  <c r="E27" i="64"/>
  <c r="AC27" i="64" s="1"/>
  <c r="D27" i="64"/>
  <c r="H26" i="64"/>
  <c r="G26" i="64"/>
  <c r="AE26" i="64" s="1"/>
  <c r="F26" i="64"/>
  <c r="AD26" i="64" s="1"/>
  <c r="E26" i="64"/>
  <c r="AC26" i="64" s="1"/>
  <c r="D26" i="64"/>
  <c r="H25" i="64"/>
  <c r="G25" i="64"/>
  <c r="AE25" i="64" s="1"/>
  <c r="F25" i="64"/>
  <c r="AD25" i="64" s="1"/>
  <c r="E25" i="64"/>
  <c r="AC25" i="64" s="1"/>
  <c r="D25" i="64"/>
  <c r="H24" i="64"/>
  <c r="G24" i="64"/>
  <c r="AE24" i="64" s="1"/>
  <c r="E24" i="64"/>
  <c r="AC24" i="64" s="1"/>
  <c r="D24" i="64"/>
  <c r="H23" i="64"/>
  <c r="G23" i="64"/>
  <c r="AE23" i="64" s="1"/>
  <c r="F23" i="64"/>
  <c r="AD23" i="64" s="1"/>
  <c r="E23" i="64"/>
  <c r="AC23" i="64" s="1"/>
  <c r="D23" i="64"/>
  <c r="H22" i="64"/>
  <c r="G22" i="64"/>
  <c r="AE22" i="64" s="1"/>
  <c r="F22" i="64"/>
  <c r="AD22" i="64" s="1"/>
  <c r="E22" i="64"/>
  <c r="AC22" i="64" s="1"/>
  <c r="D22" i="64"/>
  <c r="H21" i="64"/>
  <c r="G21" i="64"/>
  <c r="AE21" i="64" s="1"/>
  <c r="F21" i="64"/>
  <c r="AD21" i="64" s="1"/>
  <c r="E21" i="64"/>
  <c r="AC21" i="64" s="1"/>
  <c r="D21" i="64"/>
  <c r="H20" i="64"/>
  <c r="G20" i="64"/>
  <c r="AE20" i="64" s="1"/>
  <c r="F20" i="64"/>
  <c r="AD20" i="64" s="1"/>
  <c r="E20" i="64"/>
  <c r="AC20" i="64" s="1"/>
  <c r="D20" i="64"/>
  <c r="H19" i="64"/>
  <c r="G19" i="64"/>
  <c r="AE19" i="64" s="1"/>
  <c r="F19" i="64"/>
  <c r="AD19" i="64" s="1"/>
  <c r="E19" i="64"/>
  <c r="AC19" i="64" s="1"/>
  <c r="D19" i="64"/>
  <c r="H18" i="64"/>
  <c r="G18" i="64"/>
  <c r="AE18" i="64" s="1"/>
  <c r="F18" i="64"/>
  <c r="AD18" i="64" s="1"/>
  <c r="E18" i="64"/>
  <c r="AC18" i="64" s="1"/>
  <c r="D18" i="64"/>
  <c r="H17" i="64"/>
  <c r="G17" i="64"/>
  <c r="AE17" i="64" s="1"/>
  <c r="F17" i="64"/>
  <c r="AD17" i="64" s="1"/>
  <c r="E17" i="64"/>
  <c r="AC17" i="64" s="1"/>
  <c r="D17" i="64"/>
  <c r="H16" i="64"/>
  <c r="G16" i="64"/>
  <c r="AE16" i="64" s="1"/>
  <c r="F16" i="64"/>
  <c r="AD16" i="64" s="1"/>
  <c r="E16" i="64"/>
  <c r="AC16" i="64" s="1"/>
  <c r="D16" i="64"/>
  <c r="H15" i="64"/>
  <c r="G15" i="64"/>
  <c r="AE15" i="64" s="1"/>
  <c r="F15" i="64"/>
  <c r="AD15" i="64" s="1"/>
  <c r="E15" i="64"/>
  <c r="AC15" i="64" s="1"/>
  <c r="D15" i="64"/>
  <c r="H14" i="64"/>
  <c r="G14" i="64"/>
  <c r="AE14" i="64" s="1"/>
  <c r="F14" i="64"/>
  <c r="AD14" i="64" s="1"/>
  <c r="E14" i="64"/>
  <c r="AC14" i="64" s="1"/>
  <c r="D14" i="64"/>
  <c r="H13" i="64"/>
  <c r="G13" i="64"/>
  <c r="AE13" i="64" s="1"/>
  <c r="F13" i="64"/>
  <c r="AD13" i="64" s="1"/>
  <c r="E13" i="64"/>
  <c r="AC13" i="64" s="1"/>
  <c r="D13" i="64"/>
  <c r="H12" i="64"/>
  <c r="G12" i="64"/>
  <c r="AE12" i="64" s="1"/>
  <c r="F12" i="64"/>
  <c r="AD12" i="64" s="1"/>
  <c r="E12" i="64"/>
  <c r="AC12" i="64" s="1"/>
  <c r="D12" i="64"/>
  <c r="H11" i="64"/>
  <c r="G11" i="64"/>
  <c r="AE11" i="64" s="1"/>
  <c r="F11" i="64"/>
  <c r="AD11" i="64" s="1"/>
  <c r="E11" i="64"/>
  <c r="AC11" i="64" s="1"/>
  <c r="D11" i="64"/>
  <c r="H10" i="64"/>
  <c r="G10" i="64"/>
  <c r="AE10" i="64" s="1"/>
  <c r="F10" i="64"/>
  <c r="AD10" i="64" s="1"/>
  <c r="E10" i="64"/>
  <c r="AC10" i="64" s="1"/>
  <c r="D10" i="64"/>
  <c r="AI135" i="63"/>
  <c r="AH135" i="63"/>
  <c r="AG135" i="63"/>
  <c r="AF135" i="63"/>
  <c r="AE135" i="63"/>
  <c r="AD135" i="63"/>
  <c r="AC135" i="63"/>
  <c r="AB135" i="63"/>
  <c r="AA135" i="63"/>
  <c r="Z135" i="63"/>
  <c r="AI134" i="63"/>
  <c r="AI133" i="63"/>
  <c r="AI132" i="63"/>
  <c r="AI131" i="63"/>
  <c r="AI130" i="63"/>
  <c r="AI129" i="63"/>
  <c r="AI128" i="63"/>
  <c r="AI127" i="63"/>
  <c r="AI126" i="63"/>
  <c r="AI125" i="63"/>
  <c r="AI124" i="63"/>
  <c r="AI123" i="63"/>
  <c r="AI122" i="63"/>
  <c r="AI121" i="63"/>
  <c r="AI120" i="63"/>
  <c r="AI119" i="63"/>
  <c r="AI118" i="63"/>
  <c r="AI117" i="63"/>
  <c r="AI116" i="63"/>
  <c r="AI115" i="63"/>
  <c r="AI114" i="63"/>
  <c r="AI113" i="63"/>
  <c r="AI112" i="63"/>
  <c r="Y135" i="63"/>
  <c r="AD169" i="63"/>
  <c r="AC169" i="63"/>
  <c r="AB169" i="63"/>
  <c r="AA169" i="63"/>
  <c r="Z169" i="63"/>
  <c r="AD168" i="63"/>
  <c r="AC168" i="63"/>
  <c r="AB168" i="63"/>
  <c r="AA168" i="63"/>
  <c r="Z168" i="63"/>
  <c r="AD167" i="63"/>
  <c r="AB167" i="63"/>
  <c r="AA167" i="63"/>
  <c r="Z167" i="63"/>
  <c r="AD166" i="63"/>
  <c r="AC166" i="63"/>
  <c r="AB166" i="63"/>
  <c r="AA166" i="63"/>
  <c r="Z166" i="63"/>
  <c r="AD165" i="63"/>
  <c r="AC165" i="63"/>
  <c r="AB165" i="63"/>
  <c r="AA165" i="63"/>
  <c r="Z165" i="63"/>
  <c r="AD164" i="63"/>
  <c r="AC164" i="63"/>
  <c r="AB164" i="63"/>
  <c r="AA164" i="63"/>
  <c r="Z164" i="63"/>
  <c r="AD163" i="63"/>
  <c r="AC163" i="63"/>
  <c r="AB163" i="63"/>
  <c r="AA163" i="63"/>
  <c r="Z163" i="63"/>
  <c r="AD162" i="63"/>
  <c r="AC162" i="63"/>
  <c r="AB162" i="63"/>
  <c r="AA162" i="63"/>
  <c r="Z162" i="63"/>
  <c r="AD161" i="63"/>
  <c r="AC161" i="63"/>
  <c r="AB161" i="63"/>
  <c r="AA161" i="63"/>
  <c r="Z161" i="63"/>
  <c r="AD160" i="63"/>
  <c r="AC160" i="63"/>
  <c r="AB160" i="63"/>
  <c r="AA160" i="63"/>
  <c r="Z160" i="63"/>
  <c r="AD159" i="63"/>
  <c r="AC159" i="63"/>
  <c r="AB159" i="63"/>
  <c r="AA159" i="63"/>
  <c r="Z159" i="63"/>
  <c r="AD158" i="63"/>
  <c r="AC158" i="63"/>
  <c r="AB158" i="63"/>
  <c r="AA158" i="63"/>
  <c r="Z158" i="63"/>
  <c r="AD157" i="63"/>
  <c r="AC157" i="63"/>
  <c r="AB157" i="63"/>
  <c r="AA157" i="63"/>
  <c r="Z157" i="63"/>
  <c r="AD156" i="63"/>
  <c r="AC156" i="63"/>
  <c r="AB156" i="63"/>
  <c r="AA156" i="63"/>
  <c r="Z156" i="63"/>
  <c r="AD155" i="63"/>
  <c r="AC155" i="63"/>
  <c r="AB155" i="63"/>
  <c r="AA155" i="63"/>
  <c r="Z155" i="63"/>
  <c r="AD154" i="63"/>
  <c r="AC154" i="63"/>
  <c r="AB154" i="63"/>
  <c r="AA154" i="63"/>
  <c r="Z154" i="63"/>
  <c r="AD153" i="63"/>
  <c r="AC153" i="63"/>
  <c r="AB153" i="63"/>
  <c r="AA153" i="63"/>
  <c r="Z153" i="63"/>
  <c r="AD152" i="63"/>
  <c r="AC152" i="63"/>
  <c r="AB152" i="63"/>
  <c r="AA152" i="63"/>
  <c r="Z152" i="63"/>
  <c r="AD151" i="63"/>
  <c r="AC151" i="63"/>
  <c r="AB151" i="63"/>
  <c r="AA151" i="63"/>
  <c r="Z151" i="63"/>
  <c r="AD150" i="63"/>
  <c r="AC150" i="63"/>
  <c r="AB150" i="63"/>
  <c r="AA150" i="63"/>
  <c r="Z150" i="63"/>
  <c r="AD149" i="63"/>
  <c r="AC149" i="63"/>
  <c r="AB149" i="63"/>
  <c r="AA149" i="63"/>
  <c r="Z149" i="63"/>
  <c r="AD148" i="63"/>
  <c r="AC148" i="63"/>
  <c r="AB148" i="63"/>
  <c r="AA148" i="63"/>
  <c r="Z148" i="63"/>
  <c r="AD147" i="63"/>
  <c r="AC147" i="63"/>
  <c r="AB147" i="63"/>
  <c r="AA147" i="63"/>
  <c r="Z147" i="63"/>
  <c r="AG10" i="63"/>
  <c r="H33" i="63"/>
  <c r="AF33" i="63" s="1"/>
  <c r="G33" i="63"/>
  <c r="AE33" i="63" s="1"/>
  <c r="F33" i="63"/>
  <c r="AD33" i="63" s="1"/>
  <c r="E33" i="63"/>
  <c r="AC33" i="63" s="1"/>
  <c r="D33" i="63"/>
  <c r="H32" i="63"/>
  <c r="H31" i="63"/>
  <c r="G31" i="63"/>
  <c r="AE31" i="63" s="1"/>
  <c r="F31" i="63"/>
  <c r="AD31" i="63" s="1"/>
  <c r="E31" i="63"/>
  <c r="AC31" i="63" s="1"/>
  <c r="D31" i="63"/>
  <c r="H30" i="63"/>
  <c r="G30" i="63"/>
  <c r="AE30" i="63" s="1"/>
  <c r="F30" i="63"/>
  <c r="AD30" i="63" s="1"/>
  <c r="E30" i="63"/>
  <c r="AC30" i="63" s="1"/>
  <c r="D30" i="63"/>
  <c r="H29" i="63"/>
  <c r="G29" i="63"/>
  <c r="AE29" i="63" s="1"/>
  <c r="F29" i="63"/>
  <c r="AD29" i="63" s="1"/>
  <c r="E29" i="63"/>
  <c r="AC29" i="63" s="1"/>
  <c r="D29" i="63"/>
  <c r="H28" i="63"/>
  <c r="G28" i="63"/>
  <c r="AE28" i="63" s="1"/>
  <c r="F28" i="63"/>
  <c r="AD28" i="63" s="1"/>
  <c r="E28" i="63"/>
  <c r="AC28" i="63" s="1"/>
  <c r="D28" i="63"/>
  <c r="H27" i="63"/>
  <c r="G27" i="63"/>
  <c r="AE27" i="63" s="1"/>
  <c r="F27" i="63"/>
  <c r="AD27" i="63" s="1"/>
  <c r="E27" i="63"/>
  <c r="AC27" i="63" s="1"/>
  <c r="D27" i="63"/>
  <c r="H26" i="63"/>
  <c r="G26" i="63"/>
  <c r="AE26" i="63" s="1"/>
  <c r="F26" i="63"/>
  <c r="AD26" i="63" s="1"/>
  <c r="E26" i="63"/>
  <c r="AC26" i="63" s="1"/>
  <c r="D26" i="63"/>
  <c r="H25" i="63"/>
  <c r="G25" i="63"/>
  <c r="AE25" i="63" s="1"/>
  <c r="F25" i="63"/>
  <c r="AD25" i="63" s="1"/>
  <c r="E25" i="63"/>
  <c r="AC25" i="63" s="1"/>
  <c r="D25" i="63"/>
  <c r="H24" i="63"/>
  <c r="G24" i="63"/>
  <c r="AE24" i="63" s="1"/>
  <c r="E24" i="63"/>
  <c r="AC24" i="63" s="1"/>
  <c r="D24" i="63"/>
  <c r="H23" i="63"/>
  <c r="G23" i="63"/>
  <c r="AE23" i="63" s="1"/>
  <c r="F23" i="63"/>
  <c r="AD23" i="63" s="1"/>
  <c r="E23" i="63"/>
  <c r="AC23" i="63" s="1"/>
  <c r="D23" i="63"/>
  <c r="H22" i="63"/>
  <c r="G22" i="63"/>
  <c r="AE22" i="63" s="1"/>
  <c r="F22" i="63"/>
  <c r="AD22" i="63" s="1"/>
  <c r="E22" i="63"/>
  <c r="AC22" i="63" s="1"/>
  <c r="D22" i="63"/>
  <c r="H21" i="63"/>
  <c r="G21" i="63"/>
  <c r="AE21" i="63" s="1"/>
  <c r="F21" i="63"/>
  <c r="AD21" i="63" s="1"/>
  <c r="E21" i="63"/>
  <c r="AC21" i="63" s="1"/>
  <c r="D21" i="63"/>
  <c r="H20" i="63"/>
  <c r="G20" i="63"/>
  <c r="AE20" i="63" s="1"/>
  <c r="F20" i="63"/>
  <c r="AD20" i="63" s="1"/>
  <c r="E20" i="63"/>
  <c r="AC20" i="63" s="1"/>
  <c r="D20" i="63"/>
  <c r="H19" i="63"/>
  <c r="G19" i="63"/>
  <c r="AE19" i="63" s="1"/>
  <c r="F19" i="63"/>
  <c r="AD19" i="63" s="1"/>
  <c r="E19" i="63"/>
  <c r="AC19" i="63" s="1"/>
  <c r="D19" i="63"/>
  <c r="H18" i="63"/>
  <c r="G18" i="63"/>
  <c r="AE18" i="63" s="1"/>
  <c r="F18" i="63"/>
  <c r="AD18" i="63" s="1"/>
  <c r="E18" i="63"/>
  <c r="AC18" i="63" s="1"/>
  <c r="D18" i="63"/>
  <c r="H17" i="63"/>
  <c r="G17" i="63"/>
  <c r="AE17" i="63" s="1"/>
  <c r="F17" i="63"/>
  <c r="AD17" i="63" s="1"/>
  <c r="E17" i="63"/>
  <c r="AC17" i="63" s="1"/>
  <c r="D17" i="63"/>
  <c r="H16" i="63"/>
  <c r="G16" i="63"/>
  <c r="AE16" i="63" s="1"/>
  <c r="F16" i="63"/>
  <c r="AD16" i="63" s="1"/>
  <c r="E16" i="63"/>
  <c r="AC16" i="63" s="1"/>
  <c r="D16" i="63"/>
  <c r="H15" i="63"/>
  <c r="G15" i="63"/>
  <c r="AE15" i="63" s="1"/>
  <c r="F15" i="63"/>
  <c r="AD15" i="63" s="1"/>
  <c r="E15" i="63"/>
  <c r="AC15" i="63" s="1"/>
  <c r="D15" i="63"/>
  <c r="H14" i="63"/>
  <c r="G14" i="63"/>
  <c r="AE14" i="63" s="1"/>
  <c r="F14" i="63"/>
  <c r="AD14" i="63" s="1"/>
  <c r="E14" i="63"/>
  <c r="AC14" i="63" s="1"/>
  <c r="D14" i="63"/>
  <c r="H13" i="63"/>
  <c r="G13" i="63"/>
  <c r="AE13" i="63" s="1"/>
  <c r="F13" i="63"/>
  <c r="AD13" i="63" s="1"/>
  <c r="E13" i="63"/>
  <c r="AC13" i="63" s="1"/>
  <c r="D13" i="63"/>
  <c r="H12" i="63"/>
  <c r="G12" i="63"/>
  <c r="AE12" i="63" s="1"/>
  <c r="F12" i="63"/>
  <c r="AD12" i="63" s="1"/>
  <c r="E12" i="63"/>
  <c r="AC12" i="63" s="1"/>
  <c r="D12" i="63"/>
  <c r="H11" i="63"/>
  <c r="G11" i="63"/>
  <c r="AE11" i="63" s="1"/>
  <c r="F11" i="63"/>
  <c r="AD11" i="63" s="1"/>
  <c r="E11" i="63"/>
  <c r="AC11" i="63" s="1"/>
  <c r="D11" i="63"/>
  <c r="H10" i="63"/>
  <c r="G10" i="63"/>
  <c r="AE10" i="63" s="1"/>
  <c r="F10" i="63"/>
  <c r="AD10" i="63" s="1"/>
  <c r="E10" i="63"/>
  <c r="AC10" i="63" s="1"/>
  <c r="D10" i="63"/>
  <c r="AG10" i="62"/>
  <c r="H33" i="62"/>
  <c r="G33" i="62"/>
  <c r="F33" i="62"/>
  <c r="E33" i="62"/>
  <c r="D33" i="62"/>
  <c r="AB33" i="62" s="1"/>
  <c r="H31" i="62"/>
  <c r="G31" i="62"/>
  <c r="AE31" i="62" s="1"/>
  <c r="F31" i="62"/>
  <c r="AD31" i="62" s="1"/>
  <c r="E31" i="62"/>
  <c r="AC31" i="62" s="1"/>
  <c r="D31" i="62"/>
  <c r="AB31" i="62" s="1"/>
  <c r="H30" i="62"/>
  <c r="G30" i="62"/>
  <c r="AE30" i="62" s="1"/>
  <c r="F30" i="62"/>
  <c r="AD30" i="62" s="1"/>
  <c r="E30" i="62"/>
  <c r="AC30" i="62" s="1"/>
  <c r="D30" i="62"/>
  <c r="AB30" i="62" s="1"/>
  <c r="H29" i="62"/>
  <c r="G29" i="62"/>
  <c r="AE29" i="62" s="1"/>
  <c r="F29" i="62"/>
  <c r="AD29" i="62" s="1"/>
  <c r="E29" i="62"/>
  <c r="AC29" i="62" s="1"/>
  <c r="D29" i="62"/>
  <c r="AB29" i="62" s="1"/>
  <c r="H28" i="62"/>
  <c r="G28" i="62"/>
  <c r="AE28" i="62" s="1"/>
  <c r="F28" i="62"/>
  <c r="AD28" i="62" s="1"/>
  <c r="E28" i="62"/>
  <c r="AC28" i="62" s="1"/>
  <c r="D28" i="62"/>
  <c r="AB28" i="62" s="1"/>
  <c r="H27" i="62"/>
  <c r="G27" i="62"/>
  <c r="AE27" i="62" s="1"/>
  <c r="F27" i="62"/>
  <c r="AD27" i="62" s="1"/>
  <c r="E27" i="62"/>
  <c r="AC27" i="62" s="1"/>
  <c r="D27" i="62"/>
  <c r="AB27" i="62" s="1"/>
  <c r="H26" i="62"/>
  <c r="G26" i="62"/>
  <c r="AE26" i="62" s="1"/>
  <c r="F26" i="62"/>
  <c r="AD26" i="62" s="1"/>
  <c r="E26" i="62"/>
  <c r="AC26" i="62" s="1"/>
  <c r="D26" i="62"/>
  <c r="AB26" i="62" s="1"/>
  <c r="H25" i="62"/>
  <c r="G25" i="62"/>
  <c r="AE25" i="62" s="1"/>
  <c r="F25" i="62"/>
  <c r="AD25" i="62" s="1"/>
  <c r="E25" i="62"/>
  <c r="AC25" i="62" s="1"/>
  <c r="D25" i="62"/>
  <c r="AB25" i="62" s="1"/>
  <c r="H24" i="62"/>
  <c r="G24" i="62"/>
  <c r="AE24" i="62" s="1"/>
  <c r="E24" i="62"/>
  <c r="AC24" i="62" s="1"/>
  <c r="D24" i="62"/>
  <c r="AB24" i="62" s="1"/>
  <c r="H23" i="62"/>
  <c r="G23" i="62"/>
  <c r="AE23" i="62" s="1"/>
  <c r="F23" i="62"/>
  <c r="AD23" i="62" s="1"/>
  <c r="E23" i="62"/>
  <c r="AC23" i="62" s="1"/>
  <c r="D23" i="62"/>
  <c r="AB23" i="62" s="1"/>
  <c r="H22" i="62"/>
  <c r="G22" i="62"/>
  <c r="AE22" i="62" s="1"/>
  <c r="F22" i="62"/>
  <c r="AD22" i="62" s="1"/>
  <c r="E22" i="62"/>
  <c r="AC22" i="62" s="1"/>
  <c r="D22" i="62"/>
  <c r="AB22" i="62" s="1"/>
  <c r="H21" i="62"/>
  <c r="G21" i="62"/>
  <c r="AE21" i="62" s="1"/>
  <c r="F21" i="62"/>
  <c r="AD21" i="62" s="1"/>
  <c r="E21" i="62"/>
  <c r="AC21" i="62" s="1"/>
  <c r="D21" i="62"/>
  <c r="AB21" i="62" s="1"/>
  <c r="H20" i="62"/>
  <c r="G20" i="62"/>
  <c r="AE20" i="62" s="1"/>
  <c r="F20" i="62"/>
  <c r="AD20" i="62" s="1"/>
  <c r="E20" i="62"/>
  <c r="AC20" i="62" s="1"/>
  <c r="D20" i="62"/>
  <c r="AB20" i="62" s="1"/>
  <c r="H19" i="62"/>
  <c r="G19" i="62"/>
  <c r="AE19" i="62" s="1"/>
  <c r="F19" i="62"/>
  <c r="AD19" i="62" s="1"/>
  <c r="E19" i="62"/>
  <c r="AC19" i="62" s="1"/>
  <c r="D19" i="62"/>
  <c r="AB19" i="62" s="1"/>
  <c r="H18" i="62"/>
  <c r="G18" i="62"/>
  <c r="AE18" i="62" s="1"/>
  <c r="F18" i="62"/>
  <c r="AD18" i="62" s="1"/>
  <c r="E18" i="62"/>
  <c r="AC18" i="62" s="1"/>
  <c r="D18" i="62"/>
  <c r="AB18" i="62" s="1"/>
  <c r="H17" i="62"/>
  <c r="G17" i="62"/>
  <c r="AE17" i="62" s="1"/>
  <c r="F17" i="62"/>
  <c r="AD17" i="62" s="1"/>
  <c r="E17" i="62"/>
  <c r="AC17" i="62" s="1"/>
  <c r="D17" i="62"/>
  <c r="AB17" i="62" s="1"/>
  <c r="H16" i="62"/>
  <c r="G16" i="62"/>
  <c r="AE16" i="62" s="1"/>
  <c r="F16" i="62"/>
  <c r="AD16" i="62" s="1"/>
  <c r="E16" i="62"/>
  <c r="AC16" i="62" s="1"/>
  <c r="D16" i="62"/>
  <c r="AB16" i="62" s="1"/>
  <c r="H15" i="62"/>
  <c r="G15" i="62"/>
  <c r="AE15" i="62" s="1"/>
  <c r="F15" i="62"/>
  <c r="AD15" i="62" s="1"/>
  <c r="E15" i="62"/>
  <c r="AC15" i="62" s="1"/>
  <c r="D15" i="62"/>
  <c r="AB15" i="62" s="1"/>
  <c r="H14" i="62"/>
  <c r="G14" i="62"/>
  <c r="AE14" i="62" s="1"/>
  <c r="F14" i="62"/>
  <c r="AD14" i="62" s="1"/>
  <c r="E14" i="62"/>
  <c r="AC14" i="62" s="1"/>
  <c r="D14" i="62"/>
  <c r="AB14" i="62" s="1"/>
  <c r="H13" i="62"/>
  <c r="G13" i="62"/>
  <c r="AE13" i="62" s="1"/>
  <c r="F13" i="62"/>
  <c r="AD13" i="62" s="1"/>
  <c r="E13" i="62"/>
  <c r="AC13" i="62" s="1"/>
  <c r="D13" i="62"/>
  <c r="AB13" i="62" s="1"/>
  <c r="H12" i="62"/>
  <c r="G12" i="62"/>
  <c r="AE12" i="62" s="1"/>
  <c r="F12" i="62"/>
  <c r="AD12" i="62" s="1"/>
  <c r="E12" i="62"/>
  <c r="AC12" i="62" s="1"/>
  <c r="D12" i="62"/>
  <c r="AB12" i="62" s="1"/>
  <c r="H11" i="62"/>
  <c r="G11" i="62"/>
  <c r="AE11" i="62" s="1"/>
  <c r="F11" i="62"/>
  <c r="AD11" i="62" s="1"/>
  <c r="E11" i="62"/>
  <c r="AC11" i="62" s="1"/>
  <c r="D11" i="62"/>
  <c r="AB11" i="62" s="1"/>
  <c r="H10" i="62"/>
  <c r="G10" i="62"/>
  <c r="AE10" i="62" s="1"/>
  <c r="F10" i="62"/>
  <c r="AD10" i="62" s="1"/>
  <c r="E10" i="62"/>
  <c r="AC10" i="62" s="1"/>
  <c r="D10" i="62"/>
  <c r="AB10" i="62" s="1"/>
  <c r="F221" i="67" l="1"/>
  <c r="E220" i="67"/>
  <c r="G257" i="67"/>
  <c r="D221" i="67"/>
  <c r="H221" i="67"/>
  <c r="E221" i="67"/>
  <c r="D220" i="67"/>
  <c r="G221" i="67"/>
  <c r="F220" i="67"/>
  <c r="G220" i="67"/>
  <c r="H220" i="67"/>
  <c r="AB13" i="67"/>
  <c r="Z151" i="67"/>
  <c r="D151" i="67" s="1"/>
  <c r="AB10" i="67"/>
  <c r="Z148" i="67"/>
  <c r="D148" i="67" s="1"/>
  <c r="AB15" i="67"/>
  <c r="Z153" i="67"/>
  <c r="D153" i="67" s="1"/>
  <c r="AB11" i="67"/>
  <c r="Z149" i="67"/>
  <c r="D149" i="67" s="1"/>
  <c r="AB16" i="67"/>
  <c r="Z154" i="67"/>
  <c r="D154" i="67" s="1"/>
  <c r="AB24" i="67"/>
  <c r="Z162" i="67"/>
  <c r="D162" i="67" s="1"/>
  <c r="AB31" i="67"/>
  <c r="Z169" i="67"/>
  <c r="D169" i="67" s="1"/>
  <c r="AB30" i="67"/>
  <c r="Z168" i="67"/>
  <c r="D168" i="67" s="1"/>
  <c r="AB23" i="67"/>
  <c r="Z161" i="67"/>
  <c r="D161" i="67" s="1"/>
  <c r="AB27" i="67"/>
  <c r="Z165" i="67"/>
  <c r="D165" i="67" s="1"/>
  <c r="AB12" i="67"/>
  <c r="Z150" i="67"/>
  <c r="D150" i="67" s="1"/>
  <c r="AB20" i="67"/>
  <c r="Z158" i="67"/>
  <c r="D158" i="67" s="1"/>
  <c r="AB29" i="67"/>
  <c r="Z167" i="67"/>
  <c r="D167" i="67" s="1"/>
  <c r="AB19" i="67"/>
  <c r="Z157" i="67"/>
  <c r="D157" i="67" s="1"/>
  <c r="AB28" i="67"/>
  <c r="Z166" i="67"/>
  <c r="D166" i="67" s="1"/>
  <c r="AB21" i="67"/>
  <c r="Z159" i="67"/>
  <c r="D159" i="67" s="1"/>
  <c r="AB26" i="67"/>
  <c r="Z164" i="67"/>
  <c r="D164" i="67" s="1"/>
  <c r="AB18" i="67"/>
  <c r="Z156" i="67"/>
  <c r="D156" i="67" s="1"/>
  <c r="AB14" i="67"/>
  <c r="Z152" i="67"/>
  <c r="D152" i="67" s="1"/>
  <c r="AC21" i="67"/>
  <c r="AA159" i="67"/>
  <c r="E159" i="67" s="1"/>
  <c r="AB17" i="67"/>
  <c r="Z155" i="67"/>
  <c r="D155" i="67" s="1"/>
  <c r="AB25" i="67"/>
  <c r="Z163" i="67"/>
  <c r="D163" i="67" s="1"/>
  <c r="G123" i="66"/>
  <c r="AF21" i="62"/>
  <c r="Z21" i="62"/>
  <c r="AF21" i="63"/>
  <c r="Z21" i="63"/>
  <c r="AF25" i="63"/>
  <c r="Z25" i="63"/>
  <c r="AF10" i="64"/>
  <c r="Z10" i="64"/>
  <c r="AF14" i="64"/>
  <c r="Z14" i="64"/>
  <c r="AF18" i="64"/>
  <c r="Z18" i="64"/>
  <c r="AF26" i="64"/>
  <c r="AA26" i="64"/>
  <c r="Z26" i="64"/>
  <c r="AF13" i="65"/>
  <c r="Z13" i="65"/>
  <c r="AF21" i="65"/>
  <c r="Z21" i="65"/>
  <c r="AD158" i="67"/>
  <c r="H158" i="67" s="1"/>
  <c r="Z20" i="67"/>
  <c r="AF11" i="62"/>
  <c r="Z11" i="62"/>
  <c r="AF15" i="62"/>
  <c r="Z15" i="62"/>
  <c r="AF19" i="62"/>
  <c r="Z19" i="62"/>
  <c r="AF23" i="62"/>
  <c r="Z23" i="62"/>
  <c r="AF11" i="63"/>
  <c r="Z11" i="63"/>
  <c r="AF19" i="63"/>
  <c r="Z19" i="63"/>
  <c r="AF23" i="63"/>
  <c r="Z23" i="63"/>
  <c r="AF12" i="62"/>
  <c r="Z12" i="62"/>
  <c r="AF16" i="62"/>
  <c r="Z16" i="62"/>
  <c r="AF20" i="62"/>
  <c r="Z20" i="62"/>
  <c r="AF24" i="62"/>
  <c r="Z24" i="62"/>
  <c r="AF28" i="62"/>
  <c r="Z28" i="62"/>
  <c r="AF12" i="63"/>
  <c r="Z12" i="63"/>
  <c r="AF16" i="63"/>
  <c r="Z16" i="63"/>
  <c r="AF20" i="63"/>
  <c r="Z20" i="63"/>
  <c r="AF24" i="63"/>
  <c r="Z24" i="63"/>
  <c r="AF28" i="63"/>
  <c r="Z28" i="63"/>
  <c r="AF13" i="64"/>
  <c r="Z13" i="64"/>
  <c r="AF17" i="64"/>
  <c r="Z17" i="64"/>
  <c r="AF21" i="64"/>
  <c r="Z21" i="64"/>
  <c r="AF25" i="64"/>
  <c r="Z25" i="64"/>
  <c r="AF29" i="64"/>
  <c r="Z29" i="64"/>
  <c r="AF12" i="65"/>
  <c r="Z12" i="65"/>
  <c r="AF16" i="65"/>
  <c r="Z16" i="65"/>
  <c r="AF20" i="65"/>
  <c r="Z20" i="65"/>
  <c r="AF24" i="65"/>
  <c r="Z24" i="65"/>
  <c r="AF28" i="65"/>
  <c r="Z28" i="65"/>
  <c r="Z11" i="66"/>
  <c r="Z15" i="66"/>
  <c r="Z19" i="66"/>
  <c r="Z23" i="66"/>
  <c r="AA27" i="66"/>
  <c r="Z27" i="66"/>
  <c r="Z31" i="66"/>
  <c r="Z11" i="67"/>
  <c r="Z15" i="67"/>
  <c r="Z19" i="67"/>
  <c r="Z23" i="67"/>
  <c r="AA27" i="67"/>
  <c r="Z27" i="67"/>
  <c r="Z31" i="67"/>
  <c r="AF25" i="62"/>
  <c r="Z25" i="62"/>
  <c r="AF13" i="63"/>
  <c r="Z13" i="63"/>
  <c r="AF22" i="64"/>
  <c r="AA22" i="64"/>
  <c r="Z22" i="64"/>
  <c r="Z12" i="66"/>
  <c r="Z20" i="66"/>
  <c r="Z28" i="66"/>
  <c r="Z12" i="67"/>
  <c r="AF10" i="62"/>
  <c r="Z10" i="62"/>
  <c r="AF14" i="62"/>
  <c r="Z14" i="62"/>
  <c r="AF18" i="62"/>
  <c r="Z18" i="62"/>
  <c r="AF22" i="62"/>
  <c r="AA22" i="62"/>
  <c r="Z22" i="62"/>
  <c r="AF26" i="62"/>
  <c r="AA26" i="62"/>
  <c r="Z26" i="62"/>
  <c r="AF30" i="62"/>
  <c r="Z30" i="62"/>
  <c r="AF10" i="63"/>
  <c r="Z10" i="63"/>
  <c r="AF14" i="63"/>
  <c r="Z14" i="63"/>
  <c r="AF18" i="63"/>
  <c r="Z18" i="63"/>
  <c r="AF22" i="63"/>
  <c r="Z22" i="63"/>
  <c r="AA22" i="63"/>
  <c r="AF26" i="63"/>
  <c r="Z26" i="63"/>
  <c r="AA26" i="63"/>
  <c r="Z30" i="63"/>
  <c r="AF11" i="64"/>
  <c r="Z11" i="64"/>
  <c r="AF15" i="64"/>
  <c r="Z15" i="64"/>
  <c r="AF19" i="64"/>
  <c r="Z19" i="64"/>
  <c r="AF23" i="64"/>
  <c r="Z23" i="64"/>
  <c r="AF27" i="64"/>
  <c r="Z27" i="64"/>
  <c r="AA27" i="64"/>
  <c r="AF31" i="64"/>
  <c r="Z31" i="64"/>
  <c r="AF10" i="65"/>
  <c r="Z10" i="65"/>
  <c r="AF14" i="65"/>
  <c r="Z14" i="65"/>
  <c r="AF18" i="65"/>
  <c r="Z18" i="65"/>
  <c r="AF22" i="65"/>
  <c r="Z22" i="65"/>
  <c r="AA22" i="65"/>
  <c r="AF26" i="65"/>
  <c r="Z26" i="65"/>
  <c r="AA26" i="65"/>
  <c r="AF30" i="65"/>
  <c r="Z30" i="65"/>
  <c r="Z13" i="66"/>
  <c r="Z17" i="66"/>
  <c r="Z21" i="66"/>
  <c r="Z25" i="66"/>
  <c r="Z29" i="66"/>
  <c r="Z13" i="67"/>
  <c r="AD155" i="67"/>
  <c r="H155" i="67" s="1"/>
  <c r="Z17" i="67"/>
  <c r="Z21" i="67"/>
  <c r="AD163" i="67"/>
  <c r="H163" i="67" s="1"/>
  <c r="Z25" i="67"/>
  <c r="AD167" i="67"/>
  <c r="H167" i="67" s="1"/>
  <c r="Z29" i="67"/>
  <c r="AF13" i="62"/>
  <c r="Z13" i="62"/>
  <c r="AF17" i="62"/>
  <c r="Z17" i="62"/>
  <c r="AF29" i="62"/>
  <c r="Z29" i="62"/>
  <c r="AF17" i="63"/>
  <c r="Z17" i="63"/>
  <c r="AF29" i="63"/>
  <c r="Z29" i="63"/>
  <c r="AF30" i="64"/>
  <c r="Z30" i="64"/>
  <c r="AF17" i="65"/>
  <c r="Z17" i="65"/>
  <c r="AF25" i="65"/>
  <c r="Z25" i="65"/>
  <c r="AF29" i="65"/>
  <c r="Z29" i="65"/>
  <c r="Z16" i="66"/>
  <c r="Z24" i="66"/>
  <c r="Z16" i="67"/>
  <c r="Z24" i="67"/>
  <c r="Z28" i="67"/>
  <c r="AF27" i="62"/>
  <c r="AA27" i="62"/>
  <c r="Z27" i="62"/>
  <c r="AF31" i="62"/>
  <c r="Z31" i="62"/>
  <c r="AF15" i="63"/>
  <c r="Z15" i="63"/>
  <c r="AF27" i="63"/>
  <c r="AA27" i="63"/>
  <c r="Z27" i="63"/>
  <c r="AF31" i="63"/>
  <c r="Z31" i="63"/>
  <c r="AF12" i="64"/>
  <c r="Z12" i="64"/>
  <c r="AF16" i="64"/>
  <c r="Z16" i="64"/>
  <c r="AF20" i="64"/>
  <c r="Z20" i="64"/>
  <c r="AF24" i="64"/>
  <c r="Z24" i="64"/>
  <c r="AF28" i="64"/>
  <c r="Z28" i="64"/>
  <c r="AF11" i="65"/>
  <c r="Z11" i="65"/>
  <c r="AF15" i="65"/>
  <c r="Z15" i="65"/>
  <c r="AF19" i="65"/>
  <c r="Z19" i="65"/>
  <c r="AF23" i="65"/>
  <c r="Z23" i="65"/>
  <c r="AF27" i="65"/>
  <c r="Z27" i="65"/>
  <c r="AA27" i="65"/>
  <c r="AF31" i="65"/>
  <c r="Z31" i="65"/>
  <c r="Z10" i="66"/>
  <c r="Z14" i="66"/>
  <c r="Z18" i="66"/>
  <c r="AA22" i="66"/>
  <c r="Z22" i="66"/>
  <c r="AA26" i="66"/>
  <c r="Z26" i="66"/>
  <c r="Z30" i="66"/>
  <c r="AF10" i="67"/>
  <c r="Z10" i="67"/>
  <c r="AF14" i="67"/>
  <c r="Z14" i="67"/>
  <c r="Z18" i="67"/>
  <c r="AA22" i="67"/>
  <c r="Z22" i="67"/>
  <c r="AF26" i="67"/>
  <c r="AA26" i="67"/>
  <c r="Z26" i="67"/>
  <c r="AF30" i="67"/>
  <c r="Z30" i="67"/>
  <c r="Q32" i="69"/>
  <c r="Q23" i="69"/>
  <c r="Q26" i="69"/>
  <c r="Q33" i="69"/>
  <c r="Q27" i="69"/>
  <c r="AH10" i="69"/>
  <c r="Q139" i="68"/>
  <c r="Q129" i="68"/>
  <c r="Q133" i="68"/>
  <c r="Q132" i="68"/>
  <c r="Q138" i="68"/>
  <c r="Q26" i="68"/>
  <c r="Q23" i="68"/>
  <c r="Q33" i="68"/>
  <c r="Q32" i="68"/>
  <c r="Q27" i="68"/>
  <c r="AI25" i="68"/>
  <c r="Q27" i="66"/>
  <c r="Q33" i="66"/>
  <c r="Q23" i="66"/>
  <c r="Q32" i="66"/>
  <c r="Q26" i="66"/>
  <c r="Q33" i="62"/>
  <c r="Q23" i="62"/>
  <c r="Q27" i="62"/>
  <c r="Q32" i="62"/>
  <c r="Q26" i="62"/>
  <c r="AC11" i="66"/>
  <c r="E149" i="66"/>
  <c r="E113" i="66"/>
  <c r="AF12" i="66"/>
  <c r="H114" i="66"/>
  <c r="H150" i="66"/>
  <c r="AD14" i="66"/>
  <c r="F116" i="66"/>
  <c r="F152" i="66"/>
  <c r="AC15" i="66"/>
  <c r="E117" i="66"/>
  <c r="E153" i="66"/>
  <c r="AF16" i="66"/>
  <c r="H118" i="66"/>
  <c r="H154" i="66"/>
  <c r="AD18" i="66"/>
  <c r="F120" i="66"/>
  <c r="F156" i="66"/>
  <c r="D122" i="66"/>
  <c r="D158" i="66"/>
  <c r="AC23" i="66"/>
  <c r="E125" i="66"/>
  <c r="E161" i="66"/>
  <c r="AF24" i="66"/>
  <c r="H126" i="66"/>
  <c r="H162" i="66"/>
  <c r="AD26" i="66"/>
  <c r="F164" i="66"/>
  <c r="F128" i="66"/>
  <c r="D130" i="66"/>
  <c r="D166" i="66"/>
  <c r="AE29" i="66"/>
  <c r="G167" i="66"/>
  <c r="AC31" i="66"/>
  <c r="E133" i="66"/>
  <c r="E169" i="66"/>
  <c r="AE33" i="66"/>
  <c r="G171" i="66"/>
  <c r="D148" i="66"/>
  <c r="D112" i="66"/>
  <c r="AF10" i="66"/>
  <c r="H148" i="66"/>
  <c r="H112" i="66"/>
  <c r="AE11" i="66"/>
  <c r="G149" i="66"/>
  <c r="AD12" i="66"/>
  <c r="F114" i="66"/>
  <c r="F150" i="66"/>
  <c r="AC13" i="66"/>
  <c r="E151" i="66"/>
  <c r="E115" i="66"/>
  <c r="D116" i="66"/>
  <c r="D152" i="66"/>
  <c r="AF14" i="66"/>
  <c r="H152" i="66"/>
  <c r="H116" i="66"/>
  <c r="AE15" i="66"/>
  <c r="G153" i="66"/>
  <c r="AD16" i="66"/>
  <c r="F154" i="66"/>
  <c r="F118" i="66"/>
  <c r="AC17" i="66"/>
  <c r="E155" i="66"/>
  <c r="E119" i="66"/>
  <c r="D120" i="66"/>
  <c r="D156" i="66"/>
  <c r="AF18" i="66"/>
  <c r="H156" i="66"/>
  <c r="H120" i="66"/>
  <c r="AE19" i="66"/>
  <c r="G157" i="66"/>
  <c r="AD20" i="66"/>
  <c r="F158" i="66"/>
  <c r="F122" i="66"/>
  <c r="AC21" i="66"/>
  <c r="E159" i="66"/>
  <c r="E123" i="66"/>
  <c r="D124" i="66"/>
  <c r="D160" i="66"/>
  <c r="AF22" i="66"/>
  <c r="H124" i="66"/>
  <c r="H160" i="66"/>
  <c r="AE23" i="66"/>
  <c r="G161" i="66"/>
  <c r="AC25" i="66"/>
  <c r="E163" i="66"/>
  <c r="E127" i="66"/>
  <c r="D128" i="66"/>
  <c r="D164" i="66"/>
  <c r="AF26" i="66"/>
  <c r="H128" i="66"/>
  <c r="H164" i="66"/>
  <c r="AE27" i="66"/>
  <c r="G165" i="66"/>
  <c r="AD28" i="66"/>
  <c r="F166" i="66"/>
  <c r="F130" i="66"/>
  <c r="AC29" i="66"/>
  <c r="E167" i="66"/>
  <c r="E131" i="66"/>
  <c r="D132" i="66"/>
  <c r="D168" i="66"/>
  <c r="AF30" i="66"/>
  <c r="H132" i="66"/>
  <c r="H168" i="66"/>
  <c r="AE31" i="66"/>
  <c r="G169" i="66"/>
  <c r="AC33" i="66"/>
  <c r="E135" i="66"/>
  <c r="E171" i="66"/>
  <c r="E155" i="67"/>
  <c r="AF18" i="67"/>
  <c r="AD156" i="67"/>
  <c r="H156" i="67" s="1"/>
  <c r="AB22" i="67"/>
  <c r="Z160" i="67"/>
  <c r="AF22" i="67"/>
  <c r="AD160" i="67"/>
  <c r="H160" i="67" s="1"/>
  <c r="AD10" i="66"/>
  <c r="F112" i="66"/>
  <c r="F148" i="66"/>
  <c r="D150" i="66"/>
  <c r="D114" i="66"/>
  <c r="D118" i="66"/>
  <c r="D154" i="66"/>
  <c r="AE17" i="66"/>
  <c r="G155" i="66"/>
  <c r="AC19" i="66"/>
  <c r="E121" i="66"/>
  <c r="E157" i="66"/>
  <c r="AF20" i="66"/>
  <c r="H122" i="66"/>
  <c r="H158" i="66"/>
  <c r="AD22" i="66"/>
  <c r="F124" i="66"/>
  <c r="F160" i="66"/>
  <c r="D126" i="66"/>
  <c r="D162" i="66"/>
  <c r="AE25" i="66"/>
  <c r="G163" i="66"/>
  <c r="AC27" i="66"/>
  <c r="E129" i="66"/>
  <c r="E165" i="66"/>
  <c r="AF28" i="66"/>
  <c r="H130" i="66"/>
  <c r="H166" i="66"/>
  <c r="AD30" i="66"/>
  <c r="F168" i="66"/>
  <c r="F132" i="66"/>
  <c r="H170" i="66"/>
  <c r="H134" i="66"/>
  <c r="AC10" i="66"/>
  <c r="E112" i="66"/>
  <c r="E148" i="66"/>
  <c r="D149" i="66"/>
  <c r="D113" i="66"/>
  <c r="AF11" i="66"/>
  <c r="H113" i="66"/>
  <c r="H149" i="66"/>
  <c r="AE12" i="66"/>
  <c r="G150" i="66"/>
  <c r="AC14" i="66"/>
  <c r="E116" i="66"/>
  <c r="E152" i="66"/>
  <c r="D117" i="66"/>
  <c r="D153" i="66"/>
  <c r="AF15" i="66"/>
  <c r="H117" i="66"/>
  <c r="H153" i="66"/>
  <c r="AE16" i="66"/>
  <c r="G154" i="66"/>
  <c r="AD17" i="66"/>
  <c r="F155" i="66"/>
  <c r="F119" i="66"/>
  <c r="AC18" i="66"/>
  <c r="E120" i="66"/>
  <c r="E156" i="66"/>
  <c r="D121" i="66"/>
  <c r="D157" i="66"/>
  <c r="AF19" i="66"/>
  <c r="H121" i="66"/>
  <c r="H157" i="66"/>
  <c r="AE20" i="66"/>
  <c r="G158" i="66"/>
  <c r="AD21" i="66"/>
  <c r="F159" i="66"/>
  <c r="F123" i="66"/>
  <c r="AC22" i="66"/>
  <c r="E160" i="66"/>
  <c r="E124" i="66"/>
  <c r="D125" i="66"/>
  <c r="D161" i="66"/>
  <c r="AF23" i="66"/>
  <c r="H161" i="66"/>
  <c r="H125" i="66"/>
  <c r="AE24" i="66"/>
  <c r="G162" i="66"/>
  <c r="AD25" i="66"/>
  <c r="F163" i="66"/>
  <c r="F127" i="66"/>
  <c r="AC26" i="66"/>
  <c r="E164" i="66"/>
  <c r="E128" i="66"/>
  <c r="D129" i="66"/>
  <c r="D165" i="66"/>
  <c r="AF27" i="66"/>
  <c r="H165" i="66"/>
  <c r="H129" i="66"/>
  <c r="AE28" i="66"/>
  <c r="G166" i="66"/>
  <c r="AD29" i="66"/>
  <c r="F167" i="66"/>
  <c r="F131" i="66"/>
  <c r="AC30" i="66"/>
  <c r="E168" i="66"/>
  <c r="E132" i="66"/>
  <c r="D133" i="66"/>
  <c r="D169" i="66"/>
  <c r="AF31" i="66"/>
  <c r="H169" i="66"/>
  <c r="H133" i="66"/>
  <c r="AD33" i="66"/>
  <c r="F135" i="66"/>
  <c r="F171" i="66"/>
  <c r="AE10" i="66"/>
  <c r="G148" i="66"/>
  <c r="AD11" i="66"/>
  <c r="F113" i="66"/>
  <c r="F149" i="66"/>
  <c r="AC12" i="66"/>
  <c r="E114" i="66"/>
  <c r="E150" i="66"/>
  <c r="D115" i="66"/>
  <c r="D151" i="66"/>
  <c r="AF13" i="66"/>
  <c r="H115" i="66"/>
  <c r="H151" i="66"/>
  <c r="AE14" i="66"/>
  <c r="G152" i="66"/>
  <c r="AD15" i="66"/>
  <c r="F153" i="66"/>
  <c r="F117" i="66"/>
  <c r="AC16" i="66"/>
  <c r="E118" i="66"/>
  <c r="E154" i="66"/>
  <c r="D119" i="66"/>
  <c r="D155" i="66"/>
  <c r="AF17" i="66"/>
  <c r="H119" i="66"/>
  <c r="H155" i="66"/>
  <c r="AE18" i="66"/>
  <c r="G156" i="66"/>
  <c r="AD19" i="66"/>
  <c r="F157" i="66"/>
  <c r="F121" i="66"/>
  <c r="AC20" i="66"/>
  <c r="E122" i="66"/>
  <c r="E158" i="66"/>
  <c r="D123" i="66"/>
  <c r="D159" i="66"/>
  <c r="AF21" i="66"/>
  <c r="H123" i="66"/>
  <c r="H159" i="66"/>
  <c r="AE22" i="66"/>
  <c r="G160" i="66"/>
  <c r="AD23" i="66"/>
  <c r="F125" i="66"/>
  <c r="F161" i="66"/>
  <c r="AC24" i="66"/>
  <c r="E126" i="66"/>
  <c r="E162" i="66"/>
  <c r="D127" i="66"/>
  <c r="D163" i="66"/>
  <c r="AF25" i="66"/>
  <c r="H127" i="66"/>
  <c r="H163" i="66"/>
  <c r="AE26" i="66"/>
  <c r="G164" i="66"/>
  <c r="AD27" i="66"/>
  <c r="F129" i="66"/>
  <c r="F165" i="66"/>
  <c r="AC28" i="66"/>
  <c r="E166" i="66"/>
  <c r="E130" i="66"/>
  <c r="D131" i="66"/>
  <c r="D167" i="66"/>
  <c r="AF29" i="66"/>
  <c r="H131" i="66"/>
  <c r="H167" i="66"/>
  <c r="AE30" i="66"/>
  <c r="G168" i="66"/>
  <c r="AD31" i="66"/>
  <c r="F133" i="66"/>
  <c r="F169" i="66"/>
  <c r="D171" i="66"/>
  <c r="D135" i="66"/>
  <c r="AF33" i="66"/>
  <c r="H171" i="66"/>
  <c r="H135" i="66"/>
  <c r="AE13" i="66"/>
  <c r="G151" i="66"/>
  <c r="AC170" i="67"/>
  <c r="G170" i="67" s="1"/>
  <c r="G151" i="67"/>
  <c r="AD13" i="66"/>
  <c r="F151" i="66"/>
  <c r="F115" i="66"/>
  <c r="F151" i="67"/>
  <c r="AE12" i="65"/>
  <c r="G114" i="66"/>
  <c r="AE16" i="65"/>
  <c r="G118" i="66"/>
  <c r="AE20" i="65"/>
  <c r="G122" i="66"/>
  <c r="AE24" i="65"/>
  <c r="G126" i="66"/>
  <c r="AE28" i="65"/>
  <c r="G130" i="66"/>
  <c r="AE13" i="65"/>
  <c r="G115" i="66"/>
  <c r="AE17" i="65"/>
  <c r="G119" i="66"/>
  <c r="AE25" i="65"/>
  <c r="G127" i="66"/>
  <c r="AE29" i="65"/>
  <c r="G131" i="66"/>
  <c r="AE33" i="65"/>
  <c r="G135" i="66"/>
  <c r="AE10" i="65"/>
  <c r="G112" i="66"/>
  <c r="AE14" i="65"/>
  <c r="G116" i="66"/>
  <c r="AE18" i="65"/>
  <c r="G120" i="66"/>
  <c r="AE22" i="65"/>
  <c r="G124" i="66"/>
  <c r="AE26" i="65"/>
  <c r="G128" i="66"/>
  <c r="AE30" i="65"/>
  <c r="G132" i="66"/>
  <c r="AE21" i="66"/>
  <c r="G159" i="66"/>
  <c r="AE11" i="65"/>
  <c r="G113" i="66"/>
  <c r="AE15" i="65"/>
  <c r="G117" i="66"/>
  <c r="AE19" i="65"/>
  <c r="G121" i="66"/>
  <c r="AE23" i="65"/>
  <c r="G125" i="66"/>
  <c r="AE27" i="65"/>
  <c r="G129" i="66"/>
  <c r="AE31" i="65"/>
  <c r="G133" i="66"/>
  <c r="AF30" i="63"/>
  <c r="AE167" i="63"/>
  <c r="E167" i="63" s="1"/>
  <c r="H113" i="67"/>
  <c r="AF11" i="67"/>
  <c r="H117" i="67"/>
  <c r="AF15" i="67"/>
  <c r="H121" i="67"/>
  <c r="AF19" i="67"/>
  <c r="H125" i="67"/>
  <c r="AF23" i="67"/>
  <c r="H129" i="67"/>
  <c r="AF27" i="67"/>
  <c r="H133" i="67"/>
  <c r="AF31" i="67"/>
  <c r="H135" i="62"/>
  <c r="AF33" i="62"/>
  <c r="H114" i="67"/>
  <c r="AF12" i="67"/>
  <c r="H118" i="67"/>
  <c r="AF16" i="67"/>
  <c r="H122" i="67"/>
  <c r="AF20" i="67"/>
  <c r="H126" i="67"/>
  <c r="AF24" i="67"/>
  <c r="H130" i="67"/>
  <c r="AF28" i="67"/>
  <c r="H115" i="67"/>
  <c r="AF13" i="67"/>
  <c r="H119" i="67"/>
  <c r="AF17" i="67"/>
  <c r="H123" i="67"/>
  <c r="AF21" i="67"/>
  <c r="H127" i="67"/>
  <c r="AF25" i="67"/>
  <c r="H131" i="67"/>
  <c r="AF29" i="67"/>
  <c r="H135" i="67"/>
  <c r="AF33" i="67"/>
  <c r="G113" i="67"/>
  <c r="AE11" i="67"/>
  <c r="G117" i="67"/>
  <c r="AE15" i="67"/>
  <c r="G121" i="67"/>
  <c r="AE19" i="67"/>
  <c r="G125" i="67"/>
  <c r="AE23" i="67"/>
  <c r="G129" i="67"/>
  <c r="AE27" i="67"/>
  <c r="G133" i="67"/>
  <c r="AE31" i="67"/>
  <c r="AE32" i="63"/>
  <c r="AE32" i="64"/>
  <c r="G114" i="67"/>
  <c r="AE12" i="67"/>
  <c r="G118" i="67"/>
  <c r="AE16" i="67"/>
  <c r="G122" i="67"/>
  <c r="AE20" i="67"/>
  <c r="G126" i="67"/>
  <c r="AE24" i="67"/>
  <c r="G130" i="67"/>
  <c r="AE28" i="67"/>
  <c r="G115" i="67"/>
  <c r="AE13" i="67"/>
  <c r="G119" i="67"/>
  <c r="AE17" i="67"/>
  <c r="G123" i="67"/>
  <c r="AE21" i="67"/>
  <c r="G127" i="67"/>
  <c r="AE25" i="67"/>
  <c r="G131" i="67"/>
  <c r="AE29" i="67"/>
  <c r="G135" i="67"/>
  <c r="AE33" i="67"/>
  <c r="G112" i="67"/>
  <c r="AE10" i="67"/>
  <c r="G116" i="67"/>
  <c r="AE14" i="67"/>
  <c r="G120" i="67"/>
  <c r="AE18" i="67"/>
  <c r="G124" i="67"/>
  <c r="AE22" i="67"/>
  <c r="G128" i="67"/>
  <c r="AE26" i="67"/>
  <c r="G132" i="67"/>
  <c r="AE30" i="67"/>
  <c r="F118" i="67"/>
  <c r="AD16" i="67"/>
  <c r="F115" i="67"/>
  <c r="AD13" i="67"/>
  <c r="F123" i="67"/>
  <c r="AD21" i="67"/>
  <c r="F127" i="67"/>
  <c r="AD25" i="67"/>
  <c r="F135" i="67"/>
  <c r="AD33" i="67"/>
  <c r="F112" i="67"/>
  <c r="AD10" i="67"/>
  <c r="F116" i="67"/>
  <c r="AD14" i="67"/>
  <c r="F120" i="67"/>
  <c r="AD18" i="67"/>
  <c r="F124" i="67"/>
  <c r="AD22" i="67"/>
  <c r="F128" i="67"/>
  <c r="AD26" i="67"/>
  <c r="F132" i="67"/>
  <c r="AD30" i="67"/>
  <c r="F114" i="67"/>
  <c r="AD12" i="67"/>
  <c r="F122" i="67"/>
  <c r="AD20" i="67"/>
  <c r="F130" i="67"/>
  <c r="AD28" i="67"/>
  <c r="F119" i="67"/>
  <c r="AD17" i="67"/>
  <c r="F131" i="67"/>
  <c r="AD29" i="67"/>
  <c r="F113" i="67"/>
  <c r="AD11" i="67"/>
  <c r="F117" i="67"/>
  <c r="AD15" i="67"/>
  <c r="F121" i="67"/>
  <c r="AD19" i="67"/>
  <c r="F125" i="67"/>
  <c r="AD23" i="67"/>
  <c r="F129" i="67"/>
  <c r="AD27" i="67"/>
  <c r="F133" i="67"/>
  <c r="AD31" i="67"/>
  <c r="AC32" i="65"/>
  <c r="E115" i="67"/>
  <c r="AC13" i="67"/>
  <c r="E119" i="67"/>
  <c r="AC17" i="67"/>
  <c r="E127" i="67"/>
  <c r="AC25" i="67"/>
  <c r="E131" i="67"/>
  <c r="AC29" i="67"/>
  <c r="E135" i="67"/>
  <c r="AC33" i="67"/>
  <c r="E112" i="67"/>
  <c r="AC10" i="67"/>
  <c r="E116" i="67"/>
  <c r="AC14" i="67"/>
  <c r="E120" i="67"/>
  <c r="AC18" i="67"/>
  <c r="E124" i="67"/>
  <c r="AC22" i="67"/>
  <c r="E128" i="67"/>
  <c r="AC26" i="67"/>
  <c r="E132" i="67"/>
  <c r="AC30" i="67"/>
  <c r="E113" i="67"/>
  <c r="AC11" i="67"/>
  <c r="E117" i="67"/>
  <c r="AC15" i="67"/>
  <c r="E121" i="67"/>
  <c r="AC19" i="67"/>
  <c r="E125" i="67"/>
  <c r="AC23" i="67"/>
  <c r="E129" i="67"/>
  <c r="AC27" i="67"/>
  <c r="E133" i="67"/>
  <c r="AC31" i="67"/>
  <c r="AC32" i="63"/>
  <c r="AC32" i="64"/>
  <c r="E114" i="67"/>
  <c r="AC12" i="67"/>
  <c r="E118" i="67"/>
  <c r="AC16" i="67"/>
  <c r="E122" i="67"/>
  <c r="AC20" i="67"/>
  <c r="E126" i="67"/>
  <c r="AC24" i="67"/>
  <c r="E130" i="67"/>
  <c r="AC28" i="67"/>
  <c r="K12" i="63"/>
  <c r="AB12" i="63"/>
  <c r="K16" i="63"/>
  <c r="AB16" i="63"/>
  <c r="K20" i="63"/>
  <c r="AB20" i="63"/>
  <c r="K24" i="63"/>
  <c r="AB24" i="63"/>
  <c r="K28" i="63"/>
  <c r="AB28" i="63"/>
  <c r="K12" i="64"/>
  <c r="AB12" i="64"/>
  <c r="K16" i="64"/>
  <c r="AB16" i="64"/>
  <c r="K20" i="64"/>
  <c r="AB20" i="64"/>
  <c r="K24" i="64"/>
  <c r="AB24" i="64"/>
  <c r="K28" i="64"/>
  <c r="AB28" i="64"/>
  <c r="K14" i="66"/>
  <c r="AB14" i="66"/>
  <c r="K18" i="66"/>
  <c r="AB18" i="66"/>
  <c r="K22" i="66"/>
  <c r="AB22" i="66"/>
  <c r="K26" i="66"/>
  <c r="AB26" i="66"/>
  <c r="K30" i="66"/>
  <c r="AB30" i="66"/>
  <c r="K13" i="63"/>
  <c r="AB13" i="63"/>
  <c r="K17" i="63"/>
  <c r="AB17" i="63"/>
  <c r="K21" i="63"/>
  <c r="AB21" i="63"/>
  <c r="K25" i="63"/>
  <c r="AB25" i="63"/>
  <c r="K29" i="63"/>
  <c r="AB29" i="63"/>
  <c r="K33" i="63"/>
  <c r="AB33" i="63"/>
  <c r="K13" i="64"/>
  <c r="AB13" i="64"/>
  <c r="K17" i="64"/>
  <c r="AB17" i="64"/>
  <c r="K21" i="64"/>
  <c r="AB21" i="64"/>
  <c r="K25" i="64"/>
  <c r="AB25" i="64"/>
  <c r="K29" i="64"/>
  <c r="AB29" i="64"/>
  <c r="K33" i="64"/>
  <c r="AB33" i="64"/>
  <c r="K11" i="66"/>
  <c r="AB11" i="66"/>
  <c r="K15" i="66"/>
  <c r="AB15" i="66"/>
  <c r="K19" i="66"/>
  <c r="AB19" i="66"/>
  <c r="K23" i="66"/>
  <c r="AB23" i="66"/>
  <c r="K27" i="66"/>
  <c r="AB27" i="66"/>
  <c r="K31" i="66"/>
  <c r="AB31" i="66"/>
  <c r="K14" i="63"/>
  <c r="AB14" i="63"/>
  <c r="K18" i="63"/>
  <c r="AB18" i="63"/>
  <c r="K22" i="63"/>
  <c r="AB22" i="63"/>
  <c r="K26" i="63"/>
  <c r="AB26" i="63"/>
  <c r="K30" i="63"/>
  <c r="AB30" i="63"/>
  <c r="K14" i="64"/>
  <c r="AB14" i="64"/>
  <c r="K18" i="64"/>
  <c r="AB18" i="64"/>
  <c r="K22" i="64"/>
  <c r="AB22" i="64"/>
  <c r="K26" i="64"/>
  <c r="AB26" i="64"/>
  <c r="K30" i="64"/>
  <c r="AB30" i="64"/>
  <c r="K12" i="66"/>
  <c r="AB12" i="66"/>
  <c r="K16" i="66"/>
  <c r="AB16" i="66"/>
  <c r="K20" i="66"/>
  <c r="AB20" i="66"/>
  <c r="K24" i="66"/>
  <c r="AB24" i="66"/>
  <c r="K28" i="66"/>
  <c r="AB28" i="66"/>
  <c r="K11" i="63"/>
  <c r="AB11" i="63"/>
  <c r="K15" i="63"/>
  <c r="AB15" i="63"/>
  <c r="K19" i="63"/>
  <c r="AB19" i="63"/>
  <c r="K23" i="63"/>
  <c r="AB23" i="63"/>
  <c r="K27" i="63"/>
  <c r="AB27" i="63"/>
  <c r="K31" i="63"/>
  <c r="AB31" i="63"/>
  <c r="K11" i="64"/>
  <c r="AB11" i="64"/>
  <c r="K15" i="64"/>
  <c r="AB15" i="64"/>
  <c r="K19" i="64"/>
  <c r="AB19" i="64"/>
  <c r="K23" i="64"/>
  <c r="AB23" i="64"/>
  <c r="K27" i="64"/>
  <c r="AB27" i="64"/>
  <c r="K31" i="64"/>
  <c r="AB31" i="64"/>
  <c r="K13" i="66"/>
  <c r="AB13" i="66"/>
  <c r="K17" i="66"/>
  <c r="AB17" i="66"/>
  <c r="K21" i="66"/>
  <c r="AB21" i="66"/>
  <c r="K25" i="66"/>
  <c r="AB25" i="66"/>
  <c r="K29" i="66"/>
  <c r="AB29" i="66"/>
  <c r="K33" i="66"/>
  <c r="AB33" i="66"/>
  <c r="K10" i="66"/>
  <c r="AB10" i="66"/>
  <c r="K10" i="63"/>
  <c r="AB10" i="63"/>
  <c r="K10" i="64"/>
  <c r="AB10" i="64"/>
  <c r="K10" i="65"/>
  <c r="AB10" i="65"/>
  <c r="AB32" i="65" s="1"/>
  <c r="AB32" i="62"/>
  <c r="AE32" i="62"/>
  <c r="G135" i="62"/>
  <c r="AE33" i="62"/>
  <c r="E135" i="62"/>
  <c r="AC33" i="62"/>
  <c r="AC32" i="62"/>
  <c r="F135" i="62"/>
  <c r="AD33" i="62"/>
  <c r="AO12" i="64"/>
  <c r="AO16" i="64"/>
  <c r="AO20" i="64"/>
  <c r="AO24" i="64"/>
  <c r="AO28" i="64"/>
  <c r="AO11" i="65"/>
  <c r="AN12" i="65"/>
  <c r="AM13" i="65"/>
  <c r="AL14" i="65"/>
  <c r="AO15" i="65"/>
  <c r="AN16" i="65"/>
  <c r="AM17" i="65"/>
  <c r="AL18" i="65"/>
  <c r="AO19" i="65"/>
  <c r="AM21" i="65"/>
  <c r="AL22" i="65"/>
  <c r="AO23" i="65"/>
  <c r="AM25" i="65"/>
  <c r="AL26" i="65"/>
  <c r="AO27" i="65"/>
  <c r="AM29" i="65"/>
  <c r="AL30" i="65"/>
  <c r="AO31" i="65"/>
  <c r="AM33" i="65"/>
  <c r="AO10" i="66"/>
  <c r="AO14" i="66"/>
  <c r="AO18" i="66"/>
  <c r="AL21" i="66"/>
  <c r="AO22" i="66"/>
  <c r="AO26" i="66"/>
  <c r="AO30" i="66"/>
  <c r="G184" i="67"/>
  <c r="D184" i="67"/>
  <c r="H184" i="67"/>
  <c r="E184" i="67"/>
  <c r="F184" i="67"/>
  <c r="AN20" i="65"/>
  <c r="AN28" i="65"/>
  <c r="K15" i="67"/>
  <c r="D117" i="67"/>
  <c r="K23" i="67"/>
  <c r="D125" i="67"/>
  <c r="K31" i="67"/>
  <c r="D133" i="67"/>
  <c r="K16" i="67"/>
  <c r="D118" i="67"/>
  <c r="K24" i="67"/>
  <c r="D126" i="67"/>
  <c r="K28" i="67"/>
  <c r="D130" i="67"/>
  <c r="K10" i="67"/>
  <c r="D112" i="67"/>
  <c r="AO10" i="67"/>
  <c r="H112" i="67"/>
  <c r="K14" i="67"/>
  <c r="D116" i="67"/>
  <c r="AO14" i="67"/>
  <c r="H116" i="67"/>
  <c r="K18" i="67"/>
  <c r="D120" i="67"/>
  <c r="AO18" i="67"/>
  <c r="H120" i="67"/>
  <c r="AL21" i="67"/>
  <c r="E123" i="67"/>
  <c r="K22" i="67"/>
  <c r="D124" i="67"/>
  <c r="AO22" i="67"/>
  <c r="H124" i="67"/>
  <c r="K26" i="67"/>
  <c r="D128" i="67"/>
  <c r="AO26" i="67"/>
  <c r="H128" i="67"/>
  <c r="K30" i="67"/>
  <c r="D132" i="67"/>
  <c r="AO30" i="67"/>
  <c r="H132" i="67"/>
  <c r="K11" i="67"/>
  <c r="D113" i="67"/>
  <c r="K19" i="67"/>
  <c r="D121" i="67"/>
  <c r="K27" i="67"/>
  <c r="D129" i="67"/>
  <c r="K12" i="67"/>
  <c r="D114" i="67"/>
  <c r="K20" i="67"/>
  <c r="D122" i="67"/>
  <c r="K13" i="67"/>
  <c r="D115" i="67"/>
  <c r="K17" i="67"/>
  <c r="D119" i="67"/>
  <c r="K21" i="67"/>
  <c r="D123" i="67"/>
  <c r="K25" i="67"/>
  <c r="D127" i="67"/>
  <c r="K29" i="67"/>
  <c r="D131" i="67"/>
  <c r="K33" i="67"/>
  <c r="D135" i="67"/>
  <c r="AO11" i="63"/>
  <c r="AO15" i="63"/>
  <c r="AO19" i="63"/>
  <c r="AO23" i="63"/>
  <c r="AO27" i="63"/>
  <c r="AO31" i="63"/>
  <c r="AL10" i="64"/>
  <c r="AO13" i="67"/>
  <c r="AO17" i="67"/>
  <c r="AO25" i="67"/>
  <c r="AO29" i="67"/>
  <c r="L10" i="65"/>
  <c r="AL10" i="65"/>
  <c r="N11" i="67"/>
  <c r="AN11" i="67"/>
  <c r="M12" i="67"/>
  <c r="AM12" i="67"/>
  <c r="N15" i="67"/>
  <c r="AN15" i="67"/>
  <c r="L17" i="67"/>
  <c r="AL17" i="67"/>
  <c r="N27" i="67"/>
  <c r="AN27" i="67"/>
  <c r="M28" i="67"/>
  <c r="AM28" i="67"/>
  <c r="L29" i="67"/>
  <c r="AL29" i="67"/>
  <c r="L33" i="67"/>
  <c r="AL33" i="67"/>
  <c r="M10" i="65"/>
  <c r="AM10" i="65"/>
  <c r="AN13" i="65"/>
  <c r="AL15" i="65"/>
  <c r="AO16" i="65"/>
  <c r="AL19" i="65"/>
  <c r="AO20" i="65"/>
  <c r="AM22" i="65"/>
  <c r="AN25" i="65"/>
  <c r="AM26" i="65"/>
  <c r="AN29" i="65"/>
  <c r="AL31" i="65"/>
  <c r="AN33" i="65"/>
  <c r="N12" i="67"/>
  <c r="AN12" i="67"/>
  <c r="L14" i="67"/>
  <c r="AL14" i="67"/>
  <c r="AO15" i="67"/>
  <c r="M17" i="67"/>
  <c r="AM17" i="67"/>
  <c r="N20" i="67"/>
  <c r="AN20" i="67"/>
  <c r="L22" i="67"/>
  <c r="AL22" i="67"/>
  <c r="AO23" i="67"/>
  <c r="N24" i="67"/>
  <c r="N28" i="67"/>
  <c r="AN28" i="67"/>
  <c r="L30" i="67"/>
  <c r="AL30" i="67"/>
  <c r="AO31" i="67"/>
  <c r="N10" i="65"/>
  <c r="AN10" i="65"/>
  <c r="AM11" i="65"/>
  <c r="AL12" i="65"/>
  <c r="AO13" i="65"/>
  <c r="AN14" i="65"/>
  <c r="AM15" i="65"/>
  <c r="AL16" i="65"/>
  <c r="AO17" i="65"/>
  <c r="AN18" i="65"/>
  <c r="AM19" i="65"/>
  <c r="AL20" i="65"/>
  <c r="O21" i="65"/>
  <c r="AO21" i="65"/>
  <c r="AN22" i="65"/>
  <c r="AM23" i="65"/>
  <c r="AL24" i="65"/>
  <c r="AO25" i="65"/>
  <c r="AN26" i="65"/>
  <c r="AM27" i="65"/>
  <c r="AL28" i="65"/>
  <c r="AO29" i="65"/>
  <c r="AN30" i="65"/>
  <c r="AM31" i="65"/>
  <c r="AO33" i="65"/>
  <c r="AO12" i="66"/>
  <c r="AO16" i="66"/>
  <c r="M10" i="67"/>
  <c r="AM10" i="67"/>
  <c r="L11" i="67"/>
  <c r="AL11" i="67"/>
  <c r="AO12" i="67"/>
  <c r="N13" i="67"/>
  <c r="AN13" i="67"/>
  <c r="M14" i="67"/>
  <c r="AM14" i="67"/>
  <c r="L15" i="67"/>
  <c r="AL15" i="67"/>
  <c r="AO16" i="67"/>
  <c r="N17" i="67"/>
  <c r="AN17" i="67"/>
  <c r="M18" i="67"/>
  <c r="AM18" i="67"/>
  <c r="L19" i="67"/>
  <c r="AL19" i="67"/>
  <c r="AO20" i="67"/>
  <c r="N21" i="67"/>
  <c r="AN21" i="67"/>
  <c r="M22" i="67"/>
  <c r="AM22" i="67"/>
  <c r="L23" i="67"/>
  <c r="AL23" i="67"/>
  <c r="AO24" i="67"/>
  <c r="N25" i="67"/>
  <c r="AN25" i="67"/>
  <c r="M26" i="67"/>
  <c r="AM26" i="67"/>
  <c r="L27" i="67"/>
  <c r="AL27" i="67"/>
  <c r="AO28" i="67"/>
  <c r="N29" i="67"/>
  <c r="AN29" i="67"/>
  <c r="M30" i="67"/>
  <c r="AM30" i="67"/>
  <c r="L31" i="67"/>
  <c r="AL31" i="67"/>
  <c r="N33" i="67"/>
  <c r="AN33" i="67"/>
  <c r="L13" i="67"/>
  <c r="AL13" i="67"/>
  <c r="M16" i="67"/>
  <c r="AM16" i="67"/>
  <c r="N19" i="67"/>
  <c r="AN19" i="67"/>
  <c r="M20" i="67"/>
  <c r="AM20" i="67"/>
  <c r="N23" i="67"/>
  <c r="AN23" i="67"/>
  <c r="L25" i="67"/>
  <c r="AL25" i="67"/>
  <c r="N31" i="67"/>
  <c r="AN31" i="67"/>
  <c r="AL11" i="65"/>
  <c r="AO12" i="65"/>
  <c r="AM14" i="65"/>
  <c r="AN17" i="65"/>
  <c r="AM18" i="65"/>
  <c r="AN21" i="65"/>
  <c r="AL23" i="65"/>
  <c r="AO24" i="65"/>
  <c r="AL27" i="65"/>
  <c r="AO28" i="65"/>
  <c r="AM30" i="65"/>
  <c r="L10" i="67"/>
  <c r="AL10" i="67"/>
  <c r="AO11" i="67"/>
  <c r="M13" i="67"/>
  <c r="AM13" i="67"/>
  <c r="N16" i="67"/>
  <c r="AN16" i="67"/>
  <c r="L18" i="67"/>
  <c r="AL18" i="67"/>
  <c r="AO19" i="67"/>
  <c r="M21" i="67"/>
  <c r="AM21" i="67"/>
  <c r="M25" i="67"/>
  <c r="AM25" i="67"/>
  <c r="L26" i="67"/>
  <c r="AL26" i="67"/>
  <c r="AO27" i="67"/>
  <c r="M29" i="67"/>
  <c r="AM29" i="67"/>
  <c r="M33" i="67"/>
  <c r="AM33" i="67"/>
  <c r="AO10" i="65"/>
  <c r="AN11" i="65"/>
  <c r="AM12" i="65"/>
  <c r="AL13" i="65"/>
  <c r="AO14" i="65"/>
  <c r="AN15" i="65"/>
  <c r="AM16" i="65"/>
  <c r="AL17" i="65"/>
  <c r="AO18" i="65"/>
  <c r="AN19" i="65"/>
  <c r="AM20" i="65"/>
  <c r="AL21" i="65"/>
  <c r="AO22" i="65"/>
  <c r="AN23" i="65"/>
  <c r="AL25" i="65"/>
  <c r="AO26" i="65"/>
  <c r="AN27" i="65"/>
  <c r="AM28" i="65"/>
  <c r="AL29" i="65"/>
  <c r="AO30" i="65"/>
  <c r="AN31" i="65"/>
  <c r="AL33" i="65"/>
  <c r="N10" i="67"/>
  <c r="AN10" i="67"/>
  <c r="M11" i="67"/>
  <c r="AM11" i="67"/>
  <c r="L12" i="67"/>
  <c r="AL12" i="67"/>
  <c r="N14" i="67"/>
  <c r="AN14" i="67"/>
  <c r="M15" i="67"/>
  <c r="AM15" i="67"/>
  <c r="L16" i="67"/>
  <c r="AL16" i="67"/>
  <c r="N18" i="67"/>
  <c r="AN18" i="67"/>
  <c r="M19" i="67"/>
  <c r="AM19" i="67"/>
  <c r="L20" i="67"/>
  <c r="AL20" i="67"/>
  <c r="O21" i="67"/>
  <c r="AO21" i="67"/>
  <c r="N22" i="67"/>
  <c r="AN22" i="67"/>
  <c r="M23" i="67"/>
  <c r="AM23" i="67"/>
  <c r="L24" i="67"/>
  <c r="AL24" i="67"/>
  <c r="N26" i="67"/>
  <c r="AN26" i="67"/>
  <c r="M27" i="67"/>
  <c r="AM27" i="67"/>
  <c r="L28" i="67"/>
  <c r="AL28" i="67"/>
  <c r="N30" i="67"/>
  <c r="AN30" i="67"/>
  <c r="M31" i="67"/>
  <c r="AM31" i="67"/>
  <c r="AO33" i="67"/>
  <c r="AO25" i="66"/>
  <c r="AO29" i="66"/>
  <c r="AO33" i="66"/>
  <c r="M12" i="66"/>
  <c r="AS12" i="66" s="1"/>
  <c r="AM12" i="66"/>
  <c r="N15" i="66"/>
  <c r="AT15" i="66" s="1"/>
  <c r="AN15" i="66"/>
  <c r="L17" i="66"/>
  <c r="AR17" i="66" s="1"/>
  <c r="AL17" i="66"/>
  <c r="N19" i="66"/>
  <c r="AT19" i="66" s="1"/>
  <c r="AN19" i="66"/>
  <c r="M20" i="66"/>
  <c r="AS20" i="66" s="1"/>
  <c r="AM20" i="66"/>
  <c r="N23" i="66"/>
  <c r="AT23" i="66" s="1"/>
  <c r="AN23" i="66"/>
  <c r="L25" i="66"/>
  <c r="AR25" i="66" s="1"/>
  <c r="AL25" i="66"/>
  <c r="M28" i="66"/>
  <c r="AS28" i="66" s="1"/>
  <c r="AM28" i="66"/>
  <c r="L33" i="66"/>
  <c r="AR33" i="66" s="1"/>
  <c r="AL33" i="66"/>
  <c r="L10" i="66"/>
  <c r="AR10" i="66" s="1"/>
  <c r="AL10" i="66"/>
  <c r="AO11" i="66"/>
  <c r="N12" i="66"/>
  <c r="AT12" i="66" s="1"/>
  <c r="AN12" i="66"/>
  <c r="M13" i="66"/>
  <c r="AS13" i="66" s="1"/>
  <c r="AM13" i="66"/>
  <c r="L14" i="66"/>
  <c r="AR14" i="66" s="1"/>
  <c r="AL14" i="66"/>
  <c r="AO15" i="66"/>
  <c r="N16" i="66"/>
  <c r="AT16" i="66" s="1"/>
  <c r="AN16" i="66"/>
  <c r="M17" i="66"/>
  <c r="AS17" i="66" s="1"/>
  <c r="AM17" i="66"/>
  <c r="L18" i="66"/>
  <c r="AR18" i="66" s="1"/>
  <c r="AL18" i="66"/>
  <c r="AO19" i="66"/>
  <c r="N20" i="66"/>
  <c r="AT20" i="66" s="1"/>
  <c r="AN20" i="66"/>
  <c r="M21" i="66"/>
  <c r="AS21" i="66" s="1"/>
  <c r="AM21" i="66"/>
  <c r="L22" i="66"/>
  <c r="AR22" i="66" s="1"/>
  <c r="AL22" i="66"/>
  <c r="AO23" i="66"/>
  <c r="N24" i="66"/>
  <c r="AT24" i="66" s="1"/>
  <c r="M25" i="66"/>
  <c r="AS25" i="66" s="1"/>
  <c r="AM25" i="66"/>
  <c r="L26" i="66"/>
  <c r="AR26" i="66" s="1"/>
  <c r="AL26" i="66"/>
  <c r="AO27" i="66"/>
  <c r="N28" i="66"/>
  <c r="AT28" i="66" s="1"/>
  <c r="AN28" i="66"/>
  <c r="M29" i="66"/>
  <c r="AS29" i="66" s="1"/>
  <c r="AM29" i="66"/>
  <c r="L30" i="66"/>
  <c r="AR30" i="66" s="1"/>
  <c r="AL30" i="66"/>
  <c r="AO31" i="66"/>
  <c r="M33" i="66"/>
  <c r="AS33" i="66" s="1"/>
  <c r="AM33" i="66"/>
  <c r="AO24" i="66"/>
  <c r="N25" i="66"/>
  <c r="AT25" i="66" s="1"/>
  <c r="AN25" i="66"/>
  <c r="M26" i="66"/>
  <c r="AS26" i="66" s="1"/>
  <c r="AM26" i="66"/>
  <c r="L27" i="66"/>
  <c r="AR27" i="66" s="1"/>
  <c r="AL27" i="66"/>
  <c r="AO28" i="66"/>
  <c r="N29" i="66"/>
  <c r="AT29" i="66" s="1"/>
  <c r="AN29" i="66"/>
  <c r="M30" i="66"/>
  <c r="AS30" i="66" s="1"/>
  <c r="AM30" i="66"/>
  <c r="L31" i="66"/>
  <c r="AR31" i="66" s="1"/>
  <c r="AL31" i="66"/>
  <c r="N33" i="66"/>
  <c r="AT33" i="66" s="1"/>
  <c r="AN33" i="66"/>
  <c r="N11" i="66"/>
  <c r="AT11" i="66" s="1"/>
  <c r="AN11" i="66"/>
  <c r="L13" i="66"/>
  <c r="AR13" i="66" s="1"/>
  <c r="AL13" i="66"/>
  <c r="M16" i="66"/>
  <c r="AS16" i="66" s="1"/>
  <c r="AM16" i="66"/>
  <c r="N27" i="66"/>
  <c r="AT27" i="66" s="1"/>
  <c r="AN27" i="66"/>
  <c r="L29" i="66"/>
  <c r="AR29" i="66" s="1"/>
  <c r="AL29" i="66"/>
  <c r="N31" i="66"/>
  <c r="AT31" i="66" s="1"/>
  <c r="AN31" i="66"/>
  <c r="M10" i="66"/>
  <c r="AS10" i="66" s="1"/>
  <c r="AM10" i="66"/>
  <c r="L11" i="66"/>
  <c r="AR11" i="66" s="1"/>
  <c r="AL11" i="66"/>
  <c r="N13" i="66"/>
  <c r="AT13" i="66" s="1"/>
  <c r="AN13" i="66"/>
  <c r="M14" i="66"/>
  <c r="AS14" i="66" s="1"/>
  <c r="AM14" i="66"/>
  <c r="L15" i="66"/>
  <c r="AR15" i="66" s="1"/>
  <c r="AL15" i="66"/>
  <c r="N17" i="66"/>
  <c r="AT17" i="66" s="1"/>
  <c r="AN17" i="66"/>
  <c r="M18" i="66"/>
  <c r="AS18" i="66" s="1"/>
  <c r="AM18" i="66"/>
  <c r="L19" i="66"/>
  <c r="AR19" i="66" s="1"/>
  <c r="AL19" i="66"/>
  <c r="AO20" i="66"/>
  <c r="N21" i="66"/>
  <c r="AT21" i="66" s="1"/>
  <c r="AN21" i="66"/>
  <c r="M22" i="66"/>
  <c r="AS22" i="66" s="1"/>
  <c r="AM22" i="66"/>
  <c r="L23" i="66"/>
  <c r="AR23" i="66" s="1"/>
  <c r="AL23" i="66"/>
  <c r="N10" i="66"/>
  <c r="AT10" i="66" s="1"/>
  <c r="AN10" i="66"/>
  <c r="M11" i="66"/>
  <c r="AS11" i="66" s="1"/>
  <c r="AM11" i="66"/>
  <c r="L12" i="66"/>
  <c r="AR12" i="66" s="1"/>
  <c r="AL12" i="66"/>
  <c r="AO13" i="66"/>
  <c r="N14" i="66"/>
  <c r="AT14" i="66" s="1"/>
  <c r="AN14" i="66"/>
  <c r="M15" i="66"/>
  <c r="AS15" i="66" s="1"/>
  <c r="AM15" i="66"/>
  <c r="L16" i="66"/>
  <c r="AR16" i="66" s="1"/>
  <c r="AL16" i="66"/>
  <c r="AO17" i="66"/>
  <c r="N18" i="66"/>
  <c r="AT18" i="66" s="1"/>
  <c r="AN18" i="66"/>
  <c r="M19" i="66"/>
  <c r="AS19" i="66" s="1"/>
  <c r="AM19" i="66"/>
  <c r="L20" i="66"/>
  <c r="AR20" i="66" s="1"/>
  <c r="AL20" i="66"/>
  <c r="O21" i="66"/>
  <c r="AO21" i="66"/>
  <c r="N22" i="66"/>
  <c r="AT22" i="66" s="1"/>
  <c r="AN22" i="66"/>
  <c r="M23" i="66"/>
  <c r="AS23" i="66" s="1"/>
  <c r="AM23" i="66"/>
  <c r="L24" i="66"/>
  <c r="AR24" i="66" s="1"/>
  <c r="AL24" i="66"/>
  <c r="N26" i="66"/>
  <c r="AT26" i="66" s="1"/>
  <c r="AN26" i="66"/>
  <c r="M27" i="66"/>
  <c r="AS27" i="66" s="1"/>
  <c r="AM27" i="66"/>
  <c r="L28" i="66"/>
  <c r="AR28" i="66" s="1"/>
  <c r="AL28" i="66"/>
  <c r="N30" i="66"/>
  <c r="AT30" i="66" s="1"/>
  <c r="AN30" i="66"/>
  <c r="M31" i="66"/>
  <c r="AS31" i="66" s="1"/>
  <c r="AM31" i="66"/>
  <c r="Q32" i="65"/>
  <c r="Q33" i="65"/>
  <c r="Q23" i="65"/>
  <c r="Q27" i="65"/>
  <c r="Q26" i="65"/>
  <c r="M12" i="65"/>
  <c r="N15" i="65"/>
  <c r="K11" i="65"/>
  <c r="N12" i="65"/>
  <c r="M13" i="65"/>
  <c r="L14" i="65"/>
  <c r="K15" i="65"/>
  <c r="N16" i="65"/>
  <c r="M17" i="65"/>
  <c r="L18" i="65"/>
  <c r="K19" i="65"/>
  <c r="N20" i="65"/>
  <c r="M21" i="65"/>
  <c r="L22" i="65"/>
  <c r="K23" i="65"/>
  <c r="N24" i="65"/>
  <c r="M25" i="65"/>
  <c r="L26" i="65"/>
  <c r="K27" i="65"/>
  <c r="N28" i="65"/>
  <c r="M29" i="65"/>
  <c r="L30" i="65"/>
  <c r="K31" i="65"/>
  <c r="M33" i="65"/>
  <c r="L13" i="65"/>
  <c r="L11" i="65"/>
  <c r="K12" i="65"/>
  <c r="N13" i="65"/>
  <c r="M14" i="65"/>
  <c r="L15" i="65"/>
  <c r="K16" i="65"/>
  <c r="N17" i="65"/>
  <c r="M18" i="65"/>
  <c r="L19" i="65"/>
  <c r="K20" i="65"/>
  <c r="N21" i="65"/>
  <c r="M22" i="65"/>
  <c r="L23" i="65"/>
  <c r="K24" i="65"/>
  <c r="N25" i="65"/>
  <c r="M26" i="65"/>
  <c r="L27" i="65"/>
  <c r="K28" i="65"/>
  <c r="N29" i="65"/>
  <c r="M30" i="65"/>
  <c r="L31" i="65"/>
  <c r="N33" i="65"/>
  <c r="N11" i="65"/>
  <c r="K14" i="65"/>
  <c r="M11" i="65"/>
  <c r="L12" i="65"/>
  <c r="K13" i="65"/>
  <c r="N14" i="65"/>
  <c r="M15" i="65"/>
  <c r="L16" i="65"/>
  <c r="K17" i="65"/>
  <c r="N18" i="65"/>
  <c r="M19" i="65"/>
  <c r="L20" i="65"/>
  <c r="K21" i="65"/>
  <c r="N22" i="65"/>
  <c r="M23" i="65"/>
  <c r="L24" i="65"/>
  <c r="K25" i="65"/>
  <c r="N26" i="65"/>
  <c r="M27" i="65"/>
  <c r="L28" i="65"/>
  <c r="K29" i="65"/>
  <c r="N30" i="65"/>
  <c r="M31" i="65"/>
  <c r="K33" i="65"/>
  <c r="M16" i="65"/>
  <c r="L17" i="65"/>
  <c r="K18" i="65"/>
  <c r="N19" i="65"/>
  <c r="M20" i="65"/>
  <c r="K22" i="65"/>
  <c r="N23" i="65"/>
  <c r="L25" i="65"/>
  <c r="K26" i="65"/>
  <c r="N27" i="65"/>
  <c r="M28" i="65"/>
  <c r="L29" i="65"/>
  <c r="K30" i="65"/>
  <c r="N31" i="65"/>
  <c r="L33" i="65"/>
  <c r="Q33" i="64"/>
  <c r="Q23" i="64"/>
  <c r="Q27" i="64"/>
  <c r="Q26" i="64"/>
  <c r="Q32" i="64"/>
  <c r="AO11" i="64"/>
  <c r="AO15" i="64"/>
  <c r="AO19" i="64"/>
  <c r="AO23" i="64"/>
  <c r="AO27" i="64"/>
  <c r="AO31" i="64"/>
  <c r="M10" i="64"/>
  <c r="AM10" i="64"/>
  <c r="N13" i="64"/>
  <c r="AN13" i="64"/>
  <c r="L15" i="64"/>
  <c r="AL15" i="64"/>
  <c r="M18" i="64"/>
  <c r="AM18" i="64"/>
  <c r="N21" i="64"/>
  <c r="AN21" i="64"/>
  <c r="L23" i="64"/>
  <c r="AL23" i="64"/>
  <c r="M26" i="64"/>
  <c r="AM26" i="64"/>
  <c r="N29" i="64"/>
  <c r="AN29" i="64"/>
  <c r="L31" i="64"/>
  <c r="AL31" i="64"/>
  <c r="N33" i="64"/>
  <c r="AN33" i="64"/>
  <c r="N10" i="64"/>
  <c r="AN10" i="64"/>
  <c r="L12" i="64"/>
  <c r="AL12" i="64"/>
  <c r="AO13" i="64"/>
  <c r="M15" i="64"/>
  <c r="AM15" i="64"/>
  <c r="N18" i="64"/>
  <c r="AN18" i="64"/>
  <c r="L20" i="64"/>
  <c r="AL20" i="64"/>
  <c r="O21" i="64"/>
  <c r="AO21" i="64"/>
  <c r="M23" i="64"/>
  <c r="AM23" i="64"/>
  <c r="N26" i="64"/>
  <c r="AN26" i="64"/>
  <c r="L28" i="64"/>
  <c r="AL28" i="64"/>
  <c r="AO29" i="64"/>
  <c r="M31" i="64"/>
  <c r="AM31" i="64"/>
  <c r="AO33" i="64"/>
  <c r="AO10" i="64"/>
  <c r="N11" i="64"/>
  <c r="AN11" i="64"/>
  <c r="M12" i="64"/>
  <c r="AM12" i="64"/>
  <c r="L13" i="64"/>
  <c r="AL13" i="64"/>
  <c r="AO14" i="64"/>
  <c r="N15" i="64"/>
  <c r="AN15" i="64"/>
  <c r="M16" i="64"/>
  <c r="AM16" i="64"/>
  <c r="L17" i="64"/>
  <c r="AL17" i="64"/>
  <c r="AO18" i="64"/>
  <c r="N19" i="64"/>
  <c r="AN19" i="64"/>
  <c r="M20" i="64"/>
  <c r="AM20" i="64"/>
  <c r="AL21" i="64"/>
  <c r="AO22" i="64"/>
  <c r="N23" i="64"/>
  <c r="AN23" i="64"/>
  <c r="L25" i="64"/>
  <c r="AL25" i="64"/>
  <c r="AO26" i="64"/>
  <c r="N27" i="64"/>
  <c r="AN27" i="64"/>
  <c r="M28" i="64"/>
  <c r="AM28" i="64"/>
  <c r="L29" i="64"/>
  <c r="AL29" i="64"/>
  <c r="AO30" i="64"/>
  <c r="N31" i="64"/>
  <c r="AN31" i="64"/>
  <c r="L33" i="64"/>
  <c r="AL33" i="64"/>
  <c r="L11" i="64"/>
  <c r="AL11" i="64"/>
  <c r="M14" i="64"/>
  <c r="AM14" i="64"/>
  <c r="N17" i="64"/>
  <c r="AN17" i="64"/>
  <c r="L19" i="64"/>
  <c r="AL19" i="64"/>
  <c r="M22" i="64"/>
  <c r="AM22" i="64"/>
  <c r="N25" i="64"/>
  <c r="AN25" i="64"/>
  <c r="L27" i="64"/>
  <c r="AL27" i="64"/>
  <c r="M30" i="64"/>
  <c r="AM30" i="64"/>
  <c r="M11" i="64"/>
  <c r="AM11" i="64"/>
  <c r="N14" i="64"/>
  <c r="AN14" i="64"/>
  <c r="L16" i="64"/>
  <c r="AL16" i="64"/>
  <c r="AO17" i="64"/>
  <c r="M19" i="64"/>
  <c r="AM19" i="64"/>
  <c r="N22" i="64"/>
  <c r="AN22" i="64"/>
  <c r="L24" i="64"/>
  <c r="AL24" i="64"/>
  <c r="AO25" i="64"/>
  <c r="M27" i="64"/>
  <c r="AM27" i="64"/>
  <c r="N30" i="64"/>
  <c r="AN30" i="64"/>
  <c r="L10" i="64"/>
  <c r="N12" i="64"/>
  <c r="AN12" i="64"/>
  <c r="M13" i="64"/>
  <c r="AM13" i="64"/>
  <c r="L14" i="64"/>
  <c r="AL14" i="64"/>
  <c r="N16" i="64"/>
  <c r="AN16" i="64"/>
  <c r="M17" i="64"/>
  <c r="AM17" i="64"/>
  <c r="L18" i="64"/>
  <c r="AL18" i="64"/>
  <c r="N20" i="64"/>
  <c r="AN20" i="64"/>
  <c r="M21" i="64"/>
  <c r="AM21" i="64"/>
  <c r="L22" i="64"/>
  <c r="AL22" i="64"/>
  <c r="N24" i="64"/>
  <c r="M25" i="64"/>
  <c r="AM25" i="64"/>
  <c r="L26" i="64"/>
  <c r="AL26" i="64"/>
  <c r="N28" i="64"/>
  <c r="AN28" i="64"/>
  <c r="M29" i="64"/>
  <c r="AM29" i="64"/>
  <c r="L30" i="64"/>
  <c r="AL30" i="64"/>
  <c r="M33" i="64"/>
  <c r="AM33" i="64"/>
  <c r="L10" i="63"/>
  <c r="AL10" i="63"/>
  <c r="N12" i="63"/>
  <c r="AN12" i="63"/>
  <c r="L22" i="63"/>
  <c r="AL22" i="63"/>
  <c r="N24" i="63"/>
  <c r="AO12" i="63"/>
  <c r="L23" i="63"/>
  <c r="AL23" i="63"/>
  <c r="M26" i="63"/>
  <c r="AM26" i="63"/>
  <c r="M30" i="63"/>
  <c r="AM30" i="63"/>
  <c r="N33" i="63"/>
  <c r="AN33" i="63"/>
  <c r="M13" i="63"/>
  <c r="AM13" i="63"/>
  <c r="M17" i="63"/>
  <c r="AM17" i="63"/>
  <c r="L18" i="63"/>
  <c r="AL18" i="63"/>
  <c r="N20" i="63"/>
  <c r="AN20" i="63"/>
  <c r="M25" i="63"/>
  <c r="AM25" i="63"/>
  <c r="M10" i="63"/>
  <c r="AM10" i="63"/>
  <c r="L11" i="63"/>
  <c r="AL11" i="63"/>
  <c r="N13" i="63"/>
  <c r="AN13" i="63"/>
  <c r="M14" i="63"/>
  <c r="AM14" i="63"/>
  <c r="AO16" i="63"/>
  <c r="M18" i="63"/>
  <c r="AM18" i="63"/>
  <c r="AO20" i="63"/>
  <c r="M22" i="63"/>
  <c r="AM22" i="63"/>
  <c r="N25" i="63"/>
  <c r="AN25" i="63"/>
  <c r="L27" i="63"/>
  <c r="AL27" i="63"/>
  <c r="AO28" i="63"/>
  <c r="N18" i="63"/>
  <c r="AN18" i="63"/>
  <c r="L20" i="63"/>
  <c r="AL20" i="63"/>
  <c r="O21" i="63"/>
  <c r="AO21" i="63"/>
  <c r="N22" i="63"/>
  <c r="AN22" i="63"/>
  <c r="M23" i="63"/>
  <c r="AM23" i="63"/>
  <c r="L24" i="63"/>
  <c r="AL24" i="63"/>
  <c r="AO25" i="63"/>
  <c r="N26" i="63"/>
  <c r="AN26" i="63"/>
  <c r="M27" i="63"/>
  <c r="AM27" i="63"/>
  <c r="L28" i="63"/>
  <c r="AL28" i="63"/>
  <c r="AO29" i="63"/>
  <c r="N30" i="63"/>
  <c r="AN30" i="63"/>
  <c r="M31" i="63"/>
  <c r="AM31" i="63"/>
  <c r="AO33" i="63"/>
  <c r="L14" i="63"/>
  <c r="AL14" i="63"/>
  <c r="N16" i="63"/>
  <c r="AN16" i="63"/>
  <c r="M21" i="63"/>
  <c r="AM21" i="63"/>
  <c r="L26" i="63"/>
  <c r="AL26" i="63"/>
  <c r="N28" i="63"/>
  <c r="AN28" i="63"/>
  <c r="L15" i="63"/>
  <c r="AL15" i="63"/>
  <c r="N17" i="63"/>
  <c r="AN17" i="63"/>
  <c r="L19" i="63"/>
  <c r="AL19" i="63"/>
  <c r="N21" i="63"/>
  <c r="AN21" i="63"/>
  <c r="AO24" i="63"/>
  <c r="N29" i="63"/>
  <c r="AN29" i="63"/>
  <c r="L31" i="63"/>
  <c r="AL31" i="63"/>
  <c r="N10" i="63"/>
  <c r="AN10" i="63"/>
  <c r="M11" i="63"/>
  <c r="AM11" i="63"/>
  <c r="L12" i="63"/>
  <c r="AL12" i="63"/>
  <c r="AO13" i="63"/>
  <c r="N14" i="63"/>
  <c r="AN14" i="63"/>
  <c r="M15" i="63"/>
  <c r="AM15" i="63"/>
  <c r="L16" i="63"/>
  <c r="AL16" i="63"/>
  <c r="AO17" i="63"/>
  <c r="M19" i="63"/>
  <c r="AM19" i="63"/>
  <c r="AO10" i="63"/>
  <c r="N11" i="63"/>
  <c r="AN11" i="63"/>
  <c r="M12" i="63"/>
  <c r="AM12" i="63"/>
  <c r="L13" i="63"/>
  <c r="AL13" i="63"/>
  <c r="AO14" i="63"/>
  <c r="N15" i="63"/>
  <c r="AN15" i="63"/>
  <c r="M16" i="63"/>
  <c r="AM16" i="63"/>
  <c r="L17" i="63"/>
  <c r="AL17" i="63"/>
  <c r="AO18" i="63"/>
  <c r="N19" i="63"/>
  <c r="AN19" i="63"/>
  <c r="M20" i="63"/>
  <c r="AM20" i="63"/>
  <c r="AL21" i="63"/>
  <c r="AO22" i="63"/>
  <c r="N23" i="63"/>
  <c r="AN23" i="63"/>
  <c r="L25" i="63"/>
  <c r="AL25" i="63"/>
  <c r="AO26" i="63"/>
  <c r="N27" i="63"/>
  <c r="AN27" i="63"/>
  <c r="M28" i="63"/>
  <c r="AM28" i="63"/>
  <c r="L29" i="63"/>
  <c r="AL29" i="63"/>
  <c r="AO30" i="63"/>
  <c r="N31" i="63"/>
  <c r="AN31" i="63"/>
  <c r="L33" i="63"/>
  <c r="AL33" i="63"/>
  <c r="M29" i="63"/>
  <c r="AM29" i="63"/>
  <c r="L30" i="63"/>
  <c r="AL30" i="63"/>
  <c r="M33" i="63"/>
  <c r="AM33" i="63"/>
  <c r="K16" i="62"/>
  <c r="K24" i="62"/>
  <c r="K17" i="62"/>
  <c r="K25" i="62"/>
  <c r="K10" i="62"/>
  <c r="K14" i="62"/>
  <c r="K18" i="62"/>
  <c r="K22" i="62"/>
  <c r="K26" i="62"/>
  <c r="K30" i="62"/>
  <c r="K12" i="62"/>
  <c r="K20" i="62"/>
  <c r="K28" i="62"/>
  <c r="K33" i="62"/>
  <c r="D135" i="62"/>
  <c r="K13" i="62"/>
  <c r="K21" i="62"/>
  <c r="K29" i="62"/>
  <c r="AL10" i="62"/>
  <c r="K11" i="62"/>
  <c r="K15" i="62"/>
  <c r="K19" i="62"/>
  <c r="K23" i="62"/>
  <c r="K27" i="62"/>
  <c r="K31" i="62"/>
  <c r="AN10" i="62"/>
  <c r="AM11" i="62"/>
  <c r="AL12" i="62"/>
  <c r="AO13" i="62"/>
  <c r="AN14" i="62"/>
  <c r="AM15" i="62"/>
  <c r="AL16" i="62"/>
  <c r="AO17" i="62"/>
  <c r="AN18" i="62"/>
  <c r="AM19" i="62"/>
  <c r="AL20" i="62"/>
  <c r="AO21" i="62"/>
  <c r="AN22" i="62"/>
  <c r="AM23" i="62"/>
  <c r="AL24" i="62"/>
  <c r="AO25" i="62"/>
  <c r="AN26" i="62"/>
  <c r="AM27" i="62"/>
  <c r="AL28" i="62"/>
  <c r="AO29" i="62"/>
  <c r="AN30" i="62"/>
  <c r="AM31" i="62"/>
  <c r="AL33" i="62"/>
  <c r="AO11" i="62"/>
  <c r="AN12" i="62"/>
  <c r="AM13" i="62"/>
  <c r="AL14" i="62"/>
  <c r="AO15" i="62"/>
  <c r="AN16" i="62"/>
  <c r="AM17" i="62"/>
  <c r="AL18" i="62"/>
  <c r="AO19" i="62"/>
  <c r="AN20" i="62"/>
  <c r="AM21" i="62"/>
  <c r="AL22" i="62"/>
  <c r="AO23" i="62"/>
  <c r="AM25" i="62"/>
  <c r="AL26" i="62"/>
  <c r="AO27" i="62"/>
  <c r="AN28" i="62"/>
  <c r="AM29" i="62"/>
  <c r="AL30" i="62"/>
  <c r="AO31" i="62"/>
  <c r="AN33" i="62"/>
  <c r="AM10" i="62"/>
  <c r="AL11" i="62"/>
  <c r="AO12" i="62"/>
  <c r="AN13" i="62"/>
  <c r="AM14" i="62"/>
  <c r="AL15" i="62"/>
  <c r="AO16" i="62"/>
  <c r="AN17" i="62"/>
  <c r="AM18" i="62"/>
  <c r="AL19" i="62"/>
  <c r="AO20" i="62"/>
  <c r="AN21" i="62"/>
  <c r="AM22" i="62"/>
  <c r="AL23" i="62"/>
  <c r="AO24" i="62"/>
  <c r="AN25" i="62"/>
  <c r="AM26" i="62"/>
  <c r="AL27" i="62"/>
  <c r="AO28" i="62"/>
  <c r="AN29" i="62"/>
  <c r="AM30" i="62"/>
  <c r="AL31" i="62"/>
  <c r="AO33" i="62"/>
  <c r="AO10" i="62"/>
  <c r="AN11" i="62"/>
  <c r="AM12" i="62"/>
  <c r="AL13" i="62"/>
  <c r="AO14" i="62"/>
  <c r="AN15" i="62"/>
  <c r="AM16" i="62"/>
  <c r="AL17" i="62"/>
  <c r="AO18" i="62"/>
  <c r="AN19" i="62"/>
  <c r="AM20" i="62"/>
  <c r="AL21" i="62"/>
  <c r="AO22" i="62"/>
  <c r="AN23" i="62"/>
  <c r="AL25" i="62"/>
  <c r="AO26" i="62"/>
  <c r="AN27" i="62"/>
  <c r="AM28" i="62"/>
  <c r="AL29" i="62"/>
  <c r="AO30" i="62"/>
  <c r="AN31" i="62"/>
  <c r="AM33" i="62"/>
  <c r="M12" i="62"/>
  <c r="L13" i="62"/>
  <c r="N15" i="62"/>
  <c r="L17" i="62"/>
  <c r="N27" i="62"/>
  <c r="L29" i="62"/>
  <c r="M33" i="62"/>
  <c r="N12" i="62"/>
  <c r="L14" i="62"/>
  <c r="N16" i="62"/>
  <c r="L18" i="62"/>
  <c r="M21" i="62"/>
  <c r="N24" i="62"/>
  <c r="L26" i="62"/>
  <c r="N28" i="62"/>
  <c r="L30" i="62"/>
  <c r="M10" i="62"/>
  <c r="L11" i="62"/>
  <c r="N13" i="62"/>
  <c r="M14" i="62"/>
  <c r="L15" i="62"/>
  <c r="N17" i="62"/>
  <c r="M18" i="62"/>
  <c r="L19" i="62"/>
  <c r="N21" i="62"/>
  <c r="M22" i="62"/>
  <c r="L23" i="62"/>
  <c r="N25" i="62"/>
  <c r="M26" i="62"/>
  <c r="L27" i="62"/>
  <c r="N29" i="62"/>
  <c r="M30" i="62"/>
  <c r="L31" i="62"/>
  <c r="N10" i="62"/>
  <c r="M11" i="62"/>
  <c r="L12" i="62"/>
  <c r="N14" i="62"/>
  <c r="M15" i="62"/>
  <c r="L16" i="62"/>
  <c r="N18" i="62"/>
  <c r="M19" i="62"/>
  <c r="L20" i="62"/>
  <c r="O21" i="62"/>
  <c r="N22" i="62"/>
  <c r="M23" i="62"/>
  <c r="L24" i="62"/>
  <c r="N26" i="62"/>
  <c r="M27" i="62"/>
  <c r="L28" i="62"/>
  <c r="N30" i="62"/>
  <c r="M31" i="62"/>
  <c r="L33" i="62"/>
  <c r="N11" i="62"/>
  <c r="M16" i="62"/>
  <c r="N19" i="62"/>
  <c r="M20" i="62"/>
  <c r="N23" i="62"/>
  <c r="L25" i="62"/>
  <c r="M28" i="62"/>
  <c r="N31" i="62"/>
  <c r="L10" i="62"/>
  <c r="M13" i="62"/>
  <c r="M17" i="62"/>
  <c r="N20" i="62"/>
  <c r="L22" i="62"/>
  <c r="M25" i="62"/>
  <c r="M29" i="62"/>
  <c r="N33" i="62"/>
  <c r="Q33" i="67"/>
  <c r="Q23" i="67"/>
  <c r="Q32" i="67"/>
  <c r="Q27" i="67"/>
  <c r="Q26" i="67"/>
  <c r="Q33" i="63"/>
  <c r="Q23" i="63"/>
  <c r="Q26" i="63"/>
  <c r="Q32" i="63"/>
  <c r="Q27" i="63"/>
  <c r="F199" i="67"/>
  <c r="F203" i="67"/>
  <c r="F207" i="67"/>
  <c r="D201" i="67"/>
  <c r="D205" i="67"/>
  <c r="E200" i="67"/>
  <c r="E204" i="67"/>
  <c r="G198" i="67"/>
  <c r="G202" i="67"/>
  <c r="H201" i="67"/>
  <c r="H205" i="67"/>
  <c r="H171" i="69"/>
  <c r="H198" i="67"/>
  <c r="G199" i="67"/>
  <c r="F200" i="67"/>
  <c r="E201" i="67"/>
  <c r="D202" i="67"/>
  <c r="H202" i="67"/>
  <c r="G203" i="67"/>
  <c r="F204" i="67"/>
  <c r="E205" i="67"/>
  <c r="G207" i="67"/>
  <c r="H206" i="67"/>
  <c r="O12" i="62"/>
  <c r="O16" i="62"/>
  <c r="O24" i="62"/>
  <c r="O28" i="62"/>
  <c r="O33" i="62"/>
  <c r="P33" i="62" s="1"/>
  <c r="O20" i="63"/>
  <c r="O28" i="63"/>
  <c r="O17" i="64"/>
  <c r="O33" i="64"/>
  <c r="P33" i="64" s="1"/>
  <c r="O12" i="65"/>
  <c r="O16" i="65"/>
  <c r="O28" i="65"/>
  <c r="F222" i="67"/>
  <c r="D224" i="67"/>
  <c r="H224" i="67"/>
  <c r="F226" i="67"/>
  <c r="D228" i="67"/>
  <c r="H228" i="67"/>
  <c r="G229" i="67"/>
  <c r="D232" i="67"/>
  <c r="G233" i="67"/>
  <c r="D236" i="67"/>
  <c r="H236" i="67"/>
  <c r="F238" i="67"/>
  <c r="D240" i="67"/>
  <c r="H240" i="67"/>
  <c r="E243" i="67"/>
  <c r="D256" i="67"/>
  <c r="F258" i="67"/>
  <c r="D260" i="67"/>
  <c r="H260" i="67"/>
  <c r="F262" i="67"/>
  <c r="D264" i="67"/>
  <c r="H264" i="67"/>
  <c r="F266" i="67"/>
  <c r="D268" i="67"/>
  <c r="G269" i="67"/>
  <c r="D272" i="67"/>
  <c r="H272" i="67"/>
  <c r="F274" i="67"/>
  <c r="D276" i="67"/>
  <c r="H276" i="67"/>
  <c r="E279" i="67"/>
  <c r="F185" i="67"/>
  <c r="D187" i="67"/>
  <c r="H187" i="67"/>
  <c r="F189" i="67"/>
  <c r="E190" i="67"/>
  <c r="H191" i="67"/>
  <c r="F193" i="67"/>
  <c r="E194" i="67"/>
  <c r="H195" i="67"/>
  <c r="F197" i="67"/>
  <c r="F113" i="69"/>
  <c r="D115" i="69"/>
  <c r="G116" i="69"/>
  <c r="F117" i="69"/>
  <c r="D119" i="69"/>
  <c r="G120" i="69"/>
  <c r="F121" i="69"/>
  <c r="D123" i="69"/>
  <c r="H123" i="69"/>
  <c r="F125" i="69"/>
  <c r="D127" i="69"/>
  <c r="H127" i="69"/>
  <c r="F129" i="69"/>
  <c r="E130" i="69"/>
  <c r="H131" i="69"/>
  <c r="G132" i="69"/>
  <c r="D135" i="69"/>
  <c r="H135" i="69"/>
  <c r="F149" i="69"/>
  <c r="D151" i="69"/>
  <c r="H151" i="69"/>
  <c r="F153" i="69"/>
  <c r="E154" i="69"/>
  <c r="H155" i="69"/>
  <c r="G156" i="69"/>
  <c r="E158" i="69"/>
  <c r="D159" i="69"/>
  <c r="G160" i="69"/>
  <c r="F161" i="69"/>
  <c r="D163" i="69"/>
  <c r="H163" i="69"/>
  <c r="G164" i="69"/>
  <c r="F165" i="69"/>
  <c r="E166" i="69"/>
  <c r="D167" i="69"/>
  <c r="H167" i="69"/>
  <c r="G168" i="69"/>
  <c r="D171" i="69"/>
  <c r="O13" i="62"/>
  <c r="O17" i="62"/>
  <c r="O33" i="63"/>
  <c r="O10" i="64"/>
  <c r="O14" i="64"/>
  <c r="O18" i="64"/>
  <c r="O22" i="64"/>
  <c r="O26" i="64"/>
  <c r="O30" i="64"/>
  <c r="O13" i="65"/>
  <c r="O17" i="65"/>
  <c r="O25" i="65"/>
  <c r="O29" i="65"/>
  <c r="O33" i="65"/>
  <c r="P33" i="65" s="1"/>
  <c r="O12" i="66"/>
  <c r="O16" i="66"/>
  <c r="O20" i="66"/>
  <c r="O24" i="66"/>
  <c r="O28" i="66"/>
  <c r="O12" i="67"/>
  <c r="O16" i="67"/>
  <c r="O20" i="67"/>
  <c r="O24" i="67"/>
  <c r="O28" i="67"/>
  <c r="G222" i="67"/>
  <c r="F223" i="67"/>
  <c r="E224" i="67"/>
  <c r="D225" i="67"/>
  <c r="H225" i="67"/>
  <c r="G226" i="67"/>
  <c r="F227" i="67"/>
  <c r="E228" i="67"/>
  <c r="D229" i="67"/>
  <c r="H229" i="67"/>
  <c r="F231" i="67"/>
  <c r="E232" i="67"/>
  <c r="D233" i="67"/>
  <c r="H233" i="67"/>
  <c r="G234" i="67"/>
  <c r="F235" i="67"/>
  <c r="E236" i="67"/>
  <c r="D237" i="67"/>
  <c r="H237" i="67"/>
  <c r="G238" i="67"/>
  <c r="F239" i="67"/>
  <c r="E240" i="67"/>
  <c r="D241" i="67"/>
  <c r="H241" i="67"/>
  <c r="F243" i="67"/>
  <c r="E256" i="67"/>
  <c r="D257" i="67"/>
  <c r="G258" i="67"/>
  <c r="F259" i="67"/>
  <c r="E260" i="67"/>
  <c r="D261" i="67"/>
  <c r="H261" i="67"/>
  <c r="G262" i="67"/>
  <c r="F263" i="67"/>
  <c r="E264" i="67"/>
  <c r="D265" i="67"/>
  <c r="H265" i="67"/>
  <c r="F267" i="67"/>
  <c r="E268" i="67"/>
  <c r="D269" i="67"/>
  <c r="H269" i="67"/>
  <c r="G270" i="67"/>
  <c r="F271" i="67"/>
  <c r="E272" i="67"/>
  <c r="D273" i="67"/>
  <c r="H273" i="67"/>
  <c r="G274" i="67"/>
  <c r="F275" i="67"/>
  <c r="E276" i="67"/>
  <c r="D277" i="67"/>
  <c r="H277" i="67"/>
  <c r="F279" i="67"/>
  <c r="G185" i="67"/>
  <c r="F186" i="67"/>
  <c r="E187" i="67"/>
  <c r="D188" i="67"/>
  <c r="H188" i="67"/>
  <c r="G189" i="67"/>
  <c r="F190" i="67"/>
  <c r="E191" i="67"/>
  <c r="D192" i="67"/>
  <c r="H192" i="67"/>
  <c r="G193" i="67"/>
  <c r="F194" i="67"/>
  <c r="D196" i="67"/>
  <c r="H196" i="67"/>
  <c r="G197" i="67"/>
  <c r="D112" i="69"/>
  <c r="H112" i="69"/>
  <c r="G113" i="69"/>
  <c r="F114" i="69"/>
  <c r="E115" i="69"/>
  <c r="D116" i="69"/>
  <c r="H116" i="69"/>
  <c r="G117" i="69"/>
  <c r="F118" i="69"/>
  <c r="E119" i="69"/>
  <c r="D120" i="69"/>
  <c r="H120" i="69"/>
  <c r="G121" i="69"/>
  <c r="F122" i="69"/>
  <c r="D124" i="69"/>
  <c r="H124" i="69"/>
  <c r="G125" i="69"/>
  <c r="E127" i="69"/>
  <c r="D128" i="69"/>
  <c r="H128" i="69"/>
  <c r="G129" i="69"/>
  <c r="F130" i="69"/>
  <c r="E131" i="69"/>
  <c r="D132" i="69"/>
  <c r="H132" i="69"/>
  <c r="G133" i="69"/>
  <c r="E135" i="69"/>
  <c r="D148" i="69"/>
  <c r="H148" i="69"/>
  <c r="G149" i="69"/>
  <c r="F150" i="69"/>
  <c r="E151" i="69"/>
  <c r="D152" i="69"/>
  <c r="H152" i="69"/>
  <c r="G153" i="69"/>
  <c r="F154" i="69"/>
  <c r="E155" i="69"/>
  <c r="D156" i="69"/>
  <c r="H156" i="69"/>
  <c r="G157" i="69"/>
  <c r="F158" i="69"/>
  <c r="D160" i="69"/>
  <c r="H160" i="69"/>
  <c r="G161" i="69"/>
  <c r="E163" i="69"/>
  <c r="D164" i="69"/>
  <c r="H164" i="69"/>
  <c r="G165" i="69"/>
  <c r="F166" i="69"/>
  <c r="E167" i="69"/>
  <c r="D168" i="69"/>
  <c r="H168" i="69"/>
  <c r="G169" i="69"/>
  <c r="E171" i="69"/>
  <c r="O10" i="62"/>
  <c r="O14" i="62"/>
  <c r="O18" i="62"/>
  <c r="O22" i="62"/>
  <c r="O26" i="62"/>
  <c r="O30" i="62"/>
  <c r="O10" i="63"/>
  <c r="O14" i="63"/>
  <c r="O18" i="63"/>
  <c r="O22" i="63"/>
  <c r="O26" i="63"/>
  <c r="O30" i="63"/>
  <c r="O11" i="64"/>
  <c r="O15" i="64"/>
  <c r="O19" i="64"/>
  <c r="O23" i="64"/>
  <c r="O27" i="64"/>
  <c r="O31" i="64"/>
  <c r="O10" i="65"/>
  <c r="U10" i="65" s="1"/>
  <c r="O14" i="65"/>
  <c r="O18" i="65"/>
  <c r="O22" i="65"/>
  <c r="O26" i="65"/>
  <c r="O30" i="65"/>
  <c r="O13" i="66"/>
  <c r="O17" i="66"/>
  <c r="O25" i="66"/>
  <c r="O29" i="66"/>
  <c r="O33" i="66"/>
  <c r="P33" i="66" s="1"/>
  <c r="O13" i="67"/>
  <c r="O17" i="67"/>
  <c r="O25" i="67"/>
  <c r="O29" i="67"/>
  <c r="O33" i="67"/>
  <c r="P33" i="67" s="1"/>
  <c r="D222" i="67"/>
  <c r="H222" i="67"/>
  <c r="G223" i="67"/>
  <c r="F224" i="67"/>
  <c r="E225" i="67"/>
  <c r="D226" i="67"/>
  <c r="H226" i="67"/>
  <c r="G227" i="67"/>
  <c r="F228" i="67"/>
  <c r="E229" i="67"/>
  <c r="D230" i="67"/>
  <c r="H230" i="67"/>
  <c r="G231" i="67"/>
  <c r="F232" i="67"/>
  <c r="E233" i="67"/>
  <c r="D234" i="67"/>
  <c r="H234" i="67"/>
  <c r="G235" i="67"/>
  <c r="F236" i="67"/>
  <c r="E237" i="67"/>
  <c r="D238" i="67"/>
  <c r="H238" i="67"/>
  <c r="G239" i="67"/>
  <c r="F240" i="67"/>
  <c r="E241" i="67"/>
  <c r="H242" i="67"/>
  <c r="G243" i="67"/>
  <c r="F256" i="67"/>
  <c r="E257" i="67"/>
  <c r="D258" i="67"/>
  <c r="H258" i="67"/>
  <c r="G259" i="67"/>
  <c r="F260" i="67"/>
  <c r="E261" i="67"/>
  <c r="D262" i="67"/>
  <c r="H262" i="67"/>
  <c r="G263" i="67"/>
  <c r="F264" i="67"/>
  <c r="E265" i="67"/>
  <c r="D266" i="67"/>
  <c r="H266" i="67"/>
  <c r="G267" i="67"/>
  <c r="F268" i="67"/>
  <c r="E269" i="67"/>
  <c r="D270" i="67"/>
  <c r="H270" i="67"/>
  <c r="G271" i="67"/>
  <c r="F272" i="67"/>
  <c r="E273" i="67"/>
  <c r="D274" i="67"/>
  <c r="H274" i="67"/>
  <c r="G275" i="67"/>
  <c r="F276" i="67"/>
  <c r="E277" i="67"/>
  <c r="H278" i="67"/>
  <c r="G279" i="67"/>
  <c r="D185" i="67"/>
  <c r="H185" i="67"/>
  <c r="G186" i="67"/>
  <c r="F187" i="67"/>
  <c r="E188" i="67"/>
  <c r="D189" i="67"/>
  <c r="H189" i="67"/>
  <c r="G190" i="67"/>
  <c r="F191" i="67"/>
  <c r="E192" i="67"/>
  <c r="D193" i="67"/>
  <c r="H193" i="67"/>
  <c r="F195" i="67"/>
  <c r="E196" i="67"/>
  <c r="D197" i="67"/>
  <c r="H197" i="67"/>
  <c r="D199" i="67"/>
  <c r="H199" i="67"/>
  <c r="G200" i="67"/>
  <c r="F201" i="67"/>
  <c r="E202" i="67"/>
  <c r="D203" i="67"/>
  <c r="H203" i="67"/>
  <c r="G204" i="67"/>
  <c r="F205" i="67"/>
  <c r="D207" i="67"/>
  <c r="H207" i="67"/>
  <c r="E112" i="69"/>
  <c r="D113" i="69"/>
  <c r="H113" i="69"/>
  <c r="G114" i="69"/>
  <c r="F115" i="69"/>
  <c r="E116" i="69"/>
  <c r="D117" i="69"/>
  <c r="H117" i="69"/>
  <c r="G118" i="69"/>
  <c r="F119" i="69"/>
  <c r="E120" i="69"/>
  <c r="D121" i="69"/>
  <c r="H121" i="69"/>
  <c r="F123" i="69"/>
  <c r="E124" i="69"/>
  <c r="D125" i="69"/>
  <c r="H125" i="69"/>
  <c r="G126" i="69"/>
  <c r="F127" i="69"/>
  <c r="E128" i="69"/>
  <c r="D129" i="69"/>
  <c r="H129" i="69"/>
  <c r="G130" i="69"/>
  <c r="F131" i="69"/>
  <c r="E132" i="69"/>
  <c r="D133" i="69"/>
  <c r="H133" i="69"/>
  <c r="F135" i="69"/>
  <c r="E148" i="69"/>
  <c r="D149" i="69"/>
  <c r="H149" i="69"/>
  <c r="G150" i="69"/>
  <c r="F151" i="69"/>
  <c r="E152" i="69"/>
  <c r="D153" i="69"/>
  <c r="H153" i="69"/>
  <c r="G154" i="69"/>
  <c r="F155" i="69"/>
  <c r="E156" i="69"/>
  <c r="D157" i="69"/>
  <c r="H157" i="69"/>
  <c r="F159" i="69"/>
  <c r="E160" i="69"/>
  <c r="D161" i="69"/>
  <c r="H161" i="69"/>
  <c r="G162" i="69"/>
  <c r="F163" i="69"/>
  <c r="E164" i="69"/>
  <c r="D165" i="69"/>
  <c r="H165" i="69"/>
  <c r="G166" i="69"/>
  <c r="F167" i="69"/>
  <c r="E168" i="69"/>
  <c r="D169" i="69"/>
  <c r="H169" i="69"/>
  <c r="F171" i="69"/>
  <c r="O20" i="62"/>
  <c r="O12" i="63"/>
  <c r="O16" i="63"/>
  <c r="O13" i="64"/>
  <c r="O25" i="64"/>
  <c r="O29" i="64"/>
  <c r="O20" i="65"/>
  <c r="O24" i="65"/>
  <c r="O11" i="66"/>
  <c r="O15" i="66"/>
  <c r="O19" i="66"/>
  <c r="O23" i="66"/>
  <c r="O27" i="66"/>
  <c r="O31" i="66"/>
  <c r="O11" i="67"/>
  <c r="O15" i="67"/>
  <c r="O19" i="67"/>
  <c r="O23" i="67"/>
  <c r="O27" i="67"/>
  <c r="O31" i="67"/>
  <c r="E223" i="67"/>
  <c r="G225" i="67"/>
  <c r="E227" i="67"/>
  <c r="F230" i="67"/>
  <c r="H232" i="67"/>
  <c r="E235" i="67"/>
  <c r="G237" i="67"/>
  <c r="E239" i="67"/>
  <c r="G241" i="67"/>
  <c r="H256" i="67"/>
  <c r="E259" i="67"/>
  <c r="G261" i="67"/>
  <c r="E263" i="67"/>
  <c r="G265" i="67"/>
  <c r="H268" i="67"/>
  <c r="E271" i="67"/>
  <c r="G273" i="67"/>
  <c r="E275" i="67"/>
  <c r="G277" i="67"/>
  <c r="E186" i="67"/>
  <c r="G188" i="67"/>
  <c r="D191" i="67"/>
  <c r="G192" i="67"/>
  <c r="D195" i="67"/>
  <c r="G196" i="67"/>
  <c r="E114" i="69"/>
  <c r="H115" i="69"/>
  <c r="E118" i="69"/>
  <c r="H119" i="69"/>
  <c r="E122" i="69"/>
  <c r="G124" i="69"/>
  <c r="E126" i="69"/>
  <c r="G128" i="69"/>
  <c r="D131" i="69"/>
  <c r="F133" i="69"/>
  <c r="E150" i="69"/>
  <c r="G152" i="69"/>
  <c r="D155" i="69"/>
  <c r="F157" i="69"/>
  <c r="H159" i="69"/>
  <c r="E162" i="69"/>
  <c r="F169" i="69"/>
  <c r="O25" i="62"/>
  <c r="O29" i="62"/>
  <c r="O13" i="63"/>
  <c r="O17" i="63"/>
  <c r="O25" i="63"/>
  <c r="O29" i="63"/>
  <c r="O11" i="62"/>
  <c r="O15" i="62"/>
  <c r="O19" i="62"/>
  <c r="O23" i="62"/>
  <c r="O27" i="62"/>
  <c r="O31" i="62"/>
  <c r="O11" i="63"/>
  <c r="O15" i="63"/>
  <c r="O19" i="63"/>
  <c r="O23" i="63"/>
  <c r="O27" i="63"/>
  <c r="O31" i="63"/>
  <c r="O12" i="64"/>
  <c r="O16" i="64"/>
  <c r="O20" i="64"/>
  <c r="O24" i="64"/>
  <c r="O28" i="64"/>
  <c r="O11" i="65"/>
  <c r="O15" i="65"/>
  <c r="O19" i="65"/>
  <c r="O23" i="65"/>
  <c r="O27" i="65"/>
  <c r="O31" i="65"/>
  <c r="O10" i="66"/>
  <c r="O14" i="66"/>
  <c r="O18" i="66"/>
  <c r="O22" i="66"/>
  <c r="O26" i="66"/>
  <c r="O30" i="66"/>
  <c r="O10" i="67"/>
  <c r="O14" i="67"/>
  <c r="O18" i="67"/>
  <c r="O22" i="67"/>
  <c r="O26" i="67"/>
  <c r="O30" i="67"/>
  <c r="E222" i="67"/>
  <c r="D223" i="67"/>
  <c r="H223" i="67"/>
  <c r="G224" i="67"/>
  <c r="F225" i="67"/>
  <c r="E226" i="67"/>
  <c r="D227" i="67"/>
  <c r="H227" i="67"/>
  <c r="G228" i="67"/>
  <c r="F229" i="67"/>
  <c r="E230" i="67"/>
  <c r="D231" i="67"/>
  <c r="H231" i="67"/>
  <c r="G232" i="67"/>
  <c r="F233" i="67"/>
  <c r="E234" i="67"/>
  <c r="D235" i="67"/>
  <c r="H235" i="67"/>
  <c r="G236" i="67"/>
  <c r="F237" i="67"/>
  <c r="E238" i="67"/>
  <c r="D239" i="67"/>
  <c r="H239" i="67"/>
  <c r="G240" i="67"/>
  <c r="F241" i="67"/>
  <c r="D243" i="67"/>
  <c r="H243" i="67"/>
  <c r="F257" i="67"/>
  <c r="E258" i="67"/>
  <c r="D259" i="67"/>
  <c r="H259" i="67"/>
  <c r="G260" i="67"/>
  <c r="F261" i="67"/>
  <c r="E262" i="67"/>
  <c r="D263" i="67"/>
  <c r="H263" i="67"/>
  <c r="G264" i="67"/>
  <c r="F265" i="67"/>
  <c r="E266" i="67"/>
  <c r="D267" i="67"/>
  <c r="H267" i="67"/>
  <c r="G268" i="67"/>
  <c r="F269" i="67"/>
  <c r="E270" i="67"/>
  <c r="D271" i="67"/>
  <c r="H271" i="67"/>
  <c r="G272" i="67"/>
  <c r="F273" i="67"/>
  <c r="E274" i="67"/>
  <c r="D275" i="67"/>
  <c r="H275" i="67"/>
  <c r="G276" i="67"/>
  <c r="F277" i="67"/>
  <c r="D279" i="67"/>
  <c r="H279" i="67"/>
  <c r="E185" i="67"/>
  <c r="D186" i="67"/>
  <c r="H186" i="67"/>
  <c r="G187" i="67"/>
  <c r="F188" i="67"/>
  <c r="E189" i="67"/>
  <c r="D190" i="67"/>
  <c r="H190" i="67"/>
  <c r="G191" i="67"/>
  <c r="F192" i="67"/>
  <c r="E193" i="67"/>
  <c r="D194" i="67"/>
  <c r="H194" i="67"/>
  <c r="G195" i="67"/>
  <c r="F196" i="67"/>
  <c r="E197" i="67"/>
  <c r="D198" i="67"/>
  <c r="E199" i="67"/>
  <c r="D200" i="67"/>
  <c r="H200" i="67"/>
  <c r="G201" i="67"/>
  <c r="F202" i="67"/>
  <c r="E203" i="67"/>
  <c r="D204" i="67"/>
  <c r="H204" i="67"/>
  <c r="G205" i="67"/>
  <c r="E207" i="67"/>
  <c r="F112" i="69"/>
  <c r="E113" i="69"/>
  <c r="D114" i="69"/>
  <c r="H114" i="69"/>
  <c r="G115" i="69"/>
  <c r="F116" i="69"/>
  <c r="E117" i="69"/>
  <c r="D118" i="69"/>
  <c r="H118" i="69"/>
  <c r="G119" i="69"/>
  <c r="F120" i="69"/>
  <c r="E121" i="69"/>
  <c r="D122" i="69"/>
  <c r="H122" i="69"/>
  <c r="G123" i="69"/>
  <c r="F124" i="69"/>
  <c r="E125" i="69"/>
  <c r="D126" i="69"/>
  <c r="H126" i="69"/>
  <c r="G127" i="69"/>
  <c r="F128" i="69"/>
  <c r="E129" i="69"/>
  <c r="D130" i="69"/>
  <c r="H130" i="69"/>
  <c r="G131" i="69"/>
  <c r="F132" i="69"/>
  <c r="E133" i="69"/>
  <c r="H134" i="69"/>
  <c r="G135" i="69"/>
  <c r="F148" i="69"/>
  <c r="E149" i="69"/>
  <c r="D150" i="69"/>
  <c r="H150" i="69"/>
  <c r="G151" i="69"/>
  <c r="F152" i="69"/>
  <c r="E153" i="69"/>
  <c r="D154" i="69"/>
  <c r="H154" i="69"/>
  <c r="G155" i="69"/>
  <c r="F156" i="69"/>
  <c r="E157" i="69"/>
  <c r="D158" i="69"/>
  <c r="H158" i="69"/>
  <c r="G159" i="69"/>
  <c r="F160" i="69"/>
  <c r="E161" i="69"/>
  <c r="D162" i="69"/>
  <c r="H162" i="69"/>
  <c r="G163" i="69"/>
  <c r="F164" i="69"/>
  <c r="E165" i="69"/>
  <c r="D166" i="69"/>
  <c r="H166" i="69"/>
  <c r="G167" i="69"/>
  <c r="F168" i="69"/>
  <c r="E169" i="69"/>
  <c r="H170" i="69"/>
  <c r="G171" i="69"/>
  <c r="L21" i="64"/>
  <c r="E195" i="67"/>
  <c r="E123" i="69"/>
  <c r="E159" i="69"/>
  <c r="L21" i="62"/>
  <c r="L21" i="63"/>
  <c r="L21" i="65"/>
  <c r="L21" i="66"/>
  <c r="AR21" i="66" s="1"/>
  <c r="L21" i="67"/>
  <c r="E231" i="67"/>
  <c r="E267" i="67"/>
  <c r="G230" i="67"/>
  <c r="G266" i="67"/>
  <c r="G194" i="67"/>
  <c r="G122" i="69"/>
  <c r="G158" i="69"/>
  <c r="G256" i="67"/>
  <c r="G112" i="69"/>
  <c r="G148" i="69"/>
  <c r="O24" i="63"/>
  <c r="AE169" i="63"/>
  <c r="E169" i="63" s="1"/>
  <c r="H135" i="63"/>
  <c r="F135" i="63"/>
  <c r="G135" i="63"/>
  <c r="E135" i="63"/>
  <c r="D135" i="63"/>
  <c r="AI15" i="68"/>
  <c r="AE147" i="63"/>
  <c r="D147" i="63" s="1"/>
  <c r="AA29" i="76" l="1"/>
  <c r="P33" i="63"/>
  <c r="AF32" i="65"/>
  <c r="O32" i="65" s="1"/>
  <c r="Q29" i="76"/>
  <c r="T29" i="76"/>
  <c r="M29" i="76"/>
  <c r="K9" i="92" s="1"/>
  <c r="P29" i="76"/>
  <c r="N9" i="92" s="1"/>
  <c r="L29" i="76"/>
  <c r="J9" i="92" s="1"/>
  <c r="V29" i="76"/>
  <c r="T9" i="92" s="1"/>
  <c r="K29" i="76"/>
  <c r="I9" i="92" s="1"/>
  <c r="F29" i="76"/>
  <c r="D9" i="92" s="1"/>
  <c r="D29" i="76"/>
  <c r="B9" i="92" s="1"/>
  <c r="G29" i="76"/>
  <c r="E9" i="92" s="1"/>
  <c r="O29" i="76"/>
  <c r="M9" i="92" s="1"/>
  <c r="R29" i="76"/>
  <c r="P9" i="92" s="1"/>
  <c r="Y29" i="76"/>
  <c r="W9" i="92" s="1"/>
  <c r="I29" i="76"/>
  <c r="G9" i="92" s="1"/>
  <c r="W29" i="76"/>
  <c r="U9" i="92" s="1"/>
  <c r="U29" i="76"/>
  <c r="E29" i="76"/>
  <c r="C9" i="92" s="1"/>
  <c r="S29" i="76"/>
  <c r="Q9" i="92" s="1"/>
  <c r="J29" i="76"/>
  <c r="H9" i="92" s="1"/>
  <c r="X29" i="76"/>
  <c r="V9" i="92" s="1"/>
  <c r="H29" i="76"/>
  <c r="F9" i="92" s="1"/>
  <c r="N29" i="76"/>
  <c r="L9" i="92" s="1"/>
  <c r="AA170" i="67"/>
  <c r="E170" i="67" s="1"/>
  <c r="AB32" i="67"/>
  <c r="AM65" i="67"/>
  <c r="AF32" i="62"/>
  <c r="AF32" i="63"/>
  <c r="AF32" i="64"/>
  <c r="Z32" i="65"/>
  <c r="Z32" i="62"/>
  <c r="Z32" i="66"/>
  <c r="AH10" i="62"/>
  <c r="Z32" i="63"/>
  <c r="AI16" i="68"/>
  <c r="Q16" i="68" s="1"/>
  <c r="AI21" i="68"/>
  <c r="Q21" i="68" s="1"/>
  <c r="AI22" i="68"/>
  <c r="Q22" i="68" s="1"/>
  <c r="AI18" i="68"/>
  <c r="Q124" i="68" s="1"/>
  <c r="AI23" i="68"/>
  <c r="Q130" i="68" s="1"/>
  <c r="AI20" i="68"/>
  <c r="Q20" i="68" s="1"/>
  <c r="AI13" i="68"/>
  <c r="Q13" i="68" s="1"/>
  <c r="AI10" i="68"/>
  <c r="Q10" i="68" s="1"/>
  <c r="AI28" i="68"/>
  <c r="Q137" i="68" s="1"/>
  <c r="AI12" i="68"/>
  <c r="Q12" i="68" s="1"/>
  <c r="AI14" i="68"/>
  <c r="Q120" i="68" s="1"/>
  <c r="AI17" i="68"/>
  <c r="Q17" i="68" s="1"/>
  <c r="AI24" i="68"/>
  <c r="Q131" i="68" s="1"/>
  <c r="AI26" i="68"/>
  <c r="Q29" i="68" s="1"/>
  <c r="AI11" i="68"/>
  <c r="Q11" i="68" s="1"/>
  <c r="AI19" i="68"/>
  <c r="Q19" i="68" s="1"/>
  <c r="AI27" i="68"/>
  <c r="Q136" i="68" s="1"/>
  <c r="O37" i="76"/>
  <c r="M12" i="92" s="1"/>
  <c r="AD170" i="67"/>
  <c r="H170" i="67" s="1"/>
  <c r="AC32" i="66"/>
  <c r="AE32" i="66"/>
  <c r="AF32" i="67"/>
  <c r="H147" i="63"/>
  <c r="O44" i="76"/>
  <c r="M13" i="92" s="1"/>
  <c r="AF32" i="66"/>
  <c r="Z170" i="67"/>
  <c r="D170" i="67" s="1"/>
  <c r="D160" i="67"/>
  <c r="Q15" i="68"/>
  <c r="Q121" i="68"/>
  <c r="Q28" i="68"/>
  <c r="Q134" i="68"/>
  <c r="AE32" i="65"/>
  <c r="D167" i="63"/>
  <c r="H167" i="63"/>
  <c r="G147" i="63"/>
  <c r="E147" i="63"/>
  <c r="AF167" i="63"/>
  <c r="G167" i="63"/>
  <c r="F167" i="63"/>
  <c r="F147" i="63"/>
  <c r="H169" i="63"/>
  <c r="D169" i="63"/>
  <c r="F169" i="63"/>
  <c r="G169" i="63"/>
  <c r="AE32" i="67"/>
  <c r="AC32" i="67"/>
  <c r="AB32" i="64"/>
  <c r="AB32" i="66"/>
  <c r="AB32" i="63"/>
  <c r="AP33" i="65"/>
  <c r="I33" i="65" s="1"/>
  <c r="AP30" i="65"/>
  <c r="I30" i="65" s="1"/>
  <c r="AP15" i="65"/>
  <c r="I15" i="65" s="1"/>
  <c r="AP11" i="65"/>
  <c r="I11" i="65" s="1"/>
  <c r="AP26" i="65"/>
  <c r="I26" i="65" s="1"/>
  <c r="AP27" i="65"/>
  <c r="I27" i="65" s="1"/>
  <c r="AP22" i="65"/>
  <c r="I22" i="65" s="1"/>
  <c r="AP18" i="67"/>
  <c r="I18" i="67" s="1"/>
  <c r="AP30" i="67"/>
  <c r="I30" i="67" s="1"/>
  <c r="AP27" i="64"/>
  <c r="I27" i="64" s="1"/>
  <c r="AP17" i="64"/>
  <c r="I17" i="64" s="1"/>
  <c r="AP31" i="64"/>
  <c r="I31" i="64" s="1"/>
  <c r="AP33" i="64"/>
  <c r="I33" i="64" s="1"/>
  <c r="AP23" i="64"/>
  <c r="I23" i="64" s="1"/>
  <c r="AP16" i="66"/>
  <c r="I16" i="66" s="1"/>
  <c r="AP28" i="67"/>
  <c r="I28" i="67" s="1"/>
  <c r="AP21" i="67"/>
  <c r="I21" i="67" s="1"/>
  <c r="AP16" i="67"/>
  <c r="I16" i="67" s="1"/>
  <c r="AP15" i="67"/>
  <c r="I15" i="67" s="1"/>
  <c r="AP14" i="65"/>
  <c r="I14" i="65" s="1"/>
  <c r="AP18" i="65"/>
  <c r="I18" i="65" s="1"/>
  <c r="AP31" i="65"/>
  <c r="I31" i="65" s="1"/>
  <c r="P23" i="63"/>
  <c r="AH28" i="62"/>
  <c r="P31" i="62"/>
  <c r="AH17" i="63"/>
  <c r="Q44" i="76"/>
  <c r="P23" i="67"/>
  <c r="P13" i="64"/>
  <c r="AH13" i="64"/>
  <c r="AH27" i="65"/>
  <c r="P30" i="65"/>
  <c r="AH22" i="65"/>
  <c r="P22" i="65"/>
  <c r="U35" i="76"/>
  <c r="P27" i="64"/>
  <c r="AH11" i="64"/>
  <c r="P11" i="64"/>
  <c r="AH18" i="63"/>
  <c r="P26" i="62"/>
  <c r="P10" i="62"/>
  <c r="P13" i="65"/>
  <c r="AH13" i="65"/>
  <c r="AH16" i="65"/>
  <c r="P16" i="65"/>
  <c r="AH12" i="62"/>
  <c r="P12" i="62"/>
  <c r="AH21" i="63"/>
  <c r="AP11" i="64"/>
  <c r="I11" i="64" s="1"/>
  <c r="P21" i="64"/>
  <c r="AH21" i="64"/>
  <c r="AP29" i="67"/>
  <c r="I29" i="67" s="1"/>
  <c r="AH23" i="63"/>
  <c r="P14" i="67"/>
  <c r="AH14" i="67"/>
  <c r="AH28" i="65"/>
  <c r="P31" i="65"/>
  <c r="Q36" i="76"/>
  <c r="P23" i="65"/>
  <c r="AH25" i="64"/>
  <c r="P28" i="64"/>
  <c r="AH19" i="63"/>
  <c r="P27" i="62"/>
  <c r="AH13" i="63"/>
  <c r="AH13" i="67"/>
  <c r="P13" i="67"/>
  <c r="Q35" i="76"/>
  <c r="P23" i="64"/>
  <c r="AH14" i="63"/>
  <c r="AH17" i="64"/>
  <c r="P17" i="64"/>
  <c r="AH21" i="62"/>
  <c r="P21" i="62"/>
  <c r="AH21" i="67"/>
  <c r="P21" i="67"/>
  <c r="AP19" i="67"/>
  <c r="I19" i="67" s="1"/>
  <c r="AP28" i="65"/>
  <c r="I28" i="65" s="1"/>
  <c r="P21" i="65"/>
  <c r="AH21" i="65"/>
  <c r="AP17" i="67"/>
  <c r="I17" i="67" s="1"/>
  <c r="T44" i="76"/>
  <c r="P26" i="67"/>
  <c r="AH10" i="67"/>
  <c r="P10" i="67"/>
  <c r="P24" i="64"/>
  <c r="AH23" i="64"/>
  <c r="AH28" i="63"/>
  <c r="AH15" i="63"/>
  <c r="P23" i="62"/>
  <c r="AH26" i="63"/>
  <c r="P29" i="62"/>
  <c r="AH26" i="62"/>
  <c r="P31" i="67"/>
  <c r="AH28" i="67"/>
  <c r="AH15" i="67"/>
  <c r="P15" i="67"/>
  <c r="AH23" i="65"/>
  <c r="P24" i="65"/>
  <c r="AH26" i="64"/>
  <c r="P29" i="64"/>
  <c r="AH12" i="63"/>
  <c r="AH26" i="67"/>
  <c r="P29" i="67"/>
  <c r="T36" i="76"/>
  <c r="P26" i="65"/>
  <c r="P18" i="65"/>
  <c r="AH18" i="65"/>
  <c r="P10" i="65"/>
  <c r="AH10" i="65"/>
  <c r="P19" i="64"/>
  <c r="AH19" i="64"/>
  <c r="P26" i="63"/>
  <c r="AH10" i="63"/>
  <c r="P18" i="62"/>
  <c r="AH18" i="62"/>
  <c r="AH25" i="67"/>
  <c r="P28" i="67"/>
  <c r="AH12" i="67"/>
  <c r="P12" i="67"/>
  <c r="P29" i="65"/>
  <c r="AH26" i="65"/>
  <c r="AH17" i="65"/>
  <c r="P17" i="65"/>
  <c r="AH27" i="64"/>
  <c r="P30" i="64"/>
  <c r="AH14" i="64"/>
  <c r="P14" i="64"/>
  <c r="P13" i="62"/>
  <c r="AH13" i="62"/>
  <c r="AH25" i="65"/>
  <c r="P28" i="65"/>
  <c r="AH12" i="65"/>
  <c r="P12" i="65"/>
  <c r="AH25" i="63"/>
  <c r="P24" i="62"/>
  <c r="AH23" i="62"/>
  <c r="AP20" i="67"/>
  <c r="I20" i="67" s="1"/>
  <c r="AP12" i="67"/>
  <c r="I12" i="67" s="1"/>
  <c r="AP23" i="65"/>
  <c r="I23" i="65" s="1"/>
  <c r="AP23" i="67"/>
  <c r="I23" i="67" s="1"/>
  <c r="AP20" i="65"/>
  <c r="I20" i="65" s="1"/>
  <c r="AP16" i="65"/>
  <c r="I16" i="65" s="1"/>
  <c r="AP12" i="65"/>
  <c r="I12" i="65" s="1"/>
  <c r="AP19" i="65"/>
  <c r="I19" i="65" s="1"/>
  <c r="AP33" i="67"/>
  <c r="I33" i="67" s="1"/>
  <c r="P18" i="67"/>
  <c r="AH18" i="67"/>
  <c r="AH16" i="64"/>
  <c r="P16" i="64"/>
  <c r="P15" i="62"/>
  <c r="AH15" i="62"/>
  <c r="AH20" i="65"/>
  <c r="P20" i="65"/>
  <c r="AH17" i="67"/>
  <c r="P17" i="67"/>
  <c r="AH14" i="65"/>
  <c r="P14" i="65"/>
  <c r="AH20" i="67"/>
  <c r="P20" i="67"/>
  <c r="AH24" i="65"/>
  <c r="P25" i="65"/>
  <c r="AH22" i="64"/>
  <c r="P22" i="64"/>
  <c r="AP31" i="67"/>
  <c r="I31" i="67" s="1"/>
  <c r="AP22" i="67"/>
  <c r="I22" i="67" s="1"/>
  <c r="AH27" i="67"/>
  <c r="P30" i="67"/>
  <c r="AH15" i="65"/>
  <c r="P15" i="65"/>
  <c r="P12" i="64"/>
  <c r="AH12" i="64"/>
  <c r="AH11" i="62"/>
  <c r="P11" i="62"/>
  <c r="AH19" i="67"/>
  <c r="P19" i="67"/>
  <c r="AH16" i="63"/>
  <c r="AA44" i="76"/>
  <c r="AH27" i="63"/>
  <c r="AH22" i="62"/>
  <c r="P22" i="62"/>
  <c r="AH16" i="67"/>
  <c r="P16" i="67"/>
  <c r="AH18" i="64"/>
  <c r="P18" i="64"/>
  <c r="AH17" i="62"/>
  <c r="P17" i="62"/>
  <c r="AH25" i="62"/>
  <c r="P28" i="62"/>
  <c r="AP15" i="64"/>
  <c r="I15" i="64" s="1"/>
  <c r="AP26" i="67"/>
  <c r="I26" i="67" s="1"/>
  <c r="AP13" i="67"/>
  <c r="I13" i="67" s="1"/>
  <c r="P22" i="67"/>
  <c r="AH22" i="67"/>
  <c r="U36" i="76"/>
  <c r="P27" i="65"/>
  <c r="AH19" i="65"/>
  <c r="P19" i="65"/>
  <c r="AH11" i="65"/>
  <c r="P11" i="65"/>
  <c r="AH20" i="64"/>
  <c r="P20" i="64"/>
  <c r="P27" i="63"/>
  <c r="AH11" i="63"/>
  <c r="P19" i="62"/>
  <c r="AH19" i="62"/>
  <c r="AH24" i="63"/>
  <c r="AH24" i="62"/>
  <c r="P25" i="62"/>
  <c r="U44" i="76"/>
  <c r="P27" i="67"/>
  <c r="AH11" i="67"/>
  <c r="P11" i="67"/>
  <c r="AH24" i="64"/>
  <c r="P25" i="64"/>
  <c r="P20" i="62"/>
  <c r="AH20" i="62"/>
  <c r="AH24" i="67"/>
  <c r="P25" i="67"/>
  <c r="P31" i="64"/>
  <c r="AH28" i="64"/>
  <c r="P15" i="64"/>
  <c r="AH15" i="64"/>
  <c r="AH22" i="63"/>
  <c r="P30" i="62"/>
  <c r="AH27" i="62"/>
  <c r="AH14" i="62"/>
  <c r="P14" i="62"/>
  <c r="AH23" i="67"/>
  <c r="P24" i="67"/>
  <c r="T35" i="76"/>
  <c r="P26" i="64"/>
  <c r="P10" i="64"/>
  <c r="AH10" i="64"/>
  <c r="AH20" i="63"/>
  <c r="AH16" i="62"/>
  <c r="P16" i="62"/>
  <c r="O36" i="76"/>
  <c r="M11" i="92" s="1"/>
  <c r="AP26" i="64"/>
  <c r="I26" i="64" s="1"/>
  <c r="AP12" i="66"/>
  <c r="I12" i="66" s="1"/>
  <c r="AP29" i="65"/>
  <c r="I29" i="65" s="1"/>
  <c r="AP25" i="65"/>
  <c r="I25" i="65" s="1"/>
  <c r="AP21" i="65"/>
  <c r="I21" i="65" s="1"/>
  <c r="AP17" i="65"/>
  <c r="I17" i="65" s="1"/>
  <c r="AP13" i="65"/>
  <c r="I13" i="65" s="1"/>
  <c r="AP10" i="67"/>
  <c r="I10" i="67" s="1"/>
  <c r="AP25" i="67"/>
  <c r="I25" i="67" s="1"/>
  <c r="AP27" i="67"/>
  <c r="I27" i="67" s="1"/>
  <c r="AP11" i="67"/>
  <c r="I11" i="67" s="1"/>
  <c r="AP14" i="67"/>
  <c r="I14" i="67" s="1"/>
  <c r="AP10" i="65"/>
  <c r="I10" i="65" s="1"/>
  <c r="AP31" i="66"/>
  <c r="I31" i="66" s="1"/>
  <c r="AP26" i="66"/>
  <c r="I26" i="66" s="1"/>
  <c r="AP30" i="66"/>
  <c r="I30" i="66" s="1"/>
  <c r="AP21" i="66"/>
  <c r="I21" i="66" s="1"/>
  <c r="AP14" i="66"/>
  <c r="I14" i="66" s="1"/>
  <c r="AP29" i="66"/>
  <c r="I29" i="66" s="1"/>
  <c r="U37" i="76"/>
  <c r="P27" i="66"/>
  <c r="AU27" i="66"/>
  <c r="AW27" i="66" s="1"/>
  <c r="AP10" i="66"/>
  <c r="I10" i="66" s="1"/>
  <c r="T37" i="76"/>
  <c r="P26" i="66"/>
  <c r="AU26" i="66"/>
  <c r="AW26" i="66" s="1"/>
  <c r="AH24" i="66"/>
  <c r="P25" i="66"/>
  <c r="AU25" i="66"/>
  <c r="AW25" i="66" s="1"/>
  <c r="P20" i="66"/>
  <c r="AH20" i="66"/>
  <c r="AU20" i="66"/>
  <c r="AW20" i="66" s="1"/>
  <c r="P21" i="66"/>
  <c r="AH21" i="66"/>
  <c r="AU21" i="66"/>
  <c r="AV21" i="66" s="1"/>
  <c r="AP19" i="66"/>
  <c r="I19" i="66" s="1"/>
  <c r="AP11" i="66"/>
  <c r="I11" i="66" s="1"/>
  <c r="AP18" i="66"/>
  <c r="I18" i="66" s="1"/>
  <c r="AP33" i="66"/>
  <c r="I33" i="66" s="1"/>
  <c r="AP25" i="66"/>
  <c r="I25" i="66" s="1"/>
  <c r="AP17" i="66"/>
  <c r="I17" i="66" s="1"/>
  <c r="P30" i="66"/>
  <c r="AH27" i="66"/>
  <c r="AU30" i="66"/>
  <c r="AV30" i="66" s="1"/>
  <c r="AH14" i="66"/>
  <c r="P14" i="66"/>
  <c r="AU14" i="66"/>
  <c r="AW14" i="66" s="1"/>
  <c r="AH11" i="66"/>
  <c r="P11" i="66"/>
  <c r="AU11" i="66"/>
  <c r="AV11" i="66" s="1"/>
  <c r="AH26" i="66"/>
  <c r="P29" i="66"/>
  <c r="AU29" i="66"/>
  <c r="AW29" i="66" s="1"/>
  <c r="P28" i="66"/>
  <c r="AU28" i="66"/>
  <c r="AW28" i="66" s="1"/>
  <c r="AH25" i="66"/>
  <c r="P12" i="66"/>
  <c r="AH12" i="66"/>
  <c r="AU12" i="66"/>
  <c r="AV12" i="66" s="1"/>
  <c r="AP15" i="66"/>
  <c r="I15" i="66" s="1"/>
  <c r="AH10" i="66"/>
  <c r="P10" i="66"/>
  <c r="AU10" i="66"/>
  <c r="AV10" i="66" s="1"/>
  <c r="Q37" i="76"/>
  <c r="P23" i="66"/>
  <c r="AU23" i="66"/>
  <c r="AV23" i="66" s="1"/>
  <c r="P24" i="66"/>
  <c r="AH23" i="66"/>
  <c r="AU24" i="66"/>
  <c r="AP28" i="66"/>
  <c r="I28" i="66" s="1"/>
  <c r="AP13" i="66"/>
  <c r="I13" i="66" s="1"/>
  <c r="AH22" i="66"/>
  <c r="P22" i="66"/>
  <c r="AU22" i="66"/>
  <c r="AV22" i="66" s="1"/>
  <c r="AH19" i="66"/>
  <c r="P19" i="66"/>
  <c r="AU19" i="66"/>
  <c r="AW19" i="66" s="1"/>
  <c r="AA37" i="76"/>
  <c r="AU33" i="66"/>
  <c r="AW33" i="66" s="1"/>
  <c r="AH17" i="66"/>
  <c r="P17" i="66"/>
  <c r="AU17" i="66"/>
  <c r="AV17" i="66" s="1"/>
  <c r="AH18" i="66"/>
  <c r="P18" i="66"/>
  <c r="AU18" i="66"/>
  <c r="AV18" i="66" s="1"/>
  <c r="P31" i="66"/>
  <c r="AH28" i="66"/>
  <c r="AU31" i="66"/>
  <c r="AW31" i="66" s="1"/>
  <c r="AH15" i="66"/>
  <c r="P15" i="66"/>
  <c r="AU15" i="66"/>
  <c r="AV15" i="66" s="1"/>
  <c r="AH13" i="66"/>
  <c r="P13" i="66"/>
  <c r="AU13" i="66"/>
  <c r="AV13" i="66" s="1"/>
  <c r="P16" i="66"/>
  <c r="AH16" i="66"/>
  <c r="AU16" i="66"/>
  <c r="AV16" i="66" s="1"/>
  <c r="AP20" i="66"/>
  <c r="I20" i="66" s="1"/>
  <c r="AP23" i="66"/>
  <c r="I23" i="66" s="1"/>
  <c r="AP27" i="66"/>
  <c r="I27" i="66" s="1"/>
  <c r="AP22" i="66"/>
  <c r="I22" i="66" s="1"/>
  <c r="AP19" i="64"/>
  <c r="I19" i="64" s="1"/>
  <c r="AP22" i="64"/>
  <c r="I22" i="64" s="1"/>
  <c r="AP20" i="64"/>
  <c r="I20" i="64" s="1"/>
  <c r="P13" i="63"/>
  <c r="P15" i="63"/>
  <c r="P29" i="63"/>
  <c r="P22" i="63"/>
  <c r="P17" i="63"/>
  <c r="P30" i="63"/>
  <c r="P14" i="63"/>
  <c r="P20" i="63"/>
  <c r="AP33" i="63"/>
  <c r="I33" i="63" s="1"/>
  <c r="P21" i="63"/>
  <c r="AP13" i="63"/>
  <c r="I13" i="63" s="1"/>
  <c r="P19" i="63"/>
  <c r="P16" i="63"/>
  <c r="P10" i="63"/>
  <c r="P31" i="63"/>
  <c r="P12" i="63"/>
  <c r="P24" i="63"/>
  <c r="P11" i="63"/>
  <c r="P25" i="63"/>
  <c r="P18" i="63"/>
  <c r="P28" i="63"/>
  <c r="AP29" i="64"/>
  <c r="I29" i="64" s="1"/>
  <c r="AP13" i="64"/>
  <c r="I13" i="64" s="1"/>
  <c r="AP10" i="64"/>
  <c r="I10" i="64" s="1"/>
  <c r="O35" i="76"/>
  <c r="M10" i="92" s="1"/>
  <c r="AP30" i="64"/>
  <c r="I30" i="64" s="1"/>
  <c r="AP28" i="64"/>
  <c r="I28" i="64" s="1"/>
  <c r="AP14" i="64"/>
  <c r="I14" i="64" s="1"/>
  <c r="AP12" i="64"/>
  <c r="I12" i="64" s="1"/>
  <c r="AP25" i="64"/>
  <c r="I25" i="64" s="1"/>
  <c r="AP21" i="64"/>
  <c r="I21" i="64" s="1"/>
  <c r="AP18" i="64"/>
  <c r="I18" i="64" s="1"/>
  <c r="AP16" i="64"/>
  <c r="I16" i="64" s="1"/>
  <c r="AP31" i="63"/>
  <c r="I31" i="63" s="1"/>
  <c r="AP15" i="63"/>
  <c r="I15" i="63" s="1"/>
  <c r="AP23" i="63"/>
  <c r="I23" i="63" s="1"/>
  <c r="AP10" i="62"/>
  <c r="I10" i="62" s="1"/>
  <c r="AP25" i="63"/>
  <c r="I25" i="63" s="1"/>
  <c r="AP29" i="63"/>
  <c r="I29" i="63" s="1"/>
  <c r="AP19" i="63"/>
  <c r="I19" i="63" s="1"/>
  <c r="AP26" i="63"/>
  <c r="I26" i="63" s="1"/>
  <c r="AP16" i="63"/>
  <c r="I16" i="63" s="1"/>
  <c r="AP12" i="63"/>
  <c r="I12" i="63" s="1"/>
  <c r="AP11" i="63"/>
  <c r="I11" i="63" s="1"/>
  <c r="AP30" i="63"/>
  <c r="I30" i="63" s="1"/>
  <c r="AP28" i="63"/>
  <c r="I28" i="63" s="1"/>
  <c r="AP21" i="63"/>
  <c r="I21" i="63" s="1"/>
  <c r="AP18" i="63"/>
  <c r="I18" i="63" s="1"/>
  <c r="AP10" i="63"/>
  <c r="I10" i="63" s="1"/>
  <c r="AP14" i="63"/>
  <c r="I14" i="63" s="1"/>
  <c r="AP27" i="63"/>
  <c r="I27" i="63" s="1"/>
  <c r="AP22" i="63"/>
  <c r="I22" i="63" s="1"/>
  <c r="AP20" i="63"/>
  <c r="I20" i="63" s="1"/>
  <c r="AP17" i="63"/>
  <c r="I17" i="63" s="1"/>
  <c r="AP33" i="62"/>
  <c r="I33" i="62" s="1"/>
  <c r="AP20" i="62"/>
  <c r="I20" i="62" s="1"/>
  <c r="AP16" i="62"/>
  <c r="I16" i="62" s="1"/>
  <c r="AP12" i="62"/>
  <c r="I12" i="62" s="1"/>
  <c r="O27" i="76"/>
  <c r="M8" i="92" s="1"/>
  <c r="AP22" i="62"/>
  <c r="I22" i="62" s="1"/>
  <c r="AP18" i="62"/>
  <c r="I18" i="62" s="1"/>
  <c r="AP14" i="62"/>
  <c r="I14" i="62" s="1"/>
  <c r="AP23" i="62"/>
  <c r="I23" i="62" s="1"/>
  <c r="AP29" i="62"/>
  <c r="I29" i="62" s="1"/>
  <c r="AP25" i="62"/>
  <c r="I25" i="62" s="1"/>
  <c r="AP21" i="62"/>
  <c r="I21" i="62" s="1"/>
  <c r="AP17" i="62"/>
  <c r="I17" i="62" s="1"/>
  <c r="AP13" i="62"/>
  <c r="I13" i="62" s="1"/>
  <c r="AP31" i="62"/>
  <c r="I31" i="62" s="1"/>
  <c r="AP27" i="62"/>
  <c r="I27" i="62" s="1"/>
  <c r="AP28" i="62"/>
  <c r="I28" i="62" s="1"/>
  <c r="AP30" i="62"/>
  <c r="I30" i="62" s="1"/>
  <c r="AP26" i="62"/>
  <c r="I26" i="62" s="1"/>
  <c r="AP19" i="62"/>
  <c r="I19" i="62" s="1"/>
  <c r="AP15" i="62"/>
  <c r="I15" i="62" s="1"/>
  <c r="AP11" i="62"/>
  <c r="I11" i="62" s="1"/>
  <c r="T27" i="76"/>
  <c r="U27" i="76"/>
  <c r="Q27" i="76"/>
  <c r="M27" i="76"/>
  <c r="K8" i="92" s="1"/>
  <c r="E27" i="76"/>
  <c r="C8" i="92" s="1"/>
  <c r="S44" i="76"/>
  <c r="Q13" i="92" s="1"/>
  <c r="R44" i="76"/>
  <c r="P13" i="92" s="1"/>
  <c r="V37" i="76"/>
  <c r="T12" i="92" s="1"/>
  <c r="F37" i="76"/>
  <c r="D12" i="92" s="1"/>
  <c r="K36" i="76"/>
  <c r="I11" i="92" s="1"/>
  <c r="P35" i="76"/>
  <c r="N10" i="92" s="1"/>
  <c r="AA27" i="76"/>
  <c r="R27" i="76"/>
  <c r="P8" i="92" s="1"/>
  <c r="F27" i="76"/>
  <c r="D8" i="92" s="1"/>
  <c r="L44" i="76"/>
  <c r="J13" i="92" s="1"/>
  <c r="D44" i="76"/>
  <c r="B13" i="92" s="1"/>
  <c r="E36" i="76"/>
  <c r="C11" i="92" s="1"/>
  <c r="J35" i="76"/>
  <c r="H10" i="92" s="1"/>
  <c r="M44" i="76"/>
  <c r="K13" i="92" s="1"/>
  <c r="E44" i="76"/>
  <c r="C13" i="92" s="1"/>
  <c r="M37" i="76"/>
  <c r="K12" i="92" s="1"/>
  <c r="W37" i="76"/>
  <c r="U12" i="92" s="1"/>
  <c r="X36" i="76"/>
  <c r="V11" i="92" s="1"/>
  <c r="G27" i="76"/>
  <c r="E8" i="92" s="1"/>
  <c r="V36" i="76"/>
  <c r="T11" i="92" s="1"/>
  <c r="X44" i="76"/>
  <c r="V13" i="92" s="1"/>
  <c r="P44" i="76"/>
  <c r="N13" i="92" s="1"/>
  <c r="H44" i="76"/>
  <c r="F13" i="92" s="1"/>
  <c r="X37" i="76"/>
  <c r="V12" i="92" s="1"/>
  <c r="P37" i="76"/>
  <c r="N12" i="92" s="1"/>
  <c r="H37" i="76"/>
  <c r="F12" i="92" s="1"/>
  <c r="Y36" i="76"/>
  <c r="W11" i="92" s="1"/>
  <c r="I36" i="76"/>
  <c r="G11" i="92" s="1"/>
  <c r="V35" i="76"/>
  <c r="T10" i="92" s="1"/>
  <c r="N35" i="76"/>
  <c r="L10" i="92" s="1"/>
  <c r="F35" i="76"/>
  <c r="D10" i="92" s="1"/>
  <c r="Y44" i="76"/>
  <c r="W13" i="92" s="1"/>
  <c r="I44" i="76"/>
  <c r="G13" i="92" s="1"/>
  <c r="Y37" i="76"/>
  <c r="W12" i="92" s="1"/>
  <c r="I37" i="76"/>
  <c r="G12" i="92" s="1"/>
  <c r="R36" i="76"/>
  <c r="P11" i="92" s="1"/>
  <c r="W35" i="76"/>
  <c r="U10" i="92" s="1"/>
  <c r="G35" i="76"/>
  <c r="E10" i="92" s="1"/>
  <c r="S37" i="76"/>
  <c r="Q12" i="92" s="1"/>
  <c r="G37" i="76"/>
  <c r="E12" i="92" s="1"/>
  <c r="L36" i="76"/>
  <c r="J11" i="92" s="1"/>
  <c r="D36" i="76"/>
  <c r="B11" i="92" s="1"/>
  <c r="M35" i="76"/>
  <c r="K10" i="92" s="1"/>
  <c r="E35" i="76"/>
  <c r="C10" i="92" s="1"/>
  <c r="K27" i="76"/>
  <c r="I8" i="92" s="1"/>
  <c r="J36" i="76"/>
  <c r="H11" i="92" s="1"/>
  <c r="AA35" i="76"/>
  <c r="S27" i="76"/>
  <c r="Q8" i="92" s="1"/>
  <c r="G44" i="76"/>
  <c r="E13" i="92" s="1"/>
  <c r="L27" i="76"/>
  <c r="J8" i="92" s="1"/>
  <c r="D27" i="76"/>
  <c r="B8" i="92" s="1"/>
  <c r="J44" i="76"/>
  <c r="H13" i="92" s="1"/>
  <c r="N37" i="76"/>
  <c r="L12" i="92" s="1"/>
  <c r="W36" i="76"/>
  <c r="U11" i="92" s="1"/>
  <c r="X35" i="76"/>
  <c r="V10" i="92" s="1"/>
  <c r="H35" i="76"/>
  <c r="F10" i="92" s="1"/>
  <c r="L37" i="76"/>
  <c r="J12" i="92" s="1"/>
  <c r="D37" i="76"/>
  <c r="B12" i="92" s="1"/>
  <c r="M36" i="76"/>
  <c r="K11" i="92" s="1"/>
  <c r="R35" i="76"/>
  <c r="P10" i="92" s="1"/>
  <c r="E37" i="76"/>
  <c r="C12" i="92" s="1"/>
  <c r="N36" i="76"/>
  <c r="L11" i="92" s="1"/>
  <c r="S35" i="76"/>
  <c r="Q10" i="92" s="1"/>
  <c r="K37" i="76"/>
  <c r="I12" i="92" s="1"/>
  <c r="P36" i="76"/>
  <c r="N11" i="92" s="1"/>
  <c r="H36" i="76"/>
  <c r="F11" i="92" s="1"/>
  <c r="Y35" i="76"/>
  <c r="W10" i="92" s="1"/>
  <c r="I35" i="76"/>
  <c r="G10" i="92" s="1"/>
  <c r="F36" i="76"/>
  <c r="D11" i="92" s="1"/>
  <c r="K35" i="76"/>
  <c r="I10" i="92" s="1"/>
  <c r="Y27" i="76"/>
  <c r="W8" i="92" s="1"/>
  <c r="I27" i="76"/>
  <c r="G8" i="92" s="1"/>
  <c r="W27" i="76"/>
  <c r="U8" i="92" s="1"/>
  <c r="N27" i="76"/>
  <c r="L8" i="92" s="1"/>
  <c r="W44" i="76"/>
  <c r="U13" i="92" s="1"/>
  <c r="K44" i="76"/>
  <c r="I13" i="92" s="1"/>
  <c r="X27" i="76"/>
  <c r="V8" i="92" s="1"/>
  <c r="P27" i="76"/>
  <c r="N8" i="92" s="1"/>
  <c r="H27" i="76"/>
  <c r="F8" i="92" s="1"/>
  <c r="V44" i="76"/>
  <c r="T13" i="92" s="1"/>
  <c r="N44" i="76"/>
  <c r="L13" i="92" s="1"/>
  <c r="F44" i="76"/>
  <c r="D13" i="92" s="1"/>
  <c r="R37" i="76"/>
  <c r="P12" i="92" s="1"/>
  <c r="J37" i="76"/>
  <c r="H12" i="92" s="1"/>
  <c r="AA36" i="76"/>
  <c r="S36" i="76"/>
  <c r="Q11" i="92" s="1"/>
  <c r="G36" i="76"/>
  <c r="E11" i="92" s="1"/>
  <c r="L35" i="76"/>
  <c r="J10" i="92" s="1"/>
  <c r="D35" i="76"/>
  <c r="B10" i="92" s="1"/>
  <c r="V27" i="76"/>
  <c r="T8" i="92" s="1"/>
  <c r="J27" i="76"/>
  <c r="H8" i="92" s="1"/>
  <c r="AO33" i="49"/>
  <c r="AD171" i="49"/>
  <c r="H171" i="49" s="1"/>
  <c r="AA16" i="76" s="1"/>
  <c r="AC171" i="49"/>
  <c r="G171" i="49" s="1"/>
  <c r="AB171" i="49"/>
  <c r="AA171" i="49"/>
  <c r="Z171" i="49"/>
  <c r="AD165" i="49"/>
  <c r="AC165" i="49"/>
  <c r="AB165" i="49"/>
  <c r="AA165" i="49"/>
  <c r="Z165" i="49"/>
  <c r="AD128" i="49"/>
  <c r="AC128" i="49"/>
  <c r="AB128" i="49"/>
  <c r="AA128" i="49"/>
  <c r="Z128" i="49"/>
  <c r="H27" i="49"/>
  <c r="AC93" i="82" s="1"/>
  <c r="H93" i="82" s="1"/>
  <c r="G27" i="49"/>
  <c r="AB93" i="82" s="1"/>
  <c r="G93" i="82" s="1"/>
  <c r="F27" i="49"/>
  <c r="AA93" i="82" s="1"/>
  <c r="F93" i="82" s="1"/>
  <c r="E27" i="49"/>
  <c r="Z93" i="82" s="1"/>
  <c r="E93" i="82" s="1"/>
  <c r="D27" i="49"/>
  <c r="Y93" i="82" s="1"/>
  <c r="D93" i="82" s="1"/>
  <c r="AD169" i="49"/>
  <c r="AC169" i="49"/>
  <c r="AB169" i="49"/>
  <c r="AA169" i="49"/>
  <c r="Z169" i="49"/>
  <c r="AD168" i="49"/>
  <c r="AC168" i="49"/>
  <c r="AB168" i="49"/>
  <c r="AA168" i="49"/>
  <c r="Z168" i="49"/>
  <c r="AD167" i="49"/>
  <c r="AC167" i="49"/>
  <c r="AB167" i="49"/>
  <c r="AA167" i="49"/>
  <c r="Z167" i="49"/>
  <c r="AD166" i="49"/>
  <c r="AC166" i="49"/>
  <c r="AB166" i="49"/>
  <c r="AA166" i="49"/>
  <c r="Z166" i="49"/>
  <c r="AD164" i="49"/>
  <c r="AC164" i="49"/>
  <c r="AB164" i="49"/>
  <c r="AA164" i="49"/>
  <c r="Z164" i="49"/>
  <c r="AD163" i="49"/>
  <c r="AC163" i="49"/>
  <c r="AB163" i="49"/>
  <c r="AA163" i="49"/>
  <c r="Z163" i="49"/>
  <c r="AD162" i="49"/>
  <c r="AC162" i="49"/>
  <c r="AB162" i="49"/>
  <c r="AA162" i="49"/>
  <c r="Z162" i="49"/>
  <c r="AD161" i="49"/>
  <c r="AC161" i="49"/>
  <c r="AB161" i="49"/>
  <c r="AA161" i="49"/>
  <c r="Z161" i="49"/>
  <c r="AD160" i="49"/>
  <c r="AC160" i="49"/>
  <c r="AB160" i="49"/>
  <c r="AA160" i="49"/>
  <c r="Z160" i="49"/>
  <c r="AD159" i="49"/>
  <c r="AC159" i="49"/>
  <c r="AB159" i="49"/>
  <c r="AA159" i="49"/>
  <c r="Z159" i="49"/>
  <c r="AD158" i="49"/>
  <c r="AC158" i="49"/>
  <c r="AB158" i="49"/>
  <c r="AA158" i="49"/>
  <c r="Z158" i="49"/>
  <c r="AD157" i="49"/>
  <c r="AC157" i="49"/>
  <c r="AB157" i="49"/>
  <c r="AA157" i="49"/>
  <c r="Z157" i="49"/>
  <c r="AD156" i="49"/>
  <c r="AC156" i="49"/>
  <c r="AB156" i="49"/>
  <c r="AA156" i="49"/>
  <c r="Z156" i="49"/>
  <c r="AD155" i="49"/>
  <c r="AC155" i="49"/>
  <c r="AB155" i="49"/>
  <c r="AA155" i="49"/>
  <c r="Z155" i="49"/>
  <c r="AD154" i="49"/>
  <c r="AC154" i="49"/>
  <c r="AB154" i="49"/>
  <c r="AA154" i="49"/>
  <c r="Z154" i="49"/>
  <c r="AD153" i="49"/>
  <c r="AC153" i="49"/>
  <c r="AB153" i="49"/>
  <c r="AA153" i="49"/>
  <c r="AD152" i="49"/>
  <c r="AC152" i="49"/>
  <c r="AB152" i="49"/>
  <c r="AA152" i="49"/>
  <c r="Z152" i="49"/>
  <c r="AD151" i="49"/>
  <c r="AC151" i="49"/>
  <c r="AB151" i="49"/>
  <c r="AA151" i="49"/>
  <c r="Z151" i="49"/>
  <c r="AD150" i="49"/>
  <c r="AC150" i="49"/>
  <c r="AB150" i="49"/>
  <c r="AA150" i="49"/>
  <c r="Z150" i="49"/>
  <c r="AD149" i="49"/>
  <c r="AC149" i="49"/>
  <c r="AB149" i="49"/>
  <c r="AA149" i="49"/>
  <c r="Z149" i="49"/>
  <c r="AD148" i="49"/>
  <c r="AC148" i="49"/>
  <c r="AB148" i="49"/>
  <c r="AA148" i="49"/>
  <c r="Z148" i="49"/>
  <c r="AD132" i="49"/>
  <c r="AC132" i="49"/>
  <c r="AB132" i="49"/>
  <c r="AA132" i="49"/>
  <c r="Z132" i="49"/>
  <c r="AD131" i="49"/>
  <c r="AC131" i="49"/>
  <c r="AB131" i="49"/>
  <c r="AA131" i="49"/>
  <c r="Z131" i="49"/>
  <c r="AD130" i="49"/>
  <c r="AC130" i="49"/>
  <c r="AB130" i="49"/>
  <c r="AA130" i="49"/>
  <c r="Z130" i="49"/>
  <c r="AD129" i="49"/>
  <c r="AC129" i="49"/>
  <c r="AB129" i="49"/>
  <c r="AA129" i="49"/>
  <c r="Z129" i="49"/>
  <c r="AD127" i="49"/>
  <c r="AC127" i="49"/>
  <c r="AB127" i="49"/>
  <c r="AA127" i="49"/>
  <c r="Z127" i="49"/>
  <c r="AD126" i="49"/>
  <c r="AC126" i="49"/>
  <c r="AB126" i="49"/>
  <c r="AA126" i="49"/>
  <c r="Z126" i="49"/>
  <c r="AD125" i="49"/>
  <c r="AC125" i="49"/>
  <c r="AA125" i="49"/>
  <c r="Z125" i="49"/>
  <c r="AD124" i="49"/>
  <c r="AC124" i="49"/>
  <c r="AB124" i="49"/>
  <c r="AA124" i="49"/>
  <c r="Z124" i="49"/>
  <c r="AD123" i="49"/>
  <c r="AC123" i="49"/>
  <c r="AB123" i="49"/>
  <c r="AA123" i="49"/>
  <c r="Z123" i="49"/>
  <c r="AD122" i="49"/>
  <c r="AC122" i="49"/>
  <c r="AB122" i="49"/>
  <c r="AA122" i="49"/>
  <c r="Z122" i="49"/>
  <c r="AD121" i="49"/>
  <c r="AC121" i="49"/>
  <c r="AB121" i="49"/>
  <c r="AA121" i="49"/>
  <c r="Z121" i="49"/>
  <c r="AD120" i="49"/>
  <c r="AC120" i="49"/>
  <c r="AB120" i="49"/>
  <c r="AA120" i="49"/>
  <c r="Z120" i="49"/>
  <c r="AD119" i="49"/>
  <c r="AC119" i="49"/>
  <c r="AB119" i="49"/>
  <c r="AA119" i="49"/>
  <c r="Z119" i="49"/>
  <c r="AD118" i="49"/>
  <c r="AC118" i="49"/>
  <c r="AB118" i="49"/>
  <c r="AA118" i="49"/>
  <c r="Z118" i="49"/>
  <c r="AD117" i="49"/>
  <c r="AC117" i="49"/>
  <c r="AB117" i="49"/>
  <c r="AA117" i="49"/>
  <c r="Z117" i="49"/>
  <c r="AD116" i="49"/>
  <c r="AC116" i="49"/>
  <c r="AB116" i="49"/>
  <c r="AA116" i="49"/>
  <c r="Z116" i="49"/>
  <c r="AD115" i="49"/>
  <c r="AC115" i="49"/>
  <c r="AB115" i="49"/>
  <c r="AA115" i="49"/>
  <c r="Z115" i="49"/>
  <c r="AD114" i="49"/>
  <c r="AC114" i="49"/>
  <c r="AB114" i="49"/>
  <c r="AA114" i="49"/>
  <c r="Z114" i="49"/>
  <c r="AD113" i="49"/>
  <c r="AC113" i="49"/>
  <c r="AB113" i="49"/>
  <c r="AA113" i="49"/>
  <c r="Z113" i="49"/>
  <c r="AD112" i="49"/>
  <c r="AC112" i="49"/>
  <c r="AB112" i="49"/>
  <c r="AA112" i="49"/>
  <c r="Z112" i="49"/>
  <c r="AD111" i="49"/>
  <c r="AC111" i="49"/>
  <c r="AB111" i="49"/>
  <c r="AA111" i="49"/>
  <c r="Z111" i="49"/>
  <c r="AG10" i="49"/>
  <c r="Q33" i="49" s="1"/>
  <c r="H31" i="49"/>
  <c r="AC97" i="82" s="1"/>
  <c r="H97" i="82" s="1"/>
  <c r="G31" i="49"/>
  <c r="AB97" i="82" s="1"/>
  <c r="G97" i="82" s="1"/>
  <c r="F31" i="49"/>
  <c r="AA97" i="82" s="1"/>
  <c r="F97" i="82" s="1"/>
  <c r="E31" i="49"/>
  <c r="Z97" i="82" s="1"/>
  <c r="E97" i="82" s="1"/>
  <c r="D31" i="49"/>
  <c r="Y97" i="82" s="1"/>
  <c r="D97" i="82" s="1"/>
  <c r="H30" i="49"/>
  <c r="G30" i="49"/>
  <c r="AB96" i="82" s="1"/>
  <c r="G96" i="82" s="1"/>
  <c r="F30" i="49"/>
  <c r="AA96" i="82" s="1"/>
  <c r="F96" i="82" s="1"/>
  <c r="E30" i="49"/>
  <c r="Z96" i="82" s="1"/>
  <c r="E96" i="82" s="1"/>
  <c r="D30" i="49"/>
  <c r="Y96" i="82" s="1"/>
  <c r="D96" i="82" s="1"/>
  <c r="H29" i="49"/>
  <c r="G29" i="49"/>
  <c r="AB95" i="82" s="1"/>
  <c r="G95" i="82" s="1"/>
  <c r="F29" i="49"/>
  <c r="AA95" i="82" s="1"/>
  <c r="F95" i="82" s="1"/>
  <c r="E29" i="49"/>
  <c r="Z95" i="82" s="1"/>
  <c r="E95" i="82" s="1"/>
  <c r="D29" i="49"/>
  <c r="Y95" i="82" s="1"/>
  <c r="D95" i="82" s="1"/>
  <c r="H28" i="49"/>
  <c r="G28" i="49"/>
  <c r="AB94" i="82" s="1"/>
  <c r="G94" i="82" s="1"/>
  <c r="F28" i="49"/>
  <c r="AA94" i="82" s="1"/>
  <c r="F94" i="82" s="1"/>
  <c r="E28" i="49"/>
  <c r="Z94" i="82" s="1"/>
  <c r="E94" i="82" s="1"/>
  <c r="D28" i="49"/>
  <c r="Y94" i="82" s="1"/>
  <c r="D94" i="82" s="1"/>
  <c r="H26" i="49"/>
  <c r="AC92" i="82" s="1"/>
  <c r="H92" i="82" s="1"/>
  <c r="G26" i="49"/>
  <c r="AB92" i="82" s="1"/>
  <c r="G92" i="82" s="1"/>
  <c r="F26" i="49"/>
  <c r="AA92" i="82" s="1"/>
  <c r="F92" i="82" s="1"/>
  <c r="E26" i="49"/>
  <c r="Z92" i="82" s="1"/>
  <c r="E92" i="82" s="1"/>
  <c r="D26" i="49"/>
  <c r="Y92" i="82" s="1"/>
  <c r="D92" i="82" s="1"/>
  <c r="H25" i="49"/>
  <c r="G25" i="49"/>
  <c r="AB91" i="82" s="1"/>
  <c r="G91" i="82" s="1"/>
  <c r="F25" i="49"/>
  <c r="AA91" i="82" s="1"/>
  <c r="F91" i="82" s="1"/>
  <c r="E25" i="49"/>
  <c r="Z91" i="82" s="1"/>
  <c r="E91" i="82" s="1"/>
  <c r="D25" i="49"/>
  <c r="Y91" i="82" s="1"/>
  <c r="D91" i="82" s="1"/>
  <c r="H24" i="49"/>
  <c r="G24" i="49"/>
  <c r="AB90" i="82" s="1"/>
  <c r="G90" i="82" s="1"/>
  <c r="E24" i="49"/>
  <c r="Z90" i="82" s="1"/>
  <c r="E90" i="82" s="1"/>
  <c r="D24" i="49"/>
  <c r="Y90" i="82" s="1"/>
  <c r="D90" i="82" s="1"/>
  <c r="H23" i="49"/>
  <c r="AC89" i="82" s="1"/>
  <c r="H89" i="82" s="1"/>
  <c r="G23" i="49"/>
  <c r="AB89" i="82" s="1"/>
  <c r="G89" i="82" s="1"/>
  <c r="F23" i="49"/>
  <c r="AA89" i="82" s="1"/>
  <c r="F89" i="82" s="1"/>
  <c r="E23" i="49"/>
  <c r="Z89" i="82" s="1"/>
  <c r="E89" i="82" s="1"/>
  <c r="D23" i="49"/>
  <c r="Y89" i="82" s="1"/>
  <c r="D89" i="82" s="1"/>
  <c r="H22" i="49"/>
  <c r="G22" i="49"/>
  <c r="AB88" i="82" s="1"/>
  <c r="G88" i="82" s="1"/>
  <c r="F22" i="49"/>
  <c r="AA88" i="82" s="1"/>
  <c r="F88" i="82" s="1"/>
  <c r="E22" i="49"/>
  <c r="Z88" i="82" s="1"/>
  <c r="E88" i="82" s="1"/>
  <c r="D22" i="49"/>
  <c r="Y88" i="82" s="1"/>
  <c r="H21" i="49"/>
  <c r="G21" i="49"/>
  <c r="AB87" i="82" s="1"/>
  <c r="G87" i="82" s="1"/>
  <c r="F21" i="49"/>
  <c r="AA87" i="82" s="1"/>
  <c r="F87" i="82" s="1"/>
  <c r="E21" i="49"/>
  <c r="Z87" i="82" s="1"/>
  <c r="E87" i="82" s="1"/>
  <c r="D21" i="49"/>
  <c r="Y87" i="82" s="1"/>
  <c r="D87" i="82" s="1"/>
  <c r="H20" i="49"/>
  <c r="AC86" i="82" s="1"/>
  <c r="H86" i="82" s="1"/>
  <c r="G20" i="49"/>
  <c r="AB86" i="82" s="1"/>
  <c r="G86" i="82" s="1"/>
  <c r="F20" i="49"/>
  <c r="AA86" i="82" s="1"/>
  <c r="F86" i="82" s="1"/>
  <c r="E20" i="49"/>
  <c r="Z86" i="82" s="1"/>
  <c r="E86" i="82" s="1"/>
  <c r="D20" i="49"/>
  <c r="Y86" i="82" s="1"/>
  <c r="D86" i="82" s="1"/>
  <c r="H19" i="49"/>
  <c r="AC85" i="82" s="1"/>
  <c r="H85" i="82" s="1"/>
  <c r="G19" i="49"/>
  <c r="AB85" i="82" s="1"/>
  <c r="G85" i="82" s="1"/>
  <c r="F19" i="49"/>
  <c r="AA85" i="82" s="1"/>
  <c r="F85" i="82" s="1"/>
  <c r="E19" i="49"/>
  <c r="Z85" i="82" s="1"/>
  <c r="E85" i="82" s="1"/>
  <c r="D19" i="49"/>
  <c r="Y85" i="82" s="1"/>
  <c r="D85" i="82" s="1"/>
  <c r="H18" i="49"/>
  <c r="G18" i="49"/>
  <c r="AB84" i="82" s="1"/>
  <c r="G84" i="82" s="1"/>
  <c r="F18" i="49"/>
  <c r="AA84" i="82" s="1"/>
  <c r="F84" i="82" s="1"/>
  <c r="E18" i="49"/>
  <c r="Z84" i="82" s="1"/>
  <c r="E84" i="82" s="1"/>
  <c r="D18" i="49"/>
  <c r="Y84" i="82" s="1"/>
  <c r="D84" i="82" s="1"/>
  <c r="H17" i="49"/>
  <c r="G17" i="49"/>
  <c r="AB83" i="82" s="1"/>
  <c r="G83" i="82" s="1"/>
  <c r="F17" i="49"/>
  <c r="AA83" i="82" s="1"/>
  <c r="F83" i="82" s="1"/>
  <c r="E17" i="49"/>
  <c r="Z83" i="82" s="1"/>
  <c r="E83" i="82" s="1"/>
  <c r="D17" i="49"/>
  <c r="Y83" i="82" s="1"/>
  <c r="D83" i="82" s="1"/>
  <c r="H16" i="49"/>
  <c r="G16" i="49"/>
  <c r="AB82" i="82" s="1"/>
  <c r="G82" i="82" s="1"/>
  <c r="F16" i="49"/>
  <c r="AA82" i="82" s="1"/>
  <c r="F82" i="82" s="1"/>
  <c r="E16" i="49"/>
  <c r="Z82" i="82" s="1"/>
  <c r="E82" i="82" s="1"/>
  <c r="D16" i="49"/>
  <c r="Y82" i="82" s="1"/>
  <c r="D82" i="82" s="1"/>
  <c r="H15" i="49"/>
  <c r="G15" i="49"/>
  <c r="AB81" i="82" s="1"/>
  <c r="G81" i="82" s="1"/>
  <c r="F15" i="49"/>
  <c r="AA81" i="82" s="1"/>
  <c r="F81" i="82" s="1"/>
  <c r="E15" i="49"/>
  <c r="Z81" i="82" s="1"/>
  <c r="E81" i="82" s="1"/>
  <c r="D15" i="49"/>
  <c r="Y81" i="82" s="1"/>
  <c r="D81" i="82" s="1"/>
  <c r="H14" i="49"/>
  <c r="G14" i="49"/>
  <c r="AB80" i="82" s="1"/>
  <c r="F14" i="49"/>
  <c r="AA80" i="82" s="1"/>
  <c r="E14" i="49"/>
  <c r="Z80" i="82" s="1"/>
  <c r="D14" i="49"/>
  <c r="Y80" i="82" s="1"/>
  <c r="D80" i="82" s="1"/>
  <c r="H13" i="49"/>
  <c r="G13" i="49"/>
  <c r="AB79" i="82" s="1"/>
  <c r="G79" i="82" s="1"/>
  <c r="F13" i="49"/>
  <c r="AA79" i="82" s="1"/>
  <c r="F79" i="82" s="1"/>
  <c r="E13" i="49"/>
  <c r="Z79" i="82" s="1"/>
  <c r="E79" i="82" s="1"/>
  <c r="D13" i="49"/>
  <c r="Y79" i="82" s="1"/>
  <c r="D79" i="82" s="1"/>
  <c r="H12" i="49"/>
  <c r="AC78" i="82" s="1"/>
  <c r="H78" i="82" s="1"/>
  <c r="G12" i="49"/>
  <c r="AB78" i="82" s="1"/>
  <c r="G78" i="82" s="1"/>
  <c r="F12" i="49"/>
  <c r="AA78" i="82" s="1"/>
  <c r="F78" i="82" s="1"/>
  <c r="E12" i="49"/>
  <c r="Z78" i="82" s="1"/>
  <c r="E78" i="82" s="1"/>
  <c r="D12" i="49"/>
  <c r="Y78" i="82" s="1"/>
  <c r="D78" i="82" s="1"/>
  <c r="H11" i="49"/>
  <c r="G11" i="49"/>
  <c r="AB77" i="82" s="1"/>
  <c r="G77" i="82" s="1"/>
  <c r="F11" i="49"/>
  <c r="AA77" i="82" s="1"/>
  <c r="F77" i="82" s="1"/>
  <c r="E11" i="49"/>
  <c r="Z77" i="82" s="1"/>
  <c r="E77" i="82" s="1"/>
  <c r="D11" i="49"/>
  <c r="Y77" i="82" s="1"/>
  <c r="D77" i="82" s="1"/>
  <c r="H10" i="49"/>
  <c r="G10" i="49"/>
  <c r="AB76" i="82" s="1"/>
  <c r="G76" i="82" s="1"/>
  <c r="F10" i="49"/>
  <c r="AA76" i="82" s="1"/>
  <c r="F76" i="82" s="1"/>
  <c r="E10" i="49"/>
  <c r="Z76" i="82" s="1"/>
  <c r="E76" i="82" s="1"/>
  <c r="D10" i="49"/>
  <c r="Y76" i="82" s="1"/>
  <c r="D76" i="82" s="1"/>
  <c r="AF10" i="74"/>
  <c r="H31" i="74"/>
  <c r="G31" i="74"/>
  <c r="AD31" i="74" s="1"/>
  <c r="F31" i="74"/>
  <c r="AC31" i="74" s="1"/>
  <c r="E31" i="74"/>
  <c r="AB31" i="74" s="1"/>
  <c r="D31" i="74"/>
  <c r="AA31" i="74" s="1"/>
  <c r="H30" i="74"/>
  <c r="G30" i="74"/>
  <c r="AD30" i="74" s="1"/>
  <c r="F30" i="74"/>
  <c r="AC30" i="74" s="1"/>
  <c r="E30" i="74"/>
  <c r="AB30" i="74" s="1"/>
  <c r="D30" i="74"/>
  <c r="AA30" i="74" s="1"/>
  <c r="H29" i="74"/>
  <c r="G29" i="74"/>
  <c r="AD29" i="74" s="1"/>
  <c r="F29" i="74"/>
  <c r="AC29" i="74" s="1"/>
  <c r="E29" i="74"/>
  <c r="AB29" i="74" s="1"/>
  <c r="D29" i="74"/>
  <c r="AA29" i="74" s="1"/>
  <c r="H28" i="74"/>
  <c r="G28" i="74"/>
  <c r="AD28" i="74" s="1"/>
  <c r="F28" i="74"/>
  <c r="AC28" i="74" s="1"/>
  <c r="E28" i="74"/>
  <c r="AB28" i="74" s="1"/>
  <c r="D28" i="74"/>
  <c r="AA28" i="74" s="1"/>
  <c r="H27" i="74"/>
  <c r="G27" i="74"/>
  <c r="AD27" i="74" s="1"/>
  <c r="F27" i="74"/>
  <c r="AC27" i="74" s="1"/>
  <c r="E27" i="74"/>
  <c r="AB27" i="74" s="1"/>
  <c r="D27" i="74"/>
  <c r="AA27" i="74" s="1"/>
  <c r="H26" i="74"/>
  <c r="G26" i="74"/>
  <c r="AD26" i="74" s="1"/>
  <c r="F26" i="74"/>
  <c r="AC26" i="74" s="1"/>
  <c r="E26" i="74"/>
  <c r="AB26" i="74" s="1"/>
  <c r="D26" i="74"/>
  <c r="AA26" i="74" s="1"/>
  <c r="H25" i="74"/>
  <c r="G25" i="74"/>
  <c r="AD25" i="74" s="1"/>
  <c r="F25" i="74"/>
  <c r="AC25" i="74" s="1"/>
  <c r="E25" i="74"/>
  <c r="AB25" i="74" s="1"/>
  <c r="D25" i="74"/>
  <c r="AA25" i="74" s="1"/>
  <c r="H24" i="74"/>
  <c r="G24" i="74"/>
  <c r="AD24" i="74" s="1"/>
  <c r="E24" i="74"/>
  <c r="AB24" i="74" s="1"/>
  <c r="D24" i="74"/>
  <c r="AA24" i="74" s="1"/>
  <c r="H23" i="74"/>
  <c r="G23" i="74"/>
  <c r="AD23" i="74" s="1"/>
  <c r="F23" i="74"/>
  <c r="AC23" i="74" s="1"/>
  <c r="E23" i="74"/>
  <c r="AB23" i="74" s="1"/>
  <c r="D23" i="74"/>
  <c r="AA23" i="74" s="1"/>
  <c r="H22" i="74"/>
  <c r="G22" i="74"/>
  <c r="AD22" i="74" s="1"/>
  <c r="F22" i="74"/>
  <c r="AC22" i="74" s="1"/>
  <c r="E22" i="74"/>
  <c r="AB22" i="74" s="1"/>
  <c r="D22" i="74"/>
  <c r="AA22" i="74" s="1"/>
  <c r="H21" i="74"/>
  <c r="G21" i="74"/>
  <c r="AD21" i="74" s="1"/>
  <c r="F21" i="74"/>
  <c r="AC21" i="74" s="1"/>
  <c r="E21" i="74"/>
  <c r="AB21" i="74" s="1"/>
  <c r="D21" i="74"/>
  <c r="AA21" i="74" s="1"/>
  <c r="H20" i="74"/>
  <c r="G20" i="74"/>
  <c r="AD20" i="74" s="1"/>
  <c r="F20" i="74"/>
  <c r="AC20" i="74" s="1"/>
  <c r="E20" i="74"/>
  <c r="AB20" i="74" s="1"/>
  <c r="D20" i="74"/>
  <c r="AA20" i="74" s="1"/>
  <c r="H19" i="74"/>
  <c r="G19" i="74"/>
  <c r="AD19" i="74" s="1"/>
  <c r="F19" i="74"/>
  <c r="AC19" i="74" s="1"/>
  <c r="E19" i="74"/>
  <c r="AB19" i="74" s="1"/>
  <c r="D19" i="74"/>
  <c r="AA19" i="74" s="1"/>
  <c r="H18" i="74"/>
  <c r="G18" i="74"/>
  <c r="AD18" i="74" s="1"/>
  <c r="F18" i="74"/>
  <c r="AC18" i="74" s="1"/>
  <c r="E18" i="74"/>
  <c r="AB18" i="74" s="1"/>
  <c r="D18" i="74"/>
  <c r="AA18" i="74" s="1"/>
  <c r="H17" i="74"/>
  <c r="G17" i="74"/>
  <c r="AD17" i="74" s="1"/>
  <c r="F17" i="74"/>
  <c r="AC17" i="74" s="1"/>
  <c r="E17" i="74"/>
  <c r="AB17" i="74" s="1"/>
  <c r="D17" i="74"/>
  <c r="AA17" i="74" s="1"/>
  <c r="H16" i="74"/>
  <c r="G16" i="74"/>
  <c r="AD16" i="74" s="1"/>
  <c r="F16" i="74"/>
  <c r="AC16" i="74" s="1"/>
  <c r="E16" i="74"/>
  <c r="AB16" i="74" s="1"/>
  <c r="D16" i="74"/>
  <c r="AA16" i="74" s="1"/>
  <c r="H15" i="74"/>
  <c r="G15" i="74"/>
  <c r="AD15" i="74" s="1"/>
  <c r="F15" i="74"/>
  <c r="AC15" i="74" s="1"/>
  <c r="E15" i="74"/>
  <c r="AB15" i="74" s="1"/>
  <c r="D15" i="74"/>
  <c r="AA15" i="74" s="1"/>
  <c r="H14" i="74"/>
  <c r="G14" i="74"/>
  <c r="AD14" i="74" s="1"/>
  <c r="F14" i="74"/>
  <c r="AC14" i="74" s="1"/>
  <c r="E14" i="74"/>
  <c r="AB14" i="74" s="1"/>
  <c r="D14" i="74"/>
  <c r="AA14" i="74" s="1"/>
  <c r="H13" i="74"/>
  <c r="G13" i="74"/>
  <c r="AD13" i="74" s="1"/>
  <c r="F13" i="74"/>
  <c r="AC13" i="74" s="1"/>
  <c r="E13" i="74"/>
  <c r="AB13" i="74" s="1"/>
  <c r="D13" i="74"/>
  <c r="AA13" i="74" s="1"/>
  <c r="H12" i="74"/>
  <c r="G12" i="74"/>
  <c r="AD12" i="74" s="1"/>
  <c r="F12" i="74"/>
  <c r="AC12" i="74" s="1"/>
  <c r="E12" i="74"/>
  <c r="AB12" i="74" s="1"/>
  <c r="D12" i="74"/>
  <c r="AA12" i="74" s="1"/>
  <c r="H11" i="74"/>
  <c r="G11" i="74"/>
  <c r="AD11" i="74" s="1"/>
  <c r="F11" i="74"/>
  <c r="AC11" i="74" s="1"/>
  <c r="E11" i="74"/>
  <c r="AB11" i="74" s="1"/>
  <c r="D11" i="74"/>
  <c r="AA11" i="74" s="1"/>
  <c r="H10" i="74"/>
  <c r="G10" i="74"/>
  <c r="AD10" i="74" s="1"/>
  <c r="F10" i="74"/>
  <c r="AC10" i="74" s="1"/>
  <c r="E10" i="74"/>
  <c r="AB10" i="74" s="1"/>
  <c r="D10" i="74"/>
  <c r="AF10" i="73"/>
  <c r="G31" i="73"/>
  <c r="AD31" i="73" s="1"/>
  <c r="F31" i="73"/>
  <c r="AC31" i="73" s="1"/>
  <c r="E31" i="73"/>
  <c r="AB31" i="73" s="1"/>
  <c r="D31" i="73"/>
  <c r="P30" i="73"/>
  <c r="V5" i="92" s="1"/>
  <c r="G30" i="73"/>
  <c r="AD30" i="73" s="1"/>
  <c r="F30" i="73"/>
  <c r="AC30" i="73" s="1"/>
  <c r="E30" i="73"/>
  <c r="AB30" i="73" s="1"/>
  <c r="D30" i="73"/>
  <c r="P29" i="73"/>
  <c r="G29" i="73"/>
  <c r="AD29" i="73" s="1"/>
  <c r="F29" i="73"/>
  <c r="AC29" i="73" s="1"/>
  <c r="E29" i="73"/>
  <c r="AB29" i="73" s="1"/>
  <c r="D29" i="73"/>
  <c r="P28" i="73"/>
  <c r="T5" i="92" s="1"/>
  <c r="G28" i="73"/>
  <c r="AD28" i="73" s="1"/>
  <c r="F28" i="73"/>
  <c r="AC28" i="73" s="1"/>
  <c r="E28" i="73"/>
  <c r="AB28" i="73" s="1"/>
  <c r="D28" i="73"/>
  <c r="P27" i="73"/>
  <c r="G27" i="73"/>
  <c r="AD27" i="73" s="1"/>
  <c r="F27" i="73"/>
  <c r="AC27" i="73" s="1"/>
  <c r="E27" i="73"/>
  <c r="AB27" i="73" s="1"/>
  <c r="D27" i="73"/>
  <c r="P26" i="73"/>
  <c r="G26" i="73"/>
  <c r="AD26" i="73" s="1"/>
  <c r="F26" i="73"/>
  <c r="AC26" i="73" s="1"/>
  <c r="E26" i="73"/>
  <c r="AB26" i="73" s="1"/>
  <c r="D26" i="73"/>
  <c r="P25" i="73"/>
  <c r="G25" i="73"/>
  <c r="AD25" i="73" s="1"/>
  <c r="F25" i="73"/>
  <c r="AC25" i="73" s="1"/>
  <c r="E25" i="73"/>
  <c r="AB25" i="73" s="1"/>
  <c r="D25" i="73"/>
  <c r="P24" i="73"/>
  <c r="P5" i="92" s="1"/>
  <c r="G24" i="73"/>
  <c r="AD24" i="73" s="1"/>
  <c r="E24" i="73"/>
  <c r="AB24" i="73" s="1"/>
  <c r="D24" i="73"/>
  <c r="P23" i="73"/>
  <c r="G23" i="73"/>
  <c r="AD23" i="73" s="1"/>
  <c r="F23" i="73"/>
  <c r="AC23" i="73" s="1"/>
  <c r="E23" i="73"/>
  <c r="AB23" i="73" s="1"/>
  <c r="D23" i="73"/>
  <c r="P22" i="73"/>
  <c r="N5" i="92" s="1"/>
  <c r="G22" i="73"/>
  <c r="AD22" i="73" s="1"/>
  <c r="F22" i="73"/>
  <c r="AC22" i="73" s="1"/>
  <c r="E22" i="73"/>
  <c r="AB22" i="73" s="1"/>
  <c r="D22" i="73"/>
  <c r="P21" i="73"/>
  <c r="M5" i="92" s="1"/>
  <c r="G21" i="73"/>
  <c r="AD21" i="73" s="1"/>
  <c r="F21" i="73"/>
  <c r="AC21" i="73" s="1"/>
  <c r="E21" i="73"/>
  <c r="AB21" i="73" s="1"/>
  <c r="D21" i="73"/>
  <c r="P20" i="73"/>
  <c r="L5" i="92" s="1"/>
  <c r="G20" i="73"/>
  <c r="AD20" i="73" s="1"/>
  <c r="F20" i="73"/>
  <c r="AC20" i="73" s="1"/>
  <c r="E20" i="73"/>
  <c r="AB20" i="73" s="1"/>
  <c r="D20" i="73"/>
  <c r="P19" i="73"/>
  <c r="K5" i="92" s="1"/>
  <c r="G19" i="73"/>
  <c r="AD19" i="73" s="1"/>
  <c r="F19" i="73"/>
  <c r="AC19" i="73" s="1"/>
  <c r="E19" i="73"/>
  <c r="AB19" i="73" s="1"/>
  <c r="D19" i="73"/>
  <c r="P18" i="73"/>
  <c r="J5" i="92" s="1"/>
  <c r="G18" i="73"/>
  <c r="AD18" i="73" s="1"/>
  <c r="F18" i="73"/>
  <c r="AC18" i="73" s="1"/>
  <c r="E18" i="73"/>
  <c r="AB18" i="73" s="1"/>
  <c r="D18" i="73"/>
  <c r="P17" i="73"/>
  <c r="G17" i="73"/>
  <c r="AD17" i="73" s="1"/>
  <c r="F17" i="73"/>
  <c r="AC17" i="73" s="1"/>
  <c r="E17" i="73"/>
  <c r="AB17" i="73" s="1"/>
  <c r="D17" i="73"/>
  <c r="P16" i="73"/>
  <c r="H5" i="92" s="1"/>
  <c r="G16" i="73"/>
  <c r="AD16" i="73" s="1"/>
  <c r="F16" i="73"/>
  <c r="AC16" i="73" s="1"/>
  <c r="E16" i="73"/>
  <c r="AB16" i="73" s="1"/>
  <c r="D16" i="73"/>
  <c r="P15" i="73"/>
  <c r="G5" i="92" s="1"/>
  <c r="G15" i="73"/>
  <c r="AD15" i="73" s="1"/>
  <c r="F15" i="73"/>
  <c r="AC15" i="73" s="1"/>
  <c r="E15" i="73"/>
  <c r="AB15" i="73" s="1"/>
  <c r="D15" i="73"/>
  <c r="P14" i="73"/>
  <c r="F5" i="92" s="1"/>
  <c r="G14" i="73"/>
  <c r="AD14" i="73" s="1"/>
  <c r="F14" i="73"/>
  <c r="AC14" i="73" s="1"/>
  <c r="E14" i="73"/>
  <c r="AB14" i="73" s="1"/>
  <c r="D14" i="73"/>
  <c r="P13" i="73"/>
  <c r="E5" i="92" s="1"/>
  <c r="G13" i="73"/>
  <c r="AD13" i="73" s="1"/>
  <c r="F13" i="73"/>
  <c r="AC13" i="73" s="1"/>
  <c r="E13" i="73"/>
  <c r="AB13" i="73" s="1"/>
  <c r="D13" i="73"/>
  <c r="P12" i="73"/>
  <c r="D5" i="92" s="1"/>
  <c r="G12" i="73"/>
  <c r="AD12" i="73" s="1"/>
  <c r="F12" i="73"/>
  <c r="AC12" i="73" s="1"/>
  <c r="E12" i="73"/>
  <c r="AB12" i="73" s="1"/>
  <c r="D12" i="73"/>
  <c r="P11" i="73"/>
  <c r="C5" i="92" s="1"/>
  <c r="G11" i="73"/>
  <c r="AD11" i="73" s="1"/>
  <c r="F11" i="73"/>
  <c r="AC11" i="73" s="1"/>
  <c r="E11" i="73"/>
  <c r="AB11" i="73" s="1"/>
  <c r="D11" i="73"/>
  <c r="P10" i="73"/>
  <c r="B5" i="92" s="1"/>
  <c r="G10" i="73"/>
  <c r="AD10" i="73" s="1"/>
  <c r="F10" i="73"/>
  <c r="AC10" i="73" s="1"/>
  <c r="E10" i="73"/>
  <c r="AB10" i="73" s="1"/>
  <c r="D10" i="73"/>
  <c r="AC97" i="73"/>
  <c r="AB97" i="73"/>
  <c r="AA97" i="73"/>
  <c r="Z97" i="73"/>
  <c r="Y97" i="73"/>
  <c r="AC96" i="73"/>
  <c r="AB96" i="73"/>
  <c r="AA96" i="73"/>
  <c r="Z96" i="73"/>
  <c r="Y96" i="73"/>
  <c r="AC95" i="73"/>
  <c r="AB95" i="73"/>
  <c r="AA95" i="73"/>
  <c r="Z95" i="73"/>
  <c r="Y95" i="73"/>
  <c r="AC94" i="73"/>
  <c r="AB94" i="73"/>
  <c r="AA94" i="73"/>
  <c r="Z94" i="73"/>
  <c r="Y94" i="73"/>
  <c r="AC93" i="73"/>
  <c r="AB93" i="73"/>
  <c r="AA93" i="73"/>
  <c r="Z93" i="73"/>
  <c r="Y93" i="73"/>
  <c r="AC92" i="73"/>
  <c r="AB92" i="73"/>
  <c r="AA92" i="73"/>
  <c r="Z92" i="73"/>
  <c r="Y92" i="73"/>
  <c r="AC91" i="73"/>
  <c r="AB91" i="73"/>
  <c r="AA91" i="73"/>
  <c r="Z91" i="73"/>
  <c r="Y91" i="73"/>
  <c r="AC90" i="73"/>
  <c r="AB90" i="73"/>
  <c r="Z90" i="73"/>
  <c r="Y90" i="73"/>
  <c r="AC89" i="73"/>
  <c r="AB89" i="73"/>
  <c r="AA89" i="73"/>
  <c r="Z89" i="73"/>
  <c r="Y89" i="73"/>
  <c r="AC88" i="73"/>
  <c r="AB88" i="73"/>
  <c r="AA88" i="73"/>
  <c r="Z88" i="73"/>
  <c r="Y88" i="73"/>
  <c r="AC87" i="73"/>
  <c r="AB87" i="73"/>
  <c r="AA87" i="73"/>
  <c r="Z87" i="73"/>
  <c r="Y87" i="73"/>
  <c r="AC86" i="73"/>
  <c r="AB86" i="73"/>
  <c r="AA86" i="73"/>
  <c r="Z86" i="73"/>
  <c r="Y86" i="73"/>
  <c r="AC85" i="73"/>
  <c r="AB85" i="73"/>
  <c r="AA85" i="73"/>
  <c r="Z85" i="73"/>
  <c r="Y85" i="73"/>
  <c r="AC84" i="73"/>
  <c r="AB84" i="73"/>
  <c r="AA84" i="73"/>
  <c r="Z84" i="73"/>
  <c r="Y84" i="73"/>
  <c r="AC83" i="73"/>
  <c r="AB83" i="73"/>
  <c r="AA83" i="73"/>
  <c r="Z83" i="73"/>
  <c r="Y83" i="73"/>
  <c r="AC82" i="73"/>
  <c r="AB82" i="73"/>
  <c r="AA82" i="73"/>
  <c r="Z82" i="73"/>
  <c r="Y82" i="73"/>
  <c r="AC81" i="73"/>
  <c r="AB81" i="73"/>
  <c r="AA81" i="73"/>
  <c r="Z81" i="73"/>
  <c r="Y81" i="73"/>
  <c r="AC80" i="73"/>
  <c r="AB80" i="73"/>
  <c r="AA80" i="73"/>
  <c r="Z80" i="73"/>
  <c r="Y80" i="73"/>
  <c r="AC79" i="73"/>
  <c r="AB79" i="73"/>
  <c r="AA79" i="73"/>
  <c r="Z79" i="73"/>
  <c r="Y79" i="73"/>
  <c r="AC78" i="73"/>
  <c r="AB78" i="73"/>
  <c r="AA78" i="73"/>
  <c r="Z78" i="73"/>
  <c r="Y78" i="73"/>
  <c r="AC77" i="73"/>
  <c r="AB77" i="73"/>
  <c r="AA77" i="73"/>
  <c r="Z77" i="73"/>
  <c r="Y77" i="73"/>
  <c r="AC76" i="73"/>
  <c r="AA76" i="73"/>
  <c r="Z76" i="73"/>
  <c r="Y76" i="73"/>
  <c r="AC132" i="72"/>
  <c r="AB132" i="72"/>
  <c r="AA132" i="72"/>
  <c r="Z132" i="72"/>
  <c r="Y132" i="72"/>
  <c r="AC131" i="72"/>
  <c r="AB131" i="72"/>
  <c r="AA131" i="72"/>
  <c r="Z131" i="72"/>
  <c r="Y131" i="72"/>
  <c r="AC130" i="72"/>
  <c r="AB130" i="72"/>
  <c r="AA130" i="72"/>
  <c r="Z130" i="72"/>
  <c r="Y130" i="72"/>
  <c r="AC129" i="72"/>
  <c r="AB129" i="72"/>
  <c r="AA129" i="72"/>
  <c r="Z129" i="72"/>
  <c r="Y129" i="72"/>
  <c r="AC128" i="72"/>
  <c r="AB128" i="72"/>
  <c r="AA128" i="72"/>
  <c r="Z128" i="72"/>
  <c r="Y128" i="72"/>
  <c r="AC127" i="72"/>
  <c r="AB127" i="72"/>
  <c r="AA127" i="72"/>
  <c r="Z127" i="72"/>
  <c r="Y127" i="72"/>
  <c r="AC126" i="72"/>
  <c r="AB126" i="72"/>
  <c r="AA126" i="72"/>
  <c r="Z126" i="72"/>
  <c r="Y126" i="72"/>
  <c r="AC125" i="72"/>
  <c r="AB125" i="72"/>
  <c r="Z125" i="72"/>
  <c r="Y125" i="72"/>
  <c r="AC124" i="72"/>
  <c r="AB124" i="72"/>
  <c r="AA124" i="72"/>
  <c r="Z124" i="72"/>
  <c r="Y124" i="72"/>
  <c r="AC123" i="72"/>
  <c r="AB123" i="72"/>
  <c r="AA123" i="72"/>
  <c r="Z123" i="72"/>
  <c r="Y123" i="72"/>
  <c r="AC122" i="72"/>
  <c r="AB122" i="72"/>
  <c r="AA122" i="72"/>
  <c r="Z122" i="72"/>
  <c r="Y122" i="72"/>
  <c r="AC121" i="72"/>
  <c r="AB121" i="72"/>
  <c r="AA121" i="72"/>
  <c r="Z121" i="72"/>
  <c r="Y121" i="72"/>
  <c r="AC120" i="72"/>
  <c r="AB120" i="72"/>
  <c r="AA120" i="72"/>
  <c r="Z120" i="72"/>
  <c r="Y120" i="72"/>
  <c r="AC119" i="72"/>
  <c r="AB119" i="72"/>
  <c r="AA119" i="72"/>
  <c r="Z119" i="72"/>
  <c r="Y119" i="72"/>
  <c r="AC118" i="72"/>
  <c r="AB118" i="72"/>
  <c r="AA118" i="72"/>
  <c r="Z118" i="72"/>
  <c r="Y118" i="72"/>
  <c r="AC117" i="72"/>
  <c r="AB117" i="72"/>
  <c r="AA117" i="72"/>
  <c r="Z117" i="72"/>
  <c r="Y117" i="72"/>
  <c r="AC116" i="72"/>
  <c r="AB116" i="72"/>
  <c r="AA116" i="72"/>
  <c r="Z116" i="72"/>
  <c r="Y116" i="72"/>
  <c r="AC115" i="72"/>
  <c r="AB115" i="72"/>
  <c r="AA115" i="72"/>
  <c r="Z115" i="72"/>
  <c r="Y115" i="72"/>
  <c r="AC114" i="72"/>
  <c r="AB114" i="72"/>
  <c r="AA114" i="72"/>
  <c r="Z114" i="72"/>
  <c r="Y114" i="72"/>
  <c r="AC113" i="72"/>
  <c r="AB113" i="72"/>
  <c r="AA113" i="72"/>
  <c r="Z113" i="72"/>
  <c r="Y113" i="72"/>
  <c r="AC112" i="72"/>
  <c r="AB112" i="72"/>
  <c r="AA112" i="72"/>
  <c r="Z112" i="72"/>
  <c r="Y112" i="72"/>
  <c r="AC111" i="72"/>
  <c r="AB111" i="72"/>
  <c r="AA111" i="72"/>
  <c r="Z111" i="72"/>
  <c r="Y111" i="72"/>
  <c r="AS61" i="82" l="1"/>
  <c r="AX61" i="82"/>
  <c r="AR61" i="82"/>
  <c r="AW61" i="82"/>
  <c r="AY61" i="82"/>
  <c r="AT61" i="82"/>
  <c r="AW54" i="82"/>
  <c r="AR54" i="82"/>
  <c r="AW53" i="82"/>
  <c r="AR53" i="82"/>
  <c r="AR57" i="82"/>
  <c r="AW57" i="82"/>
  <c r="AV26" i="66"/>
  <c r="AX26" i="66" s="1"/>
  <c r="AU61" i="82"/>
  <c r="AZ61" i="82"/>
  <c r="AX54" i="82"/>
  <c r="AS54" i="82"/>
  <c r="AX53" i="82"/>
  <c r="AS53" i="82"/>
  <c r="AX57" i="82"/>
  <c r="AS57" i="82"/>
  <c r="AW60" i="82"/>
  <c r="AR60" i="82"/>
  <c r="AV27" i="66"/>
  <c r="AX27" i="66" s="1"/>
  <c r="AV20" i="66"/>
  <c r="AX20" i="66" s="1"/>
  <c r="AW64" i="82"/>
  <c r="AR64" i="82"/>
  <c r="Y8" i="92" a="1"/>
  <c r="Y8" i="92" s="1"/>
  <c r="Z42" i="62" s="1"/>
  <c r="AV61" i="82"/>
  <c r="BA61" i="82"/>
  <c r="AY53" i="82"/>
  <c r="AT53" i="82"/>
  <c r="AY57" i="82"/>
  <c r="AT57" i="82"/>
  <c r="AX60" i="82"/>
  <c r="AS60" i="82"/>
  <c r="AW49" i="82"/>
  <c r="AR49" i="82"/>
  <c r="AW42" i="82"/>
  <c r="AR42" i="82"/>
  <c r="AR50" i="82"/>
  <c r="AW50" i="82"/>
  <c r="AW40" i="82"/>
  <c r="AR40" i="82"/>
  <c r="AW48" i="82"/>
  <c r="AR48" i="82"/>
  <c r="AR58" i="82"/>
  <c r="AW58" i="82"/>
  <c r="AR59" i="82"/>
  <c r="AW59" i="82"/>
  <c r="AR46" i="82"/>
  <c r="AW46" i="82"/>
  <c r="AW51" i="82"/>
  <c r="AR51" i="82"/>
  <c r="BA50" i="82"/>
  <c r="AV50" i="82"/>
  <c r="Y12" i="92" a="1"/>
  <c r="Y12" i="92" s="1"/>
  <c r="Z42" i="66" s="1"/>
  <c r="Z12" i="92" a="1"/>
  <c r="Z12" i="92" s="1"/>
  <c r="AA42" i="66" s="1"/>
  <c r="AA12" i="92" a="1"/>
  <c r="AA12" i="92" s="1"/>
  <c r="AD41" i="66" s="1"/>
  <c r="AD42" i="66" s="1"/>
  <c r="AA11" i="92" a="1"/>
  <c r="AA11" i="92" s="1"/>
  <c r="AD41" i="65" s="1"/>
  <c r="AD42" i="65" s="1"/>
  <c r="Z11" i="92" a="1"/>
  <c r="Z11" i="92" s="1"/>
  <c r="AA42" i="65" s="1"/>
  <c r="Y11" i="92" a="1"/>
  <c r="Y11" i="92" s="1"/>
  <c r="Z42" i="65" s="1"/>
  <c r="AA10" i="92" a="1"/>
  <c r="AA10" i="92" s="1"/>
  <c r="AD41" i="64" s="1"/>
  <c r="AD42" i="64" s="1"/>
  <c r="Y10" i="92" a="1"/>
  <c r="Y10" i="92" s="1"/>
  <c r="Z42" i="64" s="1"/>
  <c r="Z10" i="92" a="1"/>
  <c r="Z10" i="92" s="1"/>
  <c r="AA42" i="64" s="1"/>
  <c r="Z8" i="92" a="1"/>
  <c r="Z8" i="92" s="1"/>
  <c r="AA42" i="62" s="1"/>
  <c r="AA8" i="92" a="1"/>
  <c r="AA8" i="92" s="1"/>
  <c r="AD41" i="62" s="1"/>
  <c r="AD42" i="62" s="1"/>
  <c r="AA13" i="92" a="1"/>
  <c r="AA13" i="92" s="1"/>
  <c r="AD41" i="67" s="1"/>
  <c r="AD42" i="67" s="1"/>
  <c r="Z13" i="92" a="1"/>
  <c r="Z13" i="92" s="1"/>
  <c r="AA42" i="67" s="1"/>
  <c r="Y13" i="92" a="1"/>
  <c r="Y13" i="92" s="1"/>
  <c r="Z42" i="67" s="1"/>
  <c r="AA9" i="92" a="1"/>
  <c r="AA9" i="92" s="1"/>
  <c r="AD41" i="63" s="1"/>
  <c r="AD42" i="63" s="1"/>
  <c r="Y9" i="92" a="1"/>
  <c r="Y9" i="92" s="1"/>
  <c r="Z42" i="63" s="1"/>
  <c r="Z9" i="92" a="1"/>
  <c r="Z9" i="92" s="1"/>
  <c r="AA42" i="63" s="1"/>
  <c r="AX64" i="82"/>
  <c r="AS64" i="82"/>
  <c r="AY64" i="82"/>
  <c r="AT64" i="82"/>
  <c r="AT56" i="82"/>
  <c r="AY56" i="82"/>
  <c r="AX56" i="82"/>
  <c r="AS56" i="82"/>
  <c r="AR56" i="82"/>
  <c r="AW56" i="82"/>
  <c r="AU56" i="82"/>
  <c r="AZ56" i="82"/>
  <c r="BA56" i="82"/>
  <c r="AV56" i="82"/>
  <c r="AU53" i="82"/>
  <c r="AZ53" i="82"/>
  <c r="AU57" i="82"/>
  <c r="AZ57" i="82"/>
  <c r="AY60" i="82"/>
  <c r="AT60" i="82"/>
  <c r="AS42" i="82"/>
  <c r="AX42" i="82"/>
  <c r="AX46" i="82"/>
  <c r="AS46" i="82"/>
  <c r="AX50" i="82"/>
  <c r="AS50" i="82"/>
  <c r="AX51" i="82"/>
  <c r="AS51" i="82"/>
  <c r="AS40" i="82"/>
  <c r="AX40" i="82"/>
  <c r="AX48" i="82"/>
  <c r="AS48" i="82"/>
  <c r="AS58" i="82"/>
  <c r="AX58" i="82"/>
  <c r="AS49" i="82"/>
  <c r="AX49" i="82"/>
  <c r="AS59" i="82"/>
  <c r="AX59" i="82"/>
  <c r="Q127" i="68"/>
  <c r="Q135" i="68"/>
  <c r="AV49" i="82"/>
  <c r="BA49" i="82"/>
  <c r="AV57" i="82"/>
  <c r="BA57" i="82"/>
  <c r="AV53" i="82"/>
  <c r="BA53" i="82"/>
  <c r="AR43" i="82"/>
  <c r="AW43" i="82"/>
  <c r="AT40" i="82"/>
  <c r="AY40" i="82"/>
  <c r="AG17" i="73"/>
  <c r="I5" i="92"/>
  <c r="AG24" i="73"/>
  <c r="Q5" i="92"/>
  <c r="AG26" i="73"/>
  <c r="U5" i="92"/>
  <c r="Q23" i="73"/>
  <c r="Q27" i="73"/>
  <c r="Q26" i="73"/>
  <c r="AU40" i="82"/>
  <c r="AZ40" i="82"/>
  <c r="AU60" i="82"/>
  <c r="AZ60" i="82"/>
  <c r="AY49" i="82"/>
  <c r="AT49" i="82"/>
  <c r="AY58" i="82"/>
  <c r="AT58" i="82"/>
  <c r="AY42" i="82"/>
  <c r="AT42" i="82"/>
  <c r="AY46" i="82"/>
  <c r="AT46" i="82"/>
  <c r="AY50" i="82"/>
  <c r="AT50" i="82"/>
  <c r="AT59" i="82"/>
  <c r="AY59" i="82"/>
  <c r="AY51" i="82"/>
  <c r="AT51" i="82"/>
  <c r="AT48" i="82"/>
  <c r="AY48" i="82"/>
  <c r="AX43" i="82"/>
  <c r="AS43" i="82"/>
  <c r="AR47" i="82"/>
  <c r="AW47" i="82"/>
  <c r="AR55" i="82"/>
  <c r="AW55" i="82"/>
  <c r="AW44" i="82"/>
  <c r="AR44" i="82"/>
  <c r="AR41" i="82"/>
  <c r="AW41" i="82"/>
  <c r="AW45" i="82"/>
  <c r="AR45" i="82"/>
  <c r="BA42" i="82"/>
  <c r="AV42" i="82"/>
  <c r="AZ64" i="82"/>
  <c r="AU64" i="82"/>
  <c r="Q122" i="68"/>
  <c r="Q18" i="68"/>
  <c r="AE13" i="74"/>
  <c r="Y13" i="74"/>
  <c r="AE17" i="74"/>
  <c r="Y17" i="74"/>
  <c r="AE21" i="74"/>
  <c r="Y21" i="74"/>
  <c r="AE25" i="74"/>
  <c r="Y25" i="74"/>
  <c r="Z25" i="74"/>
  <c r="AE29" i="74"/>
  <c r="Y29" i="74"/>
  <c r="AC76" i="82"/>
  <c r="H76" i="82" s="1"/>
  <c r="Z10" i="49"/>
  <c r="AC80" i="82"/>
  <c r="H80" i="82" s="1"/>
  <c r="Z14" i="49"/>
  <c r="AC84" i="82"/>
  <c r="H84" i="82" s="1"/>
  <c r="BA48" i="82" s="1"/>
  <c r="Z18" i="49"/>
  <c r="AC88" i="82"/>
  <c r="H88" i="82" s="1"/>
  <c r="AA22" i="49"/>
  <c r="Z22" i="49"/>
  <c r="AA26" i="49"/>
  <c r="Z26" i="49"/>
  <c r="Z31" i="49"/>
  <c r="AE10" i="74"/>
  <c r="Y10" i="74"/>
  <c r="AE18" i="74"/>
  <c r="Y18" i="74"/>
  <c r="AE22" i="74"/>
  <c r="Y22" i="74"/>
  <c r="Z22" i="74"/>
  <c r="AE30" i="74"/>
  <c r="Y30" i="74"/>
  <c r="Z30" i="74"/>
  <c r="AC77" i="82"/>
  <c r="H77" i="82" s="1"/>
  <c r="AV41" i="82" s="1"/>
  <c r="Z11" i="49"/>
  <c r="AC81" i="82"/>
  <c r="H81" i="82" s="1"/>
  <c r="BA45" i="82" s="1"/>
  <c r="Z15" i="49"/>
  <c r="Z19" i="49"/>
  <c r="AE11" i="74"/>
  <c r="Y11" i="74"/>
  <c r="Z11" i="74"/>
  <c r="AE15" i="74"/>
  <c r="Y15" i="74"/>
  <c r="AE19" i="74"/>
  <c r="Y19" i="74"/>
  <c r="Z19" i="74"/>
  <c r="AE23" i="74"/>
  <c r="Y23" i="74"/>
  <c r="AE27" i="74"/>
  <c r="Y27" i="74"/>
  <c r="Z27" i="74"/>
  <c r="AE31" i="74"/>
  <c r="Y31" i="74"/>
  <c r="Z12" i="49"/>
  <c r="AC82" i="82"/>
  <c r="H82" i="82" s="1"/>
  <c r="AV46" i="82" s="1"/>
  <c r="Z16" i="49"/>
  <c r="Z20" i="49"/>
  <c r="AC90" i="82"/>
  <c r="H90" i="82" s="1"/>
  <c r="BA54" i="82" s="1"/>
  <c r="Z24" i="49"/>
  <c r="AC95" i="82"/>
  <c r="H95" i="82" s="1"/>
  <c r="AV59" i="82" s="1"/>
  <c r="Z29" i="49"/>
  <c r="AE14" i="74"/>
  <c r="Y14" i="74"/>
  <c r="AE26" i="74"/>
  <c r="Y26" i="74"/>
  <c r="Z26" i="74"/>
  <c r="Z23" i="49"/>
  <c r="AC94" i="82"/>
  <c r="H94" i="82" s="1"/>
  <c r="BA58" i="82" s="1"/>
  <c r="Z28" i="49"/>
  <c r="AE12" i="74"/>
  <c r="Y12" i="74"/>
  <c r="AE16" i="74"/>
  <c r="Y16" i="74"/>
  <c r="AE20" i="74"/>
  <c r="Y20" i="74"/>
  <c r="Z20" i="74"/>
  <c r="AE24" i="74"/>
  <c r="Y24" i="74"/>
  <c r="Z24" i="74"/>
  <c r="AE28" i="74"/>
  <c r="Y28" i="74"/>
  <c r="Z28" i="74"/>
  <c r="AC79" i="82"/>
  <c r="H79" i="82" s="1"/>
  <c r="Z13" i="49"/>
  <c r="AC83" i="82"/>
  <c r="H83" i="82" s="1"/>
  <c r="Z17" i="49"/>
  <c r="AC87" i="82"/>
  <c r="H87" i="82" s="1"/>
  <c r="AV51" i="82" s="1"/>
  <c r="Z21" i="49"/>
  <c r="AC91" i="82"/>
  <c r="H91" i="82" s="1"/>
  <c r="BA55" i="82" s="1"/>
  <c r="Z25" i="49"/>
  <c r="AC96" i="82"/>
  <c r="H96" i="82" s="1"/>
  <c r="Z30" i="49"/>
  <c r="AA27" i="49"/>
  <c r="Z27" i="49"/>
  <c r="Q25" i="68"/>
  <c r="Q128" i="68"/>
  <c r="Q24" i="68"/>
  <c r="Q31" i="68"/>
  <c r="Q117" i="68"/>
  <c r="Q119" i="68"/>
  <c r="Q126" i="68"/>
  <c r="Q118" i="68"/>
  <c r="Q30" i="68"/>
  <c r="Q14" i="68"/>
  <c r="Q125" i="68"/>
  <c r="Q123" i="68"/>
  <c r="AU41" i="82"/>
  <c r="AZ41" i="82"/>
  <c r="AZ45" i="82"/>
  <c r="AU45" i="82"/>
  <c r="AX47" i="82"/>
  <c r="AS47" i="82"/>
  <c r="AZ49" i="82"/>
  <c r="AU49" i="82"/>
  <c r="D88" i="82"/>
  <c r="Y98" i="82"/>
  <c r="D98" i="82" s="1"/>
  <c r="AX55" i="82"/>
  <c r="AS55" i="82"/>
  <c r="AZ58" i="82"/>
  <c r="AU58" i="82"/>
  <c r="AZ42" i="82"/>
  <c r="AU42" i="82"/>
  <c r="AZ46" i="82"/>
  <c r="AU46" i="82"/>
  <c r="AY47" i="82"/>
  <c r="AT47" i="82"/>
  <c r="AZ50" i="82"/>
  <c r="AU50" i="82"/>
  <c r="AS52" i="82"/>
  <c r="AX52" i="82"/>
  <c r="AU54" i="82"/>
  <c r="AZ54" i="82"/>
  <c r="AY55" i="82"/>
  <c r="AT55" i="82"/>
  <c r="AZ59" i="82"/>
  <c r="AU59" i="82"/>
  <c r="AW12" i="66"/>
  <c r="AX12" i="66" s="1"/>
  <c r="AS41" i="82"/>
  <c r="AX41" i="82"/>
  <c r="AX45" i="82"/>
  <c r="AS45" i="82"/>
  <c r="AU47" i="82"/>
  <c r="AZ47" i="82"/>
  <c r="AY52" i="82"/>
  <c r="AT52" i="82"/>
  <c r="AZ55" i="82"/>
  <c r="AU55" i="82"/>
  <c r="AY41" i="82"/>
  <c r="AT41" i="82"/>
  <c r="AY45" i="82"/>
  <c r="AT45" i="82"/>
  <c r="AU48" i="82"/>
  <c r="AZ48" i="82"/>
  <c r="AZ52" i="82"/>
  <c r="AU52" i="82"/>
  <c r="AU43" i="82"/>
  <c r="AZ43" i="82"/>
  <c r="AT43" i="82"/>
  <c r="AY43" i="82"/>
  <c r="AZ51" i="82"/>
  <c r="AU51" i="82"/>
  <c r="G80" i="82"/>
  <c r="AB98" i="82"/>
  <c r="G98" i="82" s="1"/>
  <c r="F80" i="82"/>
  <c r="E80" i="82"/>
  <c r="Z98" i="82"/>
  <c r="E98" i="82" s="1"/>
  <c r="H115" i="62"/>
  <c r="AF13" i="49"/>
  <c r="H119" i="62"/>
  <c r="AF17" i="49"/>
  <c r="H123" i="62"/>
  <c r="AF21" i="49"/>
  <c r="H127" i="62"/>
  <c r="AF25" i="49"/>
  <c r="H132" i="62"/>
  <c r="AF30" i="49"/>
  <c r="H129" i="62"/>
  <c r="AF27" i="49"/>
  <c r="H112" i="62"/>
  <c r="AF10" i="49"/>
  <c r="H116" i="62"/>
  <c r="AF14" i="49"/>
  <c r="H120" i="62"/>
  <c r="AF18" i="49"/>
  <c r="H124" i="62"/>
  <c r="AF22" i="49"/>
  <c r="H128" i="62"/>
  <c r="AF26" i="49"/>
  <c r="H133" i="62"/>
  <c r="AF31" i="49"/>
  <c r="H113" i="62"/>
  <c r="AF11" i="49"/>
  <c r="H117" i="62"/>
  <c r="AF15" i="49"/>
  <c r="H121" i="62"/>
  <c r="AF19" i="49"/>
  <c r="H125" i="62"/>
  <c r="AF23" i="49"/>
  <c r="H130" i="62"/>
  <c r="AF28" i="49"/>
  <c r="H114" i="62"/>
  <c r="AF12" i="49"/>
  <c r="H118" i="62"/>
  <c r="AF16" i="49"/>
  <c r="H122" i="62"/>
  <c r="AF20" i="49"/>
  <c r="H126" i="62"/>
  <c r="AF24" i="49"/>
  <c r="H131" i="62"/>
  <c r="AF29" i="49"/>
  <c r="AD32" i="74"/>
  <c r="AD32" i="73"/>
  <c r="AB32" i="74"/>
  <c r="AB32" i="73"/>
  <c r="L15" i="73"/>
  <c r="AA15" i="73"/>
  <c r="L23" i="73"/>
  <c r="AA23" i="73"/>
  <c r="L31" i="73"/>
  <c r="AA31" i="73"/>
  <c r="L12" i="73"/>
  <c r="AA12" i="73"/>
  <c r="L20" i="73"/>
  <c r="AA20" i="73"/>
  <c r="L28" i="73"/>
  <c r="AA28" i="73"/>
  <c r="L13" i="73"/>
  <c r="AA13" i="73"/>
  <c r="L17" i="73"/>
  <c r="AA17" i="73"/>
  <c r="L21" i="73"/>
  <c r="AA21" i="73"/>
  <c r="L25" i="73"/>
  <c r="AA25" i="73"/>
  <c r="L29" i="73"/>
  <c r="AA29" i="73"/>
  <c r="L11" i="73"/>
  <c r="AA11" i="73"/>
  <c r="L19" i="73"/>
  <c r="AA19" i="73"/>
  <c r="L27" i="73"/>
  <c r="AA27" i="73"/>
  <c r="L16" i="73"/>
  <c r="AA16" i="73"/>
  <c r="L24" i="73"/>
  <c r="AA24" i="73"/>
  <c r="L14" i="73"/>
  <c r="AA14" i="73"/>
  <c r="L18" i="73"/>
  <c r="AA18" i="73"/>
  <c r="L22" i="73"/>
  <c r="AA22" i="73"/>
  <c r="L26" i="73"/>
  <c r="AA26" i="73"/>
  <c r="L30" i="73"/>
  <c r="AA30" i="73"/>
  <c r="L10" i="74"/>
  <c r="AA10" i="74"/>
  <c r="AA32" i="74" s="1"/>
  <c r="L10" i="73"/>
  <c r="AA10" i="73"/>
  <c r="F114" i="62"/>
  <c r="AD12" i="49"/>
  <c r="F122" i="62"/>
  <c r="AD20" i="49"/>
  <c r="F115" i="62"/>
  <c r="AD13" i="49"/>
  <c r="F123" i="62"/>
  <c r="AD21" i="49"/>
  <c r="F127" i="62"/>
  <c r="AD25" i="49"/>
  <c r="F132" i="62"/>
  <c r="AD30" i="49"/>
  <c r="F112" i="62"/>
  <c r="AD10" i="49"/>
  <c r="F120" i="62"/>
  <c r="AD18" i="49"/>
  <c r="F128" i="62"/>
  <c r="AD26" i="49"/>
  <c r="F118" i="62"/>
  <c r="AD16" i="49"/>
  <c r="F131" i="62"/>
  <c r="AD29" i="49"/>
  <c r="F119" i="62"/>
  <c r="AD17" i="49"/>
  <c r="F129" i="62"/>
  <c r="AD27" i="49"/>
  <c r="F116" i="62"/>
  <c r="AD14" i="49"/>
  <c r="F124" i="62"/>
  <c r="AD22" i="49"/>
  <c r="F133" i="62"/>
  <c r="AD31" i="49"/>
  <c r="F113" i="62"/>
  <c r="AD11" i="49"/>
  <c r="F117" i="62"/>
  <c r="AD15" i="49"/>
  <c r="F121" i="62"/>
  <c r="AD19" i="49"/>
  <c r="F125" i="62"/>
  <c r="AD23" i="49"/>
  <c r="F130" i="62"/>
  <c r="AD28" i="49"/>
  <c r="G115" i="62"/>
  <c r="AE13" i="49"/>
  <c r="G127" i="62"/>
  <c r="AE25" i="49"/>
  <c r="G120" i="62"/>
  <c r="AE18" i="49"/>
  <c r="G128" i="62"/>
  <c r="AE26" i="49"/>
  <c r="G114" i="62"/>
  <c r="AE12" i="49"/>
  <c r="G118" i="62"/>
  <c r="AE16" i="49"/>
  <c r="G122" i="62"/>
  <c r="AE20" i="49"/>
  <c r="G126" i="62"/>
  <c r="AE24" i="49"/>
  <c r="G131" i="62"/>
  <c r="AE29" i="49"/>
  <c r="G119" i="62"/>
  <c r="AE17" i="49"/>
  <c r="G123" i="62"/>
  <c r="AE21" i="49"/>
  <c r="G132" i="62"/>
  <c r="AE30" i="49"/>
  <c r="G129" i="62"/>
  <c r="AE27" i="49"/>
  <c r="G116" i="62"/>
  <c r="AE14" i="49"/>
  <c r="G124" i="62"/>
  <c r="AE22" i="49"/>
  <c r="G133" i="62"/>
  <c r="AE31" i="49"/>
  <c r="G113" i="62"/>
  <c r="AE11" i="49"/>
  <c r="G117" i="62"/>
  <c r="AE15" i="49"/>
  <c r="G121" i="62"/>
  <c r="AE19" i="49"/>
  <c r="G125" i="62"/>
  <c r="AE23" i="49"/>
  <c r="G130" i="62"/>
  <c r="AE28" i="49"/>
  <c r="G112" i="62"/>
  <c r="AE10" i="49"/>
  <c r="D118" i="62"/>
  <c r="AB16" i="49"/>
  <c r="D122" i="62"/>
  <c r="AB20" i="49"/>
  <c r="D131" i="62"/>
  <c r="AB29" i="49"/>
  <c r="AF115" i="49"/>
  <c r="D116" i="49" s="1"/>
  <c r="AF123" i="49"/>
  <c r="D124" i="49" s="1"/>
  <c r="AF132" i="49"/>
  <c r="D133" i="49" s="1"/>
  <c r="D115" i="62"/>
  <c r="AB13" i="49"/>
  <c r="D123" i="62"/>
  <c r="AB21" i="49"/>
  <c r="D132" i="62"/>
  <c r="AB30" i="49"/>
  <c r="AF116" i="49"/>
  <c r="D117" i="49" s="1"/>
  <c r="AF124" i="49"/>
  <c r="D125" i="49" s="1"/>
  <c r="D113" i="62"/>
  <c r="AB11" i="49"/>
  <c r="D117" i="62"/>
  <c r="AB15" i="49"/>
  <c r="D121" i="62"/>
  <c r="AB19" i="49"/>
  <c r="D125" i="62"/>
  <c r="AB23" i="49"/>
  <c r="D130" i="62"/>
  <c r="AB28" i="49"/>
  <c r="AF114" i="49"/>
  <c r="D115" i="49" s="1"/>
  <c r="AF118" i="49"/>
  <c r="D119" i="49" s="1"/>
  <c r="AF122" i="49"/>
  <c r="D123" i="49" s="1"/>
  <c r="AF126" i="49"/>
  <c r="D127" i="49" s="1"/>
  <c r="AF131" i="49"/>
  <c r="D132" i="49" s="1"/>
  <c r="D114" i="62"/>
  <c r="AB12" i="49"/>
  <c r="D126" i="62"/>
  <c r="AB24" i="49"/>
  <c r="AF111" i="49"/>
  <c r="D112" i="49" s="1"/>
  <c r="AF119" i="49"/>
  <c r="D120" i="49" s="1"/>
  <c r="AF127" i="49"/>
  <c r="D128" i="49" s="1"/>
  <c r="D119" i="62"/>
  <c r="AB17" i="49"/>
  <c r="D127" i="62"/>
  <c r="AB25" i="49"/>
  <c r="AF112" i="49"/>
  <c r="D113" i="49" s="1"/>
  <c r="AF120" i="49"/>
  <c r="D121" i="49" s="1"/>
  <c r="AF129" i="49"/>
  <c r="D130" i="49" s="1"/>
  <c r="D129" i="62"/>
  <c r="AB27" i="49"/>
  <c r="D112" i="62"/>
  <c r="AB10" i="49"/>
  <c r="D116" i="62"/>
  <c r="AB14" i="49"/>
  <c r="D120" i="62"/>
  <c r="AB18" i="49"/>
  <c r="D124" i="62"/>
  <c r="AB22" i="49"/>
  <c r="D128" i="62"/>
  <c r="AB26" i="49"/>
  <c r="D133" i="62"/>
  <c r="AB31" i="49"/>
  <c r="AF113" i="49"/>
  <c r="D114" i="49" s="1"/>
  <c r="AF117" i="49"/>
  <c r="D118" i="49" s="1"/>
  <c r="AF121" i="49"/>
  <c r="D122" i="49" s="1"/>
  <c r="AF125" i="49"/>
  <c r="D126" i="49" s="1"/>
  <c r="AF130" i="49"/>
  <c r="D131" i="49" s="1"/>
  <c r="AF128" i="49"/>
  <c r="D129" i="49" s="1"/>
  <c r="E112" i="62"/>
  <c r="AC10" i="49"/>
  <c r="E116" i="62"/>
  <c r="AC14" i="49"/>
  <c r="E120" i="62"/>
  <c r="AC18" i="49"/>
  <c r="E124" i="62"/>
  <c r="AC22" i="49"/>
  <c r="E128" i="62"/>
  <c r="AC26" i="49"/>
  <c r="E133" i="62"/>
  <c r="AC31" i="49"/>
  <c r="E113" i="62"/>
  <c r="AC11" i="49"/>
  <c r="E117" i="62"/>
  <c r="AC15" i="49"/>
  <c r="E121" i="62"/>
  <c r="AC19" i="49"/>
  <c r="E125" i="62"/>
  <c r="AC23" i="49"/>
  <c r="E130" i="62"/>
  <c r="AC28" i="49"/>
  <c r="E114" i="62"/>
  <c r="AC12" i="49"/>
  <c r="E118" i="62"/>
  <c r="AC16" i="49"/>
  <c r="E122" i="62"/>
  <c r="AC20" i="49"/>
  <c r="E126" i="62"/>
  <c r="AC24" i="49"/>
  <c r="E131" i="62"/>
  <c r="AC29" i="49"/>
  <c r="E115" i="62"/>
  <c r="AC13" i="49"/>
  <c r="E119" i="62"/>
  <c r="AC17" i="49"/>
  <c r="E123" i="62"/>
  <c r="AC21" i="49"/>
  <c r="E127" i="62"/>
  <c r="AC25" i="49"/>
  <c r="E132" i="62"/>
  <c r="AC30" i="49"/>
  <c r="E129" i="62"/>
  <c r="AC27" i="49"/>
  <c r="AG113" i="49"/>
  <c r="E114" i="49" s="1"/>
  <c r="AG121" i="49"/>
  <c r="E122" i="49" s="1"/>
  <c r="AG130" i="49"/>
  <c r="E131" i="49" s="1"/>
  <c r="AG118" i="49"/>
  <c r="E119" i="49" s="1"/>
  <c r="AG126" i="49"/>
  <c r="E127" i="49" s="1"/>
  <c r="AG111" i="49"/>
  <c r="E112" i="49" s="1"/>
  <c r="AG115" i="49"/>
  <c r="E116" i="49" s="1"/>
  <c r="AG119" i="49"/>
  <c r="E120" i="49" s="1"/>
  <c r="AG123" i="49"/>
  <c r="E124" i="49" s="1"/>
  <c r="AG127" i="49"/>
  <c r="E128" i="49" s="1"/>
  <c r="AG132" i="49"/>
  <c r="E133" i="49" s="1"/>
  <c r="AG117" i="49"/>
  <c r="E118" i="49" s="1"/>
  <c r="AG125" i="49"/>
  <c r="E126" i="49" s="1"/>
  <c r="AG128" i="49"/>
  <c r="E129" i="49" s="1"/>
  <c r="AG114" i="49"/>
  <c r="E115" i="49" s="1"/>
  <c r="AG122" i="49"/>
  <c r="E123" i="49" s="1"/>
  <c r="AG131" i="49"/>
  <c r="E132" i="49" s="1"/>
  <c r="AG112" i="49"/>
  <c r="E113" i="49" s="1"/>
  <c r="AG120" i="49"/>
  <c r="E121" i="49" s="1"/>
  <c r="AG124" i="49"/>
  <c r="E125" i="49" s="1"/>
  <c r="AG129" i="49"/>
  <c r="E130" i="49" s="1"/>
  <c r="AG116" i="49"/>
  <c r="AH118" i="49"/>
  <c r="F119" i="49" s="1"/>
  <c r="AH112" i="49"/>
  <c r="F113" i="49" s="1"/>
  <c r="AH120" i="49"/>
  <c r="F121" i="49" s="1"/>
  <c r="AH124" i="49"/>
  <c r="F125" i="49" s="1"/>
  <c r="AH129" i="49"/>
  <c r="F130" i="49" s="1"/>
  <c r="AH113" i="49"/>
  <c r="F114" i="49" s="1"/>
  <c r="AH117" i="49"/>
  <c r="F118" i="49" s="1"/>
  <c r="AH121" i="49"/>
  <c r="F122" i="49" s="1"/>
  <c r="AH130" i="49"/>
  <c r="F131" i="49" s="1"/>
  <c r="AH128" i="49"/>
  <c r="F129" i="49" s="1"/>
  <c r="AH114" i="49"/>
  <c r="F115" i="49" s="1"/>
  <c r="AH122" i="49"/>
  <c r="F123" i="49" s="1"/>
  <c r="AH126" i="49"/>
  <c r="F127" i="49" s="1"/>
  <c r="AH131" i="49"/>
  <c r="F132" i="49" s="1"/>
  <c r="AH111" i="49"/>
  <c r="F112" i="49" s="1"/>
  <c r="AH115" i="49"/>
  <c r="F116" i="49" s="1"/>
  <c r="AH119" i="49"/>
  <c r="F120" i="49" s="1"/>
  <c r="AH123" i="49"/>
  <c r="F124" i="49" s="1"/>
  <c r="AH127" i="49"/>
  <c r="F128" i="49" s="1"/>
  <c r="AH132" i="49"/>
  <c r="F133" i="49" s="1"/>
  <c r="AH116" i="49"/>
  <c r="F117" i="49" s="1"/>
  <c r="AJ114" i="49"/>
  <c r="H115" i="49" s="1"/>
  <c r="AJ118" i="49"/>
  <c r="H119" i="49" s="1"/>
  <c r="AJ122" i="49"/>
  <c r="H123" i="49" s="1"/>
  <c r="AJ126" i="49"/>
  <c r="H127" i="49" s="1"/>
  <c r="AJ131" i="49"/>
  <c r="H132" i="49" s="1"/>
  <c r="AJ111" i="49"/>
  <c r="H112" i="49" s="1"/>
  <c r="AJ115" i="49"/>
  <c r="H116" i="49" s="1"/>
  <c r="AJ119" i="49"/>
  <c r="H120" i="49" s="1"/>
  <c r="AJ123" i="49"/>
  <c r="H124" i="49" s="1"/>
  <c r="AJ127" i="49"/>
  <c r="H128" i="49" s="1"/>
  <c r="AJ132" i="49"/>
  <c r="H133" i="49" s="1"/>
  <c r="AJ112" i="49"/>
  <c r="H113" i="49" s="1"/>
  <c r="AJ116" i="49"/>
  <c r="H117" i="49" s="1"/>
  <c r="AJ120" i="49"/>
  <c r="H121" i="49" s="1"/>
  <c r="AJ124" i="49"/>
  <c r="H125" i="49" s="1"/>
  <c r="AJ129" i="49"/>
  <c r="H130" i="49" s="1"/>
  <c r="AJ113" i="49"/>
  <c r="H114" i="49" s="1"/>
  <c r="AJ117" i="49"/>
  <c r="H118" i="49" s="1"/>
  <c r="AJ121" i="49"/>
  <c r="H122" i="49" s="1"/>
  <c r="AJ125" i="49"/>
  <c r="H126" i="49" s="1"/>
  <c r="AJ130" i="49"/>
  <c r="H131" i="49" s="1"/>
  <c r="AJ128" i="49"/>
  <c r="H129" i="49" s="1"/>
  <c r="AI111" i="49"/>
  <c r="G112" i="49" s="1"/>
  <c r="AI115" i="49"/>
  <c r="G116" i="49" s="1"/>
  <c r="AI119" i="49"/>
  <c r="G120" i="49" s="1"/>
  <c r="AI123" i="49"/>
  <c r="G124" i="49" s="1"/>
  <c r="AI127" i="49"/>
  <c r="G128" i="49" s="1"/>
  <c r="AI132" i="49"/>
  <c r="G133" i="49" s="1"/>
  <c r="AI112" i="49"/>
  <c r="G113" i="49" s="1"/>
  <c r="AI116" i="49"/>
  <c r="G117" i="49" s="1"/>
  <c r="AI120" i="49"/>
  <c r="G121" i="49" s="1"/>
  <c r="AI124" i="49"/>
  <c r="G125" i="49" s="1"/>
  <c r="AI129" i="49"/>
  <c r="G130" i="49" s="1"/>
  <c r="AI113" i="49"/>
  <c r="G114" i="49" s="1"/>
  <c r="AI117" i="49"/>
  <c r="G118" i="49" s="1"/>
  <c r="AI121" i="49"/>
  <c r="G122" i="49" s="1"/>
  <c r="AI125" i="49"/>
  <c r="G126" i="49" s="1"/>
  <c r="AI130" i="49"/>
  <c r="G131" i="49" s="1"/>
  <c r="AI128" i="49"/>
  <c r="G129" i="49" s="1"/>
  <c r="AI114" i="49"/>
  <c r="G115" i="49" s="1"/>
  <c r="AI118" i="49"/>
  <c r="G119" i="49" s="1"/>
  <c r="AI122" i="49"/>
  <c r="G123" i="49" s="1"/>
  <c r="AI126" i="49"/>
  <c r="G127" i="49" s="1"/>
  <c r="AI131" i="49"/>
  <c r="G132" i="49" s="1"/>
  <c r="AW18" i="66"/>
  <c r="AX18" i="66" s="1"/>
  <c r="AW11" i="66"/>
  <c r="AX11" i="66" s="1"/>
  <c r="AV19" i="66"/>
  <c r="AX19" i="66" s="1"/>
  <c r="AW21" i="66"/>
  <c r="AX21" i="66" s="1"/>
  <c r="AW16" i="66"/>
  <c r="AX16" i="66" s="1"/>
  <c r="AV25" i="66"/>
  <c r="AX25" i="66" s="1"/>
  <c r="AW10" i="66"/>
  <c r="AX10" i="66" s="1"/>
  <c r="AW23" i="66"/>
  <c r="AX23" i="66" s="1"/>
  <c r="AV14" i="66"/>
  <c r="AX14" i="66" s="1"/>
  <c r="AW22" i="66"/>
  <c r="AX22" i="66" s="1"/>
  <c r="AV28" i="66"/>
  <c r="AX28" i="66" s="1"/>
  <c r="AW13" i="66"/>
  <c r="AX13" i="66" s="1"/>
  <c r="AV29" i="66"/>
  <c r="AX29" i="66" s="1"/>
  <c r="AW17" i="66"/>
  <c r="AX17" i="66" s="1"/>
  <c r="AV33" i="66"/>
  <c r="AX33" i="66" s="1"/>
  <c r="AV31" i="66"/>
  <c r="AX31" i="66" s="1"/>
  <c r="AW30" i="66"/>
  <c r="AX30" i="66" s="1"/>
  <c r="AW15" i="66"/>
  <c r="AX15" i="66" s="1"/>
  <c r="AN10" i="74"/>
  <c r="AL12" i="74"/>
  <c r="AL10" i="74"/>
  <c r="AK11" i="74"/>
  <c r="AL14" i="74"/>
  <c r="AK15" i="74"/>
  <c r="AK13" i="74"/>
  <c r="AL16" i="74"/>
  <c r="AK17" i="74"/>
  <c r="AL20" i="74"/>
  <c r="AK21" i="74"/>
  <c r="AK25" i="74"/>
  <c r="AL28" i="74"/>
  <c r="AK29" i="74"/>
  <c r="AL18" i="74"/>
  <c r="AK19" i="74"/>
  <c r="AL22" i="74"/>
  <c r="AK23" i="74"/>
  <c r="AL26" i="74"/>
  <c r="AK27" i="74"/>
  <c r="AL30" i="74"/>
  <c r="AK31" i="74"/>
  <c r="AN10" i="49"/>
  <c r="AM11" i="49"/>
  <c r="AN14" i="49"/>
  <c r="AM15" i="49"/>
  <c r="AN18" i="49"/>
  <c r="AM19" i="49"/>
  <c r="AN22" i="49"/>
  <c r="AM23" i="49"/>
  <c r="AN26" i="49"/>
  <c r="AM28" i="49"/>
  <c r="AN31" i="49"/>
  <c r="AP63" i="73"/>
  <c r="AG13" i="73"/>
  <c r="Q21" i="73"/>
  <c r="AG21" i="73"/>
  <c r="P11" i="74"/>
  <c r="C6" i="92" s="1"/>
  <c r="AN11" i="74"/>
  <c r="O12" i="74"/>
  <c r="AM12" i="74"/>
  <c r="AL13" i="74"/>
  <c r="AK14" i="74"/>
  <c r="P15" i="74"/>
  <c r="G6" i="92" s="1"/>
  <c r="AN15" i="74"/>
  <c r="O16" i="74"/>
  <c r="AM16" i="74"/>
  <c r="AL17" i="74"/>
  <c r="AK18" i="74"/>
  <c r="P19" i="74"/>
  <c r="K6" i="92" s="1"/>
  <c r="AN19" i="74"/>
  <c r="O20" i="74"/>
  <c r="AM20" i="74"/>
  <c r="AL21" i="74"/>
  <c r="AK22" i="74"/>
  <c r="P23" i="74"/>
  <c r="AN23" i="74"/>
  <c r="O24" i="74"/>
  <c r="AL25" i="74"/>
  <c r="AK26" i="74"/>
  <c r="P27" i="74"/>
  <c r="AN27" i="74"/>
  <c r="O28" i="74"/>
  <c r="AM28" i="74"/>
  <c r="AL29" i="74"/>
  <c r="AK30" i="74"/>
  <c r="P31" i="74"/>
  <c r="W6" i="92" s="1"/>
  <c r="AN31" i="74"/>
  <c r="AM10" i="49"/>
  <c r="AO12" i="49"/>
  <c r="AN13" i="49"/>
  <c r="AM14" i="49"/>
  <c r="AO16" i="49"/>
  <c r="AN17" i="49"/>
  <c r="AM18" i="49"/>
  <c r="AO20" i="49"/>
  <c r="AN21" i="49"/>
  <c r="AM22" i="49"/>
  <c r="AO24" i="49"/>
  <c r="AN25" i="49"/>
  <c r="AO29" i="49"/>
  <c r="AN30" i="49"/>
  <c r="AN27" i="49"/>
  <c r="Q10" i="73"/>
  <c r="AG10" i="73"/>
  <c r="Q18" i="73"/>
  <c r="AG18" i="73"/>
  <c r="Q30" i="73"/>
  <c r="AG27" i="73"/>
  <c r="O13" i="74"/>
  <c r="AM13" i="74"/>
  <c r="O17" i="74"/>
  <c r="AM17" i="74"/>
  <c r="P20" i="74"/>
  <c r="L6" i="92" s="1"/>
  <c r="AN20" i="74"/>
  <c r="O21" i="74"/>
  <c r="AM21" i="74"/>
  <c r="P24" i="74"/>
  <c r="P6" i="92" s="1"/>
  <c r="AN24" i="74"/>
  <c r="O25" i="74"/>
  <c r="AM25" i="74"/>
  <c r="P28" i="74"/>
  <c r="T6" i="92" s="1"/>
  <c r="AN28" i="74"/>
  <c r="O29" i="74"/>
  <c r="AM29" i="74"/>
  <c r="Q11" i="73"/>
  <c r="AG11" i="73"/>
  <c r="Q15" i="73"/>
  <c r="AG15" i="73"/>
  <c r="Q19" i="73"/>
  <c r="AG19" i="73"/>
  <c r="AM10" i="74"/>
  <c r="AL11" i="74"/>
  <c r="AK12" i="74"/>
  <c r="P13" i="74"/>
  <c r="E6" i="92" s="1"/>
  <c r="AN13" i="74"/>
  <c r="O14" i="74"/>
  <c r="AM14" i="74"/>
  <c r="AL15" i="74"/>
  <c r="AK16" i="74"/>
  <c r="P17" i="74"/>
  <c r="I6" i="92" s="1"/>
  <c r="AN17" i="74"/>
  <c r="O18" i="74"/>
  <c r="AM18" i="74"/>
  <c r="AL19" i="74"/>
  <c r="AK20" i="74"/>
  <c r="P21" i="74"/>
  <c r="M6" i="92" s="1"/>
  <c r="AN21" i="74"/>
  <c r="O22" i="74"/>
  <c r="AM22" i="74"/>
  <c r="AL23" i="74"/>
  <c r="AK24" i="74"/>
  <c r="P25" i="74"/>
  <c r="Q6" i="92" s="1"/>
  <c r="AN25" i="74"/>
  <c r="O26" i="74"/>
  <c r="AM26" i="74"/>
  <c r="AL27" i="74"/>
  <c r="AK28" i="74"/>
  <c r="P29" i="74"/>
  <c r="U6" i="92" s="1"/>
  <c r="AN29" i="74"/>
  <c r="O30" i="74"/>
  <c r="AM30" i="74"/>
  <c r="AL31" i="74"/>
  <c r="Q14" i="73"/>
  <c r="AG14" i="73"/>
  <c r="Q22" i="73"/>
  <c r="AG22" i="73"/>
  <c r="P12" i="74"/>
  <c r="D6" i="92" s="1"/>
  <c r="AN12" i="74"/>
  <c r="P16" i="74"/>
  <c r="H6" i="92" s="1"/>
  <c r="AN16" i="74"/>
  <c r="Q12" i="73"/>
  <c r="AG12" i="73"/>
  <c r="Q16" i="73"/>
  <c r="AG16" i="73"/>
  <c r="Q20" i="73"/>
  <c r="AG20" i="73"/>
  <c r="Q24" i="73"/>
  <c r="AG23" i="73"/>
  <c r="Q28" i="73"/>
  <c r="AG25" i="73"/>
  <c r="O11" i="74"/>
  <c r="AM11" i="74"/>
  <c r="P14" i="74"/>
  <c r="F6" i="92" s="1"/>
  <c r="AN14" i="74"/>
  <c r="O15" i="74"/>
  <c r="AM15" i="74"/>
  <c r="P18" i="74"/>
  <c r="J6" i="92" s="1"/>
  <c r="AN18" i="74"/>
  <c r="O19" i="74"/>
  <c r="AM19" i="74"/>
  <c r="P22" i="74"/>
  <c r="N6" i="92" s="1"/>
  <c r="AN22" i="74"/>
  <c r="O23" i="74"/>
  <c r="AM23" i="74"/>
  <c r="P26" i="74"/>
  <c r="AN26" i="74"/>
  <c r="O27" i="74"/>
  <c r="AM27" i="74"/>
  <c r="P30" i="74"/>
  <c r="V6" i="92" s="1"/>
  <c r="AN30" i="74"/>
  <c r="O31" i="74"/>
  <c r="AM31" i="74"/>
  <c r="N12" i="73"/>
  <c r="AL12" i="73"/>
  <c r="M13" i="73"/>
  <c r="AK13" i="73"/>
  <c r="N16" i="73"/>
  <c r="AL16" i="73"/>
  <c r="O19" i="73"/>
  <c r="AM19" i="73"/>
  <c r="AN19" i="73"/>
  <c r="O23" i="73"/>
  <c r="AM23" i="73"/>
  <c r="AN23" i="73"/>
  <c r="O27" i="73"/>
  <c r="AM27" i="73"/>
  <c r="AN27" i="73"/>
  <c r="O12" i="73"/>
  <c r="AM12" i="73"/>
  <c r="AN12" i="73"/>
  <c r="O16" i="73"/>
  <c r="AM16" i="73"/>
  <c r="AN16" i="73"/>
  <c r="O20" i="73"/>
  <c r="AM20" i="73"/>
  <c r="AN20" i="73"/>
  <c r="M22" i="73"/>
  <c r="AK22" i="73"/>
  <c r="N25" i="73"/>
  <c r="AL25" i="73"/>
  <c r="M26" i="73"/>
  <c r="AK26" i="73"/>
  <c r="N29" i="73"/>
  <c r="AL29" i="73"/>
  <c r="M30" i="73"/>
  <c r="AK30" i="73"/>
  <c r="N10" i="73"/>
  <c r="AL10" i="73"/>
  <c r="M11" i="73"/>
  <c r="AK11" i="73"/>
  <c r="O13" i="73"/>
  <c r="AM13" i="73"/>
  <c r="AN13" i="73"/>
  <c r="N14" i="73"/>
  <c r="AL14" i="73"/>
  <c r="M15" i="73"/>
  <c r="AK15" i="73"/>
  <c r="O17" i="73"/>
  <c r="AM17" i="73"/>
  <c r="AN17" i="73"/>
  <c r="N18" i="73"/>
  <c r="AL18" i="73"/>
  <c r="M19" i="73"/>
  <c r="AK19" i="73"/>
  <c r="O21" i="73"/>
  <c r="AM21" i="73"/>
  <c r="AN21" i="73"/>
  <c r="N22" i="73"/>
  <c r="AL22" i="73"/>
  <c r="M23" i="73"/>
  <c r="AK23" i="73"/>
  <c r="O25" i="73"/>
  <c r="AM25" i="73"/>
  <c r="AN25" i="73"/>
  <c r="N26" i="73"/>
  <c r="AL26" i="73"/>
  <c r="M27" i="73"/>
  <c r="AK27" i="73"/>
  <c r="O29" i="73"/>
  <c r="AM29" i="73"/>
  <c r="AN29" i="73"/>
  <c r="N30" i="73"/>
  <c r="AL30" i="73"/>
  <c r="M31" i="73"/>
  <c r="AK31" i="73"/>
  <c r="O11" i="73"/>
  <c r="AM11" i="73"/>
  <c r="AN11" i="73"/>
  <c r="O15" i="73"/>
  <c r="AM15" i="73"/>
  <c r="AN15" i="73"/>
  <c r="M17" i="73"/>
  <c r="AK17" i="73"/>
  <c r="N20" i="73"/>
  <c r="AL20" i="73"/>
  <c r="M21" i="73"/>
  <c r="AK21" i="73"/>
  <c r="M25" i="73"/>
  <c r="AK25" i="73"/>
  <c r="N28" i="73"/>
  <c r="AL28" i="73"/>
  <c r="M29" i="73"/>
  <c r="AK29" i="73"/>
  <c r="O31" i="73"/>
  <c r="AM31" i="73"/>
  <c r="AN31" i="73"/>
  <c r="M10" i="73"/>
  <c r="AK10" i="73"/>
  <c r="N13" i="73"/>
  <c r="AL13" i="73"/>
  <c r="M14" i="73"/>
  <c r="AK14" i="73"/>
  <c r="N17" i="73"/>
  <c r="AL17" i="73"/>
  <c r="M18" i="73"/>
  <c r="AK18" i="73"/>
  <c r="N21" i="73"/>
  <c r="AL21" i="73"/>
  <c r="O24" i="73"/>
  <c r="AN24" i="73"/>
  <c r="O28" i="73"/>
  <c r="AM28" i="73"/>
  <c r="AN28" i="73"/>
  <c r="AM10" i="73"/>
  <c r="AN10" i="73"/>
  <c r="N11" i="73"/>
  <c r="AL11" i="73"/>
  <c r="M12" i="73"/>
  <c r="AK12" i="73"/>
  <c r="Q13" i="73"/>
  <c r="O14" i="73"/>
  <c r="AM14" i="73"/>
  <c r="AN14" i="73"/>
  <c r="N15" i="73"/>
  <c r="AL15" i="73"/>
  <c r="M16" i="73"/>
  <c r="AK16" i="73"/>
  <c r="Q17" i="73"/>
  <c r="O18" i="73"/>
  <c r="AM18" i="73"/>
  <c r="AN18" i="73"/>
  <c r="N19" i="73"/>
  <c r="AL19" i="73"/>
  <c r="M20" i="73"/>
  <c r="AK20" i="73"/>
  <c r="O22" i="73"/>
  <c r="AM22" i="73"/>
  <c r="AN22" i="73"/>
  <c r="N23" i="73"/>
  <c r="AL23" i="73"/>
  <c r="M24" i="73"/>
  <c r="AK24" i="73"/>
  <c r="Q25" i="73"/>
  <c r="O26" i="73"/>
  <c r="AM26" i="73"/>
  <c r="AN26" i="73"/>
  <c r="N27" i="73"/>
  <c r="AL27" i="73"/>
  <c r="M28" i="73"/>
  <c r="AK28" i="73"/>
  <c r="Q29" i="73"/>
  <c r="O30" i="73"/>
  <c r="AM30" i="73"/>
  <c r="AN30" i="73"/>
  <c r="N31" i="73"/>
  <c r="AL31" i="73"/>
  <c r="N10" i="74"/>
  <c r="N14" i="74"/>
  <c r="L16" i="74"/>
  <c r="M19" i="74"/>
  <c r="N22" i="74"/>
  <c r="L24" i="74"/>
  <c r="N26" i="74"/>
  <c r="N30" i="74"/>
  <c r="O10" i="74"/>
  <c r="N11" i="74"/>
  <c r="N15" i="74"/>
  <c r="L17" i="74"/>
  <c r="N19" i="74"/>
  <c r="N23" i="74"/>
  <c r="N27" i="74"/>
  <c r="N31" i="74"/>
  <c r="P10" i="74"/>
  <c r="B6" i="92" s="1"/>
  <c r="N12" i="74"/>
  <c r="M13" i="74"/>
  <c r="L14" i="74"/>
  <c r="N16" i="74"/>
  <c r="M17" i="74"/>
  <c r="L18" i="74"/>
  <c r="N20" i="74"/>
  <c r="M21" i="74"/>
  <c r="L22" i="74"/>
  <c r="M25" i="74"/>
  <c r="L26" i="74"/>
  <c r="N28" i="74"/>
  <c r="M29" i="74"/>
  <c r="L30" i="74"/>
  <c r="M11" i="74"/>
  <c r="L12" i="74"/>
  <c r="M15" i="74"/>
  <c r="N18" i="74"/>
  <c r="L20" i="74"/>
  <c r="M23" i="74"/>
  <c r="M27" i="74"/>
  <c r="L28" i="74"/>
  <c r="M31" i="74"/>
  <c r="M12" i="74"/>
  <c r="L13" i="74"/>
  <c r="M16" i="74"/>
  <c r="M20" i="74"/>
  <c r="L21" i="74"/>
  <c r="M24" i="74"/>
  <c r="L25" i="74"/>
  <c r="M28" i="74"/>
  <c r="L29" i="74"/>
  <c r="M10" i="74"/>
  <c r="AK10" i="74"/>
  <c r="L11" i="74"/>
  <c r="N13" i="74"/>
  <c r="M14" i="74"/>
  <c r="L15" i="74"/>
  <c r="N17" i="74"/>
  <c r="M18" i="74"/>
  <c r="L19" i="74"/>
  <c r="N21" i="74"/>
  <c r="M22" i="74"/>
  <c r="L23" i="74"/>
  <c r="N25" i="74"/>
  <c r="M26" i="74"/>
  <c r="L27" i="74"/>
  <c r="N29" i="74"/>
  <c r="M30" i="74"/>
  <c r="L31" i="74"/>
  <c r="AO14" i="49"/>
  <c r="AO26" i="49"/>
  <c r="AO31" i="49"/>
  <c r="AO10" i="49"/>
  <c r="AO18" i="49"/>
  <c r="AO22" i="49"/>
  <c r="AM16" i="49"/>
  <c r="AM13" i="49"/>
  <c r="AL15" i="49"/>
  <c r="AM17" i="49"/>
  <c r="AM21" i="49"/>
  <c r="AM25" i="49"/>
  <c r="AM30" i="49"/>
  <c r="AM27" i="49"/>
  <c r="AM12" i="49"/>
  <c r="AM20" i="49"/>
  <c r="AM29" i="49"/>
  <c r="AM33" i="49"/>
  <c r="AM26" i="49"/>
  <c r="AM31" i="49"/>
  <c r="AN15" i="49"/>
  <c r="AN23" i="49"/>
  <c r="AN12" i="49"/>
  <c r="AN16" i="49"/>
  <c r="AN20" i="49"/>
  <c r="AN29" i="49"/>
  <c r="AN33" i="49"/>
  <c r="AN11" i="49"/>
  <c r="AN19" i="49"/>
  <c r="AN28" i="49"/>
  <c r="AO13" i="49"/>
  <c r="AO17" i="49"/>
  <c r="AO21" i="49"/>
  <c r="AO25" i="49"/>
  <c r="AO30" i="49"/>
  <c r="AO27" i="49"/>
  <c r="AO11" i="49"/>
  <c r="AO15" i="49"/>
  <c r="AO19" i="49"/>
  <c r="AO23" i="49"/>
  <c r="AO28" i="49"/>
  <c r="K12" i="49"/>
  <c r="AL12" i="49"/>
  <c r="K20" i="49"/>
  <c r="AL20" i="49"/>
  <c r="K29" i="49"/>
  <c r="AL29" i="49"/>
  <c r="K17" i="49"/>
  <c r="AL17" i="49"/>
  <c r="K25" i="49"/>
  <c r="AL25" i="49"/>
  <c r="AL33" i="49"/>
  <c r="K10" i="49"/>
  <c r="AL10" i="49"/>
  <c r="K14" i="49"/>
  <c r="AL14" i="49"/>
  <c r="K18" i="49"/>
  <c r="AL18" i="49"/>
  <c r="K22" i="49"/>
  <c r="AL22" i="49"/>
  <c r="K26" i="49"/>
  <c r="AL26" i="49"/>
  <c r="K31" i="49"/>
  <c r="AL31" i="49"/>
  <c r="K16" i="49"/>
  <c r="AL16" i="49"/>
  <c r="K24" i="49"/>
  <c r="AL24" i="49"/>
  <c r="K13" i="49"/>
  <c r="AL13" i="49"/>
  <c r="K21" i="49"/>
  <c r="AL21" i="49"/>
  <c r="K30" i="49"/>
  <c r="AL30" i="49"/>
  <c r="K27" i="49"/>
  <c r="AL27" i="49"/>
  <c r="K11" i="49"/>
  <c r="AL11" i="49"/>
  <c r="K19" i="49"/>
  <c r="AL19" i="49"/>
  <c r="K23" i="49"/>
  <c r="AL23" i="49"/>
  <c r="K28" i="49"/>
  <c r="AL28" i="49"/>
  <c r="M10" i="49"/>
  <c r="L11" i="49"/>
  <c r="M14" i="49"/>
  <c r="L15" i="49"/>
  <c r="M18" i="49"/>
  <c r="N21" i="49"/>
  <c r="L23" i="49"/>
  <c r="M26" i="49"/>
  <c r="N30" i="49"/>
  <c r="N27" i="49"/>
  <c r="N12" i="49"/>
  <c r="N16" i="49"/>
  <c r="L18" i="49"/>
  <c r="M21" i="49"/>
  <c r="N24" i="49"/>
  <c r="L26" i="49"/>
  <c r="M30" i="49"/>
  <c r="M27" i="49"/>
  <c r="N10" i="49"/>
  <c r="M11" i="49"/>
  <c r="L12" i="49"/>
  <c r="N14" i="49"/>
  <c r="M15" i="49"/>
  <c r="L16" i="49"/>
  <c r="N18" i="49"/>
  <c r="M19" i="49"/>
  <c r="L20" i="49"/>
  <c r="O21" i="49"/>
  <c r="O15" i="76" s="1"/>
  <c r="N22" i="49"/>
  <c r="M23" i="49"/>
  <c r="L24" i="49"/>
  <c r="N26" i="49"/>
  <c r="M28" i="49"/>
  <c r="L29" i="49"/>
  <c r="N31" i="49"/>
  <c r="L10" i="49"/>
  <c r="M13" i="49"/>
  <c r="L14" i="49"/>
  <c r="M17" i="49"/>
  <c r="N20" i="49"/>
  <c r="L22" i="49"/>
  <c r="M25" i="49"/>
  <c r="N29" i="49"/>
  <c r="L31" i="49"/>
  <c r="N13" i="49"/>
  <c r="N17" i="49"/>
  <c r="L19" i="49"/>
  <c r="M22" i="49"/>
  <c r="N25" i="49"/>
  <c r="L28" i="49"/>
  <c r="M31" i="49"/>
  <c r="N11" i="49"/>
  <c r="M12" i="49"/>
  <c r="L13" i="49"/>
  <c r="N15" i="49"/>
  <c r="M16" i="49"/>
  <c r="L17" i="49"/>
  <c r="N19" i="49"/>
  <c r="M20" i="49"/>
  <c r="N23" i="49"/>
  <c r="L25" i="49"/>
  <c r="N28" i="49"/>
  <c r="M29" i="49"/>
  <c r="L30" i="49"/>
  <c r="L27" i="49"/>
  <c r="R23" i="73"/>
  <c r="R26" i="73"/>
  <c r="R27" i="73"/>
  <c r="F148" i="49"/>
  <c r="R27" i="74"/>
  <c r="R26" i="74"/>
  <c r="R23" i="74"/>
  <c r="D148" i="49"/>
  <c r="H148" i="49"/>
  <c r="D16" i="76" s="1"/>
  <c r="E148" i="49"/>
  <c r="G148" i="49"/>
  <c r="Q23" i="49"/>
  <c r="Q27" i="49"/>
  <c r="Q32" i="49"/>
  <c r="Q26" i="49"/>
  <c r="P31" i="73"/>
  <c r="W5" i="92" s="1"/>
  <c r="AH116" i="72"/>
  <c r="AG125" i="72"/>
  <c r="AE127" i="72"/>
  <c r="AE131" i="72"/>
  <c r="AF118" i="72"/>
  <c r="AG129" i="72"/>
  <c r="AD113" i="72"/>
  <c r="AE116" i="72"/>
  <c r="AG118" i="72"/>
  <c r="AH125" i="72"/>
  <c r="AF127" i="72"/>
  <c r="AF116" i="72"/>
  <c r="AH118" i="72"/>
  <c r="AG127" i="72"/>
  <c r="AE129" i="72"/>
  <c r="AH129" i="72"/>
  <c r="AF131" i="72"/>
  <c r="AE125" i="72"/>
  <c r="AG131" i="72"/>
  <c r="AG116" i="72"/>
  <c r="AE118" i="72"/>
  <c r="AF129" i="72"/>
  <c r="AH131" i="72"/>
  <c r="E149" i="49"/>
  <c r="D150" i="49"/>
  <c r="H150" i="49"/>
  <c r="F16" i="76" s="1"/>
  <c r="G151" i="49"/>
  <c r="F152" i="49"/>
  <c r="F153" i="49"/>
  <c r="E154" i="49"/>
  <c r="D155" i="49"/>
  <c r="G156" i="49"/>
  <c r="F157" i="49"/>
  <c r="E158" i="49"/>
  <c r="D159" i="49"/>
  <c r="G160" i="49"/>
  <c r="F161" i="49"/>
  <c r="E162" i="49"/>
  <c r="D163" i="49"/>
  <c r="G164" i="49"/>
  <c r="F166" i="49"/>
  <c r="E167" i="49"/>
  <c r="D168" i="49"/>
  <c r="G169" i="49"/>
  <c r="D165" i="49"/>
  <c r="D149" i="49"/>
  <c r="G150" i="49"/>
  <c r="F151" i="49"/>
  <c r="E152" i="49"/>
  <c r="E153" i="49"/>
  <c r="D154" i="49"/>
  <c r="G155" i="49"/>
  <c r="F156" i="49"/>
  <c r="E157" i="49"/>
  <c r="D158" i="49"/>
  <c r="G159" i="49"/>
  <c r="F160" i="49"/>
  <c r="E161" i="49"/>
  <c r="D162" i="49"/>
  <c r="G163" i="49"/>
  <c r="F164" i="49"/>
  <c r="E166" i="49"/>
  <c r="D167" i="49"/>
  <c r="G168" i="49"/>
  <c r="F169" i="49"/>
  <c r="G165" i="49"/>
  <c r="AF78" i="73"/>
  <c r="F78" i="73" s="1"/>
  <c r="AF82" i="73"/>
  <c r="F82" i="73" s="1"/>
  <c r="AE83" i="73"/>
  <c r="E83" i="73" s="1"/>
  <c r="AF86" i="73"/>
  <c r="F86" i="73" s="1"/>
  <c r="AG89" i="73"/>
  <c r="G89" i="73" s="1"/>
  <c r="AE91" i="73"/>
  <c r="E91" i="73" s="1"/>
  <c r="AD92" i="73"/>
  <c r="D92" i="73" s="1"/>
  <c r="AG93" i="73"/>
  <c r="G93" i="73" s="1"/>
  <c r="AE95" i="73"/>
  <c r="E95" i="73" s="1"/>
  <c r="AD96" i="73"/>
  <c r="D96" i="73" s="1"/>
  <c r="AG97" i="73"/>
  <c r="G97" i="73" s="1"/>
  <c r="O10" i="49"/>
  <c r="D15" i="76" s="1"/>
  <c r="O14" i="49"/>
  <c r="H15" i="76" s="1"/>
  <c r="O26" i="49"/>
  <c r="T15" i="76" s="1"/>
  <c r="O31" i="49"/>
  <c r="Y15" i="76" s="1"/>
  <c r="AD77" i="73"/>
  <c r="D77" i="73" s="1"/>
  <c r="AG78" i="73"/>
  <c r="G78" i="73" s="1"/>
  <c r="AF79" i="73"/>
  <c r="F79" i="73" s="1"/>
  <c r="AD81" i="73"/>
  <c r="D81" i="73" s="1"/>
  <c r="AF83" i="73"/>
  <c r="F83" i="73" s="1"/>
  <c r="AD85" i="73"/>
  <c r="D85" i="73" s="1"/>
  <c r="AF87" i="73"/>
  <c r="F87" i="73" s="1"/>
  <c r="AD89" i="73"/>
  <c r="D89" i="73" s="1"/>
  <c r="AF91" i="73"/>
  <c r="F91" i="73" s="1"/>
  <c r="AE92" i="73"/>
  <c r="E92" i="73" s="1"/>
  <c r="AG94" i="73"/>
  <c r="G94" i="73" s="1"/>
  <c r="AE96" i="73"/>
  <c r="E96" i="73" s="1"/>
  <c r="AD97" i="73"/>
  <c r="D97" i="73" s="1"/>
  <c r="O11" i="49"/>
  <c r="E15" i="76" s="1"/>
  <c r="D153" i="49"/>
  <c r="K15" i="49"/>
  <c r="O15" i="49"/>
  <c r="I15" i="76" s="1"/>
  <c r="O19" i="49"/>
  <c r="M15" i="76" s="1"/>
  <c r="O23" i="49"/>
  <c r="Q15" i="76" s="1"/>
  <c r="O28" i="49"/>
  <c r="V15" i="76" s="1"/>
  <c r="AE76" i="73"/>
  <c r="E76" i="73" s="1"/>
  <c r="AE77" i="73"/>
  <c r="E77" i="73" s="1"/>
  <c r="AD78" i="73"/>
  <c r="D78" i="73" s="1"/>
  <c r="AG79" i="73"/>
  <c r="G79" i="73" s="1"/>
  <c r="AF80" i="73"/>
  <c r="F80" i="73" s="1"/>
  <c r="AE81" i="73"/>
  <c r="E81" i="73" s="1"/>
  <c r="AD82" i="73"/>
  <c r="D82" i="73" s="1"/>
  <c r="AG83" i="73"/>
  <c r="G83" i="73" s="1"/>
  <c r="AF84" i="73"/>
  <c r="F84" i="73" s="1"/>
  <c r="AE85" i="73"/>
  <c r="E85" i="73" s="1"/>
  <c r="AD86" i="73"/>
  <c r="D86" i="73" s="1"/>
  <c r="AG87" i="73"/>
  <c r="G87" i="73" s="1"/>
  <c r="AF88" i="73"/>
  <c r="F88" i="73" s="1"/>
  <c r="AE89" i="73"/>
  <c r="E89" i="73" s="1"/>
  <c r="AD90" i="73"/>
  <c r="D90" i="73" s="1"/>
  <c r="AG91" i="73"/>
  <c r="G91" i="73" s="1"/>
  <c r="AF92" i="73"/>
  <c r="F92" i="73" s="1"/>
  <c r="AE93" i="73"/>
  <c r="E93" i="73" s="1"/>
  <c r="AD94" i="73"/>
  <c r="D94" i="73" s="1"/>
  <c r="AG95" i="73"/>
  <c r="G95" i="73" s="1"/>
  <c r="AF96" i="73"/>
  <c r="F96" i="73" s="1"/>
  <c r="AE97" i="73"/>
  <c r="E97" i="73" s="1"/>
  <c r="O12" i="49"/>
  <c r="F15" i="76" s="1"/>
  <c r="O16" i="49"/>
  <c r="J15" i="76" s="1"/>
  <c r="O20" i="49"/>
  <c r="N15" i="76" s="1"/>
  <c r="O24" i="49"/>
  <c r="R15" i="76" s="1"/>
  <c r="O29" i="49"/>
  <c r="W15" i="76" s="1"/>
  <c r="F149" i="49"/>
  <c r="E150" i="49"/>
  <c r="D151" i="49"/>
  <c r="G152" i="49"/>
  <c r="G153" i="49"/>
  <c r="F154" i="49"/>
  <c r="E155" i="49"/>
  <c r="D156" i="49"/>
  <c r="G157" i="49"/>
  <c r="F158" i="49"/>
  <c r="D160" i="49"/>
  <c r="G161" i="49"/>
  <c r="E163" i="49"/>
  <c r="D164" i="49"/>
  <c r="G166" i="49"/>
  <c r="F167" i="49"/>
  <c r="E168" i="49"/>
  <c r="D169" i="49"/>
  <c r="E165" i="49"/>
  <c r="AG77" i="73"/>
  <c r="G77" i="73" s="1"/>
  <c r="AE79" i="73"/>
  <c r="E79" i="73" s="1"/>
  <c r="AD80" i="73"/>
  <c r="D80" i="73" s="1"/>
  <c r="AG81" i="73"/>
  <c r="G81" i="73" s="1"/>
  <c r="AD84" i="73"/>
  <c r="D84" i="73" s="1"/>
  <c r="AG85" i="73"/>
  <c r="G85" i="73" s="1"/>
  <c r="AD88" i="73"/>
  <c r="D88" i="73" s="1"/>
  <c r="AF94" i="73"/>
  <c r="F94" i="73" s="1"/>
  <c r="O18" i="49"/>
  <c r="L15" i="76" s="1"/>
  <c r="O22" i="49"/>
  <c r="P15" i="76" s="1"/>
  <c r="AE80" i="73"/>
  <c r="E80" i="73" s="1"/>
  <c r="AG82" i="73"/>
  <c r="G82" i="73" s="1"/>
  <c r="AE84" i="73"/>
  <c r="E84" i="73" s="1"/>
  <c r="AE88" i="73"/>
  <c r="E88" i="73" s="1"/>
  <c r="AG90" i="73"/>
  <c r="G90" i="73" s="1"/>
  <c r="AD93" i="73"/>
  <c r="D93" i="73" s="1"/>
  <c r="AF95" i="73"/>
  <c r="F95" i="73" s="1"/>
  <c r="AF76" i="73"/>
  <c r="F76" i="73" s="1"/>
  <c r="AF77" i="73"/>
  <c r="F77" i="73" s="1"/>
  <c r="AE78" i="73"/>
  <c r="E78" i="73" s="1"/>
  <c r="AD79" i="73"/>
  <c r="D79" i="73" s="1"/>
  <c r="AG80" i="73"/>
  <c r="G80" i="73" s="1"/>
  <c r="AF81" i="73"/>
  <c r="F81" i="73" s="1"/>
  <c r="AE82" i="73"/>
  <c r="E82" i="73" s="1"/>
  <c r="AD83" i="73"/>
  <c r="D83" i="73" s="1"/>
  <c r="AG84" i="73"/>
  <c r="G84" i="73" s="1"/>
  <c r="AF85" i="73"/>
  <c r="F85" i="73" s="1"/>
  <c r="AE86" i="73"/>
  <c r="E86" i="73" s="1"/>
  <c r="AD87" i="73"/>
  <c r="D87" i="73" s="1"/>
  <c r="AG88" i="73"/>
  <c r="G88" i="73" s="1"/>
  <c r="AF89" i="73"/>
  <c r="F89" i="73" s="1"/>
  <c r="AE90" i="73"/>
  <c r="E90" i="73" s="1"/>
  <c r="AD91" i="73"/>
  <c r="D91" i="73" s="1"/>
  <c r="AG92" i="73"/>
  <c r="G92" i="73" s="1"/>
  <c r="AF93" i="73"/>
  <c r="F93" i="73" s="1"/>
  <c r="AE94" i="73"/>
  <c r="E94" i="73" s="1"/>
  <c r="AD95" i="73"/>
  <c r="D95" i="73" s="1"/>
  <c r="AG96" i="73"/>
  <c r="G96" i="73" s="1"/>
  <c r="AF97" i="73"/>
  <c r="F97" i="73" s="1"/>
  <c r="O13" i="49"/>
  <c r="G15" i="76" s="1"/>
  <c r="O17" i="49"/>
  <c r="K15" i="76" s="1"/>
  <c r="O25" i="49"/>
  <c r="S15" i="76" s="1"/>
  <c r="O30" i="49"/>
  <c r="X15" i="76" s="1"/>
  <c r="G149" i="49"/>
  <c r="F150" i="49"/>
  <c r="E151" i="49"/>
  <c r="D152" i="49"/>
  <c r="H152" i="49"/>
  <c r="H16" i="76" s="1"/>
  <c r="G154" i="49"/>
  <c r="F155" i="49"/>
  <c r="E156" i="49"/>
  <c r="D157" i="49"/>
  <c r="F159" i="49"/>
  <c r="E160" i="49"/>
  <c r="D161" i="49"/>
  <c r="G162" i="49"/>
  <c r="F163" i="49"/>
  <c r="E164" i="49"/>
  <c r="D166" i="49"/>
  <c r="G167" i="49"/>
  <c r="F168" i="49"/>
  <c r="E169" i="49"/>
  <c r="O27" i="49"/>
  <c r="U15" i="76" s="1"/>
  <c r="F165" i="49"/>
  <c r="E171" i="49"/>
  <c r="E159" i="49"/>
  <c r="AE87" i="73"/>
  <c r="E87" i="73" s="1"/>
  <c r="L21" i="49"/>
  <c r="G158" i="49"/>
  <c r="AG86" i="73"/>
  <c r="G86" i="73" s="1"/>
  <c r="AG76" i="73"/>
  <c r="G76" i="73" s="1"/>
  <c r="O10" i="73"/>
  <c r="D171" i="49"/>
  <c r="F171" i="49"/>
  <c r="AH77" i="73"/>
  <c r="AH81" i="73"/>
  <c r="AH85" i="73"/>
  <c r="AH89" i="73"/>
  <c r="H89" i="73" s="1"/>
  <c r="AH93" i="73"/>
  <c r="AH97" i="73"/>
  <c r="H155" i="49"/>
  <c r="K16" i="76" s="1"/>
  <c r="H159" i="49"/>
  <c r="O16" i="76" s="1"/>
  <c r="H163" i="49"/>
  <c r="S16" i="76" s="1"/>
  <c r="H168" i="49"/>
  <c r="X16" i="76" s="1"/>
  <c r="H165" i="49"/>
  <c r="U16" i="76" s="1"/>
  <c r="AH78" i="73"/>
  <c r="H78" i="73" s="1"/>
  <c r="AH82" i="73"/>
  <c r="AH86" i="73"/>
  <c r="H86" i="73" s="1"/>
  <c r="AH90" i="73"/>
  <c r="AH94" i="73"/>
  <c r="H151" i="49"/>
  <c r="G16" i="76" s="1"/>
  <c r="H156" i="49"/>
  <c r="L16" i="76" s="1"/>
  <c r="H160" i="49"/>
  <c r="P16" i="76" s="1"/>
  <c r="H164" i="49"/>
  <c r="T16" i="76" s="1"/>
  <c r="H169" i="49"/>
  <c r="Y16" i="76" s="1"/>
  <c r="AH79" i="73"/>
  <c r="H79" i="73" s="1"/>
  <c r="AH83" i="73"/>
  <c r="AH87" i="73"/>
  <c r="H87" i="73" s="1"/>
  <c r="AH91" i="73"/>
  <c r="AH95" i="73"/>
  <c r="H153" i="49"/>
  <c r="I16" i="76" s="1"/>
  <c r="H157" i="49"/>
  <c r="M16" i="76" s="1"/>
  <c r="H161" i="49"/>
  <c r="Q16" i="76" s="1"/>
  <c r="H166" i="49"/>
  <c r="V16" i="76" s="1"/>
  <c r="AH76" i="73"/>
  <c r="H76" i="73" s="1"/>
  <c r="AH80" i="73"/>
  <c r="AH84" i="73"/>
  <c r="AH88" i="73"/>
  <c r="H88" i="73" s="1"/>
  <c r="AH92" i="73"/>
  <c r="AH96" i="73"/>
  <c r="H96" i="73" s="1"/>
  <c r="H149" i="49"/>
  <c r="E16" i="76" s="1"/>
  <c r="H154" i="49"/>
  <c r="J16" i="76" s="1"/>
  <c r="H158" i="49"/>
  <c r="N16" i="76" s="1"/>
  <c r="H162" i="49"/>
  <c r="R16" i="76" s="1"/>
  <c r="H167" i="49"/>
  <c r="W16" i="76" s="1"/>
  <c r="AD76" i="73"/>
  <c r="D76" i="73" s="1"/>
  <c r="AC97" i="72"/>
  <c r="AB97" i="72"/>
  <c r="AA97" i="72"/>
  <c r="Z97" i="72"/>
  <c r="Y97" i="72"/>
  <c r="AC96" i="72"/>
  <c r="AB96" i="72"/>
  <c r="AA96" i="72"/>
  <c r="Z96" i="72"/>
  <c r="Y96" i="72"/>
  <c r="AC95" i="72"/>
  <c r="AB95" i="72"/>
  <c r="AA95" i="72"/>
  <c r="Z95" i="72"/>
  <c r="Y95" i="72"/>
  <c r="AC94" i="72"/>
  <c r="AB94" i="72"/>
  <c r="AA94" i="72"/>
  <c r="Z94" i="72"/>
  <c r="Y94" i="72"/>
  <c r="AC93" i="72"/>
  <c r="AB93" i="72"/>
  <c r="AA93" i="72"/>
  <c r="Z93" i="72"/>
  <c r="Y93" i="72"/>
  <c r="AC92" i="72"/>
  <c r="AB92" i="72"/>
  <c r="AA92" i="72"/>
  <c r="Z92" i="72"/>
  <c r="Y92" i="72"/>
  <c r="AC91" i="72"/>
  <c r="AB91" i="72"/>
  <c r="AA91" i="72"/>
  <c r="Z91" i="72"/>
  <c r="Y91" i="72"/>
  <c r="AC90" i="72"/>
  <c r="AB90" i="72"/>
  <c r="Z90" i="72"/>
  <c r="Y90" i="72"/>
  <c r="AC89" i="72"/>
  <c r="AB89" i="72"/>
  <c r="AA89" i="72"/>
  <c r="Z89" i="72"/>
  <c r="Y89" i="72"/>
  <c r="AC88" i="72"/>
  <c r="AB88" i="72"/>
  <c r="AA88" i="72"/>
  <c r="Z88" i="72"/>
  <c r="Y88" i="72"/>
  <c r="AC87" i="72"/>
  <c r="AB87" i="72"/>
  <c r="AA87" i="72"/>
  <c r="Z87" i="72"/>
  <c r="Y87" i="72"/>
  <c r="AC86" i="72"/>
  <c r="AB86" i="72"/>
  <c r="AA86" i="72"/>
  <c r="Z86" i="72"/>
  <c r="Y86" i="72"/>
  <c r="AC85" i="72"/>
  <c r="AB85" i="72"/>
  <c r="AA85" i="72"/>
  <c r="Z85" i="72"/>
  <c r="Y85" i="72"/>
  <c r="AC84" i="72"/>
  <c r="AB84" i="72"/>
  <c r="AA84" i="72"/>
  <c r="Z84" i="72"/>
  <c r="Y84" i="72"/>
  <c r="AC83" i="72"/>
  <c r="AB83" i="72"/>
  <c r="AA83" i="72"/>
  <c r="Z83" i="72"/>
  <c r="Y83" i="72"/>
  <c r="AC82" i="72"/>
  <c r="AB82" i="72"/>
  <c r="AA82" i="72"/>
  <c r="Z82" i="72"/>
  <c r="Y82" i="72"/>
  <c r="AC81" i="72"/>
  <c r="AB81" i="72"/>
  <c r="AA81" i="72"/>
  <c r="Z81" i="72"/>
  <c r="Y81" i="72"/>
  <c r="AC80" i="72"/>
  <c r="AB80" i="72"/>
  <c r="AA80" i="72"/>
  <c r="Z80" i="72"/>
  <c r="Y80" i="72"/>
  <c r="AC79" i="72"/>
  <c r="AB79" i="72"/>
  <c r="AA79" i="72"/>
  <c r="Z79" i="72"/>
  <c r="Y79" i="72"/>
  <c r="AC78" i="72"/>
  <c r="AB78" i="72"/>
  <c r="AA78" i="72"/>
  <c r="Z78" i="72"/>
  <c r="Y78" i="72"/>
  <c r="AC77" i="72"/>
  <c r="AB77" i="72"/>
  <c r="AA77" i="72"/>
  <c r="Z77" i="72"/>
  <c r="Y77" i="72"/>
  <c r="AC76" i="72"/>
  <c r="AB76" i="72"/>
  <c r="AA76" i="72"/>
  <c r="Z76" i="72"/>
  <c r="Y76" i="72"/>
  <c r="AF10" i="72"/>
  <c r="H31" i="72"/>
  <c r="H30" i="72"/>
  <c r="H29" i="72"/>
  <c r="AH130" i="72" s="1"/>
  <c r="H28" i="72"/>
  <c r="H27" i="72"/>
  <c r="AH128" i="72" s="1"/>
  <c r="H26" i="72"/>
  <c r="AH127" i="72" s="1"/>
  <c r="H25" i="72"/>
  <c r="H24" i="72"/>
  <c r="H23" i="72"/>
  <c r="H22" i="72"/>
  <c r="AH123" i="72" s="1"/>
  <c r="H21" i="72"/>
  <c r="H20" i="72"/>
  <c r="H19" i="72"/>
  <c r="H18" i="72"/>
  <c r="H17" i="72"/>
  <c r="H16" i="72"/>
  <c r="H15" i="72"/>
  <c r="H14" i="72"/>
  <c r="AH114" i="72"/>
  <c r="H12" i="72"/>
  <c r="H11" i="72"/>
  <c r="H10" i="72"/>
  <c r="G31" i="72"/>
  <c r="AD31" i="72" s="1"/>
  <c r="G30" i="72"/>
  <c r="AD30" i="72" s="1"/>
  <c r="G29" i="72"/>
  <c r="AD29" i="72" s="1"/>
  <c r="G28" i="72"/>
  <c r="AD28" i="72" s="1"/>
  <c r="G27" i="72"/>
  <c r="AD27" i="72" s="1"/>
  <c r="G26" i="72"/>
  <c r="AD26" i="72" s="1"/>
  <c r="G25" i="72"/>
  <c r="AD25" i="72" s="1"/>
  <c r="G24" i="72"/>
  <c r="AD24" i="72" s="1"/>
  <c r="G23" i="72"/>
  <c r="AD23" i="72" s="1"/>
  <c r="G22" i="72"/>
  <c r="AD22" i="72" s="1"/>
  <c r="G21" i="72"/>
  <c r="AD21" i="72" s="1"/>
  <c r="G20" i="72"/>
  <c r="G19" i="72"/>
  <c r="AD19" i="72" s="1"/>
  <c r="G18" i="72"/>
  <c r="AD18" i="72" s="1"/>
  <c r="G17" i="72"/>
  <c r="AD17" i="72" s="1"/>
  <c r="G16" i="72"/>
  <c r="AD16" i="72" s="1"/>
  <c r="G15" i="72"/>
  <c r="AD15" i="72" s="1"/>
  <c r="G14" i="72"/>
  <c r="AD14" i="72" s="1"/>
  <c r="AD13" i="72"/>
  <c r="G12" i="72"/>
  <c r="AD12" i="72" s="1"/>
  <c r="G11" i="72"/>
  <c r="G10" i="72"/>
  <c r="AD10" i="72" s="1"/>
  <c r="F31" i="72"/>
  <c r="AC31" i="72" s="1"/>
  <c r="F30" i="72"/>
  <c r="AC30" i="72" s="1"/>
  <c r="F29" i="72"/>
  <c r="AF130" i="72" s="1"/>
  <c r="F28" i="72"/>
  <c r="AC28" i="72" s="1"/>
  <c r="F27" i="72"/>
  <c r="AC27" i="72" s="1"/>
  <c r="F26" i="72"/>
  <c r="AC26" i="72" s="1"/>
  <c r="F25" i="72"/>
  <c r="AC25" i="72" s="1"/>
  <c r="F23" i="72"/>
  <c r="AC23" i="72" s="1"/>
  <c r="F22" i="72"/>
  <c r="AC22" i="72" s="1"/>
  <c r="F21" i="72"/>
  <c r="AC21" i="72" s="1"/>
  <c r="F20" i="72"/>
  <c r="F19" i="72"/>
  <c r="AC19" i="72" s="1"/>
  <c r="F18" i="72"/>
  <c r="AC18" i="72" s="1"/>
  <c r="F17" i="72"/>
  <c r="AC17" i="72" s="1"/>
  <c r="F16" i="72"/>
  <c r="AC16" i="72" s="1"/>
  <c r="F15" i="72"/>
  <c r="AC15" i="72" s="1"/>
  <c r="F14" i="72"/>
  <c r="AC14" i="72" s="1"/>
  <c r="AC13" i="72"/>
  <c r="F12" i="72"/>
  <c r="AC12" i="72" s="1"/>
  <c r="F11" i="72"/>
  <c r="AF112" i="72" s="1"/>
  <c r="F10" i="72"/>
  <c r="AC10" i="72" s="1"/>
  <c r="E31" i="72"/>
  <c r="AB31" i="72" s="1"/>
  <c r="E30" i="72"/>
  <c r="AB30" i="72" s="1"/>
  <c r="E29" i="72"/>
  <c r="AB29" i="72" s="1"/>
  <c r="E28" i="72"/>
  <c r="AB28" i="72" s="1"/>
  <c r="E27" i="72"/>
  <c r="E26" i="72"/>
  <c r="AB26" i="72" s="1"/>
  <c r="E25" i="72"/>
  <c r="AB25" i="72" s="1"/>
  <c r="E24" i="72"/>
  <c r="AB24" i="72" s="1"/>
  <c r="E23" i="72"/>
  <c r="AB23" i="72" s="1"/>
  <c r="E22" i="72"/>
  <c r="AB22" i="72" s="1"/>
  <c r="E21" i="72"/>
  <c r="AB21" i="72" s="1"/>
  <c r="E20" i="72"/>
  <c r="AB20" i="72" s="1"/>
  <c r="E19" i="72"/>
  <c r="AB19" i="72" s="1"/>
  <c r="E18" i="72"/>
  <c r="AB18" i="72" s="1"/>
  <c r="E17" i="72"/>
  <c r="AB17" i="72" s="1"/>
  <c r="E16" i="72"/>
  <c r="AB16" i="72" s="1"/>
  <c r="E15" i="72"/>
  <c r="AB15" i="72" s="1"/>
  <c r="E14" i="72"/>
  <c r="AB14" i="72" s="1"/>
  <c r="AB13" i="72"/>
  <c r="E12" i="72"/>
  <c r="AB12" i="72" s="1"/>
  <c r="E11" i="72"/>
  <c r="AB11" i="72" s="1"/>
  <c r="E10" i="72"/>
  <c r="AB10" i="72" s="1"/>
  <c r="D31" i="72"/>
  <c r="AD132" i="72" s="1"/>
  <c r="D30" i="72"/>
  <c r="AA30" i="72" s="1"/>
  <c r="D29" i="72"/>
  <c r="AD130" i="72" s="1"/>
  <c r="D28" i="72"/>
  <c r="AA28" i="72" s="1"/>
  <c r="D27" i="72"/>
  <c r="D26" i="72"/>
  <c r="D25" i="72"/>
  <c r="D24" i="72"/>
  <c r="D23" i="72"/>
  <c r="D22" i="72"/>
  <c r="AD123" i="72" s="1"/>
  <c r="D21" i="72"/>
  <c r="D20" i="72"/>
  <c r="AD121" i="72" s="1"/>
  <c r="D19" i="72"/>
  <c r="D18" i="72"/>
  <c r="D17" i="72"/>
  <c r="AD118" i="72" s="1"/>
  <c r="D16" i="72"/>
  <c r="D15" i="72"/>
  <c r="AD116" i="72" s="1"/>
  <c r="D14" i="72"/>
  <c r="AD114" i="72"/>
  <c r="D11" i="72"/>
  <c r="D10" i="72"/>
  <c r="AE32" i="74" l="1"/>
  <c r="AD129" i="72"/>
  <c r="AD131" i="72"/>
  <c r="AE132" i="72"/>
  <c r="AG123" i="72"/>
  <c r="AF123" i="72"/>
  <c r="AE123" i="72"/>
  <c r="E123" i="72" s="1"/>
  <c r="AF132" i="72"/>
  <c r="AE130" i="72"/>
  <c r="AG132" i="72"/>
  <c r="BA41" i="82"/>
  <c r="Y5" i="92" a="1"/>
  <c r="Y5" i="92" s="1"/>
  <c r="Y41" i="73" s="1"/>
  <c r="Y6" i="92" a="1"/>
  <c r="Y6" i="92" s="1"/>
  <c r="Y41" i="74" s="1"/>
  <c r="AH132" i="72"/>
  <c r="H132" i="72" s="1"/>
  <c r="AG130" i="72"/>
  <c r="G130" i="72" s="1"/>
  <c r="AD112" i="72"/>
  <c r="D112" i="72" s="1"/>
  <c r="Y42" i="64"/>
  <c r="AC41" i="64"/>
  <c r="AC42" i="64"/>
  <c r="AC42" i="67"/>
  <c r="Y42" i="67"/>
  <c r="AC41" i="67"/>
  <c r="AC41" i="62"/>
  <c r="Y42" i="62"/>
  <c r="AC42" i="62"/>
  <c r="Y42" i="65"/>
  <c r="AC41" i="65"/>
  <c r="AC42" i="65"/>
  <c r="AC41" i="66"/>
  <c r="Y42" i="63"/>
  <c r="AC41" i="63"/>
  <c r="AC42" i="63"/>
  <c r="Y42" i="66"/>
  <c r="AC42" i="66"/>
  <c r="AA5" i="92" a="1"/>
  <c r="AA5" i="92" s="1"/>
  <c r="AC41" i="73" s="1"/>
  <c r="AC42" i="73" s="1"/>
  <c r="Z5" i="92" a="1"/>
  <c r="Z5" i="92" s="1"/>
  <c r="Z41" i="73" s="1"/>
  <c r="AA6" i="92" a="1"/>
  <c r="AA6" i="92" s="1"/>
  <c r="AC41" i="74" s="1"/>
  <c r="AC42" i="74" s="1"/>
  <c r="Z6" i="92" a="1"/>
  <c r="Z6" i="92" s="1"/>
  <c r="Z41" i="74" s="1"/>
  <c r="BA64" i="82"/>
  <c r="AE112" i="72"/>
  <c r="E112" i="72" s="1"/>
  <c r="AH124" i="72"/>
  <c r="H124" i="72" s="1"/>
  <c r="AF114" i="72"/>
  <c r="F114" i="72" s="1"/>
  <c r="AE114" i="72"/>
  <c r="E114" i="72" s="1"/>
  <c r="AG114" i="72"/>
  <c r="G114" i="72" s="1"/>
  <c r="Q26" i="74"/>
  <c r="Q23" i="74"/>
  <c r="Q27" i="74"/>
  <c r="AE121" i="72"/>
  <c r="E121" i="72" s="1"/>
  <c r="AL63" i="73"/>
  <c r="AV55" i="82"/>
  <c r="AV64" i="82"/>
  <c r="AV40" i="82"/>
  <c r="AN63" i="74"/>
  <c r="AV43" i="82"/>
  <c r="BA40" i="82"/>
  <c r="BA43" i="82"/>
  <c r="BA59" i="82"/>
  <c r="BA46" i="82"/>
  <c r="AV60" i="82"/>
  <c r="BA60" i="82"/>
  <c r="BA51" i="82"/>
  <c r="Y32" i="74"/>
  <c r="AV54" i="82"/>
  <c r="BA52" i="82"/>
  <c r="AV52" i="82"/>
  <c r="AV47" i="82"/>
  <c r="AC98" i="82"/>
  <c r="H98" i="82" s="1"/>
  <c r="BA62" i="82" s="1"/>
  <c r="AV58" i="82"/>
  <c r="AV48" i="82"/>
  <c r="AE20" i="72"/>
  <c r="Z20" i="72"/>
  <c r="Y20" i="72"/>
  <c r="AE28" i="72"/>
  <c r="Z28" i="72"/>
  <c r="Y28" i="72"/>
  <c r="AE14" i="72"/>
  <c r="Y14" i="72"/>
  <c r="AE22" i="72"/>
  <c r="Z22" i="72"/>
  <c r="Y22" i="72"/>
  <c r="AE30" i="72"/>
  <c r="Z30" i="72"/>
  <c r="Y30" i="72"/>
  <c r="AE11" i="72"/>
  <c r="Y11" i="72"/>
  <c r="AE15" i="72"/>
  <c r="Y15" i="72"/>
  <c r="AE19" i="72"/>
  <c r="Z19" i="72"/>
  <c r="Y19" i="72"/>
  <c r="AE23" i="72"/>
  <c r="Y23" i="72"/>
  <c r="AE27" i="72"/>
  <c r="Z27" i="72"/>
  <c r="Y27" i="72"/>
  <c r="AE31" i="72"/>
  <c r="Y31" i="72"/>
  <c r="BA47" i="82"/>
  <c r="AV45" i="82"/>
  <c r="AE16" i="72"/>
  <c r="Y16" i="72"/>
  <c r="AE24" i="72"/>
  <c r="Z24" i="72"/>
  <c r="Y24" i="72"/>
  <c r="Z32" i="49"/>
  <c r="AE13" i="72"/>
  <c r="Y13" i="72"/>
  <c r="AE17" i="72"/>
  <c r="Z17" i="72"/>
  <c r="Y17" i="72"/>
  <c r="AE21" i="72"/>
  <c r="Z21" i="72"/>
  <c r="Y21" i="72"/>
  <c r="AE25" i="72"/>
  <c r="Z25" i="72"/>
  <c r="Y25" i="72"/>
  <c r="AE29" i="72"/>
  <c r="Y29" i="72"/>
  <c r="AE12" i="72"/>
  <c r="Y12" i="72"/>
  <c r="AE10" i="72"/>
  <c r="Y10" i="72"/>
  <c r="AE18" i="72"/>
  <c r="Y18" i="72"/>
  <c r="AE26" i="72"/>
  <c r="Z26" i="72"/>
  <c r="Y26" i="72"/>
  <c r="AA32" i="73"/>
  <c r="AW62" i="82"/>
  <c r="AR62" i="82"/>
  <c r="AW52" i="82"/>
  <c r="AR52" i="82"/>
  <c r="AV44" i="82"/>
  <c r="BA44" i="82"/>
  <c r="AZ62" i="82"/>
  <c r="AU62" i="82"/>
  <c r="AZ44" i="82"/>
  <c r="AU44" i="82"/>
  <c r="AY44" i="82"/>
  <c r="AT44" i="82"/>
  <c r="AX62" i="82"/>
  <c r="AS62" i="82"/>
  <c r="AX44" i="82"/>
  <c r="AS44" i="82"/>
  <c r="AF32" i="49"/>
  <c r="AG112" i="72"/>
  <c r="G112" i="72" s="1"/>
  <c r="AD11" i="72"/>
  <c r="AD20" i="72"/>
  <c r="AC29" i="72"/>
  <c r="AC11" i="72"/>
  <c r="AF121" i="72"/>
  <c r="F121" i="72" s="1"/>
  <c r="AC20" i="72"/>
  <c r="AB32" i="72"/>
  <c r="AE128" i="72"/>
  <c r="E128" i="72" s="1"/>
  <c r="AB27" i="72"/>
  <c r="L15" i="72"/>
  <c r="AL45" i="72" s="1"/>
  <c r="AA15" i="72"/>
  <c r="L23" i="72"/>
  <c r="AL53" i="72" s="1"/>
  <c r="AA23" i="72"/>
  <c r="L31" i="72"/>
  <c r="AL61" i="72" s="1"/>
  <c r="AA31" i="72"/>
  <c r="L13" i="72"/>
  <c r="AL43" i="72" s="1"/>
  <c r="AA13" i="72"/>
  <c r="L17" i="72"/>
  <c r="AL47" i="72" s="1"/>
  <c r="AA17" i="72"/>
  <c r="L21" i="72"/>
  <c r="AL51" i="72" s="1"/>
  <c r="AA21" i="72"/>
  <c r="L25" i="72"/>
  <c r="AL55" i="72" s="1"/>
  <c r="AA25" i="72"/>
  <c r="L29" i="72"/>
  <c r="AL59" i="72" s="1"/>
  <c r="AA29" i="72"/>
  <c r="AB32" i="49"/>
  <c r="L14" i="72"/>
  <c r="AL44" i="72" s="1"/>
  <c r="AA14" i="72"/>
  <c r="AD119" i="72"/>
  <c r="D119" i="72" s="1"/>
  <c r="AA18" i="72"/>
  <c r="L22" i="72"/>
  <c r="AL52" i="72" s="1"/>
  <c r="AA22" i="72"/>
  <c r="L26" i="72"/>
  <c r="AL56" i="72" s="1"/>
  <c r="AA26" i="72"/>
  <c r="L19" i="72"/>
  <c r="AL49" i="72" s="1"/>
  <c r="AA19" i="72"/>
  <c r="L27" i="72"/>
  <c r="AL57" i="72" s="1"/>
  <c r="AA27" i="72"/>
  <c r="L11" i="72"/>
  <c r="AL41" i="72" s="1"/>
  <c r="AA11" i="72"/>
  <c r="AA16" i="72"/>
  <c r="AA20" i="72"/>
  <c r="AA24" i="72"/>
  <c r="AD111" i="72"/>
  <c r="D111" i="72" s="1"/>
  <c r="AA10" i="72"/>
  <c r="AD124" i="72"/>
  <c r="D124" i="72" s="1"/>
  <c r="AD127" i="72"/>
  <c r="AD125" i="72"/>
  <c r="AD120" i="72"/>
  <c r="D120" i="72" s="1"/>
  <c r="AE32" i="49"/>
  <c r="AF133" i="49"/>
  <c r="D134" i="49" s="1"/>
  <c r="AG133" i="49"/>
  <c r="E134" i="49" s="1"/>
  <c r="AC32" i="49"/>
  <c r="E117" i="49"/>
  <c r="AJ133" i="49"/>
  <c r="H134" i="49" s="1"/>
  <c r="AI133" i="49"/>
  <c r="G134" i="49" s="1"/>
  <c r="P22" i="49"/>
  <c r="P20" i="49"/>
  <c r="P11" i="49"/>
  <c r="AH25" i="49"/>
  <c r="AH28" i="49"/>
  <c r="AH16" i="49"/>
  <c r="P18" i="49"/>
  <c r="AH19" i="49"/>
  <c r="AH14" i="49"/>
  <c r="AH23" i="49"/>
  <c r="P24" i="49"/>
  <c r="P31" i="49"/>
  <c r="AH11" i="49"/>
  <c r="AH20" i="49"/>
  <c r="P21" i="49"/>
  <c r="AH21" i="49"/>
  <c r="P17" i="49"/>
  <c r="P19" i="49"/>
  <c r="P26" i="49"/>
  <c r="AH15" i="49"/>
  <c r="AH26" i="49"/>
  <c r="AH10" i="49"/>
  <c r="AH27" i="49"/>
  <c r="P13" i="49"/>
  <c r="P16" i="49"/>
  <c r="P15" i="49"/>
  <c r="P14" i="49"/>
  <c r="AH17" i="49"/>
  <c r="AH12" i="49"/>
  <c r="P30" i="49"/>
  <c r="P12" i="49"/>
  <c r="P10" i="49"/>
  <c r="AH24" i="49"/>
  <c r="AH13" i="49"/>
  <c r="AH22" i="49"/>
  <c r="AH18" i="49"/>
  <c r="AO18" i="73"/>
  <c r="I18" i="73" s="1"/>
  <c r="J18" i="73" s="1"/>
  <c r="AK28" i="72"/>
  <c r="AL22" i="72"/>
  <c r="AL30" i="72"/>
  <c r="AM28" i="72"/>
  <c r="AN10" i="72"/>
  <c r="AN14" i="72"/>
  <c r="AN18" i="72"/>
  <c r="AN30" i="72"/>
  <c r="AM63" i="73"/>
  <c r="AM27" i="72"/>
  <c r="AN21" i="72"/>
  <c r="AN25" i="72"/>
  <c r="AP10" i="49"/>
  <c r="I10" i="49" s="1"/>
  <c r="AM63" i="74"/>
  <c r="AP19" i="49"/>
  <c r="I19" i="49" s="1"/>
  <c r="AP22" i="49"/>
  <c r="I22" i="49" s="1"/>
  <c r="AO30" i="73"/>
  <c r="I30" i="73" s="1"/>
  <c r="J30" i="73" s="1"/>
  <c r="AO22" i="73"/>
  <c r="I22" i="73" s="1"/>
  <c r="J22" i="73" s="1"/>
  <c r="AN63" i="73"/>
  <c r="AO63" i="73"/>
  <c r="P25" i="49"/>
  <c r="P27" i="49"/>
  <c r="P23" i="49"/>
  <c r="P29" i="49"/>
  <c r="P28" i="49"/>
  <c r="AP13" i="49"/>
  <c r="I13" i="49" s="1"/>
  <c r="Z80" i="49" s="1"/>
  <c r="AP18" i="49"/>
  <c r="I18" i="49" s="1"/>
  <c r="AP17" i="49"/>
  <c r="I17" i="49" s="1"/>
  <c r="AP20" i="49"/>
  <c r="I20" i="49" s="1"/>
  <c r="AK16" i="72"/>
  <c r="AK24" i="72"/>
  <c r="AL14" i="72"/>
  <c r="P22" i="72"/>
  <c r="N4" i="92" s="1"/>
  <c r="AN22" i="72"/>
  <c r="AG21" i="74"/>
  <c r="Q21" i="74"/>
  <c r="M21" i="72"/>
  <c r="AM51" i="72" s="1"/>
  <c r="AK21" i="72"/>
  <c r="M29" i="72"/>
  <c r="AM59" i="72" s="1"/>
  <c r="AK29" i="72"/>
  <c r="N19" i="72"/>
  <c r="AN49" i="72" s="1"/>
  <c r="AL19" i="72"/>
  <c r="AM21" i="72"/>
  <c r="AN11" i="72"/>
  <c r="AH120" i="72"/>
  <c r="H120" i="72" s="1"/>
  <c r="AN19" i="72"/>
  <c r="P27" i="72"/>
  <c r="AN27" i="72"/>
  <c r="AD126" i="72"/>
  <c r="D126" i="72" s="1"/>
  <c r="Q31" i="73"/>
  <c r="AG28" i="73"/>
  <c r="AO11" i="73"/>
  <c r="I11" i="73" s="1"/>
  <c r="J11" i="73" s="1"/>
  <c r="AO23" i="73"/>
  <c r="I23" i="73" s="1"/>
  <c r="J23" i="73" s="1"/>
  <c r="AG16" i="74"/>
  <c r="Q16" i="74"/>
  <c r="Q28" i="74"/>
  <c r="AG25" i="74"/>
  <c r="Q24" i="74"/>
  <c r="AG23" i="74"/>
  <c r="AG20" i="74"/>
  <c r="Q20" i="74"/>
  <c r="AG28" i="74"/>
  <c r="Q31" i="74"/>
  <c r="AG15" i="74"/>
  <c r="Q15" i="74"/>
  <c r="AL10" i="72"/>
  <c r="AF119" i="72"/>
  <c r="F119" i="72" s="1"/>
  <c r="AL18" i="72"/>
  <c r="AL26" i="72"/>
  <c r="AM16" i="72"/>
  <c r="AG121" i="72"/>
  <c r="G121" i="72" s="1"/>
  <c r="AM20" i="72"/>
  <c r="P26" i="72"/>
  <c r="AN26" i="72"/>
  <c r="Q29" i="74"/>
  <c r="AG26" i="74"/>
  <c r="Q13" i="74"/>
  <c r="AG13" i="74"/>
  <c r="M13" i="72"/>
  <c r="AK13" i="72"/>
  <c r="M17" i="72"/>
  <c r="AM47" i="72" s="1"/>
  <c r="AK17" i="72"/>
  <c r="M25" i="72"/>
  <c r="AM55" i="72" s="1"/>
  <c r="AK25" i="72"/>
  <c r="N11" i="72"/>
  <c r="AN41" i="72" s="1"/>
  <c r="AL11" i="72"/>
  <c r="N15" i="72"/>
  <c r="AN45" i="72" s="1"/>
  <c r="AL15" i="72"/>
  <c r="N23" i="72"/>
  <c r="AN53" i="72" s="1"/>
  <c r="AL23" i="72"/>
  <c r="N27" i="72"/>
  <c r="AN57" i="72" s="1"/>
  <c r="AL27" i="72"/>
  <c r="N31" i="72"/>
  <c r="AN61" i="72" s="1"/>
  <c r="AL31" i="72"/>
  <c r="AM13" i="72"/>
  <c r="O17" i="72"/>
  <c r="AM17" i="72"/>
  <c r="O25" i="72"/>
  <c r="AM25" i="72"/>
  <c r="O29" i="72"/>
  <c r="AO59" i="72" s="1"/>
  <c r="AM29" i="72"/>
  <c r="H116" i="72"/>
  <c r="AN15" i="72"/>
  <c r="P23" i="72"/>
  <c r="AN23" i="72"/>
  <c r="P31" i="72"/>
  <c r="W4" i="92" s="1"/>
  <c r="AN31" i="72"/>
  <c r="AK10" i="72"/>
  <c r="AK14" i="72"/>
  <c r="AK18" i="72"/>
  <c r="AK22" i="72"/>
  <c r="AK26" i="72"/>
  <c r="AK30" i="72"/>
  <c r="N12" i="72"/>
  <c r="AN42" i="72" s="1"/>
  <c r="AL12" i="72"/>
  <c r="AF117" i="72"/>
  <c r="F117" i="72" s="1"/>
  <c r="AL16" i="72"/>
  <c r="N20" i="72"/>
  <c r="AN50" i="72" s="1"/>
  <c r="AL20" i="72"/>
  <c r="AL28" i="72"/>
  <c r="AM10" i="72"/>
  <c r="AM14" i="72"/>
  <c r="AM18" i="72"/>
  <c r="AM22" i="72"/>
  <c r="AM26" i="72"/>
  <c r="AM30" i="72"/>
  <c r="AN12" i="72"/>
  <c r="AN16" i="72"/>
  <c r="AH121" i="72"/>
  <c r="H121" i="72" s="1"/>
  <c r="AN20" i="72"/>
  <c r="AN24" i="72"/>
  <c r="AN28" i="72"/>
  <c r="AD117" i="72"/>
  <c r="D117" i="72" s="1"/>
  <c r="AP63" i="74"/>
  <c r="Q10" i="74"/>
  <c r="AG10" i="74"/>
  <c r="AG24" i="74"/>
  <c r="Q25" i="74"/>
  <c r="Q17" i="74"/>
  <c r="AG17" i="74"/>
  <c r="AE113" i="72"/>
  <c r="E113" i="72" s="1"/>
  <c r="AK12" i="72"/>
  <c r="AK20" i="72"/>
  <c r="AG113" i="72"/>
  <c r="G113" i="72" s="1"/>
  <c r="AM12" i="72"/>
  <c r="M11" i="72"/>
  <c r="AM41" i="72" s="1"/>
  <c r="AK11" i="72"/>
  <c r="M15" i="72"/>
  <c r="AM45" i="72" s="1"/>
  <c r="AK15" i="72"/>
  <c r="M19" i="72"/>
  <c r="AM49" i="72" s="1"/>
  <c r="AK19" i="72"/>
  <c r="M23" i="72"/>
  <c r="AM53" i="72" s="1"/>
  <c r="AK23" i="72"/>
  <c r="M27" i="72"/>
  <c r="AM57" i="72" s="1"/>
  <c r="AK27" i="72"/>
  <c r="M31" i="72"/>
  <c r="AM61" i="72" s="1"/>
  <c r="AK31" i="72"/>
  <c r="N13" i="72"/>
  <c r="AL13" i="72"/>
  <c r="N17" i="72"/>
  <c r="AN47" i="72" s="1"/>
  <c r="AL17" i="72"/>
  <c r="N21" i="72"/>
  <c r="AN51" i="72" s="1"/>
  <c r="AL21" i="72"/>
  <c r="N25" i="72"/>
  <c r="AN55" i="72" s="1"/>
  <c r="AL25" i="72"/>
  <c r="N29" i="72"/>
  <c r="AN59" i="72" s="1"/>
  <c r="AL29" i="72"/>
  <c r="O11" i="72"/>
  <c r="AO41" i="72" s="1"/>
  <c r="AM11" i="72"/>
  <c r="O15" i="72"/>
  <c r="AO45" i="72" s="1"/>
  <c r="AM15" i="72"/>
  <c r="O19" i="72"/>
  <c r="AO49" i="72" s="1"/>
  <c r="AM19" i="72"/>
  <c r="O23" i="72"/>
  <c r="AO53" i="72" s="1"/>
  <c r="AM23" i="72"/>
  <c r="O31" i="72"/>
  <c r="AO61" i="72" s="1"/>
  <c r="AM31" i="72"/>
  <c r="P13" i="72"/>
  <c r="E4" i="92" s="1"/>
  <c r="AN13" i="72"/>
  <c r="P17" i="72"/>
  <c r="I4" i="92" s="1"/>
  <c r="AN17" i="72"/>
  <c r="P29" i="72"/>
  <c r="U4" i="92" s="1"/>
  <c r="AN29" i="72"/>
  <c r="AL63" i="74"/>
  <c r="AP11" i="49"/>
  <c r="I11" i="49" s="1"/>
  <c r="AP16" i="49"/>
  <c r="I16" i="49" s="1"/>
  <c r="Z83" i="49" s="1"/>
  <c r="AO28" i="73"/>
  <c r="I28" i="73" s="1"/>
  <c r="J28" i="73" s="1"/>
  <c r="AO16" i="73"/>
  <c r="I16" i="73" s="1"/>
  <c r="J16" i="73" s="1"/>
  <c r="Q30" i="74"/>
  <c r="AG27" i="74"/>
  <c r="Q22" i="74"/>
  <c r="AG22" i="74"/>
  <c r="Q18" i="74"/>
  <c r="AG18" i="74"/>
  <c r="Q14" i="74"/>
  <c r="AG14" i="74"/>
  <c r="AG12" i="74"/>
  <c r="Q12" i="74"/>
  <c r="AG19" i="74"/>
  <c r="Q19" i="74"/>
  <c r="Q11" i="74"/>
  <c r="AG11" i="74"/>
  <c r="AO15" i="73"/>
  <c r="I15" i="73" s="1"/>
  <c r="J15" i="73" s="1"/>
  <c r="AO10" i="73"/>
  <c r="AO13" i="73"/>
  <c r="I13" i="73" s="1"/>
  <c r="J13" i="73" s="1"/>
  <c r="AO29" i="73"/>
  <c r="I29" i="73" s="1"/>
  <c r="J29" i="73" s="1"/>
  <c r="AO21" i="73"/>
  <c r="I21" i="73" s="1"/>
  <c r="J21" i="73" s="1"/>
  <c r="AO12" i="73"/>
  <c r="I12" i="73" s="1"/>
  <c r="J12" i="73" s="1"/>
  <c r="AO26" i="73"/>
  <c r="I26" i="73" s="1"/>
  <c r="J26" i="73" s="1"/>
  <c r="AO14" i="73"/>
  <c r="I14" i="73" s="1"/>
  <c r="J14" i="73" s="1"/>
  <c r="AO20" i="73"/>
  <c r="I20" i="73" s="1"/>
  <c r="J20" i="73" s="1"/>
  <c r="AO25" i="73"/>
  <c r="I25" i="73" s="1"/>
  <c r="J25" i="73" s="1"/>
  <c r="AO17" i="73"/>
  <c r="I17" i="73" s="1"/>
  <c r="J17" i="73" s="1"/>
  <c r="AO31" i="73"/>
  <c r="I31" i="73" s="1"/>
  <c r="J31" i="73" s="1"/>
  <c r="AO27" i="73"/>
  <c r="I27" i="73" s="1"/>
  <c r="J27" i="73" s="1"/>
  <c r="AO19" i="73"/>
  <c r="I19" i="73" s="1"/>
  <c r="J19" i="73" s="1"/>
  <c r="AE117" i="72"/>
  <c r="E117" i="72" s="1"/>
  <c r="AF115" i="72"/>
  <c r="F115" i="72" s="1"/>
  <c r="AG111" i="72"/>
  <c r="G111" i="72" s="1"/>
  <c r="AE124" i="72"/>
  <c r="E124" i="72" s="1"/>
  <c r="AF122" i="72"/>
  <c r="F122" i="72" s="1"/>
  <c r="AG117" i="72"/>
  <c r="G117" i="72" s="1"/>
  <c r="AO25" i="74"/>
  <c r="I25" i="74" s="1"/>
  <c r="J25" i="74" s="1"/>
  <c r="AO17" i="74"/>
  <c r="I17" i="74" s="1"/>
  <c r="J17" i="74" s="1"/>
  <c r="AO31" i="74"/>
  <c r="I31" i="74" s="1"/>
  <c r="J31" i="74" s="1"/>
  <c r="AO15" i="74"/>
  <c r="I15" i="74" s="1"/>
  <c r="J15" i="74" s="1"/>
  <c r="AO10" i="74"/>
  <c r="I10" i="74" s="1"/>
  <c r="J10" i="74" s="1"/>
  <c r="AO21" i="74"/>
  <c r="I21" i="74" s="1"/>
  <c r="J21" i="74" s="1"/>
  <c r="AO19" i="74"/>
  <c r="I19" i="74" s="1"/>
  <c r="J19" i="74" s="1"/>
  <c r="AO12" i="74"/>
  <c r="I12" i="74" s="1"/>
  <c r="J12" i="74" s="1"/>
  <c r="AO16" i="74"/>
  <c r="I16" i="74" s="1"/>
  <c r="J16" i="74" s="1"/>
  <c r="AO23" i="74"/>
  <c r="I23" i="74" s="1"/>
  <c r="J23" i="74" s="1"/>
  <c r="AO11" i="74"/>
  <c r="I11" i="74" s="1"/>
  <c r="J11" i="74" s="1"/>
  <c r="AO20" i="74"/>
  <c r="I20" i="74" s="1"/>
  <c r="J20" i="74" s="1"/>
  <c r="AO13" i="74"/>
  <c r="I13" i="74" s="1"/>
  <c r="J13" i="74" s="1"/>
  <c r="AO63" i="74"/>
  <c r="AO27" i="74"/>
  <c r="I27" i="74" s="1"/>
  <c r="J27" i="74" s="1"/>
  <c r="AO29" i="74"/>
  <c r="I29" i="74" s="1"/>
  <c r="J29" i="74" s="1"/>
  <c r="AO28" i="74"/>
  <c r="I28" i="74" s="1"/>
  <c r="J28" i="74" s="1"/>
  <c r="AO30" i="74"/>
  <c r="I30" i="74" s="1"/>
  <c r="J30" i="74" s="1"/>
  <c r="AO26" i="74"/>
  <c r="I26" i="74" s="1"/>
  <c r="J26" i="74" s="1"/>
  <c r="AO22" i="74"/>
  <c r="I22" i="74" s="1"/>
  <c r="J22" i="74" s="1"/>
  <c r="AO18" i="74"/>
  <c r="I18" i="74" s="1"/>
  <c r="J18" i="74" s="1"/>
  <c r="AO14" i="74"/>
  <c r="I14" i="74" s="1"/>
  <c r="J14" i="74" s="1"/>
  <c r="AP23" i="49"/>
  <c r="I23" i="49" s="1"/>
  <c r="AP30" i="49"/>
  <c r="I30" i="49" s="1"/>
  <c r="Z97" i="49" s="1"/>
  <c r="AP26" i="49"/>
  <c r="I26" i="49" s="1"/>
  <c r="AP28" i="49"/>
  <c r="I28" i="49" s="1"/>
  <c r="Z95" i="49" s="1"/>
  <c r="AP27" i="49"/>
  <c r="I27" i="49" s="1"/>
  <c r="AP21" i="49"/>
  <c r="I21" i="49" s="1"/>
  <c r="AP31" i="49"/>
  <c r="I31" i="49" s="1"/>
  <c r="AP14" i="49"/>
  <c r="I14" i="49" s="1"/>
  <c r="AP33" i="49"/>
  <c r="I33" i="49" s="1"/>
  <c r="AP15" i="49"/>
  <c r="I15" i="49" s="1"/>
  <c r="AP25" i="49"/>
  <c r="I25" i="49" s="1"/>
  <c r="Z92" i="49" s="1"/>
  <c r="AP29" i="49"/>
  <c r="I29" i="49" s="1"/>
  <c r="AP12" i="49"/>
  <c r="I12" i="49" s="1"/>
  <c r="Z79" i="49" s="1"/>
  <c r="AD115" i="72"/>
  <c r="AD122" i="72"/>
  <c r="D122" i="72" s="1"/>
  <c r="AD128" i="72"/>
  <c r="D128" i="72" s="1"/>
  <c r="AE115" i="72"/>
  <c r="E115" i="72" s="1"/>
  <c r="AE120" i="72"/>
  <c r="E120" i="72" s="1"/>
  <c r="AE119" i="72"/>
  <c r="E119" i="72" s="1"/>
  <c r="AE111" i="72"/>
  <c r="E111" i="72" s="1"/>
  <c r="AE126" i="72"/>
  <c r="E126" i="72" s="1"/>
  <c r="AE122" i="72"/>
  <c r="E122" i="72" s="1"/>
  <c r="AF128" i="72"/>
  <c r="F128" i="72" s="1"/>
  <c r="AF113" i="72"/>
  <c r="F113" i="72" s="1"/>
  <c r="AF111" i="72"/>
  <c r="F111" i="72" s="1"/>
  <c r="AF124" i="72"/>
  <c r="F124" i="72" s="1"/>
  <c r="AF120" i="72"/>
  <c r="F120" i="72" s="1"/>
  <c r="AF126" i="72"/>
  <c r="F126" i="72" s="1"/>
  <c r="AG120" i="72"/>
  <c r="G120" i="72" s="1"/>
  <c r="AG124" i="72"/>
  <c r="G124" i="72" s="1"/>
  <c r="AG126" i="72"/>
  <c r="G126" i="72" s="1"/>
  <c r="V7" i="92"/>
  <c r="U7" i="92"/>
  <c r="G7" i="92"/>
  <c r="F7" i="92"/>
  <c r="P7" i="92"/>
  <c r="T7" i="92"/>
  <c r="M7" i="92"/>
  <c r="I7" i="92"/>
  <c r="N7" i="92"/>
  <c r="L7" i="92"/>
  <c r="W7" i="92"/>
  <c r="Q7" i="92"/>
  <c r="D7" i="92"/>
  <c r="E7" i="92"/>
  <c r="J7" i="92"/>
  <c r="H7" i="92"/>
  <c r="K7" i="92"/>
  <c r="C7" i="92"/>
  <c r="R26" i="72"/>
  <c r="R23" i="72"/>
  <c r="R27" i="72"/>
  <c r="H32" i="72"/>
  <c r="D118" i="72"/>
  <c r="H114" i="72"/>
  <c r="D130" i="72"/>
  <c r="E132" i="72"/>
  <c r="D116" i="72"/>
  <c r="H128" i="72"/>
  <c r="F132" i="72"/>
  <c r="H118" i="72"/>
  <c r="F116" i="72"/>
  <c r="D127" i="72"/>
  <c r="H123" i="72"/>
  <c r="F118" i="72"/>
  <c r="F130" i="72"/>
  <c r="L10" i="72"/>
  <c r="AL40" i="72" s="1"/>
  <c r="D32" i="72"/>
  <c r="L30" i="72"/>
  <c r="AL60" i="72" s="1"/>
  <c r="D131" i="72"/>
  <c r="M16" i="72"/>
  <c r="AM46" i="72" s="1"/>
  <c r="M24" i="72"/>
  <c r="AM54" i="72" s="1"/>
  <c r="E125" i="72"/>
  <c r="N10" i="72"/>
  <c r="AN40" i="72" s="1"/>
  <c r="N14" i="72"/>
  <c r="AN44" i="72" s="1"/>
  <c r="N18" i="72"/>
  <c r="AN48" i="72" s="1"/>
  <c r="N22" i="72"/>
  <c r="AN52" i="72" s="1"/>
  <c r="F123" i="72"/>
  <c r="N26" i="72"/>
  <c r="AN56" i="72" s="1"/>
  <c r="F127" i="72"/>
  <c r="N30" i="72"/>
  <c r="AN60" i="72" s="1"/>
  <c r="F131" i="72"/>
  <c r="O16" i="72"/>
  <c r="AO46" i="72" s="1"/>
  <c r="O20" i="72"/>
  <c r="O24" i="72"/>
  <c r="G125" i="72"/>
  <c r="O28" i="72"/>
  <c r="AO58" i="72" s="1"/>
  <c r="G129" i="72"/>
  <c r="P30" i="72"/>
  <c r="V4" i="92" s="1"/>
  <c r="H131" i="72"/>
  <c r="AE76" i="72"/>
  <c r="E76" i="72" s="1"/>
  <c r="AD77" i="72"/>
  <c r="D77" i="72" s="1"/>
  <c r="AH77" i="72"/>
  <c r="H77" i="72" s="1"/>
  <c r="AF79" i="72"/>
  <c r="F79" i="72" s="1"/>
  <c r="AE80" i="72"/>
  <c r="E80" i="72" s="1"/>
  <c r="AD81" i="72"/>
  <c r="D81" i="72" s="1"/>
  <c r="AF83" i="72"/>
  <c r="F83" i="72" s="1"/>
  <c r="AE84" i="72"/>
  <c r="E84" i="72" s="1"/>
  <c r="AD85" i="72"/>
  <c r="D85" i="72" s="1"/>
  <c r="AG86" i="72"/>
  <c r="G86" i="72" s="1"/>
  <c r="AF87" i="72"/>
  <c r="F87" i="72" s="1"/>
  <c r="AE88" i="72"/>
  <c r="E88" i="72" s="1"/>
  <c r="AD89" i="72"/>
  <c r="D89" i="72" s="1"/>
  <c r="AH89" i="72"/>
  <c r="H89" i="72" s="1"/>
  <c r="AG90" i="72"/>
  <c r="G90" i="72" s="1"/>
  <c r="AF91" i="72"/>
  <c r="F91" i="72" s="1"/>
  <c r="AE92" i="72"/>
  <c r="E92" i="72" s="1"/>
  <c r="AD93" i="72"/>
  <c r="D93" i="72" s="1"/>
  <c r="AH93" i="72"/>
  <c r="H93" i="72" s="1"/>
  <c r="AG94" i="72"/>
  <c r="G94" i="72" s="1"/>
  <c r="AF95" i="72"/>
  <c r="F95" i="72" s="1"/>
  <c r="AE96" i="72"/>
  <c r="E96" i="72" s="1"/>
  <c r="AD97" i="72"/>
  <c r="D97" i="72" s="1"/>
  <c r="AH97" i="72"/>
  <c r="H97" i="72" s="1"/>
  <c r="H92" i="73"/>
  <c r="H91" i="73"/>
  <c r="H90" i="73"/>
  <c r="H97" i="73"/>
  <c r="H127" i="72"/>
  <c r="D123" i="72"/>
  <c r="L18" i="72"/>
  <c r="AL48" i="72" s="1"/>
  <c r="M12" i="72"/>
  <c r="AM42" i="72" s="1"/>
  <c r="M20" i="72"/>
  <c r="AM50" i="72" s="1"/>
  <c r="M28" i="72"/>
  <c r="AM58" i="72" s="1"/>
  <c r="E129" i="72"/>
  <c r="L12" i="72"/>
  <c r="AL42" i="72" s="1"/>
  <c r="D113" i="72"/>
  <c r="L16" i="72"/>
  <c r="AL46" i="72" s="1"/>
  <c r="L20" i="72"/>
  <c r="AL50" i="72" s="1"/>
  <c r="D121" i="72"/>
  <c r="L24" i="72"/>
  <c r="AL54" i="72" s="1"/>
  <c r="D125" i="72"/>
  <c r="L28" i="72"/>
  <c r="AL58" i="72" s="1"/>
  <c r="D129" i="72"/>
  <c r="M10" i="72"/>
  <c r="AM40" i="72" s="1"/>
  <c r="E32" i="72"/>
  <c r="M14" i="72"/>
  <c r="AM44" i="72" s="1"/>
  <c r="M18" i="72"/>
  <c r="AM48" i="72" s="1"/>
  <c r="M22" i="72"/>
  <c r="AM52" i="72" s="1"/>
  <c r="M26" i="72"/>
  <c r="AM56" i="72" s="1"/>
  <c r="E127" i="72"/>
  <c r="M30" i="72"/>
  <c r="AM60" i="72" s="1"/>
  <c r="E131" i="72"/>
  <c r="N16" i="72"/>
  <c r="AN46" i="72" s="1"/>
  <c r="N28" i="72"/>
  <c r="AN58" i="72" s="1"/>
  <c r="F129" i="72"/>
  <c r="O10" i="72"/>
  <c r="AO40" i="72" s="1"/>
  <c r="G32" i="72"/>
  <c r="AG119" i="72"/>
  <c r="G119" i="72" s="1"/>
  <c r="O22" i="72"/>
  <c r="AO52" i="72" s="1"/>
  <c r="G123" i="72"/>
  <c r="O26" i="72"/>
  <c r="G127" i="72"/>
  <c r="O30" i="72"/>
  <c r="AO60" i="72" s="1"/>
  <c r="G131" i="72"/>
  <c r="P20" i="72"/>
  <c r="L4" i="92" s="1"/>
  <c r="P24" i="72"/>
  <c r="P4" i="92" s="1"/>
  <c r="H125" i="72"/>
  <c r="P28" i="72"/>
  <c r="T4" i="92" s="1"/>
  <c r="H129" i="72"/>
  <c r="AG76" i="72"/>
  <c r="G76" i="72" s="1"/>
  <c r="AF77" i="72"/>
  <c r="F77" i="72" s="1"/>
  <c r="AE78" i="72"/>
  <c r="E78" i="72" s="1"/>
  <c r="AD79" i="72"/>
  <c r="D79" i="72" s="1"/>
  <c r="AH79" i="72"/>
  <c r="H79" i="72" s="1"/>
  <c r="AF81" i="72"/>
  <c r="F81" i="72" s="1"/>
  <c r="AE82" i="72"/>
  <c r="E82" i="72" s="1"/>
  <c r="AD83" i="72"/>
  <c r="D83" i="72" s="1"/>
  <c r="AH83" i="72"/>
  <c r="H83" i="72" s="1"/>
  <c r="AF85" i="72"/>
  <c r="F85" i="72" s="1"/>
  <c r="AE86" i="72"/>
  <c r="E86" i="72" s="1"/>
  <c r="AD87" i="72"/>
  <c r="D87" i="72" s="1"/>
  <c r="AG88" i="72"/>
  <c r="G88" i="72" s="1"/>
  <c r="AF89" i="72"/>
  <c r="F89" i="72" s="1"/>
  <c r="AE90" i="72"/>
  <c r="E90" i="72" s="1"/>
  <c r="AD91" i="72"/>
  <c r="D91" i="72" s="1"/>
  <c r="AG92" i="72"/>
  <c r="G92" i="72" s="1"/>
  <c r="AF93" i="72"/>
  <c r="F93" i="72" s="1"/>
  <c r="AE94" i="72"/>
  <c r="E94" i="72" s="1"/>
  <c r="AD95" i="72"/>
  <c r="D95" i="72" s="1"/>
  <c r="AH95" i="72"/>
  <c r="H95" i="72" s="1"/>
  <c r="AG96" i="72"/>
  <c r="G96" i="72" s="1"/>
  <c r="AF97" i="72"/>
  <c r="F97" i="72" s="1"/>
  <c r="H84" i="73"/>
  <c r="H83" i="73"/>
  <c r="H82" i="73"/>
  <c r="H81" i="73"/>
  <c r="AD76" i="72"/>
  <c r="D76" i="72" s="1"/>
  <c r="AG77" i="72"/>
  <c r="G77" i="72" s="1"/>
  <c r="AF78" i="72"/>
  <c r="F78" i="72" s="1"/>
  <c r="AE79" i="72"/>
  <c r="E79" i="72" s="1"/>
  <c r="AD80" i="72"/>
  <c r="D80" i="72" s="1"/>
  <c r="AF82" i="72"/>
  <c r="F82" i="72" s="1"/>
  <c r="AE83" i="72"/>
  <c r="E83" i="72" s="1"/>
  <c r="AD84" i="72"/>
  <c r="D84" i="72" s="1"/>
  <c r="AG85" i="72"/>
  <c r="G85" i="72" s="1"/>
  <c r="AF86" i="72"/>
  <c r="F86" i="72" s="1"/>
  <c r="AE87" i="72"/>
  <c r="E87" i="72" s="1"/>
  <c r="AD88" i="72"/>
  <c r="D88" i="72" s="1"/>
  <c r="AH88" i="72"/>
  <c r="H88" i="72" s="1"/>
  <c r="AG89" i="72"/>
  <c r="G89" i="72" s="1"/>
  <c r="AE91" i="72"/>
  <c r="E91" i="72" s="1"/>
  <c r="AD92" i="72"/>
  <c r="D92" i="72" s="1"/>
  <c r="AH92" i="72"/>
  <c r="H92" i="72" s="1"/>
  <c r="AF94" i="72"/>
  <c r="F94" i="72" s="1"/>
  <c r="AE95" i="72"/>
  <c r="E95" i="72" s="1"/>
  <c r="AD96" i="72"/>
  <c r="D96" i="72" s="1"/>
  <c r="AH96" i="72"/>
  <c r="H96" i="72" s="1"/>
  <c r="AG97" i="72"/>
  <c r="G97" i="72" s="1"/>
  <c r="H85" i="73"/>
  <c r="G132" i="72"/>
  <c r="H80" i="73"/>
  <c r="F112" i="72"/>
  <c r="H130" i="72"/>
  <c r="H95" i="73"/>
  <c r="G118" i="72"/>
  <c r="E116" i="72"/>
  <c r="H94" i="73"/>
  <c r="AF76" i="72"/>
  <c r="F76" i="72" s="1"/>
  <c r="AE77" i="72"/>
  <c r="E77" i="72" s="1"/>
  <c r="AD78" i="72"/>
  <c r="D78" i="72" s="1"/>
  <c r="AF80" i="72"/>
  <c r="F80" i="72" s="1"/>
  <c r="AE81" i="72"/>
  <c r="E81" i="72" s="1"/>
  <c r="AD82" i="72"/>
  <c r="D82" i="72" s="1"/>
  <c r="AF84" i="72"/>
  <c r="F84" i="72" s="1"/>
  <c r="AE85" i="72"/>
  <c r="E85" i="72" s="1"/>
  <c r="AD86" i="72"/>
  <c r="D86" i="72" s="1"/>
  <c r="AH86" i="72"/>
  <c r="H86" i="72" s="1"/>
  <c r="AF88" i="72"/>
  <c r="F88" i="72" s="1"/>
  <c r="AE89" i="72"/>
  <c r="E89" i="72" s="1"/>
  <c r="AD90" i="72"/>
  <c r="D90" i="72" s="1"/>
  <c r="AH90" i="72"/>
  <c r="H90" i="72" s="1"/>
  <c r="AG91" i="72"/>
  <c r="G91" i="72" s="1"/>
  <c r="AF92" i="72"/>
  <c r="F92" i="72" s="1"/>
  <c r="AE93" i="72"/>
  <c r="E93" i="72" s="1"/>
  <c r="AD94" i="72"/>
  <c r="D94" i="72" s="1"/>
  <c r="AH94" i="72"/>
  <c r="H94" i="72" s="1"/>
  <c r="AG95" i="72"/>
  <c r="G95" i="72" s="1"/>
  <c r="AF96" i="72"/>
  <c r="F96" i="72" s="1"/>
  <c r="AE97" i="72"/>
  <c r="E97" i="72" s="1"/>
  <c r="H93" i="73"/>
  <c r="H77" i="73"/>
  <c r="E130" i="72"/>
  <c r="E118" i="72"/>
  <c r="G116" i="72"/>
  <c r="D114" i="72"/>
  <c r="D132" i="72"/>
  <c r="B7" i="92"/>
  <c r="AH81" i="72"/>
  <c r="H81" i="72" s="1"/>
  <c r="AH85" i="72"/>
  <c r="H85" i="72" s="1"/>
  <c r="O12" i="72"/>
  <c r="O13" i="72"/>
  <c r="O21" i="72"/>
  <c r="O27" i="72"/>
  <c r="AO57" i="72" s="1"/>
  <c r="O14" i="72"/>
  <c r="AO44" i="72" s="1"/>
  <c r="O18" i="72"/>
  <c r="AH87" i="72"/>
  <c r="H87" i="72" s="1"/>
  <c r="AH91" i="72"/>
  <c r="H91" i="72" s="1"/>
  <c r="AH115" i="72"/>
  <c r="H115" i="72" s="1"/>
  <c r="P14" i="72"/>
  <c r="F4" i="92" s="1"/>
  <c r="P12" i="72"/>
  <c r="D4" i="92" s="1"/>
  <c r="P16" i="72"/>
  <c r="H4" i="92" s="1"/>
  <c r="AH113" i="72"/>
  <c r="H113" i="72" s="1"/>
  <c r="AH122" i="72"/>
  <c r="H122" i="72" s="1"/>
  <c r="P21" i="72"/>
  <c r="M4" i="92" s="1"/>
  <c r="P25" i="72"/>
  <c r="Q4" i="92" s="1"/>
  <c r="AH111" i="72"/>
  <c r="H111" i="72" s="1"/>
  <c r="P10" i="72"/>
  <c r="B4" i="92" s="1"/>
  <c r="AH119" i="72"/>
  <c r="H119" i="72" s="1"/>
  <c r="P18" i="72"/>
  <c r="J4" i="92" s="1"/>
  <c r="AH112" i="72"/>
  <c r="H112" i="72" s="1"/>
  <c r="P11" i="72"/>
  <c r="C4" i="92" s="1"/>
  <c r="P15" i="72"/>
  <c r="G4" i="92" s="1"/>
  <c r="P19" i="72"/>
  <c r="K4" i="92" s="1"/>
  <c r="AH78" i="72"/>
  <c r="H78" i="72" s="1"/>
  <c r="AH82" i="72"/>
  <c r="H82" i="72" s="1"/>
  <c r="AH126" i="72"/>
  <c r="H126" i="72" s="1"/>
  <c r="AG78" i="72"/>
  <c r="G78" i="72" s="1"/>
  <c r="AG82" i="72"/>
  <c r="G82" i="72" s="1"/>
  <c r="AG79" i="72"/>
  <c r="G79" i="72" s="1"/>
  <c r="AG83" i="72"/>
  <c r="G83" i="72" s="1"/>
  <c r="AG87" i="72"/>
  <c r="G87" i="72" s="1"/>
  <c r="AG80" i="72"/>
  <c r="G80" i="72" s="1"/>
  <c r="AG84" i="72"/>
  <c r="G84" i="72" s="1"/>
  <c r="AG122" i="72"/>
  <c r="G122" i="72" s="1"/>
  <c r="AH76" i="72"/>
  <c r="H76" i="72" s="1"/>
  <c r="AH80" i="72"/>
  <c r="H80" i="72" s="1"/>
  <c r="AG81" i="72"/>
  <c r="G81" i="72" s="1"/>
  <c r="AH84" i="72"/>
  <c r="H84" i="72" s="1"/>
  <c r="AG93" i="72"/>
  <c r="G93" i="72" s="1"/>
  <c r="AG128" i="72"/>
  <c r="G128" i="72" s="1"/>
  <c r="AH117" i="72"/>
  <c r="H117" i="72" s="1"/>
  <c r="AG115" i="72"/>
  <c r="AD133" i="63"/>
  <c r="H133" i="63" s="1"/>
  <c r="AD132" i="63"/>
  <c r="H132" i="63" s="1"/>
  <c r="AD131" i="63"/>
  <c r="H131" i="63" s="1"/>
  <c r="AD130" i="63"/>
  <c r="H130" i="63" s="1"/>
  <c r="AD129" i="63"/>
  <c r="H129" i="63" s="1"/>
  <c r="AD128" i="63"/>
  <c r="H128" i="63" s="1"/>
  <c r="AD127" i="63"/>
  <c r="H127" i="63" s="1"/>
  <c r="AD126" i="63"/>
  <c r="H126" i="63" s="1"/>
  <c r="AD125" i="63"/>
  <c r="H125" i="63" s="1"/>
  <c r="AD124" i="63"/>
  <c r="H124" i="63" s="1"/>
  <c r="AD123" i="63"/>
  <c r="H123" i="63" s="1"/>
  <c r="AD122" i="63"/>
  <c r="H122" i="63" s="1"/>
  <c r="AD121" i="63"/>
  <c r="H121" i="63" s="1"/>
  <c r="AD120" i="63"/>
  <c r="H120" i="63" s="1"/>
  <c r="AD119" i="63"/>
  <c r="H119" i="63" s="1"/>
  <c r="AD118" i="63"/>
  <c r="H118" i="63" s="1"/>
  <c r="AD117" i="63"/>
  <c r="H117" i="63" s="1"/>
  <c r="AD116" i="63"/>
  <c r="H116" i="63" s="1"/>
  <c r="AD115" i="63"/>
  <c r="H115" i="63" s="1"/>
  <c r="AD114" i="63"/>
  <c r="H114" i="63" s="1"/>
  <c r="AD113" i="63"/>
  <c r="H113" i="63" s="1"/>
  <c r="H32" i="62"/>
  <c r="O32" i="62" s="1"/>
  <c r="AD170" i="49"/>
  <c r="H32" i="49"/>
  <c r="AH133" i="63"/>
  <c r="AH132" i="63"/>
  <c r="AH131" i="63"/>
  <c r="AH130" i="63"/>
  <c r="AH129" i="63"/>
  <c r="AH128" i="63"/>
  <c r="AH127" i="63"/>
  <c r="AH126" i="63"/>
  <c r="AH125" i="63"/>
  <c r="AH124" i="63"/>
  <c r="AH123" i="63"/>
  <c r="AH122" i="63"/>
  <c r="AH121" i="63"/>
  <c r="AH120" i="63"/>
  <c r="AH119" i="63"/>
  <c r="AH118" i="63"/>
  <c r="AH117" i="63"/>
  <c r="AH116" i="63"/>
  <c r="AH115" i="63"/>
  <c r="AH114" i="63"/>
  <c r="AH113" i="63"/>
  <c r="AC133" i="63"/>
  <c r="AC132" i="63"/>
  <c r="AC131" i="63"/>
  <c r="AC130" i="63"/>
  <c r="AC129" i="63"/>
  <c r="AC128" i="63"/>
  <c r="AC127" i="63"/>
  <c r="AC126" i="63"/>
  <c r="AC125" i="63"/>
  <c r="AC124" i="63"/>
  <c r="AC123" i="63"/>
  <c r="AC122" i="63"/>
  <c r="AC121" i="63"/>
  <c r="AC120" i="63"/>
  <c r="AC119" i="63"/>
  <c r="AC118" i="63"/>
  <c r="AC117" i="63"/>
  <c r="AC116" i="63"/>
  <c r="AC115" i="63"/>
  <c r="AC114" i="63"/>
  <c r="AC113" i="63"/>
  <c r="G33" i="60"/>
  <c r="O33" i="60" s="1"/>
  <c r="AB171" i="70"/>
  <c r="AC278" i="69"/>
  <c r="G278" i="69" s="1"/>
  <c r="AC170" i="69"/>
  <c r="AI134" i="69"/>
  <c r="AC134" i="69"/>
  <c r="AI278" i="67"/>
  <c r="AI242" i="67"/>
  <c r="AC242" i="67"/>
  <c r="AI206" i="67"/>
  <c r="AC206" i="67"/>
  <c r="G32" i="67"/>
  <c r="G134" i="67" s="1"/>
  <c r="AC168" i="66"/>
  <c r="G32" i="66"/>
  <c r="G32" i="65"/>
  <c r="G32" i="64"/>
  <c r="G32" i="63"/>
  <c r="G32" i="62"/>
  <c r="N32" i="62" s="1"/>
  <c r="AC170" i="49"/>
  <c r="G32" i="49"/>
  <c r="AG133" i="63"/>
  <c r="AG132" i="63"/>
  <c r="AG131" i="63"/>
  <c r="AG130" i="63"/>
  <c r="AG129" i="63"/>
  <c r="AG128" i="63"/>
  <c r="AG127" i="63"/>
  <c r="AG125" i="63"/>
  <c r="AG124" i="63"/>
  <c r="AG123" i="63"/>
  <c r="AG122" i="63"/>
  <c r="AG121" i="63"/>
  <c r="AG120" i="63"/>
  <c r="AG119" i="63"/>
  <c r="AG118" i="63"/>
  <c r="AG117" i="63"/>
  <c r="AG116" i="63"/>
  <c r="AG115" i="63"/>
  <c r="AG114" i="63"/>
  <c r="AG113" i="63"/>
  <c r="AB133" i="63"/>
  <c r="AB132" i="63"/>
  <c r="AB131" i="63"/>
  <c r="AB130" i="63"/>
  <c r="AB129" i="63"/>
  <c r="AB128" i="63"/>
  <c r="AB127" i="63"/>
  <c r="AB125" i="63"/>
  <c r="AB124" i="63"/>
  <c r="AB123" i="63"/>
  <c r="AB122" i="63"/>
  <c r="AB121" i="63"/>
  <c r="AB120" i="63"/>
  <c r="AB119" i="63"/>
  <c r="AB118" i="63"/>
  <c r="AB117" i="63"/>
  <c r="AB116" i="63"/>
  <c r="AB115" i="63"/>
  <c r="AB114" i="63"/>
  <c r="AB113" i="63"/>
  <c r="AB170" i="49"/>
  <c r="AF133" i="63"/>
  <c r="AF132" i="63"/>
  <c r="AF131" i="63"/>
  <c r="AF130" i="63"/>
  <c r="AF129" i="63"/>
  <c r="AF128" i="63"/>
  <c r="AF127" i="63"/>
  <c r="AF126" i="63"/>
  <c r="AF125" i="63"/>
  <c r="AF124" i="63"/>
  <c r="AF123" i="63"/>
  <c r="AF122" i="63"/>
  <c r="AF121" i="63"/>
  <c r="AF120" i="63"/>
  <c r="AF119" i="63"/>
  <c r="AF118" i="63"/>
  <c r="AF117" i="63"/>
  <c r="AF116" i="63"/>
  <c r="AF115" i="63"/>
  <c r="AF114" i="63"/>
  <c r="AA133" i="63"/>
  <c r="AA132" i="63"/>
  <c r="AA131" i="63"/>
  <c r="AA130" i="63"/>
  <c r="AA129" i="63"/>
  <c r="AA128" i="63"/>
  <c r="AA127" i="63"/>
  <c r="AA126" i="63"/>
  <c r="AA125" i="63"/>
  <c r="AA124" i="63"/>
  <c r="AA123" i="63"/>
  <c r="AA122" i="63"/>
  <c r="AA121" i="63"/>
  <c r="AA120" i="63"/>
  <c r="AA119" i="63"/>
  <c r="AA118" i="63"/>
  <c r="AA117" i="63"/>
  <c r="AA116" i="63"/>
  <c r="AA115" i="63"/>
  <c r="AA114" i="63"/>
  <c r="AA113" i="63"/>
  <c r="AA170" i="69"/>
  <c r="AG134" i="69"/>
  <c r="AA134" i="69"/>
  <c r="AG278" i="67"/>
  <c r="AG242" i="67"/>
  <c r="AA242" i="67"/>
  <c r="AG198" i="67"/>
  <c r="E198" i="67" s="1"/>
  <c r="AA206" i="67"/>
  <c r="E32" i="67"/>
  <c r="E134" i="67" s="1"/>
  <c r="AA168" i="66"/>
  <c r="E32" i="66"/>
  <c r="E32" i="65"/>
  <c r="E32" i="64"/>
  <c r="E32" i="63"/>
  <c r="E32" i="62"/>
  <c r="L32" i="62" s="1"/>
  <c r="AA170" i="49"/>
  <c r="E32" i="49"/>
  <c r="AE133" i="63"/>
  <c r="D133" i="63" s="1"/>
  <c r="AE132" i="63"/>
  <c r="AE131" i="63"/>
  <c r="AE130" i="63"/>
  <c r="AE129" i="63"/>
  <c r="AE128" i="63"/>
  <c r="AE127" i="63"/>
  <c r="AE126" i="63"/>
  <c r="AE125" i="63"/>
  <c r="AE124" i="63"/>
  <c r="AE123" i="63"/>
  <c r="AE122" i="63"/>
  <c r="AE121" i="63"/>
  <c r="AE120" i="63"/>
  <c r="AE119" i="63"/>
  <c r="AE118" i="63"/>
  <c r="AE117" i="63"/>
  <c r="AE116" i="63"/>
  <c r="AE115" i="63"/>
  <c r="AE113" i="63"/>
  <c r="AE112" i="63"/>
  <c r="Z132" i="63"/>
  <c r="Z131" i="63"/>
  <c r="Z130" i="63"/>
  <c r="Z129" i="63"/>
  <c r="Z128" i="63"/>
  <c r="Z127" i="63"/>
  <c r="Z126" i="63"/>
  <c r="Z125" i="63"/>
  <c r="Z124" i="63"/>
  <c r="Z123" i="63"/>
  <c r="Z122" i="63"/>
  <c r="Z121" i="63"/>
  <c r="Z120" i="63"/>
  <c r="Z119" i="63"/>
  <c r="Z118" i="63"/>
  <c r="Z117" i="63"/>
  <c r="Z116" i="63"/>
  <c r="Z115" i="63"/>
  <c r="Z114" i="63"/>
  <c r="Z113" i="63"/>
  <c r="Z112" i="63"/>
  <c r="Z170" i="69"/>
  <c r="AF134" i="69"/>
  <c r="Z134" i="69"/>
  <c r="AF278" i="67"/>
  <c r="AF242" i="67"/>
  <c r="Z242" i="67"/>
  <c r="AF206" i="67"/>
  <c r="Z206" i="67"/>
  <c r="D32" i="67"/>
  <c r="D134" i="67" s="1"/>
  <c r="D32" i="66"/>
  <c r="D32" i="65"/>
  <c r="K32" i="65" s="1"/>
  <c r="D32" i="64"/>
  <c r="D32" i="63"/>
  <c r="D32" i="62"/>
  <c r="K32" i="62" s="1"/>
  <c r="Z170" i="49"/>
  <c r="D32" i="49"/>
  <c r="Y4" i="92" l="1" a="1"/>
  <c r="Y4" i="92" s="1"/>
  <c r="Y41" i="72" s="1"/>
  <c r="Y7" i="92" a="1"/>
  <c r="Y7" i="92" s="1"/>
  <c r="Z42" i="49" s="1"/>
  <c r="AB40" i="74"/>
  <c r="AB41" i="74"/>
  <c r="X41" i="74"/>
  <c r="X41" i="73"/>
  <c r="AB41" i="73"/>
  <c r="AB40" i="73"/>
  <c r="AA4" i="92" a="1"/>
  <c r="AA4" i="92" s="1"/>
  <c r="AC41" i="72" s="1"/>
  <c r="AC42" i="72" s="1"/>
  <c r="Z4" i="92" a="1"/>
  <c r="Z4" i="92" s="1"/>
  <c r="Z41" i="72" s="1"/>
  <c r="AA7" i="92" a="1"/>
  <c r="AA7" i="92" s="1"/>
  <c r="AD41" i="49" s="1"/>
  <c r="AD42" i="49" s="1"/>
  <c r="Z7" i="92" a="1"/>
  <c r="Z7" i="92" s="1"/>
  <c r="AA42" i="49" s="1"/>
  <c r="AV62" i="82"/>
  <c r="AE32" i="72"/>
  <c r="Y32" i="72"/>
  <c r="AN140" i="60"/>
  <c r="AD32" i="72"/>
  <c r="D134" i="66"/>
  <c r="D170" i="66"/>
  <c r="E134" i="66"/>
  <c r="E170" i="66"/>
  <c r="AA32" i="72"/>
  <c r="G134" i="66"/>
  <c r="G170" i="66"/>
  <c r="D131" i="63"/>
  <c r="AL32" i="62"/>
  <c r="AO32" i="62"/>
  <c r="D124" i="63"/>
  <c r="K32" i="49"/>
  <c r="E134" i="62"/>
  <c r="D134" i="62"/>
  <c r="G134" i="62"/>
  <c r="H134" i="62"/>
  <c r="AO30" i="72"/>
  <c r="I30" i="72" s="1"/>
  <c r="J30" i="72" s="1"/>
  <c r="AO27" i="72"/>
  <c r="I27" i="72" s="1"/>
  <c r="J27" i="72" s="1"/>
  <c r="AO14" i="72"/>
  <c r="I14" i="72" s="1"/>
  <c r="J14" i="72" s="1"/>
  <c r="AD133" i="72"/>
  <c r="D133" i="72" s="1"/>
  <c r="AH10" i="74"/>
  <c r="R10" i="74" s="1"/>
  <c r="AO23" i="72"/>
  <c r="I23" i="72" s="1"/>
  <c r="J23" i="72" s="1"/>
  <c r="AO15" i="72"/>
  <c r="I15" i="72" s="1"/>
  <c r="J15" i="72" s="1"/>
  <c r="D115" i="72"/>
  <c r="AL63" i="72"/>
  <c r="AO18" i="72"/>
  <c r="I18" i="72" s="1"/>
  <c r="J18" i="72" s="1"/>
  <c r="AO10" i="72"/>
  <c r="I10" i="72" s="1"/>
  <c r="J10" i="72" s="1"/>
  <c r="AO28" i="72"/>
  <c r="I28" i="72" s="1"/>
  <c r="J28" i="72" s="1"/>
  <c r="AO43" i="72"/>
  <c r="AO63" i="72"/>
  <c r="AO25" i="72"/>
  <c r="I25" i="72" s="1"/>
  <c r="J25" i="72" s="1"/>
  <c r="AG22" i="72"/>
  <c r="Q22" i="72"/>
  <c r="AP52" i="72"/>
  <c r="AP45" i="72"/>
  <c r="AG15" i="72"/>
  <c r="Q15" i="72"/>
  <c r="AG18" i="72"/>
  <c r="AP48" i="72"/>
  <c r="Q18" i="72"/>
  <c r="AP42" i="72"/>
  <c r="AG12" i="72"/>
  <c r="Q12" i="72"/>
  <c r="AG23" i="72"/>
  <c r="Q24" i="72"/>
  <c r="AP54" i="72"/>
  <c r="AH98" i="72"/>
  <c r="H98" i="72" s="1"/>
  <c r="AO31" i="72"/>
  <c r="I31" i="72" s="1"/>
  <c r="J31" i="72" s="1"/>
  <c r="AN43" i="72"/>
  <c r="AN63" i="72"/>
  <c r="AO20" i="72"/>
  <c r="I20" i="72" s="1"/>
  <c r="J20" i="72" s="1"/>
  <c r="AO12" i="72"/>
  <c r="I12" i="72" s="1"/>
  <c r="J12" i="72" s="1"/>
  <c r="AG28" i="72"/>
  <c r="AP61" i="72"/>
  <c r="Q31" i="72"/>
  <c r="AO55" i="72"/>
  <c r="AM63" i="72"/>
  <c r="AM43" i="72"/>
  <c r="AO29" i="72"/>
  <c r="I29" i="72" s="1"/>
  <c r="J29" i="72" s="1"/>
  <c r="AP51" i="72"/>
  <c r="Q21" i="72"/>
  <c r="AG21" i="72"/>
  <c r="AO50" i="72"/>
  <c r="AG26" i="72"/>
  <c r="AP59" i="72"/>
  <c r="Q29" i="72"/>
  <c r="AP63" i="72"/>
  <c r="AP43" i="72"/>
  <c r="Q13" i="72"/>
  <c r="AG13" i="72"/>
  <c r="AO13" i="72"/>
  <c r="I13" i="72" s="1"/>
  <c r="J13" i="72" s="1"/>
  <c r="AG24" i="72"/>
  <c r="AP55" i="72"/>
  <c r="Q25" i="72"/>
  <c r="AO51" i="72"/>
  <c r="AG27" i="72"/>
  <c r="AP60" i="72"/>
  <c r="Q30" i="72"/>
  <c r="AO54" i="72"/>
  <c r="AP47" i="72"/>
  <c r="AG17" i="72"/>
  <c r="Q17" i="72"/>
  <c r="AO19" i="72"/>
  <c r="I19" i="72" s="1"/>
  <c r="J19" i="72" s="1"/>
  <c r="AO11" i="72"/>
  <c r="I11" i="72" s="1"/>
  <c r="J11" i="72" s="1"/>
  <c r="AO17" i="72"/>
  <c r="I17" i="72" s="1"/>
  <c r="J17" i="72" s="1"/>
  <c r="AO26" i="72"/>
  <c r="I26" i="72" s="1"/>
  <c r="J26" i="72" s="1"/>
  <c r="AP57" i="72"/>
  <c r="Q27" i="72"/>
  <c r="AO48" i="72"/>
  <c r="AO42" i="72"/>
  <c r="AP49" i="72"/>
  <c r="AG19" i="72"/>
  <c r="Q19" i="72"/>
  <c r="AP41" i="72"/>
  <c r="AG11" i="72"/>
  <c r="Q11" i="72"/>
  <c r="AG10" i="72"/>
  <c r="Q10" i="72"/>
  <c r="AP40" i="72"/>
  <c r="AP46" i="72"/>
  <c r="AG16" i="72"/>
  <c r="Q16" i="72"/>
  <c r="AG14" i="72"/>
  <c r="AP44" i="72"/>
  <c r="Q14" i="72"/>
  <c r="Q28" i="72"/>
  <c r="AG25" i="72"/>
  <c r="AP58" i="72"/>
  <c r="AG20" i="72"/>
  <c r="AP50" i="72"/>
  <c r="Q20" i="72"/>
  <c r="AO56" i="72"/>
  <c r="AO16" i="72"/>
  <c r="I16" i="72" s="1"/>
  <c r="J16" i="72" s="1"/>
  <c r="AP53" i="72"/>
  <c r="Q23" i="72"/>
  <c r="AO47" i="72"/>
  <c r="AP56" i="72"/>
  <c r="Q26" i="72"/>
  <c r="AO21" i="72"/>
  <c r="I21" i="72" s="1"/>
  <c r="J21" i="72" s="1"/>
  <c r="AO22" i="72"/>
  <c r="I22" i="72" s="1"/>
  <c r="J22" i="72" s="1"/>
  <c r="AE133" i="72"/>
  <c r="E133" i="72" s="1"/>
  <c r="AD98" i="72"/>
  <c r="D98" i="72" s="1"/>
  <c r="AE98" i="72"/>
  <c r="E98" i="72" s="1"/>
  <c r="G124" i="63"/>
  <c r="G128" i="63"/>
  <c r="G133" i="63"/>
  <c r="AG133" i="72"/>
  <c r="G133" i="72" s="1"/>
  <c r="AG98" i="72"/>
  <c r="G98" i="72" s="1"/>
  <c r="G115" i="72"/>
  <c r="AH133" i="72"/>
  <c r="H133" i="72" s="1"/>
  <c r="D170" i="69"/>
  <c r="D206" i="67"/>
  <c r="D170" i="49"/>
  <c r="G206" i="60"/>
  <c r="G99" i="60"/>
  <c r="G170" i="69"/>
  <c r="D242" i="67"/>
  <c r="D134" i="69"/>
  <c r="E242" i="67"/>
  <c r="E134" i="69"/>
  <c r="E170" i="69"/>
  <c r="G206" i="67"/>
  <c r="G170" i="49"/>
  <c r="G242" i="67"/>
  <c r="G134" i="69"/>
  <c r="E170" i="49"/>
  <c r="H170" i="49"/>
  <c r="Z16" i="76" s="1"/>
  <c r="E124" i="63"/>
  <c r="E133" i="63"/>
  <c r="AF112" i="63"/>
  <c r="AF134" i="63"/>
  <c r="AA134" i="63"/>
  <c r="F124" i="63"/>
  <c r="F133" i="63"/>
  <c r="G132" i="63"/>
  <c r="G32" i="70"/>
  <c r="AH171" i="70"/>
  <c r="G104" i="70"/>
  <c r="O104" i="70" s="1"/>
  <c r="AG206" i="67"/>
  <c r="E206" i="67" s="1"/>
  <c r="AD134" i="63"/>
  <c r="H134" i="63" s="1"/>
  <c r="AD112" i="63"/>
  <c r="H112" i="63" s="1"/>
  <c r="G115" i="63"/>
  <c r="G119" i="63"/>
  <c r="G123" i="63"/>
  <c r="G127" i="63"/>
  <c r="G131" i="63"/>
  <c r="AC278" i="67"/>
  <c r="G278" i="67" s="1"/>
  <c r="G113" i="63"/>
  <c r="G117" i="63"/>
  <c r="G121" i="63"/>
  <c r="G125" i="63"/>
  <c r="G129" i="63"/>
  <c r="AH134" i="63"/>
  <c r="AH112" i="63"/>
  <c r="AC134" i="63"/>
  <c r="AC112" i="63"/>
  <c r="G116" i="63"/>
  <c r="G120" i="63"/>
  <c r="G114" i="63"/>
  <c r="G118" i="63"/>
  <c r="G122" i="63"/>
  <c r="G126" i="63"/>
  <c r="G130" i="63"/>
  <c r="F113" i="63"/>
  <c r="F117" i="63"/>
  <c r="F121" i="63"/>
  <c r="F125" i="63"/>
  <c r="F129" i="63"/>
  <c r="F116" i="63"/>
  <c r="F120" i="63"/>
  <c r="F128" i="63"/>
  <c r="F132" i="63"/>
  <c r="AB112" i="63"/>
  <c r="F114" i="63"/>
  <c r="F118" i="63"/>
  <c r="F122" i="63"/>
  <c r="F130" i="63"/>
  <c r="AG112" i="63"/>
  <c r="F115" i="63"/>
  <c r="F119" i="63"/>
  <c r="F123" i="63"/>
  <c r="F127" i="63"/>
  <c r="F131" i="63"/>
  <c r="E114" i="63"/>
  <c r="E118" i="63"/>
  <c r="E122" i="63"/>
  <c r="E126" i="63"/>
  <c r="E130" i="63"/>
  <c r="E115" i="63"/>
  <c r="E119" i="63"/>
  <c r="E123" i="63"/>
  <c r="E127" i="63"/>
  <c r="E131" i="63"/>
  <c r="AA112" i="63"/>
  <c r="E116" i="63"/>
  <c r="E120" i="63"/>
  <c r="E128" i="63"/>
  <c r="E132" i="63"/>
  <c r="AA278" i="67"/>
  <c r="E278" i="67" s="1"/>
  <c r="AF113" i="63"/>
  <c r="E113" i="63" s="1"/>
  <c r="E117" i="63"/>
  <c r="E121" i="63"/>
  <c r="E125" i="63"/>
  <c r="E129" i="63"/>
  <c r="D113" i="63"/>
  <c r="D117" i="63"/>
  <c r="D121" i="63"/>
  <c r="D125" i="63"/>
  <c r="D129" i="63"/>
  <c r="D118" i="63"/>
  <c r="D122" i="63"/>
  <c r="D126" i="63"/>
  <c r="D130" i="63"/>
  <c r="AE134" i="63"/>
  <c r="AE114" i="63"/>
  <c r="D114" i="63" s="1"/>
  <c r="D115" i="63"/>
  <c r="D119" i="63"/>
  <c r="D123" i="63"/>
  <c r="D127" i="63"/>
  <c r="D112" i="63"/>
  <c r="D116" i="63"/>
  <c r="D120" i="63"/>
  <c r="D128" i="63"/>
  <c r="D132" i="63"/>
  <c r="Z278" i="67"/>
  <c r="D278" i="67" s="1"/>
  <c r="Z134" i="63"/>
  <c r="Y349" i="69"/>
  <c r="Y170" i="63"/>
  <c r="AY135" i="70" l="1"/>
  <c r="AS135" i="70"/>
  <c r="AB41" i="72"/>
  <c r="AB40" i="72"/>
  <c r="X41" i="72"/>
  <c r="AC42" i="49"/>
  <c r="AC41" i="49"/>
  <c r="AR104" i="70"/>
  <c r="AA97" i="49"/>
  <c r="G171" i="70"/>
  <c r="E112" i="63"/>
  <c r="G134" i="63"/>
  <c r="G112" i="63"/>
  <c r="F112" i="63"/>
  <c r="E134" i="63"/>
  <c r="D134" i="63"/>
  <c r="B113" i="49" l="1"/>
  <c r="B114" i="49"/>
  <c r="Y113" i="49" s="1"/>
  <c r="B115" i="49"/>
  <c r="Y114" i="49" s="1"/>
  <c r="B116" i="49"/>
  <c r="Y115" i="49" s="1"/>
  <c r="B117" i="49"/>
  <c r="Y116" i="49" s="1"/>
  <c r="B118" i="49"/>
  <c r="Y117" i="49" s="1"/>
  <c r="B119" i="49"/>
  <c r="Y118" i="49" s="1"/>
  <c r="B120" i="49"/>
  <c r="Y119" i="49" s="1"/>
  <c r="B121" i="49"/>
  <c r="Y120" i="49" s="1"/>
  <c r="B122" i="49"/>
  <c r="Y121" i="49" s="1"/>
  <c r="B123" i="49"/>
  <c r="Y122" i="49" s="1"/>
  <c r="B124" i="49"/>
  <c r="Y123" i="49" s="1"/>
  <c r="B125" i="49"/>
  <c r="Y124" i="49" s="1"/>
  <c r="B126" i="49"/>
  <c r="Y125" i="49" s="1"/>
  <c r="B127" i="49"/>
  <c r="Y126" i="49" s="1"/>
  <c r="B128" i="49"/>
  <c r="Y127" i="49" s="1"/>
  <c r="B129" i="49"/>
  <c r="B130" i="49"/>
  <c r="Y129" i="49" s="1"/>
  <c r="B131" i="49"/>
  <c r="Y130" i="49" s="1"/>
  <c r="B132" i="49"/>
  <c r="Y131" i="49" s="1"/>
  <c r="B133" i="49"/>
  <c r="Y132" i="49" s="1"/>
  <c r="B134" i="49"/>
  <c r="Y133" i="49" s="1"/>
  <c r="B112" i="49"/>
  <c r="AY65" i="49" l="1"/>
  <c r="Y111" i="49"/>
  <c r="BA65" i="49"/>
  <c r="AZ65" i="49"/>
  <c r="AX65" i="49"/>
  <c r="BB65" i="49"/>
  <c r="Y112" i="49"/>
  <c r="Y128" i="49"/>
  <c r="B113" i="63" l="1"/>
  <c r="B114" i="63"/>
  <c r="Y114" i="63" s="1"/>
  <c r="B115" i="63"/>
  <c r="Y115" i="63" s="1"/>
  <c r="B116" i="63"/>
  <c r="B117" i="63"/>
  <c r="Y117" i="63" s="1"/>
  <c r="B118" i="63"/>
  <c r="Y118" i="63" s="1"/>
  <c r="B119" i="63"/>
  <c r="Y119" i="63" s="1"/>
  <c r="B120" i="63"/>
  <c r="Y120" i="63" s="1"/>
  <c r="B121" i="63"/>
  <c r="B122" i="63"/>
  <c r="Y122" i="63" s="1"/>
  <c r="B123" i="63"/>
  <c r="Y123" i="63" s="1"/>
  <c r="B124" i="63"/>
  <c r="B125" i="63"/>
  <c r="Y125" i="63" s="1"/>
  <c r="B126" i="63"/>
  <c r="B127" i="63"/>
  <c r="Y127" i="63" s="1"/>
  <c r="B128" i="63"/>
  <c r="B129" i="63"/>
  <c r="Y129" i="63" s="1"/>
  <c r="B130" i="63"/>
  <c r="Y130" i="63" s="1"/>
  <c r="B131" i="63"/>
  <c r="B132" i="63"/>
  <c r="Y132" i="63" s="1"/>
  <c r="B133" i="63"/>
  <c r="Y133" i="63" s="1"/>
  <c r="B134" i="63"/>
  <c r="Y134" i="63" s="1"/>
  <c r="B112" i="63"/>
  <c r="Y124" i="63" l="1"/>
  <c r="Y116" i="63"/>
  <c r="Y112" i="63"/>
  <c r="Y121" i="63"/>
  <c r="Y113" i="63"/>
  <c r="Y128" i="63"/>
  <c r="Y131" i="63"/>
  <c r="Y126" i="63"/>
  <c r="AG98" i="73" l="1"/>
  <c r="T31" i="72"/>
  <c r="AR61" i="72" s="1"/>
  <c r="T30" i="72"/>
  <c r="AR60" i="72" s="1"/>
  <c r="T29" i="72"/>
  <c r="AR59" i="72" s="1"/>
  <c r="T28" i="72"/>
  <c r="AR58" i="72" s="1"/>
  <c r="T27" i="72"/>
  <c r="AR57" i="72" s="1"/>
  <c r="T26" i="72"/>
  <c r="AR56" i="72" s="1"/>
  <c r="T25" i="72"/>
  <c r="AR55" i="72" s="1"/>
  <c r="T24" i="72"/>
  <c r="AR54" i="72" s="1"/>
  <c r="T23" i="72"/>
  <c r="AR53" i="72" s="1"/>
  <c r="T22" i="72"/>
  <c r="AR52" i="72" s="1"/>
  <c r="T21" i="72"/>
  <c r="AR51" i="72" s="1"/>
  <c r="T20" i="72"/>
  <c r="AR50" i="72" s="1"/>
  <c r="T19" i="72"/>
  <c r="AR49" i="72" s="1"/>
  <c r="T18" i="72"/>
  <c r="AR48" i="72" s="1"/>
  <c r="T17" i="72"/>
  <c r="AR47" i="72" s="1"/>
  <c r="T16" i="72"/>
  <c r="AR46" i="72" s="1"/>
  <c r="T15" i="72"/>
  <c r="AR45" i="72" s="1"/>
  <c r="T14" i="72"/>
  <c r="AR44" i="72" s="1"/>
  <c r="T13" i="72"/>
  <c r="T12" i="72"/>
  <c r="AR42" i="72" s="1"/>
  <c r="T11" i="72"/>
  <c r="AR41" i="72" s="1"/>
  <c r="T10" i="72"/>
  <c r="AR40" i="72" s="1"/>
  <c r="AR63" i="72" l="1"/>
  <c r="AR43" i="72"/>
  <c r="L32" i="72"/>
  <c r="AL62" i="72" s="1"/>
  <c r="AH98" i="73"/>
  <c r="T31" i="73"/>
  <c r="T30" i="73"/>
  <c r="T29" i="73"/>
  <c r="T28" i="73"/>
  <c r="T27" i="73"/>
  <c r="T26" i="73"/>
  <c r="T25" i="73"/>
  <c r="T24" i="73"/>
  <c r="T23" i="73"/>
  <c r="T22" i="73"/>
  <c r="T21" i="73"/>
  <c r="T20" i="73"/>
  <c r="T19" i="73"/>
  <c r="T18" i="73"/>
  <c r="T17" i="73"/>
  <c r="T16" i="73"/>
  <c r="T15" i="73"/>
  <c r="T14" i="73"/>
  <c r="T13" i="73"/>
  <c r="T12" i="73"/>
  <c r="T11" i="73"/>
  <c r="T10" i="73"/>
  <c r="T11" i="74"/>
  <c r="T12" i="74"/>
  <c r="T13" i="74"/>
  <c r="T14" i="74"/>
  <c r="T15" i="74"/>
  <c r="T16" i="74"/>
  <c r="T17" i="74"/>
  <c r="T18" i="74"/>
  <c r="T19" i="74"/>
  <c r="T20" i="74"/>
  <c r="T21" i="74"/>
  <c r="T22" i="74"/>
  <c r="T23" i="74"/>
  <c r="T24" i="74"/>
  <c r="T25" i="74"/>
  <c r="T26" i="74"/>
  <c r="T27" i="74"/>
  <c r="T28" i="74"/>
  <c r="T29" i="74"/>
  <c r="T30" i="74"/>
  <c r="T31" i="74"/>
  <c r="T10" i="74"/>
  <c r="AR63" i="73" l="1"/>
  <c r="AR63" i="74"/>
  <c r="AH10" i="72"/>
  <c r="R10" i="72" s="1"/>
  <c r="AH11" i="73"/>
  <c r="R11" i="73" s="1"/>
  <c r="AH24" i="73"/>
  <c r="R25" i="73" s="1"/>
  <c r="AH23" i="73"/>
  <c r="R24" i="73" s="1"/>
  <c r="AH16" i="73"/>
  <c r="R16" i="73" s="1"/>
  <c r="AH22" i="73"/>
  <c r="R22" i="73" s="1"/>
  <c r="AH14" i="73"/>
  <c r="R14" i="73" s="1"/>
  <c r="AH19" i="73"/>
  <c r="R19" i="73" s="1"/>
  <c r="AH26" i="73"/>
  <c r="R29" i="73" s="1"/>
  <c r="AH21" i="73"/>
  <c r="R21" i="73" s="1"/>
  <c r="AH13" i="73"/>
  <c r="R13" i="73" s="1"/>
  <c r="AH25" i="73"/>
  <c r="R28" i="73" s="1"/>
  <c r="AH20" i="73"/>
  <c r="R20" i="73" s="1"/>
  <c r="AH12" i="73"/>
  <c r="R12" i="73" s="1"/>
  <c r="AH15" i="73"/>
  <c r="R15" i="73" s="1"/>
  <c r="AH17" i="73"/>
  <c r="R17" i="73" s="1"/>
  <c r="AH28" i="73"/>
  <c r="R31" i="73" s="1"/>
  <c r="AH27" i="73"/>
  <c r="R30" i="73" s="1"/>
  <c r="AH18" i="73"/>
  <c r="R18" i="73" s="1"/>
  <c r="AH10" i="73"/>
  <c r="R10" i="73" s="1"/>
  <c r="AH26" i="72"/>
  <c r="R29" i="72" s="1"/>
  <c r="AH24" i="72"/>
  <c r="R25" i="72" s="1"/>
  <c r="AH17" i="72"/>
  <c r="R17" i="72" s="1"/>
  <c r="AH25" i="72"/>
  <c r="R28" i="72" s="1"/>
  <c r="AH20" i="72"/>
  <c r="R20" i="72" s="1"/>
  <c r="AH12" i="72"/>
  <c r="R12" i="72" s="1"/>
  <c r="AH22" i="72"/>
  <c r="R22" i="72" s="1"/>
  <c r="AH14" i="72"/>
  <c r="R14" i="72" s="1"/>
  <c r="AH28" i="72"/>
  <c r="R31" i="72" s="1"/>
  <c r="AH15" i="72"/>
  <c r="R15" i="72" s="1"/>
  <c r="AH21" i="72"/>
  <c r="R21" i="72" s="1"/>
  <c r="AH13" i="72"/>
  <c r="R13" i="72" s="1"/>
  <c r="AH23" i="72"/>
  <c r="R24" i="72" s="1"/>
  <c r="AH16" i="72"/>
  <c r="R16" i="72" s="1"/>
  <c r="AH27" i="72"/>
  <c r="R30" i="72" s="1"/>
  <c r="AH18" i="72"/>
  <c r="R18" i="72" s="1"/>
  <c r="AH19" i="72"/>
  <c r="R19" i="72" s="1"/>
  <c r="AH11" i="72"/>
  <c r="R11" i="72" s="1"/>
  <c r="AH16" i="74" l="1"/>
  <c r="R16" i="74" s="1"/>
  <c r="AH22" i="74"/>
  <c r="R22" i="74" s="1"/>
  <c r="AH26" i="74"/>
  <c r="R29" i="74" s="1"/>
  <c r="AH23" i="74"/>
  <c r="R24" i="74" s="1"/>
  <c r="AH27" i="74"/>
  <c r="R30" i="74" s="1"/>
  <c r="AH17" i="74"/>
  <c r="R17" i="74" s="1"/>
  <c r="AH19" i="74"/>
  <c r="R19" i="74" s="1"/>
  <c r="AH18" i="74"/>
  <c r="R18" i="74" s="1"/>
  <c r="AH28" i="74"/>
  <c r="R31" i="74" s="1"/>
  <c r="AH24" i="74"/>
  <c r="R25" i="74" s="1"/>
  <c r="AH14" i="74"/>
  <c r="R14" i="74" s="1"/>
  <c r="AH11" i="74"/>
  <c r="R11" i="74" s="1"/>
  <c r="AH20" i="74"/>
  <c r="R20" i="74" s="1"/>
  <c r="AH13" i="74"/>
  <c r="R13" i="74" s="1"/>
  <c r="AH12" i="74"/>
  <c r="AH21" i="74"/>
  <c r="R21" i="74" s="1"/>
  <c r="AH15" i="74"/>
  <c r="R15" i="74" s="1"/>
  <c r="AH25" i="74"/>
  <c r="R28" i="74" s="1"/>
  <c r="R12" i="74" l="1"/>
  <c r="D326" i="69"/>
  <c r="A29" i="50" l="1"/>
  <c r="A132" i="49"/>
  <c r="A132" i="63"/>
  <c r="A30" i="72"/>
  <c r="A30" i="73"/>
  <c r="A30" i="49"/>
  <c r="A30" i="63"/>
  <c r="A30" i="64"/>
  <c r="A30" i="68"/>
  <c r="A30" i="70"/>
  <c r="A30" i="69"/>
  <c r="A31" i="60"/>
  <c r="A30" i="66"/>
  <c r="A30" i="67"/>
  <c r="A30" i="65"/>
  <c r="A30" i="62"/>
  <c r="A102" i="70"/>
  <c r="A29" i="44"/>
  <c r="A30" i="22"/>
  <c r="A30" i="74"/>
  <c r="A24" i="50" l="1"/>
  <c r="A11" i="50"/>
  <c r="A13" i="50"/>
  <c r="A16" i="50"/>
  <c r="A19" i="50"/>
  <c r="A26" i="50"/>
  <c r="A10" i="50"/>
  <c r="A25" i="50"/>
  <c r="A28" i="50"/>
  <c r="A12" i="50"/>
  <c r="A15" i="50"/>
  <c r="A22" i="50"/>
  <c r="A21" i="50"/>
  <c r="A27" i="50"/>
  <c r="A18" i="50"/>
  <c r="A9" i="50"/>
  <c r="A17" i="50"/>
  <c r="A20" i="50"/>
  <c r="A23" i="50"/>
  <c r="A30" i="50"/>
  <c r="A14" i="50"/>
  <c r="A116" i="63"/>
  <c r="A116" i="49"/>
  <c r="A119" i="63"/>
  <c r="A119" i="49"/>
  <c r="A122" i="63"/>
  <c r="A122" i="49"/>
  <c r="A129" i="63"/>
  <c r="A129" i="49"/>
  <c r="A113" i="63"/>
  <c r="A113" i="49"/>
  <c r="A112" i="49"/>
  <c r="A128" i="63"/>
  <c r="A128" i="49"/>
  <c r="A131" i="63"/>
  <c r="A131" i="49"/>
  <c r="A115" i="63"/>
  <c r="A115" i="49"/>
  <c r="A118" i="63"/>
  <c r="A118" i="49"/>
  <c r="A125" i="63"/>
  <c r="A125" i="49"/>
  <c r="A10" i="67"/>
  <c r="A124" i="63"/>
  <c r="A124" i="49"/>
  <c r="A127" i="63"/>
  <c r="A127" i="49"/>
  <c r="A130" i="63"/>
  <c r="A130" i="49"/>
  <c r="A114" i="63"/>
  <c r="A114" i="49"/>
  <c r="A121" i="63"/>
  <c r="A121" i="49"/>
  <c r="A120" i="63"/>
  <c r="A120" i="49"/>
  <c r="A123" i="63"/>
  <c r="A123" i="49"/>
  <c r="A126" i="63"/>
  <c r="A126" i="49"/>
  <c r="A133" i="63"/>
  <c r="A133" i="49"/>
  <c r="A117" i="63"/>
  <c r="A117" i="49"/>
  <c r="A112" i="63"/>
  <c r="A10" i="74"/>
  <c r="A10" i="64"/>
  <c r="A10" i="22"/>
  <c r="A10" i="66"/>
  <c r="A10" i="63"/>
  <c r="A9" i="44"/>
  <c r="A10" i="62"/>
  <c r="A10" i="69"/>
  <c r="A82" i="70"/>
  <c r="A10" i="70"/>
  <c r="A10" i="73"/>
  <c r="A10" i="72"/>
  <c r="A10" i="49"/>
  <c r="A10" i="65"/>
  <c r="A11" i="60"/>
  <c r="A10" i="68"/>
  <c r="A13" i="60"/>
  <c r="A84" i="70"/>
  <c r="A12" i="67"/>
  <c r="A12" i="70"/>
  <c r="A12" i="66"/>
  <c r="A12" i="64"/>
  <c r="A12" i="63"/>
  <c r="A12" i="69"/>
  <c r="A12" i="49"/>
  <c r="A12" i="73"/>
  <c r="A12" i="72"/>
  <c r="A12" i="68"/>
  <c r="A12" i="62"/>
  <c r="A12" i="65"/>
  <c r="A12" i="74"/>
  <c r="A12" i="22"/>
  <c r="A11" i="44"/>
  <c r="A29" i="60"/>
  <c r="A100" i="70"/>
  <c r="A28" i="68"/>
  <c r="A28" i="67"/>
  <c r="A28" i="70"/>
  <c r="A28" i="69"/>
  <c r="A28" i="64"/>
  <c r="A28" i="63"/>
  <c r="A28" i="49"/>
  <c r="A28" i="73"/>
  <c r="A28" i="72"/>
  <c r="A28" i="66"/>
  <c r="A28" i="65"/>
  <c r="A28" i="74"/>
  <c r="A28" i="22"/>
  <c r="A27" i="44"/>
  <c r="A28" i="62"/>
  <c r="A18" i="70"/>
  <c r="A18" i="69"/>
  <c r="A18" i="68"/>
  <c r="A90" i="70"/>
  <c r="A19" i="60"/>
  <c r="A18" i="65"/>
  <c r="A18" i="62"/>
  <c r="A18" i="74"/>
  <c r="A18" i="22"/>
  <c r="A17" i="44"/>
  <c r="A18" i="63"/>
  <c r="A18" i="66"/>
  <c r="A18" i="67"/>
  <c r="A18" i="64"/>
  <c r="A18" i="49"/>
  <c r="A18" i="73"/>
  <c r="A18" i="72"/>
  <c r="A25" i="60"/>
  <c r="A96" i="70"/>
  <c r="A24" i="68"/>
  <c r="A24" i="67"/>
  <c r="A24" i="70"/>
  <c r="A24" i="69"/>
  <c r="A24" i="66"/>
  <c r="A24" i="64"/>
  <c r="A24" i="63"/>
  <c r="A24" i="62"/>
  <c r="A24" i="49"/>
  <c r="A24" i="73"/>
  <c r="A24" i="72"/>
  <c r="A24" i="74"/>
  <c r="A24" i="22"/>
  <c r="A23" i="44"/>
  <c r="A24" i="65"/>
  <c r="A31" i="70"/>
  <c r="A31" i="69"/>
  <c r="A32" i="60"/>
  <c r="A31" i="68"/>
  <c r="A31" i="67"/>
  <c r="A31" i="65"/>
  <c r="A31" i="62"/>
  <c r="A103" i="70"/>
  <c r="A31" i="66"/>
  <c r="A31" i="64"/>
  <c r="A31" i="63"/>
  <c r="A31" i="49"/>
  <c r="A31" i="73"/>
  <c r="A31" i="72"/>
  <c r="A30" i="44"/>
  <c r="A31" i="74"/>
  <c r="A31" i="22"/>
  <c r="A15" i="70"/>
  <c r="A16" i="60"/>
  <c r="A15" i="69"/>
  <c r="A15" i="67"/>
  <c r="A15" i="65"/>
  <c r="A15" i="62"/>
  <c r="A87" i="70"/>
  <c r="A15" i="68"/>
  <c r="A15" i="66"/>
  <c r="A15" i="64"/>
  <c r="A15" i="63"/>
  <c r="A15" i="49"/>
  <c r="A15" i="73"/>
  <c r="A15" i="72"/>
  <c r="A14" i="44"/>
  <c r="A15" i="74"/>
  <c r="A15" i="22"/>
  <c r="A26" i="60"/>
  <c r="A97" i="70"/>
  <c r="A25" i="70"/>
  <c r="A25" i="69"/>
  <c r="A25" i="66"/>
  <c r="A25" i="67"/>
  <c r="A25" i="64"/>
  <c r="A25" i="63"/>
  <c r="A25" i="68"/>
  <c r="A25" i="65"/>
  <c r="A25" i="62"/>
  <c r="A25" i="74"/>
  <c r="A25" i="22"/>
  <c r="A25" i="49"/>
  <c r="A25" i="72"/>
  <c r="A25" i="73"/>
  <c r="A24" i="44"/>
  <c r="A22" i="60"/>
  <c r="A93" i="70"/>
  <c r="A21" i="69"/>
  <c r="A21" i="68"/>
  <c r="A21" i="66"/>
  <c r="A21" i="64"/>
  <c r="A21" i="63"/>
  <c r="A21" i="70"/>
  <c r="A21" i="67"/>
  <c r="A21" i="65"/>
  <c r="A21" i="62"/>
  <c r="A21" i="74"/>
  <c r="A21" i="22"/>
  <c r="A21" i="73"/>
  <c r="A21" i="72"/>
  <c r="A21" i="49"/>
  <c r="A20" i="44"/>
  <c r="A14" i="70"/>
  <c r="A14" i="69"/>
  <c r="A15" i="60"/>
  <c r="A14" i="68"/>
  <c r="A14" i="67"/>
  <c r="A14" i="65"/>
  <c r="A14" i="62"/>
  <c r="A86" i="70"/>
  <c r="A14" i="66"/>
  <c r="A14" i="74"/>
  <c r="A14" i="22"/>
  <c r="A13" i="44"/>
  <c r="A14" i="63"/>
  <c r="A14" i="49"/>
  <c r="A14" i="73"/>
  <c r="A14" i="72"/>
  <c r="A14" i="64"/>
  <c r="A18" i="60"/>
  <c r="A89" i="70"/>
  <c r="A17" i="70"/>
  <c r="A17" i="68"/>
  <c r="A17" i="69"/>
  <c r="A17" i="67"/>
  <c r="A17" i="66"/>
  <c r="A17" i="64"/>
  <c r="A17" i="63"/>
  <c r="A17" i="65"/>
  <c r="A17" i="62"/>
  <c r="A17" i="74"/>
  <c r="A17" i="22"/>
  <c r="A17" i="49"/>
  <c r="A16" i="44"/>
  <c r="A17" i="73"/>
  <c r="A17" i="72"/>
  <c r="A21" i="60"/>
  <c r="A92" i="70"/>
  <c r="A20" i="67"/>
  <c r="A20" i="69"/>
  <c r="A20" i="66"/>
  <c r="A20" i="64"/>
  <c r="A20" i="63"/>
  <c r="A20" i="70"/>
  <c r="A20" i="68"/>
  <c r="A20" i="65"/>
  <c r="A20" i="49"/>
  <c r="A20" i="73"/>
  <c r="A20" i="72"/>
  <c r="A20" i="62"/>
  <c r="A20" i="74"/>
  <c r="A20" i="22"/>
  <c r="A19" i="44"/>
  <c r="A27" i="70"/>
  <c r="A28" i="60"/>
  <c r="A99" i="70"/>
  <c r="A27" i="69"/>
  <c r="A27" i="68"/>
  <c r="A27" i="67"/>
  <c r="A27" i="66"/>
  <c r="A27" i="65"/>
  <c r="A27" i="62"/>
  <c r="A27" i="64"/>
  <c r="A27" i="63"/>
  <c r="A27" i="49"/>
  <c r="A27" i="73"/>
  <c r="A27" i="72"/>
  <c r="A26" i="44"/>
  <c r="A27" i="74"/>
  <c r="A27" i="22"/>
  <c r="A11" i="70"/>
  <c r="A12" i="60"/>
  <c r="A83" i="70"/>
  <c r="A11" i="69"/>
  <c r="A11" i="67"/>
  <c r="A11" i="68"/>
  <c r="A11" i="65"/>
  <c r="A11" i="62"/>
  <c r="A11" i="66"/>
  <c r="A11" i="64"/>
  <c r="A11" i="63"/>
  <c r="A11" i="49"/>
  <c r="A11" i="73"/>
  <c r="A11" i="72"/>
  <c r="A10" i="44"/>
  <c r="A11" i="74"/>
  <c r="A11" i="22"/>
  <c r="A22" i="70"/>
  <c r="A22" i="69"/>
  <c r="A22" i="68"/>
  <c r="A94" i="70"/>
  <c r="A22" i="67"/>
  <c r="A22" i="65"/>
  <c r="A22" i="62"/>
  <c r="A23" i="60"/>
  <c r="A22" i="63"/>
  <c r="A22" i="74"/>
  <c r="A22" i="22"/>
  <c r="A21" i="44"/>
  <c r="A22" i="64"/>
  <c r="A22" i="66"/>
  <c r="A22" i="49"/>
  <c r="A22" i="73"/>
  <c r="A22" i="72"/>
  <c r="A19" i="70"/>
  <c r="A20" i="60"/>
  <c r="A91" i="70"/>
  <c r="A19" i="67"/>
  <c r="A19" i="68"/>
  <c r="A19" i="65"/>
  <c r="A19" i="62"/>
  <c r="A19" i="66"/>
  <c r="A19" i="64"/>
  <c r="A19" i="63"/>
  <c r="A19" i="49"/>
  <c r="A19" i="73"/>
  <c r="A19" i="72"/>
  <c r="A18" i="44"/>
  <c r="A19" i="69"/>
  <c r="A19" i="74"/>
  <c r="A19" i="22"/>
  <c r="A26" i="70"/>
  <c r="A26" i="69"/>
  <c r="A26" i="66"/>
  <c r="A27" i="60"/>
  <c r="A98" i="70"/>
  <c r="A26" i="68"/>
  <c r="A26" i="65"/>
  <c r="A26" i="62"/>
  <c r="A26" i="64"/>
  <c r="A26" i="74"/>
  <c r="A26" i="22"/>
  <c r="A25" i="44"/>
  <c r="A26" i="67"/>
  <c r="A26" i="49"/>
  <c r="A26" i="73"/>
  <c r="A26" i="72"/>
  <c r="A26" i="63"/>
  <c r="A30" i="60"/>
  <c r="A101" i="70"/>
  <c r="A29" i="66"/>
  <c r="A29" i="68"/>
  <c r="A29" i="64"/>
  <c r="A29" i="63"/>
  <c r="A29" i="67"/>
  <c r="A29" i="65"/>
  <c r="A29" i="62"/>
  <c r="A29" i="69"/>
  <c r="A29" i="74"/>
  <c r="A29" i="22"/>
  <c r="A29" i="73"/>
  <c r="A28" i="44"/>
  <c r="A29" i="70"/>
  <c r="A29" i="49"/>
  <c r="A29" i="72"/>
  <c r="A14" i="60"/>
  <c r="A85" i="70"/>
  <c r="A13" i="68"/>
  <c r="A13" i="66"/>
  <c r="A13" i="64"/>
  <c r="A13" i="63"/>
  <c r="A13" i="69"/>
  <c r="A13" i="67"/>
  <c r="A13" i="65"/>
  <c r="A13" i="62"/>
  <c r="A13" i="74"/>
  <c r="A13" i="22"/>
  <c r="A13" i="70"/>
  <c r="A13" i="49"/>
  <c r="A13" i="73"/>
  <c r="A13" i="72"/>
  <c r="A12" i="44"/>
  <c r="A17" i="60"/>
  <c r="A88" i="70"/>
  <c r="A16" i="69"/>
  <c r="A16" i="67"/>
  <c r="A16" i="70"/>
  <c r="A16" i="68"/>
  <c r="A16" i="66"/>
  <c r="A16" i="64"/>
  <c r="A16" i="63"/>
  <c r="A16" i="49"/>
  <c r="A16" i="73"/>
  <c r="A16" i="72"/>
  <c r="A16" i="65"/>
  <c r="A16" i="62"/>
  <c r="A16" i="74"/>
  <c r="A16" i="22"/>
  <c r="A15" i="44"/>
  <c r="A23" i="70"/>
  <c r="A24" i="60"/>
  <c r="A23" i="67"/>
  <c r="A23" i="65"/>
  <c r="A23" i="62"/>
  <c r="A23" i="69"/>
  <c r="A23" i="68"/>
  <c r="A23" i="66"/>
  <c r="A23" i="64"/>
  <c r="A23" i="63"/>
  <c r="A95" i="70"/>
  <c r="A23" i="49"/>
  <c r="A23" i="73"/>
  <c r="A23" i="72"/>
  <c r="A22" i="44"/>
  <c r="A23" i="74"/>
  <c r="A23" i="22"/>
  <c r="M32" i="72" l="1"/>
  <c r="O32" i="72"/>
  <c r="P32" i="72"/>
  <c r="AK62" i="74"/>
  <c r="AQ62" i="74" s="1"/>
  <c r="AK61" i="74"/>
  <c r="AR61" i="74" s="1"/>
  <c r="AK60" i="74"/>
  <c r="AR60" i="74" s="1"/>
  <c r="AK59" i="74"/>
  <c r="AR59" i="74" s="1"/>
  <c r="AK58" i="74"/>
  <c r="AR58" i="74" s="1"/>
  <c r="AK57" i="74"/>
  <c r="AR57" i="74" s="1"/>
  <c r="AK56" i="74"/>
  <c r="AR56" i="74" s="1"/>
  <c r="AK55" i="74"/>
  <c r="AR55" i="74" s="1"/>
  <c r="AK54" i="74"/>
  <c r="AR54" i="74" s="1"/>
  <c r="AK53" i="74"/>
  <c r="AR53" i="74" s="1"/>
  <c r="AK52" i="74"/>
  <c r="AR52" i="74" s="1"/>
  <c r="AK51" i="74"/>
  <c r="AR51" i="74" s="1"/>
  <c r="AK50" i="74"/>
  <c r="AR50" i="74" s="1"/>
  <c r="AK49" i="74"/>
  <c r="AR49" i="74" s="1"/>
  <c r="AK48" i="74"/>
  <c r="AR48" i="74" s="1"/>
  <c r="AK47" i="74"/>
  <c r="AR47" i="74" s="1"/>
  <c r="AK46" i="74"/>
  <c r="AR46" i="74" s="1"/>
  <c r="AK45" i="74"/>
  <c r="AR45" i="74" s="1"/>
  <c r="AK44" i="74"/>
  <c r="AR44" i="74" s="1"/>
  <c r="AK43" i="74"/>
  <c r="AR43" i="74" s="1"/>
  <c r="AK42" i="74"/>
  <c r="AR42" i="74" s="1"/>
  <c r="AK41" i="74"/>
  <c r="AR41" i="74" s="1"/>
  <c r="AK40" i="74"/>
  <c r="X32" i="74"/>
  <c r="H32" i="74"/>
  <c r="G32" i="74"/>
  <c r="E32" i="74"/>
  <c r="D32" i="74"/>
  <c r="X31" i="74"/>
  <c r="X30" i="74"/>
  <c r="X29" i="74"/>
  <c r="X28" i="74"/>
  <c r="X27" i="74"/>
  <c r="X26" i="74"/>
  <c r="X25" i="74"/>
  <c r="X24" i="74"/>
  <c r="X23" i="74"/>
  <c r="X22" i="74"/>
  <c r="X21" i="74"/>
  <c r="X20" i="74"/>
  <c r="X19" i="74"/>
  <c r="X18" i="74"/>
  <c r="X17" i="74"/>
  <c r="X16" i="74"/>
  <c r="X15" i="74"/>
  <c r="X14" i="74"/>
  <c r="X13" i="74"/>
  <c r="X12" i="74"/>
  <c r="X11" i="74"/>
  <c r="X10" i="74"/>
  <c r="AE98" i="73"/>
  <c r="AD98" i="73"/>
  <c r="X98" i="73"/>
  <c r="B98" i="73"/>
  <c r="X97" i="73"/>
  <c r="B97" i="73"/>
  <c r="A97" i="73" s="1"/>
  <c r="X96" i="73"/>
  <c r="B96" i="73"/>
  <c r="A96" i="73" s="1"/>
  <c r="X95" i="73"/>
  <c r="B95" i="73"/>
  <c r="A95" i="73" s="1"/>
  <c r="X94" i="73"/>
  <c r="B94" i="73"/>
  <c r="A94" i="73" s="1"/>
  <c r="X93" i="73"/>
  <c r="B93" i="73"/>
  <c r="A93" i="73" s="1"/>
  <c r="X92" i="73"/>
  <c r="B92" i="73"/>
  <c r="A92" i="73" s="1"/>
  <c r="X91" i="73"/>
  <c r="B91" i="73"/>
  <c r="A91" i="73" s="1"/>
  <c r="X90" i="73"/>
  <c r="B90" i="73"/>
  <c r="A90" i="73" s="1"/>
  <c r="X89" i="73"/>
  <c r="B89" i="73"/>
  <c r="A89" i="73" s="1"/>
  <c r="X88" i="73"/>
  <c r="B88" i="73"/>
  <c r="A88" i="73" s="1"/>
  <c r="X87" i="73"/>
  <c r="B87" i="73"/>
  <c r="A87" i="73" s="1"/>
  <c r="X86" i="73"/>
  <c r="B86" i="73"/>
  <c r="A86" i="73" s="1"/>
  <c r="X85" i="73"/>
  <c r="B85" i="73"/>
  <c r="A85" i="73" s="1"/>
  <c r="X84" i="73"/>
  <c r="B84" i="73"/>
  <c r="A84" i="73" s="1"/>
  <c r="X83" i="73"/>
  <c r="B83" i="73"/>
  <c r="A83" i="73" s="1"/>
  <c r="X82" i="73"/>
  <c r="B82" i="73"/>
  <c r="A82" i="73" s="1"/>
  <c r="X81" i="73"/>
  <c r="B81" i="73"/>
  <c r="A81" i="73" s="1"/>
  <c r="X80" i="73"/>
  <c r="B80" i="73"/>
  <c r="A80" i="73" s="1"/>
  <c r="X79" i="73"/>
  <c r="B79" i="73"/>
  <c r="A79" i="73" s="1"/>
  <c r="X78" i="73"/>
  <c r="B78" i="73"/>
  <c r="A78" i="73" s="1"/>
  <c r="X77" i="73"/>
  <c r="B77" i="73"/>
  <c r="A77" i="73" s="1"/>
  <c r="X76" i="73"/>
  <c r="AK62" i="73"/>
  <c r="AK61" i="73"/>
  <c r="AR61" i="73" s="1"/>
  <c r="AK60" i="73"/>
  <c r="AR60" i="73" s="1"/>
  <c r="AK59" i="73"/>
  <c r="AR59" i="73" s="1"/>
  <c r="AK58" i="73"/>
  <c r="AR58" i="73" s="1"/>
  <c r="AK57" i="73"/>
  <c r="AR57" i="73" s="1"/>
  <c r="AK56" i="73"/>
  <c r="AR56" i="73" s="1"/>
  <c r="AK55" i="73"/>
  <c r="AR55" i="73" s="1"/>
  <c r="AK54" i="73"/>
  <c r="AR54" i="73" s="1"/>
  <c r="AK53" i="73"/>
  <c r="AR53" i="73" s="1"/>
  <c r="AK52" i="73"/>
  <c r="AR52" i="73" s="1"/>
  <c r="AK51" i="73"/>
  <c r="AR51" i="73" s="1"/>
  <c r="AK50" i="73"/>
  <c r="AR50" i="73" s="1"/>
  <c r="AK49" i="73"/>
  <c r="AR49" i="73" s="1"/>
  <c r="AK48" i="73"/>
  <c r="AR48" i="73" s="1"/>
  <c r="AK47" i="73"/>
  <c r="AR47" i="73" s="1"/>
  <c r="AK46" i="73"/>
  <c r="AR46" i="73" s="1"/>
  <c r="AK45" i="73"/>
  <c r="AR45" i="73" s="1"/>
  <c r="AK44" i="73"/>
  <c r="AR44" i="73" s="1"/>
  <c r="AK43" i="73"/>
  <c r="AR43" i="73" s="1"/>
  <c r="AK42" i="73"/>
  <c r="AR42" i="73" s="1"/>
  <c r="AK41" i="73"/>
  <c r="AR41" i="73" s="1"/>
  <c r="AK40" i="73"/>
  <c r="X32" i="73"/>
  <c r="G32" i="73"/>
  <c r="E32" i="73"/>
  <c r="D32" i="73"/>
  <c r="L32" i="73" s="1"/>
  <c r="X31" i="73"/>
  <c r="X30" i="73"/>
  <c r="X29" i="73"/>
  <c r="X28" i="73"/>
  <c r="X27" i="73"/>
  <c r="X26" i="73"/>
  <c r="X25" i="73"/>
  <c r="X24" i="73"/>
  <c r="X23" i="73"/>
  <c r="X22" i="73"/>
  <c r="X21" i="73"/>
  <c r="X20" i="73"/>
  <c r="X19" i="73"/>
  <c r="X18" i="73"/>
  <c r="X17" i="73"/>
  <c r="X16" i="73"/>
  <c r="X15" i="73"/>
  <c r="X14" i="73"/>
  <c r="X13" i="73"/>
  <c r="X12" i="73"/>
  <c r="X11" i="73"/>
  <c r="X10" i="73"/>
  <c r="Z4" i="73"/>
  <c r="AR40" i="74" l="1"/>
  <c r="AQ40" i="74"/>
  <c r="D98" i="73"/>
  <c r="AS62" i="73" s="1"/>
  <c r="AO62" i="72"/>
  <c r="AN32" i="72"/>
  <c r="AM62" i="72"/>
  <c r="AK32" i="72"/>
  <c r="AL40" i="73"/>
  <c r="AR40" i="73"/>
  <c r="AL62" i="73"/>
  <c r="O32" i="74"/>
  <c r="P32" i="74"/>
  <c r="Q32" i="72"/>
  <c r="AP62" i="72"/>
  <c r="AP40" i="73"/>
  <c r="AM40" i="73"/>
  <c r="AN40" i="73"/>
  <c r="AO40" i="73"/>
  <c r="AP44" i="73"/>
  <c r="AL44" i="73"/>
  <c r="AN44" i="73"/>
  <c r="AM44" i="73"/>
  <c r="AO44" i="73"/>
  <c r="AN48" i="73"/>
  <c r="AP48" i="73"/>
  <c r="AM48" i="73"/>
  <c r="AL48" i="73"/>
  <c r="AO48" i="73"/>
  <c r="AM52" i="73"/>
  <c r="AP52" i="73"/>
  <c r="AN52" i="73"/>
  <c r="AL52" i="73"/>
  <c r="AO52" i="73"/>
  <c r="AP54" i="73"/>
  <c r="AO54" i="73"/>
  <c r="AL54" i="73"/>
  <c r="AM54" i="73"/>
  <c r="AP58" i="73"/>
  <c r="AQ58" i="73" s="1"/>
  <c r="AL58" i="73"/>
  <c r="AO58" i="73"/>
  <c r="AN58" i="73"/>
  <c r="AM58" i="73"/>
  <c r="AM41" i="73"/>
  <c r="AP41" i="73"/>
  <c r="AL41" i="73"/>
  <c r="AO41" i="73"/>
  <c r="AN41" i="73"/>
  <c r="AL43" i="73"/>
  <c r="AN43" i="73"/>
  <c r="AP43" i="73"/>
  <c r="AQ43" i="73" s="1"/>
  <c r="AO43" i="73"/>
  <c r="AM43" i="73"/>
  <c r="AL45" i="73"/>
  <c r="AP45" i="73"/>
  <c r="AM45" i="73"/>
  <c r="AO45" i="73"/>
  <c r="AN45" i="73"/>
  <c r="AN47" i="73"/>
  <c r="AO47" i="73"/>
  <c r="AL47" i="73"/>
  <c r="AP47" i="73"/>
  <c r="AM47" i="73"/>
  <c r="AP49" i="73"/>
  <c r="AL49" i="73"/>
  <c r="AM49" i="73"/>
  <c r="AO49" i="73"/>
  <c r="AN49" i="73"/>
  <c r="AL51" i="73"/>
  <c r="AP51" i="73"/>
  <c r="AO51" i="73"/>
  <c r="AN51" i="73"/>
  <c r="AM51" i="73"/>
  <c r="AL53" i="73"/>
  <c r="AP53" i="73"/>
  <c r="AM53" i="73"/>
  <c r="AO53" i="73"/>
  <c r="AN53" i="73"/>
  <c r="AL55" i="73"/>
  <c r="AN55" i="73"/>
  <c r="AP55" i="73"/>
  <c r="AO55" i="73"/>
  <c r="AM55" i="73"/>
  <c r="AP57" i="73"/>
  <c r="AL57" i="73"/>
  <c r="AM57" i="73"/>
  <c r="AN57" i="73"/>
  <c r="AO57" i="73"/>
  <c r="AN59" i="73"/>
  <c r="AO59" i="73"/>
  <c r="AL59" i="73"/>
  <c r="AP59" i="73"/>
  <c r="AM59" i="73"/>
  <c r="AL61" i="73"/>
  <c r="AM61" i="73"/>
  <c r="AO61" i="73"/>
  <c r="AP61" i="73"/>
  <c r="AN61" i="73"/>
  <c r="M32" i="73"/>
  <c r="AM42" i="73"/>
  <c r="AO42" i="73"/>
  <c r="AN42" i="73"/>
  <c r="AL42" i="73"/>
  <c r="AP42" i="73"/>
  <c r="AQ42" i="73" s="1"/>
  <c r="AP46" i="73"/>
  <c r="AQ46" i="73" s="1"/>
  <c r="AO46" i="73"/>
  <c r="AL46" i="73"/>
  <c r="AM46" i="73"/>
  <c r="AN46" i="73"/>
  <c r="AP50" i="73"/>
  <c r="AL50" i="73"/>
  <c r="AO50" i="73"/>
  <c r="AM50" i="73"/>
  <c r="AN50" i="73"/>
  <c r="AL56" i="73"/>
  <c r="AN56" i="73"/>
  <c r="AP56" i="73"/>
  <c r="AM56" i="73"/>
  <c r="AO56" i="73"/>
  <c r="AP60" i="73"/>
  <c r="AQ60" i="73" s="1"/>
  <c r="AM60" i="73"/>
  <c r="AN60" i="73"/>
  <c r="AL60" i="73"/>
  <c r="AO60" i="73"/>
  <c r="AQ41" i="74"/>
  <c r="AP41" i="74"/>
  <c r="AM41" i="74"/>
  <c r="AN41" i="74"/>
  <c r="AO41" i="74"/>
  <c r="AL41" i="74"/>
  <c r="AP43" i="74"/>
  <c r="AQ43" i="74" s="1"/>
  <c r="AM43" i="74"/>
  <c r="AO43" i="74"/>
  <c r="AL43" i="74"/>
  <c r="AN43" i="74"/>
  <c r="AQ45" i="74"/>
  <c r="AP45" i="74"/>
  <c r="AO45" i="74"/>
  <c r="AL45" i="74"/>
  <c r="AM45" i="74"/>
  <c r="AN45" i="74"/>
  <c r="AQ47" i="74"/>
  <c r="AL47" i="74"/>
  <c r="AP47" i="74"/>
  <c r="AN47" i="74"/>
  <c r="AO47" i="74"/>
  <c r="AM47" i="74"/>
  <c r="AQ49" i="74"/>
  <c r="AP49" i="74"/>
  <c r="AO49" i="74"/>
  <c r="AL49" i="74"/>
  <c r="AM49" i="74"/>
  <c r="AN49" i="74"/>
  <c r="AQ51" i="74"/>
  <c r="AL51" i="74"/>
  <c r="AM51" i="74"/>
  <c r="AO51" i="74"/>
  <c r="AN51" i="74"/>
  <c r="AP51" i="74"/>
  <c r="AQ53" i="74"/>
  <c r="AP53" i="74"/>
  <c r="AM53" i="74"/>
  <c r="AO53" i="74"/>
  <c r="AL53" i="74"/>
  <c r="AN53" i="74"/>
  <c r="AP55" i="74"/>
  <c r="AQ55" i="74" s="1"/>
  <c r="AN55" i="74"/>
  <c r="AL55" i="74"/>
  <c r="AM55" i="74"/>
  <c r="AO55" i="74"/>
  <c r="AL57" i="74"/>
  <c r="AN57" i="74"/>
  <c r="AM57" i="74"/>
  <c r="AO57" i="74"/>
  <c r="AP57" i="74"/>
  <c r="AQ59" i="74"/>
  <c r="AL59" i="74"/>
  <c r="AM59" i="74"/>
  <c r="AO59" i="74"/>
  <c r="AN59" i="74"/>
  <c r="AP59" i="74"/>
  <c r="AQ61" i="74"/>
  <c r="AL61" i="74"/>
  <c r="AM61" i="74"/>
  <c r="AO61" i="74"/>
  <c r="AN61" i="74"/>
  <c r="AP61" i="74"/>
  <c r="AL40" i="74"/>
  <c r="AM40" i="74"/>
  <c r="AP40" i="74"/>
  <c r="AN40" i="74"/>
  <c r="AO40" i="74"/>
  <c r="AO42" i="74"/>
  <c r="AL42" i="74"/>
  <c r="AM42" i="74"/>
  <c r="AP42" i="74"/>
  <c r="AN42" i="74"/>
  <c r="AQ44" i="74"/>
  <c r="AP44" i="74"/>
  <c r="AL44" i="74"/>
  <c r="AO44" i="74"/>
  <c r="AM44" i="74"/>
  <c r="AN44" i="74"/>
  <c r="AP46" i="74"/>
  <c r="AL46" i="74"/>
  <c r="AM46" i="74"/>
  <c r="AN46" i="74"/>
  <c r="AO46" i="74"/>
  <c r="AQ48" i="74"/>
  <c r="AN48" i="74"/>
  <c r="AO48" i="74"/>
  <c r="AP48" i="74"/>
  <c r="AM48" i="74"/>
  <c r="AL48" i="74"/>
  <c r="AQ50" i="74"/>
  <c r="AM50" i="74"/>
  <c r="AN50" i="74"/>
  <c r="AL50" i="74"/>
  <c r="AO50" i="74"/>
  <c r="AP50" i="74"/>
  <c r="AQ52" i="74"/>
  <c r="AO52" i="74"/>
  <c r="AL52" i="74"/>
  <c r="AP52" i="74"/>
  <c r="AM52" i="74"/>
  <c r="AN52" i="74"/>
  <c r="AQ54" i="74"/>
  <c r="AL54" i="74"/>
  <c r="AP54" i="74"/>
  <c r="AO54" i="74"/>
  <c r="AM54" i="74"/>
  <c r="AQ56" i="74"/>
  <c r="AN56" i="74"/>
  <c r="AM56" i="74"/>
  <c r="AO56" i="74"/>
  <c r="AL56" i="74"/>
  <c r="AP56" i="74"/>
  <c r="AP58" i="74"/>
  <c r="AQ58" i="74" s="1"/>
  <c r="AL58" i="74"/>
  <c r="AN58" i="74"/>
  <c r="AO58" i="74"/>
  <c r="AM58" i="74"/>
  <c r="AP60" i="74"/>
  <c r="AQ60" i="74" s="1"/>
  <c r="AL60" i="74"/>
  <c r="AO60" i="74"/>
  <c r="AN60" i="74"/>
  <c r="AM60" i="74"/>
  <c r="L32" i="74"/>
  <c r="AL62" i="74" s="1"/>
  <c r="M32" i="74"/>
  <c r="E98" i="73"/>
  <c r="AT62" i="73" s="1"/>
  <c r="AQ43" i="72"/>
  <c r="A76" i="73"/>
  <c r="H98" i="73"/>
  <c r="G98" i="73"/>
  <c r="AV62" i="73" s="1"/>
  <c r="O32" i="73"/>
  <c r="P32" i="73"/>
  <c r="AQ57" i="74"/>
  <c r="AQ41" i="73"/>
  <c r="AX41" i="73"/>
  <c r="AQ47" i="73"/>
  <c r="AX47" i="73"/>
  <c r="AX51" i="73"/>
  <c r="AQ51" i="73"/>
  <c r="AX59" i="73"/>
  <c r="AQ59" i="73"/>
  <c r="AX45" i="73"/>
  <c r="AQ45" i="73"/>
  <c r="AX49" i="73"/>
  <c r="AQ49" i="73"/>
  <c r="AX53" i="73"/>
  <c r="AQ53" i="73"/>
  <c r="AQ55" i="73"/>
  <c r="AQ61" i="73"/>
  <c r="AX61" i="73"/>
  <c r="AQ40" i="73"/>
  <c r="AX40" i="73"/>
  <c r="AX44" i="73"/>
  <c r="AQ44" i="73"/>
  <c r="AQ48" i="73"/>
  <c r="AX48" i="73"/>
  <c r="AX50" i="73"/>
  <c r="AQ50" i="73"/>
  <c r="AQ52" i="73"/>
  <c r="AX52" i="73"/>
  <c r="AQ54" i="73"/>
  <c r="AX54" i="73"/>
  <c r="AX56" i="73"/>
  <c r="AQ56" i="73"/>
  <c r="AX62" i="73"/>
  <c r="AQ62" i="73"/>
  <c r="AQ50" i="72"/>
  <c r="BD50" i="72"/>
  <c r="AX50" i="72"/>
  <c r="BD52" i="72"/>
  <c r="AX52" i="72"/>
  <c r="AQ52" i="72"/>
  <c r="AX56" i="72"/>
  <c r="BD56" i="72"/>
  <c r="AQ56" i="72"/>
  <c r="AX62" i="72"/>
  <c r="AQ62" i="72"/>
  <c r="BD62" i="72"/>
  <c r="AQ40" i="72"/>
  <c r="BD40" i="72"/>
  <c r="AX40" i="72"/>
  <c r="AX45" i="72"/>
  <c r="AQ45" i="72"/>
  <c r="BD45" i="72"/>
  <c r="AQ47" i="72"/>
  <c r="AX47" i="72"/>
  <c r="BD47" i="72"/>
  <c r="AX49" i="72"/>
  <c r="AQ49" i="72"/>
  <c r="BD49" i="72"/>
  <c r="BD51" i="72"/>
  <c r="AQ51" i="72"/>
  <c r="AX51" i="72"/>
  <c r="BD53" i="72"/>
  <c r="AX53" i="72"/>
  <c r="AQ53" i="72"/>
  <c r="AQ55" i="72"/>
  <c r="AX59" i="72"/>
  <c r="BD59" i="72"/>
  <c r="AQ59" i="72"/>
  <c r="BD61" i="72"/>
  <c r="AX61" i="72"/>
  <c r="AQ61" i="72"/>
  <c r="AQ41" i="72"/>
  <c r="BD41" i="72"/>
  <c r="AX41" i="72"/>
  <c r="AQ44" i="72"/>
  <c r="BD44" i="72"/>
  <c r="AX44" i="72"/>
  <c r="BD48" i="72"/>
  <c r="AX48" i="72"/>
  <c r="AQ48" i="72"/>
  <c r="BD54" i="72"/>
  <c r="AX54" i="72"/>
  <c r="AQ54" i="72"/>
  <c r="AQ57" i="72"/>
  <c r="AV58" i="73"/>
  <c r="AV40" i="73"/>
  <c r="AS40" i="72"/>
  <c r="AS62" i="72"/>
  <c r="AW48" i="73"/>
  <c r="AV57" i="73"/>
  <c r="AV59" i="73"/>
  <c r="AW49" i="73"/>
  <c r="AW44" i="73"/>
  <c r="AW51" i="73"/>
  <c r="AW53" i="73"/>
  <c r="AW55" i="73"/>
  <c r="AX55" i="73" s="1"/>
  <c r="AV60" i="73"/>
  <c r="AW45" i="73"/>
  <c r="AW50" i="73"/>
  <c r="AW52" i="73"/>
  <c r="AW54" i="73"/>
  <c r="AT56" i="73"/>
  <c r="AU59" i="73"/>
  <c r="AV61" i="73"/>
  <c r="A79" i="72"/>
  <c r="A82" i="72"/>
  <c r="A84" i="72"/>
  <c r="A89" i="72"/>
  <c r="A93" i="72"/>
  <c r="A78" i="72"/>
  <c r="A86" i="72"/>
  <c r="A81" i="72"/>
  <c r="A83" i="72"/>
  <c r="A88" i="72"/>
  <c r="A90" i="72"/>
  <c r="A92" i="72"/>
  <c r="A94" i="72"/>
  <c r="A96" i="72"/>
  <c r="A91" i="72"/>
  <c r="A95" i="72"/>
  <c r="A97" i="72"/>
  <c r="AT42" i="72"/>
  <c r="A76" i="72"/>
  <c r="A77" i="72"/>
  <c r="A80" i="72"/>
  <c r="A85" i="72"/>
  <c r="A87" i="72"/>
  <c r="AW42" i="73"/>
  <c r="AX42" i="73" s="1"/>
  <c r="AW43" i="73"/>
  <c r="AX43" i="73" s="1"/>
  <c r="AW46" i="73"/>
  <c r="AX46" i="73" s="1"/>
  <c r="AW47" i="73"/>
  <c r="AU61" i="73"/>
  <c r="AU57" i="73"/>
  <c r="AV42" i="73"/>
  <c r="AV46" i="73"/>
  <c r="AV50" i="73"/>
  <c r="AV54" i="73"/>
  <c r="AV44" i="73"/>
  <c r="AV48" i="73"/>
  <c r="AV52" i="73"/>
  <c r="AW56" i="73"/>
  <c r="AT43" i="73"/>
  <c r="AT47" i="73"/>
  <c r="AT51" i="73"/>
  <c r="AT55" i="73"/>
  <c r="AV43" i="73"/>
  <c r="AT44" i="73"/>
  <c r="AV47" i="73"/>
  <c r="AT48" i="73"/>
  <c r="AV51" i="73"/>
  <c r="AT52" i="73"/>
  <c r="AV55" i="73"/>
  <c r="AU56" i="73"/>
  <c r="AT45" i="73"/>
  <c r="AT49" i="73"/>
  <c r="AT53" i="73"/>
  <c r="AU58" i="73"/>
  <c r="AU60" i="73"/>
  <c r="AT40" i="73"/>
  <c r="AT42" i="73"/>
  <c r="AV45" i="73"/>
  <c r="AT46" i="73"/>
  <c r="AV49" i="73"/>
  <c r="AT50" i="73"/>
  <c r="AV53" i="73"/>
  <c r="AT54" i="73"/>
  <c r="Z4" i="74"/>
  <c r="AK63" i="74" s="1"/>
  <c r="AQ63" i="74" s="1"/>
  <c r="AV62" i="72"/>
  <c r="AU41" i="72"/>
  <c r="AW57" i="72"/>
  <c r="AX57" i="72" s="1"/>
  <c r="AW59" i="72"/>
  <c r="AW41" i="72"/>
  <c r="AW55" i="72"/>
  <c r="AX55" i="72" s="1"/>
  <c r="AS43" i="72"/>
  <c r="AS45" i="72"/>
  <c r="AS47" i="72"/>
  <c r="AS49" i="72"/>
  <c r="AS51" i="72"/>
  <c r="AS53" i="72"/>
  <c r="AS55" i="72"/>
  <c r="AS57" i="72"/>
  <c r="AS59" i="72"/>
  <c r="AU61" i="72"/>
  <c r="AV40" i="72"/>
  <c r="Z4" i="72"/>
  <c r="M64" i="72" s="1"/>
  <c r="AS41" i="72"/>
  <c r="AU43" i="72"/>
  <c r="AV44" i="72"/>
  <c r="AU45" i="72"/>
  <c r="AU47" i="72"/>
  <c r="AV48" i="72"/>
  <c r="AU49" i="72"/>
  <c r="AU51" i="72"/>
  <c r="AV52" i="72"/>
  <c r="AU53" i="72"/>
  <c r="AU55" i="72"/>
  <c r="AV56" i="72"/>
  <c r="AU57" i="72"/>
  <c r="AU59" i="72"/>
  <c r="AV60" i="72"/>
  <c r="AW61" i="72"/>
  <c r="AW43" i="72"/>
  <c r="AX43" i="72" s="1"/>
  <c r="AW45" i="72"/>
  <c r="AW47" i="72"/>
  <c r="AW49" i="72"/>
  <c r="AW51" i="72"/>
  <c r="AW53" i="72"/>
  <c r="AS61" i="72"/>
  <c r="AW42" i="72"/>
  <c r="AX42" i="72" s="1"/>
  <c r="AS42" i="72"/>
  <c r="AV42" i="72"/>
  <c r="AU42" i="72"/>
  <c r="AQ42" i="72"/>
  <c r="AT46" i="72"/>
  <c r="AT50" i="72"/>
  <c r="AV41" i="72"/>
  <c r="AT43" i="72"/>
  <c r="AS44" i="72"/>
  <c r="AW44" i="72"/>
  <c r="AV45" i="72"/>
  <c r="AQ46" i="72"/>
  <c r="AU46" i="72"/>
  <c r="AT47" i="72"/>
  <c r="AS48" i="72"/>
  <c r="AW48" i="72"/>
  <c r="AV49" i="72"/>
  <c r="AU50" i="72"/>
  <c r="AT51" i="72"/>
  <c r="AS52" i="72"/>
  <c r="AW52" i="72"/>
  <c r="AV53" i="72"/>
  <c r="AT55" i="72"/>
  <c r="AS56" i="72"/>
  <c r="AW56" i="72"/>
  <c r="AV57" i="72"/>
  <c r="AQ58" i="72"/>
  <c r="AU58" i="72"/>
  <c r="AT59" i="72"/>
  <c r="AS60" i="72"/>
  <c r="AW60" i="72"/>
  <c r="AX60" i="72" s="1"/>
  <c r="AV61" i="72"/>
  <c r="AT63" i="72"/>
  <c r="AT40" i="72"/>
  <c r="AT44" i="72"/>
  <c r="AV46" i="72"/>
  <c r="AV50" i="72"/>
  <c r="AV54" i="72"/>
  <c r="AT56" i="72"/>
  <c r="AV58" i="72"/>
  <c r="AT60" i="72"/>
  <c r="AU63" i="72"/>
  <c r="AT48" i="72"/>
  <c r="AT52" i="72"/>
  <c r="AT41" i="72"/>
  <c r="AV43" i="72"/>
  <c r="AU44" i="72"/>
  <c r="AT45" i="72"/>
  <c r="AS46" i="72"/>
  <c r="AW46" i="72"/>
  <c r="AX46" i="72" s="1"/>
  <c r="AV47" i="72"/>
  <c r="AU48" i="72"/>
  <c r="AT49" i="72"/>
  <c r="AS50" i="72"/>
  <c r="AW50" i="72"/>
  <c r="AV51" i="72"/>
  <c r="AU52" i="72"/>
  <c r="AT53" i="72"/>
  <c r="AS54" i="72"/>
  <c r="AW54" i="72"/>
  <c r="AV55" i="72"/>
  <c r="AU56" i="72"/>
  <c r="AT57" i="72"/>
  <c r="AS58" i="72"/>
  <c r="AW58" i="72"/>
  <c r="AX58" i="72" s="1"/>
  <c r="AV59" i="72"/>
  <c r="AQ60" i="72"/>
  <c r="AU60" i="72"/>
  <c r="AT61" i="72"/>
  <c r="AV63" i="72"/>
  <c r="AU40" i="72"/>
  <c r="AT54" i="72"/>
  <c r="AT58" i="72"/>
  <c r="AS63" i="72"/>
  <c r="AW63" i="72"/>
  <c r="AT63" i="73"/>
  <c r="AS63" i="73"/>
  <c r="AW63" i="73"/>
  <c r="AV63" i="73"/>
  <c r="AU63" i="73"/>
  <c r="AS40" i="73"/>
  <c r="AV41" i="73"/>
  <c r="M64" i="73"/>
  <c r="AK63" i="73"/>
  <c r="AX63" i="73" s="1"/>
  <c r="AU40" i="73"/>
  <c r="AW40" i="73"/>
  <c r="AW41" i="73"/>
  <c r="AS41" i="73"/>
  <c r="AU41" i="73"/>
  <c r="AT41" i="73"/>
  <c r="AU42" i="73"/>
  <c r="AU43" i="73"/>
  <c r="AU44" i="73"/>
  <c r="AU45" i="73"/>
  <c r="AU46" i="73"/>
  <c r="AU47" i="73"/>
  <c r="AU48" i="73"/>
  <c r="AU49" i="73"/>
  <c r="AU50" i="73"/>
  <c r="AU51" i="73"/>
  <c r="AU52" i="73"/>
  <c r="AU53" i="73"/>
  <c r="AU55" i="73"/>
  <c r="AV56" i="73"/>
  <c r="AT57" i="73"/>
  <c r="AQ57" i="73"/>
  <c r="AW57" i="73"/>
  <c r="AX57" i="73" s="1"/>
  <c r="AT58" i="73"/>
  <c r="AW58" i="73"/>
  <c r="AX58" i="73" s="1"/>
  <c r="AT59" i="73"/>
  <c r="AW59" i="73"/>
  <c r="AT60" i="73"/>
  <c r="AW60" i="73"/>
  <c r="AX60" i="73" s="1"/>
  <c r="AT61" i="73"/>
  <c r="AW61" i="73"/>
  <c r="AS42" i="73"/>
  <c r="AS43" i="73"/>
  <c r="AS44" i="73"/>
  <c r="AS45" i="73"/>
  <c r="AS46" i="73"/>
  <c r="AS47" i="73"/>
  <c r="AS48" i="73"/>
  <c r="AS49" i="73"/>
  <c r="AS50" i="73"/>
  <c r="AS51" i="73"/>
  <c r="AS52" i="73"/>
  <c r="AS53" i="73"/>
  <c r="AS54" i="73"/>
  <c r="AS55" i="73"/>
  <c r="AS56" i="73"/>
  <c r="AS57" i="73"/>
  <c r="AS58" i="73"/>
  <c r="AS59" i="73"/>
  <c r="AS60" i="73"/>
  <c r="AS61" i="73"/>
  <c r="AQ46" i="74"/>
  <c r="AQ42" i="74"/>
  <c r="Q32" i="74" l="1"/>
  <c r="AN32" i="74"/>
  <c r="AO62" i="73"/>
  <c r="AN32" i="73"/>
  <c r="AM62" i="74"/>
  <c r="AK32" i="74"/>
  <c r="AK32" i="73"/>
  <c r="AM62" i="73"/>
  <c r="AP62" i="73"/>
  <c r="Q32" i="73"/>
  <c r="AP62" i="74"/>
  <c r="AO62" i="74"/>
  <c r="BC40" i="72"/>
  <c r="AZ40" i="72"/>
  <c r="BA47" i="72"/>
  <c r="AY45" i="72"/>
  <c r="BC56" i="72"/>
  <c r="BB40" i="72"/>
  <c r="BB44" i="72"/>
  <c r="BB56" i="72"/>
  <c r="BC45" i="72"/>
  <c r="AY61" i="72"/>
  <c r="BC48" i="72"/>
  <c r="AY40" i="72"/>
  <c r="BC52" i="72"/>
  <c r="BB48" i="72"/>
  <c r="BC46" i="72"/>
  <c r="BD46" i="72" s="1"/>
  <c r="AZ41" i="72"/>
  <c r="BC41" i="72"/>
  <c r="AZ52" i="72"/>
  <c r="AW62" i="73"/>
  <c r="BC55" i="72"/>
  <c r="BD55" i="72" s="1"/>
  <c r="BA53" i="72"/>
  <c r="AY57" i="72"/>
  <c r="AZ43" i="72"/>
  <c r="AZ55" i="72"/>
  <c r="BC60" i="72"/>
  <c r="BD60" i="72" s="1"/>
  <c r="AY52" i="72"/>
  <c r="BA50" i="72"/>
  <c r="AY58" i="72"/>
  <c r="AY54" i="72"/>
  <c r="AY50" i="72"/>
  <c r="AZ60" i="72"/>
  <c r="BB61" i="72"/>
  <c r="AT62" i="72"/>
  <c r="AW62" i="72"/>
  <c r="AW40" i="72"/>
  <c r="BC62" i="72"/>
  <c r="AQ63" i="73"/>
  <c r="AY60" i="72"/>
  <c r="AY48" i="72"/>
  <c r="AZ46" i="72"/>
  <c r="BA52" i="72"/>
  <c r="BA49" i="72"/>
  <c r="BA43" i="72"/>
  <c r="AY51" i="72"/>
  <c r="AZ59" i="72"/>
  <c r="A115" i="72"/>
  <c r="A132" i="72"/>
  <c r="A129" i="72"/>
  <c r="A118" i="72"/>
  <c r="A124" i="72"/>
  <c r="AZ63" i="72"/>
  <c r="BA58" i="72"/>
  <c r="AY44" i="72"/>
  <c r="AY63" i="72"/>
  <c r="BB60" i="72"/>
  <c r="AZ50" i="72"/>
  <c r="BB63" i="72"/>
  <c r="BB59" i="72"/>
  <c r="BB55" i="72"/>
  <c r="BB51" i="72"/>
  <c r="BA48" i="72"/>
  <c r="AZ45" i="72"/>
  <c r="BA44" i="72"/>
  <c r="AY42" i="72"/>
  <c r="AZ42" i="72"/>
  <c r="BA40" i="72"/>
  <c r="BC53" i="72"/>
  <c r="BC47" i="72"/>
  <c r="AZ44" i="72"/>
  <c r="BC61" i="72"/>
  <c r="BA45" i="72"/>
  <c r="AY59" i="72"/>
  <c r="AY53" i="72"/>
  <c r="AY47" i="72"/>
  <c r="BA55" i="72"/>
  <c r="BB58" i="72"/>
  <c r="BB54" i="72"/>
  <c r="BB50" i="72"/>
  <c r="BB45" i="72"/>
  <c r="A121" i="72"/>
  <c r="A113" i="72"/>
  <c r="BA46" i="72"/>
  <c r="BC63" i="72"/>
  <c r="AZ54" i="72"/>
  <c r="AZ61" i="72"/>
  <c r="BA60" i="72"/>
  <c r="AZ57" i="72"/>
  <c r="BA56" i="72"/>
  <c r="AZ53" i="72"/>
  <c r="AZ49" i="72"/>
  <c r="AY46" i="72"/>
  <c r="BA42" i="72"/>
  <c r="BC57" i="72"/>
  <c r="BD57" i="72" s="1"/>
  <c r="BC51" i="72"/>
  <c r="AZ48" i="72"/>
  <c r="BA59" i="72"/>
  <c r="AZ51" i="72"/>
  <c r="AZ47" i="72"/>
  <c r="BB42" i="72"/>
  <c r="BA63" i="72"/>
  <c r="A122" i="72"/>
  <c r="A111" i="72"/>
  <c r="A126" i="72"/>
  <c r="A125" i="72"/>
  <c r="A117" i="72"/>
  <c r="AY56" i="72"/>
  <c r="BB52" i="72"/>
  <c r="AZ62" i="72"/>
  <c r="AZ58" i="72"/>
  <c r="AY62" i="72"/>
  <c r="BC58" i="72"/>
  <c r="BD58" i="72" s="1"/>
  <c r="BC54" i="72"/>
  <c r="BC50" i="72"/>
  <c r="BB47" i="72"/>
  <c r="BB43" i="72"/>
  <c r="BB46" i="72"/>
  <c r="BB62" i="72"/>
  <c r="BC42" i="72"/>
  <c r="BD42" i="72" s="1"/>
  <c r="BC59" i="72"/>
  <c r="AZ56" i="72"/>
  <c r="BC49" i="72"/>
  <c r="BC43" i="72"/>
  <c r="BD43" i="72" s="1"/>
  <c r="BA51" i="72"/>
  <c r="BA61" i="72"/>
  <c r="AY55" i="72"/>
  <c r="AY49" i="72"/>
  <c r="AY43" i="72"/>
  <c r="BA41" i="72"/>
  <c r="AY41" i="72"/>
  <c r="BA57" i="72"/>
  <c r="BB57" i="72"/>
  <c r="BB53" i="72"/>
  <c r="BB49" i="72"/>
  <c r="BC44" i="72"/>
  <c r="BB41" i="72"/>
  <c r="A120" i="72"/>
  <c r="A112" i="72"/>
  <c r="A130" i="72"/>
  <c r="A131" i="72"/>
  <c r="A127" i="72"/>
  <c r="A123" i="72"/>
  <c r="A116" i="72"/>
  <c r="A128" i="72"/>
  <c r="A119" i="72"/>
  <c r="A114" i="72"/>
  <c r="M64" i="74"/>
  <c r="AK63" i="72"/>
  <c r="AQ63" i="72" l="1"/>
  <c r="BD63" i="72"/>
  <c r="AX63" i="72"/>
  <c r="AE148" i="63"/>
  <c r="AE149" i="63"/>
  <c r="AE150" i="63"/>
  <c r="AE151" i="63"/>
  <c r="AE152" i="63"/>
  <c r="AE153" i="63"/>
  <c r="AE154" i="63"/>
  <c r="AE155" i="63"/>
  <c r="AE156" i="63"/>
  <c r="AE157" i="63"/>
  <c r="AE158" i="63"/>
  <c r="AE159" i="63"/>
  <c r="AE161" i="63"/>
  <c r="AE162" i="63"/>
  <c r="AE163" i="63"/>
  <c r="AE164" i="63"/>
  <c r="AE165" i="63"/>
  <c r="AE166" i="63"/>
  <c r="AE168" i="63"/>
  <c r="G165" i="63" l="1"/>
  <c r="H165" i="63"/>
  <c r="E165" i="63"/>
  <c r="F165" i="63"/>
  <c r="D165" i="63"/>
  <c r="F161" i="63"/>
  <c r="D161" i="63"/>
  <c r="H161" i="63"/>
  <c r="E161" i="63"/>
  <c r="G161" i="63"/>
  <c r="D156" i="63"/>
  <c r="F156" i="63"/>
  <c r="H156" i="63"/>
  <c r="G156" i="63"/>
  <c r="E156" i="63"/>
  <c r="H152" i="63"/>
  <c r="D152" i="63"/>
  <c r="F152" i="63"/>
  <c r="G152" i="63"/>
  <c r="E152" i="63"/>
  <c r="H148" i="63"/>
  <c r="E148" i="63"/>
  <c r="G148" i="63"/>
  <c r="D148" i="63"/>
  <c r="F148" i="63"/>
  <c r="G164" i="63"/>
  <c r="E164" i="63"/>
  <c r="D164" i="63"/>
  <c r="F164" i="63"/>
  <c r="H164" i="63"/>
  <c r="D155" i="63"/>
  <c r="F155" i="63"/>
  <c r="H155" i="63"/>
  <c r="E155" i="63"/>
  <c r="G155" i="63"/>
  <c r="D168" i="63"/>
  <c r="F168" i="63"/>
  <c r="E168" i="63"/>
  <c r="G168" i="63"/>
  <c r="H168" i="63"/>
  <c r="E163" i="63"/>
  <c r="D163" i="63"/>
  <c r="H163" i="63"/>
  <c r="F163" i="63"/>
  <c r="G163" i="63"/>
  <c r="E158" i="63"/>
  <c r="D158" i="63"/>
  <c r="F158" i="63"/>
  <c r="H158" i="63"/>
  <c r="G158" i="63"/>
  <c r="G154" i="63"/>
  <c r="D154" i="63"/>
  <c r="F154" i="63"/>
  <c r="H154" i="63"/>
  <c r="E154" i="63"/>
  <c r="E150" i="63"/>
  <c r="G150" i="63"/>
  <c r="F150" i="63"/>
  <c r="H150" i="63"/>
  <c r="D150" i="63"/>
  <c r="E159" i="63"/>
  <c r="G159" i="63"/>
  <c r="H159" i="63"/>
  <c r="F159" i="63"/>
  <c r="D159" i="63"/>
  <c r="D166" i="63"/>
  <c r="E166" i="63"/>
  <c r="G166" i="63"/>
  <c r="F166" i="63"/>
  <c r="H166" i="63"/>
  <c r="F162" i="63"/>
  <c r="H162" i="63"/>
  <c r="E162" i="63"/>
  <c r="G162" i="63"/>
  <c r="D162" i="63"/>
  <c r="H157" i="63"/>
  <c r="G157" i="63"/>
  <c r="F157" i="63"/>
  <c r="D157" i="63"/>
  <c r="E157" i="63"/>
  <c r="E153" i="63"/>
  <c r="F153" i="63"/>
  <c r="D153" i="63"/>
  <c r="H153" i="63"/>
  <c r="G153" i="63"/>
  <c r="E149" i="63"/>
  <c r="G149" i="63"/>
  <c r="D149" i="63"/>
  <c r="F149" i="63"/>
  <c r="H149" i="63"/>
  <c r="D151" i="63"/>
  <c r="G151" i="63"/>
  <c r="E151" i="63"/>
  <c r="H151" i="63"/>
  <c r="F151" i="63"/>
  <c r="AE160" i="63" l="1"/>
  <c r="F160" i="63" l="1"/>
  <c r="H160" i="63"/>
  <c r="G160" i="63"/>
  <c r="E160" i="63"/>
  <c r="D160" i="63"/>
  <c r="Z183" i="67"/>
  <c r="AF183" i="67" s="1"/>
  <c r="Z255" i="67" l="1"/>
  <c r="AF255" i="67" s="1"/>
  <c r="S10" i="49" l="1"/>
  <c r="T10" i="49" s="1"/>
  <c r="U10" i="49" s="1"/>
  <c r="D328" i="69" l="1"/>
  <c r="E328" i="69"/>
  <c r="F328" i="69"/>
  <c r="G328" i="69"/>
  <c r="H328" i="69"/>
  <c r="D329" i="69"/>
  <c r="E329" i="69"/>
  <c r="F329" i="69"/>
  <c r="G329" i="69"/>
  <c r="H329" i="69"/>
  <c r="D330" i="69"/>
  <c r="E330" i="69"/>
  <c r="F330" i="69"/>
  <c r="G330" i="69"/>
  <c r="H330" i="69"/>
  <c r="D331" i="69"/>
  <c r="E331" i="69"/>
  <c r="F331" i="69"/>
  <c r="G331" i="69"/>
  <c r="H331" i="69"/>
  <c r="D332" i="69"/>
  <c r="E332" i="69"/>
  <c r="F332" i="69"/>
  <c r="G332" i="69"/>
  <c r="H332" i="69"/>
  <c r="D333" i="69"/>
  <c r="E333" i="69"/>
  <c r="F333" i="69"/>
  <c r="G333" i="69"/>
  <c r="H333" i="69"/>
  <c r="D334" i="69"/>
  <c r="E334" i="69"/>
  <c r="F334" i="69"/>
  <c r="G334" i="69"/>
  <c r="H334" i="69"/>
  <c r="D335" i="69"/>
  <c r="E335" i="69"/>
  <c r="F335" i="69"/>
  <c r="G335" i="69"/>
  <c r="H335" i="69"/>
  <c r="D336" i="69"/>
  <c r="E336" i="69"/>
  <c r="F336" i="69"/>
  <c r="G336" i="69"/>
  <c r="H336" i="69"/>
  <c r="D337" i="69"/>
  <c r="E337" i="69"/>
  <c r="F337" i="69"/>
  <c r="G337" i="69"/>
  <c r="H337" i="69"/>
  <c r="D338" i="69"/>
  <c r="E338" i="69"/>
  <c r="F338" i="69"/>
  <c r="G338" i="69"/>
  <c r="H338" i="69"/>
  <c r="D339" i="69"/>
  <c r="E339" i="69"/>
  <c r="F339" i="69"/>
  <c r="G339" i="69"/>
  <c r="H339" i="69"/>
  <c r="D340" i="69"/>
  <c r="E340" i="69"/>
  <c r="F340" i="69"/>
  <c r="G340" i="69"/>
  <c r="H340" i="69"/>
  <c r="D341" i="69"/>
  <c r="E341" i="69"/>
  <c r="F341" i="69"/>
  <c r="G341" i="69"/>
  <c r="H341" i="69"/>
  <c r="D342" i="69"/>
  <c r="E342" i="69"/>
  <c r="F342" i="69"/>
  <c r="G342" i="69"/>
  <c r="H342" i="69"/>
  <c r="D343" i="69"/>
  <c r="E343" i="69"/>
  <c r="F343" i="69"/>
  <c r="G343" i="69"/>
  <c r="H343" i="69"/>
  <c r="D344" i="69"/>
  <c r="E344" i="69"/>
  <c r="F344" i="69"/>
  <c r="G344" i="69"/>
  <c r="H344" i="69"/>
  <c r="D345" i="69"/>
  <c r="E345" i="69"/>
  <c r="F345" i="69"/>
  <c r="G345" i="69"/>
  <c r="H345" i="69"/>
  <c r="D346" i="69"/>
  <c r="E346" i="69"/>
  <c r="F346" i="69"/>
  <c r="G346" i="69"/>
  <c r="H346" i="69"/>
  <c r="D347" i="69"/>
  <c r="E347" i="69"/>
  <c r="F347" i="69"/>
  <c r="G347" i="69"/>
  <c r="H347" i="69"/>
  <c r="D348" i="69"/>
  <c r="E348" i="69"/>
  <c r="F348" i="69"/>
  <c r="G348" i="69"/>
  <c r="H348" i="69"/>
  <c r="D349" i="69"/>
  <c r="E349" i="69"/>
  <c r="F349" i="69"/>
  <c r="G349" i="69"/>
  <c r="H349" i="69"/>
  <c r="D327" i="69"/>
  <c r="E327" i="69"/>
  <c r="F327" i="69"/>
  <c r="G327" i="69"/>
  <c r="H327" i="69"/>
  <c r="E326" i="69"/>
  <c r="F326" i="69"/>
  <c r="G326" i="69"/>
  <c r="H326" i="69"/>
  <c r="AF292" i="69"/>
  <c r="J292" i="69" s="1"/>
  <c r="AF293" i="69"/>
  <c r="L293" i="69" s="1"/>
  <c r="AF294" i="69"/>
  <c r="M294" i="69" s="1"/>
  <c r="AF295" i="69"/>
  <c r="N295" i="69" s="1"/>
  <c r="AF296" i="69"/>
  <c r="J296" i="69" s="1"/>
  <c r="AF297" i="69"/>
  <c r="L297" i="69" s="1"/>
  <c r="AF298" i="69"/>
  <c r="M298" i="69" s="1"/>
  <c r="AF299" i="69"/>
  <c r="N299" i="69" s="1"/>
  <c r="AF300" i="69"/>
  <c r="J300" i="69" s="1"/>
  <c r="AF301" i="69"/>
  <c r="L301" i="69" s="1"/>
  <c r="AF302" i="69"/>
  <c r="M302" i="69" s="1"/>
  <c r="AF303" i="69"/>
  <c r="N303" i="69" s="1"/>
  <c r="AF304" i="69"/>
  <c r="J304" i="69" s="1"/>
  <c r="AF305" i="69"/>
  <c r="L305" i="69" s="1"/>
  <c r="AF306" i="69"/>
  <c r="M306" i="69" s="1"/>
  <c r="AF307" i="69"/>
  <c r="N307" i="69" s="1"/>
  <c r="AF308" i="69"/>
  <c r="J308" i="69" s="1"/>
  <c r="AF309" i="69"/>
  <c r="L309" i="69" s="1"/>
  <c r="AF310" i="69"/>
  <c r="M310" i="69" s="1"/>
  <c r="AF311" i="69"/>
  <c r="N311" i="69" s="1"/>
  <c r="AF312" i="69"/>
  <c r="J312" i="69" s="1"/>
  <c r="AF314" i="69"/>
  <c r="M314" i="69" s="1"/>
  <c r="L291" i="69"/>
  <c r="I314" i="69" l="1"/>
  <c r="I310" i="69"/>
  <c r="I306" i="69"/>
  <c r="I302" i="69"/>
  <c r="I298" i="69"/>
  <c r="I294" i="69"/>
  <c r="J293" i="69"/>
  <c r="J297" i="69"/>
  <c r="J301" i="69"/>
  <c r="J305" i="69"/>
  <c r="J309" i="69"/>
  <c r="N291" i="69"/>
  <c r="L314" i="69"/>
  <c r="N312" i="69"/>
  <c r="M311" i="69"/>
  <c r="L310" i="69"/>
  <c r="N308" i="69"/>
  <c r="M307" i="69"/>
  <c r="L306" i="69"/>
  <c r="N304" i="69"/>
  <c r="M303" i="69"/>
  <c r="L302" i="69"/>
  <c r="N300" i="69"/>
  <c r="M299" i="69"/>
  <c r="L298" i="69"/>
  <c r="N296" i="69"/>
  <c r="M295" i="69"/>
  <c r="L294" i="69"/>
  <c r="N292" i="69"/>
  <c r="I309" i="69"/>
  <c r="I305" i="69"/>
  <c r="I301" i="69"/>
  <c r="I297" i="69"/>
  <c r="I293" i="69"/>
  <c r="J294" i="69"/>
  <c r="J298" i="69"/>
  <c r="J302" i="69"/>
  <c r="J306" i="69"/>
  <c r="J310" i="69"/>
  <c r="J314" i="69"/>
  <c r="M291" i="69"/>
  <c r="M312" i="69"/>
  <c r="L311" i="69"/>
  <c r="N309" i="69"/>
  <c r="M308" i="69"/>
  <c r="L307" i="69"/>
  <c r="N305" i="69"/>
  <c r="M304" i="69"/>
  <c r="L303" i="69"/>
  <c r="N301" i="69"/>
  <c r="M300" i="69"/>
  <c r="L299" i="69"/>
  <c r="N297" i="69"/>
  <c r="M296" i="69"/>
  <c r="L295" i="69"/>
  <c r="N293" i="69"/>
  <c r="M292" i="69"/>
  <c r="I312" i="69"/>
  <c r="I308" i="69"/>
  <c r="I304" i="69"/>
  <c r="I300" i="69"/>
  <c r="I296" i="69"/>
  <c r="I292" i="69"/>
  <c r="J295" i="69"/>
  <c r="J299" i="69"/>
  <c r="J303" i="69"/>
  <c r="J307" i="69"/>
  <c r="J311" i="69"/>
  <c r="J291" i="69"/>
  <c r="N314" i="69"/>
  <c r="L312" i="69"/>
  <c r="N310" i="69"/>
  <c r="M309" i="69"/>
  <c r="L308" i="69"/>
  <c r="N306" i="69"/>
  <c r="M305" i="69"/>
  <c r="L304" i="69"/>
  <c r="N302" i="69"/>
  <c r="M301" i="69"/>
  <c r="L300" i="69"/>
  <c r="N298" i="69"/>
  <c r="M297" i="69"/>
  <c r="L296" i="69"/>
  <c r="N294" i="69"/>
  <c r="M293" i="69"/>
  <c r="L292" i="69"/>
  <c r="I291" i="69"/>
  <c r="I311" i="69"/>
  <c r="I307" i="69"/>
  <c r="I303" i="69"/>
  <c r="I299" i="69"/>
  <c r="I295" i="69"/>
  <c r="AD219" i="69" l="1"/>
  <c r="AJ219" i="69" s="1"/>
  <c r="AC219" i="69"/>
  <c r="AI219" i="69" s="1"/>
  <c r="AB219" i="69"/>
  <c r="AH219" i="69" s="1"/>
  <c r="AA219" i="69"/>
  <c r="AG219" i="69" s="1"/>
  <c r="Z219" i="69"/>
  <c r="AF219" i="69" s="1"/>
  <c r="AD255" i="69" l="1"/>
  <c r="AC255" i="69"/>
  <c r="AB255" i="69"/>
  <c r="AA255" i="69"/>
  <c r="Z255" i="69"/>
  <c r="X83" i="70" l="1"/>
  <c r="X84" i="70"/>
  <c r="X85" i="70"/>
  <c r="X86" i="70"/>
  <c r="X87" i="70"/>
  <c r="X88" i="70"/>
  <c r="X89" i="70"/>
  <c r="X90" i="70"/>
  <c r="X91" i="70"/>
  <c r="X92" i="70"/>
  <c r="X93" i="70"/>
  <c r="X94" i="70"/>
  <c r="X95" i="70"/>
  <c r="X96" i="70"/>
  <c r="X97" i="70"/>
  <c r="X99" i="70"/>
  <c r="X100" i="70"/>
  <c r="X101" i="70"/>
  <c r="X102" i="70"/>
  <c r="X103" i="70"/>
  <c r="X104" i="70"/>
  <c r="X82" i="70"/>
  <c r="B172" i="70" l="1"/>
  <c r="B100" i="60" s="1"/>
  <c r="X100" i="60" s="1"/>
  <c r="B171" i="70"/>
  <c r="B170" i="70"/>
  <c r="B98" i="60" s="1"/>
  <c r="B169" i="70"/>
  <c r="B97" i="60" s="1"/>
  <c r="B168" i="70"/>
  <c r="B96" i="60" s="1"/>
  <c r="B167" i="70"/>
  <c r="B95" i="60" s="1"/>
  <c r="B166" i="70"/>
  <c r="B165" i="70"/>
  <c r="B93" i="60" s="1"/>
  <c r="B164" i="70"/>
  <c r="B92" i="60" s="1"/>
  <c r="B163" i="70"/>
  <c r="B91" i="60" s="1"/>
  <c r="B162" i="70"/>
  <c r="B161" i="70"/>
  <c r="B89" i="60" s="1"/>
  <c r="B160" i="70"/>
  <c r="B159" i="70"/>
  <c r="B87" i="60" s="1"/>
  <c r="B158" i="70"/>
  <c r="B86" i="60" s="1"/>
  <c r="B157" i="70"/>
  <c r="B85" i="60" s="1"/>
  <c r="B156" i="70"/>
  <c r="B155" i="70"/>
  <c r="B83" i="60" s="1"/>
  <c r="B154" i="70"/>
  <c r="B82" i="60" s="1"/>
  <c r="B153" i="70"/>
  <c r="B81" i="60" s="1"/>
  <c r="B152" i="70"/>
  <c r="B80" i="60" s="1"/>
  <c r="B151" i="70"/>
  <c r="B79" i="60" s="1"/>
  <c r="B150" i="70"/>
  <c r="B149" i="70"/>
  <c r="B206" i="60"/>
  <c r="X206" i="60" s="1"/>
  <c r="B205" i="60"/>
  <c r="B202" i="60"/>
  <c r="B197" i="60"/>
  <c r="B196" i="60"/>
  <c r="B193" i="60"/>
  <c r="B192" i="60"/>
  <c r="B189" i="60"/>
  <c r="B188" i="60"/>
  <c r="B187" i="60"/>
  <c r="AO65" i="70"/>
  <c r="AO64" i="70"/>
  <c r="AO63" i="70"/>
  <c r="AO62" i="70"/>
  <c r="AO61" i="70"/>
  <c r="AO60" i="70"/>
  <c r="AO59" i="70"/>
  <c r="AO58" i="70"/>
  <c r="AO57" i="70"/>
  <c r="AO56" i="70"/>
  <c r="AO55" i="70"/>
  <c r="AO54" i="70"/>
  <c r="AO53" i="70"/>
  <c r="AO52" i="70"/>
  <c r="AO51" i="70"/>
  <c r="AO50" i="70"/>
  <c r="AO49" i="70"/>
  <c r="AO48" i="70"/>
  <c r="AO47" i="70"/>
  <c r="AO46" i="70"/>
  <c r="AO45" i="70"/>
  <c r="AO44" i="70"/>
  <c r="AO43" i="70"/>
  <c r="AO42" i="70"/>
  <c r="AT42" i="70" s="1"/>
  <c r="X33" i="70"/>
  <c r="X32" i="70"/>
  <c r="M32" i="70"/>
  <c r="X31" i="70"/>
  <c r="T31" i="70"/>
  <c r="R31" i="70"/>
  <c r="X30" i="70"/>
  <c r="T30" i="70"/>
  <c r="AU137" i="70" s="1"/>
  <c r="X29" i="70"/>
  <c r="T29" i="70"/>
  <c r="X28" i="70"/>
  <c r="T28" i="70"/>
  <c r="X27" i="70"/>
  <c r="T27" i="70"/>
  <c r="X26" i="70"/>
  <c r="T26" i="70"/>
  <c r="X25" i="70"/>
  <c r="T25" i="70"/>
  <c r="AU127" i="70" s="1"/>
  <c r="X24" i="70"/>
  <c r="T24" i="70"/>
  <c r="X23" i="70"/>
  <c r="T23" i="70"/>
  <c r="X22" i="70"/>
  <c r="T22" i="70"/>
  <c r="X21" i="70"/>
  <c r="T21" i="70"/>
  <c r="AU123" i="70" s="1"/>
  <c r="X20" i="70"/>
  <c r="T20" i="70"/>
  <c r="X19" i="70"/>
  <c r="T19" i="70"/>
  <c r="AU121" i="70" s="1"/>
  <c r="X18" i="70"/>
  <c r="T18" i="70"/>
  <c r="X17" i="70"/>
  <c r="T17" i="70"/>
  <c r="AU119" i="70" s="1"/>
  <c r="X16" i="70"/>
  <c r="T16" i="70"/>
  <c r="X15" i="70"/>
  <c r="T15" i="70"/>
  <c r="R15" i="70"/>
  <c r="X14" i="70"/>
  <c r="T14" i="70"/>
  <c r="X13" i="70"/>
  <c r="T13" i="70"/>
  <c r="X12" i="70"/>
  <c r="T12" i="70"/>
  <c r="X11" i="70"/>
  <c r="T11" i="70"/>
  <c r="X10" i="70"/>
  <c r="T10" i="70"/>
  <c r="R10" i="70"/>
  <c r="AU125" i="70" l="1"/>
  <c r="AU129" i="70"/>
  <c r="AU131" i="70"/>
  <c r="AU133" i="70"/>
  <c r="AU113" i="70"/>
  <c r="AU115" i="70"/>
  <c r="AU114" i="70"/>
  <c r="AU116" i="70"/>
  <c r="AU118" i="70"/>
  <c r="AU120" i="70"/>
  <c r="AU122" i="70"/>
  <c r="AU124" i="70"/>
  <c r="AU126" i="70"/>
  <c r="AU128" i="70"/>
  <c r="AU130" i="70"/>
  <c r="AU132" i="70"/>
  <c r="AU117" i="70"/>
  <c r="AU42" i="70"/>
  <c r="AU46" i="70"/>
  <c r="AU50" i="70"/>
  <c r="AU43" i="70"/>
  <c r="AU45" i="70"/>
  <c r="AU63" i="70"/>
  <c r="AU54" i="70"/>
  <c r="AU58" i="70"/>
  <c r="AU47" i="70"/>
  <c r="AU49" i="70"/>
  <c r="AU51" i="70"/>
  <c r="AU53" i="70"/>
  <c r="AU55" i="70"/>
  <c r="AU57" i="70"/>
  <c r="AU59" i="70"/>
  <c r="AU61" i="70"/>
  <c r="AU44" i="70"/>
  <c r="AU48" i="70"/>
  <c r="AU52" i="70"/>
  <c r="AU56" i="70"/>
  <c r="AU60" i="70"/>
  <c r="AU62" i="70"/>
  <c r="AU66" i="70"/>
  <c r="AO32" i="70"/>
  <c r="B77" i="60"/>
  <c r="L79" i="76"/>
  <c r="M79" i="76"/>
  <c r="J79" i="76"/>
  <c r="K79" i="76"/>
  <c r="F79" i="76"/>
  <c r="P79" i="76"/>
  <c r="Q79" i="76"/>
  <c r="O79" i="76"/>
  <c r="U79" i="76"/>
  <c r="R79" i="76"/>
  <c r="V79" i="76"/>
  <c r="H79" i="76"/>
  <c r="X79" i="76"/>
  <c r="G79" i="76"/>
  <c r="Y79" i="76"/>
  <c r="D79" i="76"/>
  <c r="E79" i="76"/>
  <c r="W79" i="76"/>
  <c r="S79" i="76"/>
  <c r="N79" i="76"/>
  <c r="AA79" i="76"/>
  <c r="T79" i="76"/>
  <c r="I79" i="76"/>
  <c r="Z79" i="76"/>
  <c r="R25" i="70"/>
  <c r="R22" i="70"/>
  <c r="R30" i="70"/>
  <c r="R29" i="70"/>
  <c r="R28" i="70"/>
  <c r="R24" i="70"/>
  <c r="R21" i="70"/>
  <c r="R20" i="70"/>
  <c r="R19" i="70"/>
  <c r="R18" i="70"/>
  <c r="R17" i="70"/>
  <c r="R16" i="70"/>
  <c r="R14" i="70"/>
  <c r="R13" i="70"/>
  <c r="R12" i="70"/>
  <c r="R11" i="70"/>
  <c r="X187" i="60"/>
  <c r="A187" i="60"/>
  <c r="B195" i="60"/>
  <c r="B199" i="60"/>
  <c r="B207" i="60"/>
  <c r="X207" i="60" s="1"/>
  <c r="B185" i="60"/>
  <c r="X189" i="60"/>
  <c r="A189" i="60"/>
  <c r="X193" i="60"/>
  <c r="A193" i="60"/>
  <c r="X197" i="60"/>
  <c r="A197" i="60"/>
  <c r="B201" i="60"/>
  <c r="X205" i="60"/>
  <c r="A205" i="60"/>
  <c r="B186" i="60"/>
  <c r="B190" i="60"/>
  <c r="B194" i="60"/>
  <c r="B198" i="60"/>
  <c r="X202" i="60"/>
  <c r="A202" i="60"/>
  <c r="B191" i="60"/>
  <c r="B203" i="60"/>
  <c r="B184" i="60"/>
  <c r="X188" i="60"/>
  <c r="A188" i="60"/>
  <c r="X192" i="60"/>
  <c r="A192" i="60"/>
  <c r="X196" i="60"/>
  <c r="A196" i="60"/>
  <c r="B200" i="60"/>
  <c r="B204" i="60"/>
  <c r="A150" i="70"/>
  <c r="B78" i="60"/>
  <c r="A86" i="60"/>
  <c r="X86" i="60"/>
  <c r="A166" i="70"/>
  <c r="B94" i="60"/>
  <c r="A79" i="60"/>
  <c r="X79" i="60"/>
  <c r="A95" i="60"/>
  <c r="X95" i="60"/>
  <c r="A80" i="60"/>
  <c r="X80" i="60"/>
  <c r="A156" i="70"/>
  <c r="B84" i="60"/>
  <c r="A160" i="70"/>
  <c r="B88" i="60"/>
  <c r="A92" i="60"/>
  <c r="X92" i="60"/>
  <c r="A96" i="60"/>
  <c r="X96" i="60"/>
  <c r="A82" i="60"/>
  <c r="X82" i="60"/>
  <c r="A162" i="70"/>
  <c r="B90" i="60"/>
  <c r="A98" i="60"/>
  <c r="X98" i="60"/>
  <c r="A83" i="60"/>
  <c r="X83" i="60"/>
  <c r="A87" i="60"/>
  <c r="X87" i="60"/>
  <c r="A91" i="60"/>
  <c r="X91" i="60"/>
  <c r="X171" i="70"/>
  <c r="AD171" i="70" s="1"/>
  <c r="B99" i="60"/>
  <c r="X99" i="60" s="1"/>
  <c r="A81" i="60"/>
  <c r="X81" i="60"/>
  <c r="A85" i="60"/>
  <c r="X85" i="60"/>
  <c r="A89" i="60"/>
  <c r="X89" i="60"/>
  <c r="A93" i="60"/>
  <c r="X93" i="60"/>
  <c r="A97" i="60"/>
  <c r="X97" i="60"/>
  <c r="X149" i="70"/>
  <c r="AD149" i="70" s="1"/>
  <c r="A149" i="70"/>
  <c r="X157" i="70"/>
  <c r="AD157" i="70" s="1"/>
  <c r="A157" i="70"/>
  <c r="X165" i="70"/>
  <c r="AD165" i="70" s="1"/>
  <c r="A165" i="70"/>
  <c r="A158" i="70"/>
  <c r="A170" i="70"/>
  <c r="A151" i="70"/>
  <c r="A155" i="70"/>
  <c r="X159" i="70"/>
  <c r="AD159" i="70" s="1"/>
  <c r="A159" i="70"/>
  <c r="X163" i="70"/>
  <c r="AD163" i="70" s="1"/>
  <c r="A163" i="70"/>
  <c r="A167" i="70"/>
  <c r="X153" i="70"/>
  <c r="AD153" i="70" s="1"/>
  <c r="A153" i="70"/>
  <c r="X161" i="70"/>
  <c r="AD161" i="70" s="1"/>
  <c r="A161" i="70"/>
  <c r="X169" i="70"/>
  <c r="AD169" i="70" s="1"/>
  <c r="A169" i="70"/>
  <c r="BE57" i="70"/>
  <c r="A154" i="70"/>
  <c r="P32" i="70"/>
  <c r="Z77" i="76" s="1"/>
  <c r="A152" i="70"/>
  <c r="A164" i="70"/>
  <c r="A168" i="70"/>
  <c r="AX43" i="70"/>
  <c r="AY51" i="70"/>
  <c r="X158" i="70"/>
  <c r="AD158" i="70" s="1"/>
  <c r="BA66" i="70"/>
  <c r="BC44" i="70"/>
  <c r="BB52" i="70"/>
  <c r="AX53" i="70"/>
  <c r="BD54" i="70"/>
  <c r="BD55" i="70"/>
  <c r="AS65" i="70"/>
  <c r="AX44" i="70"/>
  <c r="BD56" i="70"/>
  <c r="X155" i="70"/>
  <c r="AD155" i="70" s="1"/>
  <c r="BE58" i="70"/>
  <c r="X152" i="70"/>
  <c r="AD152" i="70" s="1"/>
  <c r="X168" i="70"/>
  <c r="AD168" i="70" s="1"/>
  <c r="AP42" i="70"/>
  <c r="BB43" i="70"/>
  <c r="AX48" i="70"/>
  <c r="BB50" i="70"/>
  <c r="BC51" i="70"/>
  <c r="AY55" i="70"/>
  <c r="BB45" i="70"/>
  <c r="BB47" i="70"/>
  <c r="BC48" i="70"/>
  <c r="AQ43" i="70"/>
  <c r="AS51" i="70"/>
  <c r="AP52" i="70"/>
  <c r="AS55" i="70"/>
  <c r="AP56" i="70"/>
  <c r="AT56" i="70"/>
  <c r="AP60" i="70"/>
  <c r="AT60" i="70"/>
  <c r="AQ61" i="70"/>
  <c r="AQ63" i="70"/>
  <c r="BC52" i="70"/>
  <c r="AS42" i="70"/>
  <c r="AP43" i="70"/>
  <c r="AT43" i="70"/>
  <c r="AS46" i="70"/>
  <c r="AP47" i="70"/>
  <c r="AT47" i="70"/>
  <c r="AQ48" i="70"/>
  <c r="AQ52" i="70"/>
  <c r="AQ56" i="70"/>
  <c r="AQ60" i="70"/>
  <c r="AP62" i="70"/>
  <c r="AR63" i="70"/>
  <c r="AS45" i="70"/>
  <c r="BC53" i="70"/>
  <c r="AQ47" i="70"/>
  <c r="AS49" i="70"/>
  <c r="AQ51" i="70"/>
  <c r="AR52" i="70"/>
  <c r="AS53" i="70"/>
  <c r="AR60" i="70"/>
  <c r="AP45" i="70"/>
  <c r="AT45" i="70"/>
  <c r="AR51" i="70"/>
  <c r="AT57" i="70"/>
  <c r="AP61" i="70"/>
  <c r="AR62" i="70"/>
  <c r="BC43" i="70"/>
  <c r="BC47" i="70"/>
  <c r="AT52" i="70"/>
  <c r="AY56" i="70"/>
  <c r="AY43" i="70"/>
  <c r="AX45" i="70"/>
  <c r="AW50" i="70"/>
  <c r="BD52" i="70"/>
  <c r="AZ56" i="70"/>
  <c r="AR43" i="70"/>
  <c r="AZ43" i="70"/>
  <c r="AP44" i="70"/>
  <c r="BB44" i="70"/>
  <c r="AR47" i="70"/>
  <c r="AZ47" i="70"/>
  <c r="AP48" i="70"/>
  <c r="BB48" i="70"/>
  <c r="AY52" i="70"/>
  <c r="AT53" i="70"/>
  <c r="AX54" i="70"/>
  <c r="X151" i="70"/>
  <c r="AD151" i="70" s="1"/>
  <c r="X154" i="70"/>
  <c r="AD154" i="70" s="1"/>
  <c r="X167" i="70"/>
  <c r="AD167" i="70" s="1"/>
  <c r="X170" i="70"/>
  <c r="AD170" i="70" s="1"/>
  <c r="BD43" i="70"/>
  <c r="AY44" i="70"/>
  <c r="AY47" i="70"/>
  <c r="BD47" i="70"/>
  <c r="AY48" i="70"/>
  <c r="AX52" i="70"/>
  <c r="AS54" i="70"/>
  <c r="AT44" i="70"/>
  <c r="AR50" i="70"/>
  <c r="BD42" i="70"/>
  <c r="AQ44" i="70"/>
  <c r="BD46" i="70"/>
  <c r="AT48" i="70"/>
  <c r="AW51" i="70"/>
  <c r="BD51" i="70"/>
  <c r="X164" i="70"/>
  <c r="AD164" i="70" s="1"/>
  <c r="BB66" i="70"/>
  <c r="AX66" i="70"/>
  <c r="AT66" i="70"/>
  <c r="AP66" i="70"/>
  <c r="AV66" i="70"/>
  <c r="AQ66" i="70"/>
  <c r="BD66" i="70"/>
  <c r="AS66" i="70"/>
  <c r="BE66" i="70"/>
  <c r="AZ66" i="70"/>
  <c r="AY66" i="70"/>
  <c r="AT58" i="70"/>
  <c r="AW66" i="70"/>
  <c r="X160" i="70"/>
  <c r="AD160" i="70" s="1"/>
  <c r="BD60" i="70"/>
  <c r="BC63" i="70"/>
  <c r="BB61" i="70"/>
  <c r="BD64" i="70"/>
  <c r="BC60" i="70"/>
  <c r="BB56" i="70"/>
  <c r="BB62" i="70"/>
  <c r="BB60" i="70"/>
  <c r="X162" i="70"/>
  <c r="AD162" i="70" s="1"/>
  <c r="X172" i="70"/>
  <c r="AD172" i="70" s="1"/>
  <c r="Z4" i="70"/>
  <c r="AT49" i="70"/>
  <c r="BB49" i="70"/>
  <c r="BC50" i="70"/>
  <c r="AY50" i="70"/>
  <c r="AQ50" i="70"/>
  <c r="BE50" i="70"/>
  <c r="AZ50" i="70"/>
  <c r="AT50" i="70"/>
  <c r="AP50" i="70"/>
  <c r="AX50" i="70"/>
  <c r="BE53" i="70"/>
  <c r="AT54" i="70"/>
  <c r="BE54" i="70"/>
  <c r="BE55" i="70"/>
  <c r="AX65" i="70"/>
  <c r="BC66" i="70"/>
  <c r="AW62" i="70"/>
  <c r="AW63" i="70"/>
  <c r="AW61" i="70"/>
  <c r="BC42" i="70"/>
  <c r="AY42" i="70"/>
  <c r="AQ42" i="70"/>
  <c r="BB42" i="70"/>
  <c r="AX42" i="70"/>
  <c r="AW42" i="70"/>
  <c r="BE42" i="70"/>
  <c r="BC46" i="70"/>
  <c r="AY46" i="70"/>
  <c r="AQ46" i="70"/>
  <c r="BB46" i="70"/>
  <c r="AX46" i="70"/>
  <c r="AT46" i="70"/>
  <c r="AP46" i="70"/>
  <c r="AW46" i="70"/>
  <c r="BE46" i="70"/>
  <c r="BD49" i="70"/>
  <c r="AZ49" i="70"/>
  <c r="AR49" i="70"/>
  <c r="BC49" i="70"/>
  <c r="AY49" i="70"/>
  <c r="AQ49" i="70"/>
  <c r="AW49" i="70"/>
  <c r="BE49" i="70"/>
  <c r="BD57" i="70"/>
  <c r="AZ57" i="70"/>
  <c r="AR57" i="70"/>
  <c r="BC57" i="70"/>
  <c r="AX57" i="70"/>
  <c r="AS57" i="70"/>
  <c r="BB57" i="70"/>
  <c r="AW57" i="70"/>
  <c r="AQ57" i="70"/>
  <c r="AY57" i="70"/>
  <c r="BC58" i="70"/>
  <c r="AY58" i="70"/>
  <c r="AQ58" i="70"/>
  <c r="BD58" i="70"/>
  <c r="AX58" i="70"/>
  <c r="AS58" i="70"/>
  <c r="BB58" i="70"/>
  <c r="AW58" i="70"/>
  <c r="AR58" i="70"/>
  <c r="AZ58" i="70"/>
  <c r="BB59" i="70"/>
  <c r="AX59" i="70"/>
  <c r="AT59" i="70"/>
  <c r="AP59" i="70"/>
  <c r="BD59" i="70"/>
  <c r="AY59" i="70"/>
  <c r="AS59" i="70"/>
  <c r="BC59" i="70"/>
  <c r="AW59" i="70"/>
  <c r="AR59" i="70"/>
  <c r="AZ59" i="70"/>
  <c r="BC65" i="70"/>
  <c r="O32" i="70"/>
  <c r="AR42" i="70"/>
  <c r="AZ42" i="70"/>
  <c r="BD45" i="70"/>
  <c r="AZ45" i="70"/>
  <c r="AR45" i="70"/>
  <c r="BC45" i="70"/>
  <c r="AY45" i="70"/>
  <c r="AQ45" i="70"/>
  <c r="AW45" i="70"/>
  <c r="BE45" i="70"/>
  <c r="AR46" i="70"/>
  <c r="AZ46" i="70"/>
  <c r="AP49" i="70"/>
  <c r="AX49" i="70"/>
  <c r="AS50" i="70"/>
  <c r="BD50" i="70"/>
  <c r="BD53" i="70"/>
  <c r="AZ53" i="70"/>
  <c r="AR53" i="70"/>
  <c r="BB53" i="70"/>
  <c r="AW53" i="70"/>
  <c r="AQ53" i="70"/>
  <c r="AP53" i="70"/>
  <c r="AY53" i="70"/>
  <c r="BC54" i="70"/>
  <c r="AY54" i="70"/>
  <c r="AQ54" i="70"/>
  <c r="BB54" i="70"/>
  <c r="AW54" i="70"/>
  <c r="AR54" i="70"/>
  <c r="AP54" i="70"/>
  <c r="AZ54" i="70"/>
  <c r="BB55" i="70"/>
  <c r="AX55" i="70"/>
  <c r="AT55" i="70"/>
  <c r="AP55" i="70"/>
  <c r="BC55" i="70"/>
  <c r="AW55" i="70"/>
  <c r="AR55" i="70"/>
  <c r="AQ55" i="70"/>
  <c r="AZ55" i="70"/>
  <c r="AP57" i="70"/>
  <c r="AP58" i="70"/>
  <c r="AQ59" i="70"/>
  <c r="BE59" i="70"/>
  <c r="AZ60" i="70"/>
  <c r="BB64" i="70"/>
  <c r="AR66" i="70"/>
  <c r="AT65" i="70"/>
  <c r="BE65" i="70"/>
  <c r="AS43" i="70"/>
  <c r="AW43" i="70"/>
  <c r="BE43" i="70"/>
  <c r="AR44" i="70"/>
  <c r="AZ44" i="70"/>
  <c r="BD44" i="70"/>
  <c r="AS47" i="70"/>
  <c r="AW47" i="70"/>
  <c r="BE47" i="70"/>
  <c r="AR48" i="70"/>
  <c r="AZ48" i="70"/>
  <c r="BD48" i="70"/>
  <c r="BB51" i="70"/>
  <c r="AX51" i="70"/>
  <c r="AT51" i="70"/>
  <c r="AP51" i="70"/>
  <c r="AZ51" i="70"/>
  <c r="BE51" i="70"/>
  <c r="AZ52" i="70"/>
  <c r="AX60" i="70"/>
  <c r="AS61" i="70"/>
  <c r="AX61" i="70"/>
  <c r="BC61" i="70"/>
  <c r="AS62" i="70"/>
  <c r="AX62" i="70"/>
  <c r="BD62" i="70"/>
  <c r="AS63" i="70"/>
  <c r="AY63" i="70"/>
  <c r="BD63" i="70"/>
  <c r="AP65" i="70"/>
  <c r="X150" i="70"/>
  <c r="AD150" i="70" s="1"/>
  <c r="X156" i="70"/>
  <c r="AD156" i="70" s="1"/>
  <c r="X166" i="70"/>
  <c r="AD166" i="70" s="1"/>
  <c r="BD65" i="70"/>
  <c r="AZ65" i="70"/>
  <c r="AR65" i="70"/>
  <c r="AY65" i="70"/>
  <c r="AS44" i="70"/>
  <c r="AW44" i="70"/>
  <c r="BE44" i="70"/>
  <c r="AX47" i="70"/>
  <c r="AS48" i="70"/>
  <c r="AW48" i="70"/>
  <c r="BE48" i="70"/>
  <c r="AY60" i="70"/>
  <c r="BD61" i="70"/>
  <c r="AZ61" i="70"/>
  <c r="AR61" i="70"/>
  <c r="AT61" i="70"/>
  <c r="AY61" i="70"/>
  <c r="BE61" i="70"/>
  <c r="BC62" i="70"/>
  <c r="AY62" i="70"/>
  <c r="AQ62" i="70"/>
  <c r="AT62" i="70"/>
  <c r="AZ62" i="70"/>
  <c r="BE62" i="70"/>
  <c r="BB63" i="70"/>
  <c r="AX63" i="70"/>
  <c r="AT63" i="70"/>
  <c r="AP63" i="70"/>
  <c r="AZ63" i="70"/>
  <c r="BE63" i="70"/>
  <c r="AZ64" i="70"/>
  <c r="AQ65" i="70"/>
  <c r="AW65" i="70"/>
  <c r="BB65" i="70"/>
  <c r="AS52" i="70"/>
  <c r="AW52" i="70"/>
  <c r="BE52" i="70"/>
  <c r="AS56" i="70"/>
  <c r="AW56" i="70"/>
  <c r="BE56" i="70"/>
  <c r="AS60" i="70"/>
  <c r="AW60" i="70"/>
  <c r="BE60" i="70"/>
  <c r="AW64" i="70"/>
  <c r="BE64" i="70"/>
  <c r="AU171" i="60" l="1"/>
  <c r="AR171" i="60"/>
  <c r="AV171" i="60"/>
  <c r="AT171" i="60"/>
  <c r="AS171" i="60"/>
  <c r="AZ171" i="60"/>
  <c r="BA171" i="60"/>
  <c r="AW171" i="60"/>
  <c r="AY171" i="60"/>
  <c r="AX171" i="60"/>
  <c r="D66" i="76"/>
  <c r="AT172" i="60"/>
  <c r="AU172" i="60"/>
  <c r="AV172" i="60"/>
  <c r="AR172" i="60"/>
  <c r="AS172" i="60"/>
  <c r="AO137" i="70"/>
  <c r="M137" i="70"/>
  <c r="Q32" i="70"/>
  <c r="AR32" i="70"/>
  <c r="X77" i="60"/>
  <c r="A77" i="60"/>
  <c r="AS64" i="70"/>
  <c r="W66" i="76"/>
  <c r="S66" i="76"/>
  <c r="E66" i="76"/>
  <c r="K66" i="76"/>
  <c r="AY172" i="60"/>
  <c r="AX172" i="60"/>
  <c r="D67" i="76"/>
  <c r="T67" i="76"/>
  <c r="N67" i="76"/>
  <c r="X67" i="76"/>
  <c r="I67" i="76"/>
  <c r="S67" i="76"/>
  <c r="P67" i="76"/>
  <c r="W67" i="76"/>
  <c r="M67" i="76"/>
  <c r="Y67" i="76"/>
  <c r="AA67" i="76"/>
  <c r="BA172" i="60"/>
  <c r="AZ172" i="60"/>
  <c r="R67" i="76"/>
  <c r="H67" i="76"/>
  <c r="V67" i="76"/>
  <c r="L67" i="76"/>
  <c r="Q67" i="76"/>
  <c r="J67" i="76"/>
  <c r="U67" i="76"/>
  <c r="AW172" i="60"/>
  <c r="K67" i="76"/>
  <c r="F67" i="76"/>
  <c r="G67" i="76"/>
  <c r="O67" i="76"/>
  <c r="E67" i="76"/>
  <c r="Z67" i="76"/>
  <c r="T66" i="76"/>
  <c r="N66" i="76"/>
  <c r="Z66" i="76"/>
  <c r="O66" i="76"/>
  <c r="M66" i="76"/>
  <c r="X66" i="76"/>
  <c r="AA66" i="76"/>
  <c r="U66" i="76"/>
  <c r="L66" i="76"/>
  <c r="F66" i="76"/>
  <c r="P66" i="76"/>
  <c r="I66" i="76"/>
  <c r="H66" i="76"/>
  <c r="Q66" i="76"/>
  <c r="R66" i="76"/>
  <c r="G66" i="76"/>
  <c r="J66" i="76"/>
  <c r="Y66" i="76"/>
  <c r="V66" i="76"/>
  <c r="AV65" i="70"/>
  <c r="BA65" i="70"/>
  <c r="AV53" i="70"/>
  <c r="BA53" i="70"/>
  <c r="AV57" i="70"/>
  <c r="BA57" i="70"/>
  <c r="AV60" i="70"/>
  <c r="BA60" i="70"/>
  <c r="AV45" i="70"/>
  <c r="BA45" i="70"/>
  <c r="AV54" i="70"/>
  <c r="BA54" i="70"/>
  <c r="X200" i="60"/>
  <c r="A200" i="60"/>
  <c r="X184" i="60"/>
  <c r="A184" i="60"/>
  <c r="X203" i="60"/>
  <c r="A203" i="60"/>
  <c r="X198" i="60"/>
  <c r="A198" i="60"/>
  <c r="X190" i="60"/>
  <c r="A190" i="60"/>
  <c r="X201" i="60"/>
  <c r="A201" i="60"/>
  <c r="X185" i="60"/>
  <c r="A185" i="60"/>
  <c r="X199" i="60"/>
  <c r="A199" i="60"/>
  <c r="AV43" i="70"/>
  <c r="BA43" i="70"/>
  <c r="AV55" i="70"/>
  <c r="BA55" i="70"/>
  <c r="AV47" i="70"/>
  <c r="BA47" i="70"/>
  <c r="AV52" i="70"/>
  <c r="BA52" i="70"/>
  <c r="AV58" i="70"/>
  <c r="BA58" i="70"/>
  <c r="AV42" i="70"/>
  <c r="BA42" i="70"/>
  <c r="AV64" i="70"/>
  <c r="BA64" i="70"/>
  <c r="AV44" i="70"/>
  <c r="BA44" i="70"/>
  <c r="AV62" i="70"/>
  <c r="BA62" i="70"/>
  <c r="AV46" i="70"/>
  <c r="BA46" i="70"/>
  <c r="X204" i="60"/>
  <c r="A204" i="60"/>
  <c r="X191" i="60"/>
  <c r="A191" i="60"/>
  <c r="X194" i="60"/>
  <c r="A194" i="60"/>
  <c r="X186" i="60"/>
  <c r="A186" i="60"/>
  <c r="X195" i="60"/>
  <c r="A195" i="60"/>
  <c r="AV59" i="70"/>
  <c r="BA59" i="70"/>
  <c r="AV63" i="70"/>
  <c r="BA63" i="70"/>
  <c r="AV61" i="70"/>
  <c r="BA61" i="70"/>
  <c r="AV48" i="70"/>
  <c r="BA48" i="70"/>
  <c r="AV51" i="70"/>
  <c r="BA51" i="70"/>
  <c r="AV56" i="70"/>
  <c r="BA56" i="70"/>
  <c r="AV50" i="70"/>
  <c r="BA50" i="70"/>
  <c r="AV49" i="70"/>
  <c r="BA49" i="70"/>
  <c r="A90" i="60"/>
  <c r="X90" i="60"/>
  <c r="A88" i="60"/>
  <c r="X88" i="60"/>
  <c r="A84" i="60"/>
  <c r="X84" i="60"/>
  <c r="A94" i="60"/>
  <c r="X94" i="60"/>
  <c r="A78" i="60"/>
  <c r="X78" i="60"/>
  <c r="AY64" i="70"/>
  <c r="AQ64" i="70"/>
  <c r="AP64" i="70"/>
  <c r="AT64" i="70"/>
  <c r="AO66" i="70"/>
  <c r="M66" i="70"/>
  <c r="AD325" i="69"/>
  <c r="AC325" i="69"/>
  <c r="AB325" i="69"/>
  <c r="AA325" i="69"/>
  <c r="Z325" i="69"/>
  <c r="AD290" i="69" l="1"/>
  <c r="AC290" i="69"/>
  <c r="AB290" i="69"/>
  <c r="AA290" i="69"/>
  <c r="Z290" i="69"/>
  <c r="AF313" i="69" l="1"/>
  <c r="L313" i="69" l="1"/>
  <c r="M313" i="69"/>
  <c r="N313" i="69"/>
  <c r="I313" i="69"/>
  <c r="J313" i="69"/>
  <c r="B171" i="69"/>
  <c r="B170" i="69"/>
  <c r="B169" i="69"/>
  <c r="A169" i="69" s="1"/>
  <c r="B168" i="69"/>
  <c r="A168" i="69" s="1"/>
  <c r="B167" i="69"/>
  <c r="A167" i="69" s="1"/>
  <c r="B166" i="69"/>
  <c r="A166" i="69" s="1"/>
  <c r="B165" i="69"/>
  <c r="A165" i="69" s="1"/>
  <c r="B164" i="69"/>
  <c r="A164" i="69" s="1"/>
  <c r="B163" i="69"/>
  <c r="A163" i="69" s="1"/>
  <c r="B162" i="69"/>
  <c r="A162" i="69" s="1"/>
  <c r="B161" i="69"/>
  <c r="A161" i="69" s="1"/>
  <c r="B160" i="69"/>
  <c r="A160" i="69" s="1"/>
  <c r="B159" i="69"/>
  <c r="A159" i="69" s="1"/>
  <c r="B158" i="69"/>
  <c r="A158" i="69" s="1"/>
  <c r="B157" i="69"/>
  <c r="A157" i="69" s="1"/>
  <c r="B156" i="69"/>
  <c r="A156" i="69" s="1"/>
  <c r="B155" i="69"/>
  <c r="A155" i="69" s="1"/>
  <c r="B154" i="69"/>
  <c r="A154" i="69" s="1"/>
  <c r="B153" i="69"/>
  <c r="A153" i="69" s="1"/>
  <c r="B152" i="69"/>
  <c r="A152" i="69" s="1"/>
  <c r="B151" i="69"/>
  <c r="A151" i="69" s="1"/>
  <c r="B150" i="69"/>
  <c r="A150" i="69" s="1"/>
  <c r="B149" i="69"/>
  <c r="A149" i="69" s="1"/>
  <c r="B148" i="69"/>
  <c r="B135" i="69"/>
  <c r="Y135" i="69" s="1"/>
  <c r="AE135" i="69" s="1"/>
  <c r="B134" i="69"/>
  <c r="Y134" i="69" s="1"/>
  <c r="AE134" i="69" s="1"/>
  <c r="B133" i="69"/>
  <c r="B132" i="69"/>
  <c r="B131" i="69"/>
  <c r="B130" i="69"/>
  <c r="B129" i="69"/>
  <c r="B128" i="69"/>
  <c r="B127" i="69"/>
  <c r="B126" i="69"/>
  <c r="B125" i="69"/>
  <c r="B124" i="69"/>
  <c r="B123" i="69"/>
  <c r="B122" i="69"/>
  <c r="B121" i="69"/>
  <c r="B120" i="69"/>
  <c r="B119" i="69"/>
  <c r="B118" i="69"/>
  <c r="B117" i="69"/>
  <c r="B116" i="69"/>
  <c r="B115" i="69"/>
  <c r="B114" i="69"/>
  <c r="B113" i="69"/>
  <c r="B112" i="69"/>
  <c r="D52" i="76" s="1"/>
  <c r="Y100" i="69"/>
  <c r="Y99" i="69"/>
  <c r="Y98" i="69"/>
  <c r="Y97" i="69"/>
  <c r="Y96" i="69"/>
  <c r="Y95" i="69"/>
  <c r="Y94" i="69"/>
  <c r="Y93" i="69"/>
  <c r="Y92" i="69"/>
  <c r="Y91" i="69"/>
  <c r="Y90" i="69"/>
  <c r="Y89" i="69"/>
  <c r="Y88" i="69"/>
  <c r="Y87" i="69"/>
  <c r="Y86" i="69"/>
  <c r="Y85" i="69"/>
  <c r="Y84" i="69"/>
  <c r="Y83" i="69"/>
  <c r="Y82" i="69"/>
  <c r="Y81" i="69"/>
  <c r="Y80" i="69"/>
  <c r="Y79" i="69"/>
  <c r="Y78" i="69"/>
  <c r="Y77" i="69"/>
  <c r="Z77" i="69" s="1"/>
  <c r="Y44" i="69"/>
  <c r="AL64" i="69"/>
  <c r="AL63" i="69"/>
  <c r="AL62" i="69"/>
  <c r="AL61" i="69"/>
  <c r="AL60" i="69"/>
  <c r="AL59" i="69"/>
  <c r="AL58" i="69"/>
  <c r="AL57" i="69"/>
  <c r="AL56" i="69"/>
  <c r="AL55" i="69"/>
  <c r="AL54" i="69"/>
  <c r="AL53" i="69"/>
  <c r="AL52" i="69"/>
  <c r="AL51" i="69"/>
  <c r="AL50" i="69"/>
  <c r="AL49" i="69"/>
  <c r="AL48" i="69"/>
  <c r="AL47" i="69"/>
  <c r="AL46" i="69"/>
  <c r="AL45" i="69"/>
  <c r="AL44" i="69"/>
  <c r="AL43" i="69"/>
  <c r="AL42" i="69"/>
  <c r="AL41" i="69"/>
  <c r="AN41" i="69" s="1"/>
  <c r="AW40" i="69"/>
  <c r="BB40" i="69" s="1"/>
  <c r="BG40" i="69" s="1"/>
  <c r="BL40" i="69" s="1"/>
  <c r="BQ40" i="69" s="1"/>
  <c r="AV40" i="69"/>
  <c r="BA40" i="69" s="1"/>
  <c r="BF40" i="69" s="1"/>
  <c r="BK40" i="69" s="1"/>
  <c r="BP40" i="69" s="1"/>
  <c r="AU40" i="69"/>
  <c r="AZ40" i="69" s="1"/>
  <c r="BE40" i="69" s="1"/>
  <c r="BJ40" i="69" s="1"/>
  <c r="BO40" i="69" s="1"/>
  <c r="AT40" i="69"/>
  <c r="AY40" i="69" s="1"/>
  <c r="BD40" i="69" s="1"/>
  <c r="BI40" i="69" s="1"/>
  <c r="BN40" i="69" s="1"/>
  <c r="AS40" i="69"/>
  <c r="AX40" i="69" s="1"/>
  <c r="BC40" i="69" s="1"/>
  <c r="BH40" i="69" s="1"/>
  <c r="BM40" i="69" s="1"/>
  <c r="AQ40" i="69"/>
  <c r="AP40" i="69"/>
  <c r="AO40" i="69"/>
  <c r="AN40" i="69"/>
  <c r="AM40" i="69"/>
  <c r="Y33" i="69"/>
  <c r="Y32" i="69"/>
  <c r="N32" i="69"/>
  <c r="Y31" i="69"/>
  <c r="S31" i="69"/>
  <c r="AI28" i="69"/>
  <c r="Q31" i="69" s="1"/>
  <c r="Y30" i="69"/>
  <c r="S30" i="69"/>
  <c r="Y29" i="69"/>
  <c r="S29" i="69"/>
  <c r="T29" i="69" s="1"/>
  <c r="U29" i="69" s="1"/>
  <c r="Y28" i="69"/>
  <c r="S28" i="69"/>
  <c r="T28" i="69" s="1"/>
  <c r="U28" i="69" s="1"/>
  <c r="Y27" i="69"/>
  <c r="S27" i="69"/>
  <c r="T27" i="69" s="1"/>
  <c r="U27" i="69" s="1"/>
  <c r="Y26" i="69"/>
  <c r="S26" i="69"/>
  <c r="T26" i="69" s="1"/>
  <c r="U26" i="69" s="1"/>
  <c r="Y25" i="69"/>
  <c r="S25" i="69"/>
  <c r="T25" i="69" s="1"/>
  <c r="U25" i="69" s="1"/>
  <c r="Y24" i="69"/>
  <c r="S24" i="69"/>
  <c r="T24" i="69" s="1"/>
  <c r="U24" i="69" s="1"/>
  <c r="Y23" i="69"/>
  <c r="S23" i="69"/>
  <c r="T23" i="69" s="1"/>
  <c r="U23" i="69" s="1"/>
  <c r="Y22" i="69"/>
  <c r="S22" i="69"/>
  <c r="T22" i="69" s="1"/>
  <c r="U22" i="69" s="1"/>
  <c r="Y21" i="69"/>
  <c r="S21" i="69"/>
  <c r="Y20" i="69"/>
  <c r="S20" i="69"/>
  <c r="T20" i="69" s="1"/>
  <c r="U20" i="69" s="1"/>
  <c r="Y19" i="69"/>
  <c r="S19" i="69"/>
  <c r="T19" i="69" s="1"/>
  <c r="U19" i="69" s="1"/>
  <c r="Y18" i="69"/>
  <c r="S18" i="69"/>
  <c r="T18" i="69" s="1"/>
  <c r="U18" i="69" s="1"/>
  <c r="Y17" i="69"/>
  <c r="S17" i="69"/>
  <c r="Y16" i="69"/>
  <c r="S16" i="69"/>
  <c r="T16" i="69" s="1"/>
  <c r="U16" i="69" s="1"/>
  <c r="Y15" i="69"/>
  <c r="S15" i="69"/>
  <c r="T15" i="69" s="1"/>
  <c r="U15" i="69" s="1"/>
  <c r="Y14" i="69"/>
  <c r="S14" i="69"/>
  <c r="T14" i="69" s="1"/>
  <c r="U14" i="69" s="1"/>
  <c r="Y13" i="69"/>
  <c r="S13" i="69"/>
  <c r="Y12" i="69"/>
  <c r="S12" i="69"/>
  <c r="T12" i="69" s="1"/>
  <c r="U12" i="69" s="1"/>
  <c r="Y11" i="69"/>
  <c r="S11" i="69"/>
  <c r="T11" i="69" s="1"/>
  <c r="U11" i="69" s="1"/>
  <c r="Y10" i="69"/>
  <c r="S10" i="69"/>
  <c r="T10" i="69" s="1"/>
  <c r="U10" i="69" s="1"/>
  <c r="AR41" i="69" l="1"/>
  <c r="AR45" i="69"/>
  <c r="AR49" i="69"/>
  <c r="AR53" i="69"/>
  <c r="AR57" i="69"/>
  <c r="AR61" i="69"/>
  <c r="AR44" i="69"/>
  <c r="AR52" i="69"/>
  <c r="AR60" i="69"/>
  <c r="L52" i="76"/>
  <c r="T52" i="76"/>
  <c r="U52" i="76"/>
  <c r="AA52" i="76"/>
  <c r="E52" i="76"/>
  <c r="J52" i="76"/>
  <c r="N52" i="76"/>
  <c r="R52" i="76"/>
  <c r="G52" i="76"/>
  <c r="M52" i="76"/>
  <c r="W52" i="76"/>
  <c r="S52" i="76"/>
  <c r="K52" i="76"/>
  <c r="Z52" i="76"/>
  <c r="P52" i="76"/>
  <c r="Y52" i="76"/>
  <c r="O52" i="76"/>
  <c r="X52" i="76"/>
  <c r="V52" i="76"/>
  <c r="Q52" i="76"/>
  <c r="I52" i="76"/>
  <c r="H52" i="76"/>
  <c r="F52" i="76"/>
  <c r="AM44" i="69"/>
  <c r="AQ44" i="69"/>
  <c r="T30" i="69"/>
  <c r="AR65" i="69"/>
  <c r="AR42" i="69"/>
  <c r="AR46" i="69"/>
  <c r="AR50" i="69"/>
  <c r="AR54" i="69"/>
  <c r="AR58" i="69"/>
  <c r="AR62" i="69"/>
  <c r="AR48" i="69"/>
  <c r="AR56" i="69"/>
  <c r="AR43" i="69"/>
  <c r="AR47" i="69"/>
  <c r="AR51" i="69"/>
  <c r="AR55" i="69"/>
  <c r="AR59" i="69"/>
  <c r="A148" i="69"/>
  <c r="R53" i="76"/>
  <c r="E53" i="76"/>
  <c r="F53" i="76"/>
  <c r="M53" i="76"/>
  <c r="I53" i="76"/>
  <c r="AA53" i="76"/>
  <c r="H53" i="76"/>
  <c r="J53" i="76"/>
  <c r="W53" i="76"/>
  <c r="S53" i="76"/>
  <c r="N53" i="76"/>
  <c r="K53" i="76"/>
  <c r="Z53" i="76"/>
  <c r="L53" i="76"/>
  <c r="G53" i="76"/>
  <c r="O53" i="76"/>
  <c r="P53" i="76"/>
  <c r="V53" i="76"/>
  <c r="Q53" i="76"/>
  <c r="T53" i="76"/>
  <c r="U53" i="76"/>
  <c r="X53" i="76"/>
  <c r="Y53" i="76"/>
  <c r="D53" i="76"/>
  <c r="AI22" i="69"/>
  <c r="Q22" i="69" s="1"/>
  <c r="AI27" i="69"/>
  <c r="Q30" i="69" s="1"/>
  <c r="AI10" i="69"/>
  <c r="Q10" i="69" s="1"/>
  <c r="AI12" i="69"/>
  <c r="Q12" i="69" s="1"/>
  <c r="AI25" i="69"/>
  <c r="Q28" i="69" s="1"/>
  <c r="AI11" i="69"/>
  <c r="Q11" i="69" s="1"/>
  <c r="AI13" i="69"/>
  <c r="Q13" i="69" s="1"/>
  <c r="AI15" i="69"/>
  <c r="Q15" i="69" s="1"/>
  <c r="AI17" i="69"/>
  <c r="Q17" i="69" s="1"/>
  <c r="AI19" i="69"/>
  <c r="Q19" i="69" s="1"/>
  <c r="AI26" i="69"/>
  <c r="Q29" i="69" s="1"/>
  <c r="AI14" i="69"/>
  <c r="Q14" i="69" s="1"/>
  <c r="AI16" i="69"/>
  <c r="Q16" i="69" s="1"/>
  <c r="AI18" i="69"/>
  <c r="Q18" i="69" s="1"/>
  <c r="AI20" i="69"/>
  <c r="Q20" i="69" s="1"/>
  <c r="AI23" i="69"/>
  <c r="Q24" i="69" s="1"/>
  <c r="AI21" i="69"/>
  <c r="Q21" i="69" s="1"/>
  <c r="AI24" i="69"/>
  <c r="Q25" i="69" s="1"/>
  <c r="Y114" i="69"/>
  <c r="AE114" i="69" s="1"/>
  <c r="A114" i="69"/>
  <c r="Y116" i="69"/>
  <c r="AE116" i="69" s="1"/>
  <c r="A116" i="69"/>
  <c r="Y118" i="69"/>
  <c r="AE118" i="69" s="1"/>
  <c r="A118" i="69"/>
  <c r="Y122" i="69"/>
  <c r="AE122" i="69" s="1"/>
  <c r="A122" i="69"/>
  <c r="Y126" i="69"/>
  <c r="AE126" i="69" s="1"/>
  <c r="A126" i="69"/>
  <c r="Y130" i="69"/>
  <c r="AE130" i="69" s="1"/>
  <c r="A130" i="69"/>
  <c r="AO42" i="69"/>
  <c r="Y113" i="69"/>
  <c r="AE113" i="69" s="1"/>
  <c r="A113" i="69"/>
  <c r="Y115" i="69"/>
  <c r="AE115" i="69" s="1"/>
  <c r="A115" i="69"/>
  <c r="Y117" i="69"/>
  <c r="AE117" i="69" s="1"/>
  <c r="A117" i="69"/>
  <c r="Y119" i="69"/>
  <c r="AE119" i="69" s="1"/>
  <c r="A119" i="69"/>
  <c r="Y121" i="69"/>
  <c r="AE121" i="69" s="1"/>
  <c r="A121" i="69"/>
  <c r="Y123" i="69"/>
  <c r="AE123" i="69" s="1"/>
  <c r="A123" i="69"/>
  <c r="Y125" i="69"/>
  <c r="AE125" i="69" s="1"/>
  <c r="A125" i="69"/>
  <c r="Y127" i="69"/>
  <c r="AE127" i="69" s="1"/>
  <c r="A127" i="69"/>
  <c r="Y129" i="69"/>
  <c r="AE129" i="69" s="1"/>
  <c r="A129" i="69"/>
  <c r="Y131" i="69"/>
  <c r="AE131" i="69" s="1"/>
  <c r="A131" i="69"/>
  <c r="Y112" i="69"/>
  <c r="AE112" i="69" s="1"/>
  <c r="A112" i="69"/>
  <c r="Y120" i="69"/>
  <c r="AE120" i="69" s="1"/>
  <c r="A120" i="69"/>
  <c r="Y124" i="69"/>
  <c r="AE124" i="69" s="1"/>
  <c r="A124" i="69"/>
  <c r="Y128" i="69"/>
  <c r="AE128" i="69" s="1"/>
  <c r="A128" i="69"/>
  <c r="Y133" i="69"/>
  <c r="AE133" i="69" s="1"/>
  <c r="A133" i="69"/>
  <c r="Y132" i="69"/>
  <c r="AE132" i="69" s="1"/>
  <c r="A132" i="69"/>
  <c r="AO44" i="69"/>
  <c r="AP45" i="69"/>
  <c r="AM46" i="69"/>
  <c r="AO48" i="69"/>
  <c r="AP49" i="69"/>
  <c r="AM50" i="69"/>
  <c r="AO52" i="69"/>
  <c r="AP53" i="69"/>
  <c r="AM54" i="69"/>
  <c r="AM58" i="69"/>
  <c r="AQ58" i="69"/>
  <c r="AO62" i="69"/>
  <c r="AN61" i="69"/>
  <c r="AX41" i="69"/>
  <c r="AS41" i="69"/>
  <c r="AU44" i="69"/>
  <c r="AO43" i="69"/>
  <c r="BA64" i="69"/>
  <c r="AN44" i="69"/>
  <c r="BA50" i="69"/>
  <c r="BA52" i="69"/>
  <c r="AX53" i="69"/>
  <c r="BA60" i="69"/>
  <c r="AV61" i="69"/>
  <c r="AM48" i="69"/>
  <c r="AQ48" i="69"/>
  <c r="AN49" i="69"/>
  <c r="AO50" i="69"/>
  <c r="AM52" i="69"/>
  <c r="AN53" i="69"/>
  <c r="AO54" i="69"/>
  <c r="AO64" i="69"/>
  <c r="AW62" i="69"/>
  <c r="AV54" i="69"/>
  <c r="AP61" i="69"/>
  <c r="AY41" i="69"/>
  <c r="AV44" i="69"/>
  <c r="BB56" i="69"/>
  <c r="AS44" i="69"/>
  <c r="AW44" i="69"/>
  <c r="AS54" i="69"/>
  <c r="BA44" i="69"/>
  <c r="AX45" i="69"/>
  <c r="AU46" i="69"/>
  <c r="AN64" i="69"/>
  <c r="AV53" i="69"/>
  <c r="BA54" i="69"/>
  <c r="AQ55" i="69"/>
  <c r="BA46" i="69"/>
  <c r="AW48" i="69"/>
  <c r="AX49" i="69"/>
  <c r="AU50" i="69"/>
  <c r="AW58" i="69"/>
  <c r="BA48" i="69"/>
  <c r="BA58" i="69"/>
  <c r="AZ62" i="69"/>
  <c r="AS46" i="69"/>
  <c r="AS48" i="69"/>
  <c r="AS50" i="69"/>
  <c r="AW50" i="69"/>
  <c r="AS52" i="69"/>
  <c r="AW52" i="69"/>
  <c r="AU59" i="69"/>
  <c r="AS61" i="69"/>
  <c r="AY42" i="69"/>
  <c r="AY44" i="69"/>
  <c r="AY48" i="69"/>
  <c r="AY50" i="69"/>
  <c r="AY52" i="69"/>
  <c r="AY54" i="69"/>
  <c r="AY58" i="69"/>
  <c r="BA61" i="69"/>
  <c r="AY62" i="69"/>
  <c r="AM45" i="69"/>
  <c r="AN58" i="69"/>
  <c r="AP60" i="69"/>
  <c r="AU45" i="69"/>
  <c r="AU48" i="69"/>
  <c r="AV49" i="69"/>
  <c r="AU52" i="69"/>
  <c r="AS58" i="69"/>
  <c r="AU60" i="69"/>
  <c r="AS62" i="69"/>
  <c r="BA62" i="69"/>
  <c r="AT41" i="69"/>
  <c r="AT42" i="69"/>
  <c r="AT43" i="69"/>
  <c r="AU58" i="69"/>
  <c r="AS60" i="69"/>
  <c r="AU62" i="69"/>
  <c r="AS64" i="69"/>
  <c r="AW64" i="69"/>
  <c r="AZ44" i="69"/>
  <c r="AZ48" i="69"/>
  <c r="AZ52" i="69"/>
  <c r="BB55" i="69"/>
  <c r="BB57" i="69"/>
  <c r="AZ58" i="69"/>
  <c r="AX59" i="69"/>
  <c r="AX61" i="69"/>
  <c r="AQ52" i="69"/>
  <c r="AO58" i="69"/>
  <c r="AP59" i="69"/>
  <c r="AM60" i="69"/>
  <c r="AM62" i="69"/>
  <c r="AQ62" i="69"/>
  <c r="AV48" i="69"/>
  <c r="AV52" i="69"/>
  <c r="AV58" i="69"/>
  <c r="AX60" i="69"/>
  <c r="AV62" i="69"/>
  <c r="AP46" i="69"/>
  <c r="AN48" i="69"/>
  <c r="AN52" i="69"/>
  <c r="AM59" i="69"/>
  <c r="AN62" i="69"/>
  <c r="AZ43" i="69"/>
  <c r="AZ45" i="69"/>
  <c r="AX46" i="69"/>
  <c r="AZ49" i="69"/>
  <c r="AZ53" i="69"/>
  <c r="AZ59" i="69"/>
  <c r="T17" i="69"/>
  <c r="T31" i="69"/>
  <c r="U31" i="69" s="1"/>
  <c r="T13" i="69"/>
  <c r="T21" i="69"/>
  <c r="U21" i="69" s="1"/>
  <c r="AZ47" i="69"/>
  <c r="AZ51" i="69"/>
  <c r="AP63" i="69"/>
  <c r="L32" i="69"/>
  <c r="AQ54" i="69"/>
  <c r="AQ50" i="69"/>
  <c r="AQ56" i="69"/>
  <c r="AZ65" i="69"/>
  <c r="AV65" i="69"/>
  <c r="AN65" i="69"/>
  <c r="BA65" i="69"/>
  <c r="AW65" i="69"/>
  <c r="AS65" i="69"/>
  <c r="AO65" i="69"/>
  <c r="AA93" i="69"/>
  <c r="AA89" i="69"/>
  <c r="AA85" i="69"/>
  <c r="AA81" i="69"/>
  <c r="AA77" i="69"/>
  <c r="BB65" i="69"/>
  <c r="AT65" i="69"/>
  <c r="Z97" i="69"/>
  <c r="AA90" i="69"/>
  <c r="Z88" i="69"/>
  <c r="Z81" i="69"/>
  <c r="AQ65" i="69"/>
  <c r="AA98" i="69"/>
  <c r="Z96" i="69"/>
  <c r="Z89" i="69"/>
  <c r="AA82" i="69"/>
  <c r="Z80" i="69"/>
  <c r="AX65" i="69"/>
  <c r="AM65" i="69"/>
  <c r="O32" i="69"/>
  <c r="BA41" i="69"/>
  <c r="AW41" i="69"/>
  <c r="AO41" i="69"/>
  <c r="AQ41" i="69"/>
  <c r="AV41" i="69"/>
  <c r="BB41" i="69"/>
  <c r="AZ42" i="69"/>
  <c r="AV42" i="69"/>
  <c r="AN42" i="69"/>
  <c r="AQ42" i="69"/>
  <c r="AW42" i="69"/>
  <c r="BB42" i="69"/>
  <c r="AY43" i="69"/>
  <c r="AU43" i="69"/>
  <c r="AQ43" i="69"/>
  <c r="AM43" i="69"/>
  <c r="AW43" i="69"/>
  <c r="BB43" i="69"/>
  <c r="AP47" i="69"/>
  <c r="AX47" i="69"/>
  <c r="AP51" i="69"/>
  <c r="AX51" i="69"/>
  <c r="BA55" i="69"/>
  <c r="AW55" i="69"/>
  <c r="AS55" i="69"/>
  <c r="AP55" i="69"/>
  <c r="AX55" i="69"/>
  <c r="AM55" i="69"/>
  <c r="AV55" i="69"/>
  <c r="AZ56" i="69"/>
  <c r="AV56" i="69"/>
  <c r="AN56" i="69"/>
  <c r="BA56" i="69"/>
  <c r="AU56" i="69"/>
  <c r="AP56" i="69"/>
  <c r="AX56" i="69"/>
  <c r="AS56" i="69"/>
  <c r="AM56" i="69"/>
  <c r="AW56" i="69"/>
  <c r="AY57" i="69"/>
  <c r="AU57" i="69"/>
  <c r="AQ57" i="69"/>
  <c r="AM57" i="69"/>
  <c r="BA57" i="69"/>
  <c r="AV57" i="69"/>
  <c r="AP57" i="69"/>
  <c r="AX57" i="69"/>
  <c r="AS57" i="69"/>
  <c r="AN57" i="69"/>
  <c r="AW57" i="69"/>
  <c r="AS63" i="69"/>
  <c r="AP65" i="69"/>
  <c r="AA78" i="69"/>
  <c r="Z82" i="69"/>
  <c r="Z91" i="69"/>
  <c r="AA91" i="69"/>
  <c r="Z93" i="69"/>
  <c r="AA4" i="69"/>
  <c r="M65" i="69" s="1"/>
  <c r="K32" i="69"/>
  <c r="AM63" i="69" s="1"/>
  <c r="AM41" i="69"/>
  <c r="AM42" i="69"/>
  <c r="AS42" i="69"/>
  <c r="AX42" i="69"/>
  <c r="AN43" i="69"/>
  <c r="AS43" i="69"/>
  <c r="AX43" i="69"/>
  <c r="AN45" i="69"/>
  <c r="AT45" i="69"/>
  <c r="AY45" i="69"/>
  <c r="AO46" i="69"/>
  <c r="AT46" i="69"/>
  <c r="AY46" i="69"/>
  <c r="AY49" i="69"/>
  <c r="AU49" i="69"/>
  <c r="AQ49" i="69"/>
  <c r="AM49" i="69"/>
  <c r="BA49" i="69"/>
  <c r="AW49" i="69"/>
  <c r="AS49" i="69"/>
  <c r="AO49" i="69"/>
  <c r="AT49" i="69"/>
  <c r="BB49" i="69"/>
  <c r="AY53" i="69"/>
  <c r="AU53" i="69"/>
  <c r="AQ53" i="69"/>
  <c r="AM53" i="69"/>
  <c r="BA53" i="69"/>
  <c r="AW53" i="69"/>
  <c r="AS53" i="69"/>
  <c r="AO53" i="69"/>
  <c r="AT53" i="69"/>
  <c r="BB53" i="69"/>
  <c r="AN55" i="69"/>
  <c r="AY55" i="69"/>
  <c r="AO56" i="69"/>
  <c r="AY56" i="69"/>
  <c r="AO57" i="69"/>
  <c r="AZ57" i="69"/>
  <c r="AU65" i="69"/>
  <c r="Z83" i="69"/>
  <c r="AA83" i="69"/>
  <c r="Z85" i="69"/>
  <c r="Z100" i="69"/>
  <c r="BA47" i="69"/>
  <c r="AW47" i="69"/>
  <c r="AS47" i="69"/>
  <c r="AO47" i="69"/>
  <c r="AY47" i="69"/>
  <c r="AU47" i="69"/>
  <c r="AQ47" i="69"/>
  <c r="AM47" i="69"/>
  <c r="AT47" i="69"/>
  <c r="BB47" i="69"/>
  <c r="BA51" i="69"/>
  <c r="AW51" i="69"/>
  <c r="AS51" i="69"/>
  <c r="AO51" i="69"/>
  <c r="AY51" i="69"/>
  <c r="AU51" i="69"/>
  <c r="AQ51" i="69"/>
  <c r="AM51" i="69"/>
  <c r="AT51" i="69"/>
  <c r="BB51" i="69"/>
  <c r="AV63" i="69"/>
  <c r="BA63" i="69"/>
  <c r="BB63" i="69"/>
  <c r="AT63" i="69"/>
  <c r="AX63" i="69"/>
  <c r="AY63" i="69"/>
  <c r="AY65" i="69"/>
  <c r="Z92" i="69"/>
  <c r="Z98" i="69"/>
  <c r="AA94" i="69"/>
  <c r="AP41" i="69"/>
  <c r="AU41" i="69"/>
  <c r="AZ41" i="69"/>
  <c r="AP42" i="69"/>
  <c r="AU42" i="69"/>
  <c r="BA42" i="69"/>
  <c r="AP43" i="69"/>
  <c r="AV43" i="69"/>
  <c r="BA43" i="69"/>
  <c r="BA45" i="69"/>
  <c r="AW45" i="69"/>
  <c r="AS45" i="69"/>
  <c r="AO45" i="69"/>
  <c r="AQ45" i="69"/>
  <c r="AV45" i="69"/>
  <c r="BB45" i="69"/>
  <c r="AZ46" i="69"/>
  <c r="AV46" i="69"/>
  <c r="AN46" i="69"/>
  <c r="AQ46" i="69"/>
  <c r="AW46" i="69"/>
  <c r="BB46" i="69"/>
  <c r="AN47" i="69"/>
  <c r="AV47" i="69"/>
  <c r="AN51" i="69"/>
  <c r="AV51" i="69"/>
  <c r="AT55" i="69"/>
  <c r="AT56" i="69"/>
  <c r="AT57" i="69"/>
  <c r="Z84" i="69"/>
  <c r="AA86" i="69"/>
  <c r="Z90" i="69"/>
  <c r="Z99" i="69"/>
  <c r="AA99" i="69"/>
  <c r="AP44" i="69"/>
  <c r="AT44" i="69"/>
  <c r="AX44" i="69"/>
  <c r="BB44" i="69"/>
  <c r="AP48" i="69"/>
  <c r="AT48" i="69"/>
  <c r="AX48" i="69"/>
  <c r="BB48" i="69"/>
  <c r="AN50" i="69"/>
  <c r="AV50" i="69"/>
  <c r="AZ50" i="69"/>
  <c r="AP52" i="69"/>
  <c r="AT52" i="69"/>
  <c r="AX52" i="69"/>
  <c r="BB52" i="69"/>
  <c r="AN54" i="69"/>
  <c r="AW54" i="69"/>
  <c r="AN59" i="69"/>
  <c r="AT59" i="69"/>
  <c r="AY59" i="69"/>
  <c r="AO60" i="69"/>
  <c r="AT60" i="69"/>
  <c r="AY60" i="69"/>
  <c r="AO61" i="69"/>
  <c r="AT61" i="69"/>
  <c r="AZ61" i="69"/>
  <c r="BB64" i="69"/>
  <c r="AX64" i="69"/>
  <c r="AT64" i="69"/>
  <c r="AP64" i="69"/>
  <c r="AY64" i="69"/>
  <c r="AU64" i="69"/>
  <c r="AQ64" i="69"/>
  <c r="AM64" i="69"/>
  <c r="AZ64" i="69"/>
  <c r="AV64" i="69"/>
  <c r="Z78" i="69"/>
  <c r="Z87" i="69"/>
  <c r="AA87" i="69"/>
  <c r="Z94" i="69"/>
  <c r="AW63" i="69"/>
  <c r="Y149" i="69"/>
  <c r="B185" i="69"/>
  <c r="A185" i="69" s="1"/>
  <c r="Y151" i="69"/>
  <c r="B187" i="69"/>
  <c r="A187" i="69" s="1"/>
  <c r="Y153" i="69"/>
  <c r="B189" i="69"/>
  <c r="A189" i="69" s="1"/>
  <c r="Y155" i="69"/>
  <c r="B191" i="69"/>
  <c r="A191" i="69" s="1"/>
  <c r="Y157" i="69"/>
  <c r="B193" i="69"/>
  <c r="A193" i="69" s="1"/>
  <c r="Y159" i="69"/>
  <c r="B195" i="69"/>
  <c r="A195" i="69" s="1"/>
  <c r="Y161" i="69"/>
  <c r="B197" i="69"/>
  <c r="A197" i="69" s="1"/>
  <c r="Y163" i="69"/>
  <c r="B199" i="69"/>
  <c r="A199" i="69" s="1"/>
  <c r="Y165" i="69"/>
  <c r="B201" i="69"/>
  <c r="A201" i="69" s="1"/>
  <c r="Y167" i="69"/>
  <c r="B203" i="69"/>
  <c r="A203" i="69" s="1"/>
  <c r="Y169" i="69"/>
  <c r="B205" i="69"/>
  <c r="A205" i="69" s="1"/>
  <c r="AP50" i="69"/>
  <c r="AT50" i="69"/>
  <c r="AX50" i="69"/>
  <c r="BB50" i="69"/>
  <c r="BB54" i="69"/>
  <c r="AX54" i="69"/>
  <c r="AT54" i="69"/>
  <c r="AP54" i="69"/>
  <c r="AU54" i="69"/>
  <c r="AZ54" i="69"/>
  <c r="BA59" i="69"/>
  <c r="AW59" i="69"/>
  <c r="AS59" i="69"/>
  <c r="AO59" i="69"/>
  <c r="AQ59" i="69"/>
  <c r="AV59" i="69"/>
  <c r="BB59" i="69"/>
  <c r="AZ60" i="69"/>
  <c r="AV60" i="69"/>
  <c r="AN60" i="69"/>
  <c r="AQ60" i="69"/>
  <c r="AW60" i="69"/>
  <c r="BB60" i="69"/>
  <c r="AY61" i="69"/>
  <c r="AU61" i="69"/>
  <c r="AQ61" i="69"/>
  <c r="AM61" i="69"/>
  <c r="AW61" i="69"/>
  <c r="BB61" i="69"/>
  <c r="Z79" i="69"/>
  <c r="AA79" i="69"/>
  <c r="Z86" i="69"/>
  <c r="Z95" i="69"/>
  <c r="AA95" i="69"/>
  <c r="Y148" i="69"/>
  <c r="B184" i="69"/>
  <c r="Y150" i="69"/>
  <c r="B186" i="69"/>
  <c r="A186" i="69" s="1"/>
  <c r="Y152" i="69"/>
  <c r="B188" i="69"/>
  <c r="A188" i="69" s="1"/>
  <c r="Y154" i="69"/>
  <c r="B190" i="69"/>
  <c r="A190" i="69" s="1"/>
  <c r="Y156" i="69"/>
  <c r="B192" i="69"/>
  <c r="A192" i="69" s="1"/>
  <c r="Y158" i="69"/>
  <c r="B194" i="69"/>
  <c r="A194" i="69" s="1"/>
  <c r="Y160" i="69"/>
  <c r="B196" i="69"/>
  <c r="A196" i="69" s="1"/>
  <c r="Y162" i="69"/>
  <c r="B198" i="69"/>
  <c r="A198" i="69" s="1"/>
  <c r="Y164" i="69"/>
  <c r="B200" i="69"/>
  <c r="A200" i="69" s="1"/>
  <c r="Y166" i="69"/>
  <c r="B202" i="69"/>
  <c r="A202" i="69" s="1"/>
  <c r="Y168" i="69"/>
  <c r="B204" i="69"/>
  <c r="A204" i="69" s="1"/>
  <c r="Y170" i="69"/>
  <c r="B206" i="69"/>
  <c r="B207" i="69"/>
  <c r="Y171" i="69"/>
  <c r="AP58" i="69"/>
  <c r="AT58" i="69"/>
  <c r="AX58" i="69"/>
  <c r="BB58" i="69"/>
  <c r="AP62" i="69"/>
  <c r="AT62" i="69"/>
  <c r="AX62" i="69"/>
  <c r="BB62" i="69"/>
  <c r="AA88" i="69"/>
  <c r="AA92" i="69"/>
  <c r="AA96" i="69"/>
  <c r="AA100" i="69"/>
  <c r="U30" i="69" l="1"/>
  <c r="AA97" i="69" s="1"/>
  <c r="AA84" i="69"/>
  <c r="U17" i="69"/>
  <c r="U13" i="69"/>
  <c r="AA80" i="69" s="1"/>
  <c r="AL32" i="69"/>
  <c r="AO32" i="69"/>
  <c r="F54" i="76"/>
  <c r="W54" i="76"/>
  <c r="H54" i="76"/>
  <c r="X54" i="76"/>
  <c r="AA54" i="76"/>
  <c r="K54" i="76"/>
  <c r="Q54" i="76"/>
  <c r="R54" i="76"/>
  <c r="G54" i="76"/>
  <c r="N54" i="76"/>
  <c r="Y54" i="76"/>
  <c r="D54" i="76"/>
  <c r="T54" i="76"/>
  <c r="V54" i="76"/>
  <c r="J54" i="76"/>
  <c r="L54" i="76"/>
  <c r="S54" i="76"/>
  <c r="E54" i="76"/>
  <c r="U54" i="76"/>
  <c r="P54" i="76"/>
  <c r="I54" i="76"/>
  <c r="O54" i="76"/>
  <c r="M54" i="76"/>
  <c r="Z54" i="76"/>
  <c r="P32" i="69"/>
  <c r="AN63" i="69"/>
  <c r="AQ63" i="69"/>
  <c r="Z51" i="76"/>
  <c r="B220" i="69"/>
  <c r="A184" i="69"/>
  <c r="B273" i="69"/>
  <c r="B237" i="69"/>
  <c r="B265" i="69"/>
  <c r="B229" i="69"/>
  <c r="B257" i="69"/>
  <c r="B221" i="69"/>
  <c r="B276" i="69"/>
  <c r="B240" i="69"/>
  <c r="B268" i="69"/>
  <c r="B232" i="69"/>
  <c r="B279" i="69"/>
  <c r="B243" i="69"/>
  <c r="B275" i="69"/>
  <c r="B239" i="69"/>
  <c r="B271" i="69"/>
  <c r="B235" i="69"/>
  <c r="B267" i="69"/>
  <c r="B231" i="69"/>
  <c r="B263" i="69"/>
  <c r="B227" i="69"/>
  <c r="B259" i="69"/>
  <c r="B223" i="69"/>
  <c r="B277" i="69"/>
  <c r="B241" i="69"/>
  <c r="B269" i="69"/>
  <c r="B233" i="69"/>
  <c r="B261" i="69"/>
  <c r="B225" i="69"/>
  <c r="B272" i="69"/>
  <c r="B236" i="69"/>
  <c r="B264" i="69"/>
  <c r="B228" i="69"/>
  <c r="B260" i="69"/>
  <c r="B224" i="69"/>
  <c r="B278" i="69"/>
  <c r="Y278" i="69" s="1"/>
  <c r="B242" i="69"/>
  <c r="Y242" i="69" s="1"/>
  <c r="AE242" i="69" s="1"/>
  <c r="B274" i="69"/>
  <c r="B238" i="69"/>
  <c r="B270" i="69"/>
  <c r="B234" i="69"/>
  <c r="B266" i="69"/>
  <c r="B230" i="69"/>
  <c r="B262" i="69"/>
  <c r="B226" i="69"/>
  <c r="B258" i="69"/>
  <c r="B222" i="69"/>
  <c r="B291" i="69"/>
  <c r="B326" i="69" s="1"/>
  <c r="B256" i="69"/>
  <c r="BC41" i="69"/>
  <c r="BE46" i="69"/>
  <c r="BG56" i="69"/>
  <c r="BD56" i="69"/>
  <c r="BD63" i="69"/>
  <c r="BC53" i="69"/>
  <c r="BC49" i="69"/>
  <c r="BC43" i="69"/>
  <c r="Y205" i="69"/>
  <c r="B312" i="69"/>
  <c r="A312" i="69" s="1"/>
  <c r="Y201" i="69"/>
  <c r="B308" i="69"/>
  <c r="A308" i="69" s="1"/>
  <c r="Y197" i="69"/>
  <c r="B304" i="69"/>
  <c r="A304" i="69" s="1"/>
  <c r="Y193" i="69"/>
  <c r="B300" i="69"/>
  <c r="A300" i="69" s="1"/>
  <c r="Y189" i="69"/>
  <c r="B296" i="69"/>
  <c r="A296" i="69" s="1"/>
  <c r="Y185" i="69"/>
  <c r="B292" i="69"/>
  <c r="A292" i="69" s="1"/>
  <c r="BE60" i="69"/>
  <c r="BF46" i="69"/>
  <c r="BF44" i="69"/>
  <c r="BC47" i="69"/>
  <c r="Y207" i="69"/>
  <c r="Y203" i="69"/>
  <c r="B310" i="69"/>
  <c r="A310" i="69" s="1"/>
  <c r="Y199" i="69"/>
  <c r="B306" i="69"/>
  <c r="A306" i="69" s="1"/>
  <c r="Y195" i="69"/>
  <c r="B302" i="69"/>
  <c r="A302" i="69" s="1"/>
  <c r="Y191" i="69"/>
  <c r="B298" i="69"/>
  <c r="A298" i="69" s="1"/>
  <c r="Y187" i="69"/>
  <c r="B294" i="69"/>
  <c r="A294" i="69" s="1"/>
  <c r="BF50" i="69"/>
  <c r="Y206" i="69"/>
  <c r="B313" i="69"/>
  <c r="Y202" i="69"/>
  <c r="B309" i="69"/>
  <c r="A309" i="69" s="1"/>
  <c r="Y198" i="69"/>
  <c r="B305" i="69"/>
  <c r="A305" i="69" s="1"/>
  <c r="Y194" i="69"/>
  <c r="B301" i="69"/>
  <c r="A301" i="69" s="1"/>
  <c r="Y190" i="69"/>
  <c r="B297" i="69"/>
  <c r="A297" i="69" s="1"/>
  <c r="Y186" i="69"/>
  <c r="B293" i="69"/>
  <c r="A293" i="69" s="1"/>
  <c r="BG61" i="69"/>
  <c r="BG59" i="69"/>
  <c r="BE59" i="69"/>
  <c r="BF54" i="69"/>
  <c r="BC63" i="69"/>
  <c r="BE57" i="69"/>
  <c r="BD55" i="69"/>
  <c r="BC57" i="69"/>
  <c r="BF51" i="69"/>
  <c r="BF48" i="69"/>
  <c r="BG42" i="69"/>
  <c r="BD42" i="69"/>
  <c r="BG65" i="69"/>
  <c r="Y204" i="69"/>
  <c r="B311" i="69"/>
  <c r="A311" i="69" s="1"/>
  <c r="Y200" i="69"/>
  <c r="B307" i="69"/>
  <c r="A307" i="69" s="1"/>
  <c r="Y196" i="69"/>
  <c r="B303" i="69"/>
  <c r="A303" i="69" s="1"/>
  <c r="Y192" i="69"/>
  <c r="B299" i="69"/>
  <c r="A299" i="69" s="1"/>
  <c r="Y188" i="69"/>
  <c r="B295" i="69"/>
  <c r="A295" i="69" s="1"/>
  <c r="BF62" i="69"/>
  <c r="BE56" i="69"/>
  <c r="BC54" i="69"/>
  <c r="BG51" i="69"/>
  <c r="BE47" i="69"/>
  <c r="BC55" i="69"/>
  <c r="BF55" i="69"/>
  <c r="BE65" i="69"/>
  <c r="BE64" i="69"/>
  <c r="BC64" i="69"/>
  <c r="AL65" i="69"/>
  <c r="Y184" i="69"/>
  <c r="BC62" i="69"/>
  <c r="BG58" i="69"/>
  <c r="BD52" i="69"/>
  <c r="BD48" i="69"/>
  <c r="BE62" i="69"/>
  <c r="BD58" i="69"/>
  <c r="BF61" i="69"/>
  <c r="BF60" i="69"/>
  <c r="BF59" i="69"/>
  <c r="BE58" i="69"/>
  <c r="BD54" i="69"/>
  <c r="BF53" i="69"/>
  <c r="BC52" i="69"/>
  <c r="BF49" i="69"/>
  <c r="BC48" i="69"/>
  <c r="BG44" i="69"/>
  <c r="BG62" i="69"/>
  <c r="BD61" i="69"/>
  <c r="BC60" i="69"/>
  <c r="BC59" i="69"/>
  <c r="BC58" i="69"/>
  <c r="BD53" i="69"/>
  <c r="BG50" i="69"/>
  <c r="BD49" i="69"/>
  <c r="BG46" i="69"/>
  <c r="BF45" i="69"/>
  <c r="BE44" i="69"/>
  <c r="BE43" i="69"/>
  <c r="BE42" i="69"/>
  <c r="BD41" i="69"/>
  <c r="BD62" i="69"/>
  <c r="BG52" i="69"/>
  <c r="BE50" i="69"/>
  <c r="BG48" i="69"/>
  <c r="BD44" i="69"/>
  <c r="BD64" i="69"/>
  <c r="BG54" i="69"/>
  <c r="BE52" i="69"/>
  <c r="BC50" i="69"/>
  <c r="BE48" i="69"/>
  <c r="BC46" i="69"/>
  <c r="BC45" i="69"/>
  <c r="BC44" i="69"/>
  <c r="BG60" i="69"/>
  <c r="BD60" i="69"/>
  <c r="BE54" i="69"/>
  <c r="BG64" i="69"/>
  <c r="BF65" i="69"/>
  <c r="BE61" i="69"/>
  <c r="BD46" i="69"/>
  <c r="BF43" i="69"/>
  <c r="BF42" i="69"/>
  <c r="BF41" i="69"/>
  <c r="BF63" i="69"/>
  <c r="BE51" i="69"/>
  <c r="BG47" i="69"/>
  <c r="BE53" i="69"/>
  <c r="BG49" i="69"/>
  <c r="BD43" i="69"/>
  <c r="BC42" i="69"/>
  <c r="BD57" i="69"/>
  <c r="BF57" i="69"/>
  <c r="BC56" i="69"/>
  <c r="BF56" i="69"/>
  <c r="BF47" i="69"/>
  <c r="BG43" i="69"/>
  <c r="BD65" i="69"/>
  <c r="BF64" i="69"/>
  <c r="BC61" i="69"/>
  <c r="BF58" i="69"/>
  <c r="BD50" i="69"/>
  <c r="BD59" i="69"/>
  <c r="BD51" i="69"/>
  <c r="BD47" i="69"/>
  <c r="BG45" i="69"/>
  <c r="BE45" i="69"/>
  <c r="BC51" i="69"/>
  <c r="BG53" i="69"/>
  <c r="BE49" i="69"/>
  <c r="BG63" i="69"/>
  <c r="BG57" i="69"/>
  <c r="BG55" i="69"/>
  <c r="BF52" i="69"/>
  <c r="BG41" i="69"/>
  <c r="BE41" i="69"/>
  <c r="BC65" i="69"/>
  <c r="BD45" i="69"/>
  <c r="D58" i="76" l="1"/>
  <c r="D57" i="76"/>
  <c r="D60" i="76"/>
  <c r="D56" i="76"/>
  <c r="D59" i="76"/>
  <c r="A256" i="69"/>
  <c r="M55" i="76"/>
  <c r="S55" i="76"/>
  <c r="R55" i="76"/>
  <c r="H55" i="76"/>
  <c r="X55" i="76"/>
  <c r="V55" i="76"/>
  <c r="K55" i="76"/>
  <c r="Q55" i="76"/>
  <c r="F55" i="76"/>
  <c r="I55" i="76"/>
  <c r="O55" i="76"/>
  <c r="N55" i="76"/>
  <c r="D55" i="76"/>
  <c r="U55" i="76"/>
  <c r="J55" i="76"/>
  <c r="G55" i="76"/>
  <c r="W55" i="76"/>
  <c r="E55" i="76"/>
  <c r="L55" i="76"/>
  <c r="P55" i="76"/>
  <c r="Y55" i="76"/>
  <c r="T55" i="76"/>
  <c r="Z55" i="76"/>
  <c r="Y243" i="69"/>
  <c r="AE243" i="69" s="1"/>
  <c r="Y279" i="69"/>
  <c r="AA55" i="76"/>
  <c r="Y258" i="69"/>
  <c r="A258" i="69"/>
  <c r="Y274" i="69"/>
  <c r="A274" i="69"/>
  <c r="Y272" i="69"/>
  <c r="A272" i="69"/>
  <c r="Y223" i="69"/>
  <c r="AE223" i="69" s="1"/>
  <c r="A223" i="69"/>
  <c r="Y239" i="69"/>
  <c r="AE239" i="69" s="1"/>
  <c r="A239" i="69"/>
  <c r="Y221" i="69"/>
  <c r="AE221" i="69" s="1"/>
  <c r="A221" i="69"/>
  <c r="Y228" i="69"/>
  <c r="AE228" i="69" s="1"/>
  <c r="A228" i="69"/>
  <c r="Y225" i="69"/>
  <c r="AE225" i="69" s="1"/>
  <c r="A225" i="69"/>
  <c r="Y241" i="69"/>
  <c r="AE241" i="69" s="1"/>
  <c r="A241" i="69"/>
  <c r="Y267" i="69"/>
  <c r="A267" i="69"/>
  <c r="Y275" i="69"/>
  <c r="A275" i="69"/>
  <c r="Y268" i="69"/>
  <c r="A268" i="69"/>
  <c r="Y257" i="69"/>
  <c r="A257" i="69"/>
  <c r="Y273" i="69"/>
  <c r="A273" i="69"/>
  <c r="Y291" i="69"/>
  <c r="AE291" i="69" s="1"/>
  <c r="A291" i="69"/>
  <c r="Y262" i="69"/>
  <c r="A262" i="69"/>
  <c r="Y270" i="69"/>
  <c r="A270" i="69"/>
  <c r="Y264" i="69"/>
  <c r="A264" i="69"/>
  <c r="Y261" i="69"/>
  <c r="A261" i="69"/>
  <c r="Y277" i="69"/>
  <c r="A277" i="69"/>
  <c r="Y227" i="69"/>
  <c r="AE227" i="69" s="1"/>
  <c r="A227" i="69"/>
  <c r="Y235" i="69"/>
  <c r="AE235" i="69" s="1"/>
  <c r="A235" i="69"/>
  <c r="Y240" i="69"/>
  <c r="AE240" i="69" s="1"/>
  <c r="A240" i="69"/>
  <c r="Y229" i="69"/>
  <c r="AE229" i="69" s="1"/>
  <c r="A229" i="69"/>
  <c r="Y326" i="69"/>
  <c r="A326" i="69"/>
  <c r="Y266" i="69"/>
  <c r="A266" i="69"/>
  <c r="Y260" i="69"/>
  <c r="A260" i="69"/>
  <c r="Y269" i="69"/>
  <c r="A269" i="69"/>
  <c r="Y231" i="69"/>
  <c r="AE231" i="69" s="1"/>
  <c r="A231" i="69"/>
  <c r="Y232" i="69"/>
  <c r="AE232" i="69" s="1"/>
  <c r="A232" i="69"/>
  <c r="Y237" i="69"/>
  <c r="AE237" i="69" s="1"/>
  <c r="A237" i="69"/>
  <c r="Y226" i="69"/>
  <c r="AE226" i="69" s="1"/>
  <c r="A226" i="69"/>
  <c r="Y234" i="69"/>
  <c r="AE234" i="69" s="1"/>
  <c r="A234" i="69"/>
  <c r="Y259" i="69"/>
  <c r="A259" i="69"/>
  <c r="Y222" i="69"/>
  <c r="AE222" i="69" s="1"/>
  <c r="A222" i="69"/>
  <c r="Y230" i="69"/>
  <c r="AE230" i="69" s="1"/>
  <c r="A230" i="69"/>
  <c r="Y238" i="69"/>
  <c r="AE238" i="69" s="1"/>
  <c r="A238" i="69"/>
  <c r="Y224" i="69"/>
  <c r="AE224" i="69" s="1"/>
  <c r="A224" i="69"/>
  <c r="Y236" i="69"/>
  <c r="AE236" i="69" s="1"/>
  <c r="A236" i="69"/>
  <c r="Y233" i="69"/>
  <c r="AE233" i="69" s="1"/>
  <c r="A233" i="69"/>
  <c r="BL63" i="69"/>
  <c r="Y263" i="69"/>
  <c r="A263" i="69"/>
  <c r="Y271" i="69"/>
  <c r="A271" i="69"/>
  <c r="Y276" i="69"/>
  <c r="A276" i="69"/>
  <c r="Y265" i="69"/>
  <c r="A265" i="69"/>
  <c r="Y220" i="69"/>
  <c r="AE220" i="69" s="1"/>
  <c r="A220" i="69"/>
  <c r="BM43" i="69"/>
  <c r="BO43" i="69"/>
  <c r="BM47" i="69"/>
  <c r="BO52" i="69"/>
  <c r="BN58" i="69"/>
  <c r="BM63" i="69"/>
  <c r="BQ61" i="69"/>
  <c r="BM41" i="69"/>
  <c r="BO45" i="69"/>
  <c r="BP45" i="69"/>
  <c r="BO49" i="69"/>
  <c r="BO60" i="69"/>
  <c r="BO64" i="69"/>
  <c r="BQ64" i="69"/>
  <c r="BQ51" i="69"/>
  <c r="BP57" i="69"/>
  <c r="BQ62" i="69"/>
  <c r="BQ42" i="69"/>
  <c r="BO42" i="69"/>
  <c r="BP46" i="69"/>
  <c r="BO50" i="69"/>
  <c r="BM56" i="69"/>
  <c r="BM44" i="69"/>
  <c r="BQ48" i="69"/>
  <c r="BP53" i="69"/>
  <c r="BO53" i="69"/>
  <c r="BQ54" i="69"/>
  <c r="BN59" i="69"/>
  <c r="BM65" i="69"/>
  <c r="BP65" i="69"/>
  <c r="BQ50" i="69"/>
  <c r="BN44" i="69"/>
  <c r="BM48" i="69"/>
  <c r="BN54" i="69"/>
  <c r="BQ43" i="69"/>
  <c r="BN47" i="69"/>
  <c r="BQ47" i="69"/>
  <c r="BP52" i="69"/>
  <c r="BO58" i="69"/>
  <c r="BN63" i="69"/>
  <c r="BN61" i="69"/>
  <c r="BO61" i="69"/>
  <c r="BQ41" i="69"/>
  <c r="BN45" i="69"/>
  <c r="BQ49" i="69"/>
  <c r="BM49" i="69"/>
  <c r="BQ55" i="69"/>
  <c r="BP60" i="69"/>
  <c r="BP64" i="69"/>
  <c r="BM51" i="69"/>
  <c r="BP51" i="69"/>
  <c r="BO57" i="69"/>
  <c r="BM62" i="69"/>
  <c r="BP42" i="69"/>
  <c r="BN46" i="69"/>
  <c r="BO46" i="69"/>
  <c r="BN50" i="69"/>
  <c r="BQ56" i="69"/>
  <c r="BP44" i="69"/>
  <c r="BN48" i="69"/>
  <c r="BQ53" i="69"/>
  <c r="BO54" i="69"/>
  <c r="BP54" i="69"/>
  <c r="BM59" i="69"/>
  <c r="BN65" i="69"/>
  <c r="BP43" i="69"/>
  <c r="BP47" i="69"/>
  <c r="BQ52" i="69"/>
  <c r="BM52" i="69"/>
  <c r="BM58" i="69"/>
  <c r="BQ63" i="69"/>
  <c r="BP61" i="69"/>
  <c r="BP41" i="69"/>
  <c r="BM45" i="69"/>
  <c r="BP49" i="69"/>
  <c r="BP55" i="69"/>
  <c r="BM55" i="69"/>
  <c r="BM60" i="69"/>
  <c r="BM64" i="69"/>
  <c r="BN51" i="69"/>
  <c r="BN57" i="69"/>
  <c r="BQ57" i="69"/>
  <c r="BN62" i="69"/>
  <c r="BN42" i="69"/>
  <c r="BQ46" i="69"/>
  <c r="BM50" i="69"/>
  <c r="BP56" i="69"/>
  <c r="BO44" i="69"/>
  <c r="BM53" i="69"/>
  <c r="BO59" i="69"/>
  <c r="BN43" i="69"/>
  <c r="BQ58" i="69"/>
  <c r="BN41" i="69"/>
  <c r="BN55" i="69"/>
  <c r="BO51" i="69"/>
  <c r="BM42" i="69"/>
  <c r="BO56" i="69"/>
  <c r="BO48" i="69"/>
  <c r="BP59" i="69"/>
  <c r="BM61" i="69"/>
  <c r="BQ60" i="69"/>
  <c r="BO62" i="69"/>
  <c r="BP50" i="69"/>
  <c r="BP58" i="69"/>
  <c r="BN49" i="69"/>
  <c r="BN64" i="69"/>
  <c r="BP62" i="69"/>
  <c r="BM54" i="69"/>
  <c r="BO47" i="69"/>
  <c r="BP63" i="69"/>
  <c r="BO41" i="69"/>
  <c r="BN60" i="69"/>
  <c r="BM57" i="69"/>
  <c r="BM46" i="69"/>
  <c r="BP48" i="69"/>
  <c r="BQ59" i="69"/>
  <c r="BN52" i="69"/>
  <c r="BQ45" i="69"/>
  <c r="BN53" i="69"/>
  <c r="BO65" i="69"/>
  <c r="BN56" i="69"/>
  <c r="BQ44" i="69"/>
  <c r="BQ65" i="69"/>
  <c r="Y256" i="69"/>
  <c r="BL42" i="69"/>
  <c r="BK42" i="69"/>
  <c r="BK44" i="69"/>
  <c r="BJ46" i="69"/>
  <c r="BL48" i="69"/>
  <c r="BI50" i="69"/>
  <c r="BH50" i="69"/>
  <c r="BH52" i="69"/>
  <c r="BJ54" i="69"/>
  <c r="BI55" i="69"/>
  <c r="BH57" i="69"/>
  <c r="BK57" i="69"/>
  <c r="BJ59" i="69"/>
  <c r="BI61" i="69"/>
  <c r="BH63" i="69"/>
  <c r="BL65" i="69"/>
  <c r="BK64" i="69"/>
  <c r="BH64" i="69"/>
  <c r="BK41" i="69"/>
  <c r="BJ43" i="69"/>
  <c r="BH45" i="69"/>
  <c r="BL47" i="69"/>
  <c r="BK47" i="69"/>
  <c r="BJ49" i="69"/>
  <c r="BH51" i="69"/>
  <c r="BI53" i="69"/>
  <c r="BI56" i="69"/>
  <c r="BJ56" i="69"/>
  <c r="BH58" i="69"/>
  <c r="BK60" i="69"/>
  <c r="BL62" i="69"/>
  <c r="BJ47" i="69"/>
  <c r="BK51" i="69"/>
  <c r="BH56" i="69"/>
  <c r="BI60" i="69"/>
  <c r="BL44" i="69"/>
  <c r="BL46" i="69"/>
  <c r="BH48" i="69"/>
  <c r="BJ52" i="69"/>
  <c r="BL55" i="69"/>
  <c r="BJ57" i="69"/>
  <c r="BH61" i="69"/>
  <c r="BH65" i="69"/>
  <c r="BI64" i="69"/>
  <c r="BL41" i="69"/>
  <c r="BL43" i="69"/>
  <c r="BJ45" i="69"/>
  <c r="BH49" i="69"/>
  <c r="BL53" i="69"/>
  <c r="BK56" i="69"/>
  <c r="BL60" i="69"/>
  <c r="BH62" i="69"/>
  <c r="BI42" i="69"/>
  <c r="BI44" i="69"/>
  <c r="BJ44" i="69"/>
  <c r="BK46" i="69"/>
  <c r="BK48" i="69"/>
  <c r="BL50" i="69"/>
  <c r="BI52" i="69"/>
  <c r="BK52" i="69"/>
  <c r="BH54" i="69"/>
  <c r="BK55" i="69"/>
  <c r="BI57" i="69"/>
  <c r="BL59" i="69"/>
  <c r="BK59" i="69"/>
  <c r="BJ61" i="69"/>
  <c r="BI65" i="69"/>
  <c r="BJ64" i="69"/>
  <c r="BI41" i="69"/>
  <c r="BJ41" i="69"/>
  <c r="BK43" i="69"/>
  <c r="BI45" i="69"/>
  <c r="BI47" i="69"/>
  <c r="BL49" i="69"/>
  <c r="BK49" i="69"/>
  <c r="BJ51" i="69"/>
  <c r="BH53" i="69"/>
  <c r="BL56" i="69"/>
  <c r="BI58" i="69"/>
  <c r="BJ58" i="69"/>
  <c r="BJ60" i="69"/>
  <c r="BJ62" i="69"/>
  <c r="BH42" i="69"/>
  <c r="BH44" i="69"/>
  <c r="BI46" i="69"/>
  <c r="BH46" i="69"/>
  <c r="BJ48" i="69"/>
  <c r="BK50" i="69"/>
  <c r="BL52" i="69"/>
  <c r="BI54" i="69"/>
  <c r="BK54" i="69"/>
  <c r="BH55" i="69"/>
  <c r="BL57" i="69"/>
  <c r="BI59" i="69"/>
  <c r="BL61" i="69"/>
  <c r="BK61" i="69"/>
  <c r="BI63" i="69"/>
  <c r="BK65" i="69"/>
  <c r="BL64" i="69"/>
  <c r="BH41" i="69"/>
  <c r="BI43" i="69"/>
  <c r="BH43" i="69"/>
  <c r="BK45" i="69"/>
  <c r="BI49" i="69"/>
  <c r="BL51" i="69"/>
  <c r="BK53" i="69"/>
  <c r="BL58" i="69"/>
  <c r="BH60" i="69"/>
  <c r="BK62" i="69"/>
  <c r="BJ42" i="69"/>
  <c r="BI48" i="69"/>
  <c r="BJ50" i="69"/>
  <c r="BL54" i="69"/>
  <c r="BH59" i="69"/>
  <c r="BK63" i="69"/>
  <c r="BJ65" i="69"/>
  <c r="BL45" i="69"/>
  <c r="BH47" i="69"/>
  <c r="BI51" i="69"/>
  <c r="BJ53" i="69"/>
  <c r="BK58" i="69"/>
  <c r="BI62" i="69"/>
  <c r="B329" i="69"/>
  <c r="Y294" i="69"/>
  <c r="AE294" i="69" s="1"/>
  <c r="B337" i="69"/>
  <c r="Y302" i="69"/>
  <c r="AE302" i="69" s="1"/>
  <c r="B345" i="69"/>
  <c r="Y310" i="69"/>
  <c r="AE310" i="69" s="1"/>
  <c r="Y292" i="69"/>
  <c r="AE292" i="69" s="1"/>
  <c r="B327" i="69"/>
  <c r="E56" i="76" s="1"/>
  <c r="Y300" i="69"/>
  <c r="AE300" i="69" s="1"/>
  <c r="B335" i="69"/>
  <c r="Y308" i="69"/>
  <c r="AE308" i="69" s="1"/>
  <c r="B343" i="69"/>
  <c r="Y299" i="69"/>
  <c r="AE299" i="69" s="1"/>
  <c r="B334" i="69"/>
  <c r="Y307" i="69"/>
  <c r="AE307" i="69" s="1"/>
  <c r="B342" i="69"/>
  <c r="B332" i="69"/>
  <c r="Y297" i="69"/>
  <c r="AE297" i="69" s="1"/>
  <c r="B340" i="69"/>
  <c r="Y305" i="69"/>
  <c r="AE305" i="69" s="1"/>
  <c r="B348" i="69"/>
  <c r="Y348" i="69" s="1"/>
  <c r="Y313" i="69"/>
  <c r="AE313" i="69" s="1"/>
  <c r="B333" i="69"/>
  <c r="Y298" i="69"/>
  <c r="AE298" i="69" s="1"/>
  <c r="B341" i="69"/>
  <c r="Y306" i="69"/>
  <c r="AE306" i="69" s="1"/>
  <c r="Y314" i="69"/>
  <c r="AE314" i="69" s="1"/>
  <c r="Y296" i="69"/>
  <c r="AE296" i="69" s="1"/>
  <c r="B331" i="69"/>
  <c r="Y304" i="69"/>
  <c r="AE304" i="69" s="1"/>
  <c r="B339" i="69"/>
  <c r="Y312" i="69"/>
  <c r="AE312" i="69" s="1"/>
  <c r="B347" i="69"/>
  <c r="Y295" i="69"/>
  <c r="AE295" i="69" s="1"/>
  <c r="B330" i="69"/>
  <c r="Y303" i="69"/>
  <c r="AE303" i="69" s="1"/>
  <c r="B338" i="69"/>
  <c r="Y311" i="69"/>
  <c r="AE311" i="69" s="1"/>
  <c r="B346" i="69"/>
  <c r="B328" i="69"/>
  <c r="Y293" i="69"/>
  <c r="AE293" i="69" s="1"/>
  <c r="B336" i="69"/>
  <c r="Y301" i="69"/>
  <c r="AE301" i="69" s="1"/>
  <c r="B344" i="69"/>
  <c r="Y309" i="69"/>
  <c r="AE309" i="69" s="1"/>
  <c r="L57" i="76" l="1"/>
  <c r="G57" i="76"/>
  <c r="F59" i="76"/>
  <c r="E59" i="76"/>
  <c r="G59" i="76"/>
  <c r="S59" i="76"/>
  <c r="E57" i="76"/>
  <c r="F60" i="76"/>
  <c r="R59" i="76"/>
  <c r="I58" i="76"/>
  <c r="R60" i="76"/>
  <c r="AA57" i="76"/>
  <c r="U60" i="76"/>
  <c r="P60" i="76"/>
  <c r="W59" i="76"/>
  <c r="N58" i="76"/>
  <c r="P58" i="76"/>
  <c r="Q60" i="76"/>
  <c r="S58" i="76"/>
  <c r="J57" i="76"/>
  <c r="J59" i="76"/>
  <c r="O56" i="76"/>
  <c r="J60" i="76"/>
  <c r="S57" i="76"/>
  <c r="N56" i="76"/>
  <c r="M60" i="76"/>
  <c r="L60" i="76"/>
  <c r="Z58" i="76"/>
  <c r="J58" i="76"/>
  <c r="Q57" i="76"/>
  <c r="X56" i="76"/>
  <c r="H56" i="76"/>
  <c r="G60" i="76"/>
  <c r="U58" i="76"/>
  <c r="U59" i="76"/>
  <c r="H58" i="76"/>
  <c r="V56" i="76"/>
  <c r="I60" i="76"/>
  <c r="H59" i="76"/>
  <c r="O58" i="76"/>
  <c r="V57" i="76"/>
  <c r="F57" i="76"/>
  <c r="M56" i="76"/>
  <c r="K60" i="76"/>
  <c r="Y58" i="76"/>
  <c r="P57" i="76"/>
  <c r="G56" i="76"/>
  <c r="Y59" i="76"/>
  <c r="T58" i="76"/>
  <c r="K57" i="76"/>
  <c r="F56" i="76"/>
  <c r="E60" i="76"/>
  <c r="X60" i="76"/>
  <c r="H60" i="76"/>
  <c r="O59" i="76"/>
  <c r="V58" i="76"/>
  <c r="F58" i="76"/>
  <c r="M57" i="76"/>
  <c r="T56" i="76"/>
  <c r="V59" i="76"/>
  <c r="M58" i="76"/>
  <c r="AA56" i="76"/>
  <c r="V60" i="76"/>
  <c r="M59" i="76"/>
  <c r="W57" i="76"/>
  <c r="J56" i="76"/>
  <c r="X59" i="76"/>
  <c r="AA58" i="76"/>
  <c r="K58" i="76"/>
  <c r="R57" i="76"/>
  <c r="Y56" i="76"/>
  <c r="I56" i="76"/>
  <c r="AA60" i="76"/>
  <c r="W56" i="76"/>
  <c r="I59" i="76"/>
  <c r="R56" i="76"/>
  <c r="U57" i="76"/>
  <c r="L56" i="76"/>
  <c r="O60" i="76"/>
  <c r="T57" i="76"/>
  <c r="K56" i="76"/>
  <c r="L59" i="76"/>
  <c r="Z57" i="76"/>
  <c r="Q56" i="76"/>
  <c r="S60" i="76"/>
  <c r="X57" i="76"/>
  <c r="Z59" i="76"/>
  <c r="Q58" i="76"/>
  <c r="H57" i="76"/>
  <c r="Z60" i="76"/>
  <c r="Q59" i="76"/>
  <c r="L58" i="76"/>
  <c r="Z56" i="76"/>
  <c r="T59" i="76"/>
  <c r="T60" i="76"/>
  <c r="AA59" i="76"/>
  <c r="K59" i="76"/>
  <c r="R58" i="76"/>
  <c r="Y57" i="76"/>
  <c r="I57" i="76"/>
  <c r="P56" i="76"/>
  <c r="W60" i="76"/>
  <c r="N59" i="76"/>
  <c r="E58" i="76"/>
  <c r="S56" i="76"/>
  <c r="N60" i="76"/>
  <c r="X58" i="76"/>
  <c r="O57" i="76"/>
  <c r="Y60" i="76"/>
  <c r="P59" i="76"/>
  <c r="W58" i="76"/>
  <c r="G58" i="76"/>
  <c r="N57" i="76"/>
  <c r="U56" i="76"/>
  <c r="Y337" i="69"/>
  <c r="A337" i="69"/>
  <c r="Y338" i="69"/>
  <c r="A338" i="69"/>
  <c r="Y331" i="69"/>
  <c r="A331" i="69"/>
  <c r="Y334" i="69"/>
  <c r="A334" i="69"/>
  <c r="Y328" i="69"/>
  <c r="A328" i="69"/>
  <c r="Y341" i="69"/>
  <c r="A341" i="69"/>
  <c r="AF348" i="69"/>
  <c r="AI348" i="69"/>
  <c r="AG348" i="69"/>
  <c r="AH348" i="69"/>
  <c r="AE348" i="69"/>
  <c r="Y332" i="69"/>
  <c r="A332" i="69"/>
  <c r="Y345" i="69"/>
  <c r="A345" i="69"/>
  <c r="Y329" i="69"/>
  <c r="A329" i="69"/>
  <c r="Y336" i="69"/>
  <c r="A336" i="69"/>
  <c r="Y333" i="69"/>
  <c r="A333" i="69"/>
  <c r="Y340" i="69"/>
  <c r="A340" i="69"/>
  <c r="Y347" i="69"/>
  <c r="A347" i="69"/>
  <c r="Y335" i="69"/>
  <c r="A335" i="69"/>
  <c r="Y344" i="69"/>
  <c r="A344" i="69"/>
  <c r="Y346" i="69"/>
  <c r="A346" i="69"/>
  <c r="Y330" i="69"/>
  <c r="A330" i="69"/>
  <c r="Y339" i="69"/>
  <c r="A339" i="69"/>
  <c r="Y342" i="69"/>
  <c r="A342" i="69"/>
  <c r="Y343" i="69"/>
  <c r="A343" i="69"/>
  <c r="Y327" i="69"/>
  <c r="A327" i="69"/>
  <c r="AH326" i="69"/>
  <c r="AE326" i="69"/>
  <c r="AG326" i="69"/>
  <c r="AI326" i="69"/>
  <c r="AF326" i="69"/>
  <c r="AI349" i="69"/>
  <c r="AG349" i="69"/>
  <c r="AE349" i="69"/>
  <c r="AF349" i="69"/>
  <c r="AH349" i="69"/>
  <c r="Y100" i="68"/>
  <c r="Y99" i="68"/>
  <c r="Y98" i="68"/>
  <c r="Y97" i="68"/>
  <c r="Y96" i="68"/>
  <c r="Y95" i="68"/>
  <c r="Y94" i="68"/>
  <c r="Y93" i="68"/>
  <c r="Y92" i="68"/>
  <c r="Y91" i="68"/>
  <c r="Y90" i="68"/>
  <c r="Y89" i="68"/>
  <c r="Y88" i="68"/>
  <c r="Y87" i="68"/>
  <c r="Y86" i="68"/>
  <c r="Y85" i="68"/>
  <c r="Y84" i="68"/>
  <c r="Y83" i="68"/>
  <c r="Y82" i="68"/>
  <c r="Y81" i="68"/>
  <c r="Y80" i="68"/>
  <c r="Y79" i="68"/>
  <c r="Y78" i="68"/>
  <c r="Y77" i="68"/>
  <c r="Y44" i="68"/>
  <c r="AA33" i="68"/>
  <c r="Z33" i="68"/>
  <c r="AL64" i="68"/>
  <c r="AN64" i="68" s="1"/>
  <c r="AL63" i="68"/>
  <c r="Z31" i="68"/>
  <c r="AL62" i="68"/>
  <c r="Z30" i="68"/>
  <c r="AL61" i="68"/>
  <c r="AM61" i="68" s="1"/>
  <c r="Z29" i="68"/>
  <c r="AL60" i="68"/>
  <c r="AQ60" i="68" s="1"/>
  <c r="Z28" i="68"/>
  <c r="AL59" i="68"/>
  <c r="AM59" i="68" s="1"/>
  <c r="Z27" i="68"/>
  <c r="AL58" i="68"/>
  <c r="Z26" i="68"/>
  <c r="AL57" i="68"/>
  <c r="AN57" i="68" s="1"/>
  <c r="Z25" i="68"/>
  <c r="AL56" i="68"/>
  <c r="AN56" i="68" s="1"/>
  <c r="Z24" i="68"/>
  <c r="AL55" i="68"/>
  <c r="AP55" i="68" s="1"/>
  <c r="Z23" i="68"/>
  <c r="AL54" i="68"/>
  <c r="Z22" i="68"/>
  <c r="AL53" i="68"/>
  <c r="AN53" i="68" s="1"/>
  <c r="Z21" i="68"/>
  <c r="AL52" i="68"/>
  <c r="AN52" i="68" s="1"/>
  <c r="Z20" i="68"/>
  <c r="AL51" i="68"/>
  <c r="Z19" i="68"/>
  <c r="AL50" i="68"/>
  <c r="AP50" i="68" s="1"/>
  <c r="Z18" i="68"/>
  <c r="AL49" i="68"/>
  <c r="AQ49" i="68" s="1"/>
  <c r="Z17" i="68"/>
  <c r="AL48" i="68"/>
  <c r="AN48" i="68" s="1"/>
  <c r="Z16" i="68"/>
  <c r="AL47" i="68"/>
  <c r="AQ47" i="68" s="1"/>
  <c r="Z15" i="68"/>
  <c r="AL46" i="68"/>
  <c r="Z14" i="68"/>
  <c r="AL45" i="68"/>
  <c r="AN45" i="68" s="1"/>
  <c r="Z13" i="68"/>
  <c r="AL44" i="68"/>
  <c r="AM44" i="68" s="1"/>
  <c r="Z12" i="68"/>
  <c r="AL43" i="68"/>
  <c r="AM43" i="68" s="1"/>
  <c r="Z11" i="68"/>
  <c r="AL42" i="68"/>
  <c r="AL41" i="68"/>
  <c r="AM41" i="68" s="1"/>
  <c r="Y33" i="68"/>
  <c r="Y32" i="68"/>
  <c r="O32" i="68"/>
  <c r="M32" i="68"/>
  <c r="L32" i="68"/>
  <c r="Y31" i="68"/>
  <c r="S31" i="68"/>
  <c r="Y30" i="68"/>
  <c r="S30" i="68"/>
  <c r="Y29" i="68"/>
  <c r="S29" i="68"/>
  <c r="Y28" i="68"/>
  <c r="S28" i="68"/>
  <c r="Y27" i="68"/>
  <c r="S27" i="68"/>
  <c r="Y26" i="68"/>
  <c r="S26" i="68"/>
  <c r="Y25" i="68"/>
  <c r="S25" i="68"/>
  <c r="Y24" i="68"/>
  <c r="S24" i="68"/>
  <c r="Y23" i="68"/>
  <c r="S23" i="68"/>
  <c r="Y22" i="68"/>
  <c r="S22" i="68"/>
  <c r="Y21" i="68"/>
  <c r="S21" i="68"/>
  <c r="Y20" i="68"/>
  <c r="S20" i="68"/>
  <c r="Y19" i="68"/>
  <c r="S19" i="68"/>
  <c r="Y18" i="68"/>
  <c r="S18" i="68"/>
  <c r="Y17" i="68"/>
  <c r="S17" i="68"/>
  <c r="Y16" i="68"/>
  <c r="S16" i="68"/>
  <c r="Y15" i="68"/>
  <c r="S15" i="68"/>
  <c r="Y14" i="68"/>
  <c r="S14" i="68"/>
  <c r="Y13" i="68"/>
  <c r="S13" i="68"/>
  <c r="Y12" i="68"/>
  <c r="S12" i="68"/>
  <c r="Y11" i="68"/>
  <c r="S11" i="68"/>
  <c r="Y10" i="68"/>
  <c r="S10" i="68"/>
  <c r="S122" i="68" l="1"/>
  <c r="T122" i="68" s="1"/>
  <c r="U122" i="68" s="1"/>
  <c r="T16" i="68"/>
  <c r="U16" i="68" s="1"/>
  <c r="S130" i="68"/>
  <c r="T130" i="68" s="1"/>
  <c r="U130" i="68" s="1"/>
  <c r="T24" i="68"/>
  <c r="U24" i="68" s="1"/>
  <c r="S118" i="68"/>
  <c r="T118" i="68" s="1"/>
  <c r="U118" i="68" s="1"/>
  <c r="T12" i="68"/>
  <c r="U12" i="68" s="1"/>
  <c r="S126" i="68"/>
  <c r="T126" i="68" s="1"/>
  <c r="U126" i="68" s="1"/>
  <c r="T20" i="68"/>
  <c r="U20" i="68" s="1"/>
  <c r="S134" i="68"/>
  <c r="T134" i="68" s="1"/>
  <c r="U134" i="68" s="1"/>
  <c r="T28" i="68"/>
  <c r="U28" i="68" s="1"/>
  <c r="S135" i="68"/>
  <c r="T135" i="68" s="1"/>
  <c r="U135" i="68" s="1"/>
  <c r="T29" i="68"/>
  <c r="U29" i="68" s="1"/>
  <c r="S119" i="68"/>
  <c r="T119" i="68" s="1"/>
  <c r="U119" i="68" s="1"/>
  <c r="AA186" i="68" s="1"/>
  <c r="T13" i="68"/>
  <c r="U13" i="68" s="1"/>
  <c r="S127" i="68"/>
  <c r="T127" i="68" s="1"/>
  <c r="U127" i="68" s="1"/>
  <c r="T21" i="68"/>
  <c r="U21" i="68" s="1"/>
  <c r="S120" i="68"/>
  <c r="T120" i="68" s="1"/>
  <c r="U120" i="68" s="1"/>
  <c r="T14" i="68"/>
  <c r="U14" i="68" s="1"/>
  <c r="S128" i="68"/>
  <c r="T128" i="68" s="1"/>
  <c r="U128" i="68" s="1"/>
  <c r="T22" i="68"/>
  <c r="U22" i="68" s="1"/>
  <c r="S132" i="68"/>
  <c r="T132" i="68" s="1"/>
  <c r="U132" i="68" s="1"/>
  <c r="T26" i="68"/>
  <c r="U26" i="68" s="1"/>
  <c r="S123" i="68"/>
  <c r="T123" i="68" s="1"/>
  <c r="U123" i="68" s="1"/>
  <c r="T17" i="68"/>
  <c r="U17" i="68" s="1"/>
  <c r="S131" i="68"/>
  <c r="T131" i="68" s="1"/>
  <c r="U131" i="68" s="1"/>
  <c r="AA198" i="68" s="1"/>
  <c r="T25" i="68"/>
  <c r="U25" i="68" s="1"/>
  <c r="S124" i="68"/>
  <c r="T124" i="68" s="1"/>
  <c r="U124" i="68" s="1"/>
  <c r="T18" i="68"/>
  <c r="U18" i="68" s="1"/>
  <c r="S136" i="68"/>
  <c r="T30" i="68"/>
  <c r="U30" i="68" s="1"/>
  <c r="S117" i="68"/>
  <c r="T117" i="68" s="1"/>
  <c r="U117" i="68" s="1"/>
  <c r="T11" i="68"/>
  <c r="U11" i="68" s="1"/>
  <c r="S121" i="68"/>
  <c r="T121" i="68" s="1"/>
  <c r="U121" i="68" s="1"/>
  <c r="T15" i="68"/>
  <c r="U15" i="68" s="1"/>
  <c r="S125" i="68"/>
  <c r="T125" i="68" s="1"/>
  <c r="U125" i="68" s="1"/>
  <c r="T19" i="68"/>
  <c r="U19" i="68" s="1"/>
  <c r="S129" i="68"/>
  <c r="T129" i="68" s="1"/>
  <c r="U129" i="68" s="1"/>
  <c r="T23" i="68"/>
  <c r="U23" i="68" s="1"/>
  <c r="S133" i="68"/>
  <c r="T133" i="68" s="1"/>
  <c r="U133" i="68" s="1"/>
  <c r="T27" i="68"/>
  <c r="U27" i="68" s="1"/>
  <c r="S137" i="68"/>
  <c r="T137" i="68" s="1"/>
  <c r="U137" i="68" s="1"/>
  <c r="T31" i="68"/>
  <c r="U31" i="68" s="1"/>
  <c r="S116" i="68"/>
  <c r="T116" i="68" s="1"/>
  <c r="U116" i="68" s="1"/>
  <c r="T10" i="68"/>
  <c r="U10" i="68" s="1"/>
  <c r="AQ61" i="68"/>
  <c r="AO41" i="68"/>
  <c r="AM49" i="68"/>
  <c r="AM52" i="68"/>
  <c r="AN44" i="68"/>
  <c r="AM48" i="68"/>
  <c r="AO49" i="68"/>
  <c r="AQ41" i="68"/>
  <c r="Z32" i="68"/>
  <c r="AO50" i="68"/>
  <c r="AQ48" i="68"/>
  <c r="AQ52" i="68"/>
  <c r="AM55" i="68"/>
  <c r="AM56" i="68"/>
  <c r="AN60" i="68"/>
  <c r="AQ44" i="68"/>
  <c r="AM60" i="68"/>
  <c r="AQ59" i="68"/>
  <c r="AP59" i="68"/>
  <c r="AR159" i="68"/>
  <c r="AR53" i="68"/>
  <c r="AR152" i="68"/>
  <c r="AR46" i="68"/>
  <c r="AR166" i="68"/>
  <c r="AR60" i="68"/>
  <c r="AR167" i="68"/>
  <c r="AR61" i="68"/>
  <c r="AR65" i="68"/>
  <c r="AR32" i="68"/>
  <c r="AR147" i="68"/>
  <c r="AR41" i="68"/>
  <c r="AR155" i="68"/>
  <c r="AR49" i="68"/>
  <c r="AR156" i="68"/>
  <c r="AR50" i="68"/>
  <c r="AR160" i="68"/>
  <c r="AR54" i="68"/>
  <c r="AR161" i="68"/>
  <c r="AR55" i="68"/>
  <c r="AR162" i="68"/>
  <c r="AR56" i="68"/>
  <c r="AS32" i="68"/>
  <c r="AM32" i="68"/>
  <c r="AR148" i="68"/>
  <c r="AR42" i="68"/>
  <c r="AR150" i="68"/>
  <c r="AR44" i="68"/>
  <c r="AR153" i="68"/>
  <c r="AR47" i="68"/>
  <c r="AR157" i="68"/>
  <c r="AR51" i="68"/>
  <c r="AR165" i="68"/>
  <c r="AR59" i="68"/>
  <c r="AR154" i="68"/>
  <c r="AR48" i="68"/>
  <c r="AR158" i="68"/>
  <c r="AR52" i="68"/>
  <c r="AR163" i="68"/>
  <c r="AR57" i="68"/>
  <c r="AR149" i="68"/>
  <c r="AR43" i="68"/>
  <c r="AR151" i="68"/>
  <c r="AR45" i="68"/>
  <c r="AR164" i="68"/>
  <c r="AR58" i="68"/>
  <c r="AR168" i="68"/>
  <c r="AR62" i="68"/>
  <c r="Z49" i="76"/>
  <c r="P32" i="68"/>
  <c r="AU32" i="68"/>
  <c r="AH343" i="69"/>
  <c r="AE343" i="69"/>
  <c r="AI343" i="69"/>
  <c r="AG343" i="69"/>
  <c r="AF343" i="69"/>
  <c r="AG335" i="69"/>
  <c r="AH335" i="69"/>
  <c r="AE335" i="69"/>
  <c r="AI335" i="69"/>
  <c r="AF335" i="69"/>
  <c r="AH341" i="69"/>
  <c r="AI341" i="69"/>
  <c r="AF341" i="69"/>
  <c r="AG341" i="69"/>
  <c r="AE341" i="69"/>
  <c r="AI334" i="69"/>
  <c r="AH334" i="69"/>
  <c r="AG334" i="69"/>
  <c r="AE334" i="69"/>
  <c r="AF334" i="69"/>
  <c r="AG338" i="69"/>
  <c r="AF338" i="69"/>
  <c r="AH338" i="69"/>
  <c r="AE338" i="69"/>
  <c r="AI338" i="69"/>
  <c r="AI327" i="69"/>
  <c r="AH327" i="69"/>
  <c r="AG327" i="69"/>
  <c r="AE327" i="69"/>
  <c r="AF327" i="69"/>
  <c r="AH342" i="69"/>
  <c r="AE342" i="69"/>
  <c r="AI342" i="69"/>
  <c r="AF342" i="69"/>
  <c r="AG342" i="69"/>
  <c r="AG330" i="69"/>
  <c r="AH330" i="69"/>
  <c r="AI330" i="69"/>
  <c r="AE330" i="69"/>
  <c r="AF330" i="69"/>
  <c r="AF344" i="69"/>
  <c r="AI344" i="69"/>
  <c r="AH344" i="69"/>
  <c r="AE344" i="69"/>
  <c r="AG344" i="69"/>
  <c r="AG347" i="69"/>
  <c r="AE347" i="69"/>
  <c r="AF347" i="69"/>
  <c r="AH347" i="69"/>
  <c r="AI347" i="69"/>
  <c r="AG333" i="69"/>
  <c r="AI333" i="69"/>
  <c r="AE333" i="69"/>
  <c r="AF333" i="69"/>
  <c r="AH333" i="69"/>
  <c r="AI329" i="69"/>
  <c r="AF329" i="69"/>
  <c r="AH329" i="69"/>
  <c r="AG329" i="69"/>
  <c r="AE329" i="69"/>
  <c r="AH332" i="69"/>
  <c r="AF332" i="69"/>
  <c r="AE332" i="69"/>
  <c r="AI332" i="69"/>
  <c r="AG332" i="69"/>
  <c r="AI339" i="69"/>
  <c r="AE339" i="69"/>
  <c r="AH339" i="69"/>
  <c r="AF339" i="69"/>
  <c r="AG339" i="69"/>
  <c r="AH346" i="69"/>
  <c r="AF346" i="69"/>
  <c r="AE346" i="69"/>
  <c r="AI346" i="69"/>
  <c r="AG346" i="69"/>
  <c r="AE340" i="69"/>
  <c r="AF340" i="69"/>
  <c r="AG340" i="69"/>
  <c r="AI340" i="69"/>
  <c r="AH340" i="69"/>
  <c r="AF336" i="69"/>
  <c r="AE336" i="69"/>
  <c r="AG336" i="69"/>
  <c r="AH336" i="69"/>
  <c r="AI336" i="69"/>
  <c r="AG345" i="69"/>
  <c r="AF345" i="69"/>
  <c r="AH345" i="69"/>
  <c r="AE345" i="69"/>
  <c r="AI345" i="69"/>
  <c r="AF328" i="69"/>
  <c r="AH328" i="69"/>
  <c r="AE328" i="69"/>
  <c r="AI328" i="69"/>
  <c r="AG328" i="69"/>
  <c r="AE331" i="69"/>
  <c r="AG331" i="69"/>
  <c r="AI331" i="69"/>
  <c r="AH331" i="69"/>
  <c r="AF331" i="69"/>
  <c r="AF337" i="69"/>
  <c r="AI337" i="69"/>
  <c r="AE337" i="69"/>
  <c r="AG337" i="69"/>
  <c r="AH337" i="69"/>
  <c r="AO61" i="68"/>
  <c r="AN41" i="68"/>
  <c r="AM45" i="68"/>
  <c r="AQ45" i="68"/>
  <c r="AM53" i="68"/>
  <c r="AQ53" i="68"/>
  <c r="AM57" i="68"/>
  <c r="AQ57" i="68"/>
  <c r="AM64" i="68"/>
  <c r="AQ64" i="68"/>
  <c r="AP43" i="68"/>
  <c r="AO45" i="68"/>
  <c r="AN49" i="68"/>
  <c r="AO53" i="68"/>
  <c r="AO57" i="68"/>
  <c r="AN61" i="68"/>
  <c r="AP54" i="68"/>
  <c r="AO54" i="68"/>
  <c r="AA79" i="68"/>
  <c r="Z81" i="68"/>
  <c r="Z85" i="68"/>
  <c r="Z89" i="68"/>
  <c r="Z93" i="68"/>
  <c r="Z97" i="68"/>
  <c r="AA78" i="68"/>
  <c r="AA82" i="68"/>
  <c r="AA86" i="68"/>
  <c r="AA90" i="68"/>
  <c r="AA94" i="68"/>
  <c r="AA98" i="68"/>
  <c r="Z77" i="68"/>
  <c r="Z82" i="68"/>
  <c r="Z90" i="68"/>
  <c r="Z98" i="68"/>
  <c r="AA91" i="68"/>
  <c r="Z79" i="68"/>
  <c r="Z83" i="68"/>
  <c r="Z87" i="68"/>
  <c r="Z91" i="68"/>
  <c r="Z95" i="68"/>
  <c r="Z99" i="68"/>
  <c r="AA80" i="68"/>
  <c r="AA88" i="68"/>
  <c r="AA92" i="68"/>
  <c r="AA96" i="68"/>
  <c r="AA100" i="68"/>
  <c r="Z80" i="68"/>
  <c r="Z84" i="68"/>
  <c r="Z88" i="68"/>
  <c r="Z92" i="68"/>
  <c r="Z96" i="68"/>
  <c r="Z100" i="68"/>
  <c r="AA81" i="68"/>
  <c r="AA85" i="68"/>
  <c r="AA89" i="68"/>
  <c r="AA93" i="68"/>
  <c r="AA77" i="68"/>
  <c r="Z78" i="68"/>
  <c r="Z86" i="68"/>
  <c r="Z94" i="68"/>
  <c r="AA87" i="68"/>
  <c r="AA99" i="68"/>
  <c r="AA4" i="68"/>
  <c r="AN65" i="68"/>
  <c r="AQ55" i="68"/>
  <c r="AN63" i="68"/>
  <c r="AO63" i="68"/>
  <c r="AQ56" i="68"/>
  <c r="AA83" i="68"/>
  <c r="AA95" i="68"/>
  <c r="AN46" i="68"/>
  <c r="AQ46" i="68"/>
  <c r="AM46" i="68"/>
  <c r="AO51" i="68"/>
  <c r="AN51" i="68"/>
  <c r="AN62" i="68"/>
  <c r="AQ62" i="68"/>
  <c r="AM62" i="68"/>
  <c r="AN42" i="68"/>
  <c r="AQ42" i="68"/>
  <c r="AM42" i="68"/>
  <c r="AQ43" i="68"/>
  <c r="AO46" i="68"/>
  <c r="AO47" i="68"/>
  <c r="AN47" i="68"/>
  <c r="AM51" i="68"/>
  <c r="AN58" i="68"/>
  <c r="AQ58" i="68"/>
  <c r="AM58" i="68"/>
  <c r="AO62" i="68"/>
  <c r="AQ65" i="68"/>
  <c r="AO42" i="68"/>
  <c r="AO43" i="68"/>
  <c r="AN43" i="68"/>
  <c r="AP46" i="68"/>
  <c r="AM47" i="68"/>
  <c r="AP51" i="68"/>
  <c r="AN54" i="68"/>
  <c r="AQ54" i="68"/>
  <c r="AM54" i="68"/>
  <c r="AO58" i="68"/>
  <c r="AO59" i="68"/>
  <c r="AN59" i="68"/>
  <c r="AP62" i="68"/>
  <c r="N32" i="68"/>
  <c r="AO32" i="68" s="1"/>
  <c r="AP65" i="68"/>
  <c r="AO65" i="68"/>
  <c r="K32" i="68"/>
  <c r="AL32" i="68" s="1"/>
  <c r="AP42" i="68"/>
  <c r="AP47" i="68"/>
  <c r="AN50" i="68"/>
  <c r="AQ50" i="68"/>
  <c r="AM50" i="68"/>
  <c r="AQ51" i="68"/>
  <c r="AO55" i="68"/>
  <c r="AN55" i="68"/>
  <c r="AP58" i="68"/>
  <c r="AM65" i="68"/>
  <c r="AP41" i="68"/>
  <c r="AO44" i="68"/>
  <c r="AP45" i="68"/>
  <c r="AO48" i="68"/>
  <c r="AP49" i="68"/>
  <c r="AO52" i="68"/>
  <c r="AP53" i="68"/>
  <c r="AO56" i="68"/>
  <c r="AP57" i="68"/>
  <c r="AO60" i="68"/>
  <c r="AP61" i="68"/>
  <c r="AO64" i="68"/>
  <c r="AP44" i="68"/>
  <c r="AP48" i="68"/>
  <c r="AP52" i="68"/>
  <c r="AP56" i="68"/>
  <c r="AP60" i="68"/>
  <c r="AP64" i="68"/>
  <c r="AA203" i="68" l="1"/>
  <c r="T136" i="68"/>
  <c r="U136" i="68" s="1"/>
  <c r="M171" i="68"/>
  <c r="AL171" i="68"/>
  <c r="AA84" i="68"/>
  <c r="AM63" i="68"/>
  <c r="AN32" i="68"/>
  <c r="AP32" i="68" s="1"/>
  <c r="I32" i="68" s="1"/>
  <c r="AL65" i="68"/>
  <c r="M65" i="68"/>
  <c r="AA97" i="68"/>
  <c r="AP63" i="68"/>
  <c r="AT32" i="68"/>
  <c r="AQ63" i="68"/>
  <c r="AA219" i="67"/>
  <c r="AG219" i="67" s="1"/>
  <c r="AB219" i="67"/>
  <c r="AH219" i="67" s="1"/>
  <c r="AC219" i="67"/>
  <c r="AI219" i="67" s="1"/>
  <c r="AD219" i="67"/>
  <c r="AJ219" i="67" s="1"/>
  <c r="Z219" i="67"/>
  <c r="AF219" i="67" s="1"/>
  <c r="AA255" i="67"/>
  <c r="AG255" i="67" s="1"/>
  <c r="AB255" i="67"/>
  <c r="AH255" i="67" s="1"/>
  <c r="AC255" i="67"/>
  <c r="AI255" i="67" s="1"/>
  <c r="AD255" i="67"/>
  <c r="AJ255" i="67" s="1"/>
  <c r="AA183" i="67"/>
  <c r="AG183" i="67" s="1"/>
  <c r="AB183" i="67"/>
  <c r="AH183" i="67" s="1"/>
  <c r="AC183" i="67"/>
  <c r="AI183" i="67" s="1"/>
  <c r="AD183" i="67"/>
  <c r="AJ183" i="67" s="1"/>
  <c r="AV32" i="68" l="1"/>
  <c r="AW32" i="68"/>
  <c r="B279" i="67"/>
  <c r="B278" i="67"/>
  <c r="B277" i="67"/>
  <c r="A277" i="67" s="1"/>
  <c r="B276" i="67"/>
  <c r="A276" i="67" s="1"/>
  <c r="B275" i="67"/>
  <c r="A275" i="67" s="1"/>
  <c r="B274" i="67"/>
  <c r="A274" i="67" s="1"/>
  <c r="B273" i="67"/>
  <c r="A273" i="67" s="1"/>
  <c r="B272" i="67"/>
  <c r="A272" i="67" s="1"/>
  <c r="B271" i="67"/>
  <c r="A271" i="67" s="1"/>
  <c r="B270" i="67"/>
  <c r="A270" i="67" s="1"/>
  <c r="B269" i="67"/>
  <c r="A269" i="67" s="1"/>
  <c r="B268" i="67"/>
  <c r="A268" i="67" s="1"/>
  <c r="B267" i="67"/>
  <c r="A267" i="67" s="1"/>
  <c r="B266" i="67"/>
  <c r="A266" i="67" s="1"/>
  <c r="B265" i="67"/>
  <c r="A265" i="67" s="1"/>
  <c r="B264" i="67"/>
  <c r="A264" i="67" s="1"/>
  <c r="B263" i="67"/>
  <c r="A263" i="67" s="1"/>
  <c r="B262" i="67"/>
  <c r="A262" i="67" s="1"/>
  <c r="B261" i="67"/>
  <c r="A261" i="67" s="1"/>
  <c r="B260" i="67"/>
  <c r="A260" i="67" s="1"/>
  <c r="B259" i="67"/>
  <c r="A259" i="67" s="1"/>
  <c r="B258" i="67"/>
  <c r="A258" i="67" s="1"/>
  <c r="B257" i="67"/>
  <c r="A257" i="67" s="1"/>
  <c r="B256" i="67"/>
  <c r="B184" i="67" s="1"/>
  <c r="B243" i="67"/>
  <c r="B242" i="67"/>
  <c r="B241" i="67"/>
  <c r="B169" i="67" s="1"/>
  <c r="B240" i="67"/>
  <c r="B168" i="67" s="1"/>
  <c r="B239" i="67"/>
  <c r="B167" i="67" s="1"/>
  <c r="B238" i="67"/>
  <c r="B166" i="67" s="1"/>
  <c r="B237" i="67"/>
  <c r="B165" i="67" s="1"/>
  <c r="B236" i="67"/>
  <c r="B164" i="67" s="1"/>
  <c r="B235" i="67"/>
  <c r="B163" i="67" s="1"/>
  <c r="B234" i="67"/>
  <c r="B162" i="67" s="1"/>
  <c r="B233" i="67"/>
  <c r="B161" i="67" s="1"/>
  <c r="B232" i="67"/>
  <c r="B160" i="67" s="1"/>
  <c r="B231" i="67"/>
  <c r="B159" i="67" s="1"/>
  <c r="B230" i="67"/>
  <c r="B158" i="67" s="1"/>
  <c r="B229" i="67"/>
  <c r="B157" i="67" s="1"/>
  <c r="B228" i="67"/>
  <c r="B156" i="67" s="1"/>
  <c r="B227" i="67"/>
  <c r="B155" i="67" s="1"/>
  <c r="B226" i="67"/>
  <c r="B154" i="67" s="1"/>
  <c r="B225" i="67"/>
  <c r="B153" i="67" s="1"/>
  <c r="B224" i="67"/>
  <c r="B152" i="67" s="1"/>
  <c r="B223" i="67"/>
  <c r="B151" i="67" s="1"/>
  <c r="B222" i="67"/>
  <c r="B150" i="67" s="1"/>
  <c r="B221" i="67"/>
  <c r="B149" i="67" s="1"/>
  <c r="B220" i="67"/>
  <c r="Y100" i="67"/>
  <c r="Y99" i="67"/>
  <c r="Y98" i="67"/>
  <c r="Y97" i="67"/>
  <c r="Y96" i="67"/>
  <c r="Y95" i="67"/>
  <c r="Y94" i="67"/>
  <c r="Y93" i="67"/>
  <c r="Y92" i="67"/>
  <c r="Y91" i="67"/>
  <c r="Y90" i="67"/>
  <c r="Y89" i="67"/>
  <c r="Y88" i="67"/>
  <c r="Y87" i="67"/>
  <c r="Y86" i="67"/>
  <c r="Y85" i="67"/>
  <c r="Y84" i="67"/>
  <c r="Y83" i="67"/>
  <c r="Y82" i="67"/>
  <c r="Y81" i="67"/>
  <c r="Y80" i="67"/>
  <c r="Y79" i="67"/>
  <c r="Y78" i="67"/>
  <c r="Y77" i="67"/>
  <c r="Y44" i="67"/>
  <c r="AA33" i="67"/>
  <c r="Z33" i="67"/>
  <c r="AL64" i="67"/>
  <c r="AL63" i="67"/>
  <c r="AL62" i="67"/>
  <c r="AL61" i="67"/>
  <c r="AL60" i="67"/>
  <c r="AL59" i="67"/>
  <c r="AL58" i="67"/>
  <c r="AP58" i="67" s="1"/>
  <c r="AL57" i="67"/>
  <c r="AP57" i="67" s="1"/>
  <c r="AL56" i="67"/>
  <c r="AL55" i="67"/>
  <c r="AL54" i="67"/>
  <c r="AL53" i="67"/>
  <c r="AN53" i="67" s="1"/>
  <c r="AL52" i="67"/>
  <c r="AL51" i="67"/>
  <c r="AL50" i="67"/>
  <c r="AL49" i="67"/>
  <c r="AL48" i="67"/>
  <c r="AL47" i="67"/>
  <c r="AL46" i="67"/>
  <c r="AL45" i="67"/>
  <c r="AL44" i="67"/>
  <c r="AL43" i="67"/>
  <c r="AL42" i="67"/>
  <c r="AL41" i="67"/>
  <c r="BR41" i="67" s="1"/>
  <c r="Y33" i="67"/>
  <c r="L32" i="67"/>
  <c r="Y32" i="67"/>
  <c r="N32" i="67"/>
  <c r="Y31" i="67"/>
  <c r="S31" i="67"/>
  <c r="T31" i="67" s="1"/>
  <c r="U31" i="67" s="1"/>
  <c r="Y30" i="67"/>
  <c r="S30" i="67"/>
  <c r="AR65" i="67" s="1"/>
  <c r="Y29" i="67"/>
  <c r="S29" i="67"/>
  <c r="T29" i="67" s="1"/>
  <c r="U29" i="67" s="1"/>
  <c r="Y28" i="67"/>
  <c r="S28" i="67"/>
  <c r="Y27" i="67"/>
  <c r="S27" i="67"/>
  <c r="Y26" i="67"/>
  <c r="S26" i="67"/>
  <c r="Y25" i="67"/>
  <c r="S25" i="67"/>
  <c r="Y24" i="67"/>
  <c r="S24" i="67"/>
  <c r="Y23" i="67"/>
  <c r="S23" i="67"/>
  <c r="Y22" i="67"/>
  <c r="S22" i="67"/>
  <c r="Y21" i="67"/>
  <c r="S21" i="67"/>
  <c r="Y20" i="67"/>
  <c r="S20" i="67"/>
  <c r="T20" i="67" s="1"/>
  <c r="U20" i="67" s="1"/>
  <c r="Y19" i="67"/>
  <c r="S19" i="67"/>
  <c r="T19" i="67" s="1"/>
  <c r="U19" i="67" s="1"/>
  <c r="Y18" i="67"/>
  <c r="S18" i="67"/>
  <c r="T18" i="67" s="1"/>
  <c r="U18" i="67" s="1"/>
  <c r="Y17" i="67"/>
  <c r="S17" i="67"/>
  <c r="T17" i="67" s="1"/>
  <c r="U17" i="67" s="1"/>
  <c r="Y16" i="67"/>
  <c r="S16" i="67"/>
  <c r="T16" i="67" s="1"/>
  <c r="U16" i="67" s="1"/>
  <c r="Y15" i="67"/>
  <c r="S15" i="67"/>
  <c r="T15" i="67" s="1"/>
  <c r="U15" i="67" s="1"/>
  <c r="Y14" i="67"/>
  <c r="S14" i="67"/>
  <c r="T14" i="67" s="1"/>
  <c r="U14" i="67" s="1"/>
  <c r="Y13" i="67"/>
  <c r="S13" i="67"/>
  <c r="T13" i="67" s="1"/>
  <c r="U13" i="67" s="1"/>
  <c r="Y12" i="67"/>
  <c r="S12" i="67"/>
  <c r="T12" i="67" s="1"/>
  <c r="U12" i="67" s="1"/>
  <c r="Y11" i="67"/>
  <c r="S11" i="67"/>
  <c r="T11" i="67" s="1"/>
  <c r="U11" i="67" s="1"/>
  <c r="Y10" i="67"/>
  <c r="S10" i="67"/>
  <c r="B113" i="66"/>
  <c r="A113" i="66" s="1"/>
  <c r="B114" i="66"/>
  <c r="A114" i="66" s="1"/>
  <c r="B115" i="66"/>
  <c r="A115" i="66" s="1"/>
  <c r="B116" i="66"/>
  <c r="A116" i="66" s="1"/>
  <c r="B117" i="66"/>
  <c r="A117" i="66" s="1"/>
  <c r="B118" i="66"/>
  <c r="A118" i="66" s="1"/>
  <c r="B119" i="66"/>
  <c r="A119" i="66" s="1"/>
  <c r="B120" i="66"/>
  <c r="A120" i="66" s="1"/>
  <c r="B121" i="66"/>
  <c r="A121" i="66" s="1"/>
  <c r="B122" i="66"/>
  <c r="A122" i="66" s="1"/>
  <c r="B123" i="66"/>
  <c r="A123" i="66" s="1"/>
  <c r="B124" i="66"/>
  <c r="A124" i="66" s="1"/>
  <c r="B125" i="66"/>
  <c r="A125" i="66" s="1"/>
  <c r="B126" i="66"/>
  <c r="A126" i="66" s="1"/>
  <c r="B127" i="66"/>
  <c r="A127" i="66" s="1"/>
  <c r="B128" i="66"/>
  <c r="A128" i="66" s="1"/>
  <c r="B129" i="66"/>
  <c r="A129" i="66" s="1"/>
  <c r="B130" i="66"/>
  <c r="A130" i="66" s="1"/>
  <c r="B131" i="66"/>
  <c r="A131" i="66" s="1"/>
  <c r="B132" i="66"/>
  <c r="A132" i="66" s="1"/>
  <c r="B133" i="66"/>
  <c r="A133" i="66" s="1"/>
  <c r="B134" i="66"/>
  <c r="B135" i="66"/>
  <c r="B112" i="66"/>
  <c r="D38" i="76" s="1"/>
  <c r="B171" i="66"/>
  <c r="B170" i="66"/>
  <c r="Y169" i="66"/>
  <c r="B169" i="66"/>
  <c r="A169" i="66" s="1"/>
  <c r="Y168" i="66"/>
  <c r="B168" i="66"/>
  <c r="A168" i="66" s="1"/>
  <c r="Y167" i="66"/>
  <c r="B167" i="66"/>
  <c r="A167" i="66" s="1"/>
  <c r="Y166" i="66"/>
  <c r="B166" i="66"/>
  <c r="A166" i="66" s="1"/>
  <c r="Y165" i="66"/>
  <c r="B165" i="66"/>
  <c r="A165" i="66" s="1"/>
  <c r="Y164" i="66"/>
  <c r="B164" i="66"/>
  <c r="A164" i="66" s="1"/>
  <c r="Y163" i="66"/>
  <c r="B163" i="66"/>
  <c r="A163" i="66" s="1"/>
  <c r="Y162" i="66"/>
  <c r="B162" i="66"/>
  <c r="A162" i="66" s="1"/>
  <c r="Y161" i="66"/>
  <c r="B161" i="66"/>
  <c r="A161" i="66" s="1"/>
  <c r="Y160" i="66"/>
  <c r="B160" i="66"/>
  <c r="A160" i="66" s="1"/>
  <c r="Y159" i="66"/>
  <c r="B159" i="66"/>
  <c r="A159" i="66" s="1"/>
  <c r="Y158" i="66"/>
  <c r="B158" i="66"/>
  <c r="A158" i="66" s="1"/>
  <c r="Y157" i="66"/>
  <c r="B157" i="66"/>
  <c r="A157" i="66" s="1"/>
  <c r="Y156" i="66"/>
  <c r="B156" i="66"/>
  <c r="A156" i="66" s="1"/>
  <c r="Y155" i="66"/>
  <c r="B155" i="66"/>
  <c r="A155" i="66" s="1"/>
  <c r="Y154" i="66"/>
  <c r="B154" i="66"/>
  <c r="A154" i="66" s="1"/>
  <c r="Y153" i="66"/>
  <c r="B153" i="66"/>
  <c r="A153" i="66" s="1"/>
  <c r="Y152" i="66"/>
  <c r="B152" i="66"/>
  <c r="A152" i="66" s="1"/>
  <c r="Y151" i="66"/>
  <c r="B151" i="66"/>
  <c r="A151" i="66" s="1"/>
  <c r="Y150" i="66"/>
  <c r="B150" i="66"/>
  <c r="A150" i="66" s="1"/>
  <c r="Y149" i="66"/>
  <c r="B149" i="66"/>
  <c r="A149" i="66" s="1"/>
  <c r="Y148" i="66"/>
  <c r="B148" i="66"/>
  <c r="Y147" i="66"/>
  <c r="Y146" i="66"/>
  <c r="AD145" i="66"/>
  <c r="AC145" i="66"/>
  <c r="AB145" i="66"/>
  <c r="AA145" i="66"/>
  <c r="Z145" i="66"/>
  <c r="Y100" i="66"/>
  <c r="Y99" i="66"/>
  <c r="Y98" i="66"/>
  <c r="Y97" i="66"/>
  <c r="Y96" i="66"/>
  <c r="Y95" i="66"/>
  <c r="Y94" i="66"/>
  <c r="Y93" i="66"/>
  <c r="Y92" i="66"/>
  <c r="Y91" i="66"/>
  <c r="Y90" i="66"/>
  <c r="Y89" i="66"/>
  <c r="Y88" i="66"/>
  <c r="Y87" i="66"/>
  <c r="Y86" i="66"/>
  <c r="Y85" i="66"/>
  <c r="Y84" i="66"/>
  <c r="Y83" i="66"/>
  <c r="Y82" i="66"/>
  <c r="Y81" i="66"/>
  <c r="Y80" i="66"/>
  <c r="Y79" i="66"/>
  <c r="Y78" i="66"/>
  <c r="Y77" i="66"/>
  <c r="Y44" i="66"/>
  <c r="AA33" i="66"/>
  <c r="Z33" i="66"/>
  <c r="AL64" i="66"/>
  <c r="AL63" i="66"/>
  <c r="AL62" i="66"/>
  <c r="AL61" i="66"/>
  <c r="AL60" i="66"/>
  <c r="AN60" i="66" s="1"/>
  <c r="AL59" i="66"/>
  <c r="AL58" i="66"/>
  <c r="AP58" i="66" s="1"/>
  <c r="AL57" i="66"/>
  <c r="AL56" i="66"/>
  <c r="AL55" i="66"/>
  <c r="AL54" i="66"/>
  <c r="AL53" i="66"/>
  <c r="AM53" i="66" s="1"/>
  <c r="AL52" i="66"/>
  <c r="AQ52" i="66" s="1"/>
  <c r="AL51" i="66"/>
  <c r="AM51" i="66" s="1"/>
  <c r="AL50" i="66"/>
  <c r="AN50" i="66" s="1"/>
  <c r="AL49" i="66"/>
  <c r="AL48" i="66"/>
  <c r="AL47" i="66"/>
  <c r="AO47" i="66" s="1"/>
  <c r="AL46" i="66"/>
  <c r="AO46" i="66" s="1"/>
  <c r="AL45" i="66"/>
  <c r="AL44" i="66"/>
  <c r="AN44" i="66" s="1"/>
  <c r="AL43" i="66"/>
  <c r="AO43" i="66" s="1"/>
  <c r="AL42" i="66"/>
  <c r="AN42" i="66" s="1"/>
  <c r="AL41" i="66"/>
  <c r="AW40" i="66"/>
  <c r="BB40" i="66" s="1"/>
  <c r="AV40" i="66"/>
  <c r="BA40" i="66" s="1"/>
  <c r="AU40" i="66"/>
  <c r="AZ40" i="66" s="1"/>
  <c r="AT40" i="66"/>
  <c r="AY40" i="66" s="1"/>
  <c r="AS40" i="66"/>
  <c r="AX40" i="66" s="1"/>
  <c r="AQ40" i="66"/>
  <c r="AP40" i="66"/>
  <c r="AO40" i="66"/>
  <c r="AN40" i="66"/>
  <c r="AM40" i="66"/>
  <c r="Y33" i="66"/>
  <c r="Y32" i="66"/>
  <c r="Y31" i="66"/>
  <c r="S31" i="66"/>
  <c r="T31" i="66" s="1"/>
  <c r="U31" i="66" s="1"/>
  <c r="Y30" i="66"/>
  <c r="S30" i="66"/>
  <c r="T30" i="66" s="1"/>
  <c r="U30" i="66" s="1"/>
  <c r="Y29" i="66"/>
  <c r="S29" i="66"/>
  <c r="T29" i="66" s="1"/>
  <c r="U29" i="66" s="1"/>
  <c r="Y28" i="66"/>
  <c r="S28" i="66"/>
  <c r="T28" i="66" s="1"/>
  <c r="U28" i="66" s="1"/>
  <c r="Y27" i="66"/>
  <c r="S27" i="66"/>
  <c r="T27" i="66" s="1"/>
  <c r="U27" i="66" s="1"/>
  <c r="Y26" i="66"/>
  <c r="S26" i="66"/>
  <c r="T26" i="66" s="1"/>
  <c r="U26" i="66" s="1"/>
  <c r="Y25" i="66"/>
  <c r="S25" i="66"/>
  <c r="T25" i="66" s="1"/>
  <c r="U25" i="66" s="1"/>
  <c r="Y24" i="66"/>
  <c r="S24" i="66"/>
  <c r="T24" i="66" s="1"/>
  <c r="U24" i="66" s="1"/>
  <c r="Y23" i="66"/>
  <c r="S23" i="66"/>
  <c r="T23" i="66" s="1"/>
  <c r="U23" i="66" s="1"/>
  <c r="Y22" i="66"/>
  <c r="S22" i="66"/>
  <c r="T22" i="66" s="1"/>
  <c r="U22" i="66" s="1"/>
  <c r="Y21" i="66"/>
  <c r="S21" i="66"/>
  <c r="T21" i="66" s="1"/>
  <c r="U21" i="66" s="1"/>
  <c r="Y20" i="66"/>
  <c r="S20" i="66"/>
  <c r="T20" i="66" s="1"/>
  <c r="U20" i="66" s="1"/>
  <c r="Y19" i="66"/>
  <c r="S19" i="66"/>
  <c r="T19" i="66" s="1"/>
  <c r="U19" i="66" s="1"/>
  <c r="Y18" i="66"/>
  <c r="S18" i="66"/>
  <c r="T18" i="66" s="1"/>
  <c r="U18" i="66" s="1"/>
  <c r="Y17" i="66"/>
  <c r="S17" i="66"/>
  <c r="T17" i="66" s="1"/>
  <c r="U17" i="66" s="1"/>
  <c r="Y16" i="66"/>
  <c r="S16" i="66"/>
  <c r="T16" i="66" s="1"/>
  <c r="U16" i="66" s="1"/>
  <c r="Y15" i="66"/>
  <c r="S15" i="66"/>
  <c r="T15" i="66" s="1"/>
  <c r="U15" i="66" s="1"/>
  <c r="Y14" i="66"/>
  <c r="S14" i="66"/>
  <c r="T14" i="66" s="1"/>
  <c r="U14" i="66" s="1"/>
  <c r="Y13" i="66"/>
  <c r="S13" i="66"/>
  <c r="T13" i="66" s="1"/>
  <c r="U13" i="66" s="1"/>
  <c r="Y12" i="66"/>
  <c r="S12" i="66"/>
  <c r="T12" i="66" s="1"/>
  <c r="U12" i="66" s="1"/>
  <c r="Y11" i="66"/>
  <c r="S11" i="66"/>
  <c r="T11" i="66" s="1"/>
  <c r="U11" i="66" s="1"/>
  <c r="Y10" i="66"/>
  <c r="S10" i="66"/>
  <c r="T10" i="66" s="1"/>
  <c r="U10" i="66" s="1"/>
  <c r="AM43" i="66" l="1"/>
  <c r="AO42" i="66"/>
  <c r="AN57" i="67"/>
  <c r="AX32" i="68"/>
  <c r="AP54" i="67"/>
  <c r="AR44" i="67"/>
  <c r="AR48" i="67"/>
  <c r="AR52" i="67"/>
  <c r="AN60" i="67"/>
  <c r="AR60" i="67"/>
  <c r="Y150" i="67"/>
  <c r="AE150" i="67" s="1"/>
  <c r="A150" i="67"/>
  <c r="Y158" i="67"/>
  <c r="AE158" i="67" s="1"/>
  <c r="A158" i="67"/>
  <c r="Y166" i="67"/>
  <c r="AE166" i="67" s="1"/>
  <c r="A166" i="67"/>
  <c r="Y242" i="67"/>
  <c r="AE242" i="67" s="1"/>
  <c r="B170" i="67"/>
  <c r="Y170" i="67" s="1"/>
  <c r="AE170" i="67" s="1"/>
  <c r="AR55" i="67"/>
  <c r="Y151" i="67"/>
  <c r="AE151" i="67" s="1"/>
  <c r="A151" i="67"/>
  <c r="Y159" i="67"/>
  <c r="AE159" i="67" s="1"/>
  <c r="A159" i="67"/>
  <c r="Y167" i="67"/>
  <c r="AE167" i="67" s="1"/>
  <c r="A167" i="67"/>
  <c r="Y243" i="67"/>
  <c r="AE243" i="67" s="1"/>
  <c r="B171" i="67"/>
  <c r="Y171" i="67" s="1"/>
  <c r="AE171" i="67" s="1"/>
  <c r="AR42" i="67"/>
  <c r="AO46" i="67"/>
  <c r="AR46" i="67"/>
  <c r="AR50" i="67"/>
  <c r="AN54" i="67"/>
  <c r="AR54" i="67"/>
  <c r="AN58" i="67"/>
  <c r="AR58" i="67"/>
  <c r="AN62" i="67"/>
  <c r="AR62" i="67"/>
  <c r="D47" i="76"/>
  <c r="B148" i="67"/>
  <c r="Y152" i="67"/>
  <c r="AE152" i="67" s="1"/>
  <c r="A152" i="67"/>
  <c r="Y156" i="67"/>
  <c r="AE156" i="67" s="1"/>
  <c r="A156" i="67"/>
  <c r="Y160" i="67"/>
  <c r="AE160" i="67" s="1"/>
  <c r="A160" i="67"/>
  <c r="Y164" i="67"/>
  <c r="AE164" i="67" s="1"/>
  <c r="A164" i="67"/>
  <c r="Y168" i="67"/>
  <c r="AE168" i="67" s="1"/>
  <c r="A168" i="67"/>
  <c r="AR56" i="67"/>
  <c r="Y154" i="67"/>
  <c r="AE154" i="67" s="1"/>
  <c r="A154" i="67"/>
  <c r="Y162" i="67"/>
  <c r="AE162" i="67" s="1"/>
  <c r="A162" i="67"/>
  <c r="AO43" i="67"/>
  <c r="AR43" i="67"/>
  <c r="AO47" i="67"/>
  <c r="AR47" i="67"/>
  <c r="AR51" i="67"/>
  <c r="AN59" i="67"/>
  <c r="AR59" i="67"/>
  <c r="Y155" i="67"/>
  <c r="AE155" i="67" s="1"/>
  <c r="A155" i="67"/>
  <c r="Y163" i="67"/>
  <c r="AE163" i="67" s="1"/>
  <c r="A163" i="67"/>
  <c r="BC41" i="67"/>
  <c r="AR41" i="67"/>
  <c r="AR45" i="67"/>
  <c r="AR49" i="67"/>
  <c r="AR53" i="67"/>
  <c r="AR57" i="67"/>
  <c r="AR61" i="67"/>
  <c r="Y149" i="67"/>
  <c r="AE149" i="67" s="1"/>
  <c r="A149" i="67"/>
  <c r="Y153" i="67"/>
  <c r="AE153" i="67" s="1"/>
  <c r="A153" i="67"/>
  <c r="Y157" i="67"/>
  <c r="AE157" i="67" s="1"/>
  <c r="A157" i="67"/>
  <c r="Y161" i="67"/>
  <c r="AE161" i="67" s="1"/>
  <c r="A161" i="67"/>
  <c r="Y165" i="67"/>
  <c r="AE165" i="67" s="1"/>
  <c r="A165" i="67"/>
  <c r="Y169" i="67"/>
  <c r="AE169" i="67" s="1"/>
  <c r="A169" i="67"/>
  <c r="AR49" i="66"/>
  <c r="AR53" i="66"/>
  <c r="AR57" i="66"/>
  <c r="AR61" i="66"/>
  <c r="AR48" i="66"/>
  <c r="AR56" i="66"/>
  <c r="AR60" i="66"/>
  <c r="AQ41" i="66"/>
  <c r="AP41" i="66"/>
  <c r="AM41" i="66"/>
  <c r="AR41" i="66"/>
  <c r="AR45" i="66"/>
  <c r="W43" i="76"/>
  <c r="AR52" i="66"/>
  <c r="R43" i="76"/>
  <c r="W38" i="76"/>
  <c r="AO45" i="66"/>
  <c r="AN52" i="66"/>
  <c r="AR42" i="66"/>
  <c r="AR46" i="66"/>
  <c r="AR50" i="66"/>
  <c r="AR54" i="66"/>
  <c r="AR58" i="66"/>
  <c r="AR62" i="66"/>
  <c r="D43" i="76"/>
  <c r="H43" i="76"/>
  <c r="L43" i="76"/>
  <c r="P43" i="76"/>
  <c r="T43" i="76"/>
  <c r="X43" i="76"/>
  <c r="Y38" i="76"/>
  <c r="U38" i="76"/>
  <c r="Q38" i="76"/>
  <c r="M38" i="76"/>
  <c r="I38" i="76"/>
  <c r="E38" i="76"/>
  <c r="G43" i="76"/>
  <c r="K43" i="76"/>
  <c r="O43" i="76"/>
  <c r="S43" i="76"/>
  <c r="X38" i="76"/>
  <c r="T38" i="76"/>
  <c r="P38" i="76"/>
  <c r="L38" i="76"/>
  <c r="H38" i="76"/>
  <c r="AN41" i="66"/>
  <c r="AO53" i="66"/>
  <c r="AR44" i="66"/>
  <c r="F43" i="76"/>
  <c r="J43" i="76"/>
  <c r="N43" i="76"/>
  <c r="V43" i="76"/>
  <c r="S38" i="76"/>
  <c r="O38" i="76"/>
  <c r="K38" i="76"/>
  <c r="G38" i="76"/>
  <c r="AO49" i="66"/>
  <c r="AM52" i="66"/>
  <c r="AN57" i="66"/>
  <c r="AQ60" i="66"/>
  <c r="AA97" i="66"/>
  <c r="AR65" i="66"/>
  <c r="AR43" i="66"/>
  <c r="AR47" i="66"/>
  <c r="AR51" i="66"/>
  <c r="AR55" i="66"/>
  <c r="AR59" i="66"/>
  <c r="A148" i="66"/>
  <c r="AA43" i="76"/>
  <c r="E43" i="76"/>
  <c r="I43" i="76"/>
  <c r="M43" i="76"/>
  <c r="Q43" i="76"/>
  <c r="U43" i="76"/>
  <c r="Y43" i="76"/>
  <c r="AA38" i="76"/>
  <c r="V38" i="76"/>
  <c r="R38" i="76"/>
  <c r="N38" i="76"/>
  <c r="J38" i="76"/>
  <c r="F38" i="76"/>
  <c r="Q47" i="76"/>
  <c r="L47" i="76"/>
  <c r="W47" i="76"/>
  <c r="Y47" i="76"/>
  <c r="F47" i="76"/>
  <c r="H47" i="76"/>
  <c r="S47" i="76"/>
  <c r="X47" i="76"/>
  <c r="I47" i="76"/>
  <c r="E47" i="76"/>
  <c r="Z47" i="76"/>
  <c r="O47" i="76"/>
  <c r="R47" i="76"/>
  <c r="M47" i="76"/>
  <c r="G47" i="76"/>
  <c r="K47" i="76"/>
  <c r="AA47" i="76"/>
  <c r="U47" i="76"/>
  <c r="P47" i="76"/>
  <c r="T47" i="76"/>
  <c r="J47" i="76"/>
  <c r="V47" i="76"/>
  <c r="N47" i="76"/>
  <c r="A256" i="67"/>
  <c r="E48" i="76"/>
  <c r="O48" i="76"/>
  <c r="N48" i="76"/>
  <c r="K48" i="76"/>
  <c r="X48" i="76"/>
  <c r="F48" i="76"/>
  <c r="S48" i="76"/>
  <c r="U48" i="76"/>
  <c r="P48" i="76"/>
  <c r="T48" i="76"/>
  <c r="G48" i="76"/>
  <c r="Y48" i="76"/>
  <c r="AA48" i="76"/>
  <c r="V48" i="76"/>
  <c r="Z48" i="76"/>
  <c r="L48" i="76"/>
  <c r="H48" i="76"/>
  <c r="D48" i="76"/>
  <c r="Q48" i="76"/>
  <c r="W48" i="76"/>
  <c r="R48" i="76"/>
  <c r="J48" i="76"/>
  <c r="I48" i="76"/>
  <c r="M48" i="76"/>
  <c r="AP51" i="66"/>
  <c r="AP42" i="66"/>
  <c r="AP50" i="66"/>
  <c r="AP59" i="66"/>
  <c r="AN55" i="67"/>
  <c r="AO44" i="67"/>
  <c r="AO48" i="67"/>
  <c r="AP48" i="67"/>
  <c r="AP59" i="67"/>
  <c r="AO45" i="67"/>
  <c r="AO49" i="67"/>
  <c r="AP52" i="67"/>
  <c r="AP60" i="67"/>
  <c r="AP56" i="67"/>
  <c r="AP62" i="67"/>
  <c r="AP44" i="67"/>
  <c r="AP46" i="67"/>
  <c r="AP47" i="67"/>
  <c r="AP53" i="67"/>
  <c r="AP55" i="67"/>
  <c r="AN41" i="67"/>
  <c r="AP45" i="67"/>
  <c r="AP49" i="67"/>
  <c r="AN61" i="67"/>
  <c r="BD44" i="67"/>
  <c r="AO41" i="67"/>
  <c r="AN56" i="67"/>
  <c r="AP61" i="67"/>
  <c r="AU60" i="66"/>
  <c r="AV55" i="66"/>
  <c r="A112" i="66"/>
  <c r="BA55" i="66"/>
  <c r="BA41" i="66"/>
  <c r="AP44" i="66"/>
  <c r="AM45" i="66"/>
  <c r="AQ45" i="66"/>
  <c r="AM49" i="66"/>
  <c r="AQ49" i="66"/>
  <c r="BA59" i="66"/>
  <c r="AM44" i="66"/>
  <c r="AN45" i="66"/>
  <c r="AN49" i="66"/>
  <c r="O32" i="66"/>
  <c r="BR46" i="67"/>
  <c r="BR50" i="67"/>
  <c r="BR54" i="67"/>
  <c r="BR62" i="67"/>
  <c r="BR42" i="67"/>
  <c r="BR51" i="67"/>
  <c r="BR55" i="67"/>
  <c r="BR63" i="67"/>
  <c r="BR48" i="67"/>
  <c r="BR52" i="67"/>
  <c r="BR60" i="67"/>
  <c r="BR64" i="67"/>
  <c r="BR45" i="67"/>
  <c r="BR49" i="67"/>
  <c r="BR53" i="67"/>
  <c r="BR57" i="67"/>
  <c r="BL64" i="67"/>
  <c r="BP64" i="67"/>
  <c r="BM64" i="67"/>
  <c r="BO64" i="67"/>
  <c r="BN64" i="67"/>
  <c r="BQ64" i="67"/>
  <c r="Y226" i="67"/>
  <c r="AE226" i="67" s="1"/>
  <c r="A226" i="67"/>
  <c r="Y234" i="67"/>
  <c r="AE234" i="67" s="1"/>
  <c r="A234" i="67"/>
  <c r="BO41" i="67"/>
  <c r="BM41" i="67"/>
  <c r="BN41" i="67"/>
  <c r="BQ41" i="67"/>
  <c r="BP41" i="67"/>
  <c r="BK43" i="67"/>
  <c r="BM43" i="67"/>
  <c r="BP43" i="67"/>
  <c r="BO43" i="67"/>
  <c r="BN43" i="67"/>
  <c r="BQ43" i="67"/>
  <c r="BR43" i="67" s="1"/>
  <c r="Y223" i="67"/>
  <c r="AE223" i="67" s="1"/>
  <c r="A223" i="67"/>
  <c r="Y227" i="67"/>
  <c r="AE227" i="67" s="1"/>
  <c r="A227" i="67"/>
  <c r="Y231" i="67"/>
  <c r="AE231" i="67" s="1"/>
  <c r="A231" i="67"/>
  <c r="Y235" i="67"/>
  <c r="AE235" i="67" s="1"/>
  <c r="A235" i="67"/>
  <c r="O32" i="67"/>
  <c r="AO42" i="67"/>
  <c r="AP43" i="67"/>
  <c r="BM45" i="67"/>
  <c r="BP45" i="67"/>
  <c r="BQ45" i="67"/>
  <c r="BO45" i="67"/>
  <c r="BN45" i="67"/>
  <c r="BQ46" i="67"/>
  <c r="BM46" i="67"/>
  <c r="BN46" i="67"/>
  <c r="BO46" i="67"/>
  <c r="BP46" i="67"/>
  <c r="BN47" i="67"/>
  <c r="BM47" i="67"/>
  <c r="BO47" i="67"/>
  <c r="BP47" i="67"/>
  <c r="BQ47" i="67"/>
  <c r="BR47" i="67" s="1"/>
  <c r="BK48" i="67"/>
  <c r="BN48" i="67"/>
  <c r="BO48" i="67"/>
  <c r="BQ48" i="67"/>
  <c r="BM48" i="67"/>
  <c r="BP48" i="67"/>
  <c r="BN49" i="67"/>
  <c r="BP49" i="67"/>
  <c r="BQ49" i="67"/>
  <c r="BM49" i="67"/>
  <c r="BO49" i="67"/>
  <c r="BK50" i="67"/>
  <c r="BQ50" i="67"/>
  <c r="BP50" i="67"/>
  <c r="BO50" i="67"/>
  <c r="BM50" i="67"/>
  <c r="BN50" i="67"/>
  <c r="BJ51" i="67"/>
  <c r="BP51" i="67"/>
  <c r="BN51" i="67"/>
  <c r="BQ51" i="67"/>
  <c r="BO51" i="67"/>
  <c r="BM51" i="67"/>
  <c r="BM52" i="67"/>
  <c r="BO52" i="67"/>
  <c r="BN52" i="67"/>
  <c r="BP52" i="67"/>
  <c r="BQ52" i="67"/>
  <c r="BF53" i="67"/>
  <c r="BO53" i="67"/>
  <c r="BM53" i="67"/>
  <c r="BP53" i="67"/>
  <c r="BN53" i="67"/>
  <c r="BQ53" i="67"/>
  <c r="BM54" i="67"/>
  <c r="BN54" i="67"/>
  <c r="BP54" i="67"/>
  <c r="BO54" i="67"/>
  <c r="BQ54" i="67"/>
  <c r="BF55" i="67"/>
  <c r="BQ55" i="67"/>
  <c r="BP55" i="67"/>
  <c r="BN55" i="67"/>
  <c r="BM55" i="67"/>
  <c r="BO56" i="67"/>
  <c r="BQ56" i="67"/>
  <c r="BR56" i="67" s="1"/>
  <c r="BP56" i="67"/>
  <c r="BN56" i="67"/>
  <c r="BM56" i="67"/>
  <c r="BP57" i="67"/>
  <c r="BN57" i="67"/>
  <c r="BQ57" i="67"/>
  <c r="BO57" i="67"/>
  <c r="BM57" i="67"/>
  <c r="BO58" i="67"/>
  <c r="BN58" i="67"/>
  <c r="BP58" i="67"/>
  <c r="BM58" i="67"/>
  <c r="BQ58" i="67"/>
  <c r="BR58" i="67" s="1"/>
  <c r="BP59" i="67"/>
  <c r="BQ59" i="67"/>
  <c r="BR59" i="67" s="1"/>
  <c r="BN59" i="67"/>
  <c r="BM59" i="67"/>
  <c r="BO59" i="67"/>
  <c r="BO60" i="67"/>
  <c r="BQ60" i="67"/>
  <c r="BN60" i="67"/>
  <c r="BP60" i="67"/>
  <c r="BM60" i="67"/>
  <c r="BF61" i="67"/>
  <c r="BN61" i="67"/>
  <c r="BM61" i="67"/>
  <c r="BO61" i="67"/>
  <c r="BQ61" i="67"/>
  <c r="BR61" i="67" s="1"/>
  <c r="BP61" i="67"/>
  <c r="BQ62" i="67"/>
  <c r="BP62" i="67"/>
  <c r="BM62" i="67"/>
  <c r="BO62" i="67"/>
  <c r="BN62" i="67"/>
  <c r="BQ63" i="67"/>
  <c r="BM63" i="67"/>
  <c r="BP63" i="67"/>
  <c r="BN63" i="67"/>
  <c r="Y220" i="67"/>
  <c r="AE220" i="67" s="1"/>
  <c r="A220" i="67"/>
  <c r="Y224" i="67"/>
  <c r="AE224" i="67" s="1"/>
  <c r="A224" i="67"/>
  <c r="Y228" i="67"/>
  <c r="AE228" i="67" s="1"/>
  <c r="A228" i="67"/>
  <c r="Y232" i="67"/>
  <c r="AE232" i="67" s="1"/>
  <c r="A232" i="67"/>
  <c r="Y236" i="67"/>
  <c r="AE236" i="67" s="1"/>
  <c r="A236" i="67"/>
  <c r="Y240" i="67"/>
  <c r="AE240" i="67" s="1"/>
  <c r="A240" i="67"/>
  <c r="Y222" i="67"/>
  <c r="AE222" i="67" s="1"/>
  <c r="A222" i="67"/>
  <c r="Y230" i="67"/>
  <c r="AE230" i="67" s="1"/>
  <c r="A230" i="67"/>
  <c r="Y238" i="67"/>
  <c r="AE238" i="67" s="1"/>
  <c r="A238" i="67"/>
  <c r="BD42" i="67"/>
  <c r="BM42" i="67"/>
  <c r="BQ42" i="67"/>
  <c r="BN42" i="67"/>
  <c r="BP42" i="67"/>
  <c r="BO42" i="67"/>
  <c r="BP44" i="67"/>
  <c r="BO44" i="67"/>
  <c r="BQ44" i="67"/>
  <c r="BR44" i="67" s="1"/>
  <c r="BN44" i="67"/>
  <c r="BM44" i="67"/>
  <c r="Y239" i="67"/>
  <c r="AE239" i="67" s="1"/>
  <c r="A239" i="67"/>
  <c r="AP42" i="67"/>
  <c r="Y221" i="67"/>
  <c r="AE221" i="67" s="1"/>
  <c r="A221" i="67"/>
  <c r="Y225" i="67"/>
  <c r="AE225" i="67" s="1"/>
  <c r="A225" i="67"/>
  <c r="Y229" i="67"/>
  <c r="AE229" i="67" s="1"/>
  <c r="A229" i="67"/>
  <c r="Y233" i="67"/>
  <c r="AE233" i="67" s="1"/>
  <c r="A233" i="67"/>
  <c r="Y237" i="67"/>
  <c r="AE237" i="67" s="1"/>
  <c r="A237" i="67"/>
  <c r="Y241" i="67"/>
  <c r="AE241" i="67" s="1"/>
  <c r="A241" i="67"/>
  <c r="BC65" i="67"/>
  <c r="BM65" i="67"/>
  <c r="BO65" i="67"/>
  <c r="BQ65" i="67"/>
  <c r="BN65" i="67"/>
  <c r="BP65" i="67"/>
  <c r="BE65" i="67"/>
  <c r="BL65" i="67"/>
  <c r="BE43" i="67"/>
  <c r="BD48" i="67"/>
  <c r="BJ41" i="67"/>
  <c r="BJ59" i="67"/>
  <c r="BG41" i="67"/>
  <c r="BE46" i="67"/>
  <c r="BK42" i="67"/>
  <c r="B187" i="67"/>
  <c r="B115" i="67" s="1"/>
  <c r="Y259" i="67"/>
  <c r="AE259" i="67" s="1"/>
  <c r="BI45" i="67"/>
  <c r="BK46" i="67"/>
  <c r="B191" i="67"/>
  <c r="B119" i="67" s="1"/>
  <c r="Y263" i="67"/>
  <c r="AE263" i="67" s="1"/>
  <c r="Y265" i="67"/>
  <c r="AE265" i="67" s="1"/>
  <c r="B193" i="67"/>
  <c r="B121" i="67" s="1"/>
  <c r="B196" i="67"/>
  <c r="B124" i="67" s="1"/>
  <c r="Y268" i="67"/>
  <c r="AE268" i="67" s="1"/>
  <c r="BH54" i="67"/>
  <c r="B200" i="67"/>
  <c r="B128" i="67" s="1"/>
  <c r="Y272" i="67"/>
  <c r="AE272" i="67" s="1"/>
  <c r="BH58" i="67"/>
  <c r="B203" i="67"/>
  <c r="B131" i="67" s="1"/>
  <c r="Y275" i="67"/>
  <c r="AE275" i="67" s="1"/>
  <c r="BH61" i="67"/>
  <c r="B206" i="67"/>
  <c r="Y278" i="67"/>
  <c r="AE278" i="67" s="1"/>
  <c r="BE48" i="67"/>
  <c r="B112" i="67"/>
  <c r="Y256" i="67"/>
  <c r="AE256" i="67" s="1"/>
  <c r="B186" i="67"/>
  <c r="B114" i="67" s="1"/>
  <c r="Y258" i="67"/>
  <c r="AE258" i="67" s="1"/>
  <c r="BI44" i="67"/>
  <c r="BK45" i="67"/>
  <c r="B190" i="67"/>
  <c r="B118" i="67" s="1"/>
  <c r="Y262" i="67"/>
  <c r="AE262" i="67" s="1"/>
  <c r="BI48" i="67"/>
  <c r="B194" i="67"/>
  <c r="B122" i="67" s="1"/>
  <c r="Y266" i="67"/>
  <c r="AE266" i="67" s="1"/>
  <c r="BH53" i="67"/>
  <c r="BJ54" i="67"/>
  <c r="B199" i="67"/>
  <c r="B127" i="67" s="1"/>
  <c r="Y271" i="67"/>
  <c r="AE271" i="67" s="1"/>
  <c r="BH57" i="67"/>
  <c r="BJ58" i="67"/>
  <c r="BH60" i="67"/>
  <c r="BJ61" i="67"/>
  <c r="B207" i="67"/>
  <c r="Y279" i="67"/>
  <c r="AE279" i="67" s="1"/>
  <c r="BI41" i="67"/>
  <c r="BE42" i="67"/>
  <c r="BD45" i="67"/>
  <c r="BF49" i="67"/>
  <c r="BF57" i="67"/>
  <c r="BH62" i="67"/>
  <c r="BE45" i="67"/>
  <c r="BD47" i="67"/>
  <c r="BK41" i="67"/>
  <c r="BI43" i="67"/>
  <c r="BK44" i="67"/>
  <c r="Y261" i="67"/>
  <c r="AE261" i="67" s="1"/>
  <c r="B189" i="67"/>
  <c r="B117" i="67" s="1"/>
  <c r="BI47" i="67"/>
  <c r="B192" i="67"/>
  <c r="B120" i="67" s="1"/>
  <c r="Y264" i="67"/>
  <c r="AE264" i="67" s="1"/>
  <c r="B195" i="67"/>
  <c r="B123" i="67" s="1"/>
  <c r="Y267" i="67"/>
  <c r="AE267" i="67" s="1"/>
  <c r="BJ53" i="67"/>
  <c r="B198" i="67"/>
  <c r="B126" i="67" s="1"/>
  <c r="Y270" i="67"/>
  <c r="AE270" i="67" s="1"/>
  <c r="BH56" i="67"/>
  <c r="BJ57" i="67"/>
  <c r="B202" i="67"/>
  <c r="B130" i="67" s="1"/>
  <c r="Y274" i="67"/>
  <c r="AE274" i="67" s="1"/>
  <c r="BJ60" i="67"/>
  <c r="Y277" i="67"/>
  <c r="AE277" i="67" s="1"/>
  <c r="B205" i="67"/>
  <c r="B133" i="67" s="1"/>
  <c r="BJ64" i="67"/>
  <c r="BF41" i="67"/>
  <c r="BI42" i="67"/>
  <c r="BD46" i="67"/>
  <c r="BF59" i="67"/>
  <c r="BD43" i="67"/>
  <c r="BE47" i="67"/>
  <c r="BG49" i="67"/>
  <c r="BD64" i="67"/>
  <c r="Y257" i="67"/>
  <c r="AE257" i="67" s="1"/>
  <c r="B185" i="67"/>
  <c r="B113" i="67" s="1"/>
  <c r="B188" i="67"/>
  <c r="B116" i="67" s="1"/>
  <c r="Y260" i="67"/>
  <c r="AE260" i="67" s="1"/>
  <c r="BI46" i="67"/>
  <c r="BK47" i="67"/>
  <c r="BL49" i="67"/>
  <c r="BJ52" i="67"/>
  <c r="Y269" i="67"/>
  <c r="AE269" i="67" s="1"/>
  <c r="B197" i="67"/>
  <c r="B125" i="67" s="1"/>
  <c r="BH55" i="67"/>
  <c r="BJ56" i="67"/>
  <c r="Y273" i="67"/>
  <c r="AE273" i="67" s="1"/>
  <c r="B201" i="67"/>
  <c r="B129" i="67" s="1"/>
  <c r="BH59" i="67"/>
  <c r="B204" i="67"/>
  <c r="B132" i="67" s="1"/>
  <c r="Y276" i="67"/>
  <c r="AE276" i="67" s="1"/>
  <c r="BJ62" i="67"/>
  <c r="AA83" i="67"/>
  <c r="T30" i="67"/>
  <c r="U30" i="67" s="1"/>
  <c r="AY43" i="66"/>
  <c r="AU42" i="66"/>
  <c r="Z85" i="67"/>
  <c r="AA77" i="67"/>
  <c r="Z95" i="67"/>
  <c r="AA99" i="67"/>
  <c r="AA93" i="67"/>
  <c r="Z79" i="67"/>
  <c r="AP63" i="67"/>
  <c r="T21" i="67"/>
  <c r="U21" i="67" s="1"/>
  <c r="T22" i="67"/>
  <c r="U22" i="67" s="1"/>
  <c r="Z77" i="67"/>
  <c r="Z93" i="67"/>
  <c r="AA80" i="67"/>
  <c r="AA85" i="67"/>
  <c r="Z87" i="67"/>
  <c r="AA91" i="67"/>
  <c r="T10" i="67"/>
  <c r="U10" i="67" s="1"/>
  <c r="T25" i="67"/>
  <c r="U25" i="67" s="1"/>
  <c r="T26" i="67"/>
  <c r="U26" i="67" s="1"/>
  <c r="BF62" i="67"/>
  <c r="BE44" i="67"/>
  <c r="BD50" i="67"/>
  <c r="T23" i="67"/>
  <c r="U23" i="67" s="1"/>
  <c r="T27" i="67"/>
  <c r="U27" i="67" s="1"/>
  <c r="BH63" i="67"/>
  <c r="K32" i="67"/>
  <c r="AM63" i="67" s="1"/>
  <c r="BG63" i="67"/>
  <c r="BI50" i="67"/>
  <c r="BE50" i="67"/>
  <c r="AQ50" i="67"/>
  <c r="AM50" i="67"/>
  <c r="BH50" i="67"/>
  <c r="BC50" i="67"/>
  <c r="AN50" i="67"/>
  <c r="BJ50" i="67"/>
  <c r="BL50" i="67"/>
  <c r="BF50" i="67"/>
  <c r="AO50" i="67"/>
  <c r="BG50" i="67"/>
  <c r="AP50" i="67"/>
  <c r="BI63" i="67"/>
  <c r="BD63" i="67"/>
  <c r="AN63" i="67"/>
  <c r="Z32" i="67"/>
  <c r="BI51" i="67"/>
  <c r="BE51" i="67"/>
  <c r="AQ51" i="67"/>
  <c r="AM51" i="67"/>
  <c r="BH51" i="67"/>
  <c r="BC51" i="67"/>
  <c r="AN51" i="67"/>
  <c r="BD51" i="67"/>
  <c r="BK51" i="67"/>
  <c r="BJ65" i="67"/>
  <c r="BF65" i="67"/>
  <c r="AN65" i="67"/>
  <c r="BH65" i="67"/>
  <c r="BD65" i="67"/>
  <c r="AP65" i="67"/>
  <c r="AA100" i="67"/>
  <c r="AA98" i="67"/>
  <c r="AA96" i="67"/>
  <c r="AA92" i="67"/>
  <c r="AA90" i="67"/>
  <c r="AA88" i="67"/>
  <c r="AA86" i="67"/>
  <c r="AA84" i="67"/>
  <c r="AA82" i="67"/>
  <c r="AA78" i="67"/>
  <c r="BI65" i="67"/>
  <c r="AQ65" i="67"/>
  <c r="BG65" i="67"/>
  <c r="AO65" i="67"/>
  <c r="AP41" i="67"/>
  <c r="BD41" i="67"/>
  <c r="BH41" i="67"/>
  <c r="BL41" i="67"/>
  <c r="BJ42" i="67"/>
  <c r="BF42" i="67"/>
  <c r="AN42" i="67"/>
  <c r="AQ42" i="67"/>
  <c r="BG42" i="67"/>
  <c r="BL42" i="67"/>
  <c r="BJ43" i="67"/>
  <c r="BF43" i="67"/>
  <c r="AN43" i="67"/>
  <c r="AQ43" i="67"/>
  <c r="BG43" i="67"/>
  <c r="BL43" i="67"/>
  <c r="BJ44" i="67"/>
  <c r="BF44" i="67"/>
  <c r="AN44" i="67"/>
  <c r="AQ44" i="67"/>
  <c r="BG44" i="67"/>
  <c r="BL44" i="67"/>
  <c r="BJ45" i="67"/>
  <c r="BF45" i="67"/>
  <c r="AN45" i="67"/>
  <c r="AQ45" i="67"/>
  <c r="BG45" i="67"/>
  <c r="BL45" i="67"/>
  <c r="BJ46" i="67"/>
  <c r="BF46" i="67"/>
  <c r="AN46" i="67"/>
  <c r="AQ46" i="67"/>
  <c r="BG46" i="67"/>
  <c r="BL46" i="67"/>
  <c r="BJ47" i="67"/>
  <c r="BF47" i="67"/>
  <c r="AN47" i="67"/>
  <c r="AQ47" i="67"/>
  <c r="BG47" i="67"/>
  <c r="BL47" i="67"/>
  <c r="BJ48" i="67"/>
  <c r="BF48" i="67"/>
  <c r="AN48" i="67"/>
  <c r="AQ48" i="67"/>
  <c r="BG48" i="67"/>
  <c r="BL48" i="67"/>
  <c r="BI49" i="67"/>
  <c r="BE49" i="67"/>
  <c r="AQ49" i="67"/>
  <c r="BH49" i="67"/>
  <c r="BC49" i="67"/>
  <c r="AN49" i="67"/>
  <c r="BJ49" i="67"/>
  <c r="AO51" i="67"/>
  <c r="BF51" i="67"/>
  <c r="BL51" i="67"/>
  <c r="BK52" i="67"/>
  <c r="BG52" i="67"/>
  <c r="BC52" i="67"/>
  <c r="BI52" i="67"/>
  <c r="BE52" i="67"/>
  <c r="AQ52" i="67"/>
  <c r="AM52" i="67"/>
  <c r="BL52" i="67"/>
  <c r="BD52" i="67"/>
  <c r="AN52" i="67"/>
  <c r="BF52" i="67"/>
  <c r="BF54" i="67"/>
  <c r="BF56" i="67"/>
  <c r="BF58" i="67"/>
  <c r="BF60" i="67"/>
  <c r="BK65" i="67"/>
  <c r="AA81" i="67"/>
  <c r="Z83" i="67"/>
  <c r="AA89" i="67"/>
  <c r="Z91" i="67"/>
  <c r="Z99" i="67"/>
  <c r="AA4" i="67"/>
  <c r="M65" i="67" s="1"/>
  <c r="T24" i="67"/>
  <c r="U24" i="67" s="1"/>
  <c r="T28" i="67"/>
  <c r="U28" i="67" s="1"/>
  <c r="BK63" i="67"/>
  <c r="BF63" i="67"/>
  <c r="AM41" i="67"/>
  <c r="AQ41" i="67"/>
  <c r="BE41" i="67"/>
  <c r="AM42" i="67"/>
  <c r="BC42" i="67"/>
  <c r="BH42" i="67"/>
  <c r="AM43" i="67"/>
  <c r="BC43" i="67"/>
  <c r="BH43" i="67"/>
  <c r="AM44" i="67"/>
  <c r="BC44" i="67"/>
  <c r="BH44" i="67"/>
  <c r="AM45" i="67"/>
  <c r="BC45" i="67"/>
  <c r="BH45" i="67"/>
  <c r="AM46" i="67"/>
  <c r="BC46" i="67"/>
  <c r="BH46" i="67"/>
  <c r="AM47" i="67"/>
  <c r="BC47" i="67"/>
  <c r="BH47" i="67"/>
  <c r="AM48" i="67"/>
  <c r="BC48" i="67"/>
  <c r="BH48" i="67"/>
  <c r="AM49" i="67"/>
  <c r="BD49" i="67"/>
  <c r="BK49" i="67"/>
  <c r="AP51" i="67"/>
  <c r="BG51" i="67"/>
  <c r="AO52" i="67"/>
  <c r="BH52" i="67"/>
  <c r="BK64" i="67"/>
  <c r="BG64" i="67"/>
  <c r="BC64" i="67"/>
  <c r="AO64" i="67"/>
  <c r="BI64" i="67"/>
  <c r="BE64" i="67"/>
  <c r="AQ64" i="67"/>
  <c r="AM64" i="67"/>
  <c r="BH64" i="67"/>
  <c r="AP64" i="67"/>
  <c r="BF64" i="67"/>
  <c r="AN64" i="67"/>
  <c r="AA79" i="67"/>
  <c r="Z81" i="67"/>
  <c r="AA87" i="67"/>
  <c r="Z89" i="67"/>
  <c r="Z97" i="67"/>
  <c r="BK53" i="67"/>
  <c r="BG53" i="67"/>
  <c r="BC53" i="67"/>
  <c r="AO53" i="67"/>
  <c r="BI53" i="67"/>
  <c r="BE53" i="67"/>
  <c r="AQ53" i="67"/>
  <c r="AM53" i="67"/>
  <c r="BD53" i="67"/>
  <c r="BL53" i="67"/>
  <c r="BK54" i="67"/>
  <c r="BG54" i="67"/>
  <c r="BC54" i="67"/>
  <c r="AO54" i="67"/>
  <c r="BI54" i="67"/>
  <c r="BE54" i="67"/>
  <c r="AQ54" i="67"/>
  <c r="AM54" i="67"/>
  <c r="BD54" i="67"/>
  <c r="BL54" i="67"/>
  <c r="BK55" i="67"/>
  <c r="BG55" i="67"/>
  <c r="BC55" i="67"/>
  <c r="BI55" i="67"/>
  <c r="AQ55" i="67"/>
  <c r="AM55" i="67"/>
  <c r="BD55" i="67"/>
  <c r="BL55" i="67"/>
  <c r="BK56" i="67"/>
  <c r="BG56" i="67"/>
  <c r="BC56" i="67"/>
  <c r="AO56" i="67"/>
  <c r="BI56" i="67"/>
  <c r="BE56" i="67"/>
  <c r="AQ56" i="67"/>
  <c r="AM56" i="67"/>
  <c r="BD56" i="67"/>
  <c r="BL56" i="67"/>
  <c r="BK57" i="67"/>
  <c r="BG57" i="67"/>
  <c r="BC57" i="67"/>
  <c r="AO57" i="67"/>
  <c r="BI57" i="67"/>
  <c r="BE57" i="67"/>
  <c r="AQ57" i="67"/>
  <c r="AM57" i="67"/>
  <c r="BD57" i="67"/>
  <c r="BL57" i="67"/>
  <c r="BK58" i="67"/>
  <c r="BG58" i="67"/>
  <c r="BC58" i="67"/>
  <c r="AO58" i="67"/>
  <c r="BI58" i="67"/>
  <c r="BE58" i="67"/>
  <c r="AQ58" i="67"/>
  <c r="AM58" i="67"/>
  <c r="BD58" i="67"/>
  <c r="BL58" i="67"/>
  <c r="BK59" i="67"/>
  <c r="BG59" i="67"/>
  <c r="BC59" i="67"/>
  <c r="AO59" i="67"/>
  <c r="BI59" i="67"/>
  <c r="BE59" i="67"/>
  <c r="AQ59" i="67"/>
  <c r="AM59" i="67"/>
  <c r="BD59" i="67"/>
  <c r="BL59" i="67"/>
  <c r="BK60" i="67"/>
  <c r="BG60" i="67"/>
  <c r="BC60" i="67"/>
  <c r="AO60" i="67"/>
  <c r="BI60" i="67"/>
  <c r="BE60" i="67"/>
  <c r="AQ60" i="67"/>
  <c r="AM60" i="67"/>
  <c r="BD60" i="67"/>
  <c r="BL60" i="67"/>
  <c r="BK61" i="67"/>
  <c r="BG61" i="67"/>
  <c r="BC61" i="67"/>
  <c r="AO61" i="67"/>
  <c r="BI61" i="67"/>
  <c r="BE61" i="67"/>
  <c r="AQ61" i="67"/>
  <c r="AM61" i="67"/>
  <c r="BD61" i="67"/>
  <c r="BL61" i="67"/>
  <c r="BK62" i="67"/>
  <c r="BG62" i="67"/>
  <c r="BC62" i="67"/>
  <c r="AO62" i="67"/>
  <c r="BI62" i="67"/>
  <c r="BE62" i="67"/>
  <c r="AQ62" i="67"/>
  <c r="AM62" i="67"/>
  <c r="BD62" i="67"/>
  <c r="BL62" i="67"/>
  <c r="BC63" i="67"/>
  <c r="BL63" i="67"/>
  <c r="Z78" i="67"/>
  <c r="Z80" i="67"/>
  <c r="Z82" i="67"/>
  <c r="Z84" i="67"/>
  <c r="Z86" i="67"/>
  <c r="Z88" i="67"/>
  <c r="Z90" i="67"/>
  <c r="Z92" i="67"/>
  <c r="Z94" i="67"/>
  <c r="Z96" i="67"/>
  <c r="Z98" i="67"/>
  <c r="Z100" i="67"/>
  <c r="BA58" i="66"/>
  <c r="BA54" i="66"/>
  <c r="BA52" i="66"/>
  <c r="AS58" i="66"/>
  <c r="AW54" i="66"/>
  <c r="AS50" i="66"/>
  <c r="AU48" i="66"/>
  <c r="AV43" i="66"/>
  <c r="AT57" i="66"/>
  <c r="AU44" i="66"/>
  <c r="AW65" i="66"/>
  <c r="AU41" i="66"/>
  <c r="AT49" i="66"/>
  <c r="AW42" i="66"/>
  <c r="AX56" i="66"/>
  <c r="BA56" i="66"/>
  <c r="BA48" i="66"/>
  <c r="BA44" i="66"/>
  <c r="AY41" i="66"/>
  <c r="BB41" i="66"/>
  <c r="BB42" i="66"/>
  <c r="BB43" i="66"/>
  <c r="BB44" i="66"/>
  <c r="BB45" i="66"/>
  <c r="BB46" i="66"/>
  <c r="AZ47" i="66"/>
  <c r="AZ48" i="66"/>
  <c r="BB49" i="66"/>
  <c r="BB50" i="66"/>
  <c r="BB51" i="66"/>
  <c r="BB52" i="66"/>
  <c r="AW41" i="66"/>
  <c r="AS54" i="66"/>
  <c r="AV47" i="66"/>
  <c r="AU65" i="66"/>
  <c r="AX52" i="66"/>
  <c r="BA51" i="66"/>
  <c r="BA47" i="66"/>
  <c r="BA43" i="66"/>
  <c r="AV59" i="66"/>
  <c r="AU56" i="66"/>
  <c r="AT53" i="66"/>
  <c r="AV51" i="66"/>
  <c r="AW46" i="66"/>
  <c r="AT45" i="66"/>
  <c r="AS42" i="66"/>
  <c r="AW50" i="66"/>
  <c r="AX60" i="66"/>
  <c r="AX44" i="66"/>
  <c r="BA57" i="66"/>
  <c r="BA53" i="66"/>
  <c r="BA49" i="66"/>
  <c r="BA45" i="66"/>
  <c r="BA60" i="66"/>
  <c r="AT61" i="66"/>
  <c r="AY62" i="66"/>
  <c r="AV63" i="66"/>
  <c r="AW58" i="66"/>
  <c r="AU52" i="66"/>
  <c r="AS46" i="66"/>
  <c r="AX48" i="66"/>
  <c r="BA50" i="66"/>
  <c r="BA46" i="66"/>
  <c r="BA42" i="66"/>
  <c r="AQ53" i="66"/>
  <c r="AA95" i="66"/>
  <c r="BB64" i="66"/>
  <c r="AV64" i="66"/>
  <c r="AZ64" i="66"/>
  <c r="AT64" i="66"/>
  <c r="AU64" i="66"/>
  <c r="AW62" i="66"/>
  <c r="AX64" i="66"/>
  <c r="BA64" i="66"/>
  <c r="BA62" i="66"/>
  <c r="BB53" i="66"/>
  <c r="AX53" i="66"/>
  <c r="AU53" i="66"/>
  <c r="AZ53" i="66"/>
  <c r="AS53" i="66"/>
  <c r="AW53" i="66"/>
  <c r="BB54" i="66"/>
  <c r="AT54" i="66"/>
  <c r="AZ54" i="66"/>
  <c r="AV54" i="66"/>
  <c r="BB55" i="66"/>
  <c r="AS55" i="66"/>
  <c r="AW55" i="66"/>
  <c r="AX55" i="66"/>
  <c r="AQ56" i="66"/>
  <c r="BB56" i="66"/>
  <c r="AV56" i="66"/>
  <c r="AZ56" i="66"/>
  <c r="AT56" i="66"/>
  <c r="AM56" i="66"/>
  <c r="BB57" i="66"/>
  <c r="BB58" i="66"/>
  <c r="BB59" i="66"/>
  <c r="AA78" i="66"/>
  <c r="AS64" i="66"/>
  <c r="AU62" i="66"/>
  <c r="AW60" i="66"/>
  <c r="AT59" i="66"/>
  <c r="AV57" i="66"/>
  <c r="AS56" i="66"/>
  <c r="AU54" i="66"/>
  <c r="AW52" i="66"/>
  <c r="AT51" i="66"/>
  <c r="AV49" i="66"/>
  <c r="AS48" i="66"/>
  <c r="AU46" i="66"/>
  <c r="AW44" i="66"/>
  <c r="AT43" i="66"/>
  <c r="AX62" i="66"/>
  <c r="AX54" i="66"/>
  <c r="AX46" i="66"/>
  <c r="AY64" i="66"/>
  <c r="AY60" i="66"/>
  <c r="AY58" i="66"/>
  <c r="AY56" i="66"/>
  <c r="AY54" i="66"/>
  <c r="AY52" i="66"/>
  <c r="AY50" i="66"/>
  <c r="AY48" i="66"/>
  <c r="AY46" i="66"/>
  <c r="AY44" i="66"/>
  <c r="AY42" i="66"/>
  <c r="AN61" i="66"/>
  <c r="BB61" i="66"/>
  <c r="AX61" i="66"/>
  <c r="AU61" i="66"/>
  <c r="AZ61" i="66"/>
  <c r="AS61" i="66"/>
  <c r="AW61" i="66"/>
  <c r="AO62" i="66"/>
  <c r="BB62" i="66"/>
  <c r="AT62" i="66"/>
  <c r="AZ62" i="66"/>
  <c r="AV62" i="66"/>
  <c r="AS63" i="66"/>
  <c r="AS62" i="66"/>
  <c r="BA63" i="66"/>
  <c r="BA61" i="66"/>
  <c r="AA90" i="66"/>
  <c r="AY65" i="66"/>
  <c r="AX65" i="66"/>
  <c r="AV65" i="66"/>
  <c r="AZ65" i="66"/>
  <c r="BA65" i="66"/>
  <c r="AT65" i="66"/>
  <c r="AS65" i="66"/>
  <c r="BB65" i="66"/>
  <c r="AT63" i="66"/>
  <c r="AW64" i="66"/>
  <c r="AV61" i="66"/>
  <c r="AS60" i="66"/>
  <c r="AU58" i="66"/>
  <c r="AW56" i="66"/>
  <c r="AT55" i="66"/>
  <c r="AV53" i="66"/>
  <c r="AS52" i="66"/>
  <c r="AU50" i="66"/>
  <c r="AW48" i="66"/>
  <c r="AT47" i="66"/>
  <c r="AV45" i="66"/>
  <c r="AS44" i="66"/>
  <c r="AX58" i="66"/>
  <c r="AX50" i="66"/>
  <c r="AX42" i="66"/>
  <c r="AY63" i="66"/>
  <c r="AY61" i="66"/>
  <c r="AY59" i="66"/>
  <c r="AY57" i="66"/>
  <c r="AY55" i="66"/>
  <c r="AY53" i="66"/>
  <c r="AY51" i="66"/>
  <c r="AY49" i="66"/>
  <c r="AY47" i="66"/>
  <c r="AY45" i="66"/>
  <c r="AN53" i="66"/>
  <c r="AN56" i="66"/>
  <c r="AO61" i="66"/>
  <c r="AM60" i="66"/>
  <c r="AS41" i="66"/>
  <c r="AT41" i="66"/>
  <c r="AT60" i="66"/>
  <c r="AU59" i="66"/>
  <c r="AV58" i="66"/>
  <c r="AW57" i="66"/>
  <c r="AS57" i="66"/>
  <c r="AT52" i="66"/>
  <c r="AU51" i="66"/>
  <c r="AV50" i="66"/>
  <c r="AW49" i="66"/>
  <c r="AS49" i="66"/>
  <c r="AT48" i="66"/>
  <c r="AU47" i="66"/>
  <c r="AV46" i="66"/>
  <c r="AW45" i="66"/>
  <c r="AS45" i="66"/>
  <c r="AT44" i="66"/>
  <c r="AU43" i="66"/>
  <c r="AV42" i="66"/>
  <c r="AX59" i="66"/>
  <c r="AX51" i="66"/>
  <c r="AX47" i="66"/>
  <c r="AX43" i="66"/>
  <c r="AZ60" i="66"/>
  <c r="AZ59" i="66"/>
  <c r="AZ58" i="66"/>
  <c r="AZ57" i="66"/>
  <c r="AZ52" i="66"/>
  <c r="AZ51" i="66"/>
  <c r="AZ50" i="66"/>
  <c r="AZ49" i="66"/>
  <c r="AZ46" i="66"/>
  <c r="AZ45" i="66"/>
  <c r="AZ44" i="66"/>
  <c r="AZ43" i="66"/>
  <c r="AZ42" i="66"/>
  <c r="AZ41" i="66"/>
  <c r="AA79" i="66"/>
  <c r="AA83" i="66"/>
  <c r="AP55" i="66"/>
  <c r="AM61" i="66"/>
  <c r="AQ61" i="66"/>
  <c r="AM64" i="66"/>
  <c r="AQ47" i="66"/>
  <c r="AQ48" i="66"/>
  <c r="AV41" i="66"/>
  <c r="AV60" i="66"/>
  <c r="AW59" i="66"/>
  <c r="AS59" i="66"/>
  <c r="AT58" i="66"/>
  <c r="AU57" i="66"/>
  <c r="AV52" i="66"/>
  <c r="AW51" i="66"/>
  <c r="AS51" i="66"/>
  <c r="AT50" i="66"/>
  <c r="AU49" i="66"/>
  <c r="AV48" i="66"/>
  <c r="AW47" i="66"/>
  <c r="AS47" i="66"/>
  <c r="AT46" i="66"/>
  <c r="AU45" i="66"/>
  <c r="AV44" i="66"/>
  <c r="AW43" i="66"/>
  <c r="AS43" i="66"/>
  <c r="AT42" i="66"/>
  <c r="AX41" i="66"/>
  <c r="AX57" i="66"/>
  <c r="AX49" i="66"/>
  <c r="AX45" i="66"/>
  <c r="BB60" i="66"/>
  <c r="BB48" i="66"/>
  <c r="BB47" i="66"/>
  <c r="AO41" i="66"/>
  <c r="AP43" i="66"/>
  <c r="AM57" i="66"/>
  <c r="AQ57" i="66"/>
  <c r="AQ64" i="66"/>
  <c r="AN48" i="66"/>
  <c r="AO54" i="66"/>
  <c r="AO57" i="66"/>
  <c r="AO58" i="66"/>
  <c r="AN64" i="66"/>
  <c r="AM65" i="66"/>
  <c r="L32" i="66"/>
  <c r="AA81" i="66"/>
  <c r="Z81" i="66"/>
  <c r="AA94" i="66"/>
  <c r="K32" i="66"/>
  <c r="AM63" i="66" s="1"/>
  <c r="AX63" i="66"/>
  <c r="AA85" i="66"/>
  <c r="Z85" i="66"/>
  <c r="AP65" i="66"/>
  <c r="AO65" i="66"/>
  <c r="AN65" i="66"/>
  <c r="AA4" i="66"/>
  <c r="M65" i="66" s="1"/>
  <c r="Z98" i="66"/>
  <c r="Z94" i="66"/>
  <c r="Z90" i="66"/>
  <c r="Z86" i="66"/>
  <c r="Z82" i="66"/>
  <c r="Z78" i="66"/>
  <c r="AA99" i="66"/>
  <c r="AA91" i="66"/>
  <c r="AA87" i="66"/>
  <c r="AQ65" i="66"/>
  <c r="AQ46" i="66"/>
  <c r="AM46" i="66"/>
  <c r="AN46" i="66"/>
  <c r="AP46" i="66"/>
  <c r="AN47" i="66"/>
  <c r="AM47" i="66"/>
  <c r="AP47" i="66"/>
  <c r="AO48" i="66"/>
  <c r="AM48" i="66"/>
  <c r="AP48" i="66"/>
  <c r="AO59" i="66"/>
  <c r="AN59" i="66"/>
  <c r="AM59" i="66"/>
  <c r="AQ59" i="66"/>
  <c r="AP62" i="66"/>
  <c r="AA82" i="66"/>
  <c r="AA89" i="66"/>
  <c r="Z89" i="66"/>
  <c r="AA98" i="66"/>
  <c r="AP54" i="66"/>
  <c r="Z97" i="66"/>
  <c r="AN55" i="66"/>
  <c r="AQ55" i="66"/>
  <c r="AM55" i="66"/>
  <c r="AA77" i="66"/>
  <c r="Z77" i="66"/>
  <c r="AA86" i="66"/>
  <c r="AA93" i="66"/>
  <c r="Z93" i="66"/>
  <c r="N32" i="66"/>
  <c r="AQ42" i="66"/>
  <c r="AM42" i="66"/>
  <c r="AN43" i="66"/>
  <c r="AQ43" i="66"/>
  <c r="AO44" i="66"/>
  <c r="AQ44" i="66"/>
  <c r="AO50" i="66"/>
  <c r="AO51" i="66"/>
  <c r="AN58" i="66"/>
  <c r="AQ58" i="66"/>
  <c r="AM58" i="66"/>
  <c r="Z80" i="66"/>
  <c r="AA84" i="66"/>
  <c r="Z84" i="66"/>
  <c r="AA88" i="66"/>
  <c r="Z88" i="66"/>
  <c r="AA92" i="66"/>
  <c r="Z92" i="66"/>
  <c r="AA96" i="66"/>
  <c r="Z96" i="66"/>
  <c r="AA100" i="66"/>
  <c r="Z100" i="66"/>
  <c r="AQ50" i="66"/>
  <c r="AM50" i="66"/>
  <c r="AN51" i="66"/>
  <c r="AQ51" i="66"/>
  <c r="AN54" i="66"/>
  <c r="AQ54" i="66"/>
  <c r="AM54" i="66"/>
  <c r="AN62" i="66"/>
  <c r="AQ62" i="66"/>
  <c r="AM62" i="66"/>
  <c r="Z79" i="66"/>
  <c r="Z83" i="66"/>
  <c r="Z87" i="66"/>
  <c r="Z91" i="66"/>
  <c r="Z95" i="66"/>
  <c r="Z99" i="66"/>
  <c r="AP45" i="66"/>
  <c r="AP49" i="66"/>
  <c r="AO52" i="66"/>
  <c r="AP53" i="66"/>
  <c r="AO56" i="66"/>
  <c r="AP57" i="66"/>
  <c r="AO60" i="66"/>
  <c r="AP61" i="66"/>
  <c r="AO64" i="66"/>
  <c r="AP52" i="66"/>
  <c r="AP56" i="66"/>
  <c r="AP60" i="66"/>
  <c r="AP64" i="66"/>
  <c r="E45" i="76" l="1"/>
  <c r="F45" i="76"/>
  <c r="Q45" i="76"/>
  <c r="T45" i="76"/>
  <c r="L45" i="76"/>
  <c r="X45" i="76"/>
  <c r="D45" i="76"/>
  <c r="I45" i="76"/>
  <c r="P45" i="76"/>
  <c r="O45" i="76"/>
  <c r="K45" i="76"/>
  <c r="J45" i="76"/>
  <c r="W45" i="76"/>
  <c r="R45" i="76"/>
  <c r="N45" i="76"/>
  <c r="G45" i="76"/>
  <c r="H45" i="76"/>
  <c r="M45" i="76"/>
  <c r="Y45" i="76"/>
  <c r="S45" i="76"/>
  <c r="U45" i="76"/>
  <c r="V45" i="76"/>
  <c r="AX43" i="67"/>
  <c r="AO32" i="67"/>
  <c r="AL32" i="66"/>
  <c r="AL32" i="67"/>
  <c r="AO32" i="66"/>
  <c r="AX64" i="67"/>
  <c r="BA57" i="67"/>
  <c r="BB53" i="67"/>
  <c r="AY45" i="67"/>
  <c r="AY41" i="67"/>
  <c r="BB54" i="67"/>
  <c r="BA50" i="67"/>
  <c r="AY55" i="67"/>
  <c r="AX60" i="67"/>
  <c r="BA56" i="67"/>
  <c r="BB48" i="67"/>
  <c r="AY44" i="67"/>
  <c r="AX46" i="67"/>
  <c r="BA43" i="67"/>
  <c r="BA64" i="67"/>
  <c r="AZ57" i="67"/>
  <c r="AY53" i="67"/>
  <c r="BB49" i="67"/>
  <c r="BA45" i="67"/>
  <c r="AZ41" i="67"/>
  <c r="AZ62" i="67"/>
  <c r="AX50" i="67"/>
  <c r="BA42" i="67"/>
  <c r="AY47" i="67"/>
  <c r="AZ56" i="67"/>
  <c r="AX52" i="67"/>
  <c r="AZ44" i="67"/>
  <c r="BA58" i="67"/>
  <c r="BA63" i="67"/>
  <c r="AY43" i="67"/>
  <c r="AZ64" i="67"/>
  <c r="BA61" i="67"/>
  <c r="AX61" i="67"/>
  <c r="BB57" i="67"/>
  <c r="AZ53" i="67"/>
  <c r="AY49" i="67"/>
  <c r="AZ45" i="67"/>
  <c r="AX45" i="67"/>
  <c r="AX41" i="67"/>
  <c r="BB62" i="67"/>
  <c r="AY54" i="67"/>
  <c r="BA54" i="67"/>
  <c r="AY50" i="67"/>
  <c r="BB42" i="67"/>
  <c r="BA55" i="67"/>
  <c r="BB47" i="67"/>
  <c r="AZ47" i="67"/>
  <c r="BB60" i="67"/>
  <c r="AX56" i="67"/>
  <c r="AZ52" i="67"/>
  <c r="AZ48" i="67"/>
  <c r="AY48" i="67"/>
  <c r="AX44" i="67"/>
  <c r="AZ58" i="67"/>
  <c r="BB46" i="67"/>
  <c r="AY63" i="67"/>
  <c r="BB59" i="67"/>
  <c r="AY51" i="67"/>
  <c r="AY65" i="67"/>
  <c r="AZ65" i="67"/>
  <c r="AX65" i="67"/>
  <c r="BA65" i="67"/>
  <c r="BB65" i="67"/>
  <c r="AY61" i="67"/>
  <c r="AX57" i="67"/>
  <c r="BA49" i="67"/>
  <c r="BA41" i="67"/>
  <c r="AX62" i="67"/>
  <c r="BB50" i="67"/>
  <c r="AX42" i="67"/>
  <c r="BA47" i="67"/>
  <c r="AY60" i="67"/>
  <c r="BB52" i="67"/>
  <c r="BA44" i="67"/>
  <c r="AY58" i="67"/>
  <c r="BB63" i="67"/>
  <c r="AX59" i="67"/>
  <c r="AZ59" i="67"/>
  <c r="BB51" i="67"/>
  <c r="AZ61" i="67"/>
  <c r="AX53" i="67"/>
  <c r="AX54" i="67"/>
  <c r="AZ42" i="67"/>
  <c r="AX55" i="67"/>
  <c r="BA60" i="67"/>
  <c r="AY56" i="67"/>
  <c r="AX48" i="67"/>
  <c r="BB58" i="67"/>
  <c r="AZ46" i="67"/>
  <c r="BA59" i="67"/>
  <c r="AX51" i="67"/>
  <c r="AZ51" i="67"/>
  <c r="BB64" i="67"/>
  <c r="AY64" i="67"/>
  <c r="BB61" i="67"/>
  <c r="AY57" i="67"/>
  <c r="BA53" i="67"/>
  <c r="AZ49" i="67"/>
  <c r="AX49" i="67"/>
  <c r="BB45" i="67"/>
  <c r="BB41" i="67"/>
  <c r="AY62" i="67"/>
  <c r="BA62" i="67"/>
  <c r="AZ54" i="67"/>
  <c r="AZ50" i="67"/>
  <c r="AY42" i="67"/>
  <c r="BB55" i="67"/>
  <c r="AX47" i="67"/>
  <c r="AZ60" i="67"/>
  <c r="BB56" i="67"/>
  <c r="BA52" i="67"/>
  <c r="AY52" i="67"/>
  <c r="BA48" i="67"/>
  <c r="BB44" i="67"/>
  <c r="AX58" i="67"/>
  <c r="AY46" i="67"/>
  <c r="BA46" i="67"/>
  <c r="AX63" i="67"/>
  <c r="AY59" i="67"/>
  <c r="BA51" i="67"/>
  <c r="BB43" i="67"/>
  <c r="AZ43" i="67"/>
  <c r="AT48" i="67"/>
  <c r="AS41" i="67"/>
  <c r="AT44" i="67"/>
  <c r="AV45" i="67"/>
  <c r="AT43" i="67"/>
  <c r="AU48" i="67"/>
  <c r="AS45" i="67"/>
  <c r="AU41" i="67"/>
  <c r="AU43" i="67"/>
  <c r="AA97" i="67"/>
  <c r="AT53" i="67"/>
  <c r="AU59" i="67"/>
  <c r="AS47" i="67"/>
  <c r="AU47" i="67"/>
  <c r="AV56" i="67"/>
  <c r="AS50" i="67"/>
  <c r="AV46" i="67"/>
  <c r="AW48" i="67"/>
  <c r="AT61" i="67"/>
  <c r="AS57" i="67"/>
  <c r="AS53" i="67"/>
  <c r="AU45" i="67"/>
  <c r="AT41" i="67"/>
  <c r="AT47" i="67"/>
  <c r="AU56" i="67"/>
  <c r="AS62" i="67"/>
  <c r="AT62" i="67"/>
  <c r="AS58" i="67"/>
  <c r="AT55" i="67"/>
  <c r="AV44" i="67"/>
  <c r="AS61" i="67"/>
  <c r="AU57" i="67"/>
  <c r="AW57" i="67"/>
  <c r="AW53" i="67"/>
  <c r="AU49" i="67"/>
  <c r="AW49" i="67"/>
  <c r="AT45" i="67"/>
  <c r="AW59" i="67"/>
  <c r="AV59" i="67"/>
  <c r="AT51" i="67"/>
  <c r="AU51" i="67"/>
  <c r="AV47" i="67"/>
  <c r="AS43" i="67"/>
  <c r="AV43" i="67"/>
  <c r="AW56" i="67"/>
  <c r="AW62" i="67"/>
  <c r="AU58" i="67"/>
  <c r="AW58" i="67"/>
  <c r="AS54" i="67"/>
  <c r="AT54" i="67"/>
  <c r="AT50" i="67"/>
  <c r="AU46" i="67"/>
  <c r="AW46" i="67"/>
  <c r="AU42" i="67"/>
  <c r="AS42" i="67"/>
  <c r="AV60" i="67"/>
  <c r="AV48" i="67"/>
  <c r="AU61" i="67"/>
  <c r="AV53" i="67"/>
  <c r="AT59" i="67"/>
  <c r="AV62" i="67"/>
  <c r="AT58" i="67"/>
  <c r="AU54" i="67"/>
  <c r="AS55" i="67"/>
  <c r="AV55" i="67"/>
  <c r="AU60" i="67"/>
  <c r="AU52" i="67"/>
  <c r="AA94" i="67"/>
  <c r="AW61" i="67"/>
  <c r="AU53" i="67"/>
  <c r="AS49" i="67"/>
  <c r="AV51" i="67"/>
  <c r="AW47" i="67"/>
  <c r="AW54" i="67"/>
  <c r="AW50" i="67"/>
  <c r="AT46" i="67"/>
  <c r="AW42" i="67"/>
  <c r="AT60" i="67"/>
  <c r="AS52" i="67"/>
  <c r="AT52" i="67"/>
  <c r="AU44" i="67"/>
  <c r="AA95" i="67"/>
  <c r="AV61" i="67"/>
  <c r="AV57" i="67"/>
  <c r="AT57" i="67"/>
  <c r="AV49" i="67"/>
  <c r="AT49" i="67"/>
  <c r="AW45" i="67"/>
  <c r="AW41" i="67"/>
  <c r="AV41" i="67"/>
  <c r="AS59" i="67"/>
  <c r="AS51" i="67"/>
  <c r="AW51" i="67"/>
  <c r="AW43" i="67"/>
  <c r="AS56" i="67"/>
  <c r="AT56" i="67"/>
  <c r="Y148" i="67"/>
  <c r="AE148" i="67" s="1"/>
  <c r="A148" i="67"/>
  <c r="AU62" i="67"/>
  <c r="AV58" i="67"/>
  <c r="AV54" i="67"/>
  <c r="AV50" i="67"/>
  <c r="AU50" i="67"/>
  <c r="AS46" i="67"/>
  <c r="AT42" i="67"/>
  <c r="AV42" i="67"/>
  <c r="AW55" i="67"/>
  <c r="AS60" i="67"/>
  <c r="AW60" i="67"/>
  <c r="AW52" i="67"/>
  <c r="AV52" i="67"/>
  <c r="AS48" i="67"/>
  <c r="AW44" i="67"/>
  <c r="AS44" i="67"/>
  <c r="Z44" i="76"/>
  <c r="P32" i="67"/>
  <c r="AN63" i="66"/>
  <c r="AR32" i="66"/>
  <c r="AA80" i="66"/>
  <c r="AP63" i="66"/>
  <c r="AT32" i="66"/>
  <c r="Z37" i="76"/>
  <c r="P32" i="66"/>
  <c r="AU32" i="66"/>
  <c r="Y132" i="67"/>
  <c r="A132" i="67"/>
  <c r="A118" i="67"/>
  <c r="Y118" i="67"/>
  <c r="A114" i="67"/>
  <c r="Y114" i="67"/>
  <c r="A131" i="67"/>
  <c r="Y131" i="67"/>
  <c r="Y121" i="67"/>
  <c r="A121" i="67"/>
  <c r="Y116" i="67"/>
  <c r="A116" i="67"/>
  <c r="A123" i="67"/>
  <c r="Y123" i="67"/>
  <c r="Y117" i="67"/>
  <c r="A117" i="67"/>
  <c r="A127" i="67"/>
  <c r="Y127" i="67"/>
  <c r="A122" i="67"/>
  <c r="Y122" i="67"/>
  <c r="Y206" i="67"/>
  <c r="AE206" i="67" s="1"/>
  <c r="B134" i="67"/>
  <c r="Y134" i="67" s="1"/>
  <c r="Y129" i="67"/>
  <c r="A129" i="67"/>
  <c r="Y125" i="67"/>
  <c r="A125" i="67"/>
  <c r="Y113" i="67"/>
  <c r="A113" i="67"/>
  <c r="Y133" i="67"/>
  <c r="A133" i="67"/>
  <c r="A130" i="67"/>
  <c r="Y130" i="67"/>
  <c r="A126" i="67"/>
  <c r="Y126" i="67"/>
  <c r="Y112" i="67"/>
  <c r="A112" i="67"/>
  <c r="Y120" i="67"/>
  <c r="A120" i="67"/>
  <c r="Y207" i="67"/>
  <c r="AE207" i="67" s="1"/>
  <c r="B135" i="67"/>
  <c r="Y135" i="67" s="1"/>
  <c r="Y128" i="67"/>
  <c r="A128" i="67"/>
  <c r="Y124" i="67"/>
  <c r="A124" i="67"/>
  <c r="A119" i="67"/>
  <c r="Y119" i="67"/>
  <c r="A115" i="67"/>
  <c r="Y115" i="67"/>
  <c r="BV44" i="67"/>
  <c r="X46" i="76"/>
  <c r="AA46" i="76"/>
  <c r="E46" i="76"/>
  <c r="P46" i="76"/>
  <c r="H46" i="76"/>
  <c r="Q46" i="76"/>
  <c r="V46" i="76"/>
  <c r="R46" i="76"/>
  <c r="K46" i="76"/>
  <c r="M46" i="76"/>
  <c r="J46" i="76"/>
  <c r="F46" i="76"/>
  <c r="Z46" i="76"/>
  <c r="N46" i="76"/>
  <c r="T46" i="76"/>
  <c r="D46" i="76"/>
  <c r="L46" i="76"/>
  <c r="G46" i="76"/>
  <c r="O46" i="76"/>
  <c r="W46" i="76"/>
  <c r="U46" i="76"/>
  <c r="S46" i="76"/>
  <c r="Y46" i="76"/>
  <c r="I46" i="76"/>
  <c r="BB63" i="66"/>
  <c r="Z43" i="76"/>
  <c r="AI22" i="67"/>
  <c r="Q22" i="67" s="1"/>
  <c r="AI27" i="67"/>
  <c r="Q30" i="67" s="1"/>
  <c r="AI28" i="67"/>
  <c r="Q31" i="67" s="1"/>
  <c r="AI22" i="66"/>
  <c r="Q22" i="66" s="1"/>
  <c r="AI27" i="66"/>
  <c r="Q30" i="66" s="1"/>
  <c r="AI28" i="66"/>
  <c r="Q31" i="66" s="1"/>
  <c r="AI15" i="66"/>
  <c r="Q15" i="66" s="1"/>
  <c r="AI14" i="66"/>
  <c r="Q14" i="66" s="1"/>
  <c r="AI13" i="66"/>
  <c r="Q13" i="66" s="1"/>
  <c r="AI24" i="66"/>
  <c r="Q25" i="66" s="1"/>
  <c r="AI23" i="66"/>
  <c r="Q24" i="66" s="1"/>
  <c r="AI18" i="66"/>
  <c r="Q18" i="66" s="1"/>
  <c r="AI21" i="66"/>
  <c r="Q21" i="66" s="1"/>
  <c r="AI26" i="66"/>
  <c r="Q29" i="66" s="1"/>
  <c r="AI19" i="66"/>
  <c r="Q19" i="66" s="1"/>
  <c r="AI20" i="66"/>
  <c r="Q20" i="66" s="1"/>
  <c r="AI25" i="66"/>
  <c r="Q28" i="66" s="1"/>
  <c r="AI12" i="66"/>
  <c r="Q12" i="66" s="1"/>
  <c r="AI11" i="66"/>
  <c r="Q11" i="66" s="1"/>
  <c r="AI10" i="66"/>
  <c r="Q10" i="66" s="1"/>
  <c r="AI17" i="66"/>
  <c r="Q17" i="66" s="1"/>
  <c r="AI16" i="66"/>
  <c r="Q16" i="66" s="1"/>
  <c r="AI10" i="67"/>
  <c r="Q10" i="67" s="1"/>
  <c r="AI14" i="67"/>
  <c r="Q14" i="67" s="1"/>
  <c r="AI23" i="67"/>
  <c r="Q24" i="67" s="1"/>
  <c r="AI19" i="67"/>
  <c r="Q19" i="67" s="1"/>
  <c r="AI18" i="67"/>
  <c r="Q18" i="67" s="1"/>
  <c r="AI24" i="67"/>
  <c r="Q25" i="67" s="1"/>
  <c r="AI16" i="67"/>
  <c r="Q16" i="67" s="1"/>
  <c r="AI12" i="67"/>
  <c r="Q12" i="67" s="1"/>
  <c r="AI13" i="67"/>
  <c r="Q13" i="67" s="1"/>
  <c r="AI26" i="67"/>
  <c r="Q29" i="67" s="1"/>
  <c r="AI17" i="67"/>
  <c r="Q17" i="67" s="1"/>
  <c r="AI15" i="67"/>
  <c r="Q15" i="67" s="1"/>
  <c r="AI20" i="67"/>
  <c r="Q20" i="67" s="1"/>
  <c r="AI21" i="67"/>
  <c r="Q21" i="67" s="1"/>
  <c r="AI25" i="67"/>
  <c r="Q28" i="67" s="1"/>
  <c r="AI11" i="67"/>
  <c r="Q11" i="67" s="1"/>
  <c r="Y189" i="67"/>
  <c r="AE189" i="67" s="1"/>
  <c r="A189" i="67"/>
  <c r="Y194" i="67"/>
  <c r="AE194" i="67" s="1"/>
  <c r="A194" i="67"/>
  <c r="Y205" i="67"/>
  <c r="AE205" i="67" s="1"/>
  <c r="A205" i="67"/>
  <c r="Y184" i="67"/>
  <c r="AE184" i="67" s="1"/>
  <c r="A184" i="67"/>
  <c r="BW65" i="67"/>
  <c r="Y192" i="67"/>
  <c r="AE192" i="67" s="1"/>
  <c r="A192" i="67"/>
  <c r="Y200" i="67"/>
  <c r="AE200" i="67" s="1"/>
  <c r="A200" i="67"/>
  <c r="Y196" i="67"/>
  <c r="AE196" i="67" s="1"/>
  <c r="A196" i="67"/>
  <c r="Y191" i="67"/>
  <c r="AE191" i="67" s="1"/>
  <c r="A191" i="67"/>
  <c r="Y187" i="67"/>
  <c r="AE187" i="67" s="1"/>
  <c r="A187" i="67"/>
  <c r="Y188" i="67"/>
  <c r="AE188" i="67" s="1"/>
  <c r="A188" i="67"/>
  <c r="Y195" i="67"/>
  <c r="AE195" i="67" s="1"/>
  <c r="A195" i="67"/>
  <c r="Y199" i="67"/>
  <c r="AE199" i="67" s="1"/>
  <c r="A199" i="67"/>
  <c r="Y201" i="67"/>
  <c r="AE201" i="67" s="1"/>
  <c r="A201" i="67"/>
  <c r="Y197" i="67"/>
  <c r="AE197" i="67" s="1"/>
  <c r="A197" i="67"/>
  <c r="Y185" i="67"/>
  <c r="AE185" i="67" s="1"/>
  <c r="A185" i="67"/>
  <c r="Y202" i="67"/>
  <c r="AE202" i="67" s="1"/>
  <c r="A202" i="67"/>
  <c r="Y198" i="67"/>
  <c r="AE198" i="67" s="1"/>
  <c r="A198" i="67"/>
  <c r="BW41" i="67"/>
  <c r="Y204" i="67"/>
  <c r="AE204" i="67" s="1"/>
  <c r="A204" i="67"/>
  <c r="Y190" i="67"/>
  <c r="AE190" i="67" s="1"/>
  <c r="A190" i="67"/>
  <c r="Y186" i="67"/>
  <c r="AE186" i="67" s="1"/>
  <c r="A186" i="67"/>
  <c r="Y203" i="67"/>
  <c r="AE203" i="67" s="1"/>
  <c r="A203" i="67"/>
  <c r="Y193" i="67"/>
  <c r="AE193" i="67" s="1"/>
  <c r="A193" i="67"/>
  <c r="BU58" i="67"/>
  <c r="BW44" i="67"/>
  <c r="BW55" i="67"/>
  <c r="BS65" i="67"/>
  <c r="BV65" i="67"/>
  <c r="BV62" i="67"/>
  <c r="BV52" i="67"/>
  <c r="BV41" i="67"/>
  <c r="BU52" i="67"/>
  <c r="BW61" i="67"/>
  <c r="BS49" i="67"/>
  <c r="BU54" i="67"/>
  <c r="BU61" i="67"/>
  <c r="BV48" i="67"/>
  <c r="BT53" i="67"/>
  <c r="BS61" i="67"/>
  <c r="BS48" i="67"/>
  <c r="BU50" i="67"/>
  <c r="BU57" i="67"/>
  <c r="BT43" i="67"/>
  <c r="BT47" i="67"/>
  <c r="BT48" i="67"/>
  <c r="BV50" i="67"/>
  <c r="BS56" i="67"/>
  <c r="BS63" i="67"/>
  <c r="BT50" i="67"/>
  <c r="BS42" i="67"/>
  <c r="BV61" i="67"/>
  <c r="BS57" i="67"/>
  <c r="BT46" i="67"/>
  <c r="BW54" i="67"/>
  <c r="BT65" i="67"/>
  <c r="BU65" i="67"/>
  <c r="BU59" i="67"/>
  <c r="BT62" i="67"/>
  <c r="BU49" i="67"/>
  <c r="BU56" i="67"/>
  <c r="BV58" i="67"/>
  <c r="BS64" i="67"/>
  <c r="BT51" i="67"/>
  <c r="BT58" i="67"/>
  <c r="BT44" i="67"/>
  <c r="BS41" i="67"/>
  <c r="BW45" i="67"/>
  <c r="BU64" i="67"/>
  <c r="BW57" i="67"/>
  <c r="BS60" i="67"/>
  <c r="BV46" i="67"/>
  <c r="BT54" i="67"/>
  <c r="BS46" i="67"/>
  <c r="BT57" i="67"/>
  <c r="BW62" i="67"/>
  <c r="BS47" i="67"/>
  <c r="BW52" i="67"/>
  <c r="BW59" i="67"/>
  <c r="BU46" i="67"/>
  <c r="BS44" i="67"/>
  <c r="BT63" i="67"/>
  <c r="BU60" i="67"/>
  <c r="BT56" i="67"/>
  <c r="BU45" i="67"/>
  <c r="BS53" i="67"/>
  <c r="BS58" i="67"/>
  <c r="BW49" i="67"/>
  <c r="BS59" i="67"/>
  <c r="BU44" i="67"/>
  <c r="BU43" i="67"/>
  <c r="BW43" i="67"/>
  <c r="BW60" i="67"/>
  <c r="BW47" i="67"/>
  <c r="BS55" i="67"/>
  <c r="BW46" i="67"/>
  <c r="BU41" i="67"/>
  <c r="BS54" i="67"/>
  <c r="BV51" i="67"/>
  <c r="BV54" i="67"/>
  <c r="BW56" i="67"/>
  <c r="BW63" i="67"/>
  <c r="BS51" i="67"/>
  <c r="BW42" i="67"/>
  <c r="BW50" i="67"/>
  <c r="BS50" i="67"/>
  <c r="BT60" i="67"/>
  <c r="BU62" i="67"/>
  <c r="BV49" i="67"/>
  <c r="BV56" i="67"/>
  <c r="BU48" i="67"/>
  <c r="BT42" i="67"/>
  <c r="BS62" i="67"/>
  <c r="BV59" i="67"/>
  <c r="BW48" i="67"/>
  <c r="BW64" i="67"/>
  <c r="BS52" i="67"/>
  <c r="BU42" i="67"/>
  <c r="BS43" i="67"/>
  <c r="BT52" i="67"/>
  <c r="BV57" i="67"/>
  <c r="BV64" i="67"/>
  <c r="BW51" i="67"/>
  <c r="BV43" i="67"/>
  <c r="BV63" i="67"/>
  <c r="BS45" i="67"/>
  <c r="BT64" i="67"/>
  <c r="BU51" i="67"/>
  <c r="BV53" i="67"/>
  <c r="BV60" i="67"/>
  <c r="BU47" i="67"/>
  <c r="BV55" i="67"/>
  <c r="BT61" i="67"/>
  <c r="BW53" i="67"/>
  <c r="BT59" i="67"/>
  <c r="BV45" i="67"/>
  <c r="BU53" i="67"/>
  <c r="BT45" i="67"/>
  <c r="BV42" i="67"/>
  <c r="BT41" i="67"/>
  <c r="BW58" i="67"/>
  <c r="BV47" i="67"/>
  <c r="BT55" i="67"/>
  <c r="BT49" i="67"/>
  <c r="AQ63" i="66"/>
  <c r="AQ63" i="67"/>
  <c r="AL65" i="67"/>
  <c r="AL65" i="66"/>
  <c r="AA45" i="76" l="1"/>
  <c r="Z45" i="76"/>
  <c r="AV65" i="67"/>
  <c r="AW65" i="67"/>
  <c r="AS65" i="67"/>
  <c r="AU65" i="67"/>
  <c r="AT65" i="67"/>
  <c r="AW63" i="67"/>
  <c r="AU64" i="67"/>
  <c r="AW64" i="67"/>
  <c r="AT63" i="67"/>
  <c r="AV63" i="67"/>
  <c r="AT64" i="67"/>
  <c r="AS64" i="67"/>
  <c r="AV64" i="67"/>
  <c r="AS63" i="67"/>
  <c r="BR65" i="67"/>
  <c r="Y100" i="65" l="1"/>
  <c r="Y99" i="65"/>
  <c r="Y98" i="65"/>
  <c r="Y97" i="65"/>
  <c r="Y96" i="65"/>
  <c r="Y95" i="65"/>
  <c r="Y94" i="65"/>
  <c r="Y93" i="65"/>
  <c r="Y92" i="65"/>
  <c r="Y91" i="65"/>
  <c r="Y90" i="65"/>
  <c r="Y89" i="65"/>
  <c r="Y88" i="65"/>
  <c r="Y87" i="65"/>
  <c r="Y86" i="65"/>
  <c r="Y85" i="65"/>
  <c r="Y84" i="65"/>
  <c r="Y83" i="65"/>
  <c r="Y82" i="65"/>
  <c r="Y81" i="65"/>
  <c r="Y80" i="65"/>
  <c r="Y79" i="65"/>
  <c r="Y78" i="65"/>
  <c r="Y77" i="65"/>
  <c r="Y44" i="65"/>
  <c r="AA33" i="65"/>
  <c r="Z33" i="65"/>
  <c r="AL64" i="65"/>
  <c r="AL63" i="65"/>
  <c r="AL62" i="65"/>
  <c r="AL61" i="65"/>
  <c r="AL60" i="65"/>
  <c r="AL59" i="65"/>
  <c r="AL58" i="65"/>
  <c r="AL57" i="65"/>
  <c r="AL56" i="65"/>
  <c r="AL55" i="65"/>
  <c r="AL54" i="65"/>
  <c r="AO54" i="65" s="1"/>
  <c r="AL53" i="65"/>
  <c r="AL52" i="65"/>
  <c r="AL51" i="65"/>
  <c r="AL50" i="65"/>
  <c r="AL49" i="65"/>
  <c r="AL48" i="65"/>
  <c r="AL47" i="65"/>
  <c r="AL46" i="65"/>
  <c r="AL45" i="65"/>
  <c r="AL44" i="65"/>
  <c r="AL43" i="65"/>
  <c r="AL42" i="65"/>
  <c r="AL41" i="65"/>
  <c r="Y33" i="65"/>
  <c r="Y32" i="65"/>
  <c r="Y31" i="65"/>
  <c r="S31" i="65"/>
  <c r="T31" i="65" s="1"/>
  <c r="U31" i="65" s="1"/>
  <c r="Y30" i="65"/>
  <c r="S30" i="65"/>
  <c r="T30" i="65" s="1"/>
  <c r="U30" i="65" s="1"/>
  <c r="Y29" i="65"/>
  <c r="S29" i="65"/>
  <c r="T29" i="65" s="1"/>
  <c r="U29" i="65" s="1"/>
  <c r="AQ60" i="65"/>
  <c r="Y28" i="65"/>
  <c r="S28" i="65"/>
  <c r="T28" i="65" s="1"/>
  <c r="U28" i="65" s="1"/>
  <c r="Y27" i="65"/>
  <c r="S27" i="65"/>
  <c r="T27" i="65" s="1"/>
  <c r="U27" i="65" s="1"/>
  <c r="Y26" i="65"/>
  <c r="S26" i="65"/>
  <c r="T26" i="65" s="1"/>
  <c r="U26" i="65" s="1"/>
  <c r="Y25" i="65"/>
  <c r="S25" i="65"/>
  <c r="T25" i="65" s="1"/>
  <c r="U25" i="65" s="1"/>
  <c r="Y24" i="65"/>
  <c r="S24" i="65"/>
  <c r="T24" i="65" s="1"/>
  <c r="U24" i="65" s="1"/>
  <c r="Y23" i="65"/>
  <c r="S23" i="65"/>
  <c r="T23" i="65" s="1"/>
  <c r="U23" i="65" s="1"/>
  <c r="Y22" i="65"/>
  <c r="S22" i="65"/>
  <c r="T22" i="65" s="1"/>
  <c r="U22" i="65" s="1"/>
  <c r="Y21" i="65"/>
  <c r="S21" i="65"/>
  <c r="T21" i="65" s="1"/>
  <c r="U21" i="65" s="1"/>
  <c r="Y20" i="65"/>
  <c r="S20" i="65"/>
  <c r="T20" i="65" s="1"/>
  <c r="U20" i="65" s="1"/>
  <c r="Y19" i="65"/>
  <c r="S19" i="65"/>
  <c r="T19" i="65" s="1"/>
  <c r="U19" i="65" s="1"/>
  <c r="Y18" i="65"/>
  <c r="S18" i="65"/>
  <c r="T18" i="65" s="1"/>
  <c r="U18" i="65" s="1"/>
  <c r="Y17" i="65"/>
  <c r="S17" i="65"/>
  <c r="T17" i="65" s="1"/>
  <c r="U17" i="65" s="1"/>
  <c r="Y16" i="65"/>
  <c r="S16" i="65"/>
  <c r="T16" i="65" s="1"/>
  <c r="U16" i="65" s="1"/>
  <c r="Y15" i="65"/>
  <c r="S15" i="65"/>
  <c r="T15" i="65" s="1"/>
  <c r="U15" i="65" s="1"/>
  <c r="Y14" i="65"/>
  <c r="S14" i="65"/>
  <c r="T14" i="65" s="1"/>
  <c r="U14" i="65" s="1"/>
  <c r="Y13" i="65"/>
  <c r="S13" i="65"/>
  <c r="T13" i="65" s="1"/>
  <c r="U13" i="65" s="1"/>
  <c r="Y12" i="65"/>
  <c r="S12" i="65"/>
  <c r="T12" i="65" s="1"/>
  <c r="U12" i="65" s="1"/>
  <c r="Y11" i="65"/>
  <c r="S11" i="65"/>
  <c r="T11" i="65" s="1"/>
  <c r="U11" i="65" s="1"/>
  <c r="Y10" i="65"/>
  <c r="AR44" i="65" l="1"/>
  <c r="AR52" i="65"/>
  <c r="AR60" i="65"/>
  <c r="AR45" i="65"/>
  <c r="AR61" i="65"/>
  <c r="AR47" i="65"/>
  <c r="AR55" i="65"/>
  <c r="AR48" i="65"/>
  <c r="AR56" i="65"/>
  <c r="AR57" i="65"/>
  <c r="AR42" i="65"/>
  <c r="AR58" i="65"/>
  <c r="AR43" i="65"/>
  <c r="AR51" i="65"/>
  <c r="AR59" i="65"/>
  <c r="AN45" i="65"/>
  <c r="AO48" i="65"/>
  <c r="AM60" i="65"/>
  <c r="AM52" i="65"/>
  <c r="AM48" i="65"/>
  <c r="AQ52" i="65"/>
  <c r="AO60" i="65"/>
  <c r="AO44" i="65"/>
  <c r="AQ48" i="65"/>
  <c r="AO56" i="65"/>
  <c r="AO50" i="65"/>
  <c r="AR50" i="65"/>
  <c r="AM54" i="65"/>
  <c r="AR54" i="65"/>
  <c r="AN41" i="65"/>
  <c r="AR41" i="65"/>
  <c r="AN49" i="65"/>
  <c r="AR49" i="65"/>
  <c r="AN53" i="65"/>
  <c r="AR53" i="65"/>
  <c r="AQ64" i="65"/>
  <c r="AQ46" i="65"/>
  <c r="AR46" i="65"/>
  <c r="AO62" i="65"/>
  <c r="AR62" i="65"/>
  <c r="AM46" i="65"/>
  <c r="AQ54" i="65"/>
  <c r="AP55" i="65"/>
  <c r="AI23" i="65"/>
  <c r="Q24" i="65" s="1"/>
  <c r="AM42" i="65"/>
  <c r="AQ42" i="65"/>
  <c r="AN57" i="65"/>
  <c r="AO58" i="65"/>
  <c r="AO42" i="65"/>
  <c r="AP49" i="65"/>
  <c r="AP57" i="65"/>
  <c r="AM58" i="65"/>
  <c r="AQ58" i="65"/>
  <c r="AP41" i="65"/>
  <c r="AO46" i="65"/>
  <c r="AM50" i="65"/>
  <c r="AQ50" i="65"/>
  <c r="AO52" i="65"/>
  <c r="AM56" i="65"/>
  <c r="AQ56" i="65"/>
  <c r="AN61" i="65"/>
  <c r="AM62" i="65"/>
  <c r="AQ62" i="65"/>
  <c r="AM64" i="65"/>
  <c r="AP47" i="65"/>
  <c r="AO64" i="65"/>
  <c r="Z95" i="65"/>
  <c r="Z77" i="65"/>
  <c r="Z85" i="65"/>
  <c r="Z93" i="65"/>
  <c r="AA98" i="65"/>
  <c r="Z79" i="65"/>
  <c r="Z83" i="65"/>
  <c r="Z87" i="65"/>
  <c r="Z91" i="65"/>
  <c r="Z99" i="65"/>
  <c r="Z81" i="65"/>
  <c r="Z89" i="65"/>
  <c r="Z97" i="65"/>
  <c r="AA4" i="65"/>
  <c r="M65" i="65" s="1"/>
  <c r="AQ65" i="65"/>
  <c r="AA88" i="65"/>
  <c r="AA92" i="65"/>
  <c r="AA96" i="65"/>
  <c r="AA100" i="65"/>
  <c r="AA80" i="65"/>
  <c r="AA84" i="65"/>
  <c r="AQ44" i="65"/>
  <c r="AM63" i="65"/>
  <c r="AA97" i="65"/>
  <c r="L32" i="65"/>
  <c r="N32" i="65"/>
  <c r="AO32" i="65" s="1"/>
  <c r="AO43" i="65"/>
  <c r="AQ43" i="65"/>
  <c r="AM43" i="65"/>
  <c r="AN43" i="65"/>
  <c r="AP43" i="65"/>
  <c r="AA79" i="65"/>
  <c r="AM65" i="65"/>
  <c r="AM44" i="65"/>
  <c r="AA95" i="65"/>
  <c r="AO47" i="65"/>
  <c r="AQ47" i="65"/>
  <c r="AM47" i="65"/>
  <c r="AP51" i="65"/>
  <c r="AQ55" i="65"/>
  <c r="AM55" i="65"/>
  <c r="AP59" i="65"/>
  <c r="AP65" i="65"/>
  <c r="AA94" i="65"/>
  <c r="AA90" i="65"/>
  <c r="AA86" i="65"/>
  <c r="AA82" i="65"/>
  <c r="AA78" i="65"/>
  <c r="AN65" i="65"/>
  <c r="AQ45" i="65"/>
  <c r="AM45" i="65"/>
  <c r="AO45" i="65"/>
  <c r="AN47" i="65"/>
  <c r="AQ53" i="65"/>
  <c r="AM53" i="65"/>
  <c r="AO53" i="65"/>
  <c r="AN55" i="65"/>
  <c r="AQ61" i="65"/>
  <c r="AM61" i="65"/>
  <c r="AO61" i="65"/>
  <c r="Z78" i="65"/>
  <c r="Z80" i="65"/>
  <c r="Z82" i="65"/>
  <c r="Z84" i="65"/>
  <c r="Z86" i="65"/>
  <c r="Z88" i="65"/>
  <c r="Z90" i="65"/>
  <c r="Z92" i="65"/>
  <c r="Z94" i="65"/>
  <c r="Z96" i="65"/>
  <c r="Z98" i="65"/>
  <c r="Z100" i="65"/>
  <c r="AO51" i="65"/>
  <c r="AQ51" i="65"/>
  <c r="AM51" i="65"/>
  <c r="AO59" i="65"/>
  <c r="AQ59" i="65"/>
  <c r="AM59" i="65"/>
  <c r="AQ41" i="65"/>
  <c r="AM41" i="65"/>
  <c r="AO41" i="65"/>
  <c r="AP45" i="65"/>
  <c r="AQ49" i="65"/>
  <c r="AM49" i="65"/>
  <c r="AO49" i="65"/>
  <c r="AN51" i="65"/>
  <c r="AP53" i="65"/>
  <c r="AQ57" i="65"/>
  <c r="AM57" i="65"/>
  <c r="AO57" i="65"/>
  <c r="AN59" i="65"/>
  <c r="AP61" i="65"/>
  <c r="AO65" i="65"/>
  <c r="AA77" i="65"/>
  <c r="AA81" i="65"/>
  <c r="AA83" i="65"/>
  <c r="AA85" i="65"/>
  <c r="AA87" i="65"/>
  <c r="AA89" i="65"/>
  <c r="AA91" i="65"/>
  <c r="AA93" i="65"/>
  <c r="AA99" i="65"/>
  <c r="AP42" i="65"/>
  <c r="AN44" i="65"/>
  <c r="AP46" i="65"/>
  <c r="AN48" i="65"/>
  <c r="AP50" i="65"/>
  <c r="AN52" i="65"/>
  <c r="AP54" i="65"/>
  <c r="AN56" i="65"/>
  <c r="AP58" i="65"/>
  <c r="AN60" i="65"/>
  <c r="AP62" i="65"/>
  <c r="AN64" i="65"/>
  <c r="AN42" i="65"/>
  <c r="AP44" i="65"/>
  <c r="AN46" i="65"/>
  <c r="AP48" i="65"/>
  <c r="AN50" i="65"/>
  <c r="AP52" i="65"/>
  <c r="AN54" i="65"/>
  <c r="AP56" i="65"/>
  <c r="AN58" i="65"/>
  <c r="AP60" i="65"/>
  <c r="AN62" i="65"/>
  <c r="AP64" i="65"/>
  <c r="AL32" i="65" l="1"/>
  <c r="AP63" i="65"/>
  <c r="AN63" i="65"/>
  <c r="AW63" i="66"/>
  <c r="Z38" i="76"/>
  <c r="AI28" i="65"/>
  <c r="Q31" i="65" s="1"/>
  <c r="AI22" i="65"/>
  <c r="Q22" i="65" s="1"/>
  <c r="AI27" i="65"/>
  <c r="Q30" i="65" s="1"/>
  <c r="AI26" i="65"/>
  <c r="Q29" i="65" s="1"/>
  <c r="AI11" i="65"/>
  <c r="Q11" i="65" s="1"/>
  <c r="AI19" i="65"/>
  <c r="Q19" i="65" s="1"/>
  <c r="AI17" i="65"/>
  <c r="Q17" i="65" s="1"/>
  <c r="AI18" i="65"/>
  <c r="Q18" i="65" s="1"/>
  <c r="AI21" i="65"/>
  <c r="Q21" i="65" s="1"/>
  <c r="AI15" i="65"/>
  <c r="Q15" i="65" s="1"/>
  <c r="AI14" i="65"/>
  <c r="Q14" i="65" s="1"/>
  <c r="AI24" i="65"/>
  <c r="Q25" i="65" s="1"/>
  <c r="AI16" i="65"/>
  <c r="Q16" i="65" s="1"/>
  <c r="AI25" i="65"/>
  <c r="Q28" i="65" s="1"/>
  <c r="AI13" i="65"/>
  <c r="Q13" i="65" s="1"/>
  <c r="AI10" i="65"/>
  <c r="Q10" i="65" s="1"/>
  <c r="AI20" i="65"/>
  <c r="Q20" i="65" s="1"/>
  <c r="AI12" i="65"/>
  <c r="Q12" i="65" s="1"/>
  <c r="AL65" i="65"/>
  <c r="P32" i="65" l="1"/>
  <c r="AQ63" i="65"/>
  <c r="Z36" i="76"/>
  <c r="Y100" i="64"/>
  <c r="Y99" i="64"/>
  <c r="Y98" i="64"/>
  <c r="Y97" i="64"/>
  <c r="Y96" i="64"/>
  <c r="Y95" i="64"/>
  <c r="Y94" i="64"/>
  <c r="Y93" i="64"/>
  <c r="Y92" i="64"/>
  <c r="Y91" i="64"/>
  <c r="Y90" i="64"/>
  <c r="Y89" i="64"/>
  <c r="Y88" i="64"/>
  <c r="Y87" i="64"/>
  <c r="Y86" i="64"/>
  <c r="Y85" i="64"/>
  <c r="Y84" i="64"/>
  <c r="Y83" i="64"/>
  <c r="Y82" i="64"/>
  <c r="Y81" i="64"/>
  <c r="Y80" i="64"/>
  <c r="Y79" i="64"/>
  <c r="Y78" i="64"/>
  <c r="Y77" i="64"/>
  <c r="Y44" i="64"/>
  <c r="AA33" i="64"/>
  <c r="Z33" i="64"/>
  <c r="AL64" i="64"/>
  <c r="AL63" i="64"/>
  <c r="AL62" i="64"/>
  <c r="AL61" i="64"/>
  <c r="AL60" i="64"/>
  <c r="AL59" i="64"/>
  <c r="AL58" i="64"/>
  <c r="AL57" i="64"/>
  <c r="AL56" i="64"/>
  <c r="AL55" i="64"/>
  <c r="AL54" i="64"/>
  <c r="AL53" i="64"/>
  <c r="AL52" i="64"/>
  <c r="AL51" i="64"/>
  <c r="AL50" i="64"/>
  <c r="AL49" i="64"/>
  <c r="AL48" i="64"/>
  <c r="AL47" i="64"/>
  <c r="AL46" i="64"/>
  <c r="AL45" i="64"/>
  <c r="AL44" i="64"/>
  <c r="AL43" i="64"/>
  <c r="AL42" i="64"/>
  <c r="AL41" i="64"/>
  <c r="Y33" i="64"/>
  <c r="Y32" i="64"/>
  <c r="N32" i="64"/>
  <c r="Y31" i="64"/>
  <c r="S31" i="64"/>
  <c r="T31" i="64" s="1"/>
  <c r="U31" i="64" s="1"/>
  <c r="Y30" i="64"/>
  <c r="S30" i="64"/>
  <c r="Y29" i="64"/>
  <c r="S29" i="64"/>
  <c r="Y28" i="64"/>
  <c r="S28" i="64"/>
  <c r="T28" i="64" s="1"/>
  <c r="U28" i="64" s="1"/>
  <c r="Y27" i="64"/>
  <c r="S27" i="64"/>
  <c r="T27" i="64" s="1"/>
  <c r="U27" i="64" s="1"/>
  <c r="Y26" i="64"/>
  <c r="S26" i="64"/>
  <c r="T26" i="64" s="1"/>
  <c r="U26" i="64" s="1"/>
  <c r="Y25" i="64"/>
  <c r="S25" i="64"/>
  <c r="T25" i="64" s="1"/>
  <c r="U25" i="64" s="1"/>
  <c r="Y24" i="64"/>
  <c r="S24" i="64"/>
  <c r="T24" i="64" s="1"/>
  <c r="U24" i="64" s="1"/>
  <c r="Y23" i="64"/>
  <c r="S23" i="64"/>
  <c r="T23" i="64" s="1"/>
  <c r="U23" i="64" s="1"/>
  <c r="Y22" i="64"/>
  <c r="S22" i="64"/>
  <c r="T22" i="64" s="1"/>
  <c r="U22" i="64" s="1"/>
  <c r="Y21" i="64"/>
  <c r="S21" i="64"/>
  <c r="Y20" i="64"/>
  <c r="S20" i="64"/>
  <c r="T20" i="64" s="1"/>
  <c r="U20" i="64" s="1"/>
  <c r="Y19" i="64"/>
  <c r="S19" i="64"/>
  <c r="T19" i="64" s="1"/>
  <c r="U19" i="64" s="1"/>
  <c r="Y18" i="64"/>
  <c r="S18" i="64"/>
  <c r="T18" i="64" s="1"/>
  <c r="U18" i="64" s="1"/>
  <c r="Y17" i="64"/>
  <c r="S17" i="64"/>
  <c r="Y16" i="64"/>
  <c r="S16" i="64"/>
  <c r="T16" i="64" s="1"/>
  <c r="U16" i="64" s="1"/>
  <c r="Y15" i="64"/>
  <c r="S15" i="64"/>
  <c r="T15" i="64" s="1"/>
  <c r="U15" i="64" s="1"/>
  <c r="Y14" i="64"/>
  <c r="S14" i="64"/>
  <c r="T14" i="64" s="1"/>
  <c r="U14" i="64" s="1"/>
  <c r="Y13" i="64"/>
  <c r="S13" i="64"/>
  <c r="Y12" i="64"/>
  <c r="S12" i="64"/>
  <c r="T12" i="64" s="1"/>
  <c r="U12" i="64" s="1"/>
  <c r="Y11" i="64"/>
  <c r="S11" i="64"/>
  <c r="T11" i="64" s="1"/>
  <c r="U11" i="64" s="1"/>
  <c r="Y10" i="64"/>
  <c r="S10" i="64"/>
  <c r="T10" i="64" s="1"/>
  <c r="U10" i="64" s="1"/>
  <c r="AR48" i="64" l="1"/>
  <c r="AR56" i="64"/>
  <c r="AR49" i="64"/>
  <c r="AR57" i="64"/>
  <c r="AR42" i="64"/>
  <c r="AR58" i="64"/>
  <c r="AR43" i="64"/>
  <c r="AR59" i="64"/>
  <c r="AR44" i="64"/>
  <c r="AR52" i="64"/>
  <c r="AR60" i="64"/>
  <c r="AR45" i="64"/>
  <c r="AR53" i="64"/>
  <c r="AR61" i="64"/>
  <c r="AR46" i="64"/>
  <c r="AR62" i="64"/>
  <c r="AR47" i="64"/>
  <c r="AN60" i="64"/>
  <c r="AN44" i="64"/>
  <c r="AM48" i="64"/>
  <c r="AO48" i="64"/>
  <c r="AM44" i="64"/>
  <c r="AN48" i="64"/>
  <c r="AO60" i="64"/>
  <c r="AO44" i="64"/>
  <c r="AO52" i="64"/>
  <c r="AO53" i="64"/>
  <c r="AR41" i="64"/>
  <c r="AM41" i="64"/>
  <c r="AQ41" i="64"/>
  <c r="AN53" i="64"/>
  <c r="AO64" i="64"/>
  <c r="AN51" i="64"/>
  <c r="AR51" i="64"/>
  <c r="AM55" i="64"/>
  <c r="AR55" i="64"/>
  <c r="AN55" i="64"/>
  <c r="AM50" i="64"/>
  <c r="AR50" i="64"/>
  <c r="AO54" i="64"/>
  <c r="AR54" i="64"/>
  <c r="AP45" i="64"/>
  <c r="AP47" i="64"/>
  <c r="AP49" i="64"/>
  <c r="AN49" i="64"/>
  <c r="AM52" i="64"/>
  <c r="AQ52" i="64"/>
  <c r="AO61" i="64"/>
  <c r="AO49" i="64"/>
  <c r="AN52" i="64"/>
  <c r="T17" i="64"/>
  <c r="AA81" i="64"/>
  <c r="AA85" i="64"/>
  <c r="AA87" i="64"/>
  <c r="AA89" i="64"/>
  <c r="AA91" i="64"/>
  <c r="AA93" i="64"/>
  <c r="AA99" i="64"/>
  <c r="Z77" i="64"/>
  <c r="Z78" i="64"/>
  <c r="Z82" i="64"/>
  <c r="Z84" i="64"/>
  <c r="Z88" i="64"/>
  <c r="Z92" i="64"/>
  <c r="Z96" i="64"/>
  <c r="Z100" i="64"/>
  <c r="AA78" i="64"/>
  <c r="AA82" i="64"/>
  <c r="AA86" i="64"/>
  <c r="AA88" i="64"/>
  <c r="AA90" i="64"/>
  <c r="AA92" i="64"/>
  <c r="AA96" i="64"/>
  <c r="AA98" i="64"/>
  <c r="AA100" i="64"/>
  <c r="Z79" i="64"/>
  <c r="Z81" i="64"/>
  <c r="Z83" i="64"/>
  <c r="Z85" i="64"/>
  <c r="Z87" i="64"/>
  <c r="Z89" i="64"/>
  <c r="Z91" i="64"/>
  <c r="Z93" i="64"/>
  <c r="Z95" i="64"/>
  <c r="Z97" i="64"/>
  <c r="Z99" i="64"/>
  <c r="AA77" i="64"/>
  <c r="Z80" i="64"/>
  <c r="Z86" i="64"/>
  <c r="Z90" i="64"/>
  <c r="Z94" i="64"/>
  <c r="Z98" i="64"/>
  <c r="AM56" i="64"/>
  <c r="AA4" i="64"/>
  <c r="T13" i="64"/>
  <c r="AO50" i="64"/>
  <c r="AP51" i="64"/>
  <c r="T21" i="64"/>
  <c r="U21" i="64" s="1"/>
  <c r="AM54" i="64"/>
  <c r="AN56" i="64"/>
  <c r="T29" i="64"/>
  <c r="U29" i="64" s="1"/>
  <c r="AM64" i="64"/>
  <c r="AQ64" i="64"/>
  <c r="AP46" i="64"/>
  <c r="AA83" i="64"/>
  <c r="T30" i="64"/>
  <c r="AA79" i="64"/>
  <c r="AP50" i="64"/>
  <c r="AM51" i="64"/>
  <c r="AO56" i="64"/>
  <c r="AA95" i="64"/>
  <c r="AM60" i="64"/>
  <c r="AQ60" i="64"/>
  <c r="AN61" i="64"/>
  <c r="AN64" i="64"/>
  <c r="AQ44" i="64"/>
  <c r="AP63" i="64"/>
  <c r="L32" i="64"/>
  <c r="AN65" i="64"/>
  <c r="AP59" i="64"/>
  <c r="Z32" i="64"/>
  <c r="AA94" i="64"/>
  <c r="AQ59" i="64"/>
  <c r="K32" i="64"/>
  <c r="AM63" i="64" s="1"/>
  <c r="AP41" i="64"/>
  <c r="AP42" i="64"/>
  <c r="AP43" i="64"/>
  <c r="AO45" i="64"/>
  <c r="AO46" i="64"/>
  <c r="AN47" i="64"/>
  <c r="AQ53" i="64"/>
  <c r="AM53" i="64"/>
  <c r="AN54" i="64"/>
  <c r="AQ54" i="64"/>
  <c r="AQ55" i="64"/>
  <c r="AQ56" i="64"/>
  <c r="AP57" i="64"/>
  <c r="AO43" i="64"/>
  <c r="AQ57" i="64"/>
  <c r="AM57" i="64"/>
  <c r="AN41" i="64"/>
  <c r="AM42" i="64"/>
  <c r="AM43" i="64"/>
  <c r="AQ45" i="64"/>
  <c r="AM45" i="64"/>
  <c r="AN46" i="64"/>
  <c r="AQ46" i="64"/>
  <c r="AO47" i="64"/>
  <c r="AQ47" i="64"/>
  <c r="AQ48" i="64"/>
  <c r="AN57" i="64"/>
  <c r="AO58" i="64"/>
  <c r="AO59" i="64"/>
  <c r="AN59" i="64"/>
  <c r="AN62" i="64"/>
  <c r="AQ62" i="64"/>
  <c r="AM62" i="64"/>
  <c r="AO62" i="64"/>
  <c r="AN42" i="64"/>
  <c r="AQ42" i="64"/>
  <c r="AQ43" i="64"/>
  <c r="AN58" i="64"/>
  <c r="AQ58" i="64"/>
  <c r="AM58" i="64"/>
  <c r="AP65" i="64"/>
  <c r="AO65" i="64"/>
  <c r="AQ65" i="64"/>
  <c r="AM65" i="64"/>
  <c r="AO41" i="64"/>
  <c r="AO42" i="64"/>
  <c r="AN43" i="64"/>
  <c r="AN45" i="64"/>
  <c r="AM46" i="64"/>
  <c r="AM47" i="64"/>
  <c r="AQ49" i="64"/>
  <c r="AM49" i="64"/>
  <c r="AN50" i="64"/>
  <c r="AQ50" i="64"/>
  <c r="AO51" i="64"/>
  <c r="AQ51" i="64"/>
  <c r="AP53" i="64"/>
  <c r="AP54" i="64"/>
  <c r="AP55" i="64"/>
  <c r="AO57" i="64"/>
  <c r="AP58" i="64"/>
  <c r="AM59" i="64"/>
  <c r="AP62" i="64"/>
  <c r="AP61" i="64"/>
  <c r="AP44" i="64"/>
  <c r="AP48" i="64"/>
  <c r="AP52" i="64"/>
  <c r="AP56" i="64"/>
  <c r="AP60" i="64"/>
  <c r="AM61" i="64"/>
  <c r="AQ61" i="64"/>
  <c r="AP64" i="64"/>
  <c r="AL65" i="64" l="1"/>
  <c r="M65" i="64"/>
  <c r="U13" i="64"/>
  <c r="AA80" i="64" s="1"/>
  <c r="U30" i="64"/>
  <c r="AA97" i="64" s="1"/>
  <c r="AA84" i="64"/>
  <c r="U17" i="64"/>
  <c r="AL32" i="64"/>
  <c r="AN63" i="64"/>
  <c r="O32" i="64"/>
  <c r="AI27" i="64"/>
  <c r="Q30" i="64" s="1"/>
  <c r="AI22" i="64"/>
  <c r="Q22" i="64" s="1"/>
  <c r="AI28" i="64"/>
  <c r="Q31" i="64" s="1"/>
  <c r="AI16" i="64"/>
  <c r="Q16" i="64" s="1"/>
  <c r="AI24" i="64"/>
  <c r="Q25" i="64" s="1"/>
  <c r="AI19" i="64"/>
  <c r="Q19" i="64" s="1"/>
  <c r="AI23" i="64"/>
  <c r="Q24" i="64" s="1"/>
  <c r="AI25" i="64"/>
  <c r="Q28" i="64" s="1"/>
  <c r="AI20" i="64"/>
  <c r="Q20" i="64" s="1"/>
  <c r="AI17" i="64"/>
  <c r="Q17" i="64" s="1"/>
  <c r="AI18" i="64"/>
  <c r="Q18" i="64" s="1"/>
  <c r="AI14" i="64"/>
  <c r="Q14" i="64" s="1"/>
  <c r="AI15" i="64"/>
  <c r="Q15" i="64" s="1"/>
  <c r="AI21" i="64"/>
  <c r="Q21" i="64" s="1"/>
  <c r="AI26" i="64"/>
  <c r="Q29" i="64" s="1"/>
  <c r="AI12" i="64"/>
  <c r="Q12" i="64" s="1"/>
  <c r="AI10" i="64"/>
  <c r="Q10" i="64" s="1"/>
  <c r="AI13" i="64"/>
  <c r="Q13" i="64" s="1"/>
  <c r="AI11" i="64"/>
  <c r="Q11" i="64" s="1"/>
  <c r="AO32" i="64" l="1"/>
  <c r="P32" i="64"/>
  <c r="AQ63" i="64"/>
  <c r="Z35" i="76"/>
  <c r="Y77" i="63" l="1"/>
  <c r="AA146" i="63" l="1"/>
  <c r="AB146" i="63"/>
  <c r="AC146" i="63"/>
  <c r="AD146" i="63"/>
  <c r="Z146" i="63"/>
  <c r="AF148" i="63"/>
  <c r="AF149" i="63"/>
  <c r="AF150" i="63"/>
  <c r="AF151" i="63"/>
  <c r="AF152" i="63"/>
  <c r="AF153" i="63"/>
  <c r="AF154" i="63"/>
  <c r="AF155" i="63"/>
  <c r="AF156" i="63"/>
  <c r="AF157" i="63"/>
  <c r="AF158" i="63"/>
  <c r="AF159" i="63"/>
  <c r="AF160" i="63"/>
  <c r="AF161" i="63"/>
  <c r="AF162" i="63"/>
  <c r="AF163" i="63"/>
  <c r="AF164" i="63"/>
  <c r="AF165" i="63"/>
  <c r="AF166" i="63"/>
  <c r="AF168" i="63"/>
  <c r="AF147" i="63" l="1"/>
  <c r="AF170" i="63"/>
  <c r="AF169" i="63" l="1"/>
  <c r="B169" i="63"/>
  <c r="B168" i="63"/>
  <c r="A168" i="63" s="1"/>
  <c r="B167" i="63"/>
  <c r="A167" i="63" s="1"/>
  <c r="B166" i="63"/>
  <c r="A166" i="63" s="1"/>
  <c r="B165" i="63"/>
  <c r="A165" i="63" s="1"/>
  <c r="B164" i="63"/>
  <c r="A164" i="63" s="1"/>
  <c r="B163" i="63"/>
  <c r="A163" i="63" s="1"/>
  <c r="B162" i="63"/>
  <c r="A162" i="63" s="1"/>
  <c r="B161" i="63"/>
  <c r="A161" i="63" s="1"/>
  <c r="B160" i="63"/>
  <c r="A160" i="63" s="1"/>
  <c r="B159" i="63"/>
  <c r="A159" i="63" s="1"/>
  <c r="B158" i="63"/>
  <c r="A158" i="63" s="1"/>
  <c r="B157" i="63"/>
  <c r="A157" i="63" s="1"/>
  <c r="B156" i="63"/>
  <c r="A156" i="63" s="1"/>
  <c r="B155" i="63"/>
  <c r="A155" i="63" s="1"/>
  <c r="B154" i="63"/>
  <c r="A154" i="63" s="1"/>
  <c r="B153" i="63"/>
  <c r="A153" i="63" s="1"/>
  <c r="B152" i="63"/>
  <c r="A152" i="63" s="1"/>
  <c r="B151" i="63"/>
  <c r="A151" i="63" s="1"/>
  <c r="B150" i="63"/>
  <c r="A150" i="63" s="1"/>
  <c r="B149" i="63"/>
  <c r="A149" i="63" s="1"/>
  <c r="B148" i="63"/>
  <c r="A148" i="63" s="1"/>
  <c r="B147" i="63"/>
  <c r="D32" i="76" s="1"/>
  <c r="Y100" i="63"/>
  <c r="Y99" i="63"/>
  <c r="Y98" i="63"/>
  <c r="Y97" i="63"/>
  <c r="Y96" i="63"/>
  <c r="Y95" i="63"/>
  <c r="Y94" i="63"/>
  <c r="Y93" i="63"/>
  <c r="Y92" i="63"/>
  <c r="Y91" i="63"/>
  <c r="Y90" i="63"/>
  <c r="Y89" i="63"/>
  <c r="Y88" i="63"/>
  <c r="Y87" i="63"/>
  <c r="Y86" i="63"/>
  <c r="Y85" i="63"/>
  <c r="Y84" i="63"/>
  <c r="Y83" i="63"/>
  <c r="Y82" i="63"/>
  <c r="Y81" i="63"/>
  <c r="Y80" i="63"/>
  <c r="Y79" i="63"/>
  <c r="Y78" i="63"/>
  <c r="Y44" i="63"/>
  <c r="AA33" i="63"/>
  <c r="Z33" i="63"/>
  <c r="AL64" i="63"/>
  <c r="AL63" i="63"/>
  <c r="AL62" i="63"/>
  <c r="AN62" i="63" s="1"/>
  <c r="AL61" i="63"/>
  <c r="AL60" i="63"/>
  <c r="AL59" i="63"/>
  <c r="AL58" i="63"/>
  <c r="AL57" i="63"/>
  <c r="AL56" i="63"/>
  <c r="AL55" i="63"/>
  <c r="AL54" i="63"/>
  <c r="AL53" i="63"/>
  <c r="AL52" i="63"/>
  <c r="AO52" i="63" s="1"/>
  <c r="AL51" i="63"/>
  <c r="AL50" i="63"/>
  <c r="AL49" i="63"/>
  <c r="AL48" i="63"/>
  <c r="AL47" i="63"/>
  <c r="AN47" i="63" s="1"/>
  <c r="AL46" i="63"/>
  <c r="AL45" i="63"/>
  <c r="AL44" i="63"/>
  <c r="AL43" i="63"/>
  <c r="AL42" i="63"/>
  <c r="AL41" i="63"/>
  <c r="Y33" i="63"/>
  <c r="Y32" i="63"/>
  <c r="Y31" i="63"/>
  <c r="S31" i="63"/>
  <c r="T31" i="63" s="1"/>
  <c r="U31" i="63" s="1"/>
  <c r="Y30" i="63"/>
  <c r="S30" i="63"/>
  <c r="Y29" i="63"/>
  <c r="S29" i="63"/>
  <c r="T29" i="63" s="1"/>
  <c r="U29" i="63" s="1"/>
  <c r="Y28" i="63"/>
  <c r="S28" i="63"/>
  <c r="T28" i="63" s="1"/>
  <c r="U28" i="63" s="1"/>
  <c r="Y27" i="63"/>
  <c r="S27" i="63"/>
  <c r="T27" i="63" s="1"/>
  <c r="U27" i="63" s="1"/>
  <c r="Y26" i="63"/>
  <c r="S26" i="63"/>
  <c r="T26" i="63" s="1"/>
  <c r="U26" i="63" s="1"/>
  <c r="Y25" i="63"/>
  <c r="S25" i="63"/>
  <c r="T25" i="63" s="1"/>
  <c r="U25" i="63" s="1"/>
  <c r="Y24" i="63"/>
  <c r="S24" i="63"/>
  <c r="T24" i="63" s="1"/>
  <c r="U24" i="63" s="1"/>
  <c r="Y23" i="63"/>
  <c r="S23" i="63"/>
  <c r="T23" i="63" s="1"/>
  <c r="U23" i="63" s="1"/>
  <c r="Y22" i="63"/>
  <c r="S22" i="63"/>
  <c r="T22" i="63" s="1"/>
  <c r="U22" i="63" s="1"/>
  <c r="Y21" i="63"/>
  <c r="S21" i="63"/>
  <c r="T21" i="63" s="1"/>
  <c r="U21" i="63" s="1"/>
  <c r="Y20" i="63"/>
  <c r="S20" i="63"/>
  <c r="T20" i="63" s="1"/>
  <c r="U20" i="63" s="1"/>
  <c r="Y19" i="63"/>
  <c r="S19" i="63"/>
  <c r="T19" i="63" s="1"/>
  <c r="U19" i="63" s="1"/>
  <c r="Y18" i="63"/>
  <c r="S18" i="63"/>
  <c r="T18" i="63" s="1"/>
  <c r="U18" i="63" s="1"/>
  <c r="Y17" i="63"/>
  <c r="S17" i="63"/>
  <c r="T17" i="63" s="1"/>
  <c r="U17" i="63" s="1"/>
  <c r="Y16" i="63"/>
  <c r="S16" i="63"/>
  <c r="T16" i="63" s="1"/>
  <c r="U16" i="63" s="1"/>
  <c r="Y15" i="63"/>
  <c r="S15" i="63"/>
  <c r="T15" i="63" s="1"/>
  <c r="U15" i="63" s="1"/>
  <c r="Y14" i="63"/>
  <c r="S14" i="63"/>
  <c r="T14" i="63" s="1"/>
  <c r="U14" i="63" s="1"/>
  <c r="Y13" i="63"/>
  <c r="S13" i="63"/>
  <c r="T13" i="63" s="1"/>
  <c r="U13" i="63" s="1"/>
  <c r="Y12" i="63"/>
  <c r="S12" i="63"/>
  <c r="T12" i="63" s="1"/>
  <c r="U12" i="63" s="1"/>
  <c r="Y11" i="63"/>
  <c r="S11" i="63"/>
  <c r="T11" i="63" s="1"/>
  <c r="U11" i="63" s="1"/>
  <c r="Y10" i="63"/>
  <c r="S10" i="63"/>
  <c r="T10" i="63" s="1"/>
  <c r="U10" i="63" s="1"/>
  <c r="Y44" i="62"/>
  <c r="Y44" i="49"/>
  <c r="Y42" i="49"/>
  <c r="AR65" i="63" l="1"/>
  <c r="T30" i="63"/>
  <c r="U30" i="63" s="1"/>
  <c r="AR49" i="63"/>
  <c r="AR47" i="63"/>
  <c r="AR51" i="63"/>
  <c r="AR41" i="63"/>
  <c r="AR45" i="63"/>
  <c r="AR57" i="63"/>
  <c r="AR43" i="63"/>
  <c r="AR55" i="63"/>
  <c r="AR59" i="63"/>
  <c r="AR42" i="63"/>
  <c r="AM46" i="63"/>
  <c r="AR46" i="63"/>
  <c r="AQ50" i="63"/>
  <c r="AR50" i="63"/>
  <c r="AR54" i="63"/>
  <c r="AR58" i="63"/>
  <c r="AR62" i="63"/>
  <c r="AR53" i="63"/>
  <c r="AR61" i="63"/>
  <c r="AO44" i="63"/>
  <c r="AR44" i="63"/>
  <c r="AR48" i="63"/>
  <c r="AR52" i="63"/>
  <c r="AR56" i="63"/>
  <c r="AR60" i="63"/>
  <c r="E33" i="76"/>
  <c r="F31" i="76"/>
  <c r="Z31" i="76"/>
  <c r="G34" i="76"/>
  <c r="T34" i="76"/>
  <c r="M31" i="76"/>
  <c r="T33" i="76"/>
  <c r="G32" i="76"/>
  <c r="R30" i="76"/>
  <c r="P34" i="76"/>
  <c r="Q32" i="76"/>
  <c r="Q31" i="76"/>
  <c r="I34" i="76"/>
  <c r="W30" i="76"/>
  <c r="G30" i="76"/>
  <c r="K32" i="76"/>
  <c r="W31" i="76"/>
  <c r="V33" i="76"/>
  <c r="AM50" i="63"/>
  <c r="A147" i="63"/>
  <c r="O31" i="76"/>
  <c r="S31" i="76"/>
  <c r="AA32" i="76"/>
  <c r="AA31" i="76"/>
  <c r="W34" i="76"/>
  <c r="I33" i="76"/>
  <c r="M33" i="76"/>
  <c r="D33" i="76"/>
  <c r="X34" i="76"/>
  <c r="Z33" i="76"/>
  <c r="H33" i="76"/>
  <c r="V34" i="76"/>
  <c r="J30" i="76"/>
  <c r="U32" i="76"/>
  <c r="Q33" i="76"/>
  <c r="K33" i="76"/>
  <c r="H34" i="76"/>
  <c r="I32" i="76"/>
  <c r="U34" i="76"/>
  <c r="Y32" i="76"/>
  <c r="N33" i="76"/>
  <c r="AQ46" i="63"/>
  <c r="X32" i="76"/>
  <c r="Z30" i="76"/>
  <c r="Z32" i="76"/>
  <c r="O34" i="76"/>
  <c r="H31" i="76"/>
  <c r="N31" i="76"/>
  <c r="P32" i="76"/>
  <c r="I30" i="76"/>
  <c r="O30" i="76"/>
  <c r="R34" i="76"/>
  <c r="O32" i="76"/>
  <c r="P33" i="76"/>
  <c r="Y31" i="76"/>
  <c r="R33" i="76"/>
  <c r="L30" i="76"/>
  <c r="S30" i="76"/>
  <c r="F32" i="76"/>
  <c r="T32" i="76"/>
  <c r="G33" i="76"/>
  <c r="M34" i="76"/>
  <c r="F34" i="76"/>
  <c r="E30" i="76"/>
  <c r="Y33" i="76"/>
  <c r="V30" i="76"/>
  <c r="S32" i="76"/>
  <c r="K34" i="76"/>
  <c r="J31" i="76"/>
  <c r="AA30" i="76"/>
  <c r="X30" i="76"/>
  <c r="AA34" i="76"/>
  <c r="L32" i="76"/>
  <c r="L31" i="76"/>
  <c r="J33" i="76"/>
  <c r="K30" i="76"/>
  <c r="AA33" i="76"/>
  <c r="O33" i="76"/>
  <c r="U31" i="76"/>
  <c r="X31" i="76"/>
  <c r="G31" i="76"/>
  <c r="V32" i="76"/>
  <c r="Y30" i="76"/>
  <c r="F30" i="76"/>
  <c r="T31" i="76"/>
  <c r="D30" i="76"/>
  <c r="T30" i="76"/>
  <c r="N30" i="76"/>
  <c r="E34" i="76"/>
  <c r="Q30" i="76"/>
  <c r="R32" i="76"/>
  <c r="I31" i="76"/>
  <c r="D34" i="76"/>
  <c r="U33" i="76"/>
  <c r="N34" i="76"/>
  <c r="X33" i="76"/>
  <c r="H30" i="76"/>
  <c r="P31" i="76"/>
  <c r="V31" i="76"/>
  <c r="S33" i="76"/>
  <c r="U30" i="76"/>
  <c r="Y34" i="76"/>
  <c r="E32" i="76"/>
  <c r="W32" i="76"/>
  <c r="S34" i="76"/>
  <c r="R31" i="76"/>
  <c r="E31" i="76"/>
  <c r="K31" i="76"/>
  <c r="L33" i="76"/>
  <c r="Z34" i="76"/>
  <c r="W33" i="76"/>
  <c r="J34" i="76"/>
  <c r="Q34" i="76"/>
  <c r="D31" i="76"/>
  <c r="M30" i="76"/>
  <c r="L34" i="76"/>
  <c r="M32" i="76"/>
  <c r="N32" i="76"/>
  <c r="P30" i="76"/>
  <c r="J32" i="76"/>
  <c r="H32" i="76"/>
  <c r="F33" i="76"/>
  <c r="AI27" i="63"/>
  <c r="Q30" i="63" s="1"/>
  <c r="AI22" i="63"/>
  <c r="Q22" i="63" s="1"/>
  <c r="AI28" i="63"/>
  <c r="Q31" i="63" s="1"/>
  <c r="AI10" i="63"/>
  <c r="Q10" i="63" s="1"/>
  <c r="AI12" i="63"/>
  <c r="Q12" i="63" s="1"/>
  <c r="AI21" i="63"/>
  <c r="Q21" i="63" s="1"/>
  <c r="BE45" i="63"/>
  <c r="BG45" i="63"/>
  <c r="BC45" i="63"/>
  <c r="BD45" i="63"/>
  <c r="BF45" i="63"/>
  <c r="BF49" i="63"/>
  <c r="BE49" i="63"/>
  <c r="BG49" i="63"/>
  <c r="BD49" i="63"/>
  <c r="BC49" i="63"/>
  <c r="BG56" i="63"/>
  <c r="BF56" i="63"/>
  <c r="BC56" i="63"/>
  <c r="BD56" i="63"/>
  <c r="BE56" i="63"/>
  <c r="AI23" i="63"/>
  <c r="Q24" i="63" s="1"/>
  <c r="BF48" i="63"/>
  <c r="BD48" i="63"/>
  <c r="BG48" i="63"/>
  <c r="BE48" i="63"/>
  <c r="BC48" i="63"/>
  <c r="BF60" i="63"/>
  <c r="BE60" i="63"/>
  <c r="BC60" i="63"/>
  <c r="BD60" i="63"/>
  <c r="BG60" i="63"/>
  <c r="BD64" i="63"/>
  <c r="BC64" i="63"/>
  <c r="BE64" i="63"/>
  <c r="BF64" i="63"/>
  <c r="BG64" i="63"/>
  <c r="AI11" i="63"/>
  <c r="Q11" i="63" s="1"/>
  <c r="AI13" i="63"/>
  <c r="Q13" i="63" s="1"/>
  <c r="AI15" i="63"/>
  <c r="Q15" i="63" s="1"/>
  <c r="AI17" i="63"/>
  <c r="Q17" i="63" s="1"/>
  <c r="AI19" i="63"/>
  <c r="Q19" i="63" s="1"/>
  <c r="AI24" i="63"/>
  <c r="Q25" i="63" s="1"/>
  <c r="BF43" i="63"/>
  <c r="BG43" i="63"/>
  <c r="BE43" i="63"/>
  <c r="BD43" i="63"/>
  <c r="BC43" i="63"/>
  <c r="BG47" i="63"/>
  <c r="BF47" i="63"/>
  <c r="BD47" i="63"/>
  <c r="BC47" i="63"/>
  <c r="BE47" i="63"/>
  <c r="BD53" i="63"/>
  <c r="BF53" i="63"/>
  <c r="BG53" i="63"/>
  <c r="BC53" i="63"/>
  <c r="BE53" i="63"/>
  <c r="BD54" i="63"/>
  <c r="BF54" i="63"/>
  <c r="BC54" i="63"/>
  <c r="BG54" i="63"/>
  <c r="BE54" i="63"/>
  <c r="BF59" i="63"/>
  <c r="BD59" i="63"/>
  <c r="BE59" i="63"/>
  <c r="BG59" i="63"/>
  <c r="BC59" i="63"/>
  <c r="AI14" i="63"/>
  <c r="Q14" i="63" s="1"/>
  <c r="AI16" i="63"/>
  <c r="Q16" i="63" s="1"/>
  <c r="AI18" i="63"/>
  <c r="Q18" i="63" s="1"/>
  <c r="AI26" i="63"/>
  <c r="Q29" i="63" s="1"/>
  <c r="BF41" i="63"/>
  <c r="BC41" i="63"/>
  <c r="BD41" i="63"/>
  <c r="BE41" i="63"/>
  <c r="BG41" i="63"/>
  <c r="BE61" i="63"/>
  <c r="BC61" i="63"/>
  <c r="BF61" i="63"/>
  <c r="BD61" i="63"/>
  <c r="BG61" i="63"/>
  <c r="AI20" i="63"/>
  <c r="Q20" i="63" s="1"/>
  <c r="BF44" i="63"/>
  <c r="BC44" i="63"/>
  <c r="BE44" i="63"/>
  <c r="BG44" i="63"/>
  <c r="BD44" i="63"/>
  <c r="BC55" i="63"/>
  <c r="BD55" i="63"/>
  <c r="BG55" i="63"/>
  <c r="BF55" i="63"/>
  <c r="BD65" i="63"/>
  <c r="BC65" i="63"/>
  <c r="BF65" i="63"/>
  <c r="BE65" i="63"/>
  <c r="BG65" i="63"/>
  <c r="AI25" i="63"/>
  <c r="Q28" i="63" s="1"/>
  <c r="BD42" i="63"/>
  <c r="BF42" i="63"/>
  <c r="BE42" i="63"/>
  <c r="BG42" i="63"/>
  <c r="BC42" i="63"/>
  <c r="BF46" i="63"/>
  <c r="BG46" i="63"/>
  <c r="BC46" i="63"/>
  <c r="BE46" i="63"/>
  <c r="BD46" i="63"/>
  <c r="BE50" i="63"/>
  <c r="BD50" i="63"/>
  <c r="BG50" i="63"/>
  <c r="BF50" i="63"/>
  <c r="BC50" i="63"/>
  <c r="BC51" i="63"/>
  <c r="BG51" i="63"/>
  <c r="BE51" i="63"/>
  <c r="BD51" i="63"/>
  <c r="BF51" i="63"/>
  <c r="BE52" i="63"/>
  <c r="BD52" i="63"/>
  <c r="BG52" i="63"/>
  <c r="BC52" i="63"/>
  <c r="BF52" i="63"/>
  <c r="BE57" i="63"/>
  <c r="BG57" i="63"/>
  <c r="BF57" i="63"/>
  <c r="BD57" i="63"/>
  <c r="BC57" i="63"/>
  <c r="BD58" i="63"/>
  <c r="BG58" i="63"/>
  <c r="BC58" i="63"/>
  <c r="BE58" i="63"/>
  <c r="BF58" i="63"/>
  <c r="BF62" i="63"/>
  <c r="BC62" i="63"/>
  <c r="BG62" i="63"/>
  <c r="BE62" i="63"/>
  <c r="BD62" i="63"/>
  <c r="BG63" i="63"/>
  <c r="BC63" i="63"/>
  <c r="BF63" i="63"/>
  <c r="BD63" i="63"/>
  <c r="AZ45" i="63"/>
  <c r="BA45" i="63"/>
  <c r="AX45" i="63"/>
  <c r="BB45" i="63"/>
  <c r="AY45" i="63"/>
  <c r="AZ49" i="63"/>
  <c r="BA49" i="63"/>
  <c r="AX49" i="63"/>
  <c r="BB49" i="63"/>
  <c r="AY49" i="63"/>
  <c r="BA56" i="63"/>
  <c r="AX56" i="63"/>
  <c r="BB56" i="63"/>
  <c r="AY56" i="63"/>
  <c r="AZ56" i="63"/>
  <c r="AZ61" i="63"/>
  <c r="AY61" i="63"/>
  <c r="BA61" i="63"/>
  <c r="AX61" i="63"/>
  <c r="BB61" i="63"/>
  <c r="BA44" i="63"/>
  <c r="AX44" i="63"/>
  <c r="BB44" i="63"/>
  <c r="AY44" i="63"/>
  <c r="AZ44" i="63"/>
  <c r="BA48" i="63"/>
  <c r="AX48" i="63"/>
  <c r="BB48" i="63"/>
  <c r="AY48" i="63"/>
  <c r="AZ48" i="63"/>
  <c r="AX55" i="63"/>
  <c r="BB55" i="63"/>
  <c r="BA55" i="63"/>
  <c r="AY55" i="63"/>
  <c r="BA60" i="63"/>
  <c r="AX60" i="63"/>
  <c r="BB60" i="63"/>
  <c r="AY60" i="63"/>
  <c r="AZ60" i="63"/>
  <c r="AX64" i="63"/>
  <c r="BB64" i="63"/>
  <c r="BA64" i="63"/>
  <c r="AY64" i="63"/>
  <c r="AZ64" i="63"/>
  <c r="AX43" i="63"/>
  <c r="BB43" i="63"/>
  <c r="AY43" i="63"/>
  <c r="AZ43" i="63"/>
  <c r="BA43" i="63"/>
  <c r="AX47" i="63"/>
  <c r="BB47" i="63"/>
  <c r="AY47" i="63"/>
  <c r="AZ47" i="63"/>
  <c r="BA47" i="63"/>
  <c r="AZ53" i="63"/>
  <c r="BA53" i="63"/>
  <c r="AX53" i="63"/>
  <c r="BB53" i="63"/>
  <c r="AY53" i="63"/>
  <c r="AY54" i="63"/>
  <c r="AX54" i="63"/>
  <c r="AZ54" i="63"/>
  <c r="BA54" i="63"/>
  <c r="BB54" i="63"/>
  <c r="AX59" i="63"/>
  <c r="BB59" i="63"/>
  <c r="BA59" i="63"/>
  <c r="AY59" i="63"/>
  <c r="AZ59" i="63"/>
  <c r="AY42" i="63"/>
  <c r="AZ42" i="63"/>
  <c r="BA42" i="63"/>
  <c r="AX42" i="63"/>
  <c r="BB42" i="63"/>
  <c r="AY46" i="63"/>
  <c r="AZ46" i="63"/>
  <c r="BA46" i="63"/>
  <c r="AX46" i="63"/>
  <c r="BB46" i="63"/>
  <c r="AY50" i="63"/>
  <c r="AZ50" i="63"/>
  <c r="BA50" i="63"/>
  <c r="AX50" i="63"/>
  <c r="BB50" i="63"/>
  <c r="AX51" i="63"/>
  <c r="BB51" i="63"/>
  <c r="BA51" i="63"/>
  <c r="AY51" i="63"/>
  <c r="AZ51" i="63"/>
  <c r="BA52" i="63"/>
  <c r="AX52" i="63"/>
  <c r="BB52" i="63"/>
  <c r="AY52" i="63"/>
  <c r="AZ52" i="63"/>
  <c r="AZ57" i="63"/>
  <c r="AY57" i="63"/>
  <c r="BA57" i="63"/>
  <c r="AX57" i="63"/>
  <c r="BB57" i="63"/>
  <c r="AY58" i="63"/>
  <c r="AZ58" i="63"/>
  <c r="BA58" i="63"/>
  <c r="AX58" i="63"/>
  <c r="BB58" i="63"/>
  <c r="AY62" i="63"/>
  <c r="BB62" i="63"/>
  <c r="AZ62" i="63"/>
  <c r="BA62" i="63"/>
  <c r="AX62" i="63"/>
  <c r="AX63" i="63"/>
  <c r="AY63" i="63"/>
  <c r="BA63" i="63"/>
  <c r="BB63" i="63"/>
  <c r="O32" i="63"/>
  <c r="Z29" i="76" s="1"/>
  <c r="AY65" i="63"/>
  <c r="AX65" i="63"/>
  <c r="AZ65" i="63"/>
  <c r="BA65" i="63"/>
  <c r="BB65" i="63"/>
  <c r="Z80" i="63"/>
  <c r="AT44" i="63"/>
  <c r="AW58" i="63"/>
  <c r="AP41" i="63"/>
  <c r="AS41" i="63"/>
  <c r="AM41" i="63"/>
  <c r="AN50" i="63"/>
  <c r="AA85" i="63"/>
  <c r="Z85" i="63"/>
  <c r="AA93" i="63"/>
  <c r="Z93" i="63"/>
  <c r="Z97" i="63"/>
  <c r="AA4" i="63"/>
  <c r="M65" i="63" s="1"/>
  <c r="AA77" i="63"/>
  <c r="Z77" i="63"/>
  <c r="AO46" i="63"/>
  <c r="AP47" i="63"/>
  <c r="AM48" i="63"/>
  <c r="AO50" i="63"/>
  <c r="AN53" i="63"/>
  <c r="Z78" i="63"/>
  <c r="AA78" i="63"/>
  <c r="Z82" i="63"/>
  <c r="AA82" i="63"/>
  <c r="Z86" i="63"/>
  <c r="AA86" i="63"/>
  <c r="Z90" i="63"/>
  <c r="AA90" i="63"/>
  <c r="Z94" i="63"/>
  <c r="Z98" i="63"/>
  <c r="AA98" i="63"/>
  <c r="AT53" i="63"/>
  <c r="Z84" i="63"/>
  <c r="Z88" i="63"/>
  <c r="AA88" i="63"/>
  <c r="Z92" i="63"/>
  <c r="AA92" i="63"/>
  <c r="Z96" i="63"/>
  <c r="AA96" i="63"/>
  <c r="Z100" i="63"/>
  <c r="AA100" i="63"/>
  <c r="AN46" i="63"/>
  <c r="AP48" i="63"/>
  <c r="AA81" i="63"/>
  <c r="Z81" i="63"/>
  <c r="AA89" i="63"/>
  <c r="Z89" i="63"/>
  <c r="AO58" i="63"/>
  <c r="AP59" i="63"/>
  <c r="AM62" i="63"/>
  <c r="AQ62" i="63"/>
  <c r="Z79" i="63"/>
  <c r="Z83" i="63"/>
  <c r="Z87" i="63"/>
  <c r="AA87" i="63"/>
  <c r="Z91" i="63"/>
  <c r="AA91" i="63"/>
  <c r="Z95" i="63"/>
  <c r="Z99" i="63"/>
  <c r="AA99" i="63"/>
  <c r="Y151" i="63"/>
  <c r="AQ54" i="63"/>
  <c r="AW42" i="63"/>
  <c r="Y164" i="63"/>
  <c r="AO42" i="63"/>
  <c r="AM58" i="63"/>
  <c r="AQ58" i="63"/>
  <c r="AO62" i="63"/>
  <c r="AT45" i="63"/>
  <c r="Y149" i="63"/>
  <c r="Y153" i="63"/>
  <c r="Y157" i="63"/>
  <c r="Y161" i="63"/>
  <c r="Y165" i="63"/>
  <c r="Y169" i="63"/>
  <c r="AW54" i="63"/>
  <c r="AW50" i="63"/>
  <c r="Y147" i="63"/>
  <c r="AM54" i="63"/>
  <c r="AU60" i="63"/>
  <c r="Y148" i="63"/>
  <c r="Y152" i="63"/>
  <c r="Y156" i="63"/>
  <c r="Y160" i="63"/>
  <c r="Y168" i="63"/>
  <c r="AN41" i="63"/>
  <c r="AN58" i="63"/>
  <c r="AN61" i="63"/>
  <c r="AS48" i="63"/>
  <c r="AT64" i="63"/>
  <c r="Y150" i="63"/>
  <c r="Y154" i="63"/>
  <c r="Y158" i="63"/>
  <c r="Y162" i="63"/>
  <c r="Y166" i="63"/>
  <c r="Y155" i="63"/>
  <c r="Y159" i="63"/>
  <c r="Y163" i="63"/>
  <c r="Y167" i="63"/>
  <c r="AW63" i="63"/>
  <c r="AT43" i="63"/>
  <c r="AU65" i="63"/>
  <c r="AS46" i="63"/>
  <c r="AU48" i="63"/>
  <c r="AU56" i="63"/>
  <c r="AV57" i="63"/>
  <c r="AS58" i="63"/>
  <c r="AV61" i="63"/>
  <c r="AM65" i="63"/>
  <c r="AQ65" i="63"/>
  <c r="AN45" i="63"/>
  <c r="AP49" i="63"/>
  <c r="AN54" i="63"/>
  <c r="AO56" i="63"/>
  <c r="AP57" i="63"/>
  <c r="AM60" i="63"/>
  <c r="AQ60" i="63"/>
  <c r="AO64" i="63"/>
  <c r="AU42" i="63"/>
  <c r="AS54" i="63"/>
  <c r="AS62" i="63"/>
  <c r="AS64" i="63"/>
  <c r="AW64" i="63"/>
  <c r="AM42" i="63"/>
  <c r="AQ42" i="63"/>
  <c r="AM49" i="63"/>
  <c r="AO54" i="63"/>
  <c r="AS47" i="63"/>
  <c r="AU50" i="63"/>
  <c r="AW62" i="63"/>
  <c r="AN42" i="63"/>
  <c r="AO43" i="63"/>
  <c r="AM56" i="63"/>
  <c r="AQ56" i="63"/>
  <c r="AN57" i="63"/>
  <c r="AO60" i="63"/>
  <c r="AM64" i="63"/>
  <c r="AV47" i="63"/>
  <c r="AU41" i="63"/>
  <c r="AV46" i="63"/>
  <c r="AU49" i="63"/>
  <c r="AT52" i="63"/>
  <c r="AT62" i="63"/>
  <c r="AT51" i="63"/>
  <c r="AU52" i="63"/>
  <c r="AT54" i="63"/>
  <c r="AA83" i="63"/>
  <c r="AA84" i="63"/>
  <c r="AA79" i="63"/>
  <c r="AA95" i="63"/>
  <c r="AU64" i="63"/>
  <c r="K32" i="63"/>
  <c r="AM63" i="63" s="1"/>
  <c r="AQ45" i="63"/>
  <c r="AU53" i="63"/>
  <c r="AT46" i="63"/>
  <c r="AT58" i="63"/>
  <c r="AA80" i="63"/>
  <c r="N32" i="63"/>
  <c r="AU43" i="63"/>
  <c r="AQ43" i="63"/>
  <c r="AM43" i="63"/>
  <c r="AV43" i="63"/>
  <c r="AP43" i="63"/>
  <c r="AS43" i="63"/>
  <c r="AN43" i="63"/>
  <c r="AW43" i="63"/>
  <c r="AV44" i="63"/>
  <c r="AN44" i="63"/>
  <c r="AU44" i="63"/>
  <c r="AP44" i="63"/>
  <c r="AS44" i="63"/>
  <c r="AM44" i="63"/>
  <c r="AW44" i="63"/>
  <c r="AW45" i="63"/>
  <c r="AS45" i="63"/>
  <c r="AO45" i="63"/>
  <c r="AU45" i="63"/>
  <c r="AP45" i="63"/>
  <c r="AM45" i="63"/>
  <c r="AV45" i="63"/>
  <c r="AU51" i="63"/>
  <c r="AQ51" i="63"/>
  <c r="AM51" i="63"/>
  <c r="AS51" i="63"/>
  <c r="AN51" i="63"/>
  <c r="AW51" i="63"/>
  <c r="AV51" i="63"/>
  <c r="AP51" i="63"/>
  <c r="L32" i="63"/>
  <c r="AQ64" i="63"/>
  <c r="AQ44" i="63"/>
  <c r="AO51" i="63"/>
  <c r="AW55" i="63"/>
  <c r="AS55" i="63"/>
  <c r="AU55" i="63"/>
  <c r="AQ55" i="63"/>
  <c r="AM55" i="63"/>
  <c r="AT55" i="63"/>
  <c r="AS63" i="63"/>
  <c r="AU63" i="63"/>
  <c r="AT63" i="63"/>
  <c r="AT65" i="63"/>
  <c r="AP65" i="63"/>
  <c r="AV65" i="63"/>
  <c r="AN65" i="63"/>
  <c r="AT41" i="63"/>
  <c r="AS42" i="63"/>
  <c r="AW46" i="63"/>
  <c r="AU47" i="63"/>
  <c r="AQ47" i="63"/>
  <c r="AM47" i="63"/>
  <c r="AW47" i="63"/>
  <c r="AV48" i="63"/>
  <c r="AN48" i="63"/>
  <c r="AQ48" i="63"/>
  <c r="AW48" i="63"/>
  <c r="AW49" i="63"/>
  <c r="AS49" i="63"/>
  <c r="AO49" i="63"/>
  <c r="AQ49" i="63"/>
  <c r="AV49" i="63"/>
  <c r="AT50" i="63"/>
  <c r="AV50" i="63"/>
  <c r="AP52" i="63"/>
  <c r="AP53" i="63"/>
  <c r="AN55" i="63"/>
  <c r="AV55" i="63"/>
  <c r="AT56" i="63"/>
  <c r="AS56" i="63"/>
  <c r="AU58" i="63"/>
  <c r="AW60" i="63"/>
  <c r="AU61" i="63"/>
  <c r="AQ61" i="63"/>
  <c r="AM61" i="63"/>
  <c r="AW61" i="63"/>
  <c r="AS61" i="63"/>
  <c r="AO61" i="63"/>
  <c r="AT61" i="63"/>
  <c r="AV63" i="63"/>
  <c r="AS65" i="63"/>
  <c r="AV52" i="63"/>
  <c r="AN52" i="63"/>
  <c r="AQ52" i="63"/>
  <c r="AW52" i="63"/>
  <c r="AW53" i="63"/>
  <c r="AS53" i="63"/>
  <c r="AO53" i="63"/>
  <c r="AQ53" i="63"/>
  <c r="AV53" i="63"/>
  <c r="AP55" i="63"/>
  <c r="AW59" i="63"/>
  <c r="AS59" i="63"/>
  <c r="AO59" i="63"/>
  <c r="AU59" i="63"/>
  <c r="AQ59" i="63"/>
  <c r="AM59" i="63"/>
  <c r="AT59" i="63"/>
  <c r="AV62" i="63"/>
  <c r="AV58" i="63"/>
  <c r="AV54" i="63"/>
  <c r="AW41" i="63"/>
  <c r="AO41" i="63"/>
  <c r="AQ41" i="63"/>
  <c r="AV41" i="63"/>
  <c r="AT42" i="63"/>
  <c r="AV42" i="63"/>
  <c r="AU46" i="63"/>
  <c r="AO47" i="63"/>
  <c r="AT47" i="63"/>
  <c r="AO48" i="63"/>
  <c r="AT48" i="63"/>
  <c r="AN49" i="63"/>
  <c r="AT49" i="63"/>
  <c r="AS50" i="63"/>
  <c r="AM52" i="63"/>
  <c r="AS52" i="63"/>
  <c r="AM53" i="63"/>
  <c r="AU54" i="63"/>
  <c r="AW56" i="63"/>
  <c r="AU57" i="63"/>
  <c r="AQ57" i="63"/>
  <c r="AM57" i="63"/>
  <c r="AW57" i="63"/>
  <c r="AS57" i="63"/>
  <c r="AO57" i="63"/>
  <c r="AT57" i="63"/>
  <c r="AN59" i="63"/>
  <c r="AV59" i="63"/>
  <c r="AT60" i="63"/>
  <c r="AS60" i="63"/>
  <c r="AP61" i="63"/>
  <c r="AU62" i="63"/>
  <c r="AO65" i="63"/>
  <c r="AW65" i="63"/>
  <c r="AP42" i="63"/>
  <c r="AP46" i="63"/>
  <c r="AP50" i="63"/>
  <c r="AP54" i="63"/>
  <c r="AN56" i="63"/>
  <c r="AV56" i="63"/>
  <c r="AP58" i="63"/>
  <c r="AN60" i="63"/>
  <c r="AV60" i="63"/>
  <c r="AP62" i="63"/>
  <c r="AN64" i="63"/>
  <c r="AV64" i="63"/>
  <c r="AP56" i="63"/>
  <c r="AP60" i="63"/>
  <c r="AP64" i="63"/>
  <c r="BK42" i="63" l="1"/>
  <c r="AO32" i="63"/>
  <c r="AL32" i="63"/>
  <c r="AA94" i="63"/>
  <c r="AA97" i="63"/>
  <c r="AP63" i="63"/>
  <c r="P32" i="63"/>
  <c r="AN63" i="63"/>
  <c r="BL47" i="63"/>
  <c r="BI60" i="63"/>
  <c r="BK50" i="63"/>
  <c r="BH46" i="63"/>
  <c r="BH43" i="63"/>
  <c r="BH53" i="63"/>
  <c r="BL42" i="63"/>
  <c r="BK45" i="63"/>
  <c r="BH50" i="63"/>
  <c r="BJ41" i="63"/>
  <c r="BI41" i="63"/>
  <c r="BJ43" i="63"/>
  <c r="BK48" i="63"/>
  <c r="BK49" i="63"/>
  <c r="BK63" i="63"/>
  <c r="BL58" i="63"/>
  <c r="BH58" i="63"/>
  <c r="BJ57" i="63"/>
  <c r="BL52" i="63"/>
  <c r="BH65" i="63"/>
  <c r="BH55" i="63"/>
  <c r="BK55" i="63"/>
  <c r="BL59" i="63"/>
  <c r="BI54" i="63"/>
  <c r="BK53" i="63"/>
  <c r="BH64" i="63"/>
  <c r="BI56" i="63"/>
  <c r="BL56" i="63"/>
  <c r="BI63" i="63"/>
  <c r="BJ62" i="63"/>
  <c r="BK58" i="63"/>
  <c r="BL51" i="63"/>
  <c r="BK51" i="63"/>
  <c r="BJ46" i="63"/>
  <c r="BL55" i="63"/>
  <c r="BJ59" i="63"/>
  <c r="BJ54" i="63"/>
  <c r="BK47" i="63"/>
  <c r="BI64" i="63"/>
  <c r="BH60" i="63"/>
  <c r="BL48" i="63"/>
  <c r="BJ48" i="63"/>
  <c r="BH56" i="63"/>
  <c r="BK56" i="63"/>
  <c r="BJ56" i="63"/>
  <c r="BJ49" i="63"/>
  <c r="BI45" i="63"/>
  <c r="BL63" i="63"/>
  <c r="BI62" i="63"/>
  <c r="BL62" i="63"/>
  <c r="BH57" i="63"/>
  <c r="BJ52" i="63"/>
  <c r="BJ51" i="63"/>
  <c r="BI50" i="63"/>
  <c r="BI46" i="63"/>
  <c r="BL46" i="63"/>
  <c r="BJ42" i="63"/>
  <c r="BL65" i="63"/>
  <c r="BJ65" i="63"/>
  <c r="BJ44" i="63"/>
  <c r="BL44" i="63"/>
  <c r="BL61" i="63"/>
  <c r="BH41" i="63"/>
  <c r="BI59" i="63"/>
  <c r="BK59" i="63"/>
  <c r="BH54" i="63"/>
  <c r="BL53" i="63"/>
  <c r="BI53" i="63"/>
  <c r="BI47" i="63"/>
  <c r="BH47" i="63"/>
  <c r="BL43" i="63"/>
  <c r="BI43" i="63"/>
  <c r="BK43" i="63"/>
  <c r="BJ64" i="63"/>
  <c r="BK64" i="63"/>
  <c r="BK60" i="63"/>
  <c r="BH48" i="63"/>
  <c r="BL49" i="63"/>
  <c r="BH49" i="63"/>
  <c r="BH45" i="63"/>
  <c r="BL45" i="63"/>
  <c r="BH62" i="63"/>
  <c r="BJ58" i="63"/>
  <c r="BL57" i="63"/>
  <c r="BH52" i="63"/>
  <c r="BI65" i="63"/>
  <c r="BI55" i="63"/>
  <c r="BH61" i="63"/>
  <c r="BH59" i="63"/>
  <c r="BJ60" i="63"/>
  <c r="BK62" i="63"/>
  <c r="BI57" i="63"/>
  <c r="BH51" i="63"/>
  <c r="BJ50" i="63"/>
  <c r="BH44" i="63"/>
  <c r="BK44" i="63"/>
  <c r="BJ61" i="63"/>
  <c r="BI61" i="63"/>
  <c r="BK54" i="63"/>
  <c r="BH63" i="63"/>
  <c r="BI58" i="63"/>
  <c r="BK57" i="63"/>
  <c r="BK52" i="63"/>
  <c r="BI52" i="63"/>
  <c r="BI51" i="63"/>
  <c r="BL50" i="63"/>
  <c r="BK46" i="63"/>
  <c r="BI42" i="63"/>
  <c r="BH42" i="63"/>
  <c r="BK65" i="63"/>
  <c r="BI44" i="63"/>
  <c r="BK61" i="63"/>
  <c r="BK41" i="63"/>
  <c r="BL41" i="63"/>
  <c r="BL54" i="63"/>
  <c r="BJ53" i="63"/>
  <c r="BJ47" i="63"/>
  <c r="BL64" i="63"/>
  <c r="BL60" i="63"/>
  <c r="BI48" i="63"/>
  <c r="BI49" i="63"/>
  <c r="BJ45" i="63"/>
  <c r="AL65" i="63"/>
  <c r="AQ63" i="63"/>
  <c r="B135" i="62" l="1"/>
  <c r="B134" i="62"/>
  <c r="B133" i="62"/>
  <c r="A133" i="62" s="1"/>
  <c r="B132" i="62"/>
  <c r="A132" i="62" s="1"/>
  <c r="B131" i="62"/>
  <c r="A131" i="62" s="1"/>
  <c r="B130" i="62"/>
  <c r="A130" i="62" s="1"/>
  <c r="B129" i="62"/>
  <c r="A129" i="62" s="1"/>
  <c r="B128" i="62"/>
  <c r="A128" i="62" s="1"/>
  <c r="B127" i="62"/>
  <c r="A127" i="62" s="1"/>
  <c r="B126" i="62"/>
  <c r="A126" i="62" s="1"/>
  <c r="B125" i="62"/>
  <c r="A125" i="62" s="1"/>
  <c r="B124" i="62"/>
  <c r="A124" i="62" s="1"/>
  <c r="B123" i="62"/>
  <c r="A123" i="62" s="1"/>
  <c r="B122" i="62"/>
  <c r="A122" i="62" s="1"/>
  <c r="B121" i="62"/>
  <c r="A121" i="62" s="1"/>
  <c r="B120" i="62"/>
  <c r="A120" i="62" s="1"/>
  <c r="B119" i="62"/>
  <c r="A119" i="62" s="1"/>
  <c r="B118" i="62"/>
  <c r="A118" i="62" s="1"/>
  <c r="B117" i="62"/>
  <c r="A117" i="62" s="1"/>
  <c r="B116" i="62"/>
  <c r="A116" i="62" s="1"/>
  <c r="B115" i="62"/>
  <c r="A115" i="62" s="1"/>
  <c r="B114" i="62"/>
  <c r="A114" i="62" s="1"/>
  <c r="B113" i="62"/>
  <c r="A113" i="62" s="1"/>
  <c r="B112" i="62"/>
  <c r="Y100" i="62"/>
  <c r="Y99" i="62"/>
  <c r="Y98" i="62"/>
  <c r="Y97" i="62"/>
  <c r="Y96" i="62"/>
  <c r="Y95" i="62"/>
  <c r="Y94" i="62"/>
  <c r="Y93" i="62"/>
  <c r="Y92" i="62"/>
  <c r="Y91" i="62"/>
  <c r="Y90" i="62"/>
  <c r="Y89" i="62"/>
  <c r="Y88" i="62"/>
  <c r="Y87" i="62"/>
  <c r="Y86" i="62"/>
  <c r="Y85" i="62"/>
  <c r="Y84" i="62"/>
  <c r="Y83" i="62"/>
  <c r="Y82" i="62"/>
  <c r="Y81" i="62"/>
  <c r="Y80" i="62"/>
  <c r="Y79" i="62"/>
  <c r="Y78" i="62"/>
  <c r="Y77" i="62"/>
  <c r="AA33" i="62"/>
  <c r="Z33" i="62"/>
  <c r="AL64" i="62"/>
  <c r="AL63" i="62"/>
  <c r="AL62" i="62"/>
  <c r="AL61" i="62"/>
  <c r="AL60" i="62"/>
  <c r="AL59" i="62"/>
  <c r="AL58" i="62"/>
  <c r="AL57" i="62"/>
  <c r="AL56" i="62"/>
  <c r="AL55" i="62"/>
  <c r="AL54" i="62"/>
  <c r="AL53" i="62"/>
  <c r="AL52" i="62"/>
  <c r="AL51" i="62"/>
  <c r="AL50" i="62"/>
  <c r="AL49" i="62"/>
  <c r="AL48" i="62"/>
  <c r="AL47" i="62"/>
  <c r="AL46" i="62"/>
  <c r="AL45" i="62"/>
  <c r="AL44" i="62"/>
  <c r="AL43" i="62"/>
  <c r="AL42" i="62"/>
  <c r="AL41" i="62"/>
  <c r="AW40" i="62"/>
  <c r="AV40" i="62"/>
  <c r="AU40" i="62"/>
  <c r="AT40" i="62"/>
  <c r="AS40" i="62"/>
  <c r="AQ40" i="62"/>
  <c r="AP40" i="62"/>
  <c r="AO40" i="62"/>
  <c r="AN40" i="62"/>
  <c r="AM40" i="62"/>
  <c r="Y33" i="62"/>
  <c r="Y32" i="62"/>
  <c r="Y31" i="62"/>
  <c r="S31" i="62"/>
  <c r="T31" i="62" s="1"/>
  <c r="U31" i="62" s="1"/>
  <c r="AO62" i="62"/>
  <c r="Y30" i="62"/>
  <c r="S30" i="62"/>
  <c r="T30" i="62" s="1"/>
  <c r="U30" i="62" s="1"/>
  <c r="Y29" i="62"/>
  <c r="S29" i="62"/>
  <c r="T29" i="62" s="1"/>
  <c r="U29" i="62" s="1"/>
  <c r="Y28" i="62"/>
  <c r="S28" i="62"/>
  <c r="T28" i="62" s="1"/>
  <c r="U28" i="62" s="1"/>
  <c r="Y27" i="62"/>
  <c r="S27" i="62"/>
  <c r="T27" i="62" s="1"/>
  <c r="U27" i="62" s="1"/>
  <c r="Y26" i="62"/>
  <c r="S26" i="62"/>
  <c r="T26" i="62" s="1"/>
  <c r="U26" i="62" s="1"/>
  <c r="Y25" i="62"/>
  <c r="S25" i="62"/>
  <c r="T25" i="62" s="1"/>
  <c r="U25" i="62" s="1"/>
  <c r="Y24" i="62"/>
  <c r="S24" i="62"/>
  <c r="T24" i="62" s="1"/>
  <c r="U24" i="62" s="1"/>
  <c r="Y23" i="62"/>
  <c r="S23" i="62"/>
  <c r="T23" i="62" s="1"/>
  <c r="U23" i="62" s="1"/>
  <c r="Y22" i="62"/>
  <c r="S22" i="62"/>
  <c r="T22" i="62" s="1"/>
  <c r="U22" i="62" s="1"/>
  <c r="Y21" i="62"/>
  <c r="S21" i="62"/>
  <c r="T21" i="62" s="1"/>
  <c r="U21" i="62" s="1"/>
  <c r="Y20" i="62"/>
  <c r="S20" i="62"/>
  <c r="T20" i="62" s="1"/>
  <c r="U20" i="62" s="1"/>
  <c r="Y19" i="62"/>
  <c r="S19" i="62"/>
  <c r="T19" i="62" s="1"/>
  <c r="U19" i="62" s="1"/>
  <c r="Y18" i="62"/>
  <c r="S18" i="62"/>
  <c r="T18" i="62" s="1"/>
  <c r="U18" i="62" s="1"/>
  <c r="Y17" i="62"/>
  <c r="S17" i="62"/>
  <c r="T17" i="62" s="1"/>
  <c r="U17" i="62" s="1"/>
  <c r="Y16" i="62"/>
  <c r="S16" i="62"/>
  <c r="T16" i="62" s="1"/>
  <c r="U16" i="62" s="1"/>
  <c r="Y15" i="62"/>
  <c r="S15" i="62"/>
  <c r="T15" i="62" s="1"/>
  <c r="U15" i="62" s="1"/>
  <c r="Y14" i="62"/>
  <c r="S14" i="62"/>
  <c r="T14" i="62" s="1"/>
  <c r="U14" i="62" s="1"/>
  <c r="Y13" i="62"/>
  <c r="S13" i="62"/>
  <c r="T13" i="62" s="1"/>
  <c r="U13" i="62" s="1"/>
  <c r="Y12" i="62"/>
  <c r="S12" i="62"/>
  <c r="T12" i="62" s="1"/>
  <c r="U12" i="62" s="1"/>
  <c r="Y11" i="62"/>
  <c r="S11" i="62"/>
  <c r="T11" i="62" s="1"/>
  <c r="U11" i="62" s="1"/>
  <c r="Y10" i="62"/>
  <c r="S10" i="62"/>
  <c r="T10" i="62" s="1"/>
  <c r="U10" i="62" s="1"/>
  <c r="AR43" i="62" l="1"/>
  <c r="AR51" i="62"/>
  <c r="AR59" i="62"/>
  <c r="AR44" i="62"/>
  <c r="AR52" i="62"/>
  <c r="AR60" i="62"/>
  <c r="AR45" i="62"/>
  <c r="AR53" i="62"/>
  <c r="AR61" i="62"/>
  <c r="AR46" i="62"/>
  <c r="AR54" i="62"/>
  <c r="AR62" i="62"/>
  <c r="AR47" i="62"/>
  <c r="AR55" i="62"/>
  <c r="AR48" i="62"/>
  <c r="AR56" i="62"/>
  <c r="AR49" i="62"/>
  <c r="AR57" i="62"/>
  <c r="AR42" i="62"/>
  <c r="AR50" i="62"/>
  <c r="AR58" i="62"/>
  <c r="AN49" i="62"/>
  <c r="AO61" i="62"/>
  <c r="AN57" i="62"/>
  <c r="AM56" i="62"/>
  <c r="AM51" i="62"/>
  <c r="AM50" i="62"/>
  <c r="AN61" i="62"/>
  <c r="A112" i="62"/>
  <c r="AA28" i="76"/>
  <c r="F28" i="76"/>
  <c r="K28" i="76"/>
  <c r="M28" i="76"/>
  <c r="D28" i="76"/>
  <c r="N28" i="76"/>
  <c r="S28" i="76"/>
  <c r="I28" i="76"/>
  <c r="R28" i="76"/>
  <c r="E28" i="76"/>
  <c r="X28" i="76"/>
  <c r="Q28" i="76"/>
  <c r="P28" i="76"/>
  <c r="J28" i="76"/>
  <c r="T28" i="76"/>
  <c r="O28" i="76"/>
  <c r="Y28" i="76"/>
  <c r="W28" i="76"/>
  <c r="U28" i="76"/>
  <c r="V28" i="76"/>
  <c r="L28" i="76"/>
  <c r="G28" i="76"/>
  <c r="H28" i="76"/>
  <c r="Z28" i="76"/>
  <c r="AN56" i="62"/>
  <c r="AO48" i="62"/>
  <c r="AO49" i="62"/>
  <c r="AO56" i="62"/>
  <c r="AO52" i="62"/>
  <c r="AQ56" i="62"/>
  <c r="AR41" i="62"/>
  <c r="AQ41" i="62"/>
  <c r="AO53" i="62"/>
  <c r="AN52" i="62"/>
  <c r="AP54" i="62"/>
  <c r="AS52" i="62"/>
  <c r="AU46" i="62"/>
  <c r="AV45" i="62"/>
  <c r="AO50" i="62"/>
  <c r="AN51" i="62"/>
  <c r="AM52" i="62"/>
  <c r="AQ52" i="62"/>
  <c r="AO57" i="62"/>
  <c r="AP50" i="62"/>
  <c r="AP62" i="62"/>
  <c r="AM44" i="62"/>
  <c r="AP49" i="62"/>
  <c r="AP51" i="62"/>
  <c r="AN44" i="62"/>
  <c r="AM60" i="62"/>
  <c r="AT50" i="62"/>
  <c r="AV44" i="62"/>
  <c r="AO44" i="62"/>
  <c r="AP47" i="62"/>
  <c r="AM48" i="62"/>
  <c r="AQ48" i="62"/>
  <c r="AP59" i="62"/>
  <c r="AN60" i="62"/>
  <c r="AN64" i="62"/>
  <c r="AQ60" i="62"/>
  <c r="AN48" i="62"/>
  <c r="AN53" i="62"/>
  <c r="AO54" i="62"/>
  <c r="AM59" i="62"/>
  <c r="AQ59" i="62"/>
  <c r="AO60" i="62"/>
  <c r="AO64" i="62"/>
  <c r="AV53" i="62"/>
  <c r="AA79" i="62"/>
  <c r="AM64" i="62"/>
  <c r="AQ64" i="62"/>
  <c r="AA81" i="62"/>
  <c r="AA85" i="62"/>
  <c r="AA89" i="62"/>
  <c r="AA93" i="62"/>
  <c r="AA77" i="62"/>
  <c r="AA88" i="62"/>
  <c r="AA92" i="62"/>
  <c r="AA96" i="62"/>
  <c r="AA100" i="62"/>
  <c r="AA78" i="62"/>
  <c r="AA82" i="62"/>
  <c r="AA86" i="62"/>
  <c r="AA90" i="62"/>
  <c r="AA98" i="62"/>
  <c r="AA87" i="62"/>
  <c r="AA91" i="62"/>
  <c r="AA99" i="62"/>
  <c r="Z87" i="62"/>
  <c r="Z98" i="62"/>
  <c r="AA4" i="62"/>
  <c r="M65" i="62" s="1"/>
  <c r="AQ65" i="62"/>
  <c r="Z77" i="62"/>
  <c r="Z84" i="62"/>
  <c r="Z88" i="62"/>
  <c r="Z95" i="62"/>
  <c r="Z82" i="62"/>
  <c r="Z85" i="62"/>
  <c r="Z92" i="62"/>
  <c r="Z96" i="62"/>
  <c r="Z79" i="62"/>
  <c r="Z90" i="62"/>
  <c r="Z100" i="62"/>
  <c r="AQ44" i="62"/>
  <c r="AS63" i="62"/>
  <c r="AT63" i="62"/>
  <c r="AA83" i="62"/>
  <c r="AA94" i="62"/>
  <c r="AT44" i="62"/>
  <c r="AT64" i="62"/>
  <c r="AQ43" i="62"/>
  <c r="AP46" i="62"/>
  <c r="AM63" i="62"/>
  <c r="AV42" i="62"/>
  <c r="AN42" i="62"/>
  <c r="AU42" i="62"/>
  <c r="AP42" i="62"/>
  <c r="AT42" i="62"/>
  <c r="AO42" i="62"/>
  <c r="AW42" i="62"/>
  <c r="AW64" i="62"/>
  <c r="AS64" i="62"/>
  <c r="AW60" i="62"/>
  <c r="AS60" i="62"/>
  <c r="AW56" i="62"/>
  <c r="AS56" i="62"/>
  <c r="AW61" i="62"/>
  <c r="AU59" i="62"/>
  <c r="AS57" i="62"/>
  <c r="AV56" i="62"/>
  <c r="AW52" i="62"/>
  <c r="AS50" i="62"/>
  <c r="AS49" i="62"/>
  <c r="AS48" i="62"/>
  <c r="AU44" i="62"/>
  <c r="AU64" i="62"/>
  <c r="AS61" i="62"/>
  <c r="AV60" i="62"/>
  <c r="AW57" i="62"/>
  <c r="AT53" i="62"/>
  <c r="AV49" i="62"/>
  <c r="AV48" i="62"/>
  <c r="AV64" i="62"/>
  <c r="AV61" i="62"/>
  <c r="AU56" i="62"/>
  <c r="AV52" i="62"/>
  <c r="AW48" i="62"/>
  <c r="AS44" i="62"/>
  <c r="AU52" i="62"/>
  <c r="AU51" i="62"/>
  <c r="AU50" i="62"/>
  <c r="AU65" i="62"/>
  <c r="AN41" i="62"/>
  <c r="AW44" i="62"/>
  <c r="AU45" i="62"/>
  <c r="AQ45" i="62"/>
  <c r="AM45" i="62"/>
  <c r="AT45" i="62"/>
  <c r="AO45" i="62"/>
  <c r="AS45" i="62"/>
  <c r="AN45" i="62"/>
  <c r="AW45" i="62"/>
  <c r="AW46" i="62"/>
  <c r="AW54" i="62"/>
  <c r="AW55" i="62"/>
  <c r="AS55" i="62"/>
  <c r="AV55" i="62"/>
  <c r="AN55" i="62"/>
  <c r="AQ55" i="62"/>
  <c r="AP55" i="62"/>
  <c r="AM55" i="62"/>
  <c r="AV63" i="62"/>
  <c r="AQ42" i="62"/>
  <c r="AP45" i="62"/>
  <c r="AU48" i="62"/>
  <c r="AT51" i="62"/>
  <c r="AS53" i="62"/>
  <c r="AS54" i="62"/>
  <c r="AT55" i="62"/>
  <c r="AS58" i="62"/>
  <c r="AU60" i="62"/>
  <c r="AU41" i="62"/>
  <c r="AM41" i="62"/>
  <c r="AV41" i="62"/>
  <c r="AP41" i="62"/>
  <c r="AT41" i="62"/>
  <c r="AO41" i="62"/>
  <c r="AW41" i="62"/>
  <c r="AW43" i="62"/>
  <c r="AS43" i="62"/>
  <c r="AO43" i="62"/>
  <c r="AU43" i="62"/>
  <c r="AP43" i="62"/>
  <c r="AT43" i="62"/>
  <c r="AN43" i="62"/>
  <c r="AV43" i="62"/>
  <c r="AA80" i="62"/>
  <c r="AA95" i="62"/>
  <c r="AA97" i="62"/>
  <c r="AM42" i="62"/>
  <c r="AM43" i="62"/>
  <c r="AV46" i="62"/>
  <c r="AN46" i="62"/>
  <c r="AT46" i="62"/>
  <c r="AO46" i="62"/>
  <c r="AS46" i="62"/>
  <c r="AM46" i="62"/>
  <c r="AT49" i="62"/>
  <c r="AV57" i="62"/>
  <c r="AW62" i="62"/>
  <c r="Z80" i="62"/>
  <c r="AS41" i="62"/>
  <c r="AS42" i="62"/>
  <c r="AQ46" i="62"/>
  <c r="AU47" i="62"/>
  <c r="AS62" i="62"/>
  <c r="AW47" i="62"/>
  <c r="AS47" i="62"/>
  <c r="AO47" i="62"/>
  <c r="AV58" i="62"/>
  <c r="AN58" i="62"/>
  <c r="AU58" i="62"/>
  <c r="AQ58" i="62"/>
  <c r="AM58" i="62"/>
  <c r="AT58" i="62"/>
  <c r="Z93" i="62"/>
  <c r="AM47" i="62"/>
  <c r="AU49" i="62"/>
  <c r="AQ49" i="62"/>
  <c r="AM49" i="62"/>
  <c r="AW49" i="62"/>
  <c r="AV50" i="62"/>
  <c r="AN50" i="62"/>
  <c r="AQ50" i="62"/>
  <c r="AW50" i="62"/>
  <c r="AW51" i="62"/>
  <c r="AS51" i="62"/>
  <c r="AO51" i="62"/>
  <c r="AQ51" i="62"/>
  <c r="AV51" i="62"/>
  <c r="AT52" i="62"/>
  <c r="AP53" i="62"/>
  <c r="AO58" i="62"/>
  <c r="AW58" i="62"/>
  <c r="AW59" i="62"/>
  <c r="AS59" i="62"/>
  <c r="AO59" i="62"/>
  <c r="AV59" i="62"/>
  <c r="AN59" i="62"/>
  <c r="AT59" i="62"/>
  <c r="AM65" i="62"/>
  <c r="Z83" i="62"/>
  <c r="Z91" i="62"/>
  <c r="Z99" i="62"/>
  <c r="AQ47" i="62"/>
  <c r="AV47" i="62"/>
  <c r="AT48" i="62"/>
  <c r="AT56" i="62"/>
  <c r="AU61" i="62"/>
  <c r="AT65" i="62"/>
  <c r="AP65" i="62"/>
  <c r="AW65" i="62"/>
  <c r="AS65" i="62"/>
  <c r="AO65" i="62"/>
  <c r="AN47" i="62"/>
  <c r="AT47" i="62"/>
  <c r="AU53" i="62"/>
  <c r="AQ53" i="62"/>
  <c r="AM53" i="62"/>
  <c r="AW53" i="62"/>
  <c r="AV54" i="62"/>
  <c r="AN54" i="62"/>
  <c r="AU54" i="62"/>
  <c r="AQ54" i="62"/>
  <c r="AM54" i="62"/>
  <c r="AT54" i="62"/>
  <c r="AU57" i="62"/>
  <c r="AP58" i="62"/>
  <c r="AT60" i="62"/>
  <c r="AV62" i="62"/>
  <c r="AN62" i="62"/>
  <c r="AU62" i="62"/>
  <c r="AQ62" i="62"/>
  <c r="AM62" i="62"/>
  <c r="AT62" i="62"/>
  <c r="AN65" i="62"/>
  <c r="AV65" i="62"/>
  <c r="Z78" i="62"/>
  <c r="Z81" i="62"/>
  <c r="Z86" i="62"/>
  <c r="Z89" i="62"/>
  <c r="Z94" i="62"/>
  <c r="Z97" i="62"/>
  <c r="AP57" i="62"/>
  <c r="AT57" i="62"/>
  <c r="AP61" i="62"/>
  <c r="AT61" i="62"/>
  <c r="AP44" i="62"/>
  <c r="AP48" i="62"/>
  <c r="AP52" i="62"/>
  <c r="AP56" i="62"/>
  <c r="AM57" i="62"/>
  <c r="AQ57" i="62"/>
  <c r="AP60" i="62"/>
  <c r="AM61" i="62"/>
  <c r="AQ61" i="62"/>
  <c r="AP64" i="62"/>
  <c r="AN63" i="62" l="1"/>
  <c r="P32" i="62"/>
  <c r="AP63" i="62"/>
  <c r="AA84" i="62"/>
  <c r="Z27" i="76"/>
  <c r="AI22" i="62"/>
  <c r="Q22" i="62" s="1"/>
  <c r="AI27" i="62"/>
  <c r="Q30" i="62" s="1"/>
  <c r="AI28" i="62"/>
  <c r="Q31" i="62" s="1"/>
  <c r="AI12" i="62"/>
  <c r="Q12" i="62" s="1"/>
  <c r="AI19" i="62"/>
  <c r="Q19" i="62" s="1"/>
  <c r="AI15" i="62"/>
  <c r="Q15" i="62" s="1"/>
  <c r="AI18" i="62"/>
  <c r="Q18" i="62" s="1"/>
  <c r="AI10" i="62"/>
  <c r="Q10" i="62" s="1"/>
  <c r="AI16" i="62"/>
  <c r="Q16" i="62" s="1"/>
  <c r="AI21" i="62"/>
  <c r="Q21" i="62" s="1"/>
  <c r="AI25" i="62"/>
  <c r="Q28" i="62" s="1"/>
  <c r="AI23" i="62"/>
  <c r="Q24" i="62" s="1"/>
  <c r="AI17" i="62"/>
  <c r="Q17" i="62" s="1"/>
  <c r="AI20" i="62"/>
  <c r="Q20" i="62" s="1"/>
  <c r="AI14" i="62"/>
  <c r="Q14" i="62" s="1"/>
  <c r="AI26" i="62"/>
  <c r="Q29" i="62" s="1"/>
  <c r="AI24" i="62"/>
  <c r="Q25" i="62" s="1"/>
  <c r="AI11" i="62"/>
  <c r="Q11" i="62" s="1"/>
  <c r="AI13" i="62"/>
  <c r="Q13" i="62" s="1"/>
  <c r="AL65" i="62"/>
  <c r="AQ63" i="62"/>
  <c r="B171" i="49"/>
  <c r="Y171" i="49"/>
  <c r="Y32" i="49"/>
  <c r="Y33" i="49"/>
  <c r="AL64" i="49"/>
  <c r="S11" i="49"/>
  <c r="T11" i="49" s="1"/>
  <c r="U11" i="49" s="1"/>
  <c r="S12" i="49"/>
  <c r="T12" i="49" s="1"/>
  <c r="U12" i="49" s="1"/>
  <c r="S13" i="49"/>
  <c r="T13" i="49" s="1"/>
  <c r="U13" i="49" s="1"/>
  <c r="S14" i="49"/>
  <c r="T14" i="49" s="1"/>
  <c r="U14" i="49" s="1"/>
  <c r="S15" i="49"/>
  <c r="T15" i="49" s="1"/>
  <c r="U15" i="49" s="1"/>
  <c r="S16" i="49"/>
  <c r="T16" i="49" s="1"/>
  <c r="U16" i="49" s="1"/>
  <c r="AA83" i="49" s="1"/>
  <c r="S17" i="49"/>
  <c r="T17" i="49" s="1"/>
  <c r="U17" i="49" s="1"/>
  <c r="S18" i="49"/>
  <c r="T18" i="49" s="1"/>
  <c r="U18" i="49" s="1"/>
  <c r="S19" i="49"/>
  <c r="T19" i="49" s="1"/>
  <c r="U19" i="49" s="1"/>
  <c r="S20" i="49"/>
  <c r="T20" i="49" s="1"/>
  <c r="U20" i="49" s="1"/>
  <c r="S21" i="49"/>
  <c r="T21" i="49" s="1"/>
  <c r="U21" i="49" s="1"/>
  <c r="S22" i="49"/>
  <c r="T22" i="49" s="1"/>
  <c r="U22" i="49" s="1"/>
  <c r="S23" i="49"/>
  <c r="T23" i="49" s="1"/>
  <c r="U23" i="49" s="1"/>
  <c r="S24" i="49"/>
  <c r="T24" i="49" s="1"/>
  <c r="U24" i="49" s="1"/>
  <c r="S25" i="49"/>
  <c r="T25" i="49" s="1"/>
  <c r="U25" i="49" s="1"/>
  <c r="AA92" i="49" s="1"/>
  <c r="S26" i="49"/>
  <c r="T26" i="49" s="1"/>
  <c r="U26" i="49" s="1"/>
  <c r="S27" i="49"/>
  <c r="T27" i="49" s="1"/>
  <c r="U27" i="49" s="1"/>
  <c r="S28" i="49"/>
  <c r="T28" i="49" s="1"/>
  <c r="U28" i="49" s="1"/>
  <c r="AA95" i="49" s="1"/>
  <c r="S29" i="49"/>
  <c r="T29" i="49" s="1"/>
  <c r="U29" i="49" s="1"/>
  <c r="S30" i="49"/>
  <c r="T30" i="49" s="1"/>
  <c r="U30" i="49" s="1"/>
  <c r="S31" i="49"/>
  <c r="T31" i="49" s="1"/>
  <c r="U31" i="49" s="1"/>
  <c r="AA14" i="76" l="1"/>
  <c r="T105" i="70"/>
  <c r="S33" i="87"/>
  <c r="T33" i="87" s="1"/>
  <c r="U33" i="87" s="1"/>
  <c r="T104" i="91"/>
  <c r="T33" i="91"/>
  <c r="S283" i="83"/>
  <c r="S140" i="83"/>
  <c r="T140" i="83" s="1"/>
  <c r="U140" i="83" s="1"/>
  <c r="S33" i="49"/>
  <c r="T33" i="49" s="1"/>
  <c r="U33" i="49" s="1"/>
  <c r="S33" i="83"/>
  <c r="S33" i="85"/>
  <c r="AY32" i="86"/>
  <c r="AR64" i="49"/>
  <c r="AA80" i="49"/>
  <c r="AR65" i="49"/>
  <c r="AX64" i="49"/>
  <c r="AY64" i="49"/>
  <c r="AZ64" i="49"/>
  <c r="BB64" i="49"/>
  <c r="BA64" i="49"/>
  <c r="AI14" i="49"/>
  <c r="Q14" i="49" s="1"/>
  <c r="O32" i="49"/>
  <c r="Z15" i="76" s="1"/>
  <c r="T33" i="70"/>
  <c r="S33" i="69"/>
  <c r="S33" i="68"/>
  <c r="S33" i="67"/>
  <c r="S33" i="66"/>
  <c r="T33" i="66" s="1"/>
  <c r="U33" i="66" s="1"/>
  <c r="S33" i="65"/>
  <c r="S33" i="64"/>
  <c r="S33" i="63"/>
  <c r="T33" i="63" s="1"/>
  <c r="U33" i="63" s="1"/>
  <c r="S33" i="62"/>
  <c r="AP64" i="49"/>
  <c r="AQ64" i="49"/>
  <c r="AA79" i="49"/>
  <c r="AO64" i="49"/>
  <c r="AN64" i="49"/>
  <c r="AM64" i="49"/>
  <c r="S139" i="68" l="1"/>
  <c r="T139" i="68" s="1"/>
  <c r="U139" i="68" s="1"/>
  <c r="T33" i="68"/>
  <c r="U33" i="68" s="1"/>
  <c r="T33" i="64"/>
  <c r="U33" i="64" s="1"/>
  <c r="AR64" i="64"/>
  <c r="T33" i="62"/>
  <c r="U33" i="62" s="1"/>
  <c r="AR64" i="62"/>
  <c r="AR314" i="83"/>
  <c r="T283" i="83"/>
  <c r="U283" i="83" s="1"/>
  <c r="AQ135" i="91"/>
  <c r="AQ64" i="91"/>
  <c r="T33" i="65"/>
  <c r="U33" i="65" s="1"/>
  <c r="AR64" i="65"/>
  <c r="AR64" i="87"/>
  <c r="T33" i="85"/>
  <c r="U33" i="85" s="1"/>
  <c r="AR64" i="85"/>
  <c r="T33" i="83"/>
  <c r="U33" i="83" s="1"/>
  <c r="AR64" i="83"/>
  <c r="AR171" i="83"/>
  <c r="AU136" i="70"/>
  <c r="AU65" i="70"/>
  <c r="AR170" i="68"/>
  <c r="AR64" i="68"/>
  <c r="AR64" i="63"/>
  <c r="T33" i="69"/>
  <c r="U33" i="69" s="1"/>
  <c r="AR64" i="69"/>
  <c r="T33" i="67"/>
  <c r="U33" i="67" s="1"/>
  <c r="AR64" i="67"/>
  <c r="AR64" i="66"/>
  <c r="P32" i="49"/>
  <c r="AI17" i="49"/>
  <c r="Q17" i="49" s="1"/>
  <c r="AI13" i="49"/>
  <c r="Q13" i="49" s="1"/>
  <c r="AI22" i="49"/>
  <c r="Q22" i="49" s="1"/>
  <c r="AI28" i="49"/>
  <c r="Q31" i="49" s="1"/>
  <c r="AI27" i="49"/>
  <c r="Q30" i="49" s="1"/>
  <c r="AI23" i="49"/>
  <c r="Q24" i="49" s="1"/>
  <c r="AI26" i="49"/>
  <c r="Q29" i="49" s="1"/>
  <c r="AI15" i="49"/>
  <c r="Q15" i="49" s="1"/>
  <c r="AI16" i="49"/>
  <c r="Q16" i="49" s="1"/>
  <c r="AI18" i="49"/>
  <c r="Q18" i="49" s="1"/>
  <c r="AI20" i="49"/>
  <c r="Q20" i="49" s="1"/>
  <c r="AI19" i="49"/>
  <c r="Q19" i="49" s="1"/>
  <c r="AI21" i="49"/>
  <c r="Q21" i="49" s="1"/>
  <c r="AI11" i="49"/>
  <c r="Q11" i="49" s="1"/>
  <c r="AI25" i="49"/>
  <c r="Q28" i="49" s="1"/>
  <c r="AI10" i="49"/>
  <c r="Q10" i="49" s="1"/>
  <c r="AI24" i="49"/>
  <c r="Q25" i="49" s="1"/>
  <c r="AI12" i="49"/>
  <c r="Q12" i="49" s="1"/>
  <c r="AW63" i="62" l="1"/>
  <c r="L32" i="49" l="1"/>
  <c r="N32" i="49"/>
  <c r="AO32" i="49" l="1"/>
  <c r="AL32" i="49"/>
  <c r="A41" i="50"/>
  <c r="A42" i="50"/>
  <c r="A43" i="50"/>
  <c r="A47" i="50" l="1"/>
  <c r="A46" i="50"/>
  <c r="A49" i="50"/>
  <c r="A45" i="50"/>
  <c r="A48" i="50"/>
  <c r="A44" i="50"/>
  <c r="AB47" i="50"/>
  <c r="AE47" i="50" l="1"/>
  <c r="AD47" i="50"/>
  <c r="BC47" i="50"/>
  <c r="AK57" i="60" l="1"/>
  <c r="AK58" i="60"/>
  <c r="AK59" i="60"/>
  <c r="X12" i="60"/>
  <c r="X13" i="60"/>
  <c r="X14" i="60"/>
  <c r="X15" i="60"/>
  <c r="X16" i="60"/>
  <c r="X17" i="60"/>
  <c r="X18" i="60"/>
  <c r="X19" i="60"/>
  <c r="X20" i="60"/>
  <c r="X21" i="60"/>
  <c r="X22" i="60"/>
  <c r="X23" i="60"/>
  <c r="X24" i="60"/>
  <c r="X25" i="60"/>
  <c r="X26" i="60"/>
  <c r="X27" i="60"/>
  <c r="X28" i="60"/>
  <c r="X29" i="60"/>
  <c r="X30" i="60"/>
  <c r="X31" i="60"/>
  <c r="X32" i="60"/>
  <c r="X33" i="60"/>
  <c r="X11" i="60"/>
  <c r="T134" i="60"/>
  <c r="T135" i="60"/>
  <c r="B119" i="60"/>
  <c r="B120" i="60"/>
  <c r="B121" i="60"/>
  <c r="B122" i="60"/>
  <c r="B123" i="60"/>
  <c r="B124" i="60"/>
  <c r="B125" i="60"/>
  <c r="B126" i="60"/>
  <c r="B127" i="60"/>
  <c r="B128" i="60"/>
  <c r="B129" i="60"/>
  <c r="B130" i="60"/>
  <c r="B131" i="60"/>
  <c r="R131" i="60" s="1"/>
  <c r="B132" i="60"/>
  <c r="B133" i="60"/>
  <c r="B134" i="60"/>
  <c r="R134" i="60" s="1"/>
  <c r="B135" i="60"/>
  <c r="R135" i="60" s="1"/>
  <c r="B136" i="60"/>
  <c r="B137" i="60"/>
  <c r="B138" i="60"/>
  <c r="B139" i="60"/>
  <c r="B140" i="60"/>
  <c r="B118" i="60"/>
  <c r="T27" i="60"/>
  <c r="T28" i="60"/>
  <c r="W24" i="92" l="1"/>
  <c r="E24" i="92"/>
  <c r="J24" i="92"/>
  <c r="T24" i="92"/>
  <c r="V24" i="92"/>
  <c r="H24" i="92"/>
  <c r="Q24" i="92"/>
  <c r="U24" i="92"/>
  <c r="D24" i="92"/>
  <c r="F24" i="92"/>
  <c r="P24" i="92"/>
  <c r="N24" i="92"/>
  <c r="M24" i="92"/>
  <c r="B24" i="92"/>
  <c r="L24" i="92"/>
  <c r="C24" i="92"/>
  <c r="I24" i="92"/>
  <c r="K24" i="92"/>
  <c r="G24" i="92"/>
  <c r="AG118" i="60"/>
  <c r="AN59" i="60"/>
  <c r="AO59" i="60"/>
  <c r="AM59" i="60"/>
  <c r="AP59" i="60"/>
  <c r="AL59" i="60"/>
  <c r="AO58" i="60"/>
  <c r="AQ58" i="60"/>
  <c r="AL58" i="60"/>
  <c r="AP58" i="60"/>
  <c r="AM58" i="60"/>
  <c r="AN58" i="60"/>
  <c r="AQ57" i="60"/>
  <c r="AL57" i="60"/>
  <c r="AP57" i="60"/>
  <c r="AM57" i="60"/>
  <c r="AO57" i="60"/>
  <c r="AN57" i="60"/>
  <c r="X140" i="60"/>
  <c r="R140" i="60"/>
  <c r="A132" i="60"/>
  <c r="X132" i="60"/>
  <c r="A124" i="60"/>
  <c r="X124" i="60"/>
  <c r="A120" i="60"/>
  <c r="X120" i="60"/>
  <c r="A139" i="60"/>
  <c r="X139" i="60"/>
  <c r="A131" i="60"/>
  <c r="X131" i="60"/>
  <c r="A123" i="60"/>
  <c r="X123" i="60"/>
  <c r="A138" i="60"/>
  <c r="X138" i="60"/>
  <c r="X134" i="60"/>
  <c r="A130" i="60"/>
  <c r="X130" i="60"/>
  <c r="A126" i="60"/>
  <c r="X126" i="60"/>
  <c r="A122" i="60"/>
  <c r="X122" i="60"/>
  <c r="AK165" i="60"/>
  <c r="AN165" i="60" s="1"/>
  <c r="A136" i="60"/>
  <c r="X136" i="60"/>
  <c r="A128" i="60"/>
  <c r="X128" i="60"/>
  <c r="X135" i="60"/>
  <c r="A127" i="60"/>
  <c r="X127" i="60"/>
  <c r="A119" i="60"/>
  <c r="X119" i="60"/>
  <c r="A118" i="60"/>
  <c r="X118" i="60"/>
  <c r="A137" i="60"/>
  <c r="X137" i="60"/>
  <c r="A133" i="60"/>
  <c r="X133" i="60"/>
  <c r="A129" i="60"/>
  <c r="X129" i="60"/>
  <c r="A125" i="60"/>
  <c r="X125" i="60"/>
  <c r="A121" i="60"/>
  <c r="X121" i="60"/>
  <c r="A135" i="60"/>
  <c r="A134" i="60"/>
  <c r="AK164" i="60"/>
  <c r="AQ164" i="60" s="1"/>
  <c r="AK166" i="60"/>
  <c r="AA24" i="92" l="1" a="1"/>
  <c r="AA24" i="92" s="1"/>
  <c r="AC148" i="60" s="1"/>
  <c r="AC149" i="60" s="1"/>
  <c r="Y24" i="92" a="1"/>
  <c r="Y24" i="92" s="1"/>
  <c r="Y149" i="60" s="1"/>
  <c r="Z24" i="92" a="1"/>
  <c r="Z24" i="92" s="1"/>
  <c r="Z149" i="60" s="1"/>
  <c r="AL165" i="60"/>
  <c r="AO165" i="60"/>
  <c r="AQ165" i="60"/>
  <c r="AM165" i="60"/>
  <c r="AP165" i="60"/>
  <c r="AT164" i="60"/>
  <c r="AV164" i="60"/>
  <c r="AW164" i="60"/>
  <c r="AR164" i="60"/>
  <c r="AS164" i="60"/>
  <c r="AY164" i="60"/>
  <c r="BA164" i="60"/>
  <c r="AU164" i="60"/>
  <c r="AZ164" i="60"/>
  <c r="AX164" i="60"/>
  <c r="AU165" i="60"/>
  <c r="BA165" i="60"/>
  <c r="AT165" i="60"/>
  <c r="AR165" i="60"/>
  <c r="AZ165" i="60"/>
  <c r="AX165" i="60"/>
  <c r="AW165" i="60"/>
  <c r="AY165" i="60"/>
  <c r="AV165" i="60"/>
  <c r="AS165" i="60"/>
  <c r="BA166" i="60"/>
  <c r="AZ166" i="60"/>
  <c r="AY166" i="60"/>
  <c r="AU166" i="60"/>
  <c r="AS166" i="60"/>
  <c r="AW166" i="60"/>
  <c r="AX166" i="60"/>
  <c r="AR166" i="60"/>
  <c r="AT166" i="60"/>
  <c r="AV166" i="60"/>
  <c r="AB148" i="60" l="1"/>
  <c r="X149" i="60"/>
  <c r="AB149" i="60"/>
  <c r="AC101" i="50"/>
  <c r="AC99" i="50"/>
  <c r="AC97" i="50"/>
  <c r="AC95" i="50"/>
  <c r="AC93" i="50"/>
  <c r="AC91" i="50"/>
  <c r="AC89" i="50"/>
  <c r="AC87" i="50"/>
  <c r="AC85" i="50"/>
  <c r="AB79" i="50"/>
  <c r="AB73" i="50"/>
  <c r="AB74" i="50"/>
  <c r="AB75" i="50"/>
  <c r="AB76" i="50"/>
  <c r="AB77" i="50"/>
  <c r="AB78" i="50"/>
  <c r="AB58" i="50"/>
  <c r="AB59" i="50"/>
  <c r="AB60" i="50"/>
  <c r="AB61" i="50"/>
  <c r="AB62" i="50"/>
  <c r="AB63" i="50"/>
  <c r="AB64" i="50"/>
  <c r="AB65" i="50"/>
  <c r="AB66" i="50"/>
  <c r="AB67" i="50"/>
  <c r="AB68" i="50"/>
  <c r="AB69" i="50"/>
  <c r="AB70" i="50"/>
  <c r="AB71" i="50"/>
  <c r="AB72" i="50"/>
  <c r="AB57" i="50"/>
  <c r="AB51" i="50"/>
  <c r="AB52" i="50"/>
  <c r="AB53" i="50"/>
  <c r="AB54" i="50"/>
  <c r="AB55" i="50"/>
  <c r="AB34" i="50"/>
  <c r="AB35" i="50"/>
  <c r="AB36" i="50"/>
  <c r="AB37" i="50"/>
  <c r="AB38" i="50"/>
  <c r="AB39" i="50"/>
  <c r="AB40" i="50"/>
  <c r="AB41" i="50"/>
  <c r="AB42" i="50"/>
  <c r="AB43" i="50"/>
  <c r="AB44" i="50"/>
  <c r="AB45" i="50"/>
  <c r="AB46" i="50"/>
  <c r="AB48" i="50"/>
  <c r="AB49" i="50"/>
  <c r="AB50" i="50"/>
  <c r="AB33" i="50"/>
  <c r="AB31" i="50"/>
  <c r="AB10" i="50"/>
  <c r="AB11" i="50"/>
  <c r="AB12" i="50"/>
  <c r="AB13" i="50"/>
  <c r="AB14" i="50"/>
  <c r="AB15" i="50"/>
  <c r="AB16" i="50"/>
  <c r="AB17" i="50"/>
  <c r="AB18" i="50"/>
  <c r="AB19" i="50"/>
  <c r="AB20" i="50"/>
  <c r="AB21" i="50"/>
  <c r="AB22" i="50"/>
  <c r="AB23" i="50"/>
  <c r="AB24" i="50"/>
  <c r="AB25" i="50"/>
  <c r="AB26" i="50"/>
  <c r="AB27" i="50"/>
  <c r="AB28" i="50"/>
  <c r="AB29" i="50"/>
  <c r="AB30" i="50"/>
  <c r="AB9" i="50"/>
  <c r="Y149" i="49"/>
  <c r="Y150" i="49"/>
  <c r="Y151" i="49"/>
  <c r="Y152" i="49"/>
  <c r="Y153" i="49"/>
  <c r="Y154" i="49"/>
  <c r="Y155" i="49"/>
  <c r="Y156" i="49"/>
  <c r="Y157" i="49"/>
  <c r="Y158" i="49"/>
  <c r="Y159" i="49"/>
  <c r="Y160" i="49"/>
  <c r="Y161" i="49"/>
  <c r="Y162" i="49"/>
  <c r="Y163" i="49"/>
  <c r="Y164" i="49"/>
  <c r="Y165" i="49"/>
  <c r="Y166" i="49"/>
  <c r="Y167" i="49"/>
  <c r="Y168" i="49"/>
  <c r="Y169" i="49"/>
  <c r="Y170" i="49"/>
  <c r="Y148" i="49"/>
  <c r="AE18" i="50" l="1"/>
  <c r="AD18" i="50"/>
  <c r="A53" i="50"/>
  <c r="A62" i="50"/>
  <c r="A58" i="50"/>
  <c r="A56" i="50"/>
  <c r="A52" i="50"/>
  <c r="A61" i="50"/>
  <c r="A57" i="50"/>
  <c r="A55" i="50"/>
  <c r="A51" i="50"/>
  <c r="A60" i="50"/>
  <c r="A54" i="50"/>
  <c r="A50" i="50"/>
  <c r="A59" i="50"/>
  <c r="AE28" i="50"/>
  <c r="AD28" i="50"/>
  <c r="AE24" i="50"/>
  <c r="AD24" i="50"/>
  <c r="AE20" i="50"/>
  <c r="AD20" i="50"/>
  <c r="AE16" i="50"/>
  <c r="AD16" i="50"/>
  <c r="AE12" i="50"/>
  <c r="AD12" i="50"/>
  <c r="BC33" i="50"/>
  <c r="AE33" i="50"/>
  <c r="AD33" i="50"/>
  <c r="BC46" i="50"/>
  <c r="AE46" i="50"/>
  <c r="AD46" i="50"/>
  <c r="BC42" i="50"/>
  <c r="AE42" i="50"/>
  <c r="AD42" i="50"/>
  <c r="BC38" i="50"/>
  <c r="AE38" i="50"/>
  <c r="AD38" i="50"/>
  <c r="BC34" i="50"/>
  <c r="AE34" i="50"/>
  <c r="AD34" i="50"/>
  <c r="AE52" i="50"/>
  <c r="AD52" i="50"/>
  <c r="AE71" i="50"/>
  <c r="AD71" i="50"/>
  <c r="AE67" i="50"/>
  <c r="AD67" i="50"/>
  <c r="AE63" i="50"/>
  <c r="AD63" i="50"/>
  <c r="AE59" i="50"/>
  <c r="AD59" i="50"/>
  <c r="AE76" i="50"/>
  <c r="AD76" i="50"/>
  <c r="AE79" i="50"/>
  <c r="AD79" i="50"/>
  <c r="AE9" i="50"/>
  <c r="AD9" i="50"/>
  <c r="AE27" i="50"/>
  <c r="AD27" i="50"/>
  <c r="AE23" i="50"/>
  <c r="AD23" i="50"/>
  <c r="AE19" i="50"/>
  <c r="AD19" i="50"/>
  <c r="AE15" i="50"/>
  <c r="AD15" i="50"/>
  <c r="AE11" i="50"/>
  <c r="AD11" i="50"/>
  <c r="BC50" i="50"/>
  <c r="AE50" i="50"/>
  <c r="AD50" i="50"/>
  <c r="AE45" i="50"/>
  <c r="AD45" i="50"/>
  <c r="AE41" i="50"/>
  <c r="AD41" i="50"/>
  <c r="AE37" i="50"/>
  <c r="AD37" i="50"/>
  <c r="AE55" i="50"/>
  <c r="AD55" i="50"/>
  <c r="AE51" i="50"/>
  <c r="AD51" i="50"/>
  <c r="AE70" i="50"/>
  <c r="AD70" i="50"/>
  <c r="AE66" i="50"/>
  <c r="AD66" i="50"/>
  <c r="AE62" i="50"/>
  <c r="AD62" i="50"/>
  <c r="AE58" i="50"/>
  <c r="AD58" i="50"/>
  <c r="AE75" i="50"/>
  <c r="AD75" i="50"/>
  <c r="AE30" i="50"/>
  <c r="AD30" i="50"/>
  <c r="AE26" i="50"/>
  <c r="AD26" i="50"/>
  <c r="AE22" i="50"/>
  <c r="AD22" i="50"/>
  <c r="AE14" i="50"/>
  <c r="AD14" i="50"/>
  <c r="AE10" i="50"/>
  <c r="AD10" i="50"/>
  <c r="AE49" i="50"/>
  <c r="AD49" i="50"/>
  <c r="AE44" i="50"/>
  <c r="AD44" i="50"/>
  <c r="AE40" i="50"/>
  <c r="AD40" i="50"/>
  <c r="AE36" i="50"/>
  <c r="AD36" i="50"/>
  <c r="BC54" i="50"/>
  <c r="AE54" i="50"/>
  <c r="AD54" i="50"/>
  <c r="AE57" i="50"/>
  <c r="AD57" i="50"/>
  <c r="AE69" i="50"/>
  <c r="AD69" i="50"/>
  <c r="AE65" i="50"/>
  <c r="AD65" i="50"/>
  <c r="AE61" i="50"/>
  <c r="AD61" i="50"/>
  <c r="AE78" i="50"/>
  <c r="AD78" i="50"/>
  <c r="AE74" i="50"/>
  <c r="AD74" i="50"/>
  <c r="AE29" i="50"/>
  <c r="AD29" i="50"/>
  <c r="AE25" i="50"/>
  <c r="AD25" i="50"/>
  <c r="AE21" i="50"/>
  <c r="AD21" i="50"/>
  <c r="AE17" i="50"/>
  <c r="AD17" i="50"/>
  <c r="AE13" i="50"/>
  <c r="AD13" i="50"/>
  <c r="AE31" i="50"/>
  <c r="AD31" i="50"/>
  <c r="AE48" i="50"/>
  <c r="AD48" i="50"/>
  <c r="AE43" i="50"/>
  <c r="AD43" i="50"/>
  <c r="AE39" i="50"/>
  <c r="AD39" i="50"/>
  <c r="AE35" i="50"/>
  <c r="AD35" i="50"/>
  <c r="AE53" i="50"/>
  <c r="AD53" i="50"/>
  <c r="AE72" i="50"/>
  <c r="AD72" i="50"/>
  <c r="AE68" i="50"/>
  <c r="AD68" i="50"/>
  <c r="AE64" i="50"/>
  <c r="AD64" i="50"/>
  <c r="AE60" i="50"/>
  <c r="AD60" i="50"/>
  <c r="AE77" i="50"/>
  <c r="AD77" i="50"/>
  <c r="AE73" i="50"/>
  <c r="AD73" i="50"/>
  <c r="BC49" i="50"/>
  <c r="BC40" i="50"/>
  <c r="BC36" i="50"/>
  <c r="BC48" i="50"/>
  <c r="BC39" i="50"/>
  <c r="BC53" i="50"/>
  <c r="BC52" i="50"/>
  <c r="BC44" i="50"/>
  <c r="BC43" i="50"/>
  <c r="BC35" i="50"/>
  <c r="BC45" i="50"/>
  <c r="BC41" i="50"/>
  <c r="BC37" i="50"/>
  <c r="BC55" i="50"/>
  <c r="BC51" i="50"/>
  <c r="B149" i="49"/>
  <c r="B150" i="49"/>
  <c r="A150" i="49" s="1"/>
  <c r="B151" i="49"/>
  <c r="A151" i="49" s="1"/>
  <c r="B152" i="49"/>
  <c r="A152" i="49" s="1"/>
  <c r="B153" i="49"/>
  <c r="A153" i="49" s="1"/>
  <c r="B154" i="49"/>
  <c r="A154" i="49" s="1"/>
  <c r="B155" i="49"/>
  <c r="A155" i="49" s="1"/>
  <c r="B156" i="49"/>
  <c r="A156" i="49" s="1"/>
  <c r="B157" i="49"/>
  <c r="A157" i="49" s="1"/>
  <c r="B158" i="49"/>
  <c r="A158" i="49" s="1"/>
  <c r="B159" i="49"/>
  <c r="A159" i="49" s="1"/>
  <c r="B160" i="49"/>
  <c r="A160" i="49" s="1"/>
  <c r="B161" i="49"/>
  <c r="A161" i="49" s="1"/>
  <c r="B162" i="49"/>
  <c r="A162" i="49" s="1"/>
  <c r="B163" i="49"/>
  <c r="A163" i="49" s="1"/>
  <c r="B164" i="49"/>
  <c r="A164" i="49" s="1"/>
  <c r="B165" i="49"/>
  <c r="B166" i="49"/>
  <c r="A166" i="49" s="1"/>
  <c r="B167" i="49"/>
  <c r="A167" i="49" s="1"/>
  <c r="B168" i="49"/>
  <c r="A168" i="49" s="1"/>
  <c r="B169" i="49"/>
  <c r="A169" i="49" s="1"/>
  <c r="B170" i="49"/>
  <c r="AL57" i="49"/>
  <c r="AR57" i="49" s="1"/>
  <c r="AL58" i="49"/>
  <c r="AR58" i="49" s="1"/>
  <c r="Y27" i="49"/>
  <c r="Y26" i="49"/>
  <c r="V32" i="50" l="1"/>
  <c r="R64" i="50" s="1"/>
  <c r="H32" i="50"/>
  <c r="W32" i="50"/>
  <c r="T64" i="50" s="1"/>
  <c r="I32" i="50"/>
  <c r="X32" i="50"/>
  <c r="V64" i="50" s="1"/>
  <c r="U32" i="50"/>
  <c r="P64" i="50" s="1"/>
  <c r="J32" i="50"/>
  <c r="H64" i="50" s="1"/>
  <c r="D32" i="50"/>
  <c r="D64" i="50" s="1"/>
  <c r="P32" i="50"/>
  <c r="J64" i="50" s="1"/>
  <c r="Q32" i="50"/>
  <c r="L64" i="50" s="1"/>
  <c r="T32" i="50"/>
  <c r="N64" i="50" s="1"/>
  <c r="AA132" i="68"/>
  <c r="Z97" i="91"/>
  <c r="AA26" i="85"/>
  <c r="AA133" i="68"/>
  <c r="Z98" i="91"/>
  <c r="AA27" i="85"/>
  <c r="Q28" i="50"/>
  <c r="J21" i="50"/>
  <c r="J30" i="50"/>
  <c r="J18" i="50"/>
  <c r="H26" i="50"/>
  <c r="Q18" i="50"/>
  <c r="H19" i="50"/>
  <c r="Q27" i="50"/>
  <c r="J16" i="50"/>
  <c r="J28" i="50"/>
  <c r="J26" i="50"/>
  <c r="J20" i="50"/>
  <c r="I18" i="50"/>
  <c r="P24" i="50"/>
  <c r="P27" i="50"/>
  <c r="J23" i="50"/>
  <c r="I30" i="50"/>
  <c r="I20" i="50"/>
  <c r="V21" i="50"/>
  <c r="P19" i="50"/>
  <c r="I24" i="50"/>
  <c r="J24" i="50"/>
  <c r="H20" i="50"/>
  <c r="P17" i="50"/>
  <c r="P29" i="50"/>
  <c r="D9" i="50"/>
  <c r="D41" i="50" s="1"/>
  <c r="H18" i="50"/>
  <c r="Q19" i="50"/>
  <c r="Q20" i="50"/>
  <c r="H24" i="50"/>
  <c r="H21" i="50"/>
  <c r="H17" i="50"/>
  <c r="I16" i="50"/>
  <c r="Q25" i="50"/>
  <c r="H23" i="50"/>
  <c r="P16" i="50"/>
  <c r="I22" i="50"/>
  <c r="H28" i="50"/>
  <c r="I29" i="50"/>
  <c r="J22" i="50"/>
  <c r="P21" i="50"/>
  <c r="P18" i="50"/>
  <c r="J25" i="50"/>
  <c r="Q29" i="50"/>
  <c r="H29" i="50"/>
  <c r="P20" i="50"/>
  <c r="Q17" i="50"/>
  <c r="I27" i="50"/>
  <c r="J29" i="50"/>
  <c r="H22" i="50"/>
  <c r="P28" i="50"/>
  <c r="Q23" i="50"/>
  <c r="I25" i="50"/>
  <c r="P30" i="50"/>
  <c r="J27" i="50"/>
  <c r="P23" i="50"/>
  <c r="H16" i="50"/>
  <c r="J19" i="50"/>
  <c r="X21" i="50"/>
  <c r="Q16" i="50"/>
  <c r="I26" i="50"/>
  <c r="Q21" i="50"/>
  <c r="I19" i="50"/>
  <c r="H27" i="50"/>
  <c r="Q26" i="50"/>
  <c r="H30" i="50"/>
  <c r="T21" i="50"/>
  <c r="I17" i="50"/>
  <c r="J17" i="50"/>
  <c r="I28" i="50"/>
  <c r="U21" i="50"/>
  <c r="Q30" i="50"/>
  <c r="P26" i="50"/>
  <c r="H25" i="50"/>
  <c r="W21" i="50"/>
  <c r="Q24" i="50"/>
  <c r="P25" i="50"/>
  <c r="Q22" i="50"/>
  <c r="I21" i="50"/>
  <c r="D21" i="50"/>
  <c r="P22" i="50"/>
  <c r="I23" i="50"/>
  <c r="J31" i="50"/>
  <c r="H31" i="50"/>
  <c r="Q31" i="50"/>
  <c r="P31" i="50"/>
  <c r="I31" i="50"/>
  <c r="X28" i="50"/>
  <c r="U29" i="50"/>
  <c r="X20" i="50"/>
  <c r="U23" i="50"/>
  <c r="W12" i="50"/>
  <c r="U25" i="50"/>
  <c r="T19" i="50"/>
  <c r="J14" i="50"/>
  <c r="T11" i="50"/>
  <c r="V23" i="50"/>
  <c r="V25" i="50"/>
  <c r="T15" i="50"/>
  <c r="W22" i="50"/>
  <c r="X10" i="50"/>
  <c r="D12" i="50"/>
  <c r="D18" i="50"/>
  <c r="X24" i="50"/>
  <c r="V12" i="50"/>
  <c r="T27" i="50"/>
  <c r="V16" i="50"/>
  <c r="D30" i="50"/>
  <c r="X25" i="50"/>
  <c r="X9" i="50"/>
  <c r="W27" i="50"/>
  <c r="H9" i="50"/>
  <c r="Q14" i="50"/>
  <c r="P12" i="50"/>
  <c r="D27" i="50"/>
  <c r="T18" i="50"/>
  <c r="X17" i="50"/>
  <c r="T25" i="50"/>
  <c r="T20" i="50"/>
  <c r="V11" i="50"/>
  <c r="U12" i="50"/>
  <c r="U9" i="50"/>
  <c r="W14" i="50"/>
  <c r="J10" i="50"/>
  <c r="W17" i="50"/>
  <c r="U22" i="50"/>
  <c r="D16" i="50"/>
  <c r="X12" i="50"/>
  <c r="J15" i="50"/>
  <c r="X11" i="50"/>
  <c r="X26" i="50"/>
  <c r="Q12" i="50"/>
  <c r="P15" i="50"/>
  <c r="U26" i="50"/>
  <c r="V13" i="50"/>
  <c r="J13" i="50"/>
  <c r="D23" i="50"/>
  <c r="W16" i="50"/>
  <c r="Q11" i="50"/>
  <c r="W26" i="50"/>
  <c r="I12" i="50"/>
  <c r="W29" i="50"/>
  <c r="U18" i="50"/>
  <c r="Q10" i="50"/>
  <c r="I10" i="50"/>
  <c r="P14" i="50"/>
  <c r="X16" i="50"/>
  <c r="H15" i="50"/>
  <c r="X30" i="50"/>
  <c r="I11" i="50"/>
  <c r="I9" i="50"/>
  <c r="D22" i="50"/>
  <c r="W28" i="50"/>
  <c r="V24" i="50"/>
  <c r="V29" i="50"/>
  <c r="D17" i="50"/>
  <c r="U19" i="50"/>
  <c r="Q15" i="50"/>
  <c r="H12" i="50"/>
  <c r="T28" i="50"/>
  <c r="V22" i="50"/>
  <c r="T12" i="50"/>
  <c r="W15" i="50"/>
  <c r="T17" i="50"/>
  <c r="V26" i="50"/>
  <c r="W11" i="50"/>
  <c r="H11" i="50"/>
  <c r="V30" i="50"/>
  <c r="X15" i="50"/>
  <c r="H10" i="50"/>
  <c r="W20" i="50"/>
  <c r="V28" i="50"/>
  <c r="I15" i="50"/>
  <c r="W9" i="50"/>
  <c r="U20" i="50"/>
  <c r="X22" i="50"/>
  <c r="T24" i="50"/>
  <c r="X23" i="50"/>
  <c r="X18" i="50"/>
  <c r="V18" i="50"/>
  <c r="V20" i="50"/>
  <c r="T26" i="50"/>
  <c r="T16" i="50"/>
  <c r="Q13" i="50"/>
  <c r="U28" i="50"/>
  <c r="D29" i="50"/>
  <c r="D19" i="50"/>
  <c r="W25" i="50"/>
  <c r="T22" i="50"/>
  <c r="D14" i="50"/>
  <c r="D26" i="50"/>
  <c r="D28" i="50"/>
  <c r="H13" i="50"/>
  <c r="U10" i="50"/>
  <c r="D15" i="50"/>
  <c r="U11" i="50"/>
  <c r="J11" i="50"/>
  <c r="X19" i="50"/>
  <c r="D25" i="50"/>
  <c r="U17" i="50"/>
  <c r="U27" i="50"/>
  <c r="W23" i="50"/>
  <c r="W18" i="50"/>
  <c r="T9" i="50"/>
  <c r="V14" i="50"/>
  <c r="T13" i="50"/>
  <c r="U13" i="50"/>
  <c r="X14" i="50"/>
  <c r="T23" i="50"/>
  <c r="V19" i="50"/>
  <c r="Q9" i="50"/>
  <c r="P13" i="50"/>
  <c r="J12" i="50"/>
  <c r="V15" i="50"/>
  <c r="U16" i="50"/>
  <c r="T29" i="50"/>
  <c r="P11" i="50"/>
  <c r="W24" i="50"/>
  <c r="P10" i="50"/>
  <c r="V9" i="50"/>
  <c r="P9" i="50"/>
  <c r="H14" i="50"/>
  <c r="D13" i="50"/>
  <c r="X29" i="50"/>
  <c r="D20" i="50"/>
  <c r="W10" i="50"/>
  <c r="V17" i="50"/>
  <c r="W30" i="50"/>
  <c r="T30" i="50"/>
  <c r="V27" i="50"/>
  <c r="U30" i="50"/>
  <c r="I14" i="50"/>
  <c r="U15" i="50"/>
  <c r="W19" i="50"/>
  <c r="I13" i="50"/>
  <c r="U24" i="50"/>
  <c r="V10" i="50"/>
  <c r="D10" i="50"/>
  <c r="T14" i="50"/>
  <c r="D24" i="50"/>
  <c r="J9" i="50"/>
  <c r="T10" i="50"/>
  <c r="X27" i="50"/>
  <c r="X13" i="50"/>
  <c r="U14" i="50"/>
  <c r="D11" i="50"/>
  <c r="W13" i="50"/>
  <c r="U31" i="50"/>
  <c r="W31" i="50"/>
  <c r="X31" i="50"/>
  <c r="T31" i="50"/>
  <c r="D31" i="50"/>
  <c r="V31" i="50"/>
  <c r="A149" i="49"/>
  <c r="AS65" i="49"/>
  <c r="BB58" i="49"/>
  <c r="AX58" i="49"/>
  <c r="AY58" i="49"/>
  <c r="AZ58" i="49"/>
  <c r="BA58" i="49"/>
  <c r="AY57" i="49"/>
  <c r="AZ57" i="49"/>
  <c r="BB57" i="49"/>
  <c r="AX57" i="49"/>
  <c r="BA57" i="49"/>
  <c r="A148" i="49"/>
  <c r="AA26" i="68"/>
  <c r="A165" i="49"/>
  <c r="AA27" i="68"/>
  <c r="AU57" i="49"/>
  <c r="AW57" i="49"/>
  <c r="AV57" i="49"/>
  <c r="AS57" i="49"/>
  <c r="AT57" i="49"/>
  <c r="AS64" i="49"/>
  <c r="AW64" i="49"/>
  <c r="AU64" i="49"/>
  <c r="AT64" i="49"/>
  <c r="AV64" i="49"/>
  <c r="AT58" i="49"/>
  <c r="AS58" i="49"/>
  <c r="AU58" i="49"/>
  <c r="AV58" i="49"/>
  <c r="AW58" i="49"/>
  <c r="AM57" i="49"/>
  <c r="AQ57" i="49"/>
  <c r="AN57" i="49"/>
  <c r="AP57" i="49"/>
  <c r="AO57" i="49"/>
  <c r="AP58" i="49"/>
  <c r="AQ58" i="49"/>
  <c r="AO58" i="49"/>
  <c r="AM58" i="49"/>
  <c r="AN58" i="49"/>
  <c r="F64" i="50" l="1"/>
  <c r="F62" i="50"/>
  <c r="F61" i="50"/>
  <c r="L62" i="50"/>
  <c r="F52" i="50"/>
  <c r="D62" i="50"/>
  <c r="H62" i="50"/>
  <c r="D57" i="50"/>
  <c r="L57" i="50"/>
  <c r="H57" i="50"/>
  <c r="L58" i="50"/>
  <c r="D54" i="50"/>
  <c r="F58" i="50"/>
  <c r="D58" i="50"/>
  <c r="H58" i="50"/>
  <c r="L54" i="50"/>
  <c r="H54" i="50"/>
  <c r="D53" i="50"/>
  <c r="F60" i="50"/>
  <c r="L53" i="50"/>
  <c r="H61" i="50"/>
  <c r="L48" i="50"/>
  <c r="L61" i="50"/>
  <c r="H53" i="50"/>
  <c r="H48" i="50"/>
  <c r="D48" i="50"/>
  <c r="D61" i="50"/>
  <c r="F57" i="50"/>
  <c r="F42" i="50"/>
  <c r="F44" i="50"/>
  <c r="F50" i="50"/>
  <c r="D51" i="50"/>
  <c r="L56" i="50"/>
  <c r="H41" i="50"/>
  <c r="L55" i="50"/>
  <c r="F43" i="50"/>
  <c r="L63" i="50"/>
  <c r="L49" i="50"/>
  <c r="H55" i="50"/>
  <c r="L45" i="50"/>
  <c r="D47" i="50"/>
  <c r="L52" i="50"/>
  <c r="F49" i="50"/>
  <c r="F63" i="50"/>
  <c r="AD84" i="50" s="1"/>
  <c r="D63" i="50"/>
  <c r="AD82" i="50" s="1"/>
  <c r="H63" i="50"/>
  <c r="AD86" i="50" s="1"/>
  <c r="L59" i="50"/>
  <c r="H43" i="50"/>
  <c r="F56" i="50"/>
  <c r="F51" i="50"/>
  <c r="D52" i="50"/>
  <c r="D45" i="50"/>
  <c r="H44" i="50"/>
  <c r="D49" i="50"/>
  <c r="H59" i="50"/>
  <c r="F47" i="50"/>
  <c r="H56" i="50"/>
  <c r="L44" i="50"/>
  <c r="F41" i="50"/>
  <c r="F48" i="50"/>
  <c r="F46" i="50"/>
  <c r="L41" i="50"/>
  <c r="H51" i="50"/>
  <c r="H52" i="50"/>
  <c r="L47" i="50"/>
  <c r="H60" i="50"/>
  <c r="H50" i="50"/>
  <c r="L43" i="50"/>
  <c r="H45" i="50"/>
  <c r="F55" i="50"/>
  <c r="H47" i="50"/>
  <c r="F59" i="50"/>
  <c r="H46" i="50"/>
  <c r="L42" i="50"/>
  <c r="L51" i="50"/>
  <c r="H42" i="50"/>
  <c r="F54" i="50"/>
  <c r="D59" i="50"/>
  <c r="L46" i="50"/>
  <c r="F53" i="50"/>
  <c r="D50" i="50"/>
  <c r="D43" i="50"/>
  <c r="D56" i="50"/>
  <c r="D42" i="50"/>
  <c r="F45" i="50"/>
  <c r="D60" i="50"/>
  <c r="D46" i="50"/>
  <c r="L60" i="50"/>
  <c r="H49" i="50"/>
  <c r="D55" i="50"/>
  <c r="D44" i="50"/>
  <c r="L50" i="50"/>
  <c r="AD90" i="50" l="1"/>
  <c r="AG119" i="60"/>
  <c r="AG120" i="60"/>
  <c r="AG122" i="60"/>
  <c r="AG123" i="60"/>
  <c r="AG124" i="60"/>
  <c r="AG125" i="60"/>
  <c r="AG126" i="60"/>
  <c r="AG127" i="60"/>
  <c r="AG128" i="60"/>
  <c r="AG129" i="60"/>
  <c r="AG130" i="60"/>
  <c r="AG132" i="60"/>
  <c r="AL166" i="60"/>
  <c r="AG133" i="60"/>
  <c r="AG134" i="60"/>
  <c r="AG135" i="60"/>
  <c r="AK63" i="60"/>
  <c r="AK62" i="60"/>
  <c r="AK61" i="60"/>
  <c r="AK60" i="60"/>
  <c r="AK56" i="60"/>
  <c r="AK55" i="60"/>
  <c r="AK54" i="60"/>
  <c r="AK53" i="60"/>
  <c r="AK52" i="60"/>
  <c r="AK51" i="60"/>
  <c r="AK50" i="60"/>
  <c r="AK49" i="60"/>
  <c r="AK48" i="60"/>
  <c r="AK47" i="60"/>
  <c r="AK46" i="60"/>
  <c r="AK45" i="60"/>
  <c r="AK44" i="60"/>
  <c r="AK43" i="60"/>
  <c r="AK42" i="60"/>
  <c r="AK41" i="60"/>
  <c r="T24" i="60"/>
  <c r="AN41" i="60" l="1"/>
  <c r="AO41" i="60"/>
  <c r="AM41" i="60"/>
  <c r="AP41" i="60"/>
  <c r="AL41" i="60"/>
  <c r="AL49" i="60"/>
  <c r="AP49" i="60"/>
  <c r="AM49" i="60"/>
  <c r="AO49" i="60"/>
  <c r="AN49" i="60"/>
  <c r="AM56" i="60"/>
  <c r="AN56" i="60"/>
  <c r="AL56" i="60"/>
  <c r="AO56" i="60"/>
  <c r="AP56" i="60"/>
  <c r="AM44" i="60"/>
  <c r="AN44" i="60"/>
  <c r="AP44" i="60"/>
  <c r="AL44" i="60"/>
  <c r="AO44" i="60"/>
  <c r="AM52" i="60"/>
  <c r="AN52" i="60"/>
  <c r="AP52" i="60"/>
  <c r="AL52" i="60"/>
  <c r="AO52" i="60"/>
  <c r="AM60" i="60"/>
  <c r="AN60" i="60"/>
  <c r="AP60" i="60"/>
  <c r="AL60" i="60"/>
  <c r="AO60" i="60"/>
  <c r="AN43" i="60"/>
  <c r="AO43" i="60"/>
  <c r="AL43" i="60"/>
  <c r="AM43" i="60"/>
  <c r="AP43" i="60"/>
  <c r="AN47" i="60"/>
  <c r="AO47" i="60"/>
  <c r="AL47" i="60"/>
  <c r="AM47" i="60"/>
  <c r="AP47" i="60"/>
  <c r="AN51" i="60"/>
  <c r="AO51" i="60"/>
  <c r="AM51" i="60"/>
  <c r="AP51" i="60"/>
  <c r="AL51" i="60"/>
  <c r="AL61" i="60"/>
  <c r="AP61" i="60"/>
  <c r="AM61" i="60"/>
  <c r="AN61" i="60"/>
  <c r="AO61" i="60"/>
  <c r="AL45" i="60"/>
  <c r="AP45" i="60"/>
  <c r="AM45" i="60"/>
  <c r="AN45" i="60"/>
  <c r="AO45" i="60"/>
  <c r="AL53" i="60"/>
  <c r="AP53" i="60"/>
  <c r="AM53" i="60"/>
  <c r="AN53" i="60"/>
  <c r="AO53" i="60"/>
  <c r="AK170" i="60"/>
  <c r="AX170" i="60" s="1"/>
  <c r="AL63" i="60"/>
  <c r="AM48" i="60"/>
  <c r="AN48" i="60"/>
  <c r="AL48" i="60"/>
  <c r="AO48" i="60"/>
  <c r="AP48" i="60"/>
  <c r="AO55" i="60"/>
  <c r="AL55" i="60"/>
  <c r="AM55" i="60"/>
  <c r="AP55" i="60"/>
  <c r="AO42" i="60"/>
  <c r="AL42" i="60"/>
  <c r="AP42" i="60"/>
  <c r="AM42" i="60"/>
  <c r="AN42" i="60"/>
  <c r="AO46" i="60"/>
  <c r="AL46" i="60"/>
  <c r="AP46" i="60"/>
  <c r="AN46" i="60"/>
  <c r="AM46" i="60"/>
  <c r="AO50" i="60"/>
  <c r="AL50" i="60"/>
  <c r="AP50" i="60"/>
  <c r="AM50" i="60"/>
  <c r="AN50" i="60"/>
  <c r="AO54" i="60"/>
  <c r="AQ54" i="60"/>
  <c r="AL54" i="60"/>
  <c r="AP54" i="60"/>
  <c r="AN54" i="60"/>
  <c r="AM54" i="60"/>
  <c r="AO62" i="60"/>
  <c r="AL62" i="60"/>
  <c r="AP62" i="60"/>
  <c r="AN62" i="60"/>
  <c r="AM62" i="60"/>
  <c r="AK150" i="60"/>
  <c r="AL150" i="60" s="1"/>
  <c r="AK154" i="60"/>
  <c r="AK149" i="60"/>
  <c r="AO149" i="60" s="1"/>
  <c r="AK157" i="60"/>
  <c r="AK152" i="60"/>
  <c r="AK156" i="60"/>
  <c r="AK160" i="60"/>
  <c r="AK163" i="60"/>
  <c r="AP163" i="60" s="1"/>
  <c r="AK158" i="60"/>
  <c r="AP158" i="60" s="1"/>
  <c r="AK168" i="60"/>
  <c r="AK153" i="60"/>
  <c r="AP153" i="60" s="1"/>
  <c r="AK161" i="60"/>
  <c r="AK169" i="60"/>
  <c r="AO169" i="60" s="1"/>
  <c r="AK151" i="60"/>
  <c r="AK155" i="60"/>
  <c r="AK159" i="60"/>
  <c r="AK162" i="60"/>
  <c r="AK167" i="60"/>
  <c r="T118" i="60"/>
  <c r="T139" i="60"/>
  <c r="AG136" i="60"/>
  <c r="T121" i="60"/>
  <c r="AG121" i="60"/>
  <c r="AH127" i="60" s="1"/>
  <c r="R127" i="60" s="1"/>
  <c r="AM166" i="60"/>
  <c r="T132" i="60"/>
  <c r="AG131" i="60"/>
  <c r="T30" i="60"/>
  <c r="AQ60" i="60" s="1"/>
  <c r="T12" i="60"/>
  <c r="AQ42" i="60" s="1"/>
  <c r="T16" i="60"/>
  <c r="AQ46" i="60" s="1"/>
  <c r="T18" i="60"/>
  <c r="AQ48" i="60" s="1"/>
  <c r="T20" i="60"/>
  <c r="AQ50" i="60" s="1"/>
  <c r="T22" i="60"/>
  <c r="AQ52" i="60" s="1"/>
  <c r="T26" i="60"/>
  <c r="AQ56" i="60" s="1"/>
  <c r="T31" i="60"/>
  <c r="T32" i="60"/>
  <c r="AQ62" i="60" s="1"/>
  <c r="T14" i="60"/>
  <c r="AQ44" i="60" s="1"/>
  <c r="T15" i="60"/>
  <c r="AQ45" i="60" s="1"/>
  <c r="T19" i="60"/>
  <c r="AQ49" i="60" s="1"/>
  <c r="T23" i="60"/>
  <c r="AQ53" i="60" s="1"/>
  <c r="T25" i="60"/>
  <c r="AQ55" i="60" s="1"/>
  <c r="AO166" i="60"/>
  <c r="AP166" i="60"/>
  <c r="AN166" i="60"/>
  <c r="Y33" i="60"/>
  <c r="AL169" i="60"/>
  <c r="T131" i="60"/>
  <c r="T123" i="60"/>
  <c r="T124" i="60"/>
  <c r="T138" i="60"/>
  <c r="T120" i="60"/>
  <c r="T128" i="60"/>
  <c r="T126" i="60"/>
  <c r="T136" i="60"/>
  <c r="AQ166" i="60" s="1"/>
  <c r="T130" i="60"/>
  <c r="T119" i="60"/>
  <c r="T125" i="60"/>
  <c r="T127" i="60"/>
  <c r="T129" i="60"/>
  <c r="T133" i="60"/>
  <c r="T137" i="60"/>
  <c r="T122" i="60"/>
  <c r="Z4" i="60"/>
  <c r="T17" i="60"/>
  <c r="AQ47" i="60" s="1"/>
  <c r="AN164" i="60"/>
  <c r="T11" i="60"/>
  <c r="AQ41" i="60" s="1"/>
  <c r="T29" i="60"/>
  <c r="AQ59" i="60" s="1"/>
  <c r="T13" i="60"/>
  <c r="AQ43" i="60" s="1"/>
  <c r="T21" i="60"/>
  <c r="AQ51" i="60" s="1"/>
  <c r="AK148" i="60"/>
  <c r="AM164" i="60"/>
  <c r="AP164" i="60"/>
  <c r="AL164" i="60"/>
  <c r="AO164" i="60"/>
  <c r="AM172" i="60"/>
  <c r="AP172" i="60"/>
  <c r="AL172" i="60"/>
  <c r="AN172" i="60"/>
  <c r="AO172" i="60"/>
  <c r="AH134" i="60" l="1"/>
  <c r="R137" i="60" s="1"/>
  <c r="AH135" i="60"/>
  <c r="R138" i="60" s="1"/>
  <c r="AH136" i="60"/>
  <c r="R139" i="60" s="1"/>
  <c r="AL163" i="60"/>
  <c r="AR170" i="60"/>
  <c r="AZ170" i="60"/>
  <c r="AL170" i="60"/>
  <c r="AH125" i="60"/>
  <c r="R125" i="60" s="1"/>
  <c r="AH120" i="60"/>
  <c r="R120" i="60" s="1"/>
  <c r="AQ65" i="60"/>
  <c r="AQ172" i="60"/>
  <c r="M172" i="60"/>
  <c r="M65" i="60"/>
  <c r="AQ150" i="60"/>
  <c r="AQ153" i="60"/>
  <c r="AM153" i="60"/>
  <c r="AP150" i="60"/>
  <c r="AL153" i="60"/>
  <c r="AO150" i="60"/>
  <c r="AQ155" i="60"/>
  <c r="AQ152" i="60"/>
  <c r="AN153" i="60"/>
  <c r="AM150" i="60"/>
  <c r="AW148" i="60"/>
  <c r="AQ148" i="60"/>
  <c r="AO170" i="60"/>
  <c r="AP167" i="60"/>
  <c r="AQ167" i="60"/>
  <c r="AQ151" i="60"/>
  <c r="AO168" i="60"/>
  <c r="AQ168" i="60"/>
  <c r="BA170" i="60"/>
  <c r="AW170" i="60"/>
  <c r="AQ163" i="60"/>
  <c r="AN157" i="60"/>
  <c r="AQ157" i="60"/>
  <c r="AQ61" i="60"/>
  <c r="AO163" i="60"/>
  <c r="AM163" i="60"/>
  <c r="AO153" i="60"/>
  <c r="AN150" i="60"/>
  <c r="AN163" i="60"/>
  <c r="AM170" i="60"/>
  <c r="AQ162" i="60"/>
  <c r="AP169" i="60"/>
  <c r="AQ169" i="60"/>
  <c r="AL158" i="60"/>
  <c r="AQ158" i="60"/>
  <c r="AQ160" i="60"/>
  <c r="AP149" i="60"/>
  <c r="AQ149" i="60"/>
  <c r="AP170" i="60"/>
  <c r="AQ159" i="60"/>
  <c r="AM161" i="60"/>
  <c r="AQ161" i="60"/>
  <c r="AU170" i="60"/>
  <c r="AV170" i="60"/>
  <c r="AS170" i="60"/>
  <c r="AQ156" i="60"/>
  <c r="AL154" i="60"/>
  <c r="AQ154" i="60"/>
  <c r="AN169" i="60"/>
  <c r="AO158" i="60"/>
  <c r="AM169" i="60"/>
  <c r="AN158" i="60"/>
  <c r="AM149" i="60"/>
  <c r="AN149" i="60"/>
  <c r="AL149" i="60"/>
  <c r="AM158" i="60"/>
  <c r="AN161" i="60"/>
  <c r="AP157" i="60"/>
  <c r="AM168" i="60"/>
  <c r="AN168" i="60"/>
  <c r="AN154" i="60"/>
  <c r="AH130" i="60"/>
  <c r="R130" i="60" s="1"/>
  <c r="AH119" i="60"/>
  <c r="R119" i="60" s="1"/>
  <c r="AH121" i="60"/>
  <c r="R121" i="60" s="1"/>
  <c r="AH118" i="60"/>
  <c r="R118" i="60" s="1"/>
  <c r="AW167" i="60"/>
  <c r="BA167" i="60"/>
  <c r="AS167" i="60"/>
  <c r="AZ167" i="60"/>
  <c r="AX167" i="60"/>
  <c r="AV167" i="60"/>
  <c r="AR167" i="60"/>
  <c r="AY167" i="60"/>
  <c r="AU167" i="60"/>
  <c r="AT167" i="60"/>
  <c r="AX151" i="60"/>
  <c r="AZ151" i="60"/>
  <c r="AT151" i="60"/>
  <c r="AW151" i="60"/>
  <c r="AS151" i="60"/>
  <c r="AV151" i="60"/>
  <c r="AR151" i="60"/>
  <c r="AU151" i="60"/>
  <c r="BA151" i="60"/>
  <c r="AY151" i="60"/>
  <c r="AX160" i="60"/>
  <c r="AR160" i="60"/>
  <c r="AV160" i="60"/>
  <c r="AT160" i="60"/>
  <c r="AY160" i="60"/>
  <c r="AW160" i="60"/>
  <c r="BA160" i="60"/>
  <c r="AZ160" i="60"/>
  <c r="AS160" i="60"/>
  <c r="AU160" i="60"/>
  <c r="AZ157" i="60"/>
  <c r="AX157" i="60"/>
  <c r="AV157" i="60"/>
  <c r="AS157" i="60"/>
  <c r="AY157" i="60"/>
  <c r="BA157" i="60"/>
  <c r="AU157" i="60"/>
  <c r="AR157" i="60"/>
  <c r="AT157" i="60"/>
  <c r="AW157" i="60"/>
  <c r="AO161" i="60"/>
  <c r="AO157" i="60"/>
  <c r="AO154" i="60"/>
  <c r="AP168" i="60"/>
  <c r="AO167" i="60"/>
  <c r="AL167" i="60"/>
  <c r="AL161" i="60"/>
  <c r="AM154" i="60"/>
  <c r="AP161" i="60"/>
  <c r="AL168" i="60"/>
  <c r="AM157" i="60"/>
  <c r="AP154" i="60"/>
  <c r="AM167" i="60"/>
  <c r="AR159" i="60"/>
  <c r="AY159" i="60"/>
  <c r="AV159" i="60"/>
  <c r="AW159" i="60"/>
  <c r="AZ159" i="60"/>
  <c r="AX159" i="60"/>
  <c r="AU159" i="60"/>
  <c r="AS159" i="60"/>
  <c r="AT159" i="60"/>
  <c r="BA159" i="60"/>
  <c r="BA161" i="60"/>
  <c r="AY161" i="60"/>
  <c r="AT161" i="60"/>
  <c r="AV161" i="60"/>
  <c r="AZ161" i="60"/>
  <c r="AR161" i="60"/>
  <c r="AW161" i="60"/>
  <c r="AS161" i="60"/>
  <c r="AU161" i="60"/>
  <c r="AX161" i="60"/>
  <c r="AW168" i="60"/>
  <c r="AT168" i="60"/>
  <c r="AV168" i="60"/>
  <c r="AZ168" i="60"/>
  <c r="AR168" i="60"/>
  <c r="BA168" i="60"/>
  <c r="AX168" i="60"/>
  <c r="AY168" i="60"/>
  <c r="AU168" i="60"/>
  <c r="AS168" i="60"/>
  <c r="AV152" i="60"/>
  <c r="AU152" i="60"/>
  <c r="AW152" i="60"/>
  <c r="AT152" i="60"/>
  <c r="AS152" i="60"/>
  <c r="BA152" i="60"/>
  <c r="AY152" i="60"/>
  <c r="AX152" i="60"/>
  <c r="AR152" i="60"/>
  <c r="AZ152" i="60"/>
  <c r="AZ154" i="60"/>
  <c r="AU154" i="60"/>
  <c r="AR154" i="60"/>
  <c r="AX154" i="60"/>
  <c r="AY154" i="60"/>
  <c r="BA154" i="60"/>
  <c r="AT154" i="60"/>
  <c r="AW154" i="60"/>
  <c r="AV154" i="60"/>
  <c r="AS154" i="60"/>
  <c r="AL148" i="60"/>
  <c r="AT148" i="60"/>
  <c r="AV148" i="60"/>
  <c r="AR148" i="60"/>
  <c r="AS148" i="60"/>
  <c r="AY148" i="60"/>
  <c r="AU148" i="60"/>
  <c r="AX148" i="60"/>
  <c r="BA148" i="60"/>
  <c r="AZ148" i="60"/>
  <c r="AL157" i="60"/>
  <c r="AN167" i="60"/>
  <c r="AS162" i="60"/>
  <c r="AZ162" i="60"/>
  <c r="AU162" i="60"/>
  <c r="AX162" i="60"/>
  <c r="AV162" i="60"/>
  <c r="AW162" i="60"/>
  <c r="BA162" i="60"/>
  <c r="AR162" i="60"/>
  <c r="AY155" i="60"/>
  <c r="AX155" i="60"/>
  <c r="AV155" i="60"/>
  <c r="AS155" i="60"/>
  <c r="AW155" i="60"/>
  <c r="AU155" i="60"/>
  <c r="AZ155" i="60"/>
  <c r="AT155" i="60"/>
  <c r="BA155" i="60"/>
  <c r="AR155" i="60"/>
  <c r="AV169" i="60"/>
  <c r="AR169" i="60"/>
  <c r="AW169" i="60"/>
  <c r="BA169" i="60"/>
  <c r="AT169" i="60"/>
  <c r="AZ169" i="60"/>
  <c r="AY169" i="60"/>
  <c r="AU169" i="60"/>
  <c r="AX169" i="60"/>
  <c r="AS169" i="60"/>
  <c r="AT153" i="60"/>
  <c r="AW153" i="60"/>
  <c r="AR153" i="60"/>
  <c r="AU153" i="60"/>
  <c r="AZ153" i="60"/>
  <c r="AS153" i="60"/>
  <c r="AY153" i="60"/>
  <c r="BA153" i="60"/>
  <c r="AV153" i="60"/>
  <c r="AX153" i="60"/>
  <c r="AX158" i="60"/>
  <c r="AT158" i="60"/>
  <c r="AR158" i="60"/>
  <c r="AZ158" i="60"/>
  <c r="AY158" i="60"/>
  <c r="AU158" i="60"/>
  <c r="BA158" i="60"/>
  <c r="AS158" i="60"/>
  <c r="AV158" i="60"/>
  <c r="AW158" i="60"/>
  <c r="AT163" i="60"/>
  <c r="AY163" i="60"/>
  <c r="AW163" i="60"/>
  <c r="AU163" i="60"/>
  <c r="AV163" i="60"/>
  <c r="AZ163" i="60"/>
  <c r="AS163" i="60"/>
  <c r="AR163" i="60"/>
  <c r="AX163" i="60"/>
  <c r="BA163" i="60"/>
  <c r="AY156" i="60"/>
  <c r="AU156" i="60"/>
  <c r="AR156" i="60"/>
  <c r="BA156" i="60"/>
  <c r="AT156" i="60"/>
  <c r="AW156" i="60"/>
  <c r="AS156" i="60"/>
  <c r="AV156" i="60"/>
  <c r="AX156" i="60"/>
  <c r="AZ156" i="60"/>
  <c r="AW149" i="60"/>
  <c r="AU149" i="60"/>
  <c r="AR149" i="60"/>
  <c r="BA149" i="60"/>
  <c r="AZ149" i="60"/>
  <c r="AT149" i="60"/>
  <c r="AV149" i="60"/>
  <c r="AS149" i="60"/>
  <c r="AY149" i="60"/>
  <c r="AX149" i="60"/>
  <c r="AZ150" i="60"/>
  <c r="AX150" i="60"/>
  <c r="BA150" i="60"/>
  <c r="AU150" i="60"/>
  <c r="AS150" i="60"/>
  <c r="AW150" i="60"/>
  <c r="AR150" i="60"/>
  <c r="AT150" i="60"/>
  <c r="AY150" i="60"/>
  <c r="AV150" i="60"/>
  <c r="AH133" i="60"/>
  <c r="R136" i="60" s="1"/>
  <c r="AH132" i="60"/>
  <c r="R133" i="60" s="1"/>
  <c r="AH131" i="60"/>
  <c r="R132" i="60" s="1"/>
  <c r="AH129" i="60"/>
  <c r="R129" i="60" s="1"/>
  <c r="AH128" i="60"/>
  <c r="R128" i="60" s="1"/>
  <c r="AH126" i="60"/>
  <c r="R126" i="60" s="1"/>
  <c r="AH124" i="60"/>
  <c r="R124" i="60" s="1"/>
  <c r="AH123" i="60"/>
  <c r="R123" i="60" s="1"/>
  <c r="AH122" i="60"/>
  <c r="R122" i="60" s="1"/>
  <c r="AK65" i="60"/>
  <c r="AK172" i="60" s="1"/>
  <c r="AM162" i="60"/>
  <c r="AP162" i="60"/>
  <c r="AL162" i="60"/>
  <c r="AO162" i="60"/>
  <c r="AO156" i="60"/>
  <c r="AN156" i="60"/>
  <c r="AL156" i="60"/>
  <c r="AM156" i="60"/>
  <c r="AP156" i="60"/>
  <c r="AO151" i="60"/>
  <c r="AN151" i="60"/>
  <c r="AP151" i="60"/>
  <c r="AM151" i="60"/>
  <c r="AL151" i="60"/>
  <c r="AO160" i="60"/>
  <c r="AN160" i="60"/>
  <c r="AL160" i="60"/>
  <c r="AM160" i="60"/>
  <c r="AP160" i="60"/>
  <c r="AO152" i="60"/>
  <c r="AN152" i="60"/>
  <c r="AL152" i="60"/>
  <c r="AM152" i="60"/>
  <c r="AP152" i="60"/>
  <c r="AO159" i="60"/>
  <c r="AN159" i="60"/>
  <c r="AP159" i="60"/>
  <c r="AM159" i="60"/>
  <c r="AL159" i="60"/>
  <c r="AO155" i="60"/>
  <c r="AN155" i="60"/>
  <c r="AP155" i="60"/>
  <c r="AM155" i="60"/>
  <c r="AL155" i="60"/>
  <c r="AO148" i="60"/>
  <c r="AN148" i="60"/>
  <c r="AP148" i="60"/>
  <c r="AM148" i="60"/>
  <c r="Q33" i="60" l="1"/>
  <c r="AN33" i="60"/>
  <c r="AP63" i="60"/>
  <c r="AO63" i="60"/>
  <c r="AK33" i="60"/>
  <c r="AM63" i="60"/>
  <c r="AD4" i="50" l="1"/>
  <c r="AL63" i="49"/>
  <c r="AL62" i="49"/>
  <c r="AR62" i="49" s="1"/>
  <c r="AL61" i="49"/>
  <c r="AR61" i="49" s="1"/>
  <c r="AL60" i="49"/>
  <c r="AR60" i="49" s="1"/>
  <c r="AL59" i="49"/>
  <c r="AR59" i="49" s="1"/>
  <c r="AL56" i="49"/>
  <c r="AR56" i="49" s="1"/>
  <c r="AL55" i="49"/>
  <c r="AR55" i="49" s="1"/>
  <c r="AL54" i="49"/>
  <c r="AR54" i="49" s="1"/>
  <c r="AL53" i="49"/>
  <c r="AR53" i="49" s="1"/>
  <c r="AL52" i="49"/>
  <c r="AR52" i="49" s="1"/>
  <c r="AL51" i="49"/>
  <c r="AR51" i="49" s="1"/>
  <c r="AL50" i="49"/>
  <c r="AR50" i="49" s="1"/>
  <c r="AL49" i="49"/>
  <c r="AR49" i="49" s="1"/>
  <c r="AL48" i="49"/>
  <c r="AR48" i="49" s="1"/>
  <c r="AL47" i="49"/>
  <c r="AR47" i="49" s="1"/>
  <c r="AL46" i="49"/>
  <c r="AR46" i="49" s="1"/>
  <c r="AL45" i="49"/>
  <c r="AR45" i="49" s="1"/>
  <c r="AL44" i="49"/>
  <c r="AR44" i="49" s="1"/>
  <c r="AL43" i="49"/>
  <c r="AR43" i="49" s="1"/>
  <c r="AL42" i="49"/>
  <c r="AR42" i="49" s="1"/>
  <c r="AL41" i="49"/>
  <c r="AR41" i="49" s="1"/>
  <c r="Y31" i="49"/>
  <c r="Y30" i="49"/>
  <c r="Y29" i="49"/>
  <c r="Y28" i="49"/>
  <c r="Y25" i="49"/>
  <c r="Y24" i="49"/>
  <c r="Y23" i="49"/>
  <c r="Y22" i="49"/>
  <c r="Y21" i="49"/>
  <c r="Y20" i="49"/>
  <c r="Y19" i="49"/>
  <c r="Y18" i="49"/>
  <c r="Y17" i="49"/>
  <c r="Y16" i="49"/>
  <c r="Y15" i="49"/>
  <c r="Y14" i="49"/>
  <c r="Y13" i="49"/>
  <c r="Y12" i="49"/>
  <c r="Y11" i="49"/>
  <c r="Y10" i="49"/>
  <c r="BB41" i="49" l="1"/>
  <c r="AY41" i="49"/>
  <c r="AZ41" i="49"/>
  <c r="BA41" i="49"/>
  <c r="AX41" i="49"/>
  <c r="AS41" i="49"/>
  <c r="BA53" i="49"/>
  <c r="BB53" i="49"/>
  <c r="AZ53" i="49"/>
  <c r="AX53" i="49"/>
  <c r="AY53" i="49"/>
  <c r="AX55" i="49"/>
  <c r="BA55" i="49"/>
  <c r="AY55" i="49"/>
  <c r="BB55" i="49"/>
  <c r="BA43" i="49"/>
  <c r="AZ43" i="49"/>
  <c r="AY43" i="49"/>
  <c r="AX43" i="49"/>
  <c r="BB43" i="49"/>
  <c r="AX47" i="49"/>
  <c r="AZ47" i="49"/>
  <c r="AY47" i="49"/>
  <c r="BA47" i="49"/>
  <c r="BB47" i="49"/>
  <c r="AZ51" i="49"/>
  <c r="AY51" i="49"/>
  <c r="AX51" i="49"/>
  <c r="BA51" i="49"/>
  <c r="BB51" i="49"/>
  <c r="AX54" i="49"/>
  <c r="BA54" i="49"/>
  <c r="AZ54" i="49"/>
  <c r="AY54" i="49"/>
  <c r="BB54" i="49"/>
  <c r="AY56" i="49"/>
  <c r="BA56" i="49"/>
  <c r="AX56" i="49"/>
  <c r="AZ56" i="49"/>
  <c r="BB56" i="49"/>
  <c r="AZ62" i="49"/>
  <c r="BA62" i="49"/>
  <c r="BB62" i="49"/>
  <c r="AY62" i="49"/>
  <c r="AX62" i="49"/>
  <c r="BB42" i="49"/>
  <c r="AZ42" i="49"/>
  <c r="AY42" i="49"/>
  <c r="BA42" i="49"/>
  <c r="AX42" i="49"/>
  <c r="AY46" i="49"/>
  <c r="AZ46" i="49"/>
  <c r="BA46" i="49"/>
  <c r="BB46" i="49"/>
  <c r="AX46" i="49"/>
  <c r="AX50" i="49"/>
  <c r="BA50" i="49"/>
  <c r="AZ50" i="49"/>
  <c r="AY50" i="49"/>
  <c r="BB50" i="49"/>
  <c r="AZ59" i="49"/>
  <c r="BA59" i="49"/>
  <c r="AX59" i="49"/>
  <c r="AY59" i="49"/>
  <c r="BB59" i="49"/>
  <c r="BA63" i="49"/>
  <c r="BB63" i="49"/>
  <c r="AY63" i="49"/>
  <c r="AX63" i="49"/>
  <c r="AZ45" i="49"/>
  <c r="AY45" i="49"/>
  <c r="BA45" i="49"/>
  <c r="AX45" i="49"/>
  <c r="BB45" i="49"/>
  <c r="AY49" i="49"/>
  <c r="BA49" i="49"/>
  <c r="AX49" i="49"/>
  <c r="AZ49" i="49"/>
  <c r="BB49" i="49"/>
  <c r="AY60" i="49"/>
  <c r="AX60" i="49"/>
  <c r="AZ60" i="49"/>
  <c r="BA60" i="49"/>
  <c r="BB60" i="49"/>
  <c r="AY44" i="49"/>
  <c r="BA44" i="49"/>
  <c r="AZ44" i="49"/>
  <c r="AX44" i="49"/>
  <c r="BB44" i="49"/>
  <c r="BA48" i="49"/>
  <c r="BB48" i="49"/>
  <c r="AY48" i="49"/>
  <c r="AZ48" i="49"/>
  <c r="AX48" i="49"/>
  <c r="BA52" i="49"/>
  <c r="AX52" i="49"/>
  <c r="AZ52" i="49"/>
  <c r="AY52" i="49"/>
  <c r="BB52" i="49"/>
  <c r="AZ61" i="49"/>
  <c r="AX61" i="49"/>
  <c r="AY61" i="49"/>
  <c r="BB61" i="49"/>
  <c r="BA61" i="49"/>
  <c r="AU45" i="49"/>
  <c r="AS45" i="49"/>
  <c r="AT45" i="49"/>
  <c r="AV45" i="49"/>
  <c r="AW45" i="49"/>
  <c r="AU49" i="49"/>
  <c r="AS49" i="49"/>
  <c r="AT49" i="49"/>
  <c r="AV49" i="49"/>
  <c r="AW49" i="49"/>
  <c r="AU53" i="49"/>
  <c r="AS53" i="49"/>
  <c r="AV53" i="49"/>
  <c r="AW53" i="49"/>
  <c r="AT53" i="49"/>
  <c r="AV60" i="49"/>
  <c r="AS60" i="49"/>
  <c r="AW60" i="49"/>
  <c r="AT60" i="49"/>
  <c r="AU60" i="49"/>
  <c r="AV52" i="49"/>
  <c r="AU52" i="49"/>
  <c r="AS52" i="49"/>
  <c r="AW52" i="49"/>
  <c r="AT52" i="49"/>
  <c r="AU61" i="49"/>
  <c r="AS61" i="49"/>
  <c r="AT61" i="49"/>
  <c r="AV61" i="49"/>
  <c r="AW61" i="49"/>
  <c r="AS47" i="49"/>
  <c r="AW47" i="49"/>
  <c r="AU47" i="49"/>
  <c r="AV47" i="49"/>
  <c r="AT47" i="49"/>
  <c r="AT42" i="49"/>
  <c r="AS42" i="49"/>
  <c r="AW42" i="49"/>
  <c r="AU42" i="49"/>
  <c r="AV42" i="49"/>
  <c r="AT46" i="49"/>
  <c r="AS46" i="49"/>
  <c r="AU46" i="49"/>
  <c r="AV46" i="49"/>
  <c r="AW46" i="49"/>
  <c r="AT50" i="49"/>
  <c r="AW50" i="49"/>
  <c r="AU50" i="49"/>
  <c r="AV50" i="49"/>
  <c r="AS50" i="49"/>
  <c r="AS59" i="49"/>
  <c r="AW59" i="49"/>
  <c r="AU59" i="49"/>
  <c r="AV59" i="49"/>
  <c r="AT59" i="49"/>
  <c r="AS63" i="49"/>
  <c r="AW63" i="49"/>
  <c r="AT63" i="49"/>
  <c r="AV63" i="49"/>
  <c r="AW41" i="49"/>
  <c r="AV41" i="49"/>
  <c r="AT41" i="49"/>
  <c r="AU41" i="49"/>
  <c r="AS55" i="49"/>
  <c r="AW55" i="49"/>
  <c r="AT55" i="49"/>
  <c r="AV55" i="49"/>
  <c r="AV44" i="49"/>
  <c r="AU44" i="49"/>
  <c r="AS44" i="49"/>
  <c r="AW44" i="49"/>
  <c r="AT44" i="49"/>
  <c r="AV48" i="49"/>
  <c r="AS48" i="49"/>
  <c r="AW48" i="49"/>
  <c r="AT48" i="49"/>
  <c r="AU48" i="49"/>
  <c r="AS43" i="49"/>
  <c r="AW43" i="49"/>
  <c r="AU43" i="49"/>
  <c r="AV43" i="49"/>
  <c r="AT43" i="49"/>
  <c r="AS51" i="49"/>
  <c r="AW51" i="49"/>
  <c r="AU51" i="49"/>
  <c r="AT51" i="49"/>
  <c r="AV51" i="49"/>
  <c r="AT54" i="49"/>
  <c r="AV54" i="49"/>
  <c r="AS54" i="49"/>
  <c r="AU54" i="49"/>
  <c r="AW54" i="49"/>
  <c r="AV56" i="49"/>
  <c r="AT56" i="49"/>
  <c r="AU56" i="49"/>
  <c r="AS56" i="49"/>
  <c r="AW56" i="49"/>
  <c r="AT62" i="49"/>
  <c r="AW62" i="49"/>
  <c r="AU62" i="49"/>
  <c r="AV62" i="49"/>
  <c r="AS62" i="49"/>
  <c r="AW65" i="49"/>
  <c r="AU65" i="49"/>
  <c r="AT65" i="49"/>
  <c r="AV65" i="49"/>
  <c r="AO51" i="49"/>
  <c r="AM51" i="49"/>
  <c r="AQ51" i="49"/>
  <c r="AN51" i="49"/>
  <c r="AP51" i="49"/>
  <c r="AP54" i="49"/>
  <c r="AM54" i="49"/>
  <c r="AN54" i="49"/>
  <c r="AO54" i="49"/>
  <c r="AQ54" i="49"/>
  <c r="AN56" i="49"/>
  <c r="AM56" i="49"/>
  <c r="AQ56" i="49"/>
  <c r="AO56" i="49"/>
  <c r="AP56" i="49"/>
  <c r="AP62" i="49"/>
  <c r="AM62" i="49"/>
  <c r="AO62" i="49"/>
  <c r="AQ62" i="49"/>
  <c r="AN62" i="49"/>
  <c r="AP50" i="49"/>
  <c r="AQ50" i="49"/>
  <c r="AN50" i="49"/>
  <c r="AO50" i="49"/>
  <c r="AM50" i="49"/>
  <c r="AM41" i="49"/>
  <c r="AQ41" i="49"/>
  <c r="AO41" i="49"/>
  <c r="AP41" i="49"/>
  <c r="AN41" i="49"/>
  <c r="AM45" i="49"/>
  <c r="AQ45" i="49"/>
  <c r="AO45" i="49"/>
  <c r="AP45" i="49"/>
  <c r="AN45" i="49"/>
  <c r="AM49" i="49"/>
  <c r="AQ49" i="49"/>
  <c r="AN49" i="49"/>
  <c r="AO49" i="49"/>
  <c r="AP49" i="49"/>
  <c r="AM53" i="49"/>
  <c r="AQ53" i="49"/>
  <c r="AO53" i="49"/>
  <c r="AP53" i="49"/>
  <c r="AN53" i="49"/>
  <c r="AP55" i="49"/>
  <c r="AN55" i="49"/>
  <c r="AM55" i="49"/>
  <c r="AQ55" i="49"/>
  <c r="AN60" i="49"/>
  <c r="AO60" i="49"/>
  <c r="AM60" i="49"/>
  <c r="AQ60" i="49"/>
  <c r="AP60" i="49"/>
  <c r="AO43" i="49"/>
  <c r="AM43" i="49"/>
  <c r="AQ43" i="49"/>
  <c r="AN43" i="49"/>
  <c r="AP43" i="49"/>
  <c r="AO47" i="49"/>
  <c r="AP47" i="49"/>
  <c r="AM47" i="49"/>
  <c r="AQ47" i="49"/>
  <c r="AN47" i="49"/>
  <c r="AP42" i="49"/>
  <c r="AM42" i="49"/>
  <c r="AN42" i="49"/>
  <c r="AO42" i="49"/>
  <c r="AQ42" i="49"/>
  <c r="AP46" i="49"/>
  <c r="AM46" i="49"/>
  <c r="AN46" i="49"/>
  <c r="AO46" i="49"/>
  <c r="AQ46" i="49"/>
  <c r="AO59" i="49"/>
  <c r="AN59" i="49"/>
  <c r="AP59" i="49"/>
  <c r="AQ59" i="49"/>
  <c r="AM59" i="49"/>
  <c r="AP63" i="49"/>
  <c r="AN63" i="49"/>
  <c r="AM63" i="49"/>
  <c r="AQ63" i="49"/>
  <c r="AN44" i="49"/>
  <c r="AO44" i="49"/>
  <c r="AP44" i="49"/>
  <c r="AM44" i="49"/>
  <c r="AQ44" i="49"/>
  <c r="AN48" i="49"/>
  <c r="AP48" i="49"/>
  <c r="AM48" i="49"/>
  <c r="AQ48" i="49"/>
  <c r="AO48" i="49"/>
  <c r="AN52" i="49"/>
  <c r="AO52" i="49"/>
  <c r="AP52" i="49"/>
  <c r="AM52" i="49"/>
  <c r="AQ52" i="49"/>
  <c r="AM61" i="49"/>
  <c r="AQ61" i="49"/>
  <c r="AP61" i="49"/>
  <c r="AN61" i="49"/>
  <c r="AO61" i="49"/>
  <c r="AN65" i="49"/>
  <c r="AM65" i="49"/>
  <c r="AO65" i="49"/>
  <c r="AP65" i="49"/>
  <c r="AQ65" i="49"/>
  <c r="AA4" i="49"/>
  <c r="AL65" i="49" l="1"/>
  <c r="M65" i="49"/>
  <c r="AA128" i="68" l="1"/>
  <c r="AA22" i="85"/>
  <c r="AA120" i="68"/>
  <c r="Z14" i="91"/>
  <c r="Z85" i="91"/>
  <c r="AA121" i="83"/>
  <c r="Z14" i="73"/>
  <c r="AA14" i="87"/>
  <c r="Z14" i="84"/>
  <c r="AA14" i="85"/>
  <c r="AA14" i="83"/>
  <c r="AA264" i="83"/>
  <c r="Z14" i="82"/>
  <c r="AA14" i="69"/>
  <c r="Z122" i="60"/>
  <c r="Z14" i="70"/>
  <c r="Z15" i="60"/>
  <c r="Z86" i="70"/>
  <c r="AA14" i="63"/>
  <c r="AA14" i="64"/>
  <c r="AA14" i="65"/>
  <c r="AA14" i="67"/>
  <c r="AA14" i="66"/>
  <c r="AA14" i="62"/>
  <c r="AA14" i="49"/>
  <c r="Z14" i="74"/>
  <c r="Z14" i="72"/>
  <c r="AA119" i="68"/>
  <c r="Z13" i="91"/>
  <c r="Z84" i="91"/>
  <c r="AA120" i="83"/>
  <c r="Z13" i="73"/>
  <c r="AA13" i="87"/>
  <c r="AA13" i="85"/>
  <c r="Z13" i="84"/>
  <c r="AA13" i="83"/>
  <c r="AA263" i="83"/>
  <c r="Z13" i="82"/>
  <c r="AA13" i="69"/>
  <c r="Z121" i="60"/>
  <c r="Z13" i="70"/>
  <c r="Z14" i="60"/>
  <c r="Z85" i="70"/>
  <c r="AA13" i="65"/>
  <c r="AA13" i="66"/>
  <c r="AA13" i="62"/>
  <c r="AA13" i="67"/>
  <c r="AA13" i="64"/>
  <c r="AA13" i="63"/>
  <c r="Z13" i="74"/>
  <c r="AA13" i="49"/>
  <c r="Z13" i="72"/>
  <c r="AA130" i="68"/>
  <c r="AA131" i="83"/>
  <c r="Z24" i="73"/>
  <c r="AA24" i="85"/>
  <c r="Z24" i="82"/>
  <c r="AA24" i="69"/>
  <c r="Z24" i="70"/>
  <c r="Z96" i="70"/>
  <c r="AA24" i="67"/>
  <c r="AA24" i="63"/>
  <c r="AA24" i="65"/>
  <c r="AA24" i="66"/>
  <c r="AA24" i="64"/>
  <c r="AA24" i="62"/>
  <c r="AA24" i="49"/>
  <c r="AA137" i="68"/>
  <c r="AA138" i="83"/>
  <c r="Z31" i="73"/>
  <c r="AA31" i="85"/>
  <c r="Z31" i="84"/>
  <c r="AA31" i="83"/>
  <c r="AA281" i="83"/>
  <c r="Z31" i="82"/>
  <c r="AA31" i="69"/>
  <c r="Z139" i="60"/>
  <c r="Z31" i="70"/>
  <c r="Z103" i="70"/>
  <c r="AA31" i="62"/>
  <c r="AA31" i="63"/>
  <c r="AA31" i="66"/>
  <c r="AA31" i="65"/>
  <c r="AA31" i="67"/>
  <c r="AA31" i="64"/>
  <c r="Z31" i="74"/>
  <c r="AA31" i="49"/>
  <c r="Z31" i="72"/>
  <c r="AA122" i="68"/>
  <c r="AA123" i="83"/>
  <c r="Z16" i="73"/>
  <c r="AA16" i="83"/>
  <c r="Z16" i="84"/>
  <c r="AA16" i="85"/>
  <c r="AA266" i="83"/>
  <c r="AA16" i="69"/>
  <c r="Z17" i="60"/>
  <c r="Z124" i="60"/>
  <c r="Z16" i="70"/>
  <c r="Z88" i="70"/>
  <c r="AA16" i="64"/>
  <c r="AA16" i="62"/>
  <c r="AA16" i="63"/>
  <c r="AA16" i="65"/>
  <c r="AA16" i="66"/>
  <c r="AA16" i="67"/>
  <c r="Z16" i="74"/>
  <c r="AA16" i="49"/>
  <c r="Z16" i="72"/>
  <c r="AA135" i="68"/>
  <c r="Z29" i="91"/>
  <c r="Z100" i="91"/>
  <c r="AA136" i="83"/>
  <c r="Z29" i="73"/>
  <c r="AA29" i="87"/>
  <c r="AA29" i="83"/>
  <c r="AA29" i="85"/>
  <c r="Z29" i="84"/>
  <c r="AA279" i="83"/>
  <c r="Z29" i="82"/>
  <c r="AA29" i="69"/>
  <c r="Z29" i="70"/>
  <c r="Z101" i="70"/>
  <c r="AA29" i="64"/>
  <c r="AA29" i="66"/>
  <c r="AA29" i="62"/>
  <c r="AA29" i="65"/>
  <c r="AA29" i="67"/>
  <c r="AA29" i="63"/>
  <c r="Z29" i="74"/>
  <c r="AA29" i="49"/>
  <c r="Z29" i="72"/>
  <c r="AA127" i="68"/>
  <c r="Z92" i="91"/>
  <c r="AA128" i="83"/>
  <c r="Z21" i="73"/>
  <c r="AA21" i="87"/>
  <c r="Z21" i="84"/>
  <c r="AA21" i="85"/>
  <c r="AA21" i="83"/>
  <c r="AA271" i="83"/>
  <c r="Z21" i="82"/>
  <c r="AA21" i="69"/>
  <c r="Z22" i="60"/>
  <c r="Z129" i="60"/>
  <c r="Z21" i="70"/>
  <c r="Z93" i="70"/>
  <c r="AA21" i="67"/>
  <c r="AA21" i="63"/>
  <c r="AA21" i="62"/>
  <c r="AA21" i="64"/>
  <c r="AA21" i="65"/>
  <c r="AA21" i="66"/>
  <c r="AA21" i="49"/>
  <c r="Z21" i="74"/>
  <c r="AA121" i="68"/>
  <c r="Z86" i="91"/>
  <c r="AA122" i="83"/>
  <c r="Z15" i="73"/>
  <c r="AA15" i="87"/>
  <c r="Z15" i="84"/>
  <c r="AA15" i="85"/>
  <c r="AA15" i="83"/>
  <c r="AA265" i="83"/>
  <c r="Z15" i="82"/>
  <c r="AA15" i="69"/>
  <c r="Z15" i="70"/>
  <c r="Z123" i="60"/>
  <c r="Z16" i="60"/>
  <c r="Z87" i="70"/>
  <c r="AA15" i="65"/>
  <c r="AA15" i="67"/>
  <c r="AA15" i="64"/>
  <c r="AA15" i="66"/>
  <c r="AA15" i="62"/>
  <c r="AA15" i="63"/>
  <c r="AA15" i="49"/>
  <c r="Z15" i="74"/>
  <c r="Z15" i="72"/>
  <c r="AA129" i="68"/>
  <c r="Z23" i="91"/>
  <c r="Z94" i="91"/>
  <c r="AA130" i="83"/>
  <c r="Z23" i="73"/>
  <c r="AA23" i="87"/>
  <c r="AA23" i="85"/>
  <c r="Z23" i="84"/>
  <c r="AA23" i="83"/>
  <c r="AA273" i="83"/>
  <c r="Z23" i="82"/>
  <c r="AA23" i="69"/>
  <c r="Z23" i="70"/>
  <c r="Z95" i="70"/>
  <c r="AA23" i="64"/>
  <c r="AA23" i="62"/>
  <c r="AA23" i="63"/>
  <c r="AA23" i="67"/>
  <c r="AA23" i="65"/>
  <c r="AA23" i="66"/>
  <c r="AA23" i="49"/>
  <c r="Z23" i="74"/>
  <c r="Z23" i="72"/>
  <c r="AA123" i="68"/>
  <c r="Z17" i="91"/>
  <c r="Z88" i="91"/>
  <c r="AA124" i="83"/>
  <c r="Z17" i="73"/>
  <c r="AA17" i="85"/>
  <c r="Z17" i="84"/>
  <c r="AA17" i="83"/>
  <c r="AA267" i="83"/>
  <c r="Z17" i="82"/>
  <c r="AA17" i="69"/>
  <c r="Z18" i="60"/>
  <c r="Z17" i="70"/>
  <c r="Z125" i="60"/>
  <c r="Z89" i="70"/>
  <c r="AA17" i="64"/>
  <c r="AA17" i="63"/>
  <c r="AA17" i="66"/>
  <c r="AA17" i="62"/>
  <c r="AA17" i="65"/>
  <c r="AA17" i="67"/>
  <c r="AA17" i="49"/>
  <c r="Z17" i="74"/>
  <c r="AA131" i="68"/>
  <c r="Z25" i="91"/>
  <c r="Z96" i="91"/>
  <c r="AA132" i="83"/>
  <c r="AA25" i="87"/>
  <c r="AA25" i="85"/>
  <c r="AA25" i="83"/>
  <c r="Z25" i="84"/>
  <c r="AA275" i="83"/>
  <c r="Z25" i="82"/>
  <c r="AA25" i="69"/>
  <c r="Z26" i="60"/>
  <c r="Z25" i="70"/>
  <c r="Z133" i="60"/>
  <c r="Z97" i="70"/>
  <c r="AA25" i="65"/>
  <c r="AA25" i="63"/>
  <c r="AA25" i="62"/>
  <c r="AA25" i="67"/>
  <c r="AA25" i="64"/>
  <c r="AA25" i="66"/>
  <c r="AA25" i="49"/>
  <c r="AA116" i="68"/>
  <c r="AA10" i="68"/>
  <c r="Z10" i="91"/>
  <c r="Z81" i="91"/>
  <c r="AA117" i="83"/>
  <c r="Z10" i="73"/>
  <c r="AA10" i="87"/>
  <c r="AA10" i="83"/>
  <c r="AA10" i="85"/>
  <c r="Z10" i="84"/>
  <c r="AA260" i="83"/>
  <c r="Z10" i="82"/>
  <c r="AA10" i="69"/>
  <c r="Z10" i="70"/>
  <c r="Z118" i="60"/>
  <c r="Z11" i="60"/>
  <c r="Z82" i="70"/>
  <c r="AA10" i="65"/>
  <c r="AA10" i="62"/>
  <c r="AA10" i="67"/>
  <c r="AA10" i="64"/>
  <c r="AA10" i="63"/>
  <c r="AA10" i="66"/>
  <c r="AA10" i="49"/>
  <c r="Z10" i="74"/>
  <c r="Z10" i="72"/>
  <c r="AA124" i="68"/>
  <c r="Z18" i="91"/>
  <c r="Z89" i="91"/>
  <c r="AA125" i="83"/>
  <c r="Z18" i="73"/>
  <c r="AA18" i="87"/>
  <c r="AA18" i="85"/>
  <c r="Z18" i="84"/>
  <c r="AA18" i="83"/>
  <c r="AA268" i="83"/>
  <c r="Z18" i="82"/>
  <c r="AA18" i="69"/>
  <c r="Z19" i="60"/>
  <c r="Z18" i="70"/>
  <c r="Z126" i="60"/>
  <c r="Z90" i="70"/>
  <c r="AA18" i="62"/>
  <c r="AA18" i="66"/>
  <c r="AA18" i="64"/>
  <c r="AA18" i="67"/>
  <c r="AA18" i="65"/>
  <c r="AA18" i="63"/>
  <c r="Z18" i="74"/>
  <c r="AA18" i="49"/>
  <c r="Z18" i="72"/>
  <c r="AA134" i="68"/>
  <c r="Z28" i="91"/>
  <c r="Z99" i="91"/>
  <c r="AA135" i="83"/>
  <c r="Z28" i="84"/>
  <c r="AA28" i="83"/>
  <c r="AA28" i="85"/>
  <c r="AA278" i="83"/>
  <c r="Z28" i="82"/>
  <c r="AA28" i="69"/>
  <c r="Z28" i="70"/>
  <c r="Z100" i="70"/>
  <c r="AA28" i="65"/>
  <c r="AA28" i="64"/>
  <c r="AA28" i="62"/>
  <c r="AA28" i="63"/>
  <c r="AA28" i="67"/>
  <c r="AA28" i="66"/>
  <c r="AA28" i="49"/>
  <c r="AA117" i="68"/>
  <c r="Z11" i="91"/>
  <c r="Z82" i="91"/>
  <c r="AA118" i="83"/>
  <c r="Z11" i="73"/>
  <c r="AA11" i="87"/>
  <c r="AA11" i="85"/>
  <c r="Z11" i="84"/>
  <c r="AA11" i="83"/>
  <c r="AA261" i="83"/>
  <c r="Z11" i="82"/>
  <c r="AA11" i="69"/>
  <c r="Z11" i="70"/>
  <c r="Z119" i="60"/>
  <c r="Z83" i="70"/>
  <c r="AA11" i="62"/>
  <c r="AA11" i="66"/>
  <c r="AA11" i="63"/>
  <c r="AA11" i="67"/>
  <c r="AA11" i="65"/>
  <c r="AA11" i="64"/>
  <c r="AA11" i="49"/>
  <c r="Z11" i="72"/>
  <c r="AA125" i="68"/>
  <c r="Z90" i="91"/>
  <c r="AA126" i="83"/>
  <c r="AA19" i="87"/>
  <c r="AA19" i="83"/>
  <c r="AA19" i="85"/>
  <c r="Z19" i="84"/>
  <c r="AA269" i="83"/>
  <c r="Z19" i="82"/>
  <c r="AA19" i="69"/>
  <c r="Z19" i="70"/>
  <c r="Z91" i="70"/>
  <c r="AA19" i="63"/>
  <c r="AA19" i="67"/>
  <c r="AA19" i="65"/>
  <c r="AA19" i="66"/>
  <c r="AA19" i="64"/>
  <c r="AA19" i="62"/>
  <c r="AA19" i="49"/>
  <c r="AA118" i="68"/>
  <c r="Z12" i="91"/>
  <c r="Z83" i="91"/>
  <c r="AA119" i="83"/>
  <c r="Z12" i="73"/>
  <c r="AA12" i="87"/>
  <c r="Z12" i="84"/>
  <c r="AA12" i="85"/>
  <c r="Z12" i="82"/>
  <c r="AA12" i="69"/>
  <c r="Z13" i="60"/>
  <c r="Z120" i="60"/>
  <c r="Z12" i="70"/>
  <c r="Z84" i="70"/>
  <c r="AA12" i="67"/>
  <c r="AA12" i="66"/>
  <c r="AA12" i="65"/>
  <c r="AA12" i="64"/>
  <c r="AA12" i="62"/>
  <c r="AA12" i="63"/>
  <c r="Z12" i="74"/>
  <c r="AA12" i="49"/>
  <c r="Z12" i="72"/>
  <c r="AA126" i="68"/>
  <c r="AA127" i="83"/>
  <c r="AA20" i="83"/>
  <c r="Z20" i="84"/>
  <c r="AA20" i="85"/>
  <c r="AA270" i="83"/>
  <c r="Z20" i="82"/>
  <c r="AA20" i="69"/>
  <c r="Z20" i="70"/>
  <c r="Z128" i="60"/>
  <c r="Z21" i="60"/>
  <c r="Z92" i="70"/>
  <c r="AA20" i="65"/>
  <c r="AA20" i="64"/>
  <c r="AA20" i="62"/>
  <c r="AA20" i="63"/>
  <c r="AA20" i="66"/>
  <c r="AA20" i="67"/>
  <c r="AA20" i="49"/>
  <c r="AA136" i="68"/>
  <c r="AA137" i="83"/>
  <c r="Z30" i="84"/>
  <c r="AA30" i="83"/>
  <c r="AA30" i="85"/>
  <c r="AA280" i="83"/>
  <c r="Z30" i="82"/>
  <c r="AA30" i="69"/>
  <c r="Z30" i="70"/>
  <c r="Z102" i="70"/>
  <c r="AA30" i="65"/>
  <c r="AA30" i="64"/>
  <c r="AA30" i="67"/>
  <c r="AA30" i="62"/>
  <c r="AA30" i="63"/>
  <c r="AA30" i="66"/>
  <c r="AA30" i="49"/>
  <c r="AA31" i="68"/>
  <c r="AA22" i="68"/>
  <c r="AA20" i="68"/>
  <c r="AA11" i="68"/>
  <c r="AA23" i="68"/>
  <c r="AA24" i="68"/>
  <c r="AA30" i="68"/>
  <c r="Z14" i="76"/>
  <c r="AA14" i="68"/>
  <c r="AA18" i="68"/>
  <c r="AA28" i="68"/>
  <c r="AA15" i="68"/>
  <c r="AA19" i="68"/>
  <c r="AA29" i="68"/>
  <c r="AA12" i="68"/>
  <c r="AA16" i="68"/>
  <c r="AA13" i="68"/>
  <c r="AA17" i="68"/>
  <c r="AA21" i="68"/>
  <c r="AA25" i="68"/>
  <c r="AA32" i="87" l="1"/>
  <c r="S32" i="87" s="1"/>
  <c r="T32" i="87" s="1"/>
  <c r="U32" i="87" s="1"/>
  <c r="AA32" i="65"/>
  <c r="S32" i="65" s="1"/>
  <c r="Z32" i="73"/>
  <c r="T32" i="73" s="1"/>
  <c r="AR62" i="73" s="1"/>
  <c r="AA32" i="63"/>
  <c r="S32" i="63" s="1"/>
  <c r="T32" i="63" s="1"/>
  <c r="U32" i="63" s="1"/>
  <c r="AA139" i="83"/>
  <c r="S139" i="83" s="1"/>
  <c r="T139" i="83" s="1"/>
  <c r="U139" i="83" s="1"/>
  <c r="Z32" i="72"/>
  <c r="T32" i="72" s="1"/>
  <c r="AR62" i="72" s="1"/>
  <c r="AA282" i="83"/>
  <c r="S282" i="83" s="1"/>
  <c r="Z32" i="91"/>
  <c r="T32" i="91" s="1"/>
  <c r="AA138" i="68"/>
  <c r="S138" i="68" s="1"/>
  <c r="T138" i="68" s="1"/>
  <c r="U138" i="68" s="1"/>
  <c r="Z32" i="74"/>
  <c r="T32" i="74" s="1"/>
  <c r="AR62" i="74" s="1"/>
  <c r="Z32" i="84"/>
  <c r="T32" i="84" s="1"/>
  <c r="AQ63" i="84" s="1"/>
  <c r="Z104" i="70"/>
  <c r="T104" i="70" s="1"/>
  <c r="AA32" i="83"/>
  <c r="S32" i="83" s="1"/>
  <c r="AA32" i="49"/>
  <c r="S32" i="49" s="1"/>
  <c r="T32" i="49" s="1"/>
  <c r="U32" i="49" s="1"/>
  <c r="Z32" i="70"/>
  <c r="T32" i="70" s="1"/>
  <c r="AY31" i="86"/>
  <c r="AA32" i="62"/>
  <c r="S32" i="62" s="1"/>
  <c r="AA32" i="69"/>
  <c r="S32" i="69" s="1"/>
  <c r="AR63" i="69" s="1"/>
  <c r="Z32" i="82"/>
  <c r="T32" i="82" s="1"/>
  <c r="AQ62" i="82" s="1"/>
  <c r="AA32" i="66"/>
  <c r="S32" i="66" s="1"/>
  <c r="T32" i="66" s="1"/>
  <c r="U32" i="66" s="1"/>
  <c r="AA32" i="85"/>
  <c r="S32" i="85" s="1"/>
  <c r="AA32" i="68"/>
  <c r="S32" i="68" s="1"/>
  <c r="T32" i="68" s="1"/>
  <c r="U32" i="68" s="1"/>
  <c r="Z140" i="60"/>
  <c r="T140" i="60" s="1"/>
  <c r="AA32" i="64"/>
  <c r="S32" i="64" s="1"/>
  <c r="AR63" i="64" s="1"/>
  <c r="AA32" i="67"/>
  <c r="S32" i="67" s="1"/>
  <c r="AR63" i="67" s="1"/>
  <c r="Z33" i="60"/>
  <c r="T33" i="60" s="1"/>
  <c r="AR63" i="63" l="1"/>
  <c r="AR63" i="66"/>
  <c r="AR63" i="49"/>
  <c r="AQ134" i="91"/>
  <c r="AQ63" i="91"/>
  <c r="T282" i="83"/>
  <c r="U282" i="83" s="1"/>
  <c r="AR313" i="83"/>
  <c r="T32" i="85"/>
  <c r="U32" i="85" s="1"/>
  <c r="AR63" i="85"/>
  <c r="T32" i="62"/>
  <c r="U32" i="62" s="1"/>
  <c r="AR63" i="62"/>
  <c r="AR170" i="83"/>
  <c r="AR63" i="83"/>
  <c r="T32" i="83"/>
  <c r="U32" i="83" s="1"/>
  <c r="AR63" i="87"/>
  <c r="T32" i="65"/>
  <c r="U32" i="65" s="1"/>
  <c r="AR63" i="65"/>
  <c r="AU134" i="70"/>
  <c r="AU135" i="70"/>
  <c r="AU64" i="70"/>
  <c r="AR169" i="68"/>
  <c r="AR63" i="68"/>
  <c r="T32" i="64"/>
  <c r="U32" i="64" s="1"/>
  <c r="T32" i="69"/>
  <c r="U32" i="69" s="1"/>
  <c r="T32" i="67"/>
  <c r="U32" i="67" s="1"/>
  <c r="AQ63" i="60"/>
  <c r="AQ170" i="60"/>
  <c r="U25" i="44" l="1"/>
  <c r="U26" i="44"/>
  <c r="U10" i="44"/>
  <c r="U14" i="44"/>
  <c r="U18" i="44"/>
  <c r="U22" i="44"/>
  <c r="U28" i="44"/>
  <c r="U9" i="44"/>
  <c r="U20" i="44"/>
  <c r="U30" i="44"/>
  <c r="U17" i="44"/>
  <c r="S5" i="44"/>
  <c r="U11" i="44"/>
  <c r="U15" i="44"/>
  <c r="U19" i="44"/>
  <c r="U23" i="44"/>
  <c r="U29" i="44"/>
  <c r="U12" i="44"/>
  <c r="U16" i="44"/>
  <c r="U24" i="44"/>
  <c r="U13" i="44"/>
  <c r="U21" i="44"/>
  <c r="U27" i="44"/>
  <c r="U5" i="44"/>
  <c r="BB41" i="63" l="1"/>
  <c r="AZ41" i="63"/>
  <c r="BA41" i="63"/>
  <c r="AX41" i="63"/>
  <c r="AY41" i="63"/>
  <c r="BC9" i="50" l="1"/>
  <c r="BC30" i="50"/>
  <c r="BC29" i="50"/>
  <c r="BC28" i="50"/>
  <c r="BC27" i="50"/>
  <c r="BC26" i="50"/>
  <c r="BC24" i="50"/>
  <c r="BC25" i="50"/>
  <c r="BC23" i="50"/>
  <c r="BC22" i="50"/>
  <c r="BC21" i="50"/>
  <c r="BC20" i="50"/>
  <c r="BC19" i="50"/>
  <c r="BC12" i="50"/>
  <c r="BC11" i="50"/>
  <c r="BC18" i="50"/>
  <c r="BC17" i="50"/>
  <c r="BC16" i="50"/>
  <c r="BC15" i="50"/>
  <c r="BC14" i="50"/>
  <c r="U22" i="76"/>
  <c r="AA26" i="76"/>
  <c r="U24" i="76"/>
  <c r="Y23" i="76"/>
  <c r="Y26" i="76"/>
  <c r="W24" i="76"/>
  <c r="V24" i="76"/>
  <c r="X22" i="76"/>
  <c r="W25" i="76"/>
  <c r="BC10" i="50"/>
  <c r="BC13" i="50"/>
  <c r="U25" i="76"/>
  <c r="T22" i="76"/>
  <c r="T25" i="76"/>
  <c r="W23" i="76"/>
  <c r="X24" i="76"/>
  <c r="AA24" i="76"/>
  <c r="T26" i="76"/>
  <c r="T24" i="76"/>
  <c r="AA23" i="76"/>
  <c r="Y25" i="76"/>
  <c r="V25" i="76"/>
  <c r="X26" i="76"/>
  <c r="W22" i="76"/>
  <c r="V26" i="76"/>
  <c r="V22" i="76"/>
  <c r="P25" i="76"/>
  <c r="R41" i="50"/>
  <c r="T53" i="50"/>
  <c r="V56" i="50"/>
  <c r="P59" i="50"/>
  <c r="T23" i="76"/>
  <c r="X23" i="76"/>
  <c r="P57" i="50"/>
  <c r="T54" i="50"/>
  <c r="V55" i="50"/>
  <c r="R42" i="50"/>
  <c r="J46" i="50"/>
  <c r="T56" i="50"/>
  <c r="P22" i="76"/>
  <c r="V62" i="50"/>
  <c r="R51" i="50"/>
  <c r="J54" i="50"/>
  <c r="P42" i="50"/>
  <c r="J41" i="50"/>
  <c r="N51" i="50"/>
  <c r="R52" i="50"/>
  <c r="P46" i="50"/>
  <c r="J57" i="50"/>
  <c r="T62" i="50"/>
  <c r="V51" i="50"/>
  <c r="V50" i="50"/>
  <c r="J52" i="50"/>
  <c r="T51" i="50"/>
  <c r="N53" i="50"/>
  <c r="J58" i="50"/>
  <c r="R59" i="50"/>
  <c r="T58" i="50"/>
  <c r="P26" i="76"/>
  <c r="N56" i="50"/>
  <c r="V52" i="50"/>
  <c r="N58" i="50"/>
  <c r="T61" i="50"/>
  <c r="E26" i="76"/>
  <c r="N23" i="76"/>
  <c r="G23" i="76"/>
  <c r="I26" i="76"/>
  <c r="Q26" i="76"/>
  <c r="I25" i="76"/>
  <c r="P60" i="50"/>
  <c r="J24" i="76"/>
  <c r="M22" i="76"/>
  <c r="R25" i="76"/>
  <c r="Q22" i="76"/>
  <c r="J25" i="76"/>
  <c r="M25" i="76"/>
  <c r="K26" i="76"/>
  <c r="M23" i="76"/>
  <c r="V60" i="50"/>
  <c r="T49" i="50"/>
  <c r="L24" i="76"/>
  <c r="N49" i="50"/>
  <c r="R44" i="50"/>
  <c r="U26" i="76"/>
  <c r="AA22" i="76"/>
  <c r="Y24" i="76"/>
  <c r="W26" i="76"/>
  <c r="J56" i="50"/>
  <c r="T50" i="50"/>
  <c r="J51" i="50"/>
  <c r="N42" i="50"/>
  <c r="J61" i="50"/>
  <c r="V57" i="50"/>
  <c r="R57" i="50"/>
  <c r="V53" i="50"/>
  <c r="P56" i="50"/>
  <c r="R56" i="50"/>
  <c r="V46" i="50"/>
  <c r="N46" i="50"/>
  <c r="R61" i="50"/>
  <c r="P24" i="76"/>
  <c r="Q25" i="76"/>
  <c r="N22" i="76"/>
  <c r="I24" i="76"/>
  <c r="T60" i="50"/>
  <c r="V47" i="50"/>
  <c r="R43" i="50"/>
  <c r="R45" i="50"/>
  <c r="E25" i="76"/>
  <c r="O22" i="76"/>
  <c r="S26" i="76"/>
  <c r="R23" i="76"/>
  <c r="D25" i="76"/>
  <c r="P47" i="50"/>
  <c r="J22" i="76"/>
  <c r="S24" i="76"/>
  <c r="J60" i="50"/>
  <c r="V48" i="50"/>
  <c r="J44" i="50"/>
  <c r="N24" i="76"/>
  <c r="V43" i="50"/>
  <c r="K24" i="76"/>
  <c r="J47" i="50"/>
  <c r="AA25" i="76"/>
  <c r="Y22" i="76"/>
  <c r="V23" i="76"/>
  <c r="N57" i="50"/>
  <c r="N55" i="50"/>
  <c r="P51" i="50"/>
  <c r="P53" i="50"/>
  <c r="J59" i="50"/>
  <c r="P61" i="50"/>
  <c r="T41" i="50"/>
  <c r="T46" i="50"/>
  <c r="R62" i="50"/>
  <c r="J55" i="50"/>
  <c r="P55" i="50"/>
  <c r="V42" i="50"/>
  <c r="N41" i="50"/>
  <c r="T57" i="50"/>
  <c r="P54" i="50"/>
  <c r="J42" i="50"/>
  <c r="P41" i="50"/>
  <c r="J53" i="50"/>
  <c r="P62" i="50"/>
  <c r="V54" i="50"/>
  <c r="P50" i="50"/>
  <c r="P52" i="50"/>
  <c r="T52" i="50"/>
  <c r="R54" i="50"/>
  <c r="T42" i="50"/>
  <c r="R46" i="50"/>
  <c r="V59" i="50"/>
  <c r="V61" i="50"/>
  <c r="V41" i="50"/>
  <c r="N62" i="50"/>
  <c r="T55" i="50"/>
  <c r="R55" i="50"/>
  <c r="P58" i="50"/>
  <c r="J23" i="76"/>
  <c r="M26" i="76"/>
  <c r="S25" i="76"/>
  <c r="M24" i="76"/>
  <c r="D23" i="76"/>
  <c r="T47" i="50"/>
  <c r="E22" i="76"/>
  <c r="O24" i="76"/>
  <c r="L26" i="76"/>
  <c r="I22" i="76"/>
  <c r="N47" i="50"/>
  <c r="E23" i="76"/>
  <c r="O25" i="76"/>
  <c r="F24" i="76"/>
  <c r="R24" i="76"/>
  <c r="J26" i="76"/>
  <c r="R26" i="76"/>
  <c r="P44" i="50"/>
  <c r="V45" i="50"/>
  <c r="K23" i="76"/>
  <c r="V44" i="50"/>
  <c r="L23" i="76"/>
  <c r="N43" i="50"/>
  <c r="G24" i="76"/>
  <c r="N52" i="50"/>
  <c r="R58" i="50"/>
  <c r="R50" i="50"/>
  <c r="N50" i="50"/>
  <c r="T59" i="50"/>
  <c r="O23" i="76"/>
  <c r="V49" i="50"/>
  <c r="H22" i="76"/>
  <c r="O26" i="76"/>
  <c r="N25" i="76"/>
  <c r="D26" i="76"/>
  <c r="E24" i="76"/>
  <c r="G25" i="76"/>
  <c r="N48" i="50"/>
  <c r="G26" i="76"/>
  <c r="F25" i="76"/>
  <c r="T43" i="50"/>
  <c r="F22" i="76"/>
  <c r="N44" i="50"/>
  <c r="AD85" i="50"/>
  <c r="D24" i="76"/>
  <c r="P43" i="50"/>
  <c r="Z26" i="76"/>
  <c r="AD91" i="50"/>
  <c r="X25" i="76"/>
  <c r="R53" i="50"/>
  <c r="J50" i="50"/>
  <c r="N59" i="50"/>
  <c r="N45" i="50"/>
  <c r="N26" i="76"/>
  <c r="D22" i="76"/>
  <c r="Q24" i="76"/>
  <c r="N60" i="50"/>
  <c r="Z23" i="76"/>
  <c r="R49" i="50"/>
  <c r="L25" i="76"/>
  <c r="F26" i="76"/>
  <c r="H26" i="76"/>
  <c r="J43" i="50"/>
  <c r="J45" i="50"/>
  <c r="F23" i="76"/>
  <c r="R48" i="50"/>
  <c r="G22" i="76"/>
  <c r="T45" i="50"/>
  <c r="K22" i="76"/>
  <c r="J49" i="50"/>
  <c r="P45" i="50"/>
  <c r="V63" i="50"/>
  <c r="J62" i="50"/>
  <c r="N61" i="50"/>
  <c r="P23" i="76"/>
  <c r="R22" i="76"/>
  <c r="J48" i="50"/>
  <c r="Q23" i="76"/>
  <c r="R60" i="50"/>
  <c r="I23" i="76"/>
  <c r="R47" i="50"/>
  <c r="H23" i="76"/>
  <c r="T48" i="50"/>
  <c r="L22" i="76"/>
  <c r="P63" i="50"/>
  <c r="K25" i="76"/>
  <c r="P49" i="50"/>
  <c r="T44" i="50"/>
  <c r="H25" i="76"/>
  <c r="P48" i="50"/>
  <c r="Z22" i="76"/>
  <c r="Z25" i="76"/>
  <c r="AD83" i="50"/>
  <c r="U23" i="76"/>
  <c r="V58" i="50"/>
  <c r="N54" i="50"/>
  <c r="S22" i="76"/>
  <c r="H24" i="76"/>
  <c r="S23" i="76"/>
  <c r="R63" i="50"/>
  <c r="AD87" i="50"/>
  <c r="N63" i="50"/>
  <c r="J63" i="50"/>
  <c r="T63" i="50"/>
  <c r="Z24" i="76"/>
  <c r="AD92" i="50" l="1"/>
  <c r="AD93" i="50" s="1"/>
  <c r="AD96" i="50"/>
  <c r="AD97" i="50" s="1"/>
  <c r="AD88" i="50"/>
  <c r="AD89" i="50" s="1"/>
  <c r="AD100" i="50"/>
  <c r="AD101" i="50" s="1"/>
  <c r="AD98" i="50"/>
  <c r="AD99" i="50" s="1"/>
  <c r="AD94" i="50"/>
  <c r="AD95" i="50" s="1"/>
  <c r="I10" i="73"/>
  <c r="J10" i="73" s="1"/>
  <c r="I10" i="85" l="1"/>
  <c r="AB91" i="85" l="1"/>
  <c r="AB127" i="85"/>
  <c r="AA163" i="84"/>
  <c r="AA91" i="84"/>
  <c r="AA91" i="60"/>
  <c r="AB160" i="66"/>
  <c r="AB234" i="67"/>
  <c r="AB126" i="69"/>
  <c r="AA198" i="60"/>
  <c r="AB99" i="85"/>
  <c r="AB135" i="85"/>
  <c r="AB126" i="67"/>
  <c r="CV125" i="50"/>
  <c r="CV133" i="50" s="1"/>
  <c r="DK125" i="50"/>
  <c r="BH179" i="50" s="1"/>
  <c r="AA99" i="60"/>
  <c r="AA171" i="84"/>
  <c r="AA99" i="84"/>
  <c r="AB99" i="87"/>
  <c r="AB23" i="86"/>
  <c r="AB31" i="86" s="1"/>
  <c r="F95" i="91"/>
  <c r="AM95" i="91" s="1"/>
  <c r="F131" i="83"/>
  <c r="AN131" i="83" s="1"/>
  <c r="DA125" i="50"/>
  <c r="DA133" i="50" s="1"/>
  <c r="CG125" i="50"/>
  <c r="AB198" i="67"/>
  <c r="AB242" i="67"/>
  <c r="AB270" i="67"/>
  <c r="CL125" i="50"/>
  <c r="AS179" i="50" s="1"/>
  <c r="DP125" i="50"/>
  <c r="BM179" i="50" s="1"/>
  <c r="AN23" i="86"/>
  <c r="AA127" i="84"/>
  <c r="DF125" i="50"/>
  <c r="BC179" i="50" s="1"/>
  <c r="DU125" i="50"/>
  <c r="BR179" i="50" s="1"/>
  <c r="AB91" i="83"/>
  <c r="F24" i="91"/>
  <c r="AN31" i="86"/>
  <c r="F32" i="84"/>
  <c r="DZ125" i="50"/>
  <c r="BW179" i="50" s="1"/>
  <c r="CQ125" i="50"/>
  <c r="F24" i="87"/>
  <c r="AD24" i="87" s="1"/>
  <c r="AD32" i="87" s="1"/>
  <c r="F24" i="84"/>
  <c r="AM24" i="84" s="1"/>
  <c r="F24" i="83"/>
  <c r="AB234" i="69"/>
  <c r="AB242" i="69"/>
  <c r="AA206" i="60"/>
  <c r="F103" i="91"/>
  <c r="AB91" i="87"/>
  <c r="F32" i="91"/>
  <c r="F24" i="85"/>
  <c r="F32" i="85" s="1"/>
  <c r="AA135" i="84"/>
  <c r="AB99" i="83"/>
  <c r="AC96" i="70"/>
  <c r="AB278" i="69"/>
  <c r="AB134" i="69"/>
  <c r="AB278" i="67"/>
  <c r="AA90" i="72"/>
  <c r="AA125" i="72"/>
  <c r="AF125" i="72" s="1"/>
  <c r="AF133" i="72" s="1"/>
  <c r="F32" i="87"/>
  <c r="F96" i="70"/>
  <c r="AP96" i="70" s="1"/>
  <c r="AC104" i="70"/>
  <c r="AB206" i="69"/>
  <c r="AB168" i="66"/>
  <c r="AG163" i="70"/>
  <c r="F24" i="70"/>
  <c r="AQ24" i="70" s="1"/>
  <c r="AH234" i="69"/>
  <c r="AH162" i="67"/>
  <c r="F24" i="82"/>
  <c r="AB126" i="63"/>
  <c r="AA90" i="73"/>
  <c r="AA133" i="72"/>
  <c r="F104" i="70"/>
  <c r="AQ104" i="70" s="1"/>
  <c r="AG171" i="70"/>
  <c r="F32" i="70"/>
  <c r="AB170" i="69"/>
  <c r="AB162" i="69"/>
  <c r="F24" i="66"/>
  <c r="F32" i="83"/>
  <c r="F32" i="82"/>
  <c r="AB206" i="67"/>
  <c r="F24" i="72"/>
  <c r="AL24" i="72" s="1"/>
  <c r="F140" i="60"/>
  <c r="AA98" i="73"/>
  <c r="AA98" i="72"/>
  <c r="AH126" i="69"/>
  <c r="AH134" i="69"/>
  <c r="AH234" i="67"/>
  <c r="F24" i="74"/>
  <c r="N24" i="74" s="1"/>
  <c r="AN54" i="74" s="1"/>
  <c r="F24" i="69"/>
  <c r="AB270" i="69"/>
  <c r="AH198" i="67"/>
  <c r="F24" i="65"/>
  <c r="M24" i="65" s="1"/>
  <c r="AO55" i="65" s="1"/>
  <c r="F24" i="64"/>
  <c r="M24" i="64" s="1"/>
  <c r="AO55" i="64" s="1"/>
  <c r="F24" i="63"/>
  <c r="M24" i="63" s="1"/>
  <c r="AO55" i="63" s="1"/>
  <c r="F32" i="69"/>
  <c r="AH242" i="69"/>
  <c r="AH270" i="67"/>
  <c r="AH170" i="67"/>
  <c r="AH206" i="67"/>
  <c r="F32" i="67"/>
  <c r="F24" i="67"/>
  <c r="AG126" i="63"/>
  <c r="F32" i="63"/>
  <c r="F32" i="62"/>
  <c r="F24" i="62"/>
  <c r="AD24" i="62" s="1"/>
  <c r="AD32" i="62" s="1"/>
  <c r="F24" i="49"/>
  <c r="AB125" i="49"/>
  <c r="AH125" i="49" s="1"/>
  <c r="AH133" i="49" s="1"/>
  <c r="F24" i="73"/>
  <c r="F32" i="73" s="1"/>
  <c r="AB198" i="69"/>
  <c r="F32" i="66"/>
  <c r="AH242" i="67"/>
  <c r="AH278" i="67"/>
  <c r="F32" i="65"/>
  <c r="F32" i="64"/>
  <c r="F25" i="60"/>
  <c r="AL25" i="60" s="1"/>
  <c r="F132" i="60"/>
  <c r="N132" i="60" s="1"/>
  <c r="AN162" i="60" s="1"/>
  <c r="AA171" i="70"/>
  <c r="AA163" i="70"/>
  <c r="F33" i="60"/>
  <c r="AB133" i="49"/>
  <c r="F32" i="49"/>
  <c r="BC152" i="50" l="1"/>
  <c r="CQ133" i="50"/>
  <c r="AX187" i="50" s="1"/>
  <c r="AX179" i="50"/>
  <c r="AX152" i="50" s="1"/>
  <c r="BW152" i="50"/>
  <c r="CG133" i="50"/>
  <c r="AN179" i="50"/>
  <c r="AN152" i="50" s="1"/>
  <c r="CB179" i="50"/>
  <c r="BR152" i="50" s="1"/>
  <c r="BH152" i="50"/>
  <c r="N104" i="70"/>
  <c r="N96" i="70"/>
  <c r="AM32" i="91"/>
  <c r="AV31" i="86"/>
  <c r="AH91" i="87"/>
  <c r="AH99" i="87" s="1"/>
  <c r="F99" i="87" s="1"/>
  <c r="AU63" i="87" s="1"/>
  <c r="AG198" i="69"/>
  <c r="AG206" i="69" s="1"/>
  <c r="F206" i="69" s="1"/>
  <c r="BE63" i="69" s="1"/>
  <c r="AG127" i="84"/>
  <c r="AG135" i="84" s="1"/>
  <c r="F135" i="84" s="1"/>
  <c r="AY63" i="84" s="1"/>
  <c r="AG91" i="84"/>
  <c r="AG99" i="84" s="1"/>
  <c r="F99" i="84" s="1"/>
  <c r="AT63" i="84" s="1"/>
  <c r="AG163" i="84"/>
  <c r="AG171" i="84" s="1"/>
  <c r="AX64" i="70"/>
  <c r="AX56" i="70"/>
  <c r="AN24" i="83"/>
  <c r="AB162" i="83"/>
  <c r="AB170" i="83" s="1"/>
  <c r="F282" i="83" s="1"/>
  <c r="M32" i="87"/>
  <c r="AN24" i="49"/>
  <c r="F162" i="49"/>
  <c r="AU55" i="49" s="1"/>
  <c r="BO55" i="67"/>
  <c r="AH23" i="86"/>
  <c r="AH31" i="86" s="1"/>
  <c r="F31" i="86" s="1"/>
  <c r="BB31" i="86" s="1"/>
  <c r="F134" i="66"/>
  <c r="AU63" i="66" s="1"/>
  <c r="F126" i="49"/>
  <c r="AZ55" i="49" s="1"/>
  <c r="F162" i="66"/>
  <c r="AZ55" i="66" s="1"/>
  <c r="F134" i="49"/>
  <c r="AZ63" i="49" s="1"/>
  <c r="F198" i="67"/>
  <c r="BU55" i="67" s="1"/>
  <c r="DP133" i="50"/>
  <c r="BM187" i="50" s="1"/>
  <c r="F234" i="67"/>
  <c r="BE55" i="67" s="1"/>
  <c r="F126" i="69"/>
  <c r="AU55" i="69" s="1"/>
  <c r="AR127" i="70"/>
  <c r="F278" i="67"/>
  <c r="BJ63" i="67" s="1"/>
  <c r="F91" i="60"/>
  <c r="AT162" i="60" s="1"/>
  <c r="F23" i="86"/>
  <c r="BB23" i="86" s="1"/>
  <c r="F126" i="63"/>
  <c r="AZ55" i="63" s="1"/>
  <c r="F270" i="69"/>
  <c r="BJ55" i="69" s="1"/>
  <c r="DU133" i="50"/>
  <c r="BR187" i="50" s="1"/>
  <c r="F126" i="62"/>
  <c r="AU55" i="62" s="1"/>
  <c r="BJ55" i="63"/>
  <c r="F242" i="69"/>
  <c r="BO63" i="69" s="1"/>
  <c r="F198" i="69"/>
  <c r="BE55" i="69" s="1"/>
  <c r="F234" i="69"/>
  <c r="BO55" i="69" s="1"/>
  <c r="BE63" i="63"/>
  <c r="M32" i="62"/>
  <c r="AN32" i="62" s="1"/>
  <c r="AB134" i="63"/>
  <c r="F270" i="67"/>
  <c r="BJ55" i="67" s="1"/>
  <c r="N24" i="70"/>
  <c r="AR56" i="70" s="1"/>
  <c r="F242" i="67"/>
  <c r="BE63" i="67" s="1"/>
  <c r="AG134" i="63"/>
  <c r="F127" i="85"/>
  <c r="AZ55" i="85" s="1"/>
  <c r="F170" i="66"/>
  <c r="AZ63" i="66" s="1"/>
  <c r="M24" i="62"/>
  <c r="AO55" i="62" s="1"/>
  <c r="F126" i="66"/>
  <c r="AU55" i="66" s="1"/>
  <c r="M24" i="69"/>
  <c r="AO55" i="69" s="1"/>
  <c r="AL24" i="74"/>
  <c r="AM24" i="66"/>
  <c r="AC24" i="74"/>
  <c r="AC32" i="74" s="1"/>
  <c r="AM24" i="74"/>
  <c r="AN24" i="87"/>
  <c r="F134" i="62"/>
  <c r="AU63" i="62" s="1"/>
  <c r="F206" i="67"/>
  <c r="BU63" i="67" s="1"/>
  <c r="BO63" i="67"/>
  <c r="F32" i="74"/>
  <c r="AP104" i="70"/>
  <c r="AS104" i="70" s="1"/>
  <c r="I104" i="70" s="1"/>
  <c r="J104" i="70" s="1"/>
  <c r="F91" i="87"/>
  <c r="AU55" i="87" s="1"/>
  <c r="AC24" i="70"/>
  <c r="AC32" i="70" s="1"/>
  <c r="N32" i="70" s="1"/>
  <c r="AU162" i="83"/>
  <c r="DK133" i="50"/>
  <c r="BH187" i="50" s="1"/>
  <c r="N95" i="91"/>
  <c r="AN126" i="91" s="1"/>
  <c r="F206" i="60"/>
  <c r="AY170" i="60" s="1"/>
  <c r="F99" i="60"/>
  <c r="AT170" i="60" s="1"/>
  <c r="F134" i="67"/>
  <c r="AU63" i="67" s="1"/>
  <c r="F134" i="69"/>
  <c r="AU63" i="69" s="1"/>
  <c r="F170" i="69"/>
  <c r="AZ63" i="69" s="1"/>
  <c r="F171" i="70"/>
  <c r="BC64" i="70" s="1"/>
  <c r="AU63" i="83"/>
  <c r="F170" i="49"/>
  <c r="AU63" i="49" s="1"/>
  <c r="F139" i="83"/>
  <c r="AU170" i="83" s="1"/>
  <c r="F198" i="60"/>
  <c r="AY162" i="60" s="1"/>
  <c r="AM132" i="60"/>
  <c r="AL132" i="60"/>
  <c r="AC132" i="60"/>
  <c r="AC140" i="60" s="1"/>
  <c r="N140" i="60" s="1"/>
  <c r="N25" i="60"/>
  <c r="AN55" i="60" s="1"/>
  <c r="M24" i="49"/>
  <c r="AO55" i="49" s="1"/>
  <c r="AN24" i="65"/>
  <c r="AD24" i="65"/>
  <c r="AD32" i="65" s="1"/>
  <c r="M32" i="65" s="1"/>
  <c r="AG270" i="69"/>
  <c r="AG278" i="69" s="1"/>
  <c r="F278" i="69" s="1"/>
  <c r="BJ63" i="69" s="1"/>
  <c r="AM24" i="69"/>
  <c r="AD24" i="69"/>
  <c r="AD32" i="69" s="1"/>
  <c r="M32" i="69" s="1"/>
  <c r="BE55" i="63"/>
  <c r="AM24" i="65"/>
  <c r="AD24" i="49"/>
  <c r="AD32" i="49" s="1"/>
  <c r="M32" i="49" s="1"/>
  <c r="AM24" i="49"/>
  <c r="F99" i="83"/>
  <c r="AM103" i="91"/>
  <c r="DZ133" i="50"/>
  <c r="BW187" i="50" s="1"/>
  <c r="AM25" i="60"/>
  <c r="AO25" i="60" s="1"/>
  <c r="I25" i="60" s="1"/>
  <c r="J25" i="60" s="1"/>
  <c r="AN24" i="69"/>
  <c r="AN24" i="63"/>
  <c r="AM24" i="63"/>
  <c r="AD24" i="63"/>
  <c r="AD32" i="63" s="1"/>
  <c r="M32" i="63" s="1"/>
  <c r="F162" i="69"/>
  <c r="AZ55" i="69" s="1"/>
  <c r="F163" i="70"/>
  <c r="BC56" i="70" s="1"/>
  <c r="AB162" i="67"/>
  <c r="AB170" i="67" s="1"/>
  <c r="F170" i="67" s="1"/>
  <c r="AZ63" i="67" s="1"/>
  <c r="AF90" i="72"/>
  <c r="F90" i="72" s="1"/>
  <c r="AU54" i="72" s="1"/>
  <c r="N24" i="72"/>
  <c r="AN54" i="72" s="1"/>
  <c r="AM24" i="72"/>
  <c r="AO24" i="72" s="1"/>
  <c r="I24" i="72" s="1"/>
  <c r="J24" i="72" s="1"/>
  <c r="F125" i="72"/>
  <c r="BA54" i="72" s="1"/>
  <c r="AC24" i="72"/>
  <c r="AC32" i="72" s="1"/>
  <c r="F32" i="72"/>
  <c r="BJ63" i="63"/>
  <c r="N24" i="73"/>
  <c r="AN54" i="73" s="1"/>
  <c r="AM24" i="73"/>
  <c r="AC24" i="73"/>
  <c r="AC32" i="73" s="1"/>
  <c r="N32" i="73" s="1"/>
  <c r="AN24" i="62"/>
  <c r="AM24" i="62"/>
  <c r="AM24" i="67"/>
  <c r="F126" i="67"/>
  <c r="AU55" i="67" s="1"/>
  <c r="AD24" i="67"/>
  <c r="AD32" i="67" s="1"/>
  <c r="M32" i="67" s="1"/>
  <c r="AN24" i="67"/>
  <c r="M24" i="67"/>
  <c r="AO55" i="67" s="1"/>
  <c r="AN24" i="64"/>
  <c r="AD24" i="64"/>
  <c r="AD32" i="64" s="1"/>
  <c r="M32" i="64" s="1"/>
  <c r="AM24" i="64"/>
  <c r="AL24" i="73"/>
  <c r="AD24" i="66"/>
  <c r="AD32" i="66" s="1"/>
  <c r="M32" i="66" s="1"/>
  <c r="M24" i="66"/>
  <c r="AF90" i="73"/>
  <c r="AF98" i="73" s="1"/>
  <c r="F98" i="73" s="1"/>
  <c r="AU62" i="73" s="1"/>
  <c r="AA90" i="82"/>
  <c r="AA98" i="82" s="1"/>
  <c r="F98" i="82" s="1"/>
  <c r="F135" i="85"/>
  <c r="AZ63" i="85" s="1"/>
  <c r="M32" i="85"/>
  <c r="AO63" i="85" s="1"/>
  <c r="AN32" i="85"/>
  <c r="AM32" i="85"/>
  <c r="F99" i="85"/>
  <c r="AU63" i="85" s="1"/>
  <c r="AL103" i="91"/>
  <c r="AN24" i="66"/>
  <c r="AC25" i="60"/>
  <c r="AC33" i="60" s="1"/>
  <c r="N33" i="60" s="1"/>
  <c r="AL24" i="82"/>
  <c r="AM24" i="82"/>
  <c r="N24" i="82"/>
  <c r="AN54" i="82" s="1"/>
  <c r="AL32" i="91"/>
  <c r="AO32" i="91" s="1"/>
  <c r="I32" i="91" s="1"/>
  <c r="J32" i="91" s="1"/>
  <c r="AV23" i="86"/>
  <c r="AM24" i="83"/>
  <c r="AP24" i="70"/>
  <c r="AS24" i="70" s="1"/>
  <c r="I24" i="70" s="1"/>
  <c r="J24" i="70" s="1"/>
  <c r="AM24" i="91"/>
  <c r="AL24" i="91"/>
  <c r="N24" i="91"/>
  <c r="AN55" i="91" s="1"/>
  <c r="AC24" i="91"/>
  <c r="AC32" i="91" s="1"/>
  <c r="N32" i="91" s="1"/>
  <c r="F127" i="84"/>
  <c r="AY55" i="84" s="1"/>
  <c r="DF133" i="50"/>
  <c r="BC187" i="50" s="1"/>
  <c r="AH96" i="70"/>
  <c r="AH104" i="70" s="1"/>
  <c r="AN24" i="85"/>
  <c r="F91" i="85"/>
  <c r="AU55" i="85" s="1"/>
  <c r="M24" i="85"/>
  <c r="AO55" i="85" s="1"/>
  <c r="AM24" i="85"/>
  <c r="M24" i="83"/>
  <c r="AU55" i="83"/>
  <c r="AD24" i="83"/>
  <c r="AD32" i="83" s="1"/>
  <c r="M32" i="83" s="1"/>
  <c r="F274" i="83"/>
  <c r="AL24" i="84"/>
  <c r="AO24" i="84" s="1"/>
  <c r="I24" i="84" s="1"/>
  <c r="J24" i="84" s="1"/>
  <c r="AQ96" i="70"/>
  <c r="AS96" i="70" s="1"/>
  <c r="I96" i="70" s="1"/>
  <c r="J96" i="70" s="1"/>
  <c r="F171" i="84"/>
  <c r="BD63" i="84" s="1"/>
  <c r="AD24" i="85"/>
  <c r="AD32" i="85" s="1"/>
  <c r="AC24" i="84"/>
  <c r="AC32" i="84" s="1"/>
  <c r="N32" i="84" s="1"/>
  <c r="N24" i="84"/>
  <c r="AN55" i="84" s="1"/>
  <c r="F163" i="84"/>
  <c r="BD55" i="84" s="1"/>
  <c r="F91" i="84"/>
  <c r="AT55" i="84" s="1"/>
  <c r="F91" i="83"/>
  <c r="CL133" i="50"/>
  <c r="AS187" i="50" s="1"/>
  <c r="AC24" i="82"/>
  <c r="AC32" i="82" s="1"/>
  <c r="N32" i="82" s="1"/>
  <c r="M24" i="87"/>
  <c r="AO55" i="87" s="1"/>
  <c r="AM24" i="87"/>
  <c r="M131" i="83"/>
  <c r="AC95" i="91"/>
  <c r="AC103" i="91" s="1"/>
  <c r="AL95" i="91"/>
  <c r="AO95" i="91" s="1"/>
  <c r="I95" i="91" s="1"/>
  <c r="AM131" i="83"/>
  <c r="AP131" i="83" s="1"/>
  <c r="I131" i="83" s="1"/>
  <c r="AD131" i="83"/>
  <c r="AD139" i="83" s="1"/>
  <c r="BR160" i="50" l="1"/>
  <c r="CB187" i="50"/>
  <c r="AN187" i="50"/>
  <c r="AN160" i="50" s="1"/>
  <c r="AS160" i="50"/>
  <c r="BW160" i="50"/>
  <c r="AX160" i="50"/>
  <c r="BC160" i="50"/>
  <c r="BM152" i="50"/>
  <c r="AI152" i="50"/>
  <c r="AD152" i="50"/>
  <c r="AS152" i="50"/>
  <c r="AZ63" i="83"/>
  <c r="AZ55" i="83"/>
  <c r="AN63" i="91"/>
  <c r="N103" i="91"/>
  <c r="AN134" i="91" s="1"/>
  <c r="AM32" i="62"/>
  <c r="AP32" i="62" s="1"/>
  <c r="I32" i="62" s="1"/>
  <c r="AP24" i="83"/>
  <c r="I24" i="83" s="1"/>
  <c r="AM274" i="83"/>
  <c r="AN274" i="83"/>
  <c r="AM282" i="83"/>
  <c r="AN282" i="83"/>
  <c r="AP24" i="49"/>
  <c r="I24" i="49" s="1"/>
  <c r="N32" i="72"/>
  <c r="AN62" i="72" s="1"/>
  <c r="AX127" i="70"/>
  <c r="F134" i="63"/>
  <c r="AZ63" i="63" s="1"/>
  <c r="AO103" i="91"/>
  <c r="I103" i="91" s="1"/>
  <c r="J103" i="91" s="1"/>
  <c r="AP24" i="64"/>
  <c r="I24" i="64" s="1"/>
  <c r="AP24" i="67"/>
  <c r="I24" i="67" s="1"/>
  <c r="F90" i="82"/>
  <c r="AT54" i="82" s="1"/>
  <c r="N32" i="74"/>
  <c r="AM32" i="74" s="1"/>
  <c r="AP24" i="65"/>
  <c r="I24" i="65" s="1"/>
  <c r="AO63" i="62"/>
  <c r="AR64" i="70"/>
  <c r="AP32" i="70"/>
  <c r="AO24" i="74"/>
  <c r="I24" i="74" s="1"/>
  <c r="J24" i="74" s="1"/>
  <c r="AP24" i="87"/>
  <c r="I24" i="87" s="1"/>
  <c r="AQ32" i="70"/>
  <c r="AP32" i="85"/>
  <c r="I32" i="85" s="1"/>
  <c r="AP24" i="62"/>
  <c r="I24" i="62" s="1"/>
  <c r="AO132" i="60"/>
  <c r="I132" i="60" s="1"/>
  <c r="J132" i="60" s="1"/>
  <c r="F162" i="67"/>
  <c r="AZ55" i="67" s="1"/>
  <c r="AP24" i="66"/>
  <c r="I24" i="66" s="1"/>
  <c r="AO24" i="91"/>
  <c r="I24" i="91" s="1"/>
  <c r="J24" i="91" s="1"/>
  <c r="AP24" i="69"/>
  <c r="I24" i="69" s="1"/>
  <c r="AO63" i="49"/>
  <c r="AM32" i="49"/>
  <c r="AN32" i="49"/>
  <c r="AX135" i="70"/>
  <c r="AR135" i="70"/>
  <c r="AT62" i="82"/>
  <c r="AY62" i="82"/>
  <c r="AO63" i="64"/>
  <c r="AN32" i="64"/>
  <c r="AM32" i="64"/>
  <c r="AN32" i="63"/>
  <c r="AO63" i="63"/>
  <c r="AM32" i="63"/>
  <c r="AS24" i="66"/>
  <c r="AO55" i="66"/>
  <c r="AN32" i="83"/>
  <c r="AO63" i="83"/>
  <c r="AM32" i="83"/>
  <c r="AS32" i="83"/>
  <c r="AO63" i="69"/>
  <c r="AN32" i="69"/>
  <c r="AM32" i="69"/>
  <c r="AN63" i="84"/>
  <c r="AM32" i="84"/>
  <c r="AL32" i="84"/>
  <c r="Z95" i="91"/>
  <c r="Z103" i="91" s="1"/>
  <c r="T103" i="91" s="1"/>
  <c r="J95" i="91"/>
  <c r="AP24" i="85"/>
  <c r="I24" i="85" s="1"/>
  <c r="AL33" i="60"/>
  <c r="AM33" i="60"/>
  <c r="AN63" i="60"/>
  <c r="AN170" i="60"/>
  <c r="AL140" i="60"/>
  <c r="AM140" i="60"/>
  <c r="AP24" i="63"/>
  <c r="I24" i="63" s="1"/>
  <c r="F133" i="72"/>
  <c r="BA62" i="72" s="1"/>
  <c r="AF98" i="72"/>
  <c r="F98" i="72" s="1"/>
  <c r="AU62" i="72" s="1"/>
  <c r="AN62" i="73"/>
  <c r="AM32" i="73"/>
  <c r="AL32" i="73"/>
  <c r="AN32" i="87"/>
  <c r="AO63" i="87"/>
  <c r="AM32" i="87"/>
  <c r="AN32" i="67"/>
  <c r="AO63" i="67"/>
  <c r="AM32" i="67"/>
  <c r="AO55" i="83"/>
  <c r="AS24" i="83"/>
  <c r="AO24" i="82"/>
  <c r="I24" i="82" s="1"/>
  <c r="J24" i="82" s="1"/>
  <c r="AN139" i="83"/>
  <c r="AM139" i="83"/>
  <c r="M139" i="83"/>
  <c r="AN32" i="66"/>
  <c r="AO63" i="66"/>
  <c r="AM32" i="66"/>
  <c r="AS32" i="66"/>
  <c r="AN62" i="82"/>
  <c r="AM32" i="82"/>
  <c r="AL32" i="82"/>
  <c r="AS131" i="83"/>
  <c r="AO162" i="83"/>
  <c r="AD274" i="83"/>
  <c r="AD282" i="83" s="1"/>
  <c r="M282" i="83" s="1"/>
  <c r="M274" i="83"/>
  <c r="AO24" i="73"/>
  <c r="I24" i="73" s="1"/>
  <c r="J24" i="73" s="1"/>
  <c r="F90" i="73"/>
  <c r="AU54" i="73" s="1"/>
  <c r="AN32" i="65"/>
  <c r="AO63" i="65"/>
  <c r="AM32" i="65"/>
  <c r="AD160" i="50" l="1"/>
  <c r="AI160" i="50"/>
  <c r="BM160" i="50"/>
  <c r="BH160" i="50"/>
  <c r="AM32" i="72"/>
  <c r="AL32" i="72"/>
  <c r="AY54" i="82"/>
  <c r="AN62" i="74"/>
  <c r="AL32" i="74"/>
  <c r="AO32" i="74" s="1"/>
  <c r="AS32" i="70"/>
  <c r="I32" i="70" s="1"/>
  <c r="J32" i="70" s="1"/>
  <c r="AP32" i="66"/>
  <c r="I32" i="66" s="1"/>
  <c r="AP32" i="63"/>
  <c r="I32" i="63" s="1"/>
  <c r="AP282" i="83"/>
  <c r="I282" i="83" s="1"/>
  <c r="AO32" i="82"/>
  <c r="I32" i="82" s="1"/>
  <c r="J32" i="82" s="1"/>
  <c r="AO32" i="73"/>
  <c r="I32" i="73" s="1"/>
  <c r="J32" i="73" s="1"/>
  <c r="AP32" i="64"/>
  <c r="I32" i="64" s="1"/>
  <c r="AO313" i="83"/>
  <c r="AS282" i="83"/>
  <c r="AW24" i="83"/>
  <c r="AV24" i="83"/>
  <c r="AP32" i="65"/>
  <c r="I32" i="65" s="1"/>
  <c r="AP274" i="83"/>
  <c r="I274" i="83" s="1"/>
  <c r="AW131" i="83"/>
  <c r="AV131" i="83"/>
  <c r="AP139" i="83"/>
  <c r="I139" i="83" s="1"/>
  <c r="AO32" i="84"/>
  <c r="AP32" i="87"/>
  <c r="I32" i="87" s="1"/>
  <c r="AW32" i="83"/>
  <c r="AV32" i="83"/>
  <c r="AP32" i="49"/>
  <c r="I32" i="49" s="1"/>
  <c r="AS274" i="83"/>
  <c r="AO305" i="83"/>
  <c r="AW32" i="66"/>
  <c r="AV32" i="66"/>
  <c r="AO170" i="83"/>
  <c r="AS139" i="83"/>
  <c r="AP32" i="67"/>
  <c r="I32" i="67" s="1"/>
  <c r="AO140" i="60"/>
  <c r="I140" i="60" s="1"/>
  <c r="J140" i="60" s="1"/>
  <c r="AO33" i="60"/>
  <c r="I33" i="60" s="1"/>
  <c r="J33" i="60" s="1"/>
  <c r="AP32" i="69"/>
  <c r="I32" i="69" s="1"/>
  <c r="AP32" i="83"/>
  <c r="I32" i="83" s="1"/>
  <c r="AV24" i="66"/>
  <c r="AW24" i="66"/>
  <c r="I32" i="84" l="1"/>
  <c r="J32" i="84" s="1"/>
  <c r="I32" i="74"/>
  <c r="J32" i="74" s="1"/>
  <c r="AO32" i="72"/>
  <c r="I32" i="72" s="1"/>
  <c r="J32" i="72" s="1"/>
  <c r="AX32" i="83"/>
  <c r="AX131" i="83"/>
  <c r="AX24" i="83"/>
  <c r="AW274" i="83"/>
  <c r="AV274" i="83"/>
  <c r="AV139" i="83"/>
  <c r="AW139" i="83"/>
  <c r="AX24" i="66"/>
  <c r="AX32" i="66"/>
  <c r="AW282" i="83"/>
  <c r="AV282" i="83"/>
  <c r="AX274" i="83" l="1"/>
  <c r="AX282" i="83"/>
  <c r="AX139" i="8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<sst xmlns="http://schemas.openxmlformats.org/spreadsheetml/2006/main" count="5351" uniqueCount="1307">
  <si>
    <t>Bracknell Forest</t>
  </si>
  <si>
    <t>Isle of Wight</t>
  </si>
  <si>
    <t>Medway</t>
  </si>
  <si>
    <t>Reading</t>
  </si>
  <si>
    <t>East Sussex</t>
  </si>
  <si>
    <t>West Sussex</t>
  </si>
  <si>
    <t>Hampshire</t>
  </si>
  <si>
    <t>Surrey</t>
  </si>
  <si>
    <t>Buckinghamshire</t>
  </si>
  <si>
    <t>Kent</t>
  </si>
  <si>
    <t>Milton Keynes</t>
  </si>
  <si>
    <t>Oxfordshire</t>
  </si>
  <si>
    <t>Portsmouth</t>
  </si>
  <si>
    <t>Slough</t>
  </si>
  <si>
    <t>Southampton</t>
  </si>
  <si>
    <t>West Berkshire</t>
  </si>
  <si>
    <t>Wokingham</t>
  </si>
  <si>
    <t>Population</t>
  </si>
  <si>
    <t>Section 47 Enquiries</t>
  </si>
  <si>
    <t>Initial Child Protection Conferences</t>
  </si>
  <si>
    <t>Child Protection Plans</t>
  </si>
  <si>
    <t>Looked After Children</t>
  </si>
  <si>
    <t>Assessments</t>
  </si>
  <si>
    <t>Police</t>
  </si>
  <si>
    <t>Re-referrals</t>
  </si>
  <si>
    <t>Children in Need</t>
  </si>
  <si>
    <t>Court Applications</t>
  </si>
  <si>
    <t>Percentage of Referrals going on to Assessment</t>
  </si>
  <si>
    <t xml:space="preserve">WARNING - This spreadsheet uses macros please ensure you have enabled macros before attempting to use </t>
  </si>
  <si>
    <t>LA</t>
  </si>
  <si>
    <t>Windsor &amp; Maidenhead</t>
  </si>
  <si>
    <t>Brighton &amp; Hove</t>
  </si>
  <si>
    <t>Adoption</t>
  </si>
  <si>
    <t>ü</t>
  </si>
  <si>
    <t>Relative/ Carer</t>
  </si>
  <si>
    <t>Acquaintance</t>
  </si>
  <si>
    <t>Self</t>
  </si>
  <si>
    <t>Other Individual</t>
  </si>
  <si>
    <t>Schools</t>
  </si>
  <si>
    <t>Education Services</t>
  </si>
  <si>
    <t>GP</t>
  </si>
  <si>
    <t>Health Visitor</t>
  </si>
  <si>
    <t>School Nurse</t>
  </si>
  <si>
    <t>Other primary health</t>
  </si>
  <si>
    <t>A&amp;E</t>
  </si>
  <si>
    <t>Other Health services</t>
  </si>
  <si>
    <t>Housing</t>
  </si>
  <si>
    <t>Social care</t>
  </si>
  <si>
    <t xml:space="preserve">Other Internal LA </t>
  </si>
  <si>
    <t>1A</t>
  </si>
  <si>
    <t>1B</t>
  </si>
  <si>
    <t>1C</t>
  </si>
  <si>
    <t>1D</t>
  </si>
  <si>
    <t>2A</t>
  </si>
  <si>
    <t>2B</t>
  </si>
  <si>
    <t>3A</t>
  </si>
  <si>
    <t>3B</t>
  </si>
  <si>
    <t>3C</t>
  </si>
  <si>
    <t>3D</t>
  </si>
  <si>
    <t>3E</t>
  </si>
  <si>
    <t>3F</t>
  </si>
  <si>
    <t>5A</t>
  </si>
  <si>
    <t>5B</t>
  </si>
  <si>
    <t>5C</t>
  </si>
  <si>
    <t>Anonymous</t>
  </si>
  <si>
    <t>Unknown</t>
  </si>
  <si>
    <t>Other</t>
  </si>
  <si>
    <t>Other legal agency</t>
  </si>
  <si>
    <t>External LA services</t>
  </si>
  <si>
    <t>Referral Source</t>
  </si>
  <si>
    <t>Slope</t>
  </si>
  <si>
    <t>Intercept</t>
  </si>
  <si>
    <t>South East LA Trend</t>
  </si>
  <si>
    <t>x</t>
  </si>
  <si>
    <t>South East</t>
  </si>
  <si>
    <t>Statistical Neighbour LA's</t>
  </si>
  <si>
    <t>mid-2009 0-15 Population</t>
  </si>
  <si>
    <t>Number of Children living in Poverty</t>
  </si>
  <si>
    <t>IDACI</t>
  </si>
  <si>
    <t>Population figures pulled through for those LA's who provided data- For calculation of SE Rate</t>
  </si>
  <si>
    <t>Referrals</t>
  </si>
  <si>
    <t>Participating LA's</t>
  </si>
  <si>
    <t>Jump to...</t>
  </si>
  <si>
    <t>Region</t>
  </si>
  <si>
    <t>South West</t>
  </si>
  <si>
    <t>Select your LA here to highlight throughout the report:</t>
  </si>
  <si>
    <t>Number of Referrals going on to Assessment</t>
  </si>
  <si>
    <t>TOTAL</t>
  </si>
  <si>
    <t>Number</t>
  </si>
  <si>
    <t>Rate per 10000 0-17 Year Olds</t>
  </si>
  <si>
    <t>LA Commentary:</t>
  </si>
  <si>
    <t>--</t>
  </si>
  <si>
    <t>Initial CP Conferences</t>
  </si>
  <si>
    <t>Ranking Lookup</t>
  </si>
  <si>
    <t>Rank Lookup</t>
  </si>
  <si>
    <t>Somerset</t>
  </si>
  <si>
    <t>Individual</t>
  </si>
  <si>
    <r>
      <t>IDACI (</t>
    </r>
    <r>
      <rPr>
        <b/>
        <sz val="9"/>
        <rFont val="Arial"/>
        <family val="2"/>
      </rPr>
      <t>Income Deprivation Affecting Children Index)</t>
    </r>
  </si>
  <si>
    <t>Children living in Poverty</t>
  </si>
  <si>
    <t xml:space="preserve">This table shows which Local Authorities are currently participating, and which of their statistical neighbours are also participating. </t>
  </si>
  <si>
    <t>South East Rate</t>
  </si>
  <si>
    <t>Toggle LA's on and off using the tick boxes:</t>
  </si>
  <si>
    <t xml:space="preserve"> </t>
  </si>
  <si>
    <t>Proportion (%)</t>
  </si>
  <si>
    <t>Rate per 10,000</t>
  </si>
  <si>
    <t>Health services</t>
  </si>
  <si>
    <t>LA services</t>
  </si>
  <si>
    <t>Percentage of Referrals which were Re-referrals</t>
  </si>
  <si>
    <t>Rank Lowest (1) to Highest</t>
  </si>
  <si>
    <t>11-45 Days</t>
  </si>
  <si>
    <t>Heatmap applied within each LA- the higher the figure the darker the colour</t>
  </si>
  <si>
    <t>ICPC as % of S47</t>
  </si>
  <si>
    <t>Coverage</t>
  </si>
  <si>
    <t>Swindon</t>
  </si>
  <si>
    <t>Torbay</t>
  </si>
  <si>
    <t>Number of Children Subject to Special Guardianship Orders at last day in quarter</t>
  </si>
  <si>
    <t>Number of Children Subject to Residence/ Child Arrangement Orders at last day in quarter</t>
  </si>
  <si>
    <t>Social Care IT System Used</t>
  </si>
  <si>
    <t>Plans to Change Systems in the next Year</t>
  </si>
  <si>
    <t>PARIS</t>
  </si>
  <si>
    <t>No</t>
  </si>
  <si>
    <t>LiquidLogic</t>
  </si>
  <si>
    <t>Capita One</t>
  </si>
  <si>
    <t>Northgate Swift/ICS</t>
  </si>
  <si>
    <t>Framework-i</t>
  </si>
  <si>
    <t>Yes</t>
  </si>
  <si>
    <t>mid-2015</t>
  </si>
  <si>
    <t>England</t>
  </si>
  <si>
    <t>Expected</t>
  </si>
  <si>
    <t>Distance</t>
  </si>
  <si>
    <t>Percentage Change Chart Highlight</t>
  </si>
  <si>
    <t>Distance from Expected Chart Highlight</t>
  </si>
  <si>
    <t>Proportion of Single Assessments completed within 45 Days</t>
  </si>
  <si>
    <t>Within 10 Days</t>
  </si>
  <si>
    <t>11-25 Days</t>
  </si>
  <si>
    <t>26-35 Days</t>
  </si>
  <si>
    <t>36-45 Days</t>
  </si>
  <si>
    <t>Over 45 Days</t>
  </si>
  <si>
    <t>Number of Assessments completed in each time band</t>
  </si>
  <si>
    <t>ICPC In 15 Days</t>
  </si>
  <si>
    <t>ICPC in 15 Days</t>
  </si>
  <si>
    <t>2nd/ Subsequent</t>
  </si>
  <si>
    <t>reviews in timescales</t>
  </si>
  <si>
    <t>Children who had been subject to a plan for 3 months or longer at 31st march</t>
  </si>
  <si>
    <t>Of those, the number who had reviews in timescale</t>
  </si>
  <si>
    <t>Children who became the subject of a CP Plan in the year ending 31st March</t>
  </si>
  <si>
    <t>Those who became the subject of a plan for a second or subsequent time</t>
  </si>
  <si>
    <t>Children who ceased to be the subject of a CP Plan in the year ending 31st March</t>
  </si>
  <si>
    <t xml:space="preserve">Those who had been subject to a plan for 2 years </t>
  </si>
  <si>
    <t>Care Applications</t>
  </si>
  <si>
    <t>Number of LAC aged Under 16</t>
  </si>
  <si>
    <t>Number of Children looked after for 2.5 years</t>
  </si>
  <si>
    <t>Number of Children looked after for 2.5 years in same placement for 2 years</t>
  </si>
  <si>
    <t>Number of looked after children with three or more placements during the year</t>
  </si>
  <si>
    <t>Under 1</t>
  </si>
  <si>
    <t>16 +</t>
  </si>
  <si>
    <t xml:space="preserve">      1 - 4    </t>
  </si>
  <si>
    <t xml:space="preserve">      5 - 9    </t>
  </si>
  <si>
    <t xml:space="preserve">   10 - 15  </t>
  </si>
  <si>
    <t xml:space="preserve"> &lt;1</t>
  </si>
  <si>
    <t xml:space="preserve"> 1 - 4    </t>
  </si>
  <si>
    <t xml:space="preserve"> 5 - 9</t>
  </si>
  <si>
    <t xml:space="preserve"> 10 - 15  </t>
  </si>
  <si>
    <t xml:space="preserve"> 16 +</t>
  </si>
  <si>
    <t>Number of LAC in each Age Group</t>
  </si>
  <si>
    <t>Percentage of LAC in each Age Group</t>
  </si>
  <si>
    <t>Rate of Looked After Children per 10,000  Population for each Age Group</t>
  </si>
  <si>
    <t>16-17</t>
  </si>
  <si>
    <t>Number of Children Placed for Adoption at 31st March</t>
  </si>
  <si>
    <t>Total Number of days between a child entering care and moving in with their adoptive family</t>
  </si>
  <si>
    <t>Number of LAC Adopted in Year</t>
  </si>
  <si>
    <t>Children ceasing to be Looked After in year who were Adopted (%)</t>
  </si>
  <si>
    <t>Number of Children ceasing to be looked after</t>
  </si>
  <si>
    <t>Placed within 12 months of the adoption decision</t>
  </si>
  <si>
    <t>% LAC ceasing in year who were Adopted</t>
  </si>
  <si>
    <t>2.5yrs</t>
  </si>
  <si>
    <t>2.5yrs &amp; 2yrs</t>
  </si>
  <si>
    <t>3+ Placements</t>
  </si>
  <si>
    <t>UASC</t>
  </si>
  <si>
    <t>Number of looked after UASC</t>
  </si>
  <si>
    <t>LAC by Age</t>
  </si>
  <si>
    <t>Reviewed within Timescales</t>
  </si>
  <si>
    <t>Number of LAC at 31st March who had been LAC for at least 4 weeks</t>
  </si>
  <si>
    <t>Of these the number whose cases had been reviewed within timescales</t>
  </si>
  <si>
    <t>Number of Children Adopted</t>
  </si>
  <si>
    <t>Carefirst</t>
  </si>
  <si>
    <t>Framework i</t>
  </si>
  <si>
    <t>National Trend</t>
  </si>
  <si>
    <t>Total</t>
  </si>
  <si>
    <t>mid-2016</t>
  </si>
  <si>
    <t>2nd/ Subsequent within 2 years</t>
  </si>
  <si>
    <t>Early Help Referrals</t>
  </si>
  <si>
    <t>Number of EH Referrals stepped down from Social Care</t>
  </si>
  <si>
    <t>Referrals to Early Help which were stepped-down from Social Care (Children)</t>
  </si>
  <si>
    <t>Number of Referrals stepped down from Social Care</t>
  </si>
  <si>
    <t>Early help Referrals data pulled through</t>
  </si>
  <si>
    <t>Re-referrals to Early Help within 12 months of previous Referral (Children)</t>
  </si>
  <si>
    <t>Early Help Assessments</t>
  </si>
  <si>
    <t>Early Help Clients</t>
  </si>
  <si>
    <t>Early Help Assessments resulting in Step-Up to Social Care</t>
  </si>
  <si>
    <t>Early Help Assessments resulting in Step-Up to Social Care (Children)</t>
  </si>
  <si>
    <t>Number of EH Assessments resulting in Step Up</t>
  </si>
  <si>
    <t>Early Help- Children receiving Early Help</t>
  </si>
  <si>
    <t>Selected LA</t>
  </si>
  <si>
    <t>Selected LA lookup</t>
  </si>
  <si>
    <t>LA's with * are the Statistical Neighbours of the Selected LA</t>
  </si>
  <si>
    <t/>
  </si>
  <si>
    <t>Asmt to NFA</t>
  </si>
  <si>
    <t>Asmt to Step-down</t>
  </si>
  <si>
    <t>Number of Assessments completed in 45 Days</t>
  </si>
  <si>
    <t>2017-18</t>
  </si>
  <si>
    <t>(none)</t>
  </si>
  <si>
    <t>Page:</t>
  </si>
  <si>
    <t>Indicator:</t>
  </si>
  <si>
    <t>Referrals to Early Help that were 'stepped down' from Social Care</t>
  </si>
  <si>
    <t xml:space="preserve">Re-referrals in to Early Help services which were received within 12 months of a previous (Early Help) referral </t>
  </si>
  <si>
    <t>% of Referrals to CSC followed by Assessment</t>
  </si>
  <si>
    <t xml:space="preserve">Individual </t>
  </si>
  <si>
    <t xml:space="preserve">Schools </t>
  </si>
  <si>
    <t xml:space="preserve">Health services </t>
  </si>
  <si>
    <t xml:space="preserve">Housing </t>
  </si>
  <si>
    <t xml:space="preserve">LA services </t>
  </si>
  <si>
    <t xml:space="preserve">Police </t>
  </si>
  <si>
    <t xml:space="preserve">Other legal agency </t>
  </si>
  <si>
    <t xml:space="preserve">Other </t>
  </si>
  <si>
    <t xml:space="preserve">Anonymous </t>
  </si>
  <si>
    <t xml:space="preserve">Unknown </t>
  </si>
  <si>
    <t>Re-Referrals</t>
  </si>
  <si>
    <t>CSC Single Assessments Authorised within: 10 days</t>
  </si>
  <si>
    <t>CSC Single Assessments Authorised within: Over 45 days</t>
  </si>
  <si>
    <t>CIN</t>
  </si>
  <si>
    <t>Initial CP conferences</t>
  </si>
  <si>
    <t>% of Initial CP Conferences held within 15 days of the Section 47 Enquiry which led to the conference</t>
  </si>
  <si>
    <t>% who had been the subject of a plan for at least 3 months and had reviews carried out within timescales</t>
  </si>
  <si>
    <t>% of Children who ceased to be the subject of a CP Plan  who had been the subject of a Plan for 2 years or more</t>
  </si>
  <si>
    <t>Children Looked After for more than 2.5 years living in the same placement for at least 2 years</t>
  </si>
  <si>
    <t>% Children ceasing to be Looked After in year who were Adopted</t>
  </si>
  <si>
    <t>mid-2017</t>
  </si>
  <si>
    <t>Percentage of Referrals with prior Early Help Intervention 
(in the last 12 months)</t>
  </si>
  <si>
    <t>Number of Referrals with Prior EH</t>
  </si>
  <si>
    <t xml:space="preserve">Number of Referrals with prior Early Help Intervention
</t>
  </si>
  <si>
    <t>Children ceasing to be Looked After in year who were granted SGO (%)</t>
  </si>
  <si>
    <t>Children ceasing to be Looked After in year who were granted CAO (%)</t>
  </si>
  <si>
    <t>Number of completed Early Help Assessments leading to:</t>
  </si>
  <si>
    <t>Number of Referrals to CSC received from:</t>
  </si>
  <si>
    <t>Number of CSC Single Assessments Authorised within:</t>
  </si>
  <si>
    <t>Year2_EarlyHelpReferrals</t>
  </si>
  <si>
    <t>Year2_EarlyHelpReferralsSTEPDOWN</t>
  </si>
  <si>
    <t>Year2_EarlyHelpReferralsOntoASSESSMENT</t>
  </si>
  <si>
    <t>Year2_EarlyHelpReReferrals</t>
  </si>
  <si>
    <t>Year2_EarlyHelpAssessments</t>
  </si>
  <si>
    <t>Year2_EarlyHelpAssessmentsOngoing</t>
  </si>
  <si>
    <t>Year2_EarlyHelpAssessmentsStepUp</t>
  </si>
  <si>
    <t>Year2_EarlyHelpedChildren</t>
  </si>
  <si>
    <t>Year2_Referrals</t>
  </si>
  <si>
    <t>Year2_ReferralsPriorEH</t>
  </si>
  <si>
    <t>Year2_ReferralsAssessment</t>
  </si>
  <si>
    <t>Year2_ReferralSource_Individual_Family</t>
  </si>
  <si>
    <t>Year2_ReferralSource_Individual_Acquaintance</t>
  </si>
  <si>
    <t>Year2_ReferralSource_Individual_Self</t>
  </si>
  <si>
    <t>Year2_ReferralSource_Individual_Other</t>
  </si>
  <si>
    <t>Year2_ReferralSource_School</t>
  </si>
  <si>
    <t>Year2_ReferralSource_EducationServices</t>
  </si>
  <si>
    <t>Year2_ReferralSource_Health_services_GP</t>
  </si>
  <si>
    <t>Year2_ReferralSource_Health_services_HealthVisitor</t>
  </si>
  <si>
    <t>Year2_ReferralSource_Health_services_SchoolNurse</t>
  </si>
  <si>
    <t>Year2_ReferralSource_Health_services_OthPrimary</t>
  </si>
  <si>
    <t>Year2_ReferralSource_Health_services_AE</t>
  </si>
  <si>
    <t>Year2_ReferralSource_Health_services_Other</t>
  </si>
  <si>
    <t>Year2_ReferralSource_Housing</t>
  </si>
  <si>
    <t>Year2_ReferralSource_LA_SC</t>
  </si>
  <si>
    <t>Year2_ReferralSource_LA_Other</t>
  </si>
  <si>
    <t>Year2_ReferralSource_LA_External</t>
  </si>
  <si>
    <t>Year2_ReferralSource_Police</t>
  </si>
  <si>
    <t>Year2_ReferralSource_Other_Legal</t>
  </si>
  <si>
    <t>Year2_ReferralSource_Other</t>
  </si>
  <si>
    <t>Year2_ReferralSource_Anonymous</t>
  </si>
  <si>
    <t>Year2_ReferralSource_Unknown</t>
  </si>
  <si>
    <t>Year2_ReReferrals</t>
  </si>
  <si>
    <t>Year2_Assessments</t>
  </si>
  <si>
    <t>Year2_Assessments_10days</t>
  </si>
  <si>
    <t>Year2_Assessments_over_45days</t>
  </si>
  <si>
    <t>Year2_Assessments_step_down</t>
  </si>
  <si>
    <t>Year2_Assessments_No_further_action</t>
  </si>
  <si>
    <t>Year2_CIN</t>
  </si>
  <si>
    <t>Year2_CIN_Section47</t>
  </si>
  <si>
    <t>Year2_CP_Conference</t>
  </si>
  <si>
    <t>Year2_CP_Conference_within15days</t>
  </si>
  <si>
    <t>Year2_CP_Plans</t>
  </si>
  <si>
    <t>Year2_CP_Plans_3months</t>
  </si>
  <si>
    <t>Year2_CP_Plans_3months_timescales</t>
  </si>
  <si>
    <t>Year2_CP_Plans_ceased</t>
  </si>
  <si>
    <t>Year2_CP_Plans_ceased_2years</t>
  </si>
  <si>
    <t>Year2_CP_Plans_became_subject</t>
  </si>
  <si>
    <t>Year2_CP_Plans_became_subject_second</t>
  </si>
  <si>
    <t>Year2_CP_Plans_became_subject_second_2years</t>
  </si>
  <si>
    <t>Year2_LAC</t>
  </si>
  <si>
    <t>Year2_LAC_under16</t>
  </si>
  <si>
    <t>Year2_LAC_under16_2.5years</t>
  </si>
  <si>
    <t>Year2_LAC_under16_2.5years_sameplacement2years</t>
  </si>
  <si>
    <t>Year2_Adoption_ceased_LAC</t>
  </si>
  <si>
    <t>Year2_Adoption_LAC_Adopted</t>
  </si>
  <si>
    <t>Year2_Adoption_LAC_Adopted_days</t>
  </si>
  <si>
    <t>Year2_Adoption_LAC_Adopted_placed_with_12months</t>
  </si>
  <si>
    <t>Year2_CAO_RO_Total</t>
  </si>
  <si>
    <t>Year2_SGO_total</t>
  </si>
  <si>
    <t>Year2_Assessments_within45days</t>
  </si>
  <si>
    <t>Year2_Continuous_assessments</t>
  </si>
  <si>
    <t>Year3_EarlyHelpReferrals</t>
  </si>
  <si>
    <t>Year3_EarlyHelpReferralsSTEPDOWN</t>
  </si>
  <si>
    <t>Year3_EarlyHelpReferralsOntoASSESSMENT</t>
  </si>
  <si>
    <t>Year3_EarlyHelpReReferrals</t>
  </si>
  <si>
    <t>Year3_EarlyHelpAssessments</t>
  </si>
  <si>
    <t>Year3_EarlyHelpAssessmentsOngoing</t>
  </si>
  <si>
    <t>Year3_EarlyHelpAssessmentsStepUp</t>
  </si>
  <si>
    <t>Year3_EarlyHelpedChildren</t>
  </si>
  <si>
    <t>Year3_Referrals</t>
  </si>
  <si>
    <t>Year3_ReferralsPriorEH</t>
  </si>
  <si>
    <t>Year3_ReferralsAssessment</t>
  </si>
  <si>
    <t>Year3_ReferralSource_Individual_Family</t>
  </si>
  <si>
    <t>Year3_ReferralSource_Individual_Acquaintance</t>
  </si>
  <si>
    <t>Year3_ReferralSource_Individual_Self</t>
  </si>
  <si>
    <t>Year3_ReferralSource_Individual_Other</t>
  </si>
  <si>
    <t>Year3_ReferralSource_School</t>
  </si>
  <si>
    <t>Year3_ReferralSource_EducationServices</t>
  </si>
  <si>
    <t>Year3_ReferralSource_Health_services_GP</t>
  </si>
  <si>
    <t>Year3_ReferralSource_Health_services_HealthVisitor</t>
  </si>
  <si>
    <t>Year3_ReferralSource_Health_services_SchoolNurse</t>
  </si>
  <si>
    <t>Year3_ReferralSource_Health_services_OthPrimary</t>
  </si>
  <si>
    <t>Year3_ReferralSource_Health_services_AE</t>
  </si>
  <si>
    <t>Year3_ReferralSource_Health_services_Other</t>
  </si>
  <si>
    <t>Year3_ReferralSource_Housing</t>
  </si>
  <si>
    <t>Year3_ReferralSource_LA_SC</t>
  </si>
  <si>
    <t>Year3_ReferralSource_LA_Other</t>
  </si>
  <si>
    <t>Year3_ReferralSource_LA_External</t>
  </si>
  <si>
    <t>Year3_ReferralSource_Police</t>
  </si>
  <si>
    <t>Year3_ReferralSource_Other_Legal</t>
  </si>
  <si>
    <t>Year3_ReferralSource_Other</t>
  </si>
  <si>
    <t>Year3_ReferralSource_Anonymous</t>
  </si>
  <si>
    <t>Year3_ReferralSource_Unknown</t>
  </si>
  <si>
    <t>Year3_ReReferrals</t>
  </si>
  <si>
    <t>Year3_Assessments</t>
  </si>
  <si>
    <t>Year3_Assessments_10days</t>
  </si>
  <si>
    <t>Year3_Assessments_over_45days</t>
  </si>
  <si>
    <t>Year3_Assessments_step_down</t>
  </si>
  <si>
    <t>Year3_Assessments_No_further_action</t>
  </si>
  <si>
    <t>Year3_CIN</t>
  </si>
  <si>
    <t>Year3_CIN_Section47</t>
  </si>
  <si>
    <t>Year3_CP_Conference</t>
  </si>
  <si>
    <t>Year3_CP_Conference_within15days</t>
  </si>
  <si>
    <t>Year3_CP_Plans</t>
  </si>
  <si>
    <t>Year3_CP_Plans_3months</t>
  </si>
  <si>
    <t>Year3_CP_Plans_3months_timescales</t>
  </si>
  <si>
    <t>Year3_CP_Plans_ceased</t>
  </si>
  <si>
    <t>Year3_CP_Plans_ceased_2years</t>
  </si>
  <si>
    <t>Year3_CP_Plans_became_subject</t>
  </si>
  <si>
    <t>Year3_CP_Plans_became_subject_second</t>
  </si>
  <si>
    <t>Year3_CP_Plans_became_subject_second_2years</t>
  </si>
  <si>
    <t>Year3_LAC</t>
  </si>
  <si>
    <t>Year3_LAC_under16</t>
  </si>
  <si>
    <t>Year3_LAC_under16_2.5years</t>
  </si>
  <si>
    <t>Year3_LAC_under16_2.5years_sameplacement2years</t>
  </si>
  <si>
    <t>Year3_Adoption_ceased_LAC</t>
  </si>
  <si>
    <t>Year3_Adoption_LAC_Adopted</t>
  </si>
  <si>
    <t>Year3_Adoption_LAC_Adopted_days</t>
  </si>
  <si>
    <t>Year3_Adoption_LAC_Adopted_placed_with_12months</t>
  </si>
  <si>
    <t>Year3_CAO_RO_Total</t>
  </si>
  <si>
    <t>Year3_SGO_total</t>
  </si>
  <si>
    <t>Year3_Assessments_within45days</t>
  </si>
  <si>
    <t>Year3_Continuous_assessments</t>
  </si>
  <si>
    <t>Year4_EarlyHelpReferrals</t>
  </si>
  <si>
    <t>Year4_EarlyHelpReferralsSTEPDOWN</t>
  </si>
  <si>
    <t>Year4_EarlyHelpReferralsOntoASSESSMENT</t>
  </si>
  <si>
    <t>Year4_EarlyHelpReReferrals</t>
  </si>
  <si>
    <t>Year4_EarlyHelpAssessments</t>
  </si>
  <si>
    <t>Year4_EarlyHelpAssessmentsOngoing</t>
  </si>
  <si>
    <t>Year4_EarlyHelpAssessmentsStepUp</t>
  </si>
  <si>
    <t>Year4_EarlyHelpedChildren</t>
  </si>
  <si>
    <t>Year4_Referrals</t>
  </si>
  <si>
    <t>Year4_ReferralsPriorEH</t>
  </si>
  <si>
    <t>Year4_ReferralsAssessment</t>
  </si>
  <si>
    <t>Year4_ReferralSource_Individual_Family</t>
  </si>
  <si>
    <t>Year4_ReferralSource_Individual_Acquaintance</t>
  </si>
  <si>
    <t>Year4_ReferralSource_Individual_Self</t>
  </si>
  <si>
    <t>Year4_ReferralSource_Individual_Other</t>
  </si>
  <si>
    <t>Year4_ReferralSource_School</t>
  </si>
  <si>
    <t>Year4_ReferralSource_EducationServices</t>
  </si>
  <si>
    <t>Year4_ReferralSource_Health_services_GP</t>
  </si>
  <si>
    <t>Year4_ReferralSource_Health_services_HealthVisitor</t>
  </si>
  <si>
    <t>Year4_ReferralSource_Health_services_SchoolNurse</t>
  </si>
  <si>
    <t>Year4_ReferralSource_Health_services_OthPrimary</t>
  </si>
  <si>
    <t>Year4_ReferralSource_Health_services_AE</t>
  </si>
  <si>
    <t>Year4_ReferralSource_Health_services_Other</t>
  </si>
  <si>
    <t>Year4_ReferralSource_Housing</t>
  </si>
  <si>
    <t>Year4_ReferralSource_LA_SC</t>
  </si>
  <si>
    <t>Year4_ReferralSource_LA_Other</t>
  </si>
  <si>
    <t>Year4_ReferralSource_LA_External</t>
  </si>
  <si>
    <t>Year4_ReferralSource_Police</t>
  </si>
  <si>
    <t>Year4_ReferralSource_Other_Legal</t>
  </si>
  <si>
    <t>Year4_ReferralSource_Other</t>
  </si>
  <si>
    <t>Year4_ReferralSource_Anonymous</t>
  </si>
  <si>
    <t>Year4_ReferralSource_Unknown</t>
  </si>
  <si>
    <t>Year4_ReReferrals</t>
  </si>
  <si>
    <t>Year4_Assessments</t>
  </si>
  <si>
    <t>Year4_Assessments_10days</t>
  </si>
  <si>
    <t>Year4_Assessments_over_45days</t>
  </si>
  <si>
    <t>Year4_Assessments_step_down</t>
  </si>
  <si>
    <t>Year4_Assessments_No_further_action</t>
  </si>
  <si>
    <t>Year4_CIN</t>
  </si>
  <si>
    <t>Year4_CIN_Section47</t>
  </si>
  <si>
    <t>Year4_CP_Conference</t>
  </si>
  <si>
    <t>Year4_CP_Conference_within15days</t>
  </si>
  <si>
    <t>Year4_CP_Plans</t>
  </si>
  <si>
    <t>Year4_CP_Plans_3months</t>
  </si>
  <si>
    <t>Year4_CP_Plans_3months_timescales</t>
  </si>
  <si>
    <t>Year4_CP_Plans_ceased</t>
  </si>
  <si>
    <t>Year4_CP_Plans_ceased_2years</t>
  </si>
  <si>
    <t>Year4_CP_Plans_became_subject</t>
  </si>
  <si>
    <t>Year4_CP_Plans_became_subject_second</t>
  </si>
  <si>
    <t>Year4_CP_Plans_became_subject_second_2years</t>
  </si>
  <si>
    <t>Year4_LAC</t>
  </si>
  <si>
    <t>Year4_LAC_under16</t>
  </si>
  <si>
    <t>Year4_LAC_under16_2.5years</t>
  </si>
  <si>
    <t>Year4_LAC_under16_2.5years_sameplacement2years</t>
  </si>
  <si>
    <t>Year4_Adoption_ceased_LAC</t>
  </si>
  <si>
    <t>Year4_Adoption_LAC_Adopted</t>
  </si>
  <si>
    <t>Year4_Adoption_LAC_Adopted_days</t>
  </si>
  <si>
    <t>Year4_Adoption_LAC_Adopted_placed_with_12months</t>
  </si>
  <si>
    <t>Year4_CAO_RO_Total</t>
  </si>
  <si>
    <t>Year4_SGO_total</t>
  </si>
  <si>
    <t>Year4_Assessments_within45days</t>
  </si>
  <si>
    <t>Year4_Continuous_assessments</t>
  </si>
  <si>
    <t>Year5_Contacts</t>
  </si>
  <si>
    <t>Year5_EarlyHelpReferrals</t>
  </si>
  <si>
    <t>Year5_EarlyHelpReferralsSTEPDOWN</t>
  </si>
  <si>
    <t>Year5_EarlyHelpReferralsOntoASSESSMENT</t>
  </si>
  <si>
    <t>Year5_EarlyHelpReReferrals</t>
  </si>
  <si>
    <t>Year5_EarlyHelpAssessments</t>
  </si>
  <si>
    <t>Year5_EarlyHelpAssessmentsOngoing</t>
  </si>
  <si>
    <t>Year5_EarlyHelpAssessmentsStepUp</t>
  </si>
  <si>
    <t>Year5_EarlyHelpedChildren</t>
  </si>
  <si>
    <t>Year5_Referrals</t>
  </si>
  <si>
    <t>Year5_ReferralsPriorEH</t>
  </si>
  <si>
    <t>Year5_ReferralsAssessment</t>
  </si>
  <si>
    <t>Year5_ReferralSource_Individual_Family</t>
  </si>
  <si>
    <t>Year5_ReferralSource_Individual_Acquaintance</t>
  </si>
  <si>
    <t>Year5_ReferralSource_Individual_Self</t>
  </si>
  <si>
    <t>Year5_ReferralSource_Individual_Other</t>
  </si>
  <si>
    <t>Year5_ReferralSource_School</t>
  </si>
  <si>
    <t>Year5_ReferralSource_EducationServices</t>
  </si>
  <si>
    <t>Year5_ReferralSource_Health_services_GP</t>
  </si>
  <si>
    <t>Year5_ReferralSource_Health_services_HealthVisitor</t>
  </si>
  <si>
    <t>Year5_ReferralSource_Health_services_SchoolNurse</t>
  </si>
  <si>
    <t>Year5_ReferralSource_Health_services_OthPrimary</t>
  </si>
  <si>
    <t>Year5_ReferralSource_Health_services_AE</t>
  </si>
  <si>
    <t>Year5_ReferralSource_Health_services_Other</t>
  </si>
  <si>
    <t>Year5_ReferralSource_Housing</t>
  </si>
  <si>
    <t>Year5_ReferralSource_LA_SC</t>
  </si>
  <si>
    <t>Year5_ReferralSource_LA_Other</t>
  </si>
  <si>
    <t>Year5_ReferralSource_LA_External</t>
  </si>
  <si>
    <t>Year5_ReferralSource_Police</t>
  </si>
  <si>
    <t>Year5_ReferralSource_Other_Legal</t>
  </si>
  <si>
    <t>Year5_ReferralSource_Other</t>
  </si>
  <si>
    <t>Year5_ReferralSource_Anonymous</t>
  </si>
  <si>
    <t>Year5_ReferralSource_Unknown</t>
  </si>
  <si>
    <t>Year5_ReReferrals</t>
  </si>
  <si>
    <t>Year5_Assessments</t>
  </si>
  <si>
    <t>Year5_Assessments_10days</t>
  </si>
  <si>
    <t>Year5_Assessments_over_45days</t>
  </si>
  <si>
    <t>Year5_Assessments_step_down</t>
  </si>
  <si>
    <t>Year5_Assessments_No_further_action</t>
  </si>
  <si>
    <t>Year5_CIN</t>
  </si>
  <si>
    <t>Year5_CIN_Section47</t>
  </si>
  <si>
    <t>Year5_CP_Conference</t>
  </si>
  <si>
    <t>Year5_CP_Conference_within15days</t>
  </si>
  <si>
    <t>Year5_CP_Plans</t>
  </si>
  <si>
    <t>Year5_CP_Plans_3months</t>
  </si>
  <si>
    <t>Year5_CP_Plans_3months_timescales</t>
  </si>
  <si>
    <t>Year5_CP_Plans_ceased</t>
  </si>
  <si>
    <t>Year5_CP_Plans_ceased_2years</t>
  </si>
  <si>
    <t>Year5_CP_Plans_became_subject</t>
  </si>
  <si>
    <t>Year5_CP_Plans_became_subject_second</t>
  </si>
  <si>
    <t>Year5_CP_Plans_became_subject_second_2years</t>
  </si>
  <si>
    <t>Year5_LAC</t>
  </si>
  <si>
    <t>Year5_LAC_under16</t>
  </si>
  <si>
    <t>Year5_LAC_under16_2.5years</t>
  </si>
  <si>
    <t>Year5_LAC_under16_2.5years_sameplacement2years</t>
  </si>
  <si>
    <t>Year5_LAC_3_or_more_Placements</t>
  </si>
  <si>
    <t>Year5_LAC_Start</t>
  </si>
  <si>
    <t>Year5_LAC_Start_2nd_time</t>
  </si>
  <si>
    <t>Year5_LAC_Remanded</t>
  </si>
  <si>
    <t>Year5_Adoption_ceased_LAC</t>
  </si>
  <si>
    <t>Year5_Adoption_LAC_Adopted</t>
  </si>
  <si>
    <t>Year5_Adoption_LAC_Adopted_days</t>
  </si>
  <si>
    <t>Year5_Adoption_LAC_Adopted_placed_with_12months</t>
  </si>
  <si>
    <t>Year5_Care_Leavers_at_end_of_period</t>
  </si>
  <si>
    <t>Year5_Care_Leavers_in_touch</t>
  </si>
  <si>
    <t>Year5_Care_Leavers_in_suitable_accommodation</t>
  </si>
  <si>
    <t>Year5_Care_Leavers_in_EET</t>
  </si>
  <si>
    <t>Year5_CAO_RO_Total</t>
  </si>
  <si>
    <t>Year5_SGO_total</t>
  </si>
  <si>
    <t>Year5_Number_EHC_Plans</t>
  </si>
  <si>
    <t>Year5_New_EHC _within_20_weeks</t>
  </si>
  <si>
    <t>Year5_First_Time_Entrants_to_Youth_Justice_system</t>
  </si>
  <si>
    <t>Year5_Children_missing_Education</t>
  </si>
  <si>
    <t>Year5_ electively_home_educated</t>
  </si>
  <si>
    <t>Year5_Assessments_within45days</t>
  </si>
  <si>
    <t>Year5_Continuous_assessments</t>
  </si>
  <si>
    <t>Year5_LAC_UASC</t>
  </si>
  <si>
    <t>SouthEast</t>
  </si>
  <si>
    <t>Number of Assessments completed within 45 days</t>
  </si>
  <si>
    <t>Number of Continuous Assessments Completed</t>
  </si>
  <si>
    <t>Year2_Number_EHC_Plans</t>
  </si>
  <si>
    <t>Year2_New_EHC _within_20_weeks</t>
  </si>
  <si>
    <t>Year2_First_Time_Entrants_to_Youth_Justice_system</t>
  </si>
  <si>
    <t>Year2_Children_missing_Education</t>
  </si>
  <si>
    <t>Year2_ electively_home_educated</t>
  </si>
  <si>
    <t>Year2_Care_Leavers_at_end_of_period</t>
  </si>
  <si>
    <t>Year2_Care_Leavers_in_touch</t>
  </si>
  <si>
    <t>Year2_Care_Leavers_in_suitable_accommodation</t>
  </si>
  <si>
    <t>Year2_Care_Leavers_in_EET</t>
  </si>
  <si>
    <t>Year2_LAC_3_or_more_Placements</t>
  </si>
  <si>
    <t>Year2_LAC_Start</t>
  </si>
  <si>
    <t>Year2_LAC_Start_2nd_time</t>
  </si>
  <si>
    <t>Year2_LAC_Remanded</t>
  </si>
  <si>
    <t>Year2_CP_Plans_Seen_in_Timescales</t>
  </si>
  <si>
    <t>Year2_Contacts</t>
  </si>
  <si>
    <t>Year3_Number_EHC_Plans</t>
  </si>
  <si>
    <t>Year3_New_EHC _within_20_weeks</t>
  </si>
  <si>
    <t>Year3_First_Time_Entrants_to_Youth_Justice_system</t>
  </si>
  <si>
    <t>Year3_Children_missing_Education</t>
  </si>
  <si>
    <t>Year3_ electively_home_educated</t>
  </si>
  <si>
    <t>Year3_Care_Leavers_at_end_of_period</t>
  </si>
  <si>
    <t>Year3_Care_Leavers_in_touch</t>
  </si>
  <si>
    <t>Year3_Care_Leavers_in_suitable_accommodation</t>
  </si>
  <si>
    <t>Year3_Care_Leavers_in_EET</t>
  </si>
  <si>
    <t>Year3_LAC_3_or_more_Placements</t>
  </si>
  <si>
    <t>Year3_LAC_Start</t>
  </si>
  <si>
    <t>Year3_LAC_Start_2nd_time</t>
  </si>
  <si>
    <t>Year3_LAC_Remanded</t>
  </si>
  <si>
    <t>Year3_CP_Plans_Seen_in_Timescales</t>
  </si>
  <si>
    <t>Year3_Contacts</t>
  </si>
  <si>
    <t>Year4_New_EHC _within_20_weeks</t>
  </si>
  <si>
    <t>Year4_First_Time_Entrants_to_Youth_Justice_system</t>
  </si>
  <si>
    <t>Year4_Children_missing_Education</t>
  </si>
  <si>
    <t>Year4_ electively_home_educated</t>
  </si>
  <si>
    <t>Year4_Number_EHC_Plans</t>
  </si>
  <si>
    <t>Year4_Care_Leavers_at_end_of_period</t>
  </si>
  <si>
    <t>Year4_Care_Leavers_in_touch</t>
  </si>
  <si>
    <t>Year4_Care_Leavers_in_suitable_accommodation</t>
  </si>
  <si>
    <t>Year4_Care_Leavers_in_EET</t>
  </si>
  <si>
    <t>Year4_LAC_3_or_more_Placements</t>
  </si>
  <si>
    <t>Year4_LAC_Start</t>
  </si>
  <si>
    <t>Year4_LAC_Start_2nd_time</t>
  </si>
  <si>
    <t>Year4_LAC_Remanded</t>
  </si>
  <si>
    <t>Year4_CP_Plans_Seen_in_Timescales</t>
  </si>
  <si>
    <t>Year4_Contacts</t>
  </si>
  <si>
    <t>C.</t>
  </si>
  <si>
    <t>2016-17</t>
  </si>
  <si>
    <t>2015-16</t>
  </si>
  <si>
    <t>Year2_LAC_4weeks</t>
  </si>
  <si>
    <t>Year2_LAC_4weeks_reviews_in_timescales</t>
  </si>
  <si>
    <t>Year3_LAC_4weeks</t>
  </si>
  <si>
    <t>Year3_LAC_4weeks_reviews_in_timescales</t>
  </si>
  <si>
    <t>Year4_LAC_4weeks</t>
  </si>
  <si>
    <t>Year4_LAC_4weeks_reviews_in_timescales</t>
  </si>
  <si>
    <t>Year5_LAC_4weeks</t>
  </si>
  <si>
    <t>Year5_LAC_4weeks_reviews_in_timescales</t>
  </si>
  <si>
    <t>Year2_LAC_UASC</t>
  </si>
  <si>
    <t>Year3_LAC_UASC</t>
  </si>
  <si>
    <t>Year4_LAC_UASC</t>
  </si>
  <si>
    <t>Year2_LAC_Under1</t>
  </si>
  <si>
    <t>Year2_LAC_1to4</t>
  </si>
  <si>
    <t>Year2_LAC_5to9</t>
  </si>
  <si>
    <t>Year2_LAC_10to15</t>
  </si>
  <si>
    <t>Year2_LAC_16plus</t>
  </si>
  <si>
    <t>Year3_LAC_Under1</t>
  </si>
  <si>
    <t>Year3_LAC_1to4</t>
  </si>
  <si>
    <t>Year3_LAC_5to9</t>
  </si>
  <si>
    <t>Year3_LAC_10to15</t>
  </si>
  <si>
    <t>Year3_LAC_16plus</t>
  </si>
  <si>
    <t>Year4_LAC_Under1</t>
  </si>
  <si>
    <t>Year4_LAC_1to4</t>
  </si>
  <si>
    <t>Year4_LAC_5to9</t>
  </si>
  <si>
    <t>Year4_LAC_10to15</t>
  </si>
  <si>
    <t>Year4_LAC_16plus</t>
  </si>
  <si>
    <t>Year5_LAC_Under1</t>
  </si>
  <si>
    <t>Year5_LAC_1to4</t>
  </si>
  <si>
    <t>Year5_LAC_5to9</t>
  </si>
  <si>
    <t>Year5_LAC_10to15</t>
  </si>
  <si>
    <t>Year5_LAC_16plus</t>
  </si>
  <si>
    <t>Year2_Adoption_PFA</t>
  </si>
  <si>
    <t>Year3_Adoption_PFA</t>
  </si>
  <si>
    <t>Year4_Adoption_PFA</t>
  </si>
  <si>
    <t>Year5_Adoption_PFA</t>
  </si>
  <si>
    <t>Year5_ROSGO_ceased_LAC_CAO</t>
  </si>
  <si>
    <t>Year5_ROSGO_ceased_LAC_SGO</t>
  </si>
  <si>
    <t>Year4_ROSGO_ceased_LAC_CAO</t>
  </si>
  <si>
    <t>Year4_ROSGO_ceased_LAC_SGO</t>
  </si>
  <si>
    <t>Year3_ROSGO_ceased_LAC_CAO</t>
  </si>
  <si>
    <t>Year3_ROSGO_ceased_LAC_SGO</t>
  </si>
  <si>
    <t>Year2_ROSGO_ceased_LAC_CAO</t>
  </si>
  <si>
    <t>Year2_ROSGO_ceased_LAC_SGO</t>
  </si>
  <si>
    <t>Year5_CP_Plans_Seen_in_Timescales</t>
  </si>
  <si>
    <t>11-20 Days</t>
  </si>
  <si>
    <t>21-30 Days</t>
  </si>
  <si>
    <t>31-45 Days</t>
  </si>
  <si>
    <t>As reported in CIN Census- Referrals Not resulting in 'No Further Action'</t>
  </si>
  <si>
    <t>% LAC ceasing in year to CAO</t>
  </si>
  <si>
    <t>% LAC ceasing in year to SGO</t>
  </si>
  <si>
    <t>Rates for each contact source group (for home page)</t>
  </si>
  <si>
    <t>Bracknell_Forest</t>
  </si>
  <si>
    <t>Brighton_Hove</t>
  </si>
  <si>
    <t>East_Sussex</t>
  </si>
  <si>
    <t>Isle_of_Wight</t>
  </si>
  <si>
    <t>Milton_Keynes</t>
  </si>
  <si>
    <t>West_Berkshire</t>
  </si>
  <si>
    <t>West_Sussex</t>
  </si>
  <si>
    <t>Windsor_Maidenhead</t>
  </si>
  <si>
    <t>Please click the icon below to go to the home page:</t>
  </si>
  <si>
    <t>You can now toggle LA's on and off the charts by using the tick boxes on each page- this will only affect the active section.</t>
  </si>
  <si>
    <t>r-squared values are now included on the vs. IDACI charts.</t>
  </si>
  <si>
    <t xml:space="preserve">If you have any queries regarding this report please contact:  </t>
  </si>
  <si>
    <t xml:space="preserve">Joe Cornford-Hutchings (Information Analyst) </t>
  </si>
  <si>
    <t>or</t>
  </si>
  <si>
    <t>Throughout this report 'South East' refers to the combined figures for South East LA's who have provided data. Where the IDACI score for the South East is shown, this will have been re-calculated to include only those LA's who have provided data for the indicator shown. Therefore the South East IDACI score may vary throughout the report.</t>
  </si>
  <si>
    <t>You can click the                          icons to navigate through the document - there are also links from the homepage to each section.</t>
  </si>
  <si>
    <t>Year4_Assessments_11_20days</t>
  </si>
  <si>
    <t>Year4_Assessments_21_30days</t>
  </si>
  <si>
    <t>Year4_Assessments_31_45days</t>
  </si>
  <si>
    <t>Year5_Assessments_11_20days</t>
  </si>
  <si>
    <t>Year5_Assessments_21_30days</t>
  </si>
  <si>
    <t>Year5_Assessments_31_45days</t>
  </si>
  <si>
    <t>Year3_Assessments_11_20days</t>
  </si>
  <si>
    <t>Year3_Assessments_21_30days</t>
  </si>
  <si>
    <t>Year3_Assessments_31_45days</t>
  </si>
  <si>
    <t>Year2_Assessments_11_20days</t>
  </si>
  <si>
    <t>Year2_Assessments_21_30days</t>
  </si>
  <si>
    <t>Year2_Assessments_31_45days</t>
  </si>
  <si>
    <t>% Children becoming the subject of a CP Plan for a Second or Subsequent time</t>
  </si>
  <si>
    <t>Referral Source 
(% of total Referrals)</t>
  </si>
  <si>
    <t>Where heat mapping is used to colour the tables below, this is done for each indicator (i.e. in rows) and higher values are represented by darker colour.</t>
  </si>
  <si>
    <t>Child Arrangement &amp; Special Guardianship Orders</t>
  </si>
  <si>
    <t>Annual</t>
  </si>
  <si>
    <t>Annual1</t>
  </si>
  <si>
    <t>Annual2</t>
  </si>
  <si>
    <t>Quarterly1</t>
  </si>
  <si>
    <t>Quarterly2</t>
  </si>
  <si>
    <t>Annual or Quarterly?</t>
  </si>
  <si>
    <t>Quarterly</t>
  </si>
  <si>
    <t>2018-19</t>
  </si>
  <si>
    <t>Q2</t>
  </si>
  <si>
    <t>Q3</t>
  </si>
  <si>
    <t>Q4</t>
  </si>
  <si>
    <t>Q1</t>
  </si>
  <si>
    <t>Select either Annual or Quarterly in the yellow box above.</t>
  </si>
  <si>
    <t>Enter the report table headings in the green boxes below:</t>
  </si>
  <si>
    <t>Most Recent IDACI Expected Calculation:</t>
  </si>
  <si>
    <t>Contacts</t>
  </si>
  <si>
    <t>Proportion of Contacts progressing to Social Care Referral</t>
  </si>
  <si>
    <t>LA:</t>
  </si>
  <si>
    <t>South East LA's</t>
  </si>
  <si>
    <t>All LA's</t>
  </si>
  <si>
    <t>https://www.myonlinetraininghub.com/excel-remove-blank-cells-from-a-range</t>
  </si>
  <si>
    <t>https://www.myonlinetraininghub.com/excel-ignore-blanks-in-data-validation-list</t>
  </si>
  <si>
    <t>Children subject of a CP Plan at 31 March, who had been the subject of a Plan for 2 years or longer</t>
  </si>
  <si>
    <t>Care Leavers</t>
  </si>
  <si>
    <t>Number of Care Leavers Aged 19-21 at the last day in quarter</t>
  </si>
  <si>
    <t>Proportion of Care leavers aged 19-21 who were 'In Touch'</t>
  </si>
  <si>
    <t>Proportion of Care Leavers aged 19-21 in Suitable Accommodation</t>
  </si>
  <si>
    <t>Young People aged 16-17 who are NEET</t>
  </si>
  <si>
    <t>Young People aged 16-17 whose current activity is Unknown</t>
  </si>
  <si>
    <t>Offending</t>
  </si>
  <si>
    <t>Education, Health &amp; Care (EHC) Plans</t>
  </si>
  <si>
    <t>Number of New EHC Plans Issued in period</t>
  </si>
  <si>
    <t>Avg. Annual/ Quarterly Change</t>
  </si>
  <si>
    <t>Period 1-2</t>
  </si>
  <si>
    <t>Period 2-3</t>
  </si>
  <si>
    <t>Period 3-4</t>
  </si>
  <si>
    <t>Period 4-5</t>
  </si>
  <si>
    <t>Average</t>
  </si>
  <si>
    <t xml:space="preserve">LA's with * are the Statistical Neighbours of the Selected LA
</t>
  </si>
  <si>
    <t>Annualised figures for quarterly distance from IDACI</t>
  </si>
  <si>
    <t>Period 2</t>
  </si>
  <si>
    <t>Period 3</t>
  </si>
  <si>
    <t>Period 4</t>
  </si>
  <si>
    <t>Period 5</t>
  </si>
  <si>
    <t>Sum</t>
  </si>
  <si>
    <t>BlankCount</t>
  </si>
  <si>
    <t>Annualised</t>
  </si>
  <si>
    <t>Number of Initial CP Conferences as a percentage of Section 47 Enquiries</t>
  </si>
  <si>
    <t>Initial CP Conferences held within 15 days of the 
Section 47 Enquiry which led to the Conference</t>
  </si>
  <si>
    <t>Children who had been subject to a plan for 2 years or longer</t>
  </si>
  <si>
    <t>Year5_CP_Plans_2years</t>
  </si>
  <si>
    <t>Year2_CP_Plans_2years</t>
  </si>
  <si>
    <t>Year3_CP_Plans_2years</t>
  </si>
  <si>
    <t>Year4_CP_Plans_2years</t>
  </si>
  <si>
    <t>Ceased 2 yr+</t>
  </si>
  <si>
    <t>Subject to a Plan for 2 yr+</t>
  </si>
  <si>
    <t>Seen within Timescales</t>
  </si>
  <si>
    <t>Denominator- set as current CP Plans for now</t>
  </si>
  <si>
    <t>Of those, the number who had been seen in timescales</t>
  </si>
  <si>
    <t>Children starting to be Looked After during the period who were Remanded into Local Authority Care (%)</t>
  </si>
  <si>
    <t>LAC Second time in 12 months</t>
  </si>
  <si>
    <t>Remanded</t>
  </si>
  <si>
    <t>New LAC who were Remanded into LA Care</t>
  </si>
  <si>
    <t>Rate per 10000 19-21 Year Olds</t>
  </si>
  <si>
    <t>0-17 Population Estimates</t>
  </si>
  <si>
    <t>Report:</t>
  </si>
  <si>
    <t>Reporting Period</t>
  </si>
  <si>
    <t>Population Estimate 
Used to Calculate 
Rates</t>
  </si>
  <si>
    <t>19-21 year old Population Estimates (rounded)</t>
  </si>
  <si>
    <t>0-25 year old Population Estimates 
(rounded)</t>
  </si>
  <si>
    <t>0-17 year old Population Estimates 
(rounded)</t>
  </si>
  <si>
    <t>0-17</t>
  </si>
  <si>
    <t>0-25</t>
  </si>
  <si>
    <t>19-21</t>
  </si>
  <si>
    <t>10-17</t>
  </si>
  <si>
    <t>0-25 Population Estimates</t>
  </si>
  <si>
    <t>19-21 Population Estimates</t>
  </si>
  <si>
    <t>10-17 Population Estimates</t>
  </si>
  <si>
    <t>Population Estimates for most recent period LAC Age Breakdown</t>
  </si>
  <si>
    <t>10-17 year old Population Estimates 
(rounded)</t>
  </si>
  <si>
    <t>LACAge</t>
  </si>
  <si>
    <t>5 to 9</t>
  </si>
  <si>
    <t>1 to 4</t>
  </si>
  <si>
    <t>10 to 15</t>
  </si>
  <si>
    <t>16 to 17</t>
  </si>
  <si>
    <t>Number of Referrals pulled through where prior EH information provided</t>
  </si>
  <si>
    <t>South East Average Change is calculated from Rate per 10,000 as this only takes into account LA's who have provided data for the relevant period.</t>
  </si>
  <si>
    <t>Number of Social Care Referrals pulled through for LA's with Contacts Data</t>
  </si>
  <si>
    <t>Children Ceasing to be Looked After</t>
  </si>
  <si>
    <t>Children Starting to be Looked After</t>
  </si>
  <si>
    <t>Net Children becoming Looked After</t>
  </si>
  <si>
    <t>Children subject to Care Applications</t>
  </si>
  <si>
    <t>Number of Care Leavers aged 19-21 who were InTouch</t>
  </si>
  <si>
    <t>In Touch</t>
  </si>
  <si>
    <t>Suitable Accommodation</t>
  </si>
  <si>
    <t>EET</t>
  </si>
  <si>
    <t>Number of Care Leavers aged 19-21 who were In Suitable Accommodation</t>
  </si>
  <si>
    <t>Proportion of Care Leavers aged 19-21 in Employment, Education or Training (EET)</t>
  </si>
  <si>
    <t>Number of Care Leavers aged 19-21 who were EET</t>
  </si>
  <si>
    <t>Number of Juvenile Offenders</t>
  </si>
  <si>
    <t>Number of Juvenile Re-offenders</t>
  </si>
  <si>
    <t>Number of Juvenile Offenders excluding LA's where Re-offender data not provided</t>
  </si>
  <si>
    <t>New to the benchmarking report and experimental at this stage</t>
  </si>
  <si>
    <t xml:space="preserve">Child Arrangement Orders
</t>
  </si>
  <si>
    <t xml:space="preserve">Special Guardianship Orders
</t>
  </si>
  <si>
    <t>16-17  year old Cohorts for NEET Indicators</t>
  </si>
  <si>
    <t>16-17 NEET Indicator Cohorts</t>
  </si>
  <si>
    <t>As % of the 16-17 Year Old Cohort</t>
  </si>
  <si>
    <t>Young People aged 16-17 who are Participating in Education, Employment or Training (EET)</t>
  </si>
  <si>
    <t>Rank Highest (1) to Lowest</t>
  </si>
  <si>
    <t>Young People aged 16-17 who's Participation is Unknown</t>
  </si>
  <si>
    <t>Participation of Young People aged 16-17 in Education, Employment or Training</t>
  </si>
  <si>
    <t>Proportion of New EHC Plans Issued within 20 Weeks - including exceptions</t>
  </si>
  <si>
    <t>EHCP Issued in 20 Weeks</t>
  </si>
  <si>
    <t>Children Missing from Education (CME)</t>
  </si>
  <si>
    <t>Electively Home Educated Children (EHE)</t>
  </si>
  <si>
    <t>For calculation of SE Rate</t>
  </si>
  <si>
    <t>Rate per 10000 0-25 Year Olds</t>
  </si>
  <si>
    <t>Number of New EHCP pulled through for Calc of SE Rate</t>
  </si>
  <si>
    <t>New EHCP in 20 Weeks</t>
  </si>
  <si>
    <t>5-15</t>
  </si>
  <si>
    <t>5-15 Education Indicator Cohorts</t>
  </si>
  <si>
    <t>5-15 year old Population Estimates 
(rounded)</t>
  </si>
  <si>
    <t>Rate per 10000 5-15 Year Olds</t>
  </si>
  <si>
    <t>SE IDACI Calculation</t>
  </si>
  <si>
    <t>Juvenile Re-offenders</t>
  </si>
  <si>
    <t>NEET</t>
  </si>
  <si>
    <t>Children ceasing to be Looked After in period who were 
granted a Special Guardianship Order (%)</t>
  </si>
  <si>
    <t>Children ceasing to be Looked After in period who were 
granted a Child Arrangement Order (%)</t>
  </si>
  <si>
    <t>Average Days: Entering care to Placed for Adoption</t>
  </si>
  <si>
    <t>Children Adopted pulled through for calculation of SE Rate</t>
  </si>
  <si>
    <t xml:space="preserve">Average Days LAC Start to PFA </t>
  </si>
  <si>
    <t>Adoption continued…</t>
  </si>
  <si>
    <t>Ceased LAC pulled through for LA's who provided LAC Start figures</t>
  </si>
  <si>
    <t>LAC figures for LA's who provided data for this indicator</t>
  </si>
  <si>
    <t>EH Re-referrals</t>
  </si>
  <si>
    <t xml:space="preserve">Information about Income Deprivation Affecting Children Index (IDACI) can be found here: </t>
  </si>
  <si>
    <t xml:space="preserve">Information about Population Estimates used in this report can be found here: </t>
  </si>
  <si>
    <t>% of Referrals to CSC which were Re-referrals</t>
  </si>
  <si>
    <t>CSC Single Assessments Authorised within: 11-25 days</t>
  </si>
  <si>
    <t>CSC Single Assessments Authorised within: 26-35 days</t>
  </si>
  <si>
    <t>CSC Single Assessments Authorised within: 36-45 days</t>
  </si>
  <si>
    <t>% Children subject to a Child Protection Plan at 31st March who had been subject to a plan for 2+ years</t>
  </si>
  <si>
    <t>Rate of Children Looked After Aged: Under 1</t>
  </si>
  <si>
    <t>Rate of Children Looked After Aged: 1 to 4</t>
  </si>
  <si>
    <t>Rate of Children Looked After Aged: 5 to 9</t>
  </si>
  <si>
    <t>Rate of Children Looked After Aged: 10 to 15</t>
  </si>
  <si>
    <t>Rate of Children Looked After Aged: 16 to 17</t>
  </si>
  <si>
    <t>Children Looked After (at last day in period)</t>
  </si>
  <si>
    <t>Children Starting or Ceasing to be Looked After (during the period)</t>
  </si>
  <si>
    <t>% Care leavers aged 19-21 who were 'In Touch'</t>
  </si>
  <si>
    <t>% Care Leavers aged 19-21 in Suitable Accommodation</t>
  </si>
  <si>
    <t>Participation (NEET)</t>
  </si>
  <si>
    <t>% Juvenile Offenders who are Re-offenders</t>
  </si>
  <si>
    <t>EHC Plans</t>
  </si>
  <si>
    <t>% New EHC Plans Issued within 20 Weeks - including exceptions</t>
  </si>
  <si>
    <t>% Care Leavers aged 19-21 in Employment, Education or Training</t>
  </si>
  <si>
    <t>Indicators</t>
  </si>
  <si>
    <t>Indicator</t>
  </si>
  <si>
    <t>Care Leavers in EET</t>
  </si>
  <si>
    <t>Juvenile Re-offenders (Age 10-17)</t>
  </si>
  <si>
    <t>Definition</t>
  </si>
  <si>
    <t>Referrals in to Early Help Services in quarter</t>
  </si>
  <si>
    <t>Number of Referrals to Early Help going on to Assessment</t>
  </si>
  <si>
    <t>Number of Contacts received</t>
  </si>
  <si>
    <t>As Contacts are not included in a statutory return please provide details as your Local Authority records them. (OfSTED Annex A definition)</t>
  </si>
  <si>
    <t>As Early Help Indicators are not included in a statutory return please provide details as your Local Authority records them.</t>
  </si>
  <si>
    <t>Early Help Assessments Completed</t>
  </si>
  <si>
    <t xml:space="preserve">Referrals in to Early Help services which were received within 12 months of a previous Early Help referral </t>
  </si>
  <si>
    <t>Early Help Assessments resulting in Ongoing Early Help work</t>
  </si>
  <si>
    <t>Early Help Assessments that lead to ongoing intervention/ Early Help Plan etc.</t>
  </si>
  <si>
    <t>Early Help Assessments resulting in Step Up to Social Care</t>
  </si>
  <si>
    <t>Number of Children being 'Early Helped'</t>
  </si>
  <si>
    <t>Early Help Assessments that result in Step-Up to Social Care services</t>
  </si>
  <si>
    <t>Referrals received</t>
  </si>
  <si>
    <t>Referrals received in to Social Care Teams</t>
  </si>
  <si>
    <t xml:space="preserve">Referrals with prior Early Help Intervention </t>
  </si>
  <si>
    <t>Referrals received in to Social Care where there was a previous Early Help intervention within the previous 12 months</t>
  </si>
  <si>
    <t>Source of Referrals</t>
  </si>
  <si>
    <t>As reported in the CIN Census, detailed Referral Source information is collected and reported in the benchmarking</t>
  </si>
  <si>
    <t>The number of Referrals received in to Social Care where there had been a previous Referral in the last 12 months</t>
  </si>
  <si>
    <t>The number of Social Care Continuous Assessments completed</t>
  </si>
  <si>
    <t>Assessment Authorisation Timescales</t>
  </si>
  <si>
    <t>The number of Assessments which were completed within each timescale. The breakdown for the most recent period is shown as well as trend information for the proportion of Assessments completed within 45 days</t>
  </si>
  <si>
    <t>Assessments resulting in Step-down to Early Help</t>
  </si>
  <si>
    <t>Assessments resulting in No Further Action from Children's Social Care</t>
  </si>
  <si>
    <t>Assessments resulting in an onward referral to Early Help services</t>
  </si>
  <si>
    <t>Assessments resulting in No Further Action</t>
  </si>
  <si>
    <t>Number of Children subject to Section 47 Enquiries which started during the period</t>
  </si>
  <si>
    <t>The total number of Children in Need at the last day in period, including CP and LAC</t>
  </si>
  <si>
    <t>Initial CP Conference</t>
  </si>
  <si>
    <t>Initial CP Conference within15 days</t>
  </si>
  <si>
    <t>Number of Children subject to an Initial Child Protection Conference held during the period</t>
  </si>
  <si>
    <t>Of the Initial CP Conferences held during the period, the number which were held within 15 days of the Section 47 Enquiry which led to the conference</t>
  </si>
  <si>
    <t>Number of Children subject to a Child Protection Plan as at the last day in the period</t>
  </si>
  <si>
    <t>Of the Children subject to a CP Plan as at the last day in the period, those who had been subject to a plan for 2 years or more</t>
  </si>
  <si>
    <t>Number of Children subject to a Child Protection Plan</t>
  </si>
  <si>
    <t xml:space="preserve">Number of Children who ceased to be the subject of a CP Plan </t>
  </si>
  <si>
    <t>Children subject to a Child Protection Plan who had their cases reviewed within the required timescales</t>
  </si>
  <si>
    <t>The number of children with a Child Protection Plan at last day in period who at that date had been the subject of a Plan continuously for at least the previous 3 months and had their case reviewed within the required timescales</t>
  </si>
  <si>
    <t>Children subject to a CP Plan as at the last day in the period who had been seen within appropriate timescales</t>
  </si>
  <si>
    <t>Children subject to a Child Protection Plan for 2 years or longer</t>
  </si>
  <si>
    <t>The number of children ceasing to be the subject of a Child Protection Plan during the period. This may count a child more than once if they ceased to be the subject of a Child Protection Plan more than once during the period.</t>
  </si>
  <si>
    <t>Of the children ceasing to be the subject of a plan, the number who had been the subject of a Child Protection Plan continuously for two years or longer (i.e. for more than 729 calendar days including days of cessation)</t>
  </si>
  <si>
    <t>Children ceasing to be the subject of a CP Plan who had been the subject of a plan for 2 years or longer</t>
  </si>
  <si>
    <t>The number of children who became the subject of a Child Protection Plan at any time during the period. This is a count of each occasion and may count the same child more than once.</t>
  </si>
  <si>
    <t>Children becoming the subject of a CP Plan for a Second or Subsequent time</t>
  </si>
  <si>
    <t>Children becoming the subject of a CP Plan</t>
  </si>
  <si>
    <t>Care Applications to Court</t>
  </si>
  <si>
    <t>Children subject to Care Applications to Court</t>
  </si>
  <si>
    <t>Taken directly from CAFCASS Published data</t>
  </si>
  <si>
    <t>Looked After Children Aged Under 16</t>
  </si>
  <si>
    <t>Looked After Children who had been Looked After for 2.5 years</t>
  </si>
  <si>
    <t>Looked After Children who had been Looked After for 2.5 years and in the same Placement for at least 2 years</t>
  </si>
  <si>
    <t>Number of Children who were Looked After as at the last day in period and aged under 16 on that date</t>
  </si>
  <si>
    <t>Of the Children who were Looked After as at the last day in period and aged under 16 on that date, those who had been looked after for 2.5 years or more (i.e. for more than 912 days inclusive of the last day in quarter) on the the last day in the period. Exclude children who had been looked after at any time during the 2.5 year period under an agreed series of short-term placements.</t>
  </si>
  <si>
    <t>Of the Looked After Children who had been Looked After for 2.5 years, the number who had been living in the same placement for at least 2 years</t>
  </si>
  <si>
    <t>Looked After Children who were UASC</t>
  </si>
  <si>
    <t>The number of Looked After Children as at last day in the period, who were Unaccompanied Asylum Seeking Children</t>
  </si>
  <si>
    <t>Looked After Children with 3 or more Placements</t>
  </si>
  <si>
    <t>Of the Childen who were Looked After as at the last day in period, those who had had 3 or more placements within the previous 12 months</t>
  </si>
  <si>
    <t>Children starting to be Looked After</t>
  </si>
  <si>
    <t>Children starting to be Looked After who were Remanded into Local Authority Care</t>
  </si>
  <si>
    <t>Care Leavers over the age of 16 who remained Looked After until their 18th birthday</t>
  </si>
  <si>
    <t>This indicator is reported as a proportion of the Children Ceasing to be Looked After during the period.</t>
  </si>
  <si>
    <t>The number of children who ceased to be 'looked after' during the period (excluding children Looked After under an agreed series of short-term breaks)</t>
  </si>
  <si>
    <t>The number of children who started to be 'looked after' during the period (excluding children Looked After under an agreed series of short-term breaks)</t>
  </si>
  <si>
    <t>The number of children who were 'looked after' at the end of the period (excluding children Looked After under an agreed series of short-term breaks)</t>
  </si>
  <si>
    <t>The number of all children still the subject of a child protection plan at the end of the period who were seen within the last 2/ 4/ 6 weeks</t>
  </si>
  <si>
    <t>Care Leavers aged 19 - 21</t>
  </si>
  <si>
    <t xml:space="preserve">The number of Care Leavers aged 19 - 21 at the end of the period </t>
  </si>
  <si>
    <t>Care Leavers 'In Touch'</t>
  </si>
  <si>
    <t>The number of Care Leavers aged 19-21 at the end of the period who were 'In-Touch'</t>
  </si>
  <si>
    <t>Care Leavers in Suitable Accommodation</t>
  </si>
  <si>
    <t>The number of Care Leavers aged 19-21 at the end of the period who were in Suitable Accommodation</t>
  </si>
  <si>
    <t>The number of Care Leavers aged 19-21 at the end of the period who were participating in Education, Employment or Training</t>
  </si>
  <si>
    <t>Number of Children placed for Adoption</t>
  </si>
  <si>
    <t>Number of children Placed for Adoption as at last day in quarter</t>
  </si>
  <si>
    <t>The sum of the days between all children who were Adopted in the period becoming Looked After and moving in with their adoptive family</t>
  </si>
  <si>
    <t>Looked After Children Adopted</t>
  </si>
  <si>
    <t>Number of children who ceased to be looked after during the quarter as a result of the granting of an adoption order. Includes only those children who were adopted after having been looked after by the authority immediately prior to adoption. Children placed for adoption or freed for adoption remain looked after until the adoption order is granted. Children who have been adoptied but were not placed for adoption should be excluded.</t>
  </si>
  <si>
    <t>Number of New EHC Plans</t>
  </si>
  <si>
    <t>Number of New Education, Health and Care Plans issued in the period</t>
  </si>
  <si>
    <t>The Number of New Education, Health and Care Plans issued in the period, which were issued within 20 weeks</t>
  </si>
  <si>
    <t>Number of New EHC Plans issued within 20 weeks</t>
  </si>
  <si>
    <t>The number of Juvenile Offenders who were Re-offenders</t>
  </si>
  <si>
    <t>Young people aged 16-17 who are participating in education, employment or training. Taken from monthly NCCIS reports.</t>
  </si>
  <si>
    <t>Early Help</t>
  </si>
  <si>
    <t>Child in Need</t>
  </si>
  <si>
    <t>Child Protection</t>
  </si>
  <si>
    <t>Permanence</t>
  </si>
  <si>
    <t>SEND</t>
  </si>
  <si>
    <t>Participation</t>
  </si>
  <si>
    <t>Youth Offending</t>
  </si>
  <si>
    <r>
      <t xml:space="preserve">In order to align the benchmarking report with the CIN Census publications this is now defined as Referrals received which </t>
    </r>
    <r>
      <rPr>
        <b/>
        <sz val="8"/>
        <rFont val="Arial"/>
        <family val="2"/>
      </rPr>
      <t xml:space="preserve">did not </t>
    </r>
    <r>
      <rPr>
        <sz val="8"/>
        <rFont val="Arial"/>
        <family val="2"/>
      </rPr>
      <t>result in No Further Action</t>
    </r>
  </si>
  <si>
    <t>Children receiving an early help intervention as at last day in period</t>
  </si>
  <si>
    <t>Mosaid</t>
  </si>
  <si>
    <t>OLM (Northgate)</t>
  </si>
  <si>
    <t>Mosaic</t>
  </si>
  <si>
    <t>CareDirector</t>
  </si>
  <si>
    <t>Mosaic and Holistix</t>
  </si>
  <si>
    <t>Below is a summary comparison of the main indicators from this report- a full list of indicators can be found here:</t>
  </si>
  <si>
    <t>New/ Ceased Looked After Children</t>
  </si>
  <si>
    <t>Education Health and Care Plans (EHCP)</t>
  </si>
  <si>
    <t>Elective Home Education &amp; Children Missing Education</t>
  </si>
  <si>
    <t>Age Breakdown of LAC</t>
  </si>
  <si>
    <t>Re-offending Tables</t>
  </si>
  <si>
    <t>Weighted Average of four Quarters to:</t>
  </si>
  <si>
    <t>Proportion of Juvenile Offenders who Re-offend*</t>
  </si>
  <si>
    <t>Referral</t>
  </si>
  <si>
    <t>Re-referral</t>
  </si>
  <si>
    <t>Asmt.</t>
  </si>
  <si>
    <t>S47</t>
  </si>
  <si>
    <t>ICPC</t>
  </si>
  <si>
    <t>CPP</t>
  </si>
  <si>
    <t>RepeatCPP</t>
  </si>
  <si>
    <t>LAC</t>
  </si>
  <si>
    <t>y</t>
  </si>
  <si>
    <t>r2</t>
  </si>
  <si>
    <t>CourtApps</t>
  </si>
  <si>
    <t>CourtChild</t>
  </si>
  <si>
    <t>Children subject of a CP Plan at last day in period, who had been seen within timescales</t>
  </si>
  <si>
    <t>Children subject of a CP Plan for 3+ Months at last day in period, who had reviews carried out within the required timescales</t>
  </si>
  <si>
    <t>Children ceasing to be the subject of a CP Plan during the period,  who had been subject to a CP Plan for 2 years or more</t>
  </si>
  <si>
    <t>England and Wales</t>
  </si>
  <si>
    <t>Year2_1617_NEET</t>
  </si>
  <si>
    <t>Year2_1617_not known</t>
  </si>
  <si>
    <t>Year2_Juvenile_Offenders_(Age 1017)</t>
  </si>
  <si>
    <t>Year2_Juvenile_Reoffenders_(Age 1017)</t>
  </si>
  <si>
    <t>Year3_1617_NEET</t>
  </si>
  <si>
    <t>Year3_1617_not known</t>
  </si>
  <si>
    <t>Year3_Juvenile_Offenders_(Age 1017)</t>
  </si>
  <si>
    <t>Year3_Juvenile_Reoffenders_(Age 1017)</t>
  </si>
  <si>
    <t>Year4_1617_NEET</t>
  </si>
  <si>
    <t>Year4_1617_not known</t>
  </si>
  <si>
    <t>Year4_Juvenile_Offenders_(Age 1017)</t>
  </si>
  <si>
    <t>Year4_Juvenile_Reoffenders_(Age 1017)</t>
  </si>
  <si>
    <t>Year5_1617_NEET</t>
  </si>
  <si>
    <t>Year5_ 1617_ participating_in_EET</t>
  </si>
  <si>
    <t>Year5_1617_not known</t>
  </si>
  <si>
    <t>Year5_Juvenile_Offenders_(Age 1017)</t>
  </si>
  <si>
    <t>Year5_Juvenile_Reoffenders_(Age 1017)</t>
  </si>
  <si>
    <t>Contacts received in the Quarter, Rate per 10,000 0-17 Year Olds</t>
  </si>
  <si>
    <t>Referrals to Early Help in the Quarter, Rate per 10,000 0-17 Year Olds</t>
  </si>
  <si>
    <t>Early Help Assessments Completed in Quarter, Rate per 10,000 0-17 Year Olds</t>
  </si>
  <si>
    <t>Children being 'Early Helped' as at last day in Quarter, Rate per 10,000 0-17 Year Olds</t>
  </si>
  <si>
    <t>Referrals received to Children's Social Care (CSC) during the Quarter, Rate per 10,000 0-17 Year Olds</t>
  </si>
  <si>
    <t>Re-referrals to CSC during the Quarter, Rate per 10,000 0-17 Year Olds</t>
  </si>
  <si>
    <t>CSC Single Assessments Completed during the Quarter, Rate per 10,000 0-17 Year Olds</t>
  </si>
  <si>
    <t>Children in Need at last day in Quarter, Rate per 10,000 0-17 Year Olds</t>
  </si>
  <si>
    <t>Children subject to Section 47 Enquiries during the Quarter, Rate per 10,000 0-17 Year Olds</t>
  </si>
  <si>
    <t>Children subject to an Initial Child Protection Conference during the Quarter, Rate per 10,000 0-17 Year Olds</t>
  </si>
  <si>
    <t>Children subject to a Child Protection Plan at last day in Quarter, Rate per 10,000 0-17 Year Olds</t>
  </si>
  <si>
    <t>Number of Care Applications to Court during the Quarter, Rate per 10,000 0-17 Year Olds</t>
  </si>
  <si>
    <t>Number of Children subject to Care Applications to Court during the Quarter, Rate per 10,000 0-17 Year Olds</t>
  </si>
  <si>
    <t>Children who were Looked After at last day in Quarter, Rate per 10,000 0-17 Year Olds</t>
  </si>
  <si>
    <t>Children who Started to be Looked After during the Quarter, Rate per 10,000 0-17 Year Olds</t>
  </si>
  <si>
    <t>Children who Ceased to be Looked After during the Quarter, Rate per 10,000 0-17 Year Olds</t>
  </si>
  <si>
    <t>Net Number of Children becoming Looked After during the Quarter, Rate per 10,000 0-17 Year Olds</t>
  </si>
  <si>
    <t>Number of Care Leavers Aged 19-21 at last day in Quarter, Rate per 10,000 19-21 Year Olds</t>
  </si>
  <si>
    <t>Children placed for Adoption at last day in Quarter, Rate per 10,000 0-17 Year Olds</t>
  </si>
  <si>
    <t>Average days, between a child entering care and moving in with their adoptive family (children adopted in Quarter)</t>
  </si>
  <si>
    <t>Children subject to Child Arrangement Orders at last day in Quarter- TOTAL (Rate per 10,000 0-17 Year Olds)</t>
  </si>
  <si>
    <t>Children subject to Special Guarianship Orders at last day in Quarter- TOTAL (Rate per 10,000 0-17 Year Olds)</t>
  </si>
  <si>
    <t>% Young People aged 16-17 who are Participating in Education, Employment or Training (EET) at last day in Quarter</t>
  </si>
  <si>
    <t>First Time Entrants to the Youth Justice System during the Quarter, Rate per 100,000 10-17 Year Olds</t>
  </si>
  <si>
    <t>New Education, Health and Care (EHC) Plans issued during the Quarter, Rate per 10,000 10-25 Year Olds</t>
  </si>
  <si>
    <t>Number of Children Missing Education (CME) at last day in Quarter, Rate per 10,000 5-15 Year Olds</t>
  </si>
  <si>
    <t>Number of Electively Home Educated (EHE) Children at last day in Quarter, Rate per 10,000 5-15 Year Olds</t>
  </si>
  <si>
    <t>xx</t>
  </si>
  <si>
    <t>xxx</t>
  </si>
  <si>
    <t>Slope (x)</t>
  </si>
  <si>
    <t>Intercept (y)</t>
  </si>
  <si>
    <t>r-squared</t>
  </si>
  <si>
    <t>r²</t>
  </si>
  <si>
    <t>r² = 0.0224</t>
  </si>
  <si>
    <t>LAC Start</t>
  </si>
  <si>
    <t>LAC Cease</t>
  </si>
  <si>
    <t>Net LAC</t>
  </si>
  <si>
    <t>Care Leavers Ages 19-21</t>
  </si>
  <si>
    <t>FTE to YJ System</t>
  </si>
  <si>
    <t>New EHCP</t>
  </si>
  <si>
    <t>Total EHCP</t>
  </si>
  <si>
    <t>CSDataBenchmarking@eastsussex.gov.uk</t>
  </si>
  <si>
    <t>2019-20</t>
  </si>
  <si>
    <t>mid-2018</t>
  </si>
  <si>
    <t>Year4_ 1617_ participating_in_EET</t>
  </si>
  <si>
    <t>Year1_Contacts</t>
  </si>
  <si>
    <t>Year1_EarlyHelpReferrals</t>
  </si>
  <si>
    <t>Year1_EarlyHelpReferralsSTEPDOWN</t>
  </si>
  <si>
    <t>Year1_EarlyHelpReferralsOntoASSESSMENT</t>
  </si>
  <si>
    <t>Year1_EarlyHelpReReferrals</t>
  </si>
  <si>
    <t>Year1_EarlyHelpAssessments</t>
  </si>
  <si>
    <t>Year1_EarlyHelpAssessmentsOngoing</t>
  </si>
  <si>
    <t>Year1_EarlyHelpAssessmentsStepUp</t>
  </si>
  <si>
    <t>Year1_EarlyHelpedChildren</t>
  </si>
  <si>
    <t>Year1_Referrals</t>
  </si>
  <si>
    <t>Year1_ReferralsPriorEH</t>
  </si>
  <si>
    <t>Year1_ReferralsAssessment</t>
  </si>
  <si>
    <t>Year1_ReferralSource_Individual_Family</t>
  </si>
  <si>
    <t>Year1_ReferralSource_Individual_Acquaintance</t>
  </si>
  <si>
    <t>Year1_ReferralSource_Individual_Self</t>
  </si>
  <si>
    <t>Year1_ReferralSource_Individual_Other</t>
  </si>
  <si>
    <t>Year1_ReferralSource_School</t>
  </si>
  <si>
    <t>Year1_ReferralSource_EducationServices</t>
  </si>
  <si>
    <t>Year1_ReferralSource_Health_services_GP</t>
  </si>
  <si>
    <t>Year1_ReferralSource_Health_services_HealthVisitor</t>
  </si>
  <si>
    <t>Year1_ReferralSource_Health_services_SchoolNurse</t>
  </si>
  <si>
    <t>Year1_ReferralSource_Health_services_OthPrimary</t>
  </si>
  <si>
    <t>Year1_ReferralSource_Health_services_AE</t>
  </si>
  <si>
    <t>Year1_ReferralSource_Health_services_Other</t>
  </si>
  <si>
    <t>Year1_ReferralSource_Housing</t>
  </si>
  <si>
    <t>Year1_ReferralSource_LA_SC</t>
  </si>
  <si>
    <t>Year1_ReferralSource_LA_Other</t>
  </si>
  <si>
    <t>Year1_ReferralSource_LA_External</t>
  </si>
  <si>
    <t>Year1_ReferralSource_Police</t>
  </si>
  <si>
    <t>Year1_ReferralSource_Other_Legal</t>
  </si>
  <si>
    <t>Year1_ReferralSource_Other</t>
  </si>
  <si>
    <t>Year1_ReferralSource_Anonymous</t>
  </si>
  <si>
    <t>Year1_ReferralSource_Unknown</t>
  </si>
  <si>
    <t>Year1_ReReferrals</t>
  </si>
  <si>
    <t>Year1_Assessments</t>
  </si>
  <si>
    <t>Year1_Assessments_10days</t>
  </si>
  <si>
    <t>Year1_Assessments_11_20days</t>
  </si>
  <si>
    <t>Year1_Assessments_21_30days</t>
  </si>
  <si>
    <t>Year1_Assessments_31_45days</t>
  </si>
  <si>
    <t>Year1_Assessments_over_45days</t>
  </si>
  <si>
    <t>Year1_Assessments_step_down</t>
  </si>
  <si>
    <t>Year1_Assessments_No_further_action</t>
  </si>
  <si>
    <t>Year1_CIN</t>
  </si>
  <si>
    <t>Year1_CIN_Section47</t>
  </si>
  <si>
    <t>Year1_CP_Conference</t>
  </si>
  <si>
    <t>Year1_CP_Conference_within15days</t>
  </si>
  <si>
    <t>Year1_CP_Plans</t>
  </si>
  <si>
    <t>Year1_CP_Plans_3months</t>
  </si>
  <si>
    <t>Year1_CP_Plans_3months_timescales</t>
  </si>
  <si>
    <t>Year1_CP_Plans_Seen_in_Timescales</t>
  </si>
  <si>
    <t>Year1_CP_Plans_2years</t>
  </si>
  <si>
    <t>Year1_CP_Plans_ceased</t>
  </si>
  <si>
    <t>Year1_CP_Plans_ceased_2years</t>
  </si>
  <si>
    <t>Year1_CP_Plans_became_subject</t>
  </si>
  <si>
    <t>Year1_CP_Plans_became_subject_second</t>
  </si>
  <si>
    <t>Year1_CP_Plans_became_subject_second_2years</t>
  </si>
  <si>
    <t>Year1_LAC</t>
  </si>
  <si>
    <t>Year1_LAC_Under1</t>
  </si>
  <si>
    <t>Year1_LAC_1to4</t>
  </si>
  <si>
    <t>Year1_LAC_5to9</t>
  </si>
  <si>
    <t>Year1_LAC_10to15</t>
  </si>
  <si>
    <t>Year1_LAC_16plus</t>
  </si>
  <si>
    <t>Year1_LAC_under16</t>
  </si>
  <si>
    <t>Year1_LAC_under16_2.5years</t>
  </si>
  <si>
    <t>Year1_LAC_under16_2.5years_sameplacement2years</t>
  </si>
  <si>
    <t>Year1_LAC_UASC</t>
  </si>
  <si>
    <t>Year1_LAC_3_or_more_Placements</t>
  </si>
  <si>
    <t>Year1_LAC_4weeks</t>
  </si>
  <si>
    <t>Year1_LAC_4weeks_reviews_in_timescales</t>
  </si>
  <si>
    <t>Year1_LAC_Start</t>
  </si>
  <si>
    <t>Year1_LAC_Start_2nd_time</t>
  </si>
  <si>
    <t>Year1_LAC_Remanded</t>
  </si>
  <si>
    <t>Year1_Adoption_PFA</t>
  </si>
  <si>
    <t>Year1_Adoption_ceased_LAC</t>
  </si>
  <si>
    <t>Year1_Adoption_LAC_Adopted</t>
  </si>
  <si>
    <t>Year1_Adoption_LAC_Adopted_days</t>
  </si>
  <si>
    <t>Year1_Adoption_LAC_Adopted_placed_with_12months</t>
  </si>
  <si>
    <t>Year1_Care_Leavers_at_end_of_period</t>
  </si>
  <si>
    <t>Year1_Care_Leavers_in_touch</t>
  </si>
  <si>
    <t>Year1_Care_Leavers_in_suitable_accommodation</t>
  </si>
  <si>
    <t>Year1_Care_Leavers_in_EET</t>
  </si>
  <si>
    <t>Year1_ROSGO_ceased_LAC_CAO</t>
  </si>
  <si>
    <t>Year1_ROSGO_ceased_LAC_SGO</t>
  </si>
  <si>
    <t>Year1_CAO_RO_Total</t>
  </si>
  <si>
    <t>Year1_SGO_total</t>
  </si>
  <si>
    <t>Year1_Number_EHC_Plans</t>
  </si>
  <si>
    <t>Year1_New_EHC _within_20_weeks</t>
  </si>
  <si>
    <t>Year1_First_Time_Entrants_to_Youth_Justice_system</t>
  </si>
  <si>
    <t>Year1_Children_missing_Education</t>
  </si>
  <si>
    <t>Year1_ electively_home_educated</t>
  </si>
  <si>
    <t>Year1_1617_NEET</t>
  </si>
  <si>
    <t>Year1_1617_not known</t>
  </si>
  <si>
    <t>Year1_Juvenile_Offenders_(Age 1017)</t>
  </si>
  <si>
    <t>Year1_Juvenile_Reoffenders_(Age 1017)</t>
  </si>
  <si>
    <t>Year1_Assessments_within45days</t>
  </si>
  <si>
    <t>Year1_Continuous_assessments</t>
  </si>
  <si>
    <t>Year1_Care_Applications</t>
  </si>
  <si>
    <t>Year1_Care_Applications_Children</t>
  </si>
  <si>
    <t>Year2_Care_Applications</t>
  </si>
  <si>
    <t>Year2_Care_Applications_Children</t>
  </si>
  <si>
    <t>Year3_Care_Applications</t>
  </si>
  <si>
    <t>Year3_Care_Applications_Children</t>
  </si>
  <si>
    <t>Year4_Care_Applications</t>
  </si>
  <si>
    <t>Year4_Care_Applications_Children</t>
  </si>
  <si>
    <t>Year5_Care_Applications</t>
  </si>
  <si>
    <t>Year5_Care_Applications_Children</t>
  </si>
  <si>
    <t>Year1_Bracknell Forest</t>
  </si>
  <si>
    <t>Year1_Brighton &amp; Hove</t>
  </si>
  <si>
    <t>Year1_Buckinghamshire</t>
  </si>
  <si>
    <t>Year1_East Sussex</t>
  </si>
  <si>
    <t>Year1_Hampshire</t>
  </si>
  <si>
    <t>Year1_Isle of Wight</t>
  </si>
  <si>
    <t>Year1_Kent</t>
  </si>
  <si>
    <t>Year1_Medway</t>
  </si>
  <si>
    <t>Year1_Milton Keynes</t>
  </si>
  <si>
    <t>Year1_Oxfordshire</t>
  </si>
  <si>
    <t>Year1_Portsmouth</t>
  </si>
  <si>
    <t>Year1_Reading</t>
  </si>
  <si>
    <t>Year1_Slough</t>
  </si>
  <si>
    <t>Year1_Somerset</t>
  </si>
  <si>
    <t>Year1_Southampton</t>
  </si>
  <si>
    <t>Year1_Surrey</t>
  </si>
  <si>
    <t>Year1_Swindon</t>
  </si>
  <si>
    <t>Year1_Torbay</t>
  </si>
  <si>
    <t>Year1_West Berkshire</t>
  </si>
  <si>
    <t>Year1_West Sussex</t>
  </si>
  <si>
    <t>Year1_Windsor &amp; Maidenhead</t>
  </si>
  <si>
    <t>Year1_Wokingham</t>
  </si>
  <si>
    <t>Year1_South East</t>
  </si>
  <si>
    <t>Year1_England</t>
  </si>
  <si>
    <t>Year2_Bracknell Forest</t>
  </si>
  <si>
    <t>Year2_Brighton &amp; Hove</t>
  </si>
  <si>
    <t>Year2_Buckinghamshire</t>
  </si>
  <si>
    <t>Year2_East Sussex</t>
  </si>
  <si>
    <t>Year2_Hampshire</t>
  </si>
  <si>
    <t>Year2_Isle of Wight</t>
  </si>
  <si>
    <t>Year2_Kent</t>
  </si>
  <si>
    <t>Year2_Medway</t>
  </si>
  <si>
    <t>Year2_Milton Keynes</t>
  </si>
  <si>
    <t>Year2_Oxfordshire</t>
  </si>
  <si>
    <t>Year2_Portsmouth</t>
  </si>
  <si>
    <t>Year2_Reading</t>
  </si>
  <si>
    <t>Year2_Slough</t>
  </si>
  <si>
    <t>Year2_Somerset</t>
  </si>
  <si>
    <t>Year2_Southampton</t>
  </si>
  <si>
    <t>Year2_Surrey</t>
  </si>
  <si>
    <t>Year2_Swindon</t>
  </si>
  <si>
    <t>Year2_Torbay</t>
  </si>
  <si>
    <t>Year2_West Berkshire</t>
  </si>
  <si>
    <t>Year2_West Sussex</t>
  </si>
  <si>
    <t>Year2_Windsor &amp; Maidenhead</t>
  </si>
  <si>
    <t>Year2_Wokingham</t>
  </si>
  <si>
    <t>Year2_South East</t>
  </si>
  <si>
    <t>Year2_England</t>
  </si>
  <si>
    <t>Year3_Bracknell Forest</t>
  </si>
  <si>
    <t>Year3_Brighton &amp; Hove</t>
  </si>
  <si>
    <t>Year3_Buckinghamshire</t>
  </si>
  <si>
    <t>Year3_East Sussex</t>
  </si>
  <si>
    <t>Year3_Hampshire</t>
  </si>
  <si>
    <t>Year3_Isle of Wight</t>
  </si>
  <si>
    <t>Year3_Kent</t>
  </si>
  <si>
    <t>Year3_Medway</t>
  </si>
  <si>
    <t>Year3_Milton Keynes</t>
  </si>
  <si>
    <t>Year3_Oxfordshire</t>
  </si>
  <si>
    <t>Year3_Portsmouth</t>
  </si>
  <si>
    <t>Year3_Reading</t>
  </si>
  <si>
    <t>Year3_Slough</t>
  </si>
  <si>
    <t>Year3_Somerset</t>
  </si>
  <si>
    <t>Year3_Southampton</t>
  </si>
  <si>
    <t>Year3_Surrey</t>
  </si>
  <si>
    <t>Year3_Swindon</t>
  </si>
  <si>
    <t>Year3_Torbay</t>
  </si>
  <si>
    <t>Year3_West Berkshire</t>
  </si>
  <si>
    <t>Year3_West Sussex</t>
  </si>
  <si>
    <t>Year3_Windsor &amp; Maidenhead</t>
  </si>
  <si>
    <t>Year3_Wokingham</t>
  </si>
  <si>
    <t>Year3_South East</t>
  </si>
  <si>
    <t>Year3_England</t>
  </si>
  <si>
    <t>Year4_Bracknell Forest</t>
  </si>
  <si>
    <t>Year4_Brighton &amp; Hove</t>
  </si>
  <si>
    <t>Year4_Buckinghamshire</t>
  </si>
  <si>
    <t>Year4_East Sussex</t>
  </si>
  <si>
    <t>Year4_Hampshire</t>
  </si>
  <si>
    <t>Year4_Isle of Wight</t>
  </si>
  <si>
    <t>Year4_Kent</t>
  </si>
  <si>
    <t>Year4_Medway</t>
  </si>
  <si>
    <t>Year4_Milton Keynes</t>
  </si>
  <si>
    <t>Year4_Oxfordshire</t>
  </si>
  <si>
    <t>Year4_Portsmouth</t>
  </si>
  <si>
    <t>Year4_Reading</t>
  </si>
  <si>
    <t>Year4_Slough</t>
  </si>
  <si>
    <t>Year4_Somerset</t>
  </si>
  <si>
    <t>Year4_Southampton</t>
  </si>
  <si>
    <t>Year4_Surrey</t>
  </si>
  <si>
    <t>Year4_Swindon</t>
  </si>
  <si>
    <t>Year4_Torbay</t>
  </si>
  <si>
    <t>Year4_West Berkshire</t>
  </si>
  <si>
    <t>Year4_West Sussex</t>
  </si>
  <si>
    <t>Year4_Windsor &amp; Maidenhead</t>
  </si>
  <si>
    <t>Year4_Wokingham</t>
  </si>
  <si>
    <t>Year4_South East</t>
  </si>
  <si>
    <t>Year4_England</t>
  </si>
  <si>
    <t>Year5_Brighton &amp; Hove</t>
  </si>
  <si>
    <t>Year5_East Sussex</t>
  </si>
  <si>
    <t>Year5_Hampshire</t>
  </si>
  <si>
    <t>Year5_Isle of Wight</t>
  </si>
  <si>
    <t>Year5_Kent</t>
  </si>
  <si>
    <t>Year5_Medway</t>
  </si>
  <si>
    <t>Year5_Milton Keynes</t>
  </si>
  <si>
    <t>Year5_Oxfordshire</t>
  </si>
  <si>
    <t>Year5_Portsmouth</t>
  </si>
  <si>
    <t>Year5_Reading</t>
  </si>
  <si>
    <t>Year5_Slough</t>
  </si>
  <si>
    <t>Year5_Somerset</t>
  </si>
  <si>
    <t>Year5_Southampton</t>
  </si>
  <si>
    <t>Year5_Surrey</t>
  </si>
  <si>
    <t>Year5_Swindon</t>
  </si>
  <si>
    <t>Year5_West Berkshire</t>
  </si>
  <si>
    <t>Year5_West Sussex</t>
  </si>
  <si>
    <t>Year5_Windsor &amp; Maidenhead</t>
  </si>
  <si>
    <t>Year5_Wokingham</t>
  </si>
  <si>
    <t>Year5_South East</t>
  </si>
  <si>
    <t>Year5_England</t>
  </si>
  <si>
    <t>IDACI 2019</t>
  </si>
  <si>
    <t>Throughout this report, various indicators are plotted against the IDACI score of the Local Authority. The most recent IDACI figures were produced in 2019 using mid-2015 population estimates. The IDACI score represents the percentage of dependent children (non-prisoners) aged 0–15 living in income-deprived households. 
Where the IDACI score for the South East is shown, this will have been re-calculated to include only those LA's who have provided data for the indicator shown. Therefore the South East IDACI score may vary throughout the report.</t>
  </si>
  <si>
    <t>Proportion of Children aged 0-15 Living in Poverty (2019)</t>
  </si>
  <si>
    <t>Year5_Ceased_LAC_16plus</t>
  </si>
  <si>
    <t>Year5_Ceased_LAC_16plus_18th</t>
  </si>
  <si>
    <t>Year5_Care_Leavers_19_20_Ceased18_SP</t>
  </si>
  <si>
    <t>Year4_Ceased_LAC_16plus</t>
  </si>
  <si>
    <t>Year4_Ceased_LAC_16plus_18th</t>
  </si>
  <si>
    <t>Year4_Care_Leavers_19_20_Ceased18_SP</t>
  </si>
  <si>
    <t>Year3_Ceased_LAC_16plus</t>
  </si>
  <si>
    <t>Year3_Ceased_LAC_16plus_18th</t>
  </si>
  <si>
    <t>Year3_Care_Leavers_19_20_Ceased18_SP</t>
  </si>
  <si>
    <t>Year3_ 1617_ participating_in_EET</t>
  </si>
  <si>
    <t>Year2_Ceased_LAC_16plus</t>
  </si>
  <si>
    <t>Year2_Ceased_LAC_16plus_18th</t>
  </si>
  <si>
    <t>Year2_Care_Leavers_19_20_Ceased18_SP</t>
  </si>
  <si>
    <t>Year2_ 1617_ participating_in_EET</t>
  </si>
  <si>
    <t>Year1_Ceased_LAC_16plus</t>
  </si>
  <si>
    <t>Year1_Ceased_LAC_16plus_18th</t>
  </si>
  <si>
    <t>Year1_Care_Leavers_19_20_Ceased18_SP</t>
  </si>
  <si>
    <t>Year1_ 1617_ participating_in_EET</t>
  </si>
  <si>
    <t>Children subject to Special Guardianship Orders at last day in Quarter- TOTAL (Rate per 10,000 0-17 Year Olds)</t>
  </si>
  <si>
    <t>New LAC</t>
  </si>
  <si>
    <t>Ceased LAC</t>
  </si>
  <si>
    <t>NetLAC</t>
  </si>
  <si>
    <t>CL19-21</t>
  </si>
  <si>
    <t>FTE to YJ</t>
  </si>
  <si>
    <t>Number of Care Leavers pulled through for LA's who provided in Touch info</t>
  </si>
  <si>
    <t>Number of Care Leavers pulled through for LA's who provided Sutable Accommodation info</t>
  </si>
  <si>
    <t>Proportion of Discharged LAC aged 16+ who remained looked after until their 18th birthday</t>
  </si>
  <si>
    <t>Dependent Children 0-15 (mid-2015)</t>
  </si>
  <si>
    <t>Year5_Braknell Forest</t>
  </si>
  <si>
    <t>Year5_Bukinghamshire</t>
  </si>
  <si>
    <t>mid-2019</t>
  </si>
  <si>
    <t>01273 335931</t>
  </si>
  <si>
    <t>2020-21</t>
  </si>
  <si>
    <t>-</t>
  </si>
  <si>
    <t>*National Reoffending is measured by the Ministry of Justice using PNC data. From October 2017 the MoJ have changed the way reoffending is measured.  They are now measuring a cohort of young people who offend within a 3 month period and track them for 12 months.  The new measure produces an increase in the rate of reoffending as there is an inbuilt over-representation of prolific young offenders.  Previously a prolific young offender would only be counted once in the 12 month cohort they could now be counted up to four times. The MoJ predict that this will lead to a 4-5 percent increase in the reoffending rate.</t>
  </si>
  <si>
    <t>Period Covered</t>
  </si>
  <si>
    <t>2014-15</t>
  </si>
  <si>
    <t>2013-14</t>
  </si>
  <si>
    <t>Contacts received in the Year ending 31st March, Rate per 10,000 0-17 Year Olds</t>
  </si>
  <si>
    <t>Referrals to Early Help in the Year ending 31st March, Rate per 10,000 0-17 Year Olds</t>
  </si>
  <si>
    <t>Early Help Assessments Completed in Year ending 31st March, Rate per 10,000 0-17 Year Olds</t>
  </si>
  <si>
    <t>Children being 'Early Helped' as at 31st March, Rate per 10,000 0-17 Year Olds</t>
  </si>
  <si>
    <t>Referrals received to Children's Social Care (CSC) during the Year ending 31st March, Rate per 10,000 0-17 Year Olds</t>
  </si>
  <si>
    <t>Re-referrals to CSC during the Year ending 31st March, Rate per 10,000 0-17 Year Olds</t>
  </si>
  <si>
    <t>CSC Single Assessments Completed during the Year ending 31st March, Rate per 10,000 0-17 Year Olds</t>
  </si>
  <si>
    <t>Children in Need at 31st March, Rate per 10,000 0-17 Year Olds</t>
  </si>
  <si>
    <t>Children subject to Section 47 Enquiries during the Year ending 31st March, Rate per 10,000 0-17 Year Olds</t>
  </si>
  <si>
    <t>Children subject to an Initial Child Protection Conference during the Year ending 31st March, Rate per 10,000 0-17 Year Olds</t>
  </si>
  <si>
    <t>Children subject to a Child Protection Plan at 31st March, Rate per 10,000 0-17 Year Olds</t>
  </si>
  <si>
    <t>Number of Care Applications to Court during the Year ending 31st March, Rate per 10,000 0-17 Year Olds</t>
  </si>
  <si>
    <t>Number of Children subject to Care Applications to Court during the Year ending 31st March, Rate per 10,000 0-17 Year Olds</t>
  </si>
  <si>
    <t>Children who were Looked After at 31st March, Rate per 10,000 0-17 Year Olds</t>
  </si>
  <si>
    <t>Children who Started to be Looked After during the Year ending 31st March, Rate per 10,000 0-17 Year Olds</t>
  </si>
  <si>
    <t>Children who Ceased to be Looked After during the Year ending 31st March, Rate per 10,000 0-17 Year Olds</t>
  </si>
  <si>
    <t>Net Number of Children becoming Looked After during the Year ending 31st March, Rate per 10,000 0-17 Year Olds</t>
  </si>
  <si>
    <t>Number of Care Leavers Aged 19-21 at 31st March, Rate per 10,000 19-21 Year Olds</t>
  </si>
  <si>
    <t>Children placed for Adoption at 31st March, Rate per 10,000 0-17 Year Olds</t>
  </si>
  <si>
    <t>Average days, between a child entering care and moving in with their adoptive family (children adopted in Year ending 31st March)</t>
  </si>
  <si>
    <t>Children subject to Child Arrangement Orders at 31st March- TOTAL (Rate per 10,000 0-17 Year Olds)</t>
  </si>
  <si>
    <t>Children subject to Special Guardianship Orders at 31st March- TOTAL (Rate per 10,000 0-17 Year Olds)</t>
  </si>
  <si>
    <t>% Young People aged 16-17 who are Participating in Education, Employment or Training (EET) at 31st March</t>
  </si>
  <si>
    <t>First Time Entrants to the Youth Justice System during the Year ending 31st March, Rate per 100,000 10-17 Year Olds</t>
  </si>
  <si>
    <t>New Education, Health and Care (EHC) Plans issued during the Year ending 31st March, Rate per 10,000 10-25 Year Olds</t>
  </si>
  <si>
    <t>Number of Children Missing Education (CME) at 31st March, Rate per 10,000 5-15 Year Olds</t>
  </si>
  <si>
    <t>Number of Electively Home Educated (EHE) Children at 31st March, Rate per 10,000 5-15 Year Olds</t>
  </si>
  <si>
    <t>c</t>
  </si>
  <si>
    <t>Population Estimates Mid-2019</t>
  </si>
  <si>
    <t>Year5_Torbay</t>
  </si>
  <si>
    <t>CL_StayPut_18: Care leavers in the year ending 31 March 2018 aged 18 who ceased to be looked after from a foster placement on their 18th birthday</t>
  </si>
  <si>
    <t>CL_StayPut_FFC_18: Care leavers in the year ending 31 March 2018 aged 18 who ceased to be looked after from a foster placement on their 18th birthday and are living with the former foster carers</t>
  </si>
  <si>
    <t>CL_StayPut_FFC_18_pc: Percentage of care leavers in the year ending 31 March 2018 aged 18 who ceased to be looked after from a foster placement on their 18th birthday who are living with the former foster carers</t>
  </si>
  <si>
    <r>
      <t xml:space="preserve">Annual Report
</t>
    </r>
    <r>
      <rPr>
        <b/>
        <sz val="12"/>
        <color rgb="FF00B050"/>
        <rFont val="Arial"/>
        <family val="2"/>
      </rPr>
      <t xml:space="preserve"> </t>
    </r>
    <r>
      <rPr>
        <b/>
        <sz val="24"/>
        <color rgb="FF00B050"/>
        <rFont val="Arial"/>
        <family val="2"/>
      </rPr>
      <t>(Public)</t>
    </r>
  </si>
  <si>
    <t>CL_StayPut_18: Care leavers in the year ending 31 March 2017 aged 18 who ceased to be looked after from a foster placement on their 18th birthday</t>
  </si>
  <si>
    <t>CL_StayPut_FFC_18: Care leavers in the year ending 31 March 2017 aged 18 who ceased to be looked after from a foster placement on their 18th birthday and are living with the former foster carers</t>
  </si>
  <si>
    <t>Average days between Child entering care and moving in with their adoptive family, adjusted for Foster Carer Adoptions (children adopted in period) A20</t>
  </si>
  <si>
    <t>A10 Avg. Days 2019-20</t>
  </si>
  <si>
    <t>A10 Avg. Days</t>
  </si>
  <si>
    <t>Average Days A10</t>
  </si>
  <si>
    <t>Ceased LAC CAO</t>
  </si>
  <si>
    <t>Ceased LAC SGO</t>
  </si>
  <si>
    <t>% Children who ceased to be looked after due to a Child Arrangement Order being granted</t>
  </si>
  <si>
    <t>% Children who ceased to be looked after due to a Special Guardianship Order being granted</t>
  </si>
  <si>
    <t>Ceased LAC to CAO</t>
  </si>
  <si>
    <t>Referrals to Assessment</t>
  </si>
  <si>
    <t>Of the children becoming the subject of a CP Plan, the number who had previously been the subject of a CP Plan, regardless of how long ago that was.</t>
  </si>
  <si>
    <t>Children Ceasing to be Looked After due to a Child Arrangement Order being granted</t>
  </si>
  <si>
    <t>Children Ceasing to be Looked After due to a Special Guardianship Order being granted</t>
  </si>
  <si>
    <t>The proportion of Children Ceasing to be Looked After due to a Child Arrangment Order being granted</t>
  </si>
  <si>
    <t>The proportion of Children Ceasing to be Looked After due to a Special Guardianship Order being granted</t>
  </si>
  <si>
    <t>Total Days between those children who were Adopted in the period entering care and moving in with their adoptive family, adjusted for Foster Carer Adoptions (A10)</t>
  </si>
  <si>
    <t>This report uses publicly available data and can be shared with external partners and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</si>
</sst>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General_)"/>
    <numFmt numFmtId="167" formatCode="0.0%"/>
    <numFmt numFmtId="168" formatCode="0.000"/>
    <numFmt numFmtId="169" formatCode="0.0000"/>
    <numFmt numFmtId="170" formatCode="0.00000"/>
  </numFmts>
  <fonts count="92"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b/>
      <sz val="10"/>
      <name val="Arial"/>
      <family val="2"/>
    </font>
    <font>
      <sz val="8"/>
      <name val="Arial"/>
      <family val="2"/>
    </font>
    <font>
      <b/>
      <sz val="8"/>
      <name val="Arial"/>
      <family val="2"/>
    </font>
    <font>
      <b/>
      <sz val="10"/>
      <name val="Arial"/>
      <family val="2"/>
    </font>
    <font>
      <sz val="8"/>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indexed="8"/>
      <name val="Arial"/>
      <family val="2"/>
    </font>
    <font>
      <sz val="11"/>
      <name val="Arial"/>
      <family val="2"/>
    </font>
    <font>
      <sz val="12"/>
      <name val="Arial"/>
      <family val="2"/>
    </font>
    <font>
      <b/>
      <sz val="11"/>
      <name val="Arial"/>
      <family val="2"/>
    </font>
    <font>
      <sz val="7"/>
      <name val="Arial"/>
      <family val="2"/>
    </font>
    <font>
      <b/>
      <sz val="9"/>
      <name val="Arial"/>
      <family val="2"/>
    </font>
    <font>
      <sz val="9"/>
      <name val="Arial"/>
      <family val="2"/>
    </font>
    <font>
      <sz val="8"/>
      <color indexed="9"/>
      <name val="Arial"/>
      <family val="2"/>
    </font>
    <font>
      <sz val="8"/>
      <name val="Arial"/>
      <family val="2"/>
    </font>
    <font>
      <sz val="8"/>
      <color indexed="10"/>
      <name val="Arial"/>
      <family val="2"/>
    </font>
    <font>
      <b/>
      <sz val="14"/>
      <color indexed="39"/>
      <name val="Arial"/>
      <family val="2"/>
    </font>
    <font>
      <b/>
      <sz val="12"/>
      <color indexed="39"/>
      <name val="Arial"/>
      <family val="2"/>
    </font>
    <font>
      <sz val="8"/>
      <color indexed="16"/>
      <name val="Arial"/>
      <family val="2"/>
    </font>
    <font>
      <b/>
      <sz val="8"/>
      <color indexed="16"/>
      <name val="Arial"/>
      <family val="2"/>
    </font>
    <font>
      <sz val="9"/>
      <name val="Wingdings"/>
      <charset val="2"/>
    </font>
    <font>
      <b/>
      <sz val="24"/>
      <color indexed="39"/>
      <name val="Arial"/>
      <family val="2"/>
    </font>
    <font>
      <sz val="10"/>
      <color indexed="9"/>
      <name val="Arial"/>
      <family val="2"/>
    </font>
    <font>
      <sz val="9"/>
      <color indexed="9"/>
      <name val="Wingdings"/>
      <charset val="2"/>
    </font>
    <font>
      <sz val="8"/>
      <color indexed="37"/>
      <name val="Arial"/>
      <family val="2"/>
    </font>
    <font>
      <sz val="10"/>
      <color indexed="37"/>
      <name val="Arial"/>
      <family val="2"/>
    </font>
    <font>
      <b/>
      <u/>
      <sz val="10"/>
      <color indexed="39"/>
      <name val="Arial"/>
      <family val="2"/>
    </font>
    <font>
      <b/>
      <sz val="12"/>
      <color indexed="63"/>
      <name val="Arial"/>
      <family val="2"/>
    </font>
    <font>
      <sz val="8"/>
      <color theme="1" tint="0.249977111117893"/>
      <name val="Arial"/>
      <family val="2"/>
    </font>
    <font>
      <sz val="8"/>
      <color rgb="FF00B050"/>
      <name val="Arial"/>
      <family val="2"/>
    </font>
    <font>
      <sz val="8"/>
      <color theme="6" tint="-0.499984740745262"/>
      <name val="Arial"/>
      <family val="2"/>
    </font>
    <font>
      <b/>
      <sz val="8"/>
      <color theme="0" tint="-0.499984740745262"/>
      <name val="Arial"/>
      <family val="2"/>
    </font>
    <font>
      <sz val="8"/>
      <color theme="0" tint="-0.499984740745262"/>
      <name val="Arial"/>
      <family val="2"/>
    </font>
    <font>
      <b/>
      <sz val="8"/>
      <color rgb="FF00B050"/>
      <name val="Arial"/>
      <family val="2"/>
    </font>
    <font>
      <b/>
      <i/>
      <sz val="9"/>
      <name val="Arial"/>
      <family val="2"/>
    </font>
    <font>
      <sz val="8"/>
      <color rgb="FFFF0000"/>
      <name val="Arial"/>
      <family val="2"/>
    </font>
    <font>
      <b/>
      <sz val="16"/>
      <color indexed="39"/>
      <name val="Arial"/>
      <family val="2"/>
    </font>
    <font>
      <b/>
      <i/>
      <sz val="10"/>
      <name val="Arial"/>
      <family val="2"/>
    </font>
    <font>
      <sz val="8"/>
      <color theme="0"/>
      <name val="Arial"/>
      <family val="2"/>
    </font>
    <font>
      <b/>
      <sz val="8"/>
      <color theme="1" tint="0.499984740745262"/>
      <name val="Arial"/>
      <family val="2"/>
    </font>
    <font>
      <sz val="8"/>
      <color theme="1" tint="0.499984740745262"/>
      <name val="Arial"/>
      <family val="2"/>
    </font>
    <font>
      <b/>
      <i/>
      <sz val="8"/>
      <name val="Arial"/>
      <family val="2"/>
    </font>
    <font>
      <b/>
      <sz val="8"/>
      <color rgb="FF008643"/>
      <name val="Arial"/>
      <family val="2"/>
    </font>
    <font>
      <u/>
      <sz val="8"/>
      <name val="Arial"/>
      <family val="2"/>
    </font>
    <font>
      <sz val="11"/>
      <color theme="1"/>
      <name val="Calibri"/>
      <family val="2"/>
    </font>
    <font>
      <b/>
      <sz val="8"/>
      <color theme="0"/>
      <name val="Arial"/>
      <family val="2"/>
    </font>
    <font>
      <b/>
      <sz val="14"/>
      <name val="Arial"/>
      <family val="2"/>
    </font>
    <font>
      <b/>
      <sz val="8"/>
      <name val="Trebuchet MS"/>
      <family val="2"/>
    </font>
    <font>
      <i/>
      <sz val="9"/>
      <name val="Arial"/>
      <family val="2"/>
    </font>
    <font>
      <i/>
      <sz val="8"/>
      <name val="Arial"/>
      <family val="2"/>
    </font>
    <font>
      <b/>
      <sz val="16"/>
      <color theme="1" tint="4.9989318521683403E-2"/>
      <name val="Arial"/>
      <family val="2"/>
    </font>
    <font>
      <b/>
      <u/>
      <sz val="11"/>
      <color indexed="39"/>
      <name val="Arial"/>
      <family val="2"/>
    </font>
    <font>
      <b/>
      <sz val="8"/>
      <color theme="1"/>
      <name val="Arial"/>
      <family val="2"/>
    </font>
    <font>
      <b/>
      <sz val="8"/>
      <color theme="1" tint="0.249977111117893"/>
      <name val="Arial"/>
      <family val="2"/>
    </font>
    <font>
      <sz val="10"/>
      <color theme="0"/>
      <name val="Arial"/>
      <family val="2"/>
    </font>
    <font>
      <i/>
      <sz val="7"/>
      <name val="Arial"/>
      <family val="2"/>
    </font>
    <font>
      <i/>
      <sz val="14"/>
      <color rgb="FF222222"/>
      <name val="Courier New"/>
      <family val="3"/>
    </font>
    <font>
      <u/>
      <sz val="8"/>
      <color indexed="39"/>
      <name val="Arial"/>
      <family val="2"/>
    </font>
    <font>
      <b/>
      <sz val="8"/>
      <color theme="2"/>
      <name val="Arial"/>
      <family val="2"/>
    </font>
    <font>
      <sz val="10"/>
      <color theme="2"/>
      <name val="Arial"/>
      <family val="2"/>
    </font>
    <font>
      <sz val="8"/>
      <color rgb="FFFBFBFB"/>
      <name val="Arial"/>
      <family val="2"/>
    </font>
    <font>
      <sz val="10"/>
      <color theme="1" tint="0.249977111117893"/>
      <name val="Arial"/>
      <family val="2"/>
    </font>
    <font>
      <sz val="10"/>
      <color theme="1"/>
      <name val="Arial"/>
      <family val="2"/>
    </font>
    <font>
      <b/>
      <sz val="10"/>
      <color theme="1"/>
      <name val="Arial"/>
      <family val="2"/>
    </font>
    <font>
      <b/>
      <sz val="9"/>
      <color theme="10"/>
      <name val="Arial"/>
      <family val="2"/>
    </font>
    <font>
      <b/>
      <sz val="12"/>
      <color rgb="FF00B050"/>
      <name val="Arial"/>
      <family val="2"/>
    </font>
    <font>
      <b/>
      <sz val="24"/>
      <color rgb="FF00B050"/>
      <name val="Arial"/>
      <family val="2"/>
    </font>
    <font>
      <sz val="10"/>
      <color rgb="FFFF0000"/>
      <name val="Arial"/>
      <family val="2"/>
    </font>
    <font>
      <b/>
      <sz val="11"/>
      <color rgb="FF00B050"/>
      <name val="Arial"/>
      <family val="2"/>
    </font>
    <font>
      <sz val="8"/>
      <color theme="5" tint="0.39997558519241921"/>
      <name val="Arial"/>
      <family val="2"/>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FFC00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1" tint="0.24997711111789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99FFCC"/>
        <bgColor indexed="64"/>
      </patternFill>
    </fill>
    <fill>
      <patternFill patternType="solid">
        <fgColor rgb="FF66FF99"/>
        <bgColor indexed="64"/>
      </patternFill>
    </fill>
    <fill>
      <patternFill patternType="solid">
        <fgColor rgb="FFF6F5F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FDFB"/>
        <bgColor indexed="64"/>
      </patternFill>
    </fill>
    <fill>
      <patternFill patternType="solid">
        <fgColor rgb="FFDA8426"/>
        <bgColor indexed="64"/>
      </patternFill>
    </fill>
    <fill>
      <patternFill patternType="solid">
        <fgColor rgb="FFC8C300"/>
        <bgColor indexed="64"/>
      </patternFill>
    </fill>
    <fill>
      <patternFill patternType="solid">
        <fgColor rgb="FF62A73B"/>
        <bgColor indexed="64"/>
      </patternFill>
    </fill>
    <fill>
      <patternFill patternType="solid">
        <fgColor rgb="FFE090A9"/>
        <bgColor indexed="64"/>
      </patternFill>
    </fill>
    <fill>
      <patternFill patternType="solid">
        <fgColor rgb="FF8F77AD"/>
        <bgColor indexed="64"/>
      </patternFill>
    </fill>
    <fill>
      <patternFill patternType="solid">
        <fgColor rgb="FF009BD2"/>
        <bgColor indexed="64"/>
      </patternFill>
    </fill>
    <fill>
      <patternFill patternType="solid">
        <fgColor rgb="FF4D7FBB"/>
        <bgColor indexed="64"/>
      </patternFill>
    </fill>
    <fill>
      <patternFill patternType="solid">
        <fgColor rgb="FF214F87"/>
        <bgColor indexed="64"/>
      </patternFill>
    </fill>
    <fill>
      <patternFill patternType="solid">
        <fgColor rgb="FF3C8AA6"/>
        <bgColor indexed="64"/>
      </patternFill>
    </fill>
    <fill>
      <patternFill patternType="solid">
        <fgColor theme="1" tint="0.34998626667073579"/>
        <bgColor indexed="64"/>
      </patternFill>
    </fill>
    <fill>
      <patternFill patternType="solid">
        <fgColor rgb="FF92D050"/>
        <bgColor indexed="64"/>
      </patternFill>
    </fill>
    <fill>
      <patternFill patternType="solid">
        <fgColor rgb="FFFF0000"/>
        <bgColor indexed="64"/>
      </patternFill>
    </fill>
    <fill>
      <patternFill patternType="solid">
        <fgColor theme="2"/>
        <bgColor indexed="64"/>
      </patternFill>
    </fill>
    <fill>
      <patternFill patternType="solid">
        <fgColor theme="8" tint="0.79998168889431442"/>
        <bgColor indexed="64"/>
      </patternFill>
    </fill>
  </fills>
  <borders count="1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medium">
        <color indexed="39"/>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indexed="64"/>
      </right>
      <top/>
      <bottom style="thin">
        <color indexed="64"/>
      </bottom>
      <diagonal/>
    </border>
    <border>
      <left style="thin">
        <color indexed="39"/>
      </left>
      <right/>
      <top style="thin">
        <color indexed="39"/>
      </top>
      <bottom/>
      <diagonal/>
    </border>
    <border>
      <left/>
      <right/>
      <top style="thin">
        <color indexed="39"/>
      </top>
      <bottom/>
      <diagonal/>
    </border>
    <border>
      <left/>
      <right style="thin">
        <color indexed="39"/>
      </right>
      <top style="thin">
        <color indexed="39"/>
      </top>
      <bottom/>
      <diagonal/>
    </border>
    <border>
      <left style="thin">
        <color indexed="39"/>
      </left>
      <right/>
      <top/>
      <bottom/>
      <diagonal/>
    </border>
    <border>
      <left/>
      <right style="thin">
        <color indexed="39"/>
      </right>
      <top/>
      <bottom/>
      <diagonal/>
    </border>
    <border>
      <left style="thin">
        <color indexed="39"/>
      </left>
      <right/>
      <top/>
      <bottom style="thin">
        <color indexed="39"/>
      </bottom>
      <diagonal/>
    </border>
    <border>
      <left/>
      <right/>
      <top/>
      <bottom style="thin">
        <color indexed="39"/>
      </bottom>
      <diagonal/>
    </border>
    <border>
      <left/>
      <right style="thin">
        <color indexed="39"/>
      </right>
      <top/>
      <bottom style="thin">
        <color indexed="39"/>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indexed="64"/>
      </left>
      <right style="thin">
        <color indexed="64"/>
      </right>
      <top/>
      <bottom/>
      <diagonal/>
    </border>
    <border>
      <left style="thin">
        <color indexed="64"/>
      </left>
      <right style="thin">
        <color auto="1"/>
      </right>
      <top/>
      <bottom style="thin">
        <color auto="1"/>
      </bottom>
      <diagonal/>
    </border>
    <border>
      <left style="thin">
        <color indexed="39"/>
      </left>
      <right/>
      <top/>
      <bottom style="thin">
        <color indexed="39"/>
      </bottom>
      <diagonal/>
    </border>
    <border>
      <left/>
      <right/>
      <top/>
      <bottom style="thin">
        <color indexed="39"/>
      </bottom>
      <diagonal/>
    </border>
    <border>
      <left/>
      <right style="thin">
        <color indexed="39"/>
      </right>
      <top/>
      <bottom style="thin">
        <color indexed="39"/>
      </bottom>
      <diagonal/>
    </border>
    <border>
      <left/>
      <right style="thin">
        <color auto="1"/>
      </right>
      <top/>
      <bottom style="thin">
        <color auto="1"/>
      </bottom>
      <diagonal/>
    </border>
    <border>
      <left style="thin">
        <color indexed="39"/>
      </left>
      <right/>
      <top/>
      <bottom/>
      <diagonal/>
    </border>
    <border>
      <left style="thin">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39"/>
      </left>
      <right/>
      <top/>
      <bottom style="thin">
        <color indexed="39"/>
      </bottom>
      <diagonal/>
    </border>
    <border>
      <left/>
      <right/>
      <top/>
      <bottom style="thin">
        <color indexed="39"/>
      </bottom>
      <diagonal/>
    </border>
    <border>
      <left/>
      <right style="thin">
        <color indexed="39"/>
      </right>
      <top/>
      <bottom style="thin">
        <color indexed="39"/>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theme="9" tint="-0.24994659260841701"/>
      </left>
      <right style="thin">
        <color indexed="64"/>
      </right>
      <top/>
      <bottom/>
      <diagonal/>
    </border>
    <border>
      <left/>
      <right style="thin">
        <color theme="9" tint="-0.24994659260841701"/>
      </right>
      <top/>
      <bottom/>
      <diagonal/>
    </border>
    <border>
      <left style="thin">
        <color indexed="39"/>
      </left>
      <right/>
      <top/>
      <bottom style="thin">
        <color indexed="39"/>
      </bottom>
      <diagonal/>
    </border>
    <border>
      <left/>
      <right/>
      <top/>
      <bottom style="thin">
        <color indexed="39"/>
      </bottom>
      <diagonal/>
    </border>
    <border>
      <left/>
      <right style="thin">
        <color theme="9" tint="-0.24994659260841701"/>
      </right>
      <top/>
      <bottom style="thin">
        <color indexed="39"/>
      </bottom>
      <diagonal/>
    </border>
    <border>
      <left style="thin">
        <color theme="9" tint="-0.24994659260841701"/>
      </left>
      <right/>
      <top style="thin">
        <color theme="9" tint="-0.24994659260841701"/>
      </top>
      <bottom/>
      <diagonal/>
    </border>
    <border>
      <left/>
      <right/>
      <top style="thin">
        <color theme="9" tint="-0.24994659260841701"/>
      </top>
      <bottom/>
      <diagonal/>
    </border>
    <border>
      <left/>
      <right style="thin">
        <color theme="9" tint="-0.24994659260841701"/>
      </right>
      <top style="thin">
        <color theme="9" tint="-0.24994659260841701"/>
      </top>
      <bottom/>
      <diagonal/>
    </border>
    <border>
      <left style="thin">
        <color theme="9" tint="-0.24994659260841701"/>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9" tint="-0.24994659260841701"/>
      </left>
      <right/>
      <top/>
      <bottom style="thin">
        <color theme="9" tint="-0.24994659260841701"/>
      </bottom>
      <diagonal/>
    </border>
    <border>
      <left/>
      <right/>
      <top/>
      <bottom style="thin">
        <color theme="9" tint="-0.24994659260841701"/>
      </bottom>
      <diagonal/>
    </border>
    <border>
      <left/>
      <right style="thin">
        <color theme="9" tint="-0.24994659260841701"/>
      </right>
      <top/>
      <bottom style="thin">
        <color theme="9" tint="-0.24994659260841701"/>
      </bottom>
      <diagonal/>
    </border>
    <border>
      <left/>
      <right style="thin">
        <color indexed="39"/>
      </right>
      <top/>
      <bottom style="thin">
        <color indexed="39"/>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thin">
        <color rgb="FFC85100"/>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theme="9" tint="-0.24994659260841701"/>
      </left>
      <right/>
      <top/>
      <bottom style="thin">
        <color rgb="FFC85100"/>
      </bottom>
      <diagonal/>
    </border>
    <border>
      <left style="thin">
        <color indexed="39"/>
      </left>
      <right style="thin">
        <color auto="1"/>
      </right>
      <top/>
      <bottom/>
      <diagonal/>
    </border>
    <border>
      <left style="medium">
        <color indexed="64"/>
      </left>
      <right style="thin">
        <color theme="1"/>
      </right>
      <top style="thin">
        <color theme="1"/>
      </top>
      <bottom style="thin">
        <color indexed="64"/>
      </bottom>
      <diagonal/>
    </border>
    <border>
      <left style="medium">
        <color indexed="64"/>
      </left>
      <right style="thin">
        <color theme="1"/>
      </right>
      <top style="thin">
        <color indexed="64"/>
      </top>
      <bottom style="thin">
        <color indexed="64"/>
      </bottom>
      <diagonal/>
    </border>
    <border>
      <left style="medium">
        <color theme="1" tint="0.24994659260841701"/>
      </left>
      <right style="medium">
        <color indexed="64"/>
      </right>
      <top style="thin">
        <color indexed="64"/>
      </top>
      <bottom style="thin">
        <color indexed="64"/>
      </bottom>
      <diagonal/>
    </border>
    <border>
      <left style="medium">
        <color theme="1" tint="0.24994659260841701"/>
      </left>
      <right style="medium">
        <color theme="1" tint="0.24994659260841701"/>
      </right>
      <top style="thin">
        <color indexed="64"/>
      </top>
      <bottom style="thin">
        <color indexed="64"/>
      </bottom>
      <diagonal/>
    </border>
    <border>
      <left style="medium">
        <color theme="1" tint="0.24994659260841701"/>
      </left>
      <right style="medium">
        <color theme="1" tint="0.24994659260841701"/>
      </right>
      <top style="thin">
        <color indexed="64"/>
      </top>
      <bottom style="thin">
        <color theme="0" tint="-0.24994659260841701"/>
      </bottom>
      <diagonal/>
    </border>
    <border>
      <left style="medium">
        <color theme="1" tint="0.24994659260841701"/>
      </left>
      <right style="medium">
        <color indexed="64"/>
      </right>
      <top style="thin">
        <color indexed="64"/>
      </top>
      <bottom style="thin">
        <color theme="0" tint="-0.24994659260841701"/>
      </bottom>
      <diagonal/>
    </border>
    <border>
      <left style="medium">
        <color theme="1" tint="0.24994659260841701"/>
      </left>
      <right style="medium">
        <color theme="1" tint="0.24994659260841701"/>
      </right>
      <top style="thin">
        <color theme="0" tint="-0.24994659260841701"/>
      </top>
      <bottom style="thin">
        <color theme="0" tint="-0.24994659260841701"/>
      </bottom>
      <diagonal/>
    </border>
    <border>
      <left style="medium">
        <color theme="1" tint="0.24994659260841701"/>
      </left>
      <right style="medium">
        <color indexed="64"/>
      </right>
      <top style="thin">
        <color theme="0" tint="-0.24994659260841701"/>
      </top>
      <bottom style="thin">
        <color theme="0" tint="-0.24994659260841701"/>
      </bottom>
      <diagonal/>
    </border>
    <border>
      <left style="medium">
        <color theme="1" tint="0.24994659260841701"/>
      </left>
      <right style="medium">
        <color theme="1" tint="0.24994659260841701"/>
      </right>
      <top style="thin">
        <color theme="0" tint="-0.24994659260841701"/>
      </top>
      <bottom style="thin">
        <color indexed="64"/>
      </bottom>
      <diagonal/>
    </border>
    <border>
      <left style="medium">
        <color theme="1" tint="0.24994659260841701"/>
      </left>
      <right style="medium">
        <color indexed="64"/>
      </right>
      <top style="thin">
        <color theme="0" tint="-0.24994659260841701"/>
      </top>
      <bottom style="thin">
        <color indexed="64"/>
      </bottom>
      <diagonal/>
    </border>
    <border>
      <left style="medium">
        <color theme="1" tint="0.24994659260841701"/>
      </left>
      <right/>
      <top style="thin">
        <color theme="0" tint="-0.24994659260841701"/>
      </top>
      <bottom style="thin">
        <color theme="0" tint="-0.24994659260841701"/>
      </bottom>
      <diagonal/>
    </border>
    <border>
      <left/>
      <right style="medium">
        <color theme="1" tint="0.24994659260841701"/>
      </right>
      <top style="thin">
        <color theme="0" tint="-0.24994659260841701"/>
      </top>
      <bottom style="thin">
        <color theme="0" tint="-0.24994659260841701"/>
      </bottom>
      <diagonal/>
    </border>
    <border>
      <left style="medium">
        <color theme="1" tint="0.24994659260841701"/>
      </left>
      <right/>
      <top style="thin">
        <color theme="0" tint="-0.24994659260841701"/>
      </top>
      <bottom style="thin">
        <color indexed="64"/>
      </bottom>
      <diagonal/>
    </border>
    <border>
      <left/>
      <right style="medium">
        <color theme="1" tint="0.24994659260841701"/>
      </right>
      <top style="thin">
        <color theme="0" tint="-0.24994659260841701"/>
      </top>
      <bottom style="thin">
        <color indexed="64"/>
      </bottom>
      <diagonal/>
    </border>
    <border>
      <left/>
      <right/>
      <top style="thin">
        <color indexed="64"/>
      </top>
      <bottom style="thin">
        <color indexed="39"/>
      </bottom>
      <diagonal/>
    </border>
    <border>
      <left/>
      <right/>
      <top style="thin">
        <color rgb="FF00B050"/>
      </top>
      <bottom style="thin">
        <color rgb="FF00B050"/>
      </bottom>
      <diagonal/>
    </border>
  </borders>
  <cellStyleXfs count="56">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48" fillId="0" borderId="0" applyNumberFormat="0" applyFill="0" applyBorder="0" applyAlignment="0" applyProtection="0">
      <alignment vertical="top"/>
      <protection locked="0"/>
    </xf>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5" fillId="0" borderId="0"/>
    <xf numFmtId="0" fontId="3" fillId="23" borderId="7" applyNumberFormat="0" applyFont="0" applyAlignment="0" applyProtection="0"/>
    <xf numFmtId="0" fontId="24" fillId="20"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9" fillId="0" borderId="0" applyFont="0"/>
    <xf numFmtId="166" fontId="28" fillId="0" borderId="0"/>
    <xf numFmtId="0" fontId="27" fillId="0" borderId="0" applyNumberFormat="0" applyFill="0" applyBorder="0" applyAlignment="0" applyProtection="0"/>
    <xf numFmtId="0" fontId="3" fillId="0" borderId="0"/>
    <xf numFmtId="0" fontId="3" fillId="0" borderId="0"/>
    <xf numFmtId="0" fontId="2" fillId="0" borderId="0"/>
    <xf numFmtId="0" fontId="3" fillId="0" borderId="0"/>
    <xf numFmtId="0" fontId="1" fillId="0" borderId="0"/>
    <xf numFmtId="0" fontId="1" fillId="0" borderId="0"/>
    <xf numFmtId="0" fontId="66" fillId="0" borderId="0"/>
    <xf numFmtId="0" fontId="6" fillId="0" borderId="0" applyFont="0"/>
    <xf numFmtId="0" fontId="86" fillId="0" borderId="0" applyNumberFormat="0" applyFill="0" applyBorder="0" applyAlignment="0" applyProtection="0"/>
    <xf numFmtId="0" fontId="48" fillId="0" borderId="0" applyNumberFormat="0" applyFill="0" applyBorder="0" applyAlignment="0" applyProtection="0">
      <alignment vertical="top"/>
      <protection locked="0"/>
    </xf>
  </cellStyleXfs>
  <cellXfs count="2031">
    <xf numFmtId="0" fontId="0" fillId="0" borderId="0" xfId="0"/>
    <xf numFmtId="0" fontId="0" fillId="24" borderId="0" xfId="0" applyFill="1" applyBorder="1"/>
    <xf numFmtId="0" fontId="7" fillId="24" borderId="0" xfId="0" applyFont="1" applyFill="1" applyBorder="1"/>
    <xf numFmtId="0" fontId="34" fillId="24" borderId="0" xfId="0" applyFont="1" applyFill="1" applyBorder="1"/>
    <xf numFmtId="0" fontId="3" fillId="24" borderId="0" xfId="0" applyFont="1" applyFill="1" applyBorder="1" applyAlignment="1">
      <alignment wrapText="1"/>
    </xf>
    <xf numFmtId="0" fontId="29" fillId="24" borderId="0" xfId="0" applyFont="1" applyFill="1" applyBorder="1"/>
    <xf numFmtId="0" fontId="4" fillId="24" borderId="0" xfId="0" applyFont="1" applyFill="1" applyBorder="1"/>
    <xf numFmtId="0" fontId="7" fillId="24" borderId="11" xfId="0" applyFont="1" applyFill="1" applyBorder="1"/>
    <xf numFmtId="49" fontId="39" fillId="24" borderId="0" xfId="0" applyNumberFormat="1" applyFont="1" applyFill="1" applyBorder="1" applyAlignment="1">
      <alignment horizontal="right" wrapText="1"/>
    </xf>
    <xf numFmtId="0" fontId="4" fillId="24" borderId="0" xfId="0" applyFont="1" applyFill="1" applyBorder="1" applyProtection="1"/>
    <xf numFmtId="0" fontId="4" fillId="24" borderId="0" xfId="0" applyFont="1" applyFill="1" applyProtection="1"/>
    <xf numFmtId="0" fontId="35" fillId="24" borderId="0" xfId="0" applyFont="1" applyFill="1" applyBorder="1" applyProtection="1"/>
    <xf numFmtId="0" fontId="0" fillId="24" borderId="0" xfId="0" applyFill="1" applyBorder="1" applyProtection="1"/>
    <xf numFmtId="0" fontId="30" fillId="24" borderId="0" xfId="0" applyFont="1" applyFill="1" applyBorder="1" applyAlignment="1" applyProtection="1"/>
    <xf numFmtId="0" fontId="4" fillId="24" borderId="0" xfId="0" applyFont="1" applyFill="1" applyBorder="1" applyAlignment="1" applyProtection="1"/>
    <xf numFmtId="0" fontId="0" fillId="24" borderId="0" xfId="0" applyFill="1" applyBorder="1" applyAlignment="1" applyProtection="1"/>
    <xf numFmtId="3" fontId="4" fillId="24" borderId="0" xfId="0" applyNumberFormat="1" applyFont="1" applyFill="1" applyBorder="1" applyAlignment="1" applyProtection="1">
      <alignment horizontal="center"/>
    </xf>
    <xf numFmtId="0" fontId="10" fillId="24" borderId="0" xfId="0" applyFont="1" applyFill="1" applyBorder="1" applyAlignment="1" applyProtection="1">
      <alignment wrapText="1"/>
    </xf>
    <xf numFmtId="0" fontId="34" fillId="24" borderId="0" xfId="0" applyFont="1" applyFill="1" applyBorder="1" applyAlignment="1" applyProtection="1">
      <alignment horizontal="center" wrapText="1"/>
    </xf>
    <xf numFmtId="0" fontId="0" fillId="24" borderId="0" xfId="0" applyFill="1" applyBorder="1" applyAlignment="1" applyProtection="1">
      <alignment horizontal="center" wrapText="1"/>
    </xf>
    <xf numFmtId="0" fontId="0" fillId="24" borderId="0" xfId="0" applyFill="1" applyBorder="1" applyAlignment="1" applyProtection="1">
      <alignment wrapText="1"/>
    </xf>
    <xf numFmtId="0" fontId="7" fillId="24" borderId="0" xfId="0" applyFont="1" applyFill="1" applyBorder="1" applyProtection="1"/>
    <xf numFmtId="0" fontId="7" fillId="24" borderId="0" xfId="0" applyFont="1" applyFill="1" applyBorder="1" applyAlignment="1" applyProtection="1"/>
    <xf numFmtId="0" fontId="40" fillId="24" borderId="0" xfId="0" applyFont="1" applyFill="1" applyBorder="1" applyAlignment="1" applyProtection="1">
      <alignment horizontal="center"/>
    </xf>
    <xf numFmtId="0" fontId="40" fillId="24" borderId="0" xfId="0" applyFont="1" applyFill="1" applyBorder="1" applyAlignment="1" applyProtection="1">
      <alignment horizontal="right"/>
    </xf>
    <xf numFmtId="0" fontId="44" fillId="0" borderId="15" xfId="0" applyFont="1" applyBorder="1" applyAlignment="1" applyProtection="1">
      <alignment vertical="top" wrapText="1"/>
    </xf>
    <xf numFmtId="0" fontId="42" fillId="25" borderId="15" xfId="0" applyFont="1" applyFill="1" applyBorder="1" applyAlignment="1" applyProtection="1">
      <alignment horizontal="center" vertical="center"/>
    </xf>
    <xf numFmtId="0" fontId="0" fillId="0" borderId="15" xfId="0" applyBorder="1" applyAlignment="1" applyProtection="1">
      <alignment vertical="top" wrapText="1"/>
    </xf>
    <xf numFmtId="0" fontId="5" fillId="24" borderId="21" xfId="0" applyFont="1" applyFill="1" applyBorder="1" applyAlignment="1" applyProtection="1">
      <alignment vertical="top" wrapText="1"/>
    </xf>
    <xf numFmtId="0" fontId="7" fillId="24" borderId="15" xfId="0" applyFont="1" applyFill="1" applyBorder="1" applyAlignment="1" applyProtection="1"/>
    <xf numFmtId="0" fontId="7" fillId="24" borderId="21" xfId="0" applyFont="1" applyFill="1" applyBorder="1" applyAlignment="1" applyProtection="1"/>
    <xf numFmtId="0" fontId="42" fillId="25" borderId="21" xfId="0" applyFont="1" applyFill="1" applyBorder="1" applyAlignment="1" applyProtection="1">
      <alignment horizontal="center" vertical="center"/>
    </xf>
    <xf numFmtId="0" fontId="7" fillId="24" borderId="21" xfId="0" applyFont="1" applyFill="1" applyBorder="1" applyProtection="1"/>
    <xf numFmtId="0" fontId="44" fillId="0" borderId="18" xfId="0" applyFont="1" applyBorder="1" applyAlignment="1" applyProtection="1">
      <alignment vertical="top" wrapText="1"/>
    </xf>
    <xf numFmtId="0" fontId="7" fillId="24" borderId="15" xfId="0" applyFont="1" applyFill="1" applyBorder="1" applyProtection="1"/>
    <xf numFmtId="0" fontId="0" fillId="0" borderId="18" xfId="0" applyBorder="1" applyAlignment="1" applyProtection="1">
      <alignment vertical="top" wrapText="1"/>
    </xf>
    <xf numFmtId="3" fontId="4" fillId="24" borderId="0" xfId="0" applyNumberFormat="1" applyFont="1" applyFill="1" applyBorder="1" applyProtection="1"/>
    <xf numFmtId="3" fontId="8" fillId="24" borderId="0" xfId="0" applyNumberFormat="1" applyFont="1" applyFill="1" applyBorder="1" applyProtection="1"/>
    <xf numFmtId="0" fontId="8" fillId="24" borderId="0" xfId="0" applyFont="1" applyFill="1" applyBorder="1" applyAlignment="1" applyProtection="1">
      <alignment horizontal="center" vertical="top" wrapText="1"/>
    </xf>
    <xf numFmtId="0" fontId="45" fillId="24" borderId="0" xfId="0" applyFont="1" applyFill="1" applyBorder="1" applyAlignment="1" applyProtection="1">
      <alignment horizontal="center" vertical="center"/>
    </xf>
    <xf numFmtId="0" fontId="42" fillId="24" borderId="0" xfId="0" applyFont="1" applyFill="1" applyBorder="1" applyAlignment="1" applyProtection="1">
      <alignment horizontal="center" vertical="center"/>
    </xf>
    <xf numFmtId="1" fontId="51" fillId="0" borderId="15" xfId="0" applyNumberFormat="1" applyFont="1" applyFill="1" applyBorder="1" applyAlignment="1" applyProtection="1">
      <alignment horizontal="center" vertical="top"/>
    </xf>
    <xf numFmtId="0" fontId="53" fillId="0" borderId="15" xfId="0" applyFont="1" applyFill="1" applyBorder="1" applyAlignment="1" applyProtection="1">
      <alignment horizontal="center"/>
    </xf>
    <xf numFmtId="0" fontId="53" fillId="0" borderId="15" xfId="0" applyFont="1" applyFill="1" applyBorder="1" applyAlignment="1" applyProtection="1">
      <alignment horizontal="center" vertical="center"/>
    </xf>
    <xf numFmtId="1" fontId="54" fillId="0" borderId="15" xfId="0" applyNumberFormat="1" applyFont="1" applyFill="1" applyBorder="1" applyAlignment="1" applyProtection="1">
      <alignment horizontal="center"/>
    </xf>
    <xf numFmtId="0" fontId="54" fillId="0" borderId="15" xfId="0" applyFont="1" applyFill="1" applyBorder="1" applyAlignment="1" applyProtection="1">
      <alignment horizontal="left" vertical="top" wrapText="1"/>
    </xf>
    <xf numFmtId="1" fontId="54" fillId="0" borderId="15" xfId="0" applyNumberFormat="1" applyFont="1" applyFill="1" applyBorder="1" applyProtection="1"/>
    <xf numFmtId="0" fontId="54" fillId="0" borderId="15" xfId="0" applyFont="1" applyFill="1" applyBorder="1" applyAlignment="1" applyProtection="1">
      <alignment horizontal="right" vertical="center"/>
    </xf>
    <xf numFmtId="0" fontId="54" fillId="0" borderId="18" xfId="0" applyFont="1" applyFill="1" applyBorder="1" applyProtection="1"/>
    <xf numFmtId="0" fontId="53" fillId="0" borderId="24" xfId="0" applyFont="1" applyFill="1" applyBorder="1" applyAlignment="1" applyProtection="1">
      <alignment horizontal="center" vertical="center" wrapText="1"/>
    </xf>
    <xf numFmtId="0" fontId="53" fillId="0" borderId="23" xfId="0" applyFont="1" applyFill="1" applyBorder="1" applyAlignment="1" applyProtection="1">
      <alignment horizontal="center" vertical="center" wrapText="1"/>
    </xf>
    <xf numFmtId="1" fontId="51" fillId="0" borderId="22" xfId="0" applyNumberFormat="1" applyFont="1" applyFill="1" applyBorder="1" applyAlignment="1" applyProtection="1">
      <alignment horizontal="center"/>
    </xf>
    <xf numFmtId="1" fontId="51" fillId="0" borderId="15" xfId="0" applyNumberFormat="1" applyFont="1" applyFill="1" applyBorder="1" applyAlignment="1" applyProtection="1">
      <alignment horizontal="center"/>
    </xf>
    <xf numFmtId="1" fontId="51" fillId="0" borderId="21" xfId="0" applyNumberFormat="1" applyFont="1" applyFill="1" applyBorder="1" applyAlignment="1" applyProtection="1">
      <alignment horizontal="center"/>
    </xf>
    <xf numFmtId="1" fontId="54" fillId="0" borderId="15" xfId="0" applyNumberFormat="1" applyFont="1" applyFill="1" applyBorder="1" applyAlignment="1" applyProtection="1">
      <alignment horizontal="center" vertical="top"/>
    </xf>
    <xf numFmtId="0" fontId="55" fillId="24" borderId="0" xfId="0" applyFont="1" applyFill="1" applyBorder="1" applyAlignment="1" applyProtection="1">
      <alignment horizontal="left"/>
    </xf>
    <xf numFmtId="1" fontId="54" fillId="0" borderId="19" xfId="0" applyNumberFormat="1" applyFont="1" applyFill="1" applyBorder="1" applyProtection="1"/>
    <xf numFmtId="0" fontId="8" fillId="27" borderId="15" xfId="0" applyFont="1" applyFill="1" applyBorder="1" applyAlignment="1" applyProtection="1">
      <alignment horizontal="center" vertical="center"/>
    </xf>
    <xf numFmtId="0" fontId="4" fillId="26" borderId="0" xfId="0" applyFont="1" applyFill="1" applyBorder="1" applyProtection="1"/>
    <xf numFmtId="0" fontId="31" fillId="26" borderId="0" xfId="0" applyFont="1" applyFill="1" applyBorder="1" applyAlignment="1" applyProtection="1">
      <alignment vertical="top"/>
    </xf>
    <xf numFmtId="0" fontId="0" fillId="26" borderId="0" xfId="0" applyFill="1" applyBorder="1" applyAlignment="1" applyProtection="1">
      <alignment vertical="top"/>
    </xf>
    <xf numFmtId="0" fontId="8" fillId="26" borderId="0" xfId="0" applyFont="1" applyFill="1" applyBorder="1" applyAlignment="1" applyProtection="1">
      <alignment horizontal="center" vertical="center"/>
    </xf>
    <xf numFmtId="0" fontId="4" fillId="26" borderId="0" xfId="0" applyFont="1" applyFill="1" applyBorder="1" applyAlignment="1" applyProtection="1"/>
    <xf numFmtId="0" fontId="0" fillId="26" borderId="0" xfId="0" applyFill="1" applyBorder="1" applyAlignment="1">
      <alignment horizontal="left" vertical="top" wrapText="1"/>
    </xf>
    <xf numFmtId="0" fontId="35" fillId="26" borderId="0" xfId="0" applyFont="1" applyFill="1" applyBorder="1" applyProtection="1"/>
    <xf numFmtId="0" fontId="37" fillId="26" borderId="0" xfId="0" applyFont="1" applyFill="1" applyBorder="1" applyAlignment="1" applyProtection="1">
      <alignment horizontal="right"/>
    </xf>
    <xf numFmtId="0" fontId="0" fillId="26" borderId="0" xfId="0" applyFill="1" applyBorder="1" applyProtection="1"/>
    <xf numFmtId="0" fontId="4" fillId="26" borderId="0" xfId="0" applyFont="1" applyFill="1" applyBorder="1" applyAlignment="1" applyProtection="1">
      <alignment horizontal="left" vertical="top" wrapText="1"/>
    </xf>
    <xf numFmtId="0" fontId="35" fillId="26" borderId="0" xfId="0" applyFont="1" applyFill="1" applyBorder="1" applyAlignment="1" applyProtection="1">
      <alignment horizontal="left" vertical="top" wrapText="1"/>
    </xf>
    <xf numFmtId="0" fontId="8" fillId="26" borderId="0" xfId="0" applyFont="1" applyFill="1" applyBorder="1" applyAlignment="1" applyProtection="1">
      <alignment vertical="center" wrapText="1"/>
    </xf>
    <xf numFmtId="0" fontId="0" fillId="26" borderId="0" xfId="0" applyFill="1" applyBorder="1" applyAlignment="1">
      <alignment wrapText="1"/>
    </xf>
    <xf numFmtId="0" fontId="0" fillId="26" borderId="0" xfId="0" applyFill="1" applyBorder="1" applyAlignment="1" applyProtection="1">
      <alignment wrapText="1"/>
    </xf>
    <xf numFmtId="0" fontId="54" fillId="0" borderId="15" xfId="0" applyFont="1" applyFill="1" applyBorder="1" applyAlignment="1" applyProtection="1">
      <alignment horizontal="left" vertical="center"/>
    </xf>
    <xf numFmtId="0" fontId="6" fillId="24" borderId="0" xfId="0" applyFont="1" applyFill="1" applyBorder="1" applyAlignment="1" applyProtection="1">
      <alignment horizontal="center" vertical="center"/>
    </xf>
    <xf numFmtId="0" fontId="4" fillId="0" borderId="0" xfId="0" applyFont="1" applyFill="1" applyProtection="1"/>
    <xf numFmtId="0" fontId="7" fillId="0" borderId="0" xfId="0" applyFont="1" applyFill="1" applyProtection="1"/>
    <xf numFmtId="0" fontId="4" fillId="0" borderId="0" xfId="0" applyFont="1" applyFill="1" applyAlignment="1" applyProtection="1"/>
    <xf numFmtId="0" fontId="41" fillId="0" borderId="18" xfId="0" applyFont="1" applyFill="1" applyBorder="1" applyAlignment="1" applyProtection="1">
      <alignment horizontal="right"/>
    </xf>
    <xf numFmtId="0" fontId="7" fillId="0" borderId="0" xfId="0" applyFont="1" applyFill="1" applyAlignment="1" applyProtection="1"/>
    <xf numFmtId="0" fontId="50" fillId="0" borderId="15" xfId="0" applyFont="1" applyFill="1" applyBorder="1" applyProtection="1"/>
    <xf numFmtId="0" fontId="35" fillId="0" borderId="0" xfId="0" applyFont="1" applyFill="1" applyBorder="1" applyProtection="1"/>
    <xf numFmtId="0" fontId="37" fillId="0" borderId="0" xfId="0" applyFont="1" applyFill="1" applyBorder="1" applyAlignment="1" applyProtection="1">
      <alignment horizontal="right"/>
    </xf>
    <xf numFmtId="0" fontId="35" fillId="0" borderId="0" xfId="0" applyFont="1" applyFill="1" applyBorder="1" applyAlignment="1" applyProtection="1">
      <alignment horizontal="right"/>
    </xf>
    <xf numFmtId="0" fontId="41" fillId="0" borderId="14" xfId="0" applyFont="1" applyFill="1" applyBorder="1" applyAlignment="1" applyProtection="1">
      <alignment horizontal="right"/>
      <protection locked="0"/>
    </xf>
    <xf numFmtId="0" fontId="50" fillId="0" borderId="14" xfId="0" applyFont="1" applyFill="1" applyBorder="1" applyProtection="1"/>
    <xf numFmtId="0" fontId="4" fillId="24" borderId="0" xfId="0" applyFont="1" applyFill="1" applyBorder="1" applyAlignment="1" applyProtection="1">
      <alignment vertical="center"/>
    </xf>
    <xf numFmtId="0" fontId="7" fillId="0" borderId="0" xfId="0" applyFont="1" applyFill="1" applyAlignment="1" applyProtection="1">
      <alignment vertical="center"/>
    </xf>
    <xf numFmtId="0" fontId="4" fillId="0" borderId="0" xfId="0" applyFont="1" applyFill="1" applyAlignment="1" applyProtection="1">
      <alignment vertical="center"/>
    </xf>
    <xf numFmtId="0" fontId="0" fillId="0" borderId="0" xfId="0" applyFill="1" applyProtection="1"/>
    <xf numFmtId="0" fontId="7" fillId="26" borderId="33" xfId="0" applyFont="1" applyFill="1" applyBorder="1" applyProtection="1"/>
    <xf numFmtId="0" fontId="7" fillId="26" borderId="33" xfId="0" applyFont="1" applyFill="1" applyBorder="1" applyAlignment="1" applyProtection="1"/>
    <xf numFmtId="0" fontId="7" fillId="26" borderId="33" xfId="0" applyFont="1" applyFill="1" applyBorder="1" applyAlignment="1" applyProtection="1">
      <alignment vertical="center"/>
    </xf>
    <xf numFmtId="0" fontId="34" fillId="26" borderId="0" xfId="0" applyFont="1" applyFill="1" applyBorder="1" applyAlignment="1" applyProtection="1">
      <alignment wrapText="1"/>
    </xf>
    <xf numFmtId="0" fontId="4" fillId="0" borderId="21" xfId="0" applyFont="1" applyFill="1" applyBorder="1" applyAlignment="1" applyProtection="1">
      <alignment horizontal="left" vertical="center" wrapText="1"/>
    </xf>
    <xf numFmtId="3" fontId="4" fillId="0" borderId="15" xfId="0" applyNumberFormat="1" applyFont="1" applyBorder="1" applyAlignment="1" applyProtection="1">
      <alignment horizontal="center" vertical="center"/>
    </xf>
    <xf numFmtId="3" fontId="4" fillId="0" borderId="21" xfId="0" applyNumberFormat="1" applyFont="1" applyBorder="1" applyAlignment="1" applyProtection="1">
      <alignment horizontal="center" vertical="center"/>
    </xf>
    <xf numFmtId="0" fontId="0" fillId="24" borderId="0" xfId="0" applyFill="1" applyBorder="1" applyAlignment="1" applyProtection="1">
      <alignment vertical="center"/>
    </xf>
    <xf numFmtId="164" fontId="4" fillId="0" borderId="15" xfId="0" applyNumberFormat="1" applyFont="1" applyBorder="1" applyAlignment="1" applyProtection="1">
      <alignment horizontal="center" vertical="center"/>
    </xf>
    <xf numFmtId="164" fontId="4" fillId="0" borderId="18" xfId="0" applyNumberFormat="1" applyFont="1" applyBorder="1" applyAlignment="1" applyProtection="1">
      <alignment horizontal="center" vertical="center"/>
    </xf>
    <xf numFmtId="164" fontId="4" fillId="0" borderId="21" xfId="0" applyNumberFormat="1" applyFont="1" applyBorder="1" applyAlignment="1" applyProtection="1">
      <alignment horizontal="center" vertical="center"/>
    </xf>
    <xf numFmtId="3" fontId="4" fillId="0" borderId="15" xfId="0" applyNumberFormat="1" applyFont="1" applyFill="1" applyBorder="1" applyAlignment="1" applyProtection="1">
      <alignment horizontal="center" vertical="center"/>
    </xf>
    <xf numFmtId="1" fontId="4" fillId="0" borderId="15" xfId="0" applyNumberFormat="1" applyFont="1" applyBorder="1" applyAlignment="1" applyProtection="1">
      <alignment horizontal="center" vertical="center"/>
    </xf>
    <xf numFmtId="0" fontId="53" fillId="0" borderId="23" xfId="0" applyFont="1" applyFill="1" applyBorder="1" applyAlignment="1" applyProtection="1">
      <alignment horizontal="center" vertical="center" textRotation="90" wrapText="1"/>
    </xf>
    <xf numFmtId="0" fontId="53" fillId="0" borderId="16" xfId="0" applyFont="1" applyFill="1" applyBorder="1" applyAlignment="1" applyProtection="1">
      <alignment horizontal="center" vertical="center" textRotation="90" wrapText="1"/>
    </xf>
    <xf numFmtId="0" fontId="8" fillId="25" borderId="23" xfId="0" applyFont="1" applyFill="1" applyBorder="1" applyAlignment="1" applyProtection="1">
      <alignment horizontal="center" vertical="center" textRotation="90" wrapText="1"/>
    </xf>
    <xf numFmtId="0" fontId="53" fillId="0" borderId="24" xfId="0" applyFont="1" applyFill="1" applyBorder="1" applyAlignment="1" applyProtection="1">
      <alignment horizontal="center" vertical="center" textRotation="90" wrapText="1"/>
    </xf>
    <xf numFmtId="0" fontId="8" fillId="25" borderId="16" xfId="0" applyFont="1" applyFill="1" applyBorder="1" applyAlignment="1" applyProtection="1">
      <alignment horizontal="center" vertical="center" textRotation="90" wrapText="1"/>
    </xf>
    <xf numFmtId="0" fontId="31" fillId="26" borderId="0" xfId="0" applyFont="1" applyFill="1" applyBorder="1" applyAlignment="1" applyProtection="1">
      <alignment vertical="top" wrapText="1"/>
    </xf>
    <xf numFmtId="0" fontId="0" fillId="26" borderId="0" xfId="0" applyFill="1" applyBorder="1" applyAlignment="1" applyProtection="1">
      <alignment vertical="top" wrapText="1"/>
    </xf>
    <xf numFmtId="0" fontId="47" fillId="26" borderId="0" xfId="0" applyFont="1" applyFill="1" applyBorder="1" applyAlignment="1" applyProtection="1">
      <alignment vertical="center" wrapText="1"/>
    </xf>
    <xf numFmtId="0" fontId="4" fillId="24" borderId="15" xfId="0" applyFont="1" applyFill="1" applyBorder="1" applyAlignment="1" applyProtection="1">
      <alignment vertical="center"/>
    </xf>
    <xf numFmtId="0" fontId="0" fillId="0" borderId="15" xfId="0" applyBorder="1" applyAlignment="1" applyProtection="1">
      <alignment vertical="center" wrapText="1"/>
    </xf>
    <xf numFmtId="0" fontId="4" fillId="24" borderId="35" xfId="0" applyFont="1" applyFill="1" applyBorder="1" applyProtection="1"/>
    <xf numFmtId="0" fontId="4" fillId="24" borderId="36" xfId="0" applyFont="1" applyFill="1" applyBorder="1" applyProtection="1"/>
    <xf numFmtId="0" fontId="0" fillId="24" borderId="36" xfId="0" applyFill="1" applyBorder="1" applyProtection="1"/>
    <xf numFmtId="0" fontId="4" fillId="24" borderId="37" xfId="0" applyFont="1" applyFill="1" applyBorder="1" applyProtection="1"/>
    <xf numFmtId="0" fontId="38" fillId="24" borderId="38" xfId="0" applyFont="1" applyFill="1" applyBorder="1" applyProtection="1"/>
    <xf numFmtId="0" fontId="4" fillId="24" borderId="39" xfId="0" applyFont="1" applyFill="1" applyBorder="1" applyProtection="1"/>
    <xf numFmtId="0" fontId="4" fillId="24" borderId="38" xfId="0" applyFont="1" applyFill="1" applyBorder="1" applyProtection="1"/>
    <xf numFmtId="0" fontId="4" fillId="24" borderId="38" xfId="0" applyFont="1" applyFill="1" applyBorder="1" applyAlignment="1" applyProtection="1"/>
    <xf numFmtId="0" fontId="4" fillId="24" borderId="39" xfId="0" applyFont="1" applyFill="1" applyBorder="1" applyAlignment="1" applyProtection="1"/>
    <xf numFmtId="0" fontId="4" fillId="24" borderId="38" xfId="0" applyFont="1" applyFill="1" applyBorder="1" applyAlignment="1" applyProtection="1">
      <alignment vertical="center"/>
    </xf>
    <xf numFmtId="0" fontId="4" fillId="24" borderId="39" xfId="0" applyFont="1" applyFill="1" applyBorder="1" applyAlignment="1" applyProtection="1">
      <alignment vertical="center"/>
    </xf>
    <xf numFmtId="0" fontId="8" fillId="26" borderId="0" xfId="0" applyFont="1" applyFill="1" applyBorder="1" applyProtection="1"/>
    <xf numFmtId="0" fontId="4" fillId="24" borderId="40" xfId="0" applyFont="1" applyFill="1" applyBorder="1" applyProtection="1"/>
    <xf numFmtId="0" fontId="4" fillId="24" borderId="41" xfId="0" applyFont="1" applyFill="1" applyBorder="1" applyProtection="1"/>
    <xf numFmtId="0" fontId="0" fillId="24" borderId="41" xfId="0" applyFill="1" applyBorder="1" applyProtection="1"/>
    <xf numFmtId="0" fontId="4" fillId="24" borderId="42" xfId="0" applyFont="1" applyFill="1" applyBorder="1" applyProtection="1"/>
    <xf numFmtId="0" fontId="58" fillId="24" borderId="0" xfId="0" applyFont="1" applyFill="1" applyBorder="1" applyAlignment="1" applyProtection="1">
      <alignment horizontal="left" vertical="center"/>
    </xf>
    <xf numFmtId="0" fontId="4" fillId="29" borderId="21" xfId="0" applyFont="1" applyFill="1" applyBorder="1" applyAlignment="1" applyProtection="1">
      <alignment horizontal="left" vertical="center" wrapText="1"/>
    </xf>
    <xf numFmtId="3" fontId="4" fillId="29" borderId="15" xfId="0" applyNumberFormat="1" applyFont="1" applyFill="1" applyBorder="1" applyAlignment="1" applyProtection="1">
      <alignment horizontal="center" vertical="center"/>
    </xf>
    <xf numFmtId="3" fontId="4" fillId="29" borderId="21" xfId="0" applyNumberFormat="1" applyFont="1" applyFill="1" applyBorder="1" applyAlignment="1" applyProtection="1">
      <alignment horizontal="center" vertical="center"/>
    </xf>
    <xf numFmtId="165" fontId="4" fillId="29" borderId="15" xfId="0" applyNumberFormat="1" applyFont="1" applyFill="1" applyBorder="1" applyAlignment="1" applyProtection="1">
      <alignment horizontal="center" vertical="center"/>
      <protection hidden="1"/>
    </xf>
    <xf numFmtId="165" fontId="4" fillId="29" borderId="18" xfId="0" applyNumberFormat="1" applyFont="1" applyFill="1" applyBorder="1" applyAlignment="1" applyProtection="1">
      <alignment horizontal="center" vertical="center"/>
      <protection hidden="1"/>
    </xf>
    <xf numFmtId="0" fontId="4" fillId="29" borderId="19" xfId="0" quotePrefix="1" applyFont="1" applyFill="1" applyBorder="1" applyAlignment="1" applyProtection="1">
      <alignment horizontal="center" vertical="center"/>
    </xf>
    <xf numFmtId="165" fontId="4" fillId="29" borderId="21" xfId="0" applyNumberFormat="1" applyFont="1" applyFill="1" applyBorder="1" applyAlignment="1" applyProtection="1">
      <alignment horizontal="center" vertical="center" wrapText="1"/>
      <protection hidden="1"/>
    </xf>
    <xf numFmtId="0" fontId="4" fillId="26" borderId="0" xfId="0" applyFont="1" applyFill="1" applyBorder="1" applyAlignment="1">
      <alignment horizontal="center" vertical="top"/>
    </xf>
    <xf numFmtId="0" fontId="35" fillId="24" borderId="44" xfId="0" applyFont="1" applyFill="1" applyBorder="1" applyProtection="1"/>
    <xf numFmtId="0" fontId="35" fillId="24" borderId="44" xfId="0" applyFont="1" applyFill="1" applyBorder="1" applyAlignment="1" applyProtection="1"/>
    <xf numFmtId="0" fontId="35" fillId="24" borderId="44" xfId="0" applyFont="1" applyFill="1" applyBorder="1" applyAlignment="1" applyProtection="1">
      <alignment vertical="center"/>
    </xf>
    <xf numFmtId="0" fontId="4" fillId="24" borderId="44" xfId="0" applyFont="1" applyFill="1" applyBorder="1" applyAlignment="1" applyProtection="1"/>
    <xf numFmtId="0" fontId="35" fillId="24" borderId="45" xfId="0" applyFont="1" applyFill="1" applyBorder="1" applyProtection="1"/>
    <xf numFmtId="0" fontId="4" fillId="24" borderId="46" xfId="0" applyFont="1" applyFill="1" applyBorder="1" applyProtection="1"/>
    <xf numFmtId="0" fontId="4" fillId="24" borderId="48" xfId="0" applyFont="1" applyFill="1" applyBorder="1" applyProtection="1"/>
    <xf numFmtId="0" fontId="0" fillId="24" borderId="48" xfId="0" applyFill="1" applyBorder="1" applyProtection="1"/>
    <xf numFmtId="0" fontId="4" fillId="0" borderId="15" xfId="0" applyFont="1" applyFill="1" applyBorder="1" applyAlignment="1" applyProtection="1">
      <alignment horizontal="center" vertical="center" wrapText="1"/>
    </xf>
    <xf numFmtId="165" fontId="4" fillId="0" borderId="0" xfId="0" applyNumberFormat="1" applyFont="1" applyFill="1" applyAlignment="1" applyProtection="1">
      <alignment vertical="center"/>
    </xf>
    <xf numFmtId="165" fontId="37" fillId="0" borderId="0" xfId="0" applyNumberFormat="1" applyFont="1" applyFill="1" applyBorder="1" applyAlignment="1" applyProtection="1">
      <alignment horizontal="right"/>
    </xf>
    <xf numFmtId="165" fontId="4" fillId="0" borderId="0" xfId="0" applyNumberFormat="1" applyFont="1" applyFill="1" applyProtection="1"/>
    <xf numFmtId="0" fontId="8" fillId="26" borderId="46" xfId="0" applyFont="1" applyFill="1" applyBorder="1" applyAlignment="1" applyProtection="1">
      <alignment vertical="center"/>
    </xf>
    <xf numFmtId="0" fontId="35" fillId="26" borderId="46" xfId="0" applyFont="1" applyFill="1" applyBorder="1" applyProtection="1"/>
    <xf numFmtId="0" fontId="35" fillId="26" borderId="46" xfId="0" applyFont="1" applyFill="1" applyBorder="1" applyAlignment="1" applyProtection="1"/>
    <xf numFmtId="0" fontId="35" fillId="26" borderId="46" xfId="0" applyFont="1" applyFill="1" applyBorder="1" applyAlignment="1" applyProtection="1">
      <alignment vertical="center"/>
    </xf>
    <xf numFmtId="0" fontId="4" fillId="26" borderId="21" xfId="0" applyFont="1" applyFill="1" applyBorder="1" applyAlignment="1" applyProtection="1">
      <alignment horizontal="left" vertical="center" wrapText="1"/>
    </xf>
    <xf numFmtId="0" fontId="4" fillId="26" borderId="46" xfId="0" applyFont="1" applyFill="1" applyBorder="1" applyAlignment="1" applyProtection="1"/>
    <xf numFmtId="0" fontId="35" fillId="26" borderId="17" xfId="0" applyFont="1" applyFill="1" applyBorder="1" applyProtection="1"/>
    <xf numFmtId="0" fontId="4" fillId="26" borderId="43" xfId="0" applyFont="1" applyFill="1" applyBorder="1" applyProtection="1"/>
    <xf numFmtId="0" fontId="4" fillId="26" borderId="44" xfId="0" applyFont="1" applyFill="1" applyBorder="1" applyProtection="1"/>
    <xf numFmtId="0" fontId="4" fillId="26" borderId="44" xfId="0" applyFont="1" applyFill="1" applyBorder="1" applyAlignment="1" applyProtection="1"/>
    <xf numFmtId="0" fontId="4" fillId="26" borderId="0" xfId="0" applyFont="1" applyFill="1" applyBorder="1" applyAlignment="1" applyProtection="1">
      <alignment vertical="center"/>
    </xf>
    <xf numFmtId="0" fontId="4" fillId="26" borderId="44" xfId="0" applyFont="1" applyFill="1" applyBorder="1" applyAlignment="1" applyProtection="1">
      <alignment vertical="center"/>
    </xf>
    <xf numFmtId="0" fontId="37" fillId="26" borderId="44" xfId="0" applyFont="1" applyFill="1" applyBorder="1" applyAlignment="1" applyProtection="1">
      <alignment horizontal="right"/>
    </xf>
    <xf numFmtId="9" fontId="4" fillId="0" borderId="15" xfId="0" applyNumberFormat="1" applyFont="1" applyBorder="1" applyAlignment="1" applyProtection="1">
      <alignment horizontal="center" vertical="center"/>
    </xf>
    <xf numFmtId="9" fontId="4" fillId="29" borderId="15" xfId="0" applyNumberFormat="1" applyFont="1" applyFill="1" applyBorder="1" applyAlignment="1" applyProtection="1">
      <alignment horizontal="center" vertical="center"/>
    </xf>
    <xf numFmtId="9" fontId="4" fillId="0" borderId="21" xfId="0" applyNumberFormat="1" applyFont="1" applyBorder="1" applyAlignment="1" applyProtection="1">
      <alignment horizontal="center" vertical="center"/>
    </xf>
    <xf numFmtId="9" fontId="4" fillId="29" borderId="21" xfId="0" applyNumberFormat="1" applyFont="1" applyFill="1" applyBorder="1" applyAlignment="1" applyProtection="1">
      <alignment horizontal="center" vertical="center"/>
    </xf>
    <xf numFmtId="164" fontId="4" fillId="26" borderId="0" xfId="0" applyNumberFormat="1" applyFont="1" applyFill="1" applyBorder="1" applyAlignment="1" applyProtection="1">
      <alignment horizontal="center" vertical="center"/>
    </xf>
    <xf numFmtId="3" fontId="4" fillId="26" borderId="0" xfId="0" applyNumberFormat="1" applyFont="1" applyFill="1" applyBorder="1" applyAlignment="1" applyProtection="1">
      <alignment horizontal="center" vertical="center"/>
    </xf>
    <xf numFmtId="165" fontId="4" fillId="26" borderId="0" xfId="0" applyNumberFormat="1" applyFont="1" applyFill="1" applyBorder="1" applyAlignment="1" applyProtection="1">
      <alignment horizontal="center" vertical="center"/>
      <protection hidden="1"/>
    </xf>
    <xf numFmtId="0" fontId="4" fillId="26" borderId="0" xfId="0" quotePrefix="1" applyFont="1" applyFill="1" applyBorder="1" applyAlignment="1" applyProtection="1">
      <alignment horizontal="center" vertical="center"/>
    </xf>
    <xf numFmtId="165" fontId="4" fillId="26" borderId="0" xfId="0" applyNumberFormat="1" applyFont="1" applyFill="1" applyBorder="1" applyAlignment="1" applyProtection="1">
      <alignment horizontal="center" vertical="center" wrapText="1"/>
      <protection hidden="1"/>
    </xf>
    <xf numFmtId="9" fontId="37" fillId="0" borderId="0" xfId="0" applyNumberFormat="1" applyFont="1" applyFill="1" applyBorder="1" applyAlignment="1" applyProtection="1">
      <alignment horizontal="right"/>
    </xf>
    <xf numFmtId="0" fontId="0" fillId="26" borderId="0" xfId="0" applyFill="1" applyBorder="1" applyAlignment="1">
      <alignment horizontal="left" vertical="top"/>
    </xf>
    <xf numFmtId="0" fontId="8" fillId="25" borderId="15" xfId="0" applyFont="1" applyFill="1" applyBorder="1" applyAlignment="1" applyProtection="1">
      <alignment horizontal="center" vertical="center" textRotation="90" wrapText="1"/>
    </xf>
    <xf numFmtId="0" fontId="37" fillId="26" borderId="36" xfId="0" applyFont="1" applyFill="1" applyBorder="1" applyAlignment="1" applyProtection="1">
      <alignment horizontal="right"/>
    </xf>
    <xf numFmtId="0" fontId="4" fillId="24" borderId="21" xfId="0" applyFont="1" applyFill="1" applyBorder="1" applyAlignment="1" applyProtection="1">
      <alignment vertical="center"/>
    </xf>
    <xf numFmtId="0" fontId="4" fillId="26" borderId="0" xfId="0" applyFont="1" applyFill="1" applyAlignment="1" applyProtection="1">
      <alignment vertical="center"/>
    </xf>
    <xf numFmtId="0" fontId="8" fillId="28" borderId="16" xfId="0" applyFont="1" applyFill="1" applyBorder="1" applyAlignment="1" applyProtection="1">
      <alignment horizontal="center" vertical="center" wrapText="1"/>
    </xf>
    <xf numFmtId="0" fontId="8" fillId="28" borderId="23" xfId="0" applyFont="1" applyFill="1" applyBorder="1" applyAlignment="1" applyProtection="1">
      <alignment horizontal="center" vertical="center" wrapText="1"/>
    </xf>
    <xf numFmtId="0" fontId="53" fillId="0" borderId="16" xfId="0" applyFont="1" applyFill="1" applyBorder="1" applyAlignment="1" applyProtection="1">
      <alignment horizontal="center" vertical="center" wrapText="1"/>
    </xf>
    <xf numFmtId="0" fontId="37" fillId="0" borderId="49" xfId="0" applyFont="1" applyFill="1" applyBorder="1" applyAlignment="1" applyProtection="1">
      <alignment horizontal="right"/>
    </xf>
    <xf numFmtId="0" fontId="4" fillId="0" borderId="49" xfId="0" applyFont="1" applyFill="1" applyBorder="1" applyProtection="1"/>
    <xf numFmtId="0" fontId="4" fillId="0" borderId="43" xfId="0" applyFont="1" applyFill="1" applyBorder="1" applyProtection="1"/>
    <xf numFmtId="0" fontId="35" fillId="0" borderId="46" xfId="0" applyFont="1" applyFill="1" applyBorder="1" applyProtection="1"/>
    <xf numFmtId="0" fontId="4" fillId="0" borderId="0" xfId="0" applyFont="1" applyFill="1" applyBorder="1" applyProtection="1"/>
    <xf numFmtId="0" fontId="4" fillId="0" borderId="44" xfId="0" applyFont="1" applyFill="1" applyBorder="1" applyProtection="1"/>
    <xf numFmtId="0" fontId="53" fillId="0" borderId="15" xfId="0" applyFont="1" applyFill="1" applyBorder="1" applyAlignment="1" applyProtection="1">
      <alignment horizontal="center" wrapText="1"/>
    </xf>
    <xf numFmtId="0" fontId="35" fillId="0" borderId="46" xfId="0" applyFont="1" applyFill="1" applyBorder="1" applyAlignment="1" applyProtection="1"/>
    <xf numFmtId="0" fontId="4" fillId="0" borderId="0" xfId="0" applyFont="1" applyFill="1" applyBorder="1" applyAlignment="1" applyProtection="1"/>
    <xf numFmtId="0" fontId="4" fillId="0" borderId="44" xfId="0" applyFont="1" applyFill="1" applyBorder="1" applyAlignment="1" applyProtection="1"/>
    <xf numFmtId="0" fontId="37" fillId="0" borderId="0" xfId="0" applyFont="1" applyFill="1" applyBorder="1" applyAlignment="1" applyProtection="1">
      <alignment horizontal="righ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right"/>
    </xf>
    <xf numFmtId="0" fontId="35" fillId="0" borderId="46" xfId="0" applyFont="1" applyFill="1" applyBorder="1" applyAlignment="1" applyProtection="1">
      <alignment vertical="center"/>
    </xf>
    <xf numFmtId="3" fontId="37" fillId="0" borderId="0" xfId="0" applyNumberFormat="1" applyFont="1" applyFill="1" applyBorder="1" applyAlignment="1" applyProtection="1">
      <alignment horizontal="right" vertical="center"/>
    </xf>
    <xf numFmtId="3" fontId="40" fillId="0" borderId="0" xfId="0" applyNumberFormat="1" applyFont="1" applyFill="1" applyBorder="1" applyAlignment="1" applyProtection="1">
      <alignment horizontal="right"/>
    </xf>
    <xf numFmtId="0" fontId="40" fillId="0" borderId="0" xfId="0" applyFont="1" applyFill="1" applyBorder="1" applyAlignment="1" applyProtection="1">
      <alignment horizontal="right"/>
    </xf>
    <xf numFmtId="0" fontId="40" fillId="0" borderId="0" xfId="0" applyFont="1" applyFill="1" applyBorder="1" applyAlignment="1" applyProtection="1">
      <alignment horizontal="center"/>
    </xf>
    <xf numFmtId="0" fontId="55" fillId="0" borderId="0" xfId="0" applyFont="1" applyFill="1" applyBorder="1" applyAlignment="1" applyProtection="1">
      <alignment horizontal="left"/>
    </xf>
    <xf numFmtId="0" fontId="37" fillId="0" borderId="0" xfId="0" applyFont="1" applyFill="1" applyBorder="1" applyAlignment="1" applyProtection="1">
      <alignment horizontal="center" vertical="center"/>
    </xf>
    <xf numFmtId="0" fontId="37" fillId="26" borderId="48" xfId="0" applyFont="1" applyFill="1" applyBorder="1" applyAlignment="1" applyProtection="1">
      <alignment horizontal="right"/>
    </xf>
    <xf numFmtId="0" fontId="4" fillId="26" borderId="48" xfId="0" applyFont="1" applyFill="1" applyBorder="1" applyProtection="1"/>
    <xf numFmtId="0" fontId="4" fillId="0" borderId="0" xfId="0" applyFont="1" applyFill="1" applyBorder="1" applyAlignment="1" applyProtection="1">
      <alignment vertical="center"/>
    </xf>
    <xf numFmtId="0" fontId="51" fillId="0" borderId="0" xfId="0" applyFont="1" applyFill="1" applyBorder="1" applyAlignment="1" applyProtection="1">
      <alignment horizontal="left" vertical="center"/>
    </xf>
    <xf numFmtId="0" fontId="37" fillId="0" borderId="0" xfId="0" applyFont="1" applyFill="1" applyBorder="1" applyAlignment="1" applyProtection="1">
      <alignment horizontal="left" vertical="center"/>
    </xf>
    <xf numFmtId="1" fontId="54" fillId="0" borderId="15" xfId="0" applyNumberFormat="1" applyFont="1" applyFill="1" applyBorder="1" applyAlignment="1" applyProtection="1">
      <alignment horizontal="center" vertical="center"/>
    </xf>
    <xf numFmtId="0" fontId="37" fillId="0" borderId="15" xfId="0" applyFont="1" applyFill="1" applyBorder="1" applyAlignment="1" applyProtection="1">
      <alignment horizontal="right" vertical="center"/>
    </xf>
    <xf numFmtId="0" fontId="37" fillId="0" borderId="0" xfId="0" applyFont="1" applyFill="1" applyBorder="1" applyAlignment="1" applyProtection="1">
      <alignment horizontal="center"/>
    </xf>
    <xf numFmtId="0" fontId="54" fillId="0" borderId="0" xfId="0" applyFont="1" applyFill="1" applyBorder="1" applyAlignment="1" applyProtection="1">
      <alignment horizontal="right"/>
    </xf>
    <xf numFmtId="0" fontId="53" fillId="0" borderId="14" xfId="0" applyFont="1" applyFill="1" applyBorder="1" applyAlignment="1" applyProtection="1">
      <alignment horizontal="center" vertical="center"/>
    </xf>
    <xf numFmtId="164" fontId="51" fillId="0" borderId="16" xfId="0" applyNumberFormat="1" applyFont="1" applyFill="1" applyBorder="1" applyAlignment="1" applyProtection="1">
      <alignment vertical="center"/>
    </xf>
    <xf numFmtId="165" fontId="54" fillId="0" borderId="43" xfId="0" applyNumberFormat="1" applyFont="1" applyFill="1" applyBorder="1" applyAlignment="1" applyProtection="1">
      <alignment vertical="center"/>
    </xf>
    <xf numFmtId="0" fontId="54" fillId="0" borderId="15" xfId="0" applyFont="1" applyFill="1" applyBorder="1" applyAlignment="1" applyProtection="1">
      <alignment horizontal="center" vertical="center"/>
    </xf>
    <xf numFmtId="0" fontId="51" fillId="0" borderId="14" xfId="0" applyFont="1" applyFill="1" applyBorder="1" applyAlignment="1" applyProtection="1">
      <alignment horizontal="center" vertical="center" wrapText="1"/>
    </xf>
    <xf numFmtId="0" fontId="51" fillId="0" borderId="15" xfId="0" applyFont="1" applyFill="1" applyBorder="1" applyAlignment="1" applyProtection="1">
      <alignment horizontal="center" vertical="center" wrapText="1"/>
    </xf>
    <xf numFmtId="0" fontId="51" fillId="0" borderId="15" xfId="0" applyFont="1" applyFill="1" applyBorder="1" applyAlignment="1" applyProtection="1">
      <alignment horizontal="right" vertical="center"/>
    </xf>
    <xf numFmtId="165" fontId="54" fillId="0" borderId="15" xfId="0" applyNumberFormat="1" applyFont="1" applyFill="1" applyBorder="1" applyAlignment="1" applyProtection="1">
      <alignment vertical="center"/>
    </xf>
    <xf numFmtId="0" fontId="4" fillId="24" borderId="38" xfId="0" applyFont="1" applyFill="1" applyBorder="1" applyAlignment="1" applyProtection="1">
      <alignment horizontal="left" vertical="top"/>
    </xf>
    <xf numFmtId="0" fontId="4" fillId="26" borderId="36" xfId="0" applyFont="1" applyFill="1" applyBorder="1" applyProtection="1"/>
    <xf numFmtId="0" fontId="0" fillId="26" borderId="36" xfId="0" applyFill="1" applyBorder="1" applyProtection="1"/>
    <xf numFmtId="0" fontId="4" fillId="26" borderId="37" xfId="0" applyFont="1" applyFill="1" applyBorder="1" applyProtection="1"/>
    <xf numFmtId="0" fontId="4" fillId="26" borderId="39" xfId="0" applyFont="1" applyFill="1" applyBorder="1" applyAlignment="1" applyProtection="1"/>
    <xf numFmtId="0" fontId="8" fillId="26" borderId="0" xfId="0" applyFont="1" applyFill="1" applyBorder="1" applyAlignment="1" applyProtection="1">
      <alignment horizontal="left" vertical="top"/>
    </xf>
    <xf numFmtId="0" fontId="37" fillId="0" borderId="0" xfId="0" applyFont="1" applyFill="1" applyBorder="1" applyAlignment="1" applyProtection="1">
      <alignment horizontal="left"/>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31" fillId="26" borderId="0" xfId="0" applyFont="1" applyFill="1" applyBorder="1" applyAlignment="1" applyProtection="1">
      <alignment vertical="top" wrapText="1"/>
    </xf>
    <xf numFmtId="0" fontId="0" fillId="26" borderId="0" xfId="0" applyFill="1" applyBorder="1" applyAlignment="1" applyProtection="1">
      <alignment vertical="top" wrapText="1"/>
    </xf>
    <xf numFmtId="0" fontId="0" fillId="24" borderId="0" xfId="0" applyFill="1" applyBorder="1" applyAlignment="1" applyProtection="1">
      <alignment vertical="top" wrapText="1"/>
    </xf>
    <xf numFmtId="0" fontId="4" fillId="24" borderId="0" xfId="0" applyFont="1" applyFill="1" applyBorder="1" applyAlignment="1" applyProtection="1">
      <alignment horizontal="right" vertical="top"/>
    </xf>
    <xf numFmtId="0" fontId="4" fillId="26" borderId="0" xfId="0" applyFont="1" applyFill="1" applyBorder="1" applyAlignment="1" applyProtection="1">
      <alignment horizontal="right" vertical="top"/>
    </xf>
    <xf numFmtId="164" fontId="4" fillId="0" borderId="18" xfId="0" applyNumberFormat="1" applyFont="1" applyFill="1" applyBorder="1" applyAlignment="1" applyProtection="1">
      <alignment horizontal="center" vertical="center"/>
    </xf>
    <xf numFmtId="1" fontId="4" fillId="29" borderId="15" xfId="0" applyNumberFormat="1" applyFont="1" applyFill="1" applyBorder="1" applyAlignment="1" applyProtection="1">
      <alignment horizontal="center" vertical="center"/>
      <protection hidden="1"/>
    </xf>
    <xf numFmtId="1" fontId="4" fillId="0" borderId="21" xfId="0" applyNumberFormat="1" applyFont="1" applyBorder="1" applyAlignment="1" applyProtection="1">
      <alignment horizontal="center" vertical="center"/>
    </xf>
    <xf numFmtId="165" fontId="4" fillId="0" borderId="15" xfId="0" applyNumberFormat="1" applyFont="1" applyBorder="1" applyAlignment="1" applyProtection="1">
      <alignment horizontal="center" vertical="center"/>
    </xf>
    <xf numFmtId="165" fontId="4" fillId="0" borderId="18" xfId="0" applyNumberFormat="1" applyFont="1" applyBorder="1" applyAlignment="1" applyProtection="1">
      <alignment horizontal="center" vertical="center"/>
    </xf>
    <xf numFmtId="0" fontId="7" fillId="26" borderId="44" xfId="0" applyFont="1" applyFill="1" applyBorder="1" applyProtection="1"/>
    <xf numFmtId="0" fontId="7" fillId="24" borderId="35" xfId="0" applyFont="1" applyFill="1" applyBorder="1" applyProtection="1"/>
    <xf numFmtId="0" fontId="7" fillId="24" borderId="36" xfId="0" applyFont="1" applyFill="1" applyBorder="1" applyProtection="1"/>
    <xf numFmtId="0" fontId="7" fillId="24" borderId="38" xfId="0" applyFont="1" applyFill="1" applyBorder="1" applyProtection="1"/>
    <xf numFmtId="0" fontId="7" fillId="24" borderId="38" xfId="0" applyFont="1" applyFill="1" applyBorder="1" applyAlignment="1" applyProtection="1"/>
    <xf numFmtId="0" fontId="7" fillId="24" borderId="38" xfId="0" applyFont="1" applyFill="1" applyBorder="1" applyAlignment="1" applyProtection="1">
      <alignment vertical="center"/>
    </xf>
    <xf numFmtId="0" fontId="7" fillId="26" borderId="40" xfId="0" applyFont="1" applyFill="1" applyBorder="1" applyAlignment="1" applyProtection="1">
      <alignment horizontal="center" wrapText="1"/>
    </xf>
    <xf numFmtId="0" fontId="0" fillId="26" borderId="41" xfId="0" applyFill="1" applyBorder="1" applyAlignment="1" applyProtection="1">
      <alignment horizontal="center" wrapText="1"/>
    </xf>
    <xf numFmtId="0" fontId="4" fillId="26" borderId="39" xfId="0" applyFont="1" applyFill="1" applyBorder="1" applyProtection="1"/>
    <xf numFmtId="0" fontId="4" fillId="26" borderId="42" xfId="0" applyFont="1" applyFill="1" applyBorder="1" applyProtection="1"/>
    <xf numFmtId="0" fontId="7" fillId="0" borderId="0" xfId="0" applyFont="1" applyFill="1" applyBorder="1" applyAlignment="1" applyProtection="1"/>
    <xf numFmtId="0" fontId="7" fillId="0" borderId="0" xfId="0" applyFont="1" applyFill="1" applyBorder="1" applyProtection="1"/>
    <xf numFmtId="0" fontId="41" fillId="0" borderId="18" xfId="0" applyFont="1" applyFill="1" applyBorder="1" applyAlignment="1">
      <alignment horizontal="center"/>
    </xf>
    <xf numFmtId="0" fontId="50" fillId="0" borderId="18" xfId="0" applyFont="1" applyFill="1" applyBorder="1" applyProtection="1"/>
    <xf numFmtId="0" fontId="4" fillId="24" borderId="44" xfId="0" applyFont="1" applyFill="1" applyBorder="1" applyProtection="1"/>
    <xf numFmtId="0" fontId="4" fillId="26" borderId="45" xfId="0" applyFont="1" applyFill="1" applyBorder="1" applyProtection="1"/>
    <xf numFmtId="0" fontId="7" fillId="24" borderId="44" xfId="0" applyFont="1" applyFill="1" applyBorder="1" applyProtection="1"/>
    <xf numFmtId="0" fontId="7" fillId="24" borderId="44" xfId="0" applyFont="1" applyFill="1" applyBorder="1" applyAlignment="1" applyProtection="1">
      <alignment vertical="center"/>
    </xf>
    <xf numFmtId="0" fontId="7" fillId="24" borderId="48" xfId="0" applyFont="1" applyFill="1" applyBorder="1" applyProtection="1"/>
    <xf numFmtId="0" fontId="7" fillId="24" borderId="47" xfId="0" applyFont="1" applyFill="1" applyBorder="1" applyProtection="1"/>
    <xf numFmtId="0" fontId="7" fillId="24" borderId="37" xfId="0" applyFont="1" applyFill="1" applyBorder="1" applyProtection="1"/>
    <xf numFmtId="0" fontId="7" fillId="24" borderId="39" xfId="0" applyFont="1" applyFill="1" applyBorder="1" applyAlignment="1" applyProtection="1"/>
    <xf numFmtId="0" fontId="7" fillId="24" borderId="39" xfId="0" applyFont="1" applyFill="1" applyBorder="1" applyProtection="1"/>
    <xf numFmtId="0" fontId="7" fillId="24" borderId="39" xfId="0" applyFont="1" applyFill="1" applyBorder="1" applyAlignment="1" applyProtection="1">
      <alignment vertical="center"/>
    </xf>
    <xf numFmtId="0" fontId="33" fillId="26" borderId="38" xfId="0" applyFont="1" applyFill="1" applyBorder="1" applyAlignment="1" applyProtection="1">
      <alignment horizontal="center" wrapText="1"/>
    </xf>
    <xf numFmtId="0" fontId="0" fillId="26" borderId="39" xfId="0" applyFill="1" applyBorder="1" applyAlignment="1" applyProtection="1">
      <alignment wrapText="1"/>
    </xf>
    <xf numFmtId="0" fontId="7" fillId="26" borderId="52" xfId="0" applyFont="1" applyFill="1" applyBorder="1" applyAlignment="1" applyProtection="1">
      <alignment horizontal="center" wrapText="1"/>
    </xf>
    <xf numFmtId="0" fontId="0" fillId="26" borderId="53" xfId="0" applyFill="1" applyBorder="1" applyAlignment="1" applyProtection="1">
      <alignment horizontal="center" wrapText="1"/>
    </xf>
    <xf numFmtId="0" fontId="0" fillId="26" borderId="53" xfId="0" applyFill="1" applyBorder="1" applyAlignment="1" applyProtection="1">
      <alignment wrapText="1"/>
    </xf>
    <xf numFmtId="0" fontId="0" fillId="26" borderId="54" xfId="0" applyFill="1" applyBorder="1" applyAlignment="1" applyProtection="1">
      <alignment wrapText="1"/>
    </xf>
    <xf numFmtId="0" fontId="4" fillId="24" borderId="52" xfId="0" applyFont="1" applyFill="1" applyBorder="1" applyProtection="1"/>
    <xf numFmtId="0" fontId="4" fillId="24" borderId="53" xfId="0" applyFont="1" applyFill="1" applyBorder="1" applyProtection="1"/>
    <xf numFmtId="0" fontId="4" fillId="24" borderId="54" xfId="0" applyFont="1" applyFill="1" applyBorder="1" applyProtection="1"/>
    <xf numFmtId="0" fontId="35" fillId="26" borderId="36" xfId="0" applyFont="1" applyFill="1" applyBorder="1" applyProtection="1"/>
    <xf numFmtId="0" fontId="58" fillId="26" borderId="0" xfId="0" applyFont="1" applyFill="1" applyBorder="1" applyAlignment="1" applyProtection="1">
      <alignment horizontal="left" vertical="center"/>
    </xf>
    <xf numFmtId="0" fontId="4" fillId="26" borderId="53" xfId="0" applyFont="1" applyFill="1" applyBorder="1" applyProtection="1"/>
    <xf numFmtId="0" fontId="0" fillId="26" borderId="53" xfId="0" applyFill="1" applyBorder="1" applyProtection="1"/>
    <xf numFmtId="0" fontId="35" fillId="26" borderId="53" xfId="0" applyFont="1" applyFill="1" applyBorder="1" applyProtection="1"/>
    <xf numFmtId="0" fontId="4" fillId="26" borderId="54" xfId="0" applyFont="1" applyFill="1" applyBorder="1" applyProtection="1"/>
    <xf numFmtId="0" fontId="37" fillId="26" borderId="43" xfId="0" applyFont="1" applyFill="1" applyBorder="1" applyAlignment="1" applyProtection="1">
      <alignment horizontal="right"/>
    </xf>
    <xf numFmtId="0" fontId="7" fillId="26" borderId="44" xfId="0" applyFont="1" applyFill="1" applyBorder="1" applyAlignment="1" applyProtection="1"/>
    <xf numFmtId="0" fontId="4" fillId="0" borderId="15" xfId="0" applyFont="1" applyFill="1" applyBorder="1" applyAlignment="1" applyProtection="1">
      <alignment horizontal="center" vertical="center" wrapText="1"/>
    </xf>
    <xf numFmtId="0" fontId="4" fillId="24" borderId="56" xfId="0" applyFont="1" applyFill="1" applyBorder="1" applyProtection="1"/>
    <xf numFmtId="0" fontId="7" fillId="26" borderId="39" xfId="0" applyFont="1" applyFill="1" applyBorder="1" applyProtection="1"/>
    <xf numFmtId="0" fontId="7" fillId="24" borderId="56" xfId="0" applyFont="1" applyFill="1" applyBorder="1" applyProtection="1"/>
    <xf numFmtId="0" fontId="7" fillId="24" borderId="56" xfId="0" applyFont="1" applyFill="1" applyBorder="1" applyAlignment="1" applyProtection="1"/>
    <xf numFmtId="0" fontId="7" fillId="26" borderId="39" xfId="0" applyFont="1" applyFill="1" applyBorder="1" applyAlignment="1" applyProtection="1"/>
    <xf numFmtId="0" fontId="7" fillId="24" borderId="56" xfId="0" applyFont="1" applyFill="1" applyBorder="1" applyAlignment="1" applyProtection="1">
      <alignment vertical="center"/>
    </xf>
    <xf numFmtId="0" fontId="7" fillId="26" borderId="39" xfId="0" applyFont="1" applyFill="1" applyBorder="1" applyAlignment="1" applyProtection="1">
      <alignment vertical="center"/>
    </xf>
    <xf numFmtId="0" fontId="33" fillId="24" borderId="56" xfId="0" applyFont="1" applyFill="1" applyBorder="1" applyAlignment="1" applyProtection="1">
      <alignment horizontal="center" wrapText="1"/>
    </xf>
    <xf numFmtId="0" fontId="7" fillId="26" borderId="42" xfId="0" applyFont="1" applyFill="1" applyBorder="1" applyProtection="1"/>
    <xf numFmtId="0" fontId="4" fillId="26" borderId="41" xfId="0" applyFont="1" applyFill="1" applyBorder="1" applyProtection="1"/>
    <xf numFmtId="0" fontId="0" fillId="26" borderId="41" xfId="0" applyFill="1" applyBorder="1" applyAlignment="1" applyProtection="1">
      <alignment wrapText="1"/>
    </xf>
    <xf numFmtId="0" fontId="42" fillId="26" borderId="15" xfId="0" applyFont="1" applyFill="1" applyBorder="1" applyAlignment="1" applyProtection="1">
      <alignment horizontal="center" vertical="center"/>
    </xf>
    <xf numFmtId="0" fontId="0" fillId="26" borderId="15" xfId="0" applyFill="1" applyBorder="1" applyAlignment="1" applyProtection="1">
      <alignment vertical="top" wrapText="1"/>
    </xf>
    <xf numFmtId="0" fontId="44" fillId="26" borderId="15" xfId="0" applyFont="1" applyFill="1" applyBorder="1" applyAlignment="1" applyProtection="1">
      <alignment vertical="top" wrapText="1"/>
    </xf>
    <xf numFmtId="0" fontId="4" fillId="24" borderId="56" xfId="0" applyFont="1" applyFill="1" applyBorder="1" applyAlignment="1" applyProtection="1">
      <alignment vertical="center"/>
    </xf>
    <xf numFmtId="0" fontId="4" fillId="24" borderId="0" xfId="0" applyFont="1" applyFill="1" applyBorder="1" applyAlignment="1" applyProtection="1">
      <alignment vertical="top" wrapText="1"/>
      <protection locked="0"/>
    </xf>
    <xf numFmtId="0" fontId="35" fillId="26" borderId="57" xfId="0" applyFont="1" applyFill="1" applyBorder="1" applyProtection="1"/>
    <xf numFmtId="0" fontId="35" fillId="26" borderId="57" xfId="0" applyFont="1" applyFill="1" applyBorder="1" applyAlignment="1" applyProtection="1"/>
    <xf numFmtId="0" fontId="4" fillId="0" borderId="0" xfId="0" applyFont="1" applyFill="1" applyBorder="1" applyAlignment="1" applyProtection="1">
      <alignment horizontal="left" vertical="center" wrapText="1"/>
    </xf>
    <xf numFmtId="164" fontId="4" fillId="0" borderId="0" xfId="0" applyNumberFormat="1" applyFont="1" applyFill="1" applyBorder="1" applyAlignment="1" applyProtection="1">
      <alignment horizontal="center" vertical="center"/>
    </xf>
    <xf numFmtId="3" fontId="4" fillId="0" borderId="32" xfId="0" applyNumberFormat="1" applyFont="1" applyBorder="1" applyAlignment="1" applyProtection="1">
      <alignment horizontal="center" vertical="center"/>
    </xf>
    <xf numFmtId="1" fontId="4" fillId="0" borderId="32" xfId="0" applyNumberFormat="1" applyFont="1" applyBorder="1" applyAlignment="1" applyProtection="1">
      <alignment horizontal="center" vertical="center"/>
    </xf>
    <xf numFmtId="0" fontId="8" fillId="26" borderId="57" xfId="0" applyFont="1" applyFill="1" applyBorder="1" applyAlignment="1" applyProtection="1">
      <alignment vertical="center"/>
    </xf>
    <xf numFmtId="3" fontId="4" fillId="26" borderId="15" xfId="0" applyNumberFormat="1" applyFont="1" applyFill="1" applyBorder="1" applyAlignment="1" applyProtection="1">
      <alignment horizontal="center" vertical="center"/>
    </xf>
    <xf numFmtId="3" fontId="4" fillId="26" borderId="21" xfId="0" applyNumberFormat="1" applyFont="1" applyFill="1" applyBorder="1" applyAlignment="1" applyProtection="1">
      <alignment horizontal="center" vertical="center"/>
    </xf>
    <xf numFmtId="0" fontId="44" fillId="0" borderId="14" xfId="0" applyFont="1" applyBorder="1" applyAlignment="1" applyProtection="1">
      <alignment vertical="top" wrapText="1"/>
    </xf>
    <xf numFmtId="0" fontId="42" fillId="25" borderId="14" xfId="0" applyFont="1" applyFill="1" applyBorder="1" applyAlignment="1" applyProtection="1">
      <alignment horizontal="center" vertical="center"/>
    </xf>
    <xf numFmtId="0" fontId="7" fillId="0" borderId="15" xfId="0" applyFont="1" applyFill="1" applyBorder="1" applyAlignment="1" applyProtection="1">
      <alignment horizontal="right" vertical="center" wrapText="1" indent="1"/>
    </xf>
    <xf numFmtId="0" fontId="7" fillId="24" borderId="15" xfId="0" applyFont="1" applyFill="1" applyBorder="1" applyAlignment="1" applyProtection="1">
      <alignment horizontal="right" vertical="center" wrapText="1" indent="1"/>
    </xf>
    <xf numFmtId="0" fontId="4" fillId="24" borderId="15" xfId="0" applyFont="1" applyFill="1" applyBorder="1" applyAlignment="1" applyProtection="1">
      <alignment horizontal="right" vertical="center" wrapText="1" indent="1"/>
    </xf>
    <xf numFmtId="0" fontId="7" fillId="24" borderId="21" xfId="0" applyFont="1" applyFill="1" applyBorder="1" applyAlignment="1" applyProtection="1">
      <alignment horizontal="center" vertical="center" wrapText="1"/>
    </xf>
    <xf numFmtId="0" fontId="4" fillId="24" borderId="21"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37" fillId="0" borderId="33" xfId="0" applyFont="1" applyFill="1" applyBorder="1" applyAlignment="1" applyProtection="1">
      <alignment horizontal="right"/>
    </xf>
    <xf numFmtId="0" fontId="0" fillId="0" borderId="0" xfId="0" applyBorder="1" applyAlignment="1">
      <alignment wrapText="1"/>
    </xf>
    <xf numFmtId="0" fontId="0" fillId="26" borderId="0" xfId="0" applyFill="1" applyBorder="1" applyAlignment="1"/>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8" fillId="26" borderId="0" xfId="0" applyFont="1" applyFill="1" applyBorder="1" applyAlignment="1" applyProtection="1">
      <alignment horizontal="left" vertical="top"/>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0" fillId="26" borderId="0" xfId="0" applyFill="1" applyBorder="1" applyAlignment="1"/>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0" fillId="26" borderId="0" xfId="0" applyFill="1" applyBorder="1" applyAlignment="1">
      <alignment horizontal="center" vertical="center" wrapText="1"/>
    </xf>
    <xf numFmtId="0" fontId="8" fillId="26" borderId="0" xfId="0" applyFont="1" applyFill="1" applyBorder="1" applyAlignment="1" applyProtection="1">
      <alignment horizontal="center" vertical="center" wrapText="1"/>
    </xf>
    <xf numFmtId="0" fontId="8" fillId="26" borderId="0" xfId="0" applyFont="1" applyFill="1" applyBorder="1" applyAlignment="1" applyProtection="1">
      <alignment horizontal="left" vertical="top"/>
    </xf>
    <xf numFmtId="3" fontId="7" fillId="0" borderId="15" xfId="0" applyNumberFormat="1" applyFont="1" applyBorder="1" applyAlignment="1" applyProtection="1">
      <alignment horizontal="center" vertical="center" wrapText="1"/>
    </xf>
    <xf numFmtId="3" fontId="7" fillId="0" borderId="21" xfId="0" applyNumberFormat="1" applyFont="1" applyBorder="1" applyAlignment="1" applyProtection="1">
      <alignment horizontal="center" vertical="center" wrapText="1"/>
    </xf>
    <xf numFmtId="0" fontId="4" fillId="26" borderId="0" xfId="0" applyFont="1" applyFill="1" applyBorder="1" applyAlignment="1" applyProtection="1">
      <alignment horizontal="left" vertical="top" wrapText="1"/>
    </xf>
    <xf numFmtId="0" fontId="60" fillId="34" borderId="21" xfId="0" applyFont="1" applyFill="1" applyBorder="1" applyAlignment="1" applyProtection="1">
      <alignment horizontal="left" vertical="center" wrapText="1"/>
    </xf>
    <xf numFmtId="3" fontId="60" fillId="34" borderId="15" xfId="0" applyNumberFormat="1" applyFont="1" applyFill="1" applyBorder="1" applyAlignment="1" applyProtection="1">
      <alignment horizontal="center" vertical="center"/>
    </xf>
    <xf numFmtId="3" fontId="60" fillId="34" borderId="21" xfId="0" applyNumberFormat="1" applyFont="1" applyFill="1" applyBorder="1" applyAlignment="1" applyProtection="1">
      <alignment horizontal="center" vertical="center"/>
    </xf>
    <xf numFmtId="165" fontId="60" fillId="34" borderId="15" xfId="0" applyNumberFormat="1" applyFont="1" applyFill="1" applyBorder="1" applyAlignment="1" applyProtection="1">
      <alignment horizontal="center" vertical="center"/>
      <protection hidden="1"/>
    </xf>
    <xf numFmtId="165" fontId="60" fillId="34" borderId="18" xfId="0" applyNumberFormat="1" applyFont="1" applyFill="1" applyBorder="1" applyAlignment="1" applyProtection="1">
      <alignment horizontal="center" vertical="center"/>
      <protection hidden="1"/>
    </xf>
    <xf numFmtId="3" fontId="35" fillId="34" borderId="15" xfId="46" applyNumberFormat="1" applyFont="1" applyFill="1" applyBorder="1" applyAlignment="1" applyProtection="1">
      <alignment horizontal="center" vertical="center"/>
    </xf>
    <xf numFmtId="3" fontId="4" fillId="29" borderId="15" xfId="46" applyNumberFormat="1" applyFont="1" applyFill="1" applyBorder="1" applyAlignment="1" applyProtection="1">
      <alignment horizontal="center" vertical="center"/>
    </xf>
    <xf numFmtId="0" fontId="4" fillId="29" borderId="21" xfId="0" quotePrefix="1" applyFont="1" applyFill="1" applyBorder="1" applyAlignment="1" applyProtection="1">
      <alignment horizontal="center" vertical="center"/>
    </xf>
    <xf numFmtId="0" fontId="60" fillId="34" borderId="21" xfId="0" quotePrefix="1" applyFont="1" applyFill="1" applyBorder="1" applyAlignment="1" applyProtection="1">
      <alignment horizontal="center" vertical="center"/>
    </xf>
    <xf numFmtId="165" fontId="4" fillId="29" borderId="15" xfId="0" applyNumberFormat="1" applyFont="1" applyFill="1" applyBorder="1" applyAlignment="1" applyProtection="1">
      <alignment horizontal="right" vertical="center"/>
      <protection hidden="1"/>
    </xf>
    <xf numFmtId="165" fontId="60" fillId="34" borderId="15" xfId="0" applyNumberFormat="1" applyFont="1" applyFill="1" applyBorder="1" applyAlignment="1" applyProtection="1">
      <alignment horizontal="right" vertical="center"/>
      <protection hidden="1"/>
    </xf>
    <xf numFmtId="165" fontId="4" fillId="24" borderId="15" xfId="0" applyNumberFormat="1" applyFont="1" applyFill="1" applyBorder="1" applyAlignment="1">
      <alignment horizontal="right" vertical="center" wrapText="1"/>
    </xf>
    <xf numFmtId="165" fontId="4" fillId="24" borderId="18" xfId="0" applyNumberFormat="1" applyFont="1" applyFill="1" applyBorder="1" applyAlignment="1" applyProtection="1">
      <alignment horizontal="right" vertical="center"/>
    </xf>
    <xf numFmtId="165" fontId="4" fillId="0" borderId="21" xfId="0" applyNumberFormat="1" applyFont="1" applyFill="1" applyBorder="1" applyAlignment="1" applyProtection="1">
      <alignment horizontal="right" vertical="center"/>
    </xf>
    <xf numFmtId="165" fontId="4" fillId="29" borderId="21" xfId="0" applyNumberFormat="1" applyFont="1" applyFill="1" applyBorder="1" applyAlignment="1" applyProtection="1">
      <alignment horizontal="right" vertical="center"/>
      <protection hidden="1"/>
    </xf>
    <xf numFmtId="167" fontId="4" fillId="28" borderId="21" xfId="0" applyNumberFormat="1" applyFont="1" applyFill="1" applyBorder="1" applyAlignment="1" applyProtection="1">
      <alignment horizontal="center" vertical="center"/>
    </xf>
    <xf numFmtId="0" fontId="8" fillId="28" borderId="15" xfId="0" applyFont="1" applyFill="1" applyBorder="1" applyAlignment="1" applyProtection="1">
      <alignment horizontal="center" vertical="center"/>
    </xf>
    <xf numFmtId="0" fontId="8" fillId="28" borderId="21" xfId="0" applyFont="1" applyFill="1" applyBorder="1" applyAlignment="1" applyProtection="1">
      <alignment horizontal="center" vertical="center"/>
    </xf>
    <xf numFmtId="0" fontId="8" fillId="33" borderId="15" xfId="0" applyFont="1" applyFill="1" applyBorder="1" applyAlignment="1" applyProtection="1">
      <alignment horizontal="center" vertical="center"/>
    </xf>
    <xf numFmtId="167" fontId="37" fillId="0" borderId="0" xfId="0" applyNumberFormat="1" applyFont="1" applyFill="1" applyBorder="1" applyAlignment="1" applyProtection="1">
      <alignment horizontal="right"/>
    </xf>
    <xf numFmtId="0" fontId="54" fillId="0" borderId="0" xfId="0" applyFont="1" applyFill="1" applyBorder="1" applyAlignment="1" applyProtection="1">
      <alignment horizontal="left" vertical="top" wrapText="1"/>
    </xf>
    <xf numFmtId="1" fontId="54" fillId="0" borderId="0" xfId="0" applyNumberFormat="1" applyFont="1" applyFill="1" applyBorder="1" applyAlignment="1" applyProtection="1">
      <alignment horizontal="center" vertical="top"/>
    </xf>
    <xf numFmtId="9" fontId="60" fillId="34" borderId="15" xfId="0" applyNumberFormat="1" applyFont="1" applyFill="1" applyBorder="1" applyAlignment="1" applyProtection="1">
      <alignment horizontal="center" vertical="center"/>
    </xf>
    <xf numFmtId="9" fontId="60" fillId="34" borderId="21" xfId="0" applyNumberFormat="1" applyFont="1" applyFill="1" applyBorder="1" applyAlignment="1" applyProtection="1">
      <alignment horizontal="center" vertical="center"/>
    </xf>
    <xf numFmtId="0" fontId="61" fillId="0" borderId="14" xfId="0" applyFont="1" applyFill="1" applyBorder="1" applyAlignment="1">
      <alignment horizontal="center" wrapText="1"/>
    </xf>
    <xf numFmtId="0" fontId="61" fillId="0" borderId="15" xfId="0" applyFont="1" applyFill="1" applyBorder="1" applyAlignment="1">
      <alignment horizontal="center" wrapText="1"/>
    </xf>
    <xf numFmtId="167" fontId="62" fillId="0" borderId="14" xfId="0" applyNumberFormat="1" applyFont="1" applyFill="1" applyBorder="1" applyAlignment="1">
      <alignment horizontal="right"/>
    </xf>
    <xf numFmtId="0" fontId="62" fillId="0" borderId="15" xfId="0" applyFont="1" applyFill="1" applyBorder="1" applyAlignment="1">
      <alignment horizontal="right"/>
    </xf>
    <xf numFmtId="167" fontId="4" fillId="29" borderId="21" xfId="0" applyNumberFormat="1" applyFont="1" applyFill="1" applyBorder="1" applyAlignment="1" applyProtection="1">
      <alignment horizontal="center" vertical="center"/>
    </xf>
    <xf numFmtId="167" fontId="60" fillId="34" borderId="21" xfId="0" applyNumberFormat="1" applyFont="1" applyFill="1" applyBorder="1" applyAlignment="1" applyProtection="1">
      <alignment horizontal="center" vertical="center"/>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0" fillId="26" borderId="0" xfId="0" applyFill="1" applyBorder="1" applyAlignment="1"/>
    <xf numFmtId="0" fontId="4" fillId="26" borderId="0" xfId="0" applyFont="1" applyFill="1" applyBorder="1" applyAlignment="1" applyProtection="1">
      <alignment horizontal="left" vertical="top" wrapText="1"/>
    </xf>
    <xf numFmtId="0" fontId="0" fillId="0" borderId="15" xfId="0" applyBorder="1" applyAlignment="1">
      <alignment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8" fillId="26" borderId="0" xfId="0" applyFont="1" applyFill="1" applyBorder="1" applyAlignment="1" applyProtection="1">
      <alignment horizontal="left" vertical="top"/>
    </xf>
    <xf numFmtId="3" fontId="4" fillId="35" borderId="21" xfId="0" applyNumberFormat="1" applyFont="1" applyFill="1" applyBorder="1" applyAlignment="1" applyProtection="1">
      <alignment horizontal="center" vertical="center"/>
    </xf>
    <xf numFmtId="0" fontId="57" fillId="26" borderId="46" xfId="0" applyFont="1" applyFill="1" applyBorder="1" applyAlignment="1" applyProtection="1">
      <alignment vertical="center"/>
    </xf>
    <xf numFmtId="0" fontId="62" fillId="0" borderId="15" xfId="0" applyFont="1" applyFill="1" applyBorder="1" applyAlignment="1">
      <alignment horizontal="center"/>
    </xf>
    <xf numFmtId="0" fontId="0" fillId="0" borderId="0" xfId="0" applyBorder="1" applyAlignment="1">
      <alignment wrapText="1"/>
    </xf>
    <xf numFmtId="0" fontId="0" fillId="26" borderId="0" xfId="0" applyFill="1" applyBorder="1" applyAlignment="1"/>
    <xf numFmtId="0" fontId="4"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0" fillId="26" borderId="0" xfId="0" applyFill="1" applyBorder="1" applyAlignment="1">
      <alignment horizontal="center" vertical="center" wrapText="1"/>
    </xf>
    <xf numFmtId="0" fontId="8" fillId="26" borderId="0" xfId="0" applyFont="1" applyFill="1" applyBorder="1" applyAlignment="1" applyProtection="1">
      <alignment horizontal="center" vertical="center" wrapText="1"/>
    </xf>
    <xf numFmtId="0" fontId="8" fillId="26" borderId="0" xfId="0" applyFont="1" applyFill="1" applyBorder="1" applyAlignment="1" applyProtection="1">
      <alignment horizontal="left" vertical="top"/>
    </xf>
    <xf numFmtId="0" fontId="62" fillId="0" borderId="0" xfId="0" applyFont="1" applyFill="1" applyBorder="1" applyAlignment="1">
      <alignment horizontal="left"/>
    </xf>
    <xf numFmtId="0" fontId="62" fillId="0" borderId="0" xfId="0" applyFont="1" applyFill="1" applyBorder="1" applyAlignment="1">
      <alignment horizontal="right" vertical="center"/>
    </xf>
    <xf numFmtId="0" fontId="62" fillId="0" borderId="0" xfId="0" applyFont="1" applyFill="1" applyBorder="1" applyAlignment="1">
      <alignment horizontal="right"/>
    </xf>
    <xf numFmtId="0" fontId="62" fillId="0" borderId="14" xfId="0" applyFont="1" applyFill="1" applyBorder="1" applyAlignment="1">
      <alignment horizontal="center"/>
    </xf>
    <xf numFmtId="3" fontId="62" fillId="0" borderId="15" xfId="0" applyNumberFormat="1" applyFont="1" applyFill="1" applyBorder="1" applyAlignment="1">
      <alignment horizontal="center"/>
    </xf>
    <xf numFmtId="0" fontId="8" fillId="26" borderId="0" xfId="0" applyFont="1" applyFill="1" applyBorder="1" applyAlignment="1" applyProtection="1">
      <alignment horizontal="left" vertical="top"/>
    </xf>
    <xf numFmtId="0" fontId="8" fillId="26" borderId="0" xfId="0" applyFont="1" applyFill="1" applyBorder="1" applyAlignment="1" applyProtection="1">
      <alignment horizontal="left" vertical="top"/>
    </xf>
    <xf numFmtId="16" fontId="8" fillId="33" borderId="15" xfId="0" quotePrefix="1" applyNumberFormat="1" applyFont="1" applyFill="1" applyBorder="1" applyAlignment="1" applyProtection="1">
      <alignment horizontal="center" vertical="center"/>
    </xf>
    <xf numFmtId="0" fontId="8" fillId="33" borderId="15" xfId="0" quotePrefix="1" applyFont="1" applyFill="1" applyBorder="1" applyAlignment="1" applyProtection="1">
      <alignment horizontal="center" vertical="center"/>
    </xf>
    <xf numFmtId="0" fontId="8" fillId="33" borderId="23" xfId="0" applyFont="1" applyFill="1" applyBorder="1" applyAlignment="1" applyProtection="1">
      <alignment horizontal="center" vertical="center"/>
    </xf>
    <xf numFmtId="0" fontId="0" fillId="26" borderId="0" xfId="0" applyFill="1" applyBorder="1" applyAlignment="1">
      <alignment horizontal="center" vertical="center" wrapText="1"/>
    </xf>
    <xf numFmtId="0" fontId="8" fillId="26" borderId="0" xfId="0" applyFont="1" applyFill="1" applyBorder="1" applyAlignment="1" applyProtection="1">
      <alignment horizontal="left" vertical="top"/>
    </xf>
    <xf numFmtId="0" fontId="8" fillId="26" borderId="0" xfId="0" applyFont="1" applyFill="1" applyBorder="1" applyAlignment="1" applyProtection="1">
      <alignment horizontal="center" vertical="center" wrapText="1"/>
    </xf>
    <xf numFmtId="0" fontId="8" fillId="26" borderId="59" xfId="0" applyFont="1" applyFill="1" applyBorder="1" applyAlignment="1" applyProtection="1">
      <alignment horizontal="left" vertical="top"/>
    </xf>
    <xf numFmtId="0" fontId="8" fillId="26" borderId="10" xfId="0" applyFont="1" applyFill="1" applyBorder="1" applyAlignment="1" applyProtection="1">
      <alignment horizontal="left" vertical="top"/>
    </xf>
    <xf numFmtId="0" fontId="0" fillId="26" borderId="10" xfId="0" applyFill="1" applyBorder="1" applyAlignment="1">
      <alignment horizontal="left" vertical="top"/>
    </xf>
    <xf numFmtId="0" fontId="0" fillId="26" borderId="58" xfId="0" applyFill="1" applyBorder="1" applyAlignment="1">
      <alignment horizontal="left" vertical="top"/>
    </xf>
    <xf numFmtId="0" fontId="8" fillId="26" borderId="60" xfId="0" applyFont="1" applyFill="1" applyBorder="1" applyAlignment="1" applyProtection="1">
      <alignment horizontal="left" vertical="top"/>
    </xf>
    <xf numFmtId="0" fontId="0" fillId="26" borderId="61" xfId="0" applyFill="1" applyBorder="1" applyAlignment="1">
      <alignment horizontal="left" vertical="top"/>
    </xf>
    <xf numFmtId="0" fontId="8" fillId="26" borderId="62" xfId="0" applyFont="1" applyFill="1" applyBorder="1" applyAlignment="1" applyProtection="1">
      <alignment horizontal="left" vertical="top"/>
    </xf>
    <xf numFmtId="0" fontId="8" fillId="26" borderId="48" xfId="0" applyFont="1" applyFill="1" applyBorder="1" applyAlignment="1" applyProtection="1">
      <alignment horizontal="left" vertical="top"/>
    </xf>
    <xf numFmtId="0" fontId="0" fillId="26" borderId="48" xfId="0" applyFill="1" applyBorder="1" applyAlignment="1">
      <alignment horizontal="left" vertical="top"/>
    </xf>
    <xf numFmtId="0" fontId="0" fillId="26" borderId="63" xfId="0" applyFill="1" applyBorder="1" applyAlignment="1">
      <alignment horizontal="left" vertical="top"/>
    </xf>
    <xf numFmtId="1" fontId="4" fillId="29" borderId="15" xfId="0" applyNumberFormat="1" applyFont="1" applyFill="1" applyBorder="1" applyAlignment="1" applyProtection="1">
      <alignment horizontal="center" vertical="center"/>
    </xf>
    <xf numFmtId="1" fontId="4" fillId="29" borderId="21" xfId="0" applyNumberFormat="1" applyFont="1" applyFill="1" applyBorder="1" applyAlignment="1" applyProtection="1">
      <alignment horizontal="center" vertical="center"/>
    </xf>
    <xf numFmtId="1" fontId="60" fillId="34" borderId="15" xfId="0" applyNumberFormat="1" applyFont="1" applyFill="1" applyBorder="1" applyAlignment="1" applyProtection="1">
      <alignment horizontal="center" vertical="center"/>
    </xf>
    <xf numFmtId="1" fontId="60" fillId="34" borderId="21" xfId="0" applyNumberFormat="1" applyFont="1" applyFill="1" applyBorder="1" applyAlignment="1" applyProtection="1">
      <alignment horizontal="center" vertical="center"/>
    </xf>
    <xf numFmtId="165" fontId="4" fillId="0" borderId="21" xfId="0" applyNumberFormat="1" applyFont="1" applyBorder="1" applyAlignment="1" applyProtection="1">
      <alignment horizontal="center" vertical="center"/>
    </xf>
    <xf numFmtId="165" fontId="4" fillId="29" borderId="15" xfId="0" applyNumberFormat="1" applyFont="1" applyFill="1" applyBorder="1" applyAlignment="1" applyProtection="1">
      <alignment horizontal="center" vertical="center"/>
    </xf>
    <xf numFmtId="165" fontId="4" fillId="29" borderId="21" xfId="0" applyNumberFormat="1" applyFont="1" applyFill="1" applyBorder="1" applyAlignment="1" applyProtection="1">
      <alignment horizontal="center" vertical="center"/>
    </xf>
    <xf numFmtId="165" fontId="60" fillId="34" borderId="15" xfId="0" applyNumberFormat="1" applyFont="1" applyFill="1" applyBorder="1" applyAlignment="1" applyProtection="1">
      <alignment horizontal="center" vertical="center"/>
    </xf>
    <xf numFmtId="165" fontId="60" fillId="34" borderId="21" xfId="0" applyNumberFormat="1" applyFont="1" applyFill="1" applyBorder="1" applyAlignment="1" applyProtection="1">
      <alignment horizontal="center" vertical="center"/>
    </xf>
    <xf numFmtId="0" fontId="8" fillId="28" borderId="12" xfId="0" applyFont="1" applyFill="1" applyBorder="1" applyAlignment="1" applyProtection="1">
      <alignment horizontal="center" vertical="center"/>
    </xf>
    <xf numFmtId="0" fontId="8" fillId="28" borderId="31" xfId="0" applyFont="1" applyFill="1" applyBorder="1" applyAlignment="1" applyProtection="1">
      <alignment horizontal="center" vertical="center"/>
    </xf>
    <xf numFmtId="0" fontId="0" fillId="0" borderId="0" xfId="0" applyBorder="1" applyAlignment="1">
      <alignment wrapText="1"/>
    </xf>
    <xf numFmtId="0" fontId="4" fillId="0" borderId="15" xfId="0" applyFont="1" applyFill="1" applyBorder="1" applyAlignment="1" applyProtection="1">
      <alignment horizontal="center" vertical="center" wrapText="1"/>
    </xf>
    <xf numFmtId="1" fontId="4" fillId="29" borderId="21" xfId="0" applyNumberFormat="1" applyFont="1" applyFill="1" applyBorder="1" applyAlignment="1" applyProtection="1">
      <alignment horizontal="center" vertical="center"/>
      <protection hidden="1"/>
    </xf>
    <xf numFmtId="0" fontId="4" fillId="24" borderId="15" xfId="0" applyFont="1" applyFill="1" applyBorder="1" applyAlignment="1" applyProtection="1">
      <alignment horizontal="center" vertical="center" wrapText="1"/>
    </xf>
    <xf numFmtId="0" fontId="4" fillId="26" borderId="25" xfId="0" applyFont="1" applyFill="1" applyBorder="1" applyProtection="1"/>
    <xf numFmtId="0" fontId="0" fillId="0" borderId="0" xfId="0" applyBorder="1" applyAlignment="1">
      <alignment wrapText="1"/>
    </xf>
    <xf numFmtId="0" fontId="4" fillId="26" borderId="0" xfId="0" applyFont="1" applyFill="1" applyBorder="1" applyAlignment="1" applyProtection="1">
      <alignment horizontal="left" vertical="top" wrapText="1"/>
    </xf>
    <xf numFmtId="0" fontId="0" fillId="0" borderId="15" xfId="0" applyBorder="1" applyAlignment="1">
      <alignment vertical="center"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3" fontId="4" fillId="29" borderId="32" xfId="0" applyNumberFormat="1" applyFont="1" applyFill="1" applyBorder="1" applyAlignment="1" applyProtection="1">
      <alignment horizontal="center" vertical="center"/>
    </xf>
    <xf numFmtId="3" fontId="60" fillId="34" borderId="32" xfId="0" applyNumberFormat="1" applyFont="1" applyFill="1" applyBorder="1" applyAlignment="1" applyProtection="1">
      <alignment horizontal="center" vertical="center"/>
    </xf>
    <xf numFmtId="0" fontId="54" fillId="0" borderId="18" xfId="0" applyFont="1" applyFill="1" applyBorder="1" applyAlignment="1" applyProtection="1">
      <alignment horizontal="left" vertical="top" wrapText="1"/>
    </xf>
    <xf numFmtId="0" fontId="53" fillId="0" borderId="16" xfId="0" applyFont="1" applyFill="1" applyBorder="1" applyAlignment="1" applyProtection="1">
      <alignment horizontal="center" vertical="center"/>
    </xf>
    <xf numFmtId="1" fontId="51" fillId="0" borderId="66" xfId="0" applyNumberFormat="1" applyFont="1" applyFill="1" applyBorder="1" applyAlignment="1" applyProtection="1">
      <alignment horizontal="center" vertical="top"/>
    </xf>
    <xf numFmtId="1" fontId="51" fillId="0" borderId="21" xfId="0" applyNumberFormat="1" applyFont="1" applyFill="1" applyBorder="1" applyAlignment="1" applyProtection="1">
      <alignment horizontal="center" vertical="top"/>
    </xf>
    <xf numFmtId="1" fontId="51" fillId="0" borderId="64" xfId="0" applyNumberFormat="1" applyFont="1" applyFill="1" applyBorder="1" applyAlignment="1" applyProtection="1">
      <alignment horizontal="center" vertical="top"/>
    </xf>
    <xf numFmtId="1" fontId="51" fillId="0" borderId="65" xfId="0" applyNumberFormat="1" applyFont="1" applyFill="1" applyBorder="1" applyAlignment="1" applyProtection="1">
      <alignment horizontal="center" vertical="top"/>
    </xf>
    <xf numFmtId="1" fontId="51" fillId="0" borderId="22" xfId="0" applyNumberFormat="1" applyFont="1" applyFill="1" applyBorder="1" applyAlignment="1" applyProtection="1">
      <alignment horizontal="center" vertical="top"/>
    </xf>
    <xf numFmtId="0" fontId="62" fillId="0" borderId="26" xfId="0" applyFont="1" applyFill="1" applyBorder="1" applyAlignment="1">
      <alignment horizontal="center"/>
    </xf>
    <xf numFmtId="0" fontId="62" fillId="0" borderId="16" xfId="0" applyFont="1" applyFill="1" applyBorder="1" applyAlignment="1">
      <alignment horizontal="center" vertical="center"/>
    </xf>
    <xf numFmtId="0" fontId="62" fillId="0" borderId="18" xfId="0" applyFont="1" applyFill="1" applyBorder="1" applyAlignment="1">
      <alignment horizontal="center"/>
    </xf>
    <xf numFmtId="0" fontId="62" fillId="0" borderId="17" xfId="0" applyFont="1" applyFill="1" applyBorder="1" applyAlignment="1">
      <alignment horizontal="center" vertical="center"/>
    </xf>
    <xf numFmtId="0" fontId="4" fillId="0" borderId="21" xfId="0" applyFont="1" applyFill="1" applyBorder="1" applyAlignment="1" applyProtection="1">
      <alignment horizontal="center" vertical="center"/>
    </xf>
    <xf numFmtId="0" fontId="4" fillId="0" borderId="69" xfId="0" applyFont="1" applyFill="1" applyBorder="1" applyAlignment="1" applyProtection="1">
      <alignment horizontal="center" vertical="center"/>
    </xf>
    <xf numFmtId="0" fontId="4" fillId="26" borderId="35" xfId="0" applyFont="1" applyFill="1" applyBorder="1" applyProtection="1"/>
    <xf numFmtId="0" fontId="4" fillId="26" borderId="56" xfId="0" applyFont="1" applyFill="1" applyBorder="1" applyAlignment="1" applyProtection="1"/>
    <xf numFmtId="0" fontId="0" fillId="0" borderId="0" xfId="0" applyFill="1"/>
    <xf numFmtId="9" fontId="4" fillId="26" borderId="0" xfId="0" applyNumberFormat="1" applyFont="1" applyFill="1" applyBorder="1" applyAlignment="1" applyProtection="1">
      <alignment horizontal="center" vertical="center"/>
    </xf>
    <xf numFmtId="0" fontId="4" fillId="0" borderId="18" xfId="0" applyFont="1" applyFill="1" applyBorder="1" applyAlignment="1" applyProtection="1">
      <alignment horizontal="center" vertical="center" wrapText="1"/>
    </xf>
    <xf numFmtId="0" fontId="3" fillId="0" borderId="18" xfId="0" applyFont="1" applyFill="1" applyBorder="1" applyAlignment="1">
      <alignment horizontal="center" vertical="center" wrapText="1"/>
    </xf>
    <xf numFmtId="0" fontId="4" fillId="0" borderId="22" xfId="0" applyFont="1" applyFill="1" applyBorder="1" applyAlignment="1" applyProtection="1">
      <alignment horizontal="center" vertical="center" wrapText="1"/>
    </xf>
    <xf numFmtId="167" fontId="37" fillId="0" borderId="60" xfId="0" applyNumberFormat="1" applyFont="1" applyFill="1" applyBorder="1" applyAlignment="1" applyProtection="1">
      <alignment horizontal="right"/>
    </xf>
    <xf numFmtId="167" fontId="37" fillId="0" borderId="61" xfId="0" applyNumberFormat="1" applyFont="1" applyFill="1" applyBorder="1" applyAlignment="1" applyProtection="1">
      <alignment horizontal="right"/>
    </xf>
    <xf numFmtId="9" fontId="37" fillId="0" borderId="76" xfId="0" applyNumberFormat="1" applyFont="1" applyFill="1" applyBorder="1" applyAlignment="1" applyProtection="1">
      <alignment horizontal="right"/>
    </xf>
    <xf numFmtId="9" fontId="37" fillId="0" borderId="77" xfId="0" applyNumberFormat="1" applyFont="1" applyFill="1" applyBorder="1" applyAlignment="1" applyProtection="1">
      <alignment horizontal="right"/>
    </xf>
    <xf numFmtId="9" fontId="37" fillId="0" borderId="78" xfId="0" applyNumberFormat="1" applyFont="1" applyFill="1" applyBorder="1" applyAlignment="1" applyProtection="1">
      <alignment horizontal="right"/>
    </xf>
    <xf numFmtId="167" fontId="37" fillId="0" borderId="76" xfId="0" applyNumberFormat="1" applyFont="1" applyFill="1" applyBorder="1" applyAlignment="1" applyProtection="1">
      <alignment horizontal="right"/>
    </xf>
    <xf numFmtId="167" fontId="37" fillId="0" borderId="77" xfId="0" applyNumberFormat="1" applyFont="1" applyFill="1" applyBorder="1" applyAlignment="1" applyProtection="1">
      <alignment horizontal="right"/>
    </xf>
    <xf numFmtId="167" fontId="37" fillId="0" borderId="78" xfId="0" applyNumberFormat="1" applyFont="1" applyFill="1" applyBorder="1" applyAlignment="1" applyProtection="1">
      <alignment horizontal="right"/>
    </xf>
    <xf numFmtId="0" fontId="53" fillId="0" borderId="16" xfId="0" applyFont="1" applyFill="1" applyBorder="1" applyAlignment="1" applyProtection="1">
      <alignment horizontal="center"/>
    </xf>
    <xf numFmtId="1" fontId="51" fillId="0" borderId="69" xfId="0" applyNumberFormat="1" applyFont="1" applyFill="1" applyBorder="1" applyAlignment="1" applyProtection="1">
      <alignment horizontal="center" vertical="top"/>
    </xf>
    <xf numFmtId="0" fontId="4" fillId="24" borderId="72" xfId="0" applyFont="1" applyFill="1" applyBorder="1" applyProtection="1"/>
    <xf numFmtId="0" fontId="4" fillId="24" borderId="73" xfId="0" applyFont="1" applyFill="1" applyBorder="1" applyProtection="1"/>
    <xf numFmtId="0" fontId="0" fillId="24" borderId="73" xfId="0" applyFill="1" applyBorder="1" applyProtection="1"/>
    <xf numFmtId="0" fontId="4" fillId="24" borderId="74" xfId="0" applyFont="1" applyFill="1" applyBorder="1" applyProtection="1"/>
    <xf numFmtId="0" fontId="4" fillId="24" borderId="56" xfId="0" applyFont="1" applyFill="1" applyBorder="1" applyAlignment="1" applyProtection="1"/>
    <xf numFmtId="0" fontId="38" fillId="24" borderId="56" xfId="0" applyFont="1" applyFill="1" applyBorder="1" applyProtection="1"/>
    <xf numFmtId="0" fontId="4" fillId="24" borderId="56" xfId="0" applyFont="1" applyFill="1" applyBorder="1" applyAlignment="1" applyProtection="1">
      <alignment horizontal="left" vertical="top"/>
    </xf>
    <xf numFmtId="0" fontId="37" fillId="0" borderId="48" xfId="0" applyFont="1" applyFill="1" applyBorder="1" applyAlignment="1" applyProtection="1">
      <alignment horizontal="right"/>
    </xf>
    <xf numFmtId="0" fontId="4" fillId="24" borderId="0" xfId="0" applyFont="1" applyFill="1" applyBorder="1" applyAlignment="1" applyProtection="1">
      <alignment horizontal="center" vertical="center"/>
    </xf>
    <xf numFmtId="1" fontId="54" fillId="0" borderId="12" xfId="0" applyNumberFormat="1" applyFont="1" applyFill="1" applyBorder="1" applyAlignment="1" applyProtection="1">
      <alignment horizontal="center" vertical="top"/>
    </xf>
    <xf numFmtId="1" fontId="51" fillId="0" borderId="67" xfId="0" applyNumberFormat="1" applyFont="1" applyFill="1" applyBorder="1" applyAlignment="1" applyProtection="1">
      <alignment horizontal="center" vertical="top"/>
    </xf>
    <xf numFmtId="1" fontId="51" fillId="0" borderId="68" xfId="0" applyNumberFormat="1" applyFont="1" applyFill="1" applyBorder="1" applyAlignment="1" applyProtection="1">
      <alignment horizontal="center" vertical="top"/>
    </xf>
    <xf numFmtId="0" fontId="4" fillId="24" borderId="0" xfId="0" applyFont="1" applyFill="1" applyBorder="1" applyAlignment="1" applyProtection="1">
      <alignment horizontal="left" wrapText="1"/>
    </xf>
    <xf numFmtId="0" fontId="3" fillId="0" borderId="0" xfId="47"/>
    <xf numFmtId="0" fontId="33" fillId="37" borderId="15" xfId="47" applyFont="1" applyFill="1" applyBorder="1" applyAlignment="1" applyProtection="1">
      <alignment horizontal="center" vertical="center"/>
    </xf>
    <xf numFmtId="0" fontId="33" fillId="24" borderId="16" xfId="47" applyFont="1" applyFill="1" applyBorder="1" applyAlignment="1" applyProtection="1">
      <alignment vertical="center"/>
    </xf>
    <xf numFmtId="0" fontId="33" fillId="37" borderId="44" xfId="47" applyFont="1" applyFill="1" applyBorder="1" applyAlignment="1" applyProtection="1">
      <alignment horizontal="center" vertical="center"/>
    </xf>
    <xf numFmtId="0" fontId="4" fillId="0" borderId="43" xfId="47" applyFont="1" applyBorder="1" applyAlignment="1" applyProtection="1">
      <alignment horizontal="center" textRotation="90" wrapText="1"/>
    </xf>
    <xf numFmtId="0" fontId="4" fillId="0" borderId="16" xfId="47" applyFont="1" applyBorder="1" applyAlignment="1" applyProtection="1">
      <alignment horizontal="center" textRotation="90" wrapText="1"/>
    </xf>
    <xf numFmtId="0" fontId="4" fillId="0" borderId="23" xfId="47" applyFont="1" applyBorder="1" applyAlignment="1" applyProtection="1">
      <alignment horizontal="center" textRotation="90" wrapText="1"/>
    </xf>
    <xf numFmtId="0" fontId="4" fillId="0" borderId="15" xfId="47" applyFont="1" applyBorder="1" applyAlignment="1" applyProtection="1">
      <alignment horizontal="center" wrapText="1"/>
    </xf>
    <xf numFmtId="0" fontId="44" fillId="0" borderId="15" xfId="47" applyFont="1" applyBorder="1" applyAlignment="1" applyProtection="1">
      <alignment vertical="top" wrapText="1"/>
    </xf>
    <xf numFmtId="0" fontId="42" fillId="25" borderId="15" xfId="47" applyFont="1" applyFill="1" applyBorder="1" applyAlignment="1" applyProtection="1">
      <alignment horizontal="center" vertical="center"/>
    </xf>
    <xf numFmtId="0" fontId="3" fillId="0" borderId="15" xfId="47" applyBorder="1" applyAlignment="1" applyProtection="1">
      <alignment vertical="top" wrapText="1"/>
    </xf>
    <xf numFmtId="0" fontId="42" fillId="26" borderId="15" xfId="47" applyFont="1" applyFill="1" applyBorder="1" applyAlignment="1" applyProtection="1">
      <alignment horizontal="center" vertical="center"/>
    </xf>
    <xf numFmtId="0" fontId="3" fillId="26" borderId="15" xfId="47" applyFill="1" applyBorder="1" applyAlignment="1" applyProtection="1">
      <alignment vertical="top" wrapText="1"/>
    </xf>
    <xf numFmtId="0" fontId="44" fillId="26" borderId="15" xfId="47" applyFont="1" applyFill="1" applyBorder="1" applyAlignment="1" applyProtection="1">
      <alignment vertical="top" wrapText="1"/>
    </xf>
    <xf numFmtId="0" fontId="4" fillId="24" borderId="15" xfId="47" applyFont="1" applyFill="1" applyBorder="1" applyAlignment="1" applyProtection="1"/>
    <xf numFmtId="0" fontId="4" fillId="24" borderId="15" xfId="47" applyFont="1" applyFill="1" applyBorder="1" applyProtection="1"/>
    <xf numFmtId="0" fontId="3" fillId="24" borderId="15" xfId="47" applyFont="1" applyFill="1" applyBorder="1" applyAlignment="1" applyProtection="1">
      <alignment vertical="top" wrapText="1"/>
    </xf>
    <xf numFmtId="0" fontId="3" fillId="0" borderId="0" xfId="47" applyAlignment="1"/>
    <xf numFmtId="0" fontId="64" fillId="24" borderId="56" xfId="0" applyFont="1" applyFill="1" applyBorder="1" applyAlignment="1" applyProtection="1">
      <alignment horizontal="center"/>
    </xf>
    <xf numFmtId="0" fontId="62" fillId="0" borderId="15" xfId="0" applyFont="1" applyFill="1" applyBorder="1" applyAlignment="1">
      <alignment horizontal="center" vertical="center"/>
    </xf>
    <xf numFmtId="3" fontId="4" fillId="29" borderId="18" xfId="0" applyNumberFormat="1" applyFont="1" applyFill="1" applyBorder="1" applyAlignment="1" applyProtection="1">
      <alignment horizontal="center" vertical="center"/>
    </xf>
    <xf numFmtId="3" fontId="60" fillId="34" borderId="18" xfId="0" applyNumberFormat="1" applyFont="1" applyFill="1" applyBorder="1" applyAlignment="1" applyProtection="1">
      <alignment horizontal="center" vertical="center"/>
    </xf>
    <xf numFmtId="0" fontId="4" fillId="0" borderId="15"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9" fontId="50" fillId="34" borderId="21" xfId="0" applyNumberFormat="1" applyFont="1" applyFill="1" applyBorder="1" applyAlignment="1" applyProtection="1">
      <alignment horizontal="center" vertical="center"/>
    </xf>
    <xf numFmtId="9" fontId="50" fillId="34" borderId="15" xfId="0" applyNumberFormat="1" applyFont="1" applyFill="1" applyBorder="1" applyAlignment="1" applyProtection="1">
      <alignment horizontal="center" vertical="center"/>
    </xf>
    <xf numFmtId="0" fontId="37" fillId="0" borderId="0" xfId="0" applyFont="1" applyFill="1" applyBorder="1" applyAlignment="1">
      <alignment horizontal="center"/>
    </xf>
    <xf numFmtId="0" fontId="4" fillId="0" borderId="0" xfId="0" applyFont="1" applyFill="1" applyBorder="1" applyAlignment="1" applyProtection="1">
      <alignment horizontal="center" vertical="center"/>
    </xf>
    <xf numFmtId="0" fontId="35" fillId="24" borderId="46" xfId="0" applyFont="1" applyFill="1" applyBorder="1" applyProtection="1"/>
    <xf numFmtId="0" fontId="0" fillId="0" borderId="0" xfId="0" applyBorder="1" applyAlignment="1">
      <alignment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37" fillId="26" borderId="80" xfId="47" applyFont="1" applyFill="1" applyBorder="1" applyAlignment="1" applyProtection="1">
      <alignment horizontal="right"/>
    </xf>
    <xf numFmtId="0" fontId="4" fillId="0" borderId="0" xfId="47" applyFont="1" applyFill="1" applyBorder="1" applyProtection="1"/>
    <xf numFmtId="0" fontId="4" fillId="26" borderId="0" xfId="47" applyFont="1" applyFill="1" applyBorder="1" applyProtection="1"/>
    <xf numFmtId="0" fontId="3" fillId="26" borderId="0" xfId="47" applyFill="1" applyBorder="1" applyProtection="1"/>
    <xf numFmtId="0" fontId="35" fillId="26" borderId="0" xfId="47" applyFont="1" applyFill="1" applyBorder="1" applyProtection="1"/>
    <xf numFmtId="0" fontId="37" fillId="26" borderId="0" xfId="47" applyFont="1" applyFill="1" applyBorder="1" applyAlignment="1" applyProtection="1">
      <alignment horizontal="right"/>
    </xf>
    <xf numFmtId="0" fontId="37" fillId="26" borderId="81" xfId="47" applyFont="1" applyFill="1" applyBorder="1" applyAlignment="1" applyProtection="1">
      <alignment horizontal="right"/>
    </xf>
    <xf numFmtId="0" fontId="4" fillId="26" borderId="83" xfId="47" applyFont="1" applyFill="1" applyBorder="1" applyProtection="1"/>
    <xf numFmtId="0" fontId="3" fillId="26" borderId="83" xfId="47" applyFill="1" applyBorder="1" applyProtection="1"/>
    <xf numFmtId="0" fontId="35" fillId="26" borderId="83" xfId="47" applyFont="1" applyFill="1" applyBorder="1" applyProtection="1"/>
    <xf numFmtId="0" fontId="37" fillId="26" borderId="83" xfId="47" applyFont="1" applyFill="1" applyBorder="1" applyAlignment="1" applyProtection="1">
      <alignment horizontal="right"/>
    </xf>
    <xf numFmtId="0" fontId="37" fillId="26" borderId="84" xfId="47" applyFont="1" applyFill="1" applyBorder="1" applyAlignment="1" applyProtection="1">
      <alignment horizontal="right"/>
    </xf>
    <xf numFmtId="0" fontId="8" fillId="26" borderId="0" xfId="47" applyFont="1" applyFill="1" applyBorder="1" applyAlignment="1" applyProtection="1">
      <alignment horizontal="center"/>
    </xf>
    <xf numFmtId="0" fontId="4" fillId="26" borderId="81" xfId="47" applyFont="1" applyFill="1" applyBorder="1" applyProtection="1"/>
    <xf numFmtId="0" fontId="4" fillId="26" borderId="80" xfId="47" applyFont="1" applyFill="1" applyBorder="1" applyProtection="1"/>
    <xf numFmtId="0" fontId="4" fillId="26" borderId="88" xfId="47" applyFont="1" applyFill="1" applyBorder="1" applyProtection="1"/>
    <xf numFmtId="0" fontId="4" fillId="26" borderId="88" xfId="47" applyFont="1" applyFill="1" applyBorder="1"/>
    <xf numFmtId="0" fontId="4" fillId="26" borderId="81" xfId="47" applyFont="1" applyFill="1" applyBorder="1"/>
    <xf numFmtId="0" fontId="4" fillId="26" borderId="80" xfId="47" applyFont="1" applyFill="1" applyBorder="1"/>
    <xf numFmtId="0" fontId="4" fillId="0" borderId="0" xfId="47" applyFont="1"/>
    <xf numFmtId="0" fontId="3" fillId="26" borderId="88" xfId="47" applyFill="1" applyBorder="1"/>
    <xf numFmtId="0" fontId="4" fillId="39" borderId="92" xfId="47" applyFont="1" applyFill="1" applyBorder="1" applyAlignment="1">
      <alignment vertical="center" wrapText="1"/>
    </xf>
    <xf numFmtId="1" fontId="4" fillId="0" borderId="65" xfId="47" applyNumberFormat="1" applyFont="1" applyBorder="1" applyAlignment="1">
      <alignment horizontal="center" vertical="center"/>
    </xf>
    <xf numFmtId="0" fontId="3" fillId="26" borderId="81" xfId="47" applyFill="1" applyBorder="1"/>
    <xf numFmtId="0" fontId="3" fillId="26" borderId="80" xfId="47" applyFill="1" applyBorder="1"/>
    <xf numFmtId="0" fontId="3" fillId="0" borderId="0" xfId="47" applyFill="1"/>
    <xf numFmtId="0" fontId="4" fillId="39" borderId="18" xfId="47" applyFont="1" applyFill="1" applyBorder="1" applyAlignment="1">
      <alignment vertical="center" wrapText="1"/>
    </xf>
    <xf numFmtId="9" fontId="4" fillId="0" borderId="15" xfId="47" applyNumberFormat="1" applyFont="1" applyBorder="1" applyAlignment="1">
      <alignment horizontal="center" vertical="center"/>
    </xf>
    <xf numFmtId="0" fontId="4" fillId="39" borderId="95" xfId="47" applyFont="1" applyFill="1" applyBorder="1" applyAlignment="1">
      <alignment vertical="center" wrapText="1"/>
    </xf>
    <xf numFmtId="9" fontId="4" fillId="0" borderId="68" xfId="47" applyNumberFormat="1" applyFont="1" applyBorder="1" applyAlignment="1">
      <alignment horizontal="center" vertical="center"/>
    </xf>
    <xf numFmtId="0" fontId="4" fillId="26" borderId="92" xfId="47" applyFont="1" applyFill="1" applyBorder="1" applyAlignment="1">
      <alignment vertical="center" wrapText="1"/>
    </xf>
    <xf numFmtId="0" fontId="4" fillId="26" borderId="18" xfId="47" applyFont="1" applyFill="1" applyBorder="1" applyAlignment="1">
      <alignment vertical="center" wrapText="1"/>
    </xf>
    <xf numFmtId="0" fontId="4" fillId="26" borderId="95" xfId="47" applyFont="1" applyFill="1" applyBorder="1" applyAlignment="1">
      <alignment vertical="center" wrapText="1"/>
    </xf>
    <xf numFmtId="0" fontId="65" fillId="39" borderId="70" xfId="34" applyFont="1" applyFill="1" applyBorder="1" applyAlignment="1" applyProtection="1">
      <alignment horizontal="center" vertical="center" wrapText="1"/>
    </xf>
    <xf numFmtId="1" fontId="4" fillId="0" borderId="71" xfId="47" applyNumberFormat="1" applyFont="1" applyBorder="1" applyAlignment="1">
      <alignment horizontal="center" vertical="center"/>
    </xf>
    <xf numFmtId="1" fontId="4" fillId="0" borderId="15" xfId="47" applyNumberFormat="1" applyFont="1" applyBorder="1" applyAlignment="1">
      <alignment horizontal="center" vertical="center"/>
    </xf>
    <xf numFmtId="0" fontId="4" fillId="26" borderId="48" xfId="47" applyFont="1" applyFill="1" applyBorder="1" applyProtection="1"/>
    <xf numFmtId="0" fontId="8" fillId="26" borderId="48" xfId="47" applyFont="1" applyFill="1" applyBorder="1" applyAlignment="1" applyProtection="1">
      <alignment horizontal="center"/>
    </xf>
    <xf numFmtId="0" fontId="4" fillId="0" borderId="0" xfId="47" applyFont="1" applyFill="1" applyProtection="1"/>
    <xf numFmtId="0" fontId="8" fillId="0" borderId="0" xfId="47" applyFont="1" applyFill="1" applyAlignment="1" applyProtection="1">
      <alignment horizontal="center"/>
    </xf>
    <xf numFmtId="9" fontId="4" fillId="0" borderId="16" xfId="47" applyNumberFormat="1" applyFont="1" applyBorder="1" applyAlignment="1">
      <alignment horizontal="center" vertical="center"/>
    </xf>
    <xf numFmtId="1" fontId="51" fillId="40" borderId="22" xfId="0" applyNumberFormat="1" applyFont="1" applyFill="1" applyBorder="1" applyAlignment="1" applyProtection="1">
      <alignment horizontal="center"/>
    </xf>
    <xf numFmtId="1" fontId="51" fillId="40" borderId="15" xfId="0" applyNumberFormat="1" applyFont="1" applyFill="1" applyBorder="1" applyAlignment="1" applyProtection="1">
      <alignment horizontal="center"/>
    </xf>
    <xf numFmtId="1" fontId="51" fillId="40" borderId="21" xfId="0" applyNumberFormat="1" applyFont="1" applyFill="1" applyBorder="1" applyAlignment="1" applyProtection="1">
      <alignment horizontal="center"/>
    </xf>
    <xf numFmtId="0" fontId="67" fillId="24" borderId="56" xfId="0" applyFont="1" applyFill="1" applyBorder="1" applyAlignment="1" applyProtection="1">
      <alignment horizontal="center"/>
    </xf>
    <xf numFmtId="0" fontId="33" fillId="26" borderId="56" xfId="0" applyFont="1" applyFill="1" applyBorder="1" applyAlignment="1" applyProtection="1">
      <alignment wrapText="1"/>
    </xf>
    <xf numFmtId="0" fontId="0" fillId="26" borderId="0" xfId="0" applyFill="1" applyBorder="1" applyAlignment="1" applyProtection="1"/>
    <xf numFmtId="0" fontId="0" fillId="26" borderId="39" xfId="0" applyFill="1" applyBorder="1" applyAlignment="1" applyProtection="1"/>
    <xf numFmtId="0" fontId="4" fillId="24" borderId="83" xfId="0" applyFont="1" applyFill="1" applyBorder="1" applyProtection="1"/>
    <xf numFmtId="1" fontId="4" fillId="29" borderId="15" xfId="47" applyNumberFormat="1" applyFont="1" applyFill="1" applyBorder="1" applyAlignment="1" applyProtection="1">
      <alignment horizontal="center" vertical="center" wrapText="1"/>
    </xf>
    <xf numFmtId="0" fontId="3" fillId="0" borderId="0" xfId="47" applyFont="1"/>
    <xf numFmtId="0" fontId="3" fillId="0" borderId="0" xfId="47" applyAlignment="1">
      <alignment wrapText="1"/>
    </xf>
    <xf numFmtId="0" fontId="3" fillId="0" borderId="0" xfId="47" applyAlignment="1">
      <alignment horizontal="left"/>
    </xf>
    <xf numFmtId="1" fontId="3" fillId="0" borderId="0" xfId="47" applyNumberFormat="1"/>
    <xf numFmtId="1" fontId="34" fillId="0" borderId="15" xfId="46" applyNumberFormat="1" applyFont="1" applyFill="1" applyBorder="1" applyAlignment="1" applyProtection="1">
      <alignment horizontal="center" vertical="center" wrapText="1"/>
      <protection locked="0"/>
    </xf>
    <xf numFmtId="9" fontId="4" fillId="0" borderId="32" xfId="0" applyNumberFormat="1" applyFont="1" applyBorder="1" applyAlignment="1" applyProtection="1">
      <alignment horizontal="center" vertical="center"/>
    </xf>
    <xf numFmtId="9" fontId="4" fillId="29" borderId="32" xfId="0" applyNumberFormat="1" applyFont="1" applyFill="1" applyBorder="1" applyAlignment="1" applyProtection="1">
      <alignment horizontal="center" vertical="center"/>
    </xf>
    <xf numFmtId="9" fontId="60" fillId="34" borderId="32" xfId="0" applyNumberFormat="1" applyFont="1" applyFill="1" applyBorder="1" applyAlignment="1" applyProtection="1">
      <alignment horizontal="center" vertical="center"/>
    </xf>
    <xf numFmtId="1" fontId="34" fillId="40" borderId="64" xfId="0" applyNumberFormat="1" applyFont="1" applyFill="1" applyBorder="1" applyAlignment="1" applyProtection="1">
      <alignment horizontal="center" vertical="center" wrapText="1"/>
      <protection locked="0"/>
    </xf>
    <xf numFmtId="1" fontId="34" fillId="40" borderId="65" xfId="0" applyNumberFormat="1" applyFont="1" applyFill="1" applyBorder="1" applyAlignment="1" applyProtection="1">
      <alignment horizontal="center" vertical="center" wrapText="1"/>
      <protection locked="0"/>
    </xf>
    <xf numFmtId="1" fontId="34" fillId="40" borderId="66" xfId="0" applyNumberFormat="1" applyFont="1" applyFill="1" applyBorder="1" applyAlignment="1" applyProtection="1">
      <alignment horizontal="center" vertical="center" wrapText="1"/>
      <protection locked="0"/>
    </xf>
    <xf numFmtId="1" fontId="34" fillId="40" borderId="22" xfId="0" applyNumberFormat="1" applyFont="1" applyFill="1" applyBorder="1" applyAlignment="1" applyProtection="1">
      <alignment horizontal="center" vertical="center" wrapText="1"/>
      <protection locked="0"/>
    </xf>
    <xf numFmtId="1" fontId="34" fillId="40" borderId="15" xfId="0" applyNumberFormat="1" applyFont="1" applyFill="1" applyBorder="1" applyAlignment="1" applyProtection="1">
      <alignment horizontal="center" vertical="center" wrapText="1"/>
      <protection locked="0"/>
    </xf>
    <xf numFmtId="1" fontId="34" fillId="40" borderId="21" xfId="0" applyNumberFormat="1" applyFont="1" applyFill="1" applyBorder="1" applyAlignment="1" applyProtection="1">
      <alignment horizontal="center" vertical="center" wrapText="1"/>
      <protection locked="0"/>
    </xf>
    <xf numFmtId="1" fontId="34" fillId="0" borderId="15" xfId="0" applyNumberFormat="1" applyFont="1" applyFill="1" applyBorder="1" applyAlignment="1" applyProtection="1">
      <alignment horizontal="center" vertical="center" wrapText="1"/>
      <protection locked="0"/>
    </xf>
    <xf numFmtId="1" fontId="34" fillId="0" borderId="21" xfId="0" applyNumberFormat="1" applyFont="1" applyFill="1" applyBorder="1" applyAlignment="1" applyProtection="1">
      <alignment horizontal="center" vertical="center" wrapText="1"/>
    </xf>
    <xf numFmtId="1" fontId="34" fillId="0" borderId="21" xfId="0" quotePrefix="1" applyNumberFormat="1" applyFont="1" applyFill="1" applyBorder="1" applyAlignment="1" applyProtection="1">
      <alignment horizontal="center" vertical="center" wrapText="1"/>
    </xf>
    <xf numFmtId="1" fontId="51" fillId="40" borderId="24" xfId="0" applyNumberFormat="1" applyFont="1" applyFill="1" applyBorder="1" applyAlignment="1" applyProtection="1">
      <alignment horizontal="center"/>
    </xf>
    <xf numFmtId="1" fontId="51" fillId="40" borderId="16" xfId="0" applyNumberFormat="1" applyFont="1" applyFill="1" applyBorder="1" applyAlignment="1" applyProtection="1">
      <alignment horizontal="center"/>
    </xf>
    <xf numFmtId="1" fontId="51" fillId="40" borderId="23" xfId="0" applyNumberFormat="1" applyFont="1" applyFill="1" applyBorder="1" applyAlignment="1" applyProtection="1">
      <alignment horizontal="center"/>
    </xf>
    <xf numFmtId="0" fontId="4" fillId="0" borderId="15" xfId="0" applyFont="1" applyFill="1" applyBorder="1" applyAlignment="1" applyProtection="1">
      <alignment vertical="center"/>
    </xf>
    <xf numFmtId="167" fontId="62" fillId="0" borderId="15" xfId="0" applyNumberFormat="1" applyFont="1" applyFill="1" applyBorder="1" applyAlignment="1">
      <alignment horizontal="right"/>
    </xf>
    <xf numFmtId="0" fontId="62" fillId="0" borderId="21" xfId="0" applyFont="1" applyFill="1" applyBorder="1" applyAlignment="1">
      <alignment horizontal="center"/>
    </xf>
    <xf numFmtId="0" fontId="62" fillId="0" borderId="21" xfId="0" applyFont="1" applyFill="1" applyBorder="1" applyAlignment="1">
      <alignment horizontal="center" vertical="center"/>
    </xf>
    <xf numFmtId="0" fontId="4" fillId="0" borderId="15" xfId="0" applyFont="1" applyFill="1" applyBorder="1" applyAlignment="1" applyProtection="1">
      <alignment horizontal="center" vertical="center"/>
    </xf>
    <xf numFmtId="0" fontId="62" fillId="0" borderId="15" xfId="0" applyFont="1" applyFill="1" applyBorder="1" applyAlignment="1" applyProtection="1">
      <alignment horizontal="center" vertical="center"/>
    </xf>
    <xf numFmtId="0" fontId="62" fillId="0" borderId="14" xfId="0" applyFont="1" applyFill="1" applyBorder="1" applyAlignment="1">
      <alignment horizontal="center" vertical="center"/>
    </xf>
    <xf numFmtId="0" fontId="62" fillId="0" borderId="21" xfId="0" applyFont="1" applyFill="1" applyBorder="1" applyAlignment="1" applyProtection="1">
      <alignment horizontal="center" vertical="center"/>
    </xf>
    <xf numFmtId="0" fontId="7" fillId="0" borderId="0" xfId="0" applyFont="1" applyFill="1"/>
    <xf numFmtId="0" fontId="34" fillId="0" borderId="0" xfId="0" applyFont="1" applyFill="1"/>
    <xf numFmtId="0" fontId="4" fillId="0" borderId="0" xfId="0" applyFont="1" applyFill="1" applyBorder="1" applyAlignment="1" applyProtection="1">
      <alignment vertical="center"/>
      <protection locked="0"/>
    </xf>
    <xf numFmtId="0" fontId="37" fillId="0" borderId="15" xfId="0" applyFont="1" applyFill="1" applyBorder="1" applyAlignment="1" applyProtection="1">
      <alignment horizontal="center" vertical="center"/>
    </xf>
    <xf numFmtId="0" fontId="4" fillId="0" borderId="48" xfId="0" applyFont="1" applyFill="1" applyBorder="1" applyProtection="1"/>
    <xf numFmtId="3" fontId="4" fillId="0" borderId="66" xfId="0" applyNumberFormat="1" applyFont="1" applyFill="1" applyBorder="1" applyAlignment="1" applyProtection="1">
      <alignment horizontal="center" vertical="center"/>
    </xf>
    <xf numFmtId="3" fontId="4" fillId="0" borderId="21" xfId="0" applyNumberFormat="1" applyFont="1" applyFill="1" applyBorder="1" applyAlignment="1" applyProtection="1">
      <alignment horizontal="center" vertical="center"/>
    </xf>
    <xf numFmtId="0" fontId="37" fillId="0" borderId="22" xfId="0" applyFont="1" applyFill="1" applyBorder="1" applyAlignment="1" applyProtection="1">
      <alignment horizontal="center" vertical="center"/>
    </xf>
    <xf numFmtId="0" fontId="37" fillId="0" borderId="67" xfId="0" applyFont="1" applyFill="1" applyBorder="1" applyAlignment="1" applyProtection="1">
      <alignment horizontal="center" vertical="center"/>
    </xf>
    <xf numFmtId="0" fontId="37" fillId="0" borderId="68" xfId="0" applyFont="1" applyFill="1" applyBorder="1" applyAlignment="1" applyProtection="1">
      <alignment horizontal="center" vertical="center"/>
    </xf>
    <xf numFmtId="0" fontId="37" fillId="0" borderId="64" xfId="0" applyFont="1" applyFill="1" applyBorder="1" applyAlignment="1" applyProtection="1">
      <alignment horizontal="center" vertical="center"/>
    </xf>
    <xf numFmtId="0" fontId="37" fillId="0" borderId="65" xfId="0" applyFont="1" applyFill="1" applyBorder="1" applyAlignment="1" applyProtection="1">
      <alignment horizontal="center" vertical="center"/>
    </xf>
    <xf numFmtId="0" fontId="51" fillId="0" borderId="0" xfId="0" applyFont="1" applyFill="1" applyBorder="1" applyAlignment="1">
      <alignment horizontal="left"/>
    </xf>
    <xf numFmtId="0" fontId="37" fillId="0" borderId="0" xfId="0" applyFont="1" applyFill="1" applyBorder="1" applyAlignment="1">
      <alignment horizontal="right"/>
    </xf>
    <xf numFmtId="0" fontId="62" fillId="0" borderId="16" xfId="0" applyFont="1" applyFill="1" applyBorder="1" applyAlignment="1">
      <alignment horizontal="center" vertical="center" wrapText="1"/>
    </xf>
    <xf numFmtId="0" fontId="54" fillId="0" borderId="16" xfId="0" applyFont="1" applyFill="1" applyBorder="1" applyAlignment="1">
      <alignment horizontal="right"/>
    </xf>
    <xf numFmtId="0" fontId="54" fillId="0" borderId="15" xfId="0" applyFont="1" applyFill="1" applyBorder="1" applyAlignment="1">
      <alignment horizontal="right"/>
    </xf>
    <xf numFmtId="167" fontId="37" fillId="0" borderId="14" xfId="0" applyNumberFormat="1" applyFont="1" applyFill="1" applyBorder="1" applyAlignment="1" applyProtection="1">
      <alignment horizontal="center" vertical="center"/>
    </xf>
    <xf numFmtId="1" fontId="62" fillId="0" borderId="15" xfId="0" applyNumberFormat="1" applyFont="1" applyFill="1" applyBorder="1" applyAlignment="1">
      <alignment horizontal="center" vertical="center"/>
    </xf>
    <xf numFmtId="1" fontId="62" fillId="0" borderId="15" xfId="0" applyNumberFormat="1" applyFont="1" applyFill="1" applyBorder="1" applyAlignment="1">
      <alignment horizontal="center"/>
    </xf>
    <xf numFmtId="1" fontId="4" fillId="0" borderId="15" xfId="0" applyNumberFormat="1" applyFont="1" applyFill="1" applyBorder="1" applyAlignment="1" applyProtection="1">
      <alignment horizontal="center" vertical="center"/>
    </xf>
    <xf numFmtId="0" fontId="62" fillId="0" borderId="21" xfId="0" applyFont="1" applyFill="1" applyBorder="1" applyAlignment="1" applyProtection="1">
      <alignment vertical="center"/>
    </xf>
    <xf numFmtId="0" fontId="62" fillId="0" borderId="15" xfId="0" applyFont="1" applyFill="1" applyBorder="1" applyAlignment="1" applyProtection="1">
      <alignment vertical="center"/>
    </xf>
    <xf numFmtId="0" fontId="62" fillId="0" borderId="14" xfId="0" applyFont="1" applyFill="1" applyBorder="1" applyAlignment="1" applyProtection="1">
      <alignment horizontal="center"/>
    </xf>
    <xf numFmtId="0" fontId="62" fillId="0" borderId="15" xfId="0" applyFont="1" applyFill="1" applyBorder="1" applyAlignment="1" applyProtection="1">
      <alignment horizontal="center"/>
    </xf>
    <xf numFmtId="0" fontId="55" fillId="0" borderId="15" xfId="0" applyFont="1" applyFill="1" applyBorder="1" applyAlignment="1" applyProtection="1">
      <alignment horizontal="center" vertical="center"/>
    </xf>
    <xf numFmtId="0" fontId="4" fillId="0" borderId="0" xfId="0" applyFont="1" applyFill="1"/>
    <xf numFmtId="0" fontId="4" fillId="0" borderId="0" xfId="0" applyFont="1" applyFill="1" applyBorder="1" applyAlignment="1">
      <alignment horizontal="left"/>
    </xf>
    <xf numFmtId="0" fontId="37" fillId="0" borderId="0" xfId="0" applyFont="1" applyFill="1" applyBorder="1" applyAlignment="1">
      <alignment horizontal="right" vertical="center"/>
    </xf>
    <xf numFmtId="0" fontId="62" fillId="0" borderId="0" xfId="0" applyFont="1" applyFill="1" applyBorder="1" applyAlignment="1">
      <alignment horizontal="left" vertical="center"/>
    </xf>
    <xf numFmtId="3" fontId="62" fillId="0" borderId="15" xfId="0" applyNumberFormat="1" applyFont="1" applyFill="1" applyBorder="1" applyAlignment="1">
      <alignment horizontal="center" vertical="center"/>
    </xf>
    <xf numFmtId="0" fontId="62" fillId="0" borderId="0" xfId="0" applyFont="1" applyFill="1" applyBorder="1" applyAlignment="1">
      <alignment horizontal="center"/>
    </xf>
    <xf numFmtId="0" fontId="4" fillId="29" borderId="15" xfId="47" applyFont="1" applyFill="1" applyBorder="1" applyAlignment="1" applyProtection="1">
      <alignment horizontal="center" vertical="center" textRotation="180" wrapText="1"/>
    </xf>
    <xf numFmtId="0" fontId="4" fillId="0" borderId="15" xfId="47" applyFont="1" applyBorder="1" applyAlignment="1">
      <alignment horizontal="center" vertical="center" textRotation="180"/>
    </xf>
    <xf numFmtId="0" fontId="4" fillId="0" borderId="15" xfId="47" applyFont="1" applyBorder="1" applyAlignment="1">
      <alignment wrapText="1"/>
    </xf>
    <xf numFmtId="1" fontId="4" fillId="0" borderId="15" xfId="46" applyNumberFormat="1" applyFont="1" applyFill="1" applyBorder="1" applyAlignment="1" applyProtection="1">
      <alignment horizontal="left" vertical="center" wrapText="1"/>
      <protection locked="0"/>
    </xf>
    <xf numFmtId="1" fontId="4" fillId="0" borderId="15" xfId="47" applyNumberFormat="1" applyFont="1" applyFill="1" applyBorder="1" applyAlignment="1" applyProtection="1">
      <alignment horizontal="left" vertical="center" wrapText="1"/>
      <protection locked="0"/>
    </xf>
    <xf numFmtId="1" fontId="4" fillId="24" borderId="15" xfId="47" applyNumberFormat="1" applyFont="1" applyFill="1" applyBorder="1" applyAlignment="1" applyProtection="1">
      <alignment horizontal="left" vertical="center" wrapText="1"/>
      <protection locked="0"/>
    </xf>
    <xf numFmtId="1" fontId="4" fillId="24" borderId="15" xfId="46" applyNumberFormat="1" applyFont="1" applyFill="1" applyBorder="1" applyAlignment="1" applyProtection="1">
      <alignment horizontal="left" vertical="center" wrapText="1"/>
      <protection locked="0"/>
    </xf>
    <xf numFmtId="0" fontId="69" fillId="0" borderId="15" xfId="47" applyFont="1" applyFill="1" applyBorder="1" applyAlignment="1" applyProtection="1">
      <alignment horizontal="left" vertical="top" wrapText="1"/>
    </xf>
    <xf numFmtId="0" fontId="70" fillId="26" borderId="0" xfId="0" applyFont="1" applyFill="1" applyBorder="1" applyAlignment="1">
      <alignment vertical="top"/>
    </xf>
    <xf numFmtId="165" fontId="60" fillId="34" borderId="21" xfId="0" quotePrefix="1" applyNumberFormat="1" applyFont="1" applyFill="1" applyBorder="1" applyAlignment="1" applyProtection="1">
      <alignment horizontal="right" vertical="center"/>
      <protection hidden="1"/>
    </xf>
    <xf numFmtId="165" fontId="60" fillId="34" borderId="18" xfId="0" quotePrefix="1" applyNumberFormat="1" applyFont="1" applyFill="1" applyBorder="1" applyAlignment="1" applyProtection="1">
      <alignment horizontal="center" vertical="center"/>
      <protection hidden="1"/>
    </xf>
    <xf numFmtId="3" fontId="62" fillId="0" borderId="15" xfId="0" applyNumberFormat="1" applyFont="1" applyFill="1" applyBorder="1" applyAlignment="1" applyProtection="1">
      <alignment horizontal="center" vertical="center"/>
    </xf>
    <xf numFmtId="3" fontId="62" fillId="0" borderId="21" xfId="0" applyNumberFormat="1" applyFont="1" applyFill="1" applyBorder="1" applyAlignment="1" applyProtection="1">
      <alignment horizontal="center" vertical="center"/>
    </xf>
    <xf numFmtId="1" fontId="4" fillId="0" borderId="21" xfId="0" applyNumberFormat="1" applyFont="1" applyFill="1" applyBorder="1" applyAlignment="1" applyProtection="1">
      <alignment horizontal="center" vertical="center"/>
    </xf>
    <xf numFmtId="9" fontId="4" fillId="0" borderId="15" xfId="0" applyNumberFormat="1" applyFont="1" applyFill="1" applyBorder="1" applyAlignment="1" applyProtection="1">
      <alignment horizontal="center" vertical="center"/>
    </xf>
    <xf numFmtId="9" fontId="4" fillId="0" borderId="21" xfId="0" applyNumberFormat="1" applyFont="1" applyFill="1" applyBorder="1" applyAlignment="1" applyProtection="1">
      <alignment horizontal="center" vertical="center"/>
    </xf>
    <xf numFmtId="0" fontId="62" fillId="0" borderId="15" xfId="0" applyFont="1" applyFill="1" applyBorder="1" applyAlignment="1" applyProtection="1">
      <alignment horizontal="right"/>
    </xf>
    <xf numFmtId="0" fontId="62" fillId="0" borderId="15" xfId="0" applyFont="1" applyFill="1" applyBorder="1" applyAlignment="1" applyProtection="1"/>
    <xf numFmtId="0" fontId="51" fillId="0" borderId="0" xfId="0" applyFont="1" applyFill="1" applyBorder="1" applyAlignment="1" applyProtection="1">
      <alignment vertical="center"/>
    </xf>
    <xf numFmtId="0" fontId="51" fillId="0" borderId="44" xfId="0" applyFont="1" applyFill="1" applyBorder="1" applyAlignment="1" applyProtection="1">
      <alignment vertical="center"/>
    </xf>
    <xf numFmtId="0" fontId="46" fillId="26" borderId="0" xfId="0" applyFont="1" applyFill="1" applyBorder="1" applyAlignment="1" applyProtection="1">
      <alignment horizontal="left" vertical="center" wrapText="1"/>
    </xf>
    <xf numFmtId="0" fontId="31" fillId="24" borderId="0" xfId="0" applyFont="1" applyFill="1" applyBorder="1" applyAlignment="1" applyProtection="1">
      <alignment vertical="top" wrapText="1"/>
    </xf>
    <xf numFmtId="0" fontId="31" fillId="24" borderId="0" xfId="0" applyFont="1" applyFill="1" applyBorder="1" applyAlignment="1" applyProtection="1">
      <alignment horizontal="left" vertical="top" wrapText="1"/>
    </xf>
    <xf numFmtId="0" fontId="71" fillId="24" borderId="0" xfId="0" applyFont="1" applyFill="1" applyBorder="1" applyAlignment="1" applyProtection="1">
      <alignment vertical="top"/>
    </xf>
    <xf numFmtId="0" fontId="31" fillId="24" borderId="0" xfId="0" applyFont="1" applyFill="1" applyBorder="1" applyAlignment="1" applyProtection="1">
      <alignment vertical="top"/>
    </xf>
    <xf numFmtId="1" fontId="54" fillId="0" borderId="0" xfId="0" applyNumberFormat="1" applyFont="1" applyFill="1" applyBorder="1" applyProtection="1"/>
    <xf numFmtId="0" fontId="54" fillId="0" borderId="0" xfId="0" applyFont="1" applyFill="1" applyBorder="1" applyAlignment="1" applyProtection="1">
      <alignment horizontal="right" vertical="center"/>
    </xf>
    <xf numFmtId="0" fontId="54" fillId="0" borderId="0" xfId="0" applyFont="1" applyFill="1" applyBorder="1" applyProtection="1"/>
    <xf numFmtId="1" fontId="51" fillId="0" borderId="0" xfId="0" applyNumberFormat="1" applyFont="1" applyFill="1" applyBorder="1" applyAlignment="1" applyProtection="1">
      <alignment horizontal="center"/>
    </xf>
    <xf numFmtId="1" fontId="51" fillId="0" borderId="29" xfId="0" applyNumberFormat="1" applyFont="1" applyFill="1" applyBorder="1" applyAlignment="1" applyProtection="1">
      <alignment horizontal="center"/>
    </xf>
    <xf numFmtId="1" fontId="51" fillId="0" borderId="12" xfId="0" applyNumberFormat="1" applyFont="1" applyFill="1" applyBorder="1" applyAlignment="1" applyProtection="1">
      <alignment horizontal="center"/>
    </xf>
    <xf numFmtId="1" fontId="51" fillId="0" borderId="31" xfId="0" applyNumberFormat="1" applyFont="1" applyFill="1" applyBorder="1" applyAlignment="1" applyProtection="1">
      <alignment horizontal="center"/>
    </xf>
    <xf numFmtId="1" fontId="54" fillId="0" borderId="34" xfId="0" applyNumberFormat="1" applyFont="1" applyFill="1" applyBorder="1" applyProtection="1"/>
    <xf numFmtId="1" fontId="54" fillId="0" borderId="93" xfId="0" applyNumberFormat="1" applyFont="1" applyFill="1" applyBorder="1" applyProtection="1"/>
    <xf numFmtId="1" fontId="34" fillId="0" borderId="22" xfId="0" applyNumberFormat="1" applyFont="1" applyFill="1" applyBorder="1" applyAlignment="1" applyProtection="1">
      <alignment horizontal="center" vertical="center" wrapText="1"/>
      <protection locked="0"/>
    </xf>
    <xf numFmtId="1" fontId="34" fillId="0" borderId="22" xfId="46" applyNumberFormat="1" applyFont="1" applyFill="1" applyBorder="1" applyAlignment="1" applyProtection="1">
      <alignment horizontal="center" vertical="center" wrapText="1"/>
      <protection locked="0"/>
    </xf>
    <xf numFmtId="1" fontId="34" fillId="0" borderId="19" xfId="0" applyNumberFormat="1" applyFont="1" applyFill="1" applyBorder="1" applyAlignment="1" applyProtection="1">
      <alignment horizontal="center" vertical="center" wrapText="1"/>
    </xf>
    <xf numFmtId="1" fontId="4" fillId="0" borderId="67" xfId="0" applyNumberFormat="1" applyFont="1" applyFill="1" applyBorder="1" applyAlignment="1" applyProtection="1">
      <alignment horizontal="center" vertical="center" wrapText="1"/>
      <protection locked="0"/>
    </xf>
    <xf numFmtId="1" fontId="4" fillId="0" borderId="68" xfId="0" applyNumberFormat="1" applyFont="1" applyFill="1" applyBorder="1" applyAlignment="1" applyProtection="1">
      <alignment horizontal="center" vertical="center" wrapText="1"/>
      <protection locked="0"/>
    </xf>
    <xf numFmtId="1" fontId="54" fillId="0" borderId="96" xfId="0" applyNumberFormat="1" applyFont="1" applyFill="1" applyBorder="1" applyProtection="1"/>
    <xf numFmtId="0" fontId="8" fillId="25" borderId="18" xfId="0" applyFont="1" applyFill="1" applyBorder="1" applyAlignment="1" applyProtection="1">
      <alignment vertical="center" wrapText="1"/>
    </xf>
    <xf numFmtId="1" fontId="37" fillId="0" borderId="0" xfId="0" applyNumberFormat="1" applyFont="1" applyFill="1" applyBorder="1" applyAlignment="1" applyProtection="1">
      <alignment horizontal="right"/>
    </xf>
    <xf numFmtId="9" fontId="4" fillId="0" borderId="106" xfId="47" applyNumberFormat="1" applyFont="1" applyBorder="1" applyAlignment="1">
      <alignment horizontal="center" vertical="center"/>
    </xf>
    <xf numFmtId="9" fontId="4" fillId="0" borderId="21" xfId="47" applyNumberFormat="1" applyFont="1" applyBorder="1" applyAlignment="1">
      <alignment horizontal="center" vertical="center"/>
    </xf>
    <xf numFmtId="9" fontId="4" fillId="0" borderId="65" xfId="47" applyNumberFormat="1" applyFont="1" applyBorder="1" applyAlignment="1">
      <alignment horizontal="center" vertical="center"/>
    </xf>
    <xf numFmtId="1" fontId="4" fillId="0" borderId="106" xfId="47" applyNumberFormat="1" applyFont="1" applyBorder="1" applyAlignment="1">
      <alignment horizontal="center" vertical="center"/>
    </xf>
    <xf numFmtId="165" fontId="4" fillId="0" borderId="15" xfId="47" applyNumberFormat="1" applyFont="1" applyBorder="1" applyAlignment="1">
      <alignment horizontal="center" vertical="center"/>
    </xf>
    <xf numFmtId="165" fontId="4" fillId="0" borderId="68" xfId="47" applyNumberFormat="1" applyFont="1" applyBorder="1" applyAlignment="1">
      <alignment horizontal="center" vertical="center"/>
    </xf>
    <xf numFmtId="165" fontId="4" fillId="0" borderId="21" xfId="47" applyNumberFormat="1" applyFont="1" applyBorder="1" applyAlignment="1">
      <alignment horizontal="center" vertical="center"/>
    </xf>
    <xf numFmtId="165" fontId="4" fillId="0" borderId="69" xfId="47" applyNumberFormat="1" applyFont="1" applyBorder="1" applyAlignment="1">
      <alignment horizontal="center" vertical="center"/>
    </xf>
    <xf numFmtId="9" fontId="4" fillId="0" borderId="12" xfId="47" applyNumberFormat="1" applyFont="1" applyBorder="1" applyAlignment="1">
      <alignment horizontal="center" vertical="center"/>
    </xf>
    <xf numFmtId="0" fontId="3" fillId="26" borderId="85" xfId="47" applyFill="1" applyBorder="1"/>
    <xf numFmtId="0" fontId="4" fillId="26" borderId="86" xfId="47" applyFont="1" applyFill="1" applyBorder="1" applyAlignment="1">
      <alignment horizontal="center" vertical="center" wrapText="1"/>
    </xf>
    <xf numFmtId="0" fontId="4" fillId="26" borderId="86" xfId="47" applyFont="1" applyFill="1" applyBorder="1" applyAlignment="1">
      <alignment vertical="center" wrapText="1"/>
    </xf>
    <xf numFmtId="1" fontId="4" fillId="26" borderId="86" xfId="47" applyNumberFormat="1" applyFont="1" applyFill="1" applyBorder="1" applyAlignment="1">
      <alignment horizontal="center" vertical="center"/>
    </xf>
    <xf numFmtId="1" fontId="8" fillId="26" borderId="86" xfId="47" applyNumberFormat="1" applyFont="1" applyFill="1" applyBorder="1" applyAlignment="1">
      <alignment horizontal="center" vertical="center"/>
    </xf>
    <xf numFmtId="0" fontId="3" fillId="26" borderId="87" xfId="47" applyFill="1" applyBorder="1"/>
    <xf numFmtId="0" fontId="4" fillId="26" borderId="88" xfId="47" applyFont="1" applyFill="1" applyBorder="1" applyAlignment="1" applyProtection="1">
      <alignment vertical="center"/>
    </xf>
    <xf numFmtId="0" fontId="4" fillId="26" borderId="0" xfId="47" applyFont="1" applyFill="1" applyBorder="1" applyAlignment="1" applyProtection="1">
      <alignment vertical="center"/>
    </xf>
    <xf numFmtId="0" fontId="8" fillId="26" borderId="0" xfId="47" applyFont="1" applyFill="1" applyBorder="1" applyAlignment="1" applyProtection="1">
      <alignment horizontal="center" vertical="center"/>
    </xf>
    <xf numFmtId="0" fontId="4" fillId="26" borderId="81" xfId="47" applyFont="1" applyFill="1" applyBorder="1" applyAlignment="1" applyProtection="1">
      <alignment vertical="center"/>
    </xf>
    <xf numFmtId="0" fontId="4" fillId="26" borderId="80" xfId="47" applyFont="1" applyFill="1" applyBorder="1" applyAlignment="1" applyProtection="1">
      <alignment vertical="center"/>
    </xf>
    <xf numFmtId="0" fontId="4" fillId="0" borderId="0" xfId="47" applyFont="1" applyFill="1" applyBorder="1" applyAlignment="1" applyProtection="1">
      <alignment vertical="center"/>
    </xf>
    <xf numFmtId="0" fontId="58" fillId="26" borderId="0" xfId="47" applyFont="1" applyFill="1" applyBorder="1" applyAlignment="1" applyProtection="1">
      <alignment horizontal="left" vertical="center" indent="1"/>
    </xf>
    <xf numFmtId="0" fontId="29" fillId="26" borderId="0" xfId="0" applyFont="1" applyFill="1" applyBorder="1" applyAlignment="1">
      <alignment horizontal="left"/>
    </xf>
    <xf numFmtId="0" fontId="29" fillId="26" borderId="0" xfId="0" applyFont="1" applyFill="1" applyBorder="1" applyAlignment="1"/>
    <xf numFmtId="0" fontId="29" fillId="26" borderId="0" xfId="0" applyFont="1" applyFill="1" applyBorder="1" applyAlignment="1">
      <alignment vertical="center"/>
    </xf>
    <xf numFmtId="0" fontId="29" fillId="26" borderId="0" xfId="0" applyFont="1" applyFill="1" applyBorder="1" applyAlignment="1">
      <alignment vertical="center" wrapText="1"/>
    </xf>
    <xf numFmtId="0" fontId="48" fillId="26" borderId="0" xfId="34" applyFill="1" applyBorder="1" applyAlignment="1" applyProtection="1">
      <alignment vertical="center"/>
    </xf>
    <xf numFmtId="0" fontId="29" fillId="26" borderId="49" xfId="0" applyFont="1" applyFill="1" applyBorder="1" applyAlignment="1">
      <alignment vertical="center"/>
    </xf>
    <xf numFmtId="0" fontId="29" fillId="26" borderId="49" xfId="0" applyFont="1" applyFill="1" applyBorder="1" applyAlignment="1">
      <alignment vertical="center" wrapText="1"/>
    </xf>
    <xf numFmtId="0" fontId="29" fillId="26" borderId="48" xfId="0" applyFont="1" applyFill="1" applyBorder="1" applyAlignment="1">
      <alignment horizontal="left" vertical="center" indent="2"/>
    </xf>
    <xf numFmtId="0" fontId="29" fillId="26" borderId="48" xfId="0" applyFont="1" applyFill="1" applyBorder="1" applyAlignment="1">
      <alignment vertical="center" wrapText="1"/>
    </xf>
    <xf numFmtId="0" fontId="29" fillId="26" borderId="49" xfId="0" applyFont="1" applyFill="1" applyBorder="1" applyAlignment="1"/>
    <xf numFmtId="0" fontId="3" fillId="26" borderId="0" xfId="0" applyFont="1" applyFill="1" applyBorder="1" applyAlignment="1">
      <alignment horizontal="left" vertical="top"/>
    </xf>
    <xf numFmtId="0" fontId="3" fillId="26" borderId="0" xfId="0" applyFont="1" applyFill="1" applyBorder="1" applyAlignment="1">
      <alignment vertical="center"/>
    </xf>
    <xf numFmtId="0" fontId="7" fillId="24" borderId="35" xfId="0" applyFont="1" applyFill="1" applyBorder="1"/>
    <xf numFmtId="0" fontId="7" fillId="24" borderId="36" xfId="0" applyFont="1" applyFill="1" applyBorder="1"/>
    <xf numFmtId="0" fontId="0" fillId="24" borderId="36" xfId="0" applyFill="1" applyBorder="1"/>
    <xf numFmtId="0" fontId="7" fillId="24" borderId="37" xfId="0" applyFont="1" applyFill="1" applyBorder="1"/>
    <xf numFmtId="0" fontId="7" fillId="24" borderId="56" xfId="0" applyFont="1" applyFill="1" applyBorder="1"/>
    <xf numFmtId="0" fontId="7" fillId="24" borderId="39" xfId="0" applyFont="1" applyFill="1" applyBorder="1"/>
    <xf numFmtId="0" fontId="8" fillId="24" borderId="39" xfId="0" applyFont="1" applyFill="1" applyBorder="1"/>
    <xf numFmtId="0" fontId="3" fillId="26" borderId="0" xfId="0" applyFont="1" applyFill="1" applyBorder="1" applyAlignment="1">
      <alignment horizontal="left" vertical="center" wrapText="1"/>
    </xf>
    <xf numFmtId="0" fontId="29" fillId="26" borderId="48" xfId="0" applyFont="1" applyFill="1" applyBorder="1" applyAlignment="1">
      <alignment horizontal="left"/>
    </xf>
    <xf numFmtId="0" fontId="29" fillId="26" borderId="48" xfId="0" applyFont="1" applyFill="1" applyBorder="1" applyAlignment="1"/>
    <xf numFmtId="0" fontId="34" fillId="24" borderId="56" xfId="0" applyFont="1" applyFill="1" applyBorder="1"/>
    <xf numFmtId="0" fontId="34" fillId="24" borderId="39" xfId="0" applyFont="1" applyFill="1" applyBorder="1"/>
    <xf numFmtId="0" fontId="7" fillId="24" borderId="82" xfId="0" applyFont="1" applyFill="1" applyBorder="1"/>
    <xf numFmtId="0" fontId="7" fillId="24" borderId="83" xfId="0" applyFont="1" applyFill="1" applyBorder="1"/>
    <xf numFmtId="0" fontId="0" fillId="24" borderId="83" xfId="0" applyFill="1" applyBorder="1"/>
    <xf numFmtId="0" fontId="7" fillId="24" borderId="54" xfId="0" applyFont="1" applyFill="1" applyBorder="1"/>
    <xf numFmtId="0" fontId="31" fillId="26" borderId="0" xfId="0" applyFont="1" applyFill="1" applyBorder="1" applyAlignment="1">
      <alignment vertical="center"/>
    </xf>
    <xf numFmtId="0" fontId="72" fillId="26" borderId="0" xfId="47" applyFont="1" applyFill="1" applyBorder="1" applyAlignment="1" applyProtection="1">
      <alignment horizontal="left" vertical="center"/>
    </xf>
    <xf numFmtId="0" fontId="4" fillId="26" borderId="108" xfId="47" applyFont="1" applyFill="1" applyBorder="1" applyProtection="1"/>
    <xf numFmtId="0" fontId="8" fillId="26" borderId="77" xfId="47" applyNumberFormat="1" applyFont="1" applyFill="1" applyBorder="1" applyAlignment="1">
      <alignment horizontal="center" wrapText="1"/>
    </xf>
    <xf numFmtId="1" fontId="4" fillId="0" borderId="70" xfId="47" applyNumberFormat="1" applyFont="1" applyBorder="1" applyAlignment="1">
      <alignment horizontal="center" vertical="center"/>
    </xf>
    <xf numFmtId="1" fontId="4" fillId="0" borderId="111" xfId="47" applyNumberFormat="1" applyFont="1" applyBorder="1" applyAlignment="1">
      <alignment horizontal="center" vertical="center"/>
    </xf>
    <xf numFmtId="1" fontId="4" fillId="0" borderId="64" xfId="47" applyNumberFormat="1" applyFont="1" applyBorder="1" applyAlignment="1">
      <alignment horizontal="center" vertical="center"/>
    </xf>
    <xf numFmtId="1" fontId="4" fillId="0" borderId="66" xfId="47" applyNumberFormat="1" applyFont="1" applyBorder="1" applyAlignment="1">
      <alignment horizontal="center" vertical="center"/>
    </xf>
    <xf numFmtId="9" fontId="4" fillId="0" borderId="22" xfId="47" applyNumberFormat="1" applyFont="1" applyBorder="1" applyAlignment="1">
      <alignment horizontal="center" vertical="center"/>
    </xf>
    <xf numFmtId="9" fontId="4" fillId="0" borderId="94" xfId="47" applyNumberFormat="1" applyFont="1" applyBorder="1" applyAlignment="1">
      <alignment horizontal="center" vertical="center"/>
    </xf>
    <xf numFmtId="9" fontId="4" fillId="0" borderId="110" xfId="47" applyNumberFormat="1" applyFont="1" applyBorder="1" applyAlignment="1">
      <alignment horizontal="center" vertical="center"/>
    </xf>
    <xf numFmtId="9" fontId="4" fillId="0" borderId="67" xfId="47" applyNumberFormat="1" applyFont="1" applyBorder="1" applyAlignment="1">
      <alignment horizontal="center" vertical="center"/>
    </xf>
    <xf numFmtId="9" fontId="4" fillId="0" borderId="69" xfId="47" applyNumberFormat="1" applyFont="1" applyBorder="1" applyAlignment="1">
      <alignment horizontal="center" vertical="center"/>
    </xf>
    <xf numFmtId="9" fontId="4" fillId="0" borderId="24" xfId="47" applyNumberFormat="1" applyFont="1" applyBorder="1" applyAlignment="1">
      <alignment horizontal="center" vertical="center"/>
    </xf>
    <xf numFmtId="9" fontId="4" fillId="0" borderId="23" xfId="47" applyNumberFormat="1" applyFont="1" applyBorder="1" applyAlignment="1">
      <alignment horizontal="center" vertical="center"/>
    </xf>
    <xf numFmtId="1" fontId="4" fillId="0" borderId="22" xfId="47" applyNumberFormat="1" applyFont="1" applyBorder="1" applyAlignment="1">
      <alignment horizontal="center" vertical="center"/>
    </xf>
    <xf numFmtId="1" fontId="4" fillId="0" borderId="21" xfId="47" applyNumberFormat="1" applyFont="1" applyBorder="1" applyAlignment="1">
      <alignment horizontal="center" vertical="center"/>
    </xf>
    <xf numFmtId="9" fontId="4" fillId="0" borderId="64" xfId="47" applyNumberFormat="1" applyFont="1" applyBorder="1" applyAlignment="1">
      <alignment horizontal="center" vertical="center"/>
    </xf>
    <xf numFmtId="9" fontId="4" fillId="0" borderId="66" xfId="47" applyNumberFormat="1" applyFont="1" applyBorder="1" applyAlignment="1">
      <alignment horizontal="center" vertical="center"/>
    </xf>
    <xf numFmtId="165" fontId="4" fillId="0" borderId="22" xfId="47" applyNumberFormat="1" applyFont="1" applyBorder="1" applyAlignment="1">
      <alignment horizontal="center" vertical="center"/>
    </xf>
    <xf numFmtId="165" fontId="4" fillId="0" borderId="67" xfId="47" applyNumberFormat="1" applyFont="1" applyBorder="1" applyAlignment="1">
      <alignment horizontal="center" vertical="center"/>
    </xf>
    <xf numFmtId="9" fontId="4" fillId="0" borderId="29" xfId="47" applyNumberFormat="1" applyFont="1" applyBorder="1" applyAlignment="1">
      <alignment horizontal="center" vertical="center"/>
    </xf>
    <xf numFmtId="9" fontId="4" fillId="0" borderId="31" xfId="47" applyNumberFormat="1" applyFont="1" applyBorder="1" applyAlignment="1">
      <alignment horizontal="center" vertical="center"/>
    </xf>
    <xf numFmtId="1" fontId="4" fillId="0" borderId="94" xfId="47" applyNumberFormat="1" applyFont="1" applyBorder="1" applyAlignment="1">
      <alignment horizontal="center" vertical="center"/>
    </xf>
    <xf numFmtId="1" fontId="4" fillId="0" borderId="110" xfId="47" applyNumberFormat="1" applyFont="1" applyBorder="1" applyAlignment="1">
      <alignment horizontal="center" vertical="center"/>
    </xf>
    <xf numFmtId="0" fontId="64" fillId="26" borderId="56" xfId="0" applyFont="1" applyFill="1" applyBorder="1" applyAlignment="1" applyProtection="1">
      <alignment horizontal="center"/>
    </xf>
    <xf numFmtId="0" fontId="4" fillId="32" borderId="15" xfId="0" applyFont="1" applyFill="1" applyBorder="1" applyAlignment="1" applyProtection="1">
      <alignment horizontal="center" vertical="center"/>
    </xf>
    <xf numFmtId="0" fontId="4" fillId="31" borderId="15" xfId="0" applyFont="1" applyFill="1" applyBorder="1" applyAlignment="1" applyProtection="1">
      <alignment horizontal="center" vertical="center" wrapText="1"/>
    </xf>
    <xf numFmtId="0" fontId="4" fillId="24" borderId="21" xfId="0" applyFont="1" applyFill="1" applyBorder="1" applyAlignment="1" applyProtection="1">
      <alignment horizontal="left" vertical="center" wrapText="1"/>
    </xf>
    <xf numFmtId="0" fontId="35" fillId="34" borderId="21" xfId="46" applyFont="1" applyFill="1" applyBorder="1" applyAlignment="1" applyProtection="1">
      <alignment horizontal="left" vertical="center" wrapText="1"/>
    </xf>
    <xf numFmtId="0" fontId="7" fillId="0" borderId="21" xfId="0" applyFont="1" applyFill="1" applyBorder="1" applyAlignment="1" applyProtection="1">
      <alignment horizontal="left" vertical="center" wrapText="1"/>
    </xf>
    <xf numFmtId="0" fontId="35" fillId="34" borderId="21" xfId="0" applyFont="1" applyFill="1" applyBorder="1" applyAlignment="1" applyProtection="1">
      <alignment horizontal="left" vertical="center" wrapText="1"/>
    </xf>
    <xf numFmtId="0" fontId="31" fillId="24" borderId="0" xfId="0" applyFont="1" applyFill="1" applyBorder="1" applyAlignment="1" applyProtection="1">
      <alignment horizontal="left" vertical="top"/>
    </xf>
    <xf numFmtId="0" fontId="4" fillId="26" borderId="56" xfId="0" applyFont="1" applyFill="1" applyBorder="1" applyProtection="1"/>
    <xf numFmtId="0" fontId="32" fillId="24" borderId="0" xfId="0" applyFont="1" applyFill="1" applyBorder="1" applyAlignment="1" applyProtection="1">
      <alignment horizontal="left" wrapText="1"/>
    </xf>
    <xf numFmtId="0" fontId="31" fillId="24" borderId="0" xfId="0" applyFont="1" applyFill="1" applyBorder="1" applyAlignment="1" applyProtection="1">
      <alignment horizontal="left" vertical="top" wrapText="1"/>
    </xf>
    <xf numFmtId="0" fontId="4" fillId="38" borderId="14" xfId="0" applyFont="1" applyFill="1" applyBorder="1" applyAlignment="1" applyProtection="1">
      <alignment horizontal="center" vertical="center" wrapText="1"/>
    </xf>
    <xf numFmtId="0" fontId="4" fillId="0" borderId="21" xfId="0" applyFont="1" applyFill="1" applyBorder="1" applyAlignment="1">
      <alignment horizont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4" xfId="0" applyFont="1" applyFill="1" applyBorder="1" applyAlignment="1">
      <alignment horizontal="center"/>
    </xf>
    <xf numFmtId="0" fontId="4" fillId="0" borderId="15" xfId="0" applyFont="1" applyFill="1" applyBorder="1" applyAlignment="1">
      <alignment horizontal="center"/>
    </xf>
    <xf numFmtId="0" fontId="4" fillId="0" borderId="14" xfId="0" applyFont="1" applyFill="1" applyBorder="1" applyAlignment="1" applyProtection="1">
      <alignment horizontal="center"/>
    </xf>
    <xf numFmtId="0" fontId="4" fillId="0" borderId="15" xfId="0" applyFont="1" applyFill="1" applyBorder="1" applyAlignment="1" applyProtection="1">
      <alignment horizontal="center"/>
    </xf>
    <xf numFmtId="165" fontId="4" fillId="24" borderId="21" xfId="0" applyNumberFormat="1" applyFont="1" applyFill="1" applyBorder="1" applyAlignment="1">
      <alignment horizontal="center" vertical="center" wrapText="1"/>
    </xf>
    <xf numFmtId="165" fontId="4" fillId="29" borderId="21" xfId="0" applyNumberFormat="1" applyFont="1" applyFill="1" applyBorder="1" applyAlignment="1" applyProtection="1">
      <alignment horizontal="center" vertical="center"/>
      <protection hidden="1"/>
    </xf>
    <xf numFmtId="165" fontId="60" fillId="34" borderId="21" xfId="0" applyNumberFormat="1" applyFont="1" applyFill="1" applyBorder="1" applyAlignment="1" applyProtection="1">
      <alignment horizontal="center" vertical="center"/>
      <protection hidden="1"/>
    </xf>
    <xf numFmtId="0" fontId="50" fillId="0" borderId="0" xfId="0" applyFont="1" applyFill="1" applyBorder="1" applyAlignment="1" applyProtection="1">
      <alignment horizontal="left"/>
    </xf>
    <xf numFmtId="0" fontId="50" fillId="0" borderId="0" xfId="0" applyFont="1" applyFill="1" applyBorder="1" applyAlignment="1" applyProtection="1">
      <alignment horizontal="right"/>
    </xf>
    <xf numFmtId="0" fontId="75" fillId="0" borderId="15" xfId="0" applyFont="1" applyFill="1" applyBorder="1" applyAlignment="1" applyProtection="1">
      <alignment horizontal="center"/>
    </xf>
    <xf numFmtId="0" fontId="50" fillId="0" borderId="15" xfId="0" applyFont="1" applyFill="1" applyBorder="1" applyAlignment="1" applyProtection="1">
      <alignment horizontal="center" vertical="center"/>
    </xf>
    <xf numFmtId="0" fontId="75" fillId="0" borderId="0" xfId="0" applyFont="1" applyFill="1" applyBorder="1" applyAlignment="1" applyProtection="1">
      <alignment horizontal="left"/>
    </xf>
    <xf numFmtId="0" fontId="50" fillId="0" borderId="0" xfId="0" applyFont="1" applyFill="1" applyBorder="1" applyAlignment="1" applyProtection="1">
      <alignment horizontal="center"/>
    </xf>
    <xf numFmtId="0" fontId="75" fillId="0" borderId="15" xfId="0" applyFont="1" applyFill="1" applyBorder="1" applyAlignment="1" applyProtection="1">
      <alignment horizontal="center" vertical="center"/>
    </xf>
    <xf numFmtId="0" fontId="50" fillId="0" borderId="15" xfId="0" applyFont="1" applyFill="1" applyBorder="1" applyAlignment="1" applyProtection="1">
      <alignment horizontal="left" vertical="top" wrapText="1"/>
    </xf>
    <xf numFmtId="1" fontId="50" fillId="0" borderId="15" xfId="0" applyNumberFormat="1" applyFont="1" applyFill="1" applyBorder="1" applyAlignment="1" applyProtection="1">
      <alignment horizontal="center" vertical="top"/>
    </xf>
    <xf numFmtId="0" fontId="4" fillId="26" borderId="85" xfId="47" applyFont="1" applyFill="1" applyBorder="1" applyProtection="1"/>
    <xf numFmtId="0" fontId="4" fillId="26" borderId="86" xfId="47" applyFont="1" applyFill="1" applyBorder="1" applyProtection="1"/>
    <xf numFmtId="0" fontId="3" fillId="26" borderId="86" xfId="47" applyFill="1" applyBorder="1" applyProtection="1"/>
    <xf numFmtId="0" fontId="35" fillId="26" borderId="86" xfId="47" applyFont="1" applyFill="1" applyBorder="1" applyProtection="1"/>
    <xf numFmtId="0" fontId="37" fillId="26" borderId="86" xfId="47" applyFont="1" applyFill="1" applyBorder="1" applyAlignment="1" applyProtection="1">
      <alignment horizontal="right"/>
    </xf>
    <xf numFmtId="0" fontId="37" fillId="26" borderId="87" xfId="47" applyFont="1" applyFill="1" applyBorder="1" applyAlignment="1" applyProtection="1">
      <alignment horizontal="right"/>
    </xf>
    <xf numFmtId="0" fontId="4" fillId="26" borderId="112" xfId="47" applyFont="1" applyFill="1" applyBorder="1" applyProtection="1"/>
    <xf numFmtId="0" fontId="4" fillId="26" borderId="0" xfId="47" applyFont="1" applyFill="1" applyBorder="1"/>
    <xf numFmtId="0" fontId="3" fillId="26" borderId="0" xfId="47" applyFill="1" applyBorder="1"/>
    <xf numFmtId="0" fontId="4" fillId="26" borderId="0" xfId="47" applyFont="1" applyFill="1" applyBorder="1" applyAlignment="1" applyProtection="1">
      <alignment horizontal="center"/>
    </xf>
    <xf numFmtId="0" fontId="4" fillId="0" borderId="17" xfId="0" applyFont="1" applyFill="1" applyBorder="1" applyAlignment="1" applyProtection="1">
      <alignment vertical="center"/>
    </xf>
    <xf numFmtId="0" fontId="0" fillId="0" borderId="0" xfId="0" applyBorder="1" applyAlignment="1">
      <alignment wrapText="1"/>
    </xf>
    <xf numFmtId="0" fontId="0" fillId="26" borderId="0" xfId="0" applyFill="1" applyBorder="1" applyAlignment="1"/>
    <xf numFmtId="0" fontId="31" fillId="24" borderId="0" xfId="0" applyFont="1" applyFill="1" applyBorder="1" applyAlignment="1" applyProtection="1">
      <alignment horizontal="left" vertical="top" wrapText="1"/>
    </xf>
    <xf numFmtId="0" fontId="31" fillId="26" borderId="0" xfId="0" applyFont="1" applyFill="1" applyBorder="1" applyAlignment="1" applyProtection="1">
      <alignment horizontal="left" vertical="top" wrapText="1"/>
    </xf>
    <xf numFmtId="0" fontId="35" fillId="0" borderId="113" xfId="0" applyFont="1" applyFill="1" applyBorder="1" applyProtection="1"/>
    <xf numFmtId="0" fontId="76" fillId="0" borderId="0" xfId="47" applyFont="1"/>
    <xf numFmtId="0" fontId="6" fillId="40" borderId="15" xfId="47" applyFont="1" applyFill="1" applyBorder="1" applyAlignment="1">
      <alignment horizontal="center" vertical="center"/>
    </xf>
    <xf numFmtId="0" fontId="8" fillId="27" borderId="12" xfId="0" applyFont="1" applyFill="1" applyBorder="1" applyAlignment="1" applyProtection="1">
      <alignment horizontal="center" vertical="top"/>
    </xf>
    <xf numFmtId="0" fontId="8" fillId="27" borderId="31" xfId="0" applyFont="1" applyFill="1" applyBorder="1" applyAlignment="1" applyProtection="1">
      <alignment horizontal="center" vertical="top"/>
    </xf>
    <xf numFmtId="0" fontId="0" fillId="24" borderId="0" xfId="0" applyFill="1" applyBorder="1" applyAlignment="1" applyProtection="1">
      <alignment vertical="top"/>
    </xf>
    <xf numFmtId="0" fontId="6" fillId="0" borderId="0" xfId="47" applyFont="1"/>
    <xf numFmtId="0" fontId="8" fillId="27" borderId="16" xfId="0" applyFont="1" applyFill="1" applyBorder="1" applyAlignment="1" applyProtection="1">
      <alignment horizontal="center" wrapText="1"/>
    </xf>
    <xf numFmtId="0" fontId="8" fillId="27" borderId="16" xfId="0" applyFont="1" applyFill="1" applyBorder="1" applyAlignment="1">
      <alignment horizontal="center" wrapText="1"/>
    </xf>
    <xf numFmtId="0" fontId="8" fillId="27" borderId="23" xfId="0" applyFont="1" applyFill="1" applyBorder="1" applyAlignment="1">
      <alignment horizontal="center" wrapText="1"/>
    </xf>
    <xf numFmtId="0" fontId="8" fillId="28" borderId="16" xfId="0" applyFont="1" applyFill="1" applyBorder="1" applyAlignment="1" applyProtection="1">
      <alignment horizontal="center" wrapText="1"/>
    </xf>
    <xf numFmtId="0" fontId="8" fillId="28" borderId="16" xfId="0" applyFont="1" applyFill="1" applyBorder="1" applyAlignment="1">
      <alignment horizontal="center" wrapText="1"/>
    </xf>
    <xf numFmtId="0" fontId="8" fillId="28" borderId="23" xfId="0" applyFont="1" applyFill="1" applyBorder="1" applyAlignment="1">
      <alignment horizontal="center" wrapText="1"/>
    </xf>
    <xf numFmtId="0" fontId="8" fillId="28" borderId="12" xfId="0" applyFont="1" applyFill="1" applyBorder="1" applyAlignment="1" applyProtection="1">
      <alignment horizontal="center" vertical="top"/>
    </xf>
    <xf numFmtId="0" fontId="8" fillId="28" borderId="31" xfId="0" applyFont="1" applyFill="1" applyBorder="1" applyAlignment="1" applyProtection="1">
      <alignment horizontal="center" vertical="top"/>
    </xf>
    <xf numFmtId="0" fontId="0" fillId="0" borderId="0" xfId="0" applyBorder="1" applyAlignment="1">
      <alignment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8" fillId="26" borderId="0" xfId="0" applyFont="1" applyFill="1" applyBorder="1" applyAlignment="1" applyProtection="1">
      <alignment horizontal="center" vertical="center" wrapText="1"/>
    </xf>
    <xf numFmtId="0" fontId="31" fillId="26" borderId="0" xfId="0" applyFont="1" applyFill="1" applyBorder="1" applyAlignment="1" applyProtection="1">
      <alignment horizontal="left" vertical="top" wrapText="1"/>
    </xf>
    <xf numFmtId="0" fontId="53" fillId="0" borderId="12" xfId="0" applyFont="1" applyFill="1" applyBorder="1" applyAlignment="1" applyProtection="1">
      <alignment horizontal="center"/>
    </xf>
    <xf numFmtId="0" fontId="8" fillId="27" borderId="64" xfId="0" applyFont="1" applyFill="1" applyBorder="1" applyAlignment="1" applyProtection="1">
      <alignment horizontal="center" vertical="top"/>
    </xf>
    <xf numFmtId="0" fontId="8" fillId="27" borderId="65" xfId="0" applyFont="1" applyFill="1" applyBorder="1" applyAlignment="1" applyProtection="1">
      <alignment horizontal="center" vertical="top"/>
    </xf>
    <xf numFmtId="0" fontId="8" fillId="27" borderId="66" xfId="0" applyFont="1" applyFill="1" applyBorder="1" applyAlignment="1" applyProtection="1">
      <alignment horizontal="center" vertical="top"/>
    </xf>
    <xf numFmtId="0" fontId="8" fillId="27" borderId="67" xfId="0" applyFont="1" applyFill="1" applyBorder="1" applyAlignment="1" applyProtection="1">
      <alignment horizontal="center" wrapText="1"/>
    </xf>
    <xf numFmtId="0" fontId="8" fillId="27" borderId="68" xfId="0" applyFont="1" applyFill="1" applyBorder="1" applyAlignment="1">
      <alignment horizontal="center" wrapText="1"/>
    </xf>
    <xf numFmtId="0" fontId="8" fillId="27" borderId="69" xfId="0" applyFont="1" applyFill="1" applyBorder="1" applyAlignment="1">
      <alignment horizontal="center" wrapText="1"/>
    </xf>
    <xf numFmtId="0" fontId="0" fillId="0" borderId="15" xfId="0" applyBorder="1" applyAlignment="1">
      <alignment vertical="center" wrapText="1"/>
    </xf>
    <xf numFmtId="3" fontId="4" fillId="35" borderId="19" xfId="0" applyNumberFormat="1" applyFont="1" applyFill="1" applyBorder="1" applyAlignment="1" applyProtection="1">
      <alignment horizontal="center" vertical="center"/>
    </xf>
    <xf numFmtId="0" fontId="31" fillId="24" borderId="0" xfId="0" applyFont="1" applyFill="1" applyBorder="1" applyAlignment="1" applyProtection="1">
      <alignment horizontal="left" vertical="top" wrapText="1"/>
    </xf>
    <xf numFmtId="0" fontId="74" fillId="36" borderId="15" xfId="0" applyFont="1" applyFill="1" applyBorder="1" applyAlignment="1" applyProtection="1">
      <alignment horizontal="center" vertical="center"/>
    </xf>
    <xf numFmtId="0" fontId="74" fillId="36" borderId="14" xfId="0" applyFont="1" applyFill="1" applyBorder="1" applyAlignment="1" applyProtection="1">
      <alignment horizontal="center" vertical="center"/>
    </xf>
    <xf numFmtId="164" fontId="51" fillId="36" borderId="16" xfId="0" applyNumberFormat="1" applyFont="1" applyFill="1" applyBorder="1" applyAlignment="1" applyProtection="1">
      <alignment vertical="center"/>
    </xf>
    <xf numFmtId="0" fontId="54" fillId="36" borderId="15" xfId="0" applyFont="1" applyFill="1" applyBorder="1" applyAlignment="1" applyProtection="1">
      <alignment horizontal="center" vertical="center"/>
    </xf>
    <xf numFmtId="0" fontId="51" fillId="36" borderId="15" xfId="0" applyFont="1" applyFill="1" applyBorder="1" applyAlignment="1" applyProtection="1">
      <alignment horizontal="right" vertical="center"/>
    </xf>
    <xf numFmtId="165" fontId="54" fillId="36" borderId="15" xfId="0" applyNumberFormat="1" applyFont="1" applyFill="1" applyBorder="1" applyAlignment="1" applyProtection="1">
      <alignment vertical="center"/>
    </xf>
    <xf numFmtId="165" fontId="54" fillId="36" borderId="25" xfId="0" applyNumberFormat="1" applyFont="1" applyFill="1" applyBorder="1" applyAlignment="1" applyProtection="1">
      <alignment vertical="center"/>
    </xf>
    <xf numFmtId="168" fontId="4" fillId="36" borderId="103" xfId="0" applyNumberFormat="1" applyFont="1" applyFill="1" applyBorder="1" applyAlignment="1" applyProtection="1">
      <alignment horizontal="center" vertical="center"/>
    </xf>
    <xf numFmtId="0" fontId="37" fillId="36" borderId="104" xfId="0" applyFont="1" applyFill="1" applyBorder="1" applyAlignment="1" applyProtection="1">
      <alignment horizontal="right"/>
    </xf>
    <xf numFmtId="0" fontId="0" fillId="0" borderId="15" xfId="0" applyBorder="1" applyAlignment="1">
      <alignment vertical="center" wrapText="1"/>
    </xf>
    <xf numFmtId="0" fontId="0" fillId="24" borderId="83" xfId="0" applyFill="1" applyBorder="1" applyProtection="1"/>
    <xf numFmtId="0" fontId="8" fillId="28" borderId="50" xfId="0" applyFont="1" applyFill="1" applyBorder="1" applyAlignment="1" applyProtection="1">
      <alignment horizontal="center" wrapText="1"/>
    </xf>
    <xf numFmtId="0" fontId="8" fillId="28" borderId="50" xfId="0" applyFont="1" applyFill="1" applyBorder="1" applyAlignment="1">
      <alignment horizontal="center" wrapText="1"/>
    </xf>
    <xf numFmtId="3" fontId="4" fillId="28" borderId="19" xfId="0" applyNumberFormat="1" applyFont="1" applyFill="1" applyBorder="1" applyAlignment="1" applyProtection="1">
      <alignment horizontal="center" vertical="center"/>
    </xf>
    <xf numFmtId="0" fontId="78" fillId="0" borderId="0" xfId="0" applyFont="1" applyAlignment="1">
      <alignment horizontal="left" vertical="center" indent="1"/>
    </xf>
    <xf numFmtId="165" fontId="57" fillId="0" borderId="0" xfId="0" applyNumberFormat="1" applyFont="1" applyAlignment="1">
      <alignment horizontal="left" vertical="center" indent="1"/>
    </xf>
    <xf numFmtId="0" fontId="0" fillId="0" borderId="0" xfId="0" applyBorder="1" applyAlignment="1">
      <alignment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1" fontId="4" fillId="0" borderId="0" xfId="47" applyNumberFormat="1" applyFont="1" applyFill="1" applyBorder="1" applyAlignment="1" applyProtection="1">
      <alignment horizontal="center" vertical="center" wrapText="1"/>
    </xf>
    <xf numFmtId="0" fontId="68" fillId="26" borderId="15" xfId="47" applyFont="1" applyFill="1" applyBorder="1" applyAlignment="1">
      <alignment horizontal="centerContinuous" vertical="center"/>
    </xf>
    <xf numFmtId="0" fontId="4" fillId="0" borderId="15" xfId="47" applyFont="1" applyFill="1" applyBorder="1" applyAlignment="1" applyProtection="1">
      <alignment horizontal="left" vertical="top" wrapText="1"/>
    </xf>
    <xf numFmtId="49" fontId="4" fillId="0" borderId="15" xfId="47" quotePrefix="1" applyNumberFormat="1" applyFont="1" applyFill="1" applyBorder="1" applyAlignment="1" applyProtection="1">
      <alignment horizontal="left" vertical="top" wrapText="1"/>
    </xf>
    <xf numFmtId="0" fontId="4" fillId="24" borderId="15" xfId="47" applyFont="1" applyFill="1" applyBorder="1" applyAlignment="1">
      <alignment horizontal="left" vertical="top" wrapText="1"/>
    </xf>
    <xf numFmtId="0" fontId="4" fillId="24" borderId="15" xfId="47" applyFont="1" applyFill="1" applyBorder="1" applyAlignment="1" applyProtection="1">
      <alignment horizontal="left" vertical="top" wrapText="1"/>
    </xf>
    <xf numFmtId="0" fontId="4" fillId="26" borderId="15" xfId="47" applyFont="1" applyFill="1" applyBorder="1" applyAlignment="1" applyProtection="1">
      <alignment horizontal="left" vertical="top" wrapText="1"/>
    </xf>
    <xf numFmtId="0" fontId="4" fillId="0" borderId="0" xfId="47" applyFont="1" applyFill="1" applyBorder="1" applyAlignment="1" applyProtection="1">
      <alignment horizontal="center" vertical="center" wrapText="1"/>
    </xf>
    <xf numFmtId="0" fontId="8" fillId="28" borderId="13" xfId="0" applyFont="1" applyFill="1" applyBorder="1" applyAlignment="1" applyProtection="1">
      <alignment horizontal="center" vertical="top"/>
    </xf>
    <xf numFmtId="0" fontId="8" fillId="0" borderId="15" xfId="0" applyFont="1" applyFill="1" applyBorder="1" applyAlignment="1" applyProtection="1">
      <alignment horizontal="center" vertical="center" wrapText="1"/>
    </xf>
    <xf numFmtId="0" fontId="8" fillId="28" borderId="15" xfId="0" applyFont="1" applyFill="1" applyBorder="1" applyAlignment="1" applyProtection="1">
      <alignment horizontal="center" vertical="center" wrapText="1"/>
    </xf>
    <xf numFmtId="0" fontId="31" fillId="24" borderId="0" xfId="0" applyFont="1" applyFill="1" applyBorder="1" applyAlignment="1" applyProtection="1">
      <alignment vertical="top" wrapText="1"/>
    </xf>
    <xf numFmtId="0" fontId="8" fillId="28" borderId="13" xfId="0" applyFont="1" applyFill="1" applyBorder="1" applyAlignment="1" applyProtection="1">
      <alignment horizontal="center" vertical="top"/>
    </xf>
    <xf numFmtId="0" fontId="8" fillId="28" borderId="17" xfId="0" applyFont="1" applyFill="1" applyBorder="1" applyAlignment="1">
      <alignment horizontal="center" wrapText="1"/>
    </xf>
    <xf numFmtId="0" fontId="31"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0" fillId="0" borderId="15" xfId="0" applyBorder="1" applyAlignment="1">
      <alignment vertical="center" wrapText="1"/>
    </xf>
    <xf numFmtId="0" fontId="8" fillId="0" borderId="15" xfId="0" applyFont="1" applyFill="1" applyBorder="1" applyAlignment="1" applyProtection="1">
      <alignment horizontal="center" vertical="center" wrapText="1"/>
    </xf>
    <xf numFmtId="3" fontId="4" fillId="0" borderId="18" xfId="0" applyNumberFormat="1" applyFont="1" applyBorder="1" applyAlignment="1" applyProtection="1">
      <alignment horizontal="center" vertical="center"/>
    </xf>
    <xf numFmtId="1" fontId="4" fillId="0" borderId="18" xfId="0" applyNumberFormat="1" applyFont="1" applyBorder="1" applyAlignment="1" applyProtection="1">
      <alignment horizontal="center" vertical="center"/>
    </xf>
    <xf numFmtId="0" fontId="8" fillId="28" borderId="57" xfId="0" applyFont="1" applyFill="1" applyBorder="1" applyAlignment="1">
      <alignment horizontal="center" wrapText="1"/>
    </xf>
    <xf numFmtId="0" fontId="8" fillId="26" borderId="0" xfId="0" applyFont="1" applyFill="1" applyBorder="1" applyAlignment="1">
      <alignment horizontal="center" wrapText="1"/>
    </xf>
    <xf numFmtId="0" fontId="8" fillId="26" borderId="0" xfId="0" applyFont="1" applyFill="1" applyBorder="1" applyAlignment="1" applyProtection="1">
      <alignment horizontal="center" vertical="top"/>
    </xf>
    <xf numFmtId="167" fontId="4" fillId="0" borderId="15" xfId="0" applyNumberFormat="1" applyFont="1" applyFill="1" applyBorder="1" applyAlignment="1" applyProtection="1">
      <alignment vertical="center"/>
    </xf>
    <xf numFmtId="0" fontId="8" fillId="0" borderId="0" xfId="0" applyFont="1" applyFill="1" applyAlignment="1" applyProtection="1">
      <alignment vertical="center"/>
    </xf>
    <xf numFmtId="0" fontId="32" fillId="26" borderId="0" xfId="0" applyFont="1" applyFill="1" applyBorder="1" applyAlignment="1">
      <alignment horizontal="left"/>
    </xf>
    <xf numFmtId="49" fontId="8" fillId="28" borderId="15" xfId="0" applyNumberFormat="1" applyFont="1" applyFill="1" applyBorder="1" applyAlignment="1">
      <alignment horizontal="center" vertical="center" wrapText="1" shrinkToFit="1"/>
    </xf>
    <xf numFmtId="49" fontId="8" fillId="28" borderId="21" xfId="0" applyNumberFormat="1" applyFont="1" applyFill="1" applyBorder="1" applyAlignment="1">
      <alignment horizontal="center" vertical="center" wrapText="1" shrinkToFit="1"/>
    </xf>
    <xf numFmtId="0" fontId="60" fillId="34" borderId="19" xfId="0" quotePrefix="1" applyFont="1" applyFill="1" applyBorder="1" applyAlignment="1" applyProtection="1">
      <alignment horizontal="center" vertical="center"/>
    </xf>
    <xf numFmtId="167" fontId="0" fillId="26" borderId="0" xfId="0" applyNumberFormat="1" applyFill="1" applyBorder="1" applyAlignment="1">
      <alignment horizontal="left" vertical="top" wrapText="1"/>
    </xf>
    <xf numFmtId="167" fontId="4" fillId="0" borderId="114" xfId="0" applyNumberFormat="1" applyFont="1" applyFill="1" applyBorder="1" applyAlignment="1" applyProtection="1">
      <alignment horizontal="center" vertical="center"/>
    </xf>
    <xf numFmtId="167" fontId="4" fillId="0" borderId="115" xfId="0" applyNumberFormat="1" applyFont="1" applyFill="1" applyBorder="1" applyAlignment="1" applyProtection="1">
      <alignment horizontal="center" vertical="center"/>
    </xf>
    <xf numFmtId="167" fontId="4" fillId="29" borderId="115" xfId="0" applyNumberFormat="1" applyFont="1" applyFill="1" applyBorder="1" applyAlignment="1" applyProtection="1">
      <alignment horizontal="center" vertical="center"/>
    </xf>
    <xf numFmtId="167" fontId="4" fillId="46" borderId="32" xfId="0" applyNumberFormat="1" applyFont="1" applyFill="1" applyBorder="1" applyAlignment="1" applyProtection="1">
      <alignment horizontal="center" vertical="center"/>
    </xf>
    <xf numFmtId="0" fontId="79" fillId="0" borderId="0" xfId="34" applyFont="1" applyFill="1" applyBorder="1" applyAlignment="1" applyProtection="1"/>
    <xf numFmtId="0" fontId="0" fillId="0" borderId="15" xfId="0" applyFill="1" applyBorder="1" applyAlignment="1">
      <alignment wrapText="1"/>
    </xf>
    <xf numFmtId="0" fontId="8" fillId="40" borderId="64" xfId="0" applyFont="1" applyFill="1" applyBorder="1" applyAlignment="1" applyProtection="1">
      <alignment horizontal="center" vertical="top"/>
    </xf>
    <xf numFmtId="0" fontId="6" fillId="40" borderId="15" xfId="47" applyFont="1" applyFill="1" applyBorder="1" applyAlignment="1">
      <alignment horizontal="center" vertical="center" wrapText="1"/>
    </xf>
    <xf numFmtId="0" fontId="58" fillId="24" borderId="0" xfId="0" applyNumberFormat="1" applyFont="1" applyFill="1" applyBorder="1" applyAlignment="1">
      <alignment horizontal="right"/>
    </xf>
    <xf numFmtId="0" fontId="0" fillId="0" borderId="0" xfId="0" applyFill="1" applyBorder="1" applyAlignment="1">
      <alignment wrapText="1"/>
    </xf>
    <xf numFmtId="1" fontId="4" fillId="0" borderId="22" xfId="0" applyNumberFormat="1" applyFont="1" applyFill="1" applyBorder="1" applyAlignment="1" applyProtection="1">
      <alignment horizontal="center" vertical="center" wrapText="1"/>
      <protection locked="0"/>
    </xf>
    <xf numFmtId="1" fontId="4" fillId="0" borderId="15" xfId="0" applyNumberFormat="1" applyFont="1" applyFill="1" applyBorder="1" applyAlignment="1" applyProtection="1">
      <alignment horizontal="center" vertical="center" wrapText="1"/>
      <protection locked="0"/>
    </xf>
    <xf numFmtId="1" fontId="4" fillId="0" borderId="21" xfId="0" applyNumberFormat="1" applyFont="1" applyFill="1" applyBorder="1" applyAlignment="1" applyProtection="1">
      <alignment horizontal="center" vertical="center" wrapText="1"/>
      <protection locked="0"/>
    </xf>
    <xf numFmtId="1" fontId="4" fillId="0" borderId="22" xfId="46" applyNumberFormat="1" applyFont="1" applyFill="1" applyBorder="1" applyAlignment="1" applyProtection="1">
      <alignment horizontal="center" vertical="center" wrapText="1"/>
      <protection locked="0"/>
    </xf>
    <xf numFmtId="1" fontId="4" fillId="0" borderId="15" xfId="46" applyNumberFormat="1" applyFont="1" applyFill="1" applyBorder="1" applyAlignment="1" applyProtection="1">
      <alignment horizontal="center" vertical="center" wrapText="1"/>
      <protection locked="0"/>
    </xf>
    <xf numFmtId="1" fontId="4" fillId="0" borderId="21" xfId="46" applyNumberFormat="1" applyFont="1" applyFill="1" applyBorder="1" applyAlignment="1" applyProtection="1">
      <alignment horizontal="center" vertical="center" wrapText="1"/>
      <protection locked="0"/>
    </xf>
    <xf numFmtId="1" fontId="4" fillId="0" borderId="22" xfId="0" applyNumberFormat="1" applyFont="1" applyFill="1" applyBorder="1" applyAlignment="1" applyProtection="1">
      <alignment horizontal="center" vertical="center" wrapText="1"/>
    </xf>
    <xf numFmtId="1" fontId="4" fillId="0" borderId="15" xfId="0" applyNumberFormat="1" applyFont="1" applyFill="1" applyBorder="1" applyAlignment="1" applyProtection="1">
      <alignment horizontal="center" vertical="center" wrapText="1"/>
    </xf>
    <xf numFmtId="1" fontId="4" fillId="0" borderId="21" xfId="0" applyNumberFormat="1" applyFont="1" applyFill="1" applyBorder="1" applyAlignment="1" applyProtection="1">
      <alignment horizontal="center" vertical="center" wrapText="1"/>
    </xf>
    <xf numFmtId="1" fontId="4" fillId="0" borderId="22" xfId="0" applyNumberFormat="1" applyFont="1" applyFill="1" applyBorder="1" applyAlignment="1" applyProtection="1">
      <alignment horizontal="center"/>
    </xf>
    <xf numFmtId="1" fontId="4" fillId="0" borderId="15" xfId="0" applyNumberFormat="1" applyFont="1" applyFill="1" applyBorder="1" applyAlignment="1" applyProtection="1">
      <alignment horizontal="center"/>
    </xf>
    <xf numFmtId="1" fontId="4" fillId="0" borderId="21" xfId="0" applyNumberFormat="1" applyFont="1" applyFill="1" applyBorder="1" applyAlignment="1" applyProtection="1">
      <alignment horizontal="center"/>
    </xf>
    <xf numFmtId="1" fontId="4" fillId="41" borderId="22" xfId="0" applyNumberFormat="1" applyFont="1" applyFill="1" applyBorder="1" applyAlignment="1" applyProtection="1">
      <alignment horizontal="center" vertical="center" wrapText="1"/>
      <protection locked="0"/>
    </xf>
    <xf numFmtId="1" fontId="4" fillId="41" borderId="15" xfId="0" applyNumberFormat="1" applyFont="1" applyFill="1" applyBorder="1" applyAlignment="1" applyProtection="1">
      <alignment horizontal="center" vertical="center" wrapText="1"/>
      <protection locked="0"/>
    </xf>
    <xf numFmtId="1" fontId="4" fillId="41" borderId="21" xfId="0" applyNumberFormat="1" applyFont="1" applyFill="1" applyBorder="1" applyAlignment="1" applyProtection="1">
      <alignment horizontal="center" vertical="center" wrapText="1"/>
      <protection locked="0"/>
    </xf>
    <xf numFmtId="1" fontId="4" fillId="41" borderId="22" xfId="0" applyNumberFormat="1" applyFont="1" applyFill="1" applyBorder="1" applyAlignment="1" applyProtection="1">
      <alignment horizontal="center"/>
    </xf>
    <xf numFmtId="1" fontId="4" fillId="41" borderId="15" xfId="0" applyNumberFormat="1" applyFont="1" applyFill="1" applyBorder="1" applyAlignment="1" applyProtection="1">
      <alignment horizontal="center"/>
    </xf>
    <xf numFmtId="1" fontId="4" fillId="41" borderId="21" xfId="0" applyNumberFormat="1" applyFont="1" applyFill="1" applyBorder="1" applyAlignment="1" applyProtection="1">
      <alignment horizontal="center"/>
    </xf>
    <xf numFmtId="1" fontId="4" fillId="41" borderId="22" xfId="46" applyNumberFormat="1" applyFont="1" applyFill="1" applyBorder="1" applyAlignment="1" applyProtection="1">
      <alignment horizontal="center" vertical="center" wrapText="1"/>
      <protection locked="0"/>
    </xf>
    <xf numFmtId="1" fontId="4" fillId="41" borderId="15" xfId="46" applyNumberFormat="1" applyFont="1" applyFill="1" applyBorder="1" applyAlignment="1" applyProtection="1">
      <alignment horizontal="center" vertical="center" wrapText="1"/>
      <protection locked="0"/>
    </xf>
    <xf numFmtId="1" fontId="4" fillId="41" borderId="21" xfId="46" applyNumberFormat="1" applyFont="1" applyFill="1" applyBorder="1" applyAlignment="1" applyProtection="1">
      <alignment horizontal="center" vertical="center" wrapText="1"/>
      <protection locked="0"/>
    </xf>
    <xf numFmtId="1" fontId="4" fillId="41" borderId="22" xfId="0" applyNumberFormat="1" applyFont="1" applyFill="1" applyBorder="1" applyAlignment="1" applyProtection="1">
      <alignment horizontal="center" vertical="center" wrapText="1"/>
    </xf>
    <xf numFmtId="1" fontId="4" fillId="41" borderId="15" xfId="0" applyNumberFormat="1" applyFont="1" applyFill="1" applyBorder="1" applyAlignment="1" applyProtection="1">
      <alignment horizontal="center" vertical="center" wrapText="1"/>
    </xf>
    <xf numFmtId="1" fontId="4" fillId="41" borderId="21" xfId="0" applyNumberFormat="1" applyFont="1" applyFill="1" applyBorder="1" applyAlignment="1" applyProtection="1">
      <alignment horizontal="center" vertical="center" wrapText="1"/>
    </xf>
    <xf numFmtId="3" fontId="4" fillId="24" borderId="0"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center" vertical="center" wrapText="1"/>
      <protection locked="0"/>
    </xf>
    <xf numFmtId="1" fontId="4" fillId="41" borderId="0" xfId="0" applyNumberFormat="1" applyFont="1" applyFill="1" applyBorder="1" applyAlignment="1" applyProtection="1">
      <alignment horizontal="center" vertical="center" wrapText="1"/>
      <protection locked="0"/>
    </xf>
    <xf numFmtId="1" fontId="4" fillId="0" borderId="15" xfId="0" applyNumberFormat="1" applyFont="1" applyFill="1" applyBorder="1" applyAlignment="1" applyProtection="1">
      <alignment vertical="center"/>
    </xf>
    <xf numFmtId="167" fontId="4" fillId="0" borderId="22" xfId="0" applyNumberFormat="1" applyFont="1" applyFill="1" applyBorder="1" applyAlignment="1" applyProtection="1">
      <alignment horizontal="center" vertical="center" wrapText="1"/>
      <protection locked="0"/>
    </xf>
    <xf numFmtId="167" fontId="4" fillId="0" borderId="15" xfId="0" applyNumberFormat="1" applyFont="1" applyFill="1" applyBorder="1" applyAlignment="1" applyProtection="1">
      <alignment horizontal="center" vertical="center" wrapText="1"/>
      <protection locked="0"/>
    </xf>
    <xf numFmtId="167" fontId="4" fillId="0" borderId="21" xfId="0" applyNumberFormat="1" applyFont="1" applyFill="1" applyBorder="1" applyAlignment="1" applyProtection="1">
      <alignment horizontal="center" vertical="center" wrapText="1"/>
      <protection locked="0"/>
    </xf>
    <xf numFmtId="0" fontId="59" fillId="30" borderId="15" xfId="0" applyFont="1" applyFill="1" applyBorder="1" applyAlignment="1" applyProtection="1">
      <alignment horizontal="center" vertical="center"/>
      <protection locked="0"/>
    </xf>
    <xf numFmtId="0" fontId="82" fillId="0" borderId="0" xfId="0" applyFont="1" applyFill="1" applyBorder="1" applyAlignment="1" applyProtection="1">
      <alignment horizontal="center"/>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0" fillId="26" borderId="0" xfId="0" applyFill="1" applyBorder="1" applyAlignment="1"/>
    <xf numFmtId="0" fontId="31" fillId="24" borderId="0" xfId="0" applyFont="1" applyFill="1" applyBorder="1" applyAlignment="1" applyProtection="1">
      <alignment vertical="top" wrapText="1"/>
    </xf>
    <xf numFmtId="0" fontId="31"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8" fillId="0" borderId="15" xfId="0" applyFont="1" applyFill="1" applyBorder="1" applyAlignment="1" applyProtection="1">
      <alignment horizontal="center" vertical="center" wrapText="1"/>
    </xf>
    <xf numFmtId="0" fontId="51" fillId="0" borderId="18" xfId="0" applyFont="1" applyFill="1" applyBorder="1" applyAlignment="1" applyProtection="1">
      <alignment horizontal="center"/>
    </xf>
    <xf numFmtId="0" fontId="51" fillId="0" borderId="26" xfId="0" applyFont="1" applyFill="1" applyBorder="1" applyAlignment="1" applyProtection="1">
      <alignment horizontal="center"/>
    </xf>
    <xf numFmtId="0" fontId="51" fillId="0" borderId="32" xfId="0" applyFont="1" applyFill="1" applyBorder="1" applyAlignment="1" applyProtection="1">
      <alignment horizontal="center"/>
    </xf>
    <xf numFmtId="0" fontId="51" fillId="0" borderId="14" xfId="0" applyFont="1" applyFill="1" applyBorder="1" applyAlignment="1" applyProtection="1">
      <alignment horizontal="center"/>
    </xf>
    <xf numFmtId="0" fontId="31" fillId="26" borderId="0" xfId="0" applyFont="1" applyFill="1" applyBorder="1" applyAlignment="1" applyProtection="1">
      <alignment horizontal="left" wrapText="1"/>
    </xf>
    <xf numFmtId="0" fontId="0" fillId="0" borderId="15" xfId="0" applyBorder="1" applyAlignment="1">
      <alignment vertical="center" wrapText="1"/>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31" fillId="24" borderId="0" xfId="0" applyFont="1" applyFill="1" applyBorder="1" applyAlignment="1" applyProtection="1">
      <alignment vertical="top" wrapText="1"/>
    </xf>
    <xf numFmtId="0" fontId="31"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4" fillId="0" borderId="14"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6" fillId="26" borderId="0" xfId="0" applyFont="1" applyFill="1" applyBorder="1" applyAlignment="1" applyProtection="1">
      <alignment horizontal="left" vertical="top" wrapText="1"/>
    </xf>
    <xf numFmtId="0" fontId="0" fillId="0" borderId="15" xfId="0" applyBorder="1" applyAlignment="1">
      <alignment vertical="center" wrapText="1"/>
    </xf>
    <xf numFmtId="164" fontId="4" fillId="0" borderId="13" xfId="0" applyNumberFormat="1" applyFont="1" applyBorder="1" applyAlignment="1" applyProtection="1">
      <alignment horizontal="center" vertical="center"/>
    </xf>
    <xf numFmtId="3" fontId="4" fillId="35" borderId="32" xfId="0" applyNumberFormat="1" applyFont="1" applyFill="1" applyBorder="1" applyAlignment="1" applyProtection="1">
      <alignment horizontal="center" vertical="center"/>
    </xf>
    <xf numFmtId="0" fontId="4" fillId="29" borderId="32" xfId="0" quotePrefix="1" applyFont="1" applyFill="1" applyBorder="1" applyAlignment="1" applyProtection="1">
      <alignment horizontal="center" vertical="center"/>
    </xf>
    <xf numFmtId="0" fontId="60" fillId="34" borderId="32" xfId="0" quotePrefix="1" applyFont="1" applyFill="1" applyBorder="1" applyAlignment="1" applyProtection="1">
      <alignment horizontal="center" vertical="center"/>
    </xf>
    <xf numFmtId="3" fontId="4" fillId="28" borderId="32" xfId="0" applyNumberFormat="1" applyFont="1" applyFill="1" applyBorder="1" applyAlignment="1" applyProtection="1">
      <alignment horizontal="center" vertical="center"/>
    </xf>
    <xf numFmtId="3" fontId="4" fillId="28" borderId="21" xfId="0" applyNumberFormat="1" applyFont="1" applyFill="1" applyBorder="1" applyAlignment="1" applyProtection="1">
      <alignment horizontal="center" vertical="center"/>
    </xf>
    <xf numFmtId="0" fontId="8" fillId="0" borderId="0" xfId="0" applyFont="1" applyFill="1" applyAlignment="1" applyProtection="1"/>
    <xf numFmtId="165" fontId="4" fillId="0" borderId="15" xfId="0" applyNumberFormat="1" applyFont="1" applyFill="1" applyBorder="1" applyAlignment="1" applyProtection="1">
      <alignment vertical="center"/>
    </xf>
    <xf numFmtId="0" fontId="8" fillId="0" borderId="15" xfId="0" applyFont="1" applyFill="1" applyBorder="1" applyAlignment="1" applyProtection="1">
      <alignment vertical="center"/>
    </xf>
    <xf numFmtId="0" fontId="8" fillId="0" borderId="15" xfId="0" applyFont="1" applyFill="1" applyBorder="1" applyAlignment="1" applyProtection="1">
      <alignment horizontal="center" vertical="center"/>
    </xf>
    <xf numFmtId="0" fontId="4" fillId="28" borderId="98" xfId="0" applyFont="1" applyFill="1" applyBorder="1" applyAlignment="1" applyProtection="1">
      <alignment horizontal="left"/>
    </xf>
    <xf numFmtId="0" fontId="8" fillId="0" borderId="15" xfId="47" applyFont="1" applyFill="1" applyBorder="1" applyAlignment="1">
      <alignment horizontal="left" vertical="top" wrapText="1"/>
    </xf>
    <xf numFmtId="0" fontId="8" fillId="0" borderId="15" xfId="47" applyFont="1" applyBorder="1"/>
    <xf numFmtId="0" fontId="69" fillId="43" borderId="15" xfId="47" applyFont="1" applyFill="1" applyBorder="1" applyAlignment="1">
      <alignment horizontal="left" vertical="top" wrapText="1"/>
    </xf>
    <xf numFmtId="0" fontId="69" fillId="43" borderId="15" xfId="47" applyFont="1" applyFill="1" applyBorder="1" applyAlignment="1" applyProtection="1">
      <alignment horizontal="left" vertical="top" wrapText="1"/>
    </xf>
    <xf numFmtId="0" fontId="8" fillId="28" borderId="15"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8" fillId="0" borderId="15" xfId="0" applyFont="1" applyFill="1" applyBorder="1" applyAlignment="1" applyProtection="1">
      <alignment horizontal="center" vertical="center" wrapText="1"/>
    </xf>
    <xf numFmtId="0" fontId="0" fillId="0" borderId="15" xfId="0" applyBorder="1" applyAlignment="1">
      <alignment vertical="center" wrapText="1"/>
    </xf>
    <xf numFmtId="0" fontId="4" fillId="26" borderId="38" xfId="0" applyFont="1" applyFill="1" applyBorder="1" applyAlignment="1" applyProtection="1"/>
    <xf numFmtId="0" fontId="4" fillId="26" borderId="38" xfId="0" applyFont="1" applyFill="1" applyBorder="1" applyProtection="1"/>
    <xf numFmtId="0" fontId="61" fillId="0" borderId="0" xfId="0" applyFont="1" applyFill="1" applyBorder="1" applyAlignment="1">
      <alignment horizontal="left"/>
    </xf>
    <xf numFmtId="167" fontId="4" fillId="0" borderId="0" xfId="0" applyNumberFormat="1" applyFont="1" applyFill="1" applyProtection="1"/>
    <xf numFmtId="167" fontId="4" fillId="0" borderId="0" xfId="0" applyNumberFormat="1" applyFont="1" applyFill="1" applyAlignment="1" applyProtection="1"/>
    <xf numFmtId="0" fontId="8" fillId="26" borderId="103" xfId="0" applyFont="1" applyFill="1" applyBorder="1" applyAlignment="1" applyProtection="1">
      <alignment horizontal="left" vertical="top"/>
    </xf>
    <xf numFmtId="0" fontId="8" fillId="28" borderId="15" xfId="0" applyFont="1" applyFill="1" applyBorder="1" applyAlignment="1" applyProtection="1">
      <alignment horizontal="center" vertical="center" wrapText="1"/>
    </xf>
    <xf numFmtId="0" fontId="33" fillId="24" borderId="56" xfId="0" applyFont="1" applyFill="1" applyBorder="1" applyAlignment="1" applyProtection="1">
      <alignment horizontal="center"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3" fontId="4" fillId="40" borderId="15" xfId="0" applyNumberFormat="1" applyFont="1" applyFill="1" applyBorder="1" applyAlignment="1" applyProtection="1">
      <alignment horizontal="center" vertical="center" wrapText="1"/>
    </xf>
    <xf numFmtId="0" fontId="3" fillId="38" borderId="15" xfId="47" applyFill="1" applyBorder="1"/>
    <xf numFmtId="0" fontId="7" fillId="0" borderId="15" xfId="0" applyFont="1" applyFill="1" applyBorder="1" applyAlignment="1" applyProtection="1">
      <alignment horizontal="left" vertical="center" wrapText="1"/>
    </xf>
    <xf numFmtId="0" fontId="4" fillId="0" borderId="15" xfId="0" applyFont="1" applyFill="1" applyBorder="1" applyAlignment="1" applyProtection="1">
      <alignment horizontal="left" vertical="center" wrapText="1"/>
    </xf>
    <xf numFmtId="0" fontId="4" fillId="29" borderId="15" xfId="0" applyFont="1" applyFill="1" applyBorder="1" applyAlignment="1" applyProtection="1">
      <alignment horizontal="left" vertical="center" wrapText="1"/>
    </xf>
    <xf numFmtId="0" fontId="35" fillId="34" borderId="15" xfId="0" applyFont="1" applyFill="1" applyBorder="1" applyAlignment="1" applyProtection="1">
      <alignment horizontal="left" vertical="center" wrapText="1"/>
    </xf>
    <xf numFmtId="0" fontId="3" fillId="0" borderId="0" xfId="47" applyAlignment="1">
      <alignment horizontal="right"/>
    </xf>
    <xf numFmtId="0" fontId="4" fillId="24" borderId="56" xfId="0" applyFont="1" applyFill="1" applyBorder="1" applyAlignment="1" applyProtection="1">
      <alignment horizontal="centerContinuous" vertical="center" wrapText="1"/>
    </xf>
    <xf numFmtId="0" fontId="4" fillId="28" borderId="21" xfId="0" applyFont="1" applyFill="1" applyBorder="1" applyAlignment="1" applyProtection="1">
      <alignment horizontal="left" vertical="center" wrapText="1" indent="1"/>
    </xf>
    <xf numFmtId="0" fontId="4" fillId="26" borderId="0" xfId="0" applyFont="1" applyFill="1" applyBorder="1" applyAlignment="1" applyProtection="1">
      <alignment vertical="center" wrapText="1"/>
    </xf>
    <xf numFmtId="0" fontId="60" fillId="26" borderId="0" xfId="0" applyFont="1" applyFill="1" applyBorder="1" applyAlignment="1" applyProtection="1">
      <alignment vertical="center" wrapText="1"/>
    </xf>
    <xf numFmtId="3" fontId="3" fillId="0" borderId="0" xfId="47" applyNumberFormat="1"/>
    <xf numFmtId="0" fontId="3" fillId="0" borderId="15" xfId="47" applyBorder="1" applyAlignment="1">
      <alignment horizontal="center" vertical="center"/>
    </xf>
    <xf numFmtId="0" fontId="6" fillId="36" borderId="15" xfId="47" applyFont="1" applyFill="1" applyBorder="1" applyAlignment="1">
      <alignment horizontal="center" vertical="center"/>
    </xf>
    <xf numFmtId="0" fontId="31" fillId="24" borderId="103" xfId="0" applyFont="1" applyFill="1" applyBorder="1" applyAlignment="1" applyProtection="1">
      <alignment vertical="center" wrapText="1"/>
    </xf>
    <xf numFmtId="0" fontId="0" fillId="26" borderId="83" xfId="0" applyFill="1" applyBorder="1" applyAlignment="1" applyProtection="1">
      <alignment horizontal="center" wrapText="1"/>
    </xf>
    <xf numFmtId="0" fontId="7" fillId="26" borderId="0" xfId="0" applyFont="1" applyFill="1" applyAlignment="1" applyProtection="1"/>
    <xf numFmtId="3" fontId="7" fillId="0" borderId="31" xfId="0" applyNumberFormat="1" applyFont="1" applyBorder="1" applyAlignment="1" applyProtection="1">
      <alignment horizontal="center" vertical="center" wrapText="1"/>
    </xf>
    <xf numFmtId="1" fontId="35" fillId="34" borderId="15" xfId="0" applyNumberFormat="1" applyFont="1" applyFill="1" applyBorder="1" applyAlignment="1" applyProtection="1">
      <alignment horizontal="center" vertical="center" wrapText="1"/>
    </xf>
    <xf numFmtId="1" fontId="4" fillId="29" borderId="15" xfId="0" applyNumberFormat="1" applyFont="1" applyFill="1" applyBorder="1" applyAlignment="1" applyProtection="1">
      <alignment horizontal="center" vertical="center" wrapText="1"/>
    </xf>
    <xf numFmtId="1" fontId="4" fillId="29" borderId="21" xfId="0" applyNumberFormat="1" applyFont="1" applyFill="1" applyBorder="1" applyAlignment="1" applyProtection="1">
      <alignment horizontal="center" vertical="center" wrapText="1"/>
    </xf>
    <xf numFmtId="1" fontId="35" fillId="34" borderId="21" xfId="0" applyNumberFormat="1" applyFont="1" applyFill="1" applyBorder="1" applyAlignment="1" applyProtection="1">
      <alignment horizontal="center" vertical="center" wrapText="1"/>
    </xf>
    <xf numFmtId="49" fontId="3" fillId="0" borderId="0" xfId="47" applyNumberFormat="1"/>
    <xf numFmtId="0" fontId="3" fillId="40" borderId="16" xfId="47" applyFill="1" applyBorder="1"/>
    <xf numFmtId="0" fontId="3" fillId="40" borderId="50" xfId="47" applyFill="1" applyBorder="1"/>
    <xf numFmtId="0" fontId="3" fillId="40" borderId="17" xfId="47" applyFill="1" applyBorder="1"/>
    <xf numFmtId="0" fontId="3" fillId="40" borderId="57" xfId="47" applyFill="1" applyBorder="1"/>
    <xf numFmtId="0" fontId="3" fillId="40" borderId="13" xfId="47" applyFill="1" applyBorder="1"/>
    <xf numFmtId="0" fontId="3" fillId="0" borderId="50" xfId="47" applyBorder="1"/>
    <xf numFmtId="0" fontId="3" fillId="0" borderId="12" xfId="47" applyBorder="1"/>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0" fillId="26" borderId="0" xfId="0" applyFill="1" applyBorder="1" applyAlignment="1"/>
    <xf numFmtId="0" fontId="8" fillId="28" borderId="13" xfId="0" applyFont="1" applyFill="1" applyBorder="1" applyAlignment="1" applyProtection="1">
      <alignment horizontal="center" vertical="top"/>
    </xf>
    <xf numFmtId="0" fontId="8" fillId="28" borderId="17" xfId="0" applyFont="1" applyFill="1" applyBorder="1" applyAlignment="1">
      <alignment horizont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8" fillId="0" borderId="15" xfId="0" applyFont="1" applyFill="1" applyBorder="1" applyAlignment="1" applyProtection="1">
      <alignment horizontal="center" vertical="center" wrapText="1"/>
    </xf>
    <xf numFmtId="0" fontId="0" fillId="0" borderId="15" xfId="0" applyBorder="1" applyAlignment="1">
      <alignment vertical="center" wrapText="1"/>
    </xf>
    <xf numFmtId="49" fontId="60" fillId="24" borderId="36" xfId="0" applyNumberFormat="1" applyFont="1" applyFill="1" applyBorder="1" applyAlignment="1" applyProtection="1">
      <alignment horizontal="center" vertical="center"/>
    </xf>
    <xf numFmtId="0" fontId="60" fillId="24" borderId="36" xfId="0" applyFont="1" applyFill="1" applyBorder="1" applyAlignment="1" applyProtection="1">
      <alignment horizontal="center" vertical="center"/>
    </xf>
    <xf numFmtId="0" fontId="8" fillId="26" borderId="0" xfId="0" applyFont="1" applyFill="1" applyAlignment="1" applyProtection="1"/>
    <xf numFmtId="16" fontId="4" fillId="0" borderId="15" xfId="0" applyNumberFormat="1" applyFont="1" applyFill="1" applyBorder="1" applyAlignment="1">
      <alignment horizontal="center" vertical="center"/>
    </xf>
    <xf numFmtId="3" fontId="4" fillId="38" borderId="15" xfId="0" applyNumberFormat="1" applyFont="1" applyFill="1" applyBorder="1" applyAlignment="1" applyProtection="1">
      <alignment horizontal="center" vertical="center" wrapText="1"/>
    </xf>
    <xf numFmtId="0" fontId="3" fillId="43" borderId="15" xfId="47" applyFill="1" applyBorder="1"/>
    <xf numFmtId="0" fontId="4" fillId="38" borderId="15" xfId="0" applyFont="1" applyFill="1" applyBorder="1" applyAlignment="1">
      <alignment horizontal="center" vertical="center"/>
    </xf>
    <xf numFmtId="0" fontId="4" fillId="38" borderId="15" xfId="0" applyFont="1" applyFill="1" applyBorder="1" applyAlignment="1" applyProtection="1">
      <alignment horizontal="center" vertical="center"/>
    </xf>
    <xf numFmtId="3" fontId="4" fillId="38" borderId="15" xfId="0" applyNumberFormat="1" applyFont="1" applyFill="1" applyBorder="1" applyAlignment="1">
      <alignment horizontal="center" vertical="center"/>
    </xf>
    <xf numFmtId="0" fontId="31"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0" fillId="0" borderId="15" xfId="0" applyBorder="1" applyAlignment="1">
      <alignment vertical="center" wrapText="1"/>
    </xf>
    <xf numFmtId="0" fontId="51" fillId="0" borderId="15" xfId="0" applyFont="1" applyFill="1" applyBorder="1" applyAlignment="1">
      <alignment horizontal="center" vertical="center"/>
    </xf>
    <xf numFmtId="0" fontId="51" fillId="0" borderId="21" xfId="0" applyFont="1" applyFill="1" applyBorder="1" applyAlignment="1">
      <alignment horizontal="center" vertical="center"/>
    </xf>
    <xf numFmtId="0" fontId="51" fillId="0" borderId="14" xfId="0" applyFont="1" applyFill="1" applyBorder="1" applyAlignment="1">
      <alignment horizontal="center" vertical="center"/>
    </xf>
    <xf numFmtId="0" fontId="62" fillId="0" borderId="18" xfId="0" applyFont="1" applyFill="1" applyBorder="1" applyAlignment="1">
      <alignment horizontal="center" vertical="center"/>
    </xf>
    <xf numFmtId="3" fontId="54" fillId="40" borderId="15" xfId="0" applyNumberFormat="1" applyFont="1" applyFill="1" applyBorder="1" applyAlignment="1">
      <alignment horizontal="right"/>
    </xf>
    <xf numFmtId="1" fontId="51" fillId="0" borderId="15" xfId="0" quotePrefix="1" applyNumberFormat="1" applyFont="1" applyFill="1" applyBorder="1" applyAlignment="1" applyProtection="1">
      <alignment horizontal="center" vertical="top"/>
    </xf>
    <xf numFmtId="0" fontId="60" fillId="26" borderId="10" xfId="0" applyFont="1" applyFill="1" applyBorder="1" applyAlignment="1" applyProtection="1">
      <alignment horizontal="left" vertical="center" wrapText="1"/>
    </xf>
    <xf numFmtId="9" fontId="60" fillId="26" borderId="10" xfId="0" applyNumberFormat="1" applyFont="1" applyFill="1" applyBorder="1" applyAlignment="1" applyProtection="1">
      <alignment horizontal="center" vertical="center"/>
    </xf>
    <xf numFmtId="0" fontId="8" fillId="36" borderId="64" xfId="0" applyFont="1" applyFill="1" applyBorder="1" applyAlignment="1" applyProtection="1">
      <alignment horizontal="center" vertical="top"/>
    </xf>
    <xf numFmtId="0" fontId="8" fillId="0" borderId="0" xfId="0" applyFont="1" applyFill="1" applyBorder="1" applyAlignment="1" applyProtection="1"/>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165" fontId="4" fillId="0" borderId="0" xfId="0" applyNumberFormat="1" applyFont="1" applyFill="1" applyBorder="1" applyAlignment="1" applyProtection="1">
      <alignment vertical="center"/>
    </xf>
    <xf numFmtId="167" fontId="4" fillId="0" borderId="15" xfId="0" quotePrefix="1" applyNumberFormat="1" applyFont="1" applyFill="1" applyBorder="1" applyAlignment="1" applyProtection="1">
      <alignment vertical="center"/>
    </xf>
    <xf numFmtId="167" fontId="4" fillId="28" borderId="19" xfId="0" applyNumberFormat="1" applyFont="1" applyFill="1" applyBorder="1" applyAlignment="1" applyProtection="1">
      <alignment horizontal="center" vertical="center"/>
    </xf>
    <xf numFmtId="167" fontId="4" fillId="29" borderId="19" xfId="0" applyNumberFormat="1" applyFont="1" applyFill="1" applyBorder="1" applyAlignment="1" applyProtection="1">
      <alignment horizontal="center" vertical="center"/>
    </xf>
    <xf numFmtId="167" fontId="60" fillId="34" borderId="19" xfId="0" applyNumberFormat="1" applyFont="1" applyFill="1" applyBorder="1" applyAlignment="1" applyProtection="1">
      <alignment horizontal="center" vertical="center"/>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31" fillId="26" borderId="0" xfId="0" applyFont="1" applyFill="1" applyBorder="1" applyAlignment="1" applyProtection="1">
      <alignment horizontal="left" vertical="top" wrapText="1"/>
    </xf>
    <xf numFmtId="0" fontId="8" fillId="28" borderId="13" xfId="0" applyFont="1" applyFill="1" applyBorder="1" applyAlignment="1" applyProtection="1">
      <alignment horizontal="center" vertical="top"/>
    </xf>
    <xf numFmtId="0" fontId="8" fillId="28" borderId="17" xfId="0" applyFont="1" applyFill="1" applyBorder="1" applyAlignment="1">
      <alignment horizontal="center" wrapText="1"/>
    </xf>
    <xf numFmtId="0" fontId="31" fillId="24"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31" fillId="24" borderId="0" xfId="0" applyFont="1" applyFill="1" applyBorder="1" applyAlignment="1" applyProtection="1">
      <alignment vertical="top" wrapText="1"/>
    </xf>
    <xf numFmtId="0" fontId="8" fillId="0" borderId="15" xfId="0" applyFont="1" applyFill="1" applyBorder="1" applyAlignment="1" applyProtection="1">
      <alignment horizontal="center" vertical="center" wrapText="1"/>
    </xf>
    <xf numFmtId="0" fontId="8" fillId="36" borderId="15" xfId="0"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62" fillId="0" borderId="0" xfId="0" applyFont="1" applyFill="1" applyBorder="1" applyAlignment="1" applyProtection="1">
      <alignment vertical="center"/>
    </xf>
    <xf numFmtId="0" fontId="35" fillId="26" borderId="44" xfId="0" applyFont="1" applyFill="1" applyBorder="1" applyProtection="1"/>
    <xf numFmtId="9" fontId="50" fillId="26" borderId="0" xfId="0" applyNumberFormat="1" applyFont="1" applyFill="1" applyBorder="1" applyAlignment="1" applyProtection="1">
      <alignment horizontal="center" vertical="center"/>
    </xf>
    <xf numFmtId="0" fontId="4" fillId="0" borderId="18" xfId="0" applyFont="1" applyFill="1" applyBorder="1" applyAlignment="1" applyProtection="1">
      <alignment horizontal="center" vertical="center" wrapText="1"/>
    </xf>
    <xf numFmtId="0" fontId="4" fillId="0" borderId="0" xfId="0" applyFont="1" applyFill="1" applyAlignment="1">
      <alignment horizontal="left"/>
    </xf>
    <xf numFmtId="0" fontId="62" fillId="0" borderId="14" xfId="0" quotePrefix="1" applyFont="1" applyFill="1" applyBorder="1" applyAlignment="1" applyProtection="1">
      <alignment horizontal="center"/>
    </xf>
    <xf numFmtId="0" fontId="37" fillId="0" borderId="10" xfId="0" applyFont="1" applyFill="1" applyBorder="1" applyAlignment="1" applyProtection="1">
      <alignment horizontal="right"/>
    </xf>
    <xf numFmtId="1" fontId="54" fillId="0" borderId="0" xfId="0" applyNumberFormat="1" applyFont="1" applyFill="1" applyBorder="1" applyAlignment="1" applyProtection="1">
      <alignment horizontal="center" vertical="center"/>
    </xf>
    <xf numFmtId="0" fontId="62" fillId="36" borderId="15" xfId="0" applyFont="1" applyFill="1" applyBorder="1" applyAlignment="1">
      <alignment horizontal="center"/>
    </xf>
    <xf numFmtId="0" fontId="62" fillId="0" borderId="22" xfId="0" applyFont="1" applyFill="1" applyBorder="1" applyAlignment="1">
      <alignment horizontal="center" vertical="center"/>
    </xf>
    <xf numFmtId="0" fontId="62" fillId="0" borderId="22" xfId="0" quotePrefix="1" applyFont="1" applyFill="1" applyBorder="1" applyAlignment="1" applyProtection="1">
      <alignment horizontal="center"/>
    </xf>
    <xf numFmtId="0" fontId="62" fillId="0" borderId="32" xfId="0" quotePrefix="1" applyFont="1" applyFill="1" applyBorder="1" applyAlignment="1" applyProtection="1">
      <alignment horizontal="center"/>
    </xf>
    <xf numFmtId="0" fontId="62" fillId="0" borderId="22" xfId="0" applyFont="1" applyFill="1" applyBorder="1" applyAlignment="1" applyProtection="1">
      <alignment horizontal="center"/>
    </xf>
    <xf numFmtId="0" fontId="4" fillId="0" borderId="18" xfId="0" applyFont="1" applyFill="1" applyBorder="1" applyAlignment="1" applyProtection="1">
      <alignment horizontal="left" vertical="center" wrapText="1"/>
    </xf>
    <xf numFmtId="0" fontId="4" fillId="29" borderId="18" xfId="0" applyFont="1" applyFill="1" applyBorder="1" applyAlignment="1" applyProtection="1">
      <alignment horizontal="left" vertical="center" wrapText="1"/>
    </xf>
    <xf numFmtId="0" fontId="60" fillId="34" borderId="18" xfId="0" applyFont="1" applyFill="1" applyBorder="1" applyAlignment="1" applyProtection="1">
      <alignment horizontal="left" vertical="center" wrapText="1"/>
    </xf>
    <xf numFmtId="0" fontId="62" fillId="36" borderId="15" xfId="0" quotePrefix="1" applyFont="1" applyFill="1" applyBorder="1" applyAlignment="1" applyProtection="1">
      <alignment horizontal="center"/>
    </xf>
    <xf numFmtId="0" fontId="4" fillId="0" borderId="83" xfId="0" applyFont="1" applyFill="1" applyBorder="1" applyProtection="1"/>
    <xf numFmtId="0" fontId="4" fillId="24" borderId="102" xfId="0" applyFont="1" applyFill="1" applyBorder="1" applyProtection="1"/>
    <xf numFmtId="0" fontId="59" fillId="24" borderId="0" xfId="0" applyFont="1" applyFill="1" applyBorder="1" applyAlignment="1" applyProtection="1">
      <alignment vertical="top"/>
    </xf>
    <xf numFmtId="0" fontId="56" fillId="24" borderId="0" xfId="0" applyFont="1" applyFill="1" applyBorder="1" applyAlignment="1" applyProtection="1">
      <alignment vertical="top"/>
    </xf>
    <xf numFmtId="0" fontId="37" fillId="26" borderId="113" xfId="0" applyFont="1" applyFill="1" applyBorder="1" applyAlignment="1" applyProtection="1">
      <alignment horizontal="right"/>
    </xf>
    <xf numFmtId="17" fontId="8" fillId="28" borderId="15" xfId="0" applyNumberFormat="1" applyFont="1" applyFill="1" applyBorder="1" applyAlignment="1" applyProtection="1">
      <alignment horizontal="center" vertical="center" wrapText="1"/>
    </xf>
    <xf numFmtId="1" fontId="4" fillId="0" borderId="15" xfId="47" applyNumberFormat="1" applyFont="1" applyBorder="1" applyAlignment="1">
      <alignment horizontal="left" wrapText="1"/>
    </xf>
    <xf numFmtId="1" fontId="4" fillId="0" borderId="15" xfId="47" applyNumberFormat="1" applyFont="1" applyBorder="1"/>
    <xf numFmtId="0" fontId="31" fillId="24" borderId="39" xfId="0" applyFont="1" applyFill="1" applyBorder="1" applyAlignment="1" applyProtection="1">
      <alignment vertical="top" wrapText="1"/>
    </xf>
    <xf numFmtId="0" fontId="0" fillId="26" borderId="39" xfId="0" applyFill="1" applyBorder="1" applyAlignment="1">
      <alignment horizontal="left" vertical="top" wrapText="1"/>
    </xf>
    <xf numFmtId="0" fontId="34" fillId="24" borderId="39" xfId="0" applyFont="1" applyFill="1" applyBorder="1" applyAlignment="1" applyProtection="1">
      <alignment horizontal="center" wrapText="1"/>
    </xf>
    <xf numFmtId="0" fontId="0" fillId="26" borderId="39" xfId="0" applyFill="1" applyBorder="1" applyAlignment="1">
      <alignment horizontal="left" vertical="top"/>
    </xf>
    <xf numFmtId="0" fontId="0" fillId="26" borderId="39" xfId="0" applyFill="1" applyBorder="1" applyAlignment="1">
      <alignment wrapText="1"/>
    </xf>
    <xf numFmtId="0" fontId="4" fillId="26" borderId="39" xfId="0" applyFont="1" applyFill="1" applyBorder="1" applyAlignment="1" applyProtection="1">
      <alignment vertical="center"/>
    </xf>
    <xf numFmtId="3" fontId="37" fillId="0" borderId="0" xfId="0" applyNumberFormat="1" applyFont="1" applyFill="1" applyBorder="1" applyAlignment="1" applyProtection="1">
      <alignment horizontal="right"/>
    </xf>
    <xf numFmtId="2" fontId="4" fillId="0" borderId="0" xfId="0" applyNumberFormat="1" applyFont="1" applyBorder="1" applyAlignment="1" applyProtection="1">
      <alignment horizontal="center" vertical="center"/>
    </xf>
    <xf numFmtId="0" fontId="8" fillId="0" borderId="0" xfId="0" applyFont="1" applyFill="1" applyBorder="1" applyAlignment="1" applyProtection="1">
      <alignment horizontal="center" wrapText="1"/>
    </xf>
    <xf numFmtId="0" fontId="8" fillId="0" borderId="0" xfId="0" applyFont="1" applyFill="1" applyBorder="1" applyAlignment="1">
      <alignment horizontal="center" wrapText="1"/>
    </xf>
    <xf numFmtId="0" fontId="8" fillId="0" borderId="0" xfId="0" applyFont="1" applyFill="1" applyBorder="1" applyAlignment="1" applyProtection="1">
      <alignment horizontal="center" vertical="top"/>
    </xf>
    <xf numFmtId="2" fontId="4" fillId="0" borderId="0" xfId="0" applyNumberFormat="1" applyFont="1" applyFill="1" applyBorder="1" applyAlignment="1" applyProtection="1">
      <alignment horizontal="center" vertical="center"/>
    </xf>
    <xf numFmtId="167" fontId="4" fillId="0" borderId="15" xfId="0" applyNumberFormat="1" applyFont="1" applyBorder="1" applyAlignment="1" applyProtection="1">
      <alignment horizontal="center" vertical="center"/>
    </xf>
    <xf numFmtId="167" fontId="4" fillId="0" borderId="21" xfId="0" applyNumberFormat="1" applyFont="1" applyBorder="1" applyAlignment="1" applyProtection="1">
      <alignment horizontal="center" vertical="center"/>
    </xf>
    <xf numFmtId="167" fontId="4" fillId="29" borderId="15" xfId="0" applyNumberFormat="1" applyFont="1" applyFill="1" applyBorder="1" applyAlignment="1" applyProtection="1">
      <alignment horizontal="center" vertical="center"/>
    </xf>
    <xf numFmtId="167" fontId="60" fillId="34" borderId="15" xfId="0" applyNumberFormat="1" applyFont="1" applyFill="1" applyBorder="1" applyAlignment="1" applyProtection="1">
      <alignment horizontal="center" vertical="center"/>
    </xf>
    <xf numFmtId="0" fontId="4" fillId="0" borderId="15" xfId="0" applyFont="1" applyBorder="1" applyAlignment="1" applyProtection="1">
      <alignment vertical="center" wrapText="1"/>
    </xf>
    <xf numFmtId="0" fontId="8" fillId="28" borderId="13" xfId="0" applyFont="1" applyFill="1" applyBorder="1" applyAlignment="1" applyProtection="1">
      <alignment horizontal="center" vertical="top"/>
    </xf>
    <xf numFmtId="0" fontId="8" fillId="28" borderId="17" xfId="0" applyFont="1" applyFill="1" applyBorder="1" applyAlignment="1">
      <alignment horizontal="center" wrapText="1"/>
    </xf>
    <xf numFmtId="0" fontId="4" fillId="0" borderId="15"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1" fontId="40" fillId="0" borderId="0" xfId="0" applyNumberFormat="1" applyFont="1" applyFill="1" applyBorder="1" applyAlignment="1" applyProtection="1">
      <alignment horizontal="center"/>
    </xf>
    <xf numFmtId="0" fontId="4" fillId="0" borderId="0" xfId="0" applyFont="1" applyFill="1" applyBorder="1" applyAlignment="1" applyProtection="1">
      <alignment horizontal="center" vertical="center" wrapText="1"/>
    </xf>
    <xf numFmtId="0" fontId="57" fillId="0" borderId="0" xfId="0" applyFont="1" applyFill="1" applyBorder="1" applyAlignment="1" applyProtection="1">
      <alignment horizontal="left"/>
    </xf>
    <xf numFmtId="167" fontId="4" fillId="28" borderId="114" xfId="0" applyNumberFormat="1" applyFont="1" applyFill="1" applyBorder="1" applyAlignment="1" applyProtection="1">
      <alignment horizontal="center" vertical="center"/>
    </xf>
    <xf numFmtId="167" fontId="4" fillId="28" borderId="115" xfId="0" applyNumberFormat="1" applyFont="1" applyFill="1" applyBorder="1" applyAlignment="1" applyProtection="1">
      <alignment horizontal="center" vertical="center"/>
    </xf>
    <xf numFmtId="0" fontId="53" fillId="0" borderId="0" xfId="0" applyFont="1" applyFill="1" applyBorder="1" applyAlignment="1" applyProtection="1">
      <alignment vertical="center" wrapText="1"/>
    </xf>
    <xf numFmtId="0" fontId="50" fillId="0" borderId="14" xfId="0" applyFont="1" applyFill="1" applyBorder="1" applyAlignment="1" applyProtection="1">
      <alignment horizontal="center" vertical="center"/>
    </xf>
    <xf numFmtId="1" fontId="54" fillId="0" borderId="14" xfId="0" applyNumberFormat="1" applyFont="1" applyFill="1" applyBorder="1" applyAlignment="1" applyProtection="1">
      <alignment horizontal="center" vertical="center"/>
    </xf>
    <xf numFmtId="1" fontId="54" fillId="0" borderId="22" xfId="0" applyNumberFormat="1" applyFont="1" applyFill="1" applyBorder="1" applyAlignment="1" applyProtection="1">
      <alignment horizontal="center"/>
    </xf>
    <xf numFmtId="1" fontId="54" fillId="0" borderId="21" xfId="0" applyNumberFormat="1" applyFont="1" applyFill="1" applyBorder="1" applyAlignment="1" applyProtection="1">
      <alignment horizontal="center"/>
    </xf>
    <xf numFmtId="0" fontId="54" fillId="0" borderId="18" xfId="0" applyFont="1" applyFill="1" applyBorder="1" applyAlignment="1" applyProtection="1">
      <alignment horizontal="left" vertical="center"/>
    </xf>
    <xf numFmtId="0" fontId="4" fillId="0" borderId="32" xfId="0" applyFont="1" applyFill="1" applyBorder="1" applyAlignment="1" applyProtection="1">
      <alignment horizontal="left" vertical="center" wrapText="1"/>
    </xf>
    <xf numFmtId="1" fontId="54" fillId="0" borderId="22" xfId="0" applyNumberFormat="1" applyFont="1" applyFill="1" applyBorder="1" applyAlignment="1" applyProtection="1">
      <alignment vertical="center"/>
    </xf>
    <xf numFmtId="0" fontId="4" fillId="0" borderId="21" xfId="0" applyFont="1" applyFill="1" applyBorder="1" applyAlignment="1" applyProtection="1">
      <alignment vertical="center"/>
    </xf>
    <xf numFmtId="0" fontId="50" fillId="0" borderId="22" xfId="0" applyFont="1" applyFill="1" applyBorder="1" applyAlignment="1" applyProtection="1">
      <alignment horizontal="center" vertical="center"/>
    </xf>
    <xf numFmtId="0" fontId="50" fillId="0" borderId="21" xfId="0" applyFont="1" applyFill="1" applyBorder="1" applyAlignment="1" applyProtection="1">
      <alignment horizontal="center" vertical="center"/>
    </xf>
    <xf numFmtId="1" fontId="54" fillId="0" borderId="22" xfId="0" applyNumberFormat="1" applyFont="1" applyFill="1" applyBorder="1" applyAlignment="1" applyProtection="1">
      <alignment horizontal="center" vertical="center"/>
    </xf>
    <xf numFmtId="1" fontId="54" fillId="0" borderId="21" xfId="0" applyNumberFormat="1" applyFont="1" applyFill="1" applyBorder="1" applyAlignment="1" applyProtection="1">
      <alignment horizontal="center" vertical="center"/>
    </xf>
    <xf numFmtId="0" fontId="54" fillId="0" borderId="22" xfId="0" applyFont="1" applyFill="1" applyBorder="1" applyAlignment="1" applyProtection="1">
      <alignment horizontal="center" vertical="center"/>
    </xf>
    <xf numFmtId="0" fontId="54" fillId="0" borderId="21" xfId="0" applyFont="1" applyFill="1" applyBorder="1" applyAlignment="1" applyProtection="1">
      <alignment horizontal="center" vertical="center"/>
    </xf>
    <xf numFmtId="0" fontId="4" fillId="38" borderId="15" xfId="0" applyFont="1" applyFill="1" applyBorder="1" applyAlignment="1" applyProtection="1">
      <alignment horizontal="left" vertical="center"/>
    </xf>
    <xf numFmtId="0" fontId="54" fillId="0" borderId="0" xfId="0" applyFont="1" applyFill="1" applyBorder="1" applyAlignment="1">
      <alignment horizontal="left"/>
    </xf>
    <xf numFmtId="0" fontId="54" fillId="0" borderId="0" xfId="0" applyFont="1" applyFill="1"/>
    <xf numFmtId="165" fontId="4" fillId="0" borderId="0" xfId="0" applyNumberFormat="1" applyFont="1" applyFill="1" applyBorder="1" applyAlignment="1" applyProtection="1">
      <alignment horizontal="right"/>
    </xf>
    <xf numFmtId="167" fontId="4" fillId="0" borderId="0" xfId="0" applyNumberFormat="1" applyFont="1" applyFill="1" applyBorder="1" applyAlignment="1" applyProtection="1">
      <alignment horizontal="right"/>
    </xf>
    <xf numFmtId="9" fontId="4" fillId="0" borderId="0" xfId="0" applyNumberFormat="1" applyFont="1" applyFill="1" applyBorder="1" applyAlignment="1" applyProtection="1">
      <alignment horizontal="right"/>
    </xf>
    <xf numFmtId="0" fontId="8" fillId="26" borderId="0"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0" fontId="8" fillId="26" borderId="15" xfId="0" applyFont="1" applyFill="1" applyBorder="1" applyAlignment="1" applyProtection="1">
      <alignment horizontal="center" vertical="center" wrapText="1"/>
    </xf>
    <xf numFmtId="169" fontId="4" fillId="38" borderId="15" xfId="0" applyNumberFormat="1" applyFont="1" applyFill="1" applyBorder="1" applyAlignment="1" applyProtection="1">
      <alignment horizontal="left" vertical="center"/>
    </xf>
    <xf numFmtId="0" fontId="50" fillId="0" borderId="0" xfId="0" applyFont="1" applyFill="1" applyBorder="1" applyAlignment="1" applyProtection="1"/>
    <xf numFmtId="165" fontId="37" fillId="0" borderId="15" xfId="0" applyNumberFormat="1" applyFont="1" applyFill="1" applyBorder="1" applyAlignment="1" applyProtection="1">
      <alignment horizontal="right"/>
    </xf>
    <xf numFmtId="167" fontId="37" fillId="0" borderId="15" xfId="0" applyNumberFormat="1" applyFont="1" applyFill="1" applyBorder="1" applyAlignment="1" applyProtection="1">
      <alignment horizontal="right"/>
    </xf>
    <xf numFmtId="165" fontId="4" fillId="0" borderId="15" xfId="0" applyNumberFormat="1" applyFont="1" applyFill="1" applyBorder="1" applyProtection="1"/>
    <xf numFmtId="9" fontId="37" fillId="0" borderId="15" xfId="0" applyNumberFormat="1" applyFont="1" applyFill="1" applyBorder="1" applyAlignment="1" applyProtection="1">
      <alignment horizontal="right"/>
    </xf>
    <xf numFmtId="0" fontId="4" fillId="0" borderId="15" xfId="0" applyFont="1" applyFill="1" applyBorder="1" applyProtection="1"/>
    <xf numFmtId="0" fontId="53" fillId="0" borderId="22" xfId="0" applyFont="1" applyFill="1" applyBorder="1" applyAlignment="1" applyProtection="1">
      <alignment horizontal="center" vertical="center"/>
    </xf>
    <xf numFmtId="0" fontId="53" fillId="0" borderId="32" xfId="0" applyFont="1" applyFill="1" applyBorder="1" applyAlignment="1" applyProtection="1">
      <alignment horizontal="center" vertical="center"/>
    </xf>
    <xf numFmtId="0" fontId="4" fillId="0" borderId="26" xfId="0" applyFont="1" applyFill="1" applyBorder="1" applyAlignment="1" applyProtection="1">
      <alignment horizontal="left" vertical="center" wrapText="1"/>
    </xf>
    <xf numFmtId="0" fontId="50" fillId="24" borderId="0" xfId="0" applyFont="1" applyFill="1" applyBorder="1" applyAlignment="1" applyProtection="1">
      <alignment horizontal="right"/>
    </xf>
    <xf numFmtId="0" fontId="50" fillId="24" borderId="0" xfId="0" applyFont="1" applyFill="1" applyBorder="1" applyAlignment="1" applyProtection="1">
      <alignment horizontal="center"/>
    </xf>
    <xf numFmtId="0" fontId="50" fillId="0" borderId="15" xfId="0" applyFont="1" applyFill="1" applyBorder="1" applyAlignment="1" applyProtection="1">
      <alignment horizontal="center" vertical="center" wrapText="1"/>
    </xf>
    <xf numFmtId="0" fontId="83" fillId="0" borderId="15" xfId="0" applyFont="1" applyFill="1" applyBorder="1" applyAlignment="1">
      <alignment horizontal="center" vertical="center" wrapText="1"/>
    </xf>
    <xf numFmtId="0" fontId="75" fillId="0" borderId="22" xfId="0" applyFont="1" applyFill="1" applyBorder="1" applyAlignment="1" applyProtection="1">
      <alignment horizontal="center" vertical="center"/>
    </xf>
    <xf numFmtId="0" fontId="75" fillId="0" borderId="14" xfId="0" applyFont="1" applyFill="1" applyBorder="1" applyAlignment="1" applyProtection="1">
      <alignment horizontal="center" vertical="center"/>
    </xf>
    <xf numFmtId="0" fontId="75" fillId="0" borderId="32" xfId="0" applyFont="1" applyFill="1" applyBorder="1" applyAlignment="1" applyProtection="1">
      <alignment horizontal="center" vertical="center"/>
    </xf>
    <xf numFmtId="165" fontId="50" fillId="0" borderId="0" xfId="0" applyNumberFormat="1" applyFont="1" applyFill="1" applyAlignment="1" applyProtection="1">
      <alignment vertical="center"/>
    </xf>
    <xf numFmtId="165" fontId="50" fillId="0" borderId="0" xfId="0" applyNumberFormat="1" applyFont="1" applyFill="1" applyBorder="1" applyAlignment="1" applyProtection="1">
      <alignment horizontal="right"/>
    </xf>
    <xf numFmtId="167" fontId="50" fillId="0" borderId="0" xfId="0" applyNumberFormat="1" applyFont="1" applyFill="1" applyBorder="1" applyAlignment="1" applyProtection="1">
      <alignment horizontal="right"/>
    </xf>
    <xf numFmtId="165" fontId="50" fillId="0" borderId="0" xfId="0" applyNumberFormat="1" applyFont="1" applyFill="1" applyProtection="1"/>
    <xf numFmtId="9" fontId="50" fillId="0" borderId="0" xfId="0" applyNumberFormat="1" applyFont="1" applyFill="1" applyBorder="1" applyAlignment="1" applyProtection="1">
      <alignment horizontal="right"/>
    </xf>
    <xf numFmtId="0" fontId="50" fillId="0" borderId="17" xfId="0" applyFont="1" applyFill="1" applyBorder="1" applyAlignment="1" applyProtection="1">
      <alignment horizontal="right"/>
    </xf>
    <xf numFmtId="0" fontId="50" fillId="0" borderId="49" xfId="0" applyFont="1" applyFill="1" applyBorder="1" applyAlignment="1" applyProtection="1">
      <alignment horizontal="right"/>
    </xf>
    <xf numFmtId="0" fontId="50" fillId="0" borderId="25" xfId="0" applyFont="1" applyFill="1" applyBorder="1" applyAlignment="1" applyProtection="1">
      <alignment horizontal="right"/>
    </xf>
    <xf numFmtId="165" fontId="50" fillId="0" borderId="57" xfId="0" applyNumberFormat="1" applyFont="1" applyFill="1" applyBorder="1" applyAlignment="1" applyProtection="1">
      <alignment vertical="center"/>
    </xf>
    <xf numFmtId="165" fontId="50" fillId="0" borderId="0" xfId="0" applyNumberFormat="1" applyFont="1" applyFill="1" applyBorder="1" applyAlignment="1" applyProtection="1">
      <alignment vertical="center"/>
    </xf>
    <xf numFmtId="165" fontId="50" fillId="0" borderId="44" xfId="0" applyNumberFormat="1" applyFont="1" applyFill="1" applyBorder="1" applyAlignment="1" applyProtection="1">
      <alignment vertical="center"/>
    </xf>
    <xf numFmtId="165" fontId="50" fillId="0" borderId="13" xfId="0" applyNumberFormat="1" applyFont="1" applyFill="1" applyBorder="1" applyProtection="1"/>
    <xf numFmtId="165" fontId="50" fillId="0" borderId="103" xfId="0" applyNumberFormat="1" applyFont="1" applyFill="1" applyBorder="1" applyProtection="1"/>
    <xf numFmtId="165" fontId="50" fillId="0" borderId="104" xfId="0" applyNumberFormat="1" applyFont="1" applyFill="1" applyBorder="1" applyProtection="1"/>
    <xf numFmtId="167" fontId="50" fillId="0" borderId="44" xfId="0" applyNumberFormat="1" applyFont="1" applyFill="1" applyBorder="1" applyAlignment="1" applyProtection="1">
      <alignment horizontal="right"/>
    </xf>
    <xf numFmtId="167" fontId="50" fillId="0" borderId="103" xfId="0" applyNumberFormat="1" applyFont="1" applyFill="1" applyBorder="1" applyAlignment="1" applyProtection="1">
      <alignment horizontal="right"/>
    </xf>
    <xf numFmtId="9" fontId="50" fillId="0" borderId="104" xfId="0" applyNumberFormat="1" applyFont="1" applyFill="1" applyBorder="1" applyAlignment="1" applyProtection="1">
      <alignment horizontal="right"/>
    </xf>
    <xf numFmtId="167" fontId="50" fillId="0" borderId="57" xfId="0" applyNumberFormat="1" applyFont="1" applyFill="1" applyBorder="1" applyAlignment="1" applyProtection="1">
      <alignment horizontal="right"/>
    </xf>
    <xf numFmtId="9" fontId="50" fillId="0" borderId="13" xfId="0" applyNumberFormat="1" applyFont="1" applyFill="1" applyBorder="1" applyAlignment="1" applyProtection="1">
      <alignment horizontal="right"/>
    </xf>
    <xf numFmtId="9" fontId="50" fillId="0" borderId="103" xfId="0" applyNumberFormat="1" applyFont="1" applyFill="1" applyBorder="1" applyAlignment="1" applyProtection="1">
      <alignment horizontal="right"/>
    </xf>
    <xf numFmtId="0" fontId="50" fillId="24" borderId="15" xfId="0" applyFont="1" applyFill="1" applyBorder="1" applyAlignment="1" applyProtection="1">
      <alignment horizontal="center" vertical="center"/>
    </xf>
    <xf numFmtId="165" fontId="50" fillId="0" borderId="50" xfId="0" applyNumberFormat="1" applyFont="1" applyFill="1" applyBorder="1" applyAlignment="1" applyProtection="1">
      <alignment horizontal="right"/>
    </xf>
    <xf numFmtId="165" fontId="50" fillId="0" borderId="12" xfId="0" applyNumberFormat="1" applyFont="1" applyFill="1" applyBorder="1" applyAlignment="1" applyProtection="1">
      <alignment horizontal="right"/>
    </xf>
    <xf numFmtId="0" fontId="50" fillId="0" borderId="15" xfId="0" applyFont="1" applyFill="1" applyBorder="1" applyAlignment="1" applyProtection="1">
      <alignment horizontal="right" vertical="center"/>
    </xf>
    <xf numFmtId="0" fontId="75" fillId="36" borderId="15" xfId="0" applyFont="1" applyFill="1" applyBorder="1" applyAlignment="1" applyProtection="1">
      <alignment horizontal="center" vertical="center"/>
    </xf>
    <xf numFmtId="0" fontId="75" fillId="36" borderId="14" xfId="0" applyFont="1" applyFill="1" applyBorder="1" applyAlignment="1" applyProtection="1">
      <alignment horizontal="center" vertical="center"/>
    </xf>
    <xf numFmtId="164" fontId="50" fillId="36" borderId="16" xfId="0" applyNumberFormat="1" applyFont="1" applyFill="1" applyBorder="1" applyAlignment="1" applyProtection="1">
      <alignment vertical="center"/>
    </xf>
    <xf numFmtId="165" fontId="50" fillId="36" borderId="43" xfId="0" applyNumberFormat="1" applyFont="1" applyFill="1" applyBorder="1" applyAlignment="1" applyProtection="1">
      <alignment vertical="center"/>
    </xf>
    <xf numFmtId="0" fontId="50" fillId="36" borderId="15" xfId="0" applyFont="1" applyFill="1" applyBorder="1" applyAlignment="1" applyProtection="1">
      <alignment horizontal="left" vertical="center"/>
    </xf>
    <xf numFmtId="0" fontId="50" fillId="36" borderId="14" xfId="0" applyFont="1" applyFill="1" applyBorder="1" applyAlignment="1" applyProtection="1">
      <alignment horizontal="center" vertical="center" wrapText="1"/>
    </xf>
    <xf numFmtId="0" fontId="50" fillId="36" borderId="15" xfId="0" applyFont="1" applyFill="1" applyBorder="1" applyAlignment="1" applyProtection="1">
      <alignment horizontal="center" vertical="center" wrapText="1"/>
    </xf>
    <xf numFmtId="0" fontId="50" fillId="36" borderId="15" xfId="0" applyFont="1" applyFill="1" applyBorder="1" applyAlignment="1" applyProtection="1">
      <alignment horizontal="right" vertical="center"/>
    </xf>
    <xf numFmtId="165" fontId="50" fillId="36" borderId="15" xfId="0" applyNumberFormat="1" applyFont="1" applyFill="1" applyBorder="1" applyAlignment="1" applyProtection="1">
      <alignment vertical="center"/>
    </xf>
    <xf numFmtId="0" fontId="50" fillId="0" borderId="15" xfId="0" applyFont="1" applyFill="1" applyBorder="1" applyAlignment="1">
      <alignment horizontal="center" vertical="center"/>
    </xf>
    <xf numFmtId="1" fontId="50" fillId="0" borderId="57" xfId="0" applyNumberFormat="1" applyFont="1" applyFill="1" applyBorder="1" applyAlignment="1" applyProtection="1">
      <alignment horizontal="right"/>
    </xf>
    <xf numFmtId="1" fontId="50" fillId="0" borderId="0" xfId="0" applyNumberFormat="1" applyFont="1" applyFill="1" applyBorder="1" applyAlignment="1" applyProtection="1">
      <alignment horizontal="right"/>
    </xf>
    <xf numFmtId="1" fontId="50" fillId="0" borderId="44" xfId="0" applyNumberFormat="1" applyFont="1" applyFill="1" applyBorder="1" applyAlignment="1" applyProtection="1">
      <alignment horizontal="right"/>
    </xf>
    <xf numFmtId="1" fontId="50" fillId="0" borderId="13" xfId="0" applyNumberFormat="1" applyFont="1" applyFill="1" applyBorder="1" applyAlignment="1" applyProtection="1">
      <alignment horizontal="right"/>
    </xf>
    <xf numFmtId="165" fontId="4" fillId="0" borderId="17" xfId="0" applyNumberFormat="1" applyFont="1" applyFill="1" applyBorder="1" applyAlignment="1" applyProtection="1">
      <alignment vertical="center"/>
    </xf>
    <xf numFmtId="165" fontId="4" fillId="0" borderId="49" xfId="0" applyNumberFormat="1" applyFont="1" applyFill="1" applyBorder="1" applyAlignment="1" applyProtection="1">
      <alignment vertical="center"/>
    </xf>
    <xf numFmtId="165" fontId="4" fillId="0" borderId="57" xfId="0" applyNumberFormat="1" applyFont="1" applyFill="1" applyBorder="1" applyAlignment="1" applyProtection="1">
      <alignment vertical="center"/>
    </xf>
    <xf numFmtId="165" fontId="4" fillId="0" borderId="13" xfId="0" applyNumberFormat="1" applyFont="1" applyFill="1" applyBorder="1" applyProtection="1"/>
    <xf numFmtId="165" fontId="4" fillId="0" borderId="103" xfId="0" applyNumberFormat="1" applyFont="1" applyFill="1" applyBorder="1" applyProtection="1"/>
    <xf numFmtId="0" fontId="4" fillId="0" borderId="16" xfId="0" applyFont="1" applyFill="1" applyBorder="1" applyAlignment="1" applyProtection="1">
      <alignment vertical="center"/>
    </xf>
    <xf numFmtId="0" fontId="4" fillId="0" borderId="50" xfId="0" applyFont="1" applyFill="1" applyBorder="1" applyAlignment="1" applyProtection="1">
      <alignment vertical="center"/>
    </xf>
    <xf numFmtId="0" fontId="4" fillId="0" borderId="12" xfId="0" applyFont="1" applyFill="1" applyBorder="1" applyProtection="1"/>
    <xf numFmtId="165" fontId="50" fillId="0" borderId="16" xfId="0" applyNumberFormat="1" applyFont="1" applyFill="1" applyBorder="1" applyAlignment="1" applyProtection="1">
      <alignment horizontal="right"/>
    </xf>
    <xf numFmtId="0" fontId="50" fillId="0" borderId="57" xfId="0" applyFont="1" applyFill="1" applyBorder="1" applyAlignment="1" applyProtection="1">
      <alignment horizontal="right"/>
    </xf>
    <xf numFmtId="0" fontId="50" fillId="0" borderId="44" xfId="0" applyFont="1" applyFill="1" applyBorder="1" applyAlignment="1" applyProtection="1">
      <alignment horizontal="right"/>
    </xf>
    <xf numFmtId="0" fontId="50" fillId="0" borderId="13" xfId="0" applyFont="1" applyFill="1" applyBorder="1" applyAlignment="1" applyProtection="1"/>
    <xf numFmtId="0" fontId="50" fillId="0" borderId="103" xfId="0" applyFont="1" applyFill="1" applyBorder="1" applyAlignment="1" applyProtection="1"/>
    <xf numFmtId="0" fontId="50" fillId="0" borderId="104" xfId="0" applyFont="1" applyFill="1" applyBorder="1" applyAlignment="1" applyProtection="1"/>
    <xf numFmtId="1" fontId="50" fillId="0" borderId="17" xfId="0" applyNumberFormat="1" applyFont="1" applyFill="1" applyBorder="1" applyAlignment="1" applyProtection="1">
      <alignment horizontal="right"/>
    </xf>
    <xf numFmtId="1" fontId="50" fillId="0" borderId="16" xfId="0" applyNumberFormat="1" applyFont="1" applyFill="1" applyBorder="1" applyAlignment="1" applyProtection="1">
      <alignment horizontal="right"/>
    </xf>
    <xf numFmtId="0" fontId="38" fillId="26" borderId="56" xfId="0" applyFont="1" applyFill="1" applyBorder="1" applyProtection="1"/>
    <xf numFmtId="0" fontId="4" fillId="26" borderId="56" xfId="0" applyFont="1" applyFill="1" applyBorder="1" applyAlignment="1" applyProtection="1">
      <alignment vertical="center"/>
    </xf>
    <xf numFmtId="0" fontId="62" fillId="0" borderId="44" xfId="0" applyFont="1" applyFill="1" applyBorder="1" applyAlignment="1">
      <alignment horizontal="center" vertical="center"/>
    </xf>
    <xf numFmtId="0" fontId="62" fillId="0" borderId="44" xfId="0" applyFont="1" applyFill="1" applyBorder="1" applyAlignment="1">
      <alignment horizontal="center"/>
    </xf>
    <xf numFmtId="0" fontId="62" fillId="0" borderId="44" xfId="0" applyFont="1" applyFill="1" applyBorder="1" applyAlignment="1" applyProtection="1">
      <alignment horizontal="center" vertical="center"/>
    </xf>
    <xf numFmtId="164" fontId="51" fillId="0" borderId="15" xfId="0" applyNumberFormat="1" applyFont="1" applyFill="1" applyBorder="1" applyAlignment="1" applyProtection="1">
      <alignment vertical="center"/>
    </xf>
    <xf numFmtId="0" fontId="4" fillId="38" borderId="15" xfId="0" applyFont="1" applyFill="1" applyBorder="1" applyAlignment="1" applyProtection="1">
      <alignment horizontal="right"/>
    </xf>
    <xf numFmtId="168" fontId="4" fillId="38" borderId="15" xfId="0" applyNumberFormat="1" applyFont="1" applyFill="1" applyBorder="1" applyAlignment="1" applyProtection="1">
      <alignment horizontal="center" vertical="center"/>
    </xf>
    <xf numFmtId="165" fontId="4" fillId="0" borderId="70" xfId="47" applyNumberFormat="1" applyFont="1" applyBorder="1" applyAlignment="1">
      <alignment horizontal="center" vertical="center"/>
    </xf>
    <xf numFmtId="165" fontId="4" fillId="0" borderId="71" xfId="47" applyNumberFormat="1" applyFont="1" applyBorder="1" applyAlignment="1">
      <alignment horizontal="center" vertical="center"/>
    </xf>
    <xf numFmtId="165" fontId="4" fillId="0" borderId="111" xfId="47" applyNumberFormat="1" applyFont="1" applyBorder="1" applyAlignment="1">
      <alignment horizontal="center" vertical="center"/>
    </xf>
    <xf numFmtId="165" fontId="8" fillId="0" borderId="98" xfId="47" applyNumberFormat="1" applyFont="1" applyFill="1" applyBorder="1" applyAlignment="1">
      <alignment horizontal="center" vertical="center"/>
    </xf>
    <xf numFmtId="0" fontId="6" fillId="26" borderId="0" xfId="47" applyFont="1" applyFill="1" applyBorder="1" applyAlignment="1" applyProtection="1">
      <alignment vertical="top"/>
    </xf>
    <xf numFmtId="0" fontId="34" fillId="26" borderId="0" xfId="47" applyFont="1" applyFill="1" applyBorder="1" applyAlignment="1" applyProtection="1">
      <alignment horizontal="left" vertical="center" indent="1"/>
    </xf>
    <xf numFmtId="0" fontId="4" fillId="26" borderId="0" xfId="47" applyFont="1" applyFill="1" applyBorder="1" applyAlignment="1" applyProtection="1">
      <alignment horizontal="left"/>
    </xf>
    <xf numFmtId="165" fontId="4" fillId="0" borderId="64" xfId="47" applyNumberFormat="1" applyFont="1" applyBorder="1" applyAlignment="1">
      <alignment horizontal="center" vertical="center"/>
    </xf>
    <xf numFmtId="165" fontId="4" fillId="0" borderId="65" xfId="47" applyNumberFormat="1" applyFont="1" applyBorder="1" applyAlignment="1">
      <alignment horizontal="center" vertical="center"/>
    </xf>
    <xf numFmtId="165" fontId="4" fillId="0" borderId="66" xfId="47" applyNumberFormat="1" applyFont="1" applyBorder="1" applyAlignment="1">
      <alignment horizontal="center" vertical="center"/>
    </xf>
    <xf numFmtId="165" fontId="8" fillId="0" borderId="93" xfId="47" applyNumberFormat="1" applyFont="1" applyBorder="1" applyAlignment="1">
      <alignment horizontal="center" vertical="center"/>
    </xf>
    <xf numFmtId="165" fontId="8" fillId="0" borderId="96" xfId="47" applyNumberFormat="1" applyFont="1" applyBorder="1" applyAlignment="1">
      <alignment horizontal="center" vertical="center"/>
    </xf>
    <xf numFmtId="0" fontId="4" fillId="26" borderId="66" xfId="47" applyFont="1" applyFill="1" applyBorder="1" applyAlignment="1">
      <alignment vertical="center" wrapText="1"/>
    </xf>
    <xf numFmtId="0" fontId="4" fillId="26" borderId="21" xfId="47" applyFont="1" applyFill="1" applyBorder="1" applyAlignment="1">
      <alignment vertical="center" wrapText="1"/>
    </xf>
    <xf numFmtId="0" fontId="4" fillId="26" borderId="69" xfId="47" applyFont="1" applyFill="1" applyBorder="1" applyAlignment="1">
      <alignment vertical="center" wrapText="1"/>
    </xf>
    <xf numFmtId="167" fontId="4" fillId="24" borderId="18" xfId="0" applyNumberFormat="1" applyFont="1" applyFill="1" applyBorder="1" applyAlignment="1" applyProtection="1">
      <alignment horizontal="right" vertical="center"/>
    </xf>
    <xf numFmtId="167" fontId="4" fillId="29" borderId="15" xfId="0" applyNumberFormat="1" applyFont="1" applyFill="1" applyBorder="1" applyAlignment="1" applyProtection="1">
      <alignment horizontal="right" vertical="center"/>
      <protection hidden="1"/>
    </xf>
    <xf numFmtId="167" fontId="60" fillId="34" borderId="15" xfId="0" applyNumberFormat="1" applyFont="1" applyFill="1" applyBorder="1" applyAlignment="1" applyProtection="1">
      <alignment horizontal="right" vertical="center"/>
      <protection hidden="1"/>
    </xf>
    <xf numFmtId="167" fontId="4" fillId="0" borderId="21" xfId="0" applyNumberFormat="1" applyFont="1" applyFill="1" applyBorder="1" applyAlignment="1" applyProtection="1">
      <alignment horizontal="right" vertical="center"/>
    </xf>
    <xf numFmtId="167" fontId="4" fillId="29" borderId="21" xfId="0" applyNumberFormat="1" applyFont="1" applyFill="1" applyBorder="1" applyAlignment="1" applyProtection="1">
      <alignment horizontal="right" vertical="center"/>
      <protection hidden="1"/>
    </xf>
    <xf numFmtId="167" fontId="60" fillId="34" borderId="21" xfId="0" applyNumberFormat="1" applyFont="1" applyFill="1" applyBorder="1" applyAlignment="1" applyProtection="1">
      <alignment horizontal="right" vertical="center"/>
    </xf>
    <xf numFmtId="167" fontId="54" fillId="0" borderId="43" xfId="0" applyNumberFormat="1" applyFont="1" applyFill="1" applyBorder="1" applyAlignment="1" applyProtection="1">
      <alignment vertical="center"/>
    </xf>
    <xf numFmtId="0" fontId="65" fillId="26" borderId="75" xfId="34" applyFont="1" applyFill="1" applyBorder="1" applyAlignment="1" applyProtection="1">
      <alignment horizontal="center" vertical="center" wrapText="1"/>
    </xf>
    <xf numFmtId="0" fontId="4" fillId="26" borderId="75" xfId="47" applyFont="1" applyFill="1" applyBorder="1" applyAlignment="1">
      <alignment vertical="center" wrapText="1"/>
    </xf>
    <xf numFmtId="9" fontId="4" fillId="26" borderId="75" xfId="47" applyNumberFormat="1" applyFont="1" applyFill="1" applyBorder="1" applyAlignment="1">
      <alignment horizontal="center" vertical="center"/>
    </xf>
    <xf numFmtId="9" fontId="8" fillId="26" borderId="75" xfId="47" applyNumberFormat="1" applyFont="1" applyFill="1" applyBorder="1" applyAlignment="1">
      <alignment horizontal="center" vertical="center"/>
    </xf>
    <xf numFmtId="0" fontId="4" fillId="39" borderId="66" xfId="47" applyFont="1" applyFill="1" applyBorder="1" applyAlignment="1">
      <alignment vertical="center" wrapText="1"/>
    </xf>
    <xf numFmtId="0" fontId="4" fillId="39" borderId="21" xfId="47" applyFont="1" applyFill="1" applyBorder="1" applyAlignment="1">
      <alignment vertical="center" wrapText="1"/>
    </xf>
    <xf numFmtId="0" fontId="4" fillId="39" borderId="69" xfId="47" applyFont="1" applyFill="1" applyBorder="1" applyAlignment="1">
      <alignment vertical="center" wrapText="1"/>
    </xf>
    <xf numFmtId="0" fontId="6" fillId="36" borderId="15" xfId="47" applyFont="1" applyFill="1" applyBorder="1" applyAlignment="1">
      <alignment horizontal="center" vertical="center" wrapText="1"/>
    </xf>
    <xf numFmtId="165" fontId="8" fillId="32" borderId="98" xfId="47" applyNumberFormat="1" applyFont="1" applyFill="1" applyBorder="1" applyAlignment="1">
      <alignment horizontal="center" vertical="center"/>
    </xf>
    <xf numFmtId="1" fontId="8" fillId="32" borderId="93" xfId="47" applyNumberFormat="1" applyFont="1" applyFill="1" applyBorder="1" applyAlignment="1">
      <alignment horizontal="center" vertical="center"/>
    </xf>
    <xf numFmtId="9" fontId="8" fillId="32" borderId="96" xfId="47" applyNumberFormat="1" applyFont="1" applyFill="1" applyBorder="1" applyAlignment="1">
      <alignment horizontal="center" vertical="center"/>
    </xf>
    <xf numFmtId="9" fontId="8" fillId="32" borderId="19" xfId="47" applyNumberFormat="1" applyFont="1" applyFill="1" applyBorder="1" applyAlignment="1">
      <alignment horizontal="center" vertical="center"/>
    </xf>
    <xf numFmtId="1" fontId="8" fillId="32" borderId="98" xfId="47" applyNumberFormat="1" applyFont="1" applyFill="1" applyBorder="1" applyAlignment="1">
      <alignment horizontal="center" vertical="center"/>
    </xf>
    <xf numFmtId="9" fontId="8" fillId="32" borderId="93" xfId="47" applyNumberFormat="1" applyFont="1" applyFill="1" applyBorder="1" applyAlignment="1">
      <alignment horizontal="center" vertical="center"/>
    </xf>
    <xf numFmtId="9" fontId="8" fillId="32" borderId="67" xfId="47" applyNumberFormat="1" applyFont="1" applyFill="1" applyBorder="1" applyAlignment="1">
      <alignment horizontal="center" vertical="center"/>
    </xf>
    <xf numFmtId="9" fontId="8" fillId="32" borderId="34" xfId="47" applyNumberFormat="1" applyFont="1" applyFill="1" applyBorder="1" applyAlignment="1">
      <alignment horizontal="center" vertical="center"/>
    </xf>
    <xf numFmtId="1" fontId="8" fillId="32" borderId="107" xfId="47" applyNumberFormat="1" applyFont="1" applyFill="1" applyBorder="1" applyAlignment="1">
      <alignment horizontal="center" vertical="center"/>
    </xf>
    <xf numFmtId="165" fontId="8" fillId="32" borderId="93" xfId="47" applyNumberFormat="1" applyFont="1" applyFill="1" applyBorder="1" applyAlignment="1">
      <alignment horizontal="center" vertical="center"/>
    </xf>
    <xf numFmtId="165" fontId="8" fillId="32" borderId="96" xfId="47" applyNumberFormat="1" applyFont="1" applyFill="1" applyBorder="1" applyAlignment="1">
      <alignment horizontal="center" vertical="center"/>
    </xf>
    <xf numFmtId="165" fontId="8" fillId="32" borderId="19" xfId="47" applyNumberFormat="1" applyFont="1" applyFill="1" applyBorder="1" applyAlignment="1">
      <alignment horizontal="center" vertical="center"/>
    </xf>
    <xf numFmtId="1" fontId="8" fillId="32" borderId="19" xfId="47" applyNumberFormat="1" applyFont="1" applyFill="1" applyBorder="1" applyAlignment="1">
      <alignment horizontal="center" vertical="center"/>
    </xf>
    <xf numFmtId="0" fontId="4" fillId="26" borderId="48" xfId="47" applyFont="1" applyFill="1" applyBorder="1" applyAlignment="1" applyProtection="1">
      <alignment horizontal="center"/>
    </xf>
    <xf numFmtId="0" fontId="4" fillId="26" borderId="26" xfId="47" applyFont="1" applyFill="1" applyBorder="1" applyProtection="1"/>
    <xf numFmtId="0" fontId="4" fillId="0" borderId="13" xfId="47" applyFont="1" applyFill="1" applyBorder="1" applyProtection="1"/>
    <xf numFmtId="0" fontId="4" fillId="26" borderId="45" xfId="47" applyFont="1" applyFill="1" applyBorder="1" applyProtection="1"/>
    <xf numFmtId="0" fontId="4" fillId="26" borderId="36" xfId="0" applyFont="1" applyFill="1" applyBorder="1" applyAlignment="1" applyProtection="1">
      <alignment horizontal="left"/>
    </xf>
    <xf numFmtId="0" fontId="4" fillId="26" borderId="53" xfId="0" applyFont="1" applyFill="1" applyBorder="1" applyAlignment="1" applyProtection="1">
      <alignment horizontal="left"/>
    </xf>
    <xf numFmtId="0" fontId="7" fillId="24" borderId="36" xfId="0" applyFont="1" applyFill="1" applyBorder="1" applyAlignment="1" applyProtection="1">
      <alignment horizontal="left"/>
    </xf>
    <xf numFmtId="0" fontId="7" fillId="24" borderId="0" xfId="0" applyFont="1" applyFill="1" applyBorder="1" applyAlignment="1" applyProtection="1">
      <alignment horizontal="left"/>
    </xf>
    <xf numFmtId="0" fontId="0" fillId="26" borderId="0" xfId="0" applyFill="1" applyBorder="1" applyAlignment="1" applyProtection="1">
      <alignment horizontal="left" wrapText="1"/>
    </xf>
    <xf numFmtId="0" fontId="0" fillId="26" borderId="53" xfId="0" applyFill="1" applyBorder="1" applyAlignment="1" applyProtection="1">
      <alignment horizontal="left" wrapText="1"/>
    </xf>
    <xf numFmtId="0" fontId="7" fillId="24" borderId="48" xfId="0" applyFont="1" applyFill="1" applyBorder="1" applyAlignment="1" applyProtection="1">
      <alignment horizontal="left"/>
    </xf>
    <xf numFmtId="0" fontId="7" fillId="0" borderId="0" xfId="0" applyFont="1" applyFill="1" applyAlignment="1" applyProtection="1">
      <alignment horizontal="left"/>
    </xf>
    <xf numFmtId="0" fontId="4" fillId="24" borderId="15" xfId="0" applyFont="1" applyFill="1" applyBorder="1" applyAlignment="1" applyProtection="1">
      <alignment horizontal="left" vertical="center" wrapText="1" indent="1"/>
    </xf>
    <xf numFmtId="0" fontId="71" fillId="24" borderId="15" xfId="0" applyFont="1" applyFill="1" applyBorder="1" applyAlignment="1" applyProtection="1">
      <alignment horizontal="left" vertical="center" wrapText="1" indent="1"/>
    </xf>
    <xf numFmtId="0" fontId="4" fillId="24" borderId="12" xfId="0" applyFont="1" applyFill="1" applyBorder="1" applyAlignment="1" applyProtection="1">
      <alignment horizontal="left" vertical="center" wrapText="1" indent="1"/>
    </xf>
    <xf numFmtId="0" fontId="4" fillId="26" borderId="15" xfId="0" applyFont="1" applyFill="1" applyBorder="1" applyAlignment="1" applyProtection="1">
      <alignment horizontal="left" vertical="center" wrapText="1" indent="1"/>
    </xf>
    <xf numFmtId="0" fontId="4" fillId="24" borderId="103" xfId="0" applyFont="1" applyFill="1" applyBorder="1" applyAlignment="1" applyProtection="1">
      <alignment horizontal="left" vertical="center" wrapText="1" indent="1"/>
    </xf>
    <xf numFmtId="0" fontId="8" fillId="26" borderId="103" xfId="0" applyFont="1" applyFill="1" applyBorder="1" applyAlignment="1" applyProtection="1">
      <alignment vertical="center" wrapText="1"/>
    </xf>
    <xf numFmtId="0" fontId="7" fillId="24" borderId="72" xfId="0" applyFont="1" applyFill="1" applyBorder="1" applyProtection="1"/>
    <xf numFmtId="0" fontId="8" fillId="26" borderId="128" xfId="0" applyFont="1" applyFill="1" applyBorder="1" applyAlignment="1" applyProtection="1">
      <alignment vertical="center" wrapText="1"/>
    </xf>
    <xf numFmtId="0" fontId="4" fillId="24" borderId="128" xfId="0" applyFont="1" applyFill="1" applyBorder="1" applyAlignment="1" applyProtection="1">
      <alignment horizontal="left" vertical="center" wrapText="1" indent="1"/>
    </xf>
    <xf numFmtId="0" fontId="7" fillId="24" borderId="102" xfId="0" applyFont="1" applyFill="1" applyBorder="1" applyProtection="1"/>
    <xf numFmtId="0" fontId="63" fillId="28" borderId="15" xfId="0" applyFont="1" applyFill="1" applyBorder="1" applyAlignment="1" applyProtection="1">
      <alignment horizontal="center" vertical="center"/>
    </xf>
    <xf numFmtId="0" fontId="63" fillId="28" borderId="15" xfId="0" applyFont="1" applyFill="1" applyBorder="1" applyAlignment="1" applyProtection="1">
      <alignment horizontal="center" vertical="center" wrapText="1"/>
    </xf>
    <xf numFmtId="0" fontId="8" fillId="26" borderId="83" xfId="0" applyFont="1" applyFill="1" applyBorder="1" applyAlignment="1" applyProtection="1">
      <alignment vertical="center" wrapText="1"/>
    </xf>
    <xf numFmtId="0" fontId="4" fillId="24" borderId="83" xfId="0" applyFont="1" applyFill="1" applyBorder="1" applyAlignment="1" applyProtection="1">
      <alignment horizontal="left" vertical="center" wrapText="1" indent="1"/>
    </xf>
    <xf numFmtId="0" fontId="8" fillId="26" borderId="15" xfId="0" applyFont="1" applyFill="1" applyBorder="1" applyAlignment="1" applyProtection="1">
      <alignment vertical="center" wrapText="1"/>
    </xf>
    <xf numFmtId="0" fontId="4" fillId="24" borderId="0" xfId="0" applyFont="1" applyFill="1" applyBorder="1" applyAlignment="1" applyProtection="1">
      <alignment horizontal="left" vertical="center" wrapText="1" indent="1"/>
    </xf>
    <xf numFmtId="0" fontId="35" fillId="24" borderId="113" xfId="0" applyFont="1" applyFill="1" applyBorder="1" applyProtection="1"/>
    <xf numFmtId="0" fontId="4" fillId="24" borderId="57" xfId="0" applyFont="1" applyFill="1" applyBorder="1" applyAlignment="1" applyProtection="1">
      <alignment vertical="top" wrapText="1"/>
      <protection locked="0"/>
    </xf>
    <xf numFmtId="0" fontId="7" fillId="0" borderId="48" xfId="0" applyFont="1" applyFill="1" applyBorder="1" applyProtection="1"/>
    <xf numFmtId="0" fontId="35" fillId="26" borderId="47" xfId="0" applyFont="1" applyFill="1" applyBorder="1" applyProtection="1"/>
    <xf numFmtId="0" fontId="35" fillId="0" borderId="48" xfId="0" applyFont="1" applyFill="1" applyBorder="1" applyAlignment="1" applyProtection="1">
      <alignment horizontal="right"/>
    </xf>
    <xf numFmtId="0" fontId="7" fillId="26" borderId="47" xfId="0" applyFont="1" applyFill="1" applyBorder="1" applyProtection="1"/>
    <xf numFmtId="0" fontId="7" fillId="26" borderId="48" xfId="0" applyFont="1" applyFill="1" applyBorder="1" applyAlignment="1" applyProtection="1">
      <alignment horizontal="left"/>
    </xf>
    <xf numFmtId="0" fontId="7" fillId="26" borderId="48" xfId="0" applyFont="1" applyFill="1" applyBorder="1" applyProtection="1"/>
    <xf numFmtId="0" fontId="0" fillId="26" borderId="48" xfId="0" applyFill="1" applyBorder="1" applyProtection="1"/>
    <xf numFmtId="0" fontId="35" fillId="26" borderId="45" xfId="0" applyFont="1" applyFill="1" applyBorder="1" applyProtection="1"/>
    <xf numFmtId="0" fontId="35" fillId="26" borderId="48" xfId="0" applyFont="1" applyFill="1" applyBorder="1" applyAlignment="1" applyProtection="1">
      <alignment horizontal="right"/>
    </xf>
    <xf numFmtId="0" fontId="6" fillId="0" borderId="0" xfId="47" applyFont="1" applyAlignment="1">
      <alignment horizontal="left" vertical="center" wrapText="1" indent="1"/>
    </xf>
    <xf numFmtId="0" fontId="6" fillId="0" borderId="15" xfId="47" applyFont="1" applyBorder="1" applyAlignment="1">
      <alignment horizontal="center" vertical="center"/>
    </xf>
    <xf numFmtId="0" fontId="6" fillId="36" borderId="14" xfId="47" applyFont="1" applyFill="1" applyBorder="1" applyAlignment="1">
      <alignment horizontal="center" vertical="center"/>
    </xf>
    <xf numFmtId="0" fontId="3" fillId="0" borderId="15" xfId="47" applyBorder="1"/>
    <xf numFmtId="0" fontId="3" fillId="38" borderId="0" xfId="47" applyFill="1" applyBorder="1" applyAlignment="1">
      <alignment horizontal="center" vertical="center"/>
    </xf>
    <xf numFmtId="0" fontId="3" fillId="36" borderId="18" xfId="47" applyFill="1" applyBorder="1"/>
    <xf numFmtId="0" fontId="3" fillId="36" borderId="26" xfId="47" applyFill="1" applyBorder="1"/>
    <xf numFmtId="0" fontId="3" fillId="38" borderId="49" xfId="47" applyFill="1" applyBorder="1" applyAlignment="1">
      <alignment horizontal="center" vertical="center"/>
    </xf>
    <xf numFmtId="0" fontId="3" fillId="38" borderId="25" xfId="47" applyFill="1" applyBorder="1" applyAlignment="1">
      <alignment horizontal="center" vertical="center"/>
    </xf>
    <xf numFmtId="0" fontId="3" fillId="36" borderId="14" xfId="47" applyFill="1" applyBorder="1"/>
    <xf numFmtId="0" fontId="3" fillId="38" borderId="103" xfId="47" applyFill="1" applyBorder="1" applyAlignment="1">
      <alignment horizontal="center" vertical="center"/>
    </xf>
    <xf numFmtId="1" fontId="4" fillId="0" borderId="15" xfId="47" applyNumberFormat="1" applyFont="1" applyFill="1" applyBorder="1" applyAlignment="1">
      <alignment horizontal="left" wrapText="1"/>
    </xf>
    <xf numFmtId="1" fontId="4" fillId="0" borderId="15" xfId="47" applyNumberFormat="1" applyFont="1" applyBorder="1" applyAlignment="1">
      <alignment wrapText="1"/>
    </xf>
    <xf numFmtId="0" fontId="69" fillId="36" borderId="15" xfId="47" applyFont="1" applyFill="1" applyBorder="1" applyAlignment="1" applyProtection="1">
      <alignment horizontal="left" vertical="top" wrapText="1"/>
    </xf>
    <xf numFmtId="9" fontId="4" fillId="0" borderId="32" xfId="0" applyNumberFormat="1" applyFont="1" applyFill="1" applyBorder="1" applyAlignment="1" applyProtection="1">
      <alignment horizontal="center" vertical="center"/>
    </xf>
    <xf numFmtId="17" fontId="8" fillId="28" borderId="15" xfId="0" applyNumberFormat="1" applyFont="1" applyFill="1" applyBorder="1" applyAlignment="1" applyProtection="1">
      <alignment horizontal="center" vertical="top"/>
    </xf>
    <xf numFmtId="17" fontId="8" fillId="28" borderId="21" xfId="0" applyNumberFormat="1" applyFont="1" applyFill="1" applyBorder="1" applyAlignment="1" applyProtection="1">
      <alignment horizontal="center" vertical="top"/>
    </xf>
    <xf numFmtId="0" fontId="6" fillId="0" borderId="0" xfId="47" applyFont="1" applyAlignment="1">
      <alignment horizontal="center" vertical="center"/>
    </xf>
    <xf numFmtId="0" fontId="3" fillId="0" borderId="0" xfId="47" applyAlignment="1">
      <alignment horizontal="right" indent="1"/>
    </xf>
    <xf numFmtId="170" fontId="3" fillId="38" borderId="15" xfId="47" applyNumberFormat="1" applyFill="1" applyBorder="1"/>
    <xf numFmtId="170" fontId="3" fillId="38" borderId="15" xfId="47" applyNumberFormat="1" applyFill="1" applyBorder="1" applyAlignment="1">
      <alignment horizontal="center" vertical="center"/>
    </xf>
    <xf numFmtId="0" fontId="3" fillId="38" borderId="98" xfId="47" applyFill="1" applyBorder="1" applyAlignment="1">
      <alignment horizontal="center" vertical="center"/>
    </xf>
    <xf numFmtId="0" fontId="7" fillId="26" borderId="102" xfId="0" applyFont="1" applyFill="1" applyBorder="1" applyProtection="1"/>
    <xf numFmtId="0" fontId="7" fillId="26" borderId="37" xfId="0" applyFont="1" applyFill="1" applyBorder="1" applyProtection="1"/>
    <xf numFmtId="0" fontId="3" fillId="0" borderId="0" xfId="47" applyFill="1" applyAlignment="1">
      <alignment wrapText="1"/>
    </xf>
    <xf numFmtId="0" fontId="34" fillId="0" borderId="0" xfId="0" applyFont="1" applyAlignment="1">
      <alignment vertical="center" textRotation="180"/>
    </xf>
    <xf numFmtId="0" fontId="34" fillId="0" borderId="15" xfId="0" applyFont="1" applyBorder="1" applyAlignment="1">
      <alignment horizontal="center" vertical="center" textRotation="180"/>
    </xf>
    <xf numFmtId="0" fontId="34" fillId="44" borderId="15" xfId="0" applyFont="1" applyFill="1" applyBorder="1" applyAlignment="1">
      <alignment horizontal="center" vertical="center" textRotation="180"/>
    </xf>
    <xf numFmtId="0" fontId="34" fillId="0" borderId="15" xfId="0" applyFont="1" applyBorder="1" applyAlignment="1">
      <alignment vertical="center" textRotation="180"/>
    </xf>
    <xf numFmtId="0" fontId="34" fillId="0" borderId="15" xfId="0" applyFont="1" applyBorder="1" applyAlignment="1">
      <alignment vertical="center"/>
    </xf>
    <xf numFmtId="0" fontId="34" fillId="0" borderId="15" xfId="0" applyFont="1" applyBorder="1" applyAlignment="1">
      <alignment horizontal="center" vertical="center"/>
    </xf>
    <xf numFmtId="0" fontId="34" fillId="39" borderId="18" xfId="47" applyFont="1" applyFill="1" applyBorder="1" applyAlignment="1">
      <alignment vertical="center" wrapText="1"/>
    </xf>
    <xf numFmtId="165" fontId="34" fillId="0" borderId="15" xfId="0" applyNumberFormat="1" applyFont="1" applyBorder="1" applyAlignment="1">
      <alignment vertical="center"/>
    </xf>
    <xf numFmtId="165" fontId="34" fillId="44" borderId="15" xfId="0" applyNumberFormat="1" applyFont="1" applyFill="1" applyBorder="1" applyAlignment="1">
      <alignment vertical="center"/>
    </xf>
    <xf numFmtId="0" fontId="34" fillId="56" borderId="15" xfId="0" applyFont="1" applyFill="1" applyBorder="1" applyAlignment="1">
      <alignment vertical="center"/>
    </xf>
    <xf numFmtId="0" fontId="34" fillId="0" borderId="15" xfId="0" quotePrefix="1" applyFont="1" applyBorder="1" applyAlignment="1">
      <alignment vertical="center"/>
    </xf>
    <xf numFmtId="0" fontId="34" fillId="26" borderId="18" xfId="47" applyFont="1" applyFill="1" applyBorder="1" applyAlignment="1">
      <alignment vertical="center" wrapText="1"/>
    </xf>
    <xf numFmtId="2" fontId="34" fillId="26" borderId="18" xfId="47" applyNumberFormat="1" applyFont="1" applyFill="1" applyBorder="1" applyAlignment="1">
      <alignment vertical="center" wrapText="1"/>
    </xf>
    <xf numFmtId="0" fontId="34" fillId="0" borderId="0" xfId="0" applyFont="1" applyAlignment="1">
      <alignment vertical="center"/>
    </xf>
    <xf numFmtId="0" fontId="34" fillId="0" borderId="0" xfId="0" quotePrefix="1" applyFont="1" applyAlignment="1">
      <alignment vertical="center"/>
    </xf>
    <xf numFmtId="0" fontId="4" fillId="0" borderId="15" xfId="0" applyFont="1" applyFill="1" applyBorder="1" applyAlignment="1" applyProtection="1">
      <alignment horizontal="right" vertical="center"/>
    </xf>
    <xf numFmtId="0" fontId="37" fillId="0" borderId="15" xfId="0" applyFont="1" applyFill="1" applyBorder="1" applyAlignment="1" applyProtection="1">
      <alignment horizontal="right"/>
    </xf>
    <xf numFmtId="0" fontId="4" fillId="38" borderId="0" xfId="0" applyFont="1" applyFill="1" applyBorder="1" applyAlignment="1" applyProtection="1">
      <alignment horizontal="right"/>
    </xf>
    <xf numFmtId="0" fontId="84" fillId="0" borderId="15" xfId="0" applyFont="1" applyFill="1" applyBorder="1"/>
    <xf numFmtId="0" fontId="85" fillId="0" borderId="15" xfId="0" applyFont="1" applyFill="1" applyBorder="1" applyAlignment="1">
      <alignment horizontal="center"/>
    </xf>
    <xf numFmtId="0" fontId="84" fillId="0" borderId="15" xfId="0" applyFont="1" applyFill="1" applyBorder="1" applyAlignment="1">
      <alignment horizontal="right" vertical="center"/>
    </xf>
    <xf numFmtId="0" fontId="84" fillId="0" borderId="15" xfId="0" applyFont="1" applyFill="1" applyBorder="1" applyAlignment="1">
      <alignment vertical="center"/>
    </xf>
    <xf numFmtId="0" fontId="35" fillId="44" borderId="0" xfId="0" applyFont="1" applyFill="1" applyBorder="1" applyProtection="1"/>
    <xf numFmtId="0" fontId="4" fillId="44" borderId="0" xfId="0" applyFont="1" applyFill="1" applyBorder="1" applyProtection="1"/>
    <xf numFmtId="0" fontId="37" fillId="44" borderId="0" xfId="0" applyFont="1" applyFill="1" applyBorder="1" applyAlignment="1" applyProtection="1">
      <alignment horizontal="right"/>
    </xf>
    <xf numFmtId="0" fontId="4" fillId="44" borderId="0" xfId="0" applyFont="1" applyFill="1" applyProtection="1"/>
    <xf numFmtId="0" fontId="55" fillId="36" borderId="15" xfId="0" applyFont="1" applyFill="1" applyBorder="1" applyAlignment="1" applyProtection="1">
      <alignment horizontal="center" vertical="center"/>
    </xf>
    <xf numFmtId="0" fontId="53" fillId="36" borderId="14" xfId="0" applyFont="1" applyFill="1" applyBorder="1" applyAlignment="1" applyProtection="1">
      <alignment horizontal="center" vertical="center"/>
    </xf>
    <xf numFmtId="0" fontId="53" fillId="36" borderId="15" xfId="0" applyFont="1" applyFill="1" applyBorder="1" applyAlignment="1" applyProtection="1">
      <alignment horizontal="center" vertical="center"/>
    </xf>
    <xf numFmtId="164" fontId="51" fillId="36" borderId="15" xfId="0" applyNumberFormat="1" applyFont="1" applyFill="1" applyBorder="1" applyAlignment="1" applyProtection="1">
      <alignment vertical="center"/>
    </xf>
    <xf numFmtId="165" fontId="54" fillId="36" borderId="43" xfId="0" applyNumberFormat="1" applyFont="1" applyFill="1" applyBorder="1" applyAlignment="1" applyProtection="1">
      <alignment vertical="center"/>
    </xf>
    <xf numFmtId="0" fontId="4" fillId="36" borderId="15" xfId="0" applyFont="1" applyFill="1" applyBorder="1" applyAlignment="1" applyProtection="1">
      <alignment horizontal="right" vertical="center"/>
    </xf>
    <xf numFmtId="0" fontId="51" fillId="36" borderId="14" xfId="0" applyFont="1" applyFill="1" applyBorder="1" applyAlignment="1" applyProtection="1">
      <alignment horizontal="center" vertical="center" wrapText="1"/>
    </xf>
    <xf numFmtId="0" fontId="51" fillId="36" borderId="15" xfId="0" applyFont="1" applyFill="1" applyBorder="1" applyAlignment="1" applyProtection="1">
      <alignment horizontal="center" vertical="center" wrapText="1"/>
    </xf>
    <xf numFmtId="0" fontId="37" fillId="26" borderId="33" xfId="0" applyFont="1" applyFill="1" applyBorder="1" applyAlignment="1" applyProtection="1">
      <alignment horizontal="right"/>
    </xf>
    <xf numFmtId="0" fontId="60" fillId="26" borderId="46" xfId="0" applyFont="1" applyFill="1" applyBorder="1" applyProtection="1"/>
    <xf numFmtId="0" fontId="60" fillId="0" borderId="0" xfId="0" applyFont="1" applyFill="1" applyBorder="1" applyAlignment="1" applyProtection="1">
      <alignment horizontal="right"/>
    </xf>
    <xf numFmtId="0" fontId="60" fillId="0" borderId="0" xfId="0" applyFont="1" applyFill="1" applyBorder="1" applyAlignment="1" applyProtection="1">
      <alignment horizontal="right" vertical="center"/>
    </xf>
    <xf numFmtId="0" fontId="60" fillId="0" borderId="0" xfId="0" applyFont="1" applyFill="1" applyBorder="1" applyAlignment="1" applyProtection="1">
      <alignment horizontal="center" vertical="center"/>
    </xf>
    <xf numFmtId="0" fontId="60" fillId="0" borderId="0" xfId="0" applyFont="1" applyFill="1" applyBorder="1" applyProtection="1"/>
    <xf numFmtId="0" fontId="60" fillId="26" borderId="44" xfId="0" applyFont="1" applyFill="1" applyBorder="1" applyAlignment="1" applyProtection="1">
      <alignment horizontal="right"/>
    </xf>
    <xf numFmtId="0" fontId="60" fillId="26" borderId="44" xfId="0" applyFont="1" applyFill="1" applyBorder="1" applyProtection="1"/>
    <xf numFmtId="0" fontId="60" fillId="26" borderId="44" xfId="0" applyFont="1" applyFill="1" applyBorder="1" applyAlignment="1" applyProtection="1">
      <alignment vertical="center"/>
    </xf>
    <xf numFmtId="0" fontId="60" fillId="26" borderId="46" xfId="0" applyFont="1" applyFill="1" applyBorder="1" applyAlignment="1" applyProtection="1"/>
    <xf numFmtId="0" fontId="60" fillId="0" borderId="0" xfId="0" applyFont="1" applyFill="1" applyBorder="1" applyAlignment="1" applyProtection="1"/>
    <xf numFmtId="0" fontId="60" fillId="26" borderId="44" xfId="0" applyFont="1" applyFill="1" applyBorder="1" applyAlignment="1" applyProtection="1"/>
    <xf numFmtId="0" fontId="60" fillId="26" borderId="46" xfId="0" applyFont="1" applyFill="1" applyBorder="1" applyAlignment="1" applyProtection="1">
      <alignment vertical="center"/>
    </xf>
    <xf numFmtId="0" fontId="60" fillId="0" borderId="0" xfId="0" applyFont="1" applyFill="1" applyBorder="1" applyAlignment="1" applyProtection="1">
      <alignment vertical="center"/>
    </xf>
    <xf numFmtId="0" fontId="60" fillId="0" borderId="0" xfId="0" applyFont="1" applyFill="1" applyBorder="1" applyAlignment="1" applyProtection="1">
      <alignment horizontal="left" vertical="center"/>
    </xf>
    <xf numFmtId="0" fontId="60" fillId="0" borderId="15" xfId="0" applyFont="1" applyFill="1" applyBorder="1" applyAlignment="1" applyProtection="1">
      <alignment horizontal="center" vertical="center"/>
    </xf>
    <xf numFmtId="1" fontId="60" fillId="0" borderId="15" xfId="0" applyNumberFormat="1" applyFont="1" applyFill="1" applyBorder="1" applyAlignment="1" applyProtection="1">
      <alignment horizontal="center" vertical="center"/>
    </xf>
    <xf numFmtId="0" fontId="60" fillId="0" borderId="21" xfId="0" applyFont="1" applyFill="1" applyBorder="1" applyAlignment="1" applyProtection="1">
      <alignment horizontal="left" vertical="center" wrapText="1"/>
    </xf>
    <xf numFmtId="164" fontId="60" fillId="0" borderId="18" xfId="0" applyNumberFormat="1" applyFont="1" applyFill="1" applyBorder="1" applyAlignment="1" applyProtection="1">
      <alignment horizontal="center" vertical="center"/>
    </xf>
    <xf numFmtId="0" fontId="60" fillId="0" borderId="15" xfId="0" applyFont="1" applyFill="1" applyBorder="1" applyAlignment="1" applyProtection="1">
      <alignment horizontal="right" vertical="center"/>
    </xf>
    <xf numFmtId="0" fontId="67" fillId="26" borderId="46" xfId="0" applyFont="1" applyFill="1" applyBorder="1" applyAlignment="1" applyProtection="1">
      <alignment vertical="center"/>
    </xf>
    <xf numFmtId="0" fontId="60" fillId="26" borderId="57" xfId="0" applyFont="1" applyFill="1" applyBorder="1" applyProtection="1"/>
    <xf numFmtId="0" fontId="60" fillId="0" borderId="0" xfId="0" applyFont="1" applyFill="1" applyBorder="1" applyAlignment="1" applyProtection="1">
      <alignment vertical="center"/>
      <protection locked="0"/>
    </xf>
    <xf numFmtId="0" fontId="60" fillId="26" borderId="57" xfId="0" applyFont="1" applyFill="1" applyBorder="1" applyAlignment="1" applyProtection="1"/>
    <xf numFmtId="0" fontId="67" fillId="0" borderId="15" xfId="0" applyFont="1" applyFill="1" applyBorder="1" applyAlignment="1" applyProtection="1">
      <alignment horizontal="center" vertical="center"/>
    </xf>
    <xf numFmtId="0" fontId="60" fillId="0" borderId="0" xfId="0" applyFont="1" applyFill="1" applyBorder="1" applyAlignment="1">
      <alignment horizontal="right"/>
    </xf>
    <xf numFmtId="1" fontId="4" fillId="28" borderId="21" xfId="0" applyNumberFormat="1" applyFont="1" applyFill="1" applyBorder="1" applyAlignment="1" applyProtection="1">
      <alignment horizontal="center" vertical="center"/>
    </xf>
    <xf numFmtId="0" fontId="4" fillId="57" borderId="15" xfId="47" applyFont="1" applyFill="1" applyBorder="1" applyAlignment="1" applyProtection="1">
      <alignment horizontal="center" vertical="center" textRotation="180" wrapText="1"/>
    </xf>
    <xf numFmtId="0" fontId="8" fillId="28" borderId="15" xfId="0" applyFont="1" applyFill="1" applyBorder="1" applyAlignment="1" applyProtection="1">
      <alignment horizontal="center" vertical="center" wrapText="1"/>
    </xf>
    <xf numFmtId="0" fontId="4" fillId="58" borderId="15" xfId="47" applyFont="1" applyFill="1" applyBorder="1" applyAlignment="1" applyProtection="1">
      <alignment horizontal="center" vertical="center" textRotation="180" wrapText="1"/>
    </xf>
    <xf numFmtId="17" fontId="6" fillId="36" borderId="15" xfId="47" applyNumberFormat="1" applyFont="1" applyFill="1" applyBorder="1" applyAlignment="1">
      <alignment horizontal="center" vertical="center"/>
    </xf>
    <xf numFmtId="0" fontId="4" fillId="0" borderId="0" xfId="47" applyFont="1" applyFill="1" applyAlignment="1"/>
    <xf numFmtId="0" fontId="4" fillId="0" borderId="0" xfId="47" applyFont="1" applyAlignment="1"/>
    <xf numFmtId="167" fontId="8" fillId="32" borderId="34" xfId="47" applyNumberFormat="1" applyFont="1" applyFill="1" applyBorder="1" applyAlignment="1">
      <alignment horizontal="center" vertical="center"/>
    </xf>
    <xf numFmtId="0" fontId="8" fillId="25" borderId="20" xfId="46" applyFont="1" applyFill="1" applyBorder="1" applyAlignment="1" applyProtection="1">
      <alignment horizontal="center" vertical="center" wrapText="1"/>
    </xf>
    <xf numFmtId="0" fontId="8" fillId="25" borderId="15" xfId="46" applyFont="1" applyFill="1" applyBorder="1" applyAlignment="1" applyProtection="1">
      <alignment horizontal="center" vertical="center" wrapText="1"/>
    </xf>
    <xf numFmtId="0" fontId="8" fillId="25" borderId="32" xfId="46" applyFont="1" applyFill="1" applyBorder="1" applyAlignment="1" applyProtection="1">
      <alignment horizontal="center" vertical="center" wrapText="1"/>
    </xf>
    <xf numFmtId="165" fontId="4" fillId="24" borderId="20" xfId="46" applyNumberFormat="1" applyFont="1" applyFill="1" applyBorder="1" applyAlignment="1" applyProtection="1">
      <alignment horizontal="center" vertical="top" wrapText="1"/>
    </xf>
    <xf numFmtId="3" fontId="4" fillId="24" borderId="15" xfId="46" applyNumberFormat="1" applyFont="1" applyFill="1" applyBorder="1" applyAlignment="1" applyProtection="1">
      <alignment horizontal="center" vertical="top" wrapText="1"/>
    </xf>
    <xf numFmtId="3" fontId="4" fillId="24" borderId="32" xfId="46" applyNumberFormat="1" applyFont="1" applyFill="1" applyBorder="1" applyAlignment="1" applyProtection="1">
      <alignment horizontal="center" vertical="center"/>
    </xf>
    <xf numFmtId="165" fontId="4" fillId="29" borderId="20" xfId="46" applyNumberFormat="1" applyFont="1" applyFill="1" applyBorder="1" applyAlignment="1" applyProtection="1">
      <alignment horizontal="center" vertical="top" wrapText="1"/>
    </xf>
    <xf numFmtId="3" fontId="4" fillId="29" borderId="32" xfId="46" applyNumberFormat="1" applyFont="1" applyFill="1" applyBorder="1" applyAlignment="1" applyProtection="1">
      <alignment horizontal="center" vertical="center"/>
    </xf>
    <xf numFmtId="165" fontId="35" fillId="34" borderId="20" xfId="46" applyNumberFormat="1" applyFont="1" applyFill="1" applyBorder="1" applyAlignment="1" applyProtection="1">
      <alignment horizontal="center" vertical="top" wrapText="1"/>
    </xf>
    <xf numFmtId="3" fontId="35" fillId="34" borderId="32" xfId="46" applyNumberFormat="1" applyFont="1" applyFill="1" applyBorder="1" applyAlignment="1" applyProtection="1">
      <alignment horizontal="center" vertical="center"/>
    </xf>
    <xf numFmtId="0" fontId="4" fillId="0" borderId="15" xfId="47" applyFont="1" applyFill="1" applyBorder="1" applyAlignment="1" applyProtection="1">
      <alignment vertical="center" wrapText="1"/>
    </xf>
    <xf numFmtId="0" fontId="4" fillId="0" borderId="15" xfId="47" applyFont="1" applyFill="1" applyBorder="1" applyAlignment="1" applyProtection="1">
      <alignment horizontal="left" vertical="center" wrapText="1"/>
    </xf>
    <xf numFmtId="0" fontId="62" fillId="0" borderId="15" xfId="0" applyFont="1" applyFill="1" applyBorder="1" applyAlignment="1">
      <alignment horizontal="center" vertical="center"/>
    </xf>
    <xf numFmtId="0" fontId="62" fillId="0" borderId="15" xfId="0" applyFont="1" applyFill="1" applyBorder="1" applyAlignment="1">
      <alignment horizontal="center" vertical="center"/>
    </xf>
    <xf numFmtId="0" fontId="62" fillId="0" borderId="49" xfId="0" applyFont="1" applyFill="1" applyBorder="1" applyAlignment="1" applyProtection="1">
      <alignment horizontal="right"/>
    </xf>
    <xf numFmtId="0" fontId="62" fillId="28" borderId="98" xfId="0" applyFont="1" applyFill="1" applyBorder="1" applyAlignment="1" applyProtection="1">
      <alignment horizontal="left"/>
    </xf>
    <xf numFmtId="0" fontId="61" fillId="40" borderId="64" xfId="0" applyFont="1" applyFill="1" applyBorder="1" applyAlignment="1" applyProtection="1">
      <alignment horizontal="center" vertical="top"/>
    </xf>
    <xf numFmtId="0" fontId="61" fillId="27" borderId="64" xfId="0" applyFont="1" applyFill="1" applyBorder="1" applyAlignment="1" applyProtection="1">
      <alignment horizontal="center" vertical="top"/>
    </xf>
    <xf numFmtId="0" fontId="61" fillId="27" borderId="65" xfId="0" applyFont="1" applyFill="1" applyBorder="1" applyAlignment="1" applyProtection="1">
      <alignment horizontal="center" vertical="top"/>
    </xf>
    <xf numFmtId="0" fontId="61" fillId="27" borderId="66" xfId="0" applyFont="1" applyFill="1" applyBorder="1" applyAlignment="1" applyProtection="1">
      <alignment horizontal="center" vertical="top"/>
    </xf>
    <xf numFmtId="0" fontId="62" fillId="0" borderId="0" xfId="0" applyFont="1" applyFill="1" applyBorder="1" applyAlignment="1" applyProtection="1">
      <alignment horizontal="right"/>
    </xf>
    <xf numFmtId="0" fontId="61" fillId="27" borderId="67" xfId="0" applyFont="1" applyFill="1" applyBorder="1" applyAlignment="1" applyProtection="1">
      <alignment horizontal="center" wrapText="1"/>
    </xf>
    <xf numFmtId="0" fontId="61" fillId="27" borderId="68" xfId="0" applyFont="1" applyFill="1" applyBorder="1" applyAlignment="1">
      <alignment horizontal="center" wrapText="1"/>
    </xf>
    <xf numFmtId="0" fontId="61" fillId="27" borderId="69" xfId="0" applyFont="1" applyFill="1" applyBorder="1" applyAlignment="1">
      <alignment horizontal="center" wrapText="1"/>
    </xf>
    <xf numFmtId="0" fontId="62" fillId="0" borderId="0" xfId="0" applyFont="1" applyFill="1" applyBorder="1" applyAlignment="1" applyProtection="1"/>
    <xf numFmtId="0" fontId="61" fillId="0" borderId="15" xfId="0" applyFont="1" applyFill="1" applyBorder="1" applyAlignment="1" applyProtection="1">
      <alignment horizontal="center" wrapText="1"/>
    </xf>
    <xf numFmtId="0" fontId="61" fillId="0" borderId="15" xfId="0" applyFont="1" applyFill="1" applyBorder="1" applyAlignment="1" applyProtection="1">
      <alignment horizontal="center"/>
    </xf>
    <xf numFmtId="0" fontId="62" fillId="0" borderId="0" xfId="0" applyFont="1" applyFill="1" applyBorder="1" applyAlignment="1" applyProtection="1">
      <alignment horizontal="right" vertical="center"/>
    </xf>
    <xf numFmtId="0" fontId="62" fillId="0" borderId="15" xfId="0" applyFont="1" applyFill="1" applyBorder="1" applyAlignment="1" applyProtection="1">
      <alignment horizontal="left" vertical="center"/>
    </xf>
    <xf numFmtId="1" fontId="62" fillId="0" borderId="15" xfId="0" applyNumberFormat="1" applyFont="1" applyFill="1" applyBorder="1" applyAlignment="1" applyProtection="1">
      <alignment horizontal="center"/>
    </xf>
    <xf numFmtId="1" fontId="62" fillId="0" borderId="15" xfId="0" applyNumberFormat="1" applyFont="1" applyFill="1" applyBorder="1" applyAlignment="1" applyProtection="1">
      <alignment horizontal="center" vertical="center"/>
    </xf>
    <xf numFmtId="0" fontId="62" fillId="0" borderId="0" xfId="0" applyFont="1" applyFill="1" applyBorder="1" applyProtection="1"/>
    <xf numFmtId="0" fontId="61" fillId="0" borderId="15" xfId="0" applyFont="1" applyFill="1" applyBorder="1" applyAlignment="1" applyProtection="1">
      <alignment horizontal="center" vertical="center"/>
    </xf>
    <xf numFmtId="164" fontId="62" fillId="0" borderId="15" xfId="0" applyNumberFormat="1" applyFont="1" applyFill="1" applyBorder="1" applyAlignment="1" applyProtection="1">
      <alignment vertical="center"/>
    </xf>
    <xf numFmtId="165" fontId="62" fillId="0" borderId="15" xfId="0" applyNumberFormat="1" applyFont="1" applyFill="1" applyBorder="1" applyAlignment="1" applyProtection="1">
      <alignment vertical="center"/>
    </xf>
    <xf numFmtId="0" fontId="62" fillId="0" borderId="15" xfId="0" applyFont="1" applyFill="1" applyBorder="1" applyAlignment="1" applyProtection="1">
      <alignment horizontal="right" vertical="center"/>
    </xf>
    <xf numFmtId="0" fontId="62" fillId="38" borderId="14" xfId="0" applyFont="1" applyFill="1" applyBorder="1" applyAlignment="1" applyProtection="1">
      <alignment horizontal="center" vertical="center" wrapText="1"/>
    </xf>
    <xf numFmtId="0" fontId="61" fillId="0" borderId="14" xfId="0" applyFont="1" applyFill="1" applyBorder="1" applyAlignment="1" applyProtection="1">
      <alignment horizontal="center" vertical="center"/>
    </xf>
    <xf numFmtId="165" fontId="62" fillId="0" borderId="43" xfId="0" applyNumberFormat="1" applyFont="1" applyFill="1" applyBorder="1" applyAlignment="1" applyProtection="1">
      <alignment vertical="center"/>
    </xf>
    <xf numFmtId="0" fontId="62" fillId="0" borderId="14" xfId="0" applyFont="1" applyFill="1" applyBorder="1" applyAlignment="1" applyProtection="1">
      <alignment horizontal="center" vertical="center" wrapText="1"/>
    </xf>
    <xf numFmtId="0" fontId="62" fillId="0" borderId="15" xfId="0" applyFont="1" applyFill="1" applyBorder="1" applyAlignment="1" applyProtection="1">
      <alignment horizontal="center" vertical="center" wrapText="1"/>
    </xf>
    <xf numFmtId="0" fontId="62" fillId="0" borderId="0" xfId="0" applyFont="1" applyFill="1" applyBorder="1" applyAlignment="1" applyProtection="1">
      <alignment horizontal="center"/>
    </xf>
    <xf numFmtId="0" fontId="62" fillId="0" borderId="0" xfId="0" applyFont="1" applyFill="1" applyAlignment="1" applyProtection="1">
      <alignment vertical="center"/>
    </xf>
    <xf numFmtId="0" fontId="62" fillId="0" borderId="0" xfId="0" applyFont="1" applyFill="1"/>
    <xf numFmtId="0" fontId="61" fillId="0" borderId="0" xfId="0" applyFont="1" applyFill="1" applyBorder="1" applyAlignment="1" applyProtection="1">
      <alignment horizontal="left"/>
    </xf>
    <xf numFmtId="0" fontId="62" fillId="0" borderId="0" xfId="0" applyFont="1" applyFill="1" applyBorder="1" applyAlignment="1" applyProtection="1">
      <alignment horizontal="left" vertical="center"/>
    </xf>
    <xf numFmtId="0" fontId="62" fillId="0" borderId="0" xfId="0" applyFont="1" applyFill="1" applyBorder="1" applyAlignment="1" applyProtection="1">
      <alignment horizontal="left"/>
    </xf>
    <xf numFmtId="0" fontId="61" fillId="24" borderId="0" xfId="0" applyFont="1" applyFill="1" applyBorder="1" applyAlignment="1" applyProtection="1">
      <alignment horizontal="left"/>
    </xf>
    <xf numFmtId="0" fontId="62" fillId="0" borderId="0" xfId="0" applyFont="1" applyFill="1" applyAlignment="1" applyProtection="1"/>
    <xf numFmtId="0" fontId="62" fillId="0" borderId="15" xfId="0" applyFont="1" applyFill="1" applyBorder="1" applyAlignment="1">
      <alignment horizontal="center" vertical="center"/>
    </xf>
    <xf numFmtId="0" fontId="62" fillId="0" borderId="16" xfId="0" applyFont="1" applyFill="1" applyBorder="1" applyAlignment="1">
      <alignment horizontal="center"/>
    </xf>
    <xf numFmtId="0" fontId="62" fillId="0" borderId="12" xfId="0" applyFont="1" applyFill="1" applyBorder="1" applyAlignment="1">
      <alignment horizontal="center"/>
    </xf>
    <xf numFmtId="0" fontId="35" fillId="0" borderId="17" xfId="0" applyFont="1" applyFill="1" applyBorder="1" applyProtection="1"/>
    <xf numFmtId="1" fontId="3" fillId="0" borderId="0" xfId="47" applyNumberFormat="1" applyAlignment="1">
      <alignment wrapText="1"/>
    </xf>
    <xf numFmtId="9" fontId="8" fillId="26" borderId="96" xfId="47" applyNumberFormat="1" applyFont="1" applyFill="1" applyBorder="1" applyAlignment="1">
      <alignment horizontal="center" vertical="center"/>
    </xf>
    <xf numFmtId="1" fontId="4" fillId="0" borderId="15" xfId="47" applyNumberFormat="1" applyFont="1" applyBorder="1" applyAlignment="1">
      <alignment horizontal="left" vertical="center" wrapText="1"/>
    </xf>
    <xf numFmtId="1" fontId="4" fillId="0" borderId="15" xfId="47" applyNumberFormat="1" applyFont="1" applyFill="1" applyBorder="1" applyAlignment="1">
      <alignment horizontal="left" vertical="center" wrapText="1"/>
    </xf>
    <xf numFmtId="1" fontId="4" fillId="0" borderId="15" xfId="47" applyNumberFormat="1" applyFont="1" applyBorder="1" applyAlignment="1">
      <alignment vertical="center"/>
    </xf>
    <xf numFmtId="17" fontId="3" fillId="38" borderId="15" xfId="47" applyNumberFormat="1" applyFill="1" applyBorder="1"/>
    <xf numFmtId="0" fontId="8" fillId="28" borderId="15" xfId="0" applyFont="1" applyFill="1" applyBorder="1" applyAlignment="1" applyProtection="1">
      <alignment horizontal="center" vertical="center" wrapText="1"/>
    </xf>
    <xf numFmtId="0" fontId="8" fillId="28" borderId="15" xfId="0" applyFont="1" applyFill="1" applyBorder="1" applyAlignment="1" applyProtection="1">
      <alignment horizontal="center" vertical="center" wrapText="1"/>
    </xf>
    <xf numFmtId="3" fontId="4" fillId="0" borderId="0" xfId="47" applyNumberFormat="1" applyFont="1"/>
    <xf numFmtId="1" fontId="4" fillId="0" borderId="16" xfId="0" applyNumberFormat="1" applyFont="1" applyFill="1" applyBorder="1" applyAlignment="1" applyProtection="1">
      <alignment horizontal="center" vertical="center" wrapText="1"/>
      <protection locked="0"/>
    </xf>
    <xf numFmtId="0" fontId="4" fillId="0" borderId="15" xfId="47" applyFont="1" applyBorder="1" applyAlignment="1">
      <alignment vertical="center" wrapText="1"/>
    </xf>
    <xf numFmtId="0" fontId="3" fillId="0" borderId="0" xfId="47" applyAlignment="1">
      <alignment vertical="center"/>
    </xf>
    <xf numFmtId="0" fontId="4" fillId="0" borderId="0" xfId="47" applyFont="1" applyAlignment="1">
      <alignment vertical="center"/>
    </xf>
    <xf numFmtId="0" fontId="8" fillId="28" borderId="15" xfId="0" applyFont="1" applyFill="1" applyBorder="1" applyAlignment="1" applyProtection="1">
      <alignment horizontal="center" vertical="center" wrapText="1"/>
    </xf>
    <xf numFmtId="0" fontId="8" fillId="28" borderId="15" xfId="0" applyFont="1" applyFill="1" applyBorder="1" applyAlignment="1">
      <alignment horizontal="center" vertical="center" wrapText="1"/>
    </xf>
    <xf numFmtId="3" fontId="4" fillId="38" borderId="15" xfId="0" applyNumberFormat="1" applyFont="1" applyFill="1" applyBorder="1" applyAlignment="1">
      <alignment horizontal="center" vertical="center" wrapText="1"/>
    </xf>
    <xf numFmtId="1" fontId="4" fillId="0" borderId="0" xfId="47" applyNumberFormat="1" applyFont="1" applyAlignment="1">
      <alignment vertical="center"/>
    </xf>
    <xf numFmtId="0" fontId="4" fillId="0" borderId="0" xfId="47" applyFont="1" applyAlignment="1">
      <alignment horizontal="left"/>
    </xf>
    <xf numFmtId="164" fontId="4" fillId="0" borderId="0" xfId="47" applyNumberFormat="1" applyFont="1"/>
    <xf numFmtId="1" fontId="4" fillId="59" borderId="15" xfId="47" applyNumberFormat="1" applyFont="1" applyFill="1" applyBorder="1" applyAlignment="1" applyProtection="1">
      <alignment horizontal="left" vertical="center" wrapText="1"/>
      <protection locked="0"/>
    </xf>
    <xf numFmtId="1" fontId="4" fillId="59" borderId="15" xfId="47" applyNumberFormat="1" applyFont="1" applyFill="1" applyBorder="1" applyAlignment="1">
      <alignment horizontal="left" wrapText="1"/>
    </xf>
    <xf numFmtId="1" fontId="4" fillId="59" borderId="15" xfId="46" applyNumberFormat="1" applyFont="1" applyFill="1" applyBorder="1" applyAlignment="1" applyProtection="1">
      <alignment horizontal="left" vertical="center" wrapText="1"/>
      <protection locked="0"/>
    </xf>
    <xf numFmtId="1" fontId="4" fillId="59" borderId="15" xfId="47" applyNumberFormat="1" applyFont="1" applyFill="1" applyBorder="1" applyAlignment="1" applyProtection="1">
      <alignment horizontal="center" vertical="center" wrapText="1"/>
    </xf>
    <xf numFmtId="1" fontId="4" fillId="59" borderId="15" xfId="47" applyNumberFormat="1" applyFont="1" applyFill="1" applyBorder="1" applyAlignment="1">
      <alignment wrapText="1"/>
    </xf>
    <xf numFmtId="1" fontId="4" fillId="59" borderId="15" xfId="47" applyNumberFormat="1" applyFont="1" applyFill="1" applyBorder="1" applyAlignment="1">
      <alignment horizontal="left" vertical="center" wrapText="1"/>
    </xf>
    <xf numFmtId="0" fontId="8" fillId="59" borderId="15" xfId="47" applyFont="1" applyFill="1" applyBorder="1" applyAlignment="1" applyProtection="1">
      <alignment horizontal="left" vertical="center" wrapText="1" indent="1"/>
    </xf>
    <xf numFmtId="0" fontId="69" fillId="59" borderId="15" xfId="47" applyFont="1" applyFill="1" applyBorder="1" applyAlignment="1" applyProtection="1">
      <alignment horizontal="left" vertical="top" wrapText="1"/>
    </xf>
    <xf numFmtId="0" fontId="8" fillId="59" borderId="15" xfId="47" applyFont="1" applyFill="1" applyBorder="1" applyAlignment="1" applyProtection="1">
      <alignment horizontal="left" vertical="top" wrapText="1"/>
    </xf>
    <xf numFmtId="1" fontId="8" fillId="59" borderId="15" xfId="47" applyNumberFormat="1" applyFont="1" applyFill="1" applyBorder="1" applyAlignment="1" applyProtection="1">
      <alignment horizontal="left" vertical="top" wrapText="1"/>
    </xf>
    <xf numFmtId="1" fontId="8" fillId="59" borderId="15" xfId="47" applyNumberFormat="1" applyFont="1" applyFill="1" applyBorder="1" applyAlignment="1" applyProtection="1">
      <alignment horizontal="left" vertical="center" wrapText="1"/>
    </xf>
    <xf numFmtId="0" fontId="8" fillId="28" borderId="15" xfId="0" applyFont="1" applyFill="1" applyBorder="1" applyAlignment="1" applyProtection="1">
      <alignment horizontal="center" vertical="center" wrapText="1"/>
    </xf>
    <xf numFmtId="1" fontId="4" fillId="29" borderId="15" xfId="47" applyNumberFormat="1" applyFont="1" applyFill="1" applyBorder="1" applyAlignment="1">
      <alignment horizontal="center" vertical="center" wrapText="1"/>
    </xf>
    <xf numFmtId="1" fontId="4" fillId="0" borderId="15" xfId="46" applyNumberFormat="1" applyFont="1" applyBorder="1" applyAlignment="1" applyProtection="1">
      <alignment horizontal="left" vertical="center" wrapText="1"/>
      <protection locked="0"/>
    </xf>
    <xf numFmtId="1" fontId="4" fillId="0" borderId="15" xfId="47" applyNumberFormat="1" applyFont="1" applyBorder="1" applyAlignment="1" applyProtection="1">
      <alignment horizontal="left" vertical="center" wrapText="1"/>
      <protection locked="0"/>
    </xf>
    <xf numFmtId="0" fontId="4" fillId="0" borderId="15" xfId="47" applyFont="1" applyBorder="1" applyAlignment="1">
      <alignment horizontal="left" wrapText="1"/>
    </xf>
    <xf numFmtId="0" fontId="4" fillId="29" borderId="15" xfId="47" applyFont="1" applyFill="1" applyBorder="1" applyAlignment="1">
      <alignment horizontal="center" vertical="center" wrapText="1"/>
    </xf>
    <xf numFmtId="0" fontId="8" fillId="42" borderId="15" xfId="47" applyFont="1" applyFill="1" applyBorder="1" applyAlignment="1">
      <alignment horizontal="left" vertical="top" wrapText="1"/>
    </xf>
    <xf numFmtId="1" fontId="4" fillId="26" borderId="15" xfId="47" applyNumberFormat="1" applyFont="1" applyFill="1" applyBorder="1" applyAlignment="1">
      <alignment horizontal="left" vertical="center" wrapText="1"/>
    </xf>
    <xf numFmtId="0" fontId="4" fillId="26" borderId="15" xfId="47" applyFont="1" applyFill="1" applyBorder="1" applyAlignment="1">
      <alignment horizontal="left" wrapText="1"/>
    </xf>
    <xf numFmtId="1" fontId="4" fillId="26" borderId="15" xfId="47" applyNumberFormat="1" applyFont="1" applyFill="1" applyBorder="1" applyAlignment="1" applyProtection="1">
      <alignment horizontal="left" vertical="center" wrapText="1"/>
      <protection locked="0"/>
    </xf>
    <xf numFmtId="1" fontId="4" fillId="26" borderId="15" xfId="46" applyNumberFormat="1" applyFont="1" applyFill="1" applyBorder="1" applyAlignment="1" applyProtection="1">
      <alignment horizontal="left" vertical="center" wrapText="1"/>
      <protection locked="0"/>
    </xf>
    <xf numFmtId="0" fontId="4" fillId="0" borderId="15" xfId="47" applyFont="1" applyBorder="1"/>
    <xf numFmtId="1" fontId="4" fillId="0" borderId="15" xfId="47" applyNumberFormat="1" applyFont="1" applyBorder="1" applyAlignment="1">
      <alignment horizontal="center" vertical="center" wrapText="1"/>
    </xf>
    <xf numFmtId="0" fontId="4" fillId="0" borderId="18" xfId="47" applyFont="1" applyBorder="1" applyAlignment="1">
      <alignment horizontal="left" wrapText="1"/>
    </xf>
    <xf numFmtId="1" fontId="4" fillId="60" borderId="15" xfId="47" applyNumberFormat="1" applyFont="1" applyFill="1" applyBorder="1" applyAlignment="1" applyProtection="1">
      <alignment horizontal="left" vertical="center" wrapText="1"/>
      <protection locked="0"/>
    </xf>
    <xf numFmtId="0" fontId="4" fillId="60" borderId="15" xfId="47" applyFont="1" applyFill="1" applyBorder="1" applyAlignment="1">
      <alignment horizontal="left" wrapText="1"/>
    </xf>
    <xf numFmtId="0" fontId="4" fillId="60" borderId="18" xfId="47" applyFont="1" applyFill="1" applyBorder="1" applyAlignment="1">
      <alignment horizontal="left" wrapText="1"/>
    </xf>
    <xf numFmtId="0" fontId="4" fillId="60" borderId="15" xfId="47" applyFont="1" applyFill="1" applyBorder="1" applyAlignment="1">
      <alignment horizontal="center" vertical="center" wrapText="1"/>
    </xf>
    <xf numFmtId="0" fontId="4" fillId="60" borderId="15" xfId="47" applyFont="1" applyFill="1" applyBorder="1" applyAlignment="1">
      <alignment wrapText="1"/>
    </xf>
    <xf numFmtId="1" fontId="4" fillId="60" borderId="15" xfId="46" applyNumberFormat="1" applyFont="1" applyFill="1" applyBorder="1" applyAlignment="1" applyProtection="1">
      <alignment horizontal="left" vertical="center" wrapText="1"/>
      <protection locked="0"/>
    </xf>
    <xf numFmtId="3" fontId="4" fillId="29" borderId="15" xfId="47" applyNumberFormat="1" applyFont="1" applyFill="1" applyBorder="1" applyAlignment="1">
      <alignment horizontal="center" vertical="center" wrapText="1"/>
    </xf>
    <xf numFmtId="0" fontId="4" fillId="0" borderId="15" xfId="47" applyFont="1" applyBorder="1" applyAlignment="1">
      <alignment horizontal="left" vertical="center" wrapText="1"/>
    </xf>
    <xf numFmtId="1" fontId="4" fillId="41" borderId="15" xfId="47" applyNumberFormat="1" applyFont="1" applyFill="1" applyBorder="1" applyAlignment="1" applyProtection="1">
      <alignment horizontal="left" vertical="center" wrapText="1"/>
      <protection locked="0"/>
    </xf>
    <xf numFmtId="0" fontId="4" fillId="41" borderId="15" xfId="47" applyFont="1" applyFill="1" applyBorder="1" applyAlignment="1">
      <alignment horizontal="left" wrapText="1"/>
    </xf>
    <xf numFmtId="1" fontId="4" fillId="41" borderId="15" xfId="46" applyNumberFormat="1" applyFont="1" applyFill="1" applyBorder="1" applyAlignment="1" applyProtection="1">
      <alignment horizontal="left" vertical="center" wrapText="1"/>
      <protection locked="0"/>
    </xf>
    <xf numFmtId="0" fontId="4" fillId="41" borderId="18" xfId="47" applyFont="1" applyFill="1" applyBorder="1" applyAlignment="1">
      <alignment horizontal="left" wrapText="1"/>
    </xf>
    <xf numFmtId="0" fontId="4" fillId="41" borderId="15" xfId="47" applyFont="1" applyFill="1" applyBorder="1" applyAlignment="1">
      <alignment horizontal="center" vertical="center" wrapText="1"/>
    </xf>
    <xf numFmtId="0" fontId="4" fillId="41" borderId="15" xfId="47" applyFont="1" applyFill="1" applyBorder="1" applyAlignment="1">
      <alignment wrapText="1"/>
    </xf>
    <xf numFmtId="0" fontId="4" fillId="41" borderId="15" xfId="47" applyFont="1" applyFill="1" applyBorder="1"/>
    <xf numFmtId="1" fontId="4" fillId="43" borderId="15" xfId="47" applyNumberFormat="1" applyFont="1" applyFill="1" applyBorder="1" applyAlignment="1">
      <alignment horizontal="left" wrapText="1"/>
    </xf>
    <xf numFmtId="1" fontId="4" fillId="43" borderId="15" xfId="47" applyNumberFormat="1" applyFont="1" applyFill="1" applyBorder="1" applyAlignment="1">
      <alignment horizontal="center" vertical="center" wrapText="1"/>
    </xf>
    <xf numFmtId="1" fontId="4" fillId="43" borderId="15" xfId="47" applyNumberFormat="1" applyFont="1" applyFill="1" applyBorder="1"/>
    <xf numFmtId="0" fontId="4" fillId="0" borderId="0" xfId="47" applyFont="1" applyAlignment="1">
      <alignment horizontal="center" vertical="center" wrapText="1"/>
    </xf>
    <xf numFmtId="0" fontId="34" fillId="0" borderId="18" xfId="47" applyFont="1" applyBorder="1" applyAlignment="1">
      <alignment vertical="center" wrapText="1"/>
    </xf>
    <xf numFmtId="0" fontId="8" fillId="27" borderId="23" xfId="0" applyFont="1" applyFill="1" applyBorder="1" applyAlignment="1" applyProtection="1">
      <alignment horizontal="center" wrapText="1"/>
    </xf>
    <xf numFmtId="1" fontId="62" fillId="0" borderId="21" xfId="0" applyNumberFormat="1" applyFont="1" applyFill="1" applyBorder="1" applyAlignment="1">
      <alignment horizontal="center"/>
    </xf>
    <xf numFmtId="1" fontId="62" fillId="0" borderId="21" xfId="0" applyNumberFormat="1" applyFont="1" applyFill="1" applyBorder="1" applyAlignment="1" applyProtection="1">
      <alignment vertical="center"/>
    </xf>
    <xf numFmtId="1" fontId="62" fillId="0" borderId="21" xfId="0" applyNumberFormat="1" applyFont="1" applyFill="1" applyBorder="1" applyAlignment="1" applyProtection="1">
      <alignment horizontal="center" vertical="center"/>
    </xf>
    <xf numFmtId="1" fontId="62" fillId="0" borderId="15" xfId="0" applyNumberFormat="1" applyFont="1" applyFill="1" applyBorder="1" applyAlignment="1" applyProtection="1">
      <alignment vertical="center"/>
    </xf>
    <xf numFmtId="1" fontId="4" fillId="0" borderId="21" xfId="0" applyNumberFormat="1" applyFont="1" applyFill="1" applyBorder="1" applyAlignment="1">
      <alignment horizontal="center"/>
    </xf>
    <xf numFmtId="1" fontId="4" fillId="0" borderId="15" xfId="0" applyNumberFormat="1" applyFont="1" applyFill="1" applyBorder="1" applyAlignment="1">
      <alignment horizontal="center"/>
    </xf>
    <xf numFmtId="0" fontId="62" fillId="0" borderId="15" xfId="0" applyFont="1" applyFill="1" applyBorder="1" applyAlignment="1">
      <alignment horizontal="center" vertical="center"/>
    </xf>
    <xf numFmtId="170" fontId="3" fillId="40" borderId="15" xfId="47" applyNumberFormat="1" applyFill="1" applyBorder="1"/>
    <xf numFmtId="0" fontId="54" fillId="0" borderId="0" xfId="0" applyFont="1" applyFill="1" applyBorder="1" applyAlignment="1" applyProtection="1">
      <alignment horizontal="left" vertical="center"/>
    </xf>
    <xf numFmtId="1" fontId="54" fillId="0" borderId="0" xfId="0" applyNumberFormat="1" applyFont="1" applyFill="1" applyBorder="1" applyAlignment="1" applyProtection="1">
      <alignment horizontal="center"/>
    </xf>
    <xf numFmtId="167" fontId="60" fillId="34" borderId="115" xfId="0" applyNumberFormat="1" applyFont="1" applyFill="1" applyBorder="1" applyAlignment="1" applyProtection="1">
      <alignment horizontal="center" vertical="center"/>
    </xf>
    <xf numFmtId="164" fontId="60" fillId="34" borderId="15" xfId="0" applyNumberFormat="1" applyFont="1" applyFill="1" applyBorder="1" applyAlignment="1" applyProtection="1">
      <alignment horizontal="center" vertical="center"/>
    </xf>
    <xf numFmtId="164" fontId="60" fillId="34" borderId="18" xfId="0" applyNumberFormat="1" applyFont="1" applyFill="1" applyBorder="1" applyAlignment="1" applyProtection="1">
      <alignment horizontal="center" vertical="center"/>
    </xf>
    <xf numFmtId="3" fontId="60" fillId="34" borderId="19" xfId="0" applyNumberFormat="1" applyFont="1" applyFill="1" applyBorder="1" applyAlignment="1" applyProtection="1">
      <alignment horizontal="center" vertical="center"/>
    </xf>
    <xf numFmtId="165" fontId="60" fillId="34" borderId="21" xfId="0" applyNumberFormat="1" applyFont="1" applyFill="1" applyBorder="1" applyAlignment="1">
      <alignment horizontal="center" vertical="center" wrapText="1"/>
    </xf>
    <xf numFmtId="165" fontId="60" fillId="34" borderId="21" xfId="0" applyNumberFormat="1" applyFont="1" applyFill="1" applyBorder="1" applyAlignment="1" applyProtection="1">
      <alignment horizontal="right" vertical="center"/>
    </xf>
    <xf numFmtId="1" fontId="8" fillId="0" borderId="93" xfId="47" applyNumberFormat="1" applyFont="1" applyFill="1" applyBorder="1" applyAlignment="1">
      <alignment horizontal="center" vertical="center"/>
    </xf>
    <xf numFmtId="9" fontId="8" fillId="0" borderId="19" xfId="47" applyNumberFormat="1" applyFont="1" applyFill="1" applyBorder="1" applyAlignment="1">
      <alignment horizontal="center" vertical="center"/>
    </xf>
    <xf numFmtId="1" fontId="8" fillId="0" borderId="107" xfId="47" applyNumberFormat="1" applyFont="1" applyFill="1" applyBorder="1" applyAlignment="1">
      <alignment horizontal="center" vertical="center"/>
    </xf>
    <xf numFmtId="1" fontId="8" fillId="0" borderId="98" xfId="47" applyNumberFormat="1" applyFont="1" applyFill="1" applyBorder="1" applyAlignment="1">
      <alignment horizontal="center" vertical="center"/>
    </xf>
    <xf numFmtId="9" fontId="8" fillId="0" borderId="96" xfId="47" applyNumberFormat="1" applyFont="1" applyFill="1" applyBorder="1" applyAlignment="1">
      <alignment horizontal="center" vertical="center"/>
    </xf>
    <xf numFmtId="167" fontId="8" fillId="0" borderId="34" xfId="47" applyNumberFormat="1" applyFont="1" applyFill="1" applyBorder="1" applyAlignment="1">
      <alignment horizontal="center" vertical="center"/>
    </xf>
    <xf numFmtId="9" fontId="8" fillId="0" borderId="93" xfId="47" applyNumberFormat="1" applyFont="1" applyFill="1" applyBorder="1" applyAlignment="1">
      <alignment horizontal="center" vertical="center"/>
    </xf>
    <xf numFmtId="164" fontId="4" fillId="0" borderId="21" xfId="0" applyNumberFormat="1" applyFont="1" applyFill="1" applyBorder="1" applyAlignment="1" applyProtection="1">
      <alignment horizontal="center" vertical="center"/>
    </xf>
    <xf numFmtId="165" fontId="8" fillId="0" borderId="93" xfId="47" applyNumberFormat="1" applyFont="1" applyFill="1" applyBorder="1" applyAlignment="1">
      <alignment horizontal="center" vertical="center"/>
    </xf>
    <xf numFmtId="165" fontId="8" fillId="0" borderId="19" xfId="47" applyNumberFormat="1" applyFont="1" applyFill="1" applyBorder="1" applyAlignment="1">
      <alignment horizontal="center" vertical="center"/>
    </xf>
    <xf numFmtId="165" fontId="8" fillId="0" borderId="96" xfId="47" applyNumberFormat="1" applyFont="1" applyFill="1" applyBorder="1" applyAlignment="1">
      <alignment horizontal="center" vertical="center"/>
    </xf>
    <xf numFmtId="1" fontId="8" fillId="0" borderId="19" xfId="47" applyNumberFormat="1" applyFont="1" applyFill="1" applyBorder="1" applyAlignment="1">
      <alignment horizontal="center" vertical="center"/>
    </xf>
    <xf numFmtId="1" fontId="60" fillId="34" borderId="21" xfId="0" applyNumberFormat="1" applyFont="1" applyFill="1" applyBorder="1" applyAlignment="1" applyProtection="1">
      <alignment horizontal="center" vertical="center"/>
      <protection hidden="1"/>
    </xf>
    <xf numFmtId="1" fontId="60" fillId="34" borderId="15" xfId="0" applyNumberFormat="1" applyFont="1" applyFill="1" applyBorder="1" applyAlignment="1" applyProtection="1">
      <alignment horizontal="center" vertical="center"/>
      <protection hidden="1"/>
    </xf>
    <xf numFmtId="164" fontId="60" fillId="34" borderId="21" xfId="0" applyNumberFormat="1" applyFont="1" applyFill="1" applyBorder="1" applyAlignment="1" applyProtection="1">
      <alignment horizontal="center" vertical="center"/>
    </xf>
    <xf numFmtId="0" fontId="76" fillId="26" borderId="0" xfId="0" applyFont="1" applyFill="1" applyBorder="1" applyAlignment="1">
      <alignment wrapText="1"/>
    </xf>
    <xf numFmtId="1" fontId="8" fillId="59" borderId="15" xfId="47" applyNumberFormat="1" applyFont="1" applyFill="1" applyBorder="1" applyAlignment="1">
      <alignment horizontal="left" vertical="top" wrapText="1"/>
    </xf>
    <xf numFmtId="0" fontId="4" fillId="57" borderId="15" xfId="47" applyFont="1" applyFill="1" applyBorder="1" applyAlignment="1">
      <alignment horizontal="center" vertical="center" textRotation="180" wrapText="1"/>
    </xf>
    <xf numFmtId="1" fontId="4" fillId="57" borderId="15" xfId="47" applyNumberFormat="1" applyFont="1" applyFill="1" applyBorder="1" applyAlignment="1" applyProtection="1">
      <alignment horizontal="left" vertical="center" wrapText="1"/>
      <protection locked="0"/>
    </xf>
    <xf numFmtId="1" fontId="4" fillId="57" borderId="15" xfId="47" applyNumberFormat="1" applyFont="1" applyFill="1" applyBorder="1" applyAlignment="1">
      <alignment horizontal="left" vertical="center" wrapText="1"/>
    </xf>
    <xf numFmtId="1" fontId="4" fillId="57" borderId="15" xfId="47" applyNumberFormat="1" applyFont="1" applyFill="1" applyBorder="1" applyAlignment="1">
      <alignment horizontal="left" wrapText="1"/>
    </xf>
    <xf numFmtId="1" fontId="4" fillId="57" borderId="15" xfId="46" applyNumberFormat="1" applyFont="1" applyFill="1" applyBorder="1" applyAlignment="1" applyProtection="1">
      <alignment horizontal="left" vertical="center" wrapText="1"/>
      <protection locked="0"/>
    </xf>
    <xf numFmtId="1" fontId="4" fillId="57" borderId="15" xfId="47" applyNumberFormat="1" applyFont="1" applyFill="1" applyBorder="1" applyAlignment="1" applyProtection="1">
      <alignment horizontal="center" vertical="center" wrapText="1"/>
    </xf>
    <xf numFmtId="1" fontId="4" fillId="57" borderId="15" xfId="47" applyNumberFormat="1" applyFont="1" applyFill="1" applyBorder="1" applyAlignment="1">
      <alignment wrapText="1"/>
    </xf>
    <xf numFmtId="1" fontId="4" fillId="57" borderId="15" xfId="47" applyNumberFormat="1" applyFont="1" applyFill="1" applyBorder="1" applyAlignment="1" applyProtection="1">
      <alignment horizontal="left" vertical="center" wrapText="1"/>
    </xf>
    <xf numFmtId="1" fontId="4" fillId="57" borderId="15" xfId="47" applyNumberFormat="1" applyFont="1" applyFill="1" applyBorder="1"/>
    <xf numFmtId="1" fontId="4" fillId="57" borderId="15" xfId="47" applyNumberFormat="1" applyFont="1" applyFill="1" applyBorder="1" applyAlignment="1">
      <alignment vertical="center" wrapText="1"/>
    </xf>
    <xf numFmtId="0" fontId="3" fillId="57" borderId="0" xfId="47" applyFill="1"/>
    <xf numFmtId="0" fontId="3" fillId="57" borderId="0" xfId="47" applyFill="1" applyAlignment="1">
      <alignment vertical="center"/>
    </xf>
    <xf numFmtId="0" fontId="0" fillId="0" borderId="0" xfId="0" applyBorder="1" applyAlignment="1">
      <alignment wrapText="1"/>
    </xf>
    <xf numFmtId="0" fontId="65" fillId="39" borderId="64" xfId="34" applyFont="1" applyFill="1" applyBorder="1" applyAlignment="1" applyProtection="1">
      <alignment horizontal="center" vertical="center" wrapText="1"/>
    </xf>
    <xf numFmtId="0" fontId="65" fillId="26" borderId="89" xfId="34" applyFont="1" applyFill="1" applyBorder="1" applyAlignment="1" applyProtection="1">
      <alignment horizontal="center" vertical="center" wrapText="1"/>
    </xf>
    <xf numFmtId="0" fontId="8" fillId="26" borderId="15" xfId="0" applyFont="1" applyFill="1" applyBorder="1" applyAlignment="1" applyProtection="1">
      <alignment horizontal="center" vertical="center" wrapText="1"/>
    </xf>
    <xf numFmtId="0" fontId="31"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4" fillId="0" borderId="18"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62" fillId="0" borderId="15" xfId="0" applyFont="1" applyFill="1" applyBorder="1" applyAlignment="1">
      <alignment horizontal="center" vertical="center"/>
    </xf>
    <xf numFmtId="0" fontId="55" fillId="24" borderId="18" xfId="0" applyFont="1" applyFill="1" applyBorder="1" applyAlignment="1" applyProtection="1">
      <alignment horizontal="center"/>
    </xf>
    <xf numFmtId="0" fontId="55" fillId="24" borderId="26" xfId="0" applyFont="1" applyFill="1" applyBorder="1" applyAlignment="1" applyProtection="1">
      <alignment horizontal="center"/>
    </xf>
    <xf numFmtId="0" fontId="55" fillId="24" borderId="14" xfId="0" applyFont="1" applyFill="1" applyBorder="1" applyAlignment="1" applyProtection="1">
      <alignment horizontal="center"/>
    </xf>
    <xf numFmtId="0" fontId="4" fillId="41" borderId="18" xfId="47" applyFont="1" applyFill="1" applyBorder="1" applyAlignment="1">
      <alignment wrapText="1"/>
    </xf>
    <xf numFmtId="0" fontId="8" fillId="42" borderId="18" xfId="47" applyFont="1" applyFill="1" applyBorder="1" applyAlignment="1">
      <alignment horizontal="left" vertical="top" wrapText="1"/>
    </xf>
    <xf numFmtId="0" fontId="4" fillId="42" borderId="15" xfId="47" applyFont="1" applyFill="1" applyBorder="1" applyAlignment="1">
      <alignment horizontal="center" vertical="center" wrapText="1"/>
    </xf>
    <xf numFmtId="0" fontId="4" fillId="42" borderId="15" xfId="47" applyFont="1" applyFill="1" applyBorder="1" applyAlignment="1">
      <alignment wrapText="1"/>
    </xf>
    <xf numFmtId="1" fontId="4" fillId="29" borderId="15" xfId="47" applyNumberFormat="1" applyFont="1" applyFill="1" applyBorder="1" applyAlignment="1" applyProtection="1">
      <alignment horizontal="center" vertical="center" wrapText="1"/>
      <protection locked="0"/>
    </xf>
    <xf numFmtId="1" fontId="4" fillId="24" borderId="15" xfId="47" applyNumberFormat="1" applyFont="1" applyFill="1" applyBorder="1" applyAlignment="1" applyProtection="1">
      <alignment horizontal="right" vertical="center" wrapText="1"/>
      <protection locked="0"/>
    </xf>
    <xf numFmtId="3" fontId="4" fillId="41" borderId="15" xfId="47" applyNumberFormat="1" applyFont="1" applyFill="1" applyBorder="1" applyAlignment="1">
      <alignment horizontal="left" wrapText="1"/>
    </xf>
    <xf numFmtId="1" fontId="4" fillId="26" borderId="21" xfId="47" applyNumberFormat="1" applyFont="1" applyFill="1" applyBorder="1" applyAlignment="1">
      <alignment horizontal="left" vertical="center" wrapText="1"/>
    </xf>
    <xf numFmtId="165" fontId="60" fillId="26" borderId="21" xfId="0" applyNumberFormat="1" applyFont="1" applyFill="1" applyBorder="1" applyAlignment="1" applyProtection="1">
      <alignment horizontal="center" vertical="center"/>
      <protection hidden="1"/>
    </xf>
    <xf numFmtId="0" fontId="4" fillId="24" borderId="104" xfId="0" applyFont="1" applyFill="1" applyBorder="1" applyAlignment="1" applyProtection="1">
      <alignment horizontal="left" vertical="center" wrapText="1" indent="1"/>
    </xf>
    <xf numFmtId="0" fontId="63" fillId="28" borderId="14" xfId="0" applyFont="1" applyFill="1" applyBorder="1" applyAlignment="1" applyProtection="1">
      <alignment horizontal="center" vertical="center"/>
    </xf>
    <xf numFmtId="0" fontId="4" fillId="26" borderId="103" xfId="0" applyFont="1" applyFill="1" applyBorder="1" applyProtection="1"/>
    <xf numFmtId="0" fontId="37" fillId="26" borderId="103" xfId="0" applyFont="1" applyFill="1" applyBorder="1" applyAlignment="1" applyProtection="1">
      <alignment horizontal="right"/>
    </xf>
    <xf numFmtId="0" fontId="7" fillId="0" borderId="50" xfId="0" applyFont="1" applyFill="1" applyBorder="1" applyProtection="1"/>
    <xf numFmtId="0" fontId="7" fillId="0" borderId="46" xfId="0" applyFont="1" applyFill="1" applyBorder="1" applyProtection="1"/>
    <xf numFmtId="0" fontId="37" fillId="0" borderId="50" xfId="0" applyFont="1" applyFill="1" applyBorder="1" applyAlignment="1" applyProtection="1">
      <alignment horizontal="right"/>
    </xf>
    <xf numFmtId="0" fontId="35" fillId="24" borderId="50" xfId="0" applyFont="1" applyFill="1" applyBorder="1" applyProtection="1"/>
    <xf numFmtId="0" fontId="4" fillId="24" borderId="50" xfId="0" applyFont="1" applyFill="1" applyBorder="1" applyAlignment="1" applyProtection="1"/>
    <xf numFmtId="0" fontId="7" fillId="24" borderId="50" xfId="0" applyFont="1" applyFill="1" applyBorder="1" applyProtection="1"/>
    <xf numFmtId="0" fontId="37" fillId="26" borderId="104" xfId="0" applyFont="1" applyFill="1" applyBorder="1" applyAlignment="1" applyProtection="1">
      <alignment horizontal="right"/>
    </xf>
    <xf numFmtId="0" fontId="37" fillId="26" borderId="12" xfId="0" applyFont="1" applyFill="1" applyBorder="1" applyAlignment="1" applyProtection="1">
      <alignment horizontal="right"/>
    </xf>
    <xf numFmtId="0" fontId="35" fillId="26" borderId="12" xfId="0" applyFont="1" applyFill="1" applyBorder="1" applyProtection="1"/>
    <xf numFmtId="0" fontId="35" fillId="26" borderId="0" xfId="0" applyFont="1" applyFill="1" applyBorder="1" applyAlignment="1" applyProtection="1">
      <alignment horizontal="right"/>
    </xf>
    <xf numFmtId="0" fontId="4" fillId="26" borderId="113" xfId="0" applyFont="1" applyFill="1" applyBorder="1" applyProtection="1"/>
    <xf numFmtId="0" fontId="35" fillId="26" borderId="103" xfId="0" applyFont="1" applyFill="1" applyBorder="1" applyProtection="1"/>
    <xf numFmtId="0" fontId="4" fillId="26" borderId="104" xfId="0" applyFont="1" applyFill="1" applyBorder="1" applyProtection="1"/>
    <xf numFmtId="0" fontId="4" fillId="0" borderId="22" xfId="0" applyFont="1" applyBorder="1" applyAlignment="1">
      <alignment horizontal="center" vertical="center"/>
    </xf>
    <xf numFmtId="0" fontId="4" fillId="0" borderId="15" xfId="0" applyFont="1" applyBorder="1" applyAlignment="1">
      <alignment horizontal="center" vertical="center"/>
    </xf>
    <xf numFmtId="0" fontId="4" fillId="0" borderId="18" xfId="0" applyFont="1" applyBorder="1" applyAlignment="1">
      <alignment horizontal="center" vertical="center"/>
    </xf>
    <xf numFmtId="0" fontId="4" fillId="0" borderId="21" xfId="0" applyFont="1" applyBorder="1" applyAlignment="1">
      <alignment horizontal="center" vertical="center"/>
    </xf>
    <xf numFmtId="0" fontId="4" fillId="0" borderId="14" xfId="0" applyFont="1" applyBorder="1" applyAlignment="1">
      <alignment horizontal="center" vertical="center"/>
    </xf>
    <xf numFmtId="0" fontId="4" fillId="0" borderId="24"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1" fontId="4" fillId="0" borderId="22" xfId="0" applyNumberFormat="1" applyFont="1" applyBorder="1" applyAlignment="1" applyProtection="1">
      <alignment horizontal="center" vertical="center" wrapText="1"/>
      <protection locked="0"/>
    </xf>
    <xf numFmtId="1" fontId="4" fillId="0" borderId="15" xfId="0" applyNumberFormat="1" applyFont="1" applyBorder="1" applyAlignment="1" applyProtection="1">
      <alignment horizontal="center" vertical="center" wrapText="1"/>
      <protection locked="0"/>
    </xf>
    <xf numFmtId="1" fontId="4" fillId="0" borderId="18" xfId="0" applyNumberFormat="1" applyFont="1" applyBorder="1" applyAlignment="1" applyProtection="1">
      <alignment horizontal="center" vertical="center" wrapText="1"/>
      <protection locked="0"/>
    </xf>
    <xf numFmtId="1" fontId="4" fillId="0" borderId="21" xfId="0" applyNumberFormat="1" applyFont="1" applyBorder="1" applyAlignment="1" applyProtection="1">
      <alignment horizontal="center" vertical="center" wrapText="1"/>
      <protection locked="0"/>
    </xf>
    <xf numFmtId="1" fontId="4" fillId="0" borderId="22" xfId="0" applyNumberFormat="1" applyFont="1" applyBorder="1" applyAlignment="1">
      <alignment horizontal="center"/>
    </xf>
    <xf numFmtId="1" fontId="4" fillId="0" borderId="15" xfId="0" applyNumberFormat="1" applyFont="1" applyBorder="1" applyAlignment="1">
      <alignment horizontal="center"/>
    </xf>
    <xf numFmtId="1" fontId="4" fillId="0" borderId="21" xfId="0" applyNumberFormat="1" applyFont="1" applyBorder="1" applyAlignment="1">
      <alignment horizontal="center"/>
    </xf>
    <xf numFmtId="1" fontId="4" fillId="41" borderId="22" xfId="0" applyNumberFormat="1" applyFont="1" applyFill="1" applyBorder="1" applyAlignment="1">
      <alignment horizontal="center"/>
    </xf>
    <xf numFmtId="1" fontId="4" fillId="41" borderId="15" xfId="0" applyNumberFormat="1" applyFont="1" applyFill="1" applyBorder="1" applyAlignment="1">
      <alignment horizontal="center"/>
    </xf>
    <xf numFmtId="1" fontId="4" fillId="41" borderId="21" xfId="0" applyNumberFormat="1" applyFont="1" applyFill="1" applyBorder="1" applyAlignment="1">
      <alignment horizontal="center"/>
    </xf>
    <xf numFmtId="1" fontId="4" fillId="0" borderId="22" xfId="46" applyNumberFormat="1" applyFont="1" applyBorder="1" applyAlignment="1" applyProtection="1">
      <alignment horizontal="center" vertical="center" wrapText="1"/>
      <protection locked="0"/>
    </xf>
    <xf numFmtId="1" fontId="4" fillId="0" borderId="15" xfId="46" applyNumberFormat="1" applyFont="1" applyBorder="1" applyAlignment="1" applyProtection="1">
      <alignment horizontal="center" vertical="center" wrapText="1"/>
      <protection locked="0"/>
    </xf>
    <xf numFmtId="1" fontId="4" fillId="0" borderId="21" xfId="46" applyNumberFormat="1" applyFont="1" applyBorder="1" applyAlignment="1" applyProtection="1">
      <alignment horizontal="center" vertical="center" wrapText="1"/>
      <protection locked="0"/>
    </xf>
    <xf numFmtId="1" fontId="4" fillId="0" borderId="22" xfId="0" applyNumberFormat="1" applyFont="1" applyBorder="1" applyAlignment="1">
      <alignment horizontal="center" vertical="center" wrapText="1"/>
    </xf>
    <xf numFmtId="1" fontId="4" fillId="0" borderId="15" xfId="0" applyNumberFormat="1" applyFont="1" applyBorder="1" applyAlignment="1">
      <alignment horizontal="center" vertical="center" wrapText="1"/>
    </xf>
    <xf numFmtId="1" fontId="4" fillId="0" borderId="21" xfId="0" applyNumberFormat="1" applyFont="1" applyBorder="1" applyAlignment="1">
      <alignment horizontal="center" vertical="center" wrapText="1"/>
    </xf>
    <xf numFmtId="1" fontId="4" fillId="41" borderId="22" xfId="0" applyNumberFormat="1" applyFont="1" applyFill="1" applyBorder="1" applyAlignment="1">
      <alignment horizontal="center" vertical="center" wrapText="1"/>
    </xf>
    <xf numFmtId="1" fontId="4" fillId="41" borderId="15" xfId="0" applyNumberFormat="1" applyFont="1" applyFill="1" applyBorder="1" applyAlignment="1">
      <alignment horizontal="center" vertical="center" wrapText="1"/>
    </xf>
    <xf numFmtId="1" fontId="4" fillId="41" borderId="21" xfId="0" applyNumberFormat="1" applyFont="1" applyFill="1" applyBorder="1" applyAlignment="1">
      <alignment horizontal="center" vertical="center" wrapText="1"/>
    </xf>
    <xf numFmtId="1" fontId="4" fillId="41" borderId="0" xfId="0" applyNumberFormat="1" applyFont="1" applyFill="1" applyAlignment="1" applyProtection="1">
      <alignment horizontal="center" vertical="center" wrapText="1"/>
      <protection locked="0"/>
    </xf>
    <xf numFmtId="0" fontId="4" fillId="0" borderId="0" xfId="0" applyFont="1" applyAlignment="1">
      <alignment vertical="center"/>
    </xf>
    <xf numFmtId="0" fontId="4" fillId="0" borderId="23" xfId="0" applyFont="1" applyBorder="1" applyAlignment="1">
      <alignment horizontal="center" vertical="center"/>
    </xf>
    <xf numFmtId="167" fontId="4" fillId="0" borderId="22" xfId="0" applyNumberFormat="1" applyFont="1" applyBorder="1" applyAlignment="1" applyProtection="1">
      <alignment horizontal="center" vertical="center" wrapText="1"/>
      <protection locked="0"/>
    </xf>
    <xf numFmtId="167" fontId="4" fillId="0" borderId="15" xfId="0" applyNumberFormat="1" applyFont="1" applyBorder="1" applyAlignment="1" applyProtection="1">
      <alignment horizontal="center" vertical="center" wrapText="1"/>
      <protection locked="0"/>
    </xf>
    <xf numFmtId="167" fontId="4" fillId="0" borderId="21" xfId="0" applyNumberFormat="1" applyFont="1" applyBorder="1" applyAlignment="1" applyProtection="1">
      <alignment horizontal="center" vertical="center" wrapText="1"/>
      <protection locked="0"/>
    </xf>
    <xf numFmtId="0" fontId="4" fillId="0" borderId="0" xfId="0" applyFont="1"/>
    <xf numFmtId="1" fontId="4" fillId="0" borderId="22" xfId="0" applyNumberFormat="1" applyFont="1" applyBorder="1" applyAlignment="1">
      <alignment vertical="center"/>
    </xf>
    <xf numFmtId="1" fontId="4" fillId="0" borderId="15" xfId="0" applyNumberFormat="1" applyFont="1" applyBorder="1" applyAlignment="1">
      <alignment vertical="center"/>
    </xf>
    <xf numFmtId="1" fontId="4" fillId="0" borderId="21" xfId="0" applyNumberFormat="1" applyFont="1" applyBorder="1" applyAlignment="1">
      <alignment vertical="center"/>
    </xf>
    <xf numFmtId="0" fontId="37" fillId="26" borderId="45" xfId="0" applyFont="1" applyFill="1" applyBorder="1" applyAlignment="1" applyProtection="1">
      <alignment horizontal="right"/>
    </xf>
    <xf numFmtId="0" fontId="4" fillId="26" borderId="45" xfId="0" applyFont="1" applyFill="1" applyBorder="1" applyAlignment="1" applyProtection="1">
      <alignment vertical="center"/>
    </xf>
    <xf numFmtId="0" fontId="7" fillId="26" borderId="46" xfId="0" applyFont="1" applyFill="1" applyBorder="1" applyProtection="1"/>
    <xf numFmtId="0" fontId="35" fillId="26" borderId="13" xfId="0" applyFont="1" applyFill="1" applyBorder="1" applyProtection="1"/>
    <xf numFmtId="0" fontId="35" fillId="26" borderId="48" xfId="0" applyFont="1" applyFill="1" applyBorder="1" applyProtection="1"/>
    <xf numFmtId="0" fontId="57" fillId="0" borderId="0" xfId="47" applyFont="1" applyFill="1" applyBorder="1" applyProtection="1"/>
    <xf numFmtId="0" fontId="57" fillId="0" borderId="0" xfId="47" applyFont="1" applyFill="1" applyBorder="1" applyAlignment="1" applyProtection="1">
      <alignment vertical="center"/>
    </xf>
    <xf numFmtId="0" fontId="57" fillId="0" borderId="0" xfId="47" applyFont="1" applyFill="1" applyAlignment="1">
      <alignment textRotation="90"/>
    </xf>
    <xf numFmtId="0" fontId="57" fillId="0" borderId="0" xfId="47" applyFont="1"/>
    <xf numFmtId="0" fontId="89" fillId="0" borderId="0" xfId="47" applyFont="1" applyFill="1"/>
    <xf numFmtId="0" fontId="89" fillId="0" borderId="0" xfId="47" applyFont="1"/>
    <xf numFmtId="9" fontId="8" fillId="32" borderId="107" xfId="47" applyNumberFormat="1" applyFont="1" applyFill="1" applyBorder="1" applyAlignment="1">
      <alignment horizontal="center" vertical="center"/>
    </xf>
    <xf numFmtId="9" fontId="8" fillId="0" borderId="107" xfId="47" applyNumberFormat="1" applyFont="1" applyFill="1" applyBorder="1" applyAlignment="1">
      <alignment horizontal="center" vertical="center"/>
    </xf>
    <xf numFmtId="0" fontId="65" fillId="26" borderId="70" xfId="34" applyFont="1" applyFill="1" applyBorder="1" applyAlignment="1" applyProtection="1">
      <alignment horizontal="center" vertical="center" wrapText="1"/>
    </xf>
    <xf numFmtId="0" fontId="4" fillId="26" borderId="88" xfId="47" applyFont="1" applyFill="1" applyBorder="1" applyAlignment="1" applyProtection="1">
      <alignment horizontal="center"/>
    </xf>
    <xf numFmtId="0" fontId="4" fillId="26" borderId="81" xfId="47" applyFont="1" applyFill="1" applyBorder="1" applyAlignment="1" applyProtection="1">
      <alignment horizontal="center"/>
    </xf>
    <xf numFmtId="0" fontId="4" fillId="26" borderId="17" xfId="47" applyFont="1" applyFill="1" applyBorder="1" applyAlignment="1">
      <alignment vertical="center" wrapText="1"/>
    </xf>
    <xf numFmtId="0" fontId="4" fillId="26" borderId="97" xfId="47" applyFont="1" applyFill="1" applyBorder="1" applyAlignment="1">
      <alignment vertical="center" wrapText="1"/>
    </xf>
    <xf numFmtId="0" fontId="4" fillId="39" borderId="111" xfId="47" applyFont="1" applyFill="1" applyBorder="1" applyAlignment="1">
      <alignment vertical="center" wrapText="1"/>
    </xf>
    <xf numFmtId="0" fontId="4" fillId="26" borderId="13" xfId="47" applyFont="1" applyFill="1" applyBorder="1" applyAlignment="1">
      <alignment vertical="center" wrapText="1"/>
    </xf>
    <xf numFmtId="2" fontId="4" fillId="39" borderId="92" xfId="47" applyNumberFormat="1" applyFont="1" applyFill="1" applyBorder="1" applyAlignment="1">
      <alignment vertical="center" wrapText="1"/>
    </xf>
    <xf numFmtId="2" fontId="4" fillId="39" borderId="95" xfId="47" applyNumberFormat="1" applyFont="1" applyFill="1" applyBorder="1" applyAlignment="1">
      <alignment vertical="center" wrapText="1"/>
    </xf>
    <xf numFmtId="9" fontId="8" fillId="0" borderId="34" xfId="47" applyNumberFormat="1" applyFont="1" applyFill="1" applyBorder="1" applyAlignment="1">
      <alignment horizontal="center" vertical="center"/>
    </xf>
    <xf numFmtId="0" fontId="8" fillId="28" borderId="14" xfId="47" applyFont="1" applyFill="1" applyBorder="1" applyAlignment="1" applyProtection="1">
      <alignment horizontal="center" vertical="center" wrapText="1"/>
    </xf>
    <xf numFmtId="0" fontId="8" fillId="28" borderId="15" xfId="47" applyFont="1" applyFill="1" applyBorder="1" applyAlignment="1" applyProtection="1">
      <alignment horizontal="center" vertical="center" wrapText="1"/>
    </xf>
    <xf numFmtId="0" fontId="8" fillId="28" borderId="21" xfId="47" applyFont="1" applyFill="1" applyBorder="1" applyAlignment="1" applyProtection="1">
      <alignment horizontal="center" vertical="center" wrapText="1"/>
    </xf>
    <xf numFmtId="0" fontId="34" fillId="24" borderId="0" xfId="0" applyFont="1" applyFill="1" applyBorder="1" applyAlignment="1">
      <alignment horizontal="left"/>
    </xf>
    <xf numFmtId="0" fontId="43" fillId="24" borderId="0" xfId="0" applyFont="1" applyFill="1" applyBorder="1" applyAlignment="1">
      <alignment horizontal="right" vertical="top" wrapText="1"/>
    </xf>
    <xf numFmtId="0" fontId="0" fillId="0" borderId="0" xfId="0" applyBorder="1" applyAlignment="1">
      <alignment wrapText="1"/>
    </xf>
    <xf numFmtId="0" fontId="0" fillId="0" borderId="11" xfId="0" applyBorder="1" applyAlignment="1">
      <alignment wrapText="1"/>
    </xf>
    <xf numFmtId="0" fontId="6" fillId="40" borderId="26" xfId="0" applyFont="1" applyFill="1" applyBorder="1" applyAlignment="1">
      <alignment horizontal="center" vertical="center" wrapText="1"/>
    </xf>
    <xf numFmtId="0" fontId="6" fillId="40" borderId="26" xfId="0" applyFont="1" applyFill="1" applyBorder="1" applyAlignment="1">
      <alignment vertical="center" wrapText="1"/>
    </xf>
    <xf numFmtId="0" fontId="3" fillId="24" borderId="0" xfId="0" applyFont="1" applyFill="1" applyBorder="1" applyAlignment="1">
      <alignment horizontal="center" wrapText="1"/>
    </xf>
    <xf numFmtId="0" fontId="0" fillId="0" borderId="0" xfId="0" applyBorder="1" applyAlignment="1">
      <alignment horizontal="center" wrapText="1"/>
    </xf>
    <xf numFmtId="0" fontId="3" fillId="24" borderId="0" xfId="0" applyFont="1" applyFill="1" applyBorder="1" applyAlignment="1">
      <alignment horizontal="left" vertical="top" wrapText="1"/>
    </xf>
    <xf numFmtId="0" fontId="3" fillId="0" borderId="0" xfId="0" applyFont="1" applyBorder="1" applyAlignment="1">
      <alignment horizontal="left" vertical="top" wrapText="1"/>
    </xf>
    <xf numFmtId="0" fontId="73" fillId="26" borderId="0" xfId="34" applyFont="1" applyFill="1" applyBorder="1" applyAlignment="1" applyProtection="1">
      <alignment horizontal="center" vertical="center" wrapText="1"/>
    </xf>
    <xf numFmtId="0" fontId="31" fillId="26" borderId="0" xfId="0" applyFont="1" applyFill="1" applyBorder="1" applyAlignment="1">
      <alignment horizontal="left" vertical="center" wrapText="1" indent="2"/>
    </xf>
    <xf numFmtId="0" fontId="29" fillId="26" borderId="0" xfId="0" applyFont="1" applyFill="1" applyBorder="1" applyAlignment="1">
      <alignment horizontal="center" vertical="center" wrapText="1"/>
    </xf>
    <xf numFmtId="0" fontId="31" fillId="26" borderId="0" xfId="0" applyFont="1" applyFill="1" applyBorder="1" applyAlignment="1">
      <alignment horizontal="left" wrapText="1"/>
    </xf>
    <xf numFmtId="0" fontId="29" fillId="26" borderId="0" xfId="0" applyFont="1" applyFill="1" applyBorder="1" applyAlignment="1">
      <alignment horizontal="center" vertical="center"/>
    </xf>
    <xf numFmtId="0" fontId="65" fillId="39" borderId="64" xfId="34" applyFont="1" applyFill="1" applyBorder="1" applyAlignment="1" applyProtection="1">
      <alignment horizontal="center" vertical="center" wrapText="1"/>
    </xf>
    <xf numFmtId="0" fontId="65" fillId="39" borderId="67" xfId="34" applyFont="1" applyFill="1" applyBorder="1" applyAlignment="1" applyProtection="1">
      <alignment horizontal="center" vertical="center" wrapText="1"/>
    </xf>
    <xf numFmtId="0" fontId="65" fillId="26" borderId="89" xfId="34" applyFont="1" applyFill="1" applyBorder="1" applyAlignment="1" applyProtection="1">
      <alignment horizontal="center" vertical="center" wrapText="1"/>
    </xf>
    <xf numFmtId="0" fontId="65" fillId="26" borderId="28" xfId="34" applyFont="1" applyFill="1" applyBorder="1" applyAlignment="1" applyProtection="1">
      <alignment horizontal="center" vertical="center" wrapText="1"/>
    </xf>
    <xf numFmtId="0" fontId="65" fillId="26" borderId="94" xfId="34" applyFont="1" applyFill="1" applyBorder="1" applyAlignment="1" applyProtection="1">
      <alignment horizontal="center" vertical="center" wrapText="1"/>
    </xf>
    <xf numFmtId="0" fontId="65" fillId="39" borderId="89" xfId="34" applyFont="1" applyFill="1" applyBorder="1" applyAlignment="1" applyProtection="1">
      <alignment horizontal="center" vertical="center" wrapText="1"/>
    </xf>
    <xf numFmtId="0" fontId="65" fillId="39" borderId="28" xfId="34" applyFont="1" applyFill="1" applyBorder="1" applyAlignment="1" applyProtection="1">
      <alignment horizontal="center" vertical="center" wrapText="1"/>
    </xf>
    <xf numFmtId="0" fontId="65" fillId="39" borderId="94" xfId="34" applyFont="1" applyFill="1" applyBorder="1" applyAlignment="1" applyProtection="1">
      <alignment horizontal="center" vertical="center" wrapText="1"/>
    </xf>
    <xf numFmtId="165" fontId="4" fillId="28" borderId="90" xfId="47" applyNumberFormat="1" applyFont="1" applyFill="1" applyBorder="1" applyAlignment="1" applyProtection="1">
      <alignment horizontal="center" vertical="center" textRotation="90" wrapText="1"/>
    </xf>
    <xf numFmtId="165" fontId="4" fillId="28" borderId="106" xfId="47" applyNumberFormat="1" applyFont="1" applyFill="1" applyBorder="1" applyAlignment="1" applyProtection="1">
      <alignment horizontal="center" vertical="center" textRotation="90" wrapText="1"/>
    </xf>
    <xf numFmtId="165" fontId="67" fillId="34" borderId="91" xfId="47" applyNumberFormat="1" applyFont="1" applyFill="1" applyBorder="1" applyAlignment="1" applyProtection="1">
      <alignment horizontal="center" vertical="center" textRotation="90" wrapText="1"/>
    </xf>
    <xf numFmtId="165" fontId="67" fillId="34" borderId="107" xfId="47" applyNumberFormat="1" applyFont="1" applyFill="1" applyBorder="1" applyAlignment="1" applyProtection="1">
      <alignment horizontal="center" vertical="center" textRotation="90" wrapText="1"/>
    </xf>
    <xf numFmtId="165" fontId="8" fillId="29" borderId="91" xfId="47" applyNumberFormat="1" applyFont="1" applyFill="1" applyBorder="1" applyAlignment="1" applyProtection="1">
      <alignment horizontal="center" vertical="center" textRotation="90" wrapText="1"/>
    </xf>
    <xf numFmtId="165" fontId="8" fillId="29" borderId="107" xfId="47" applyNumberFormat="1" applyFont="1" applyFill="1" applyBorder="1" applyAlignment="1" applyProtection="1">
      <alignment horizontal="center" vertical="center" textRotation="90" wrapText="1"/>
    </xf>
    <xf numFmtId="165" fontId="4" fillId="28" borderId="109" xfId="47" applyNumberFormat="1" applyFont="1" applyFill="1" applyBorder="1" applyAlignment="1" applyProtection="1">
      <alignment horizontal="center" vertical="center" textRotation="90" wrapText="1"/>
    </xf>
    <xf numFmtId="165" fontId="4" fillId="28" borderId="110" xfId="47" applyNumberFormat="1" applyFont="1" applyFill="1" applyBorder="1" applyAlignment="1" applyProtection="1">
      <alignment horizontal="center" vertical="center" textRotation="90" wrapText="1"/>
    </xf>
    <xf numFmtId="0" fontId="4" fillId="26" borderId="99" xfId="47" applyFont="1" applyFill="1" applyBorder="1" applyAlignment="1" applyProtection="1">
      <alignment horizontal="center"/>
    </xf>
    <xf numFmtId="0" fontId="4" fillId="26" borderId="100" xfId="47" applyFont="1" applyFill="1" applyBorder="1" applyAlignment="1" applyProtection="1">
      <alignment horizontal="center"/>
    </xf>
    <xf numFmtId="0" fontId="4" fillId="26" borderId="101" xfId="47" applyFont="1" applyFill="1" applyBorder="1" applyAlignment="1" applyProtection="1">
      <alignment horizontal="center"/>
    </xf>
    <xf numFmtId="0" fontId="4" fillId="26" borderId="0" xfId="47" applyFont="1" applyFill="1" applyBorder="1" applyAlignment="1" applyProtection="1">
      <alignment horizontal="left" vertical="top" wrapText="1"/>
    </xf>
    <xf numFmtId="165" fontId="4" fillId="28" borderId="89" xfId="47" applyNumberFormat="1" applyFont="1" applyFill="1" applyBorder="1" applyAlignment="1" applyProtection="1">
      <alignment horizontal="center" vertical="center" textRotation="90" wrapText="1"/>
    </xf>
    <xf numFmtId="165" fontId="4" fillId="28" borderId="94" xfId="47" applyNumberFormat="1" applyFont="1" applyFill="1" applyBorder="1" applyAlignment="1" applyProtection="1">
      <alignment horizontal="center" vertical="center" textRotation="90" wrapText="1"/>
    </xf>
    <xf numFmtId="0" fontId="6" fillId="38" borderId="15" xfId="47" applyFont="1" applyFill="1" applyBorder="1" applyAlignment="1" applyProtection="1">
      <alignment horizontal="center" vertical="center"/>
      <protection locked="0"/>
    </xf>
    <xf numFmtId="0" fontId="6" fillId="44" borderId="18" xfId="47" applyFont="1" applyFill="1" applyBorder="1" applyAlignment="1" applyProtection="1">
      <alignment horizontal="right" vertical="center" indent="1"/>
    </xf>
    <xf numFmtId="0" fontId="6" fillId="44" borderId="14" xfId="47" applyFont="1" applyFill="1" applyBorder="1" applyAlignment="1" applyProtection="1">
      <alignment horizontal="right" vertical="center" indent="1"/>
    </xf>
    <xf numFmtId="0" fontId="48" fillId="26" borderId="0" xfId="34" applyFill="1" applyBorder="1" applyAlignment="1" applyProtection="1">
      <alignment horizontal="left" vertical="center"/>
    </xf>
    <xf numFmtId="0" fontId="8" fillId="26" borderId="15" xfId="0" applyFont="1" applyFill="1" applyBorder="1" applyAlignment="1" applyProtection="1">
      <alignment horizontal="center" vertical="center" wrapText="1"/>
    </xf>
    <xf numFmtId="0" fontId="8" fillId="26" borderId="16" xfId="0" applyFont="1" applyFill="1" applyBorder="1" applyAlignment="1" applyProtection="1">
      <alignment horizontal="center" vertical="center" wrapText="1"/>
    </xf>
    <xf numFmtId="0" fontId="8" fillId="26" borderId="12" xfId="0" applyFont="1" applyFill="1" applyBorder="1" applyAlignment="1" applyProtection="1">
      <alignment horizontal="center" vertical="center" wrapText="1"/>
    </xf>
    <xf numFmtId="0" fontId="8" fillId="26" borderId="50" xfId="0" applyFont="1" applyFill="1" applyBorder="1" applyAlignment="1" applyProtection="1">
      <alignment horizontal="center" vertical="center" wrapText="1"/>
    </xf>
    <xf numFmtId="0" fontId="49" fillId="24" borderId="0" xfId="0" applyFont="1" applyFill="1" applyBorder="1" applyAlignment="1" applyProtection="1">
      <alignment horizontal="left" vertical="top"/>
    </xf>
    <xf numFmtId="0" fontId="71" fillId="24" borderId="16" xfId="0" applyFont="1" applyFill="1" applyBorder="1" applyAlignment="1" applyProtection="1">
      <alignment horizontal="left" vertical="center" wrapText="1" indent="1"/>
    </xf>
    <xf numFmtId="0" fontId="71" fillId="24" borderId="50" xfId="0" applyFont="1" applyFill="1" applyBorder="1" applyAlignment="1" applyProtection="1">
      <alignment horizontal="left" vertical="center" wrapText="1" indent="1"/>
    </xf>
    <xf numFmtId="0" fontId="71" fillId="24" borderId="12" xfId="0" applyFont="1" applyFill="1" applyBorder="1" applyAlignment="1" applyProtection="1">
      <alignment horizontal="left" vertical="center" wrapText="1" indent="1"/>
    </xf>
    <xf numFmtId="0" fontId="33" fillId="24" borderId="23" xfId="0" applyFont="1" applyFill="1" applyBorder="1" applyAlignment="1" applyProtection="1">
      <alignment horizontal="center" vertical="center" wrapText="1"/>
    </xf>
    <xf numFmtId="0" fontId="33" fillId="24" borderId="30" xfId="0" applyFont="1" applyFill="1" applyBorder="1" applyAlignment="1" applyProtection="1">
      <alignment horizontal="center" vertical="center" wrapText="1"/>
    </xf>
    <xf numFmtId="0" fontId="33" fillId="24" borderId="31" xfId="0" applyFont="1" applyFill="1" applyBorder="1" applyAlignment="1" applyProtection="1">
      <alignment horizontal="center" vertical="center" wrapText="1"/>
    </xf>
    <xf numFmtId="0" fontId="33" fillId="24" borderId="16" xfId="0" applyFont="1" applyFill="1" applyBorder="1" applyAlignment="1" applyProtection="1">
      <alignment horizontal="center" vertical="center" wrapText="1"/>
    </xf>
    <xf numFmtId="0" fontId="33" fillId="24" borderId="50" xfId="0" applyFont="1" applyFill="1" applyBorder="1" applyAlignment="1" applyProtection="1">
      <alignment horizontal="center" vertical="center" wrapText="1"/>
    </xf>
    <xf numFmtId="0" fontId="33" fillId="24" borderId="12" xfId="0" applyFont="1" applyFill="1" applyBorder="1" applyAlignment="1" applyProtection="1">
      <alignment horizontal="center" vertical="center" wrapText="1"/>
    </xf>
    <xf numFmtId="0" fontId="8" fillId="28" borderId="14" xfId="0" applyFont="1" applyFill="1" applyBorder="1" applyAlignment="1" applyProtection="1">
      <alignment horizontal="center" vertical="center"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33" fillId="26" borderId="16" xfId="0" applyFont="1" applyFill="1" applyBorder="1" applyAlignment="1" applyProtection="1">
      <alignment horizontal="center" vertical="center"/>
    </xf>
    <xf numFmtId="0" fontId="33" fillId="26" borderId="50" xfId="0" applyFont="1" applyFill="1" applyBorder="1" applyAlignment="1" applyProtection="1">
      <alignment horizontal="center" vertical="center"/>
    </xf>
    <xf numFmtId="0" fontId="33" fillId="26" borderId="12" xfId="0" applyFont="1" applyFill="1" applyBorder="1" applyAlignment="1" applyProtection="1">
      <alignment horizontal="center" vertical="center"/>
    </xf>
    <xf numFmtId="0" fontId="36" fillId="0" borderId="16" xfId="0" applyFont="1" applyBorder="1" applyAlignment="1" applyProtection="1">
      <alignment horizontal="center" textRotation="90" wrapText="1"/>
    </xf>
    <xf numFmtId="0" fontId="36" fillId="0" borderId="51" xfId="0" applyFont="1" applyBorder="1" applyAlignment="1" applyProtection="1">
      <alignment horizontal="center" textRotation="90" wrapText="1"/>
    </xf>
    <xf numFmtId="0" fontId="34" fillId="24" borderId="0" xfId="0" applyFont="1" applyFill="1" applyBorder="1" applyAlignment="1" applyProtection="1">
      <alignment vertical="top" wrapText="1"/>
    </xf>
    <xf numFmtId="0" fontId="34" fillId="0" borderId="0" xfId="0" applyFont="1" applyBorder="1" applyAlignment="1" applyProtection="1">
      <alignment wrapText="1"/>
    </xf>
    <xf numFmtId="0" fontId="36" fillId="0" borderId="23" xfId="0" applyFont="1" applyBorder="1" applyAlignment="1" applyProtection="1">
      <alignment horizontal="center" textRotation="90" wrapText="1"/>
    </xf>
    <xf numFmtId="0" fontId="36" fillId="0" borderId="31" xfId="0" applyFont="1" applyBorder="1" applyAlignment="1" applyProtection="1">
      <alignment horizontal="center" textRotation="90" wrapText="1"/>
    </xf>
    <xf numFmtId="0" fontId="36" fillId="0" borderId="43" xfId="0" applyFont="1" applyBorder="1" applyAlignment="1" applyProtection="1">
      <alignment horizontal="center" textRotation="90" wrapText="1"/>
    </xf>
    <xf numFmtId="0" fontId="36" fillId="0" borderId="55" xfId="0" applyFont="1" applyBorder="1" applyAlignment="1" applyProtection="1">
      <alignment horizontal="center" textRotation="90" wrapText="1"/>
    </xf>
    <xf numFmtId="0" fontId="4" fillId="0" borderId="16" xfId="0" applyFont="1" applyBorder="1" applyAlignment="1" applyProtection="1">
      <alignment horizontal="center" textRotation="90" wrapText="1"/>
    </xf>
    <xf numFmtId="0" fontId="33" fillId="24" borderId="16" xfId="0" applyFont="1" applyFill="1" applyBorder="1" applyAlignment="1" applyProtection="1">
      <alignment horizontal="center" vertical="center"/>
    </xf>
    <xf numFmtId="0" fontId="33" fillId="24" borderId="50" xfId="0" applyFont="1" applyFill="1" applyBorder="1" applyAlignment="1" applyProtection="1">
      <alignment horizontal="center" vertical="center"/>
    </xf>
    <xf numFmtId="0" fontId="33" fillId="24" borderId="12" xfId="0" applyFont="1" applyFill="1" applyBorder="1" applyAlignment="1" applyProtection="1">
      <alignment horizontal="center" vertical="center"/>
    </xf>
    <xf numFmtId="0" fontId="0" fillId="0" borderId="0" xfId="0" applyBorder="1" applyAlignment="1" applyProtection="1">
      <alignment wrapText="1"/>
    </xf>
    <xf numFmtId="0" fontId="7" fillId="24" borderId="40" xfId="0" applyFont="1" applyFill="1" applyBorder="1" applyAlignment="1" applyProtection="1">
      <alignment horizontal="center" wrapText="1"/>
    </xf>
    <xf numFmtId="0" fontId="7" fillId="24" borderId="41" xfId="0" applyFont="1" applyFill="1" applyBorder="1" applyAlignment="1" applyProtection="1">
      <alignment horizontal="center" wrapText="1"/>
    </xf>
    <xf numFmtId="0" fontId="33" fillId="24" borderId="38" xfId="0" applyFont="1" applyFill="1" applyBorder="1" applyAlignment="1" applyProtection="1">
      <alignment horizontal="center" wrapText="1"/>
    </xf>
    <xf numFmtId="0" fontId="34" fillId="24" borderId="0" xfId="0" applyFont="1" applyFill="1" applyBorder="1" applyAlignment="1" applyProtection="1">
      <alignment horizontal="left" vertical="top" wrapText="1"/>
    </xf>
    <xf numFmtId="0" fontId="33" fillId="24" borderId="17" xfId="0" applyFont="1" applyFill="1" applyBorder="1" applyAlignment="1" applyProtection="1">
      <alignment horizontal="center" vertical="center" wrapText="1"/>
    </xf>
    <xf numFmtId="0" fontId="33" fillId="24" borderId="10" xfId="0" applyFont="1" applyFill="1" applyBorder="1" applyAlignment="1" applyProtection="1">
      <alignment horizontal="center" vertical="center" wrapText="1"/>
    </xf>
    <xf numFmtId="0" fontId="33" fillId="24" borderId="58" xfId="0" applyFont="1" applyFill="1" applyBorder="1" applyAlignment="1" applyProtection="1">
      <alignment horizontal="center" vertical="center" wrapText="1"/>
    </xf>
    <xf numFmtId="0" fontId="33" fillId="24" borderId="13" xfId="0" applyFont="1" applyFill="1" applyBorder="1" applyAlignment="1" applyProtection="1">
      <alignment horizontal="center" vertical="center" wrapText="1"/>
    </xf>
    <xf numFmtId="0" fontId="33" fillId="24" borderId="103" xfId="0" applyFont="1" applyFill="1" applyBorder="1" applyAlignment="1" applyProtection="1">
      <alignment horizontal="center" vertical="center" wrapText="1"/>
    </xf>
    <xf numFmtId="0" fontId="33" fillId="24" borderId="63" xfId="0" applyFont="1" applyFill="1" applyBorder="1" applyAlignment="1" applyProtection="1">
      <alignment horizontal="center" vertical="center" wrapText="1"/>
    </xf>
    <xf numFmtId="0" fontId="8" fillId="27" borderId="21" xfId="0" applyFont="1" applyFill="1" applyBorder="1" applyAlignment="1" applyProtection="1">
      <alignment horizontal="left" vertical="center" wrapText="1" indent="1"/>
    </xf>
    <xf numFmtId="17" fontId="8" fillId="28" borderId="16" xfId="0" applyNumberFormat="1" applyFont="1" applyFill="1" applyBorder="1" applyAlignment="1" applyProtection="1">
      <alignment horizontal="center" vertical="center" wrapText="1"/>
    </xf>
    <xf numFmtId="17" fontId="8" fillId="28" borderId="12" xfId="0" applyNumberFormat="1" applyFont="1" applyFill="1" applyBorder="1" applyAlignment="1" applyProtection="1">
      <alignment horizontal="center" vertical="center" wrapText="1"/>
    </xf>
    <xf numFmtId="17" fontId="8" fillId="28" borderId="23" xfId="0" applyNumberFormat="1" applyFont="1" applyFill="1" applyBorder="1" applyAlignment="1" applyProtection="1">
      <alignment horizontal="center" vertical="center" wrapText="1"/>
    </xf>
    <xf numFmtId="17" fontId="8" fillId="28" borderId="31" xfId="0" applyNumberFormat="1" applyFont="1" applyFill="1" applyBorder="1" applyAlignment="1" applyProtection="1">
      <alignment horizontal="center" vertical="center" wrapText="1"/>
    </xf>
    <xf numFmtId="0" fontId="4" fillId="28" borderId="23" xfId="0" applyFont="1" applyFill="1" applyBorder="1" applyAlignment="1" applyProtection="1">
      <alignment horizontal="left" vertical="center" wrapText="1"/>
    </xf>
    <xf numFmtId="0" fontId="4" fillId="28" borderId="31" xfId="0" applyFont="1" applyFill="1" applyBorder="1" applyAlignment="1" applyProtection="1">
      <alignment horizontal="left" vertical="center" wrapText="1"/>
    </xf>
    <xf numFmtId="0" fontId="8" fillId="28" borderId="23" xfId="0" applyFont="1" applyFill="1" applyBorder="1" applyAlignment="1" applyProtection="1">
      <alignment horizontal="center" vertical="center" wrapText="1"/>
    </xf>
    <xf numFmtId="0" fontId="8" fillId="28" borderId="31" xfId="0" applyFont="1" applyFill="1" applyBorder="1" applyAlignment="1" applyProtection="1">
      <alignment horizontal="center" vertical="center" wrapText="1"/>
    </xf>
    <xf numFmtId="0" fontId="8" fillId="28" borderId="16" xfId="0" applyFont="1" applyFill="1" applyBorder="1" applyAlignment="1" applyProtection="1">
      <alignment horizontal="center" vertical="center" wrapText="1"/>
    </xf>
    <xf numFmtId="0" fontId="8" fillId="28" borderId="12" xfId="0" applyFont="1" applyFill="1" applyBorder="1" applyAlignment="1" applyProtection="1">
      <alignment horizontal="center" vertical="center" wrapText="1"/>
    </xf>
    <xf numFmtId="0" fontId="53" fillId="0" borderId="16" xfId="0" applyFont="1" applyFill="1" applyBorder="1" applyAlignment="1" applyProtection="1">
      <alignment horizontal="center" vertical="center" wrapText="1"/>
    </xf>
    <xf numFmtId="0" fontId="53" fillId="0" borderId="12" xfId="0" applyFont="1" applyFill="1" applyBorder="1" applyAlignment="1" applyProtection="1">
      <alignment horizontal="center" vertical="center" wrapText="1"/>
    </xf>
    <xf numFmtId="0" fontId="71" fillId="24" borderId="0" xfId="0" applyFont="1" applyFill="1" applyBorder="1" applyAlignment="1" applyProtection="1">
      <alignment horizontal="left" vertical="center" wrapText="1"/>
    </xf>
    <xf numFmtId="0" fontId="71" fillId="24" borderId="103" xfId="0" applyFont="1" applyFill="1" applyBorder="1" applyAlignment="1" applyProtection="1">
      <alignment horizontal="left" vertical="center" wrapText="1"/>
    </xf>
    <xf numFmtId="0" fontId="8" fillId="28" borderId="13" xfId="0" applyFont="1" applyFill="1" applyBorder="1" applyAlignment="1" applyProtection="1">
      <alignment horizontal="center" vertical="top"/>
    </xf>
    <xf numFmtId="0" fontId="8" fillId="28" borderId="103" xfId="0" applyFont="1" applyFill="1" applyBorder="1" applyAlignment="1" applyProtection="1">
      <alignment horizontal="center" vertical="top"/>
    </xf>
    <xf numFmtId="0" fontId="8" fillId="28" borderId="17" xfId="0" applyFont="1" applyFill="1" applyBorder="1" applyAlignment="1">
      <alignment horizontal="center" wrapText="1"/>
    </xf>
    <xf numFmtId="0" fontId="8" fillId="28" borderId="10" xfId="0" applyFont="1" applyFill="1" applyBorder="1" applyAlignment="1">
      <alignment horizontal="center" wrapText="1"/>
    </xf>
    <xf numFmtId="0" fontId="8" fillId="28" borderId="30" xfId="0" applyFont="1" applyFill="1" applyBorder="1" applyAlignment="1" applyProtection="1">
      <alignment horizontal="center" vertical="center" wrapText="1"/>
    </xf>
    <xf numFmtId="0" fontId="8" fillId="28" borderId="27" xfId="0" applyFont="1" applyFill="1" applyBorder="1" applyAlignment="1" applyProtection="1">
      <alignment horizontal="center" vertical="center" wrapText="1"/>
    </xf>
    <xf numFmtId="0" fontId="8" fillId="28" borderId="34" xfId="0" applyFont="1" applyFill="1" applyBorder="1" applyAlignment="1" applyProtection="1">
      <alignment horizontal="center" vertical="center" wrapText="1"/>
    </xf>
    <xf numFmtId="0" fontId="31" fillId="24" borderId="0" xfId="0" applyFont="1" applyFill="1" applyBorder="1" applyAlignment="1" applyProtection="1">
      <alignment horizontal="left" vertical="top" wrapText="1"/>
    </xf>
    <xf numFmtId="0" fontId="8" fillId="26" borderId="18" xfId="0" applyFont="1" applyFill="1" applyBorder="1" applyAlignment="1" applyProtection="1">
      <alignment horizontal="center" vertical="center" wrapText="1"/>
    </xf>
    <xf numFmtId="0" fontId="8" fillId="26" borderId="26" xfId="0" applyFont="1" applyFill="1" applyBorder="1" applyAlignment="1" applyProtection="1">
      <alignment horizontal="center" vertical="center" wrapText="1"/>
    </xf>
    <xf numFmtId="0" fontId="8" fillId="26" borderId="32" xfId="0" applyFont="1" applyFill="1" applyBorder="1" applyAlignment="1" applyProtection="1">
      <alignment horizontal="center" vertical="center" wrapText="1"/>
    </xf>
    <xf numFmtId="0" fontId="4" fillId="24" borderId="15" xfId="0" applyFont="1" applyFill="1" applyBorder="1" applyAlignment="1" applyProtection="1">
      <alignment horizontal="left" vertical="center" wrapText="1"/>
    </xf>
    <xf numFmtId="0" fontId="4" fillId="0" borderId="15" xfId="0" applyFont="1" applyBorder="1" applyAlignment="1" applyProtection="1">
      <alignment horizontal="left" vertical="center" wrapText="1"/>
    </xf>
    <xf numFmtId="0" fontId="8" fillId="28" borderId="59" xfId="0" applyFont="1" applyFill="1" applyBorder="1" applyAlignment="1" applyProtection="1">
      <alignment horizontal="center" vertical="center" wrapText="1"/>
    </xf>
    <xf numFmtId="0" fontId="8" fillId="28" borderId="58" xfId="0" applyFont="1" applyFill="1" applyBorder="1" applyAlignment="1" applyProtection="1">
      <alignment horizontal="center" vertical="center" wrapText="1"/>
    </xf>
    <xf numFmtId="0" fontId="8" fillId="28" borderId="60" xfId="0" applyFont="1" applyFill="1" applyBorder="1" applyAlignment="1" applyProtection="1">
      <alignment horizontal="center" vertical="center" wrapText="1"/>
    </xf>
    <xf numFmtId="0" fontId="8" fillId="28" borderId="61" xfId="0" applyFont="1" applyFill="1" applyBorder="1" applyAlignment="1" applyProtection="1">
      <alignment horizontal="center" vertical="center" wrapText="1"/>
    </xf>
    <xf numFmtId="0" fontId="8" fillId="28" borderId="63" xfId="0" applyFont="1" applyFill="1" applyBorder="1" applyAlignment="1" applyProtection="1">
      <alignment horizontal="center" vertical="center" wrapText="1"/>
    </xf>
    <xf numFmtId="0" fontId="8" fillId="24" borderId="18" xfId="0" applyFont="1" applyFill="1" applyBorder="1" applyAlignment="1" applyProtection="1">
      <alignment horizontal="center" vertical="center" wrapText="1"/>
    </xf>
    <xf numFmtId="0" fontId="8" fillId="24" borderId="26" xfId="0" applyFont="1" applyFill="1" applyBorder="1" applyAlignment="1" applyProtection="1">
      <alignment horizontal="center" vertical="center" wrapText="1"/>
    </xf>
    <xf numFmtId="0" fontId="8" fillId="24" borderId="32" xfId="0" applyFont="1" applyFill="1" applyBorder="1" applyAlignment="1" applyProtection="1">
      <alignment horizontal="center" vertical="center" wrapText="1"/>
    </xf>
    <xf numFmtId="0" fontId="0" fillId="0" borderId="0" xfId="0" applyBorder="1" applyAlignment="1" applyProtection="1"/>
    <xf numFmtId="0" fontId="0" fillId="0" borderId="39" xfId="0" applyBorder="1" applyAlignment="1" applyProtection="1"/>
    <xf numFmtId="0" fontId="4" fillId="24" borderId="18" xfId="0" applyFont="1" applyFill="1" applyBorder="1" applyAlignment="1" applyProtection="1">
      <alignment horizontal="left" vertical="top" wrapText="1"/>
      <protection locked="0"/>
    </xf>
    <xf numFmtId="0" fontId="0" fillId="0" borderId="26" xfId="0" applyBorder="1" applyAlignment="1" applyProtection="1">
      <alignment wrapText="1"/>
      <protection locked="0"/>
    </xf>
    <xf numFmtId="0" fontId="0" fillId="0" borderId="14" xfId="0" applyBorder="1" applyAlignment="1" applyProtection="1">
      <alignment wrapText="1"/>
      <protection locked="0"/>
    </xf>
    <xf numFmtId="0" fontId="32" fillId="24" borderId="40" xfId="0" applyFont="1" applyFill="1" applyBorder="1" applyAlignment="1" applyProtection="1">
      <alignment horizontal="center" wrapText="1"/>
    </xf>
    <xf numFmtId="0" fontId="32" fillId="0" borderId="41" xfId="0" applyFont="1" applyBorder="1" applyAlignment="1" applyProtection="1">
      <alignment horizontal="center" wrapText="1"/>
    </xf>
    <xf numFmtId="0" fontId="32" fillId="0" borderId="53" xfId="0" applyFont="1" applyBorder="1" applyAlignment="1" applyProtection="1">
      <alignment horizontal="center" wrapText="1"/>
    </xf>
    <xf numFmtId="0" fontId="32" fillId="0" borderId="83" xfId="0" applyFont="1" applyBorder="1" applyAlignment="1" applyProtection="1">
      <alignment horizontal="center" wrapText="1"/>
    </xf>
    <xf numFmtId="0" fontId="32" fillId="0" borderId="42" xfId="0" applyFont="1" applyBorder="1" applyAlignment="1" applyProtection="1">
      <alignment horizontal="center" wrapText="1"/>
    </xf>
    <xf numFmtId="0" fontId="31" fillId="26" borderId="0" xfId="0" applyFont="1" applyFill="1" applyBorder="1" applyAlignment="1" applyProtection="1">
      <alignment horizontal="left" vertical="top" wrapText="1"/>
    </xf>
    <xf numFmtId="0" fontId="32" fillId="24" borderId="0" xfId="0" applyFont="1" applyFill="1" applyBorder="1" applyAlignment="1" applyProtection="1">
      <alignment horizontal="left" vertical="center" wrapText="1"/>
    </xf>
    <xf numFmtId="0" fontId="32" fillId="24" borderId="103" xfId="0" applyFont="1" applyFill="1" applyBorder="1" applyAlignment="1" applyProtection="1">
      <alignment horizontal="left" vertical="center"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33" fillId="24" borderId="56" xfId="0" applyFont="1" applyFill="1" applyBorder="1" applyAlignment="1" applyProtection="1">
      <alignment horizontal="center" wrapText="1"/>
    </xf>
    <xf numFmtId="0" fontId="32" fillId="24" borderId="72" xfId="0" applyFont="1" applyFill="1" applyBorder="1" applyAlignment="1" applyProtection="1">
      <alignment horizontal="center" wrapText="1"/>
    </xf>
    <xf numFmtId="0" fontId="32" fillId="0" borderId="73" xfId="0" applyFont="1" applyBorder="1" applyAlignment="1" applyProtection="1">
      <alignment horizontal="center" wrapText="1"/>
    </xf>
    <xf numFmtId="0" fontId="32" fillId="0" borderId="74" xfId="0" applyFont="1" applyBorder="1" applyAlignment="1" applyProtection="1">
      <alignment horizontal="center" wrapText="1"/>
    </xf>
    <xf numFmtId="0" fontId="71" fillId="24" borderId="48" xfId="0" applyFont="1" applyFill="1" applyBorder="1" applyAlignment="1" applyProtection="1">
      <alignment horizontal="left" vertical="center" wrapText="1"/>
    </xf>
    <xf numFmtId="0" fontId="8" fillId="28" borderId="58" xfId="0" applyFont="1" applyFill="1" applyBorder="1" applyAlignment="1">
      <alignment horizontal="center" wrapText="1"/>
    </xf>
    <xf numFmtId="0" fontId="8" fillId="28" borderId="63" xfId="0" applyFont="1" applyFill="1" applyBorder="1" applyAlignment="1" applyProtection="1">
      <alignment horizontal="center" vertical="top"/>
    </xf>
    <xf numFmtId="0" fontId="77" fillId="24" borderId="0" xfId="0" applyFont="1" applyFill="1" applyBorder="1" applyAlignment="1" applyProtection="1">
      <alignment horizontal="left" vertical="top" wrapText="1"/>
    </xf>
    <xf numFmtId="0" fontId="77" fillId="24" borderId="103" xfId="0" applyFont="1" applyFill="1" applyBorder="1" applyAlignment="1" applyProtection="1">
      <alignment horizontal="left" vertical="top" wrapText="1"/>
    </xf>
    <xf numFmtId="0" fontId="32" fillId="24" borderId="0" xfId="0" applyFont="1" applyFill="1" applyBorder="1" applyAlignment="1" applyProtection="1">
      <alignment horizontal="center" vertical="top" wrapText="1"/>
    </xf>
    <xf numFmtId="0" fontId="32" fillId="24" borderId="103" xfId="0" applyFont="1" applyFill="1" applyBorder="1" applyAlignment="1" applyProtection="1">
      <alignment horizontal="center" vertical="top" wrapText="1"/>
    </xf>
    <xf numFmtId="0" fontId="53" fillId="0" borderId="15" xfId="0" applyFont="1" applyFill="1" applyBorder="1" applyAlignment="1" applyProtection="1">
      <alignment horizontal="center" vertical="center" wrapText="1"/>
    </xf>
    <xf numFmtId="0" fontId="0" fillId="24" borderId="18" xfId="0" applyFill="1" applyBorder="1" applyAlignment="1" applyProtection="1">
      <alignment horizontal="center"/>
    </xf>
    <xf numFmtId="0" fontId="0" fillId="24" borderId="14" xfId="0" applyFill="1" applyBorder="1" applyAlignment="1" applyProtection="1">
      <alignment horizontal="center"/>
    </xf>
    <xf numFmtId="0" fontId="4" fillId="24" borderId="0" xfId="0" applyFont="1" applyFill="1" applyBorder="1" applyAlignment="1" applyProtection="1">
      <alignment horizontal="left" vertical="center" wrapText="1"/>
    </xf>
    <xf numFmtId="0" fontId="4" fillId="24" borderId="48" xfId="0" applyFont="1" applyFill="1" applyBorder="1" applyAlignment="1" applyProtection="1">
      <alignment horizontal="left" vertical="center" wrapText="1"/>
    </xf>
    <xf numFmtId="0" fontId="32" fillId="24" borderId="0" xfId="0" applyFont="1" applyFill="1" applyBorder="1" applyAlignment="1" applyProtection="1">
      <alignment horizontal="center" vertical="center" wrapText="1"/>
    </xf>
    <xf numFmtId="0" fontId="32" fillId="24" borderId="103"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24" borderId="18" xfId="0" applyFont="1" applyFill="1" applyBorder="1" applyAlignment="1" applyProtection="1">
      <alignment horizontal="left" vertical="center" wrapText="1"/>
    </xf>
    <xf numFmtId="0" fontId="4" fillId="24" borderId="26" xfId="0" applyFont="1" applyFill="1" applyBorder="1" applyAlignment="1" applyProtection="1">
      <alignment horizontal="left" vertical="center" wrapText="1"/>
    </xf>
    <xf numFmtId="0" fontId="4" fillId="24" borderId="14" xfId="0" applyFont="1" applyFill="1" applyBorder="1" applyAlignment="1" applyProtection="1">
      <alignment horizontal="left" vertical="center" wrapText="1"/>
    </xf>
    <xf numFmtId="0" fontId="4" fillId="0" borderId="57"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4" fillId="0" borderId="44" xfId="0" applyFont="1" applyBorder="1" applyAlignment="1" applyProtection="1">
      <alignment horizontal="left" vertical="center" wrapText="1"/>
    </xf>
    <xf numFmtId="0" fontId="4" fillId="0" borderId="18" xfId="0" applyFont="1" applyBorder="1" applyAlignment="1" applyProtection="1">
      <alignment horizontal="left" vertical="center" wrapText="1"/>
    </xf>
    <xf numFmtId="0" fontId="4" fillId="0" borderId="26" xfId="0" applyFont="1" applyBorder="1" applyAlignment="1" applyProtection="1">
      <alignment horizontal="left" vertical="center" wrapText="1"/>
    </xf>
    <xf numFmtId="0" fontId="4" fillId="0" borderId="14" xfId="0" applyFont="1" applyBorder="1" applyAlignment="1" applyProtection="1">
      <alignment horizontal="left" vertical="center" wrapText="1"/>
    </xf>
    <xf numFmtId="0" fontId="55" fillId="24" borderId="15" xfId="0" applyFont="1" applyFill="1" applyBorder="1" applyAlignment="1" applyProtection="1">
      <alignment horizontal="center"/>
    </xf>
    <xf numFmtId="0" fontId="4" fillId="0" borderId="10" xfId="0" applyFont="1" applyBorder="1" applyAlignment="1">
      <alignment horizontal="left" vertical="center" wrapText="1"/>
    </xf>
    <xf numFmtId="0" fontId="4" fillId="0" borderId="25" xfId="0" applyFont="1" applyBorder="1" applyAlignment="1">
      <alignment horizontal="left" vertical="center" wrapText="1"/>
    </xf>
    <xf numFmtId="0" fontId="31" fillId="24" borderId="0" xfId="0" applyFont="1" applyFill="1" applyBorder="1" applyAlignment="1" applyProtection="1">
      <alignment vertical="top" wrapText="1"/>
    </xf>
    <xf numFmtId="0" fontId="6" fillId="26" borderId="15" xfId="0" applyFont="1" applyFill="1" applyBorder="1" applyAlignment="1">
      <alignment horizontal="center" vertical="center" wrapText="1"/>
    </xf>
    <xf numFmtId="0" fontId="6" fillId="26" borderId="21" xfId="0" applyFont="1" applyFill="1" applyBorder="1" applyAlignment="1">
      <alignment horizontal="center" vertical="center" wrapText="1"/>
    </xf>
    <xf numFmtId="0" fontId="4" fillId="28" borderId="27" xfId="0" applyFont="1" applyFill="1" applyBorder="1" applyAlignment="1" applyProtection="1">
      <alignment horizontal="center" vertical="center" wrapText="1"/>
    </xf>
    <xf numFmtId="0" fontId="4" fillId="28" borderId="105" xfId="0" applyFont="1" applyFill="1" applyBorder="1" applyAlignment="1" applyProtection="1">
      <alignment horizontal="center" vertical="center" wrapText="1"/>
    </xf>
    <xf numFmtId="0" fontId="4" fillId="28" borderId="34" xfId="0" applyFont="1" applyFill="1" applyBorder="1" applyAlignment="1" applyProtection="1">
      <alignment horizontal="center" vertical="center" wrapText="1"/>
    </xf>
    <xf numFmtId="0" fontId="33" fillId="24" borderId="0" xfId="0" applyFont="1" applyFill="1" applyBorder="1" applyAlignment="1" applyProtection="1">
      <alignment horizontal="center" wrapText="1"/>
    </xf>
    <xf numFmtId="0" fontId="33" fillId="24" borderId="39" xfId="0" applyFont="1" applyFill="1" applyBorder="1" applyAlignment="1" applyProtection="1">
      <alignment horizontal="center" wrapText="1"/>
    </xf>
    <xf numFmtId="0" fontId="8" fillId="28" borderId="105" xfId="0" applyFont="1" applyFill="1" applyBorder="1" applyAlignment="1" applyProtection="1">
      <alignment horizontal="center" vertical="center" wrapText="1"/>
    </xf>
    <xf numFmtId="0" fontId="8" fillId="28" borderId="17" xfId="0" applyFont="1" applyFill="1" applyBorder="1" applyAlignment="1">
      <alignment horizontal="center" vertical="center" wrapText="1"/>
    </xf>
    <xf numFmtId="0" fontId="8" fillId="28" borderId="10" xfId="0" applyFont="1" applyFill="1" applyBorder="1" applyAlignment="1">
      <alignment horizontal="center" vertical="center" wrapText="1"/>
    </xf>
    <xf numFmtId="0" fontId="8" fillId="28" borderId="58" xfId="0" applyFont="1" applyFill="1" applyBorder="1" applyAlignment="1">
      <alignment horizontal="center" vertical="center" wrapText="1"/>
    </xf>
    <xf numFmtId="0" fontId="8" fillId="28" borderId="13" xfId="0" applyFont="1" applyFill="1" applyBorder="1" applyAlignment="1">
      <alignment horizontal="center" vertical="center" wrapText="1"/>
    </xf>
    <xf numFmtId="0" fontId="8" fillId="28" borderId="103" xfId="0" applyFont="1" applyFill="1" applyBorder="1" applyAlignment="1">
      <alignment horizontal="center" vertical="center" wrapText="1"/>
    </xf>
    <xf numFmtId="0" fontId="8" fillId="28" borderId="63" xfId="0" applyFont="1" applyFill="1" applyBorder="1" applyAlignment="1">
      <alignment horizontal="center" vertical="center" wrapText="1"/>
    </xf>
    <xf numFmtId="0" fontId="4" fillId="24" borderId="47" xfId="0" applyFont="1" applyFill="1" applyBorder="1" applyAlignment="1" applyProtection="1">
      <alignment horizontal="left" vertical="center" wrapText="1"/>
    </xf>
    <xf numFmtId="0" fontId="4" fillId="24" borderId="45" xfId="0" applyFont="1" applyFill="1" applyBorder="1" applyAlignment="1" applyProtection="1">
      <alignment horizontal="left" vertical="center" wrapText="1"/>
    </xf>
    <xf numFmtId="0" fontId="3" fillId="0" borderId="26" xfId="0" applyFont="1" applyBorder="1" applyAlignment="1" applyProtection="1">
      <alignment wrapText="1"/>
      <protection locked="0"/>
    </xf>
    <xf numFmtId="0" fontId="3" fillId="0" borderId="14" xfId="0" applyFont="1" applyBorder="1" applyAlignment="1" applyProtection="1">
      <alignment wrapText="1"/>
      <protection locked="0"/>
    </xf>
    <xf numFmtId="0" fontId="8" fillId="28" borderId="48" xfId="0" applyFont="1" applyFill="1" applyBorder="1" applyAlignment="1" applyProtection="1">
      <alignment horizontal="center" vertical="top"/>
    </xf>
    <xf numFmtId="0" fontId="32" fillId="24" borderId="83" xfId="0" applyFont="1" applyFill="1" applyBorder="1" applyAlignment="1" applyProtection="1">
      <alignment horizontal="center" wrapText="1"/>
    </xf>
    <xf numFmtId="0" fontId="32" fillId="24" borderId="102" xfId="0" applyFont="1" applyFill="1" applyBorder="1" applyAlignment="1" applyProtection="1">
      <alignment horizontal="center" wrapText="1"/>
    </xf>
    <xf numFmtId="0" fontId="4" fillId="24" borderId="17" xfId="0" applyFont="1" applyFill="1" applyBorder="1" applyAlignment="1" applyProtection="1">
      <alignment horizontal="center" vertical="top" wrapText="1"/>
      <protection locked="0"/>
    </xf>
    <xf numFmtId="0" fontId="4" fillId="24" borderId="10" xfId="0" applyFont="1" applyFill="1" applyBorder="1" applyAlignment="1" applyProtection="1">
      <alignment horizontal="center" vertical="top" wrapText="1"/>
      <protection locked="0"/>
    </xf>
    <xf numFmtId="0" fontId="4" fillId="24" borderId="25" xfId="0" applyFont="1" applyFill="1" applyBorder="1" applyAlignment="1" applyProtection="1">
      <alignment horizontal="center" vertical="top" wrapText="1"/>
      <protection locked="0"/>
    </xf>
    <xf numFmtId="0" fontId="4" fillId="24" borderId="13" xfId="0" applyFont="1" applyFill="1" applyBorder="1" applyAlignment="1" applyProtection="1">
      <alignment horizontal="center" vertical="top" wrapText="1"/>
      <protection locked="0"/>
    </xf>
    <xf numFmtId="0" fontId="4" fillId="24" borderId="103" xfId="0" applyFont="1" applyFill="1" applyBorder="1" applyAlignment="1" applyProtection="1">
      <alignment horizontal="center" vertical="top" wrapText="1"/>
      <protection locked="0"/>
    </xf>
    <xf numFmtId="0" fontId="4" fillId="24" borderId="104" xfId="0" applyFont="1" applyFill="1" applyBorder="1" applyAlignment="1" applyProtection="1">
      <alignment horizontal="center" vertical="top" wrapText="1"/>
      <protection locked="0"/>
    </xf>
    <xf numFmtId="0" fontId="8" fillId="42" borderId="22" xfId="0" applyFont="1" applyFill="1" applyBorder="1" applyAlignment="1">
      <alignment horizontal="center" vertical="center" wrapText="1"/>
    </xf>
    <xf numFmtId="0" fontId="8" fillId="42" borderId="15" xfId="0" applyFont="1" applyFill="1" applyBorder="1" applyAlignment="1">
      <alignment horizontal="center" vertical="center" wrapText="1"/>
    </xf>
    <xf numFmtId="0" fontId="8" fillId="42" borderId="21" xfId="0" applyFont="1" applyFill="1" applyBorder="1" applyAlignment="1">
      <alignment horizontal="center" vertical="center" wrapText="1"/>
    </xf>
    <xf numFmtId="165" fontId="4" fillId="24" borderId="18" xfId="0" applyNumberFormat="1" applyFont="1" applyFill="1" applyBorder="1" applyAlignment="1" applyProtection="1">
      <alignment horizontal="center" vertical="center"/>
    </xf>
    <xf numFmtId="165" fontId="4" fillId="24" borderId="14" xfId="0" applyNumberFormat="1" applyFont="1" applyFill="1" applyBorder="1" applyAlignment="1" applyProtection="1">
      <alignment horizontal="center" vertical="center"/>
    </xf>
    <xf numFmtId="3" fontId="4" fillId="24" borderId="118" xfId="0" applyNumberFormat="1" applyFont="1" applyFill="1" applyBorder="1" applyAlignment="1" applyProtection="1">
      <alignment horizontal="center" vertical="center"/>
    </xf>
    <xf numFmtId="0" fontId="4" fillId="24" borderId="118" xfId="0" applyFont="1" applyFill="1" applyBorder="1" applyAlignment="1" applyProtection="1">
      <alignment horizontal="center" vertical="center"/>
    </xf>
    <xf numFmtId="0" fontId="4" fillId="24" borderId="119" xfId="0" applyFont="1" applyFill="1" applyBorder="1" applyAlignment="1" applyProtection="1">
      <alignment horizontal="center" vertical="center"/>
    </xf>
    <xf numFmtId="3" fontId="4" fillId="24" borderId="120" xfId="0" applyNumberFormat="1" applyFont="1" applyFill="1" applyBorder="1" applyAlignment="1" applyProtection="1">
      <alignment horizontal="center" vertical="center"/>
    </xf>
    <xf numFmtId="0" fontId="4" fillId="24" borderId="121" xfId="0" applyFont="1" applyFill="1" applyBorder="1" applyAlignment="1" applyProtection="1">
      <alignment horizontal="center" vertical="center"/>
    </xf>
    <xf numFmtId="0" fontId="4" fillId="24" borderId="120" xfId="0" applyFont="1" applyFill="1" applyBorder="1" applyAlignment="1" applyProtection="1">
      <alignment horizontal="center" vertical="center"/>
    </xf>
    <xf numFmtId="0" fontId="32" fillId="24" borderId="82" xfId="0" applyFont="1" applyFill="1" applyBorder="1" applyAlignment="1" applyProtection="1">
      <alignment horizontal="center" wrapText="1"/>
    </xf>
    <xf numFmtId="0" fontId="32" fillId="0" borderId="102" xfId="0" applyFont="1" applyBorder="1" applyAlignment="1" applyProtection="1">
      <alignment horizontal="center" wrapText="1"/>
    </xf>
    <xf numFmtId="0" fontId="8" fillId="0" borderId="16" xfId="0" applyFont="1" applyFill="1" applyBorder="1" applyAlignment="1" applyProtection="1">
      <alignment horizontal="center" vertical="center" wrapText="1"/>
    </xf>
    <xf numFmtId="0" fontId="8" fillId="0" borderId="51"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0" fillId="0" borderId="21" xfId="0" applyFill="1" applyBorder="1" applyAlignment="1">
      <alignment wrapText="1"/>
    </xf>
    <xf numFmtId="0" fontId="0" fillId="0" borderId="15" xfId="0" applyFill="1" applyBorder="1" applyAlignment="1">
      <alignment wrapText="1"/>
    </xf>
    <xf numFmtId="0" fontId="8" fillId="42" borderId="117" xfId="0" applyFont="1" applyFill="1" applyBorder="1" applyAlignment="1" applyProtection="1">
      <alignment horizontal="center" vertical="center" wrapText="1"/>
    </xf>
    <xf numFmtId="0" fontId="0" fillId="42" borderId="117" xfId="0" applyFill="1" applyBorder="1" applyAlignment="1">
      <alignment wrapText="1"/>
    </xf>
    <xf numFmtId="0" fontId="0" fillId="42" borderId="116" xfId="0" applyFill="1" applyBorder="1" applyAlignment="1">
      <alignment wrapText="1"/>
    </xf>
    <xf numFmtId="0" fontId="8" fillId="28" borderId="18" xfId="0" applyFont="1" applyFill="1" applyBorder="1" applyAlignment="1" applyProtection="1">
      <alignment horizontal="center" vertical="center" wrapText="1"/>
    </xf>
    <xf numFmtId="0" fontId="0" fillId="28" borderId="14" xfId="0" applyFill="1" applyBorder="1" applyAlignment="1">
      <alignment wrapText="1"/>
    </xf>
    <xf numFmtId="0" fontId="8" fillId="25" borderId="18" xfId="0" applyFont="1" applyFill="1" applyBorder="1" applyAlignment="1" applyProtection="1">
      <alignment horizontal="center" vertical="center" wrapText="1"/>
    </xf>
    <xf numFmtId="0" fontId="0" fillId="0" borderId="14" xfId="0" applyBorder="1" applyAlignment="1">
      <alignment wrapText="1"/>
    </xf>
    <xf numFmtId="0" fontId="0" fillId="28" borderId="32" xfId="0" applyFill="1" applyBorder="1" applyAlignment="1">
      <alignment wrapText="1"/>
    </xf>
    <xf numFmtId="165" fontId="4" fillId="24" borderId="32" xfId="0" applyNumberFormat="1" applyFont="1" applyFill="1" applyBorder="1" applyAlignment="1" applyProtection="1">
      <alignment horizontal="center" vertical="center"/>
    </xf>
    <xf numFmtId="0" fontId="53" fillId="0" borderId="27" xfId="0" applyFont="1" applyFill="1" applyBorder="1" applyAlignment="1" applyProtection="1">
      <alignment horizontal="center" vertical="center" textRotation="90" wrapText="1"/>
    </xf>
    <xf numFmtId="0" fontId="53" fillId="0" borderId="105" xfId="0" applyFont="1" applyFill="1" applyBorder="1" applyAlignment="1" applyProtection="1">
      <alignment horizontal="center" vertical="center" textRotation="90" wrapText="1"/>
    </xf>
    <xf numFmtId="0" fontId="4" fillId="24" borderId="0" xfId="0" applyFont="1" applyFill="1" applyBorder="1" applyAlignment="1" applyProtection="1">
      <alignment horizontal="left" wrapText="1"/>
    </xf>
    <xf numFmtId="0" fontId="4" fillId="24" borderId="103" xfId="0" applyFont="1" applyFill="1" applyBorder="1" applyAlignment="1" applyProtection="1">
      <alignment horizontal="left" wrapText="1"/>
    </xf>
    <xf numFmtId="0" fontId="4" fillId="26" borderId="0" xfId="0" applyFont="1" applyFill="1" applyBorder="1" applyAlignment="1" applyProtection="1">
      <alignment horizontal="left" wrapText="1"/>
    </xf>
    <xf numFmtId="0" fontId="4" fillId="26" borderId="103" xfId="0" applyFont="1" applyFill="1" applyBorder="1" applyAlignment="1" applyProtection="1">
      <alignment horizontal="left" wrapText="1"/>
    </xf>
    <xf numFmtId="0" fontId="0" fillId="0" borderId="32" xfId="0" applyBorder="1" applyAlignment="1">
      <alignment wrapText="1"/>
    </xf>
    <xf numFmtId="0" fontId="80" fillId="47" borderId="117" xfId="0" applyFont="1" applyFill="1" applyBorder="1" applyAlignment="1" applyProtection="1">
      <alignment horizontal="center" vertical="center" wrapText="1"/>
    </xf>
    <xf numFmtId="0" fontId="81" fillId="47" borderId="117" xfId="0" applyFont="1" applyFill="1" applyBorder="1" applyAlignment="1">
      <alignment wrapText="1"/>
    </xf>
    <xf numFmtId="0" fontId="80" fillId="48" borderId="117" xfId="0" applyFont="1" applyFill="1" applyBorder="1" applyAlignment="1" applyProtection="1">
      <alignment horizontal="center" vertical="center" wrapText="1"/>
    </xf>
    <xf numFmtId="0" fontId="81" fillId="48" borderId="117" xfId="0" applyFont="1" applyFill="1" applyBorder="1" applyAlignment="1">
      <alignment wrapText="1"/>
    </xf>
    <xf numFmtId="0" fontId="80" fillId="49" borderId="117" xfId="0" applyFont="1" applyFill="1" applyBorder="1" applyAlignment="1" applyProtection="1">
      <alignment horizontal="center" vertical="center" wrapText="1"/>
    </xf>
    <xf numFmtId="0" fontId="81" fillId="49" borderId="117" xfId="0" applyFont="1" applyFill="1" applyBorder="1" applyAlignment="1">
      <alignment wrapText="1"/>
    </xf>
    <xf numFmtId="0" fontId="80" fillId="50" borderId="117" xfId="0" applyFont="1" applyFill="1" applyBorder="1" applyAlignment="1" applyProtection="1">
      <alignment horizontal="center" vertical="center" wrapText="1"/>
    </xf>
    <xf numFmtId="0" fontId="81" fillId="50" borderId="117" xfId="0" applyFont="1" applyFill="1" applyBorder="1" applyAlignment="1">
      <alignment wrapText="1"/>
    </xf>
    <xf numFmtId="0" fontId="80" fillId="51" borderId="117" xfId="0" applyFont="1" applyFill="1" applyBorder="1" applyAlignment="1" applyProtection="1">
      <alignment horizontal="center" vertical="center" wrapText="1"/>
    </xf>
    <xf numFmtId="0" fontId="81" fillId="51" borderId="117" xfId="0" applyFont="1" applyFill="1" applyBorder="1" applyAlignment="1">
      <alignment wrapText="1"/>
    </xf>
    <xf numFmtId="0" fontId="80" fillId="52" borderId="117" xfId="0" applyFont="1" applyFill="1" applyBorder="1" applyAlignment="1" applyProtection="1">
      <alignment horizontal="center" vertical="center" wrapText="1"/>
    </xf>
    <xf numFmtId="0" fontId="81" fillId="52" borderId="117" xfId="0" applyFont="1" applyFill="1" applyBorder="1" applyAlignment="1">
      <alignment wrapText="1"/>
    </xf>
    <xf numFmtId="0" fontId="80" fillId="53" borderId="117" xfId="0" applyFont="1" applyFill="1" applyBorder="1" applyAlignment="1" applyProtection="1">
      <alignment horizontal="center" vertical="center" wrapText="1"/>
    </xf>
    <xf numFmtId="0" fontId="81" fillId="53" borderId="117" xfId="0" applyFont="1" applyFill="1" applyBorder="1" applyAlignment="1">
      <alignment wrapText="1"/>
    </xf>
    <xf numFmtId="0" fontId="80" fillId="54" borderId="117" xfId="0" applyFont="1" applyFill="1" applyBorder="1" applyAlignment="1" applyProtection="1">
      <alignment horizontal="center" vertical="center" wrapText="1"/>
    </xf>
    <xf numFmtId="0" fontId="81" fillId="54" borderId="117" xfId="0" applyFont="1" applyFill="1" applyBorder="1" applyAlignment="1">
      <alignment wrapText="1"/>
    </xf>
    <xf numFmtId="0" fontId="80" fillId="55" borderId="117" xfId="0" applyFont="1" applyFill="1" applyBorder="1" applyAlignment="1" applyProtection="1">
      <alignment horizontal="center" vertical="center" wrapText="1"/>
    </xf>
    <xf numFmtId="0" fontId="81" fillId="55" borderId="117" xfId="0" applyFont="1" applyFill="1" applyBorder="1" applyAlignment="1">
      <alignment wrapText="1"/>
    </xf>
    <xf numFmtId="0" fontId="80" fillId="45" borderId="117" xfId="0" applyFont="1" applyFill="1" applyBorder="1" applyAlignment="1" applyProtection="1">
      <alignment horizontal="center" vertical="center" wrapText="1"/>
    </xf>
    <xf numFmtId="0" fontId="81" fillId="45" borderId="116" xfId="0" applyFont="1" applyFill="1" applyBorder="1" applyAlignment="1">
      <alignment wrapText="1"/>
    </xf>
    <xf numFmtId="3" fontId="4" fillId="24" borderId="121" xfId="0" applyNumberFormat="1" applyFont="1" applyFill="1" applyBorder="1" applyAlignment="1" applyProtection="1">
      <alignment horizontal="center" vertical="center"/>
    </xf>
    <xf numFmtId="3" fontId="4" fillId="24" borderId="122" xfId="0" applyNumberFormat="1" applyFont="1" applyFill="1" applyBorder="1" applyAlignment="1" applyProtection="1">
      <alignment horizontal="center" vertical="center"/>
    </xf>
    <xf numFmtId="3" fontId="4" fillId="24" borderId="123" xfId="0" applyNumberFormat="1" applyFont="1" applyFill="1" applyBorder="1" applyAlignment="1" applyProtection="1">
      <alignment horizontal="center" vertical="center"/>
    </xf>
    <xf numFmtId="3" fontId="4" fillId="24" borderId="124" xfId="0" applyNumberFormat="1" applyFont="1" applyFill="1" applyBorder="1" applyAlignment="1" applyProtection="1">
      <alignment horizontal="center" vertical="center"/>
    </xf>
    <xf numFmtId="3" fontId="4" fillId="24" borderId="125" xfId="0" applyNumberFormat="1" applyFont="1" applyFill="1" applyBorder="1" applyAlignment="1" applyProtection="1">
      <alignment horizontal="center" vertical="center"/>
    </xf>
    <xf numFmtId="3" fontId="4" fillId="24" borderId="126" xfId="0" applyNumberFormat="1" applyFont="1" applyFill="1" applyBorder="1" applyAlignment="1" applyProtection="1">
      <alignment horizontal="center" vertical="center"/>
    </xf>
    <xf numFmtId="3" fontId="4" fillId="24" borderId="127" xfId="0" applyNumberFormat="1" applyFont="1" applyFill="1" applyBorder="1" applyAlignment="1" applyProtection="1">
      <alignment horizontal="center" vertical="center"/>
    </xf>
    <xf numFmtId="0" fontId="8" fillId="42" borderId="15" xfId="0" applyFont="1" applyFill="1" applyBorder="1" applyAlignment="1" applyProtection="1">
      <alignment horizontal="center" vertical="center" wrapText="1"/>
    </xf>
    <xf numFmtId="0" fontId="8" fillId="42" borderId="18" xfId="0" applyFont="1" applyFill="1" applyBorder="1" applyAlignment="1">
      <alignment horizontal="center" vertical="center" wrapText="1"/>
    </xf>
    <xf numFmtId="0" fontId="8" fillId="42" borderId="14" xfId="0" applyFont="1" applyFill="1" applyBorder="1" applyAlignment="1">
      <alignment horizontal="center" vertical="center" wrapText="1"/>
    </xf>
    <xf numFmtId="0" fontId="51" fillId="0" borderId="18" xfId="0" applyFont="1" applyFill="1" applyBorder="1" applyAlignment="1" applyProtection="1">
      <alignment horizontal="center"/>
    </xf>
    <xf numFmtId="0" fontId="51" fillId="0" borderId="26" xfId="0" applyFont="1" applyFill="1" applyBorder="1" applyAlignment="1" applyProtection="1">
      <alignment horizontal="center"/>
    </xf>
    <xf numFmtId="0" fontId="51" fillId="0" borderId="32" xfId="0" applyFont="1" applyFill="1" applyBorder="1" applyAlignment="1" applyProtection="1">
      <alignment horizontal="center"/>
    </xf>
    <xf numFmtId="0" fontId="51" fillId="0" borderId="14" xfId="0" applyFont="1" applyFill="1" applyBorder="1" applyAlignment="1" applyProtection="1">
      <alignment horizontal="center"/>
    </xf>
    <xf numFmtId="0" fontId="61" fillId="0" borderId="15" xfId="0" applyFont="1" applyFill="1" applyBorder="1" applyAlignment="1">
      <alignment horizontal="center" vertical="center" wrapText="1"/>
    </xf>
    <xf numFmtId="0" fontId="8" fillId="26" borderId="0" xfId="0" applyFont="1" applyFill="1" applyBorder="1" applyAlignment="1" applyProtection="1">
      <alignment horizontal="left" vertical="top" wrapText="1"/>
    </xf>
    <xf numFmtId="0" fontId="37" fillId="0" borderId="15" xfId="0" applyFont="1" applyFill="1" applyBorder="1" applyAlignment="1" applyProtection="1">
      <alignment horizontal="center"/>
    </xf>
    <xf numFmtId="0" fontId="4" fillId="0" borderId="16" xfId="0" applyFont="1" applyFill="1" applyBorder="1" applyAlignment="1" applyProtection="1">
      <alignment horizontal="center" vertical="center" wrapText="1"/>
    </xf>
    <xf numFmtId="0" fontId="4" fillId="0" borderId="50"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24" borderId="103" xfId="0" applyFont="1" applyFill="1" applyBorder="1" applyAlignment="1" applyProtection="1">
      <alignment horizontal="left" vertical="center" wrapText="1"/>
    </xf>
    <xf numFmtId="0" fontId="6" fillId="0" borderId="15"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8" fillId="0" borderId="18" xfId="0" applyFont="1" applyFill="1" applyBorder="1" applyAlignment="1" applyProtection="1">
      <alignment horizontal="center" vertical="center" wrapText="1"/>
    </xf>
    <xf numFmtId="0" fontId="8" fillId="0" borderId="26" xfId="0" applyFont="1" applyFill="1" applyBorder="1" applyAlignment="1" applyProtection="1">
      <alignment horizontal="center" vertical="center" wrapText="1"/>
    </xf>
    <xf numFmtId="0" fontId="8" fillId="0" borderId="32" xfId="0" applyFont="1" applyFill="1" applyBorder="1" applyAlignment="1" applyProtection="1">
      <alignment horizontal="center" vertical="center" wrapText="1"/>
    </xf>
    <xf numFmtId="0" fontId="31" fillId="26" borderId="0" xfId="0" applyFont="1" applyFill="1" applyBorder="1" applyAlignment="1" applyProtection="1">
      <alignment horizontal="left" wrapText="1"/>
    </xf>
    <xf numFmtId="0" fontId="55" fillId="24" borderId="62" xfId="0" applyFont="1" applyFill="1" applyBorder="1" applyAlignment="1" applyProtection="1">
      <alignment horizontal="center"/>
    </xf>
    <xf numFmtId="0" fontId="55" fillId="24" borderId="103" xfId="0" applyFont="1" applyFill="1" applyBorder="1" applyAlignment="1" applyProtection="1">
      <alignment horizontal="center"/>
    </xf>
    <xf numFmtId="0" fontId="55" fillId="24" borderId="63" xfId="0" applyFont="1" applyFill="1" applyBorder="1" applyAlignment="1" applyProtection="1">
      <alignment horizontal="center"/>
    </xf>
    <xf numFmtId="0" fontId="37" fillId="0" borderId="0" xfId="0" applyFont="1" applyFill="1" applyBorder="1" applyAlignment="1" applyProtection="1">
      <alignment horizontal="center" wrapText="1"/>
    </xf>
    <xf numFmtId="0" fontId="37" fillId="0" borderId="103" xfId="0" applyFont="1" applyFill="1" applyBorder="1" applyAlignment="1" applyProtection="1">
      <alignment horizontal="center" wrapText="1"/>
    </xf>
    <xf numFmtId="0" fontId="6" fillId="26" borderId="0" xfId="0" applyFont="1" applyFill="1" applyBorder="1" applyAlignment="1" applyProtection="1">
      <alignment horizontal="left" vertical="top" wrapText="1"/>
    </xf>
    <xf numFmtId="0" fontId="8" fillId="24" borderId="18" xfId="0" applyFont="1" applyFill="1" applyBorder="1" applyAlignment="1" applyProtection="1">
      <alignment horizontal="left" vertical="top" wrapText="1"/>
      <protection locked="0"/>
    </xf>
    <xf numFmtId="0" fontId="6" fillId="0" borderId="18" xfId="0" applyFont="1" applyFill="1" applyBorder="1" applyAlignment="1">
      <alignment horizontal="center" vertical="center" wrapText="1"/>
    </xf>
    <xf numFmtId="0" fontId="8" fillId="28" borderId="26" xfId="0" applyFont="1" applyFill="1" applyBorder="1" applyAlignment="1" applyProtection="1">
      <alignment horizontal="center" vertical="center" wrapText="1"/>
    </xf>
    <xf numFmtId="0" fontId="8" fillId="28" borderId="32" xfId="0" applyFont="1" applyFill="1" applyBorder="1" applyAlignment="1" applyProtection="1">
      <alignment horizontal="center" vertical="center" wrapText="1"/>
    </xf>
    <xf numFmtId="0" fontId="4" fillId="26" borderId="79" xfId="0" applyFont="1" applyFill="1" applyBorder="1" applyAlignment="1" applyProtection="1">
      <alignment horizontal="left" wrapText="1"/>
    </xf>
    <xf numFmtId="0" fontId="6" fillId="28" borderId="15" xfId="0" applyFont="1" applyFill="1" applyBorder="1" applyAlignment="1">
      <alignment horizontal="center" vertical="center" wrapText="1"/>
    </xf>
    <xf numFmtId="0" fontId="6" fillId="28" borderId="21" xfId="0" applyFont="1" applyFill="1" applyBorder="1" applyAlignment="1">
      <alignment horizontal="center" vertical="center" wrapText="1"/>
    </xf>
    <xf numFmtId="9" fontId="4" fillId="0" borderId="18" xfId="0" applyNumberFormat="1" applyFont="1" applyFill="1" applyBorder="1" applyAlignment="1" applyProtection="1">
      <alignment horizontal="center" vertical="center"/>
    </xf>
    <xf numFmtId="9" fontId="4" fillId="0" borderId="14" xfId="0" applyNumberFormat="1" applyFont="1" applyFill="1" applyBorder="1" applyAlignment="1" applyProtection="1">
      <alignment horizontal="center" vertical="center"/>
    </xf>
    <xf numFmtId="9" fontId="60" fillId="34" borderId="18" xfId="0" applyNumberFormat="1" applyFont="1" applyFill="1" applyBorder="1" applyAlignment="1" applyProtection="1">
      <alignment horizontal="center" vertical="center"/>
    </xf>
    <xf numFmtId="9" fontId="60" fillId="34" borderId="14" xfId="0" applyNumberFormat="1" applyFont="1" applyFill="1" applyBorder="1" applyAlignment="1" applyProtection="1">
      <alignment horizontal="center" vertical="center"/>
    </xf>
    <xf numFmtId="0" fontId="8" fillId="33" borderId="18" xfId="0" quotePrefix="1" applyFont="1" applyFill="1" applyBorder="1" applyAlignment="1" applyProtection="1">
      <alignment horizontal="center" vertical="center" wrapText="1"/>
    </xf>
    <xf numFmtId="0" fontId="8" fillId="33" borderId="14" xfId="0" applyFont="1" applyFill="1" applyBorder="1" applyAlignment="1" applyProtection="1">
      <alignment horizontal="center" vertical="center" wrapText="1"/>
    </xf>
    <xf numFmtId="0" fontId="8" fillId="33" borderId="20" xfId="0" applyFont="1" applyFill="1" applyBorder="1" applyAlignment="1" applyProtection="1">
      <alignment horizontal="center" vertical="center" wrapText="1"/>
    </xf>
    <xf numFmtId="0" fontId="8" fillId="33" borderId="26" xfId="0" applyFont="1" applyFill="1" applyBorder="1" applyAlignment="1" applyProtection="1">
      <alignment horizontal="center" vertical="center" wrapText="1"/>
    </xf>
    <xf numFmtId="0" fontId="8" fillId="33" borderId="32" xfId="0" applyFont="1" applyFill="1" applyBorder="1" applyAlignment="1" applyProtection="1">
      <alignment horizontal="center" vertical="center" wrapText="1"/>
    </xf>
    <xf numFmtId="0" fontId="4" fillId="0" borderId="26" xfId="0" applyFont="1" applyBorder="1" applyAlignment="1">
      <alignment horizontal="left" vertical="center" wrapText="1"/>
    </xf>
    <xf numFmtId="0" fontId="4" fillId="0" borderId="14" xfId="0" applyFont="1" applyBorder="1" applyAlignment="1">
      <alignment horizontal="left" vertical="center" wrapText="1"/>
    </xf>
    <xf numFmtId="9" fontId="4" fillId="29" borderId="18" xfId="0" applyNumberFormat="1" applyFont="1" applyFill="1" applyBorder="1" applyAlignment="1" applyProtection="1">
      <alignment horizontal="center" vertical="center"/>
    </xf>
    <xf numFmtId="9" fontId="4" fillId="29" borderId="14" xfId="0" applyNumberFormat="1" applyFont="1" applyFill="1" applyBorder="1" applyAlignment="1" applyProtection="1">
      <alignment horizontal="center" vertical="center"/>
    </xf>
    <xf numFmtId="0" fontId="62" fillId="0" borderId="22" xfId="0" applyFont="1" applyFill="1" applyBorder="1" applyAlignment="1" applyProtection="1">
      <alignment horizontal="center" vertical="center"/>
    </xf>
    <xf numFmtId="0" fontId="62" fillId="0" borderId="21" xfId="0" applyFont="1" applyFill="1" applyBorder="1" applyAlignment="1" applyProtection="1">
      <alignment horizontal="center" vertical="center"/>
    </xf>
    <xf numFmtId="0" fontId="50" fillId="0" borderId="22" xfId="0" applyFont="1" applyFill="1" applyBorder="1" applyAlignment="1" applyProtection="1">
      <alignment horizontal="center" vertical="center"/>
    </xf>
    <xf numFmtId="0" fontId="50" fillId="0" borderId="15" xfId="0" applyFont="1" applyFill="1" applyBorder="1" applyAlignment="1" applyProtection="1">
      <alignment horizontal="center" vertical="center"/>
    </xf>
    <xf numFmtId="0" fontId="50" fillId="0" borderId="21" xfId="0" applyFont="1" applyFill="1" applyBorder="1" applyAlignment="1" applyProtection="1">
      <alignment horizontal="center" vertical="center"/>
    </xf>
    <xf numFmtId="0" fontId="61" fillId="0" borderId="16" xfId="0" applyFont="1" applyFill="1" applyBorder="1" applyAlignment="1" applyProtection="1">
      <alignment horizontal="center" vertical="center" wrapText="1"/>
    </xf>
    <xf numFmtId="0" fontId="61" fillId="0" borderId="12" xfId="0" applyFont="1" applyFill="1" applyBorder="1" applyAlignment="1" applyProtection="1">
      <alignment horizontal="center" vertical="center" wrapText="1"/>
    </xf>
    <xf numFmtId="0" fontId="31" fillId="24" borderId="0" xfId="0" applyFont="1" applyFill="1" applyBorder="1" applyAlignment="1" applyProtection="1">
      <alignment horizontal="left" vertical="center" wrapText="1"/>
    </xf>
    <xf numFmtId="0" fontId="34" fillId="26" borderId="17" xfId="0" applyFont="1" applyFill="1" applyBorder="1" applyAlignment="1" applyProtection="1">
      <alignment horizontal="center" vertical="center" wrapText="1"/>
      <protection locked="0"/>
    </xf>
    <xf numFmtId="0" fontId="34" fillId="26" borderId="10" xfId="0" applyFont="1" applyFill="1" applyBorder="1" applyAlignment="1" applyProtection="1">
      <alignment horizontal="center" vertical="center" wrapText="1"/>
      <protection locked="0"/>
    </xf>
    <xf numFmtId="0" fontId="34" fillId="26" borderId="25" xfId="0" applyFont="1" applyFill="1" applyBorder="1" applyAlignment="1" applyProtection="1">
      <alignment horizontal="center" vertical="center" wrapText="1"/>
      <protection locked="0"/>
    </xf>
    <xf numFmtId="0" fontId="34" fillId="26" borderId="13" xfId="0" applyFont="1" applyFill="1" applyBorder="1" applyAlignment="1" applyProtection="1">
      <alignment horizontal="center" vertical="center" wrapText="1"/>
      <protection locked="0"/>
    </xf>
    <xf numFmtId="0" fontId="34" fillId="26" borderId="103" xfId="0" applyFont="1" applyFill="1" applyBorder="1" applyAlignment="1" applyProtection="1">
      <alignment horizontal="center" vertical="center" wrapText="1"/>
      <protection locked="0"/>
    </xf>
    <xf numFmtId="0" fontId="34" fillId="26" borderId="104" xfId="0" applyFont="1" applyFill="1" applyBorder="1" applyAlignment="1" applyProtection="1">
      <alignment horizontal="center" vertical="center" wrapText="1"/>
      <protection locked="0"/>
    </xf>
    <xf numFmtId="0" fontId="62" fillId="0" borderId="15" xfId="0" applyFont="1" applyFill="1" applyBorder="1" applyAlignment="1">
      <alignment horizontal="center" vertical="center"/>
    </xf>
    <xf numFmtId="0" fontId="75" fillId="24" borderId="18" xfId="0" applyFont="1" applyFill="1" applyBorder="1" applyAlignment="1" applyProtection="1">
      <alignment horizontal="center"/>
    </xf>
    <xf numFmtId="0" fontId="75" fillId="24" borderId="26" xfId="0" applyFont="1" applyFill="1" applyBorder="1" applyAlignment="1" applyProtection="1">
      <alignment horizontal="center"/>
    </xf>
    <xf numFmtId="0" fontId="75" fillId="24" borderId="14" xfId="0" applyFont="1" applyFill="1" applyBorder="1" applyAlignment="1" applyProtection="1">
      <alignment horizontal="center"/>
    </xf>
    <xf numFmtId="0" fontId="53" fillId="0" borderId="24" xfId="0" applyFont="1" applyFill="1" applyBorder="1" applyAlignment="1" applyProtection="1">
      <alignment horizontal="center" vertical="center" wrapText="1"/>
    </xf>
    <xf numFmtId="0" fontId="53" fillId="0" borderId="29" xfId="0" applyFont="1" applyFill="1" applyBorder="1" applyAlignment="1" applyProtection="1">
      <alignment horizontal="center" vertical="center" wrapText="1"/>
    </xf>
    <xf numFmtId="0" fontId="53" fillId="0" borderId="23" xfId="0" applyFont="1" applyFill="1" applyBorder="1" applyAlignment="1" applyProtection="1">
      <alignment horizontal="center" vertical="center" wrapText="1"/>
    </xf>
    <xf numFmtId="0" fontId="53" fillId="0" borderId="31" xfId="0" applyFont="1" applyFill="1" applyBorder="1" applyAlignment="1" applyProtection="1">
      <alignment horizontal="center" vertical="center" wrapText="1"/>
    </xf>
    <xf numFmtId="0" fontId="8" fillId="0" borderId="18" xfId="0" applyFont="1" applyFill="1" applyBorder="1" applyAlignment="1" applyProtection="1">
      <alignment horizontal="center" vertical="top" wrapText="1"/>
      <protection locked="0"/>
    </xf>
    <xf numFmtId="0" fontId="8" fillId="0" borderId="26" xfId="0" applyFont="1" applyFill="1" applyBorder="1" applyAlignment="1" applyProtection="1">
      <alignment horizontal="center" vertical="top" wrapText="1"/>
      <protection locked="0"/>
    </xf>
    <xf numFmtId="0" fontId="8" fillId="0" borderId="14" xfId="0" applyFont="1" applyFill="1" applyBorder="1" applyAlignment="1" applyProtection="1">
      <alignment horizontal="center" vertical="top" wrapText="1"/>
      <protection locked="0"/>
    </xf>
    <xf numFmtId="0" fontId="50" fillId="24" borderId="15" xfId="0" applyFont="1" applyFill="1" applyBorder="1" applyAlignment="1" applyProtection="1">
      <alignment horizontal="center"/>
    </xf>
    <xf numFmtId="0" fontId="50" fillId="0" borderId="15" xfId="0" applyFont="1" applyFill="1" applyBorder="1" applyAlignment="1" applyProtection="1">
      <alignment horizontal="center" vertical="center" wrapText="1"/>
    </xf>
    <xf numFmtId="0" fontId="75" fillId="24" borderId="15" xfId="0" applyFont="1" applyFill="1" applyBorder="1" applyAlignment="1" applyProtection="1">
      <alignment horizontal="center"/>
    </xf>
    <xf numFmtId="0" fontId="50" fillId="0" borderId="20" xfId="0" applyFont="1" applyFill="1" applyBorder="1" applyAlignment="1" applyProtection="1">
      <alignment horizontal="center" vertical="center"/>
    </xf>
    <xf numFmtId="0" fontId="50" fillId="0" borderId="26" xfId="0" applyFont="1" applyFill="1" applyBorder="1" applyAlignment="1" applyProtection="1">
      <alignment horizontal="center" vertical="center"/>
    </xf>
    <xf numFmtId="0" fontId="50" fillId="0" borderId="32" xfId="0" applyFont="1" applyFill="1" applyBorder="1" applyAlignment="1" applyProtection="1">
      <alignment horizontal="center" vertical="center"/>
    </xf>
    <xf numFmtId="0" fontId="3" fillId="0" borderId="14" xfId="0" applyFont="1" applyFill="1" applyBorder="1" applyAlignment="1">
      <alignment horizontal="center" vertical="center" wrapText="1"/>
    </xf>
    <xf numFmtId="0" fontId="50" fillId="0" borderId="24" xfId="0" applyFont="1" applyFill="1" applyBorder="1" applyAlignment="1" applyProtection="1">
      <alignment horizontal="center" vertical="center" wrapText="1"/>
    </xf>
    <xf numFmtId="0" fontId="50" fillId="0" borderId="29" xfId="0" applyFont="1" applyFill="1" applyBorder="1" applyAlignment="1" applyProtection="1">
      <alignment horizontal="center" vertical="center" wrapText="1"/>
    </xf>
    <xf numFmtId="0" fontId="50" fillId="0" borderId="23" xfId="0" applyFont="1" applyFill="1" applyBorder="1" applyAlignment="1" applyProtection="1">
      <alignment horizontal="center" vertical="center" wrapText="1"/>
    </xf>
    <xf numFmtId="0" fontId="50" fillId="0" borderId="31" xfId="0" applyFont="1" applyFill="1" applyBorder="1" applyAlignment="1" applyProtection="1">
      <alignment horizontal="center" vertical="center" wrapText="1"/>
    </xf>
    <xf numFmtId="0" fontId="50" fillId="0" borderId="18" xfId="0" applyFont="1" applyFill="1" applyBorder="1" applyAlignment="1" applyProtection="1">
      <alignment horizontal="center" vertical="center" wrapText="1"/>
    </xf>
    <xf numFmtId="0" fontId="83" fillId="0" borderId="15" xfId="0" applyFont="1" applyFill="1" applyBorder="1" applyAlignment="1">
      <alignment horizontal="center" vertical="center" wrapText="1"/>
    </xf>
    <xf numFmtId="0" fontId="4" fillId="24" borderId="79" xfId="0" applyFont="1" applyFill="1" applyBorder="1" applyAlignment="1" applyProtection="1">
      <alignment horizontal="left" wrapText="1"/>
    </xf>
    <xf numFmtId="0" fontId="4" fillId="0" borderId="15" xfId="0" applyFont="1" applyBorder="1" applyAlignment="1">
      <alignment horizontal="left" vertical="center" wrapText="1"/>
    </xf>
    <xf numFmtId="0" fontId="51" fillId="0" borderId="22" xfId="0" applyFont="1" applyFill="1" applyBorder="1" applyAlignment="1" applyProtection="1">
      <alignment horizontal="center" vertical="center"/>
    </xf>
    <xf numFmtId="0" fontId="51" fillId="0" borderId="15" xfId="0" applyFont="1" applyFill="1" applyBorder="1" applyAlignment="1" applyProtection="1">
      <alignment horizontal="center" vertical="center"/>
    </xf>
    <xf numFmtId="0" fontId="51" fillId="0" borderId="21" xfId="0" applyFont="1" applyFill="1" applyBorder="1" applyAlignment="1" applyProtection="1">
      <alignment horizontal="center" vertical="center"/>
    </xf>
    <xf numFmtId="0" fontId="53" fillId="0" borderId="21" xfId="0" applyFont="1" applyFill="1" applyBorder="1" applyAlignment="1" applyProtection="1">
      <alignment horizontal="center" vertical="center" wrapText="1"/>
    </xf>
    <xf numFmtId="0" fontId="53" fillId="0" borderId="22"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xf>
    <xf numFmtId="0" fontId="4" fillId="0" borderId="21" xfId="0" applyFont="1" applyFill="1" applyBorder="1" applyAlignment="1" applyProtection="1">
      <alignment horizontal="center" vertical="center"/>
    </xf>
    <xf numFmtId="0" fontId="8" fillId="24" borderId="15" xfId="0" applyFont="1" applyFill="1" applyBorder="1" applyAlignment="1" applyProtection="1">
      <alignment horizontal="left" vertical="top" wrapText="1"/>
      <protection locked="0"/>
    </xf>
    <xf numFmtId="0" fontId="0" fillId="0" borderId="15" xfId="0" applyBorder="1" applyAlignment="1" applyProtection="1">
      <alignment wrapText="1"/>
      <protection locked="0"/>
    </xf>
    <xf numFmtId="0" fontId="4" fillId="0" borderId="17" xfId="0" applyFont="1" applyFill="1" applyBorder="1" applyAlignment="1" applyProtection="1">
      <alignment horizontal="center" vertical="center" wrapText="1"/>
    </xf>
    <xf numFmtId="0" fontId="4" fillId="0" borderId="57"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51" fillId="0" borderId="26" xfId="0" applyFont="1" applyFill="1" applyBorder="1" applyAlignment="1" applyProtection="1">
      <alignment horizontal="center" vertical="center"/>
    </xf>
    <xf numFmtId="0" fontId="51" fillId="0" borderId="14" xfId="0" applyFont="1" applyFill="1" applyBorder="1" applyAlignment="1" applyProtection="1">
      <alignment horizontal="center" vertical="center"/>
    </xf>
    <xf numFmtId="0" fontId="4" fillId="0" borderId="15" xfId="0" applyFont="1" applyFill="1" applyBorder="1" applyAlignment="1" applyProtection="1">
      <alignment horizontal="center" vertical="center"/>
    </xf>
    <xf numFmtId="0" fontId="4" fillId="0" borderId="18" xfId="0" applyFont="1" applyFill="1" applyBorder="1" applyAlignment="1" applyProtection="1">
      <alignment horizontal="center"/>
    </xf>
    <xf numFmtId="0" fontId="4" fillId="0" borderId="26" xfId="0" applyFont="1" applyFill="1" applyBorder="1" applyAlignment="1" applyProtection="1">
      <alignment horizontal="center"/>
    </xf>
    <xf numFmtId="0" fontId="4" fillId="0" borderId="14" xfId="0" applyFont="1" applyFill="1" applyBorder="1" applyAlignment="1" applyProtection="1">
      <alignment horizontal="center"/>
    </xf>
    <xf numFmtId="0" fontId="50" fillId="0" borderId="60" xfId="0" applyFont="1" applyFill="1" applyBorder="1" applyAlignment="1" applyProtection="1">
      <alignment horizontal="center" vertical="center"/>
    </xf>
    <xf numFmtId="0" fontId="50" fillId="0" borderId="0" xfId="0" applyFont="1" applyFill="1" applyBorder="1" applyAlignment="1" applyProtection="1">
      <alignment horizontal="center" vertical="center"/>
    </xf>
    <xf numFmtId="0" fontId="32" fillId="0" borderId="0" xfId="0" applyFont="1" applyFill="1" applyBorder="1" applyAlignment="1" applyProtection="1">
      <alignment horizontal="left" vertical="center" wrapText="1"/>
    </xf>
    <xf numFmtId="0" fontId="58" fillId="24" borderId="36" xfId="0" applyFont="1" applyFill="1" applyBorder="1" applyAlignment="1" applyProtection="1">
      <alignment horizontal="left" vertical="center" wrapText="1"/>
    </xf>
    <xf numFmtId="0" fontId="58" fillId="24" borderId="0" xfId="0" applyFont="1" applyFill="1" applyBorder="1" applyAlignment="1" applyProtection="1">
      <alignment horizontal="left" vertical="center" wrapText="1"/>
    </xf>
    <xf numFmtId="0" fontId="58" fillId="24" borderId="83" xfId="0" applyFont="1" applyFill="1" applyBorder="1" applyAlignment="1" applyProtection="1">
      <alignment horizontal="left" vertical="center" wrapText="1"/>
    </xf>
    <xf numFmtId="0" fontId="4" fillId="26" borderId="0" xfId="0" applyFont="1" applyFill="1" applyAlignment="1">
      <alignment horizontal="left" vertical="center" wrapText="1" indent="1"/>
    </xf>
    <xf numFmtId="0" fontId="90" fillId="24" borderId="129" xfId="0" applyFont="1" applyFill="1" applyBorder="1" applyAlignment="1">
      <alignment horizontal="center" vertical="center" wrapText="1"/>
    </xf>
    <xf numFmtId="0" fontId="49" fillId="24" borderId="44" xfId="0" applyFont="1" applyFill="1" applyBorder="1" applyAlignment="1" applyProtection="1">
      <alignment horizontal="left" vertical="top"/>
    </xf>
    <xf numFmtId="0" fontId="48" fillId="26" borderId="44" xfId="34" applyFill="1" applyBorder="1" applyAlignment="1" applyProtection="1">
      <alignment horizontal="left" vertical="center"/>
    </xf>
    <xf numFmtId="0" fontId="7" fillId="26" borderId="103" xfId="0" applyFont="1" applyFill="1" applyBorder="1" applyAlignment="1" applyProtection="1">
      <alignment horizontal="left"/>
    </xf>
    <xf numFmtId="0" fontId="7" fillId="26" borderId="103" xfId="0" applyFont="1" applyFill="1" applyBorder="1" applyProtection="1"/>
    <xf numFmtId="0" fontId="7" fillId="26" borderId="104" xfId="0" applyFont="1" applyFill="1" applyBorder="1" applyProtection="1"/>
    <xf numFmtId="9" fontId="91" fillId="29" borderId="15" xfId="0" applyNumberFormat="1" applyFont="1" applyFill="1" applyBorder="1" applyAlignment="1" applyProtection="1">
      <alignment horizontal="center" vertical="center"/>
    </xf>
    <xf numFmtId="0" fontId="4" fillId="26" borderId="55" xfId="0" applyFont="1" applyFill="1" applyBorder="1" applyProtection="1"/>
    <xf numFmtId="165" fontId="91" fillId="29" borderId="15" xfId="0" applyNumberFormat="1" applyFont="1" applyFill="1" applyBorder="1" applyAlignment="1" applyProtection="1">
      <alignment horizontal="center" vertical="center"/>
      <protection hidden="1"/>
    </xf>
    <xf numFmtId="0" fontId="31" fillId="26" borderId="36" xfId="0" applyFont="1" applyFill="1" applyBorder="1" applyAlignment="1" applyProtection="1">
      <alignment horizontal="left" vertical="center" wrapText="1"/>
    </xf>
    <xf numFmtId="0" fontId="31" fillId="26" borderId="0" xfId="0" applyFont="1" applyFill="1" applyBorder="1" applyAlignment="1" applyProtection="1">
      <alignment horizontal="left" vertical="center" wrapText="1"/>
    </xf>
    <xf numFmtId="0" fontId="7" fillId="26" borderId="0" xfId="0" applyFont="1" applyFill="1"/>
    <xf numFmtId="0" fontId="0" fillId="26" borderId="0" xfId="0" applyFill="1"/>
    <xf numFmtId="0" fontId="65" fillId="26" borderId="64" xfId="34" applyFont="1" applyFill="1" applyBorder="1" applyAlignment="1" applyProtection="1">
      <alignment horizontal="center" vertical="center" wrapText="1"/>
    </xf>
    <xf numFmtId="0" fontId="4" fillId="26" borderId="92" xfId="47" applyFont="1" applyFill="1" applyBorder="1" applyAlignment="1" applyProtection="1">
      <alignment vertical="center" wrapText="1"/>
    </xf>
    <xf numFmtId="0" fontId="65" fillId="26" borderId="22" xfId="34" applyFont="1" applyFill="1" applyBorder="1" applyAlignment="1" applyProtection="1">
      <alignment horizontal="center" vertical="center" wrapText="1"/>
    </xf>
    <xf numFmtId="0" fontId="4" fillId="26" borderId="18" xfId="47" applyFont="1" applyFill="1" applyBorder="1" applyAlignment="1" applyProtection="1">
      <alignment vertical="center" wrapText="1"/>
    </xf>
    <xf numFmtId="0" fontId="65" fillId="26" borderId="67" xfId="34" applyFont="1" applyFill="1" applyBorder="1" applyAlignment="1" applyProtection="1">
      <alignment horizontal="center" vertical="center" wrapText="1"/>
    </xf>
    <xf numFmtId="0" fontId="4" fillId="26" borderId="95" xfId="47" applyFont="1" applyFill="1" applyBorder="1" applyAlignment="1" applyProtection="1">
      <alignment vertical="center" wrapText="1"/>
    </xf>
    <xf numFmtId="0" fontId="65" fillId="39" borderId="89" xfId="34" applyFont="1" applyFill="1" applyBorder="1" applyAlignment="1" applyProtection="1">
      <alignment horizontal="center" vertical="center"/>
    </xf>
    <xf numFmtId="0" fontId="65" fillId="39" borderId="94" xfId="34" applyFont="1" applyFill="1" applyBorder="1" applyAlignment="1" applyProtection="1">
      <alignment horizontal="center" vertical="center"/>
    </xf>
    <xf numFmtId="0" fontId="4" fillId="26" borderId="0" xfId="47" applyFont="1" applyFill="1" applyProtection="1"/>
    <xf numFmtId="0" fontId="8" fillId="26" borderId="0" xfId="47" applyFont="1" applyFill="1" applyAlignment="1" applyProtection="1">
      <alignment horizontal="center"/>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54" xr:uid="{A609FA07-3D0D-4FBC-BA0A-940DD6DE3C7E}"/>
    <cellStyle name="Hyperlink 2 2" xfId="55" xr:uid="{3EE2984B-7922-4B20-B76D-6BC4C548D08D}"/>
    <cellStyle name="Input" xfId="35" builtinId="20" customBuiltin="1"/>
    <cellStyle name="Linked Cell" xfId="36" builtinId="24" customBuiltin="1"/>
    <cellStyle name="Neutral" xfId="37" builtinId="28" customBuiltin="1"/>
    <cellStyle name="Normal" xfId="0" builtinId="0"/>
    <cellStyle name="Normal 11" xfId="48" xr:uid="{00000000-0005-0000-0000-000026000000}"/>
    <cellStyle name="Normal 2" xfId="38" xr:uid="{00000000-0005-0000-0000-000027000000}"/>
    <cellStyle name="Normal 2 2 2" xfId="47" xr:uid="{00000000-0005-0000-0000-000028000000}"/>
    <cellStyle name="Normal 2 3" xfId="46" xr:uid="{00000000-0005-0000-0000-000029000000}"/>
    <cellStyle name="Normal 3" xfId="49" xr:uid="{00000000-0005-0000-0000-00002A000000}"/>
    <cellStyle name="Normal 3 2" xfId="50" xr:uid="{00000000-0005-0000-0000-00002B000000}"/>
    <cellStyle name="Normal 4" xfId="51" xr:uid="{00000000-0005-0000-0000-00002C000000}"/>
    <cellStyle name="Normal 5" xfId="52" xr:uid="{00000000-0005-0000-0000-00002D000000}"/>
    <cellStyle name="Note" xfId="39" builtinId="10" customBuiltin="1"/>
    <cellStyle name="Output" xfId="40" builtinId="21" customBuiltin="1"/>
    <cellStyle name="Title" xfId="41" builtinId="15" customBuiltin="1"/>
    <cellStyle name="Total" xfId="42" builtinId="25" customBuiltin="1"/>
    <cellStyle name="u" xfId="43" xr:uid="{00000000-0005-0000-0000-000032000000}"/>
    <cellStyle name="u 2" xfId="53" xr:uid="{00000000-0005-0000-0000-000033000000}"/>
    <cellStyle name="Undefined" xfId="44" xr:uid="{00000000-0005-0000-0000-000034000000}"/>
    <cellStyle name="Warning Text" xfId="45" builtinId="11" customBuiltin="1"/>
  </cellStyles>
  <dxfs count="1136">
    <dxf>
      <font>
        <color theme="5" tint="0.39994506668294322"/>
      </font>
    </dxf>
    <dxf>
      <font>
        <color theme="0"/>
      </font>
    </dxf>
    <dxf>
      <font>
        <color theme="0"/>
      </font>
    </dxf>
    <dxf>
      <font>
        <color theme="9" tint="0.79998168889431442"/>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0"/>
      </font>
    </dxf>
    <dxf>
      <font>
        <color theme="0"/>
      </font>
    </dxf>
    <dxf>
      <font>
        <color theme="1" tint="0.24994659260841701"/>
      </font>
    </dxf>
    <dxf>
      <font>
        <color theme="0"/>
      </font>
    </dxf>
    <dxf>
      <font>
        <color theme="0"/>
      </font>
    </dxf>
    <dxf>
      <fill>
        <patternFill>
          <bgColor rgb="FF66FF99"/>
        </patternFill>
      </fill>
    </dxf>
    <dxf>
      <font>
        <color theme="0"/>
      </font>
    </dxf>
    <dxf>
      <fill>
        <patternFill>
          <bgColor rgb="FF66FF99"/>
        </patternFill>
      </fill>
    </dxf>
    <dxf>
      <font>
        <color theme="0"/>
      </font>
    </dxf>
    <dxf>
      <font>
        <color theme="9" tint="0.79998168889431442"/>
      </font>
    </dxf>
    <dxf>
      <font>
        <color theme="0"/>
      </font>
    </dxf>
    <dxf>
      <font>
        <color theme="9" tint="0.79998168889431442"/>
      </font>
    </dxf>
    <dxf>
      <font>
        <color theme="9" tint="0.59996337778862885"/>
      </font>
    </dxf>
    <dxf>
      <font>
        <color theme="9" tint="0.79998168889431442"/>
      </font>
    </dxf>
    <dxf>
      <font>
        <color theme="9" tint="0.59996337778862885"/>
      </font>
    </dxf>
    <dxf>
      <font>
        <color theme="0"/>
      </font>
    </dxf>
    <dxf>
      <font>
        <color theme="5" tint="0.39994506668294322"/>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ill>
        <patternFill>
          <bgColor rgb="FF66FF99"/>
        </patternFill>
      </fill>
    </dxf>
    <dxf>
      <font>
        <color theme="9" tint="0.79998168889431442"/>
      </font>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79998168889431442"/>
      </font>
    </dxf>
    <dxf>
      <font>
        <color theme="1" tint="0.24994659260841701"/>
      </font>
    </dxf>
    <dxf>
      <font>
        <color theme="1" tint="0.24994659260841701"/>
      </font>
    </dxf>
    <dxf>
      <font>
        <color theme="1" tint="0.24994659260841701"/>
      </font>
    </dxf>
    <dxf>
      <fill>
        <patternFill>
          <bgColor rgb="FF66FF99"/>
        </patternFill>
      </fill>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9" tint="0.79998168889431442"/>
      </font>
    </dxf>
    <dxf>
      <font>
        <condense val="0"/>
        <extend val="0"/>
        <color indexed="9"/>
      </font>
    </dxf>
    <dxf>
      <font>
        <color theme="5" tint="0.39994506668294322"/>
      </font>
    </dxf>
    <dxf>
      <font>
        <color theme="1" tint="0.24994659260841701"/>
      </font>
    </dxf>
    <dxf>
      <font>
        <color theme="5" tint="0.39994506668294322"/>
      </font>
    </dxf>
    <dxf>
      <font>
        <color theme="0"/>
      </font>
    </dxf>
    <dxf>
      <font>
        <color theme="9" tint="0.79998168889431442"/>
      </font>
    </dxf>
    <dxf>
      <font>
        <color theme="5" tint="0.39994506668294322"/>
      </font>
    </dxf>
    <dxf>
      <font>
        <color theme="0"/>
      </font>
    </dxf>
    <dxf>
      <font>
        <color theme="5" tint="0.39994506668294322"/>
      </font>
    </dxf>
    <dxf>
      <font>
        <color theme="1" tint="0.24994659260841701"/>
      </font>
    </dxf>
    <dxf>
      <font>
        <color theme="5" tint="0.39994506668294322"/>
      </font>
    </dxf>
    <dxf>
      <font>
        <color theme="0"/>
      </font>
    </dxf>
    <dxf>
      <font>
        <color theme="9" tint="0.79998168889431442"/>
      </font>
    </dxf>
    <dxf>
      <font>
        <color theme="5" tint="0.39994506668294322"/>
      </font>
    </dxf>
    <dxf>
      <fill>
        <patternFill>
          <bgColor rgb="FF66FF99"/>
        </patternFill>
      </fill>
    </dxf>
    <dxf>
      <font>
        <color theme="0"/>
      </font>
    </dxf>
    <dxf>
      <font>
        <color theme="0"/>
      </font>
    </dxf>
    <dxf>
      <font>
        <condense val="0"/>
        <extend val="0"/>
        <color indexed="9"/>
      </font>
    </dxf>
    <dxf>
      <font>
        <condense val="0"/>
        <extend val="0"/>
        <color indexed="9"/>
      </font>
    </dxf>
    <dxf>
      <font>
        <color theme="1" tint="0.24994659260841701"/>
      </font>
    </dxf>
    <dxf>
      <font>
        <color theme="1" tint="0.24994659260841701"/>
      </font>
    </dxf>
    <dxf>
      <font>
        <color theme="0"/>
      </font>
    </dxf>
    <dxf>
      <font>
        <color theme="5" tint="0.39994506668294322"/>
      </font>
    </dxf>
    <dxf>
      <font>
        <color theme="9" tint="0.39994506668294322"/>
      </font>
    </dxf>
    <dxf>
      <font>
        <color theme="9" tint="0.59996337778862885"/>
      </font>
    </dxf>
    <dxf>
      <font>
        <color theme="9" tint="0.79998168889431442"/>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79998168889431442"/>
      </font>
    </dxf>
    <dxf>
      <font>
        <color theme="0"/>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9" tint="0.7999816888943144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9" tint="0.59996337778862885"/>
      </font>
    </dxf>
    <dxf>
      <font>
        <color theme="9" tint="0.59996337778862885"/>
      </font>
    </dxf>
    <dxf>
      <font>
        <color theme="9" tint="0.59996337778862885"/>
      </font>
    </dxf>
    <dxf>
      <font>
        <color theme="1" tint="0.24994659260841701"/>
      </font>
    </dxf>
    <dxf>
      <font>
        <color theme="9" tint="0.79998168889431442"/>
      </font>
    </dxf>
    <dxf>
      <font>
        <color theme="0"/>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1" tint="0.24994659260841701"/>
      </font>
    </dxf>
    <dxf>
      <fill>
        <patternFill>
          <bgColor rgb="FF66FF99"/>
        </patternFill>
      </fill>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ont>
        <condense val="0"/>
        <extend val="0"/>
        <color indexed="9"/>
      </font>
    </dxf>
    <dxf>
      <font>
        <condense val="0"/>
        <extend val="0"/>
        <color indexed="9"/>
      </font>
    </dxf>
    <dxf>
      <font>
        <color theme="9" tint="0.79998168889431442"/>
      </font>
    </dxf>
    <dxf>
      <font>
        <color theme="9" tint="0.79998168889431442"/>
      </font>
    </dxf>
    <dxf>
      <font>
        <color theme="9" tint="0.59996337778862885"/>
      </font>
    </dxf>
    <dxf>
      <font>
        <color theme="9" tint="0.59996337778862885"/>
      </font>
    </dxf>
    <dxf>
      <font>
        <color theme="0"/>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ont>
        <color theme="0"/>
      </font>
    </dxf>
    <dxf>
      <font>
        <color theme="9" tint="0.79998168889431442"/>
      </font>
    </dxf>
    <dxf>
      <font>
        <color theme="5" tint="0.39994506668294322"/>
      </font>
    </dxf>
    <dxf>
      <font>
        <color theme="0"/>
      </font>
    </dxf>
    <dxf>
      <font>
        <color theme="9" tint="0.59996337778862885"/>
      </font>
    </dxf>
    <dxf>
      <font>
        <color theme="9" tint="0.59996337778862885"/>
      </font>
    </dxf>
    <dxf>
      <font>
        <color theme="9" tint="0.59996337778862885"/>
      </font>
    </dxf>
    <dxf>
      <font>
        <color theme="9" tint="0.59996337778862885"/>
      </font>
    </dxf>
    <dxf>
      <font>
        <color theme="5" tint="0.39994506668294322"/>
      </font>
    </dxf>
    <dxf>
      <font>
        <color theme="0"/>
      </font>
    </dxf>
    <dxf>
      <fill>
        <patternFill>
          <bgColor rgb="FF66FF99"/>
        </patternFill>
      </fill>
    </dxf>
    <dxf>
      <font>
        <color theme="9" tint="0.79998168889431442"/>
      </font>
    </dxf>
    <dxf>
      <font>
        <color theme="5" tint="0.39994506668294322"/>
      </font>
    </dxf>
    <dxf>
      <font>
        <color theme="0"/>
      </font>
    </dxf>
    <dxf>
      <font>
        <color theme="0"/>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ndense val="0"/>
        <extend val="0"/>
        <color indexed="9"/>
      </font>
    </dxf>
    <dxf>
      <fill>
        <patternFill>
          <bgColor rgb="FF66FF99"/>
        </patternFill>
      </fill>
    </dxf>
    <dxf>
      <font>
        <color theme="9" tint="0.79998168889431442"/>
      </font>
    </dxf>
    <dxf>
      <font>
        <color theme="1" tint="0.24994659260841701"/>
      </font>
    </dxf>
    <dxf>
      <font>
        <color theme="5" tint="0.39994506668294322"/>
      </font>
    </dxf>
    <dxf>
      <font>
        <color theme="0"/>
      </font>
    </dxf>
    <dxf>
      <font>
        <color theme="0"/>
      </font>
    </dxf>
    <dxf>
      <font>
        <color theme="0"/>
      </font>
    </dxf>
    <dxf>
      <font>
        <color theme="5" tint="0.39994506668294322"/>
      </font>
    </dxf>
    <dxf>
      <font>
        <color theme="1" tint="0.24994659260841701"/>
      </font>
    </dxf>
    <dxf>
      <font>
        <color theme="0"/>
      </font>
    </dxf>
    <dxf>
      <font>
        <color theme="0"/>
      </font>
    </dxf>
    <dxf>
      <fill>
        <patternFill>
          <bgColor rgb="FF66FF99"/>
        </patternFill>
      </fill>
    </dxf>
    <dxf>
      <font>
        <color theme="9" tint="0.79998168889431442"/>
      </font>
    </dxf>
    <dxf>
      <fill>
        <patternFill>
          <bgColor rgb="FF66FF99"/>
        </patternFill>
      </fill>
    </dxf>
    <dxf>
      <font>
        <color theme="9" tint="0.79998168889431442"/>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ont>
        <color theme="0"/>
      </font>
    </dxf>
    <dxf>
      <fill>
        <patternFill>
          <bgColor rgb="FF66FF99"/>
        </patternFill>
      </fill>
    </dxf>
    <dxf>
      <font>
        <color theme="9" tint="0.79998168889431442"/>
      </font>
    </dxf>
    <dxf>
      <font>
        <color theme="5" tint="0.39994506668294322"/>
      </font>
    </dxf>
    <dxf>
      <font>
        <color theme="0"/>
      </font>
    </dxf>
    <dxf>
      <fill>
        <patternFill>
          <bgColor rgb="FF66FF99"/>
        </patternFill>
      </fill>
    </dxf>
    <dxf>
      <font>
        <color theme="0"/>
      </font>
    </dxf>
    <dxf>
      <fill>
        <patternFill>
          <bgColor rgb="FF66FF99"/>
        </patternFill>
      </fill>
    </dxf>
    <dxf>
      <font>
        <condense val="0"/>
        <extend val="0"/>
        <color indexed="9"/>
      </font>
    </dxf>
    <dxf>
      <font>
        <color theme="9" tint="0.59996337778862885"/>
      </font>
    </dxf>
    <dxf>
      <font>
        <color theme="9" tint="0.59996337778862885"/>
      </font>
    </dxf>
    <dxf>
      <font>
        <color theme="9" tint="0.59996337778862885"/>
      </font>
    </dxf>
    <dxf>
      <font>
        <color theme="9" tint="0.59996337778862885"/>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79998168889431442"/>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tint="0.24994659260841701"/>
      </font>
    </dxf>
    <dxf>
      <font>
        <color theme="1" tint="0.24994659260841701"/>
      </font>
    </dxf>
    <dxf>
      <font>
        <color theme="0"/>
      </font>
    </dxf>
    <dxf>
      <font>
        <color theme="5" tint="0.39994506668294322"/>
      </font>
    </dxf>
    <dxf>
      <font>
        <color theme="9" tint="0.79998168889431442"/>
      </font>
    </dxf>
    <dxf>
      <font>
        <color theme="0"/>
      </font>
    </dxf>
    <dxf>
      <font>
        <color theme="1" tint="0.24994659260841701"/>
      </font>
    </dxf>
    <dxf>
      <font>
        <color theme="5" tint="0.39994506668294322"/>
      </font>
    </dxf>
    <dxf>
      <font>
        <color theme="0"/>
      </font>
    </dxf>
    <dxf>
      <font>
        <color theme="5" tint="0.39994506668294322"/>
      </font>
    </dxf>
    <dxf>
      <font>
        <color theme="0"/>
      </font>
    </dxf>
    <dxf>
      <font>
        <color theme="0"/>
      </font>
    </dxf>
    <dxf>
      <font>
        <color theme="0"/>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1" tint="0.24994659260841701"/>
      </font>
    </dxf>
    <dxf>
      <font>
        <color theme="9" tint="0.79998168889431442"/>
      </font>
    </dxf>
    <dxf>
      <font>
        <color theme="9" tint="0.59996337778862885"/>
      </font>
    </dxf>
    <dxf>
      <font>
        <color theme="1" tint="0.24994659260841701"/>
      </font>
    </dxf>
    <dxf>
      <font>
        <color theme="0"/>
      </font>
    </dxf>
    <dxf>
      <font>
        <color theme="5" tint="0.39994506668294322"/>
      </font>
    </dxf>
    <dxf>
      <font>
        <color theme="9" tint="0.59996337778862885"/>
      </font>
    </dxf>
    <dxf>
      <font>
        <color theme="9" tint="0.59996337778862885"/>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ont>
        <color theme="0"/>
      </font>
    </dxf>
    <dxf>
      <fill>
        <patternFill>
          <bgColor rgb="FF66FF99"/>
        </patternFill>
      </fill>
    </dxf>
    <dxf>
      <font>
        <color theme="9" tint="0.79998168889431442"/>
      </font>
    </dxf>
    <dxf>
      <font>
        <color theme="5" tint="0.39994506668294322"/>
      </font>
    </dxf>
    <dxf>
      <font>
        <color theme="0"/>
      </font>
    </dxf>
    <dxf>
      <fill>
        <patternFill>
          <bgColor rgb="FF66FF99"/>
        </patternFill>
      </fill>
    </dxf>
    <dxf>
      <font>
        <color theme="0"/>
      </font>
    </dxf>
    <dxf>
      <font>
        <color theme="0"/>
      </font>
    </dxf>
    <dxf>
      <font>
        <color theme="0"/>
      </font>
    </dxf>
    <dxf>
      <font>
        <color theme="0"/>
      </font>
    </dxf>
    <dxf>
      <font>
        <color theme="9" tint="0.79998168889431442"/>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lor theme="0"/>
      </font>
    </dxf>
    <dxf>
      <font>
        <color theme="1" tint="0.24994659260841701"/>
      </font>
    </dxf>
    <dxf>
      <font>
        <color theme="0"/>
      </font>
    </dxf>
    <dxf>
      <font>
        <color theme="5" tint="0.39994506668294322"/>
      </font>
    </dxf>
    <dxf>
      <font>
        <condense val="0"/>
        <extend val="0"/>
        <color indexed="9"/>
      </font>
    </dxf>
    <dxf>
      <font>
        <color theme="9" tint="0.79998168889431442"/>
      </font>
    </dxf>
    <dxf>
      <font>
        <color theme="9" tint="0.59996337778862885"/>
      </font>
    </dxf>
    <dxf>
      <font>
        <color theme="0"/>
      </font>
    </dxf>
    <dxf>
      <font>
        <color theme="0"/>
      </font>
    </dxf>
    <dxf>
      <font>
        <color theme="1" tint="0.24994659260841701"/>
      </font>
    </dxf>
    <dxf>
      <font>
        <color theme="0"/>
      </font>
    </dxf>
    <dxf>
      <font>
        <color theme="0"/>
      </font>
    </dxf>
    <dxf>
      <font>
        <color theme="1" tint="0.24994659260841701"/>
      </font>
    </dxf>
    <dxf>
      <font>
        <color theme="0"/>
      </font>
    </dxf>
    <dxf>
      <font>
        <condense val="0"/>
        <extend val="0"/>
        <color indexed="9"/>
      </font>
    </dxf>
    <dxf>
      <font>
        <color theme="5" tint="0.39994506668294322"/>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ndense val="0"/>
        <extend val="0"/>
        <color indexed="9"/>
      </font>
    </dxf>
    <dxf>
      <font>
        <color theme="1" tint="0.24994659260841701"/>
      </font>
    </dxf>
    <dxf>
      <font>
        <color theme="5" tint="0.39994506668294322"/>
      </font>
    </dxf>
    <dxf>
      <font>
        <color theme="0"/>
      </font>
    </dxf>
    <dxf>
      <font>
        <color theme="0"/>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0"/>
      </font>
    </dxf>
    <dxf>
      <font>
        <color theme="0"/>
      </font>
    </dxf>
    <dxf>
      <font>
        <color theme="0"/>
      </font>
    </dxf>
    <dxf>
      <font>
        <color theme="0"/>
      </font>
    </dxf>
    <dxf>
      <font>
        <color theme="9" tint="0.79998168889431442"/>
      </font>
    </dxf>
    <dxf>
      <font>
        <color theme="0"/>
      </font>
    </dxf>
    <dxf>
      <font>
        <color theme="0"/>
      </font>
    </dxf>
    <dxf>
      <font>
        <color theme="0"/>
      </font>
    </dxf>
    <dxf>
      <font>
        <color theme="0"/>
      </font>
    </dxf>
    <dxf>
      <font>
        <color theme="0"/>
      </font>
    </dxf>
    <dxf>
      <font>
        <condense val="0"/>
        <extend val="0"/>
        <color indexed="9"/>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lor theme="9" tint="0.79998168889431442"/>
      </font>
    </dxf>
    <dxf>
      <font>
        <color theme="9" tint="0.59996337778862885"/>
      </font>
    </dxf>
    <dxf>
      <font>
        <color theme="0"/>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79998168889431442"/>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79998168889431442"/>
      </font>
    </dxf>
    <dxf>
      <font>
        <color theme="9" tint="0.79998168889431442"/>
      </font>
    </dxf>
    <dxf>
      <font>
        <color theme="0"/>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1" tint="0.24994659260841701"/>
      </font>
    </dxf>
    <dxf>
      <font>
        <color theme="0"/>
      </font>
    </dxf>
    <dxf>
      <font>
        <color theme="0"/>
      </font>
    </dxf>
    <dxf>
      <font>
        <color theme="0"/>
      </font>
    </dxf>
    <dxf>
      <font>
        <color theme="0"/>
      </font>
    </dxf>
    <dxf>
      <font>
        <color theme="9" tint="0.7999816888943144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tint="0.24994659260841701"/>
      </font>
    </dxf>
    <dxf>
      <fill>
        <patternFill>
          <bgColor rgb="FF66FF99"/>
        </patternFill>
      </fill>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ndense val="0"/>
        <extend val="0"/>
        <color indexed="9"/>
      </font>
    </dxf>
    <dxf>
      <font>
        <color theme="1" tint="0.24994659260841701"/>
      </font>
    </dxf>
    <dxf>
      <font>
        <color theme="5" tint="0.39994506668294322"/>
      </font>
    </dxf>
    <dxf>
      <font>
        <color theme="0"/>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79998168889431442"/>
      </font>
    </dxf>
    <dxf>
      <font>
        <color theme="9" tint="0.59996337778862885"/>
      </font>
    </dxf>
    <dxf>
      <font>
        <color theme="9" tint="0.79998168889431442"/>
      </font>
    </dxf>
    <dxf>
      <font>
        <color theme="9" tint="0.59996337778862885"/>
      </font>
    </dxf>
    <dxf>
      <font>
        <color theme="0"/>
      </font>
    </dxf>
    <dxf>
      <font>
        <color theme="5" tint="0.39994506668294322"/>
      </font>
    </dxf>
    <dxf>
      <font>
        <color theme="9" tint="0.59996337778862885"/>
      </font>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tint="0.24994659260841701"/>
      </font>
    </dxf>
    <dxf>
      <font>
        <color theme="1" tint="0.24994659260841701"/>
      </font>
    </dxf>
    <dxf>
      <font>
        <color theme="1" tint="0.24994659260841701"/>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ont>
        <color theme="0"/>
      </font>
    </dxf>
    <dxf>
      <font>
        <condense val="0"/>
        <extend val="0"/>
        <color indexed="9"/>
      </font>
    </dxf>
    <dxf>
      <font>
        <condense val="0"/>
        <extend val="0"/>
        <color indexed="9"/>
      </font>
    </dxf>
    <dxf>
      <font>
        <color theme="9" tint="0.59996337778862885"/>
      </font>
    </dxf>
    <dxf>
      <font>
        <color theme="9" tint="0.59996337778862885"/>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ndense val="0"/>
        <extend val="0"/>
        <color indexed="9"/>
      </font>
    </dxf>
    <dxf>
      <font>
        <color theme="0"/>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ont>
        <color theme="0"/>
      </font>
    </dxf>
    <dxf>
      <font>
        <condense val="0"/>
        <extend val="0"/>
        <color indexed="9"/>
      </font>
    </dxf>
    <dxf>
      <font>
        <color theme="0"/>
      </font>
    </dxf>
    <dxf>
      <font>
        <color theme="5" tint="0.39994506668294322"/>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ont>
        <color theme="0"/>
      </font>
    </dxf>
    <dxf>
      <fill>
        <patternFill>
          <bgColor rgb="FF66FF99"/>
        </patternFill>
      </fill>
    </dxf>
    <dxf>
      <font>
        <b/>
        <i val="0"/>
      </font>
      <fill>
        <patternFill>
          <bgColor indexed="42"/>
        </patternFill>
      </fill>
    </dxf>
    <dxf>
      <font>
        <color theme="0"/>
      </font>
    </dxf>
    <dxf>
      <font>
        <color theme="0"/>
      </font>
    </dxf>
    <dxf>
      <font>
        <color theme="9" tint="0.79998168889431442"/>
      </font>
    </dxf>
    <dxf>
      <font>
        <color theme="9" tint="0.59996337778862885"/>
      </font>
    </dxf>
    <dxf>
      <font>
        <color theme="9" tint="0.59996337778862885"/>
      </font>
    </dxf>
    <dxf>
      <font>
        <color theme="1" tint="0.24994659260841701"/>
      </font>
    </dxf>
    <dxf>
      <font>
        <color theme="9" tint="0.59996337778862885"/>
      </font>
    </dxf>
    <dxf>
      <font>
        <condense val="0"/>
        <extend val="0"/>
        <color indexed="9"/>
      </font>
    </dxf>
    <dxf>
      <font>
        <color theme="9" tint="0.79998168889431442"/>
      </font>
    </dxf>
    <dxf>
      <font>
        <color theme="9" tint="0.59996337778862885"/>
      </font>
    </dxf>
    <dxf>
      <font>
        <color theme="9" tint="0.79998168889431442"/>
      </font>
    </dxf>
    <dxf>
      <font>
        <color theme="9" tint="0.79998168889431442"/>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1" tint="0.24994659260841701"/>
      </font>
    </dxf>
    <dxf>
      <font>
        <color theme="5" tint="0.39994506668294322"/>
      </font>
    </dxf>
    <dxf>
      <font>
        <color theme="0"/>
      </font>
    </dxf>
    <dxf>
      <font>
        <color theme="0"/>
      </font>
    </dxf>
    <dxf>
      <font>
        <color theme="5" tint="0.39994506668294322"/>
      </font>
    </dxf>
    <dxf>
      <font>
        <color theme="1" tint="0.24994659260841701"/>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ont>
        <color theme="9" tint="0.59996337778862885"/>
      </font>
    </dxf>
    <dxf>
      <font>
        <color theme="9" tint="0.59996337778862885"/>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lor theme="9" tint="0.79998168889431442"/>
      </font>
    </dxf>
    <dxf>
      <font>
        <color theme="0"/>
      </font>
    </dxf>
    <dxf>
      <font>
        <color theme="1" tint="0.24994659260841701"/>
      </font>
    </dxf>
    <dxf>
      <font>
        <color theme="1" tint="0.24994659260841701"/>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9" tint="0.59996337778862885"/>
      </font>
    </dxf>
    <dxf>
      <font>
        <color theme="9" tint="0.59996337778862885"/>
      </font>
    </dxf>
    <dxf>
      <font>
        <color theme="0"/>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79998168889431442"/>
      </font>
    </dxf>
    <dxf>
      <font>
        <color theme="0"/>
      </font>
    </dxf>
    <dxf>
      <fill>
        <patternFill>
          <bgColor rgb="FF66FF99"/>
        </patternFill>
      </fill>
    </dxf>
    <dxf>
      <fill>
        <patternFill>
          <bgColor rgb="FF66FF99"/>
        </patternFill>
      </fill>
    </dxf>
    <dxf>
      <font>
        <color theme="0"/>
      </font>
    </dxf>
    <dxf>
      <font>
        <color theme="0"/>
      </font>
    </dxf>
    <dxf>
      <font>
        <color theme="0"/>
      </font>
    </dxf>
    <dxf>
      <font>
        <color theme="0"/>
      </font>
    </dxf>
    <dxf>
      <font>
        <color theme="0"/>
      </font>
    </dxf>
    <dxf>
      <font>
        <color theme="0"/>
      </font>
    </dxf>
    <dxf>
      <fill>
        <patternFill>
          <bgColor rgb="FF66FF99"/>
        </patternFill>
      </fill>
    </dxf>
    <dxf>
      <font>
        <b/>
        <i val="0"/>
      </font>
      <fill>
        <patternFill>
          <bgColor indexed="42"/>
        </patternFill>
      </fill>
    </dxf>
    <dxf>
      <fill>
        <patternFill>
          <bgColor rgb="FF66FF99"/>
        </patternFill>
      </fill>
    </dxf>
    <dxf>
      <font>
        <condense val="0"/>
        <extend val="0"/>
        <color indexed="9"/>
      </font>
    </dxf>
    <dxf>
      <font>
        <color theme="0"/>
      </font>
    </dxf>
    <dxf>
      <font>
        <color theme="9" tint="0.59996337778862885"/>
      </font>
    </dxf>
    <dxf>
      <font>
        <color theme="9" tint="0.59996337778862885"/>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lor theme="1" tint="0.24994659260841701"/>
      </font>
    </dxf>
    <dxf>
      <font>
        <color theme="9" tint="0.79998168889431442"/>
      </font>
    </dxf>
    <dxf>
      <font>
        <condense val="0"/>
        <extend val="0"/>
        <color indexed="9"/>
      </font>
    </dxf>
    <dxf>
      <font>
        <color theme="0"/>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ont>
        <color theme="9" tint="0.79998168889431442"/>
      </font>
    </dxf>
    <dxf>
      <fill>
        <patternFill>
          <bgColor rgb="FF66FF99"/>
        </patternFill>
      </fill>
    </dxf>
    <dxf>
      <font>
        <color theme="0"/>
      </font>
    </dxf>
    <dxf>
      <fill>
        <patternFill>
          <bgColor rgb="FF66FF99"/>
        </patternFill>
      </fill>
    </dxf>
    <dxf>
      <font>
        <color theme="0"/>
      </font>
    </dxf>
    <dxf>
      <font>
        <color theme="0"/>
      </font>
    </dxf>
    <dxf>
      <font>
        <color theme="0"/>
      </font>
    </dxf>
    <dxf>
      <font>
        <color theme="0"/>
      </font>
    </dxf>
    <dxf>
      <font>
        <condense val="0"/>
        <extend val="0"/>
        <color indexed="9"/>
      </font>
    </dxf>
    <dxf>
      <font>
        <color theme="0"/>
      </font>
    </dxf>
    <dxf>
      <font>
        <condense val="0"/>
        <extend val="0"/>
        <color indexed="9"/>
      </font>
    </dxf>
    <dxf>
      <font>
        <color theme="9" tint="0.59996337778862885"/>
      </font>
    </dxf>
    <dxf>
      <font>
        <color theme="9" tint="0.59996337778862885"/>
      </font>
    </dxf>
    <dxf>
      <font>
        <color theme="9" tint="0.79998168889431442"/>
      </font>
    </dxf>
    <dxf>
      <font>
        <color theme="1" tint="0.24994659260841701"/>
      </font>
    </dxf>
    <dxf>
      <font>
        <condense val="0"/>
        <extend val="0"/>
        <color indexed="9"/>
      </font>
    </dxf>
    <dxf>
      <font>
        <color theme="1" tint="0.24994659260841701"/>
      </font>
    </dxf>
    <dxf>
      <font>
        <color theme="5" tint="0.39994506668294322"/>
      </font>
    </dxf>
    <dxf>
      <font>
        <color theme="0"/>
      </font>
    </dxf>
    <dxf>
      <font>
        <color theme="0"/>
      </font>
    </dxf>
    <dxf>
      <font>
        <color theme="5" tint="0.39994506668294322"/>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9" tint="0.79998168889431442"/>
      </font>
    </dxf>
    <dxf>
      <fill>
        <patternFill>
          <bgColor rgb="FF66FF99"/>
        </patternFill>
      </fill>
    </dxf>
    <dxf>
      <font>
        <color theme="0"/>
      </font>
    </dxf>
    <dxf>
      <font>
        <color theme="0"/>
      </font>
    </dxf>
    <dxf>
      <fill>
        <patternFill>
          <bgColor rgb="FF66FF99"/>
        </patternFill>
      </fill>
    </dxf>
    <dxf>
      <font>
        <color theme="0"/>
      </font>
    </dxf>
    <dxf>
      <font>
        <color theme="0"/>
      </font>
    </dxf>
    <dxf>
      <font>
        <color theme="0"/>
      </font>
    </dxf>
    <dxf>
      <font>
        <color theme="0"/>
      </font>
    </dxf>
    <dxf>
      <font>
        <color theme="9" tint="0.59996337778862885"/>
      </font>
    </dxf>
    <dxf>
      <font>
        <color theme="9" tint="0.59996337778862885"/>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lor theme="9" tint="0.79998168889431442"/>
      </font>
    </dxf>
    <dxf>
      <font>
        <color theme="9" tint="0.79998168889431442"/>
      </font>
    </dxf>
    <dxf>
      <font>
        <color theme="9" tint="0.59996337778862885"/>
      </font>
    </dxf>
    <dxf>
      <font>
        <color theme="9" tint="0.79998168889431442"/>
      </font>
    </dxf>
    <dxf>
      <font>
        <color theme="9" tint="0.59996337778862885"/>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0"/>
      </font>
    </dxf>
    <dxf>
      <font>
        <color theme="5" tint="0.39994506668294322"/>
      </font>
    </dxf>
    <dxf>
      <font>
        <color theme="9" tint="0.59996337778862885"/>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5" tint="0.39994506668294322"/>
      </font>
    </dxf>
    <dxf>
      <font>
        <color theme="1" tint="0.24994659260841701"/>
      </font>
    </dxf>
    <dxf>
      <font>
        <color theme="0"/>
      </font>
    </dxf>
    <dxf>
      <fill>
        <patternFill>
          <bgColor rgb="FF66FF99"/>
        </patternFill>
      </fill>
    </dxf>
    <dxf>
      <font>
        <color theme="5" tint="0.39994506668294322"/>
      </font>
    </dxf>
    <dxf>
      <font>
        <color theme="1" tint="0.24994659260841701"/>
      </font>
    </dxf>
    <dxf>
      <font>
        <color theme="9" tint="0.79998168889431442"/>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9" tint="0.79998168889431442"/>
      </font>
    </dxf>
    <dxf>
      <font>
        <color theme="9" tint="0.59996337778862885"/>
      </font>
    </dxf>
    <dxf>
      <font>
        <color theme="9" tint="0.59996337778862885"/>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lor theme="1" tint="0.24994659260841701"/>
      </font>
    </dxf>
    <dxf>
      <font>
        <color theme="1" tint="0.24994659260841701"/>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0"/>
      </font>
    </dxf>
    <dxf>
      <font>
        <color theme="5" tint="0.39994506668294322"/>
      </font>
    </dxf>
    <dxf>
      <font>
        <color theme="9" tint="0.79998168889431442"/>
      </font>
    </dxf>
    <dxf>
      <font>
        <color theme="9" tint="0.59996337778862885"/>
      </font>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ont>
        <color theme="0"/>
      </font>
    </dxf>
    <dxf>
      <fill>
        <patternFill>
          <bgColor rgb="FF66FF99"/>
        </patternFill>
      </fill>
    </dxf>
    <dxf>
      <font>
        <color theme="0"/>
      </font>
    </dxf>
    <dxf>
      <font>
        <color theme="1" tint="0.24994659260841701"/>
      </font>
    </dxf>
    <dxf>
      <font>
        <color theme="0"/>
      </font>
    </dxf>
    <dxf>
      <font>
        <color theme="0"/>
      </font>
    </dxf>
    <dxf>
      <font>
        <color theme="0"/>
      </font>
    </dxf>
    <dxf>
      <border>
        <top style="thin">
          <color rgb="FF66FF99"/>
        </top>
        <bottom style="thin">
          <color rgb="FF66FF99"/>
        </bottom>
        <vertical/>
        <horizontal/>
      </border>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59996337778862885"/>
      </font>
    </dxf>
    <dxf>
      <font>
        <color theme="9" tint="0.59996337778862885"/>
      </font>
    </dxf>
    <dxf>
      <fill>
        <patternFill>
          <bgColor theme="0" tint="-4.9989318521683403E-2"/>
        </patternFill>
      </fill>
      <border>
        <top style="thin">
          <color rgb="FF66FF99"/>
        </top>
        <bottom style="thin">
          <color rgb="FF66FF99"/>
        </bottom>
        <vertical/>
        <horizontal/>
      </border>
    </dxf>
    <dxf>
      <font>
        <color theme="0"/>
      </font>
    </dxf>
    <dxf>
      <font>
        <color theme="0"/>
      </font>
    </dxf>
    <dxf>
      <font>
        <color theme="0"/>
      </font>
    </dxf>
    <dxf>
      <font>
        <color theme="0"/>
      </font>
    </dxf>
    <dxf>
      <font>
        <color theme="0"/>
      </font>
    </dxf>
    <dxf>
      <fill>
        <patternFill>
          <bgColor rgb="FF66FF99"/>
        </patternFill>
      </fill>
    </dxf>
    <dxf>
      <border>
        <top style="thin">
          <color rgb="FF66FF99"/>
        </top>
        <bottom style="thin">
          <color rgb="FF66FF99"/>
        </bottom>
        <vertical/>
        <horizontal/>
      </border>
    </dxf>
    <dxf>
      <font>
        <color theme="0"/>
      </font>
    </dxf>
    <dxf>
      <font>
        <color theme="0"/>
      </font>
    </dxf>
    <dxf>
      <font>
        <color theme="1" tint="0.24994659260841701"/>
      </font>
    </dxf>
    <dxf>
      <font>
        <color theme="1" tint="0.24994659260841701"/>
      </font>
    </dxf>
    <dxf>
      <font>
        <color theme="9" tint="0.59996337778862885"/>
      </font>
    </dxf>
    <dxf>
      <font>
        <color theme="9" tint="0.59996337778862885"/>
      </font>
    </dxf>
    <dxf>
      <font>
        <color theme="1" tint="0.24994659260841701"/>
      </font>
    </dxf>
    <dxf>
      <font>
        <color theme="5" tint="0.39994506668294322"/>
      </font>
    </dxf>
    <dxf>
      <font>
        <color theme="0"/>
      </font>
    </dxf>
    <dxf>
      <font>
        <color theme="9" tint="0.79998168889431442"/>
      </font>
    </dxf>
    <dxf>
      <font>
        <color theme="9" tint="0.59996337778862885"/>
      </font>
    </dxf>
    <dxf>
      <font>
        <color theme="9" tint="0.59996337778862885"/>
      </font>
    </dxf>
    <dxf>
      <font>
        <color theme="9" tint="0.59996337778862885"/>
      </font>
    </dxf>
    <dxf>
      <font>
        <color theme="0"/>
      </font>
    </dxf>
    <dxf>
      <font>
        <color theme="5" tint="0.39994506668294322"/>
      </font>
    </dxf>
    <dxf>
      <font>
        <color theme="1" tint="0.24994659260841701"/>
      </font>
    </dxf>
    <dxf>
      <font>
        <color theme="9" tint="0.79998168889431442"/>
      </font>
    </dxf>
    <dxf>
      <font>
        <color theme="9" tint="0.79998168889431442"/>
      </font>
    </dxf>
    <dxf>
      <font>
        <color theme="9" tint="0.79998168889431442"/>
      </font>
    </dxf>
    <dxf>
      <font>
        <color theme="9" tint="0.59996337778862885"/>
      </font>
    </dxf>
    <dxf>
      <font>
        <color theme="9" tint="0.79998168889431442"/>
      </font>
    </dxf>
    <dxf>
      <font>
        <color theme="9" tint="0.79998168889431442"/>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79998168889431442"/>
      </font>
    </dxf>
    <dxf>
      <font>
        <color theme="9" tint="0.59996337778862885"/>
      </font>
    </dxf>
    <dxf>
      <font>
        <color theme="0"/>
      </font>
    </dxf>
    <dxf>
      <font>
        <color theme="0"/>
      </font>
    </dxf>
    <dxf>
      <font>
        <color theme="0"/>
      </font>
    </dxf>
    <dxf>
      <font>
        <color theme="0"/>
      </font>
    </dxf>
    <dxf>
      <font>
        <color theme="5" tint="0.39994506668294322"/>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ill>
        <patternFill>
          <bgColor rgb="FF66FF99"/>
        </patternFill>
      </fill>
    </dxf>
    <dxf>
      <font>
        <color theme="0"/>
      </font>
    </dxf>
    <dxf>
      <font>
        <b/>
        <i val="0"/>
      </font>
      <fill>
        <patternFill>
          <bgColor indexed="42"/>
        </patternFill>
      </fill>
    </dxf>
    <dxf>
      <font>
        <color theme="0"/>
      </font>
    </dxf>
    <dxf>
      <font>
        <condense val="0"/>
        <extend val="0"/>
        <color indexed="9"/>
      </font>
    </dxf>
    <dxf>
      <font>
        <color theme="5" tint="0.39994506668294322"/>
      </font>
    </dxf>
    <dxf>
      <font>
        <color theme="9" tint="0.59996337778862885"/>
      </font>
    </dxf>
    <dxf>
      <font>
        <color theme="9" tint="0.59996337778862885"/>
      </font>
    </dxf>
    <dxf>
      <font>
        <color theme="0"/>
      </font>
    </dxf>
    <dxf>
      <font>
        <color theme="5" tint="0.39994506668294322"/>
      </font>
    </dxf>
    <dxf>
      <font>
        <color theme="0"/>
      </font>
    </dxf>
    <dxf>
      <font>
        <color theme="5" tint="0.39994506668294322"/>
      </font>
    </dxf>
    <dxf>
      <font>
        <color theme="9" tint="0.79998168889431442"/>
      </font>
    </dxf>
    <dxf>
      <font>
        <color theme="5" tint="0.39994506668294322"/>
      </font>
    </dxf>
    <dxf>
      <font>
        <color theme="0"/>
      </font>
    </dxf>
    <dxf>
      <font>
        <color theme="0"/>
      </font>
    </dxf>
    <dxf>
      <font>
        <color theme="9" tint="0.79998168889431442"/>
      </font>
    </dxf>
    <dxf>
      <font>
        <color theme="0"/>
      </font>
    </dxf>
    <dxf>
      <font>
        <color theme="0"/>
      </font>
    </dxf>
    <dxf>
      <font>
        <color theme="0"/>
      </font>
    </dxf>
    <dxf>
      <font>
        <color theme="0"/>
      </font>
    </dxf>
    <dxf>
      <fill>
        <patternFill>
          <bgColor rgb="FF66FF99"/>
        </patternFill>
      </fill>
    </dxf>
    <dxf>
      <font>
        <color theme="0"/>
      </font>
    </dxf>
    <dxf>
      <font>
        <condense val="0"/>
        <extend val="0"/>
        <color indexed="9"/>
      </font>
    </dxf>
    <dxf>
      <font>
        <condense val="0"/>
        <extend val="0"/>
        <color indexed="9"/>
      </font>
    </dxf>
    <dxf>
      <font>
        <b/>
        <i val="0"/>
      </font>
      <fill>
        <patternFill>
          <bgColor indexed="42"/>
        </patternFill>
      </fill>
    </dxf>
    <dxf>
      <font>
        <condense val="0"/>
        <extend val="0"/>
        <color indexed="9"/>
      </font>
    </dxf>
    <dxf>
      <font>
        <color theme="0"/>
      </font>
    </dxf>
    <dxf>
      <font>
        <color theme="5" tint="0.39994506668294322"/>
      </font>
    </dxf>
    <dxf>
      <font>
        <color theme="5" tint="0.39994506668294322"/>
      </font>
    </dxf>
    <dxf>
      <font>
        <color theme="0"/>
      </font>
    </dxf>
    <dxf>
      <font>
        <color theme="5" tint="0.39994506668294322"/>
      </font>
    </dxf>
    <dxf>
      <font>
        <color theme="0"/>
      </font>
    </dxf>
    <dxf>
      <font>
        <color theme="9" tint="0.59996337778862885"/>
      </font>
    </dxf>
    <dxf>
      <font>
        <color theme="9" tint="0.59996337778862885"/>
      </font>
    </dxf>
    <dxf>
      <font>
        <color theme="9" tint="0.79998168889431442"/>
      </font>
    </dxf>
    <dxf>
      <font>
        <color theme="9" tint="0.79998168889431442"/>
      </font>
    </dxf>
    <dxf>
      <font>
        <color theme="9" tint="0.79998168889431442"/>
      </font>
    </dxf>
    <dxf>
      <font>
        <color theme="5" tint="0.39994506668294322"/>
      </font>
    </dxf>
    <dxf>
      <font>
        <color theme="0"/>
      </font>
    </dxf>
    <dxf>
      <font>
        <color theme="0"/>
      </font>
    </dxf>
    <dxf>
      <font>
        <color theme="0"/>
      </font>
    </dxf>
    <dxf>
      <font>
        <color theme="0"/>
      </font>
    </dxf>
    <dxf>
      <font>
        <color theme="0"/>
      </font>
    </dxf>
    <dxf>
      <font>
        <color theme="0"/>
      </font>
    </dxf>
    <dxf>
      <font>
        <condense val="0"/>
        <extend val="0"/>
        <color indexed="9"/>
      </font>
    </dxf>
    <dxf>
      <font>
        <color theme="0"/>
      </font>
    </dxf>
    <dxf>
      <font>
        <color theme="0"/>
      </font>
    </dxf>
    <dxf>
      <fill>
        <patternFill>
          <bgColor rgb="FF66FF99"/>
        </patternFill>
      </fill>
    </dxf>
    <dxf>
      <font>
        <color theme="0"/>
      </font>
    </dxf>
    <dxf>
      <font>
        <b/>
        <i val="0"/>
      </font>
      <fill>
        <patternFill>
          <bgColor indexed="42"/>
        </patternFill>
      </fill>
    </dxf>
    <dxf>
      <font>
        <color theme="0"/>
      </font>
    </dxf>
    <dxf>
      <font>
        <condense val="0"/>
        <extend val="0"/>
        <color indexed="9"/>
      </font>
    </dxf>
    <dxf>
      <font>
        <color theme="9" tint="0.79998168889431442"/>
      </font>
    </dxf>
    <dxf>
      <font>
        <color theme="5" tint="0.39994506668294322"/>
      </font>
    </dxf>
    <dxf>
      <font>
        <condense val="0"/>
        <extend val="0"/>
        <color indexed="9"/>
      </font>
    </dxf>
    <dxf>
      <font>
        <color theme="9" tint="0.79998168889431442"/>
      </font>
    </dxf>
    <dxf>
      <font>
        <color theme="0"/>
      </font>
    </dxf>
    <dxf>
      <font>
        <color theme="9" tint="0.79998168889431442"/>
      </font>
    </dxf>
    <dxf>
      <font>
        <color theme="9" tint="0.59996337778862885"/>
      </font>
    </dxf>
    <dxf>
      <font>
        <color theme="0"/>
      </font>
    </dxf>
    <dxf>
      <font>
        <color theme="5" tint="0.39994506668294322"/>
      </font>
    </dxf>
    <dxf>
      <font>
        <color theme="5" tint="0.39994506668294322"/>
      </font>
    </dxf>
    <dxf>
      <font>
        <color theme="0"/>
      </font>
    </dxf>
    <dxf>
      <font>
        <color theme="5" tint="0.39994506668294322"/>
      </font>
    </dxf>
    <dxf>
      <font>
        <color theme="0"/>
      </font>
    </dxf>
    <dxf>
      <font>
        <color theme="0"/>
      </font>
    </dxf>
    <dxf>
      <font>
        <color theme="0"/>
      </font>
    </dxf>
    <dxf>
      <font>
        <color theme="0"/>
      </font>
    </dxf>
    <dxf>
      <font>
        <color theme="9" tint="0.59996337778862885"/>
      </font>
    </dxf>
    <dxf>
      <font>
        <color theme="9" tint="0.59996337778862885"/>
      </font>
    </dxf>
    <dxf>
      <font>
        <color theme="9" tint="0.79998168889431442"/>
      </font>
    </dxf>
    <dxf>
      <font>
        <color theme="9" tint="0.79998168889431442"/>
      </font>
    </dxf>
    <dxf>
      <font>
        <color theme="9" tint="0.59996337778862885"/>
      </font>
    </dxf>
    <dxf>
      <font>
        <color theme="5" tint="0.39994506668294322"/>
      </font>
    </dxf>
    <dxf>
      <font>
        <color theme="0"/>
      </font>
    </dxf>
    <dxf>
      <font>
        <color theme="0"/>
      </font>
    </dxf>
    <dxf>
      <font>
        <color theme="0"/>
      </font>
    </dxf>
    <dxf>
      <font>
        <color theme="0"/>
      </font>
    </dxf>
    <dxf>
      <font>
        <color theme="9" tint="0.79998168889431442"/>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ont>
        <condense val="0"/>
        <extend val="0"/>
        <color indexed="9"/>
      </font>
    </dxf>
    <dxf>
      <font>
        <color theme="9" tint="0.79998168889431442"/>
      </font>
    </dxf>
    <dxf>
      <font>
        <condense val="0"/>
        <extend val="0"/>
        <color indexed="9"/>
      </font>
    </dxf>
    <dxf>
      <font>
        <color theme="0"/>
      </font>
    </dxf>
    <dxf>
      <font>
        <color theme="0"/>
      </font>
    </dxf>
    <dxf>
      <font>
        <color theme="5" tint="0.39994506668294322"/>
      </font>
    </dxf>
    <dxf>
      <font>
        <color theme="5" tint="0.39994506668294322"/>
      </font>
    </dxf>
    <dxf>
      <font>
        <color theme="0"/>
      </font>
    </dxf>
    <dxf>
      <font>
        <color theme="5" tint="0.39994506668294322"/>
      </font>
    </dxf>
    <dxf>
      <font>
        <color theme="0"/>
      </font>
    </dxf>
    <dxf>
      <font>
        <color theme="9" tint="0.79998168889431442"/>
      </font>
    </dxf>
    <dxf>
      <font>
        <color theme="9" tint="0.59996337778862885"/>
      </font>
    </dxf>
    <dxf>
      <font>
        <color theme="0"/>
      </font>
    </dxf>
    <dxf>
      <fill>
        <patternFill>
          <bgColor rgb="FF66FF99"/>
        </patternFill>
      </fill>
    </dxf>
    <dxf>
      <fill>
        <patternFill>
          <bgColor rgb="FF66FF99"/>
        </patternFill>
      </fill>
    </dxf>
    <dxf>
      <font>
        <b/>
        <i val="0"/>
      </font>
      <fill>
        <patternFill>
          <bgColor indexed="42"/>
        </patternFill>
      </fill>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5" tint="0.39994506668294322"/>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0"/>
      </font>
    </dxf>
    <dxf>
      <font>
        <color theme="0"/>
      </font>
    </dxf>
    <dxf>
      <font>
        <b val="0"/>
        <i val="0"/>
        <color auto="1"/>
      </font>
      <fill>
        <patternFill>
          <bgColor rgb="FF66FF99"/>
        </patternFill>
      </fill>
    </dxf>
    <dxf>
      <font>
        <color theme="9" tint="0.59996337778862885"/>
      </font>
    </dxf>
    <dxf>
      <font>
        <color theme="9" tint="0.59996337778862885"/>
      </font>
    </dxf>
    <dxf>
      <font>
        <b/>
        <i val="0"/>
      </font>
      <fill>
        <patternFill>
          <bgColor indexed="42"/>
        </patternFill>
      </fill>
    </dxf>
    <dxf>
      <font>
        <b val="0"/>
        <i val="0"/>
        <color auto="1"/>
      </font>
      <fill>
        <patternFill>
          <bgColor rgb="FF66FF99"/>
        </patternFill>
      </fill>
    </dxf>
    <dxf>
      <font>
        <color theme="9" tint="0.59996337778862885"/>
      </font>
    </dxf>
    <dxf>
      <font>
        <color theme="9" tint="0.59996337778862885"/>
      </font>
    </dxf>
    <dxf>
      <font>
        <color theme="9" tint="0.59996337778862885"/>
      </font>
    </dxf>
    <dxf>
      <font>
        <color theme="9" tint="0.59996337778862885"/>
      </font>
    </dxf>
    <dxf>
      <font>
        <color theme="0"/>
      </font>
    </dxf>
    <dxf>
      <font>
        <color theme="0"/>
      </font>
    </dxf>
    <dxf>
      <font>
        <color theme="0"/>
      </font>
    </dxf>
    <dxf>
      <font>
        <b val="0"/>
        <i val="0"/>
      </font>
      <fill>
        <patternFill>
          <bgColor rgb="FF66FF99"/>
        </patternFill>
      </fill>
    </dxf>
    <dxf>
      <font>
        <color theme="0"/>
      </font>
    </dxf>
    <dxf>
      <font>
        <color theme="0"/>
      </font>
    </dxf>
    <dxf>
      <font>
        <b val="0"/>
        <i val="0"/>
      </font>
      <fill>
        <patternFill>
          <bgColor rgb="FF66FF99"/>
        </patternFill>
      </fill>
    </dxf>
    <dxf>
      <font>
        <color theme="0"/>
      </font>
    </dxf>
    <dxf>
      <border>
        <top style="thin">
          <color rgb="FF66FF99"/>
        </top>
        <bottom style="thin">
          <color rgb="FF66FF99"/>
        </bottom>
        <vertical/>
        <horizontal/>
      </border>
    </dxf>
    <dxf>
      <fill>
        <patternFill>
          <bgColor rgb="FF66FF99"/>
        </patternFill>
      </fill>
    </dxf>
    <dxf>
      <font>
        <color theme="0"/>
      </font>
    </dxf>
    <dxf>
      <font>
        <b/>
        <i val="0"/>
      </font>
      <border>
        <left style="thin">
          <color rgb="FF66FF99"/>
        </left>
        <right style="thin">
          <color rgb="FF66FF99"/>
        </right>
        <vertical/>
        <horizontal/>
      </border>
    </dxf>
    <dxf>
      <font>
        <b/>
        <i val="0"/>
      </font>
      <border>
        <left style="thin">
          <color rgb="FF66FF99"/>
        </left>
        <right style="thin">
          <color rgb="FF66FF99"/>
        </right>
        <vertical/>
        <horizontal/>
      </border>
    </dxf>
    <dxf>
      <fill>
        <patternFill>
          <fgColor auto="1"/>
          <bgColor rgb="FF00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val="0"/>
        <i val="0"/>
        <color auto="1"/>
      </font>
      <fill>
        <patternFill>
          <bgColor rgb="FF66FF99"/>
        </patternFill>
      </fill>
    </dxf>
    <dxf>
      <font>
        <b/>
        <i val="0"/>
      </font>
      <fill>
        <patternFill>
          <bgColor indexed="42"/>
        </patternFill>
      </fill>
    </dxf>
    <dxf>
      <fill>
        <patternFill>
          <bgColor rgb="FF66FF99"/>
        </patternFill>
      </fill>
    </dxf>
    <dxf>
      <font>
        <color theme="0"/>
      </font>
    </dxf>
    <dxf>
      <fill>
        <patternFill>
          <bgColor theme="5"/>
        </patternFill>
      </fill>
    </dxf>
    <dxf>
      <font>
        <color theme="0"/>
      </font>
    </dxf>
    <dxf>
      <fill>
        <patternFill>
          <bgColor theme="5"/>
        </patternFill>
      </fill>
    </dxf>
    <dxf>
      <font>
        <color theme="0"/>
      </font>
    </dxf>
    <dxf>
      <fill>
        <patternFill>
          <bgColor rgb="FF66FF99"/>
        </patternFill>
      </fill>
    </dxf>
    <dxf>
      <font>
        <color theme="0"/>
      </font>
    </dxf>
    <dxf>
      <font>
        <color theme="0"/>
      </font>
    </dxf>
    <dxf>
      <fill>
        <patternFill>
          <bgColor theme="5"/>
        </patternFill>
      </fill>
    </dxf>
    <dxf>
      <fill>
        <patternFill>
          <bgColor rgb="FF66FF99"/>
        </patternFill>
      </fill>
    </dxf>
    <dxf>
      <font>
        <color theme="0"/>
      </font>
    </dxf>
    <dxf>
      <font>
        <color theme="0"/>
      </font>
    </dxf>
    <dxf>
      <fill>
        <patternFill>
          <bgColor theme="5"/>
        </patternFill>
      </fill>
    </dxf>
    <dxf>
      <fill>
        <patternFill>
          <bgColor rgb="FF66FF99"/>
        </patternFill>
      </fill>
    </dxf>
    <dxf>
      <font>
        <color theme="0"/>
      </font>
    </dxf>
    <dxf>
      <fill>
        <patternFill>
          <bgColor theme="5"/>
        </patternFill>
      </fill>
    </dxf>
    <dxf>
      <fill>
        <patternFill>
          <bgColor rgb="FF66FF99"/>
        </patternFill>
      </fill>
    </dxf>
    <dxf>
      <font>
        <color theme="0"/>
      </font>
    </dxf>
    <dxf>
      <font>
        <color theme="0"/>
      </font>
    </dxf>
    <dxf>
      <fill>
        <patternFill>
          <bgColor theme="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6FEB8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5F5F5"/>
      <rgbColor rgb="00CCFFFF"/>
      <rgbColor rgb="00F16A05"/>
      <rgbColor rgb="00F04242"/>
      <rgbColor rgb="00BF4900"/>
      <rgbColor rgb="00FB994F"/>
      <rgbColor rgb="00000080"/>
      <rgbColor rgb="009B4719"/>
      <rgbColor rgb="00FFFF00"/>
      <rgbColor rgb="0000FFFF"/>
      <rgbColor rgb="00800080"/>
      <rgbColor rgb="00BA1400"/>
      <rgbColor rgb="00008080"/>
      <rgbColor rgb="00C851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6F5F0"/>
      <color rgb="FF66FF99"/>
      <color rgb="FFBA1400"/>
      <color rgb="FFECF2FA"/>
      <color rgb="FFFBFBFB"/>
      <color rgb="FF3C8AA6"/>
      <color rgb="FF3D7BA9"/>
      <color rgb="FF32648A"/>
      <color rgb="FF214F87"/>
      <color rgb="FF4D7F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s>
</file>

<file path=xl/charts/_rels/chart102.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06.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08.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16.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118.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123.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127.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134.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138.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141.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146.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148.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50.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157.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159.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165.xml.rels><?xml version="1.0" encoding="UTF-8" standalone="yes"?>
<Relationships xmlns="http://schemas.openxmlformats.org/package/2006/relationships"><Relationship Id="rId1" Type="http://schemas.openxmlformats.org/officeDocument/2006/relationships/themeOverride" Target="../theme/themeOverride31.xml"/></Relationships>
</file>

<file path=xl/charts/_rels/chart176.xml.rels><?xml version="1.0" encoding="UTF-8" standalone="yes"?>
<Relationships xmlns="http://schemas.openxmlformats.org/package/2006/relationships"><Relationship Id="rId1" Type="http://schemas.openxmlformats.org/officeDocument/2006/relationships/themeOverride" Target="../theme/themeOverride32.xml"/></Relationships>
</file>

<file path=xl/charts/_rels/chart178.xml.rels><?xml version="1.0" encoding="UTF-8" standalone="yes"?>
<Relationships xmlns="http://schemas.openxmlformats.org/package/2006/relationships"><Relationship Id="rId1" Type="http://schemas.openxmlformats.org/officeDocument/2006/relationships/themeOverride" Target="../theme/themeOverride33.xml"/></Relationships>
</file>

<file path=xl/charts/_rels/chart181.xml.rels><?xml version="1.0" encoding="UTF-8" standalone="yes"?>
<Relationships xmlns="http://schemas.openxmlformats.org/package/2006/relationships"><Relationship Id="rId1" Type="http://schemas.openxmlformats.org/officeDocument/2006/relationships/themeOverride" Target="../theme/themeOverride34.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43.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53.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68.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72.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77.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1.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8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85.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87.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IDACI 2019</a:t>
            </a:r>
          </a:p>
        </c:rich>
      </c:tx>
      <c:layout>
        <c:manualLayout>
          <c:xMode val="edge"/>
          <c:yMode val="edge"/>
          <c:x val="0.43082700099380783"/>
          <c:y val="2.2758155230596176E-2"/>
        </c:manualLayout>
      </c:layout>
      <c:overlay val="0"/>
      <c:spPr>
        <a:noFill/>
        <a:ln w="25400">
          <a:noFill/>
        </a:ln>
      </c:spPr>
    </c:title>
    <c:autoTitleDeleted val="0"/>
    <c:plotArea>
      <c:layout>
        <c:manualLayout>
          <c:layoutTarget val="inner"/>
          <c:xMode val="edge"/>
          <c:yMode val="edge"/>
          <c:x val="6.8866012241828409E-2"/>
          <c:y val="8.493502597889549E-2"/>
          <c:w val="0.90222275346511482"/>
          <c:h val="0.64850779366864852"/>
        </c:manualLayout>
      </c:layout>
      <c:barChart>
        <c:barDir val="col"/>
        <c:grouping val="clustered"/>
        <c:varyColors val="0"/>
        <c:ser>
          <c:idx val="2"/>
          <c:order val="0"/>
          <c:tx>
            <c:strRef>
              <c:f>IDACI!$C$8</c:f>
              <c:strCache>
                <c:ptCount val="1"/>
                <c:pt idx="0">
                  <c:v>IDACI 2019</c:v>
                </c:pt>
              </c:strCache>
            </c:strRef>
          </c:tx>
          <c:spPr>
            <a:solidFill>
              <a:srgbClr val="FB994F"/>
            </a:solidFill>
            <a:ln w="25400">
              <a:noFill/>
            </a:ln>
          </c:spPr>
          <c:invertIfNegative val="0"/>
          <c:dPt>
            <c:idx val="22"/>
            <c:invertIfNegative val="0"/>
            <c:bubble3D val="0"/>
            <c:spPr>
              <a:solidFill>
                <a:srgbClr val="C00000"/>
              </a:solidFill>
              <a:ln w="25400">
                <a:noFill/>
              </a:ln>
            </c:spPr>
            <c:extLst>
              <c:ext xmlns:c16="http://schemas.microsoft.com/office/drawing/2014/chart" uri="{C3380CC4-5D6E-409C-BE32-E72D297353CC}">
                <c16:uniqueId val="{00000001-8556-44FF-9E3C-A4CAC2837C75}"/>
              </c:ext>
            </c:extLst>
          </c:dPt>
          <c:dPt>
            <c:idx val="23"/>
            <c:invertIfNegative val="0"/>
            <c:bubble3D val="0"/>
            <c:spPr>
              <a:solidFill>
                <a:schemeClr val="tx1">
                  <a:lumMod val="75000"/>
                  <a:lumOff val="25000"/>
                </a:schemeClr>
              </a:solidFill>
              <a:ln w="25400">
                <a:noFill/>
              </a:ln>
            </c:spPr>
            <c:extLst>
              <c:ext xmlns:c16="http://schemas.microsoft.com/office/drawing/2014/chart" uri="{C3380CC4-5D6E-409C-BE32-E72D297353CC}">
                <c16:uniqueId val="{00000003-8556-44FF-9E3C-A4CAC2837C75}"/>
              </c:ext>
            </c:extLst>
          </c:dPt>
          <c:cat>
            <c:strRef>
              <c:f>IDACI!$B$9:$B$32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IDACI!$C$9:$C$32</c:f>
              <c:numCache>
                <c:formatCode>0.0</c:formatCode>
                <c:ptCount val="24"/>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13.600000000000001</c:v>
                </c:pt>
                <c:pt idx="14">
                  <c:v>20.5</c:v>
                </c:pt>
                <c:pt idx="15">
                  <c:v>8.3000000000000007</c:v>
                </c:pt>
                <c:pt idx="16">
                  <c:v>14.899999999999999</c:v>
                </c:pt>
                <c:pt idx="17">
                  <c:v>21.9</c:v>
                </c:pt>
                <c:pt idx="18">
                  <c:v>8.6999999999999993</c:v>
                </c:pt>
                <c:pt idx="19">
                  <c:v>11</c:v>
                </c:pt>
                <c:pt idx="20">
                  <c:v>6.7</c:v>
                </c:pt>
                <c:pt idx="21">
                  <c:v>5.6000000000000005</c:v>
                </c:pt>
                <c:pt idx="22">
                  <c:v>12.371268250968637</c:v>
                </c:pt>
                <c:pt idx="23">
                  <c:v>17.084413405029373</c:v>
                </c:pt>
              </c:numCache>
            </c:numRef>
          </c:val>
          <c:extLst>
            <c:ext xmlns:c16="http://schemas.microsoft.com/office/drawing/2014/chart" uri="{C3380CC4-5D6E-409C-BE32-E72D297353CC}">
              <c16:uniqueId val="{00000004-8556-44FF-9E3C-A4CAC2837C75}"/>
            </c:ext>
          </c:extLst>
        </c:ser>
        <c:ser>
          <c:idx val="0"/>
          <c:order val="1"/>
          <c:tx>
            <c:strRef>
              <c:f>IDACI!$T$5</c:f>
              <c:strCache>
                <c:ptCount val="1"/>
                <c:pt idx="0">
                  <c:v>(none)</c:v>
                </c:pt>
              </c:strCache>
            </c:strRef>
          </c:tx>
          <c:spPr>
            <a:solidFill>
              <a:srgbClr val="66FF99"/>
            </a:solidFill>
            <a:ln w="12700">
              <a:solidFill>
                <a:schemeClr val="tx1">
                  <a:lumMod val="75000"/>
                  <a:lumOff val="25000"/>
                </a:schemeClr>
              </a:solidFill>
              <a:prstDash val="solid"/>
            </a:ln>
          </c:spPr>
          <c:invertIfNegative val="0"/>
          <c:cat>
            <c:strRef>
              <c:f>IDACI!$B$9:$B$32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IDACI!$U$9:$U$31</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extLst>
            <c:ext xmlns:c16="http://schemas.microsoft.com/office/drawing/2014/chart" uri="{C3380CC4-5D6E-409C-BE32-E72D297353CC}">
              <c16:uniqueId val="{00000005-8556-44FF-9E3C-A4CAC2837C75}"/>
            </c:ext>
          </c:extLst>
        </c:ser>
        <c:dLbls>
          <c:showLegendKey val="0"/>
          <c:showVal val="0"/>
          <c:showCatName val="0"/>
          <c:showSerName val="0"/>
          <c:showPercent val="0"/>
          <c:showBubbleSize val="0"/>
        </c:dLbls>
        <c:gapWidth val="40"/>
        <c:overlap val="100"/>
        <c:axId val="471359872"/>
        <c:axId val="471361408"/>
      </c:barChart>
      <c:catAx>
        <c:axId val="471359872"/>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471361408"/>
        <c:crossesAt val="0"/>
        <c:auto val="1"/>
        <c:lblAlgn val="ctr"/>
        <c:lblOffset val="100"/>
        <c:noMultiLvlLbl val="0"/>
      </c:catAx>
      <c:valAx>
        <c:axId val="47136140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71359872"/>
        <c:crosses val="autoZero"/>
        <c:crossBetween val="between"/>
      </c:valAx>
      <c:spPr>
        <a:noFill/>
        <a:ln w="12700">
          <a:solidFill>
            <a:schemeClr val="tx1"/>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Early Help Referrals, per 10,000 0-17 year olds</a:t>
            </a:r>
          </a:p>
        </c:rich>
      </c:tx>
      <c:layout>
        <c:manualLayout>
          <c:xMode val="edge"/>
          <c:yMode val="edge"/>
          <c:x val="0.14376525110093455"/>
          <c:y val="1.6704416577557436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519636434334601"/>
        </c:manualLayout>
      </c:layout>
      <c:lineChart>
        <c:grouping val="standard"/>
        <c:varyColors val="0"/>
        <c:ser>
          <c:idx val="0"/>
          <c:order val="0"/>
          <c:tx>
            <c:strRef>
              <c:f>EH_Referrals!$AK$40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A58-402F-AA66-8D4FC25083DB}"/>
              </c:ext>
            </c:extLst>
          </c:dPt>
          <c:cat>
            <c:strRef>
              <c:f>EH_Referrals!$Z$2:$AD$3</c:f>
              <c:strCache>
                <c:ptCount val="5"/>
                <c:pt idx="0">
                  <c:v>2015-16</c:v>
                </c:pt>
                <c:pt idx="1">
                  <c:v>2016-17</c:v>
                </c:pt>
                <c:pt idx="2">
                  <c:v>2017-18</c:v>
                </c:pt>
                <c:pt idx="3">
                  <c:v>2018-19</c:v>
                </c:pt>
                <c:pt idx="4">
                  <c:v>2019-20</c:v>
                </c:pt>
              </c:strCache>
            </c:strRef>
          </c:cat>
          <c:val>
            <c:numRef>
              <c:f>EH_Referrals!$AL$40:$AP$40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A58-402F-AA66-8D4FC25083DB}"/>
            </c:ext>
          </c:extLst>
        </c:ser>
        <c:ser>
          <c:idx val="1"/>
          <c:order val="1"/>
          <c:tx>
            <c:strRef>
              <c:f>EH_Referrals!$AK$41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EH_Referrals!$AL$41:$AP$41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FA58-402F-AA66-8D4FC25083DB}"/>
            </c:ext>
          </c:extLst>
        </c:ser>
        <c:ser>
          <c:idx val="2"/>
          <c:order val="2"/>
          <c:tx>
            <c:strRef>
              <c:f>EH_Referrals!$AK$42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EH_Referrals!$AL$42:$AP$42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FA58-402F-AA66-8D4FC25083DB}"/>
            </c:ext>
          </c:extLst>
        </c:ser>
        <c:ser>
          <c:idx val="5"/>
          <c:order val="3"/>
          <c:tx>
            <c:strRef>
              <c:f>EH_Referrals!$AK$43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EH_Referrals!$AL$43:$AP$43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FA58-402F-AA66-8D4FC25083DB}"/>
            </c:ext>
          </c:extLst>
        </c:ser>
        <c:ser>
          <c:idx val="9"/>
          <c:order val="4"/>
          <c:tx>
            <c:strRef>
              <c:f>EH_Referrals!$AK$44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EH_Referrals!$AL$44:$AP$44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FA58-402F-AA66-8D4FC25083DB}"/>
            </c:ext>
          </c:extLst>
        </c:ser>
        <c:ser>
          <c:idx val="10"/>
          <c:order val="5"/>
          <c:tx>
            <c:strRef>
              <c:f>EH_Referrals!$AK$45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EH_Referrals!$AL$45:$AP$45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FA58-402F-AA66-8D4FC25083DB}"/>
            </c:ext>
          </c:extLst>
        </c:ser>
        <c:ser>
          <c:idx val="11"/>
          <c:order val="6"/>
          <c:tx>
            <c:strRef>
              <c:f>EH_Referrals!$AK$46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EH_Referrals!$AL$46:$AP$46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FA58-402F-AA66-8D4FC25083DB}"/>
            </c:ext>
          </c:extLst>
        </c:ser>
        <c:ser>
          <c:idx val="12"/>
          <c:order val="7"/>
          <c:tx>
            <c:strRef>
              <c:f>EH_Referrals!$AK$47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EH_Referrals!$AL$47:$AP$47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FA58-402F-AA66-8D4FC25083DB}"/>
            </c:ext>
          </c:extLst>
        </c:ser>
        <c:ser>
          <c:idx val="13"/>
          <c:order val="8"/>
          <c:tx>
            <c:strRef>
              <c:f>EH_Referrals!$AK$48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EH_Referrals!$AL$48:$AP$48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FA58-402F-AA66-8D4FC25083DB}"/>
            </c:ext>
          </c:extLst>
        </c:ser>
        <c:ser>
          <c:idx val="15"/>
          <c:order val="9"/>
          <c:tx>
            <c:strRef>
              <c:f>EH_Referrals!$AK$49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EH_Referrals!$AL$49:$AP$49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FA58-402F-AA66-8D4FC25083DB}"/>
            </c:ext>
          </c:extLst>
        </c:ser>
        <c:ser>
          <c:idx val="16"/>
          <c:order val="10"/>
          <c:tx>
            <c:strRef>
              <c:f>EH_Referrals!$AK$50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EH_Referrals!$AL$50:$AP$50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FA58-402F-AA66-8D4FC25083DB}"/>
            </c:ext>
          </c:extLst>
        </c:ser>
        <c:ser>
          <c:idx val="17"/>
          <c:order val="11"/>
          <c:tx>
            <c:strRef>
              <c:f>EH_Referrals!$AK$51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EH_Referrals!$AL$51:$AP$51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FA58-402F-AA66-8D4FC25083DB}"/>
            </c:ext>
          </c:extLst>
        </c:ser>
        <c:ser>
          <c:idx val="19"/>
          <c:order val="12"/>
          <c:tx>
            <c:strRef>
              <c:f>EH_Referrals!$AK$52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EH_Referrals!$AL$52:$AP$52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FA58-402F-AA66-8D4FC25083DB}"/>
            </c:ext>
          </c:extLst>
        </c:ser>
        <c:ser>
          <c:idx val="3"/>
          <c:order val="13"/>
          <c:tx>
            <c:strRef>
              <c:f>EH_Referrals!$AK$53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EH_Referrals!$AL$53:$AP$53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FA58-402F-AA66-8D4FC25083DB}"/>
            </c:ext>
          </c:extLst>
        </c:ser>
        <c:ser>
          <c:idx val="20"/>
          <c:order val="14"/>
          <c:tx>
            <c:strRef>
              <c:f>EH_Referrals!$AK$54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EH_Referrals!$AL$54:$AP$54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FA58-402F-AA66-8D4FC25083DB}"/>
            </c:ext>
          </c:extLst>
        </c:ser>
        <c:ser>
          <c:idx val="22"/>
          <c:order val="15"/>
          <c:tx>
            <c:strRef>
              <c:f>EH_Referrals!$AK$55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EH_Referrals!$AL$55:$AP$55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FA58-402F-AA66-8D4FC25083DB}"/>
            </c:ext>
          </c:extLst>
        </c:ser>
        <c:ser>
          <c:idx val="7"/>
          <c:order val="16"/>
          <c:tx>
            <c:strRef>
              <c:f>EH_Referrals!$AK$56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EH_Referrals!$Z$2:$AD$3</c:f>
              <c:strCache>
                <c:ptCount val="5"/>
                <c:pt idx="0">
                  <c:v>2015-16</c:v>
                </c:pt>
                <c:pt idx="1">
                  <c:v>2016-17</c:v>
                </c:pt>
                <c:pt idx="2">
                  <c:v>2017-18</c:v>
                </c:pt>
                <c:pt idx="3">
                  <c:v>2018-19</c:v>
                </c:pt>
                <c:pt idx="4">
                  <c:v>2019-20</c:v>
                </c:pt>
              </c:strCache>
            </c:strRef>
          </c:cat>
          <c:val>
            <c:numRef>
              <c:f>EH_Referrals!$AL$56:$AP$56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FA58-402F-AA66-8D4FC25083DB}"/>
            </c:ext>
          </c:extLst>
        </c:ser>
        <c:ser>
          <c:idx val="8"/>
          <c:order val="17"/>
          <c:tx>
            <c:strRef>
              <c:f>EH_Referrals!$AK$57</c:f>
              <c:strCache>
                <c:ptCount val="1"/>
                <c:pt idx="0">
                  <c:v>Torbay</c:v>
                </c:pt>
              </c:strCache>
            </c:strRef>
          </c:tx>
          <c:spPr>
            <a:ln w="12700"/>
          </c:spPr>
          <c:marker>
            <c:symbol val="circle"/>
            <c:size val="5"/>
            <c:spPr>
              <a:solidFill>
                <a:schemeClr val="accent3">
                  <a:lumMod val="20000"/>
                  <a:lumOff val="80000"/>
                </a:schemeClr>
              </a:solidFill>
            </c:spPr>
          </c:marker>
          <c:cat>
            <c:strRef>
              <c:f>EH_Referrals!$Z$2:$AD$3</c:f>
              <c:strCache>
                <c:ptCount val="5"/>
                <c:pt idx="0">
                  <c:v>2015-16</c:v>
                </c:pt>
                <c:pt idx="1">
                  <c:v>2016-17</c:v>
                </c:pt>
                <c:pt idx="2">
                  <c:v>2017-18</c:v>
                </c:pt>
                <c:pt idx="3">
                  <c:v>2018-19</c:v>
                </c:pt>
                <c:pt idx="4">
                  <c:v>2019-20</c:v>
                </c:pt>
              </c:strCache>
            </c:strRef>
          </c:cat>
          <c:val>
            <c:numRef>
              <c:f>EH_Referrals!$AL$57:$AP$57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FA58-402F-AA66-8D4FC25083DB}"/>
            </c:ext>
          </c:extLst>
        </c:ser>
        <c:ser>
          <c:idx val="23"/>
          <c:order val="18"/>
          <c:tx>
            <c:strRef>
              <c:f>EH_Referrals!$AK$58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EH_Referrals!$AL$58:$AP$58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FA58-402F-AA66-8D4FC25083DB}"/>
            </c:ext>
          </c:extLst>
        </c:ser>
        <c:ser>
          <c:idx val="24"/>
          <c:order val="19"/>
          <c:tx>
            <c:strRef>
              <c:f>EH_Referrals!$AK$59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EH_Referrals!$AL$59:$AP$59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FA58-402F-AA66-8D4FC25083DB}"/>
            </c:ext>
          </c:extLst>
        </c:ser>
        <c:ser>
          <c:idx val="25"/>
          <c:order val="20"/>
          <c:tx>
            <c:strRef>
              <c:f>EH_Referrals!$AK$60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EH_Referrals!$AL$60:$AP$60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FA58-402F-AA66-8D4FC25083DB}"/>
            </c:ext>
          </c:extLst>
        </c:ser>
        <c:ser>
          <c:idx val="26"/>
          <c:order val="21"/>
          <c:tx>
            <c:strRef>
              <c:f>EH_Referrals!$AK$61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EH_Referrals!$AL$61:$AP$61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FA58-402F-AA66-8D4FC25083DB}"/>
            </c:ext>
          </c:extLst>
        </c:ser>
        <c:ser>
          <c:idx val="4"/>
          <c:order val="22"/>
          <c:tx>
            <c:strRef>
              <c:f>EH_Referrals!$AK$62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EH_Referrals!$AL$62:$AP$62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FA58-402F-AA66-8D4FC25083DB}"/>
            </c:ext>
          </c:extLst>
        </c:ser>
        <c:ser>
          <c:idx val="14"/>
          <c:order val="23"/>
          <c:tx>
            <c:strRef>
              <c:f>EH_Referrals!$AK$63</c:f>
              <c:strCache>
                <c:ptCount val="1"/>
                <c:pt idx="0">
                  <c:v>Selected LA- (none)</c:v>
                </c:pt>
              </c:strCache>
            </c:strRef>
          </c:tx>
          <c:spPr>
            <a:ln w="19050">
              <a:solidFill>
                <a:schemeClr val="tx1">
                  <a:lumMod val="75000"/>
                  <a:lumOff val="25000"/>
                </a:schemeClr>
              </a:solidFill>
            </a:ln>
          </c:spPr>
          <c:marker>
            <c:symbol val="circle"/>
            <c:size val="6"/>
            <c:spPr>
              <a:solidFill>
                <a:srgbClr val="66FF99"/>
              </a:solidFill>
              <a:ln w="12700">
                <a:solidFill>
                  <a:schemeClr val="tx1">
                    <a:lumMod val="75000"/>
                    <a:lumOff val="25000"/>
                  </a:schemeClr>
                </a:solidFill>
              </a:ln>
            </c:spPr>
          </c:marker>
          <c:cat>
            <c:strRef>
              <c:f>EH_Referrals!$Z$2:$AD$3</c:f>
              <c:strCache>
                <c:ptCount val="5"/>
                <c:pt idx="0">
                  <c:v>2015-16</c:v>
                </c:pt>
                <c:pt idx="1">
                  <c:v>2016-17</c:v>
                </c:pt>
                <c:pt idx="2">
                  <c:v>2017-18</c:v>
                </c:pt>
                <c:pt idx="3">
                  <c:v>2018-19</c:v>
                </c:pt>
                <c:pt idx="4">
                  <c:v>2019-20</c:v>
                </c:pt>
              </c:strCache>
            </c:strRef>
          </c:cat>
          <c:val>
            <c:numRef>
              <c:f>EH_Referrals!$AL$63:$AP$63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FA58-402F-AA66-8D4FC25083DB}"/>
            </c:ext>
          </c:extLst>
        </c:ser>
        <c:dLbls>
          <c:showLegendKey val="0"/>
          <c:showVal val="0"/>
          <c:showCatName val="0"/>
          <c:showSerName val="0"/>
          <c:showPercent val="0"/>
          <c:showBubbleSize val="0"/>
        </c:dLbls>
        <c:marker val="1"/>
        <c:smooth val="0"/>
        <c:axId val="510741120"/>
        <c:axId val="510747008"/>
      </c:lineChart>
      <c:catAx>
        <c:axId val="510741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0747008"/>
        <c:crosses val="autoZero"/>
        <c:auto val="1"/>
        <c:lblAlgn val="ctr"/>
        <c:lblOffset val="100"/>
        <c:tickLblSkip val="1"/>
        <c:tickMarkSkip val="1"/>
        <c:noMultiLvlLbl val="0"/>
      </c:catAx>
      <c:valAx>
        <c:axId val="51074700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074112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Looked After Children,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'Looked After Children'!$AL$41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B56C-4478-A06D-94E279CDDBAB}"/>
              </c:ext>
            </c:extLst>
          </c:dPt>
          <c:cat>
            <c:strRef>
              <c:f>'Looked After Children'!$Z$2:$AD$3</c:f>
              <c:strCache>
                <c:ptCount val="5"/>
                <c:pt idx="0">
                  <c:v>2015-16</c:v>
                </c:pt>
                <c:pt idx="1">
                  <c:v>2016-17</c:v>
                </c:pt>
                <c:pt idx="2">
                  <c:v>2017-18</c:v>
                </c:pt>
                <c:pt idx="3">
                  <c:v>2018-19</c:v>
                </c:pt>
                <c:pt idx="4">
                  <c:v>2019-20</c:v>
                </c:pt>
              </c:strCache>
            </c:strRef>
          </c:cat>
          <c:val>
            <c:numRef>
              <c:f>'Looked After Children'!$AM$41:$AQ$41</c:f>
              <c:numCache>
                <c:formatCode>0.0</c:formatCode>
                <c:ptCount val="5"/>
                <c:pt idx="0">
                  <c:v>34.751773049645394</c:v>
                </c:pt>
                <c:pt idx="1">
                  <c:v>41.134751773049643</c:v>
                </c:pt>
                <c:pt idx="2">
                  <c:v>49.110320284697508</c:v>
                </c:pt>
                <c:pt idx="3">
                  <c:v>55.830388692579504</c:v>
                </c:pt>
                <c:pt idx="4">
                  <c:v>50</c:v>
                </c:pt>
              </c:numCache>
            </c:numRef>
          </c:val>
          <c:smooth val="0"/>
          <c:extLst>
            <c:ext xmlns:c16="http://schemas.microsoft.com/office/drawing/2014/chart" uri="{C3380CC4-5D6E-409C-BE32-E72D297353CC}">
              <c16:uniqueId val="{00000001-B56C-4478-A06D-94E279CDDBAB}"/>
            </c:ext>
          </c:extLst>
        </c:ser>
        <c:ser>
          <c:idx val="1"/>
          <c:order val="1"/>
          <c:tx>
            <c:strRef>
              <c:f>'Looked After Children'!$AL$42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Children'!$AM$42:$AQ$42</c:f>
              <c:numCache>
                <c:formatCode>0.0</c:formatCode>
                <c:ptCount val="5"/>
                <c:pt idx="0">
                  <c:v>85.546875</c:v>
                </c:pt>
                <c:pt idx="1">
                  <c:v>88.888888888888886</c:v>
                </c:pt>
                <c:pt idx="2">
                  <c:v>82.156862745098039</c:v>
                </c:pt>
                <c:pt idx="3">
                  <c:v>76.666666666666657</c:v>
                </c:pt>
                <c:pt idx="4">
                  <c:v>73.558648111332005</c:v>
                </c:pt>
              </c:numCache>
            </c:numRef>
          </c:val>
          <c:smooth val="0"/>
          <c:extLst>
            <c:ext xmlns:c16="http://schemas.microsoft.com/office/drawing/2014/chart" uri="{C3380CC4-5D6E-409C-BE32-E72D297353CC}">
              <c16:uniqueId val="{00000002-B56C-4478-A06D-94E279CDDBAB}"/>
            </c:ext>
          </c:extLst>
        </c:ser>
        <c:ser>
          <c:idx val="2"/>
          <c:order val="2"/>
          <c:tx>
            <c:strRef>
              <c:f>'Looked After Children'!$AL$43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Children'!$AM$43:$AQ$43</c:f>
              <c:numCache>
                <c:formatCode>0.0</c:formatCode>
                <c:ptCount val="5"/>
                <c:pt idx="0">
                  <c:v>38.059701492537314</c:v>
                </c:pt>
                <c:pt idx="1">
                  <c:v>37.152209492635023</c:v>
                </c:pt>
                <c:pt idx="2">
                  <c:v>38.342810722989441</c:v>
                </c:pt>
                <c:pt idx="3">
                  <c:v>41.432019308125504</c:v>
                </c:pt>
                <c:pt idx="4">
                  <c:v>38.504375497215598</c:v>
                </c:pt>
              </c:numCache>
            </c:numRef>
          </c:val>
          <c:smooth val="0"/>
          <c:extLst>
            <c:ext xmlns:c16="http://schemas.microsoft.com/office/drawing/2014/chart" uri="{C3380CC4-5D6E-409C-BE32-E72D297353CC}">
              <c16:uniqueId val="{00000003-B56C-4478-A06D-94E279CDDBAB}"/>
            </c:ext>
          </c:extLst>
        </c:ser>
        <c:ser>
          <c:idx val="5"/>
          <c:order val="3"/>
          <c:tx>
            <c:strRef>
              <c:f>'Looked After Children'!$AL$44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Children'!$AM$44:$AQ$44</c:f>
              <c:numCache>
                <c:formatCode>0.0</c:formatCode>
                <c:ptCount val="5"/>
                <c:pt idx="0">
                  <c:v>51.274787535410766</c:v>
                </c:pt>
                <c:pt idx="1">
                  <c:v>52.407932011331447</c:v>
                </c:pt>
                <c:pt idx="2">
                  <c:v>56.79245283018868</c:v>
                </c:pt>
                <c:pt idx="3">
                  <c:v>56.390977443609017</c:v>
                </c:pt>
                <c:pt idx="4">
                  <c:v>55.691439322671684</c:v>
                </c:pt>
              </c:numCache>
            </c:numRef>
          </c:val>
          <c:smooth val="0"/>
          <c:extLst>
            <c:ext xmlns:c16="http://schemas.microsoft.com/office/drawing/2014/chart" uri="{C3380CC4-5D6E-409C-BE32-E72D297353CC}">
              <c16:uniqueId val="{00000004-B56C-4478-A06D-94E279CDDBAB}"/>
            </c:ext>
          </c:extLst>
        </c:ser>
        <c:ser>
          <c:idx val="9"/>
          <c:order val="4"/>
          <c:tx>
            <c:strRef>
              <c:f>'Looked After Children'!$AL$45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Children'!$AM$45:$AQ$45</c:f>
              <c:numCache>
                <c:formatCode>0.0</c:formatCode>
                <c:ptCount val="5"/>
                <c:pt idx="0">
                  <c:v>46.293011706278826</c:v>
                </c:pt>
                <c:pt idx="1">
                  <c:v>50.919377652050912</c:v>
                </c:pt>
                <c:pt idx="2">
                  <c:v>56.265442993293327</c:v>
                </c:pt>
                <c:pt idx="3">
                  <c:v>58.591549295774648</c:v>
                </c:pt>
                <c:pt idx="4">
                  <c:v>56.348927189588466</c:v>
                </c:pt>
              </c:numCache>
            </c:numRef>
          </c:val>
          <c:smooth val="0"/>
          <c:extLst>
            <c:ext xmlns:c16="http://schemas.microsoft.com/office/drawing/2014/chart" uri="{C3380CC4-5D6E-409C-BE32-E72D297353CC}">
              <c16:uniqueId val="{00000005-B56C-4478-A06D-94E279CDDBAB}"/>
            </c:ext>
          </c:extLst>
        </c:ser>
        <c:ser>
          <c:idx val="10"/>
          <c:order val="5"/>
          <c:tx>
            <c:strRef>
              <c:f>'Looked After Children'!$AL$46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Children'!$AM$46:$AQ$46</c:f>
              <c:numCache>
                <c:formatCode>0.0</c:formatCode>
                <c:ptCount val="5"/>
                <c:pt idx="0">
                  <c:v>80.632411067193686</c:v>
                </c:pt>
                <c:pt idx="1">
                  <c:v>90.476190476190467</c:v>
                </c:pt>
                <c:pt idx="2">
                  <c:v>90.039840637450197</c:v>
                </c:pt>
                <c:pt idx="3">
                  <c:v>97.590361445783131</c:v>
                </c:pt>
                <c:pt idx="4">
                  <c:v>106.88259109311741</c:v>
                </c:pt>
              </c:numCache>
            </c:numRef>
          </c:val>
          <c:smooth val="0"/>
          <c:extLst>
            <c:ext xmlns:c16="http://schemas.microsoft.com/office/drawing/2014/chart" uri="{C3380CC4-5D6E-409C-BE32-E72D297353CC}">
              <c16:uniqueId val="{00000006-B56C-4478-A06D-94E279CDDBAB}"/>
            </c:ext>
          </c:extLst>
        </c:ser>
        <c:ser>
          <c:idx val="11"/>
          <c:order val="6"/>
          <c:tx>
            <c:strRef>
              <c:f>'Looked After Children'!$AL$47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Children'!$AM$47:$AQ$47</c:f>
              <c:numCache>
                <c:formatCode>0.0</c:formatCode>
                <c:ptCount val="5"/>
                <c:pt idx="0">
                  <c:v>70.036319612590802</c:v>
                </c:pt>
                <c:pt idx="1">
                  <c:v>57.087087087087085</c:v>
                </c:pt>
                <c:pt idx="2">
                  <c:v>48.824754537340077</c:v>
                </c:pt>
                <c:pt idx="3">
                  <c:v>46.75095560129374</c:v>
                </c:pt>
                <c:pt idx="4">
                  <c:v>52.559627690517736</c:v>
                </c:pt>
              </c:numCache>
            </c:numRef>
          </c:val>
          <c:smooth val="0"/>
          <c:extLst>
            <c:ext xmlns:c16="http://schemas.microsoft.com/office/drawing/2014/chart" uri="{C3380CC4-5D6E-409C-BE32-E72D297353CC}">
              <c16:uniqueId val="{00000007-B56C-4478-A06D-94E279CDDBAB}"/>
            </c:ext>
          </c:extLst>
        </c:ser>
        <c:ser>
          <c:idx val="12"/>
          <c:order val="7"/>
          <c:tx>
            <c:strRef>
              <c:f>'Looked After Children'!$AL$48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Children'!$AM$48:$AQ$48</c:f>
              <c:numCache>
                <c:formatCode>0.0</c:formatCode>
                <c:ptCount val="5"/>
                <c:pt idx="0">
                  <c:v>68.037974683544306</c:v>
                </c:pt>
                <c:pt idx="1">
                  <c:v>61.224489795918366</c:v>
                </c:pt>
                <c:pt idx="2">
                  <c:v>64.788732394366193</c:v>
                </c:pt>
                <c:pt idx="3">
                  <c:v>65.838509316770185</c:v>
                </c:pt>
                <c:pt idx="4">
                  <c:v>65.538461538461547</c:v>
                </c:pt>
              </c:numCache>
            </c:numRef>
          </c:val>
          <c:smooth val="0"/>
          <c:extLst>
            <c:ext xmlns:c16="http://schemas.microsoft.com/office/drawing/2014/chart" uri="{C3380CC4-5D6E-409C-BE32-E72D297353CC}">
              <c16:uniqueId val="{00000008-B56C-4478-A06D-94E279CDDBAB}"/>
            </c:ext>
          </c:extLst>
        </c:ser>
        <c:ser>
          <c:idx val="13"/>
          <c:order val="8"/>
          <c:tx>
            <c:strRef>
              <c:f>'Looked After Children'!$AL$49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Children'!$AM$49:$AQ$49</c:f>
              <c:numCache>
                <c:formatCode>0.0</c:formatCode>
                <c:ptCount val="5"/>
                <c:pt idx="0">
                  <c:v>52.193645990922839</c:v>
                </c:pt>
                <c:pt idx="1">
                  <c:v>59.016393442622949</c:v>
                </c:pt>
                <c:pt idx="2">
                  <c:v>58.284023668639051</c:v>
                </c:pt>
                <c:pt idx="3">
                  <c:v>55.783308931185942</c:v>
                </c:pt>
                <c:pt idx="4">
                  <c:v>58.575581395348834</c:v>
                </c:pt>
              </c:numCache>
            </c:numRef>
          </c:val>
          <c:smooth val="0"/>
          <c:extLst>
            <c:ext xmlns:c16="http://schemas.microsoft.com/office/drawing/2014/chart" uri="{C3380CC4-5D6E-409C-BE32-E72D297353CC}">
              <c16:uniqueId val="{00000009-B56C-4478-A06D-94E279CDDBAB}"/>
            </c:ext>
          </c:extLst>
        </c:ser>
        <c:ser>
          <c:idx val="15"/>
          <c:order val="9"/>
          <c:tx>
            <c:strRef>
              <c:f>'Looked After Children'!$AL$50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Children'!$AM$50:$AQ$50</c:f>
              <c:numCache>
                <c:formatCode>0.0</c:formatCode>
                <c:ptCount val="5"/>
                <c:pt idx="0">
                  <c:v>41.819464033850494</c:v>
                </c:pt>
                <c:pt idx="1">
                  <c:v>46.60601819454164</c:v>
                </c:pt>
                <c:pt idx="2">
                  <c:v>47.698744769874473</c:v>
                </c:pt>
                <c:pt idx="3">
                  <c:v>53.798342541436462</c:v>
                </c:pt>
                <c:pt idx="4">
                  <c:v>52.498288843258045</c:v>
                </c:pt>
              </c:numCache>
            </c:numRef>
          </c:val>
          <c:smooth val="0"/>
          <c:extLst>
            <c:ext xmlns:c16="http://schemas.microsoft.com/office/drawing/2014/chart" uri="{C3380CC4-5D6E-409C-BE32-E72D297353CC}">
              <c16:uniqueId val="{0000000A-B56C-4478-A06D-94E279CDDBAB}"/>
            </c:ext>
          </c:extLst>
        </c:ser>
        <c:ser>
          <c:idx val="16"/>
          <c:order val="10"/>
          <c:tx>
            <c:strRef>
              <c:f>'Looked After Children'!$AL$51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Children'!$AM$51:$AQ$51</c:f>
              <c:numCache>
                <c:formatCode>0.0</c:formatCode>
                <c:ptCount val="5"/>
                <c:pt idx="0">
                  <c:v>73.515981735159826</c:v>
                </c:pt>
                <c:pt idx="1">
                  <c:v>81.36363636363636</c:v>
                </c:pt>
                <c:pt idx="2">
                  <c:v>93.891402714932127</c:v>
                </c:pt>
                <c:pt idx="3">
                  <c:v>110.45454545454545</c:v>
                </c:pt>
                <c:pt idx="4">
                  <c:v>106.39269406392694</c:v>
                </c:pt>
              </c:numCache>
            </c:numRef>
          </c:val>
          <c:smooth val="0"/>
          <c:extLst>
            <c:ext xmlns:c16="http://schemas.microsoft.com/office/drawing/2014/chart" uri="{C3380CC4-5D6E-409C-BE32-E72D297353CC}">
              <c16:uniqueId val="{0000000B-B56C-4478-A06D-94E279CDDBAB}"/>
            </c:ext>
          </c:extLst>
        </c:ser>
        <c:ser>
          <c:idx val="17"/>
          <c:order val="11"/>
          <c:tx>
            <c:strRef>
              <c:f>'Looked After Children'!$AL$52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Children'!$AM$52:$AQ$52</c:f>
              <c:numCache>
                <c:formatCode>0.0</c:formatCode>
                <c:ptCount val="5"/>
                <c:pt idx="0">
                  <c:v>60.439560439560445</c:v>
                </c:pt>
                <c:pt idx="1">
                  <c:v>71.857923497267763</c:v>
                </c:pt>
                <c:pt idx="2">
                  <c:v>75.202156334231802</c:v>
                </c:pt>
                <c:pt idx="3">
                  <c:v>73.584905660377359</c:v>
                </c:pt>
                <c:pt idx="4">
                  <c:v>75.675675675675677</c:v>
                </c:pt>
              </c:numCache>
            </c:numRef>
          </c:val>
          <c:smooth val="0"/>
          <c:extLst>
            <c:ext xmlns:c16="http://schemas.microsoft.com/office/drawing/2014/chart" uri="{C3380CC4-5D6E-409C-BE32-E72D297353CC}">
              <c16:uniqueId val="{0000000C-B56C-4478-A06D-94E279CDDBAB}"/>
            </c:ext>
          </c:extLst>
        </c:ser>
        <c:ser>
          <c:idx val="19"/>
          <c:order val="12"/>
          <c:tx>
            <c:strRef>
              <c:f>'Looked After Children'!$AL$53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Children'!$AM$53:$AQ$53</c:f>
              <c:numCache>
                <c:formatCode>0.0</c:formatCode>
                <c:ptCount val="5"/>
                <c:pt idx="0">
                  <c:v>44.088669950738911</c:v>
                </c:pt>
                <c:pt idx="1">
                  <c:v>45.893719806763286</c:v>
                </c:pt>
                <c:pt idx="2">
                  <c:v>48.81516587677725</c:v>
                </c:pt>
                <c:pt idx="3">
                  <c:v>49.882903981264633</c:v>
                </c:pt>
                <c:pt idx="4">
                  <c:v>45.475638051044086</c:v>
                </c:pt>
              </c:numCache>
            </c:numRef>
          </c:val>
          <c:smooth val="0"/>
          <c:extLst>
            <c:ext xmlns:c16="http://schemas.microsoft.com/office/drawing/2014/chart" uri="{C3380CC4-5D6E-409C-BE32-E72D297353CC}">
              <c16:uniqueId val="{0000000D-B56C-4478-A06D-94E279CDDBAB}"/>
            </c:ext>
          </c:extLst>
        </c:ser>
        <c:ser>
          <c:idx val="3"/>
          <c:order val="13"/>
          <c:tx>
            <c:strRef>
              <c:f>'Looked After Children'!$AL$54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Children'!$AM$54:$AQ$54</c:f>
              <c:numCache>
                <c:formatCode>0.0</c:formatCode>
                <c:ptCount val="5"/>
                <c:pt idx="0">
                  <c:v>45.879120879120876</c:v>
                </c:pt>
                <c:pt idx="1">
                  <c:v>43.39106654512306</c:v>
                </c:pt>
                <c:pt idx="2">
                  <c:v>46.957311534968213</c:v>
                </c:pt>
                <c:pt idx="3">
                  <c:v>48.238482384823854</c:v>
                </c:pt>
                <c:pt idx="4">
                  <c:v>47.57194244604316</c:v>
                </c:pt>
              </c:numCache>
            </c:numRef>
          </c:val>
          <c:smooth val="0"/>
          <c:extLst>
            <c:ext xmlns:c16="http://schemas.microsoft.com/office/drawing/2014/chart" uri="{C3380CC4-5D6E-409C-BE32-E72D297353CC}">
              <c16:uniqueId val="{0000000E-B56C-4478-A06D-94E279CDDBAB}"/>
            </c:ext>
          </c:extLst>
        </c:ser>
        <c:ser>
          <c:idx val="20"/>
          <c:order val="14"/>
          <c:tx>
            <c:strRef>
              <c:f>'Looked After Children'!$AL$55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Children'!$AM$55:$AQ$55</c:f>
              <c:numCache>
                <c:formatCode>0.0</c:formatCode>
                <c:ptCount val="5"/>
                <c:pt idx="0">
                  <c:v>120.1219512195122</c:v>
                </c:pt>
                <c:pt idx="1">
                  <c:v>108.21643286573146</c:v>
                </c:pt>
                <c:pt idx="2">
                  <c:v>103.77733598409543</c:v>
                </c:pt>
                <c:pt idx="3">
                  <c:v>94.685039370078741</c:v>
                </c:pt>
                <c:pt idx="4">
                  <c:v>94.736842105263165</c:v>
                </c:pt>
              </c:numCache>
            </c:numRef>
          </c:val>
          <c:smooth val="0"/>
          <c:extLst>
            <c:ext xmlns:c16="http://schemas.microsoft.com/office/drawing/2014/chart" uri="{C3380CC4-5D6E-409C-BE32-E72D297353CC}">
              <c16:uniqueId val="{0000000F-B56C-4478-A06D-94E279CDDBAB}"/>
            </c:ext>
          </c:extLst>
        </c:ser>
        <c:ser>
          <c:idx val="22"/>
          <c:order val="15"/>
          <c:tx>
            <c:strRef>
              <c:f>'Looked After Children'!$AL$56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Children'!$AM$56:$AQ$56</c:f>
              <c:numCache>
                <c:formatCode>0.0</c:formatCode>
                <c:ptCount val="5"/>
                <c:pt idx="0">
                  <c:v>33.814352574102962</c:v>
                </c:pt>
                <c:pt idx="1">
                  <c:v>33.552123552123554</c:v>
                </c:pt>
                <c:pt idx="2">
                  <c:v>35.728006146753742</c:v>
                </c:pt>
                <c:pt idx="3">
                  <c:v>37.151584574264987</c:v>
                </c:pt>
                <c:pt idx="4">
                  <c:v>37.187263078089465</c:v>
                </c:pt>
              </c:numCache>
            </c:numRef>
          </c:val>
          <c:smooth val="0"/>
          <c:extLst>
            <c:ext xmlns:c16="http://schemas.microsoft.com/office/drawing/2014/chart" uri="{C3380CC4-5D6E-409C-BE32-E72D297353CC}">
              <c16:uniqueId val="{00000010-B56C-4478-A06D-94E279CDDBAB}"/>
            </c:ext>
          </c:extLst>
        </c:ser>
        <c:ser>
          <c:idx val="7"/>
          <c:order val="16"/>
          <c:tx>
            <c:strRef>
              <c:f>'Looked After Children'!$AL$57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'Looked After Children'!$Z$2:$AD$3</c:f>
              <c:strCache>
                <c:ptCount val="5"/>
                <c:pt idx="0">
                  <c:v>2015-16</c:v>
                </c:pt>
                <c:pt idx="1">
                  <c:v>2016-17</c:v>
                </c:pt>
                <c:pt idx="2">
                  <c:v>2017-18</c:v>
                </c:pt>
                <c:pt idx="3">
                  <c:v>2018-19</c:v>
                </c:pt>
                <c:pt idx="4">
                  <c:v>2019-20</c:v>
                </c:pt>
              </c:strCache>
            </c:strRef>
          </c:cat>
          <c:val>
            <c:numRef>
              <c:f>'Looked After Children'!$AM$57:$AQ$57</c:f>
              <c:numCache>
                <c:formatCode>0.0</c:formatCode>
                <c:ptCount val="5"/>
                <c:pt idx="0">
                  <c:v>59.795918367346943</c:v>
                </c:pt>
                <c:pt idx="1">
                  <c:v>66.666666666666671</c:v>
                </c:pt>
                <c:pt idx="2">
                  <c:v>72.144288577154313</c:v>
                </c:pt>
                <c:pt idx="3">
                  <c:v>69.322709163346616</c:v>
                </c:pt>
                <c:pt idx="4">
                  <c:v>59.722222222222229</c:v>
                </c:pt>
              </c:numCache>
            </c:numRef>
          </c:val>
          <c:smooth val="0"/>
          <c:extLst>
            <c:ext xmlns:c16="http://schemas.microsoft.com/office/drawing/2014/chart" uri="{C3380CC4-5D6E-409C-BE32-E72D297353CC}">
              <c16:uniqueId val="{00000011-B56C-4478-A06D-94E279CDDBAB}"/>
            </c:ext>
          </c:extLst>
        </c:ser>
        <c:ser>
          <c:idx val="8"/>
          <c:order val="17"/>
          <c:tx>
            <c:strRef>
              <c:f>'Looked After Children'!$AL$58</c:f>
              <c:strCache>
                <c:ptCount val="1"/>
                <c:pt idx="0">
                  <c:v>Torbay</c:v>
                </c:pt>
              </c:strCache>
            </c:strRef>
          </c:tx>
          <c:spPr>
            <a:ln w="12700"/>
          </c:spPr>
          <c:marker>
            <c:symbol val="circle"/>
            <c:size val="5"/>
            <c:spPr>
              <a:solidFill>
                <a:schemeClr val="accent3">
                  <a:lumMod val="20000"/>
                  <a:lumOff val="80000"/>
                </a:schemeClr>
              </a:solidFill>
            </c:spPr>
          </c:marker>
          <c:cat>
            <c:strRef>
              <c:f>'Looked After Children'!$Z$2:$AD$3</c:f>
              <c:strCache>
                <c:ptCount val="5"/>
                <c:pt idx="0">
                  <c:v>2015-16</c:v>
                </c:pt>
                <c:pt idx="1">
                  <c:v>2016-17</c:v>
                </c:pt>
                <c:pt idx="2">
                  <c:v>2017-18</c:v>
                </c:pt>
                <c:pt idx="3">
                  <c:v>2018-19</c:v>
                </c:pt>
                <c:pt idx="4">
                  <c:v>2019-20</c:v>
                </c:pt>
              </c:strCache>
            </c:strRef>
          </c:cat>
          <c:val>
            <c:numRef>
              <c:f>'Looked After Children'!$AM$58:$AQ$58</c:f>
              <c:numCache>
                <c:formatCode>0.0</c:formatCode>
                <c:ptCount val="5"/>
                <c:pt idx="0">
                  <c:v>110.71428571428571</c:v>
                </c:pt>
                <c:pt idx="1">
                  <c:v>113.77952755905513</c:v>
                </c:pt>
                <c:pt idx="2">
                  <c:v>129.5275590551181</c:v>
                </c:pt>
                <c:pt idx="3">
                  <c:v>142.51968503937007</c:v>
                </c:pt>
                <c:pt idx="4">
                  <c:v>139.453125</c:v>
                </c:pt>
              </c:numCache>
            </c:numRef>
          </c:val>
          <c:smooth val="0"/>
          <c:extLst>
            <c:ext xmlns:c16="http://schemas.microsoft.com/office/drawing/2014/chart" uri="{C3380CC4-5D6E-409C-BE32-E72D297353CC}">
              <c16:uniqueId val="{00000012-B56C-4478-A06D-94E279CDDBAB}"/>
            </c:ext>
          </c:extLst>
        </c:ser>
        <c:ser>
          <c:idx val="23"/>
          <c:order val="18"/>
          <c:tx>
            <c:strRef>
              <c:f>'Looked After Children'!$AL$59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Children'!$AM$59:$AQ$59</c:f>
              <c:numCache>
                <c:formatCode>0.0</c:formatCode>
                <c:ptCount val="5"/>
                <c:pt idx="0">
                  <c:v>43.977591036414566</c:v>
                </c:pt>
                <c:pt idx="1">
                  <c:v>44.846796657381617</c:v>
                </c:pt>
                <c:pt idx="2">
                  <c:v>40.502793296089386</c:v>
                </c:pt>
                <c:pt idx="3">
                  <c:v>48.31460674157303</c:v>
                </c:pt>
                <c:pt idx="4">
                  <c:v>44.101123595505619</c:v>
                </c:pt>
              </c:numCache>
            </c:numRef>
          </c:val>
          <c:smooth val="0"/>
          <c:extLst>
            <c:ext xmlns:c16="http://schemas.microsoft.com/office/drawing/2014/chart" uri="{C3380CC4-5D6E-409C-BE32-E72D297353CC}">
              <c16:uniqueId val="{00000013-B56C-4478-A06D-94E279CDDBAB}"/>
            </c:ext>
          </c:extLst>
        </c:ser>
        <c:ser>
          <c:idx val="24"/>
          <c:order val="19"/>
          <c:tx>
            <c:strRef>
              <c:f>'Looked After Children'!$AL$60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Children'!$AM$60:$AQ$60</c:f>
              <c:numCache>
                <c:formatCode>0.0</c:formatCode>
                <c:ptCount val="5"/>
                <c:pt idx="0">
                  <c:v>37.5</c:v>
                </c:pt>
                <c:pt idx="1">
                  <c:v>38.59138533178114</c:v>
                </c:pt>
                <c:pt idx="2">
                  <c:v>40.623196768609347</c:v>
                </c:pt>
                <c:pt idx="3">
                  <c:v>40.297653119633658</c:v>
                </c:pt>
                <c:pt idx="4">
                  <c:v>45.883021010789321</c:v>
                </c:pt>
              </c:numCache>
            </c:numRef>
          </c:val>
          <c:smooth val="0"/>
          <c:extLst>
            <c:ext xmlns:c16="http://schemas.microsoft.com/office/drawing/2014/chart" uri="{C3380CC4-5D6E-409C-BE32-E72D297353CC}">
              <c16:uniqueId val="{00000014-B56C-4478-A06D-94E279CDDBAB}"/>
            </c:ext>
          </c:extLst>
        </c:ser>
        <c:ser>
          <c:idx val="25"/>
          <c:order val="20"/>
          <c:tx>
            <c:strRef>
              <c:f>'Looked After Children'!$AL$61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Children'!$AM$61:$AQ$61</c:f>
              <c:numCache>
                <c:formatCode>0.0</c:formatCode>
                <c:ptCount val="5"/>
                <c:pt idx="0">
                  <c:v>26.409495548961427</c:v>
                </c:pt>
                <c:pt idx="1">
                  <c:v>31.871345029239766</c:v>
                </c:pt>
                <c:pt idx="2">
                  <c:v>31.104651162790699</c:v>
                </c:pt>
                <c:pt idx="3">
                  <c:v>35.838150289017342</c:v>
                </c:pt>
                <c:pt idx="4">
                  <c:v>33.429394812680115</c:v>
                </c:pt>
              </c:numCache>
            </c:numRef>
          </c:val>
          <c:smooth val="0"/>
          <c:extLst>
            <c:ext xmlns:c16="http://schemas.microsoft.com/office/drawing/2014/chart" uri="{C3380CC4-5D6E-409C-BE32-E72D297353CC}">
              <c16:uniqueId val="{00000015-B56C-4478-A06D-94E279CDDBAB}"/>
            </c:ext>
          </c:extLst>
        </c:ser>
        <c:ser>
          <c:idx val="26"/>
          <c:order val="21"/>
          <c:tx>
            <c:strRef>
              <c:f>'Looked After Children'!$AL$62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Children'!$AM$62:$AQ$62</c:f>
              <c:numCache>
                <c:formatCode>0.0</c:formatCode>
                <c:ptCount val="5"/>
                <c:pt idx="0">
                  <c:v>21.715817694369974</c:v>
                </c:pt>
                <c:pt idx="1">
                  <c:v>19.736842105263158</c:v>
                </c:pt>
                <c:pt idx="2">
                  <c:v>27.390180878552972</c:v>
                </c:pt>
                <c:pt idx="3">
                  <c:v>27.848101265822784</c:v>
                </c:pt>
                <c:pt idx="4">
                  <c:v>24.257425742574256</c:v>
                </c:pt>
              </c:numCache>
            </c:numRef>
          </c:val>
          <c:smooth val="0"/>
          <c:extLst>
            <c:ext xmlns:c16="http://schemas.microsoft.com/office/drawing/2014/chart" uri="{C3380CC4-5D6E-409C-BE32-E72D297353CC}">
              <c16:uniqueId val="{00000016-B56C-4478-A06D-94E279CDDBAB}"/>
            </c:ext>
          </c:extLst>
        </c:ser>
        <c:ser>
          <c:idx val="4"/>
          <c:order val="22"/>
          <c:tx>
            <c:strRef>
              <c:f>'Looked After Children'!$AL$63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Children'!$AM$63:$AQ$63</c:f>
              <c:numCache>
                <c:formatCode>0.0</c:formatCode>
                <c:ptCount val="5"/>
                <c:pt idx="0">
                  <c:v>51.45717115895939</c:v>
                </c:pt>
                <c:pt idx="1">
                  <c:v>50.850964771610364</c:v>
                </c:pt>
                <c:pt idx="2">
                  <c:v>51.442975461700712</c:v>
                </c:pt>
                <c:pt idx="3">
                  <c:v>52.518647185041381</c:v>
                </c:pt>
                <c:pt idx="4">
                  <c:v>53.067235425553527</c:v>
                </c:pt>
              </c:numCache>
            </c:numRef>
          </c:val>
          <c:smooth val="0"/>
          <c:extLst>
            <c:ext xmlns:c16="http://schemas.microsoft.com/office/drawing/2014/chart" uri="{C3380CC4-5D6E-409C-BE32-E72D297353CC}">
              <c16:uniqueId val="{00000017-B56C-4478-A06D-94E279CDDBAB}"/>
            </c:ext>
          </c:extLst>
        </c:ser>
        <c:ser>
          <c:idx val="14"/>
          <c:order val="23"/>
          <c:tx>
            <c:strRef>
              <c:f>'Looked After Children'!$AL$64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'Looked After Children'!$Z$2:$AD$3</c:f>
              <c:strCache>
                <c:ptCount val="5"/>
                <c:pt idx="0">
                  <c:v>2015-16</c:v>
                </c:pt>
                <c:pt idx="1">
                  <c:v>2016-17</c:v>
                </c:pt>
                <c:pt idx="2">
                  <c:v>2017-18</c:v>
                </c:pt>
                <c:pt idx="3">
                  <c:v>2018-19</c:v>
                </c:pt>
                <c:pt idx="4">
                  <c:v>2019-20</c:v>
                </c:pt>
              </c:strCache>
            </c:strRef>
          </c:cat>
          <c:val>
            <c:numRef>
              <c:f>'Looked After Children'!$AM$64:$AQ$64</c:f>
              <c:numCache>
                <c:formatCode>0.0</c:formatCode>
                <c:ptCount val="5"/>
                <c:pt idx="0">
                  <c:v>60.293374664965448</c:v>
                </c:pt>
                <c:pt idx="1">
                  <c:v>61.610650556201371</c:v>
                </c:pt>
                <c:pt idx="2">
                  <c:v>63.512260891547989</c:v>
                </c:pt>
                <c:pt idx="3">
                  <c:v>65.37232529737507</c:v>
                </c:pt>
                <c:pt idx="4">
                  <c:v>66.602348714195415</c:v>
                </c:pt>
              </c:numCache>
            </c:numRef>
          </c:val>
          <c:smooth val="0"/>
          <c:extLst>
            <c:ext xmlns:c16="http://schemas.microsoft.com/office/drawing/2014/chart" uri="{C3380CC4-5D6E-409C-BE32-E72D297353CC}">
              <c16:uniqueId val="{00000018-B56C-4478-A06D-94E279CDDBAB}"/>
            </c:ext>
          </c:extLst>
        </c:ser>
        <c:ser>
          <c:idx val="6"/>
          <c:order val="24"/>
          <c:tx>
            <c:strRef>
              <c:f>'Looked After Children'!$AL$65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2015-16</c:v>
                </c:pt>
                <c:pt idx="1">
                  <c:v>2016-17</c:v>
                </c:pt>
                <c:pt idx="2">
                  <c:v>2017-18</c:v>
                </c:pt>
                <c:pt idx="3">
                  <c:v>2018-19</c:v>
                </c:pt>
                <c:pt idx="4">
                  <c:v>2019-20</c:v>
                </c:pt>
              </c:strCache>
            </c:strRef>
          </c:cat>
          <c:val>
            <c:numRef>
              <c:f>'Looked After Children'!$AM$65:$AQ$65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B56C-4478-A06D-94E279CDDBAB}"/>
            </c:ext>
          </c:extLst>
        </c:ser>
        <c:dLbls>
          <c:showLegendKey val="0"/>
          <c:showVal val="0"/>
          <c:showCatName val="0"/>
          <c:showSerName val="0"/>
          <c:showPercent val="0"/>
          <c:showBubbleSize val="0"/>
        </c:dLbls>
        <c:marker val="1"/>
        <c:smooth val="0"/>
        <c:axId val="600614400"/>
        <c:axId val="600616320"/>
      </c:lineChart>
      <c:catAx>
        <c:axId val="600614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616320"/>
        <c:crosses val="autoZero"/>
        <c:auto val="1"/>
        <c:lblAlgn val="ctr"/>
        <c:lblOffset val="100"/>
        <c:tickLblSkip val="1"/>
        <c:tickMarkSkip val="1"/>
        <c:noMultiLvlLbl val="0"/>
      </c:catAx>
      <c:valAx>
        <c:axId val="60061632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61440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Looked After Children </a:t>
            </a:r>
            <a:r>
              <a:rPr lang="en-GB"/>
              <a:t>(Selected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828958880139982"/>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4546-477D-BA92-0B69AA731907}"/>
            </c:ext>
          </c:extLst>
        </c:ser>
        <c:ser>
          <c:idx val="4"/>
          <c:order val="1"/>
          <c:tx>
            <c:strRef>
              <c:f>'Looked After Children'!$B$32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Children'!$K$32:$O$32</c:f>
              <c:numCache>
                <c:formatCode>0.0</c:formatCode>
                <c:ptCount val="5"/>
                <c:pt idx="0">
                  <c:v>51.45717115895939</c:v>
                </c:pt>
                <c:pt idx="1">
                  <c:v>50.850964771610364</c:v>
                </c:pt>
                <c:pt idx="2">
                  <c:v>51.442975461700712</c:v>
                </c:pt>
                <c:pt idx="3">
                  <c:v>52.518647185041381</c:v>
                </c:pt>
                <c:pt idx="4">
                  <c:v>53.067235425553527</c:v>
                </c:pt>
              </c:numCache>
            </c:numRef>
          </c:val>
          <c:extLst>
            <c:ext xmlns:c16="http://schemas.microsoft.com/office/drawing/2014/chart" uri="{C3380CC4-5D6E-409C-BE32-E72D297353CC}">
              <c16:uniqueId val="{00000001-4546-477D-BA92-0B69AA731907}"/>
            </c:ext>
          </c:extLst>
        </c:ser>
        <c:ser>
          <c:idx val="0"/>
          <c:order val="2"/>
          <c:tx>
            <c:strRef>
              <c:f>'Looked After Children'!$B$33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Children'!$K$33:$O$33</c:f>
              <c:numCache>
                <c:formatCode>0.0</c:formatCode>
                <c:ptCount val="5"/>
                <c:pt idx="0">
                  <c:v>60.293374664965448</c:v>
                </c:pt>
                <c:pt idx="1">
                  <c:v>61.610650556201371</c:v>
                </c:pt>
                <c:pt idx="2">
                  <c:v>63.512260891547989</c:v>
                </c:pt>
                <c:pt idx="3">
                  <c:v>65.37232529737507</c:v>
                </c:pt>
                <c:pt idx="4">
                  <c:v>66.602348714195415</c:v>
                </c:pt>
              </c:numCache>
            </c:numRef>
          </c:val>
          <c:extLst>
            <c:ext xmlns:c16="http://schemas.microsoft.com/office/drawing/2014/chart" uri="{C3380CC4-5D6E-409C-BE32-E72D297353CC}">
              <c16:uniqueId val="{00000002-4546-477D-BA92-0B69AA731907}"/>
            </c:ext>
          </c:extLst>
        </c:ser>
        <c:dLbls>
          <c:showLegendKey val="0"/>
          <c:showVal val="0"/>
          <c:showCatName val="0"/>
          <c:showSerName val="0"/>
          <c:showPercent val="0"/>
          <c:showBubbleSize val="0"/>
        </c:dLbls>
        <c:gapWidth val="100"/>
        <c:axId val="586998912"/>
        <c:axId val="587000448"/>
      </c:barChart>
      <c:catAx>
        <c:axId val="586998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000448"/>
        <c:crosses val="autoZero"/>
        <c:auto val="1"/>
        <c:lblAlgn val="ctr"/>
        <c:lblOffset val="100"/>
        <c:noMultiLvlLbl val="0"/>
      </c:catAx>
      <c:valAx>
        <c:axId val="5870004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998912"/>
        <c:crosses val="autoZero"/>
        <c:crossBetween val="between"/>
      </c:valAx>
      <c:spPr>
        <a:noFill/>
        <a:ln w="3175">
          <a:solidFill>
            <a:srgbClr val="000000"/>
          </a:solidFill>
          <a:prstDash val="solid"/>
        </a:ln>
      </c:spPr>
    </c:plotArea>
    <c:legend>
      <c:legendPos val="r"/>
      <c:layout>
        <c:manualLayout>
          <c:xMode val="edge"/>
          <c:yMode val="edge"/>
          <c:x val="0.75111164950535025"/>
          <c:y val="0.17953653819588342"/>
          <c:w val="0.24888835049464972"/>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 for at least 2.5 Years in same placement for 2+ Years (Selected LA</a:t>
            </a:r>
            <a:r>
              <a:rPr lang="en-GB" sz="900" baseline="0"/>
              <a:t> vs. SE &amp; National)</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Children'!$AX$65:$BB$65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FE6E-4F6A-A69C-4099082D6E4C}"/>
            </c:ext>
          </c:extLst>
        </c:ser>
        <c:ser>
          <c:idx val="4"/>
          <c:order val="1"/>
          <c:tx>
            <c:strRef>
              <c:f>'Looked After Children'!$B$170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Children'!$D$170:$H$170</c:f>
              <c:numCache>
                <c:formatCode>0%</c:formatCode>
                <c:ptCount val="5"/>
                <c:pt idx="0">
                  <c:v>0.66608996539792387</c:v>
                </c:pt>
                <c:pt idx="1">
                  <c:v>0.68305084745762712</c:v>
                </c:pt>
                <c:pt idx="2">
                  <c:v>0.68181818181818177</c:v>
                </c:pt>
                <c:pt idx="3">
                  <c:v>0.67692307692307696</c:v>
                </c:pt>
                <c:pt idx="4">
                  <c:v>0.65384615384615385</c:v>
                </c:pt>
              </c:numCache>
            </c:numRef>
          </c:val>
          <c:extLst>
            <c:ext xmlns:c16="http://schemas.microsoft.com/office/drawing/2014/chart" uri="{C3380CC4-5D6E-409C-BE32-E72D297353CC}">
              <c16:uniqueId val="{00000001-FE6E-4F6A-A69C-4099082D6E4C}"/>
            </c:ext>
          </c:extLst>
        </c:ser>
        <c:ser>
          <c:idx val="0"/>
          <c:order val="2"/>
          <c:tx>
            <c:strRef>
              <c:f>'Looked After Children'!$B$171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Children'!$D$171:$H$171</c:f>
              <c:numCache>
                <c:formatCode>0%</c:formatCode>
                <c:ptCount val="5"/>
                <c:pt idx="0">
                  <c:v>0.68485617597292725</c:v>
                </c:pt>
                <c:pt idx="1">
                  <c:v>0.70191507077435467</c:v>
                </c:pt>
                <c:pt idx="2">
                  <c:v>0.69813614262560775</c:v>
                </c:pt>
                <c:pt idx="3">
                  <c:v>0.68660194174757283</c:v>
                </c:pt>
                <c:pt idx="4">
                  <c:v>0.68198529411764708</c:v>
                </c:pt>
              </c:numCache>
            </c:numRef>
          </c:val>
          <c:extLst>
            <c:ext xmlns:c16="http://schemas.microsoft.com/office/drawing/2014/chart" uri="{C3380CC4-5D6E-409C-BE32-E72D297353CC}">
              <c16:uniqueId val="{00000002-FE6E-4F6A-A69C-4099082D6E4C}"/>
            </c:ext>
          </c:extLst>
        </c:ser>
        <c:dLbls>
          <c:showLegendKey val="0"/>
          <c:showVal val="0"/>
          <c:showCatName val="0"/>
          <c:showSerName val="0"/>
          <c:showPercent val="0"/>
          <c:showBubbleSize val="0"/>
        </c:dLbls>
        <c:gapWidth val="100"/>
        <c:axId val="587846016"/>
        <c:axId val="587847552"/>
      </c:barChart>
      <c:catAx>
        <c:axId val="587846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847552"/>
        <c:crosses val="autoZero"/>
        <c:auto val="1"/>
        <c:lblAlgn val="ctr"/>
        <c:lblOffset val="100"/>
        <c:noMultiLvlLbl val="0"/>
      </c:catAx>
      <c:valAx>
        <c:axId val="58784755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846016"/>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for at least 2.5 Years in same placement for at least 2 Years</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16CF-4638-A8BC-26099D30A7C3}"/>
              </c:ext>
            </c:extLst>
          </c:dPt>
          <c:cat>
            <c:strRef>
              <c:f>'Looked After Children'!$Z$2:$AD$3</c:f>
              <c:strCache>
                <c:ptCount val="5"/>
                <c:pt idx="0">
                  <c:v>2015-16</c:v>
                </c:pt>
                <c:pt idx="1">
                  <c:v>2016-17</c:v>
                </c:pt>
                <c:pt idx="2">
                  <c:v>2017-18</c:v>
                </c:pt>
                <c:pt idx="3">
                  <c:v>2018-19</c:v>
                </c:pt>
                <c:pt idx="4">
                  <c:v>2019-20</c:v>
                </c:pt>
              </c:strCache>
            </c:strRef>
          </c:cat>
          <c:val>
            <c:numRef>
              <c:f>'Looked After Children'!$AX$41:$BB$41</c:f>
              <c:numCache>
                <c:formatCode>0.0%</c:formatCode>
                <c:ptCount val="5"/>
                <c:pt idx="0">
                  <c:v>0.6</c:v>
                </c:pt>
                <c:pt idx="1">
                  <c:v>0.5714285714285714</c:v>
                </c:pt>
                <c:pt idx="2">
                  <c:v>0.56000000000000005</c:v>
                </c:pt>
                <c:pt idx="3">
                  <c:v>0.64516129032258063</c:v>
                </c:pt>
                <c:pt idx="4">
                  <c:v>0.51219512195121952</c:v>
                </c:pt>
              </c:numCache>
            </c:numRef>
          </c:val>
          <c:smooth val="0"/>
          <c:extLst>
            <c:ext xmlns:c16="http://schemas.microsoft.com/office/drawing/2014/chart" uri="{C3380CC4-5D6E-409C-BE32-E72D297353CC}">
              <c16:uniqueId val="{00000001-16CF-4638-A8BC-26099D30A7C3}"/>
            </c:ext>
          </c:extLst>
        </c:ser>
        <c:ser>
          <c:idx val="1"/>
          <c:order val="1"/>
          <c:tx>
            <c:strRef>
              <c:f>'Looked After Children'!$AL$42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Children'!$AX$42:$BB$42</c:f>
              <c:numCache>
                <c:formatCode>0.0%</c:formatCode>
                <c:ptCount val="5"/>
                <c:pt idx="0">
                  <c:v>0.6428571428571429</c:v>
                </c:pt>
                <c:pt idx="1">
                  <c:v>0.73076923076923073</c:v>
                </c:pt>
                <c:pt idx="2">
                  <c:v>0.68852459016393441</c:v>
                </c:pt>
                <c:pt idx="3">
                  <c:v>0.63716814159292035</c:v>
                </c:pt>
                <c:pt idx="4">
                  <c:v>0.62184873949579833</c:v>
                </c:pt>
              </c:numCache>
            </c:numRef>
          </c:val>
          <c:smooth val="0"/>
          <c:extLst>
            <c:ext xmlns:c16="http://schemas.microsoft.com/office/drawing/2014/chart" uri="{C3380CC4-5D6E-409C-BE32-E72D297353CC}">
              <c16:uniqueId val="{00000002-16CF-4638-A8BC-26099D30A7C3}"/>
            </c:ext>
          </c:extLst>
        </c:ser>
        <c:ser>
          <c:idx val="2"/>
          <c:order val="2"/>
          <c:tx>
            <c:strRef>
              <c:f>'Looked After Children'!$AL$43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Children'!$AX$43:$BB$43</c:f>
              <c:numCache>
                <c:formatCode>0.0%</c:formatCode>
                <c:ptCount val="5"/>
                <c:pt idx="0">
                  <c:v>0.6333333333333333</c:v>
                </c:pt>
                <c:pt idx="1">
                  <c:v>0.7142857142857143</c:v>
                </c:pt>
                <c:pt idx="2">
                  <c:v>0.7021276595744681</c:v>
                </c:pt>
                <c:pt idx="3">
                  <c:v>0.72674418604651159</c:v>
                </c:pt>
                <c:pt idx="4">
                  <c:v>0.70238095238095233</c:v>
                </c:pt>
              </c:numCache>
            </c:numRef>
          </c:val>
          <c:smooth val="0"/>
          <c:extLst>
            <c:ext xmlns:c16="http://schemas.microsoft.com/office/drawing/2014/chart" uri="{C3380CC4-5D6E-409C-BE32-E72D297353CC}">
              <c16:uniqueId val="{00000003-16CF-4638-A8BC-26099D30A7C3}"/>
            </c:ext>
          </c:extLst>
        </c:ser>
        <c:ser>
          <c:idx val="5"/>
          <c:order val="3"/>
          <c:tx>
            <c:strRef>
              <c:f>'Looked After Children'!$AL$44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Children'!$AX$44:$BB$44</c:f>
              <c:numCache>
                <c:formatCode>0.0%</c:formatCode>
                <c:ptCount val="5"/>
                <c:pt idx="0">
                  <c:v>0.64583333333333337</c:v>
                </c:pt>
                <c:pt idx="1">
                  <c:v>0.70454545454545459</c:v>
                </c:pt>
                <c:pt idx="2">
                  <c:v>0.70531400966183577</c:v>
                </c:pt>
                <c:pt idx="3">
                  <c:v>0.69683257918552033</c:v>
                </c:pt>
                <c:pt idx="4">
                  <c:v>0.62343096234309625</c:v>
                </c:pt>
              </c:numCache>
            </c:numRef>
          </c:val>
          <c:smooth val="0"/>
          <c:extLst>
            <c:ext xmlns:c16="http://schemas.microsoft.com/office/drawing/2014/chart" uri="{C3380CC4-5D6E-409C-BE32-E72D297353CC}">
              <c16:uniqueId val="{00000004-16CF-4638-A8BC-26099D30A7C3}"/>
            </c:ext>
          </c:extLst>
        </c:ser>
        <c:ser>
          <c:idx val="9"/>
          <c:order val="4"/>
          <c:tx>
            <c:strRef>
              <c:f>'Looked After Children'!$AL$45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Children'!$AX$45:$BB$45</c:f>
              <c:numCache>
                <c:formatCode>0.0%</c:formatCode>
                <c:ptCount val="5"/>
                <c:pt idx="0">
                  <c:v>0.66666666666666663</c:v>
                </c:pt>
                <c:pt idx="1">
                  <c:v>0.68421052631578949</c:v>
                </c:pt>
                <c:pt idx="2">
                  <c:v>0.72386587771203159</c:v>
                </c:pt>
                <c:pt idx="3">
                  <c:v>0.67354596622889307</c:v>
                </c:pt>
                <c:pt idx="4">
                  <c:v>0.63804713804713808</c:v>
                </c:pt>
              </c:numCache>
            </c:numRef>
          </c:val>
          <c:smooth val="0"/>
          <c:extLst>
            <c:ext xmlns:c16="http://schemas.microsoft.com/office/drawing/2014/chart" uri="{C3380CC4-5D6E-409C-BE32-E72D297353CC}">
              <c16:uniqueId val="{00000005-16CF-4638-A8BC-26099D30A7C3}"/>
            </c:ext>
          </c:extLst>
        </c:ser>
        <c:ser>
          <c:idx val="10"/>
          <c:order val="5"/>
          <c:tx>
            <c:strRef>
              <c:f>'Looked After Children'!$AL$46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Children'!$AX$46:$BB$46</c:f>
              <c:numCache>
                <c:formatCode>0.0%</c:formatCode>
                <c:ptCount val="5"/>
                <c:pt idx="0">
                  <c:v>0.66666666666666663</c:v>
                </c:pt>
                <c:pt idx="1">
                  <c:v>0.63636363636363635</c:v>
                </c:pt>
                <c:pt idx="2">
                  <c:v>0.7384615384615385</c:v>
                </c:pt>
                <c:pt idx="3">
                  <c:v>0.62105263157894741</c:v>
                </c:pt>
                <c:pt idx="4">
                  <c:v>0.69230769230769229</c:v>
                </c:pt>
              </c:numCache>
            </c:numRef>
          </c:val>
          <c:smooth val="0"/>
          <c:extLst>
            <c:ext xmlns:c16="http://schemas.microsoft.com/office/drawing/2014/chart" uri="{C3380CC4-5D6E-409C-BE32-E72D297353CC}">
              <c16:uniqueId val="{00000006-16CF-4638-A8BC-26099D30A7C3}"/>
            </c:ext>
          </c:extLst>
        </c:ser>
        <c:ser>
          <c:idx val="11"/>
          <c:order val="6"/>
          <c:tx>
            <c:strRef>
              <c:f>'Looked After Children'!$AL$47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Children'!$AX$47:$BB$47</c:f>
              <c:numCache>
                <c:formatCode>0.0%</c:formatCode>
                <c:ptCount val="5"/>
                <c:pt idx="0">
                  <c:v>0.69026548672566368</c:v>
                </c:pt>
                <c:pt idx="1">
                  <c:v>0.69090909090909092</c:v>
                </c:pt>
                <c:pt idx="2">
                  <c:v>0.67844522968197885</c:v>
                </c:pt>
                <c:pt idx="3">
                  <c:v>0.70437956204379559</c:v>
                </c:pt>
                <c:pt idx="4">
                  <c:v>0.69696969696969702</c:v>
                </c:pt>
              </c:numCache>
            </c:numRef>
          </c:val>
          <c:smooth val="0"/>
          <c:extLst>
            <c:ext xmlns:c16="http://schemas.microsoft.com/office/drawing/2014/chart" uri="{C3380CC4-5D6E-409C-BE32-E72D297353CC}">
              <c16:uniqueId val="{00000007-16CF-4638-A8BC-26099D30A7C3}"/>
            </c:ext>
          </c:extLst>
        </c:ser>
        <c:ser>
          <c:idx val="12"/>
          <c:order val="7"/>
          <c:tx>
            <c:strRef>
              <c:f>'Looked After Children'!$AL$48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Children'!$AX$48:$BB$48</c:f>
              <c:numCache>
                <c:formatCode>0.0%</c:formatCode>
                <c:ptCount val="5"/>
                <c:pt idx="0">
                  <c:v>0.73076923076923073</c:v>
                </c:pt>
                <c:pt idx="1">
                  <c:v>0.76666666666666672</c:v>
                </c:pt>
                <c:pt idx="2">
                  <c:v>0.6706586826347305</c:v>
                </c:pt>
                <c:pt idx="3">
                  <c:v>0.71176470588235297</c:v>
                </c:pt>
                <c:pt idx="4">
                  <c:v>0.69090909090909092</c:v>
                </c:pt>
              </c:numCache>
            </c:numRef>
          </c:val>
          <c:smooth val="0"/>
          <c:extLst>
            <c:ext xmlns:c16="http://schemas.microsoft.com/office/drawing/2014/chart" uri="{C3380CC4-5D6E-409C-BE32-E72D297353CC}">
              <c16:uniqueId val="{00000008-16CF-4638-A8BC-26099D30A7C3}"/>
            </c:ext>
          </c:extLst>
        </c:ser>
        <c:ser>
          <c:idx val="13"/>
          <c:order val="8"/>
          <c:tx>
            <c:strRef>
              <c:f>'Looked After Children'!$AL$49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Children'!$AX$49:$BB$49</c:f>
              <c:numCache>
                <c:formatCode>0.0%</c:formatCode>
                <c:ptCount val="5"/>
                <c:pt idx="0">
                  <c:v>0.54545454545454541</c:v>
                </c:pt>
                <c:pt idx="1">
                  <c:v>0.625</c:v>
                </c:pt>
                <c:pt idx="2">
                  <c:v>0.5703125</c:v>
                </c:pt>
                <c:pt idx="3">
                  <c:v>0.66</c:v>
                </c:pt>
                <c:pt idx="4">
                  <c:v>0.65</c:v>
                </c:pt>
              </c:numCache>
            </c:numRef>
          </c:val>
          <c:smooth val="0"/>
          <c:extLst>
            <c:ext xmlns:c16="http://schemas.microsoft.com/office/drawing/2014/chart" uri="{C3380CC4-5D6E-409C-BE32-E72D297353CC}">
              <c16:uniqueId val="{00000009-16CF-4638-A8BC-26099D30A7C3}"/>
            </c:ext>
          </c:extLst>
        </c:ser>
        <c:ser>
          <c:idx val="15"/>
          <c:order val="9"/>
          <c:tx>
            <c:strRef>
              <c:f>'Looked After Children'!$AL$50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Children'!$AX$50:$BB$50</c:f>
              <c:numCache>
                <c:formatCode>0.0%</c:formatCode>
                <c:ptCount val="5"/>
                <c:pt idx="0">
                  <c:v>0.66666666666666663</c:v>
                </c:pt>
                <c:pt idx="1">
                  <c:v>0.69230769230769229</c:v>
                </c:pt>
                <c:pt idx="2">
                  <c:v>0.65432098765432101</c:v>
                </c:pt>
                <c:pt idx="3">
                  <c:v>0.70370370370370372</c:v>
                </c:pt>
                <c:pt idx="4">
                  <c:v>0.65044247787610621</c:v>
                </c:pt>
              </c:numCache>
            </c:numRef>
          </c:val>
          <c:smooth val="0"/>
          <c:extLst>
            <c:ext xmlns:c16="http://schemas.microsoft.com/office/drawing/2014/chart" uri="{C3380CC4-5D6E-409C-BE32-E72D297353CC}">
              <c16:uniqueId val="{0000000A-16CF-4638-A8BC-26099D30A7C3}"/>
            </c:ext>
          </c:extLst>
        </c:ser>
        <c:ser>
          <c:idx val="16"/>
          <c:order val="10"/>
          <c:tx>
            <c:strRef>
              <c:f>'Looked After Children'!$AL$51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Children'!$AX$51:$BB$51</c:f>
              <c:numCache>
                <c:formatCode>0.0%</c:formatCode>
                <c:ptCount val="5"/>
                <c:pt idx="0">
                  <c:v>0.54545454545454541</c:v>
                </c:pt>
                <c:pt idx="1">
                  <c:v>0.6</c:v>
                </c:pt>
                <c:pt idx="2">
                  <c:v>0.62184873949579833</c:v>
                </c:pt>
                <c:pt idx="3">
                  <c:v>0.66400000000000003</c:v>
                </c:pt>
                <c:pt idx="4">
                  <c:v>0.61363636363636365</c:v>
                </c:pt>
              </c:numCache>
            </c:numRef>
          </c:val>
          <c:smooth val="0"/>
          <c:extLst>
            <c:ext xmlns:c16="http://schemas.microsoft.com/office/drawing/2014/chart" uri="{C3380CC4-5D6E-409C-BE32-E72D297353CC}">
              <c16:uniqueId val="{0000000B-16CF-4638-A8BC-26099D30A7C3}"/>
            </c:ext>
          </c:extLst>
        </c:ser>
        <c:ser>
          <c:idx val="17"/>
          <c:order val="11"/>
          <c:tx>
            <c:strRef>
              <c:f>'Looked After Children'!$AL$52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Children'!$AX$52:$BB$52</c:f>
              <c:numCache>
                <c:formatCode>0.0%</c:formatCode>
                <c:ptCount val="5"/>
                <c:pt idx="0">
                  <c:v>0.61538461538461542</c:v>
                </c:pt>
                <c:pt idx="1">
                  <c:v>0.75</c:v>
                </c:pt>
                <c:pt idx="2">
                  <c:v>0.63095238095238093</c:v>
                </c:pt>
                <c:pt idx="3">
                  <c:v>0.65979381443298968</c:v>
                </c:pt>
                <c:pt idx="4">
                  <c:v>0.64</c:v>
                </c:pt>
              </c:numCache>
            </c:numRef>
          </c:val>
          <c:smooth val="0"/>
          <c:extLst>
            <c:ext xmlns:c16="http://schemas.microsoft.com/office/drawing/2014/chart" uri="{C3380CC4-5D6E-409C-BE32-E72D297353CC}">
              <c16:uniqueId val="{0000000C-16CF-4638-A8BC-26099D30A7C3}"/>
            </c:ext>
          </c:extLst>
        </c:ser>
        <c:ser>
          <c:idx val="19"/>
          <c:order val="12"/>
          <c:tx>
            <c:strRef>
              <c:f>'Looked After Children'!$AL$53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Children'!$AX$53:$BB$53</c:f>
              <c:numCache>
                <c:formatCode>0.0%</c:formatCode>
                <c:ptCount val="5"/>
                <c:pt idx="0">
                  <c:v>0.54545454545454541</c:v>
                </c:pt>
                <c:pt idx="1">
                  <c:v>0.6</c:v>
                </c:pt>
                <c:pt idx="2">
                  <c:v>0.71739130434782605</c:v>
                </c:pt>
                <c:pt idx="3">
                  <c:v>0.64814814814814814</c:v>
                </c:pt>
                <c:pt idx="4">
                  <c:v>0.7321428571428571</c:v>
                </c:pt>
              </c:numCache>
            </c:numRef>
          </c:val>
          <c:smooth val="0"/>
          <c:extLst>
            <c:ext xmlns:c16="http://schemas.microsoft.com/office/drawing/2014/chart" uri="{C3380CC4-5D6E-409C-BE32-E72D297353CC}">
              <c16:uniqueId val="{0000000D-16CF-4638-A8BC-26099D30A7C3}"/>
            </c:ext>
          </c:extLst>
        </c:ser>
        <c:ser>
          <c:idx val="3"/>
          <c:order val="13"/>
          <c:tx>
            <c:strRef>
              <c:f>'Looked After Children'!$AL$54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Children'!$AX$54:$BB$54</c:f>
              <c:numCache>
                <c:formatCode>0.0%</c:formatCode>
                <c:ptCount val="5"/>
                <c:pt idx="0">
                  <c:v>0.56666666666666665</c:v>
                </c:pt>
                <c:pt idx="1">
                  <c:v>0.6</c:v>
                </c:pt>
                <c:pt idx="2">
                  <c:v>0.61963190184049077</c:v>
                </c:pt>
                <c:pt idx="3">
                  <c:v>0.625</c:v>
                </c:pt>
                <c:pt idx="4">
                  <c:v>0.62195121951219512</c:v>
                </c:pt>
              </c:numCache>
            </c:numRef>
          </c:val>
          <c:smooth val="0"/>
          <c:extLst>
            <c:ext xmlns:c16="http://schemas.microsoft.com/office/drawing/2014/chart" uri="{C3380CC4-5D6E-409C-BE32-E72D297353CC}">
              <c16:uniqueId val="{0000000E-16CF-4638-A8BC-26099D30A7C3}"/>
            </c:ext>
          </c:extLst>
        </c:ser>
        <c:ser>
          <c:idx val="20"/>
          <c:order val="14"/>
          <c:tx>
            <c:strRef>
              <c:f>'Looked After Children'!$AL$55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Children'!$AX$55:$BB$55</c:f>
              <c:numCache>
                <c:formatCode>0.0%</c:formatCode>
                <c:ptCount val="5"/>
                <c:pt idx="0">
                  <c:v>0.69230769230769229</c:v>
                </c:pt>
                <c:pt idx="1">
                  <c:v>0.65217391304347827</c:v>
                </c:pt>
                <c:pt idx="2">
                  <c:v>0.70940170940170943</c:v>
                </c:pt>
                <c:pt idx="3">
                  <c:v>0.64680851063829792</c:v>
                </c:pt>
                <c:pt idx="4">
                  <c:v>0.69158878504672894</c:v>
                </c:pt>
              </c:numCache>
            </c:numRef>
          </c:val>
          <c:smooth val="0"/>
          <c:extLst>
            <c:ext xmlns:c16="http://schemas.microsoft.com/office/drawing/2014/chart" uri="{C3380CC4-5D6E-409C-BE32-E72D297353CC}">
              <c16:uniqueId val="{0000000F-16CF-4638-A8BC-26099D30A7C3}"/>
            </c:ext>
          </c:extLst>
        </c:ser>
        <c:ser>
          <c:idx val="22"/>
          <c:order val="15"/>
          <c:tx>
            <c:strRef>
              <c:f>'Looked After Children'!$AL$56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Children'!$AX$56:$BB$56</c:f>
              <c:numCache>
                <c:formatCode>0.0%</c:formatCode>
                <c:ptCount val="5"/>
                <c:pt idx="0">
                  <c:v>0.7021276595744681</c:v>
                </c:pt>
                <c:pt idx="1">
                  <c:v>0.63636363636363635</c:v>
                </c:pt>
                <c:pt idx="2">
                  <c:v>0.67213114754098358</c:v>
                </c:pt>
                <c:pt idx="3">
                  <c:v>0.64800000000000002</c:v>
                </c:pt>
                <c:pt idx="4">
                  <c:v>0.66666666666666663</c:v>
                </c:pt>
              </c:numCache>
            </c:numRef>
          </c:val>
          <c:smooth val="0"/>
          <c:extLst>
            <c:ext xmlns:c16="http://schemas.microsoft.com/office/drawing/2014/chart" uri="{C3380CC4-5D6E-409C-BE32-E72D297353CC}">
              <c16:uniqueId val="{00000010-16CF-4638-A8BC-26099D30A7C3}"/>
            </c:ext>
          </c:extLst>
        </c:ser>
        <c:ser>
          <c:idx val="7"/>
          <c:order val="16"/>
          <c:tx>
            <c:strRef>
              <c:f>'Looked After Children'!$AL$57</c:f>
              <c:strCache>
                <c:ptCount val="1"/>
                <c:pt idx="0">
                  <c:v>Swindon</c:v>
                </c:pt>
              </c:strCache>
            </c:strRef>
          </c:tx>
          <c:spPr>
            <a:ln w="12700"/>
          </c:spPr>
          <c:marker>
            <c:symbol val="triangle"/>
            <c:size val="5"/>
            <c:spPr>
              <a:solidFill>
                <a:schemeClr val="accent2">
                  <a:lumMod val="20000"/>
                  <a:lumOff val="80000"/>
                </a:schemeClr>
              </a:solidFill>
            </c:spPr>
          </c:marker>
          <c:cat>
            <c:strRef>
              <c:f>'Looked After Children'!$Z$2:$AD$3</c:f>
              <c:strCache>
                <c:ptCount val="5"/>
                <c:pt idx="0">
                  <c:v>2015-16</c:v>
                </c:pt>
                <c:pt idx="1">
                  <c:v>2016-17</c:v>
                </c:pt>
                <c:pt idx="2">
                  <c:v>2017-18</c:v>
                </c:pt>
                <c:pt idx="3">
                  <c:v>2018-19</c:v>
                </c:pt>
                <c:pt idx="4">
                  <c:v>2019-20</c:v>
                </c:pt>
              </c:strCache>
            </c:strRef>
          </c:cat>
          <c:val>
            <c:numRef>
              <c:f>'Looked After Children'!$AX$57:$BB$57</c:f>
              <c:numCache>
                <c:formatCode>0.0%</c:formatCode>
                <c:ptCount val="5"/>
                <c:pt idx="0">
                  <c:v>0.61538461538461542</c:v>
                </c:pt>
                <c:pt idx="1">
                  <c:v>0.75</c:v>
                </c:pt>
                <c:pt idx="2">
                  <c:v>0.61194029850746268</c:v>
                </c:pt>
                <c:pt idx="3">
                  <c:v>0.58490566037735847</c:v>
                </c:pt>
                <c:pt idx="4">
                  <c:v>0.47058823529411764</c:v>
                </c:pt>
              </c:numCache>
            </c:numRef>
          </c:val>
          <c:smooth val="0"/>
          <c:extLst>
            <c:ext xmlns:c16="http://schemas.microsoft.com/office/drawing/2014/chart" uri="{C3380CC4-5D6E-409C-BE32-E72D297353CC}">
              <c16:uniqueId val="{00000011-16CF-4638-A8BC-26099D30A7C3}"/>
            </c:ext>
          </c:extLst>
        </c:ser>
        <c:ser>
          <c:idx val="8"/>
          <c:order val="17"/>
          <c:tx>
            <c:strRef>
              <c:f>'Looked After Children'!$AL$58</c:f>
              <c:strCache>
                <c:ptCount val="1"/>
                <c:pt idx="0">
                  <c:v>Torbay</c:v>
                </c:pt>
              </c:strCache>
            </c:strRef>
          </c:tx>
          <c:spPr>
            <a:ln w="12700"/>
          </c:spPr>
          <c:marker>
            <c:symbol val="circle"/>
            <c:size val="5"/>
            <c:spPr>
              <a:solidFill>
                <a:schemeClr val="accent3">
                  <a:lumMod val="20000"/>
                  <a:lumOff val="80000"/>
                </a:schemeClr>
              </a:solidFill>
            </c:spPr>
          </c:marker>
          <c:cat>
            <c:strRef>
              <c:f>'Looked After Children'!$Z$2:$AD$3</c:f>
              <c:strCache>
                <c:ptCount val="5"/>
                <c:pt idx="0">
                  <c:v>2015-16</c:v>
                </c:pt>
                <c:pt idx="1">
                  <c:v>2016-17</c:v>
                </c:pt>
                <c:pt idx="2">
                  <c:v>2017-18</c:v>
                </c:pt>
                <c:pt idx="3">
                  <c:v>2018-19</c:v>
                </c:pt>
                <c:pt idx="4">
                  <c:v>2019-20</c:v>
                </c:pt>
              </c:strCache>
            </c:strRef>
          </c:cat>
          <c:val>
            <c:numRef>
              <c:f>'Looked After Children'!$AX$58:$BB$58</c:f>
              <c:numCache>
                <c:formatCode>0.0%</c:formatCode>
                <c:ptCount val="5"/>
                <c:pt idx="0">
                  <c:v>0.45833333333333331</c:v>
                </c:pt>
                <c:pt idx="1">
                  <c:v>0.56000000000000005</c:v>
                </c:pt>
                <c:pt idx="2">
                  <c:v>0.56818181818181823</c:v>
                </c:pt>
                <c:pt idx="3">
                  <c:v>0.64341085271317833</c:v>
                </c:pt>
                <c:pt idx="4">
                  <c:v>0.59829059829059827</c:v>
                </c:pt>
              </c:numCache>
            </c:numRef>
          </c:val>
          <c:smooth val="0"/>
          <c:extLst>
            <c:ext xmlns:c16="http://schemas.microsoft.com/office/drawing/2014/chart" uri="{C3380CC4-5D6E-409C-BE32-E72D297353CC}">
              <c16:uniqueId val="{00000012-16CF-4638-A8BC-26099D30A7C3}"/>
            </c:ext>
          </c:extLst>
        </c:ser>
        <c:ser>
          <c:idx val="23"/>
          <c:order val="18"/>
          <c:tx>
            <c:strRef>
              <c:f>'Looked After Children'!$AL$59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Children'!$AX$59:$BB$59</c:f>
              <c:numCache>
                <c:formatCode>0.0%</c:formatCode>
                <c:ptCount val="5"/>
                <c:pt idx="0">
                  <c:v>0.77777777777777779</c:v>
                </c:pt>
                <c:pt idx="1">
                  <c:v>0.63636363636363635</c:v>
                </c:pt>
                <c:pt idx="2">
                  <c:v>0.63636363636363635</c:v>
                </c:pt>
                <c:pt idx="3">
                  <c:v>0.54</c:v>
                </c:pt>
                <c:pt idx="4">
                  <c:v>0.55555555555555558</c:v>
                </c:pt>
              </c:numCache>
            </c:numRef>
          </c:val>
          <c:smooth val="0"/>
          <c:extLst>
            <c:ext xmlns:c16="http://schemas.microsoft.com/office/drawing/2014/chart" uri="{C3380CC4-5D6E-409C-BE32-E72D297353CC}">
              <c16:uniqueId val="{00000013-16CF-4638-A8BC-26099D30A7C3}"/>
            </c:ext>
          </c:extLst>
        </c:ser>
        <c:ser>
          <c:idx val="24"/>
          <c:order val="19"/>
          <c:tx>
            <c:strRef>
              <c:f>'Looked After Children'!$AL$60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Children'!$AX$60:$BB$60</c:f>
              <c:numCache>
                <c:formatCode>0.0%</c:formatCode>
                <c:ptCount val="5"/>
                <c:pt idx="0">
                  <c:v>0.73529411764705888</c:v>
                </c:pt>
                <c:pt idx="1">
                  <c:v>0.76666666666666672</c:v>
                </c:pt>
                <c:pt idx="2">
                  <c:v>0.69871794871794868</c:v>
                </c:pt>
                <c:pt idx="3">
                  <c:v>0.66298342541436461</c:v>
                </c:pt>
                <c:pt idx="4">
                  <c:v>0.54891304347826086</c:v>
                </c:pt>
              </c:numCache>
            </c:numRef>
          </c:val>
          <c:smooth val="0"/>
          <c:extLst>
            <c:ext xmlns:c16="http://schemas.microsoft.com/office/drawing/2014/chart" uri="{C3380CC4-5D6E-409C-BE32-E72D297353CC}">
              <c16:uniqueId val="{00000014-16CF-4638-A8BC-26099D30A7C3}"/>
            </c:ext>
          </c:extLst>
        </c:ser>
        <c:ser>
          <c:idx val="25"/>
          <c:order val="20"/>
          <c:tx>
            <c:strRef>
              <c:f>'Looked After Children'!$AL$61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Children'!$AX$61:$BB$61</c:f>
              <c:numCache>
                <c:formatCode>0.0%</c:formatCode>
                <c:ptCount val="5"/>
                <c:pt idx="0">
                  <c:v>0.7142857142857143</c:v>
                </c:pt>
                <c:pt idx="1">
                  <c:v>0.7142857142857143</c:v>
                </c:pt>
                <c:pt idx="2">
                  <c:v>0.70967741935483875</c:v>
                </c:pt>
                <c:pt idx="3">
                  <c:v>0.76</c:v>
                </c:pt>
                <c:pt idx="4">
                  <c:v>0.56666666666666665</c:v>
                </c:pt>
              </c:numCache>
            </c:numRef>
          </c:val>
          <c:smooth val="0"/>
          <c:extLst>
            <c:ext xmlns:c16="http://schemas.microsoft.com/office/drawing/2014/chart" uri="{C3380CC4-5D6E-409C-BE32-E72D297353CC}">
              <c16:uniqueId val="{00000015-16CF-4638-A8BC-26099D30A7C3}"/>
            </c:ext>
          </c:extLst>
        </c:ser>
        <c:ser>
          <c:idx val="26"/>
          <c:order val="21"/>
          <c:tx>
            <c:strRef>
              <c:f>'Looked After Children'!$AL$62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Children'!$AX$62:$BB$62</c:f>
              <c:numCache>
                <c:formatCode>0.0%</c:formatCode>
                <c:ptCount val="5"/>
                <c:pt idx="0">
                  <c:v>0.5</c:v>
                </c:pt>
                <c:pt idx="1">
                  <c:v>0.5</c:v>
                </c:pt>
                <c:pt idx="2">
                  <c:v>0.75</c:v>
                </c:pt>
                <c:pt idx="3">
                  <c:v>0.8</c:v>
                </c:pt>
                <c:pt idx="4">
                  <c:v>0.83333333333333337</c:v>
                </c:pt>
              </c:numCache>
            </c:numRef>
          </c:val>
          <c:smooth val="0"/>
          <c:extLst>
            <c:ext xmlns:c16="http://schemas.microsoft.com/office/drawing/2014/chart" uri="{C3380CC4-5D6E-409C-BE32-E72D297353CC}">
              <c16:uniqueId val="{00000016-16CF-4638-A8BC-26099D30A7C3}"/>
            </c:ext>
          </c:extLst>
        </c:ser>
        <c:ser>
          <c:idx val="4"/>
          <c:order val="22"/>
          <c:tx>
            <c:strRef>
              <c:f>'Looked After Children'!$AL$63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Children'!$AX$63:$BB$63</c:f>
              <c:numCache>
                <c:formatCode>0.0%</c:formatCode>
                <c:ptCount val="5"/>
                <c:pt idx="0">
                  <c:v>0.66608996539792387</c:v>
                </c:pt>
                <c:pt idx="1">
                  <c:v>0.68305084745762712</c:v>
                </c:pt>
                <c:pt idx="2">
                  <c:v>0.68181818181818177</c:v>
                </c:pt>
                <c:pt idx="3">
                  <c:v>0.67692307692307696</c:v>
                </c:pt>
                <c:pt idx="4">
                  <c:v>0.65384615384615385</c:v>
                </c:pt>
              </c:numCache>
            </c:numRef>
          </c:val>
          <c:smooth val="0"/>
          <c:extLst>
            <c:ext xmlns:c16="http://schemas.microsoft.com/office/drawing/2014/chart" uri="{C3380CC4-5D6E-409C-BE32-E72D297353CC}">
              <c16:uniqueId val="{00000017-16CF-4638-A8BC-26099D30A7C3}"/>
            </c:ext>
          </c:extLst>
        </c:ser>
        <c:ser>
          <c:idx val="14"/>
          <c:order val="23"/>
          <c:tx>
            <c:strRef>
              <c:f>'Looked After Children'!$AL$64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2015-16</c:v>
                </c:pt>
                <c:pt idx="1">
                  <c:v>2016-17</c:v>
                </c:pt>
                <c:pt idx="2">
                  <c:v>2017-18</c:v>
                </c:pt>
                <c:pt idx="3">
                  <c:v>2018-19</c:v>
                </c:pt>
                <c:pt idx="4">
                  <c:v>2019-20</c:v>
                </c:pt>
              </c:strCache>
            </c:strRef>
          </c:cat>
          <c:val>
            <c:numRef>
              <c:f>'Looked After Children'!$AX$64:$BB$64</c:f>
              <c:numCache>
                <c:formatCode>0.0%</c:formatCode>
                <c:ptCount val="5"/>
                <c:pt idx="0">
                  <c:v>0.68485617597292725</c:v>
                </c:pt>
                <c:pt idx="1">
                  <c:v>0.70191507077435467</c:v>
                </c:pt>
                <c:pt idx="2">
                  <c:v>0.69813614262560775</c:v>
                </c:pt>
                <c:pt idx="3">
                  <c:v>0.68660194174757283</c:v>
                </c:pt>
                <c:pt idx="4">
                  <c:v>0.68198529411764708</c:v>
                </c:pt>
              </c:numCache>
            </c:numRef>
          </c:val>
          <c:smooth val="0"/>
          <c:extLst>
            <c:ext xmlns:c16="http://schemas.microsoft.com/office/drawing/2014/chart" uri="{C3380CC4-5D6E-409C-BE32-E72D297353CC}">
              <c16:uniqueId val="{00000018-16CF-4638-A8BC-26099D30A7C3}"/>
            </c:ext>
          </c:extLst>
        </c:ser>
        <c:ser>
          <c:idx val="6"/>
          <c:order val="24"/>
          <c:tx>
            <c:strRef>
              <c:f>'Looked After Children'!$AL$65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2015-16</c:v>
                </c:pt>
                <c:pt idx="1">
                  <c:v>2016-17</c:v>
                </c:pt>
                <c:pt idx="2">
                  <c:v>2017-18</c:v>
                </c:pt>
                <c:pt idx="3">
                  <c:v>2018-19</c:v>
                </c:pt>
                <c:pt idx="4">
                  <c:v>2019-20</c:v>
                </c:pt>
              </c:strCache>
            </c:strRef>
          </c:cat>
          <c:val>
            <c:numRef>
              <c:f>'Looked After Children'!$AX$65:$BB$65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16CF-4638-A8BC-26099D30A7C3}"/>
            </c:ext>
          </c:extLst>
        </c:ser>
        <c:dLbls>
          <c:showLegendKey val="0"/>
          <c:showVal val="0"/>
          <c:showCatName val="0"/>
          <c:showSerName val="0"/>
          <c:showPercent val="0"/>
          <c:showBubbleSize val="0"/>
        </c:dLbls>
        <c:marker val="1"/>
        <c:smooth val="0"/>
        <c:axId val="600908544"/>
        <c:axId val="600910464"/>
      </c:lineChart>
      <c:catAx>
        <c:axId val="600908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910464"/>
        <c:crosses val="autoZero"/>
        <c:auto val="1"/>
        <c:lblAlgn val="ctr"/>
        <c:lblOffset val="100"/>
        <c:tickLblSkip val="1"/>
        <c:tickMarkSkip val="1"/>
        <c:noMultiLvlLbl val="0"/>
      </c:catAx>
      <c:valAx>
        <c:axId val="60091046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90854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Looked After Children</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'Looked After Children'!$S$7:$U$7</c:f>
              <c:strCache>
                <c:ptCount val="1"/>
                <c:pt idx="0">
                  <c:v>Distance from Expected 2020</c:v>
                </c:pt>
              </c:strCache>
            </c:strRef>
          </c:tx>
          <c:spPr>
            <a:solidFill>
              <a:srgbClr val="FB994F"/>
            </a:solidFill>
            <a:ln w="25400">
              <a:noFill/>
            </a:ln>
          </c:spPr>
          <c:invertIfNegative val="0"/>
          <c:cat>
            <c:strRef>
              <c:f>'Looked After Children'!$Y$77:$Y$100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Children'!$U$10:$U$33</c:f>
              <c:numCache>
                <c:formatCode>0.0</c:formatCode>
                <c:ptCount val="24"/>
                <c:pt idx="0">
                  <c:v>9.2224402873321338</c:v>
                </c:pt>
                <c:pt idx="1">
                  <c:v>8.7735563141157655</c:v>
                </c:pt>
                <c:pt idx="2">
                  <c:v>-0.77271346016799214</c:v>
                </c:pt>
                <c:pt idx="3">
                  <c:v>-12.094593985113093</c:v>
                </c:pt>
                <c:pt idx="4">
                  <c:v>11.069955211067779</c:v>
                </c:pt>
                <c:pt idx="5">
                  <c:v>31.96932169773234</c:v>
                </c:pt>
                <c:pt idx="6">
                  <c:v>-14.10105255080385</c:v>
                </c:pt>
                <c:pt idx="7">
                  <c:v>-12.75086705631314</c:v>
                </c:pt>
                <c:pt idx="8">
                  <c:v>-5.0841573354041998</c:v>
                </c:pt>
                <c:pt idx="9">
                  <c:v>7.2193168647373582</c:v>
                </c:pt>
                <c:pt idx="10">
                  <c:v>23.226835514478353</c:v>
                </c:pt>
                <c:pt idx="11">
                  <c:v>8.2647600567119639</c:v>
                </c:pt>
                <c:pt idx="12">
                  <c:v>-17.058747613245735</c:v>
                </c:pt>
                <c:pt idx="13">
                  <c:v>-10.836148641214919</c:v>
                </c:pt>
                <c:pt idx="14">
                  <c:v>10.445630489351373</c:v>
                </c:pt>
                <c:pt idx="15">
                  <c:v>-1.3395905016519905</c:v>
                </c:pt>
                <c:pt idx="16">
                  <c:v>-3.5623988197097276</c:v>
                </c:pt>
                <c:pt idx="17">
                  <c:v>49.91026574059326</c:v>
                </c:pt>
                <c:pt idx="18">
                  <c:v>4.0737992604798947</c:v>
                </c:pt>
                <c:pt idx="19">
                  <c:v>-2.7720101671209818</c:v>
                </c:pt>
                <c:pt idx="20">
                  <c:v>0.90442425407574945</c:v>
                </c:pt>
                <c:pt idx="21">
                  <c:v>-4.1412502389983565</c:v>
                </c:pt>
                <c:pt idx="22">
                  <c:v>-0.73166552292740761</c:v>
                </c:pt>
                <c:pt idx="23">
                  <c:v>-4.876393406980327</c:v>
                </c:pt>
              </c:numCache>
            </c:numRef>
          </c:val>
          <c:extLst>
            <c:ext xmlns:c16="http://schemas.microsoft.com/office/drawing/2014/chart" uri="{C3380CC4-5D6E-409C-BE32-E72D297353CC}">
              <c16:uniqueId val="{00000000-CE0F-4801-93A8-D55B052DDD79}"/>
            </c:ext>
          </c:extLst>
        </c:ser>
        <c:ser>
          <c:idx val="0"/>
          <c:order val="1"/>
          <c:tx>
            <c:strRef>
              <c:f>'Looked After Children'!$AA$4</c:f>
              <c:strCache>
                <c:ptCount val="1"/>
                <c:pt idx="0">
                  <c:v>Selected LA- (none)</c:v>
                </c:pt>
              </c:strCache>
            </c:strRef>
          </c:tx>
          <c:spPr>
            <a:solidFill>
              <a:srgbClr val="66FF99"/>
            </a:solidFill>
            <a:ln w="12700">
              <a:solidFill>
                <a:srgbClr val="000000"/>
              </a:solidFill>
              <a:prstDash val="solid"/>
            </a:ln>
          </c:spPr>
          <c:invertIfNegative val="0"/>
          <c:cat>
            <c:strRef>
              <c:f>'Looked After Children'!$Y$77:$Y$100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CE0F-4801-93A8-D55B052DDD79}"/>
            </c:ext>
          </c:extLst>
        </c:ser>
        <c:dLbls>
          <c:showLegendKey val="0"/>
          <c:showVal val="0"/>
          <c:showCatName val="0"/>
          <c:showSerName val="0"/>
          <c:showPercent val="0"/>
          <c:showBubbleSize val="0"/>
        </c:dLbls>
        <c:gapWidth val="40"/>
        <c:overlap val="100"/>
        <c:axId val="600957312"/>
        <c:axId val="600958848"/>
      </c:barChart>
      <c:catAx>
        <c:axId val="60095731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958848"/>
        <c:crossesAt val="0"/>
        <c:auto val="1"/>
        <c:lblAlgn val="ctr"/>
        <c:lblOffset val="100"/>
        <c:noMultiLvlLbl val="0"/>
      </c:catAx>
      <c:valAx>
        <c:axId val="60095884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957312"/>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'Looked After Children'!$AL$5</c:f>
          <c:strCache>
            <c:ptCount val="1"/>
            <c:pt idx="0">
              <c:v>Average Annual Change in Number of Looked After Children</c:v>
            </c:pt>
          </c:strCache>
        </c:strRef>
      </c:tx>
      <c:layout>
        <c:manualLayout>
          <c:xMode val="edge"/>
          <c:yMode val="edge"/>
          <c:x val="1.6088706346115263E-2"/>
          <c:y val="1.2345679012345678E-2"/>
        </c:manualLayout>
      </c:layout>
      <c:overlay val="1"/>
      <c:txPr>
        <a:bodyPr/>
        <a:lstStyle/>
        <a:p>
          <a:pPr algn="l">
            <a:defRPr b="1"/>
          </a:pPr>
          <a:endParaRPr lang="en-US"/>
        </a:p>
      </c:tx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'Looked After Children'!$I$7</c:f>
              <c:strCache>
                <c:ptCount val="1"/>
                <c:pt idx="0">
                  <c:v>Average Annual Change </c:v>
                </c:pt>
              </c:strCache>
            </c:strRef>
          </c:tx>
          <c:spPr>
            <a:solidFill>
              <a:srgbClr val="FB994F"/>
            </a:solidFill>
            <a:ln w="25400">
              <a:noFill/>
            </a:ln>
          </c:spPr>
          <c:invertIfNegative val="0"/>
          <c:cat>
            <c:strRef>
              <c:f>'Looked After Children'!$B$10:$B$33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Children'!$I$10:$I$33</c:f>
              <c:numCache>
                <c:formatCode>0.0%</c:formatCode>
                <c:ptCount val="24"/>
                <c:pt idx="0">
                  <c:v>0.10424758881215554</c:v>
                </c:pt>
                <c:pt idx="1">
                  <c:v>-4.0144669005064221E-2</c:v>
                </c:pt>
                <c:pt idx="2">
                  <c:v>1.4915462765779966E-2</c:v>
                </c:pt>
                <c:pt idx="3">
                  <c:v>2.253213493223772E-2</c:v>
                </c:pt>
                <c:pt idx="4">
                  <c:v>5.426194624302156E-2</c:v>
                </c:pt>
                <c:pt idx="5">
                  <c:v>6.7629030255860215E-2</c:v>
                </c:pt>
                <c:pt idx="6">
                  <c:v>-5.2462392179275126E-2</c:v>
                </c:pt>
                <c:pt idx="7">
                  <c:v>-6.5330594285894941E-4</c:v>
                </c:pt>
                <c:pt idx="8">
                  <c:v>4.1880860050094906E-2</c:v>
                </c:pt>
                <c:pt idx="9">
                  <c:v>6.8403604531260959E-2</c:v>
                </c:pt>
                <c:pt idx="10">
                  <c:v>0.10023779832647724</c:v>
                </c:pt>
                <c:pt idx="11">
                  <c:v>6.5106674163156436E-2</c:v>
                </c:pt>
                <c:pt idx="12">
                  <c:v>2.4957854058442957E-2</c:v>
                </c:pt>
                <c:pt idx="13">
                  <c:v>1.4938242476495061E-2</c:v>
                </c:pt>
                <c:pt idx="14">
                  <c:v>-4.6944200121164938E-2</c:v>
                </c:pt>
                <c:pt idx="15">
                  <c:v>3.17402463014783E-2</c:v>
                </c:pt>
                <c:pt idx="16">
                  <c:v>1.2199537448154607E-2</c:v>
                </c:pt>
                <c:pt idx="17">
                  <c:v>6.5185598769182118E-2</c:v>
                </c:pt>
                <c:pt idx="18">
                  <c:v>6.2741048112336349E-3</c:v>
                </c:pt>
                <c:pt idx="19">
                  <c:v>6.1781519709233054E-2</c:v>
                </c:pt>
                <c:pt idx="20">
                  <c:v>7.518321322775591E-2</c:v>
                </c:pt>
                <c:pt idx="21">
                  <c:v>6.6976049806238488E-2</c:v>
                </c:pt>
                <c:pt idx="22">
                  <c:v>7.8042127982797249E-3</c:v>
                </c:pt>
                <c:pt idx="23">
                  <c:v>3.2709413576323697E-2</c:v>
                </c:pt>
              </c:numCache>
            </c:numRef>
          </c:val>
          <c:extLst>
            <c:ext xmlns:c16="http://schemas.microsoft.com/office/drawing/2014/chart" uri="{C3380CC4-5D6E-409C-BE32-E72D297353CC}">
              <c16:uniqueId val="{00000000-E748-441B-9D77-7D7945685E57}"/>
            </c:ext>
          </c:extLst>
        </c:ser>
        <c:ser>
          <c:idx val="1"/>
          <c:order val="1"/>
          <c:tx>
            <c:strRef>
              <c:f>'Looked After Children'!$AA$4</c:f>
              <c:strCache>
                <c:ptCount val="1"/>
                <c:pt idx="0">
                  <c:v>Selected LA- (none)</c:v>
                </c:pt>
              </c:strCache>
            </c:strRef>
          </c:tx>
          <c:spPr>
            <a:solidFill>
              <a:srgbClr val="66FF99"/>
            </a:solidFill>
            <a:ln w="12700">
              <a:solidFill>
                <a:srgbClr val="000000"/>
              </a:solidFill>
              <a:prstDash val="solid"/>
            </a:ln>
          </c:spPr>
          <c:invertIfNegative val="0"/>
          <c:cat>
            <c:strRef>
              <c:f>'Looked After Children'!$B$10:$B$33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E748-441B-9D77-7D7945685E57}"/>
            </c:ext>
          </c:extLst>
        </c:ser>
        <c:dLbls>
          <c:showLegendKey val="0"/>
          <c:showVal val="0"/>
          <c:showCatName val="0"/>
          <c:showSerName val="0"/>
          <c:showPercent val="0"/>
          <c:showBubbleSize val="0"/>
        </c:dLbls>
        <c:gapWidth val="40"/>
        <c:overlap val="100"/>
        <c:axId val="601315968"/>
        <c:axId val="601321856"/>
      </c:barChart>
      <c:catAx>
        <c:axId val="60131596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321856"/>
        <c:crosses val="autoZero"/>
        <c:auto val="1"/>
        <c:lblAlgn val="ctr"/>
        <c:lblOffset val="100"/>
        <c:noMultiLvlLbl val="0"/>
      </c:catAx>
      <c:valAx>
        <c:axId val="60132185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315968"/>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Children Looked After for 2yrs+ </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9822222222222222"/>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4145868399038699"/>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Children'!$AS$65:$AW$65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BEC0-437C-A80D-9EF66CFF0ECF}"/>
            </c:ext>
          </c:extLst>
        </c:ser>
        <c:ser>
          <c:idx val="4"/>
          <c:order val="1"/>
          <c:tx>
            <c:strRef>
              <c:f>'Looked After Children'!$B$170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Children'!$D$134:$H$134</c:f>
              <c:numCache>
                <c:formatCode>0%</c:formatCode>
                <c:ptCount val="5"/>
                <c:pt idx="0">
                  <c:v>0.40876944837340878</c:v>
                </c:pt>
                <c:pt idx="1">
                  <c:v>0.4102920723226704</c:v>
                </c:pt>
                <c:pt idx="2">
                  <c:v>0.41342281879194631</c:v>
                </c:pt>
                <c:pt idx="3">
                  <c:v>0.42932628797886396</c:v>
                </c:pt>
                <c:pt idx="4">
                  <c:v>0.45193207648081296</c:v>
                </c:pt>
              </c:numCache>
            </c:numRef>
          </c:val>
          <c:extLst>
            <c:ext xmlns:c16="http://schemas.microsoft.com/office/drawing/2014/chart" uri="{C3380CC4-5D6E-409C-BE32-E72D297353CC}">
              <c16:uniqueId val="{00000001-BEC0-437C-A80D-9EF66CFF0ECF}"/>
            </c:ext>
          </c:extLst>
        </c:ser>
        <c:ser>
          <c:idx val="0"/>
          <c:order val="2"/>
          <c:tx>
            <c:strRef>
              <c:f>'Looked After Children'!$B$171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Children'!$D$135:$H$135</c:f>
              <c:numCache>
                <c:formatCode>0%</c:formatCode>
                <c:ptCount val="5"/>
                <c:pt idx="0">
                  <c:v>0.43785886275236152</c:v>
                </c:pt>
                <c:pt idx="1">
                  <c:v>0.43178141290670502</c:v>
                </c:pt>
                <c:pt idx="2">
                  <c:v>0.44364551500988675</c:v>
                </c:pt>
                <c:pt idx="3">
                  <c:v>0.43074606891937101</c:v>
                </c:pt>
                <c:pt idx="4">
                  <c:v>0.44553644553644556</c:v>
                </c:pt>
              </c:numCache>
            </c:numRef>
          </c:val>
          <c:extLst>
            <c:ext xmlns:c16="http://schemas.microsoft.com/office/drawing/2014/chart" uri="{C3380CC4-5D6E-409C-BE32-E72D297353CC}">
              <c16:uniqueId val="{00000002-BEC0-437C-A80D-9EF66CFF0ECF}"/>
            </c:ext>
          </c:extLst>
        </c:ser>
        <c:dLbls>
          <c:showLegendKey val="0"/>
          <c:showVal val="0"/>
          <c:showCatName val="0"/>
          <c:showSerName val="0"/>
          <c:showPercent val="0"/>
          <c:showBubbleSize val="0"/>
        </c:dLbls>
        <c:gapWidth val="100"/>
        <c:axId val="601359872"/>
        <c:axId val="601361408"/>
      </c:barChart>
      <c:catAx>
        <c:axId val="601359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361408"/>
        <c:crosses val="autoZero"/>
        <c:auto val="1"/>
        <c:lblAlgn val="ctr"/>
        <c:lblOffset val="100"/>
        <c:noMultiLvlLbl val="0"/>
      </c:catAx>
      <c:valAx>
        <c:axId val="60136140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35987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for at least 2.5 Years</a:t>
            </a:r>
          </a:p>
        </c:rich>
      </c:tx>
      <c:layout>
        <c:manualLayout>
          <c:xMode val="edge"/>
          <c:yMode val="edge"/>
          <c:x val="0.19463904079199876"/>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37915654714237"/>
        </c:manualLayout>
      </c:layout>
      <c:lineChart>
        <c:grouping val="standard"/>
        <c:varyColors val="0"/>
        <c:ser>
          <c:idx val="0"/>
          <c:order val="0"/>
          <c:tx>
            <c:strRef>
              <c:f>'Looked After Children'!$AL$41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6813-47FE-A770-4162B1DAEEAD}"/>
              </c:ext>
            </c:extLst>
          </c:dPt>
          <c:cat>
            <c:strRef>
              <c:f>'Looked After Children'!$Z$2:$AD$3</c:f>
              <c:strCache>
                <c:ptCount val="5"/>
                <c:pt idx="0">
                  <c:v>2015-16</c:v>
                </c:pt>
                <c:pt idx="1">
                  <c:v>2016-17</c:v>
                </c:pt>
                <c:pt idx="2">
                  <c:v>2017-18</c:v>
                </c:pt>
                <c:pt idx="3">
                  <c:v>2018-19</c:v>
                </c:pt>
                <c:pt idx="4">
                  <c:v>2019-20</c:v>
                </c:pt>
              </c:strCache>
            </c:strRef>
          </c:cat>
          <c:val>
            <c:numRef>
              <c:f>'Looked After Children'!$AS$41:$AW$41</c:f>
              <c:numCache>
                <c:formatCode>0.0%</c:formatCode>
                <c:ptCount val="5"/>
                <c:pt idx="0">
                  <c:v>0.41666666666666669</c:v>
                </c:pt>
                <c:pt idx="1">
                  <c:v>0.42168674698795183</c:v>
                </c:pt>
                <c:pt idx="2">
                  <c:v>0.24271844660194175</c:v>
                </c:pt>
                <c:pt idx="3">
                  <c:v>0.31632653061224492</c:v>
                </c:pt>
                <c:pt idx="4">
                  <c:v>0.40594059405940597</c:v>
                </c:pt>
              </c:numCache>
            </c:numRef>
          </c:val>
          <c:smooth val="0"/>
          <c:extLst>
            <c:ext xmlns:c16="http://schemas.microsoft.com/office/drawing/2014/chart" uri="{C3380CC4-5D6E-409C-BE32-E72D297353CC}">
              <c16:uniqueId val="{00000001-6813-47FE-A770-4162B1DAEEAD}"/>
            </c:ext>
          </c:extLst>
        </c:ser>
        <c:ser>
          <c:idx val="1"/>
          <c:order val="1"/>
          <c:tx>
            <c:strRef>
              <c:f>'Looked After Children'!$AL$42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Children'!$AS$42:$AW$42</c:f>
              <c:numCache>
                <c:formatCode>0.0%</c:formatCode>
                <c:ptCount val="5"/>
                <c:pt idx="0">
                  <c:v>0.4375</c:v>
                </c:pt>
                <c:pt idx="1">
                  <c:v>0.40123456790123457</c:v>
                </c:pt>
                <c:pt idx="2">
                  <c:v>0.40531561461794019</c:v>
                </c:pt>
                <c:pt idx="3">
                  <c:v>0.41851851851851851</c:v>
                </c:pt>
                <c:pt idx="4">
                  <c:v>0.44736842105263158</c:v>
                </c:pt>
              </c:numCache>
            </c:numRef>
          </c:val>
          <c:smooth val="0"/>
          <c:extLst>
            <c:ext xmlns:c16="http://schemas.microsoft.com/office/drawing/2014/chart" uri="{C3380CC4-5D6E-409C-BE32-E72D297353CC}">
              <c16:uniqueId val="{00000002-6813-47FE-A770-4162B1DAEEAD}"/>
            </c:ext>
          </c:extLst>
        </c:ser>
        <c:ser>
          <c:idx val="2"/>
          <c:order val="2"/>
          <c:tx>
            <c:strRef>
              <c:f>'Looked After Children'!$AL$43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Children'!$AS$43:$AW$43</c:f>
              <c:numCache>
                <c:formatCode>0.0%</c:formatCode>
                <c:ptCount val="5"/>
                <c:pt idx="0">
                  <c:v>0.42253521126760563</c:v>
                </c:pt>
                <c:pt idx="1">
                  <c:v>0.39660056657223797</c:v>
                </c:pt>
                <c:pt idx="2">
                  <c:v>0.39943342776203966</c:v>
                </c:pt>
                <c:pt idx="3">
                  <c:v>0.45263157894736844</c:v>
                </c:pt>
                <c:pt idx="4">
                  <c:v>0.47457627118644069</c:v>
                </c:pt>
              </c:numCache>
            </c:numRef>
          </c:val>
          <c:smooth val="0"/>
          <c:extLst>
            <c:ext xmlns:c16="http://schemas.microsoft.com/office/drawing/2014/chart" uri="{C3380CC4-5D6E-409C-BE32-E72D297353CC}">
              <c16:uniqueId val="{00000003-6813-47FE-A770-4162B1DAEEAD}"/>
            </c:ext>
          </c:extLst>
        </c:ser>
        <c:ser>
          <c:idx val="5"/>
          <c:order val="3"/>
          <c:tx>
            <c:strRef>
              <c:f>'Looked After Children'!$AL$44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Children'!$AS$44:$AW$44</c:f>
              <c:numCache>
                <c:formatCode>0.0%</c:formatCode>
                <c:ptCount val="5"/>
                <c:pt idx="0">
                  <c:v>0.53333333333333333</c:v>
                </c:pt>
                <c:pt idx="1">
                  <c:v>0.51044083526682138</c:v>
                </c:pt>
                <c:pt idx="2">
                  <c:v>0.44420600858369097</c:v>
                </c:pt>
                <c:pt idx="3">
                  <c:v>0.45945945945945948</c:v>
                </c:pt>
                <c:pt idx="4">
                  <c:v>0.51731601731601728</c:v>
                </c:pt>
              </c:numCache>
            </c:numRef>
          </c:val>
          <c:smooth val="0"/>
          <c:extLst>
            <c:ext xmlns:c16="http://schemas.microsoft.com/office/drawing/2014/chart" uri="{C3380CC4-5D6E-409C-BE32-E72D297353CC}">
              <c16:uniqueId val="{00000004-6813-47FE-A770-4162B1DAEEAD}"/>
            </c:ext>
          </c:extLst>
        </c:ser>
        <c:ser>
          <c:idx val="9"/>
          <c:order val="4"/>
          <c:tx>
            <c:strRef>
              <c:f>'Looked After Children'!$AL$45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Children'!$AS$45:$AW$45</c:f>
              <c:numCache>
                <c:formatCode>0.0%</c:formatCode>
                <c:ptCount val="5"/>
                <c:pt idx="0">
                  <c:v>0.40191387559808611</c:v>
                </c:pt>
                <c:pt idx="1">
                  <c:v>0.4144851657940663</c:v>
                </c:pt>
                <c:pt idx="2">
                  <c:v>0.4095315024232633</c:v>
                </c:pt>
                <c:pt idx="3">
                  <c:v>0.42101105845181674</c:v>
                </c:pt>
                <c:pt idx="4">
                  <c:v>0.47941888619854722</c:v>
                </c:pt>
              </c:numCache>
            </c:numRef>
          </c:val>
          <c:smooth val="0"/>
          <c:extLst>
            <c:ext xmlns:c16="http://schemas.microsoft.com/office/drawing/2014/chart" uri="{C3380CC4-5D6E-409C-BE32-E72D297353CC}">
              <c16:uniqueId val="{00000005-6813-47FE-A770-4162B1DAEEAD}"/>
            </c:ext>
          </c:extLst>
        </c:ser>
        <c:ser>
          <c:idx val="10"/>
          <c:order val="5"/>
          <c:tx>
            <c:strRef>
              <c:f>'Looked After Children'!$AL$46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Children'!$AS$46:$AW$46</c:f>
              <c:numCache>
                <c:formatCode>0.0%</c:formatCode>
                <c:ptCount val="5"/>
                <c:pt idx="0">
                  <c:v>0.41379310344827586</c:v>
                </c:pt>
                <c:pt idx="1">
                  <c:v>0.3235294117647059</c:v>
                </c:pt>
                <c:pt idx="2">
                  <c:v>0.34946236559139787</c:v>
                </c:pt>
                <c:pt idx="3">
                  <c:v>0.46568627450980393</c:v>
                </c:pt>
                <c:pt idx="4">
                  <c:v>0.47926267281105989</c:v>
                </c:pt>
              </c:numCache>
            </c:numRef>
          </c:val>
          <c:smooth val="0"/>
          <c:extLst>
            <c:ext xmlns:c16="http://schemas.microsoft.com/office/drawing/2014/chart" uri="{C3380CC4-5D6E-409C-BE32-E72D297353CC}">
              <c16:uniqueId val="{00000006-6813-47FE-A770-4162B1DAEEAD}"/>
            </c:ext>
          </c:extLst>
        </c:ser>
        <c:ser>
          <c:idx val="11"/>
          <c:order val="6"/>
          <c:tx>
            <c:strRef>
              <c:f>'Looked After Children'!$AL$47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Children'!$AS$47:$AW$47</c:f>
              <c:numCache>
                <c:formatCode>0.0%</c:formatCode>
                <c:ptCount val="5"/>
                <c:pt idx="0">
                  <c:v>0.43129770992366412</c:v>
                </c:pt>
                <c:pt idx="1">
                  <c:v>0.46179680940386231</c:v>
                </c:pt>
                <c:pt idx="2">
                  <c:v>0.5122171945701357</c:v>
                </c:pt>
                <c:pt idx="3">
                  <c:v>0.52641690682036502</c:v>
                </c:pt>
                <c:pt idx="4">
                  <c:v>0.48395967002749773</c:v>
                </c:pt>
              </c:numCache>
            </c:numRef>
          </c:val>
          <c:smooth val="0"/>
          <c:extLst>
            <c:ext xmlns:c16="http://schemas.microsoft.com/office/drawing/2014/chart" uri="{C3380CC4-5D6E-409C-BE32-E72D297353CC}">
              <c16:uniqueId val="{00000007-6813-47FE-A770-4162B1DAEEAD}"/>
            </c:ext>
          </c:extLst>
        </c:ser>
        <c:ser>
          <c:idx val="12"/>
          <c:order val="7"/>
          <c:tx>
            <c:strRef>
              <c:f>'Looked After Children'!$AL$48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Children'!$AS$48:$AW$48</c:f>
              <c:numCache>
                <c:formatCode>0.0%</c:formatCode>
                <c:ptCount val="5"/>
                <c:pt idx="0">
                  <c:v>0.37681159420289856</c:v>
                </c:pt>
                <c:pt idx="1">
                  <c:v>0.47021943573667713</c:v>
                </c:pt>
                <c:pt idx="2">
                  <c:v>0.48973607038123168</c:v>
                </c:pt>
                <c:pt idx="3">
                  <c:v>0.50595238095238093</c:v>
                </c:pt>
                <c:pt idx="4">
                  <c:v>0.48529411764705882</c:v>
                </c:pt>
              </c:numCache>
            </c:numRef>
          </c:val>
          <c:smooth val="0"/>
          <c:extLst>
            <c:ext xmlns:c16="http://schemas.microsoft.com/office/drawing/2014/chart" uri="{C3380CC4-5D6E-409C-BE32-E72D297353CC}">
              <c16:uniqueId val="{00000008-6813-47FE-A770-4162B1DAEEAD}"/>
            </c:ext>
          </c:extLst>
        </c:ser>
        <c:ser>
          <c:idx val="13"/>
          <c:order val="8"/>
          <c:tx>
            <c:strRef>
              <c:f>'Looked After Children'!$AL$49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Children'!$AS$49:$AW$49</c:f>
              <c:numCache>
                <c:formatCode>0.0%</c:formatCode>
                <c:ptCount val="5"/>
                <c:pt idx="0">
                  <c:v>0.44</c:v>
                </c:pt>
                <c:pt idx="1">
                  <c:v>0.39473684210526316</c:v>
                </c:pt>
                <c:pt idx="2">
                  <c:v>0.40251572327044027</c:v>
                </c:pt>
                <c:pt idx="3">
                  <c:v>0.47468354430379744</c:v>
                </c:pt>
                <c:pt idx="4">
                  <c:v>0.45751633986928103</c:v>
                </c:pt>
              </c:numCache>
            </c:numRef>
          </c:val>
          <c:smooth val="0"/>
          <c:extLst>
            <c:ext xmlns:c16="http://schemas.microsoft.com/office/drawing/2014/chart" uri="{C3380CC4-5D6E-409C-BE32-E72D297353CC}">
              <c16:uniqueId val="{00000009-6813-47FE-A770-4162B1DAEEAD}"/>
            </c:ext>
          </c:extLst>
        </c:ser>
        <c:ser>
          <c:idx val="15"/>
          <c:order val="9"/>
          <c:tx>
            <c:strRef>
              <c:f>'Looked After Children'!$AL$50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Children'!$AS$50:$AW$50</c:f>
              <c:numCache>
                <c:formatCode>0.0%</c:formatCode>
                <c:ptCount val="5"/>
                <c:pt idx="0">
                  <c:v>0.27586206896551724</c:v>
                </c:pt>
                <c:pt idx="1">
                  <c:v>0.25590551181102361</c:v>
                </c:pt>
                <c:pt idx="2">
                  <c:v>0.31517509727626458</c:v>
                </c:pt>
                <c:pt idx="3">
                  <c:v>0.32586206896551723</c:v>
                </c:pt>
                <c:pt idx="4">
                  <c:v>0.40357142857142858</c:v>
                </c:pt>
              </c:numCache>
            </c:numRef>
          </c:val>
          <c:smooth val="0"/>
          <c:extLst>
            <c:ext xmlns:c16="http://schemas.microsoft.com/office/drawing/2014/chart" uri="{C3380CC4-5D6E-409C-BE32-E72D297353CC}">
              <c16:uniqueId val="{0000000A-6813-47FE-A770-4162B1DAEEAD}"/>
            </c:ext>
          </c:extLst>
        </c:ser>
        <c:ser>
          <c:idx val="16"/>
          <c:order val="10"/>
          <c:tx>
            <c:strRef>
              <c:f>'Looked After Children'!$AL$51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Children'!$AS$51:$AW$51</c:f>
              <c:numCache>
                <c:formatCode>0.0%</c:formatCode>
                <c:ptCount val="5"/>
                <c:pt idx="0">
                  <c:v>0.42307692307692307</c:v>
                </c:pt>
                <c:pt idx="1">
                  <c:v>0.45955882352941174</c:v>
                </c:pt>
                <c:pt idx="2">
                  <c:v>0.40476190476190477</c:v>
                </c:pt>
                <c:pt idx="3">
                  <c:v>0.38109756097560976</c:v>
                </c:pt>
                <c:pt idx="4">
                  <c:v>0.42857142857142855</c:v>
                </c:pt>
              </c:numCache>
            </c:numRef>
          </c:val>
          <c:smooth val="0"/>
          <c:extLst>
            <c:ext xmlns:c16="http://schemas.microsoft.com/office/drawing/2014/chart" uri="{C3380CC4-5D6E-409C-BE32-E72D297353CC}">
              <c16:uniqueId val="{0000000B-6813-47FE-A770-4162B1DAEEAD}"/>
            </c:ext>
          </c:extLst>
        </c:ser>
        <c:ser>
          <c:idx val="17"/>
          <c:order val="11"/>
          <c:tx>
            <c:strRef>
              <c:f>'Looked After Children'!$AL$52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Children'!$AS$52:$AW$52</c:f>
              <c:numCache>
                <c:formatCode>0.0%</c:formatCode>
                <c:ptCount val="5"/>
                <c:pt idx="0">
                  <c:v>0.37142857142857144</c:v>
                </c:pt>
                <c:pt idx="1">
                  <c:v>0.29556650246305421</c:v>
                </c:pt>
                <c:pt idx="2">
                  <c:v>0.37168141592920356</c:v>
                </c:pt>
                <c:pt idx="3">
                  <c:v>0.43891402714932126</c:v>
                </c:pt>
                <c:pt idx="4">
                  <c:v>0.46728971962616822</c:v>
                </c:pt>
              </c:numCache>
            </c:numRef>
          </c:val>
          <c:smooth val="0"/>
          <c:extLst>
            <c:ext xmlns:c16="http://schemas.microsoft.com/office/drawing/2014/chart" uri="{C3380CC4-5D6E-409C-BE32-E72D297353CC}">
              <c16:uniqueId val="{0000000C-6813-47FE-A770-4162B1DAEEAD}"/>
            </c:ext>
          </c:extLst>
        </c:ser>
        <c:ser>
          <c:idx val="19"/>
          <c:order val="12"/>
          <c:tx>
            <c:strRef>
              <c:f>'Looked After Children'!$AL$53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Children'!$AS$53:$AW$53</c:f>
              <c:numCache>
                <c:formatCode>0.0%</c:formatCode>
                <c:ptCount val="5"/>
                <c:pt idx="0">
                  <c:v>0.36666666666666664</c:v>
                </c:pt>
                <c:pt idx="1">
                  <c:v>0.35714285714285715</c:v>
                </c:pt>
                <c:pt idx="2">
                  <c:v>0.30463576158940397</c:v>
                </c:pt>
                <c:pt idx="3">
                  <c:v>0.32926829268292684</c:v>
                </c:pt>
                <c:pt idx="4">
                  <c:v>0.37086092715231789</c:v>
                </c:pt>
              </c:numCache>
            </c:numRef>
          </c:val>
          <c:smooth val="0"/>
          <c:extLst>
            <c:ext xmlns:c16="http://schemas.microsoft.com/office/drawing/2014/chart" uri="{C3380CC4-5D6E-409C-BE32-E72D297353CC}">
              <c16:uniqueId val="{0000000D-6813-47FE-A770-4162B1DAEEAD}"/>
            </c:ext>
          </c:extLst>
        </c:ser>
        <c:ser>
          <c:idx val="3"/>
          <c:order val="13"/>
          <c:tx>
            <c:strRef>
              <c:f>'Looked After Children'!$AL$54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Children'!$AS$54:$AW$54</c:f>
              <c:numCache>
                <c:formatCode>0.0%</c:formatCode>
                <c:ptCount val="5"/>
                <c:pt idx="0">
                  <c:v>0.38461538461538464</c:v>
                </c:pt>
                <c:pt idx="1">
                  <c:v>0.4178272980501393</c:v>
                </c:pt>
                <c:pt idx="2">
                  <c:v>0.41687979539641945</c:v>
                </c:pt>
                <c:pt idx="3">
                  <c:v>0.40404040404040403</c:v>
                </c:pt>
                <c:pt idx="4">
                  <c:v>0.43733333333333335</c:v>
                </c:pt>
              </c:numCache>
            </c:numRef>
          </c:val>
          <c:smooth val="0"/>
          <c:extLst>
            <c:ext xmlns:c16="http://schemas.microsoft.com/office/drawing/2014/chart" uri="{C3380CC4-5D6E-409C-BE32-E72D297353CC}">
              <c16:uniqueId val="{0000000E-6813-47FE-A770-4162B1DAEEAD}"/>
            </c:ext>
          </c:extLst>
        </c:ser>
        <c:ser>
          <c:idx val="20"/>
          <c:order val="14"/>
          <c:tx>
            <c:strRef>
              <c:f>'Looked After Children'!$AL$55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Children'!$AS$55:$AW$55</c:f>
              <c:numCache>
                <c:formatCode>0.0%</c:formatCode>
                <c:ptCount val="5"/>
                <c:pt idx="0">
                  <c:v>0.37864077669902912</c:v>
                </c:pt>
                <c:pt idx="1">
                  <c:v>0.49568965517241381</c:v>
                </c:pt>
                <c:pt idx="2">
                  <c:v>0.53061224489795922</c:v>
                </c:pt>
                <c:pt idx="3">
                  <c:v>0.57457212713936434</c:v>
                </c:pt>
                <c:pt idx="4">
                  <c:v>0.53634085213032578</c:v>
                </c:pt>
              </c:numCache>
            </c:numRef>
          </c:val>
          <c:smooth val="0"/>
          <c:extLst>
            <c:ext xmlns:c16="http://schemas.microsoft.com/office/drawing/2014/chart" uri="{C3380CC4-5D6E-409C-BE32-E72D297353CC}">
              <c16:uniqueId val="{0000000F-6813-47FE-A770-4162B1DAEEAD}"/>
            </c:ext>
          </c:extLst>
        </c:ser>
        <c:ser>
          <c:idx val="22"/>
          <c:order val="15"/>
          <c:tx>
            <c:strRef>
              <c:f>'Looked After Children'!$AL$56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Children'!$AS$56:$AW$56</c:f>
              <c:numCache>
                <c:formatCode>0.0%</c:formatCode>
                <c:ptCount val="5"/>
                <c:pt idx="0">
                  <c:v>0.39166666666666666</c:v>
                </c:pt>
                <c:pt idx="1">
                  <c:v>0.38128249566724437</c:v>
                </c:pt>
                <c:pt idx="2">
                  <c:v>0.37308868501529052</c:v>
                </c:pt>
                <c:pt idx="3">
                  <c:v>0.36764705882352944</c:v>
                </c:pt>
                <c:pt idx="4">
                  <c:v>0.41788856304985339</c:v>
                </c:pt>
              </c:numCache>
            </c:numRef>
          </c:val>
          <c:smooth val="0"/>
          <c:extLst>
            <c:ext xmlns:c16="http://schemas.microsoft.com/office/drawing/2014/chart" uri="{C3380CC4-5D6E-409C-BE32-E72D297353CC}">
              <c16:uniqueId val="{00000010-6813-47FE-A770-4162B1DAEEAD}"/>
            </c:ext>
          </c:extLst>
        </c:ser>
        <c:ser>
          <c:idx val="7"/>
          <c:order val="16"/>
          <c:tx>
            <c:strRef>
              <c:f>'Looked After Children'!$AL$57</c:f>
              <c:strCache>
                <c:ptCount val="1"/>
                <c:pt idx="0">
                  <c:v>Swindon</c:v>
                </c:pt>
              </c:strCache>
            </c:strRef>
          </c:tx>
          <c:spPr>
            <a:ln w="12700"/>
          </c:spPr>
          <c:marker>
            <c:symbol val="triangle"/>
            <c:size val="5"/>
            <c:spPr>
              <a:solidFill>
                <a:schemeClr val="accent2">
                  <a:lumMod val="20000"/>
                  <a:lumOff val="80000"/>
                </a:schemeClr>
              </a:solidFill>
            </c:spPr>
          </c:marker>
          <c:cat>
            <c:strRef>
              <c:f>'Looked After Children'!$Z$2:$AD$3</c:f>
              <c:strCache>
                <c:ptCount val="5"/>
                <c:pt idx="0">
                  <c:v>2015-16</c:v>
                </c:pt>
                <c:pt idx="1">
                  <c:v>2016-17</c:v>
                </c:pt>
                <c:pt idx="2">
                  <c:v>2017-18</c:v>
                </c:pt>
                <c:pt idx="3">
                  <c:v>2018-19</c:v>
                </c:pt>
                <c:pt idx="4">
                  <c:v>2019-20</c:v>
                </c:pt>
              </c:strCache>
            </c:strRef>
          </c:cat>
          <c:val>
            <c:numRef>
              <c:f>'Looked After Children'!$AS$57:$AW$57</c:f>
              <c:numCache>
                <c:formatCode>0.0%</c:formatCode>
                <c:ptCount val="5"/>
                <c:pt idx="0">
                  <c:v>0.28888888888888886</c:v>
                </c:pt>
                <c:pt idx="1">
                  <c:v>0.22988505747126436</c:v>
                </c:pt>
                <c:pt idx="2">
                  <c:v>0.24014336917562723</c:v>
                </c:pt>
                <c:pt idx="3">
                  <c:v>0.4140625</c:v>
                </c:pt>
                <c:pt idx="4">
                  <c:v>0.52654867256637172</c:v>
                </c:pt>
              </c:numCache>
            </c:numRef>
          </c:val>
          <c:smooth val="0"/>
          <c:extLst>
            <c:ext xmlns:c16="http://schemas.microsoft.com/office/drawing/2014/chart" uri="{C3380CC4-5D6E-409C-BE32-E72D297353CC}">
              <c16:uniqueId val="{00000011-6813-47FE-A770-4162B1DAEEAD}"/>
            </c:ext>
          </c:extLst>
        </c:ser>
        <c:ser>
          <c:idx val="8"/>
          <c:order val="17"/>
          <c:tx>
            <c:strRef>
              <c:f>'Looked After Children'!$AL$58</c:f>
              <c:strCache>
                <c:ptCount val="1"/>
                <c:pt idx="0">
                  <c:v>Torbay</c:v>
                </c:pt>
              </c:strCache>
            </c:strRef>
          </c:tx>
          <c:spPr>
            <a:ln w="12700"/>
          </c:spPr>
          <c:marker>
            <c:symbol val="circle"/>
            <c:size val="5"/>
            <c:spPr>
              <a:solidFill>
                <a:schemeClr val="accent3">
                  <a:lumMod val="20000"/>
                  <a:lumOff val="80000"/>
                </a:schemeClr>
              </a:solidFill>
            </c:spPr>
          </c:marker>
          <c:cat>
            <c:strRef>
              <c:f>'Looked After Children'!$Z$2:$AD$3</c:f>
              <c:strCache>
                <c:ptCount val="5"/>
                <c:pt idx="0">
                  <c:v>2015-16</c:v>
                </c:pt>
                <c:pt idx="1">
                  <c:v>2016-17</c:v>
                </c:pt>
                <c:pt idx="2">
                  <c:v>2017-18</c:v>
                </c:pt>
                <c:pt idx="3">
                  <c:v>2018-19</c:v>
                </c:pt>
                <c:pt idx="4">
                  <c:v>2019-20</c:v>
                </c:pt>
              </c:strCache>
            </c:strRef>
          </c:cat>
          <c:val>
            <c:numRef>
              <c:f>'Looked After Children'!$AS$58:$AW$58</c:f>
              <c:numCache>
                <c:formatCode>0.0%</c:formatCode>
                <c:ptCount val="5"/>
                <c:pt idx="0">
                  <c:v>0.53333333333333333</c:v>
                </c:pt>
                <c:pt idx="1">
                  <c:v>0.53418803418803418</c:v>
                </c:pt>
                <c:pt idx="2">
                  <c:v>0.49070631970260226</c:v>
                </c:pt>
                <c:pt idx="3">
                  <c:v>0.43288590604026844</c:v>
                </c:pt>
                <c:pt idx="4">
                  <c:v>0.40909090909090912</c:v>
                </c:pt>
              </c:numCache>
            </c:numRef>
          </c:val>
          <c:smooth val="0"/>
          <c:extLst>
            <c:ext xmlns:c16="http://schemas.microsoft.com/office/drawing/2014/chart" uri="{C3380CC4-5D6E-409C-BE32-E72D297353CC}">
              <c16:uniqueId val="{00000012-6813-47FE-A770-4162B1DAEEAD}"/>
            </c:ext>
          </c:extLst>
        </c:ser>
        <c:ser>
          <c:idx val="23"/>
          <c:order val="18"/>
          <c:tx>
            <c:strRef>
              <c:f>'Looked After Children'!$AL$59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Children'!$AS$59:$AW$59</c:f>
              <c:numCache>
                <c:formatCode>0.0%</c:formatCode>
                <c:ptCount val="5"/>
                <c:pt idx="0">
                  <c:v>0.45</c:v>
                </c:pt>
                <c:pt idx="1">
                  <c:v>0.44715447154471544</c:v>
                </c:pt>
                <c:pt idx="2">
                  <c:v>0.61111111111111116</c:v>
                </c:pt>
                <c:pt idx="3">
                  <c:v>0.47169811320754718</c:v>
                </c:pt>
                <c:pt idx="4">
                  <c:v>0.44117647058823528</c:v>
                </c:pt>
              </c:numCache>
            </c:numRef>
          </c:val>
          <c:smooth val="0"/>
          <c:extLst>
            <c:ext xmlns:c16="http://schemas.microsoft.com/office/drawing/2014/chart" uri="{C3380CC4-5D6E-409C-BE32-E72D297353CC}">
              <c16:uniqueId val="{00000013-6813-47FE-A770-4162B1DAEEAD}"/>
            </c:ext>
          </c:extLst>
        </c:ser>
        <c:ser>
          <c:idx val="24"/>
          <c:order val="19"/>
          <c:tx>
            <c:strRef>
              <c:f>'Looked After Children'!$AL$60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Children'!$AS$60:$AW$60</c:f>
              <c:numCache>
                <c:formatCode>0.0%</c:formatCode>
                <c:ptCount val="5"/>
                <c:pt idx="0">
                  <c:v>0.37362637362637363</c:v>
                </c:pt>
                <c:pt idx="1">
                  <c:v>0.31914893617021278</c:v>
                </c:pt>
                <c:pt idx="2">
                  <c:v>0.312</c:v>
                </c:pt>
                <c:pt idx="3">
                  <c:v>0.35629921259842517</c:v>
                </c:pt>
                <c:pt idx="4">
                  <c:v>0.32055749128919858</c:v>
                </c:pt>
              </c:numCache>
            </c:numRef>
          </c:val>
          <c:smooth val="0"/>
          <c:extLst>
            <c:ext xmlns:c16="http://schemas.microsoft.com/office/drawing/2014/chart" uri="{C3380CC4-5D6E-409C-BE32-E72D297353CC}">
              <c16:uniqueId val="{00000014-6813-47FE-A770-4162B1DAEEAD}"/>
            </c:ext>
          </c:extLst>
        </c:ser>
        <c:ser>
          <c:idx val="25"/>
          <c:order val="20"/>
          <c:tx>
            <c:strRef>
              <c:f>'Looked After Children'!$AL$61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Children'!$AS$61:$AW$61</c:f>
              <c:numCache>
                <c:formatCode>0.0%</c:formatCode>
                <c:ptCount val="5"/>
                <c:pt idx="0">
                  <c:v>0.7</c:v>
                </c:pt>
                <c:pt idx="1">
                  <c:v>0.60344827586206895</c:v>
                </c:pt>
                <c:pt idx="2">
                  <c:v>0.50819672131147542</c:v>
                </c:pt>
                <c:pt idx="3">
                  <c:v>0.37313432835820898</c:v>
                </c:pt>
                <c:pt idx="4">
                  <c:v>0.46875</c:v>
                </c:pt>
              </c:numCache>
            </c:numRef>
          </c:val>
          <c:smooth val="0"/>
          <c:extLst>
            <c:ext xmlns:c16="http://schemas.microsoft.com/office/drawing/2014/chart" uri="{C3380CC4-5D6E-409C-BE32-E72D297353CC}">
              <c16:uniqueId val="{00000015-6813-47FE-A770-4162B1DAEEAD}"/>
            </c:ext>
          </c:extLst>
        </c:ser>
        <c:ser>
          <c:idx val="26"/>
          <c:order val="21"/>
          <c:tx>
            <c:strRef>
              <c:f>'Looked After Children'!$AL$62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Children'!$AS$62:$AW$62</c:f>
              <c:numCache>
                <c:formatCode>0.0%</c:formatCode>
                <c:ptCount val="5"/>
                <c:pt idx="0">
                  <c:v>0.4</c:v>
                </c:pt>
                <c:pt idx="1">
                  <c:v>0.60606060606060608</c:v>
                </c:pt>
                <c:pt idx="2">
                  <c:v>0.2857142857142857</c:v>
                </c:pt>
                <c:pt idx="3">
                  <c:v>0.20547945205479451</c:v>
                </c:pt>
                <c:pt idx="4">
                  <c:v>0.24489795918367346</c:v>
                </c:pt>
              </c:numCache>
            </c:numRef>
          </c:val>
          <c:smooth val="0"/>
          <c:extLst>
            <c:ext xmlns:c16="http://schemas.microsoft.com/office/drawing/2014/chart" uri="{C3380CC4-5D6E-409C-BE32-E72D297353CC}">
              <c16:uniqueId val="{00000016-6813-47FE-A770-4162B1DAEEAD}"/>
            </c:ext>
          </c:extLst>
        </c:ser>
        <c:ser>
          <c:idx val="4"/>
          <c:order val="22"/>
          <c:tx>
            <c:strRef>
              <c:f>'Looked After Children'!$AL$63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Children'!$AS$63:$AW$63</c:f>
              <c:numCache>
                <c:formatCode>0.0%</c:formatCode>
                <c:ptCount val="5"/>
                <c:pt idx="0">
                  <c:v>0.40876944837340878</c:v>
                </c:pt>
                <c:pt idx="1">
                  <c:v>0.4102920723226704</c:v>
                </c:pt>
                <c:pt idx="2">
                  <c:v>0.41342281879194631</c:v>
                </c:pt>
                <c:pt idx="3">
                  <c:v>0.42932628797886396</c:v>
                </c:pt>
                <c:pt idx="4">
                  <c:v>0.45193207648081296</c:v>
                </c:pt>
              </c:numCache>
            </c:numRef>
          </c:val>
          <c:smooth val="0"/>
          <c:extLst>
            <c:ext xmlns:c16="http://schemas.microsoft.com/office/drawing/2014/chart" uri="{C3380CC4-5D6E-409C-BE32-E72D297353CC}">
              <c16:uniqueId val="{00000017-6813-47FE-A770-4162B1DAEEAD}"/>
            </c:ext>
          </c:extLst>
        </c:ser>
        <c:ser>
          <c:idx val="14"/>
          <c:order val="23"/>
          <c:tx>
            <c:strRef>
              <c:f>'Looked After Children'!$AL$64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2015-16</c:v>
                </c:pt>
                <c:pt idx="1">
                  <c:v>2016-17</c:v>
                </c:pt>
                <c:pt idx="2">
                  <c:v>2017-18</c:v>
                </c:pt>
                <c:pt idx="3">
                  <c:v>2018-19</c:v>
                </c:pt>
                <c:pt idx="4">
                  <c:v>2019-20</c:v>
                </c:pt>
              </c:strCache>
            </c:strRef>
          </c:cat>
          <c:val>
            <c:numRef>
              <c:f>'Looked After Children'!$AS$64:$AW$64</c:f>
              <c:numCache>
                <c:formatCode>0.0%</c:formatCode>
                <c:ptCount val="5"/>
                <c:pt idx="0">
                  <c:v>0.43785886275236152</c:v>
                </c:pt>
                <c:pt idx="1">
                  <c:v>0.43178141290670502</c:v>
                </c:pt>
                <c:pt idx="2">
                  <c:v>0.44364551500988675</c:v>
                </c:pt>
                <c:pt idx="3">
                  <c:v>0.43074606891937101</c:v>
                </c:pt>
                <c:pt idx="4">
                  <c:v>0.44553644553644556</c:v>
                </c:pt>
              </c:numCache>
            </c:numRef>
          </c:val>
          <c:smooth val="0"/>
          <c:extLst>
            <c:ext xmlns:c16="http://schemas.microsoft.com/office/drawing/2014/chart" uri="{C3380CC4-5D6E-409C-BE32-E72D297353CC}">
              <c16:uniqueId val="{00000018-6813-47FE-A770-4162B1DAEEAD}"/>
            </c:ext>
          </c:extLst>
        </c:ser>
        <c:ser>
          <c:idx val="6"/>
          <c:order val="24"/>
          <c:tx>
            <c:strRef>
              <c:f>'Looked After Children'!$AL$65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2015-16</c:v>
                </c:pt>
                <c:pt idx="1">
                  <c:v>2016-17</c:v>
                </c:pt>
                <c:pt idx="2">
                  <c:v>2017-18</c:v>
                </c:pt>
                <c:pt idx="3">
                  <c:v>2018-19</c:v>
                </c:pt>
                <c:pt idx="4">
                  <c:v>2019-20</c:v>
                </c:pt>
              </c:strCache>
            </c:strRef>
          </c:cat>
          <c:val>
            <c:numRef>
              <c:f>'Looked After Children'!$AS$65:$AW$65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6813-47FE-A770-4162B1DAEEAD}"/>
            </c:ext>
          </c:extLst>
        </c:ser>
        <c:dLbls>
          <c:showLegendKey val="0"/>
          <c:showVal val="0"/>
          <c:showCatName val="0"/>
          <c:showSerName val="0"/>
          <c:showPercent val="0"/>
          <c:showBubbleSize val="0"/>
        </c:dLbls>
        <c:marker val="1"/>
        <c:smooth val="0"/>
        <c:axId val="601114496"/>
        <c:axId val="601128960"/>
      </c:lineChart>
      <c:catAx>
        <c:axId val="601114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128960"/>
        <c:crosses val="autoZero"/>
        <c:auto val="1"/>
        <c:lblAlgn val="ctr"/>
        <c:lblOffset val="100"/>
        <c:tickLblSkip val="1"/>
        <c:tickMarkSkip val="1"/>
        <c:noMultiLvlLbl val="0"/>
      </c:catAx>
      <c:valAx>
        <c:axId val="60112896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114496"/>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a:t>
            </a:r>
            <a:r>
              <a:rPr lang="en-GB" sz="900" baseline="0"/>
              <a:t> </a:t>
            </a:r>
            <a:r>
              <a:rPr lang="en-GB" sz="900"/>
              <a:t>at 31st March with 3 or more placements in year (Selected LA</a:t>
            </a:r>
            <a:r>
              <a:rPr lang="en-GB" sz="900" baseline="0"/>
              <a:t> vs. SE &amp; National)</a:t>
            </a:r>
            <a:r>
              <a:rPr lang="en-GB" sz="900"/>
              <a:t> </a:t>
            </a:r>
          </a:p>
        </c:rich>
      </c:tx>
      <c:layout>
        <c:manualLayout>
          <c:xMode val="edge"/>
          <c:yMode val="edge"/>
          <c:x val="0.12300854700854699"/>
          <c:y val="3.8615036134181857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924123120973511"/>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Children'!$BC$65:$BG$65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13D4-4273-9602-DB63146E628F}"/>
            </c:ext>
          </c:extLst>
        </c:ser>
        <c:ser>
          <c:idx val="4"/>
          <c:order val="1"/>
          <c:tx>
            <c:strRef>
              <c:f>'Looked After Children'!$B$170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Children'!$D$206:$H$206</c:f>
              <c:numCache>
                <c:formatCode>0%</c:formatCode>
                <c:ptCount val="5"/>
                <c:pt idx="0">
                  <c:v>0.12203767470123557</c:v>
                </c:pt>
                <c:pt idx="1">
                  <c:v>0.11698880976602238</c:v>
                </c:pt>
                <c:pt idx="2">
                  <c:v>0.11902380476095219</c:v>
                </c:pt>
                <c:pt idx="3">
                  <c:v>0.11574749537982687</c:v>
                </c:pt>
                <c:pt idx="4">
                  <c:v>0.12829104834849211</c:v>
                </c:pt>
              </c:numCache>
            </c:numRef>
          </c:val>
          <c:extLst>
            <c:ext xmlns:c16="http://schemas.microsoft.com/office/drawing/2014/chart" uri="{C3380CC4-5D6E-409C-BE32-E72D297353CC}">
              <c16:uniqueId val="{00000001-13D4-4273-9602-DB63146E628F}"/>
            </c:ext>
          </c:extLst>
        </c:ser>
        <c:ser>
          <c:idx val="0"/>
          <c:order val="2"/>
          <c:tx>
            <c:strRef>
              <c:f>'Looked After Children'!$B$171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Children'!$D$207:$H$207</c:f>
              <c:numCache>
                <c:formatCode>0%</c:formatCode>
                <c:ptCount val="5"/>
                <c:pt idx="0">
                  <c:v>0.10296832836244851</c:v>
                </c:pt>
                <c:pt idx="1">
                  <c:v>0.103567001790387</c:v>
                </c:pt>
                <c:pt idx="2">
                  <c:v>0.10468356109858033</c:v>
                </c:pt>
                <c:pt idx="3">
                  <c:v>0.10377479206653871</c:v>
                </c:pt>
                <c:pt idx="4">
                  <c:v>0.10576923076923077</c:v>
                </c:pt>
              </c:numCache>
            </c:numRef>
          </c:val>
          <c:extLst>
            <c:ext xmlns:c16="http://schemas.microsoft.com/office/drawing/2014/chart" uri="{C3380CC4-5D6E-409C-BE32-E72D297353CC}">
              <c16:uniqueId val="{00000002-13D4-4273-9602-DB63146E628F}"/>
            </c:ext>
          </c:extLst>
        </c:ser>
        <c:dLbls>
          <c:showLegendKey val="0"/>
          <c:showVal val="0"/>
          <c:showCatName val="0"/>
          <c:showSerName val="0"/>
          <c:showPercent val="0"/>
          <c:showBubbleSize val="0"/>
        </c:dLbls>
        <c:gapWidth val="100"/>
        <c:axId val="601400832"/>
        <c:axId val="601402368"/>
      </c:barChart>
      <c:catAx>
        <c:axId val="601400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402368"/>
        <c:crosses val="autoZero"/>
        <c:auto val="1"/>
        <c:lblAlgn val="ctr"/>
        <c:lblOffset val="100"/>
        <c:noMultiLvlLbl val="0"/>
      </c:catAx>
      <c:valAx>
        <c:axId val="60140236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400832"/>
        <c:crosses val="autoZero"/>
        <c:crossBetween val="between"/>
      </c:valAx>
      <c:spPr>
        <a:noFill/>
        <a:ln w="3175">
          <a:solidFill>
            <a:srgbClr val="000000"/>
          </a:solidFill>
          <a:prstDash val="solid"/>
        </a:ln>
      </c:spPr>
    </c:plotArea>
    <c:legend>
      <c:legendPos val="r"/>
      <c:layout>
        <c:manualLayout>
          <c:xMode val="edge"/>
          <c:yMode val="edge"/>
          <c:x val="0.7556512733205647"/>
          <c:y val="0.19396666325800185"/>
          <c:w val="0.24434861026987012"/>
          <c:h val="0.80603333674199817"/>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with 3 or more placements in the year</a:t>
            </a:r>
          </a:p>
        </c:rich>
      </c:tx>
      <c:layout>
        <c:manualLayout>
          <c:xMode val="edge"/>
          <c:yMode val="edge"/>
          <c:x val="9.6729546233621386E-2"/>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378B-4271-A050-984CFEDFB675}"/>
              </c:ext>
            </c:extLst>
          </c:dPt>
          <c:cat>
            <c:strRef>
              <c:f>'Looked After Children'!$Z$2:$AD$3</c:f>
              <c:strCache>
                <c:ptCount val="5"/>
                <c:pt idx="0">
                  <c:v>2015-16</c:v>
                </c:pt>
                <c:pt idx="1">
                  <c:v>2016-17</c:v>
                </c:pt>
                <c:pt idx="2">
                  <c:v>2017-18</c:v>
                </c:pt>
                <c:pt idx="3">
                  <c:v>2018-19</c:v>
                </c:pt>
                <c:pt idx="4">
                  <c:v>2019-20</c:v>
                </c:pt>
              </c:strCache>
            </c:strRef>
          </c:cat>
          <c:val>
            <c:numRef>
              <c:f>'Looked After Children'!$BC$41:$BG$41</c:f>
              <c:numCache>
                <c:formatCode>0.0%</c:formatCode>
                <c:ptCount val="5"/>
                <c:pt idx="0">
                  <c:v>0.15306122448979592</c:v>
                </c:pt>
                <c:pt idx="1">
                  <c:v>8.6206896551724144E-2</c:v>
                </c:pt>
                <c:pt idx="2">
                  <c:v>0.13768115942028986</c:v>
                </c:pt>
                <c:pt idx="3">
                  <c:v>0.19620253164556961</c:v>
                </c:pt>
                <c:pt idx="4">
                  <c:v>0.15492957746478872</c:v>
                </c:pt>
              </c:numCache>
            </c:numRef>
          </c:val>
          <c:smooth val="0"/>
          <c:extLst>
            <c:ext xmlns:c16="http://schemas.microsoft.com/office/drawing/2014/chart" uri="{C3380CC4-5D6E-409C-BE32-E72D297353CC}">
              <c16:uniqueId val="{00000001-378B-4271-A050-984CFEDFB675}"/>
            </c:ext>
          </c:extLst>
        </c:ser>
        <c:ser>
          <c:idx val="1"/>
          <c:order val="1"/>
          <c:tx>
            <c:strRef>
              <c:f>'Looked After Children'!$AL$42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Children'!$BC$42:$BG$42</c:f>
              <c:numCache>
                <c:formatCode>0.0%</c:formatCode>
                <c:ptCount val="5"/>
                <c:pt idx="0">
                  <c:v>0.14840182648401826</c:v>
                </c:pt>
                <c:pt idx="1">
                  <c:v>0.1206140350877193</c:v>
                </c:pt>
                <c:pt idx="2">
                  <c:v>9.5465393794749401E-2</c:v>
                </c:pt>
                <c:pt idx="3">
                  <c:v>8.1841432225063945E-2</c:v>
                </c:pt>
                <c:pt idx="4">
                  <c:v>0.11081081081081082</c:v>
                </c:pt>
              </c:numCache>
            </c:numRef>
          </c:val>
          <c:smooth val="0"/>
          <c:extLst>
            <c:ext xmlns:c16="http://schemas.microsoft.com/office/drawing/2014/chart" uri="{C3380CC4-5D6E-409C-BE32-E72D297353CC}">
              <c16:uniqueId val="{00000002-378B-4271-A050-984CFEDFB675}"/>
            </c:ext>
          </c:extLst>
        </c:ser>
        <c:ser>
          <c:idx val="2"/>
          <c:order val="2"/>
          <c:tx>
            <c:strRef>
              <c:f>'Looked After Children'!$AL$43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Children'!$BC$43:$BG$43</c:f>
              <c:numCache>
                <c:formatCode>0.0%</c:formatCode>
                <c:ptCount val="5"/>
                <c:pt idx="0">
                  <c:v>7.6252723311546838E-2</c:v>
                </c:pt>
                <c:pt idx="1">
                  <c:v>7.7092511013215861E-2</c:v>
                </c:pt>
                <c:pt idx="2">
                  <c:v>5.9322033898305086E-2</c:v>
                </c:pt>
                <c:pt idx="3">
                  <c:v>8.9320388349514557E-2</c:v>
                </c:pt>
                <c:pt idx="4">
                  <c:v>9.7107438016528921E-2</c:v>
                </c:pt>
              </c:numCache>
            </c:numRef>
          </c:val>
          <c:smooth val="0"/>
          <c:extLst>
            <c:ext xmlns:c16="http://schemas.microsoft.com/office/drawing/2014/chart" uri="{C3380CC4-5D6E-409C-BE32-E72D297353CC}">
              <c16:uniqueId val="{00000003-378B-4271-A050-984CFEDFB675}"/>
            </c:ext>
          </c:extLst>
        </c:ser>
        <c:ser>
          <c:idx val="5"/>
          <c:order val="3"/>
          <c:tx>
            <c:strRef>
              <c:f>'Looked After Children'!$AL$44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Children'!$BC$44:$BG$44</c:f>
              <c:numCache>
                <c:formatCode>0.0%</c:formatCode>
                <c:ptCount val="5"/>
                <c:pt idx="0">
                  <c:v>0.11049723756906077</c:v>
                </c:pt>
                <c:pt idx="1">
                  <c:v>0.13513513513513514</c:v>
                </c:pt>
                <c:pt idx="2">
                  <c:v>0.11129568106312292</c:v>
                </c:pt>
                <c:pt idx="3">
                  <c:v>0.12</c:v>
                </c:pt>
                <c:pt idx="4">
                  <c:v>0.13344594594594594</c:v>
                </c:pt>
              </c:numCache>
            </c:numRef>
          </c:val>
          <c:smooth val="0"/>
          <c:extLst>
            <c:ext xmlns:c16="http://schemas.microsoft.com/office/drawing/2014/chart" uri="{C3380CC4-5D6E-409C-BE32-E72D297353CC}">
              <c16:uniqueId val="{00000004-378B-4271-A050-984CFEDFB675}"/>
            </c:ext>
          </c:extLst>
        </c:ser>
        <c:ser>
          <c:idx val="9"/>
          <c:order val="4"/>
          <c:tx>
            <c:strRef>
              <c:f>'Looked After Children'!$AL$45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Children'!$BC$45:$BG$45</c:f>
              <c:numCache>
                <c:formatCode>0.0%</c:formatCode>
                <c:ptCount val="5"/>
                <c:pt idx="0">
                  <c:v>0.17241379310344829</c:v>
                </c:pt>
                <c:pt idx="1">
                  <c:v>0.15625</c:v>
                </c:pt>
                <c:pt idx="2">
                  <c:v>0.16436637390213299</c:v>
                </c:pt>
                <c:pt idx="3">
                  <c:v>0.15925480769230768</c:v>
                </c:pt>
                <c:pt idx="4">
                  <c:v>0.17290886392009988</c:v>
                </c:pt>
              </c:numCache>
            </c:numRef>
          </c:val>
          <c:smooth val="0"/>
          <c:extLst>
            <c:ext xmlns:c16="http://schemas.microsoft.com/office/drawing/2014/chart" uri="{C3380CC4-5D6E-409C-BE32-E72D297353CC}">
              <c16:uniqueId val="{00000005-378B-4271-A050-984CFEDFB675}"/>
            </c:ext>
          </c:extLst>
        </c:ser>
        <c:ser>
          <c:idx val="10"/>
          <c:order val="5"/>
          <c:tx>
            <c:strRef>
              <c:f>'Looked After Children'!$AL$46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Children'!$BC$46:$BG$46</c:f>
              <c:numCache>
                <c:formatCode>0.0%</c:formatCode>
                <c:ptCount val="5"/>
                <c:pt idx="0">
                  <c:v>0.12254901960784313</c:v>
                </c:pt>
                <c:pt idx="1">
                  <c:v>0.10964912280701754</c:v>
                </c:pt>
                <c:pt idx="2">
                  <c:v>0.18141592920353983</c:v>
                </c:pt>
                <c:pt idx="3">
                  <c:v>9.8765432098765427E-2</c:v>
                </c:pt>
                <c:pt idx="4">
                  <c:v>0.13636363636363635</c:v>
                </c:pt>
              </c:numCache>
            </c:numRef>
          </c:val>
          <c:smooth val="0"/>
          <c:extLst>
            <c:ext xmlns:c16="http://schemas.microsoft.com/office/drawing/2014/chart" uri="{C3380CC4-5D6E-409C-BE32-E72D297353CC}">
              <c16:uniqueId val="{00000006-378B-4271-A050-984CFEDFB675}"/>
            </c:ext>
          </c:extLst>
        </c:ser>
        <c:ser>
          <c:idx val="11"/>
          <c:order val="6"/>
          <c:tx>
            <c:strRef>
              <c:f>'Looked After Children'!$AL$47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Children'!$BC$47:$BG$47</c:f>
              <c:numCache>
                <c:formatCode>0.0%</c:formatCode>
                <c:ptCount val="5"/>
                <c:pt idx="0">
                  <c:v>0.12532411408815902</c:v>
                </c:pt>
                <c:pt idx="1">
                  <c:v>0.1262493424513414</c:v>
                </c:pt>
                <c:pt idx="2">
                  <c:v>0.11761121267519806</c:v>
                </c:pt>
                <c:pt idx="3">
                  <c:v>0.10377358490566038</c:v>
                </c:pt>
                <c:pt idx="4">
                  <c:v>0.11178749308245711</c:v>
                </c:pt>
              </c:numCache>
            </c:numRef>
          </c:val>
          <c:smooth val="0"/>
          <c:extLst>
            <c:ext xmlns:c16="http://schemas.microsoft.com/office/drawing/2014/chart" uri="{C3380CC4-5D6E-409C-BE32-E72D297353CC}">
              <c16:uniqueId val="{00000007-378B-4271-A050-984CFEDFB675}"/>
            </c:ext>
          </c:extLst>
        </c:ser>
        <c:ser>
          <c:idx val="12"/>
          <c:order val="7"/>
          <c:tx>
            <c:strRef>
              <c:f>'Looked After Children'!$AL$48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Children'!$BC$48:$BG$48</c:f>
              <c:numCache>
                <c:formatCode>0.0%</c:formatCode>
                <c:ptCount val="5"/>
                <c:pt idx="0">
                  <c:v>9.3023255813953487E-2</c:v>
                </c:pt>
                <c:pt idx="1">
                  <c:v>0.11538461538461539</c:v>
                </c:pt>
                <c:pt idx="2">
                  <c:v>9.9033816425120769E-2</c:v>
                </c:pt>
                <c:pt idx="3">
                  <c:v>9.4339622641509441E-2</c:v>
                </c:pt>
                <c:pt idx="4">
                  <c:v>9.6244131455399062E-2</c:v>
                </c:pt>
              </c:numCache>
            </c:numRef>
          </c:val>
          <c:smooth val="0"/>
          <c:extLst>
            <c:ext xmlns:c16="http://schemas.microsoft.com/office/drawing/2014/chart" uri="{C3380CC4-5D6E-409C-BE32-E72D297353CC}">
              <c16:uniqueId val="{00000008-378B-4271-A050-984CFEDFB675}"/>
            </c:ext>
          </c:extLst>
        </c:ser>
        <c:ser>
          <c:idx val="13"/>
          <c:order val="8"/>
          <c:tx>
            <c:strRef>
              <c:f>'Looked After Children'!$AL$49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Children'!$BC$49:$BG$49</c:f>
              <c:numCache>
                <c:formatCode>0.0%</c:formatCode>
                <c:ptCount val="5"/>
                <c:pt idx="0">
                  <c:v>0.11594202898550725</c:v>
                </c:pt>
                <c:pt idx="1">
                  <c:v>8.8383838383838384E-2</c:v>
                </c:pt>
                <c:pt idx="2">
                  <c:v>0.1116751269035533</c:v>
                </c:pt>
                <c:pt idx="3">
                  <c:v>0.10761154855643044</c:v>
                </c:pt>
                <c:pt idx="4">
                  <c:v>0.14143920595533499</c:v>
                </c:pt>
              </c:numCache>
            </c:numRef>
          </c:val>
          <c:smooth val="0"/>
          <c:extLst>
            <c:ext xmlns:c16="http://schemas.microsoft.com/office/drawing/2014/chart" uri="{C3380CC4-5D6E-409C-BE32-E72D297353CC}">
              <c16:uniqueId val="{00000009-378B-4271-A050-984CFEDFB675}"/>
            </c:ext>
          </c:extLst>
        </c:ser>
        <c:ser>
          <c:idx val="15"/>
          <c:order val="9"/>
          <c:tx>
            <c:strRef>
              <c:f>'Looked After Children'!$AL$50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Children'!$BC$50:$BG$50</c:f>
              <c:numCache>
                <c:formatCode>0.0%</c:formatCode>
                <c:ptCount val="5"/>
                <c:pt idx="0">
                  <c:v>6.7453625632377737E-2</c:v>
                </c:pt>
                <c:pt idx="1">
                  <c:v>8.2582582582582581E-2</c:v>
                </c:pt>
                <c:pt idx="2">
                  <c:v>0.11257309941520467</c:v>
                </c:pt>
                <c:pt idx="3">
                  <c:v>9.2426187419768935E-2</c:v>
                </c:pt>
                <c:pt idx="4">
                  <c:v>0.11082138200782268</c:v>
                </c:pt>
              </c:numCache>
            </c:numRef>
          </c:val>
          <c:smooth val="0"/>
          <c:extLst>
            <c:ext xmlns:c16="http://schemas.microsoft.com/office/drawing/2014/chart" uri="{C3380CC4-5D6E-409C-BE32-E72D297353CC}">
              <c16:uniqueId val="{0000000A-378B-4271-A050-984CFEDFB675}"/>
            </c:ext>
          </c:extLst>
        </c:ser>
        <c:ser>
          <c:idx val="16"/>
          <c:order val="10"/>
          <c:tx>
            <c:strRef>
              <c:f>'Looked After Children'!$AL$51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Children'!$BC$51:$BG$51</c:f>
              <c:numCache>
                <c:formatCode>0.0%</c:formatCode>
                <c:ptCount val="5"/>
                <c:pt idx="0">
                  <c:v>0.15527950310559005</c:v>
                </c:pt>
                <c:pt idx="1">
                  <c:v>0.15363128491620112</c:v>
                </c:pt>
                <c:pt idx="2">
                  <c:v>0.14457831325301204</c:v>
                </c:pt>
                <c:pt idx="3">
                  <c:v>0.15843621399176955</c:v>
                </c:pt>
                <c:pt idx="4">
                  <c:v>0.13948497854077252</c:v>
                </c:pt>
              </c:numCache>
            </c:numRef>
          </c:val>
          <c:smooth val="0"/>
          <c:extLst>
            <c:ext xmlns:c16="http://schemas.microsoft.com/office/drawing/2014/chart" uri="{C3380CC4-5D6E-409C-BE32-E72D297353CC}">
              <c16:uniqueId val="{0000000B-378B-4271-A050-984CFEDFB675}"/>
            </c:ext>
          </c:extLst>
        </c:ser>
        <c:ser>
          <c:idx val="17"/>
          <c:order val="11"/>
          <c:tx>
            <c:strRef>
              <c:f>'Looked After Children'!$AL$52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Children'!$BC$52:$BG$52</c:f>
              <c:numCache>
                <c:formatCode>0.0%</c:formatCode>
                <c:ptCount val="5"/>
                <c:pt idx="0">
                  <c:v>9.0909090909090912E-2</c:v>
                </c:pt>
                <c:pt idx="1">
                  <c:v>3.8022813688212927E-2</c:v>
                </c:pt>
                <c:pt idx="2">
                  <c:v>0.11469534050179211</c:v>
                </c:pt>
                <c:pt idx="3">
                  <c:v>0.12087912087912088</c:v>
                </c:pt>
                <c:pt idx="4">
                  <c:v>0.1357142857142857</c:v>
                </c:pt>
              </c:numCache>
            </c:numRef>
          </c:val>
          <c:smooth val="0"/>
          <c:extLst>
            <c:ext xmlns:c16="http://schemas.microsoft.com/office/drawing/2014/chart" uri="{C3380CC4-5D6E-409C-BE32-E72D297353CC}">
              <c16:uniqueId val="{0000000C-378B-4271-A050-984CFEDFB675}"/>
            </c:ext>
          </c:extLst>
        </c:ser>
        <c:ser>
          <c:idx val="19"/>
          <c:order val="12"/>
          <c:tx>
            <c:strRef>
              <c:f>'Looked After Children'!$AL$53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Children'!$BC$53:$BG$53</c:f>
              <c:numCache>
                <c:formatCode>0.0%</c:formatCode>
                <c:ptCount val="5"/>
                <c:pt idx="0">
                  <c:v>0.13966480446927373</c:v>
                </c:pt>
                <c:pt idx="1">
                  <c:v>0.13157894736842105</c:v>
                </c:pt>
                <c:pt idx="2">
                  <c:v>0.16019417475728157</c:v>
                </c:pt>
                <c:pt idx="3">
                  <c:v>0.107981220657277</c:v>
                </c:pt>
                <c:pt idx="4">
                  <c:v>0.1683673469387755</c:v>
                </c:pt>
              </c:numCache>
            </c:numRef>
          </c:val>
          <c:smooth val="0"/>
          <c:extLst>
            <c:ext xmlns:c16="http://schemas.microsoft.com/office/drawing/2014/chart" uri="{C3380CC4-5D6E-409C-BE32-E72D297353CC}">
              <c16:uniqueId val="{0000000D-378B-4271-A050-984CFEDFB675}"/>
            </c:ext>
          </c:extLst>
        </c:ser>
        <c:ser>
          <c:idx val="3"/>
          <c:order val="13"/>
          <c:tx>
            <c:strRef>
              <c:f>'Looked After Children'!$AL$54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Children'!$BC$54:$BG$54</c:f>
              <c:numCache>
                <c:formatCode>0.0%</c:formatCode>
                <c:ptCount val="5"/>
                <c:pt idx="0">
                  <c:v>0.12974051896207583</c:v>
                </c:pt>
                <c:pt idx="1">
                  <c:v>0.10504201680672269</c:v>
                </c:pt>
                <c:pt idx="2">
                  <c:v>0.15473887814313347</c:v>
                </c:pt>
                <c:pt idx="3">
                  <c:v>0.14419475655430711</c:v>
                </c:pt>
                <c:pt idx="4">
                  <c:v>0.15689981096408318</c:v>
                </c:pt>
              </c:numCache>
            </c:numRef>
          </c:val>
          <c:smooth val="0"/>
          <c:extLst>
            <c:ext xmlns:c16="http://schemas.microsoft.com/office/drawing/2014/chart" uri="{C3380CC4-5D6E-409C-BE32-E72D297353CC}">
              <c16:uniqueId val="{0000000E-378B-4271-A050-984CFEDFB675}"/>
            </c:ext>
          </c:extLst>
        </c:ser>
        <c:ser>
          <c:idx val="20"/>
          <c:order val="14"/>
          <c:tx>
            <c:strRef>
              <c:f>'Looked After Children'!$AL$55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Children'!$BC$55:$BG$55</c:f>
              <c:numCache>
                <c:formatCode>0.0%</c:formatCode>
                <c:ptCount val="5"/>
                <c:pt idx="0">
                  <c:v>0.13536379018612521</c:v>
                </c:pt>
                <c:pt idx="1">
                  <c:v>0.12037037037037036</c:v>
                </c:pt>
                <c:pt idx="2">
                  <c:v>9.5785440613026823E-2</c:v>
                </c:pt>
                <c:pt idx="3">
                  <c:v>0.12474012474012475</c:v>
                </c:pt>
                <c:pt idx="4">
                  <c:v>0.16049382716049382</c:v>
                </c:pt>
              </c:numCache>
            </c:numRef>
          </c:val>
          <c:smooth val="0"/>
          <c:extLst>
            <c:ext xmlns:c16="http://schemas.microsoft.com/office/drawing/2014/chart" uri="{C3380CC4-5D6E-409C-BE32-E72D297353CC}">
              <c16:uniqueId val="{0000000F-378B-4271-A050-984CFEDFB675}"/>
            </c:ext>
          </c:extLst>
        </c:ser>
        <c:ser>
          <c:idx val="22"/>
          <c:order val="15"/>
          <c:tx>
            <c:strRef>
              <c:f>'Looked After Children'!$AL$56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Children'!$BC$56:$BG$56</c:f>
              <c:numCache>
                <c:formatCode>0.0%</c:formatCode>
                <c:ptCount val="5"/>
                <c:pt idx="0">
                  <c:v>0.10380622837370242</c:v>
                </c:pt>
                <c:pt idx="1">
                  <c:v>8.0552359033371698E-2</c:v>
                </c:pt>
                <c:pt idx="2">
                  <c:v>7.6344086021505372E-2</c:v>
                </c:pt>
                <c:pt idx="3">
                  <c:v>9.044193216855087E-2</c:v>
                </c:pt>
                <c:pt idx="4">
                  <c:v>8.9704383282364936E-2</c:v>
                </c:pt>
              </c:numCache>
            </c:numRef>
          </c:val>
          <c:smooth val="0"/>
          <c:extLst>
            <c:ext xmlns:c16="http://schemas.microsoft.com/office/drawing/2014/chart" uri="{C3380CC4-5D6E-409C-BE32-E72D297353CC}">
              <c16:uniqueId val="{00000010-378B-4271-A050-984CFEDFB675}"/>
            </c:ext>
          </c:extLst>
        </c:ser>
        <c:ser>
          <c:idx val="7"/>
          <c:order val="16"/>
          <c:tx>
            <c:strRef>
              <c:f>'Looked After Children'!$AL$57</c:f>
              <c:strCache>
                <c:ptCount val="1"/>
                <c:pt idx="0">
                  <c:v>Swindon</c:v>
                </c:pt>
              </c:strCache>
            </c:strRef>
          </c:tx>
          <c:spPr>
            <a:ln w="12700"/>
          </c:spPr>
          <c:marker>
            <c:symbol val="triangle"/>
            <c:size val="5"/>
            <c:spPr>
              <a:solidFill>
                <a:schemeClr val="accent2">
                  <a:lumMod val="20000"/>
                  <a:lumOff val="80000"/>
                </a:schemeClr>
              </a:solidFill>
            </c:spPr>
          </c:marker>
          <c:cat>
            <c:strRef>
              <c:f>'Looked After Children'!$Z$2:$AD$3</c:f>
              <c:strCache>
                <c:ptCount val="5"/>
                <c:pt idx="0">
                  <c:v>2015-16</c:v>
                </c:pt>
                <c:pt idx="1">
                  <c:v>2016-17</c:v>
                </c:pt>
                <c:pt idx="2">
                  <c:v>2017-18</c:v>
                </c:pt>
                <c:pt idx="3">
                  <c:v>2018-19</c:v>
                </c:pt>
                <c:pt idx="4">
                  <c:v>2019-20</c:v>
                </c:pt>
              </c:strCache>
            </c:strRef>
          </c:cat>
          <c:val>
            <c:numRef>
              <c:f>'Looked After Children'!$BC$57:$BG$57</c:f>
              <c:numCache>
                <c:formatCode>0.0%</c:formatCode>
                <c:ptCount val="5"/>
                <c:pt idx="0">
                  <c:v>0.10238907849829351</c:v>
                </c:pt>
                <c:pt idx="1">
                  <c:v>0.12121212121212122</c:v>
                </c:pt>
                <c:pt idx="2">
                  <c:v>0.12222222222222222</c:v>
                </c:pt>
                <c:pt idx="3">
                  <c:v>7.183908045977011E-2</c:v>
                </c:pt>
                <c:pt idx="4">
                  <c:v>0.1461794019933555</c:v>
                </c:pt>
              </c:numCache>
            </c:numRef>
          </c:val>
          <c:smooth val="0"/>
          <c:extLst>
            <c:ext xmlns:c16="http://schemas.microsoft.com/office/drawing/2014/chart" uri="{C3380CC4-5D6E-409C-BE32-E72D297353CC}">
              <c16:uniqueId val="{00000011-378B-4271-A050-984CFEDFB675}"/>
            </c:ext>
          </c:extLst>
        </c:ser>
        <c:ser>
          <c:idx val="8"/>
          <c:order val="17"/>
          <c:tx>
            <c:strRef>
              <c:f>'Looked After Children'!$AL$58</c:f>
              <c:strCache>
                <c:ptCount val="1"/>
                <c:pt idx="0">
                  <c:v>Torbay</c:v>
                </c:pt>
              </c:strCache>
            </c:strRef>
          </c:tx>
          <c:spPr>
            <a:ln w="12700"/>
          </c:spPr>
          <c:marker>
            <c:symbol val="circle"/>
            <c:size val="5"/>
            <c:spPr>
              <a:solidFill>
                <a:schemeClr val="accent3">
                  <a:lumMod val="20000"/>
                  <a:lumOff val="80000"/>
                </a:schemeClr>
              </a:solidFill>
            </c:spPr>
          </c:marker>
          <c:cat>
            <c:strRef>
              <c:f>'Looked After Children'!$Z$2:$AD$3</c:f>
              <c:strCache>
                <c:ptCount val="5"/>
                <c:pt idx="0">
                  <c:v>2015-16</c:v>
                </c:pt>
                <c:pt idx="1">
                  <c:v>2016-17</c:v>
                </c:pt>
                <c:pt idx="2">
                  <c:v>2017-18</c:v>
                </c:pt>
                <c:pt idx="3">
                  <c:v>2018-19</c:v>
                </c:pt>
                <c:pt idx="4">
                  <c:v>2019-20</c:v>
                </c:pt>
              </c:strCache>
            </c:strRef>
          </c:cat>
          <c:val>
            <c:numRef>
              <c:f>'Looked After Children'!$BC$58:$BG$58</c:f>
              <c:numCache>
                <c:formatCode>0.0%</c:formatCode>
                <c:ptCount val="5"/>
                <c:pt idx="0">
                  <c:v>0.21505376344086022</c:v>
                </c:pt>
                <c:pt idx="1">
                  <c:v>0.25951557093425603</c:v>
                </c:pt>
                <c:pt idx="2">
                  <c:v>0.25227963525835867</c:v>
                </c:pt>
                <c:pt idx="3">
                  <c:v>0.11049723756906077</c:v>
                </c:pt>
                <c:pt idx="4">
                  <c:v>0.16246498599439776</c:v>
                </c:pt>
              </c:numCache>
            </c:numRef>
          </c:val>
          <c:smooth val="0"/>
          <c:extLst>
            <c:ext xmlns:c16="http://schemas.microsoft.com/office/drawing/2014/chart" uri="{C3380CC4-5D6E-409C-BE32-E72D297353CC}">
              <c16:uniqueId val="{00000012-378B-4271-A050-984CFEDFB675}"/>
            </c:ext>
          </c:extLst>
        </c:ser>
        <c:ser>
          <c:idx val="23"/>
          <c:order val="18"/>
          <c:tx>
            <c:strRef>
              <c:f>'Looked After Children'!$AL$59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Children'!$BC$59:$BG$59</c:f>
              <c:numCache>
                <c:formatCode>0.0%</c:formatCode>
                <c:ptCount val="5"/>
                <c:pt idx="0">
                  <c:v>6.3694267515923567E-2</c:v>
                </c:pt>
                <c:pt idx="1">
                  <c:v>9.3167701863354033E-2</c:v>
                </c:pt>
                <c:pt idx="2">
                  <c:v>5.5172413793103448E-2</c:v>
                </c:pt>
                <c:pt idx="3">
                  <c:v>9.8837209302325577E-2</c:v>
                </c:pt>
                <c:pt idx="4">
                  <c:v>0.13375796178343949</c:v>
                </c:pt>
              </c:numCache>
            </c:numRef>
          </c:val>
          <c:smooth val="0"/>
          <c:extLst>
            <c:ext xmlns:c16="http://schemas.microsoft.com/office/drawing/2014/chart" uri="{C3380CC4-5D6E-409C-BE32-E72D297353CC}">
              <c16:uniqueId val="{00000013-378B-4271-A050-984CFEDFB675}"/>
            </c:ext>
          </c:extLst>
        </c:ser>
        <c:ser>
          <c:idx val="24"/>
          <c:order val="19"/>
          <c:tx>
            <c:strRef>
              <c:f>'Looked After Children'!$AL$60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Children'!$BC$60:$BG$60</c:f>
              <c:numCache>
                <c:formatCode>0.0%</c:formatCode>
                <c:ptCount val="5"/>
                <c:pt idx="0">
                  <c:v>0.10954616588419405</c:v>
                </c:pt>
                <c:pt idx="1">
                  <c:v>0.12066365007541478</c:v>
                </c:pt>
                <c:pt idx="2">
                  <c:v>0.140625</c:v>
                </c:pt>
                <c:pt idx="3">
                  <c:v>0.10227272727272728</c:v>
                </c:pt>
                <c:pt idx="4">
                  <c:v>0.1150990099009901</c:v>
                </c:pt>
              </c:numCache>
            </c:numRef>
          </c:val>
          <c:smooth val="0"/>
          <c:extLst>
            <c:ext xmlns:c16="http://schemas.microsoft.com/office/drawing/2014/chart" uri="{C3380CC4-5D6E-409C-BE32-E72D297353CC}">
              <c16:uniqueId val="{00000014-378B-4271-A050-984CFEDFB675}"/>
            </c:ext>
          </c:extLst>
        </c:ser>
        <c:ser>
          <c:idx val="25"/>
          <c:order val="20"/>
          <c:tx>
            <c:strRef>
              <c:f>'Looked After Children'!$AL$61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Children'!$BC$61:$BG$61</c:f>
              <c:numCache>
                <c:formatCode>0.0%</c:formatCode>
                <c:ptCount val="5"/>
                <c:pt idx="0">
                  <c:v>0.16853932584269662</c:v>
                </c:pt>
                <c:pt idx="1">
                  <c:v>0.13761467889908258</c:v>
                </c:pt>
                <c:pt idx="2">
                  <c:v>0.13084112149532709</c:v>
                </c:pt>
                <c:pt idx="3">
                  <c:v>0.15322580645161291</c:v>
                </c:pt>
                <c:pt idx="4">
                  <c:v>0.14655172413793102</c:v>
                </c:pt>
              </c:numCache>
            </c:numRef>
          </c:val>
          <c:smooth val="0"/>
          <c:extLst>
            <c:ext xmlns:c16="http://schemas.microsoft.com/office/drawing/2014/chart" uri="{C3380CC4-5D6E-409C-BE32-E72D297353CC}">
              <c16:uniqueId val="{00000015-378B-4271-A050-984CFEDFB675}"/>
            </c:ext>
          </c:extLst>
        </c:ser>
        <c:ser>
          <c:idx val="26"/>
          <c:order val="21"/>
          <c:tx>
            <c:strRef>
              <c:f>'Looked After Children'!$AL$62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Children'!$BC$62:$BG$62</c:f>
              <c:numCache>
                <c:formatCode>0.0%</c:formatCode>
                <c:ptCount val="5"/>
                <c:pt idx="0">
                  <c:v>0.12345679012345678</c:v>
                </c:pt>
                <c:pt idx="1">
                  <c:v>0.2</c:v>
                </c:pt>
                <c:pt idx="2">
                  <c:v>0.13207547169811321</c:v>
                </c:pt>
                <c:pt idx="3">
                  <c:v>0.1</c:v>
                </c:pt>
                <c:pt idx="4">
                  <c:v>0.19387755102040816</c:v>
                </c:pt>
              </c:numCache>
            </c:numRef>
          </c:val>
          <c:smooth val="0"/>
          <c:extLst>
            <c:ext xmlns:c16="http://schemas.microsoft.com/office/drawing/2014/chart" uri="{C3380CC4-5D6E-409C-BE32-E72D297353CC}">
              <c16:uniqueId val="{00000016-378B-4271-A050-984CFEDFB675}"/>
            </c:ext>
          </c:extLst>
        </c:ser>
        <c:ser>
          <c:idx val="4"/>
          <c:order val="22"/>
          <c:tx>
            <c:strRef>
              <c:f>'Looked After Children'!$AL$63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Children'!$BC$63:$BG$63</c:f>
              <c:numCache>
                <c:formatCode>0.0%</c:formatCode>
                <c:ptCount val="5"/>
                <c:pt idx="0">
                  <c:v>0.12203767470123557</c:v>
                </c:pt>
                <c:pt idx="1">
                  <c:v>0.11698880976602238</c:v>
                </c:pt>
                <c:pt idx="2">
                  <c:v>0.11902380476095219</c:v>
                </c:pt>
                <c:pt idx="3">
                  <c:v>0.11574749537982687</c:v>
                </c:pt>
                <c:pt idx="4">
                  <c:v>0.12829104834849211</c:v>
                </c:pt>
              </c:numCache>
            </c:numRef>
          </c:val>
          <c:smooth val="0"/>
          <c:extLst>
            <c:ext xmlns:c16="http://schemas.microsoft.com/office/drawing/2014/chart" uri="{C3380CC4-5D6E-409C-BE32-E72D297353CC}">
              <c16:uniqueId val="{00000017-378B-4271-A050-984CFEDFB675}"/>
            </c:ext>
          </c:extLst>
        </c:ser>
        <c:ser>
          <c:idx val="14"/>
          <c:order val="23"/>
          <c:tx>
            <c:strRef>
              <c:f>'Looked After Children'!$AL$64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2015-16</c:v>
                </c:pt>
                <c:pt idx="1">
                  <c:v>2016-17</c:v>
                </c:pt>
                <c:pt idx="2">
                  <c:v>2017-18</c:v>
                </c:pt>
                <c:pt idx="3">
                  <c:v>2018-19</c:v>
                </c:pt>
                <c:pt idx="4">
                  <c:v>2019-20</c:v>
                </c:pt>
              </c:strCache>
            </c:strRef>
          </c:cat>
          <c:val>
            <c:numRef>
              <c:f>'Looked After Children'!$BC$64:$BG$64</c:f>
              <c:numCache>
                <c:formatCode>0.0%</c:formatCode>
                <c:ptCount val="5"/>
                <c:pt idx="0">
                  <c:v>0.10296832836244851</c:v>
                </c:pt>
                <c:pt idx="1">
                  <c:v>0.103567001790387</c:v>
                </c:pt>
                <c:pt idx="2">
                  <c:v>0.10468356109858033</c:v>
                </c:pt>
                <c:pt idx="3">
                  <c:v>0.10377479206653871</c:v>
                </c:pt>
                <c:pt idx="4">
                  <c:v>0.10576923076923077</c:v>
                </c:pt>
              </c:numCache>
            </c:numRef>
          </c:val>
          <c:smooth val="0"/>
          <c:extLst>
            <c:ext xmlns:c16="http://schemas.microsoft.com/office/drawing/2014/chart" uri="{C3380CC4-5D6E-409C-BE32-E72D297353CC}">
              <c16:uniqueId val="{00000018-378B-4271-A050-984CFEDFB675}"/>
            </c:ext>
          </c:extLst>
        </c:ser>
        <c:ser>
          <c:idx val="6"/>
          <c:order val="24"/>
          <c:tx>
            <c:strRef>
              <c:f>'Looked After Children'!$AL$65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2015-16</c:v>
                </c:pt>
                <c:pt idx="1">
                  <c:v>2016-17</c:v>
                </c:pt>
                <c:pt idx="2">
                  <c:v>2017-18</c:v>
                </c:pt>
                <c:pt idx="3">
                  <c:v>2018-19</c:v>
                </c:pt>
                <c:pt idx="4">
                  <c:v>2019-20</c:v>
                </c:pt>
              </c:strCache>
            </c:strRef>
          </c:cat>
          <c:val>
            <c:numRef>
              <c:f>'Looked After Children'!$BC$65:$BG$65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378B-4271-A050-984CFEDFB675}"/>
            </c:ext>
          </c:extLst>
        </c:ser>
        <c:dLbls>
          <c:showLegendKey val="0"/>
          <c:showVal val="0"/>
          <c:showCatName val="0"/>
          <c:showSerName val="0"/>
          <c:showPercent val="0"/>
          <c:showBubbleSize val="0"/>
        </c:dLbls>
        <c:marker val="1"/>
        <c:smooth val="0"/>
        <c:axId val="601511808"/>
        <c:axId val="601518080"/>
      </c:lineChart>
      <c:catAx>
        <c:axId val="601511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518080"/>
        <c:crosses val="autoZero"/>
        <c:auto val="1"/>
        <c:lblAlgn val="ctr"/>
        <c:lblOffset val="100"/>
        <c:tickLblSkip val="1"/>
        <c:tickMarkSkip val="1"/>
        <c:noMultiLvlLbl val="0"/>
      </c:catAx>
      <c:valAx>
        <c:axId val="6015180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51180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8688613315662184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to Early Help which were stepped-down from Social Care</a:t>
            </a:r>
          </a:p>
        </c:rich>
      </c:tx>
      <c:layout>
        <c:manualLayout>
          <c:xMode val="edge"/>
          <c:yMode val="edge"/>
          <c:x val="0.1073068405511811"/>
          <c:y val="1.2589190240108876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519636434334601"/>
        </c:manualLayout>
      </c:layout>
      <c:lineChart>
        <c:grouping val="standard"/>
        <c:varyColors val="0"/>
        <c:ser>
          <c:idx val="0"/>
          <c:order val="0"/>
          <c:tx>
            <c:strRef>
              <c:f>EH_Referrals!$AK$40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5222-4777-BB30-B93521CD3446}"/>
              </c:ext>
            </c:extLst>
          </c:dPt>
          <c:cat>
            <c:strRef>
              <c:f>EH_Referrals!$Z$2:$AD$3</c:f>
              <c:strCache>
                <c:ptCount val="5"/>
                <c:pt idx="0">
                  <c:v>2015-16</c:v>
                </c:pt>
                <c:pt idx="1">
                  <c:v>2016-17</c:v>
                </c:pt>
                <c:pt idx="2">
                  <c:v>2017-18</c:v>
                </c:pt>
                <c:pt idx="3">
                  <c:v>2018-19</c:v>
                </c:pt>
                <c:pt idx="4">
                  <c:v>2019-20</c:v>
                </c:pt>
              </c:strCache>
            </c:strRef>
          </c:cat>
          <c:val>
            <c:numRef>
              <c:f>EH_Referrals!$AS$40:$AW$40</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222-4777-BB30-B93521CD3446}"/>
            </c:ext>
          </c:extLst>
        </c:ser>
        <c:ser>
          <c:idx val="1"/>
          <c:order val="1"/>
          <c:tx>
            <c:strRef>
              <c:f>EH_Referrals!$AK$41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EH_Referrals!$AS$41:$AW$41</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5222-4777-BB30-B93521CD3446}"/>
            </c:ext>
          </c:extLst>
        </c:ser>
        <c:ser>
          <c:idx val="2"/>
          <c:order val="2"/>
          <c:tx>
            <c:strRef>
              <c:f>EH_Referrals!$AK$42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EH_Referrals!$AS$42:$AW$42</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5222-4777-BB30-B93521CD3446}"/>
            </c:ext>
          </c:extLst>
        </c:ser>
        <c:ser>
          <c:idx val="5"/>
          <c:order val="3"/>
          <c:tx>
            <c:strRef>
              <c:f>EH_Referrals!$AK$43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EH_Referrals!$AS$43:$AW$43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5222-4777-BB30-B93521CD3446}"/>
            </c:ext>
          </c:extLst>
        </c:ser>
        <c:ser>
          <c:idx val="9"/>
          <c:order val="4"/>
          <c:tx>
            <c:strRef>
              <c:f>EH_Referrals!$AK$44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EH_Referrals!$AS$44:$AW$44</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5222-4777-BB30-B93521CD3446}"/>
            </c:ext>
          </c:extLst>
        </c:ser>
        <c:ser>
          <c:idx val="10"/>
          <c:order val="5"/>
          <c:tx>
            <c:strRef>
              <c:f>EH_Referrals!$AK$45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EH_Referrals!$AS$45:$AW$45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5222-4777-BB30-B93521CD3446}"/>
            </c:ext>
          </c:extLst>
        </c:ser>
        <c:ser>
          <c:idx val="11"/>
          <c:order val="6"/>
          <c:tx>
            <c:strRef>
              <c:f>EH_Referrals!$AK$46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EH_Referrals!$AS$46:$AW$46</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5222-4777-BB30-B93521CD3446}"/>
            </c:ext>
          </c:extLst>
        </c:ser>
        <c:ser>
          <c:idx val="12"/>
          <c:order val="7"/>
          <c:tx>
            <c:strRef>
              <c:f>EH_Referrals!$AK$47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EH_Referrals!$AS$47:$AW$47</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5222-4777-BB30-B93521CD3446}"/>
            </c:ext>
          </c:extLst>
        </c:ser>
        <c:ser>
          <c:idx val="13"/>
          <c:order val="8"/>
          <c:tx>
            <c:strRef>
              <c:f>EH_Referrals!$AK$48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EH_Referrals!$AS$48:$AW$48</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5222-4777-BB30-B93521CD3446}"/>
            </c:ext>
          </c:extLst>
        </c:ser>
        <c:ser>
          <c:idx val="15"/>
          <c:order val="9"/>
          <c:tx>
            <c:strRef>
              <c:f>EH_Referrals!$AK$49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EH_Referrals!$AS$49:$AW$49</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5222-4777-BB30-B93521CD3446}"/>
            </c:ext>
          </c:extLst>
        </c:ser>
        <c:ser>
          <c:idx val="16"/>
          <c:order val="10"/>
          <c:tx>
            <c:strRef>
              <c:f>EH_Referrals!$AK$50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EH_Referrals!$AS$50:$AW$50</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5222-4777-BB30-B93521CD3446}"/>
            </c:ext>
          </c:extLst>
        </c:ser>
        <c:ser>
          <c:idx val="17"/>
          <c:order val="11"/>
          <c:tx>
            <c:strRef>
              <c:f>EH_Referrals!$AK$51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EH_Referrals!$AS$51:$AW$51</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5222-4777-BB30-B93521CD3446}"/>
            </c:ext>
          </c:extLst>
        </c:ser>
        <c:ser>
          <c:idx val="19"/>
          <c:order val="12"/>
          <c:tx>
            <c:strRef>
              <c:f>EH_Referrals!$AK$52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EH_Referrals!$AS$52:$AW$52</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5222-4777-BB30-B93521CD3446}"/>
            </c:ext>
          </c:extLst>
        </c:ser>
        <c:ser>
          <c:idx val="3"/>
          <c:order val="13"/>
          <c:tx>
            <c:strRef>
              <c:f>EH_Referrals!$AK$53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EH_Referrals!$AS$53:$AW$53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5222-4777-BB30-B93521CD3446}"/>
            </c:ext>
          </c:extLst>
        </c:ser>
        <c:ser>
          <c:idx val="20"/>
          <c:order val="14"/>
          <c:tx>
            <c:strRef>
              <c:f>EH_Referrals!$AK$54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EH_Referrals!$AS$54:$AW$54</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5222-4777-BB30-B93521CD3446}"/>
            </c:ext>
          </c:extLst>
        </c:ser>
        <c:ser>
          <c:idx val="22"/>
          <c:order val="15"/>
          <c:tx>
            <c:strRef>
              <c:f>EH_Referrals!$AK$55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EH_Referrals!$AS$55:$AW$55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5222-4777-BB30-B93521CD3446}"/>
            </c:ext>
          </c:extLst>
        </c:ser>
        <c:ser>
          <c:idx val="7"/>
          <c:order val="16"/>
          <c:tx>
            <c:strRef>
              <c:f>EH_Referrals!$AK$56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EH_Referrals!$Z$2:$AD$3</c:f>
              <c:strCache>
                <c:ptCount val="5"/>
                <c:pt idx="0">
                  <c:v>2015-16</c:v>
                </c:pt>
                <c:pt idx="1">
                  <c:v>2016-17</c:v>
                </c:pt>
                <c:pt idx="2">
                  <c:v>2017-18</c:v>
                </c:pt>
                <c:pt idx="3">
                  <c:v>2018-19</c:v>
                </c:pt>
                <c:pt idx="4">
                  <c:v>2019-20</c:v>
                </c:pt>
              </c:strCache>
            </c:strRef>
          </c:cat>
          <c:val>
            <c:numRef>
              <c:f>EH_Referrals!$AS$56:$AW$56</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5222-4777-BB30-B93521CD3446}"/>
            </c:ext>
          </c:extLst>
        </c:ser>
        <c:ser>
          <c:idx val="8"/>
          <c:order val="17"/>
          <c:tx>
            <c:strRef>
              <c:f>EH_Referrals!$AK$57</c:f>
              <c:strCache>
                <c:ptCount val="1"/>
                <c:pt idx="0">
                  <c:v>Torbay</c:v>
                </c:pt>
              </c:strCache>
            </c:strRef>
          </c:tx>
          <c:spPr>
            <a:ln w="12700"/>
          </c:spPr>
          <c:marker>
            <c:symbol val="circle"/>
            <c:size val="5"/>
            <c:spPr>
              <a:solidFill>
                <a:schemeClr val="accent3">
                  <a:lumMod val="20000"/>
                  <a:lumOff val="80000"/>
                </a:schemeClr>
              </a:solidFill>
            </c:spPr>
          </c:marker>
          <c:cat>
            <c:strRef>
              <c:f>EH_Referrals!$Z$2:$AD$3</c:f>
              <c:strCache>
                <c:ptCount val="5"/>
                <c:pt idx="0">
                  <c:v>2015-16</c:v>
                </c:pt>
                <c:pt idx="1">
                  <c:v>2016-17</c:v>
                </c:pt>
                <c:pt idx="2">
                  <c:v>2017-18</c:v>
                </c:pt>
                <c:pt idx="3">
                  <c:v>2018-19</c:v>
                </c:pt>
                <c:pt idx="4">
                  <c:v>2019-20</c:v>
                </c:pt>
              </c:strCache>
            </c:strRef>
          </c:cat>
          <c:val>
            <c:numRef>
              <c:f>EH_Referrals!$AS$57:$AW$57</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5222-4777-BB30-B93521CD3446}"/>
            </c:ext>
          </c:extLst>
        </c:ser>
        <c:ser>
          <c:idx val="23"/>
          <c:order val="18"/>
          <c:tx>
            <c:strRef>
              <c:f>EH_Referrals!$AK$58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EH_Referrals!$AS$58:$AW$58</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5222-4777-BB30-B93521CD3446}"/>
            </c:ext>
          </c:extLst>
        </c:ser>
        <c:ser>
          <c:idx val="24"/>
          <c:order val="19"/>
          <c:tx>
            <c:strRef>
              <c:f>EH_Referrals!$AK$59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EH_Referrals!$AS$59:$AW$59</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5222-4777-BB30-B93521CD3446}"/>
            </c:ext>
          </c:extLst>
        </c:ser>
        <c:ser>
          <c:idx val="25"/>
          <c:order val="20"/>
          <c:tx>
            <c:strRef>
              <c:f>EH_Referrals!$AK$60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EH_Referrals!$AS$60:$AW$60</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5222-4777-BB30-B93521CD3446}"/>
            </c:ext>
          </c:extLst>
        </c:ser>
        <c:ser>
          <c:idx val="26"/>
          <c:order val="21"/>
          <c:tx>
            <c:strRef>
              <c:f>EH_Referrals!$AK$61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EH_Referrals!$AS$61:$AW$61</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5222-4777-BB30-B93521CD3446}"/>
            </c:ext>
          </c:extLst>
        </c:ser>
        <c:ser>
          <c:idx val="4"/>
          <c:order val="22"/>
          <c:tx>
            <c:strRef>
              <c:f>EH_Referrals!$AK$62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EH_Referrals!$AS$62:$AW$62</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5222-4777-BB30-B93521CD3446}"/>
            </c:ext>
          </c:extLst>
        </c:ser>
        <c:ser>
          <c:idx val="14"/>
          <c:order val="23"/>
          <c:tx>
            <c:strRef>
              <c:f>EH_Referrals!$AK$63</c:f>
              <c:strCache>
                <c:ptCount val="1"/>
                <c:pt idx="0">
                  <c:v>Selected LA- (none)</c:v>
                </c:pt>
              </c:strCache>
            </c:strRef>
          </c:tx>
          <c:spPr>
            <a:ln w="19050">
              <a:solidFill>
                <a:schemeClr val="tx1">
                  <a:lumMod val="75000"/>
                  <a:lumOff val="25000"/>
                </a:schemeClr>
              </a:solidFill>
            </a:ln>
          </c:spPr>
          <c:marker>
            <c:symbol val="circle"/>
            <c:size val="6"/>
            <c:spPr>
              <a:solidFill>
                <a:srgbClr val="66FF99"/>
              </a:solidFill>
              <a:ln w="12700">
                <a:solidFill>
                  <a:schemeClr val="tx1">
                    <a:lumMod val="75000"/>
                    <a:lumOff val="25000"/>
                  </a:schemeClr>
                </a:solidFill>
              </a:ln>
            </c:spPr>
          </c:marker>
          <c:cat>
            <c:strRef>
              <c:f>EH_Referrals!$Z$2:$AD$3</c:f>
              <c:strCache>
                <c:ptCount val="5"/>
                <c:pt idx="0">
                  <c:v>2015-16</c:v>
                </c:pt>
                <c:pt idx="1">
                  <c:v>2016-17</c:v>
                </c:pt>
                <c:pt idx="2">
                  <c:v>2017-18</c:v>
                </c:pt>
                <c:pt idx="3">
                  <c:v>2018-19</c:v>
                </c:pt>
                <c:pt idx="4">
                  <c:v>2019-20</c:v>
                </c:pt>
              </c:strCache>
            </c:strRef>
          </c:cat>
          <c:val>
            <c:numRef>
              <c:f>EH_Referrals!$AS$63:$AW$63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5222-4777-BB30-B93521CD3446}"/>
            </c:ext>
          </c:extLst>
        </c:ser>
        <c:dLbls>
          <c:showLegendKey val="0"/>
          <c:showVal val="0"/>
          <c:showCatName val="0"/>
          <c:showSerName val="0"/>
          <c:showPercent val="0"/>
          <c:showBubbleSize val="0"/>
        </c:dLbls>
        <c:marker val="1"/>
        <c:smooth val="0"/>
        <c:axId val="510879616"/>
        <c:axId val="510894080"/>
      </c:lineChart>
      <c:catAx>
        <c:axId val="510879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0894080"/>
        <c:crosses val="autoZero"/>
        <c:auto val="1"/>
        <c:lblAlgn val="ctr"/>
        <c:lblOffset val="100"/>
        <c:tickLblSkip val="1"/>
        <c:tickMarkSkip val="1"/>
        <c:noMultiLvlLbl val="0"/>
      </c:catAx>
      <c:valAx>
        <c:axId val="51089408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087961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29488554198079836"/>
          <c:h val="0.9109769612131817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latin typeface="Arial" panose="020B0604020202020204" pitchFamily="34" charset="0"/>
                <a:cs typeface="Arial" panose="020B0604020202020204" pitchFamily="34" charset="0"/>
              </a:defRPr>
            </a:pPr>
            <a:r>
              <a:rPr lang="en-GB" sz="1000">
                <a:latin typeface="Arial" panose="020B0604020202020204" pitchFamily="34" charset="0"/>
                <a:cs typeface="Arial" panose="020B0604020202020204" pitchFamily="34" charset="0"/>
              </a:rPr>
              <a:t>% LAC in each Age Group</a:t>
            </a:r>
          </a:p>
        </c:rich>
      </c:tx>
      <c:layout>
        <c:manualLayout>
          <c:xMode val="edge"/>
          <c:yMode val="edge"/>
          <c:x val="0.21636141636141637"/>
          <c:y val="2.3429234807187563E-2"/>
        </c:manualLayout>
      </c:layout>
      <c:overlay val="1"/>
    </c:title>
    <c:autoTitleDeleted val="0"/>
    <c:plotArea>
      <c:layout>
        <c:manualLayout>
          <c:layoutTarget val="inner"/>
          <c:xMode val="edge"/>
          <c:yMode val="edge"/>
          <c:x val="2.7777777777777776E-2"/>
          <c:y val="7.8101764178211894E-2"/>
          <c:w val="0.94444444444444442"/>
          <c:h val="0.77626113160975652"/>
        </c:manualLayout>
      </c:layout>
      <c:barChart>
        <c:barDir val="bar"/>
        <c:grouping val="percentStacked"/>
        <c:varyColors val="0"/>
        <c:ser>
          <c:idx val="3"/>
          <c:order val="5"/>
          <c:tx>
            <c:strRef>
              <c:f>'Looked After Children'!$Z$4</c:f>
              <c:strCache>
                <c:ptCount val="1"/>
                <c:pt idx="0">
                  <c:v>(none)</c:v>
                </c:pt>
              </c:strCache>
            </c:strRef>
          </c:tx>
          <c:spPr>
            <a:solidFill>
              <a:srgbClr val="66FF99"/>
            </a:solidFill>
            <a:ln>
              <a:solidFill>
                <a:schemeClr val="tx1"/>
              </a:solidFill>
            </a:ln>
          </c:spPr>
          <c:invertIfNegative val="0"/>
          <c:val>
            <c:numRef>
              <c:f>'Looked After Children'!$AE$291:$AE$314</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6220-4A3B-8F19-BE63CFA696D6}"/>
            </c:ext>
          </c:extLst>
        </c:ser>
        <c:dLbls>
          <c:showLegendKey val="0"/>
          <c:showVal val="0"/>
          <c:showCatName val="0"/>
          <c:showSerName val="0"/>
          <c:showPercent val="0"/>
          <c:showBubbleSize val="0"/>
        </c:dLbls>
        <c:gapWidth val="0"/>
        <c:overlap val="100"/>
        <c:axId val="601903104"/>
        <c:axId val="601904640"/>
      </c:barChart>
      <c:barChart>
        <c:barDir val="bar"/>
        <c:grouping val="percentStacked"/>
        <c:varyColors val="0"/>
        <c:ser>
          <c:idx val="0"/>
          <c:order val="0"/>
          <c:tx>
            <c:strRef>
              <c:f>'Looked After Children'!$I$290</c:f>
              <c:strCache>
                <c:ptCount val="1"/>
                <c:pt idx="0">
                  <c:v> &lt;1</c:v>
                </c:pt>
              </c:strCache>
            </c:strRef>
          </c:tx>
          <c:spPr>
            <a:solidFill>
              <a:srgbClr val="BC3E7D"/>
            </a:solidFill>
            <a:ln w="12700">
              <a:solidFill>
                <a:srgbClr val="000000"/>
              </a:solidFill>
              <a:prstDash val="solid"/>
            </a:ln>
          </c:spPr>
          <c:invertIfNegative val="0"/>
          <c:cat>
            <c:strRef>
              <c:f>'Looked After Children'!$B$291:$B$314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Children'!$I$291:$I$314</c:f>
              <c:numCache>
                <c:formatCode>0%</c:formatCode>
                <c:ptCount val="24"/>
                <c:pt idx="0">
                  <c:v>5.6338028169014086E-2</c:v>
                </c:pt>
                <c:pt idx="1">
                  <c:v>4.0540540540540543E-2</c:v>
                </c:pt>
                <c:pt idx="2">
                  <c:v>5.9917355371900828E-2</c:v>
                </c:pt>
                <c:pt idx="3">
                  <c:v>4.0540540540540543E-2</c:v>
                </c:pt>
                <c:pt idx="4">
                  <c:v>4.307116104868914E-2</c:v>
                </c:pt>
                <c:pt idx="5">
                  <c:v>3.0303030303030304E-2</c:v>
                </c:pt>
                <c:pt idx="6">
                  <c:v>4.1505257332595462E-2</c:v>
                </c:pt>
                <c:pt idx="7">
                  <c:v>6.5727699530516437E-2</c:v>
                </c:pt>
                <c:pt idx="8">
                  <c:v>5.4590570719602979E-2</c:v>
                </c:pt>
                <c:pt idx="9">
                  <c:v>3.7809647979139507E-2</c:v>
                </c:pt>
                <c:pt idx="10">
                  <c:v>5.7939914163090127E-2</c:v>
                </c:pt>
                <c:pt idx="11">
                  <c:v>4.642857142857143E-2</c:v>
                </c:pt>
                <c:pt idx="12">
                  <c:v>5.6122448979591837E-2</c:v>
                </c:pt>
                <c:pt idx="13">
                  <c:v>6.6162570888468802E-2</c:v>
                </c:pt>
                <c:pt idx="14">
                  <c:v>5.9670781893004114E-2</c:v>
                </c:pt>
                <c:pt idx="15">
                  <c:v>3.9755351681957186E-2</c:v>
                </c:pt>
                <c:pt idx="16">
                  <c:v>5.9800664451827246E-2</c:v>
                </c:pt>
                <c:pt idx="17">
                  <c:v>5.6022408963585436E-2</c:v>
                </c:pt>
                <c:pt idx="18">
                  <c:v>4.4585987261146494E-2</c:v>
                </c:pt>
                <c:pt idx="19">
                  <c:v>5.8168316831683171E-2</c:v>
                </c:pt>
                <c:pt idx="20">
                  <c:v>0</c:v>
                </c:pt>
                <c:pt idx="21">
                  <c:v>0</c:v>
                </c:pt>
                <c:pt idx="22">
                  <c:v>4.6934865900383142E-2</c:v>
                </c:pt>
                <c:pt idx="23">
                  <c:v>5.1573426573426576E-2</c:v>
                </c:pt>
              </c:numCache>
            </c:numRef>
          </c:val>
          <c:extLst>
            <c:ext xmlns:c16="http://schemas.microsoft.com/office/drawing/2014/chart" uri="{C3380CC4-5D6E-409C-BE32-E72D297353CC}">
              <c16:uniqueId val="{00000001-6220-4A3B-8F19-BE63CFA696D6}"/>
            </c:ext>
          </c:extLst>
        </c:ser>
        <c:ser>
          <c:idx val="1"/>
          <c:order val="1"/>
          <c:tx>
            <c:strRef>
              <c:f>'Looked After Children'!$J$290</c:f>
              <c:strCache>
                <c:ptCount val="1"/>
                <c:pt idx="0">
                  <c:v> 1 - 4    </c:v>
                </c:pt>
              </c:strCache>
            </c:strRef>
          </c:tx>
          <c:spPr>
            <a:solidFill>
              <a:srgbClr val="FB994F"/>
            </a:solidFill>
            <a:ln w="12700">
              <a:solidFill>
                <a:srgbClr val="000000"/>
              </a:solidFill>
              <a:prstDash val="solid"/>
            </a:ln>
          </c:spPr>
          <c:invertIfNegative val="0"/>
          <c:cat>
            <c:strRef>
              <c:f>'Looked After Children'!$B$291:$B$314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Children'!$J$291:$J$314</c:f>
              <c:numCache>
                <c:formatCode>0%</c:formatCode>
                <c:ptCount val="24"/>
                <c:pt idx="0">
                  <c:v>4.9295774647887321E-2</c:v>
                </c:pt>
                <c:pt idx="1">
                  <c:v>0.11891891891891893</c:v>
                </c:pt>
                <c:pt idx="2">
                  <c:v>0.1012396694214876</c:v>
                </c:pt>
                <c:pt idx="3">
                  <c:v>0.12162162162162163</c:v>
                </c:pt>
                <c:pt idx="4">
                  <c:v>9.7378277153558054E-2</c:v>
                </c:pt>
                <c:pt idx="5">
                  <c:v>0.16287878787878787</c:v>
                </c:pt>
                <c:pt idx="6">
                  <c:v>6.2534587714443826E-2</c:v>
                </c:pt>
                <c:pt idx="7">
                  <c:v>0.11737089201877934</c:v>
                </c:pt>
                <c:pt idx="8">
                  <c:v>0.17617866004962779</c:v>
                </c:pt>
                <c:pt idx="9">
                  <c:v>0.10951760104302477</c:v>
                </c:pt>
                <c:pt idx="10">
                  <c:v>8.5836909871244635E-2</c:v>
                </c:pt>
                <c:pt idx="11">
                  <c:v>0.11428571428571428</c:v>
                </c:pt>
                <c:pt idx="12">
                  <c:v>0.15816326530612246</c:v>
                </c:pt>
                <c:pt idx="13">
                  <c:v>0.1323251417769376</c:v>
                </c:pt>
                <c:pt idx="14">
                  <c:v>9.6707818930041156E-2</c:v>
                </c:pt>
                <c:pt idx="15">
                  <c:v>9.3781855249745152E-2</c:v>
                </c:pt>
                <c:pt idx="16">
                  <c:v>0.11627906976744186</c:v>
                </c:pt>
                <c:pt idx="17">
                  <c:v>0.13445378151260504</c:v>
                </c:pt>
                <c:pt idx="18">
                  <c:v>7.6433121019108277E-2</c:v>
                </c:pt>
                <c:pt idx="19">
                  <c:v>0.13861386138613863</c:v>
                </c:pt>
                <c:pt idx="20">
                  <c:v>0</c:v>
                </c:pt>
                <c:pt idx="21">
                  <c:v>0</c:v>
                </c:pt>
                <c:pt idx="22">
                  <c:v>0.10344827586206896</c:v>
                </c:pt>
                <c:pt idx="23">
                  <c:v>0.1354895104895105</c:v>
                </c:pt>
              </c:numCache>
            </c:numRef>
          </c:val>
          <c:extLst>
            <c:ext xmlns:c16="http://schemas.microsoft.com/office/drawing/2014/chart" uri="{C3380CC4-5D6E-409C-BE32-E72D297353CC}">
              <c16:uniqueId val="{00000002-6220-4A3B-8F19-BE63CFA696D6}"/>
            </c:ext>
          </c:extLst>
        </c:ser>
        <c:ser>
          <c:idx val="2"/>
          <c:order val="2"/>
          <c:tx>
            <c:strRef>
              <c:f>'Looked After Children'!$L$290</c:f>
              <c:strCache>
                <c:ptCount val="1"/>
                <c:pt idx="0">
                  <c:v> 5 - 9</c:v>
                </c:pt>
              </c:strCache>
            </c:strRef>
          </c:tx>
          <c:spPr>
            <a:solidFill>
              <a:srgbClr val="9999FF"/>
            </a:solidFill>
            <a:ln w="12700">
              <a:solidFill>
                <a:srgbClr val="000000"/>
              </a:solidFill>
              <a:prstDash val="solid"/>
            </a:ln>
          </c:spPr>
          <c:invertIfNegative val="0"/>
          <c:cat>
            <c:strRef>
              <c:f>'Looked After Children'!$B$291:$B$314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Children'!$L$291:$L$314</c:f>
              <c:numCache>
                <c:formatCode>0%</c:formatCode>
                <c:ptCount val="24"/>
                <c:pt idx="0">
                  <c:v>0.1619718309859155</c:v>
                </c:pt>
                <c:pt idx="1">
                  <c:v>0.13783783783783785</c:v>
                </c:pt>
                <c:pt idx="2">
                  <c:v>0.14049586776859505</c:v>
                </c:pt>
                <c:pt idx="3">
                  <c:v>0.21114864864864866</c:v>
                </c:pt>
                <c:pt idx="4">
                  <c:v>0.21535580524344569</c:v>
                </c:pt>
                <c:pt idx="5">
                  <c:v>0.25378787878787878</c:v>
                </c:pt>
                <c:pt idx="6">
                  <c:v>0.10514665190924184</c:v>
                </c:pt>
                <c:pt idx="7">
                  <c:v>0.176056338028169</c:v>
                </c:pt>
                <c:pt idx="8">
                  <c:v>0.17121588089330025</c:v>
                </c:pt>
                <c:pt idx="9">
                  <c:v>0.17861799217731422</c:v>
                </c:pt>
                <c:pt idx="10">
                  <c:v>0.14592274678111589</c:v>
                </c:pt>
                <c:pt idx="11">
                  <c:v>0.21785714285714286</c:v>
                </c:pt>
                <c:pt idx="12">
                  <c:v>0.15816326530612246</c:v>
                </c:pt>
                <c:pt idx="13">
                  <c:v>0.13043478260869565</c:v>
                </c:pt>
                <c:pt idx="14">
                  <c:v>0.21604938271604937</c:v>
                </c:pt>
                <c:pt idx="15">
                  <c:v>0.17125382262996941</c:v>
                </c:pt>
                <c:pt idx="16">
                  <c:v>0.19933554817275748</c:v>
                </c:pt>
                <c:pt idx="17">
                  <c:v>0.17086834733893558</c:v>
                </c:pt>
                <c:pt idx="18">
                  <c:v>0.11464968152866242</c:v>
                </c:pt>
                <c:pt idx="19">
                  <c:v>0.14480198019801979</c:v>
                </c:pt>
                <c:pt idx="20">
                  <c:v>0.17171717171717171</c:v>
                </c:pt>
                <c:pt idx="21">
                  <c:v>0.1951219512195122</c:v>
                </c:pt>
                <c:pt idx="22">
                  <c:v>0.16762452107279693</c:v>
                </c:pt>
                <c:pt idx="23">
                  <c:v>0.18356643356643357</c:v>
                </c:pt>
              </c:numCache>
            </c:numRef>
          </c:val>
          <c:extLst>
            <c:ext xmlns:c16="http://schemas.microsoft.com/office/drawing/2014/chart" uri="{C3380CC4-5D6E-409C-BE32-E72D297353CC}">
              <c16:uniqueId val="{00000003-6220-4A3B-8F19-BE63CFA696D6}"/>
            </c:ext>
          </c:extLst>
        </c:ser>
        <c:ser>
          <c:idx val="5"/>
          <c:order val="3"/>
          <c:tx>
            <c:strRef>
              <c:f>'Looked After Children'!$M$290</c:f>
              <c:strCache>
                <c:ptCount val="1"/>
                <c:pt idx="0">
                  <c:v> 10 - 15  </c:v>
                </c:pt>
              </c:strCache>
            </c:strRef>
          </c:tx>
          <c:spPr>
            <a:solidFill>
              <a:srgbClr val="FF99CC"/>
            </a:solidFill>
            <a:ln w="12700">
              <a:solidFill>
                <a:srgbClr val="000000"/>
              </a:solidFill>
              <a:prstDash val="solid"/>
            </a:ln>
          </c:spPr>
          <c:invertIfNegative val="0"/>
          <c:cat>
            <c:strRef>
              <c:f>'Looked After Children'!$B$291:$B$314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Children'!$M$291:$M$314</c:f>
              <c:numCache>
                <c:formatCode>0%</c:formatCode>
                <c:ptCount val="24"/>
                <c:pt idx="0">
                  <c:v>0.44366197183098594</c:v>
                </c:pt>
                <c:pt idx="1">
                  <c:v>0.42162162162162165</c:v>
                </c:pt>
                <c:pt idx="2">
                  <c:v>0.42975206611570249</c:v>
                </c:pt>
                <c:pt idx="3">
                  <c:v>0.40709459459459457</c:v>
                </c:pt>
                <c:pt idx="4">
                  <c:v>0.41760299625468167</c:v>
                </c:pt>
                <c:pt idx="5">
                  <c:v>0.375</c:v>
                </c:pt>
                <c:pt idx="6">
                  <c:v>0.39457664637520751</c:v>
                </c:pt>
                <c:pt idx="7">
                  <c:v>0.43896713615023475</c:v>
                </c:pt>
                <c:pt idx="8">
                  <c:v>0.35732009925558311</c:v>
                </c:pt>
                <c:pt idx="9">
                  <c:v>0.4041720990873533</c:v>
                </c:pt>
                <c:pt idx="10">
                  <c:v>0.37124463519313305</c:v>
                </c:pt>
                <c:pt idx="11">
                  <c:v>0.38571428571428573</c:v>
                </c:pt>
                <c:pt idx="12">
                  <c:v>0.39795918367346939</c:v>
                </c:pt>
                <c:pt idx="13">
                  <c:v>0.37996219281663518</c:v>
                </c:pt>
                <c:pt idx="14">
                  <c:v>0.44855967078189302</c:v>
                </c:pt>
                <c:pt idx="15">
                  <c:v>0.39041794087665649</c:v>
                </c:pt>
                <c:pt idx="16">
                  <c:v>0.37541528239202659</c:v>
                </c:pt>
                <c:pt idx="17">
                  <c:v>0.43977591036414565</c:v>
                </c:pt>
                <c:pt idx="18">
                  <c:v>0.4140127388535032</c:v>
                </c:pt>
                <c:pt idx="19">
                  <c:v>0.36881188118811881</c:v>
                </c:pt>
                <c:pt idx="20">
                  <c:v>0.47474747474747475</c:v>
                </c:pt>
                <c:pt idx="21">
                  <c:v>0.40243902439024393</c:v>
                </c:pt>
                <c:pt idx="22">
                  <c:v>0.40134099616858238</c:v>
                </c:pt>
                <c:pt idx="23">
                  <c:v>0.39173326673326675</c:v>
                </c:pt>
              </c:numCache>
            </c:numRef>
          </c:val>
          <c:extLst>
            <c:ext xmlns:c16="http://schemas.microsoft.com/office/drawing/2014/chart" uri="{C3380CC4-5D6E-409C-BE32-E72D297353CC}">
              <c16:uniqueId val="{00000004-6220-4A3B-8F19-BE63CFA696D6}"/>
            </c:ext>
          </c:extLst>
        </c:ser>
        <c:ser>
          <c:idx val="9"/>
          <c:order val="4"/>
          <c:tx>
            <c:strRef>
              <c:f>'Looked After Children'!$N$290</c:f>
              <c:strCache>
                <c:ptCount val="1"/>
                <c:pt idx="0">
                  <c:v> 16 +</c:v>
                </c:pt>
              </c:strCache>
            </c:strRef>
          </c:tx>
          <c:spPr>
            <a:solidFill>
              <a:srgbClr val="9B4719"/>
            </a:solidFill>
            <a:ln w="12700">
              <a:solidFill>
                <a:srgbClr val="000000"/>
              </a:solidFill>
              <a:prstDash val="solid"/>
            </a:ln>
          </c:spPr>
          <c:invertIfNegative val="0"/>
          <c:cat>
            <c:strRef>
              <c:f>'Looked After Children'!$B$291:$B$314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Children'!$N$291:$N$314</c:f>
              <c:numCache>
                <c:formatCode>0%</c:formatCode>
                <c:ptCount val="24"/>
                <c:pt idx="0">
                  <c:v>0.28873239436619719</c:v>
                </c:pt>
                <c:pt idx="1">
                  <c:v>0.2810810810810811</c:v>
                </c:pt>
                <c:pt idx="2">
                  <c:v>0.26859504132231404</c:v>
                </c:pt>
                <c:pt idx="3">
                  <c:v>0.2195945945945946</c:v>
                </c:pt>
                <c:pt idx="4">
                  <c:v>0.22659176029962547</c:v>
                </c:pt>
                <c:pt idx="5">
                  <c:v>0.17803030303030304</c:v>
                </c:pt>
                <c:pt idx="6">
                  <c:v>0.39623685666851133</c:v>
                </c:pt>
                <c:pt idx="7">
                  <c:v>0.20187793427230047</c:v>
                </c:pt>
                <c:pt idx="8">
                  <c:v>0.24069478908188585</c:v>
                </c:pt>
                <c:pt idx="9">
                  <c:v>0.26988265971316816</c:v>
                </c:pt>
                <c:pt idx="10">
                  <c:v>0.33905579399141633</c:v>
                </c:pt>
                <c:pt idx="11">
                  <c:v>0.23571428571428571</c:v>
                </c:pt>
                <c:pt idx="12">
                  <c:v>0.22959183673469388</c:v>
                </c:pt>
                <c:pt idx="13">
                  <c:v>0.29111531190926276</c:v>
                </c:pt>
                <c:pt idx="14">
                  <c:v>0.17901234567901234</c:v>
                </c:pt>
                <c:pt idx="15">
                  <c:v>0.30479102956167176</c:v>
                </c:pt>
                <c:pt idx="16">
                  <c:v>0.24916943521594684</c:v>
                </c:pt>
                <c:pt idx="17">
                  <c:v>0.19887955182072828</c:v>
                </c:pt>
                <c:pt idx="18">
                  <c:v>0.3503184713375796</c:v>
                </c:pt>
                <c:pt idx="19">
                  <c:v>0.28960396039603958</c:v>
                </c:pt>
                <c:pt idx="20">
                  <c:v>0.35353535353535354</c:v>
                </c:pt>
                <c:pt idx="21">
                  <c:v>0.40243902439024393</c:v>
                </c:pt>
                <c:pt idx="22">
                  <c:v>0.28065134099616856</c:v>
                </c:pt>
                <c:pt idx="23">
                  <c:v>0.23763736263736263</c:v>
                </c:pt>
              </c:numCache>
            </c:numRef>
          </c:val>
          <c:extLst>
            <c:ext xmlns:c16="http://schemas.microsoft.com/office/drawing/2014/chart" uri="{C3380CC4-5D6E-409C-BE32-E72D297353CC}">
              <c16:uniqueId val="{00000005-6220-4A3B-8F19-BE63CFA696D6}"/>
            </c:ext>
          </c:extLst>
        </c:ser>
        <c:dLbls>
          <c:showLegendKey val="0"/>
          <c:showVal val="0"/>
          <c:showCatName val="0"/>
          <c:showSerName val="0"/>
          <c:showPercent val="0"/>
          <c:showBubbleSize val="0"/>
        </c:dLbls>
        <c:gapWidth val="50"/>
        <c:overlap val="100"/>
        <c:axId val="601907968"/>
        <c:axId val="601906176"/>
      </c:barChart>
      <c:catAx>
        <c:axId val="601903104"/>
        <c:scaling>
          <c:orientation val="maxMin"/>
        </c:scaling>
        <c:delete val="1"/>
        <c:axPos val="l"/>
        <c:majorGridlines>
          <c:spPr>
            <a:ln>
              <a:noFill/>
              <a:prstDash val="sysDash"/>
            </a:ln>
          </c:spPr>
        </c:majorGridlines>
        <c:numFmt formatCode="General" sourceLinked="1"/>
        <c:majorTickMark val="out"/>
        <c:minorTickMark val="none"/>
        <c:tickLblPos val="nextTo"/>
        <c:crossAx val="601904640"/>
        <c:crosses val="autoZero"/>
        <c:auto val="1"/>
        <c:lblAlgn val="ctr"/>
        <c:lblOffset val="100"/>
        <c:noMultiLvlLbl val="0"/>
      </c:catAx>
      <c:valAx>
        <c:axId val="601904640"/>
        <c:scaling>
          <c:orientation val="minMax"/>
          <c:max val="1"/>
        </c:scaling>
        <c:delete val="0"/>
        <c:axPos val="b"/>
        <c:majorGridlines>
          <c:spPr>
            <a:ln>
              <a:prstDash val="sysDash"/>
            </a:ln>
          </c:spPr>
        </c:majorGridlines>
        <c:numFmt formatCode="0%" sourceLinked="1"/>
        <c:majorTickMark val="out"/>
        <c:minorTickMark val="none"/>
        <c:tickLblPos val="nextTo"/>
        <c:txPr>
          <a:bodyPr rot="5400000" vert="horz"/>
          <a:lstStyle/>
          <a:p>
            <a:pPr>
              <a:defRPr sz="800" b="0">
                <a:latin typeface="Arial" panose="020B0604020202020204" pitchFamily="34" charset="0"/>
                <a:cs typeface="Arial" panose="020B0604020202020204" pitchFamily="34" charset="0"/>
              </a:defRPr>
            </a:pPr>
            <a:endParaRPr lang="en-US"/>
          </a:p>
        </c:txPr>
        <c:crossAx val="601903104"/>
        <c:crosses val="max"/>
        <c:crossBetween val="between"/>
        <c:majorUnit val="0.2"/>
      </c:valAx>
      <c:valAx>
        <c:axId val="601906176"/>
        <c:scaling>
          <c:orientation val="minMax"/>
        </c:scaling>
        <c:delete val="1"/>
        <c:axPos val="b"/>
        <c:numFmt formatCode="0%" sourceLinked="1"/>
        <c:majorTickMark val="out"/>
        <c:minorTickMark val="none"/>
        <c:tickLblPos val="nextTo"/>
        <c:crossAx val="601907968"/>
        <c:crosses val="max"/>
        <c:crossBetween val="between"/>
      </c:valAx>
      <c:catAx>
        <c:axId val="601907968"/>
        <c:scaling>
          <c:orientation val="maxMin"/>
        </c:scaling>
        <c:delete val="1"/>
        <c:axPos val="r"/>
        <c:majorGridlines/>
        <c:numFmt formatCode="General" sourceLinked="0"/>
        <c:majorTickMark val="out"/>
        <c:minorTickMark val="none"/>
        <c:tickLblPos val="nextTo"/>
        <c:crossAx val="601906176"/>
        <c:crosses val="max"/>
        <c:auto val="1"/>
        <c:lblAlgn val="ctr"/>
        <c:lblOffset val="100"/>
        <c:noMultiLvlLbl val="0"/>
      </c:catAx>
      <c:spPr>
        <a:noFill/>
        <a:ln w="3175">
          <a:solidFill>
            <a:schemeClr val="tx1">
              <a:lumMod val="50000"/>
              <a:lumOff val="50000"/>
            </a:schemeClr>
          </a:solidFill>
          <a:prstDash val="solid"/>
        </a:ln>
      </c:spPr>
    </c:plotArea>
    <c:legend>
      <c:legendPos val="t"/>
      <c:layout>
        <c:manualLayout>
          <c:xMode val="edge"/>
          <c:yMode val="edge"/>
          <c:x val="0"/>
          <c:y val="0.90441798639904314"/>
          <c:w val="1"/>
          <c:h val="9.5582013600956889E-2"/>
        </c:manualLayout>
      </c:layout>
      <c:overlay val="0"/>
      <c:spPr>
        <a:ln>
          <a:noFill/>
        </a:ln>
      </c:spPr>
      <c:txPr>
        <a:bodyPr/>
        <a:lstStyle/>
        <a:p>
          <a:pPr>
            <a:defRPr sz="900" b="0" i="0" u="none" strike="noStrike" baseline="0">
              <a:solidFill>
                <a:srgbClr val="000000"/>
              </a:solidFill>
              <a:latin typeface="Arial"/>
              <a:ea typeface="Arial"/>
              <a:cs typeface="Arial"/>
            </a:defRPr>
          </a:pPr>
          <a:endParaRPr lang="en-US"/>
        </a:p>
      </c:txPr>
    </c:legend>
    <c:plotVisOnly val="0"/>
    <c:dispBlanksAs val="zero"/>
    <c:showDLblsOverMax val="0"/>
  </c:chart>
  <c:spPr>
    <a:solidFill>
      <a:schemeClr val="bg1"/>
    </a:solidFill>
    <a:ln w="3175">
      <a:solidFill>
        <a:schemeClr val="tx1">
          <a:lumMod val="50000"/>
          <a:lumOff val="50000"/>
        </a:schemeClr>
      </a:solidFill>
      <a:prstDash val="solid"/>
    </a:ln>
  </c:spPr>
  <c:printSettings>
    <c:headerFooter alignWithMargins="0"/>
    <c:pageMargins b="1" l="0.750000000000004" r="0.750000000000004" t="1" header="0.5" footer="0.5"/>
    <c:pageSetup orientation="portrait"/>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Under 1</a:t>
            </a:r>
          </a:p>
        </c:rich>
      </c:tx>
      <c:layout>
        <c:manualLayout>
          <c:xMode val="edge"/>
          <c:yMode val="edge"/>
          <c:x val="0.25363534648193381"/>
          <c:y val="0"/>
        </c:manualLayout>
      </c:layout>
      <c:overlay val="1"/>
    </c:title>
    <c:autoTitleDeleted val="0"/>
    <c:plotArea>
      <c:layout>
        <c:manualLayout>
          <c:layoutTarget val="inner"/>
          <c:xMode val="edge"/>
          <c:yMode val="edge"/>
          <c:x val="7.4722072135237141E-2"/>
          <c:y val="3.5424470246303956E-2"/>
          <c:w val="0.85055585572952574"/>
          <c:h val="0.8550698198500315"/>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Children'!$B$326:$B$349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Children'!$AE$326:$AE$349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B908-41C1-9B39-0194F407F3CB}"/>
            </c:ext>
          </c:extLst>
        </c:ser>
        <c:dLbls>
          <c:showLegendKey val="0"/>
          <c:showVal val="0"/>
          <c:showCatName val="0"/>
          <c:showSerName val="0"/>
          <c:showPercent val="0"/>
          <c:showBubbleSize val="0"/>
        </c:dLbls>
        <c:gapWidth val="0"/>
        <c:overlap val="100"/>
        <c:axId val="601937024"/>
        <c:axId val="601938560"/>
      </c:barChart>
      <c:barChart>
        <c:barDir val="bar"/>
        <c:grouping val="clustered"/>
        <c:varyColors val="0"/>
        <c:ser>
          <c:idx val="0"/>
          <c:order val="0"/>
          <c:tx>
            <c:strRef>
              <c:f>'Looked After Children'!$D$325</c:f>
              <c:strCache>
                <c:ptCount val="1"/>
                <c:pt idx="0">
                  <c:v>Under 1</c:v>
                </c:pt>
              </c:strCache>
            </c:strRef>
          </c:tx>
          <c:spPr>
            <a:solidFill>
              <a:srgbClr val="BC3E7D"/>
            </a:solidFill>
            <a:ln w="12700">
              <a:solidFill>
                <a:srgbClr val="000000"/>
              </a:solidFill>
              <a:prstDash val="solid"/>
            </a:ln>
          </c:spPr>
          <c:invertIfNegative val="0"/>
          <c:cat>
            <c:strRef>
              <c:f>'Looked After Children'!$B$326:$B$349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Children'!$D$326:$D$349</c:f>
              <c:numCache>
                <c:formatCode>0.0</c:formatCode>
                <c:ptCount val="24"/>
                <c:pt idx="0">
                  <c:v>58.737151248164459</c:v>
                </c:pt>
                <c:pt idx="1">
                  <c:v>61.957868649318463</c:v>
                </c:pt>
                <c:pt idx="2">
                  <c:v>49.905351918774741</c:v>
                </c:pt>
                <c:pt idx="3">
                  <c:v>50.377833753148614</c:v>
                </c:pt>
                <c:pt idx="4">
                  <c:v>51.251578400059422</c:v>
                </c:pt>
                <c:pt idx="5">
                  <c:v>71.301247771836003</c:v>
                </c:pt>
                <c:pt idx="6">
                  <c:v>44.605685738075415</c:v>
                </c:pt>
                <c:pt idx="7">
                  <c:v>80.367393800229621</c:v>
                </c:pt>
                <c:pt idx="8">
                  <c:v>64.440538957234921</c:v>
                </c:pt>
                <c:pt idx="9">
                  <c:v>39.115187483140005</c:v>
                </c:pt>
                <c:pt idx="10">
                  <c:v>118.26544021024968</c:v>
                </c:pt>
                <c:pt idx="11">
                  <c:v>61.032863849765256</c:v>
                </c:pt>
                <c:pt idx="12">
                  <c:v>46.531302876480538</c:v>
                </c:pt>
                <c:pt idx="13">
                  <c:v>67.737565318366563</c:v>
                </c:pt>
                <c:pt idx="14">
                  <c:v>98.20521503555706</c:v>
                </c:pt>
                <c:pt idx="15">
                  <c:v>30.696576151121604</c:v>
                </c:pt>
                <c:pt idx="16">
                  <c:v>68.807339449541288</c:v>
                </c:pt>
                <c:pt idx="17">
                  <c:v>159.23566878980893</c:v>
                </c:pt>
                <c:pt idx="18">
                  <c:v>45.484080571799865</c:v>
                </c:pt>
                <c:pt idx="19">
                  <c:v>55.720213396561945</c:v>
                </c:pt>
                <c:pt idx="20">
                  <c:v>0</c:v>
                </c:pt>
                <c:pt idx="21">
                  <c:v>0</c:v>
                </c:pt>
                <c:pt idx="22">
                  <c:v>51.134881294025568</c:v>
                </c:pt>
                <c:pt idx="23">
                  <c:v>66.735826312336584</c:v>
                </c:pt>
              </c:numCache>
            </c:numRef>
          </c:val>
          <c:extLst>
            <c:ext xmlns:c16="http://schemas.microsoft.com/office/drawing/2014/chart" uri="{C3380CC4-5D6E-409C-BE32-E72D297353CC}">
              <c16:uniqueId val="{00000001-B908-41C1-9B39-0194F407F3CB}"/>
            </c:ext>
          </c:extLst>
        </c:ser>
        <c:dLbls>
          <c:showLegendKey val="0"/>
          <c:showVal val="0"/>
          <c:showCatName val="0"/>
          <c:showSerName val="0"/>
          <c:showPercent val="0"/>
          <c:showBubbleSize val="0"/>
        </c:dLbls>
        <c:gapWidth val="40"/>
        <c:axId val="601940352"/>
        <c:axId val="601941888"/>
      </c:barChart>
      <c:catAx>
        <c:axId val="601937024"/>
        <c:scaling>
          <c:orientation val="maxMin"/>
        </c:scaling>
        <c:delete val="1"/>
        <c:axPos val="l"/>
        <c:majorGridlines/>
        <c:numFmt formatCode="General" sourceLinked="0"/>
        <c:majorTickMark val="out"/>
        <c:minorTickMark val="none"/>
        <c:tickLblPos val="nextTo"/>
        <c:crossAx val="601938560"/>
        <c:crosses val="autoZero"/>
        <c:auto val="1"/>
        <c:lblAlgn val="ctr"/>
        <c:lblOffset val="100"/>
        <c:noMultiLvlLbl val="0"/>
      </c:catAx>
      <c:valAx>
        <c:axId val="601938560"/>
        <c:scaling>
          <c:orientation val="minMax"/>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601937024"/>
        <c:crosses val="max"/>
        <c:crossBetween val="between"/>
      </c:valAx>
      <c:catAx>
        <c:axId val="601940352"/>
        <c:scaling>
          <c:orientation val="maxMin"/>
        </c:scaling>
        <c:delete val="1"/>
        <c:axPos val="l"/>
        <c:numFmt formatCode="General" sourceLinked="0"/>
        <c:majorTickMark val="out"/>
        <c:minorTickMark val="none"/>
        <c:tickLblPos val="nextTo"/>
        <c:crossAx val="601941888"/>
        <c:crosses val="autoZero"/>
        <c:auto val="1"/>
        <c:lblAlgn val="ctr"/>
        <c:lblOffset val="100"/>
        <c:noMultiLvlLbl val="0"/>
      </c:catAx>
      <c:valAx>
        <c:axId val="601941888"/>
        <c:scaling>
          <c:orientation val="minMax"/>
        </c:scaling>
        <c:delete val="1"/>
        <c:axPos val="t"/>
        <c:numFmt formatCode="0.0" sourceLinked="1"/>
        <c:majorTickMark val="out"/>
        <c:minorTickMark val="none"/>
        <c:tickLblPos val="nextTo"/>
        <c:crossAx val="601940352"/>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1-4</a:t>
            </a:r>
          </a:p>
        </c:rich>
      </c:tx>
      <c:layout>
        <c:manualLayout>
          <c:xMode val="edge"/>
          <c:yMode val="edge"/>
          <c:x val="0.38249214489337674"/>
          <c:y val="0"/>
        </c:manualLayout>
      </c:layout>
      <c:overlay val="1"/>
    </c:title>
    <c:autoTitleDeleted val="0"/>
    <c:plotArea>
      <c:layout>
        <c:manualLayout>
          <c:layoutTarget val="inner"/>
          <c:xMode val="edge"/>
          <c:yMode val="edge"/>
          <c:x val="6.3291139240506333E-2"/>
          <c:y val="3.6093341439664674E-2"/>
          <c:w val="0.85337539650698635"/>
          <c:h val="0.85473572191891689"/>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Children'!$Y$326:$Y$349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Children'!$AF$326:$AF$349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C456-44A5-A1FF-F45087354034}"/>
            </c:ext>
          </c:extLst>
        </c:ser>
        <c:dLbls>
          <c:showLegendKey val="0"/>
          <c:showVal val="0"/>
          <c:showCatName val="0"/>
          <c:showSerName val="0"/>
          <c:showPercent val="0"/>
          <c:showBubbleSize val="0"/>
        </c:dLbls>
        <c:gapWidth val="0"/>
        <c:overlap val="100"/>
        <c:axId val="601980288"/>
        <c:axId val="601990272"/>
      </c:barChart>
      <c:barChart>
        <c:barDir val="bar"/>
        <c:grouping val="clustered"/>
        <c:varyColors val="0"/>
        <c:ser>
          <c:idx val="0"/>
          <c:order val="0"/>
          <c:tx>
            <c:strRef>
              <c:f>'Looked After Children'!$E$325</c:f>
              <c:strCache>
                <c:ptCount val="1"/>
                <c:pt idx="0">
                  <c:v>      1 - 4    </c:v>
                </c:pt>
              </c:strCache>
            </c:strRef>
          </c:tx>
          <c:spPr>
            <a:solidFill>
              <a:srgbClr val="FB994F"/>
            </a:solidFill>
            <a:ln w="12700">
              <a:solidFill>
                <a:srgbClr val="000000"/>
              </a:solidFill>
              <a:prstDash val="solid"/>
            </a:ln>
          </c:spPr>
          <c:invertIfNegative val="0"/>
          <c:cat>
            <c:strRef>
              <c:f>'Looked After Children'!$Y$326:$Y$349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Children'!$E$326:$E$349</c:f>
              <c:numCache>
                <c:formatCode>0.0</c:formatCode>
                <c:ptCount val="24"/>
                <c:pt idx="0">
                  <c:v>11.854360711261641</c:v>
                </c:pt>
                <c:pt idx="1">
                  <c:v>40.329972502291476</c:v>
                </c:pt>
                <c:pt idx="2">
                  <c:v>18.540941425760558</c:v>
                </c:pt>
                <c:pt idx="3">
                  <c:v>32.986667888395104</c:v>
                </c:pt>
                <c:pt idx="4">
                  <c:v>26.094811147168045</c:v>
                </c:pt>
                <c:pt idx="5">
                  <c:v>84.346802667712822</c:v>
                </c:pt>
                <c:pt idx="6">
                  <c:v>15.256868966448389</c:v>
                </c:pt>
                <c:pt idx="7">
                  <c:v>33.688182185689257</c:v>
                </c:pt>
                <c:pt idx="8">
                  <c:v>46.520770541213473</c:v>
                </c:pt>
                <c:pt idx="9">
                  <c:v>26.235242675994755</c:v>
                </c:pt>
                <c:pt idx="10">
                  <c:v>40.286030818813579</c:v>
                </c:pt>
                <c:pt idx="11">
                  <c:v>34.938312042799431</c:v>
                </c:pt>
                <c:pt idx="12">
                  <c:v>30.126336248785229</c:v>
                </c:pt>
                <c:pt idx="13">
                  <c:v>30.022302281694973</c:v>
                </c:pt>
                <c:pt idx="14">
                  <c:v>37.772241420879212</c:v>
                </c:pt>
                <c:pt idx="15">
                  <c:v>16.214025131738953</c:v>
                </c:pt>
                <c:pt idx="16">
                  <c:v>30.339805825242717</c:v>
                </c:pt>
                <c:pt idx="17">
                  <c:v>87.639218550301251</c:v>
                </c:pt>
                <c:pt idx="18">
                  <c:v>16.524373450839988</c:v>
                </c:pt>
                <c:pt idx="19">
                  <c:v>29.689322447248436</c:v>
                </c:pt>
                <c:pt idx="20">
                  <c:v>0</c:v>
                </c:pt>
                <c:pt idx="21">
                  <c:v>0</c:v>
                </c:pt>
                <c:pt idx="22">
                  <c:v>25.420497394399018</c:v>
                </c:pt>
                <c:pt idx="23">
                  <c:v>40.473310183345966</c:v>
                </c:pt>
              </c:numCache>
            </c:numRef>
          </c:val>
          <c:extLst>
            <c:ext xmlns:c16="http://schemas.microsoft.com/office/drawing/2014/chart" uri="{C3380CC4-5D6E-409C-BE32-E72D297353CC}">
              <c16:uniqueId val="{00000001-C456-44A5-A1FF-F45087354034}"/>
            </c:ext>
          </c:extLst>
        </c:ser>
        <c:dLbls>
          <c:showLegendKey val="0"/>
          <c:showVal val="0"/>
          <c:showCatName val="0"/>
          <c:showSerName val="0"/>
          <c:showPercent val="0"/>
          <c:showBubbleSize val="0"/>
        </c:dLbls>
        <c:gapWidth val="40"/>
        <c:axId val="601991808"/>
        <c:axId val="601993600"/>
      </c:barChart>
      <c:catAx>
        <c:axId val="601980288"/>
        <c:scaling>
          <c:orientation val="maxMin"/>
        </c:scaling>
        <c:delete val="1"/>
        <c:axPos val="l"/>
        <c:majorGridlines/>
        <c:numFmt formatCode="General" sourceLinked="0"/>
        <c:majorTickMark val="out"/>
        <c:minorTickMark val="none"/>
        <c:tickLblPos val="nextTo"/>
        <c:crossAx val="601990272"/>
        <c:crosses val="autoZero"/>
        <c:auto val="1"/>
        <c:lblAlgn val="ctr"/>
        <c:lblOffset val="100"/>
        <c:noMultiLvlLbl val="0"/>
      </c:catAx>
      <c:valAx>
        <c:axId val="601990272"/>
        <c:scaling>
          <c:orientation val="minMax"/>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601980288"/>
        <c:crosses val="max"/>
        <c:crossBetween val="between"/>
      </c:valAx>
      <c:catAx>
        <c:axId val="601991808"/>
        <c:scaling>
          <c:orientation val="maxMin"/>
        </c:scaling>
        <c:delete val="1"/>
        <c:axPos val="l"/>
        <c:numFmt formatCode="General" sourceLinked="0"/>
        <c:majorTickMark val="out"/>
        <c:minorTickMark val="none"/>
        <c:tickLblPos val="nextTo"/>
        <c:crossAx val="601993600"/>
        <c:crosses val="autoZero"/>
        <c:auto val="1"/>
        <c:lblAlgn val="ctr"/>
        <c:lblOffset val="100"/>
        <c:noMultiLvlLbl val="0"/>
      </c:catAx>
      <c:valAx>
        <c:axId val="601993600"/>
        <c:scaling>
          <c:orientation val="minMax"/>
        </c:scaling>
        <c:delete val="1"/>
        <c:axPos val="t"/>
        <c:numFmt formatCode="0.0" sourceLinked="1"/>
        <c:majorTickMark val="out"/>
        <c:minorTickMark val="none"/>
        <c:tickLblPos val="nextTo"/>
        <c:crossAx val="601991808"/>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5-9</a:t>
            </a:r>
          </a:p>
        </c:rich>
      </c:tx>
      <c:layout>
        <c:manualLayout>
          <c:xMode val="edge"/>
          <c:yMode val="edge"/>
          <c:x val="0.40666873150381211"/>
          <c:y val="0"/>
        </c:manualLayout>
      </c:layout>
      <c:overlay val="1"/>
    </c:title>
    <c:autoTitleDeleted val="0"/>
    <c:plotArea>
      <c:layout>
        <c:manualLayout>
          <c:layoutTarget val="inner"/>
          <c:xMode val="edge"/>
          <c:yMode val="edge"/>
          <c:x val="6.3291139240506333E-2"/>
          <c:y val="3.6093348575875477E-2"/>
          <c:w val="0.85609092334103243"/>
          <c:h val="0.85438925706837243"/>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Children'!$Y$326:$Y$349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Children'!$AG$326:$AG$349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3AD9-49D8-AE93-529236BDFA19}"/>
            </c:ext>
          </c:extLst>
        </c:ser>
        <c:dLbls>
          <c:showLegendKey val="0"/>
          <c:showVal val="0"/>
          <c:showCatName val="0"/>
          <c:showSerName val="0"/>
          <c:showPercent val="0"/>
          <c:showBubbleSize val="0"/>
        </c:dLbls>
        <c:gapWidth val="0"/>
        <c:overlap val="100"/>
        <c:axId val="602023424"/>
        <c:axId val="602024960"/>
      </c:barChart>
      <c:barChart>
        <c:barDir val="bar"/>
        <c:grouping val="clustered"/>
        <c:varyColors val="0"/>
        <c:ser>
          <c:idx val="0"/>
          <c:order val="0"/>
          <c:tx>
            <c:strRef>
              <c:f>'Looked After Children'!$F$325</c:f>
              <c:strCache>
                <c:ptCount val="1"/>
                <c:pt idx="0">
                  <c:v>      5 - 9    </c:v>
                </c:pt>
              </c:strCache>
            </c:strRef>
          </c:tx>
          <c:spPr>
            <a:solidFill>
              <a:srgbClr val="9999FF"/>
            </a:solidFill>
            <a:ln w="12700">
              <a:solidFill>
                <a:srgbClr val="000000"/>
              </a:solidFill>
              <a:prstDash val="solid"/>
            </a:ln>
          </c:spPr>
          <c:invertIfNegative val="0"/>
          <c:cat>
            <c:strRef>
              <c:f>'Looked After Children'!$B$326:$B$349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Children'!$F$326:$F$349</c:f>
              <c:numCache>
                <c:formatCode>0.0</c:formatCode>
                <c:ptCount val="24"/>
                <c:pt idx="0">
                  <c:v>27.926177756192327</c:v>
                </c:pt>
                <c:pt idx="1">
                  <c:v>35.323452001662275</c:v>
                </c:pt>
                <c:pt idx="2">
                  <c:v>18.378875104732561</c:v>
                </c:pt>
                <c:pt idx="3">
                  <c:v>40.262835792050502</c:v>
                </c:pt>
                <c:pt idx="4">
                  <c:v>41.160609892863114</c:v>
                </c:pt>
                <c:pt idx="5">
                  <c:v>93.418851087562743</c:v>
                </c:pt>
                <c:pt idx="6">
                  <c:v>18.91827306037916</c:v>
                </c:pt>
                <c:pt idx="7">
                  <c:v>39.252629926205053</c:v>
                </c:pt>
                <c:pt idx="8">
                  <c:v>32.706071953358297</c:v>
                </c:pt>
                <c:pt idx="9">
                  <c:v>31.922825985646377</c:v>
                </c:pt>
                <c:pt idx="10">
                  <c:v>52.323791935980303</c:v>
                </c:pt>
                <c:pt idx="11">
                  <c:v>54.782218230803771</c:v>
                </c:pt>
                <c:pt idx="12">
                  <c:v>23.727516264829699</c:v>
                </c:pt>
                <c:pt idx="13">
                  <c:v>21.418593822753376</c:v>
                </c:pt>
                <c:pt idx="14">
                  <c:v>67.307692307692307</c:v>
                </c:pt>
                <c:pt idx="15">
                  <c:v>21.597716812794076</c:v>
                </c:pt>
                <c:pt idx="16">
                  <c:v>39.398515989231079</c:v>
                </c:pt>
                <c:pt idx="17">
                  <c:v>79.541009258051901</c:v>
                </c:pt>
                <c:pt idx="18">
                  <c:v>17.552413456850317</c:v>
                </c:pt>
                <c:pt idx="19">
                  <c:v>22.374359366633517</c:v>
                </c:pt>
                <c:pt idx="20">
                  <c:v>17.426960533059969</c:v>
                </c:pt>
                <c:pt idx="21">
                  <c:v>12.955465587044534</c:v>
                </c:pt>
                <c:pt idx="22">
                  <c:v>30.146685156633559</c:v>
                </c:pt>
                <c:pt idx="23">
                  <c:v>41.546478639174765</c:v>
                </c:pt>
              </c:numCache>
            </c:numRef>
          </c:val>
          <c:extLst>
            <c:ext xmlns:c16="http://schemas.microsoft.com/office/drawing/2014/chart" uri="{C3380CC4-5D6E-409C-BE32-E72D297353CC}">
              <c16:uniqueId val="{00000001-3AD9-49D8-AE93-529236BDFA19}"/>
            </c:ext>
          </c:extLst>
        </c:ser>
        <c:dLbls>
          <c:showLegendKey val="0"/>
          <c:showVal val="0"/>
          <c:showCatName val="0"/>
          <c:showSerName val="0"/>
          <c:showPercent val="0"/>
          <c:showBubbleSize val="0"/>
        </c:dLbls>
        <c:gapWidth val="40"/>
        <c:axId val="602030848"/>
        <c:axId val="602032384"/>
      </c:barChart>
      <c:catAx>
        <c:axId val="602023424"/>
        <c:scaling>
          <c:orientation val="maxMin"/>
        </c:scaling>
        <c:delete val="1"/>
        <c:axPos val="l"/>
        <c:majorGridlines/>
        <c:numFmt formatCode="General" sourceLinked="0"/>
        <c:majorTickMark val="out"/>
        <c:minorTickMark val="none"/>
        <c:tickLblPos val="nextTo"/>
        <c:crossAx val="602024960"/>
        <c:crosses val="autoZero"/>
        <c:auto val="1"/>
        <c:lblAlgn val="ctr"/>
        <c:lblOffset val="100"/>
        <c:noMultiLvlLbl val="0"/>
      </c:catAx>
      <c:valAx>
        <c:axId val="602024960"/>
        <c:scaling>
          <c:orientation val="minMax"/>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602023424"/>
        <c:crosses val="max"/>
        <c:crossBetween val="between"/>
      </c:valAx>
      <c:catAx>
        <c:axId val="602030848"/>
        <c:scaling>
          <c:orientation val="maxMin"/>
        </c:scaling>
        <c:delete val="1"/>
        <c:axPos val="l"/>
        <c:numFmt formatCode="General" sourceLinked="0"/>
        <c:majorTickMark val="out"/>
        <c:minorTickMark val="none"/>
        <c:tickLblPos val="nextTo"/>
        <c:crossAx val="602032384"/>
        <c:crosses val="autoZero"/>
        <c:auto val="1"/>
        <c:lblAlgn val="ctr"/>
        <c:lblOffset val="100"/>
        <c:noMultiLvlLbl val="0"/>
      </c:catAx>
      <c:valAx>
        <c:axId val="602032384"/>
        <c:scaling>
          <c:orientation val="minMax"/>
        </c:scaling>
        <c:delete val="1"/>
        <c:axPos val="t"/>
        <c:numFmt formatCode="0.0" sourceLinked="1"/>
        <c:majorTickMark val="out"/>
        <c:minorTickMark val="none"/>
        <c:tickLblPos val="nextTo"/>
        <c:crossAx val="602030848"/>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10-15</a:t>
            </a:r>
          </a:p>
        </c:rich>
      </c:tx>
      <c:layout>
        <c:manualLayout>
          <c:xMode val="edge"/>
          <c:yMode val="edge"/>
          <c:x val="0.33220635401345555"/>
          <c:y val="0"/>
        </c:manualLayout>
      </c:layout>
      <c:overlay val="1"/>
    </c:title>
    <c:autoTitleDeleted val="0"/>
    <c:plotArea>
      <c:layout>
        <c:manualLayout>
          <c:layoutTarget val="inner"/>
          <c:xMode val="edge"/>
          <c:yMode val="edge"/>
          <c:x val="6.3291139240506333E-2"/>
          <c:y val="3.6093341439664674E-2"/>
          <c:w val="0.84247785232402017"/>
          <c:h val="0.85438928311133167"/>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Children'!$Y$326:$Y$349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Children'!$AH$326:$AH$349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AC6F-4614-A7D2-3DA97D15B2A2}"/>
            </c:ext>
          </c:extLst>
        </c:ser>
        <c:dLbls>
          <c:showLegendKey val="0"/>
          <c:showVal val="0"/>
          <c:showCatName val="0"/>
          <c:showSerName val="0"/>
          <c:showPercent val="0"/>
          <c:showBubbleSize val="0"/>
        </c:dLbls>
        <c:gapWidth val="0"/>
        <c:overlap val="100"/>
        <c:axId val="602058752"/>
        <c:axId val="602060288"/>
      </c:barChart>
      <c:barChart>
        <c:barDir val="bar"/>
        <c:grouping val="clustered"/>
        <c:varyColors val="0"/>
        <c:ser>
          <c:idx val="0"/>
          <c:order val="0"/>
          <c:tx>
            <c:strRef>
              <c:f>'Looked After Children'!$G$325</c:f>
              <c:strCache>
                <c:ptCount val="1"/>
                <c:pt idx="0">
                  <c:v>   10 - 15  </c:v>
                </c:pt>
              </c:strCache>
            </c:strRef>
          </c:tx>
          <c:spPr>
            <a:solidFill>
              <a:srgbClr val="FF99CC"/>
            </a:solidFill>
            <a:ln w="12700">
              <a:solidFill>
                <a:srgbClr val="000000"/>
              </a:solidFill>
              <a:prstDash val="solid"/>
            </a:ln>
          </c:spPr>
          <c:invertIfNegative val="0"/>
          <c:cat>
            <c:strRef>
              <c:f>'Looked After Children'!$Y$326:$Y$349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Children'!$G$326:$G$349</c:f>
              <c:numCache>
                <c:formatCode>0.0</c:formatCode>
                <c:ptCount val="24"/>
                <c:pt idx="0">
                  <c:v>64.030897448927746</c:v>
                </c:pt>
                <c:pt idx="1">
                  <c:v>91.500967798697872</c:v>
                </c:pt>
                <c:pt idx="2">
                  <c:v>47.924058799133682</c:v>
                </c:pt>
                <c:pt idx="3">
                  <c:v>64.891354102156768</c:v>
                </c:pt>
                <c:pt idx="4">
                  <c:v>68.675255350818659</c:v>
                </c:pt>
                <c:pt idx="5">
                  <c:v>114.7294008575733</c:v>
                </c:pt>
                <c:pt idx="6">
                  <c:v>60.985519146715937</c:v>
                </c:pt>
                <c:pt idx="7">
                  <c:v>89.064583730234318</c:v>
                </c:pt>
                <c:pt idx="8">
                  <c:v>63.385861431464036</c:v>
                </c:pt>
                <c:pt idx="9">
                  <c:v>63.233044365119838</c:v>
                </c:pt>
                <c:pt idx="10">
                  <c:v>120.11386516697911</c:v>
                </c:pt>
                <c:pt idx="11">
                  <c:v>94.82001755926251</c:v>
                </c:pt>
                <c:pt idx="12">
                  <c:v>56.776823409521029</c:v>
                </c:pt>
                <c:pt idx="13">
                  <c:v>52.494123792112823</c:v>
                </c:pt>
                <c:pt idx="14">
                  <c:v>138.45665290568434</c:v>
                </c:pt>
                <c:pt idx="15">
                  <c:v>42.940108079018763</c:v>
                </c:pt>
                <c:pt idx="16">
                  <c:v>69.934397821512562</c:v>
                </c:pt>
                <c:pt idx="17">
                  <c:v>185.51341131986291</c:v>
                </c:pt>
                <c:pt idx="18">
                  <c:v>51.941825155825477</c:v>
                </c:pt>
                <c:pt idx="19">
                  <c:v>49.885330699566438</c:v>
                </c:pt>
                <c:pt idx="20">
                  <c:v>38.038200064745872</c:v>
                </c:pt>
                <c:pt idx="21">
                  <c:v>23.490888382687924</c:v>
                </c:pt>
                <c:pt idx="22">
                  <c:v>62.889305816135078</c:v>
                </c:pt>
                <c:pt idx="23">
                  <c:v>78.842153835945993</c:v>
                </c:pt>
              </c:numCache>
            </c:numRef>
          </c:val>
          <c:extLst>
            <c:ext xmlns:c16="http://schemas.microsoft.com/office/drawing/2014/chart" uri="{C3380CC4-5D6E-409C-BE32-E72D297353CC}">
              <c16:uniqueId val="{00000001-AC6F-4614-A7D2-3DA97D15B2A2}"/>
            </c:ext>
          </c:extLst>
        </c:ser>
        <c:dLbls>
          <c:showLegendKey val="0"/>
          <c:showVal val="0"/>
          <c:showCatName val="0"/>
          <c:showSerName val="0"/>
          <c:showPercent val="0"/>
          <c:showBubbleSize val="0"/>
        </c:dLbls>
        <c:gapWidth val="40"/>
        <c:axId val="602061824"/>
        <c:axId val="602075904"/>
      </c:barChart>
      <c:catAx>
        <c:axId val="602058752"/>
        <c:scaling>
          <c:orientation val="maxMin"/>
        </c:scaling>
        <c:delete val="1"/>
        <c:axPos val="l"/>
        <c:majorGridlines/>
        <c:numFmt formatCode="General" sourceLinked="0"/>
        <c:majorTickMark val="out"/>
        <c:minorTickMark val="none"/>
        <c:tickLblPos val="nextTo"/>
        <c:crossAx val="602060288"/>
        <c:crosses val="autoZero"/>
        <c:auto val="1"/>
        <c:lblAlgn val="ctr"/>
        <c:lblOffset val="100"/>
        <c:noMultiLvlLbl val="0"/>
      </c:catAx>
      <c:valAx>
        <c:axId val="602060288"/>
        <c:scaling>
          <c:orientation val="minMax"/>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602058752"/>
        <c:crosses val="max"/>
        <c:crossBetween val="between"/>
      </c:valAx>
      <c:catAx>
        <c:axId val="602061824"/>
        <c:scaling>
          <c:orientation val="maxMin"/>
        </c:scaling>
        <c:delete val="1"/>
        <c:axPos val="l"/>
        <c:numFmt formatCode="General" sourceLinked="0"/>
        <c:majorTickMark val="out"/>
        <c:minorTickMark val="none"/>
        <c:tickLblPos val="nextTo"/>
        <c:crossAx val="602075904"/>
        <c:crosses val="autoZero"/>
        <c:auto val="1"/>
        <c:lblAlgn val="ctr"/>
        <c:lblOffset val="100"/>
        <c:noMultiLvlLbl val="0"/>
      </c:catAx>
      <c:valAx>
        <c:axId val="602075904"/>
        <c:scaling>
          <c:orientation val="minMax"/>
        </c:scaling>
        <c:delete val="1"/>
        <c:axPos val="t"/>
        <c:numFmt formatCode="0.0" sourceLinked="1"/>
        <c:majorTickMark val="out"/>
        <c:minorTickMark val="none"/>
        <c:tickLblPos val="nextTo"/>
        <c:crossAx val="602061824"/>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16-17</a:t>
            </a:r>
          </a:p>
        </c:rich>
      </c:tx>
      <c:layout>
        <c:manualLayout>
          <c:xMode val="edge"/>
          <c:yMode val="edge"/>
          <c:x val="0.33207819044530873"/>
          <c:y val="0"/>
        </c:manualLayout>
      </c:layout>
      <c:overlay val="1"/>
    </c:title>
    <c:autoTitleDeleted val="0"/>
    <c:plotArea>
      <c:layout>
        <c:manualLayout>
          <c:layoutTarget val="inner"/>
          <c:xMode val="edge"/>
          <c:yMode val="edge"/>
          <c:x val="6.3291139240506333E-2"/>
          <c:y val="3.587487301726016E-2"/>
          <c:w val="0.8524475409375778"/>
          <c:h val="0.85456560643614388"/>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Children'!$Y$326:$Y$349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Children'!$AI$326:$AI$349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F71C-48DD-9688-3D6A3523A0F9}"/>
            </c:ext>
          </c:extLst>
        </c:ser>
        <c:dLbls>
          <c:showLegendKey val="0"/>
          <c:showVal val="0"/>
          <c:showCatName val="0"/>
          <c:showSerName val="0"/>
          <c:showPercent val="0"/>
          <c:showBubbleSize val="0"/>
        </c:dLbls>
        <c:gapWidth val="0"/>
        <c:overlap val="100"/>
        <c:axId val="601729280"/>
        <c:axId val="601731072"/>
      </c:barChart>
      <c:barChart>
        <c:barDir val="bar"/>
        <c:grouping val="clustered"/>
        <c:varyColors val="0"/>
        <c:ser>
          <c:idx val="0"/>
          <c:order val="0"/>
          <c:tx>
            <c:strRef>
              <c:f>'Looked After Children'!$H$325</c:f>
              <c:strCache>
                <c:ptCount val="1"/>
                <c:pt idx="0">
                  <c:v>16-17</c:v>
                </c:pt>
              </c:strCache>
            </c:strRef>
          </c:tx>
          <c:spPr>
            <a:solidFill>
              <a:srgbClr val="9B4719"/>
            </a:solidFill>
            <a:ln w="12700">
              <a:solidFill>
                <a:srgbClr val="000000"/>
              </a:solidFill>
              <a:prstDash val="solid"/>
            </a:ln>
          </c:spPr>
          <c:invertIfNegative val="0"/>
          <c:cat>
            <c:strRef>
              <c:f>'Looked After Children'!$Y$326:$Y$349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Children'!$H$326:$H$349</c:f>
              <c:numCache>
                <c:formatCode>0.0</c:formatCode>
                <c:ptCount val="24"/>
                <c:pt idx="0">
                  <c:v>134.77975016436554</c:v>
                </c:pt>
                <c:pt idx="1">
                  <c:v>190.86070838685995</c:v>
                </c:pt>
                <c:pt idx="2">
                  <c:v>99.282113945318471</c:v>
                </c:pt>
                <c:pt idx="3">
                  <c:v>112.43729458571183</c:v>
                </c:pt>
                <c:pt idx="4">
                  <c:v>121.59581951562657</c:v>
                </c:pt>
                <c:pt idx="5">
                  <c:v>172.98490982701509</c:v>
                </c:pt>
                <c:pt idx="6">
                  <c:v>201.03888810894287</c:v>
                </c:pt>
                <c:pt idx="7">
                  <c:v>131.29770992366412</c:v>
                </c:pt>
                <c:pt idx="8">
                  <c:v>153.6268609439341</c:v>
                </c:pt>
                <c:pt idx="9">
                  <c:v>140.33898305084745</c:v>
                </c:pt>
                <c:pt idx="10">
                  <c:v>381.18214716525932</c:v>
                </c:pt>
                <c:pt idx="11">
                  <c:v>206.57276995305165</c:v>
                </c:pt>
                <c:pt idx="12">
                  <c:v>123.11901504787961</c:v>
                </c:pt>
                <c:pt idx="13">
                  <c:v>126.20881822652025</c:v>
                </c:pt>
                <c:pt idx="14">
                  <c:v>191.88354653727393</c:v>
                </c:pt>
                <c:pt idx="15">
                  <c:v>109.38757591278261</c:v>
                </c:pt>
                <c:pt idx="16">
                  <c:v>155.6662515566625</c:v>
                </c:pt>
                <c:pt idx="17">
                  <c:v>263.5486265775798</c:v>
                </c:pt>
                <c:pt idx="18">
                  <c:v>136.64596273291926</c:v>
                </c:pt>
                <c:pt idx="19">
                  <c:v>130.58764439979907</c:v>
                </c:pt>
                <c:pt idx="20">
                  <c:v>87.456271864067972</c:v>
                </c:pt>
                <c:pt idx="21">
                  <c:v>80.135988343856226</c:v>
                </c:pt>
                <c:pt idx="22">
                  <c:v>145.1407568124514</c:v>
                </c:pt>
                <c:pt idx="23">
                  <c:v>157.67812947172439</c:v>
                </c:pt>
              </c:numCache>
            </c:numRef>
          </c:val>
          <c:extLst>
            <c:ext xmlns:c16="http://schemas.microsoft.com/office/drawing/2014/chart" uri="{C3380CC4-5D6E-409C-BE32-E72D297353CC}">
              <c16:uniqueId val="{00000001-F71C-48DD-9688-3D6A3523A0F9}"/>
            </c:ext>
          </c:extLst>
        </c:ser>
        <c:dLbls>
          <c:showLegendKey val="0"/>
          <c:showVal val="0"/>
          <c:showCatName val="0"/>
          <c:showSerName val="0"/>
          <c:showPercent val="0"/>
          <c:showBubbleSize val="0"/>
        </c:dLbls>
        <c:gapWidth val="40"/>
        <c:axId val="601732608"/>
        <c:axId val="601734144"/>
      </c:barChart>
      <c:catAx>
        <c:axId val="601729280"/>
        <c:scaling>
          <c:orientation val="maxMin"/>
        </c:scaling>
        <c:delete val="1"/>
        <c:axPos val="l"/>
        <c:majorGridlines/>
        <c:numFmt formatCode="General" sourceLinked="0"/>
        <c:majorTickMark val="out"/>
        <c:minorTickMark val="none"/>
        <c:tickLblPos val="nextTo"/>
        <c:crossAx val="601731072"/>
        <c:crosses val="autoZero"/>
        <c:auto val="1"/>
        <c:lblAlgn val="ctr"/>
        <c:lblOffset val="100"/>
        <c:noMultiLvlLbl val="0"/>
      </c:catAx>
      <c:valAx>
        <c:axId val="601731072"/>
        <c:scaling>
          <c:orientation val="minMax"/>
          <c:max val="40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601729280"/>
        <c:crosses val="max"/>
        <c:crossBetween val="between"/>
      </c:valAx>
      <c:catAx>
        <c:axId val="601732608"/>
        <c:scaling>
          <c:orientation val="maxMin"/>
        </c:scaling>
        <c:delete val="1"/>
        <c:axPos val="l"/>
        <c:numFmt formatCode="General" sourceLinked="0"/>
        <c:majorTickMark val="out"/>
        <c:minorTickMark val="none"/>
        <c:tickLblPos val="nextTo"/>
        <c:crossAx val="601734144"/>
        <c:crosses val="autoZero"/>
        <c:auto val="1"/>
        <c:lblAlgn val="ctr"/>
        <c:lblOffset val="100"/>
        <c:noMultiLvlLbl val="0"/>
      </c:catAx>
      <c:valAx>
        <c:axId val="601734144"/>
        <c:scaling>
          <c:orientation val="minMax"/>
        </c:scaling>
        <c:delete val="1"/>
        <c:axPos val="t"/>
        <c:numFmt formatCode="0.0" sourceLinked="1"/>
        <c:majorTickMark val="out"/>
        <c:minorTickMark val="none"/>
        <c:tickLblPos val="nextTo"/>
        <c:crossAx val="601732608"/>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 who were UASC</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967780378803996"/>
          <c:h val="0.54035093858877536"/>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Children'!$BH$65:$BL$65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44BC-4A9E-8A31-EFD87CE33593}"/>
            </c:ext>
          </c:extLst>
        </c:ser>
        <c:ser>
          <c:idx val="4"/>
          <c:order val="1"/>
          <c:tx>
            <c:strRef>
              <c:f>'Looked After Children'!$B$170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Children'!$D$278:$H$278</c:f>
              <c:numCache>
                <c:formatCode>0%</c:formatCode>
                <c:ptCount val="5"/>
                <c:pt idx="0">
                  <c:v>0.15841584158415842</c:v>
                </c:pt>
                <c:pt idx="1">
                  <c:v>0.11873350923482849</c:v>
                </c:pt>
                <c:pt idx="2">
                  <c:v>8.9985178911708666E-2</c:v>
                </c:pt>
                <c:pt idx="3">
                  <c:v>9.961606309017329E-2</c:v>
                </c:pt>
                <c:pt idx="4">
                  <c:v>0.10691888557623111</c:v>
                </c:pt>
              </c:numCache>
            </c:numRef>
          </c:val>
          <c:extLst>
            <c:ext xmlns:c16="http://schemas.microsoft.com/office/drawing/2014/chart" uri="{C3380CC4-5D6E-409C-BE32-E72D297353CC}">
              <c16:uniqueId val="{00000001-44BC-4A9E-8A31-EFD87CE33593}"/>
            </c:ext>
          </c:extLst>
        </c:ser>
        <c:ser>
          <c:idx val="0"/>
          <c:order val="2"/>
          <c:tx>
            <c:strRef>
              <c:f>'Looked After Children'!$B$171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Children'!$D$279:$H$279</c:f>
              <c:numCache>
                <c:formatCode>0%</c:formatCode>
                <c:ptCount val="5"/>
                <c:pt idx="0">
                  <c:v>6.1638971736969181E-2</c:v>
                </c:pt>
                <c:pt idx="1">
                  <c:v>6.4729376118991877E-2</c:v>
                </c:pt>
                <c:pt idx="2">
                  <c:v>6.0368847021361284E-2</c:v>
                </c:pt>
                <c:pt idx="3">
                  <c:v>6.4875239923224567E-2</c:v>
                </c:pt>
                <c:pt idx="4">
                  <c:v>6.243756243756244E-2</c:v>
                </c:pt>
              </c:numCache>
            </c:numRef>
          </c:val>
          <c:extLst>
            <c:ext xmlns:c16="http://schemas.microsoft.com/office/drawing/2014/chart" uri="{C3380CC4-5D6E-409C-BE32-E72D297353CC}">
              <c16:uniqueId val="{00000002-44BC-4A9E-8A31-EFD87CE33593}"/>
            </c:ext>
          </c:extLst>
        </c:ser>
        <c:dLbls>
          <c:showLegendKey val="0"/>
          <c:showVal val="0"/>
          <c:showCatName val="0"/>
          <c:showSerName val="0"/>
          <c:showPercent val="0"/>
          <c:showBubbleSize val="0"/>
        </c:dLbls>
        <c:gapWidth val="100"/>
        <c:axId val="601845120"/>
        <c:axId val="601846912"/>
      </c:barChart>
      <c:catAx>
        <c:axId val="601845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846912"/>
        <c:crosses val="autoZero"/>
        <c:auto val="1"/>
        <c:lblAlgn val="ctr"/>
        <c:lblOffset val="100"/>
        <c:noMultiLvlLbl val="0"/>
      </c:catAx>
      <c:valAx>
        <c:axId val="60184691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84512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who were UASC</a:t>
            </a:r>
          </a:p>
        </c:rich>
      </c:tx>
      <c:layout>
        <c:manualLayout>
          <c:xMode val="edge"/>
          <c:yMode val="edge"/>
          <c:x val="0.22741610515059887"/>
          <c:y val="2.0750544393247337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09AD-4423-AD32-EC6F44384F67}"/>
              </c:ext>
            </c:extLst>
          </c:dPt>
          <c:cat>
            <c:strRef>
              <c:f>'Looked After Children'!$Z$2:$AD$3</c:f>
              <c:strCache>
                <c:ptCount val="5"/>
                <c:pt idx="0">
                  <c:v>2015-16</c:v>
                </c:pt>
                <c:pt idx="1">
                  <c:v>2016-17</c:v>
                </c:pt>
                <c:pt idx="2">
                  <c:v>2017-18</c:v>
                </c:pt>
                <c:pt idx="3">
                  <c:v>2018-19</c:v>
                </c:pt>
                <c:pt idx="4">
                  <c:v>2019-20</c:v>
                </c:pt>
              </c:strCache>
            </c:strRef>
          </c:cat>
          <c:val>
            <c:numRef>
              <c:f>'Looked After Children'!$BH$41:$BL$41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9AD-4423-AD32-EC6F44384F67}"/>
            </c:ext>
          </c:extLst>
        </c:ser>
        <c:ser>
          <c:idx val="1"/>
          <c:order val="1"/>
          <c:tx>
            <c:strRef>
              <c:f>'Looked After Children'!$AL$42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Children'!$BH$42:$BL$42</c:f>
              <c:numCache>
                <c:formatCode>0.0%</c:formatCode>
                <c:ptCount val="5"/>
                <c:pt idx="0">
                  <c:v>7.7625570776255703E-2</c:v>
                </c:pt>
                <c:pt idx="1">
                  <c:v>8.3333333333333329E-2</c:v>
                </c:pt>
                <c:pt idx="2">
                  <c:v>7.1599045346062054E-2</c:v>
                </c:pt>
                <c:pt idx="3">
                  <c:v>9.718670076726342E-2</c:v>
                </c:pt>
                <c:pt idx="4">
                  <c:v>8.6486486486486491E-2</c:v>
                </c:pt>
              </c:numCache>
            </c:numRef>
          </c:val>
          <c:smooth val="0"/>
          <c:extLst>
            <c:ext xmlns:c16="http://schemas.microsoft.com/office/drawing/2014/chart" uri="{C3380CC4-5D6E-409C-BE32-E72D297353CC}">
              <c16:uniqueId val="{00000002-09AD-4423-AD32-EC6F44384F67}"/>
            </c:ext>
          </c:extLst>
        </c:ser>
        <c:ser>
          <c:idx val="2"/>
          <c:order val="2"/>
          <c:tx>
            <c:strRef>
              <c:f>'Looked After Children'!$AL$43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Children'!$BH$43:$BL$43</c:f>
              <c:numCache>
                <c:formatCode>0.0%</c:formatCode>
                <c:ptCount val="5"/>
                <c:pt idx="0">
                  <c:v>4.1394335511982572E-2</c:v>
                </c:pt>
                <c:pt idx="1">
                  <c:v>5.2863436123348019E-2</c:v>
                </c:pt>
                <c:pt idx="2">
                  <c:v>7.4152542372881353E-2</c:v>
                </c:pt>
                <c:pt idx="3">
                  <c:v>6.0194174757281553E-2</c:v>
                </c:pt>
                <c:pt idx="4">
                  <c:v>5.1652892561983473E-2</c:v>
                </c:pt>
              </c:numCache>
            </c:numRef>
          </c:val>
          <c:smooth val="0"/>
          <c:extLst>
            <c:ext xmlns:c16="http://schemas.microsoft.com/office/drawing/2014/chart" uri="{C3380CC4-5D6E-409C-BE32-E72D297353CC}">
              <c16:uniqueId val="{00000003-09AD-4423-AD32-EC6F44384F67}"/>
            </c:ext>
          </c:extLst>
        </c:ser>
        <c:ser>
          <c:idx val="5"/>
          <c:order val="3"/>
          <c:tx>
            <c:strRef>
              <c:f>'Looked After Children'!$AL$44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Children'!$BH$44:$BL$44</c:f>
              <c:numCache>
                <c:formatCode>0.0%</c:formatCode>
                <c:ptCount val="5"/>
                <c:pt idx="0">
                  <c:v>3.1307550644567222E-2</c:v>
                </c:pt>
                <c:pt idx="1">
                  <c:v>4.3243243243243246E-2</c:v>
                </c:pt>
                <c:pt idx="2">
                  <c:v>3.3222591362126248E-2</c:v>
                </c:pt>
                <c:pt idx="3">
                  <c:v>0.06</c:v>
                </c:pt>
                <c:pt idx="4">
                  <c:v>5.2364864864864864E-2</c:v>
                </c:pt>
              </c:numCache>
            </c:numRef>
          </c:val>
          <c:smooth val="0"/>
          <c:extLst>
            <c:ext xmlns:c16="http://schemas.microsoft.com/office/drawing/2014/chart" uri="{C3380CC4-5D6E-409C-BE32-E72D297353CC}">
              <c16:uniqueId val="{00000004-09AD-4423-AD32-EC6F44384F67}"/>
            </c:ext>
          </c:extLst>
        </c:ser>
        <c:ser>
          <c:idx val="9"/>
          <c:order val="4"/>
          <c:tx>
            <c:strRef>
              <c:f>'Looked After Children'!$AL$45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Children'!$BH$45:$BL$45</c:f>
              <c:numCache>
                <c:formatCode>0.0%</c:formatCode>
                <c:ptCount val="5"/>
                <c:pt idx="0">
                  <c:v>2.2222222222222223E-2</c:v>
                </c:pt>
                <c:pt idx="1">
                  <c:v>5.5555555555555552E-2</c:v>
                </c:pt>
                <c:pt idx="2">
                  <c:v>7.0890840652446677E-2</c:v>
                </c:pt>
                <c:pt idx="3">
                  <c:v>7.9927884615384609E-2</c:v>
                </c:pt>
                <c:pt idx="4">
                  <c:v>5.305867665418227E-2</c:v>
                </c:pt>
              </c:numCache>
            </c:numRef>
          </c:val>
          <c:smooth val="0"/>
          <c:extLst>
            <c:ext xmlns:c16="http://schemas.microsoft.com/office/drawing/2014/chart" uri="{C3380CC4-5D6E-409C-BE32-E72D297353CC}">
              <c16:uniqueId val="{00000005-09AD-4423-AD32-EC6F44384F67}"/>
            </c:ext>
          </c:extLst>
        </c:ser>
        <c:ser>
          <c:idx val="10"/>
          <c:order val="5"/>
          <c:tx>
            <c:strRef>
              <c:f>'Looked After Children'!$AL$46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Children'!$BH$46:$BL$46</c:f>
              <c:numCache>
                <c:formatCode>0.0%</c:formatCode>
                <c:ptCount val="5"/>
                <c:pt idx="0">
                  <c:v>0</c:v>
                </c:pt>
                <c:pt idx="1">
                  <c:v>#N/A</c:v>
                </c:pt>
                <c:pt idx="2">
                  <c:v>3.0973451327433628E-2</c:v>
                </c:pt>
                <c:pt idx="3">
                  <c:v>2.4691358024691357E-2</c:v>
                </c:pt>
                <c:pt idx="4">
                  <c:v>#N/A</c:v>
                </c:pt>
              </c:numCache>
            </c:numRef>
          </c:val>
          <c:smooth val="0"/>
          <c:extLst>
            <c:ext xmlns:c16="http://schemas.microsoft.com/office/drawing/2014/chart" uri="{C3380CC4-5D6E-409C-BE32-E72D297353CC}">
              <c16:uniqueId val="{00000006-09AD-4423-AD32-EC6F44384F67}"/>
            </c:ext>
          </c:extLst>
        </c:ser>
        <c:ser>
          <c:idx val="11"/>
          <c:order val="6"/>
          <c:tx>
            <c:strRef>
              <c:f>'Looked After Children'!$AL$47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Children'!$BH$47:$BL$47</c:f>
              <c:numCache>
                <c:formatCode>0.0%</c:formatCode>
                <c:ptCount val="5"/>
                <c:pt idx="0">
                  <c:v>0.37510803802938636</c:v>
                </c:pt>
                <c:pt idx="1">
                  <c:v>0.25460284061020516</c:v>
                </c:pt>
                <c:pt idx="2">
                  <c:v>0.14259597806215721</c:v>
                </c:pt>
                <c:pt idx="3">
                  <c:v>0.16037735849056603</c:v>
                </c:pt>
                <c:pt idx="4">
                  <c:v>0.23574986164914222</c:v>
                </c:pt>
              </c:numCache>
            </c:numRef>
          </c:val>
          <c:smooth val="0"/>
          <c:extLst>
            <c:ext xmlns:c16="http://schemas.microsoft.com/office/drawing/2014/chart" uri="{C3380CC4-5D6E-409C-BE32-E72D297353CC}">
              <c16:uniqueId val="{00000007-09AD-4423-AD32-EC6F44384F67}"/>
            </c:ext>
          </c:extLst>
        </c:ser>
        <c:ser>
          <c:idx val="12"/>
          <c:order val="7"/>
          <c:tx>
            <c:strRef>
              <c:f>'Looked After Children'!$AL$48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Children'!$BH$48:$BL$48</c:f>
              <c:numCache>
                <c:formatCode>0.0%</c:formatCode>
                <c:ptCount val="5"/>
                <c:pt idx="0">
                  <c:v>#N/A</c:v>
                </c:pt>
                <c:pt idx="1">
                  <c:v>#N/A</c:v>
                </c:pt>
                <c:pt idx="2">
                  <c:v>#N/A</c:v>
                </c:pt>
                <c:pt idx="3">
                  <c:v>2.5943396226415096E-2</c:v>
                </c:pt>
                <c:pt idx="4">
                  <c:v>1.8779342723004695E-2</c:v>
                </c:pt>
              </c:numCache>
            </c:numRef>
          </c:val>
          <c:smooth val="0"/>
          <c:extLst>
            <c:ext xmlns:c16="http://schemas.microsoft.com/office/drawing/2014/chart" uri="{C3380CC4-5D6E-409C-BE32-E72D297353CC}">
              <c16:uniqueId val="{00000008-09AD-4423-AD32-EC6F44384F67}"/>
            </c:ext>
          </c:extLst>
        </c:ser>
        <c:ser>
          <c:idx val="13"/>
          <c:order val="8"/>
          <c:tx>
            <c:strRef>
              <c:f>'Looked After Children'!$AL$49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Children'!$BH$49:$BL$49</c:f>
              <c:numCache>
                <c:formatCode>0.0%</c:formatCode>
                <c:ptCount val="5"/>
                <c:pt idx="0">
                  <c:v>0.11884057971014493</c:v>
                </c:pt>
                <c:pt idx="1">
                  <c:v>0.10353535353535354</c:v>
                </c:pt>
                <c:pt idx="2">
                  <c:v>7.6142131979695438E-2</c:v>
                </c:pt>
                <c:pt idx="3">
                  <c:v>6.0367454068241469E-2</c:v>
                </c:pt>
                <c:pt idx="4">
                  <c:v>7.9404466501240695E-2</c:v>
                </c:pt>
              </c:numCache>
            </c:numRef>
          </c:val>
          <c:smooth val="0"/>
          <c:extLst>
            <c:ext xmlns:c16="http://schemas.microsoft.com/office/drawing/2014/chart" uri="{C3380CC4-5D6E-409C-BE32-E72D297353CC}">
              <c16:uniqueId val="{00000009-09AD-4423-AD32-EC6F44384F67}"/>
            </c:ext>
          </c:extLst>
        </c:ser>
        <c:ser>
          <c:idx val="15"/>
          <c:order val="9"/>
          <c:tx>
            <c:strRef>
              <c:f>'Looked After Children'!$AL$50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Children'!$BH$50:$BL$50</c:f>
              <c:numCache>
                <c:formatCode>0.0%</c:formatCode>
                <c:ptCount val="5"/>
                <c:pt idx="0">
                  <c:v>9.7807757166947729E-2</c:v>
                </c:pt>
                <c:pt idx="1">
                  <c:v>8.1081081081081086E-2</c:v>
                </c:pt>
                <c:pt idx="2">
                  <c:v>8.3333333333333329E-2</c:v>
                </c:pt>
                <c:pt idx="3">
                  <c:v>8.2156611039794603E-2</c:v>
                </c:pt>
                <c:pt idx="4">
                  <c:v>6.6492829204693613E-2</c:v>
                </c:pt>
              </c:numCache>
            </c:numRef>
          </c:val>
          <c:smooth val="0"/>
          <c:extLst>
            <c:ext xmlns:c16="http://schemas.microsoft.com/office/drawing/2014/chart" uri="{C3380CC4-5D6E-409C-BE32-E72D297353CC}">
              <c16:uniqueId val="{0000000A-09AD-4423-AD32-EC6F44384F67}"/>
            </c:ext>
          </c:extLst>
        </c:ser>
        <c:ser>
          <c:idx val="16"/>
          <c:order val="10"/>
          <c:tx>
            <c:strRef>
              <c:f>'Looked After Children'!$AL$51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Children'!$BH$51:$BL$51</c:f>
              <c:numCache>
                <c:formatCode>0.0%</c:formatCode>
                <c:ptCount val="5"/>
                <c:pt idx="0">
                  <c:v>9.9378881987577633E-2</c:v>
                </c:pt>
                <c:pt idx="1">
                  <c:v>0.12569832402234637</c:v>
                </c:pt>
                <c:pt idx="2">
                  <c:v>0.17349397590361446</c:v>
                </c:pt>
                <c:pt idx="3">
                  <c:v>0.20781893004115226</c:v>
                </c:pt>
                <c:pt idx="4">
                  <c:v>0.21244635193133046</c:v>
                </c:pt>
              </c:numCache>
            </c:numRef>
          </c:val>
          <c:smooth val="0"/>
          <c:extLst>
            <c:ext xmlns:c16="http://schemas.microsoft.com/office/drawing/2014/chart" uri="{C3380CC4-5D6E-409C-BE32-E72D297353CC}">
              <c16:uniqueId val="{0000000B-09AD-4423-AD32-EC6F44384F67}"/>
            </c:ext>
          </c:extLst>
        </c:ser>
        <c:ser>
          <c:idx val="17"/>
          <c:order val="11"/>
          <c:tx>
            <c:strRef>
              <c:f>'Looked After Children'!$AL$52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Children'!$BH$52:$BL$52</c:f>
              <c:numCache>
                <c:formatCode>0.0%</c:formatCode>
                <c:ptCount val="5"/>
                <c:pt idx="0">
                  <c:v>2.7272727272727271E-2</c:v>
                </c:pt>
                <c:pt idx="1">
                  <c:v>4.1825095057034217E-2</c:v>
                </c:pt>
                <c:pt idx="2">
                  <c:v>3.2258064516129031E-2</c:v>
                </c:pt>
                <c:pt idx="3">
                  <c:v>#N/A</c:v>
                </c:pt>
                <c:pt idx="4">
                  <c:v>3.5714285714285712E-2</c:v>
                </c:pt>
              </c:numCache>
            </c:numRef>
          </c:val>
          <c:smooth val="0"/>
          <c:extLst>
            <c:ext xmlns:c16="http://schemas.microsoft.com/office/drawing/2014/chart" uri="{C3380CC4-5D6E-409C-BE32-E72D297353CC}">
              <c16:uniqueId val="{0000000C-09AD-4423-AD32-EC6F44384F67}"/>
            </c:ext>
          </c:extLst>
        </c:ser>
        <c:ser>
          <c:idx val="19"/>
          <c:order val="12"/>
          <c:tx>
            <c:strRef>
              <c:f>'Looked After Children'!$AL$53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Children'!$BH$53:$BL$53</c:f>
              <c:numCache>
                <c:formatCode>0.0%</c:formatCode>
                <c:ptCount val="5"/>
                <c:pt idx="0">
                  <c:v>6.7039106145251395E-2</c:v>
                </c:pt>
                <c:pt idx="1">
                  <c:v>7.3684210526315783E-2</c:v>
                </c:pt>
                <c:pt idx="2">
                  <c:v>3.8834951456310676E-2</c:v>
                </c:pt>
                <c:pt idx="3">
                  <c:v>#N/A</c:v>
                </c:pt>
                <c:pt idx="4">
                  <c:v>#N/A</c:v>
                </c:pt>
              </c:numCache>
            </c:numRef>
          </c:val>
          <c:smooth val="0"/>
          <c:extLst>
            <c:ext xmlns:c16="http://schemas.microsoft.com/office/drawing/2014/chart" uri="{C3380CC4-5D6E-409C-BE32-E72D297353CC}">
              <c16:uniqueId val="{0000000D-09AD-4423-AD32-EC6F44384F67}"/>
            </c:ext>
          </c:extLst>
        </c:ser>
        <c:ser>
          <c:idx val="3"/>
          <c:order val="13"/>
          <c:tx>
            <c:strRef>
              <c:f>'Looked After Children'!$AL$54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Children'!$BH$54:$BL$54</c:f>
              <c:numCache>
                <c:formatCode>0.0%</c:formatCode>
                <c:ptCount val="5"/>
                <c:pt idx="0">
                  <c:v>#N/A</c:v>
                </c:pt>
                <c:pt idx="1">
                  <c:v>2.9411764705882353E-2</c:v>
                </c:pt>
                <c:pt idx="2">
                  <c:v>5.4158607350096713E-2</c:v>
                </c:pt>
                <c:pt idx="3">
                  <c:v>2.4344569288389514E-2</c:v>
                </c:pt>
                <c:pt idx="4">
                  <c:v>2.0793950850661626E-2</c:v>
                </c:pt>
              </c:numCache>
            </c:numRef>
          </c:val>
          <c:smooth val="0"/>
          <c:extLst>
            <c:ext xmlns:c16="http://schemas.microsoft.com/office/drawing/2014/chart" uri="{C3380CC4-5D6E-409C-BE32-E72D297353CC}">
              <c16:uniqueId val="{0000000E-09AD-4423-AD32-EC6F44384F67}"/>
            </c:ext>
          </c:extLst>
        </c:ser>
        <c:ser>
          <c:idx val="20"/>
          <c:order val="14"/>
          <c:tx>
            <c:strRef>
              <c:f>'Looked After Children'!$AL$55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Children'!$BH$55:$BL$55</c:f>
              <c:numCache>
                <c:formatCode>0.0%</c:formatCode>
                <c:ptCount val="5"/>
                <c:pt idx="0">
                  <c:v>#N/A</c:v>
                </c:pt>
                <c:pt idx="1">
                  <c:v>2.0370370370370372E-2</c:v>
                </c:pt>
                <c:pt idx="2">
                  <c:v>2.8735632183908046E-2</c:v>
                </c:pt>
                <c:pt idx="3">
                  <c:v>3.1185031185031187E-2</c:v>
                </c:pt>
                <c:pt idx="4">
                  <c:v>3.0864197530864196E-2</c:v>
                </c:pt>
              </c:numCache>
            </c:numRef>
          </c:val>
          <c:smooth val="0"/>
          <c:extLst>
            <c:ext xmlns:c16="http://schemas.microsoft.com/office/drawing/2014/chart" uri="{C3380CC4-5D6E-409C-BE32-E72D297353CC}">
              <c16:uniqueId val="{0000000F-09AD-4423-AD32-EC6F44384F67}"/>
            </c:ext>
          </c:extLst>
        </c:ser>
        <c:ser>
          <c:idx val="22"/>
          <c:order val="15"/>
          <c:tx>
            <c:strRef>
              <c:f>'Looked After Children'!$AL$56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Children'!$BH$56:$BL$56</c:f>
              <c:numCache>
                <c:formatCode>0.0%</c:formatCode>
                <c:ptCount val="5"/>
                <c:pt idx="0">
                  <c:v>0.17416378316032297</c:v>
                </c:pt>
                <c:pt idx="1">
                  <c:v>0.16340621403912542</c:v>
                </c:pt>
                <c:pt idx="2">
                  <c:v>0.11935483870967742</c:v>
                </c:pt>
                <c:pt idx="3">
                  <c:v>0.1171634121274409</c:v>
                </c:pt>
                <c:pt idx="4">
                  <c:v>0.11009174311926606</c:v>
                </c:pt>
              </c:numCache>
            </c:numRef>
          </c:val>
          <c:smooth val="0"/>
          <c:extLst>
            <c:ext xmlns:c16="http://schemas.microsoft.com/office/drawing/2014/chart" uri="{C3380CC4-5D6E-409C-BE32-E72D297353CC}">
              <c16:uniqueId val="{00000010-09AD-4423-AD32-EC6F44384F67}"/>
            </c:ext>
          </c:extLst>
        </c:ser>
        <c:ser>
          <c:idx val="7"/>
          <c:order val="16"/>
          <c:tx>
            <c:strRef>
              <c:f>'Looked After Children'!$AL$57</c:f>
              <c:strCache>
                <c:ptCount val="1"/>
                <c:pt idx="0">
                  <c:v>Swindon</c:v>
                </c:pt>
              </c:strCache>
            </c:strRef>
          </c:tx>
          <c:spPr>
            <a:ln w="12700"/>
          </c:spPr>
          <c:marker>
            <c:symbol val="triangle"/>
            <c:size val="5"/>
            <c:spPr>
              <a:solidFill>
                <a:schemeClr val="accent2">
                  <a:lumMod val="20000"/>
                  <a:lumOff val="80000"/>
                </a:schemeClr>
              </a:solidFill>
            </c:spPr>
          </c:marker>
          <c:cat>
            <c:strRef>
              <c:f>'Looked After Children'!$Z$2:$AD$3</c:f>
              <c:strCache>
                <c:ptCount val="5"/>
                <c:pt idx="0">
                  <c:v>2015-16</c:v>
                </c:pt>
                <c:pt idx="1">
                  <c:v>2016-17</c:v>
                </c:pt>
                <c:pt idx="2">
                  <c:v>2017-18</c:v>
                </c:pt>
                <c:pt idx="3">
                  <c:v>2018-19</c:v>
                </c:pt>
                <c:pt idx="4">
                  <c:v>2019-20</c:v>
                </c:pt>
              </c:strCache>
            </c:strRef>
          </c:cat>
          <c:val>
            <c:numRef>
              <c:f>'Looked After Children'!$BH$57:$BL$57</c:f>
              <c:numCache>
                <c:formatCode>0.0%</c:formatCode>
                <c:ptCount val="5"/>
                <c:pt idx="0">
                  <c:v>4.778156996587031E-2</c:v>
                </c:pt>
                <c:pt idx="1">
                  <c:v>6.363636363636363E-2</c:v>
                </c:pt>
                <c:pt idx="2">
                  <c:v>7.2222222222222215E-2</c:v>
                </c:pt>
                <c:pt idx="3">
                  <c:v>6.8965517241379309E-2</c:v>
                </c:pt>
                <c:pt idx="4">
                  <c:v>4.9833887043189369E-2</c:v>
                </c:pt>
              </c:numCache>
            </c:numRef>
          </c:val>
          <c:smooth val="0"/>
          <c:extLst>
            <c:ext xmlns:c16="http://schemas.microsoft.com/office/drawing/2014/chart" uri="{C3380CC4-5D6E-409C-BE32-E72D297353CC}">
              <c16:uniqueId val="{00000011-09AD-4423-AD32-EC6F44384F67}"/>
            </c:ext>
          </c:extLst>
        </c:ser>
        <c:ser>
          <c:idx val="8"/>
          <c:order val="17"/>
          <c:tx>
            <c:strRef>
              <c:f>'Looked After Children'!$AL$58</c:f>
              <c:strCache>
                <c:ptCount val="1"/>
                <c:pt idx="0">
                  <c:v>Torbay</c:v>
                </c:pt>
              </c:strCache>
            </c:strRef>
          </c:tx>
          <c:spPr>
            <a:ln w="12700"/>
          </c:spPr>
          <c:marker>
            <c:symbol val="circle"/>
            <c:size val="5"/>
            <c:spPr>
              <a:solidFill>
                <a:schemeClr val="accent3">
                  <a:lumMod val="20000"/>
                  <a:lumOff val="80000"/>
                </a:schemeClr>
              </a:solidFill>
            </c:spPr>
          </c:marker>
          <c:cat>
            <c:strRef>
              <c:f>'Looked After Children'!$Z$2:$AD$3</c:f>
              <c:strCache>
                <c:ptCount val="5"/>
                <c:pt idx="0">
                  <c:v>2015-16</c:v>
                </c:pt>
                <c:pt idx="1">
                  <c:v>2016-17</c:v>
                </c:pt>
                <c:pt idx="2">
                  <c:v>2017-18</c:v>
                </c:pt>
                <c:pt idx="3">
                  <c:v>2018-19</c:v>
                </c:pt>
                <c:pt idx="4">
                  <c:v>2019-20</c:v>
                </c:pt>
              </c:strCache>
            </c:strRef>
          </c:cat>
          <c:val>
            <c:numRef>
              <c:f>'Looked After Children'!$BH$58:$BL$58</c:f>
              <c:numCache>
                <c:formatCode>0.0%</c:formatCode>
                <c:ptCount val="5"/>
                <c:pt idx="0">
                  <c:v>0</c:v>
                </c:pt>
                <c:pt idx="1">
                  <c:v>#N/A</c:v>
                </c:pt>
                <c:pt idx="2">
                  <c:v>#N/A</c:v>
                </c:pt>
                <c:pt idx="3">
                  <c:v>#N/A</c:v>
                </c:pt>
                <c:pt idx="4">
                  <c:v>#N/A</c:v>
                </c:pt>
              </c:numCache>
            </c:numRef>
          </c:val>
          <c:smooth val="0"/>
          <c:extLst>
            <c:ext xmlns:c16="http://schemas.microsoft.com/office/drawing/2014/chart" uri="{C3380CC4-5D6E-409C-BE32-E72D297353CC}">
              <c16:uniqueId val="{00000012-09AD-4423-AD32-EC6F44384F67}"/>
            </c:ext>
          </c:extLst>
        </c:ser>
        <c:ser>
          <c:idx val="23"/>
          <c:order val="18"/>
          <c:tx>
            <c:strRef>
              <c:f>'Looked After Children'!$AL$59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Children'!$BH$59:$BL$59</c:f>
              <c:numCache>
                <c:formatCode>0.0%</c:formatCode>
                <c:ptCount val="5"/>
                <c:pt idx="0">
                  <c:v>8.2802547770700632E-2</c:v>
                </c:pt>
                <c:pt idx="1">
                  <c:v>9.9378881987577633E-2</c:v>
                </c:pt>
                <c:pt idx="2">
                  <c:v>0.1103448275862069</c:v>
                </c:pt>
                <c:pt idx="3">
                  <c:v>0.1744186046511628</c:v>
                </c:pt>
                <c:pt idx="4">
                  <c:v>9.5541401273885357E-2</c:v>
                </c:pt>
              </c:numCache>
            </c:numRef>
          </c:val>
          <c:smooth val="0"/>
          <c:extLst>
            <c:ext xmlns:c16="http://schemas.microsoft.com/office/drawing/2014/chart" uri="{C3380CC4-5D6E-409C-BE32-E72D297353CC}">
              <c16:uniqueId val="{00000013-09AD-4423-AD32-EC6F44384F67}"/>
            </c:ext>
          </c:extLst>
        </c:ser>
        <c:ser>
          <c:idx val="24"/>
          <c:order val="19"/>
          <c:tx>
            <c:strRef>
              <c:f>'Looked After Children'!$AL$60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Children'!$BH$60:$BL$60</c:f>
              <c:numCache>
                <c:formatCode>0.0%</c:formatCode>
                <c:ptCount val="5"/>
                <c:pt idx="0">
                  <c:v>0.10015649452269171</c:v>
                </c:pt>
                <c:pt idx="1">
                  <c:v>0.11010558069381599</c:v>
                </c:pt>
                <c:pt idx="2">
                  <c:v>9.8011363636363633E-2</c:v>
                </c:pt>
                <c:pt idx="3">
                  <c:v>0.10227272727272728</c:v>
                </c:pt>
                <c:pt idx="4">
                  <c:v>9.6534653465346537E-2</c:v>
                </c:pt>
              </c:numCache>
            </c:numRef>
          </c:val>
          <c:smooth val="0"/>
          <c:extLst>
            <c:ext xmlns:c16="http://schemas.microsoft.com/office/drawing/2014/chart" uri="{C3380CC4-5D6E-409C-BE32-E72D297353CC}">
              <c16:uniqueId val="{00000014-09AD-4423-AD32-EC6F44384F67}"/>
            </c:ext>
          </c:extLst>
        </c:ser>
        <c:ser>
          <c:idx val="25"/>
          <c:order val="20"/>
          <c:tx>
            <c:strRef>
              <c:f>'Looked After Children'!$AL$61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Children'!$BH$61:$BL$61</c:f>
              <c:numCache>
                <c:formatCode>0.0%</c:formatCode>
                <c:ptCount val="5"/>
                <c:pt idx="0">
                  <c:v>#N/A</c:v>
                </c:pt>
                <c:pt idx="1">
                  <c:v>6.4220183486238536E-2</c:v>
                </c:pt>
                <c:pt idx="2">
                  <c:v>6.5420560747663545E-2</c:v>
                </c:pt>
                <c:pt idx="3">
                  <c:v>8.0645161290322578E-2</c:v>
                </c:pt>
                <c:pt idx="4">
                  <c:v>#N/A</c:v>
                </c:pt>
              </c:numCache>
            </c:numRef>
          </c:val>
          <c:smooth val="0"/>
          <c:extLst>
            <c:ext xmlns:c16="http://schemas.microsoft.com/office/drawing/2014/chart" uri="{C3380CC4-5D6E-409C-BE32-E72D297353CC}">
              <c16:uniqueId val="{00000015-09AD-4423-AD32-EC6F44384F67}"/>
            </c:ext>
          </c:extLst>
        </c:ser>
        <c:ser>
          <c:idx val="26"/>
          <c:order val="21"/>
          <c:tx>
            <c:strRef>
              <c:f>'Looked After Children'!$AL$62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Children'!$BH$62:$BL$62</c:f>
              <c:numCache>
                <c:formatCode>0.0%</c:formatCode>
                <c:ptCount val="5"/>
                <c:pt idx="0">
                  <c:v>#N/A</c:v>
                </c:pt>
                <c:pt idx="1">
                  <c:v>0.10666666666666667</c:v>
                </c:pt>
                <c:pt idx="2">
                  <c:v>0.13207547169811321</c:v>
                </c:pt>
                <c:pt idx="3">
                  <c:v>0.10909090909090909</c:v>
                </c:pt>
                <c:pt idx="4">
                  <c:v>7.1428571428571425E-2</c:v>
                </c:pt>
              </c:numCache>
            </c:numRef>
          </c:val>
          <c:smooth val="0"/>
          <c:extLst>
            <c:ext xmlns:c16="http://schemas.microsoft.com/office/drawing/2014/chart" uri="{C3380CC4-5D6E-409C-BE32-E72D297353CC}">
              <c16:uniqueId val="{00000016-09AD-4423-AD32-EC6F44384F67}"/>
            </c:ext>
          </c:extLst>
        </c:ser>
        <c:ser>
          <c:idx val="4"/>
          <c:order val="22"/>
          <c:tx>
            <c:strRef>
              <c:f>'Looked After Children'!$AL$63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Children'!$BH$63:$BL$63</c:f>
              <c:numCache>
                <c:formatCode>0.0%</c:formatCode>
                <c:ptCount val="5"/>
                <c:pt idx="0">
                  <c:v>0.15841584158415842</c:v>
                </c:pt>
                <c:pt idx="1">
                  <c:v>0.11873350923482849</c:v>
                </c:pt>
                <c:pt idx="2">
                  <c:v>8.9985178911708666E-2</c:v>
                </c:pt>
                <c:pt idx="3">
                  <c:v>9.961606309017329E-2</c:v>
                </c:pt>
                <c:pt idx="4">
                  <c:v>0.10691888557623111</c:v>
                </c:pt>
              </c:numCache>
            </c:numRef>
          </c:val>
          <c:smooth val="0"/>
          <c:extLst>
            <c:ext xmlns:c16="http://schemas.microsoft.com/office/drawing/2014/chart" uri="{C3380CC4-5D6E-409C-BE32-E72D297353CC}">
              <c16:uniqueId val="{00000017-09AD-4423-AD32-EC6F44384F67}"/>
            </c:ext>
          </c:extLst>
        </c:ser>
        <c:ser>
          <c:idx val="14"/>
          <c:order val="23"/>
          <c:tx>
            <c:strRef>
              <c:f>'Looked After Children'!$AL$64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2015-16</c:v>
                </c:pt>
                <c:pt idx="1">
                  <c:v>2016-17</c:v>
                </c:pt>
                <c:pt idx="2">
                  <c:v>2017-18</c:v>
                </c:pt>
                <c:pt idx="3">
                  <c:v>2018-19</c:v>
                </c:pt>
                <c:pt idx="4">
                  <c:v>2019-20</c:v>
                </c:pt>
              </c:strCache>
            </c:strRef>
          </c:cat>
          <c:val>
            <c:numRef>
              <c:f>'Looked After Children'!$BH$64:$BL$64</c:f>
              <c:numCache>
                <c:formatCode>0.0%</c:formatCode>
                <c:ptCount val="5"/>
                <c:pt idx="0">
                  <c:v>6.1638971736969181E-2</c:v>
                </c:pt>
                <c:pt idx="1">
                  <c:v>6.4729376118991877E-2</c:v>
                </c:pt>
                <c:pt idx="2">
                  <c:v>6.0368847021361284E-2</c:v>
                </c:pt>
                <c:pt idx="3">
                  <c:v>6.4875239923224567E-2</c:v>
                </c:pt>
                <c:pt idx="4">
                  <c:v>6.243756243756244E-2</c:v>
                </c:pt>
              </c:numCache>
            </c:numRef>
          </c:val>
          <c:smooth val="0"/>
          <c:extLst>
            <c:ext xmlns:c16="http://schemas.microsoft.com/office/drawing/2014/chart" uri="{C3380CC4-5D6E-409C-BE32-E72D297353CC}">
              <c16:uniqueId val="{00000018-09AD-4423-AD32-EC6F44384F67}"/>
            </c:ext>
          </c:extLst>
        </c:ser>
        <c:ser>
          <c:idx val="6"/>
          <c:order val="24"/>
          <c:tx>
            <c:strRef>
              <c:f>'Looked After Children'!$AL$65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2015-16</c:v>
                </c:pt>
                <c:pt idx="1">
                  <c:v>2016-17</c:v>
                </c:pt>
                <c:pt idx="2">
                  <c:v>2017-18</c:v>
                </c:pt>
                <c:pt idx="3">
                  <c:v>2018-19</c:v>
                </c:pt>
                <c:pt idx="4">
                  <c:v>2019-20</c:v>
                </c:pt>
              </c:strCache>
            </c:strRef>
          </c:cat>
          <c:val>
            <c:numRef>
              <c:f>'Looked After Children'!$BH$65:$BL$65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09AD-4423-AD32-EC6F44384F67}"/>
            </c:ext>
          </c:extLst>
        </c:ser>
        <c:dLbls>
          <c:showLegendKey val="0"/>
          <c:showVal val="0"/>
          <c:showCatName val="0"/>
          <c:showSerName val="0"/>
          <c:showPercent val="0"/>
          <c:showBubbleSize val="0"/>
        </c:dLbls>
        <c:marker val="1"/>
        <c:smooth val="0"/>
        <c:axId val="602136576"/>
        <c:axId val="602138496"/>
      </c:lineChart>
      <c:catAx>
        <c:axId val="602136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138496"/>
        <c:crosses val="autoZero"/>
        <c:auto val="1"/>
        <c:lblAlgn val="ctr"/>
        <c:lblOffset val="100"/>
        <c:tickLblSkip val="1"/>
        <c:tickMarkSkip val="1"/>
        <c:noMultiLvlLbl val="0"/>
      </c:catAx>
      <c:valAx>
        <c:axId val="60213849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13657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914838350626276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 with Reviews in Timescales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Children'!$BM$65:$BQ$65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F5AE-4E18-B70A-39508F781DCE}"/>
            </c:ext>
          </c:extLst>
        </c:ser>
        <c:ser>
          <c:idx val="4"/>
          <c:order val="1"/>
          <c:tx>
            <c:strRef>
              <c:f>'Looked After Children'!$B$170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2015-16</c:v>
                </c:pt>
                <c:pt idx="1">
                  <c:v>2016-17</c:v>
                </c:pt>
                <c:pt idx="2">
                  <c:v>2017-18</c:v>
                </c:pt>
                <c:pt idx="3">
                  <c:v>2018-19</c:v>
                </c:pt>
                <c:pt idx="4">
                  <c:v>2019-20</c:v>
                </c:pt>
              </c:strCache>
            </c:strRef>
          </c:cat>
          <c:val>
            <c:numRef>
              <c:f>'Looked After Children'!$D$242:$H$242</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F5AE-4E18-B70A-39508F781DCE}"/>
            </c:ext>
          </c:extLst>
        </c:ser>
        <c:dLbls>
          <c:showLegendKey val="0"/>
          <c:showVal val="0"/>
          <c:showCatName val="0"/>
          <c:showSerName val="0"/>
          <c:showPercent val="0"/>
          <c:showBubbleSize val="0"/>
        </c:dLbls>
        <c:gapWidth val="100"/>
        <c:axId val="602255360"/>
        <c:axId val="602256896"/>
      </c:barChart>
      <c:catAx>
        <c:axId val="60225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256896"/>
        <c:crosses val="autoZero"/>
        <c:auto val="1"/>
        <c:lblAlgn val="ctr"/>
        <c:lblOffset val="100"/>
        <c:noMultiLvlLbl val="0"/>
      </c:catAx>
      <c:valAx>
        <c:axId val="602256896"/>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25536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reviewed</a:t>
            </a:r>
            <a:r>
              <a:rPr lang="en-GB" baseline="0"/>
              <a:t> within Timescales</a:t>
            </a:r>
            <a:endParaRPr lang="en-GB"/>
          </a:p>
        </c:rich>
      </c:tx>
      <c:layout>
        <c:manualLayout>
          <c:xMode val="edge"/>
          <c:yMode val="edge"/>
          <c:x val="0.15949041457537105"/>
          <c:y val="1.86606798905174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A5A-4801-8F60-7F8EB3D7D00D}"/>
              </c:ext>
            </c:extLst>
          </c:dPt>
          <c:cat>
            <c:strRef>
              <c:f>'Looked After Children'!$Z$2:$AD$3</c:f>
              <c:strCache>
                <c:ptCount val="5"/>
                <c:pt idx="0">
                  <c:v>2015-16</c:v>
                </c:pt>
                <c:pt idx="1">
                  <c:v>2016-17</c:v>
                </c:pt>
                <c:pt idx="2">
                  <c:v>2017-18</c:v>
                </c:pt>
                <c:pt idx="3">
                  <c:v>2018-19</c:v>
                </c:pt>
                <c:pt idx="4">
                  <c:v>2019-20</c:v>
                </c:pt>
              </c:strCache>
            </c:strRef>
          </c:cat>
          <c:val>
            <c:numRef>
              <c:f>'Looked After Children'!$BM$41:$BQ$41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A5A-4801-8F60-7F8EB3D7D00D}"/>
            </c:ext>
          </c:extLst>
        </c:ser>
        <c:ser>
          <c:idx val="1"/>
          <c:order val="1"/>
          <c:tx>
            <c:strRef>
              <c:f>'Looked After Children'!$AL$42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Children'!$BM$42:$BQ$42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DA5A-4801-8F60-7F8EB3D7D00D}"/>
            </c:ext>
          </c:extLst>
        </c:ser>
        <c:ser>
          <c:idx val="2"/>
          <c:order val="2"/>
          <c:tx>
            <c:strRef>
              <c:f>'Looked After Children'!$AL$43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Children'!$BM$43:$BQ$43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DA5A-4801-8F60-7F8EB3D7D00D}"/>
            </c:ext>
          </c:extLst>
        </c:ser>
        <c:ser>
          <c:idx val="5"/>
          <c:order val="3"/>
          <c:tx>
            <c:strRef>
              <c:f>'Looked After Children'!$AL$44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Children'!$BM$44:$BQ$44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DA5A-4801-8F60-7F8EB3D7D00D}"/>
            </c:ext>
          </c:extLst>
        </c:ser>
        <c:ser>
          <c:idx val="9"/>
          <c:order val="4"/>
          <c:tx>
            <c:strRef>
              <c:f>'Looked After Children'!$AL$45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Children'!$BM$45:$BQ$45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DA5A-4801-8F60-7F8EB3D7D00D}"/>
            </c:ext>
          </c:extLst>
        </c:ser>
        <c:ser>
          <c:idx val="10"/>
          <c:order val="5"/>
          <c:tx>
            <c:strRef>
              <c:f>'Looked After Children'!$AL$46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Children'!$BM$46:$BQ$46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DA5A-4801-8F60-7F8EB3D7D00D}"/>
            </c:ext>
          </c:extLst>
        </c:ser>
        <c:ser>
          <c:idx val="11"/>
          <c:order val="6"/>
          <c:tx>
            <c:strRef>
              <c:f>'Looked After Children'!$AL$47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Children'!$BM$47:$BQ$47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DA5A-4801-8F60-7F8EB3D7D00D}"/>
            </c:ext>
          </c:extLst>
        </c:ser>
        <c:ser>
          <c:idx val="12"/>
          <c:order val="7"/>
          <c:tx>
            <c:strRef>
              <c:f>'Looked After Children'!$AL$48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Children'!$BM$48:$BQ$48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DA5A-4801-8F60-7F8EB3D7D00D}"/>
            </c:ext>
          </c:extLst>
        </c:ser>
        <c:ser>
          <c:idx val="13"/>
          <c:order val="8"/>
          <c:tx>
            <c:strRef>
              <c:f>'Looked After Children'!$AL$49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Children'!$BM$49:$BQ$49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DA5A-4801-8F60-7F8EB3D7D00D}"/>
            </c:ext>
          </c:extLst>
        </c:ser>
        <c:ser>
          <c:idx val="15"/>
          <c:order val="9"/>
          <c:tx>
            <c:strRef>
              <c:f>'Looked After Children'!$AL$50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Children'!$BM$50:$BQ$50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DA5A-4801-8F60-7F8EB3D7D00D}"/>
            </c:ext>
          </c:extLst>
        </c:ser>
        <c:ser>
          <c:idx val="16"/>
          <c:order val="10"/>
          <c:tx>
            <c:strRef>
              <c:f>'Looked After Children'!$AL$51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Children'!$BM$51:$BQ$51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DA5A-4801-8F60-7F8EB3D7D00D}"/>
            </c:ext>
          </c:extLst>
        </c:ser>
        <c:ser>
          <c:idx val="17"/>
          <c:order val="11"/>
          <c:tx>
            <c:strRef>
              <c:f>'Looked After Children'!$AL$52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Children'!$BM$52:$BQ$52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DA5A-4801-8F60-7F8EB3D7D00D}"/>
            </c:ext>
          </c:extLst>
        </c:ser>
        <c:ser>
          <c:idx val="19"/>
          <c:order val="12"/>
          <c:tx>
            <c:strRef>
              <c:f>'Looked After Children'!$AL$53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Children'!$BM$53:$BQ$53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DA5A-4801-8F60-7F8EB3D7D00D}"/>
            </c:ext>
          </c:extLst>
        </c:ser>
        <c:ser>
          <c:idx val="3"/>
          <c:order val="13"/>
          <c:tx>
            <c:strRef>
              <c:f>'Looked After Children'!$AL$54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Children'!$BM$54:$BQ$54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DA5A-4801-8F60-7F8EB3D7D00D}"/>
            </c:ext>
          </c:extLst>
        </c:ser>
        <c:ser>
          <c:idx val="20"/>
          <c:order val="14"/>
          <c:tx>
            <c:strRef>
              <c:f>'Looked After Children'!$AL$55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Children'!$BM$55:$BQ$55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DA5A-4801-8F60-7F8EB3D7D00D}"/>
            </c:ext>
          </c:extLst>
        </c:ser>
        <c:ser>
          <c:idx val="22"/>
          <c:order val="15"/>
          <c:tx>
            <c:strRef>
              <c:f>'Looked After Children'!$AL$56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Children'!$BM$56:$BQ$56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DA5A-4801-8F60-7F8EB3D7D00D}"/>
            </c:ext>
          </c:extLst>
        </c:ser>
        <c:ser>
          <c:idx val="7"/>
          <c:order val="16"/>
          <c:tx>
            <c:strRef>
              <c:f>'Looked After Children'!$AL$57</c:f>
              <c:strCache>
                <c:ptCount val="1"/>
                <c:pt idx="0">
                  <c:v>Swindon</c:v>
                </c:pt>
              </c:strCache>
            </c:strRef>
          </c:tx>
          <c:spPr>
            <a:ln w="15875"/>
          </c:spPr>
          <c:marker>
            <c:symbol val="triangle"/>
            <c:size val="5"/>
            <c:spPr>
              <a:solidFill>
                <a:schemeClr val="accent2">
                  <a:lumMod val="20000"/>
                  <a:lumOff val="80000"/>
                </a:schemeClr>
              </a:solidFill>
            </c:spPr>
          </c:marker>
          <c:cat>
            <c:strRef>
              <c:f>'Looked After Children'!$Z$2:$AD$3</c:f>
              <c:strCache>
                <c:ptCount val="5"/>
                <c:pt idx="0">
                  <c:v>2015-16</c:v>
                </c:pt>
                <c:pt idx="1">
                  <c:v>2016-17</c:v>
                </c:pt>
                <c:pt idx="2">
                  <c:v>2017-18</c:v>
                </c:pt>
                <c:pt idx="3">
                  <c:v>2018-19</c:v>
                </c:pt>
                <c:pt idx="4">
                  <c:v>2019-20</c:v>
                </c:pt>
              </c:strCache>
            </c:strRef>
          </c:cat>
          <c:val>
            <c:numRef>
              <c:f>'Looked After Children'!$BM$57:$BQ$57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DA5A-4801-8F60-7F8EB3D7D00D}"/>
            </c:ext>
          </c:extLst>
        </c:ser>
        <c:ser>
          <c:idx val="8"/>
          <c:order val="17"/>
          <c:tx>
            <c:strRef>
              <c:f>'Looked After Children'!$AL$58</c:f>
              <c:strCache>
                <c:ptCount val="1"/>
                <c:pt idx="0">
                  <c:v>Torbay</c:v>
                </c:pt>
              </c:strCache>
            </c:strRef>
          </c:tx>
          <c:spPr>
            <a:ln w="12700"/>
          </c:spPr>
          <c:marker>
            <c:symbol val="circle"/>
            <c:size val="5"/>
            <c:spPr>
              <a:solidFill>
                <a:schemeClr val="accent3">
                  <a:lumMod val="20000"/>
                  <a:lumOff val="80000"/>
                </a:schemeClr>
              </a:solidFill>
            </c:spPr>
          </c:marker>
          <c:cat>
            <c:strRef>
              <c:f>'Looked After Children'!$Z$2:$AD$3</c:f>
              <c:strCache>
                <c:ptCount val="5"/>
                <c:pt idx="0">
                  <c:v>2015-16</c:v>
                </c:pt>
                <c:pt idx="1">
                  <c:v>2016-17</c:v>
                </c:pt>
                <c:pt idx="2">
                  <c:v>2017-18</c:v>
                </c:pt>
                <c:pt idx="3">
                  <c:v>2018-19</c:v>
                </c:pt>
                <c:pt idx="4">
                  <c:v>2019-20</c:v>
                </c:pt>
              </c:strCache>
            </c:strRef>
          </c:cat>
          <c:val>
            <c:numRef>
              <c:f>'Looked After Children'!$BM$58:$BQ$58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DA5A-4801-8F60-7F8EB3D7D00D}"/>
            </c:ext>
          </c:extLst>
        </c:ser>
        <c:ser>
          <c:idx val="23"/>
          <c:order val="18"/>
          <c:tx>
            <c:strRef>
              <c:f>'Looked After Children'!$AL$59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Children'!$BM$59:$BQ$59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DA5A-4801-8F60-7F8EB3D7D00D}"/>
            </c:ext>
          </c:extLst>
        </c:ser>
        <c:ser>
          <c:idx val="24"/>
          <c:order val="19"/>
          <c:tx>
            <c:strRef>
              <c:f>'Looked After Children'!$AL$60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Children'!$BM$60:$BQ$60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DA5A-4801-8F60-7F8EB3D7D00D}"/>
            </c:ext>
          </c:extLst>
        </c:ser>
        <c:ser>
          <c:idx val="25"/>
          <c:order val="20"/>
          <c:tx>
            <c:strRef>
              <c:f>'Looked After Children'!$AL$61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Children'!$BM$61:$BQ$61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DA5A-4801-8F60-7F8EB3D7D00D}"/>
            </c:ext>
          </c:extLst>
        </c:ser>
        <c:ser>
          <c:idx val="26"/>
          <c:order val="21"/>
          <c:tx>
            <c:strRef>
              <c:f>'Looked After Children'!$AL$62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Children'!$BM$62:$BQ$62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DA5A-4801-8F60-7F8EB3D7D00D}"/>
            </c:ext>
          </c:extLst>
        </c:ser>
        <c:ser>
          <c:idx val="4"/>
          <c:order val="22"/>
          <c:tx>
            <c:strRef>
              <c:f>'Looked After Children'!$AL$63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2015-16</c:v>
                </c:pt>
                <c:pt idx="1">
                  <c:v>2016-17</c:v>
                </c:pt>
                <c:pt idx="2">
                  <c:v>2017-18</c:v>
                </c:pt>
                <c:pt idx="3">
                  <c:v>2018-19</c:v>
                </c:pt>
                <c:pt idx="4">
                  <c:v>2019-20</c:v>
                </c:pt>
              </c:strCache>
            </c:strRef>
          </c:cat>
          <c:val>
            <c:numRef>
              <c:f>'Looked After Children'!$BM$63:$BQ$63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DA5A-4801-8F60-7F8EB3D7D00D}"/>
            </c:ext>
          </c:extLst>
        </c:ser>
        <c:ser>
          <c:idx val="14"/>
          <c:order val="23"/>
          <c:tx>
            <c:strRef>
              <c:f>'Looked After Children'!$AL$64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2015-16</c:v>
                </c:pt>
                <c:pt idx="1">
                  <c:v>2016-17</c:v>
                </c:pt>
                <c:pt idx="2">
                  <c:v>2017-18</c:v>
                </c:pt>
                <c:pt idx="3">
                  <c:v>2018-19</c:v>
                </c:pt>
                <c:pt idx="4">
                  <c:v>2019-20</c:v>
                </c:pt>
              </c:strCache>
            </c:strRef>
          </c:cat>
          <c:val>
            <c:numRef>
              <c:f>'Looked After Children'!$BM$64:$BQ$64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DA5A-4801-8F60-7F8EB3D7D00D}"/>
            </c:ext>
          </c:extLst>
        </c:ser>
        <c:ser>
          <c:idx val="6"/>
          <c:order val="24"/>
          <c:tx>
            <c:strRef>
              <c:f>'Looked After Children'!$AL$65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2015-16</c:v>
                </c:pt>
                <c:pt idx="1">
                  <c:v>2016-17</c:v>
                </c:pt>
                <c:pt idx="2">
                  <c:v>2017-18</c:v>
                </c:pt>
                <c:pt idx="3">
                  <c:v>2018-19</c:v>
                </c:pt>
                <c:pt idx="4">
                  <c:v>2019-20</c:v>
                </c:pt>
              </c:strCache>
            </c:strRef>
          </c:cat>
          <c:val>
            <c:numRef>
              <c:f>'Looked After Children'!$BM$65:$BQ$65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DA5A-4801-8F60-7F8EB3D7D00D}"/>
            </c:ext>
          </c:extLst>
        </c:ser>
        <c:dLbls>
          <c:showLegendKey val="0"/>
          <c:showVal val="0"/>
          <c:showCatName val="0"/>
          <c:showSerName val="0"/>
          <c:showPercent val="0"/>
          <c:showBubbleSize val="0"/>
        </c:dLbls>
        <c:marker val="1"/>
        <c:smooth val="0"/>
        <c:axId val="602387584"/>
        <c:axId val="602389504"/>
      </c:lineChart>
      <c:catAx>
        <c:axId val="602387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389504"/>
        <c:crosses val="autoZero"/>
        <c:auto val="1"/>
        <c:lblAlgn val="ctr"/>
        <c:lblOffset val="100"/>
        <c:tickLblSkip val="1"/>
        <c:tickMarkSkip val="1"/>
        <c:noMultiLvlLbl val="0"/>
      </c:catAx>
      <c:valAx>
        <c:axId val="602389504"/>
        <c:scaling>
          <c:orientation val="minMax"/>
          <c:max val="1"/>
          <c:min val="0.5"/>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38758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87095119606894844"/>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to Early Help which were </a:t>
            </a:r>
          </a:p>
          <a:p>
            <a:pPr>
              <a:defRPr sz="1000" b="1" i="0" u="none" strike="noStrike" baseline="0">
                <a:solidFill>
                  <a:srgbClr val="000000"/>
                </a:solidFill>
                <a:latin typeface="Arial"/>
                <a:ea typeface="Arial"/>
                <a:cs typeface="Arial"/>
              </a:defRPr>
            </a:pPr>
            <a:r>
              <a:rPr lang="en-GB"/>
              <a:t>Re-referrals</a:t>
            </a:r>
          </a:p>
        </c:rich>
      </c:tx>
      <c:layout>
        <c:manualLayout>
          <c:xMode val="edge"/>
          <c:yMode val="edge"/>
          <c:x val="0.1422304280930401"/>
          <c:y val="8.4739639026603156E-3"/>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519636434334601"/>
        </c:manualLayout>
      </c:layout>
      <c:lineChart>
        <c:grouping val="standard"/>
        <c:varyColors val="0"/>
        <c:ser>
          <c:idx val="0"/>
          <c:order val="0"/>
          <c:tx>
            <c:strRef>
              <c:f>EH_Referrals!$AK$40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A138-4B45-A4D2-86359523A42E}"/>
              </c:ext>
            </c:extLst>
          </c:dPt>
          <c:cat>
            <c:strRef>
              <c:f>EH_Referrals!$Z$2:$AD$3</c:f>
              <c:strCache>
                <c:ptCount val="5"/>
                <c:pt idx="0">
                  <c:v>2015-16</c:v>
                </c:pt>
                <c:pt idx="1">
                  <c:v>2016-17</c:v>
                </c:pt>
                <c:pt idx="2">
                  <c:v>2017-18</c:v>
                </c:pt>
                <c:pt idx="3">
                  <c:v>2018-19</c:v>
                </c:pt>
                <c:pt idx="4">
                  <c:v>2019-20</c:v>
                </c:pt>
              </c:strCache>
            </c:strRef>
          </c:cat>
          <c:val>
            <c:numRef>
              <c:f>EH_Referrals!$AY$40:$BC$40</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138-4B45-A4D2-86359523A42E}"/>
            </c:ext>
          </c:extLst>
        </c:ser>
        <c:ser>
          <c:idx val="1"/>
          <c:order val="1"/>
          <c:tx>
            <c:strRef>
              <c:f>EH_Referrals!$AK$41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EH_Referrals!$AY$41:$BC$41</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A138-4B45-A4D2-86359523A42E}"/>
            </c:ext>
          </c:extLst>
        </c:ser>
        <c:ser>
          <c:idx val="2"/>
          <c:order val="2"/>
          <c:tx>
            <c:strRef>
              <c:f>EH_Referrals!$AK$42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EH_Referrals!$AY$42:$BC$42</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A138-4B45-A4D2-86359523A42E}"/>
            </c:ext>
          </c:extLst>
        </c:ser>
        <c:ser>
          <c:idx val="5"/>
          <c:order val="3"/>
          <c:tx>
            <c:strRef>
              <c:f>EH_Referrals!$AK$43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EH_Referrals!$AY$43:$BC$43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A138-4B45-A4D2-86359523A42E}"/>
            </c:ext>
          </c:extLst>
        </c:ser>
        <c:ser>
          <c:idx val="9"/>
          <c:order val="4"/>
          <c:tx>
            <c:strRef>
              <c:f>EH_Referrals!$AK$44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EH_Referrals!$AY$44:$BC$44</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A138-4B45-A4D2-86359523A42E}"/>
            </c:ext>
          </c:extLst>
        </c:ser>
        <c:ser>
          <c:idx val="10"/>
          <c:order val="5"/>
          <c:tx>
            <c:strRef>
              <c:f>EH_Referrals!$AK$45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EH_Referrals!$AY$45:$BC$45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A138-4B45-A4D2-86359523A42E}"/>
            </c:ext>
          </c:extLst>
        </c:ser>
        <c:ser>
          <c:idx val="11"/>
          <c:order val="6"/>
          <c:tx>
            <c:strRef>
              <c:f>EH_Referrals!$AK$46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EH_Referrals!$AY$46:$BC$46</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A138-4B45-A4D2-86359523A42E}"/>
            </c:ext>
          </c:extLst>
        </c:ser>
        <c:ser>
          <c:idx val="12"/>
          <c:order val="7"/>
          <c:tx>
            <c:strRef>
              <c:f>EH_Referrals!$AK$47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EH_Referrals!$AY$47:$BC$47</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A138-4B45-A4D2-86359523A42E}"/>
            </c:ext>
          </c:extLst>
        </c:ser>
        <c:ser>
          <c:idx val="13"/>
          <c:order val="8"/>
          <c:tx>
            <c:strRef>
              <c:f>EH_Referrals!$AK$48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EH_Referrals!$AY$48:$BC$48</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A138-4B45-A4D2-86359523A42E}"/>
            </c:ext>
          </c:extLst>
        </c:ser>
        <c:ser>
          <c:idx val="15"/>
          <c:order val="9"/>
          <c:tx>
            <c:strRef>
              <c:f>EH_Referrals!$AK$49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EH_Referrals!$AY$49:$BC$49</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A138-4B45-A4D2-86359523A42E}"/>
            </c:ext>
          </c:extLst>
        </c:ser>
        <c:ser>
          <c:idx val="16"/>
          <c:order val="10"/>
          <c:tx>
            <c:strRef>
              <c:f>EH_Referrals!$AK$50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EH_Referrals!$AY$50:$BC$50</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A138-4B45-A4D2-86359523A42E}"/>
            </c:ext>
          </c:extLst>
        </c:ser>
        <c:ser>
          <c:idx val="17"/>
          <c:order val="11"/>
          <c:tx>
            <c:strRef>
              <c:f>EH_Referrals!$AK$51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EH_Referrals!$AY$51:$BC$51</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A138-4B45-A4D2-86359523A42E}"/>
            </c:ext>
          </c:extLst>
        </c:ser>
        <c:ser>
          <c:idx val="19"/>
          <c:order val="12"/>
          <c:tx>
            <c:strRef>
              <c:f>EH_Referrals!$AK$52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EH_Referrals!$AY$52:$BC$52</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A138-4B45-A4D2-86359523A42E}"/>
            </c:ext>
          </c:extLst>
        </c:ser>
        <c:ser>
          <c:idx val="3"/>
          <c:order val="13"/>
          <c:tx>
            <c:strRef>
              <c:f>EH_Referrals!$AK$53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EH_Referrals!$AY$53:$BC$53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A138-4B45-A4D2-86359523A42E}"/>
            </c:ext>
          </c:extLst>
        </c:ser>
        <c:ser>
          <c:idx val="20"/>
          <c:order val="14"/>
          <c:tx>
            <c:strRef>
              <c:f>EH_Referrals!$AK$54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EH_Referrals!$AY$54:$BC$54</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A138-4B45-A4D2-86359523A42E}"/>
            </c:ext>
          </c:extLst>
        </c:ser>
        <c:ser>
          <c:idx val="22"/>
          <c:order val="15"/>
          <c:tx>
            <c:strRef>
              <c:f>EH_Referrals!$AK$55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EH_Referrals!$AY$55:$BC$55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A138-4B45-A4D2-86359523A42E}"/>
            </c:ext>
          </c:extLst>
        </c:ser>
        <c:ser>
          <c:idx val="7"/>
          <c:order val="16"/>
          <c:tx>
            <c:strRef>
              <c:f>EH_Referrals!$AK$56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EH_Referrals!$Z$2:$AD$3</c:f>
              <c:strCache>
                <c:ptCount val="5"/>
                <c:pt idx="0">
                  <c:v>2015-16</c:v>
                </c:pt>
                <c:pt idx="1">
                  <c:v>2016-17</c:v>
                </c:pt>
                <c:pt idx="2">
                  <c:v>2017-18</c:v>
                </c:pt>
                <c:pt idx="3">
                  <c:v>2018-19</c:v>
                </c:pt>
                <c:pt idx="4">
                  <c:v>2019-20</c:v>
                </c:pt>
              </c:strCache>
            </c:strRef>
          </c:cat>
          <c:val>
            <c:numRef>
              <c:f>EH_Referrals!$AY$56:$BC$56</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A138-4B45-A4D2-86359523A42E}"/>
            </c:ext>
          </c:extLst>
        </c:ser>
        <c:ser>
          <c:idx val="8"/>
          <c:order val="17"/>
          <c:tx>
            <c:strRef>
              <c:f>EH_Referrals!$AK$57</c:f>
              <c:strCache>
                <c:ptCount val="1"/>
                <c:pt idx="0">
                  <c:v>Torbay</c:v>
                </c:pt>
              </c:strCache>
            </c:strRef>
          </c:tx>
          <c:spPr>
            <a:ln w="12700"/>
          </c:spPr>
          <c:marker>
            <c:symbol val="circle"/>
            <c:size val="5"/>
            <c:spPr>
              <a:solidFill>
                <a:schemeClr val="accent3">
                  <a:lumMod val="20000"/>
                  <a:lumOff val="80000"/>
                </a:schemeClr>
              </a:solidFill>
            </c:spPr>
          </c:marker>
          <c:cat>
            <c:strRef>
              <c:f>EH_Referrals!$Z$2:$AD$3</c:f>
              <c:strCache>
                <c:ptCount val="5"/>
                <c:pt idx="0">
                  <c:v>2015-16</c:v>
                </c:pt>
                <c:pt idx="1">
                  <c:v>2016-17</c:v>
                </c:pt>
                <c:pt idx="2">
                  <c:v>2017-18</c:v>
                </c:pt>
                <c:pt idx="3">
                  <c:v>2018-19</c:v>
                </c:pt>
                <c:pt idx="4">
                  <c:v>2019-20</c:v>
                </c:pt>
              </c:strCache>
            </c:strRef>
          </c:cat>
          <c:val>
            <c:numRef>
              <c:f>EH_Referrals!$AY$57:$BC$57</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A138-4B45-A4D2-86359523A42E}"/>
            </c:ext>
          </c:extLst>
        </c:ser>
        <c:ser>
          <c:idx val="23"/>
          <c:order val="18"/>
          <c:tx>
            <c:strRef>
              <c:f>EH_Referrals!$AK$58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EH_Referrals!$AY$58:$BC$58</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A138-4B45-A4D2-86359523A42E}"/>
            </c:ext>
          </c:extLst>
        </c:ser>
        <c:ser>
          <c:idx val="24"/>
          <c:order val="19"/>
          <c:tx>
            <c:strRef>
              <c:f>EH_Referrals!$AK$59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EH_Referrals!$AY$59:$BC$59</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A138-4B45-A4D2-86359523A42E}"/>
            </c:ext>
          </c:extLst>
        </c:ser>
        <c:ser>
          <c:idx val="25"/>
          <c:order val="20"/>
          <c:tx>
            <c:strRef>
              <c:f>EH_Referrals!$AK$60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EH_Referrals!$AY$60:$BC$60</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A138-4B45-A4D2-86359523A42E}"/>
            </c:ext>
          </c:extLst>
        </c:ser>
        <c:ser>
          <c:idx val="26"/>
          <c:order val="21"/>
          <c:tx>
            <c:strRef>
              <c:f>EH_Referrals!$AK$61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EH_Referrals!$AY$61:$BC$61</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A138-4B45-A4D2-86359523A42E}"/>
            </c:ext>
          </c:extLst>
        </c:ser>
        <c:ser>
          <c:idx val="4"/>
          <c:order val="22"/>
          <c:tx>
            <c:strRef>
              <c:f>EH_Referrals!$AK$62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EH_Referrals!$Z$2:$AD$3</c:f>
              <c:strCache>
                <c:ptCount val="5"/>
                <c:pt idx="0">
                  <c:v>2015-16</c:v>
                </c:pt>
                <c:pt idx="1">
                  <c:v>2016-17</c:v>
                </c:pt>
                <c:pt idx="2">
                  <c:v>2017-18</c:v>
                </c:pt>
                <c:pt idx="3">
                  <c:v>2018-19</c:v>
                </c:pt>
                <c:pt idx="4">
                  <c:v>2019-20</c:v>
                </c:pt>
              </c:strCache>
            </c:strRef>
          </c:cat>
          <c:val>
            <c:numRef>
              <c:f>EH_Referrals!$AY$62:$BC$62</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A138-4B45-A4D2-86359523A42E}"/>
            </c:ext>
          </c:extLst>
        </c:ser>
        <c:ser>
          <c:idx val="14"/>
          <c:order val="23"/>
          <c:tx>
            <c:strRef>
              <c:f>EH_Referrals!$AK$63</c:f>
              <c:strCache>
                <c:ptCount val="1"/>
                <c:pt idx="0">
                  <c:v>Selected LA- (none)</c:v>
                </c:pt>
              </c:strCache>
            </c:strRef>
          </c:tx>
          <c:spPr>
            <a:ln w="19050">
              <a:solidFill>
                <a:schemeClr val="tx1">
                  <a:lumMod val="75000"/>
                  <a:lumOff val="25000"/>
                </a:schemeClr>
              </a:solidFill>
            </a:ln>
          </c:spPr>
          <c:marker>
            <c:symbol val="circle"/>
            <c:size val="6"/>
            <c:spPr>
              <a:solidFill>
                <a:srgbClr val="66FF99"/>
              </a:solidFill>
              <a:ln w="12700">
                <a:solidFill>
                  <a:schemeClr val="tx1">
                    <a:lumMod val="75000"/>
                    <a:lumOff val="25000"/>
                  </a:schemeClr>
                </a:solidFill>
              </a:ln>
            </c:spPr>
          </c:marker>
          <c:cat>
            <c:strRef>
              <c:f>EH_Referrals!$Z$2:$AD$3</c:f>
              <c:strCache>
                <c:ptCount val="5"/>
                <c:pt idx="0">
                  <c:v>2015-16</c:v>
                </c:pt>
                <c:pt idx="1">
                  <c:v>2016-17</c:v>
                </c:pt>
                <c:pt idx="2">
                  <c:v>2017-18</c:v>
                </c:pt>
                <c:pt idx="3">
                  <c:v>2018-19</c:v>
                </c:pt>
                <c:pt idx="4">
                  <c:v>2019-20</c:v>
                </c:pt>
              </c:strCache>
            </c:strRef>
          </c:cat>
          <c:val>
            <c:numRef>
              <c:f>EH_Referrals!$AY$63:$BC$63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A138-4B45-A4D2-86359523A42E}"/>
            </c:ext>
          </c:extLst>
        </c:ser>
        <c:dLbls>
          <c:showLegendKey val="0"/>
          <c:showVal val="0"/>
          <c:showCatName val="0"/>
          <c:showSerName val="0"/>
          <c:showPercent val="0"/>
          <c:showBubbleSize val="0"/>
        </c:dLbls>
        <c:marker val="1"/>
        <c:smooth val="0"/>
        <c:axId val="511536128"/>
        <c:axId val="511558784"/>
      </c:lineChart>
      <c:catAx>
        <c:axId val="511536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1558784"/>
        <c:crosses val="autoZero"/>
        <c:auto val="1"/>
        <c:lblAlgn val="ctr"/>
        <c:lblOffset val="100"/>
        <c:tickLblSkip val="1"/>
        <c:tickMarkSkip val="1"/>
        <c:noMultiLvlLbl val="0"/>
      </c:catAx>
      <c:valAx>
        <c:axId val="51155878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153612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29488554198079836"/>
          <c:h val="0.9068617348757330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Looked After Children</a:t>
            </a:r>
            <a:r>
              <a:rPr lang="en-GB" baseline="0"/>
              <a:t> </a:t>
            </a:r>
            <a:r>
              <a:rPr lang="en-GB"/>
              <a:t>vs. IDACI</a:t>
            </a:r>
          </a:p>
        </c:rich>
      </c:tx>
      <c:layout>
        <c:manualLayout>
          <c:xMode val="edge"/>
          <c:yMode val="edge"/>
          <c:x val="0.19838689394594905"/>
          <c:y val="3.612593674659445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'Looked After Children'!$AR$38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B8F3-44CC-8AB8-829BF691E915}"/>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{5FC11C18-7454-417C-B21A-2F235D5DB462}</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B8F3-44CC-8AB8-829BF691E915}"/>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{3662FCBA-17E3-4ECC-982B-1DB9B24D25A4}</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B8F3-44CC-8AB8-829BF691E915}"/>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{F6D6D874-1BCB-4E49-AB4D-CD8154F8E8B4}</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B8F3-44CC-8AB8-829BF691E915}"/>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{418AF141-3772-414E-A86E-DEB95B593FE4}</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B8F3-44CC-8AB8-829BF691E915}"/>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{8699BB9F-0277-46D9-9DF3-77FA1429A0C4}</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B8F3-44CC-8AB8-829BF691E915}"/>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{618D1846-8075-414A-881D-92C4CCC93922}</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B8F3-44CC-8AB8-829BF691E915}"/>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{059CB127-83E5-4C6A-ABDC-59FE0C39223B}</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B8F3-44CC-8AB8-829BF691E915}"/>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{6C36D6DC-390D-4833-92AA-73BF8413B529}</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B8F3-44CC-8AB8-829BF691E915}"/>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{D9F2EC64-7C0D-4ADA-B727-D1A3F480A6E9}</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B8F3-44CC-8AB8-829BF691E915}"/>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{7FCDAB24-5311-43C9-9A4A-979DB388626A}</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B8F3-44CC-8AB8-829BF691E915}"/>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{A5B19082-04D6-430E-9A98-5D24E330A302}</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B8F3-44CC-8AB8-829BF691E915}"/>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{0BADD139-3794-4860-9CED-A6536B8055AB}</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B8F3-44CC-8AB8-829BF691E915}"/>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{36081D22-49D9-43B8-8F13-F68718A6599B}</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B8F3-44CC-8AB8-829BF691E915}"/>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{B3C8C0AC-775A-456E-83ED-AC607AC6E690}</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B8F3-44CC-8AB8-829BF691E915}"/>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{E070F54D-EFBA-466B-8FCE-E605F5E5E697}</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B8F3-44CC-8AB8-829BF691E915}"/>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{AC8F7689-F385-4C13-B749-B38812545339}</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B8F3-44CC-8AB8-829BF691E915}"/>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{C391D31A-A366-46C8-8003-0AC3BCB46329}</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B8F3-44CC-8AB8-829BF691E915}"/>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{D534E49C-F3FD-4261-BD99-EA8B7AA5750A}</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B8F3-44CC-8AB8-829BF691E915}"/>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{79893B5F-E7F2-4EDF-9054-50AB0DB2821B}</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B8F3-44CC-8AB8-829BF691E915}"/>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('Looked After Children'!$AR$41:$AR$53,'Looked After Children'!$AR$55:$AR$56,'Looked After Children'!$AR$59:$AR$62)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('Looked After Children'!$AQ$41:$AQ$53,'Looked After Children'!$AQ$55:$AQ$56,'Looked After Children'!$AQ$59:$AQ$62)</c:f>
              <c:numCache>
                <c:formatCode>0.0</c:formatCode>
                <c:ptCount val="19"/>
                <c:pt idx="0">
                  <c:v>50</c:v>
                </c:pt>
                <c:pt idx="1">
                  <c:v>73.558648111332005</c:v>
                </c:pt>
                <c:pt idx="2">
                  <c:v>38.504375497215598</c:v>
                </c:pt>
                <c:pt idx="3">
                  <c:v>55.691439322671684</c:v>
                </c:pt>
                <c:pt idx="4">
                  <c:v>56.348927189588466</c:v>
                </c:pt>
                <c:pt idx="5">
                  <c:v>106.88259109311741</c:v>
                </c:pt>
                <c:pt idx="6">
                  <c:v>52.559627690517736</c:v>
                </c:pt>
                <c:pt idx="7">
                  <c:v>65.538461538461547</c:v>
                </c:pt>
                <c:pt idx="8">
                  <c:v>58.575581395348834</c:v>
                </c:pt>
                <c:pt idx="9">
                  <c:v>52.498288843258045</c:v>
                </c:pt>
                <c:pt idx="10">
                  <c:v>106.39269406392694</c:v>
                </c:pt>
                <c:pt idx="11">
                  <c:v>75.675675675675677</c:v>
                </c:pt>
                <c:pt idx="12">
                  <c:v>45.475638051044086</c:v>
                </c:pt>
                <c:pt idx="13">
                  <c:v>94.736842105263165</c:v>
                </c:pt>
                <c:pt idx="14">
                  <c:v>37.187263078089465</c:v>
                </c:pt>
                <c:pt idx="15">
                  <c:v>44.101123595505619</c:v>
                </c:pt>
                <c:pt idx="16">
                  <c:v>45.883021010789321</c:v>
                </c:pt>
                <c:pt idx="17">
                  <c:v>33.429394812680115</c:v>
                </c:pt>
                <c:pt idx="18">
                  <c:v>24.257425742574256</c:v>
                </c:pt>
              </c:numCache>
            </c:numRef>
          </c:yVal>
          <c:smooth val="0"/>
          <c:extLst>
            <c:ext xmlns:c16="http://schemas.microsoft.com/office/drawing/2014/chart" uri="{C3380CC4-5D6E-409C-BE32-E72D297353CC}">
              <c16:uniqueId val="{00000015-B8F3-44CC-8AB8-829BF691E915}"/>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6-B8F3-44CC-8AB8-829BF691E915}"/>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{01B01B79-66F8-4A21-912B-E4E4E985BDA3}</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6-B8F3-44CC-8AB8-829BF691E915}"/>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{1A58620F-C21B-4DBC-B2D0-7290B5E9373F}</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7-B8F3-44CC-8AB8-829BF691E915}"/>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{B0C17AA8-564F-4905-B171-ED42A73FE8A6}</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8-B8F3-44CC-8AB8-829BF691E915}"/>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('Looked After Children'!$AR$54,'Looked After Children'!$AR$57:$AR$58)</c:f>
              <c:numCache>
                <c:formatCode>0.0</c:formatCode>
                <c:ptCount val="3"/>
                <c:pt idx="0">
                  <c:v>13.600000000000001</c:v>
                </c:pt>
                <c:pt idx="1">
                  <c:v>14.899999999999999</c:v>
                </c:pt>
                <c:pt idx="2">
                  <c:v>21.9</c:v>
                </c:pt>
              </c:numCache>
            </c:numRef>
          </c:xVal>
          <c:yVal>
            <c:numRef>
              <c:f>('Looked After Children'!$AQ$54,'Looked After Children'!$AQ$57:$AQ$58)</c:f>
              <c:numCache>
                <c:formatCode>0.0</c:formatCode>
                <c:ptCount val="3"/>
                <c:pt idx="0">
                  <c:v>47.57194244604316</c:v>
                </c:pt>
                <c:pt idx="1">
                  <c:v>59.722222222222229</c:v>
                </c:pt>
                <c:pt idx="2">
                  <c:v>139.453125</c:v>
                </c:pt>
              </c:numCache>
            </c:numRef>
          </c:yVal>
          <c:smooth val="0"/>
          <c:extLst>
            <c:ext xmlns:c16="http://schemas.microsoft.com/office/drawing/2014/chart" uri="{C3380CC4-5D6E-409C-BE32-E72D297353CC}">
              <c16:uniqueId val="{00000019-B8F3-44CC-8AB8-829BF691E915}"/>
            </c:ext>
          </c:extLst>
        </c:ser>
        <c:ser>
          <c:idx val="1"/>
          <c:order val="2"/>
          <c:tx>
            <c:strRef>
              <c:f>'Looked After Children'!$AA$4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'Looked After Children'!$AR$65</c:f>
              <c:numCache>
                <c:formatCode>0.0</c:formatCode>
                <c:ptCount val="1"/>
                <c:pt idx="0">
                  <c:v>#N/A</c:v>
                </c:pt>
              </c:numCache>
            </c:numRef>
          </c:xVal>
          <c:yVal>
            <c:numRef>
              <c:f>'Looked After Children'!$AQ$65</c:f>
              <c:numCache>
                <c:formatCode>0.0</c:formatCode>
                <c:ptCount val="1"/>
                <c:pt idx="0">
                  <c:v>#N/A</c:v>
                </c:pt>
              </c:numCache>
            </c:numRef>
          </c:yVal>
          <c:smooth val="0"/>
          <c:extLst>
            <c:ext xmlns:c16="http://schemas.microsoft.com/office/drawing/2014/chart" uri="{C3380CC4-5D6E-409C-BE32-E72D297353CC}">
              <c16:uniqueId val="{0000001A-B8F3-44CC-8AB8-829BF691E915}"/>
            </c:ext>
          </c:extLst>
        </c:ser>
        <c:ser>
          <c:idx val="4"/>
          <c:order val="3"/>
          <c:tx>
            <c:strRef>
              <c:f>'Looked After Children'!$B$32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'Looked After Children'!$S$32</c:f>
              <c:numCache>
                <c:formatCode>0.0</c:formatCode>
                <c:ptCount val="1"/>
                <c:pt idx="0">
                  <c:v>12.371268250968637</c:v>
                </c:pt>
              </c:numCache>
            </c:numRef>
          </c:xVal>
          <c:yVal>
            <c:numRef>
              <c:f>'Looked After Children'!$O$32</c:f>
              <c:numCache>
                <c:formatCode>0.0</c:formatCode>
                <c:ptCount val="1"/>
                <c:pt idx="0">
                  <c:v>53.067235425553527</c:v>
                </c:pt>
              </c:numCache>
            </c:numRef>
          </c:yVal>
          <c:smooth val="0"/>
          <c:extLst>
            <c:ext xmlns:c16="http://schemas.microsoft.com/office/drawing/2014/chart" uri="{C3380CC4-5D6E-409C-BE32-E72D297353CC}">
              <c16:uniqueId val="{0000001B-B8F3-44CC-8AB8-829BF691E915}"/>
            </c:ext>
          </c:extLst>
        </c:ser>
        <c:ser>
          <c:idx val="2"/>
          <c:order val="4"/>
          <c:tx>
            <c:strRef>
              <c:f>'Looked After Children'!$Y$43</c:f>
              <c:strCache>
                <c:ptCount val="1"/>
                <c:pt idx="0">
                  <c:v>National Trend 2020</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1FCA-4B4B-BE41-BEA4220E3B4F}"/>
                </c:ext>
              </c:extLst>
            </c:dLbl>
            <c:dLbl>
              <c:idx val="1"/>
              <c:layout>
                <c:manualLayout>
                  <c:x val="-3.8011695906432746E-2"/>
                  <c:y val="-1.2066365007541479E-2"/>
                </c:manualLayout>
              </c:layout>
              <c:tx>
                <c:strRef>
                  <c:f>'Looked After Children'!$AD$43</c:f>
                  <c:strCache>
                    <c:ptCount val="1"/>
                    <c:pt idx="0">
                      <c:v>r² = 0.419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{CDC73570-5BA4-4449-B705-C2AB8283B45B}</c15:txfldGUID>
                      <c15:f>'Looked After Children'!$AD$43</c15:f>
                      <c15:dlblFieldTableCache>
                        <c:ptCount val="1"/>
                        <c:pt idx="0">
                          <c:v>r² = 0.419</c:v>
                        </c:pt>
                      </c15:dlblFieldTableCache>
                    </c15:dlblFTEntry>
                  </c15:dlblFieldTable>
                  <c15:showDataLabelsRange val="0"/>
                </c:ext>
                <c:ext xmlns:c16="http://schemas.microsoft.com/office/drawing/2014/chart" uri="{C3380CC4-5D6E-409C-BE32-E72D297353CC}">
                  <c16:uniqueId val="{00000005-1FCA-4B4B-BE41-BEA4220E3B4F}"/>
                </c:ext>
              </c:extLst>
            </c:dLbl>
            <c:spPr>
              <a:noFill/>
              <a:ln>
                <a:noFill/>
              </a:ln>
              <a:effectLst/>
            </c:spPr>
            <c:txPr>
              <a:bodyPr wrap="square" lIns="38100" tIns="19050" rIns="38100" bIns="19050" anchor="ctr">
                <a:spAutoFit/>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'Looked After Children'!$AB$43:$AB$44</c:f>
              <c:numCache>
                <c:formatCode>General</c:formatCode>
                <c:ptCount val="2"/>
                <c:pt idx="0" formatCode="#,##0.0">
                  <c:v>7</c:v>
                </c:pt>
                <c:pt idx="1">
                  <c:v>30</c:v>
                </c:pt>
              </c:numCache>
            </c:numRef>
          </c:xVal>
          <c:yVal>
            <c:numRef>
              <c:f>'Looked After Children'!$AC$43:$AC$44</c:f>
              <c:numCache>
                <c:formatCode>0.0</c:formatCode>
                <c:ptCount val="2"/>
                <c:pt idx="0">
                  <c:v>33.650323625067571</c:v>
                </c:pt>
                <c:pt idx="1">
                  <c:v>119.92739205391328</c:v>
                </c:pt>
              </c:numCache>
            </c:numRef>
          </c:yVal>
          <c:smooth val="0"/>
          <c:extLst>
            <c:ext xmlns:c16="http://schemas.microsoft.com/office/drawing/2014/chart" uri="{C3380CC4-5D6E-409C-BE32-E72D297353CC}">
              <c16:uniqueId val="{0000001C-B8F3-44CC-8AB8-829BF691E915}"/>
            </c:ext>
          </c:extLst>
        </c:ser>
        <c:ser>
          <c:idx val="5"/>
          <c:order val="5"/>
          <c:tx>
            <c:strRef>
              <c:f>'Looked After Children'!$Y$41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1FCA-4B4B-BE41-BEA4220E3B4F}"/>
                </c:ext>
              </c:extLst>
            </c:dLbl>
            <c:dLbl>
              <c:idx val="1"/>
              <c:layout>
                <c:manualLayout>
                  <c:x val="-0.14035087719298245"/>
                  <c:y val="-1.8099547511312219E-2"/>
                </c:manualLayout>
              </c:layout>
              <c:tx>
                <c:strRef>
                  <c:f>'Looked After Children'!$AD$42</c:f>
                  <c:strCache>
                    <c:ptCount val="1"/>
                    <c:pt idx="0">
                      <c:v>r² = 0.721</c:v>
                    </c:pt>
                  </c:strCache>
                </c:strRef>
              </c:tx>
              <c:spPr>
                <a:noFill/>
                <a:ln>
                  <a:noFill/>
                </a:ln>
                <a:effectLst/>
              </c:spPr>
              <c:txPr>
                <a:bodyPr wrap="square" lIns="38100" tIns="19050" rIns="38100" bIns="19050" anchor="ctr">
                  <a:spAutoFit/>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{1324C65A-F3AB-413F-AE33-1C9DD6467651}</c15:txfldGUID>
                      <c15:f>'Looked After Children'!$AD$42</c15:f>
                      <c15:dlblFieldTableCache>
                        <c:ptCount val="1"/>
                        <c:pt idx="0">
                          <c:v>r² = 0.721</c:v>
                        </c:pt>
                      </c15:dlblFieldTableCache>
                    </c15:dlblFTEntry>
                  </c15:dlblFieldTable>
                  <c15:showDataLabelsRange val="0"/>
                </c:ext>
                <c:ext xmlns:c16="http://schemas.microsoft.com/office/drawing/2014/chart" uri="{C3380CC4-5D6E-409C-BE32-E72D297353CC}">
                  <c16:uniqueId val="{00000007-1FCA-4B4B-BE41-BEA4220E3B4F}"/>
                </c:ext>
              </c:extLst>
            </c:dLbl>
            <c:spPr>
              <a:noFill/>
              <a:ln>
                <a:noFill/>
              </a:ln>
              <a:effectLst/>
            </c:spPr>
            <c:txPr>
              <a:bodyPr wrap="square" lIns="38100" tIns="19050" rIns="38100" bIns="19050" anchor="ctr">
                <a:spAutoFit/>
              </a:bodyPr>
              <a:lstStyle/>
              <a:p>
                <a:pPr>
                  <a:defRPr>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'Looked After Children'!$AB$41:$AB$42</c:f>
              <c:numCache>
                <c:formatCode>General</c:formatCode>
                <c:ptCount val="2"/>
                <c:pt idx="0" formatCode="#,##0.0">
                  <c:v>5</c:v>
                </c:pt>
                <c:pt idx="1">
                  <c:v>28</c:v>
                </c:pt>
              </c:numCache>
            </c:numRef>
          </c:xVal>
          <c:yVal>
            <c:numRef>
              <c:f>'Looked After Children'!$AC$41:$AC$42</c:f>
              <c:numCache>
                <c:formatCode>0.0</c:formatCode>
                <c:ptCount val="2"/>
                <c:pt idx="0">
                  <c:v>24.726490507571732</c:v>
                </c:pt>
                <c:pt idx="1">
                  <c:v>121.80833588556089</c:v>
                </c:pt>
              </c:numCache>
            </c:numRef>
          </c:yVal>
          <c:smooth val="0"/>
          <c:extLst>
            <c:ext xmlns:c16="http://schemas.microsoft.com/office/drawing/2014/chart" uri="{C3380CC4-5D6E-409C-BE32-E72D297353CC}">
              <c16:uniqueId val="{00000003-1FCA-4B4B-BE41-BEA4220E3B4F}"/>
            </c:ext>
          </c:extLst>
        </c:ser>
        <c:dLbls>
          <c:showLegendKey val="0"/>
          <c:showVal val="0"/>
          <c:showCatName val="0"/>
          <c:showSerName val="0"/>
          <c:showPercent val="0"/>
          <c:showBubbleSize val="0"/>
        </c:dLbls>
        <c:axId val="602516480"/>
        <c:axId val="602875008"/>
      </c:scatterChart>
      <c:valAx>
        <c:axId val="602516480"/>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875008"/>
        <c:crosses val="autoZero"/>
        <c:crossBetween val="midCat"/>
        <c:majorUnit val="5"/>
      </c:valAx>
      <c:valAx>
        <c:axId val="60287500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Looked After Children  per 10,000 0-17 year olds</a:t>
                </a:r>
              </a:p>
            </c:rich>
          </c:tx>
          <c:layout>
            <c:manualLayout>
              <c:xMode val="edge"/>
              <c:yMode val="edge"/>
              <c:x val="6.359966542643708E-2"/>
              <c:y val="0.1611933981225319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51648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Starting to be Looked After, </a:t>
            </a:r>
          </a:p>
          <a:p>
            <a:pPr>
              <a:defRPr sz="1000" b="1" i="0" u="none" strike="noStrike" baseline="0">
                <a:solidFill>
                  <a:srgbClr val="000000"/>
                </a:solidFill>
                <a:latin typeface="Arial"/>
                <a:ea typeface="Arial"/>
                <a:cs typeface="Arial"/>
              </a:defRPr>
            </a:pPr>
            <a:r>
              <a:rPr lang="en-GB"/>
              <a:t>per 10,000 0-17 year olds</a:t>
            </a:r>
          </a:p>
        </c:rich>
      </c:tx>
      <c:layout>
        <c:manualLayout>
          <c:xMode val="edge"/>
          <c:yMode val="edge"/>
          <c:x val="0.21406040012633276"/>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226831684269523"/>
        </c:manualLayout>
      </c:layout>
      <c:lineChart>
        <c:grouping val="standard"/>
        <c:varyColors val="0"/>
        <c:ser>
          <c:idx val="0"/>
          <c:order val="0"/>
          <c:tx>
            <c:strRef>
              <c:f>New_Ceased_LAC!$AL$41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8143-4367-8D6C-9BE96F85EAB2}"/>
              </c:ext>
            </c:extLst>
          </c:dPt>
          <c:cat>
            <c:strRef>
              <c:f>New_Ceased_LAC!$Z$2:$AD$3</c:f>
              <c:strCache>
                <c:ptCount val="5"/>
                <c:pt idx="0">
                  <c:v>2015-16</c:v>
                </c:pt>
                <c:pt idx="1">
                  <c:v>2016-17</c:v>
                </c:pt>
                <c:pt idx="2">
                  <c:v>2017-18</c:v>
                </c:pt>
                <c:pt idx="3">
                  <c:v>2018-19</c:v>
                </c:pt>
                <c:pt idx="4">
                  <c:v>2019-20</c:v>
                </c:pt>
              </c:strCache>
            </c:strRef>
          </c:cat>
          <c:val>
            <c:numRef>
              <c:f>New_Ceased_LAC!$AM$41:$AQ$41</c:f>
              <c:numCache>
                <c:formatCode>0.0</c:formatCode>
                <c:ptCount val="5"/>
                <c:pt idx="0">
                  <c:v>21.276595744680851</c:v>
                </c:pt>
                <c:pt idx="1">
                  <c:v>23.75886524822695</c:v>
                </c:pt>
                <c:pt idx="2">
                  <c:v>29.893238434163699</c:v>
                </c:pt>
                <c:pt idx="3">
                  <c:v>29.681978798586574</c:v>
                </c:pt>
                <c:pt idx="4">
                  <c:v>16.549295774647888</c:v>
                </c:pt>
              </c:numCache>
            </c:numRef>
          </c:val>
          <c:smooth val="0"/>
          <c:extLst>
            <c:ext xmlns:c16="http://schemas.microsoft.com/office/drawing/2014/chart" uri="{C3380CC4-5D6E-409C-BE32-E72D297353CC}">
              <c16:uniqueId val="{00000001-8143-4367-8D6C-9BE96F85EAB2}"/>
            </c:ext>
          </c:extLst>
        </c:ser>
        <c:ser>
          <c:idx val="1"/>
          <c:order val="1"/>
          <c:tx>
            <c:strRef>
              <c:f>New_Ceased_LAC!$AL$42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New_Ceased_LAC!$AM$42:$AQ$42</c:f>
              <c:numCache>
                <c:formatCode>0.0</c:formatCode>
                <c:ptCount val="5"/>
                <c:pt idx="0">
                  <c:v>39.84375</c:v>
                </c:pt>
                <c:pt idx="1">
                  <c:v>37.816764132553608</c:v>
                </c:pt>
                <c:pt idx="2">
                  <c:v>27.450980392156865</c:v>
                </c:pt>
                <c:pt idx="3">
                  <c:v>30.784313725490197</c:v>
                </c:pt>
                <c:pt idx="4">
                  <c:v>30.616302186878727</c:v>
                </c:pt>
              </c:numCache>
            </c:numRef>
          </c:val>
          <c:smooth val="0"/>
          <c:extLst>
            <c:ext xmlns:c16="http://schemas.microsoft.com/office/drawing/2014/chart" uri="{C3380CC4-5D6E-409C-BE32-E72D297353CC}">
              <c16:uniqueId val="{00000002-8143-4367-8D6C-9BE96F85EAB2}"/>
            </c:ext>
          </c:extLst>
        </c:ser>
        <c:ser>
          <c:idx val="2"/>
          <c:order val="2"/>
          <c:tx>
            <c:strRef>
              <c:f>New_Ceased_LAC!$AL$43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New_Ceased_LAC!$AM$43:$AQ$43</c:f>
              <c:numCache>
                <c:formatCode>0.0</c:formatCode>
                <c:ptCount val="5"/>
                <c:pt idx="0">
                  <c:v>20.64676616915423</c:v>
                </c:pt>
                <c:pt idx="1">
                  <c:v>16.939443535188214</c:v>
                </c:pt>
                <c:pt idx="2">
                  <c:v>15.678310316815598</c:v>
                </c:pt>
                <c:pt idx="3">
                  <c:v>16.814159292035399</c:v>
                </c:pt>
                <c:pt idx="4">
                  <c:v>16.149562450278442</c:v>
                </c:pt>
              </c:numCache>
            </c:numRef>
          </c:val>
          <c:smooth val="0"/>
          <c:extLst>
            <c:ext xmlns:c16="http://schemas.microsoft.com/office/drawing/2014/chart" uri="{C3380CC4-5D6E-409C-BE32-E72D297353CC}">
              <c16:uniqueId val="{00000003-8143-4367-8D6C-9BE96F85EAB2}"/>
            </c:ext>
          </c:extLst>
        </c:ser>
        <c:ser>
          <c:idx val="5"/>
          <c:order val="3"/>
          <c:tx>
            <c:strRef>
              <c:f>New_Ceased_LAC!$AL$44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New_Ceased_LAC!$AM$44:$AQ$44</c:f>
              <c:numCache>
                <c:formatCode>0.0</c:formatCode>
                <c:ptCount val="5"/>
                <c:pt idx="0">
                  <c:v>17.37488196411709</c:v>
                </c:pt>
                <c:pt idx="1">
                  <c:v>18.696883852691219</c:v>
                </c:pt>
                <c:pt idx="2">
                  <c:v>19.150943396226413</c:v>
                </c:pt>
                <c:pt idx="3">
                  <c:v>18.045112781954888</c:v>
                </c:pt>
                <c:pt idx="4">
                  <c:v>16.368767638758232</c:v>
                </c:pt>
              </c:numCache>
            </c:numRef>
          </c:val>
          <c:smooth val="0"/>
          <c:extLst>
            <c:ext xmlns:c16="http://schemas.microsoft.com/office/drawing/2014/chart" uri="{C3380CC4-5D6E-409C-BE32-E72D297353CC}">
              <c16:uniqueId val="{00000004-8143-4367-8D6C-9BE96F85EAB2}"/>
            </c:ext>
          </c:extLst>
        </c:ser>
        <c:ser>
          <c:idx val="9"/>
          <c:order val="4"/>
          <c:tx>
            <c:strRef>
              <c:f>New_Ceased_LAC!$AL$45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New_Ceased_LAC!$AM$45:$AQ$45</c:f>
              <c:numCache>
                <c:formatCode>0.0</c:formatCode>
                <c:ptCount val="5"/>
                <c:pt idx="0">
                  <c:v>17.985101099680737</c:v>
                </c:pt>
                <c:pt idx="1">
                  <c:v>22.878359264497877</c:v>
                </c:pt>
                <c:pt idx="2">
                  <c:v>22.202612072008471</c:v>
                </c:pt>
                <c:pt idx="3">
                  <c:v>22.95774647887324</c:v>
                </c:pt>
                <c:pt idx="4">
                  <c:v>19.310587407667956</c:v>
                </c:pt>
              </c:numCache>
            </c:numRef>
          </c:val>
          <c:smooth val="0"/>
          <c:extLst>
            <c:ext xmlns:c16="http://schemas.microsoft.com/office/drawing/2014/chart" uri="{C3380CC4-5D6E-409C-BE32-E72D297353CC}">
              <c16:uniqueId val="{00000005-8143-4367-8D6C-9BE96F85EAB2}"/>
            </c:ext>
          </c:extLst>
        </c:ser>
        <c:ser>
          <c:idx val="10"/>
          <c:order val="5"/>
          <c:tx>
            <c:strRef>
              <c:f>New_Ceased_LAC!$AL$46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New_Ceased_LAC!$AM$46:$AQ$46</c:f>
              <c:numCache>
                <c:formatCode>0.0</c:formatCode>
                <c:ptCount val="5"/>
                <c:pt idx="0">
                  <c:v>28.853754940711465</c:v>
                </c:pt>
                <c:pt idx="1">
                  <c:v>39.285714285714292</c:v>
                </c:pt>
                <c:pt idx="2">
                  <c:v>30.278884462151392</c:v>
                </c:pt>
                <c:pt idx="3">
                  <c:v>29.718875502008032</c:v>
                </c:pt>
                <c:pt idx="4">
                  <c:v>29.149797570850204</c:v>
                </c:pt>
              </c:numCache>
            </c:numRef>
          </c:val>
          <c:smooth val="0"/>
          <c:extLst>
            <c:ext xmlns:c16="http://schemas.microsoft.com/office/drawing/2014/chart" uri="{C3380CC4-5D6E-409C-BE32-E72D297353CC}">
              <c16:uniqueId val="{00000006-8143-4367-8D6C-9BE96F85EAB2}"/>
            </c:ext>
          </c:extLst>
        </c:ser>
        <c:ser>
          <c:idx val="11"/>
          <c:order val="6"/>
          <c:tx>
            <c:strRef>
              <c:f>New_Ceased_LAC!$AL$47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New_Ceased_LAC!$AM$47:$AQ$47</c:f>
              <c:numCache>
                <c:formatCode>0.0</c:formatCode>
                <c:ptCount val="5"/>
                <c:pt idx="0">
                  <c:v>45.520581113801448</c:v>
                </c:pt>
                <c:pt idx="1">
                  <c:v>26.726726726726728</c:v>
                </c:pt>
                <c:pt idx="2">
                  <c:v>22.850342160071406</c:v>
                </c:pt>
                <c:pt idx="3">
                  <c:v>20.464569244339902</c:v>
                </c:pt>
                <c:pt idx="4">
                  <c:v>27.515997673065737</c:v>
                </c:pt>
              </c:numCache>
            </c:numRef>
          </c:val>
          <c:smooth val="0"/>
          <c:extLst>
            <c:ext xmlns:c16="http://schemas.microsoft.com/office/drawing/2014/chart" uri="{C3380CC4-5D6E-409C-BE32-E72D297353CC}">
              <c16:uniqueId val="{00000007-8143-4367-8D6C-9BE96F85EAB2}"/>
            </c:ext>
          </c:extLst>
        </c:ser>
        <c:ser>
          <c:idx val="12"/>
          <c:order val="7"/>
          <c:tx>
            <c:strRef>
              <c:f>New_Ceased_LAC!$AL$48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New_Ceased_LAC!$AM$48:$AQ$48</c:f>
              <c:numCache>
                <c:formatCode>0.0</c:formatCode>
                <c:ptCount val="5"/>
                <c:pt idx="0">
                  <c:v>32.911392405063289</c:v>
                </c:pt>
                <c:pt idx="1">
                  <c:v>22.762951334379906</c:v>
                </c:pt>
                <c:pt idx="2">
                  <c:v>27.386541471048513</c:v>
                </c:pt>
                <c:pt idx="3">
                  <c:v>25.93167701863354</c:v>
                </c:pt>
                <c:pt idx="4">
                  <c:v>26.769230769230766</c:v>
                </c:pt>
              </c:numCache>
            </c:numRef>
          </c:val>
          <c:smooth val="0"/>
          <c:extLst>
            <c:ext xmlns:c16="http://schemas.microsoft.com/office/drawing/2014/chart" uri="{C3380CC4-5D6E-409C-BE32-E72D297353CC}">
              <c16:uniqueId val="{00000008-8143-4367-8D6C-9BE96F85EAB2}"/>
            </c:ext>
          </c:extLst>
        </c:ser>
        <c:ser>
          <c:idx val="13"/>
          <c:order val="8"/>
          <c:tx>
            <c:strRef>
              <c:f>New_Ceased_LAC!$AL$49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New_Ceased_LAC!$AM$49:$AQ$49</c:f>
              <c:numCache>
                <c:formatCode>0.0</c:formatCode>
                <c:ptCount val="5"/>
                <c:pt idx="0">
                  <c:v>27.685325264750379</c:v>
                </c:pt>
                <c:pt idx="1">
                  <c:v>29.359165424739196</c:v>
                </c:pt>
                <c:pt idx="2">
                  <c:v>20.710059171597635</c:v>
                </c:pt>
                <c:pt idx="3">
                  <c:v>23.718887262079061</c:v>
                </c:pt>
                <c:pt idx="4">
                  <c:v>24.418604651162788</c:v>
                </c:pt>
              </c:numCache>
            </c:numRef>
          </c:val>
          <c:smooth val="0"/>
          <c:extLst>
            <c:ext xmlns:c16="http://schemas.microsoft.com/office/drawing/2014/chart" uri="{C3380CC4-5D6E-409C-BE32-E72D297353CC}">
              <c16:uniqueId val="{00000009-8143-4367-8D6C-9BE96F85EAB2}"/>
            </c:ext>
          </c:extLst>
        </c:ser>
        <c:ser>
          <c:idx val="15"/>
          <c:order val="9"/>
          <c:tx>
            <c:strRef>
              <c:f>New_Ceased_LAC!$AL$50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New_Ceased_LAC!$AM$50:$AQ$50</c:f>
              <c:numCache>
                <c:formatCode>0.0</c:formatCode>
                <c:ptCount val="5"/>
                <c:pt idx="0">
                  <c:v>25.176304654442877</c:v>
                </c:pt>
                <c:pt idx="1">
                  <c:v>24.70258922323303</c:v>
                </c:pt>
                <c:pt idx="2">
                  <c:v>21.129707112970713</c:v>
                </c:pt>
                <c:pt idx="3">
                  <c:v>24.516574585635361</c:v>
                </c:pt>
                <c:pt idx="4">
                  <c:v>21.149897330595483</c:v>
                </c:pt>
              </c:numCache>
            </c:numRef>
          </c:val>
          <c:smooth val="0"/>
          <c:extLst>
            <c:ext xmlns:c16="http://schemas.microsoft.com/office/drawing/2014/chart" uri="{C3380CC4-5D6E-409C-BE32-E72D297353CC}">
              <c16:uniqueId val="{0000000A-8143-4367-8D6C-9BE96F85EAB2}"/>
            </c:ext>
          </c:extLst>
        </c:ser>
        <c:ser>
          <c:idx val="16"/>
          <c:order val="10"/>
          <c:tx>
            <c:strRef>
              <c:f>New_Ceased_LAC!$AL$51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New_Ceased_LAC!$AM$51:$AQ$51</c:f>
              <c:numCache>
                <c:formatCode>0.0</c:formatCode>
                <c:ptCount val="5"/>
                <c:pt idx="0">
                  <c:v>29.223744292237445</c:v>
                </c:pt>
                <c:pt idx="1">
                  <c:v>36.136363636363633</c:v>
                </c:pt>
                <c:pt idx="2">
                  <c:v>53.619909502262445</c:v>
                </c:pt>
                <c:pt idx="3">
                  <c:v>52.045454545454547</c:v>
                </c:pt>
                <c:pt idx="4">
                  <c:v>40.8675799086758</c:v>
                </c:pt>
              </c:numCache>
            </c:numRef>
          </c:val>
          <c:smooth val="0"/>
          <c:extLst>
            <c:ext xmlns:c16="http://schemas.microsoft.com/office/drawing/2014/chart" uri="{C3380CC4-5D6E-409C-BE32-E72D297353CC}">
              <c16:uniqueId val="{0000000B-8143-4367-8D6C-9BE96F85EAB2}"/>
            </c:ext>
          </c:extLst>
        </c:ser>
        <c:ser>
          <c:idx val="17"/>
          <c:order val="11"/>
          <c:tx>
            <c:strRef>
              <c:f>New_Ceased_LAC!$AL$52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New_Ceased_LAC!$AM$52:$AQ$52</c:f>
              <c:numCache>
                <c:formatCode>0.0</c:formatCode>
                <c:ptCount val="5"/>
                <c:pt idx="0">
                  <c:v>35.714285714285715</c:v>
                </c:pt>
                <c:pt idx="1">
                  <c:v>38.797814207650276</c:v>
                </c:pt>
                <c:pt idx="2">
                  <c:v>28.840970350404316</c:v>
                </c:pt>
                <c:pt idx="3">
                  <c:v>23.989218328840973</c:v>
                </c:pt>
                <c:pt idx="4">
                  <c:v>31.351351351351351</c:v>
                </c:pt>
              </c:numCache>
            </c:numRef>
          </c:val>
          <c:smooth val="0"/>
          <c:extLst>
            <c:ext xmlns:c16="http://schemas.microsoft.com/office/drawing/2014/chart" uri="{C3380CC4-5D6E-409C-BE32-E72D297353CC}">
              <c16:uniqueId val="{0000000C-8143-4367-8D6C-9BE96F85EAB2}"/>
            </c:ext>
          </c:extLst>
        </c:ser>
        <c:ser>
          <c:idx val="19"/>
          <c:order val="12"/>
          <c:tx>
            <c:strRef>
              <c:f>New_Ceased_LAC!$AL$53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New_Ceased_LAC!$AM$53:$AQ$53</c:f>
              <c:numCache>
                <c:formatCode>0.0</c:formatCode>
                <c:ptCount val="5"/>
                <c:pt idx="0">
                  <c:v>31.773399014778324</c:v>
                </c:pt>
                <c:pt idx="1">
                  <c:v>28.5024154589372</c:v>
                </c:pt>
                <c:pt idx="2">
                  <c:v>29.620853080568718</c:v>
                </c:pt>
                <c:pt idx="3">
                  <c:v>31.381733021077284</c:v>
                </c:pt>
                <c:pt idx="4">
                  <c:v>24.825986078886313</c:v>
                </c:pt>
              </c:numCache>
            </c:numRef>
          </c:val>
          <c:smooth val="0"/>
          <c:extLst>
            <c:ext xmlns:c16="http://schemas.microsoft.com/office/drawing/2014/chart" uri="{C3380CC4-5D6E-409C-BE32-E72D297353CC}">
              <c16:uniqueId val="{0000000D-8143-4367-8D6C-9BE96F85EAB2}"/>
            </c:ext>
          </c:extLst>
        </c:ser>
        <c:ser>
          <c:idx val="3"/>
          <c:order val="13"/>
          <c:tx>
            <c:strRef>
              <c:f>New_Ceased_LAC!$AL$54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New_Ceased_LAC!$AM$54:$AQ$54</c:f>
              <c:numCache>
                <c:formatCode>0.0</c:formatCode>
                <c:ptCount val="5"/>
                <c:pt idx="0">
                  <c:v>21.520146520146522</c:v>
                </c:pt>
                <c:pt idx="1">
                  <c:v>20.966271649954422</c:v>
                </c:pt>
                <c:pt idx="2">
                  <c:v>23.43324250681199</c:v>
                </c:pt>
                <c:pt idx="3">
                  <c:v>17.524841915085815</c:v>
                </c:pt>
                <c:pt idx="4">
                  <c:v>17.176258992805757</c:v>
                </c:pt>
              </c:numCache>
            </c:numRef>
          </c:val>
          <c:smooth val="0"/>
          <c:extLst>
            <c:ext xmlns:c16="http://schemas.microsoft.com/office/drawing/2014/chart" uri="{C3380CC4-5D6E-409C-BE32-E72D297353CC}">
              <c16:uniqueId val="{0000000E-8143-4367-8D6C-9BE96F85EAB2}"/>
            </c:ext>
          </c:extLst>
        </c:ser>
        <c:ser>
          <c:idx val="20"/>
          <c:order val="14"/>
          <c:tx>
            <c:strRef>
              <c:f>New_Ceased_LAC!$AL$55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New_Ceased_LAC!$AM$55:$AQ$55</c:f>
              <c:numCache>
                <c:formatCode>0.0</c:formatCode>
                <c:ptCount val="5"/>
                <c:pt idx="0">
                  <c:v>43.495934959349597</c:v>
                </c:pt>
                <c:pt idx="1">
                  <c:v>33.667334669338679</c:v>
                </c:pt>
                <c:pt idx="2">
                  <c:v>35.387673956262425</c:v>
                </c:pt>
                <c:pt idx="3">
                  <c:v>33.464566929133859</c:v>
                </c:pt>
                <c:pt idx="4">
                  <c:v>38.40155945419103</c:v>
                </c:pt>
              </c:numCache>
            </c:numRef>
          </c:val>
          <c:smooth val="0"/>
          <c:extLst>
            <c:ext xmlns:c16="http://schemas.microsoft.com/office/drawing/2014/chart" uri="{C3380CC4-5D6E-409C-BE32-E72D297353CC}">
              <c16:uniqueId val="{0000000F-8143-4367-8D6C-9BE96F85EAB2}"/>
            </c:ext>
          </c:extLst>
        </c:ser>
        <c:ser>
          <c:idx val="22"/>
          <c:order val="15"/>
          <c:tx>
            <c:strRef>
              <c:f>New_Ceased_LAC!$AL$56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New_Ceased_LAC!$AM$56:$AQ$56</c:f>
              <c:numCache>
                <c:formatCode>0.0</c:formatCode>
                <c:ptCount val="5"/>
                <c:pt idx="0">
                  <c:v>19.071762870514821</c:v>
                </c:pt>
                <c:pt idx="1">
                  <c:v>15.830115830115831</c:v>
                </c:pt>
                <c:pt idx="2">
                  <c:v>17.518248175182482</c:v>
                </c:pt>
                <c:pt idx="3">
                  <c:v>16.60939289805269</c:v>
                </c:pt>
                <c:pt idx="4">
                  <c:v>14.139499620924942</c:v>
                </c:pt>
              </c:numCache>
            </c:numRef>
          </c:val>
          <c:smooth val="0"/>
          <c:extLst>
            <c:ext xmlns:c16="http://schemas.microsoft.com/office/drawing/2014/chart" uri="{C3380CC4-5D6E-409C-BE32-E72D297353CC}">
              <c16:uniqueId val="{00000010-8143-4367-8D6C-9BE96F85EAB2}"/>
            </c:ext>
          </c:extLst>
        </c:ser>
        <c:ser>
          <c:idx val="7"/>
          <c:order val="16"/>
          <c:tx>
            <c:strRef>
              <c:f>New_Ceased_LAC!$AL$57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New_Ceased_LAC!$Z$2:$AD$3</c:f>
              <c:strCache>
                <c:ptCount val="5"/>
                <c:pt idx="0">
                  <c:v>2015-16</c:v>
                </c:pt>
                <c:pt idx="1">
                  <c:v>2016-17</c:v>
                </c:pt>
                <c:pt idx="2">
                  <c:v>2017-18</c:v>
                </c:pt>
                <c:pt idx="3">
                  <c:v>2018-19</c:v>
                </c:pt>
                <c:pt idx="4">
                  <c:v>2019-20</c:v>
                </c:pt>
              </c:strCache>
            </c:strRef>
          </c:cat>
          <c:val>
            <c:numRef>
              <c:f>New_Ceased_LAC!$AM$57:$AQ$57</c:f>
              <c:numCache>
                <c:formatCode>0.0</c:formatCode>
                <c:ptCount val="5"/>
                <c:pt idx="0">
                  <c:v>36.938775510204081</c:v>
                </c:pt>
                <c:pt idx="1">
                  <c:v>36.767676767676768</c:v>
                </c:pt>
                <c:pt idx="2">
                  <c:v>35.671342685370739</c:v>
                </c:pt>
                <c:pt idx="3">
                  <c:v>27.290836653386457</c:v>
                </c:pt>
                <c:pt idx="4">
                  <c:v>21.230158730158728</c:v>
                </c:pt>
              </c:numCache>
            </c:numRef>
          </c:val>
          <c:smooth val="0"/>
          <c:extLst>
            <c:ext xmlns:c16="http://schemas.microsoft.com/office/drawing/2014/chart" uri="{C3380CC4-5D6E-409C-BE32-E72D297353CC}">
              <c16:uniqueId val="{00000011-8143-4367-8D6C-9BE96F85EAB2}"/>
            </c:ext>
          </c:extLst>
        </c:ser>
        <c:ser>
          <c:idx val="8"/>
          <c:order val="17"/>
          <c:tx>
            <c:strRef>
              <c:f>New_Ceased_LAC!$AL$58</c:f>
              <c:strCache>
                <c:ptCount val="1"/>
                <c:pt idx="0">
                  <c:v>Torbay</c:v>
                </c:pt>
              </c:strCache>
            </c:strRef>
          </c:tx>
          <c:spPr>
            <a:ln w="12700"/>
          </c:spPr>
          <c:marker>
            <c:symbol val="circle"/>
            <c:size val="5"/>
            <c:spPr>
              <a:solidFill>
                <a:schemeClr val="accent3">
                  <a:lumMod val="20000"/>
                  <a:lumOff val="80000"/>
                </a:schemeClr>
              </a:solidFill>
            </c:spPr>
          </c:marker>
          <c:cat>
            <c:strRef>
              <c:f>New_Ceased_LAC!$Z$2:$AD$3</c:f>
              <c:strCache>
                <c:ptCount val="5"/>
                <c:pt idx="0">
                  <c:v>2015-16</c:v>
                </c:pt>
                <c:pt idx="1">
                  <c:v>2016-17</c:v>
                </c:pt>
                <c:pt idx="2">
                  <c:v>2017-18</c:v>
                </c:pt>
                <c:pt idx="3">
                  <c:v>2018-19</c:v>
                </c:pt>
                <c:pt idx="4">
                  <c:v>2019-20</c:v>
                </c:pt>
              </c:strCache>
            </c:strRef>
          </c:cat>
          <c:val>
            <c:numRef>
              <c:f>New_Ceased_LAC!$AM$58:$AQ$58</c:f>
              <c:numCache>
                <c:formatCode>0.0</c:formatCode>
                <c:ptCount val="5"/>
                <c:pt idx="0">
                  <c:v>38.095238095238095</c:v>
                </c:pt>
                <c:pt idx="1">
                  <c:v>45.275590551181104</c:v>
                </c:pt>
                <c:pt idx="2">
                  <c:v>54.330708661417319</c:v>
                </c:pt>
                <c:pt idx="3">
                  <c:v>57.874015748031496</c:v>
                </c:pt>
                <c:pt idx="4">
                  <c:v>52.734375</c:v>
                </c:pt>
              </c:numCache>
            </c:numRef>
          </c:val>
          <c:smooth val="0"/>
          <c:extLst>
            <c:ext xmlns:c16="http://schemas.microsoft.com/office/drawing/2014/chart" uri="{C3380CC4-5D6E-409C-BE32-E72D297353CC}">
              <c16:uniqueId val="{00000012-8143-4367-8D6C-9BE96F85EAB2}"/>
            </c:ext>
          </c:extLst>
        </c:ser>
        <c:ser>
          <c:idx val="23"/>
          <c:order val="18"/>
          <c:tx>
            <c:strRef>
              <c:f>New_Ceased_LAC!$AL$59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New_Ceased_LAC!$AM$59:$AQ$59</c:f>
              <c:numCache>
                <c:formatCode>0.0</c:formatCode>
                <c:ptCount val="5"/>
                <c:pt idx="0">
                  <c:v>15.126050420168067</c:v>
                </c:pt>
                <c:pt idx="1">
                  <c:v>20.612813370473539</c:v>
                </c:pt>
                <c:pt idx="2">
                  <c:v>18.994413407821231</c:v>
                </c:pt>
                <c:pt idx="3">
                  <c:v>22.191011235955056</c:v>
                </c:pt>
                <c:pt idx="4">
                  <c:v>16.573033707865168</c:v>
                </c:pt>
              </c:numCache>
            </c:numRef>
          </c:val>
          <c:smooth val="0"/>
          <c:extLst>
            <c:ext xmlns:c16="http://schemas.microsoft.com/office/drawing/2014/chart" uri="{C3380CC4-5D6E-409C-BE32-E72D297353CC}">
              <c16:uniqueId val="{00000013-8143-4367-8D6C-9BE96F85EAB2}"/>
            </c:ext>
          </c:extLst>
        </c:ser>
        <c:ser>
          <c:idx val="24"/>
          <c:order val="19"/>
          <c:tx>
            <c:strRef>
              <c:f>New_Ceased_LAC!$AL$60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New_Ceased_LAC!$AM$60:$AQ$60</c:f>
              <c:numCache>
                <c:formatCode>0.0</c:formatCode>
                <c:ptCount val="5"/>
                <c:pt idx="0">
                  <c:v>22.300469483568076</c:v>
                </c:pt>
                <c:pt idx="1">
                  <c:v>21.944121071012809</c:v>
                </c:pt>
                <c:pt idx="2">
                  <c:v>21.811886901327181</c:v>
                </c:pt>
                <c:pt idx="3">
                  <c:v>19.805380652547221</c:v>
                </c:pt>
                <c:pt idx="4">
                  <c:v>25.9511641113004</c:v>
                </c:pt>
              </c:numCache>
            </c:numRef>
          </c:val>
          <c:smooth val="0"/>
          <c:extLst>
            <c:ext xmlns:c16="http://schemas.microsoft.com/office/drawing/2014/chart" uri="{C3380CC4-5D6E-409C-BE32-E72D297353CC}">
              <c16:uniqueId val="{00000014-8143-4367-8D6C-9BE96F85EAB2}"/>
            </c:ext>
          </c:extLst>
        </c:ser>
        <c:ser>
          <c:idx val="25"/>
          <c:order val="20"/>
          <c:tx>
            <c:strRef>
              <c:f>New_Ceased_LAC!$AL$61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New_Ceased_LAC!$AM$61:$AQ$61</c:f>
              <c:numCache>
                <c:formatCode>0.0</c:formatCode>
                <c:ptCount val="5"/>
                <c:pt idx="0">
                  <c:v>9.4955489614243334</c:v>
                </c:pt>
                <c:pt idx="1">
                  <c:v>15.497076023391813</c:v>
                </c:pt>
                <c:pt idx="2">
                  <c:v>13.372093023255815</c:v>
                </c:pt>
                <c:pt idx="3">
                  <c:v>18.786127167630056</c:v>
                </c:pt>
                <c:pt idx="4">
                  <c:v>14.985590778097983</c:v>
                </c:pt>
              </c:numCache>
            </c:numRef>
          </c:val>
          <c:smooth val="0"/>
          <c:extLst>
            <c:ext xmlns:c16="http://schemas.microsoft.com/office/drawing/2014/chart" uri="{C3380CC4-5D6E-409C-BE32-E72D297353CC}">
              <c16:uniqueId val="{00000015-8143-4367-8D6C-9BE96F85EAB2}"/>
            </c:ext>
          </c:extLst>
        </c:ser>
        <c:ser>
          <c:idx val="26"/>
          <c:order val="21"/>
          <c:tx>
            <c:strRef>
              <c:f>New_Ceased_LAC!$AL$62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New_Ceased_LAC!$AM$62:$AQ$62</c:f>
              <c:numCache>
                <c:formatCode>0.0</c:formatCode>
                <c:ptCount val="5"/>
                <c:pt idx="0">
                  <c:v>10.187667560321715</c:v>
                </c:pt>
                <c:pt idx="1">
                  <c:v>6.5789473684210522</c:v>
                </c:pt>
                <c:pt idx="2">
                  <c:v>17.054263565891471</c:v>
                </c:pt>
                <c:pt idx="3">
                  <c:v>15.69620253164557</c:v>
                </c:pt>
                <c:pt idx="4">
                  <c:v>10.891089108910892</c:v>
                </c:pt>
              </c:numCache>
            </c:numRef>
          </c:val>
          <c:smooth val="0"/>
          <c:extLst>
            <c:ext xmlns:c16="http://schemas.microsoft.com/office/drawing/2014/chart" uri="{C3380CC4-5D6E-409C-BE32-E72D297353CC}">
              <c16:uniqueId val="{00000016-8143-4367-8D6C-9BE96F85EAB2}"/>
            </c:ext>
          </c:extLst>
        </c:ser>
        <c:ser>
          <c:idx val="4"/>
          <c:order val="22"/>
          <c:tx>
            <c:strRef>
              <c:f>New_Ceased_LAC!$AL$63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New_Ceased_LAC!$AM$63:$AQ$63</c:f>
              <c:numCache>
                <c:formatCode>0.0</c:formatCode>
                <c:ptCount val="5"/>
                <c:pt idx="0">
                  <c:v>26.693081695427765</c:v>
                </c:pt>
                <c:pt idx="1">
                  <c:v>23.382132326315244</c:v>
                </c:pt>
                <c:pt idx="2">
                  <c:v>22.480580276763206</c:v>
                </c:pt>
                <c:pt idx="3">
                  <c:v>22.274445693266578</c:v>
                </c:pt>
                <c:pt idx="4">
                  <c:v>22.242535039609994</c:v>
                </c:pt>
              </c:numCache>
            </c:numRef>
          </c:val>
          <c:smooth val="0"/>
          <c:extLst>
            <c:ext xmlns:c16="http://schemas.microsoft.com/office/drawing/2014/chart" uri="{C3380CC4-5D6E-409C-BE32-E72D297353CC}">
              <c16:uniqueId val="{00000017-8143-4367-8D6C-9BE96F85EAB2}"/>
            </c:ext>
          </c:extLst>
        </c:ser>
        <c:ser>
          <c:idx val="14"/>
          <c:order val="23"/>
          <c:tx>
            <c:strRef>
              <c:f>New_Ceased_LAC!$AL$64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New_Ceased_LAC!$Z$2:$AD$3</c:f>
              <c:strCache>
                <c:ptCount val="5"/>
                <c:pt idx="0">
                  <c:v>2015-16</c:v>
                </c:pt>
                <c:pt idx="1">
                  <c:v>2016-17</c:v>
                </c:pt>
                <c:pt idx="2">
                  <c:v>2017-18</c:v>
                </c:pt>
                <c:pt idx="3">
                  <c:v>2018-19</c:v>
                </c:pt>
                <c:pt idx="4">
                  <c:v>2019-20</c:v>
                </c:pt>
              </c:strCache>
            </c:strRef>
          </c:cat>
          <c:val>
            <c:numRef>
              <c:f>New_Ceased_LAC!$AM$64:$AQ$64</c:f>
              <c:numCache>
                <c:formatCode>0.0</c:formatCode>
                <c:ptCount val="5"/>
                <c:pt idx="0">
                  <c:v>27.54776115568724</c:v>
                </c:pt>
                <c:pt idx="1">
                  <c:v>27.950073396519393</c:v>
                </c:pt>
                <c:pt idx="2">
                  <c:v>27.125642538130954</c:v>
                </c:pt>
                <c:pt idx="3">
                  <c:v>26.500259314406172</c:v>
                </c:pt>
                <c:pt idx="4">
                  <c:v>25.757676569413487</c:v>
                </c:pt>
              </c:numCache>
            </c:numRef>
          </c:val>
          <c:smooth val="0"/>
          <c:extLst>
            <c:ext xmlns:c16="http://schemas.microsoft.com/office/drawing/2014/chart" uri="{C3380CC4-5D6E-409C-BE32-E72D297353CC}">
              <c16:uniqueId val="{00000018-8143-4367-8D6C-9BE96F85EAB2}"/>
            </c:ext>
          </c:extLst>
        </c:ser>
        <c:ser>
          <c:idx val="6"/>
          <c:order val="24"/>
          <c:tx>
            <c:strRef>
              <c:f>New_Ceased_LAC!$AL$65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2015-16</c:v>
                </c:pt>
                <c:pt idx="1">
                  <c:v>2016-17</c:v>
                </c:pt>
                <c:pt idx="2">
                  <c:v>2017-18</c:v>
                </c:pt>
                <c:pt idx="3">
                  <c:v>2018-19</c:v>
                </c:pt>
                <c:pt idx="4">
                  <c:v>2019-20</c:v>
                </c:pt>
              </c:strCache>
            </c:strRef>
          </c:cat>
          <c:val>
            <c:numRef>
              <c:f>New_Ceased_LAC!$AM$65:$AQ$65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8143-4367-8D6C-9BE96F85EAB2}"/>
            </c:ext>
          </c:extLst>
        </c:ser>
        <c:dLbls>
          <c:showLegendKey val="0"/>
          <c:showVal val="0"/>
          <c:showCatName val="0"/>
          <c:showSerName val="0"/>
          <c:showPercent val="0"/>
          <c:showBubbleSize val="0"/>
        </c:dLbls>
        <c:marker val="1"/>
        <c:smooth val="0"/>
        <c:axId val="613060992"/>
        <c:axId val="613062912"/>
      </c:lineChart>
      <c:catAx>
        <c:axId val="613060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062912"/>
        <c:crosses val="autoZero"/>
        <c:auto val="1"/>
        <c:lblAlgn val="ctr"/>
        <c:lblOffset val="100"/>
        <c:tickLblSkip val="1"/>
        <c:tickMarkSkip val="1"/>
        <c:noMultiLvlLbl val="0"/>
      </c:catAx>
      <c:valAx>
        <c:axId val="61306291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06099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Starting to be </a:t>
            </a:r>
            <a:r>
              <a:rPr lang="en-GB" sz="1000" b="1" i="0" u="none" strike="noStrike" baseline="0">
                <a:effectLst/>
              </a:rPr>
              <a:t>Looked After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9147321024527109"/>
          <c:y val="3.8613923259592552E-3"/>
        </c:manualLayout>
      </c:layout>
      <c:overlay val="0"/>
      <c:spPr>
        <a:noFill/>
        <a:ln w="25400">
          <a:noFill/>
        </a:ln>
      </c:spPr>
    </c:title>
    <c:autoTitleDeleted val="0"/>
    <c:plotArea>
      <c:layout>
        <c:manualLayout>
          <c:layoutTarget val="inner"/>
          <c:xMode val="edge"/>
          <c:yMode val="edge"/>
          <c:x val="9.6909984154078643E-2"/>
          <c:y val="0.20946631671041119"/>
          <c:w val="0.65146216862752293"/>
          <c:h val="0.5601899762529684"/>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2015-16</c:v>
                </c:pt>
                <c:pt idx="1">
                  <c:v>2016-17</c:v>
                </c:pt>
                <c:pt idx="2">
                  <c:v>2017-18</c:v>
                </c:pt>
                <c:pt idx="3">
                  <c:v>2018-19</c:v>
                </c:pt>
                <c:pt idx="4">
                  <c:v>2019-20</c:v>
                </c:pt>
              </c:strCache>
            </c:strRef>
          </c:cat>
          <c:val>
            <c:numRef>
              <c:f>New_Ceased_LAC!$AM$65:$AQ$65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3844-4DD9-8C6E-AADD8A8EE22E}"/>
            </c:ext>
          </c:extLst>
        </c:ser>
        <c:ser>
          <c:idx val="4"/>
          <c:order val="1"/>
          <c:tx>
            <c:strRef>
              <c:f>New_Ceased_LAC!$B$32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2015-16</c:v>
                </c:pt>
                <c:pt idx="1">
                  <c:v>2016-17</c:v>
                </c:pt>
                <c:pt idx="2">
                  <c:v>2017-18</c:v>
                </c:pt>
                <c:pt idx="3">
                  <c:v>2018-19</c:v>
                </c:pt>
                <c:pt idx="4">
                  <c:v>2019-20</c:v>
                </c:pt>
              </c:strCache>
            </c:strRef>
          </c:cat>
          <c:val>
            <c:numRef>
              <c:f>New_Ceased_LAC!$K$32:$O$32</c:f>
              <c:numCache>
                <c:formatCode>0.0</c:formatCode>
                <c:ptCount val="5"/>
                <c:pt idx="0">
                  <c:v>26.693081695427765</c:v>
                </c:pt>
                <c:pt idx="1">
                  <c:v>23.382132326315244</c:v>
                </c:pt>
                <c:pt idx="2">
                  <c:v>22.480580276763206</c:v>
                </c:pt>
                <c:pt idx="3">
                  <c:v>22.274445693266578</c:v>
                </c:pt>
                <c:pt idx="4">
                  <c:v>22.242535039609994</c:v>
                </c:pt>
              </c:numCache>
            </c:numRef>
          </c:val>
          <c:extLst>
            <c:ext xmlns:c16="http://schemas.microsoft.com/office/drawing/2014/chart" uri="{C3380CC4-5D6E-409C-BE32-E72D297353CC}">
              <c16:uniqueId val="{00000001-3844-4DD9-8C6E-AADD8A8EE22E}"/>
            </c:ext>
          </c:extLst>
        </c:ser>
        <c:ser>
          <c:idx val="0"/>
          <c:order val="2"/>
          <c:tx>
            <c:strRef>
              <c:f>New_Ceased_LAC!$B$33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2015-16</c:v>
                </c:pt>
                <c:pt idx="1">
                  <c:v>2016-17</c:v>
                </c:pt>
                <c:pt idx="2">
                  <c:v>2017-18</c:v>
                </c:pt>
                <c:pt idx="3">
                  <c:v>2018-19</c:v>
                </c:pt>
                <c:pt idx="4">
                  <c:v>2019-20</c:v>
                </c:pt>
              </c:strCache>
            </c:strRef>
          </c:cat>
          <c:val>
            <c:numRef>
              <c:f>New_Ceased_LAC!$K$33:$O$33</c:f>
              <c:numCache>
                <c:formatCode>0.0</c:formatCode>
                <c:ptCount val="5"/>
                <c:pt idx="0">
                  <c:v>27.54776115568724</c:v>
                </c:pt>
                <c:pt idx="1">
                  <c:v>27.950073396519393</c:v>
                </c:pt>
                <c:pt idx="2">
                  <c:v>27.125642538130954</c:v>
                </c:pt>
                <c:pt idx="3">
                  <c:v>26.500259314406172</c:v>
                </c:pt>
                <c:pt idx="4" formatCode="0%">
                  <c:v>25.757676569413487</c:v>
                </c:pt>
              </c:numCache>
            </c:numRef>
          </c:val>
          <c:extLst>
            <c:ext xmlns:c16="http://schemas.microsoft.com/office/drawing/2014/chart" uri="{C3380CC4-5D6E-409C-BE32-E72D297353CC}">
              <c16:uniqueId val="{00000002-3844-4DD9-8C6E-AADD8A8EE22E}"/>
            </c:ext>
          </c:extLst>
        </c:ser>
        <c:dLbls>
          <c:showLegendKey val="0"/>
          <c:showVal val="0"/>
          <c:showCatName val="0"/>
          <c:showSerName val="0"/>
          <c:showPercent val="0"/>
          <c:showBubbleSize val="0"/>
        </c:dLbls>
        <c:gapWidth val="100"/>
        <c:axId val="603004928"/>
        <c:axId val="603006464"/>
      </c:barChart>
      <c:catAx>
        <c:axId val="603004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3006464"/>
        <c:crosses val="autoZero"/>
        <c:auto val="1"/>
        <c:lblAlgn val="ctr"/>
        <c:lblOffset val="100"/>
        <c:noMultiLvlLbl val="0"/>
      </c:catAx>
      <c:valAx>
        <c:axId val="60300646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3004928"/>
        <c:crosses val="autoZero"/>
        <c:crossBetween val="between"/>
      </c:valAx>
      <c:spPr>
        <a:noFill/>
        <a:ln w="3175">
          <a:solidFill>
            <a:srgbClr val="000000"/>
          </a:solidFill>
          <a:prstDash val="solid"/>
        </a:ln>
      </c:spPr>
    </c:plotArea>
    <c:legend>
      <c:legendPos val="r"/>
      <c:layout>
        <c:manualLayout>
          <c:xMode val="edge"/>
          <c:yMode val="edge"/>
          <c:x val="0.75128224273689925"/>
          <c:y val="0.17953653819588342"/>
          <c:w val="0.24871775726310072"/>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Children starting to be Looked After who were remanded into LA Care</a:t>
            </a:r>
          </a:p>
          <a:p>
            <a:pPr>
              <a:defRPr sz="900" b="1" i="0" u="none" strike="noStrike" baseline="0">
                <a:solidFill>
                  <a:srgbClr val="000000"/>
                </a:solidFill>
                <a:latin typeface="Arial"/>
                <a:ea typeface="Arial"/>
                <a:cs typeface="Arial"/>
              </a:defRPr>
            </a:pPr>
            <a:r>
              <a:rPr lang="en-GB" sz="900"/>
              <a:t> (Selected LA</a:t>
            </a:r>
            <a:r>
              <a:rPr lang="en-GB" sz="900" baseline="0"/>
              <a:t> vs. SE &amp; National)</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9705968572110303"/>
          <c:w val="0.64607416380644722"/>
          <c:h val="0.45165627023894739"/>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2015-16</c:v>
                </c:pt>
                <c:pt idx="1">
                  <c:v>2016-17</c:v>
                </c:pt>
                <c:pt idx="2">
                  <c:v>2017-18</c:v>
                </c:pt>
                <c:pt idx="3">
                  <c:v>2018-19</c:v>
                </c:pt>
                <c:pt idx="4">
                  <c:v>2019-20</c:v>
                </c:pt>
              </c:strCache>
            </c:strRef>
          </c:cat>
          <c:val>
            <c:numRef>
              <c:f>New_Ceased_LAC!$AX$65:$BB$65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9D17-4BE6-9144-13104056A7D8}"/>
            </c:ext>
          </c:extLst>
        </c:ser>
        <c:ser>
          <c:idx val="4"/>
          <c:order val="1"/>
          <c:tx>
            <c:strRef>
              <c:f>New_Ceased_LAC!$B$99</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2015-16</c:v>
                </c:pt>
                <c:pt idx="1">
                  <c:v>2016-17</c:v>
                </c:pt>
                <c:pt idx="2">
                  <c:v>2017-18</c:v>
                </c:pt>
                <c:pt idx="3">
                  <c:v>2018-19</c:v>
                </c:pt>
                <c:pt idx="4">
                  <c:v>2019-20</c:v>
                </c:pt>
              </c:strCache>
            </c:strRef>
          </c:cat>
          <c:val>
            <c:numRef>
              <c:f>New_Ceased_LAC!$D$99:$H$99</c:f>
              <c:numCache>
                <c:formatCode>0%</c:formatCode>
                <c:ptCount val="5"/>
                <c:pt idx="0">
                  <c:v>#N/A</c:v>
                </c:pt>
                <c:pt idx="1">
                  <c:v>#N/A</c:v>
                </c:pt>
                <c:pt idx="2">
                  <c:v>#N/A</c:v>
                </c:pt>
                <c:pt idx="3">
                  <c:v>1.6055045871559634E-2</c:v>
                </c:pt>
                <c:pt idx="4">
                  <c:v>1.3698630136986301E-2</c:v>
                </c:pt>
              </c:numCache>
            </c:numRef>
          </c:val>
          <c:extLst>
            <c:ext xmlns:c16="http://schemas.microsoft.com/office/drawing/2014/chart" uri="{C3380CC4-5D6E-409C-BE32-E72D297353CC}">
              <c16:uniqueId val="{00000001-9D17-4BE6-9144-13104056A7D8}"/>
            </c:ext>
          </c:extLst>
        </c:ser>
        <c:ser>
          <c:idx val="0"/>
          <c:order val="2"/>
          <c:tx>
            <c:strRef>
              <c:f>New_Ceased_LAC!$B$100</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2015-16</c:v>
                </c:pt>
                <c:pt idx="1">
                  <c:v>2016-17</c:v>
                </c:pt>
                <c:pt idx="2">
                  <c:v>2017-18</c:v>
                </c:pt>
                <c:pt idx="3">
                  <c:v>2018-19</c:v>
                </c:pt>
                <c:pt idx="4">
                  <c:v>2019-20</c:v>
                </c:pt>
              </c:strCache>
            </c:strRef>
          </c:cat>
          <c:val>
            <c:numRef>
              <c:f>New_Ceased_LAC!$D$100:$H$100</c:f>
              <c:numCache>
                <c:formatCode>0%</c:formatCode>
                <c:ptCount val="5"/>
                <c:pt idx="0">
                  <c:v>#N/A</c:v>
                </c:pt>
                <c:pt idx="1">
                  <c:v>#N/A</c:v>
                </c:pt>
                <c:pt idx="2">
                  <c:v>#N/A</c:v>
                </c:pt>
                <c:pt idx="3">
                  <c:v>2.462121212121212E-2</c:v>
                </c:pt>
                <c:pt idx="4">
                  <c:v>2.292541168873103E-2</c:v>
                </c:pt>
              </c:numCache>
            </c:numRef>
          </c:val>
          <c:extLst>
            <c:ext xmlns:c16="http://schemas.microsoft.com/office/drawing/2014/chart" uri="{C3380CC4-5D6E-409C-BE32-E72D297353CC}">
              <c16:uniqueId val="{00000002-9D17-4BE6-9144-13104056A7D8}"/>
            </c:ext>
          </c:extLst>
        </c:ser>
        <c:dLbls>
          <c:showLegendKey val="0"/>
          <c:showVal val="0"/>
          <c:showCatName val="0"/>
          <c:showSerName val="0"/>
          <c:showPercent val="0"/>
          <c:showBubbleSize val="0"/>
        </c:dLbls>
        <c:gapWidth val="100"/>
        <c:axId val="612776960"/>
        <c:axId val="602936064"/>
      </c:barChart>
      <c:catAx>
        <c:axId val="612776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936064"/>
        <c:crosses val="autoZero"/>
        <c:auto val="1"/>
        <c:lblAlgn val="ctr"/>
        <c:lblOffset val="100"/>
        <c:noMultiLvlLbl val="0"/>
      </c:catAx>
      <c:valAx>
        <c:axId val="60293606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2776960"/>
        <c:crosses val="autoZero"/>
        <c:crossBetween val="between"/>
      </c:valAx>
      <c:spPr>
        <a:noFill/>
        <a:ln w="3175">
          <a:solidFill>
            <a:srgbClr val="000000"/>
          </a:solidFill>
          <a:prstDash val="solid"/>
        </a:ln>
      </c:spPr>
    </c:plotArea>
    <c:legend>
      <c:legendPos val="r"/>
      <c:layout>
        <c:manualLayout>
          <c:xMode val="edge"/>
          <c:yMode val="edge"/>
          <c:x val="0.75565138973012991"/>
          <c:y val="0.24591471520605379"/>
          <c:w val="0.24434861026987012"/>
          <c:h val="0.738678801513447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starting to be Looked After during the period who were remanded into Local Authority Care</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New_Ceased_LAC!$AL$41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E1B-4D85-B41C-629FE6AFBA88}"/>
              </c:ext>
            </c:extLst>
          </c:dPt>
          <c:cat>
            <c:strRef>
              <c:f>New_Ceased_LAC!$Z$2:$AD$3</c:f>
              <c:strCache>
                <c:ptCount val="5"/>
                <c:pt idx="0">
                  <c:v>2015-16</c:v>
                </c:pt>
                <c:pt idx="1">
                  <c:v>2016-17</c:v>
                </c:pt>
                <c:pt idx="2">
                  <c:v>2017-18</c:v>
                </c:pt>
                <c:pt idx="3">
                  <c:v>2018-19</c:v>
                </c:pt>
                <c:pt idx="4">
                  <c:v>2019-20</c:v>
                </c:pt>
              </c:strCache>
            </c:strRef>
          </c:cat>
          <c:val>
            <c:numRef>
              <c:f>New_Ceased_LAC!$AX$41:$BB$41</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01-2E1B-4D85-B41C-629FE6AFBA88}"/>
            </c:ext>
          </c:extLst>
        </c:ser>
        <c:ser>
          <c:idx val="1"/>
          <c:order val="1"/>
          <c:tx>
            <c:strRef>
              <c:f>New_Ceased_LAC!$AL$42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New_Ceased_LAC!$AX$42:$BB$42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2E1B-4D85-B41C-629FE6AFBA88}"/>
            </c:ext>
          </c:extLst>
        </c:ser>
        <c:ser>
          <c:idx val="2"/>
          <c:order val="2"/>
          <c:tx>
            <c:strRef>
              <c:f>New_Ceased_LAC!$AL$43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New_Ceased_LAC!$AX$43:$BB$43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2E1B-4D85-B41C-629FE6AFBA88}"/>
            </c:ext>
          </c:extLst>
        </c:ser>
        <c:ser>
          <c:idx val="5"/>
          <c:order val="3"/>
          <c:tx>
            <c:strRef>
              <c:f>New_Ceased_LAC!$AL$44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New_Ceased_LAC!$AX$44:$BB$44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2E1B-4D85-B41C-629FE6AFBA88}"/>
            </c:ext>
          </c:extLst>
        </c:ser>
        <c:ser>
          <c:idx val="9"/>
          <c:order val="4"/>
          <c:tx>
            <c:strRef>
              <c:f>New_Ceased_LAC!$AL$45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New_Ceased_LAC!$AX$45:$BB$45</c:f>
              <c:numCache>
                <c:formatCode>0.0%</c:formatCode>
                <c:ptCount val="5"/>
                <c:pt idx="0">
                  <c:v>#N/A</c:v>
                </c:pt>
                <c:pt idx="1">
                  <c:v>#N/A</c:v>
                </c:pt>
                <c:pt idx="2">
                  <c:v>#N/A</c:v>
                </c:pt>
                <c:pt idx="3">
                  <c:v>1.8404907975460124E-2</c:v>
                </c:pt>
                <c:pt idx="4">
                  <c:v>1.8214936247723135E-2</c:v>
                </c:pt>
              </c:numCache>
            </c:numRef>
          </c:val>
          <c:smooth val="0"/>
          <c:extLst>
            <c:ext xmlns:c16="http://schemas.microsoft.com/office/drawing/2014/chart" uri="{C3380CC4-5D6E-409C-BE32-E72D297353CC}">
              <c16:uniqueId val="{00000005-2E1B-4D85-B41C-629FE6AFBA88}"/>
            </c:ext>
          </c:extLst>
        </c:ser>
        <c:ser>
          <c:idx val="10"/>
          <c:order val="5"/>
          <c:tx>
            <c:strRef>
              <c:f>New_Ceased_LAC!$AL$46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New_Ceased_LAC!$AX$46:$BB$46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2E1B-4D85-B41C-629FE6AFBA88}"/>
            </c:ext>
          </c:extLst>
        </c:ser>
        <c:ser>
          <c:idx val="11"/>
          <c:order val="6"/>
          <c:tx>
            <c:strRef>
              <c:f>New_Ceased_LAC!$AL$47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New_Ceased_LAC!$AX$47:$BB$47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2E1B-4D85-B41C-629FE6AFBA88}"/>
            </c:ext>
          </c:extLst>
        </c:ser>
        <c:ser>
          <c:idx val="12"/>
          <c:order val="7"/>
          <c:tx>
            <c:strRef>
              <c:f>New_Ceased_LAC!$AL$48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New_Ceased_LAC!$AX$48:$BB$48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2E1B-4D85-B41C-629FE6AFBA88}"/>
            </c:ext>
          </c:extLst>
        </c:ser>
        <c:ser>
          <c:idx val="13"/>
          <c:order val="8"/>
          <c:tx>
            <c:strRef>
              <c:f>New_Ceased_LAC!$AL$49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New_Ceased_LAC!$AX$49:$BB$49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2E1B-4D85-B41C-629FE6AFBA88}"/>
            </c:ext>
          </c:extLst>
        </c:ser>
        <c:ser>
          <c:idx val="15"/>
          <c:order val="9"/>
          <c:tx>
            <c:strRef>
              <c:f>New_Ceased_LAC!$AL$50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New_Ceased_LAC!$AX$50:$BB$50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2E1B-4D85-B41C-629FE6AFBA88}"/>
            </c:ext>
          </c:extLst>
        </c:ser>
        <c:ser>
          <c:idx val="16"/>
          <c:order val="10"/>
          <c:tx>
            <c:strRef>
              <c:f>New_Ceased_LAC!$AL$51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New_Ceased_LAC!$AX$51:$BB$51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2E1B-4D85-B41C-629FE6AFBA88}"/>
            </c:ext>
          </c:extLst>
        </c:ser>
        <c:ser>
          <c:idx val="17"/>
          <c:order val="11"/>
          <c:tx>
            <c:strRef>
              <c:f>New_Ceased_LAC!$AL$52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New_Ceased_LAC!$AX$52:$BB$52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2E1B-4D85-B41C-629FE6AFBA88}"/>
            </c:ext>
          </c:extLst>
        </c:ser>
        <c:ser>
          <c:idx val="19"/>
          <c:order val="12"/>
          <c:tx>
            <c:strRef>
              <c:f>New_Ceased_LAC!$AL$53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New_Ceased_LAC!$AX$53:$BB$53</c:f>
              <c:numCache>
                <c:formatCode>0.0%</c:formatCode>
                <c:ptCount val="5"/>
                <c:pt idx="0">
                  <c:v>#N/A</c:v>
                </c:pt>
                <c:pt idx="1">
                  <c:v>#N/A</c:v>
                </c:pt>
                <c:pt idx="2">
                  <c:v>#N/A</c:v>
                </c:pt>
                <c:pt idx="3">
                  <c:v>5.9701492537313432E-2</c:v>
                </c:pt>
                <c:pt idx="4">
                  <c:v>#N/A</c:v>
                </c:pt>
              </c:numCache>
            </c:numRef>
          </c:val>
          <c:smooth val="0"/>
          <c:extLst>
            <c:ext xmlns:c16="http://schemas.microsoft.com/office/drawing/2014/chart" uri="{C3380CC4-5D6E-409C-BE32-E72D297353CC}">
              <c16:uniqueId val="{0000000D-2E1B-4D85-B41C-629FE6AFBA88}"/>
            </c:ext>
          </c:extLst>
        </c:ser>
        <c:ser>
          <c:idx val="3"/>
          <c:order val="13"/>
          <c:tx>
            <c:strRef>
              <c:f>New_Ceased_LAC!$AL$54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New_Ceased_LAC!$AX$54:$BB$54</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0E-2E1B-4D85-B41C-629FE6AFBA88}"/>
            </c:ext>
          </c:extLst>
        </c:ser>
        <c:ser>
          <c:idx val="20"/>
          <c:order val="14"/>
          <c:tx>
            <c:strRef>
              <c:f>New_Ceased_LAC!$AL$55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New_Ceased_LAC!$AX$55:$BB$55</c:f>
              <c:numCache>
                <c:formatCode>0.0%</c:formatCode>
                <c:ptCount val="5"/>
                <c:pt idx="0">
                  <c:v>#N/A</c:v>
                </c:pt>
                <c:pt idx="1">
                  <c:v>#N/A</c:v>
                </c:pt>
                <c:pt idx="2">
                  <c:v>#N/A</c:v>
                </c:pt>
                <c:pt idx="3">
                  <c:v>4.7058823529411764E-2</c:v>
                </c:pt>
                <c:pt idx="4">
                  <c:v>#N/A</c:v>
                </c:pt>
              </c:numCache>
            </c:numRef>
          </c:val>
          <c:smooth val="0"/>
          <c:extLst>
            <c:ext xmlns:c16="http://schemas.microsoft.com/office/drawing/2014/chart" uri="{C3380CC4-5D6E-409C-BE32-E72D297353CC}">
              <c16:uniqueId val="{0000000F-2E1B-4D85-B41C-629FE6AFBA88}"/>
            </c:ext>
          </c:extLst>
        </c:ser>
        <c:ser>
          <c:idx val="22"/>
          <c:order val="15"/>
          <c:tx>
            <c:strRef>
              <c:f>New_Ceased_LAC!$AL$56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New_Ceased_LAC!$AX$56:$BB$56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2E1B-4D85-B41C-629FE6AFBA88}"/>
            </c:ext>
          </c:extLst>
        </c:ser>
        <c:ser>
          <c:idx val="7"/>
          <c:order val="16"/>
          <c:tx>
            <c:strRef>
              <c:f>New_Ceased_LAC!$AL$57</c:f>
              <c:strCache>
                <c:ptCount val="1"/>
                <c:pt idx="0">
                  <c:v>Swindon</c:v>
                </c:pt>
              </c:strCache>
            </c:strRef>
          </c:tx>
          <c:spPr>
            <a:ln w="12700"/>
          </c:spPr>
          <c:marker>
            <c:symbol val="triangle"/>
            <c:size val="5"/>
            <c:spPr>
              <a:solidFill>
                <a:schemeClr val="accent2">
                  <a:lumMod val="20000"/>
                  <a:lumOff val="80000"/>
                </a:schemeClr>
              </a:solidFill>
            </c:spPr>
          </c:marker>
          <c:cat>
            <c:strRef>
              <c:f>New_Ceased_LAC!$Z$2:$AD$3</c:f>
              <c:strCache>
                <c:ptCount val="5"/>
                <c:pt idx="0">
                  <c:v>2015-16</c:v>
                </c:pt>
                <c:pt idx="1">
                  <c:v>2016-17</c:v>
                </c:pt>
                <c:pt idx="2">
                  <c:v>2017-18</c:v>
                </c:pt>
                <c:pt idx="3">
                  <c:v>2018-19</c:v>
                </c:pt>
                <c:pt idx="4">
                  <c:v>2019-20</c:v>
                </c:pt>
              </c:strCache>
            </c:strRef>
          </c:cat>
          <c:val>
            <c:numRef>
              <c:f>New_Ceased_LAC!$AX$57:$BB$57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2E1B-4D85-B41C-629FE6AFBA88}"/>
            </c:ext>
          </c:extLst>
        </c:ser>
        <c:ser>
          <c:idx val="8"/>
          <c:order val="17"/>
          <c:tx>
            <c:strRef>
              <c:f>New_Ceased_LAC!$AL$58</c:f>
              <c:strCache>
                <c:ptCount val="1"/>
                <c:pt idx="0">
                  <c:v>Torbay</c:v>
                </c:pt>
              </c:strCache>
            </c:strRef>
          </c:tx>
          <c:spPr>
            <a:ln w="12700"/>
          </c:spPr>
          <c:marker>
            <c:symbol val="circle"/>
            <c:size val="5"/>
            <c:spPr>
              <a:solidFill>
                <a:schemeClr val="accent3">
                  <a:lumMod val="20000"/>
                  <a:lumOff val="80000"/>
                </a:schemeClr>
              </a:solidFill>
            </c:spPr>
          </c:marker>
          <c:cat>
            <c:strRef>
              <c:f>New_Ceased_LAC!$Z$2:$AD$3</c:f>
              <c:strCache>
                <c:ptCount val="5"/>
                <c:pt idx="0">
                  <c:v>2015-16</c:v>
                </c:pt>
                <c:pt idx="1">
                  <c:v>2016-17</c:v>
                </c:pt>
                <c:pt idx="2">
                  <c:v>2017-18</c:v>
                </c:pt>
                <c:pt idx="3">
                  <c:v>2018-19</c:v>
                </c:pt>
                <c:pt idx="4">
                  <c:v>2019-20</c:v>
                </c:pt>
              </c:strCache>
            </c:strRef>
          </c:cat>
          <c:val>
            <c:numRef>
              <c:f>New_Ceased_LAC!$AX$58:$BB$58</c:f>
              <c:numCache>
                <c:formatCode>0.0%</c:formatCode>
                <c:ptCount val="5"/>
                <c:pt idx="0">
                  <c:v>#N/A</c:v>
                </c:pt>
                <c:pt idx="1">
                  <c:v>#N/A</c:v>
                </c:pt>
                <c:pt idx="2">
                  <c:v>#N/A</c:v>
                </c:pt>
                <c:pt idx="3">
                  <c:v>0</c:v>
                </c:pt>
                <c:pt idx="4">
                  <c:v>#N/A</c:v>
                </c:pt>
              </c:numCache>
            </c:numRef>
          </c:val>
          <c:smooth val="0"/>
          <c:extLst>
            <c:ext xmlns:c16="http://schemas.microsoft.com/office/drawing/2014/chart" uri="{C3380CC4-5D6E-409C-BE32-E72D297353CC}">
              <c16:uniqueId val="{00000012-2E1B-4D85-B41C-629FE6AFBA88}"/>
            </c:ext>
          </c:extLst>
        </c:ser>
        <c:ser>
          <c:idx val="23"/>
          <c:order val="18"/>
          <c:tx>
            <c:strRef>
              <c:f>New_Ceased_LAC!$AL$59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New_Ceased_LAC!$AX$59:$BB$59</c:f>
              <c:numCache>
                <c:formatCode>0.0%</c:formatCode>
                <c:ptCount val="5"/>
                <c:pt idx="0">
                  <c:v>#N/A</c:v>
                </c:pt>
                <c:pt idx="1">
                  <c:v>#N/A</c:v>
                </c:pt>
                <c:pt idx="2">
                  <c:v>#N/A</c:v>
                </c:pt>
                <c:pt idx="3">
                  <c:v>0</c:v>
                </c:pt>
                <c:pt idx="4">
                  <c:v>#N/A</c:v>
                </c:pt>
              </c:numCache>
            </c:numRef>
          </c:val>
          <c:smooth val="0"/>
          <c:extLst>
            <c:ext xmlns:c16="http://schemas.microsoft.com/office/drawing/2014/chart" uri="{C3380CC4-5D6E-409C-BE32-E72D297353CC}">
              <c16:uniqueId val="{00000013-2E1B-4D85-B41C-629FE6AFBA88}"/>
            </c:ext>
          </c:extLst>
        </c:ser>
        <c:ser>
          <c:idx val="24"/>
          <c:order val="19"/>
          <c:tx>
            <c:strRef>
              <c:f>New_Ceased_LAC!$AL$60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New_Ceased_LAC!$AX$60:$BB$60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2E1B-4D85-B41C-629FE6AFBA88}"/>
            </c:ext>
          </c:extLst>
        </c:ser>
        <c:ser>
          <c:idx val="25"/>
          <c:order val="20"/>
          <c:tx>
            <c:strRef>
              <c:f>New_Ceased_LAC!$AL$61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New_Ceased_LAC!$AX$61:$BB$61</c:f>
              <c:numCache>
                <c:formatCode>0.0%</c:formatCode>
                <c:ptCount val="5"/>
                <c:pt idx="0">
                  <c:v>#N/A</c:v>
                </c:pt>
                <c:pt idx="1">
                  <c:v>#N/A</c:v>
                </c:pt>
                <c:pt idx="2">
                  <c:v>#N/A</c:v>
                </c:pt>
                <c:pt idx="3">
                  <c:v>0</c:v>
                </c:pt>
                <c:pt idx="4">
                  <c:v>0</c:v>
                </c:pt>
              </c:numCache>
            </c:numRef>
          </c:val>
          <c:smooth val="0"/>
          <c:extLst>
            <c:ext xmlns:c16="http://schemas.microsoft.com/office/drawing/2014/chart" uri="{C3380CC4-5D6E-409C-BE32-E72D297353CC}">
              <c16:uniqueId val="{00000015-2E1B-4D85-B41C-629FE6AFBA88}"/>
            </c:ext>
          </c:extLst>
        </c:ser>
        <c:ser>
          <c:idx val="26"/>
          <c:order val="21"/>
          <c:tx>
            <c:strRef>
              <c:f>New_Ceased_LAC!$AL$62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New_Ceased_LAC!$AX$62:$BB$62</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16-2E1B-4D85-B41C-629FE6AFBA88}"/>
            </c:ext>
          </c:extLst>
        </c:ser>
        <c:ser>
          <c:idx val="4"/>
          <c:order val="22"/>
          <c:tx>
            <c:strRef>
              <c:f>New_Ceased_LAC!$AL$63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New_Ceased_LAC!$AX$63:$BB$63</c:f>
              <c:numCache>
                <c:formatCode>0.0%</c:formatCode>
                <c:ptCount val="5"/>
                <c:pt idx="0">
                  <c:v>#N/A</c:v>
                </c:pt>
                <c:pt idx="1">
                  <c:v>#N/A</c:v>
                </c:pt>
                <c:pt idx="2">
                  <c:v>#N/A</c:v>
                </c:pt>
                <c:pt idx="3">
                  <c:v>1.6055045871559634E-2</c:v>
                </c:pt>
                <c:pt idx="4">
                  <c:v>1.3698630136986301E-2</c:v>
                </c:pt>
              </c:numCache>
            </c:numRef>
          </c:val>
          <c:smooth val="0"/>
          <c:extLst>
            <c:ext xmlns:c16="http://schemas.microsoft.com/office/drawing/2014/chart" uri="{C3380CC4-5D6E-409C-BE32-E72D297353CC}">
              <c16:uniqueId val="{00000017-2E1B-4D85-B41C-629FE6AFBA88}"/>
            </c:ext>
          </c:extLst>
        </c:ser>
        <c:ser>
          <c:idx val="14"/>
          <c:order val="23"/>
          <c:tx>
            <c:strRef>
              <c:f>New_Ceased_LAC!$AL$64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New_Ceased_LAC!$Z$2:$AD$3</c:f>
              <c:strCache>
                <c:ptCount val="5"/>
                <c:pt idx="0">
                  <c:v>2015-16</c:v>
                </c:pt>
                <c:pt idx="1">
                  <c:v>2016-17</c:v>
                </c:pt>
                <c:pt idx="2">
                  <c:v>2017-18</c:v>
                </c:pt>
                <c:pt idx="3">
                  <c:v>2018-19</c:v>
                </c:pt>
                <c:pt idx="4">
                  <c:v>2019-20</c:v>
                </c:pt>
              </c:strCache>
            </c:strRef>
          </c:cat>
          <c:val>
            <c:numRef>
              <c:f>New_Ceased_LAC!$AX$64:$BB$64</c:f>
              <c:numCache>
                <c:formatCode>0.0%</c:formatCode>
                <c:ptCount val="5"/>
                <c:pt idx="0">
                  <c:v>#N/A</c:v>
                </c:pt>
                <c:pt idx="1">
                  <c:v>#N/A</c:v>
                </c:pt>
                <c:pt idx="2">
                  <c:v>#N/A</c:v>
                </c:pt>
                <c:pt idx="3">
                  <c:v>2.462121212121212E-2</c:v>
                </c:pt>
                <c:pt idx="4">
                  <c:v>2.292541168873103E-2</c:v>
                </c:pt>
              </c:numCache>
            </c:numRef>
          </c:val>
          <c:smooth val="0"/>
          <c:extLst>
            <c:ext xmlns:c16="http://schemas.microsoft.com/office/drawing/2014/chart" uri="{C3380CC4-5D6E-409C-BE32-E72D297353CC}">
              <c16:uniqueId val="{00000018-2E1B-4D85-B41C-629FE6AFBA88}"/>
            </c:ext>
          </c:extLst>
        </c:ser>
        <c:ser>
          <c:idx val="6"/>
          <c:order val="24"/>
          <c:tx>
            <c:strRef>
              <c:f>New_Ceased_LAC!$AL$65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2015-16</c:v>
                </c:pt>
                <c:pt idx="1">
                  <c:v>2016-17</c:v>
                </c:pt>
                <c:pt idx="2">
                  <c:v>2017-18</c:v>
                </c:pt>
                <c:pt idx="3">
                  <c:v>2018-19</c:v>
                </c:pt>
                <c:pt idx="4">
                  <c:v>2019-20</c:v>
                </c:pt>
              </c:strCache>
            </c:strRef>
          </c:cat>
          <c:val>
            <c:numRef>
              <c:f>New_Ceased_LAC!$AX$65:$BB$65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E1B-4D85-B41C-629FE6AFBA88}"/>
            </c:ext>
          </c:extLst>
        </c:ser>
        <c:dLbls>
          <c:showLegendKey val="0"/>
          <c:showVal val="0"/>
          <c:showCatName val="0"/>
          <c:showSerName val="0"/>
          <c:showPercent val="0"/>
          <c:showBubbleSize val="0"/>
        </c:dLbls>
        <c:marker val="1"/>
        <c:smooth val="0"/>
        <c:axId val="612994432"/>
        <c:axId val="612996608"/>
      </c:lineChart>
      <c:catAx>
        <c:axId val="612994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2996608"/>
        <c:crosses val="autoZero"/>
        <c:auto val="1"/>
        <c:lblAlgn val="ctr"/>
        <c:lblOffset val="100"/>
        <c:tickLblSkip val="1"/>
        <c:tickMarkSkip val="1"/>
        <c:noMultiLvlLbl val="0"/>
      </c:catAx>
      <c:valAx>
        <c:axId val="61299660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29944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Ceasing to be Looked After, per 10,000 </a:t>
            </a:r>
          </a:p>
          <a:p>
            <a:pPr>
              <a:defRPr sz="1000" b="1" i="0" u="none" strike="noStrike" baseline="0">
                <a:solidFill>
                  <a:srgbClr val="000000"/>
                </a:solidFill>
                <a:latin typeface="Arial"/>
                <a:ea typeface="Arial"/>
                <a:cs typeface="Arial"/>
              </a:defRPr>
            </a:pPr>
            <a:r>
              <a:rPr lang="en-GB"/>
              <a:t>0-17 year olds</a:t>
            </a:r>
          </a:p>
        </c:rich>
      </c:tx>
      <c:layout>
        <c:manualLayout>
          <c:xMode val="edge"/>
          <c:yMode val="edge"/>
          <c:x val="0.15042497812773403"/>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New_Ceased_LAC!$AL$148</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A974-4274-AA20-B9DEC64B7043}"/>
              </c:ext>
            </c:extLst>
          </c:dPt>
          <c:cat>
            <c:strRef>
              <c:f>New_Ceased_LAC!$Z$2:$AD$3</c:f>
              <c:strCache>
                <c:ptCount val="5"/>
                <c:pt idx="0">
                  <c:v>2015-16</c:v>
                </c:pt>
                <c:pt idx="1">
                  <c:v>2016-17</c:v>
                </c:pt>
                <c:pt idx="2">
                  <c:v>2017-18</c:v>
                </c:pt>
                <c:pt idx="3">
                  <c:v>2018-19</c:v>
                </c:pt>
                <c:pt idx="4">
                  <c:v>2019-20</c:v>
                </c:pt>
              </c:strCache>
            </c:strRef>
          </c:cat>
          <c:val>
            <c:numRef>
              <c:f>New_Ceased_LAC!$AM$148:$AQ$148</c:f>
              <c:numCache>
                <c:formatCode>0.0</c:formatCode>
                <c:ptCount val="5"/>
                <c:pt idx="0">
                  <c:v>24.113475177304963</c:v>
                </c:pt>
                <c:pt idx="1">
                  <c:v>17.375886524822697</c:v>
                </c:pt>
                <c:pt idx="2">
                  <c:v>23.843416370106763</c:v>
                </c:pt>
                <c:pt idx="3">
                  <c:v>22.968197879858657</c:v>
                </c:pt>
                <c:pt idx="4">
                  <c:v>21.830985915492956</c:v>
                </c:pt>
              </c:numCache>
            </c:numRef>
          </c:val>
          <c:smooth val="0"/>
          <c:extLst>
            <c:ext xmlns:c16="http://schemas.microsoft.com/office/drawing/2014/chart" uri="{C3380CC4-5D6E-409C-BE32-E72D297353CC}">
              <c16:uniqueId val="{00000001-A974-4274-AA20-B9DEC64B7043}"/>
            </c:ext>
          </c:extLst>
        </c:ser>
        <c:ser>
          <c:idx val="1"/>
          <c:order val="1"/>
          <c:tx>
            <c:strRef>
              <c:f>New_Ceased_LAC!$AL$149</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New_Ceased_LAC!$AM$149:$AQ$149</c:f>
              <c:numCache>
                <c:formatCode>0.0</c:formatCode>
                <c:ptCount val="5"/>
                <c:pt idx="0">
                  <c:v>47.8515625</c:v>
                </c:pt>
                <c:pt idx="1">
                  <c:v>34.892787524366469</c:v>
                </c:pt>
                <c:pt idx="2">
                  <c:v>34.509803921568626</c:v>
                </c:pt>
                <c:pt idx="3">
                  <c:v>36.666666666666664</c:v>
                </c:pt>
                <c:pt idx="4">
                  <c:v>35.387673956262425</c:v>
                </c:pt>
              </c:numCache>
            </c:numRef>
          </c:val>
          <c:smooth val="0"/>
          <c:extLst>
            <c:ext xmlns:c16="http://schemas.microsoft.com/office/drawing/2014/chart" uri="{C3380CC4-5D6E-409C-BE32-E72D297353CC}">
              <c16:uniqueId val="{00000002-A974-4274-AA20-B9DEC64B7043}"/>
            </c:ext>
          </c:extLst>
        </c:ser>
        <c:ser>
          <c:idx val="2"/>
          <c:order val="2"/>
          <c:tx>
            <c:strRef>
              <c:f>New_Ceased_LAC!$AL$150</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New_Ceased_LAC!$AM$150:$AQ$150</c:f>
              <c:numCache>
                <c:formatCode>0.0</c:formatCode>
                <c:ptCount val="5"/>
                <c:pt idx="0">
                  <c:v>18.822553897180764</c:v>
                </c:pt>
                <c:pt idx="1">
                  <c:v>17.594108019639933</c:v>
                </c:pt>
                <c:pt idx="2">
                  <c:v>14.62225832656377</c:v>
                </c:pt>
                <c:pt idx="3">
                  <c:v>13.676588897827836</c:v>
                </c:pt>
                <c:pt idx="4">
                  <c:v>18.695306284805092</c:v>
                </c:pt>
              </c:numCache>
            </c:numRef>
          </c:val>
          <c:smooth val="0"/>
          <c:extLst>
            <c:ext xmlns:c16="http://schemas.microsoft.com/office/drawing/2014/chart" uri="{C3380CC4-5D6E-409C-BE32-E72D297353CC}">
              <c16:uniqueId val="{00000003-A974-4274-AA20-B9DEC64B7043}"/>
            </c:ext>
          </c:extLst>
        </c:ser>
        <c:ser>
          <c:idx val="5"/>
          <c:order val="3"/>
          <c:tx>
            <c:strRef>
              <c:f>New_Ceased_LAC!$AL$151</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New_Ceased_LAC!$AM$151:$AQ$151</c:f>
              <c:numCache>
                <c:formatCode>0.0</c:formatCode>
                <c:ptCount val="5"/>
                <c:pt idx="0">
                  <c:v>18.130311614730878</c:v>
                </c:pt>
                <c:pt idx="1">
                  <c:v>17.469310670443814</c:v>
                </c:pt>
                <c:pt idx="2">
                  <c:v>15.283018867924527</c:v>
                </c:pt>
                <c:pt idx="3">
                  <c:v>18.045112781954888</c:v>
                </c:pt>
                <c:pt idx="4">
                  <c:v>16.556914393226716</c:v>
                </c:pt>
              </c:numCache>
            </c:numRef>
          </c:val>
          <c:smooth val="0"/>
          <c:extLst>
            <c:ext xmlns:c16="http://schemas.microsoft.com/office/drawing/2014/chart" uri="{C3380CC4-5D6E-409C-BE32-E72D297353CC}">
              <c16:uniqueId val="{00000004-A974-4274-AA20-B9DEC64B7043}"/>
            </c:ext>
          </c:extLst>
        </c:ser>
        <c:ser>
          <c:idx val="9"/>
          <c:order val="4"/>
          <c:tx>
            <c:strRef>
              <c:f>New_Ceased_LAC!$AL$152</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New_Ceased_LAC!$AM$152:$AQ$152</c:f>
              <c:numCache>
                <c:formatCode>0.0</c:formatCode>
                <c:ptCount val="5"/>
                <c:pt idx="0">
                  <c:v>19.333096842852076</c:v>
                </c:pt>
                <c:pt idx="1">
                  <c:v>18.811881188118811</c:v>
                </c:pt>
                <c:pt idx="2">
                  <c:v>17.154959406989057</c:v>
                </c:pt>
                <c:pt idx="3">
                  <c:v>20.880281690140844</c:v>
                </c:pt>
                <c:pt idx="4">
                  <c:v>21.948645796693633</c:v>
                </c:pt>
              </c:numCache>
            </c:numRef>
          </c:val>
          <c:smooth val="0"/>
          <c:extLst>
            <c:ext xmlns:c16="http://schemas.microsoft.com/office/drawing/2014/chart" uri="{C3380CC4-5D6E-409C-BE32-E72D297353CC}">
              <c16:uniqueId val="{00000005-A974-4274-AA20-B9DEC64B7043}"/>
            </c:ext>
          </c:extLst>
        </c:ser>
        <c:ser>
          <c:idx val="10"/>
          <c:order val="5"/>
          <c:tx>
            <c:strRef>
              <c:f>New_Ceased_LAC!$AL$153</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New_Ceased_LAC!$AM$153:$AQ$153</c:f>
              <c:numCache>
                <c:formatCode>0.0</c:formatCode>
                <c:ptCount val="5"/>
                <c:pt idx="0">
                  <c:v>28.853754940711465</c:v>
                </c:pt>
                <c:pt idx="1">
                  <c:v>30.158730158730162</c:v>
                </c:pt>
                <c:pt idx="2">
                  <c:v>32.669322709163346</c:v>
                </c:pt>
                <c:pt idx="3">
                  <c:v>24.497991967871485</c:v>
                </c:pt>
                <c:pt idx="4">
                  <c:v>21.457489878542511</c:v>
                </c:pt>
              </c:numCache>
            </c:numRef>
          </c:val>
          <c:smooth val="0"/>
          <c:extLst>
            <c:ext xmlns:c16="http://schemas.microsoft.com/office/drawing/2014/chart" uri="{C3380CC4-5D6E-409C-BE32-E72D297353CC}">
              <c16:uniqueId val="{00000006-A974-4274-AA20-B9DEC64B7043}"/>
            </c:ext>
          </c:extLst>
        </c:ser>
        <c:ser>
          <c:idx val="11"/>
          <c:order val="6"/>
          <c:tx>
            <c:strRef>
              <c:f>New_Ceased_LAC!$AL$154</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New_Ceased_LAC!$AM$154:$AQ$154</c:f>
              <c:numCache>
                <c:formatCode>0.0</c:formatCode>
                <c:ptCount val="5"/>
                <c:pt idx="0">
                  <c:v>32.657384987893465</c:v>
                </c:pt>
                <c:pt idx="1">
                  <c:v>39.51951951951952</c:v>
                </c:pt>
                <c:pt idx="2">
                  <c:v>31.210949122285033</c:v>
                </c:pt>
                <c:pt idx="3">
                  <c:v>22.43457806527492</c:v>
                </c:pt>
                <c:pt idx="4">
                  <c:v>21.465968586387437</c:v>
                </c:pt>
              </c:numCache>
            </c:numRef>
          </c:val>
          <c:smooth val="0"/>
          <c:extLst>
            <c:ext xmlns:c16="http://schemas.microsoft.com/office/drawing/2014/chart" uri="{C3380CC4-5D6E-409C-BE32-E72D297353CC}">
              <c16:uniqueId val="{00000007-A974-4274-AA20-B9DEC64B7043}"/>
            </c:ext>
          </c:extLst>
        </c:ser>
        <c:ser>
          <c:idx val="12"/>
          <c:order val="7"/>
          <c:tx>
            <c:strRef>
              <c:f>New_Ceased_LAC!$AL$155</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New_Ceased_LAC!$AM$155:$AQ$155</c:f>
              <c:numCache>
                <c:formatCode>0.0</c:formatCode>
                <c:ptCount val="5"/>
                <c:pt idx="0">
                  <c:v>33.22784810126582</c:v>
                </c:pt>
                <c:pt idx="1">
                  <c:v>29.356357927786497</c:v>
                </c:pt>
                <c:pt idx="2">
                  <c:v>24.88262910798122</c:v>
                </c:pt>
                <c:pt idx="3">
                  <c:v>24.534161490683232</c:v>
                </c:pt>
                <c:pt idx="4">
                  <c:v>27.69230769230769</c:v>
                </c:pt>
              </c:numCache>
            </c:numRef>
          </c:val>
          <c:smooth val="0"/>
          <c:extLst>
            <c:ext xmlns:c16="http://schemas.microsoft.com/office/drawing/2014/chart" uri="{C3380CC4-5D6E-409C-BE32-E72D297353CC}">
              <c16:uniqueId val="{00000008-A974-4274-AA20-B9DEC64B7043}"/>
            </c:ext>
          </c:extLst>
        </c:ser>
        <c:ser>
          <c:idx val="13"/>
          <c:order val="8"/>
          <c:tx>
            <c:strRef>
              <c:f>New_Ceased_LAC!$AL$156</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New_Ceased_LAC!$AM$156:$AQ$156</c:f>
              <c:numCache>
                <c:formatCode>0.0</c:formatCode>
                <c:ptCount val="5"/>
                <c:pt idx="0">
                  <c:v>28.139183055975792</c:v>
                </c:pt>
                <c:pt idx="1">
                  <c:v>22.652757078986586</c:v>
                </c:pt>
                <c:pt idx="2">
                  <c:v>21.449704142011832</c:v>
                </c:pt>
                <c:pt idx="3">
                  <c:v>25.329428989751101</c:v>
                </c:pt>
                <c:pt idx="4">
                  <c:v>21.511627906976742</c:v>
                </c:pt>
              </c:numCache>
            </c:numRef>
          </c:val>
          <c:smooth val="0"/>
          <c:extLst>
            <c:ext xmlns:c16="http://schemas.microsoft.com/office/drawing/2014/chart" uri="{C3380CC4-5D6E-409C-BE32-E72D297353CC}">
              <c16:uniqueId val="{00000009-A974-4274-AA20-B9DEC64B7043}"/>
            </c:ext>
          </c:extLst>
        </c:ser>
        <c:ser>
          <c:idx val="15"/>
          <c:order val="9"/>
          <c:tx>
            <c:strRef>
              <c:f>New_Ceased_LAC!$AL$157</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New_Ceased_LAC!$AM$157:$AQ$157</c:f>
              <c:numCache>
                <c:formatCode>0.0</c:formatCode>
                <c:ptCount val="5"/>
                <c:pt idx="0">
                  <c:v>19.746121297602258</c:v>
                </c:pt>
                <c:pt idx="1">
                  <c:v>20.013995801259622</c:v>
                </c:pt>
                <c:pt idx="2">
                  <c:v>20.781032078103205</c:v>
                </c:pt>
                <c:pt idx="3">
                  <c:v>18.853591160220994</c:v>
                </c:pt>
                <c:pt idx="4">
                  <c:v>22.039698836413415</c:v>
                </c:pt>
              </c:numCache>
            </c:numRef>
          </c:val>
          <c:smooth val="0"/>
          <c:extLst>
            <c:ext xmlns:c16="http://schemas.microsoft.com/office/drawing/2014/chart" uri="{C3380CC4-5D6E-409C-BE32-E72D297353CC}">
              <c16:uniqueId val="{0000000A-A974-4274-AA20-B9DEC64B7043}"/>
            </c:ext>
          </c:extLst>
        </c:ser>
        <c:ser>
          <c:idx val="16"/>
          <c:order val="10"/>
          <c:tx>
            <c:strRef>
              <c:f>New_Ceased_LAC!$AL$158</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New_Ceased_LAC!$AM$158:$AQ$158</c:f>
              <c:numCache>
                <c:formatCode>0.0</c:formatCode>
                <c:ptCount val="5"/>
                <c:pt idx="0">
                  <c:v>28.767123287671232</c:v>
                </c:pt>
                <c:pt idx="1">
                  <c:v>27.954545454545453</c:v>
                </c:pt>
                <c:pt idx="2">
                  <c:v>42.081447963800905</c:v>
                </c:pt>
                <c:pt idx="3">
                  <c:v>36.590909090909093</c:v>
                </c:pt>
                <c:pt idx="4">
                  <c:v>46.575342465753423</c:v>
                </c:pt>
              </c:numCache>
            </c:numRef>
          </c:val>
          <c:smooth val="0"/>
          <c:extLst>
            <c:ext xmlns:c16="http://schemas.microsoft.com/office/drawing/2014/chart" uri="{C3380CC4-5D6E-409C-BE32-E72D297353CC}">
              <c16:uniqueId val="{0000000B-A974-4274-AA20-B9DEC64B7043}"/>
            </c:ext>
          </c:extLst>
        </c:ser>
        <c:ser>
          <c:idx val="17"/>
          <c:order val="11"/>
          <c:tx>
            <c:strRef>
              <c:f>New_Ceased_LAC!$AL$159</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New_Ceased_LAC!$AM$159:$AQ$159</c:f>
              <c:numCache>
                <c:formatCode>0.0</c:formatCode>
                <c:ptCount val="5"/>
                <c:pt idx="0">
                  <c:v>33.791208791208788</c:v>
                </c:pt>
                <c:pt idx="1">
                  <c:v>27.3224043715847</c:v>
                </c:pt>
                <c:pt idx="2">
                  <c:v>24.797843665768195</c:v>
                </c:pt>
                <c:pt idx="3">
                  <c:v>25.60646900269542</c:v>
                </c:pt>
                <c:pt idx="4">
                  <c:v>29.45945945945946</c:v>
                </c:pt>
              </c:numCache>
            </c:numRef>
          </c:val>
          <c:smooth val="0"/>
          <c:extLst>
            <c:ext xmlns:c16="http://schemas.microsoft.com/office/drawing/2014/chart" uri="{C3380CC4-5D6E-409C-BE32-E72D297353CC}">
              <c16:uniqueId val="{0000000C-A974-4274-AA20-B9DEC64B7043}"/>
            </c:ext>
          </c:extLst>
        </c:ser>
        <c:ser>
          <c:idx val="19"/>
          <c:order val="12"/>
          <c:tx>
            <c:strRef>
              <c:f>New_Ceased_LAC!$AL$160</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New_Ceased_LAC!$AM$160:$AQ$160</c:f>
              <c:numCache>
                <c:formatCode>0.0</c:formatCode>
                <c:ptCount val="5"/>
                <c:pt idx="0">
                  <c:v>37.931034482758619</c:v>
                </c:pt>
                <c:pt idx="1">
                  <c:v>27.05314009661836</c:v>
                </c:pt>
                <c:pt idx="2">
                  <c:v>26.54028436018957</c:v>
                </c:pt>
                <c:pt idx="3">
                  <c:v>29.742388758782205</c:v>
                </c:pt>
                <c:pt idx="4">
                  <c:v>29.002320185614849</c:v>
                </c:pt>
              </c:numCache>
            </c:numRef>
          </c:val>
          <c:smooth val="0"/>
          <c:extLst>
            <c:ext xmlns:c16="http://schemas.microsoft.com/office/drawing/2014/chart" uri="{C3380CC4-5D6E-409C-BE32-E72D297353CC}">
              <c16:uniqueId val="{0000000D-A974-4274-AA20-B9DEC64B7043}"/>
            </c:ext>
          </c:extLst>
        </c:ser>
        <c:ser>
          <c:idx val="3"/>
          <c:order val="13"/>
          <c:tx>
            <c:strRef>
              <c:f>New_Ceased_LAC!$AL$161</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New_Ceased_LAC!$AM$161:$AQ$161</c:f>
              <c:numCache>
                <c:formatCode>0.0</c:formatCode>
                <c:ptCount val="5"/>
                <c:pt idx="0">
                  <c:v>20.970695970695971</c:v>
                </c:pt>
                <c:pt idx="1">
                  <c:v>23.792160437556973</c:v>
                </c:pt>
                <c:pt idx="2">
                  <c:v>20.254314259763852</c:v>
                </c:pt>
                <c:pt idx="3">
                  <c:v>16.621499548328817</c:v>
                </c:pt>
                <c:pt idx="4">
                  <c:v>17.715827338129497</c:v>
                </c:pt>
              </c:numCache>
            </c:numRef>
          </c:val>
          <c:smooth val="0"/>
          <c:extLst>
            <c:ext xmlns:c16="http://schemas.microsoft.com/office/drawing/2014/chart" uri="{C3380CC4-5D6E-409C-BE32-E72D297353CC}">
              <c16:uniqueId val="{0000000E-A974-4274-AA20-B9DEC64B7043}"/>
            </c:ext>
          </c:extLst>
        </c:ser>
        <c:ser>
          <c:idx val="20"/>
          <c:order val="14"/>
          <c:tx>
            <c:strRef>
              <c:f>New_Ceased_LAC!$AL$162</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New_Ceased_LAC!$AM$162:$AQ$162</c:f>
              <c:numCache>
                <c:formatCode>0.0</c:formatCode>
                <c:ptCount val="5"/>
                <c:pt idx="0">
                  <c:v>41.666666666666664</c:v>
                </c:pt>
                <c:pt idx="1">
                  <c:v>44.288577154308619</c:v>
                </c:pt>
                <c:pt idx="2">
                  <c:v>39.165009940357848</c:v>
                </c:pt>
                <c:pt idx="3">
                  <c:v>42.125984251968504</c:v>
                </c:pt>
                <c:pt idx="4">
                  <c:v>38.791423001949319</c:v>
                </c:pt>
              </c:numCache>
            </c:numRef>
          </c:val>
          <c:smooth val="0"/>
          <c:extLst>
            <c:ext xmlns:c16="http://schemas.microsoft.com/office/drawing/2014/chart" uri="{C3380CC4-5D6E-409C-BE32-E72D297353CC}">
              <c16:uniqueId val="{0000000F-A974-4274-AA20-B9DEC64B7043}"/>
            </c:ext>
          </c:extLst>
        </c:ser>
        <c:ser>
          <c:idx val="22"/>
          <c:order val="15"/>
          <c:tx>
            <c:strRef>
              <c:f>New_Ceased_LAC!$AL$163</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New_Ceased_LAC!$AM$163:$AQ$163</c:f>
              <c:numCache>
                <c:formatCode>0.0</c:formatCode>
                <c:ptCount val="5"/>
                <c:pt idx="0">
                  <c:v>15.795631825273011</c:v>
                </c:pt>
                <c:pt idx="1">
                  <c:v>16.177606177606179</c:v>
                </c:pt>
                <c:pt idx="2">
                  <c:v>15.712639262389551</c:v>
                </c:pt>
                <c:pt idx="3">
                  <c:v>15.043909889270715</c:v>
                </c:pt>
                <c:pt idx="4">
                  <c:v>13.836239575435938</c:v>
                </c:pt>
              </c:numCache>
            </c:numRef>
          </c:val>
          <c:smooth val="0"/>
          <c:extLst>
            <c:ext xmlns:c16="http://schemas.microsoft.com/office/drawing/2014/chart" uri="{C3380CC4-5D6E-409C-BE32-E72D297353CC}">
              <c16:uniqueId val="{00000010-A974-4274-AA20-B9DEC64B7043}"/>
            </c:ext>
          </c:extLst>
        </c:ser>
        <c:ser>
          <c:idx val="7"/>
          <c:order val="16"/>
          <c:tx>
            <c:strRef>
              <c:f>New_Ceased_LAC!$AL$164</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New_Ceased_LAC!$Z$2:$AD$3</c:f>
              <c:strCache>
                <c:ptCount val="5"/>
                <c:pt idx="0">
                  <c:v>2015-16</c:v>
                </c:pt>
                <c:pt idx="1">
                  <c:v>2016-17</c:v>
                </c:pt>
                <c:pt idx="2">
                  <c:v>2017-18</c:v>
                </c:pt>
                <c:pt idx="3">
                  <c:v>2018-19</c:v>
                </c:pt>
                <c:pt idx="4">
                  <c:v>2019-20</c:v>
                </c:pt>
              </c:strCache>
            </c:strRef>
          </c:cat>
          <c:val>
            <c:numRef>
              <c:f>New_Ceased_LAC!$AM$164:$AQ$164</c:f>
              <c:numCache>
                <c:formatCode>0.0</c:formatCode>
                <c:ptCount val="5"/>
                <c:pt idx="0">
                  <c:v>28.367346938775508</c:v>
                </c:pt>
                <c:pt idx="1">
                  <c:v>30.303030303030305</c:v>
                </c:pt>
                <c:pt idx="2">
                  <c:v>31.062124248496993</c:v>
                </c:pt>
                <c:pt idx="3">
                  <c:v>29.681274900398407</c:v>
                </c:pt>
                <c:pt idx="4">
                  <c:v>30.753968253968253</c:v>
                </c:pt>
              </c:numCache>
            </c:numRef>
          </c:val>
          <c:smooth val="0"/>
          <c:extLst>
            <c:ext xmlns:c16="http://schemas.microsoft.com/office/drawing/2014/chart" uri="{C3380CC4-5D6E-409C-BE32-E72D297353CC}">
              <c16:uniqueId val="{00000011-A974-4274-AA20-B9DEC64B7043}"/>
            </c:ext>
          </c:extLst>
        </c:ser>
        <c:ser>
          <c:idx val="8"/>
          <c:order val="17"/>
          <c:tx>
            <c:strRef>
              <c:f>New_Ceased_LAC!$AL$165</c:f>
              <c:strCache>
                <c:ptCount val="1"/>
                <c:pt idx="0">
                  <c:v>Torbay</c:v>
                </c:pt>
              </c:strCache>
            </c:strRef>
          </c:tx>
          <c:spPr>
            <a:ln w="12700"/>
          </c:spPr>
          <c:marker>
            <c:symbol val="circle"/>
            <c:size val="5"/>
            <c:spPr>
              <a:solidFill>
                <a:schemeClr val="accent3">
                  <a:lumMod val="20000"/>
                  <a:lumOff val="80000"/>
                </a:schemeClr>
              </a:solidFill>
            </c:spPr>
          </c:marker>
          <c:cat>
            <c:strRef>
              <c:f>New_Ceased_LAC!$Z$2:$AD$3</c:f>
              <c:strCache>
                <c:ptCount val="5"/>
                <c:pt idx="0">
                  <c:v>2015-16</c:v>
                </c:pt>
                <c:pt idx="1">
                  <c:v>2016-17</c:v>
                </c:pt>
                <c:pt idx="2">
                  <c:v>2017-18</c:v>
                </c:pt>
                <c:pt idx="3">
                  <c:v>2018-19</c:v>
                </c:pt>
                <c:pt idx="4">
                  <c:v>2019-20</c:v>
                </c:pt>
              </c:strCache>
            </c:strRef>
          </c:cat>
          <c:val>
            <c:numRef>
              <c:f>New_Ceased_LAC!$AM$165:$AQ$165</c:f>
              <c:numCache>
                <c:formatCode>0.0</c:formatCode>
                <c:ptCount val="5"/>
                <c:pt idx="0">
                  <c:v>49.603174603174601</c:v>
                </c:pt>
                <c:pt idx="1">
                  <c:v>42.519685039370074</c:v>
                </c:pt>
                <c:pt idx="2">
                  <c:v>40.15748031496063</c:v>
                </c:pt>
                <c:pt idx="3">
                  <c:v>46.456692913385822</c:v>
                </c:pt>
                <c:pt idx="4">
                  <c:v>55.078125</c:v>
                </c:pt>
              </c:numCache>
            </c:numRef>
          </c:val>
          <c:smooth val="0"/>
          <c:extLst>
            <c:ext xmlns:c16="http://schemas.microsoft.com/office/drawing/2014/chart" uri="{C3380CC4-5D6E-409C-BE32-E72D297353CC}">
              <c16:uniqueId val="{00000012-A974-4274-AA20-B9DEC64B7043}"/>
            </c:ext>
          </c:extLst>
        </c:ser>
        <c:ser>
          <c:idx val="23"/>
          <c:order val="18"/>
          <c:tx>
            <c:strRef>
              <c:f>New_Ceased_LAC!$AL$166</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New_Ceased_LAC!$AM$166:$AQ$166</c:f>
              <c:numCache>
                <c:formatCode>0.0</c:formatCode>
                <c:ptCount val="5"/>
                <c:pt idx="0">
                  <c:v>19.327731092436974</c:v>
                </c:pt>
                <c:pt idx="1">
                  <c:v>20.612813370473539</c:v>
                </c:pt>
                <c:pt idx="2">
                  <c:v>24.022346368715084</c:v>
                </c:pt>
                <c:pt idx="3">
                  <c:v>14.887640449438202</c:v>
                </c:pt>
                <c:pt idx="4">
                  <c:v>20.786516853932586</c:v>
                </c:pt>
              </c:numCache>
            </c:numRef>
          </c:val>
          <c:smooth val="0"/>
          <c:extLst>
            <c:ext xmlns:c16="http://schemas.microsoft.com/office/drawing/2014/chart" uri="{C3380CC4-5D6E-409C-BE32-E72D297353CC}">
              <c16:uniqueId val="{00000013-A974-4274-AA20-B9DEC64B7043}"/>
            </c:ext>
          </c:extLst>
        </c:ser>
        <c:ser>
          <c:idx val="24"/>
          <c:order val="19"/>
          <c:tx>
            <c:strRef>
              <c:f>New_Ceased_LAC!$AL$167</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New_Ceased_LAC!$AM$167:$AQ$167</c:f>
              <c:numCache>
                <c:formatCode>0.0</c:formatCode>
                <c:ptCount val="5"/>
                <c:pt idx="0">
                  <c:v>22.652582159624412</c:v>
                </c:pt>
                <c:pt idx="1">
                  <c:v>20.779976717112923</c:v>
                </c:pt>
                <c:pt idx="2">
                  <c:v>19.503750721292555</c:v>
                </c:pt>
                <c:pt idx="3">
                  <c:v>20.263308528906698</c:v>
                </c:pt>
                <c:pt idx="4">
                  <c:v>20.159000567859174</c:v>
                </c:pt>
              </c:numCache>
            </c:numRef>
          </c:val>
          <c:smooth val="0"/>
          <c:extLst>
            <c:ext xmlns:c16="http://schemas.microsoft.com/office/drawing/2014/chart" uri="{C3380CC4-5D6E-409C-BE32-E72D297353CC}">
              <c16:uniqueId val="{00000014-A974-4274-AA20-B9DEC64B7043}"/>
            </c:ext>
          </c:extLst>
        </c:ser>
        <c:ser>
          <c:idx val="25"/>
          <c:order val="20"/>
          <c:tx>
            <c:strRef>
              <c:f>New_Ceased_LAC!$AL$168</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New_Ceased_LAC!$AM$168:$AQ$168</c:f>
              <c:numCache>
                <c:formatCode>0.0</c:formatCode>
                <c:ptCount val="5"/>
                <c:pt idx="0">
                  <c:v>12.759643916913946</c:v>
                </c:pt>
                <c:pt idx="1">
                  <c:v>10.233918128654972</c:v>
                </c:pt>
                <c:pt idx="2">
                  <c:v>14.244186046511627</c:v>
                </c:pt>
                <c:pt idx="3">
                  <c:v>15.028901734104045</c:v>
                </c:pt>
                <c:pt idx="4">
                  <c:v>17.86743515850144</c:v>
                </c:pt>
              </c:numCache>
            </c:numRef>
          </c:val>
          <c:smooth val="0"/>
          <c:extLst>
            <c:ext xmlns:c16="http://schemas.microsoft.com/office/drawing/2014/chart" uri="{C3380CC4-5D6E-409C-BE32-E72D297353CC}">
              <c16:uniqueId val="{00000015-A974-4274-AA20-B9DEC64B7043}"/>
            </c:ext>
          </c:extLst>
        </c:ser>
        <c:ser>
          <c:idx val="26"/>
          <c:order val="21"/>
          <c:tx>
            <c:strRef>
              <c:f>New_Ceased_LAC!$AL$169</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New_Ceased_LAC!$AM$169:$AQ$169</c:f>
              <c:numCache>
                <c:formatCode>0.0</c:formatCode>
                <c:ptCount val="5"/>
                <c:pt idx="0">
                  <c:v>9.1152815013404833</c:v>
                </c:pt>
                <c:pt idx="1">
                  <c:v>8.1578947368421044</c:v>
                </c:pt>
                <c:pt idx="2">
                  <c:v>9.3023255813953494</c:v>
                </c:pt>
                <c:pt idx="3">
                  <c:v>14.683544303797468</c:v>
                </c:pt>
                <c:pt idx="4">
                  <c:v>13.613861386138613</c:v>
                </c:pt>
              </c:numCache>
            </c:numRef>
          </c:val>
          <c:smooth val="0"/>
          <c:extLst>
            <c:ext xmlns:c16="http://schemas.microsoft.com/office/drawing/2014/chart" uri="{C3380CC4-5D6E-409C-BE32-E72D297353CC}">
              <c16:uniqueId val="{00000016-A974-4274-AA20-B9DEC64B7043}"/>
            </c:ext>
          </c:extLst>
        </c:ser>
        <c:ser>
          <c:idx val="4"/>
          <c:order val="22"/>
          <c:tx>
            <c:strRef>
              <c:f>New_Ceased_LAC!$AL$170</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New_Ceased_LAC!$AM$170:$AQ$170</c:f>
              <c:numCache>
                <c:formatCode>0.0</c:formatCode>
                <c:ptCount val="5"/>
                <c:pt idx="0">
                  <c:v>24.242740211667797</c:v>
                </c:pt>
                <c:pt idx="1">
                  <c:v>24.05338299193048</c:v>
                </c:pt>
                <c:pt idx="2">
                  <c:v>22.171922423993006</c:v>
                </c:pt>
                <c:pt idx="3">
                  <c:v>21.149425287356323</c:v>
                </c:pt>
                <c:pt idx="4">
                  <c:v>21.632051998171942</c:v>
                </c:pt>
              </c:numCache>
            </c:numRef>
          </c:val>
          <c:smooth val="0"/>
          <c:extLst>
            <c:ext xmlns:c16="http://schemas.microsoft.com/office/drawing/2014/chart" uri="{C3380CC4-5D6E-409C-BE32-E72D297353CC}">
              <c16:uniqueId val="{00000017-A974-4274-AA20-B9DEC64B7043}"/>
            </c:ext>
          </c:extLst>
        </c:ser>
        <c:ser>
          <c:idx val="14"/>
          <c:order val="23"/>
          <c:tx>
            <c:strRef>
              <c:f>New_Ceased_LAC!$AL$171</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New_Ceased_LAC!$Z$2:$AD$3</c:f>
              <c:strCache>
                <c:ptCount val="5"/>
                <c:pt idx="0">
                  <c:v>2015-16</c:v>
                </c:pt>
                <c:pt idx="1">
                  <c:v>2016-17</c:v>
                </c:pt>
                <c:pt idx="2">
                  <c:v>2017-18</c:v>
                </c:pt>
                <c:pt idx="3">
                  <c:v>2018-19</c:v>
                </c:pt>
                <c:pt idx="4">
                  <c:v>2019-20</c:v>
                </c:pt>
              </c:strCache>
            </c:strRef>
          </c:cat>
          <c:val>
            <c:numRef>
              <c:f>New_Ceased_LAC!$AM$171:$AQ$171</c:f>
              <c:numCache>
                <c:formatCode>0.0</c:formatCode>
                <c:ptCount val="5"/>
                <c:pt idx="0">
                  <c:v>27.282302468765788</c:v>
                </c:pt>
                <c:pt idx="1">
                  <c:v>26.643360796924984</c:v>
                </c:pt>
                <c:pt idx="2">
                  <c:v>25.322322406673972</c:v>
                </c:pt>
                <c:pt idx="3">
                  <c:v>24.643233566995132</c:v>
                </c:pt>
                <c:pt idx="4">
                  <c:v>24.609933796866162</c:v>
                </c:pt>
              </c:numCache>
            </c:numRef>
          </c:val>
          <c:smooth val="0"/>
          <c:extLst>
            <c:ext xmlns:c16="http://schemas.microsoft.com/office/drawing/2014/chart" uri="{C3380CC4-5D6E-409C-BE32-E72D297353CC}">
              <c16:uniqueId val="{00000018-A974-4274-AA20-B9DEC64B7043}"/>
            </c:ext>
          </c:extLst>
        </c:ser>
        <c:ser>
          <c:idx val="6"/>
          <c:order val="24"/>
          <c:tx>
            <c:strRef>
              <c:f>New_Ceased_LAC!$AL$172</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2015-16</c:v>
                </c:pt>
                <c:pt idx="1">
                  <c:v>2016-17</c:v>
                </c:pt>
                <c:pt idx="2">
                  <c:v>2017-18</c:v>
                </c:pt>
                <c:pt idx="3">
                  <c:v>2018-19</c:v>
                </c:pt>
                <c:pt idx="4">
                  <c:v>2019-20</c:v>
                </c:pt>
              </c:strCache>
            </c:strRef>
          </c:cat>
          <c:val>
            <c:numRef>
              <c:f>New_Ceased_LAC!$AM$172:$AQ$172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A974-4274-AA20-B9DEC64B7043}"/>
            </c:ext>
          </c:extLst>
        </c:ser>
        <c:dLbls>
          <c:showLegendKey val="0"/>
          <c:showVal val="0"/>
          <c:showCatName val="0"/>
          <c:showSerName val="0"/>
          <c:showPercent val="0"/>
          <c:showBubbleSize val="0"/>
        </c:dLbls>
        <c:marker val="1"/>
        <c:smooth val="0"/>
        <c:axId val="613720832"/>
        <c:axId val="613722752"/>
      </c:lineChart>
      <c:catAx>
        <c:axId val="613720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722752"/>
        <c:crosses val="autoZero"/>
        <c:auto val="1"/>
        <c:lblAlgn val="ctr"/>
        <c:lblOffset val="100"/>
        <c:tickLblSkip val="1"/>
        <c:tickMarkSkip val="1"/>
        <c:noMultiLvlLbl val="0"/>
      </c:catAx>
      <c:valAx>
        <c:axId val="61372275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7208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Children Ceasing to be Looked After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808314729889533"/>
          <c:y val="3.8613923259592556E-3"/>
        </c:manualLayout>
      </c:layout>
      <c:overlay val="0"/>
      <c:spPr>
        <a:noFill/>
        <a:ln w="25400">
          <a:noFill/>
        </a:ln>
      </c:spPr>
    </c:title>
    <c:autoTitleDeleted val="0"/>
    <c:plotArea>
      <c:layout>
        <c:manualLayout>
          <c:layoutTarget val="inner"/>
          <c:xMode val="edge"/>
          <c:yMode val="edge"/>
          <c:x val="9.6909984154078643E-2"/>
          <c:y val="0.21898575178102736"/>
          <c:w val="0.65146216862752293"/>
          <c:h val="0.55067054118235226"/>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2015-16</c:v>
                </c:pt>
                <c:pt idx="1">
                  <c:v>2016-17</c:v>
                </c:pt>
                <c:pt idx="2">
                  <c:v>2017-18</c:v>
                </c:pt>
                <c:pt idx="3">
                  <c:v>2018-19</c:v>
                </c:pt>
                <c:pt idx="4">
                  <c:v>2019-20</c:v>
                </c:pt>
              </c:strCache>
            </c:strRef>
          </c:cat>
          <c:val>
            <c:numRef>
              <c:f>New_Ceased_LAC!$AM$172:$AQ$172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B45-440A-B7A1-EC3774F55BD0}"/>
            </c:ext>
          </c:extLst>
        </c:ser>
        <c:ser>
          <c:idx val="4"/>
          <c:order val="1"/>
          <c:tx>
            <c:strRef>
              <c:f>New_Ceased_LAC!$B$32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2015-16</c:v>
                </c:pt>
                <c:pt idx="1">
                  <c:v>2016-17</c:v>
                </c:pt>
                <c:pt idx="2">
                  <c:v>2017-18</c:v>
                </c:pt>
                <c:pt idx="3">
                  <c:v>2018-19</c:v>
                </c:pt>
                <c:pt idx="4">
                  <c:v>2019-20</c:v>
                </c:pt>
              </c:strCache>
            </c:strRef>
          </c:cat>
          <c:val>
            <c:numRef>
              <c:f>New_Ceased_LAC!$K$139:$O$139</c:f>
              <c:numCache>
                <c:formatCode>0.0</c:formatCode>
                <c:ptCount val="5"/>
                <c:pt idx="0">
                  <c:v>24.242740211667797</c:v>
                </c:pt>
                <c:pt idx="1">
                  <c:v>24.05338299193048</c:v>
                </c:pt>
                <c:pt idx="2">
                  <c:v>22.171922423993006</c:v>
                </c:pt>
                <c:pt idx="3">
                  <c:v>21.149425287356323</c:v>
                </c:pt>
                <c:pt idx="4">
                  <c:v>21.632051998171942</c:v>
                </c:pt>
              </c:numCache>
            </c:numRef>
          </c:val>
          <c:extLst>
            <c:ext xmlns:c16="http://schemas.microsoft.com/office/drawing/2014/chart" uri="{C3380CC4-5D6E-409C-BE32-E72D297353CC}">
              <c16:uniqueId val="{00000001-BB45-440A-B7A1-EC3774F55BD0}"/>
            </c:ext>
          </c:extLst>
        </c:ser>
        <c:ser>
          <c:idx val="0"/>
          <c:order val="2"/>
          <c:tx>
            <c:strRef>
              <c:f>New_Ceased_LAC!$B$33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2015-16</c:v>
                </c:pt>
                <c:pt idx="1">
                  <c:v>2016-17</c:v>
                </c:pt>
                <c:pt idx="2">
                  <c:v>2017-18</c:v>
                </c:pt>
                <c:pt idx="3">
                  <c:v>2018-19</c:v>
                </c:pt>
                <c:pt idx="4">
                  <c:v>2019-20</c:v>
                </c:pt>
              </c:strCache>
            </c:strRef>
          </c:cat>
          <c:val>
            <c:numRef>
              <c:f>New_Ceased_LAC!$K$140:$O$140</c:f>
              <c:numCache>
                <c:formatCode>0.0</c:formatCode>
                <c:ptCount val="5"/>
                <c:pt idx="0">
                  <c:v>27.282302468765788</c:v>
                </c:pt>
                <c:pt idx="1">
                  <c:v>26.643360796924984</c:v>
                </c:pt>
                <c:pt idx="2">
                  <c:v>25.322322406673972</c:v>
                </c:pt>
                <c:pt idx="3">
                  <c:v>24.643233566995132</c:v>
                </c:pt>
                <c:pt idx="4">
                  <c:v>24.609933796866162</c:v>
                </c:pt>
              </c:numCache>
            </c:numRef>
          </c:val>
          <c:extLst>
            <c:ext xmlns:c16="http://schemas.microsoft.com/office/drawing/2014/chart" uri="{C3380CC4-5D6E-409C-BE32-E72D297353CC}">
              <c16:uniqueId val="{00000002-BB45-440A-B7A1-EC3774F55BD0}"/>
            </c:ext>
          </c:extLst>
        </c:ser>
        <c:dLbls>
          <c:showLegendKey val="0"/>
          <c:showVal val="0"/>
          <c:showCatName val="0"/>
          <c:showSerName val="0"/>
          <c:showPercent val="0"/>
          <c:showBubbleSize val="0"/>
        </c:dLbls>
        <c:gapWidth val="100"/>
        <c:axId val="613839232"/>
        <c:axId val="613840768"/>
      </c:barChart>
      <c:catAx>
        <c:axId val="613839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840768"/>
        <c:crosses val="autoZero"/>
        <c:auto val="1"/>
        <c:lblAlgn val="ctr"/>
        <c:lblOffset val="100"/>
        <c:noMultiLvlLbl val="0"/>
      </c:catAx>
      <c:valAx>
        <c:axId val="6138407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839232"/>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Children who ceased to be looked after due to a Child Arrangement Order being granted</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8840167706309439"/>
          <c:w val="0.64607416380644722"/>
          <c:h val="0.46031427889695609"/>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2015-16</c:v>
                </c:pt>
                <c:pt idx="1">
                  <c:v>2016-17</c:v>
                </c:pt>
                <c:pt idx="2">
                  <c:v>2017-18</c:v>
                </c:pt>
                <c:pt idx="3">
                  <c:v>2018-19</c:v>
                </c:pt>
                <c:pt idx="4">
                  <c:v>2019-20</c:v>
                </c:pt>
              </c:strCache>
            </c:strRef>
          </c:cat>
          <c:val>
            <c:numRef>
              <c:f>New_Ceased_LAC!$AX$65:$BB$65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EAE8-47F1-9FF7-9842ABE7CCC4}"/>
            </c:ext>
          </c:extLst>
        </c:ser>
        <c:ser>
          <c:idx val="4"/>
          <c:order val="1"/>
          <c:tx>
            <c:strRef>
              <c:f>New_Ceased_LAC!$B$99</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2015-16</c:v>
                </c:pt>
                <c:pt idx="1">
                  <c:v>2016-17</c:v>
                </c:pt>
                <c:pt idx="2">
                  <c:v>2017-18</c:v>
                </c:pt>
                <c:pt idx="3">
                  <c:v>2018-19</c:v>
                </c:pt>
                <c:pt idx="4">
                  <c:v>2019-20</c:v>
                </c:pt>
              </c:strCache>
            </c:strRef>
          </c:cat>
          <c:val>
            <c:numRef>
              <c:f>New_Ceased_LAC!$D$206:$H$206</c:f>
              <c:numCache>
                <c:formatCode>0%</c:formatCode>
                <c:ptCount val="5"/>
                <c:pt idx="0">
                  <c:v>2.7956989247311829E-2</c:v>
                </c:pt>
                <c:pt idx="1">
                  <c:v>2.7956989247311829E-2</c:v>
                </c:pt>
                <c:pt idx="2">
                  <c:v>2.7842227378190254E-2</c:v>
                </c:pt>
                <c:pt idx="3">
                  <c:v>2.6570048309178744E-2</c:v>
                </c:pt>
                <c:pt idx="4">
                  <c:v>3.7558685446009391E-2</c:v>
                </c:pt>
              </c:numCache>
            </c:numRef>
          </c:val>
          <c:extLst>
            <c:ext xmlns:c16="http://schemas.microsoft.com/office/drawing/2014/chart" uri="{C3380CC4-5D6E-409C-BE32-E72D297353CC}">
              <c16:uniqueId val="{00000001-EAE8-47F1-9FF7-9842ABE7CCC4}"/>
            </c:ext>
          </c:extLst>
        </c:ser>
        <c:ser>
          <c:idx val="0"/>
          <c:order val="2"/>
          <c:tx>
            <c:strRef>
              <c:f>New_Ceased_LAC!$B$100</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2015-16</c:v>
                </c:pt>
                <c:pt idx="1">
                  <c:v>2016-17</c:v>
                </c:pt>
                <c:pt idx="2">
                  <c:v>2017-18</c:v>
                </c:pt>
                <c:pt idx="3">
                  <c:v>2018-19</c:v>
                </c:pt>
                <c:pt idx="4">
                  <c:v>2019-20</c:v>
                </c:pt>
              </c:strCache>
            </c:strRef>
          </c:cat>
          <c:val>
            <c:numRef>
              <c:f>New_Ceased_LAC!$D$207:$H$207</c:f>
              <c:numCache>
                <c:formatCode>0%</c:formatCode>
                <c:ptCount val="5"/>
                <c:pt idx="0">
                  <c:v>3.5153797865662272E-2</c:v>
                </c:pt>
                <c:pt idx="1">
                  <c:v>3.8216560509554139E-2</c:v>
                </c:pt>
                <c:pt idx="2">
                  <c:v>3.8935108153078206E-2</c:v>
                </c:pt>
                <c:pt idx="3">
                  <c:v>3.8017651052274268E-2</c:v>
                </c:pt>
                <c:pt idx="4">
                  <c:v>3.9202433254477864E-2</c:v>
                </c:pt>
              </c:numCache>
            </c:numRef>
          </c:val>
          <c:extLst>
            <c:ext xmlns:c16="http://schemas.microsoft.com/office/drawing/2014/chart" uri="{C3380CC4-5D6E-409C-BE32-E72D297353CC}">
              <c16:uniqueId val="{00000002-EAE8-47F1-9FF7-9842ABE7CCC4}"/>
            </c:ext>
          </c:extLst>
        </c:ser>
        <c:dLbls>
          <c:showLegendKey val="0"/>
          <c:showVal val="0"/>
          <c:showCatName val="0"/>
          <c:showSerName val="0"/>
          <c:showPercent val="0"/>
          <c:showBubbleSize val="0"/>
        </c:dLbls>
        <c:gapWidth val="100"/>
        <c:axId val="613850496"/>
        <c:axId val="614163584"/>
      </c:barChart>
      <c:catAx>
        <c:axId val="613850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163584"/>
        <c:crosses val="autoZero"/>
        <c:auto val="1"/>
        <c:lblAlgn val="ctr"/>
        <c:lblOffset val="100"/>
        <c:noMultiLvlLbl val="0"/>
      </c:catAx>
      <c:valAx>
        <c:axId val="61416358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850496"/>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GB" b="1"/>
              <a:t>Proportion of Children who ceased to be looked after due to a Child Arrangement Order being granted</a:t>
            </a:r>
          </a:p>
        </c:rich>
      </c:tx>
      <c:layout>
        <c:manualLayout>
          <c:xMode val="edge"/>
          <c:yMode val="edge"/>
          <c:x val="0.10935894686315961"/>
          <c:y val="1.044932251364953E-2"/>
        </c:manualLayout>
      </c:layout>
      <c:overlay val="1"/>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New_Ceased_LAC!$AL$148</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94CA-469A-8F5A-765C5ADF6E6B}"/>
              </c:ext>
            </c:extLst>
          </c:dPt>
          <c:cat>
            <c:strRef>
              <c:f>New_Ceased_LAC!$AS$146:$AW$147</c:f>
              <c:strCache>
                <c:ptCount val="5"/>
                <c:pt idx="0">
                  <c:v>2015-16</c:v>
                </c:pt>
                <c:pt idx="1">
                  <c:v>2016-17</c:v>
                </c:pt>
                <c:pt idx="2">
                  <c:v>2017-18</c:v>
                </c:pt>
                <c:pt idx="3">
                  <c:v>2018-19</c:v>
                </c:pt>
                <c:pt idx="4">
                  <c:v>2019-20</c:v>
                </c:pt>
              </c:strCache>
            </c:strRef>
          </c:cat>
          <c:val>
            <c:numRef>
              <c:f>New_Ceased_LAC!$AS$148:$AW$148</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01-94CA-469A-8F5A-765C5ADF6E6B}"/>
            </c:ext>
          </c:extLst>
        </c:ser>
        <c:ser>
          <c:idx val="1"/>
          <c:order val="1"/>
          <c:tx>
            <c:strRef>
              <c:f>New_Ceased_LAC!$AL$149</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New_Ceased_LAC!$AS$149:$AW$149</c:f>
              <c:numCache>
                <c:formatCode>0.0%</c:formatCode>
                <c:ptCount val="5"/>
                <c:pt idx="0">
                  <c:v>#N/A</c:v>
                </c:pt>
                <c:pt idx="1">
                  <c:v>#N/A</c:v>
                </c:pt>
                <c:pt idx="2">
                  <c:v>3.9772727272727272E-2</c:v>
                </c:pt>
                <c:pt idx="3">
                  <c:v>#N/A</c:v>
                </c:pt>
                <c:pt idx="4">
                  <c:v>3.3707865168539325E-2</c:v>
                </c:pt>
              </c:numCache>
            </c:numRef>
          </c:val>
          <c:smooth val="0"/>
          <c:extLst>
            <c:ext xmlns:c16="http://schemas.microsoft.com/office/drawing/2014/chart" uri="{C3380CC4-5D6E-409C-BE32-E72D297353CC}">
              <c16:uniqueId val="{00000002-94CA-469A-8F5A-765C5ADF6E6B}"/>
            </c:ext>
          </c:extLst>
        </c:ser>
        <c:ser>
          <c:idx val="2"/>
          <c:order val="2"/>
          <c:tx>
            <c:strRef>
              <c:f>New_Ceased_LAC!$AL$150</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New_Ceased_LAC!$AS$150:$AW$150</c:f>
              <c:numCache>
                <c:formatCode>0.0%</c:formatCode>
                <c:ptCount val="5"/>
                <c:pt idx="0">
                  <c:v>2.2026431718061675E-2</c:v>
                </c:pt>
                <c:pt idx="1">
                  <c:v>3.7209302325581395E-2</c:v>
                </c:pt>
                <c:pt idx="2">
                  <c:v>#N/A</c:v>
                </c:pt>
                <c:pt idx="3">
                  <c:v>#N/A</c:v>
                </c:pt>
                <c:pt idx="4">
                  <c:v>2.9787234042553193E-2</c:v>
                </c:pt>
              </c:numCache>
            </c:numRef>
          </c:val>
          <c:smooth val="0"/>
          <c:extLst>
            <c:ext xmlns:c16="http://schemas.microsoft.com/office/drawing/2014/chart" uri="{C3380CC4-5D6E-409C-BE32-E72D297353CC}">
              <c16:uniqueId val="{00000003-94CA-469A-8F5A-765C5ADF6E6B}"/>
            </c:ext>
          </c:extLst>
        </c:ser>
        <c:ser>
          <c:idx val="5"/>
          <c:order val="3"/>
          <c:tx>
            <c:strRef>
              <c:f>New_Ceased_LAC!$AL$151</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New_Ceased_LAC!$AS$151:$AW$151</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04-94CA-469A-8F5A-765C5ADF6E6B}"/>
            </c:ext>
          </c:extLst>
        </c:ser>
        <c:ser>
          <c:idx val="9"/>
          <c:order val="4"/>
          <c:tx>
            <c:strRef>
              <c:f>New_Ceased_LAC!$AL$152</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New_Ceased_LAC!$AS$152:$AW$152</c:f>
              <c:numCache>
                <c:formatCode>0.0%</c:formatCode>
                <c:ptCount val="5"/>
                <c:pt idx="0">
                  <c:v>9.1743119266055051E-3</c:v>
                </c:pt>
                <c:pt idx="1">
                  <c:v>3.9473684210526314E-2</c:v>
                </c:pt>
                <c:pt idx="2">
                  <c:v>4.1152263374485597E-2</c:v>
                </c:pt>
                <c:pt idx="3">
                  <c:v>3.0354131534569982E-2</c:v>
                </c:pt>
                <c:pt idx="4">
                  <c:v>4.3269230769230768E-2</c:v>
                </c:pt>
              </c:numCache>
            </c:numRef>
          </c:val>
          <c:smooth val="0"/>
          <c:extLst>
            <c:ext xmlns:c16="http://schemas.microsoft.com/office/drawing/2014/chart" uri="{C3380CC4-5D6E-409C-BE32-E72D297353CC}">
              <c16:uniqueId val="{00000005-94CA-469A-8F5A-765C5ADF6E6B}"/>
            </c:ext>
          </c:extLst>
        </c:ser>
        <c:ser>
          <c:idx val="10"/>
          <c:order val="5"/>
          <c:tx>
            <c:strRef>
              <c:f>New_Ceased_LAC!$AL$153</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New_Ceased_LAC!$AS$153:$AW$153</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06-94CA-469A-8F5A-765C5ADF6E6B}"/>
            </c:ext>
          </c:extLst>
        </c:ser>
        <c:ser>
          <c:idx val="11"/>
          <c:order val="6"/>
          <c:tx>
            <c:strRef>
              <c:f>New_Ceased_LAC!$AL$154</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New_Ceased_LAC!$AS$154:$AW$154</c:f>
              <c:numCache>
                <c:formatCode>0.0%</c:formatCode>
                <c:ptCount val="5"/>
                <c:pt idx="0">
                  <c:v>9.2678405931417972E-3</c:v>
                </c:pt>
                <c:pt idx="1">
                  <c:v>8.3586626139817623E-3</c:v>
                </c:pt>
                <c:pt idx="2">
                  <c:v>1.5252621544327931E-2</c:v>
                </c:pt>
                <c:pt idx="3">
                  <c:v>1.310615989515072E-2</c:v>
                </c:pt>
                <c:pt idx="4">
                  <c:v>2.4390243902439025E-2</c:v>
                </c:pt>
              </c:numCache>
            </c:numRef>
          </c:val>
          <c:smooth val="0"/>
          <c:extLst>
            <c:ext xmlns:c16="http://schemas.microsoft.com/office/drawing/2014/chart" uri="{C3380CC4-5D6E-409C-BE32-E72D297353CC}">
              <c16:uniqueId val="{00000007-94CA-469A-8F5A-765C5ADF6E6B}"/>
            </c:ext>
          </c:extLst>
        </c:ser>
        <c:ser>
          <c:idx val="12"/>
          <c:order val="7"/>
          <c:tx>
            <c:strRef>
              <c:f>New_Ceased_LAC!$AL$155</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New_Ceased_LAC!$AS$155:$AW$155</c:f>
              <c:numCache>
                <c:formatCode>0.0%</c:formatCode>
                <c:ptCount val="5"/>
                <c:pt idx="0">
                  <c:v>9.5238095238095233E-2</c:v>
                </c:pt>
                <c:pt idx="1">
                  <c:v>6.4171122994652413E-2</c:v>
                </c:pt>
                <c:pt idx="2">
                  <c:v>#N/A</c:v>
                </c:pt>
                <c:pt idx="3">
                  <c:v>#N/A</c:v>
                </c:pt>
                <c:pt idx="4">
                  <c:v>7.7777777777777779E-2</c:v>
                </c:pt>
              </c:numCache>
            </c:numRef>
          </c:val>
          <c:smooth val="0"/>
          <c:extLst>
            <c:ext xmlns:c16="http://schemas.microsoft.com/office/drawing/2014/chart" uri="{C3380CC4-5D6E-409C-BE32-E72D297353CC}">
              <c16:uniqueId val="{00000008-94CA-469A-8F5A-765C5ADF6E6B}"/>
            </c:ext>
          </c:extLst>
        </c:ser>
        <c:ser>
          <c:idx val="13"/>
          <c:order val="8"/>
          <c:tx>
            <c:strRef>
              <c:f>New_Ceased_LAC!$AL$156</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New_Ceased_LAC!$AS$156:$AW$156</c:f>
              <c:numCache>
                <c:formatCode>0.0%</c:formatCode>
                <c:ptCount val="5"/>
                <c:pt idx="0">
                  <c:v>2.6881720430107527E-2</c:v>
                </c:pt>
                <c:pt idx="1">
                  <c:v>#N/A</c:v>
                </c:pt>
                <c:pt idx="2">
                  <c:v>#N/A</c:v>
                </c:pt>
                <c:pt idx="3">
                  <c:v>#N/A</c:v>
                </c:pt>
                <c:pt idx="4">
                  <c:v>6.0810810810810814E-2</c:v>
                </c:pt>
              </c:numCache>
            </c:numRef>
          </c:val>
          <c:smooth val="0"/>
          <c:extLst>
            <c:ext xmlns:c16="http://schemas.microsoft.com/office/drawing/2014/chart" uri="{C3380CC4-5D6E-409C-BE32-E72D297353CC}">
              <c16:uniqueId val="{00000009-94CA-469A-8F5A-765C5ADF6E6B}"/>
            </c:ext>
          </c:extLst>
        </c:ser>
        <c:ser>
          <c:idx val="15"/>
          <c:order val="9"/>
          <c:tx>
            <c:strRef>
              <c:f>New_Ceased_LAC!$AL$157</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New_Ceased_LAC!$AS$157:$AW$157</c:f>
              <c:numCache>
                <c:formatCode>0.0%</c:formatCode>
                <c:ptCount val="5"/>
                <c:pt idx="0">
                  <c:v>3.5714285714285712E-2</c:v>
                </c:pt>
                <c:pt idx="1">
                  <c:v>6.9930069930069935E-2</c:v>
                </c:pt>
                <c:pt idx="2">
                  <c:v>2.6845637583892617E-2</c:v>
                </c:pt>
                <c:pt idx="3">
                  <c:v>6.95970695970696E-2</c:v>
                </c:pt>
                <c:pt idx="4">
                  <c:v>5.2795031055900624E-2</c:v>
                </c:pt>
              </c:numCache>
            </c:numRef>
          </c:val>
          <c:smooth val="0"/>
          <c:extLst>
            <c:ext xmlns:c16="http://schemas.microsoft.com/office/drawing/2014/chart" uri="{C3380CC4-5D6E-409C-BE32-E72D297353CC}">
              <c16:uniqueId val="{0000000A-94CA-469A-8F5A-765C5ADF6E6B}"/>
            </c:ext>
          </c:extLst>
        </c:ser>
        <c:ser>
          <c:idx val="16"/>
          <c:order val="10"/>
          <c:tx>
            <c:strRef>
              <c:f>New_Ceased_LAC!$AL$158</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New_Ceased_LAC!$AS$158:$AW$158</c:f>
              <c:numCache>
                <c:formatCode>0.0%</c:formatCode>
                <c:ptCount val="5"/>
                <c:pt idx="0">
                  <c:v>0.11904761904761904</c:v>
                </c:pt>
                <c:pt idx="1">
                  <c:v>#N/A</c:v>
                </c:pt>
                <c:pt idx="2">
                  <c:v>4.3010752688172046E-2</c:v>
                </c:pt>
                <c:pt idx="3">
                  <c:v>6.2111801242236024E-2</c:v>
                </c:pt>
                <c:pt idx="4">
                  <c:v>0</c:v>
                </c:pt>
              </c:numCache>
            </c:numRef>
          </c:val>
          <c:smooth val="0"/>
          <c:extLst>
            <c:ext xmlns:c16="http://schemas.microsoft.com/office/drawing/2014/chart" uri="{C3380CC4-5D6E-409C-BE32-E72D297353CC}">
              <c16:uniqueId val="{0000000B-94CA-469A-8F5A-765C5ADF6E6B}"/>
            </c:ext>
          </c:extLst>
        </c:ser>
        <c:ser>
          <c:idx val="17"/>
          <c:order val="11"/>
          <c:tx>
            <c:strRef>
              <c:f>New_Ceased_LAC!$AL$159</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New_Ceased_LAC!$AS$159:$AW$159</c:f>
              <c:numCache>
                <c:formatCode>0.0%</c:formatCode>
                <c:ptCount val="5"/>
                <c:pt idx="0">
                  <c:v>8.1300813008130079E-2</c:v>
                </c:pt>
                <c:pt idx="1">
                  <c:v>0</c:v>
                </c:pt>
                <c:pt idx="2">
                  <c:v>#N/A</c:v>
                </c:pt>
                <c:pt idx="3">
                  <c:v>0</c:v>
                </c:pt>
                <c:pt idx="4">
                  <c:v>0</c:v>
                </c:pt>
              </c:numCache>
            </c:numRef>
          </c:val>
          <c:smooth val="0"/>
          <c:extLst>
            <c:ext xmlns:c16="http://schemas.microsoft.com/office/drawing/2014/chart" uri="{C3380CC4-5D6E-409C-BE32-E72D297353CC}">
              <c16:uniqueId val="{0000000C-94CA-469A-8F5A-765C5ADF6E6B}"/>
            </c:ext>
          </c:extLst>
        </c:ser>
        <c:ser>
          <c:idx val="19"/>
          <c:order val="12"/>
          <c:tx>
            <c:strRef>
              <c:f>New_Ceased_LAC!$AL$160</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New_Ceased_LAC!$AS$160:$AW$160</c:f>
              <c:numCache>
                <c:formatCode>0.0%</c:formatCode>
                <c:ptCount val="5"/>
                <c:pt idx="0">
                  <c:v>6.4935064935064929E-2</c:v>
                </c:pt>
                <c:pt idx="1">
                  <c:v>8.0357142857142863E-2</c:v>
                </c:pt>
                <c:pt idx="2">
                  <c:v>#N/A</c:v>
                </c:pt>
                <c:pt idx="3">
                  <c:v>#N/A</c:v>
                </c:pt>
                <c:pt idx="4">
                  <c:v>0</c:v>
                </c:pt>
              </c:numCache>
            </c:numRef>
          </c:val>
          <c:smooth val="0"/>
          <c:extLst>
            <c:ext xmlns:c16="http://schemas.microsoft.com/office/drawing/2014/chart" uri="{C3380CC4-5D6E-409C-BE32-E72D297353CC}">
              <c16:uniqueId val="{0000000D-94CA-469A-8F5A-765C5ADF6E6B}"/>
            </c:ext>
          </c:extLst>
        </c:ser>
        <c:ser>
          <c:idx val="3"/>
          <c:order val="13"/>
          <c:tx>
            <c:strRef>
              <c:f>New_Ceased_LAC!$AL$161</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New_Ceased_LAC!$AS$161:$AW$161</c:f>
              <c:numCache>
                <c:formatCode>0.0%</c:formatCode>
                <c:ptCount val="5"/>
                <c:pt idx="0">
                  <c:v>#N/A</c:v>
                </c:pt>
                <c:pt idx="1">
                  <c:v>4.5977011494252873E-2</c:v>
                </c:pt>
                <c:pt idx="2">
                  <c:v>2.6905829596412557E-2</c:v>
                </c:pt>
                <c:pt idx="3">
                  <c:v>#N/A</c:v>
                </c:pt>
                <c:pt idx="4">
                  <c:v>5.5837563451776651E-2</c:v>
                </c:pt>
              </c:numCache>
            </c:numRef>
          </c:val>
          <c:smooth val="0"/>
          <c:extLst>
            <c:ext xmlns:c16="http://schemas.microsoft.com/office/drawing/2014/chart" uri="{C3380CC4-5D6E-409C-BE32-E72D297353CC}">
              <c16:uniqueId val="{0000000E-94CA-469A-8F5A-765C5ADF6E6B}"/>
            </c:ext>
          </c:extLst>
        </c:ser>
        <c:ser>
          <c:idx val="20"/>
          <c:order val="14"/>
          <c:tx>
            <c:strRef>
              <c:f>New_Ceased_LAC!$AL$162</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New_Ceased_LAC!$AS$162:$AW$162</c:f>
              <c:numCache>
                <c:formatCode>0.0%</c:formatCode>
                <c:ptCount val="5"/>
                <c:pt idx="0">
                  <c:v>#N/A</c:v>
                </c:pt>
                <c:pt idx="1">
                  <c:v>#N/A</c:v>
                </c:pt>
                <c:pt idx="2">
                  <c:v>6.5989847715736044E-2</c:v>
                </c:pt>
                <c:pt idx="3">
                  <c:v>3.7383177570093455E-2</c:v>
                </c:pt>
                <c:pt idx="4">
                  <c:v>0.10552763819095477</c:v>
                </c:pt>
              </c:numCache>
            </c:numRef>
          </c:val>
          <c:smooth val="0"/>
          <c:extLst>
            <c:ext xmlns:c16="http://schemas.microsoft.com/office/drawing/2014/chart" uri="{C3380CC4-5D6E-409C-BE32-E72D297353CC}">
              <c16:uniqueId val="{0000000F-94CA-469A-8F5A-765C5ADF6E6B}"/>
            </c:ext>
          </c:extLst>
        </c:ser>
        <c:ser>
          <c:idx val="22"/>
          <c:order val="15"/>
          <c:tx>
            <c:strRef>
              <c:f>New_Ceased_LAC!$AL$163</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New_Ceased_LAC!$AS$163:$AW$163</c:f>
              <c:numCache>
                <c:formatCode>0.0%</c:formatCode>
                <c:ptCount val="5"/>
                <c:pt idx="0">
                  <c:v>3.7037037037037035E-2</c:v>
                </c:pt>
                <c:pt idx="1">
                  <c:v>1.6706443914081145E-2</c:v>
                </c:pt>
                <c:pt idx="2">
                  <c:v>3.1784841075794622E-2</c:v>
                </c:pt>
                <c:pt idx="3">
                  <c:v>2.7918781725888325E-2</c:v>
                </c:pt>
                <c:pt idx="4">
                  <c:v>2.7397260273972601E-2</c:v>
                </c:pt>
              </c:numCache>
            </c:numRef>
          </c:val>
          <c:smooth val="0"/>
          <c:extLst>
            <c:ext xmlns:c16="http://schemas.microsoft.com/office/drawing/2014/chart" uri="{C3380CC4-5D6E-409C-BE32-E72D297353CC}">
              <c16:uniqueId val="{00000010-94CA-469A-8F5A-765C5ADF6E6B}"/>
            </c:ext>
          </c:extLst>
        </c:ser>
        <c:ser>
          <c:idx val="7"/>
          <c:order val="16"/>
          <c:tx>
            <c:strRef>
              <c:f>New_Ceased_LAC!$AL$164</c:f>
              <c:strCache>
                <c:ptCount val="1"/>
                <c:pt idx="0">
                  <c:v>Swindon</c:v>
                </c:pt>
              </c:strCache>
            </c:strRef>
          </c:tx>
          <c:spPr>
            <a:ln w="15875"/>
          </c:spPr>
          <c:marker>
            <c:symbol val="triangle"/>
            <c:size val="5"/>
            <c:spPr>
              <a:solidFill>
                <a:schemeClr val="accent2">
                  <a:lumMod val="20000"/>
                  <a:lumOff val="80000"/>
                </a:schemeClr>
              </a:solidFill>
            </c:spPr>
          </c:marker>
          <c:cat>
            <c:strRef>
              <c:f>New_Ceased_LAC!$AS$146:$AW$147</c:f>
              <c:strCache>
                <c:ptCount val="5"/>
                <c:pt idx="0">
                  <c:v>2015-16</c:v>
                </c:pt>
                <c:pt idx="1">
                  <c:v>2016-17</c:v>
                </c:pt>
                <c:pt idx="2">
                  <c:v>2017-18</c:v>
                </c:pt>
                <c:pt idx="3">
                  <c:v>2018-19</c:v>
                </c:pt>
                <c:pt idx="4">
                  <c:v>2019-20</c:v>
                </c:pt>
              </c:strCache>
            </c:strRef>
          </c:cat>
          <c:val>
            <c:numRef>
              <c:f>New_Ceased_LAC!$AS$164:$AW$164</c:f>
              <c:numCache>
                <c:formatCode>0.0%</c:formatCode>
                <c:ptCount val="5"/>
                <c:pt idx="0">
                  <c:v>#N/A</c:v>
                </c:pt>
                <c:pt idx="1">
                  <c:v>6.6666666666666666E-2</c:v>
                </c:pt>
                <c:pt idx="2">
                  <c:v>5.1612903225806452E-2</c:v>
                </c:pt>
                <c:pt idx="3">
                  <c:v>#N/A</c:v>
                </c:pt>
                <c:pt idx="4">
                  <c:v>0</c:v>
                </c:pt>
              </c:numCache>
            </c:numRef>
          </c:val>
          <c:smooth val="0"/>
          <c:extLst>
            <c:ext xmlns:c16="http://schemas.microsoft.com/office/drawing/2014/chart" uri="{C3380CC4-5D6E-409C-BE32-E72D297353CC}">
              <c16:uniqueId val="{00000011-94CA-469A-8F5A-765C5ADF6E6B}"/>
            </c:ext>
          </c:extLst>
        </c:ser>
        <c:ser>
          <c:idx val="8"/>
          <c:order val="17"/>
          <c:tx>
            <c:strRef>
              <c:f>New_Ceased_LAC!$AL$165</c:f>
              <c:strCache>
                <c:ptCount val="1"/>
                <c:pt idx="0">
                  <c:v>Torbay</c:v>
                </c:pt>
              </c:strCache>
            </c:strRef>
          </c:tx>
          <c:spPr>
            <a:ln w="12700"/>
          </c:spPr>
          <c:marker>
            <c:symbol val="circle"/>
            <c:size val="5"/>
            <c:spPr>
              <a:solidFill>
                <a:schemeClr val="accent3">
                  <a:lumMod val="20000"/>
                  <a:lumOff val="80000"/>
                </a:schemeClr>
              </a:solidFill>
            </c:spPr>
          </c:marker>
          <c:cat>
            <c:strRef>
              <c:f>New_Ceased_LAC!$AS$146:$AW$147</c:f>
              <c:strCache>
                <c:ptCount val="5"/>
                <c:pt idx="0">
                  <c:v>2015-16</c:v>
                </c:pt>
                <c:pt idx="1">
                  <c:v>2016-17</c:v>
                </c:pt>
                <c:pt idx="2">
                  <c:v>2017-18</c:v>
                </c:pt>
                <c:pt idx="3">
                  <c:v>2018-19</c:v>
                </c:pt>
                <c:pt idx="4">
                  <c:v>2019-20</c:v>
                </c:pt>
              </c:strCache>
            </c:strRef>
          </c:cat>
          <c:val>
            <c:numRef>
              <c:f>New_Ceased_LAC!$AS$165:$AW$165</c:f>
              <c:numCache>
                <c:formatCode>0.0%</c:formatCode>
                <c:ptCount val="5"/>
                <c:pt idx="0">
                  <c:v>0.04</c:v>
                </c:pt>
                <c:pt idx="1">
                  <c:v>0.1111111111111111</c:v>
                </c:pt>
                <c:pt idx="2">
                  <c:v>5.8823529411764705E-2</c:v>
                </c:pt>
                <c:pt idx="3">
                  <c:v>6.7796610169491525E-2</c:v>
                </c:pt>
                <c:pt idx="4">
                  <c:v>0</c:v>
                </c:pt>
              </c:numCache>
            </c:numRef>
          </c:val>
          <c:smooth val="0"/>
          <c:extLst>
            <c:ext xmlns:c16="http://schemas.microsoft.com/office/drawing/2014/chart" uri="{C3380CC4-5D6E-409C-BE32-E72D297353CC}">
              <c16:uniqueId val="{00000012-94CA-469A-8F5A-765C5ADF6E6B}"/>
            </c:ext>
          </c:extLst>
        </c:ser>
        <c:ser>
          <c:idx val="23"/>
          <c:order val="18"/>
          <c:tx>
            <c:strRef>
              <c:f>New_Ceased_LAC!$AL$166</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New_Ceased_LAC!$AS$166:$AW$166</c:f>
              <c:numCache>
                <c:formatCode>0.0%</c:formatCode>
                <c:ptCount val="5"/>
                <c:pt idx="0">
                  <c:v>0.14492753623188406</c:v>
                </c:pt>
                <c:pt idx="1">
                  <c:v>9.45945945945946E-2</c:v>
                </c:pt>
                <c:pt idx="2">
                  <c:v>0.10465116279069768</c:v>
                </c:pt>
                <c:pt idx="3">
                  <c:v>#N/A</c:v>
                </c:pt>
                <c:pt idx="4">
                  <c:v>0</c:v>
                </c:pt>
              </c:numCache>
            </c:numRef>
          </c:val>
          <c:smooth val="0"/>
          <c:extLst>
            <c:ext xmlns:c16="http://schemas.microsoft.com/office/drawing/2014/chart" uri="{C3380CC4-5D6E-409C-BE32-E72D297353CC}">
              <c16:uniqueId val="{00000013-94CA-469A-8F5A-765C5ADF6E6B}"/>
            </c:ext>
          </c:extLst>
        </c:ser>
        <c:ser>
          <c:idx val="24"/>
          <c:order val="19"/>
          <c:tx>
            <c:strRef>
              <c:f>New_Ceased_LAC!$AL$167</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New_Ceased_LAC!$AS$167:$AW$167</c:f>
              <c:numCache>
                <c:formatCode>0.0%</c:formatCode>
                <c:ptCount val="5"/>
                <c:pt idx="0">
                  <c:v>#N/A</c:v>
                </c:pt>
                <c:pt idx="1">
                  <c:v>0</c:v>
                </c:pt>
                <c:pt idx="2">
                  <c:v>0</c:v>
                </c:pt>
                <c:pt idx="3">
                  <c:v>#N/A</c:v>
                </c:pt>
                <c:pt idx="4">
                  <c:v>0</c:v>
                </c:pt>
              </c:numCache>
            </c:numRef>
          </c:val>
          <c:smooth val="0"/>
          <c:extLst>
            <c:ext xmlns:c16="http://schemas.microsoft.com/office/drawing/2014/chart" uri="{C3380CC4-5D6E-409C-BE32-E72D297353CC}">
              <c16:uniqueId val="{00000014-94CA-469A-8F5A-765C5ADF6E6B}"/>
            </c:ext>
          </c:extLst>
        </c:ser>
        <c:ser>
          <c:idx val="25"/>
          <c:order val="20"/>
          <c:tx>
            <c:strRef>
              <c:f>New_Ceased_LAC!$AL$168</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New_Ceased_LAC!$AS$168:$AW$168</c:f>
              <c:numCache>
                <c:formatCode>0.0%</c:formatCode>
                <c:ptCount val="5"/>
                <c:pt idx="0">
                  <c:v>#N/A</c:v>
                </c:pt>
                <c:pt idx="1">
                  <c:v>#N/A</c:v>
                </c:pt>
                <c:pt idx="2">
                  <c:v>#N/A</c:v>
                </c:pt>
                <c:pt idx="3">
                  <c:v>0</c:v>
                </c:pt>
                <c:pt idx="4">
                  <c:v>0</c:v>
                </c:pt>
              </c:numCache>
            </c:numRef>
          </c:val>
          <c:smooth val="0"/>
          <c:extLst>
            <c:ext xmlns:c16="http://schemas.microsoft.com/office/drawing/2014/chart" uri="{C3380CC4-5D6E-409C-BE32-E72D297353CC}">
              <c16:uniqueId val="{00000015-94CA-469A-8F5A-765C5ADF6E6B}"/>
            </c:ext>
          </c:extLst>
        </c:ser>
        <c:ser>
          <c:idx val="26"/>
          <c:order val="21"/>
          <c:tx>
            <c:strRef>
              <c:f>New_Ceased_LAC!$AL$169</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New_Ceased_LAC!$AS$169:$AW$169</c:f>
              <c:numCache>
                <c:formatCode>0.0%</c:formatCode>
                <c:ptCount val="5"/>
                <c:pt idx="0">
                  <c:v>0</c:v>
                </c:pt>
                <c:pt idx="1">
                  <c:v>#N/A</c:v>
                </c:pt>
                <c:pt idx="2">
                  <c:v>0</c:v>
                </c:pt>
                <c:pt idx="3">
                  <c:v>#N/A</c:v>
                </c:pt>
                <c:pt idx="4">
                  <c:v>0.10909090909090909</c:v>
                </c:pt>
              </c:numCache>
            </c:numRef>
          </c:val>
          <c:smooth val="0"/>
          <c:extLst>
            <c:ext xmlns:c16="http://schemas.microsoft.com/office/drawing/2014/chart" uri="{C3380CC4-5D6E-409C-BE32-E72D297353CC}">
              <c16:uniqueId val="{00000016-94CA-469A-8F5A-765C5ADF6E6B}"/>
            </c:ext>
          </c:extLst>
        </c:ser>
        <c:ser>
          <c:idx val="4"/>
          <c:order val="22"/>
          <c:tx>
            <c:strRef>
              <c:f>New_Ceased_LAC!$AL$170</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New_Ceased_LAC!$AS$170:$AW$170</c:f>
              <c:numCache>
                <c:formatCode>0.0%</c:formatCode>
                <c:ptCount val="5"/>
                <c:pt idx="0">
                  <c:v>2.7956989247311829E-2</c:v>
                </c:pt>
                <c:pt idx="1">
                  <c:v>2.7956989247311829E-2</c:v>
                </c:pt>
                <c:pt idx="2">
                  <c:v>2.7842227378190254E-2</c:v>
                </c:pt>
                <c:pt idx="3">
                  <c:v>2.6570048309178744E-2</c:v>
                </c:pt>
                <c:pt idx="4">
                  <c:v>3.7558685446009391E-2</c:v>
                </c:pt>
              </c:numCache>
            </c:numRef>
          </c:val>
          <c:smooth val="0"/>
          <c:extLst>
            <c:ext xmlns:c16="http://schemas.microsoft.com/office/drawing/2014/chart" uri="{C3380CC4-5D6E-409C-BE32-E72D297353CC}">
              <c16:uniqueId val="{00000017-94CA-469A-8F5A-765C5ADF6E6B}"/>
            </c:ext>
          </c:extLst>
        </c:ser>
        <c:ser>
          <c:idx val="14"/>
          <c:order val="23"/>
          <c:tx>
            <c:strRef>
              <c:f>New_Ceased_LAC!$AL$171</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New_Ceased_LAC!$AS$146:$AW$147</c:f>
              <c:strCache>
                <c:ptCount val="5"/>
                <c:pt idx="0">
                  <c:v>2015-16</c:v>
                </c:pt>
                <c:pt idx="1">
                  <c:v>2016-17</c:v>
                </c:pt>
                <c:pt idx="2">
                  <c:v>2017-18</c:v>
                </c:pt>
                <c:pt idx="3">
                  <c:v>2018-19</c:v>
                </c:pt>
                <c:pt idx="4">
                  <c:v>2019-20</c:v>
                </c:pt>
              </c:strCache>
            </c:strRef>
          </c:cat>
          <c:val>
            <c:numRef>
              <c:f>New_Ceased_LAC!$AS$171:$AW$171</c:f>
              <c:numCache>
                <c:formatCode>0.0%</c:formatCode>
                <c:ptCount val="5"/>
                <c:pt idx="0">
                  <c:v>3.5153797865662272E-2</c:v>
                </c:pt>
                <c:pt idx="1">
                  <c:v>3.8216560509554139E-2</c:v>
                </c:pt>
                <c:pt idx="2">
                  <c:v>3.8935108153078206E-2</c:v>
                </c:pt>
                <c:pt idx="3">
                  <c:v>3.8017651052274268E-2</c:v>
                </c:pt>
                <c:pt idx="4">
                  <c:v>3.9202433254477864E-2</c:v>
                </c:pt>
              </c:numCache>
            </c:numRef>
          </c:val>
          <c:smooth val="0"/>
          <c:extLst>
            <c:ext xmlns:c16="http://schemas.microsoft.com/office/drawing/2014/chart" uri="{C3380CC4-5D6E-409C-BE32-E72D297353CC}">
              <c16:uniqueId val="{00000018-94CA-469A-8F5A-765C5ADF6E6B}"/>
            </c:ext>
          </c:extLst>
        </c:ser>
        <c:ser>
          <c:idx val="6"/>
          <c:order val="24"/>
          <c:tx>
            <c:strRef>
              <c:f>New_Ceased_LAC!$AL$172</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New_Ceased_LAC!$AS$146:$AW$147</c:f>
              <c:strCache>
                <c:ptCount val="5"/>
                <c:pt idx="0">
                  <c:v>2015-16</c:v>
                </c:pt>
                <c:pt idx="1">
                  <c:v>2016-17</c:v>
                </c:pt>
                <c:pt idx="2">
                  <c:v>2017-18</c:v>
                </c:pt>
                <c:pt idx="3">
                  <c:v>2018-19</c:v>
                </c:pt>
                <c:pt idx="4">
                  <c:v>2019-20</c:v>
                </c:pt>
              </c:strCache>
            </c:strRef>
          </c:cat>
          <c:val>
            <c:numRef>
              <c:f>New_Ceased_LAC!$AS$172:$AW$172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94CA-469A-8F5A-765C5ADF6E6B}"/>
            </c:ext>
          </c:extLst>
        </c:ser>
        <c:dLbls>
          <c:showLegendKey val="0"/>
          <c:showVal val="0"/>
          <c:showCatName val="0"/>
          <c:showSerName val="0"/>
          <c:showPercent val="0"/>
          <c:showBubbleSize val="0"/>
        </c:dLbls>
        <c:marker val="1"/>
        <c:smooth val="0"/>
        <c:axId val="614027264"/>
        <c:axId val="614029184"/>
      </c:lineChart>
      <c:catAx>
        <c:axId val="614027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029184"/>
        <c:crosses val="autoZero"/>
        <c:auto val="1"/>
        <c:lblAlgn val="ctr"/>
        <c:lblOffset val="100"/>
        <c:tickLblSkip val="1"/>
        <c:tickMarkSkip val="1"/>
        <c:noMultiLvlLbl val="0"/>
      </c:catAx>
      <c:valAx>
        <c:axId val="61402918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02726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Starting</a:t>
            </a:r>
            <a:r>
              <a:rPr lang="en-GB" baseline="0"/>
              <a:t> to be </a:t>
            </a:r>
            <a:r>
              <a:rPr lang="en-GB"/>
              <a:t>Looked After</a:t>
            </a:r>
            <a:r>
              <a:rPr lang="en-GB" baseline="0"/>
              <a:t> </a:t>
            </a:r>
            <a:r>
              <a:rPr lang="en-GB"/>
              <a:t>vs. IDACI</a:t>
            </a:r>
          </a:p>
        </c:rich>
      </c:tx>
      <c:layout>
        <c:manualLayout>
          <c:xMode val="edge"/>
          <c:yMode val="edge"/>
          <c:x val="0.1456396411986963"/>
          <c:y val="3.612588966919675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New_Ceased_LAC!$Y$41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5288-4881-A9E1-DDC1A2FCBD05}"/>
                </c:ext>
              </c:extLst>
            </c:dLbl>
            <c:dLbl>
              <c:idx val="1"/>
              <c:layout>
                <c:manualLayout>
                  <c:x val="-5.5274669613666713E-2"/>
                  <c:y val="4.8265460030165859E-2"/>
                </c:manualLayout>
              </c:layout>
              <c:tx>
                <c:strRef>
                  <c:f>New_Ceased_LAC!$AD$42</c:f>
                  <c:strCache>
                    <c:ptCount val="1"/>
                    <c:pt idx="0">
                      <c:v>r² = 0.757</c:v>
                    </c:pt>
                  </c:strCache>
                </c:strRef>
              </c:tx>
              <c:spPr>
                <a:noFill/>
                <a:ln>
                  <a:noFill/>
                </a:ln>
                <a:effectLst/>
              </c:spPr>
              <c:txPr>
                <a:bodyPr wrap="square" lIns="38100" tIns="19050" rIns="38100" bIns="19050" anchor="ctr">
                  <a:spAutoFit/>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{C1333359-F996-4531-B878-DE2363318D28}</c15:txfldGUID>
                      <c15:f>New_Ceased_LAC!$AD$42</c15:f>
                      <c15:dlblFieldTableCache>
                        <c:ptCount val="1"/>
                        <c:pt idx="0">
                          <c:v>r² = 0.757</c:v>
                        </c:pt>
                      </c15:dlblFieldTableCache>
                    </c15:dlblFTEntry>
                  </c15:dlblFieldTable>
                  <c15:showDataLabelsRange val="0"/>
                </c:ext>
                <c:ext xmlns:c16="http://schemas.microsoft.com/office/drawing/2014/chart" uri="{C3380CC4-5D6E-409C-BE32-E72D297353CC}">
                  <c16:uniqueId val="{00000001-5288-4881-A9E1-DDC1A2FCBD05}"/>
                </c:ext>
              </c:extLst>
            </c:dLbl>
            <c:spPr>
              <a:noFill/>
              <a:ln>
                <a:noFill/>
              </a:ln>
              <a:effectLst/>
            </c:spPr>
            <c:txPr>
              <a:bodyPr wrap="square" lIns="38100" tIns="19050" rIns="38100" bIns="19050" anchor="ctr">
                <a:spAutoFit/>
              </a:bodyPr>
              <a:lstStyle/>
              <a:p>
                <a:pPr>
                  <a:defRPr>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New_Ceased_LAC!$AB$41:$AB$42</c:f>
              <c:numCache>
                <c:formatCode>General</c:formatCode>
                <c:ptCount val="2"/>
                <c:pt idx="0" formatCode="#,##0.0">
                  <c:v>5</c:v>
                </c:pt>
                <c:pt idx="1">
                  <c:v>35</c:v>
                </c:pt>
              </c:numCache>
            </c:numRef>
          </c:xVal>
          <c:yVal>
            <c:numRef>
              <c:f>New_Ceased_LAC!$AC$41:$AC$42</c:f>
              <c:numCache>
                <c:formatCode>0.0</c:formatCode>
                <c:ptCount val="2"/>
                <c:pt idx="0">
                  <c:v>11.061250921421056</c:v>
                </c:pt>
                <c:pt idx="1">
                  <c:v>57.180115993065137</c:v>
                </c:pt>
              </c:numCache>
            </c:numRef>
          </c:yVal>
          <c:smooth val="1"/>
          <c:extLst>
            <c:ext xmlns:c16="http://schemas.microsoft.com/office/drawing/2014/chart" uri="{C3380CC4-5D6E-409C-BE32-E72D297353CC}">
              <c16:uniqueId val="{00000002-5288-4881-A9E1-DDC1A2FCBD05}"/>
            </c:ext>
          </c:extLst>
        </c:ser>
        <c:dLbls>
          <c:showLegendKey val="0"/>
          <c:showVal val="0"/>
          <c:showCatName val="0"/>
          <c:showSerName val="0"/>
          <c:showPercent val="0"/>
          <c:showBubbleSize val="0"/>
        </c:dLbls>
        <c:axId val="614117376"/>
        <c:axId val="614119296"/>
      </c:scatterChart>
      <c:scatterChart>
        <c:scatterStyle val="lineMarker"/>
        <c:varyColors val="0"/>
        <c:ser>
          <c:idx val="0"/>
          <c:order val="0"/>
          <c:tx>
            <c:strRef>
              <c:f>New_Ceased_LAC!$AR$38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5288-4881-A9E1-DDC1A2FCBD05}"/>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{6EE59D07-6603-46E5-B32E-A8671DF6641E}</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5288-4881-A9E1-DDC1A2FCBD05}"/>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{A1D20A05-2CEE-43C6-9DEF-8E77BE49241C}</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5288-4881-A9E1-DDC1A2FCBD05}"/>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{92B93D36-D406-4F01-BFCA-75CFC2F7BAAE}</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5288-4881-A9E1-DDC1A2FCBD05}"/>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{B1A1087E-99E8-4EBF-BDDF-8D26251CD696}</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5288-4881-A9E1-DDC1A2FCBD05}"/>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{95AFDACB-2584-466E-B4CA-C53BDA884607}</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5288-4881-A9E1-DDC1A2FCBD05}"/>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{2059B31F-B680-4D15-B99F-1939EF81C989}</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5288-4881-A9E1-DDC1A2FCBD05}"/>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{77F1FEC7-E9D9-439C-AF4A-4F82B882E535}</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5288-4881-A9E1-DDC1A2FCBD05}"/>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{F0435F89-DFE4-4DA1-898E-50CA63CC6E09}</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5288-4881-A9E1-DDC1A2FCBD05}"/>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{27D1B256-4114-40DC-8C8C-2A72BB128AF1}</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5288-4881-A9E1-DDC1A2FCBD05}"/>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{7D10E12E-802E-4C7D-95DC-77C4ED126513}</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5288-4881-A9E1-DDC1A2FCBD05}"/>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{6A2A62D2-DED5-4BBD-B537-6A8CF24105BC}</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5288-4881-A9E1-DDC1A2FCBD05}"/>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{A3669C53-AEAD-4C05-A33A-E2574DA77AC7}</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5288-4881-A9E1-DDC1A2FCBD05}"/>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{416C592A-3DDE-405F-BCB6-F2B221E9DBB1}</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5288-4881-A9E1-DDC1A2FCBD05}"/>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{81A0167B-0372-47C8-91CC-3D335806B7C7}</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5288-4881-A9E1-DDC1A2FCBD05}"/>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{5538FAC1-C24B-4EFC-B8A0-7A0F4AC3D503}</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5288-4881-A9E1-DDC1A2FCBD05}"/>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{46BF8CBC-976D-42CD-A1D2-EA0256D6C601}</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5288-4881-A9E1-DDC1A2FCBD05}"/>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{1E9E5707-8747-466A-875F-052FD9A3C269}</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5288-4881-A9E1-DDC1A2FCBD05}"/>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{8511441F-C22F-45A7-9ED9-4881B44B5602}</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5288-4881-A9E1-DDC1A2FCBD05}"/>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{F2334D42-6168-42F0-955B-AEA64FAE0AA2}</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5288-4881-A9E1-DDC1A2FCBD05}"/>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(New_Ceased_LAC!$AR$41:$AR$53,New_Ceased_LAC!$AR$55:$AR$56,New_Ceased_LAC!$AR$59:$AR$62)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(New_Ceased_LAC!$AQ$41:$AQ$53,New_Ceased_LAC!$AQ$55:$AQ$56,New_Ceased_LAC!$AQ$59:$AQ$62)</c:f>
              <c:numCache>
                <c:formatCode>0.0</c:formatCode>
                <c:ptCount val="19"/>
                <c:pt idx="0">
                  <c:v>16.549295774647888</c:v>
                </c:pt>
                <c:pt idx="1">
                  <c:v>30.616302186878727</c:v>
                </c:pt>
                <c:pt idx="2">
                  <c:v>16.149562450278442</c:v>
                </c:pt>
                <c:pt idx="3">
                  <c:v>16.368767638758232</c:v>
                </c:pt>
                <c:pt idx="4">
                  <c:v>19.310587407667956</c:v>
                </c:pt>
                <c:pt idx="5">
                  <c:v>29.149797570850204</c:v>
                </c:pt>
                <c:pt idx="6">
                  <c:v>27.515997673065737</c:v>
                </c:pt>
                <c:pt idx="7">
                  <c:v>26.769230769230766</c:v>
                </c:pt>
                <c:pt idx="8">
                  <c:v>24.418604651162788</c:v>
                </c:pt>
                <c:pt idx="9">
                  <c:v>21.149897330595483</c:v>
                </c:pt>
                <c:pt idx="10">
                  <c:v>40.8675799086758</c:v>
                </c:pt>
                <c:pt idx="11">
                  <c:v>31.351351351351351</c:v>
                </c:pt>
                <c:pt idx="12">
                  <c:v>24.825986078886313</c:v>
                </c:pt>
                <c:pt idx="13">
                  <c:v>38.40155945419103</c:v>
                </c:pt>
                <c:pt idx="14">
                  <c:v>14.139499620924942</c:v>
                </c:pt>
                <c:pt idx="15">
                  <c:v>16.573033707865168</c:v>
                </c:pt>
                <c:pt idx="16">
                  <c:v>25.9511641113004</c:v>
                </c:pt>
                <c:pt idx="17">
                  <c:v>14.985590778097983</c:v>
                </c:pt>
                <c:pt idx="18">
                  <c:v>10.891089108910892</c:v>
                </c:pt>
              </c:numCache>
            </c:numRef>
          </c:yVal>
          <c:smooth val="0"/>
          <c:extLst>
            <c:ext xmlns:c16="http://schemas.microsoft.com/office/drawing/2014/chart" uri="{C3380CC4-5D6E-409C-BE32-E72D297353CC}">
              <c16:uniqueId val="{00000017-5288-4881-A9E1-DDC1A2FCBD05}"/>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5288-4881-A9E1-DDC1A2FCBD05}"/>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{1098A128-EB97-4E15-8374-BAA1B48EC1DB}</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5288-4881-A9E1-DDC1A2FCBD05}"/>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{8FC55E0B-40E9-4BD5-A87D-3DF2FBB1F049}</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5288-4881-A9E1-DDC1A2FCBD05}"/>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{F8F8E8E4-4DC5-4605-AF2F-E581FB3D0753}</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5288-4881-A9E1-DDC1A2FCBD05}"/>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(New_Ceased_LAC!$AR$54,New_Ceased_LAC!$AR$57:$AR$58)</c:f>
              <c:numCache>
                <c:formatCode>0.0</c:formatCode>
                <c:ptCount val="3"/>
                <c:pt idx="0">
                  <c:v>13.600000000000001</c:v>
                </c:pt>
                <c:pt idx="1">
                  <c:v>14.899999999999999</c:v>
                </c:pt>
                <c:pt idx="2">
                  <c:v>21.9</c:v>
                </c:pt>
              </c:numCache>
            </c:numRef>
          </c:xVal>
          <c:yVal>
            <c:numRef>
              <c:f>(New_Ceased_LAC!$AQ$54,New_Ceased_LAC!$AQ$57:$AQ$58)</c:f>
              <c:numCache>
                <c:formatCode>0.0</c:formatCode>
                <c:ptCount val="3"/>
                <c:pt idx="0">
                  <c:v>17.176258992805757</c:v>
                </c:pt>
                <c:pt idx="1">
                  <c:v>21.230158730158728</c:v>
                </c:pt>
                <c:pt idx="2">
                  <c:v>52.734375</c:v>
                </c:pt>
              </c:numCache>
            </c:numRef>
          </c:yVal>
          <c:smooth val="0"/>
          <c:extLst>
            <c:ext xmlns:c16="http://schemas.microsoft.com/office/drawing/2014/chart" uri="{C3380CC4-5D6E-409C-BE32-E72D297353CC}">
              <c16:uniqueId val="{0000001B-5288-4881-A9E1-DDC1A2FCBD05}"/>
            </c:ext>
          </c:extLst>
        </c:ser>
        <c:ser>
          <c:idx val="1"/>
          <c:order val="2"/>
          <c:tx>
            <c:strRef>
              <c:f>New_Ceased_LAC!$AA$4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New_Ceased_LAC!$AR$65</c:f>
              <c:numCache>
                <c:formatCode>0.0</c:formatCode>
                <c:ptCount val="1"/>
                <c:pt idx="0">
                  <c:v>#N/A</c:v>
                </c:pt>
              </c:numCache>
            </c:numRef>
          </c:xVal>
          <c:yVal>
            <c:numRef>
              <c:f>New_Ceased_LAC!$AQ$65</c:f>
              <c:numCache>
                <c:formatCode>0.0</c:formatCode>
                <c:ptCount val="1"/>
                <c:pt idx="0">
                  <c:v>#N/A</c:v>
                </c:pt>
              </c:numCache>
            </c:numRef>
          </c:yVal>
          <c:smooth val="0"/>
          <c:extLst>
            <c:ext xmlns:c16="http://schemas.microsoft.com/office/drawing/2014/chart" uri="{C3380CC4-5D6E-409C-BE32-E72D297353CC}">
              <c16:uniqueId val="{0000001C-5288-4881-A9E1-DDC1A2FCBD05}"/>
            </c:ext>
          </c:extLst>
        </c:ser>
        <c:ser>
          <c:idx val="4"/>
          <c:order val="3"/>
          <c:tx>
            <c:strRef>
              <c:f>New_Ceased_LAC!$B$32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New_Ceased_LAC!$S$32</c:f>
              <c:numCache>
                <c:formatCode>0.0</c:formatCode>
                <c:ptCount val="1"/>
                <c:pt idx="0">
                  <c:v>12.371268250968637</c:v>
                </c:pt>
              </c:numCache>
            </c:numRef>
          </c:xVal>
          <c:yVal>
            <c:numRef>
              <c:f>New_Ceased_LAC!$O$32</c:f>
              <c:numCache>
                <c:formatCode>0.0</c:formatCode>
                <c:ptCount val="1"/>
                <c:pt idx="0">
                  <c:v>22.242535039609994</c:v>
                </c:pt>
              </c:numCache>
            </c:numRef>
          </c:yVal>
          <c:smooth val="0"/>
          <c:extLst>
            <c:ext xmlns:c16="http://schemas.microsoft.com/office/drawing/2014/chart" uri="{C3380CC4-5D6E-409C-BE32-E72D297353CC}">
              <c16:uniqueId val="{0000001D-5288-4881-A9E1-DDC1A2FCBD05}"/>
            </c:ext>
          </c:extLst>
        </c:ser>
        <c:ser>
          <c:idx val="2"/>
          <c:order val="4"/>
          <c:tx>
            <c:strRef>
              <c:f>New_Ceased_LAC!$Y$43</c:f>
              <c:strCache>
                <c:ptCount val="1"/>
                <c:pt idx="0">
                  <c:v>National Trend 2020</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5288-4881-A9E1-DDC1A2FCBD05}"/>
                </c:ext>
              </c:extLst>
            </c:dLbl>
            <c:dLbl>
              <c:idx val="1"/>
              <c:layout>
                <c:manualLayout>
                  <c:x val="-4.970760233918118E-2"/>
                  <c:y val="-2.4132730015082957E-2"/>
                </c:manualLayout>
              </c:layout>
              <c:tx>
                <c:strRef>
                  <c:f>New_Ceased_LAC!$AD$43</c:f>
                  <c:strCache>
                    <c:ptCount val="1"/>
                    <c:pt idx="0">
                      <c:v>r² = 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{830105B1-A62C-4B0F-BF07-D13FB8C0CA79}</c15:txfldGUID>
                      <c15:f>New_Ceased_LAC!$AD$43</c15:f>
                      <c15:dlblFieldTableCache>
                        <c:ptCount val="1"/>
                        <c:pt idx="0">
                          <c:v>r² = 0.16</c:v>
                        </c:pt>
                      </c15:dlblFieldTableCache>
                    </c15:dlblFTEntry>
                  </c15:dlblFieldTable>
                  <c15:showDataLabelsRange val="0"/>
                </c:ext>
                <c:ext xmlns:c16="http://schemas.microsoft.com/office/drawing/2014/chart" uri="{C3380CC4-5D6E-409C-BE32-E72D297353CC}">
                  <c16:uniqueId val="{0000001F-5288-4881-A9E1-DDC1A2FCBD05}"/>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New_Ceased_LAC!$AB$43:$AB$44</c:f>
              <c:numCache>
                <c:formatCode>General</c:formatCode>
                <c:ptCount val="2"/>
                <c:pt idx="0" formatCode="#,##0.0">
                  <c:v>5</c:v>
                </c:pt>
                <c:pt idx="1">
                  <c:v>35</c:v>
                </c:pt>
              </c:numCache>
            </c:numRef>
          </c:xVal>
          <c:yVal>
            <c:numRef>
              <c:f>New_Ceased_LAC!$AC$43:$AC$44</c:f>
              <c:numCache>
                <c:formatCode>0.0</c:formatCode>
                <c:ptCount val="2"/>
                <c:pt idx="0">
                  <c:v>15.226779561138793</c:v>
                </c:pt>
                <c:pt idx="1">
                  <c:v>48.754789858839764</c:v>
                </c:pt>
              </c:numCache>
            </c:numRef>
          </c:yVal>
          <c:smooth val="0"/>
          <c:extLst>
            <c:ext xmlns:c16="http://schemas.microsoft.com/office/drawing/2014/chart" uri="{C3380CC4-5D6E-409C-BE32-E72D297353CC}">
              <c16:uniqueId val="{00000020-5288-4881-A9E1-DDC1A2FCBD05}"/>
            </c:ext>
          </c:extLst>
        </c:ser>
        <c:dLbls>
          <c:showLegendKey val="0"/>
          <c:showVal val="0"/>
          <c:showCatName val="0"/>
          <c:showSerName val="0"/>
          <c:showPercent val="0"/>
          <c:showBubbleSize val="0"/>
        </c:dLbls>
        <c:axId val="614117376"/>
        <c:axId val="614119296"/>
      </c:scatterChart>
      <c:valAx>
        <c:axId val="614117376"/>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119296"/>
        <c:crosses val="autoZero"/>
        <c:crossBetween val="midCat"/>
        <c:majorUnit val="5"/>
      </c:valAx>
      <c:valAx>
        <c:axId val="61411929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Starting to be Looked After per</a:t>
                </a:r>
              </a:p>
              <a:p>
                <a:pPr>
                  <a:defRPr sz="800" b="1" i="0" u="none" strike="noStrike" baseline="0">
                    <a:solidFill>
                      <a:srgbClr val="000000"/>
                    </a:solidFill>
                    <a:latin typeface="Arial"/>
                    <a:ea typeface="Arial"/>
                    <a:cs typeface="Arial"/>
                  </a:defRPr>
                </a:pPr>
                <a:r>
                  <a:rPr lang="en-GB"/>
                  <a:t>10,000 0-17 year olds</a:t>
                </a:r>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11737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Early Help</a:t>
            </a:r>
            <a:r>
              <a:rPr lang="en-GB" baseline="0"/>
              <a:t> Referrals </a:t>
            </a:r>
            <a:r>
              <a:rPr lang="en-GB"/>
              <a:t>vs. IDACI</a:t>
            </a:r>
          </a:p>
        </c:rich>
      </c:tx>
      <c:layout>
        <c:manualLayout>
          <c:xMode val="edge"/>
          <c:yMode val="edge"/>
          <c:x val="0.22857418040073482"/>
          <c:y val="3.612578830947967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4"/>
          <c:tx>
            <c:strRef>
              <c:f>EH_Referrals!$AA$40:$AA$41</c:f>
              <c:strCache>
                <c:ptCount val="2"/>
                <c:pt idx="0">
                  <c:v>5.0</c:v>
                </c:pt>
                <c:pt idx="1">
                  <c:v>35</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384C-49B4-A1CF-3EB13561026A}"/>
                </c:ext>
              </c:extLst>
            </c:dLbl>
            <c:dLbl>
              <c:idx val="1"/>
              <c:layout>
                <c:manualLayout>
                  <c:x val="-8.0996884735202487E-2"/>
                  <c:y val="-2.3809518229865431E-2"/>
                </c:manualLayout>
              </c:layout>
              <c:tx>
                <c:strRef>
                  <c:f>EH_Referrals!$AC$42</c:f>
                  <c:strCache>
                    <c:ptCount val="1"/>
                    <c:pt idx="0">
                      <c:v>#DIV/0!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{6433D9B3-3829-431A-92E2-AD43C82766CB}</c15:txfldGUID>
                      <c15:f>EH_Referrals!$AC$42</c15:f>
                      <c15:dlblFieldTableCache>
                        <c:ptCount val="1"/>
                        <c:pt idx="0">
                          <c:v>#DIV/0!</c:v>
                        </c:pt>
                      </c15:dlblFieldTableCache>
                    </c15:dlblFTEntry>
                  </c15:dlblFieldTable>
                  <c15:showDataLabelsRange val="0"/>
                </c:ext>
                <c:ext xmlns:c16="http://schemas.microsoft.com/office/drawing/2014/chart" uri="{C3380CC4-5D6E-409C-BE32-E72D297353CC}">
                  <c16:uniqueId val="{00000001-384C-49B4-A1CF-3EB13561026A}"/>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EH_Referrals!$AA$40:$AA$41</c:f>
              <c:numCache>
                <c:formatCode>General</c:formatCode>
                <c:ptCount val="2"/>
                <c:pt idx="0" formatCode="#,##0.0">
                  <c:v>5</c:v>
                </c:pt>
                <c:pt idx="1">
                  <c:v>35</c:v>
                </c:pt>
              </c:numCache>
            </c:numRef>
          </c:xVal>
          <c:yVal>
            <c:numRef>
              <c:f>EH_Referrals!$AB$40:$AB$41</c:f>
              <c:numCache>
                <c:formatCode>0.0</c:formatCode>
                <c:ptCount val="2"/>
                <c:pt idx="0">
                  <c:v>0</c:v>
                </c:pt>
                <c:pt idx="1">
                  <c:v>0</c:v>
                </c:pt>
              </c:numCache>
            </c:numRef>
          </c:yVal>
          <c:smooth val="1"/>
          <c:extLst>
            <c:ext xmlns:c16="http://schemas.microsoft.com/office/drawing/2014/chart" uri="{C3380CC4-5D6E-409C-BE32-E72D297353CC}">
              <c16:uniqueId val="{00000002-384C-49B4-A1CF-3EB13561026A}"/>
            </c:ext>
          </c:extLst>
        </c:ser>
        <c:dLbls>
          <c:showLegendKey val="0"/>
          <c:showVal val="0"/>
          <c:showCatName val="0"/>
          <c:showSerName val="0"/>
          <c:showPercent val="0"/>
          <c:showBubbleSize val="0"/>
        </c:dLbls>
        <c:axId val="477714304"/>
        <c:axId val="499761536"/>
      </c:scatterChart>
      <c:scatterChart>
        <c:scatterStyle val="lineMarker"/>
        <c:varyColors val="0"/>
        <c:ser>
          <c:idx val="0"/>
          <c:order val="0"/>
          <c:tx>
            <c:strRef>
              <c:f>Contacts!$AQ$37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384C-49B4-A1CF-3EB13561026A}"/>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{EFCFE4CC-E6CD-4EAF-A99A-28967EBE1E2B}</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384C-49B4-A1CF-3EB13561026A}"/>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{580ADCED-ED9F-40D5-8747-5FCB3E9FD7D1}</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384C-49B4-A1CF-3EB13561026A}"/>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{2B3ED9D6-B5F6-4424-A1EE-45F4F7FC6CB5}</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384C-49B4-A1CF-3EB13561026A}"/>
                </c:ext>
              </c:extLst>
            </c:dLbl>
            <c:dLbl>
              <c:idx val="3"/>
              <c:tx>
                <c:strRef>
                  <c:f>Sheet1!$K$7</c:f>
                  <c:strCache>
                    <c:ptCount val="1"/>
                    <c:pt idx="0">
                      <c:v>East Sussex</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{612BD9A7-6064-425A-811F-F8C0AC204680}</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384C-49B4-A1CF-3EB13561026A}"/>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{CA74259B-ED12-49A2-93D4-8C1A68B37A92}</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384C-49B4-A1CF-3EB13561026A}"/>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{31019C60-410A-4795-BD7D-1CFA3C7C00A5}</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384C-49B4-A1CF-3EB13561026A}"/>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{7B2B6F35-8CC5-4C00-9EE9-CD6050BBB826}</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384C-49B4-A1CF-3EB13561026A}"/>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{0DFC53DD-80BD-4C47-B93C-C35E607DDA17}</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384C-49B4-A1CF-3EB13561026A}"/>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{15188639-9099-4F99-ABFF-C051E8F24F27}</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384C-49B4-A1CF-3EB13561026A}"/>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{28E82A42-62EA-4B36-8CF4-BC57E1B7709D}</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384C-49B4-A1CF-3EB13561026A}"/>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{E82D1A19-9249-401B-8CD5-5ADD072F19A7}</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384C-49B4-A1CF-3EB13561026A}"/>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{CAFAD5D4-50B5-4E8A-A7B4-931CE455A049}</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384C-49B4-A1CF-3EB13561026A}"/>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{ECA31705-753E-4362-8182-7DE086777697}</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384C-49B4-A1CF-3EB13561026A}"/>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{60C5DB6F-375F-47FA-B22F-D435E889458F}</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384C-49B4-A1CF-3EB13561026A}"/>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{8EE5D227-BCC6-4826-8935-11833C2EF1CE}</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384C-49B4-A1CF-3EB13561026A}"/>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{8D4F0962-3EAC-48B9-A3C9-EF9FA9FAAEA6}</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384C-49B4-A1CF-3EB13561026A}"/>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{71FA4C37-3A00-4C1F-BA30-33AC5AAB43BF}</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384C-49B4-A1CF-3EB13561026A}"/>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{62EB1E79-A53D-4974-ABFF-79D85A413185}</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384C-49B4-A1CF-3EB13561026A}"/>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{CFBA8607-981C-4210-8DCD-1833766CDEC3}</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384C-49B4-A1CF-3EB13561026A}"/>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(EH_Referrals!$AR$40:$AR$52,EH_Referrals!$AR$54:$AR$55,EH_Referrals!$AR$58:$AR$61)</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(EH_Referrals!$AP$40:$AP$52,EH_Referrals!$AP$54:$AP$55,EH_Referrals!$AP$58:$AP$61)</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384C-49B4-A1CF-3EB13561026A}"/>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384C-49B4-A1CF-3EB13561026A}"/>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{F82BF103-8E3E-409C-8B17-58FB8FCC1C02}</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384C-49B4-A1CF-3EB13561026A}"/>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{7668E249-7A39-4392-9DCD-316C132934E5}</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384C-49B4-A1CF-3EB13561026A}"/>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{15B564D5-E46C-40C2-B479-1D2A99B980FA}</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384C-49B4-A1CF-3EB13561026A}"/>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(EH_Referrals!$AR$53,EH_Referrals!$AR$56,EH_Referrals!$AR$57)</c:f>
              <c:numCache>
                <c:formatCode>0.0</c:formatCode>
                <c:ptCount val="3"/>
                <c:pt idx="0">
                  <c:v>13.600000000000001</c:v>
                </c:pt>
                <c:pt idx="1">
                  <c:v>14.899999999999999</c:v>
                </c:pt>
                <c:pt idx="2">
                  <c:v>21.9</c:v>
                </c:pt>
              </c:numCache>
            </c:numRef>
          </c:xVal>
          <c:yVal>
            <c:numRef>
              <c:f>(EH_Referrals!$AP$53,EH_Referrals!$AP$56,EH_Referrals!$AP$57)</c:f>
              <c:numCache>
                <c:formatCode>0.0</c:formatCode>
                <c:ptCount val="3"/>
                <c:pt idx="0">
                  <c:v>#N/A</c:v>
                </c:pt>
                <c:pt idx="1">
                  <c:v>#N/A</c:v>
                </c:pt>
                <c:pt idx="2">
                  <c:v>#N/A</c:v>
                </c:pt>
              </c:numCache>
            </c:numRef>
          </c:yVal>
          <c:smooth val="0"/>
          <c:extLst>
            <c:ext xmlns:c16="http://schemas.microsoft.com/office/drawing/2014/chart" uri="{C3380CC4-5D6E-409C-BE32-E72D297353CC}">
              <c16:uniqueId val="{0000001B-384C-49B4-A1CF-3EB13561026A}"/>
            </c:ext>
          </c:extLst>
        </c:ser>
        <c:ser>
          <c:idx val="1"/>
          <c:order val="2"/>
          <c:tx>
            <c:strRef>
              <c:f>EH_Referrals!$Z$4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EH_Referrals!$AR$63</c:f>
              <c:numCache>
                <c:formatCode>0.0</c:formatCode>
                <c:ptCount val="1"/>
                <c:pt idx="0">
                  <c:v>#N/A</c:v>
                </c:pt>
              </c:numCache>
            </c:numRef>
          </c:xVal>
          <c:yVal>
            <c:numRef>
              <c:f>EH_Referrals!$AP$63</c:f>
              <c:numCache>
                <c:formatCode>0.0</c:formatCode>
                <c:ptCount val="1"/>
                <c:pt idx="0">
                  <c:v>#N/A</c:v>
                </c:pt>
              </c:numCache>
            </c:numRef>
          </c:yVal>
          <c:smooth val="0"/>
          <c:extLst>
            <c:ext xmlns:c16="http://schemas.microsoft.com/office/drawing/2014/chart" uri="{C3380CC4-5D6E-409C-BE32-E72D297353CC}">
              <c16:uniqueId val="{0000001C-384C-49B4-A1CF-3EB13561026A}"/>
            </c:ext>
          </c:extLst>
        </c:ser>
        <c:ser>
          <c:idx val="4"/>
          <c:order val="3"/>
          <c:tx>
            <c:strRef>
              <c:f>EH_Referrals!$B$32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EH_Referrals!$T$32</c:f>
              <c:numCache>
                <c:formatCode>0.0</c:formatCode>
                <c:ptCount val="1"/>
                <c:pt idx="0">
                  <c:v>0</c:v>
                </c:pt>
              </c:numCache>
            </c:numRef>
          </c:xVal>
          <c:yVal>
            <c:numRef>
              <c:f>EH_Referrals!$P$32</c:f>
              <c:numCache>
                <c:formatCode>0.0</c:formatCode>
                <c:ptCount val="1"/>
                <c:pt idx="0">
                  <c:v>#N/A</c:v>
                </c:pt>
              </c:numCache>
            </c:numRef>
          </c:yVal>
          <c:smooth val="0"/>
          <c:extLst>
            <c:ext xmlns:c16="http://schemas.microsoft.com/office/drawing/2014/chart" uri="{C3380CC4-5D6E-409C-BE32-E72D297353CC}">
              <c16:uniqueId val="{0000001D-384C-49B4-A1CF-3EB13561026A}"/>
            </c:ext>
          </c:extLst>
        </c:ser>
        <c:dLbls>
          <c:showLegendKey val="0"/>
          <c:showVal val="0"/>
          <c:showCatName val="0"/>
          <c:showSerName val="0"/>
          <c:showPercent val="0"/>
          <c:showBubbleSize val="0"/>
        </c:dLbls>
        <c:axId val="477714304"/>
        <c:axId val="499761536"/>
      </c:scatterChart>
      <c:valAx>
        <c:axId val="477714304"/>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99761536"/>
        <c:crosses val="autoZero"/>
        <c:crossBetween val="midCat"/>
        <c:majorUnit val="5"/>
      </c:valAx>
      <c:valAx>
        <c:axId val="49976153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Early Help Referrals per 10,000 0-17 year olds</a:t>
                </a:r>
              </a:p>
            </c:rich>
          </c:tx>
          <c:layout>
            <c:manualLayout>
              <c:xMode val="edge"/>
              <c:yMode val="edge"/>
              <c:x val="5.1878112089897961E-2"/>
              <c:y val="0.1917826228480917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7771430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Ceasing</a:t>
            </a:r>
            <a:r>
              <a:rPr lang="en-GB" baseline="0"/>
              <a:t> to be </a:t>
            </a:r>
            <a:r>
              <a:rPr lang="en-GB"/>
              <a:t>Looked After</a:t>
            </a:r>
            <a:r>
              <a:rPr lang="en-GB" baseline="0"/>
              <a:t> </a:t>
            </a:r>
            <a:r>
              <a:rPr lang="en-GB"/>
              <a:t>vs. IDACI</a:t>
            </a:r>
          </a:p>
        </c:rich>
      </c:tx>
      <c:layout>
        <c:manualLayout>
          <c:xMode val="edge"/>
          <c:yMode val="edge"/>
          <c:x val="0.1456396411986963"/>
          <c:y val="3.612588966919675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New_Ceased_LAC!$Y$173</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54EE-458D-B66D-632D3A978584}"/>
                </c:ext>
              </c:extLst>
            </c:dLbl>
            <c:dLbl>
              <c:idx val="1"/>
              <c:layout>
                <c:manualLayout>
                  <c:x val="-5.2631578947368314E-2"/>
                  <c:y val="-2.1021021021021023E-2"/>
                </c:manualLayout>
              </c:layout>
              <c:tx>
                <c:strRef>
                  <c:f>New_Ceased_LAC!$AD$174</c:f>
                  <c:strCache>
                    <c:ptCount val="1"/>
                    <c:pt idx="0">
                      <c:v>r² = 0.53</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{8CAE6801-6A99-4EEB-8498-547C7633F7AE}</c15:txfldGUID>
                      <c15:f>New_Ceased_LAC!$AD$174</c15:f>
                      <c15:dlblFieldTableCache>
                        <c:ptCount val="1"/>
                        <c:pt idx="0">
                          <c:v>r² = 0.53</c:v>
                        </c:pt>
                      </c15:dlblFieldTableCache>
                    </c15:dlblFTEntry>
                  </c15:dlblFieldTable>
                  <c15:showDataLabelsRange val="0"/>
                </c:ext>
                <c:ext xmlns:c16="http://schemas.microsoft.com/office/drawing/2014/chart" uri="{C3380CC4-5D6E-409C-BE32-E72D297353CC}">
                  <c16:uniqueId val="{00000001-54EE-458D-B66D-632D3A97858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New_Ceased_LAC!$AB$173:$AB$174</c:f>
              <c:numCache>
                <c:formatCode>General</c:formatCode>
                <c:ptCount val="2"/>
                <c:pt idx="0" formatCode="#,##0.0">
                  <c:v>5</c:v>
                </c:pt>
                <c:pt idx="1">
                  <c:v>35</c:v>
                </c:pt>
              </c:numCache>
            </c:numRef>
          </c:xVal>
          <c:yVal>
            <c:numRef>
              <c:f>New_Ceased_LAC!$AC$173:$AC$174</c:f>
              <c:numCache>
                <c:formatCode>0.0</c:formatCode>
                <c:ptCount val="2"/>
                <c:pt idx="0">
                  <c:v>13.477292339527386</c:v>
                </c:pt>
                <c:pt idx="1">
                  <c:v>53.101085713204021</c:v>
                </c:pt>
              </c:numCache>
            </c:numRef>
          </c:yVal>
          <c:smooth val="1"/>
          <c:extLst>
            <c:ext xmlns:c16="http://schemas.microsoft.com/office/drawing/2014/chart" uri="{C3380CC4-5D6E-409C-BE32-E72D297353CC}">
              <c16:uniqueId val="{00000002-54EE-458D-B66D-632D3A978584}"/>
            </c:ext>
          </c:extLst>
        </c:ser>
        <c:dLbls>
          <c:showLegendKey val="0"/>
          <c:showVal val="0"/>
          <c:showCatName val="0"/>
          <c:showSerName val="0"/>
          <c:showPercent val="0"/>
          <c:showBubbleSize val="0"/>
        </c:dLbls>
        <c:axId val="614572032"/>
        <c:axId val="614573952"/>
      </c:scatterChart>
      <c:scatterChart>
        <c:scatterStyle val="lineMarker"/>
        <c:varyColors val="0"/>
        <c:ser>
          <c:idx val="0"/>
          <c:order val="0"/>
          <c:tx>
            <c:strRef>
              <c:f>New_Ceased_LAC!$AR$38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54EE-458D-B66D-632D3A978584}"/>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{64B4797F-0558-4423-8C3F-8A8F11107C72}</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54EE-458D-B66D-632D3A978584}"/>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{D963E87E-AF88-4F1E-8F80-BE899CF5AB01}</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54EE-458D-B66D-632D3A978584}"/>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{791329D3-B074-41B2-99D8-DD426ACC156F}</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54EE-458D-B66D-632D3A978584}"/>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{B032907B-A2F5-49AA-AAA4-46BB2F0BBFD5}</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54EE-458D-B66D-632D3A978584}"/>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{3C2BCA90-7D4D-4680-9B55-C853CD21542C}</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54EE-458D-B66D-632D3A978584}"/>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{27915796-A71C-4AB2-82C4-532E19F4CDCE}</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54EE-458D-B66D-632D3A978584}"/>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{19203194-9E34-46EA-BDC8-8EE7CD388CBE}</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54EE-458D-B66D-632D3A978584}"/>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{C1E53354-58ED-4CF8-9498-E7FAEB1C46F8}</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54EE-458D-B66D-632D3A978584}"/>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{B448F720-9B17-4B3C-8E57-8CE2C3B668B9}</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54EE-458D-B66D-632D3A978584}"/>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{D2B6A5DF-922C-4B1C-8635-6C066A76819F}</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54EE-458D-B66D-632D3A978584}"/>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{A509C640-99F9-46D7-8FB8-E5D2D5654D70}</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54EE-458D-B66D-632D3A978584}"/>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{92FF8829-9943-490C-9D09-395BF8F129F3}</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54EE-458D-B66D-632D3A978584}"/>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{398E101C-4459-47CB-92FB-A5E60992F097}</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54EE-458D-B66D-632D3A978584}"/>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{50215632-706F-4444-B271-6480265F3B42}</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54EE-458D-B66D-632D3A978584}"/>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{9C057B1E-FA11-435D-B37D-7060F6A9AB45}</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54EE-458D-B66D-632D3A978584}"/>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{16EEF6BD-4592-426D-868B-4F19171776E6}</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54EE-458D-B66D-632D3A978584}"/>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{BFF4D16B-F4E7-4A69-BD1A-ABA11EA10BFC}</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54EE-458D-B66D-632D3A978584}"/>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{671DF121-1FC9-4D4E-9FD2-7E748BDC8211}</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54EE-458D-B66D-632D3A978584}"/>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{2FC77D98-BCD5-4633-961F-193CA32DC93B}</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54EE-458D-B66D-632D3A978584}"/>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(New_Ceased_LAC!$AR$148:$AR$160,New_Ceased_LAC!$AR$162:$AR$163,New_Ceased_LAC!$AR$166:$AR$169)</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(New_Ceased_LAC!$AQ$148:$AQ$160,New_Ceased_LAC!$AQ$162:$AQ$163,New_Ceased_LAC!$AQ$166:$AQ$169)</c:f>
              <c:numCache>
                <c:formatCode>0.0</c:formatCode>
                <c:ptCount val="19"/>
                <c:pt idx="0">
                  <c:v>21.830985915492956</c:v>
                </c:pt>
                <c:pt idx="1">
                  <c:v>35.387673956262425</c:v>
                </c:pt>
                <c:pt idx="2">
                  <c:v>18.695306284805092</c:v>
                </c:pt>
                <c:pt idx="3">
                  <c:v>16.556914393226716</c:v>
                </c:pt>
                <c:pt idx="4">
                  <c:v>21.948645796693633</c:v>
                </c:pt>
                <c:pt idx="5">
                  <c:v>21.457489878542511</c:v>
                </c:pt>
                <c:pt idx="6">
                  <c:v>21.465968586387437</c:v>
                </c:pt>
                <c:pt idx="7">
                  <c:v>27.69230769230769</c:v>
                </c:pt>
                <c:pt idx="8">
                  <c:v>21.511627906976742</c:v>
                </c:pt>
                <c:pt idx="9">
                  <c:v>22.039698836413415</c:v>
                </c:pt>
                <c:pt idx="10">
                  <c:v>46.575342465753423</c:v>
                </c:pt>
                <c:pt idx="11">
                  <c:v>29.45945945945946</c:v>
                </c:pt>
                <c:pt idx="12">
                  <c:v>29.002320185614849</c:v>
                </c:pt>
                <c:pt idx="13">
                  <c:v>38.791423001949319</c:v>
                </c:pt>
                <c:pt idx="14">
                  <c:v>13.836239575435938</c:v>
                </c:pt>
                <c:pt idx="15">
                  <c:v>20.786516853932586</c:v>
                </c:pt>
                <c:pt idx="16">
                  <c:v>20.159000567859174</c:v>
                </c:pt>
                <c:pt idx="17">
                  <c:v>17.86743515850144</c:v>
                </c:pt>
                <c:pt idx="18">
                  <c:v>13.613861386138613</c:v>
                </c:pt>
              </c:numCache>
            </c:numRef>
          </c:yVal>
          <c:smooth val="0"/>
          <c:extLst>
            <c:ext xmlns:c16="http://schemas.microsoft.com/office/drawing/2014/chart" uri="{C3380CC4-5D6E-409C-BE32-E72D297353CC}">
              <c16:uniqueId val="{00000017-54EE-458D-B66D-632D3A978584}"/>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54EE-458D-B66D-632D3A978584}"/>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{775B7AE8-C018-4179-A042-3D92587F90CE}</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54EE-458D-B66D-632D3A978584}"/>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{852A6333-BD35-40AD-8334-5C3E79082826}</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54EE-458D-B66D-632D3A978584}"/>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{CEE01A7C-EC88-4F0B-8E16-E2A877D24388}</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54EE-458D-B66D-632D3A978584}"/>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(New_Ceased_LAC!$AR$161,New_Ceased_LAC!$AR$164:$AR$165)</c:f>
              <c:numCache>
                <c:formatCode>0.0</c:formatCode>
                <c:ptCount val="3"/>
                <c:pt idx="0">
                  <c:v>13.600000000000001</c:v>
                </c:pt>
                <c:pt idx="1">
                  <c:v>14.899999999999999</c:v>
                </c:pt>
                <c:pt idx="2">
                  <c:v>21.9</c:v>
                </c:pt>
              </c:numCache>
            </c:numRef>
          </c:xVal>
          <c:yVal>
            <c:numRef>
              <c:f>(New_Ceased_LAC!$AQ$161,New_Ceased_LAC!$AQ$164:$AQ$165)</c:f>
              <c:numCache>
                <c:formatCode>0.0</c:formatCode>
                <c:ptCount val="3"/>
                <c:pt idx="0">
                  <c:v>17.715827338129497</c:v>
                </c:pt>
                <c:pt idx="1">
                  <c:v>30.753968253968253</c:v>
                </c:pt>
                <c:pt idx="2">
                  <c:v>55.078125</c:v>
                </c:pt>
              </c:numCache>
            </c:numRef>
          </c:yVal>
          <c:smooth val="0"/>
          <c:extLst>
            <c:ext xmlns:c16="http://schemas.microsoft.com/office/drawing/2014/chart" uri="{C3380CC4-5D6E-409C-BE32-E72D297353CC}">
              <c16:uniqueId val="{0000001B-54EE-458D-B66D-632D3A978584}"/>
            </c:ext>
          </c:extLst>
        </c:ser>
        <c:ser>
          <c:idx val="1"/>
          <c:order val="2"/>
          <c:tx>
            <c:strRef>
              <c:f>New_Ceased_LAC!$AA$4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New_Ceased_LAC!$AR$172</c:f>
              <c:numCache>
                <c:formatCode>0.0</c:formatCode>
                <c:ptCount val="1"/>
                <c:pt idx="0">
                  <c:v>#N/A</c:v>
                </c:pt>
              </c:numCache>
            </c:numRef>
          </c:xVal>
          <c:yVal>
            <c:numRef>
              <c:f>New_Ceased_LAC!$AQ$172</c:f>
              <c:numCache>
                <c:formatCode>0.0</c:formatCode>
                <c:ptCount val="1"/>
                <c:pt idx="0">
                  <c:v>#N/A</c:v>
                </c:pt>
              </c:numCache>
            </c:numRef>
          </c:yVal>
          <c:smooth val="0"/>
          <c:extLst>
            <c:ext xmlns:c16="http://schemas.microsoft.com/office/drawing/2014/chart" uri="{C3380CC4-5D6E-409C-BE32-E72D297353CC}">
              <c16:uniqueId val="{0000001C-54EE-458D-B66D-632D3A978584}"/>
            </c:ext>
          </c:extLst>
        </c:ser>
        <c:ser>
          <c:idx val="4"/>
          <c:order val="3"/>
          <c:tx>
            <c:strRef>
              <c:f>New_Ceased_LAC!$B$139</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New_Ceased_LAC!$S$139</c:f>
              <c:numCache>
                <c:formatCode>0.0</c:formatCode>
                <c:ptCount val="1"/>
                <c:pt idx="0">
                  <c:v>12.371268250968637</c:v>
                </c:pt>
              </c:numCache>
            </c:numRef>
          </c:xVal>
          <c:yVal>
            <c:numRef>
              <c:f>New_Ceased_LAC!$O$139</c:f>
              <c:numCache>
                <c:formatCode>0.0</c:formatCode>
                <c:ptCount val="1"/>
                <c:pt idx="0">
                  <c:v>21.632051998171942</c:v>
                </c:pt>
              </c:numCache>
            </c:numRef>
          </c:yVal>
          <c:smooth val="0"/>
          <c:extLst>
            <c:ext xmlns:c16="http://schemas.microsoft.com/office/drawing/2014/chart" uri="{C3380CC4-5D6E-409C-BE32-E72D297353CC}">
              <c16:uniqueId val="{0000001D-54EE-458D-B66D-632D3A978584}"/>
            </c:ext>
          </c:extLst>
        </c:ser>
        <c:ser>
          <c:idx val="2"/>
          <c:order val="4"/>
          <c:tx>
            <c:strRef>
              <c:f>New_Ceased_LAC!$Y$175</c:f>
              <c:strCache>
                <c:ptCount val="1"/>
                <c:pt idx="0">
                  <c:v>National Trend 2020</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54EE-458D-B66D-632D3A978584}"/>
                </c:ext>
              </c:extLst>
            </c:dLbl>
            <c:dLbl>
              <c:idx val="1"/>
              <c:layout>
                <c:manualLayout>
                  <c:x val="-4.3859649122806911E-2"/>
                  <c:y val="-9.0090090090090089E-3"/>
                </c:manualLayout>
              </c:layout>
              <c:tx>
                <c:strRef>
                  <c:f>New_Ceased_LAC!$AD$175</c:f>
                  <c:strCache>
                    <c:ptCount val="1"/>
                    <c:pt idx="0">
                      <c:v>r² = 0.177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{F54F0612-139C-4A78-800E-441D47B14D6A}</c15:txfldGUID>
                      <c15:f>New_Ceased_LAC!$AD$175</c15:f>
                      <c15:dlblFieldTableCache>
                        <c:ptCount val="1"/>
                        <c:pt idx="0">
                          <c:v>r² = 0.177</c:v>
                        </c:pt>
                      </c15:dlblFieldTableCache>
                    </c15:dlblFTEntry>
                  </c15:dlblFieldTable>
                  <c15:showDataLabelsRange val="0"/>
                </c:ext>
                <c:ext xmlns:c16="http://schemas.microsoft.com/office/drawing/2014/chart" uri="{C3380CC4-5D6E-409C-BE32-E72D297353CC}">
                  <c16:uniqueId val="{0000001F-54EE-458D-B66D-632D3A978584}"/>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New_Ceased_LAC!$AB$175:$AB$176</c:f>
              <c:numCache>
                <c:formatCode>General</c:formatCode>
                <c:ptCount val="2"/>
                <c:pt idx="0" formatCode="#,##0.0">
                  <c:v>5</c:v>
                </c:pt>
                <c:pt idx="1">
                  <c:v>35</c:v>
                </c:pt>
              </c:numCache>
            </c:numRef>
          </c:xVal>
          <c:yVal>
            <c:numRef>
              <c:f>New_Ceased_LAC!$AC$175:$AC$176</c:f>
              <c:numCache>
                <c:formatCode>0.0</c:formatCode>
                <c:ptCount val="2"/>
                <c:pt idx="0">
                  <c:v>16.122394603683567</c:v>
                </c:pt>
                <c:pt idx="1">
                  <c:v>43.02742520281042</c:v>
                </c:pt>
              </c:numCache>
            </c:numRef>
          </c:yVal>
          <c:smooth val="0"/>
          <c:extLst>
            <c:ext xmlns:c16="http://schemas.microsoft.com/office/drawing/2014/chart" uri="{C3380CC4-5D6E-409C-BE32-E72D297353CC}">
              <c16:uniqueId val="{00000020-54EE-458D-B66D-632D3A978584}"/>
            </c:ext>
          </c:extLst>
        </c:ser>
        <c:dLbls>
          <c:showLegendKey val="0"/>
          <c:showVal val="0"/>
          <c:showCatName val="0"/>
          <c:showSerName val="0"/>
          <c:showPercent val="0"/>
          <c:showBubbleSize val="0"/>
        </c:dLbls>
        <c:axId val="614572032"/>
        <c:axId val="614573952"/>
      </c:scatterChart>
      <c:valAx>
        <c:axId val="614572032"/>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573952"/>
        <c:crosses val="autoZero"/>
        <c:crossBetween val="midCat"/>
        <c:majorUnit val="5"/>
      </c:valAx>
      <c:valAx>
        <c:axId val="61457395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Ceasing to be Looked After per</a:t>
                </a:r>
              </a:p>
              <a:p>
                <a:pPr>
                  <a:defRPr sz="800" b="1" i="0" u="none" strike="noStrike" baseline="0">
                    <a:solidFill>
                      <a:srgbClr val="000000"/>
                    </a:solidFill>
                    <a:latin typeface="Arial"/>
                    <a:ea typeface="Arial"/>
                    <a:cs typeface="Arial"/>
                  </a:defRPr>
                </a:pPr>
                <a:r>
                  <a:rPr lang="en-GB"/>
                  <a:t>10,000 0-17 year olds</a:t>
                </a:r>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57203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Net</a:t>
            </a:r>
            <a:r>
              <a:rPr lang="en-GB" baseline="0"/>
              <a:t> Number of Children Starting to be Looked After</a:t>
            </a:r>
            <a:r>
              <a:rPr lang="en-GB"/>
              <a:t>, Rate per 10,000 0-17 year olds</a:t>
            </a:r>
          </a:p>
        </c:rich>
      </c:tx>
      <c:layout>
        <c:manualLayout>
          <c:xMode val="edge"/>
          <c:yMode val="edge"/>
          <c:x val="0.13931386701662293"/>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New_Ceased_LAC!$AL$291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A10-4EFA-A700-E9BE728E9C95}"/>
              </c:ext>
            </c:extLst>
          </c:dPt>
          <c:cat>
            <c:strRef>
              <c:f>New_Ceased_LAC!$Z$2:$AD$3</c:f>
              <c:strCache>
                <c:ptCount val="5"/>
                <c:pt idx="0">
                  <c:v>2015-16</c:v>
                </c:pt>
                <c:pt idx="1">
                  <c:v>2016-17</c:v>
                </c:pt>
                <c:pt idx="2">
                  <c:v>2017-18</c:v>
                </c:pt>
                <c:pt idx="3">
                  <c:v>2018-19</c:v>
                </c:pt>
                <c:pt idx="4">
                  <c:v>2019-20</c:v>
                </c:pt>
              </c:strCache>
            </c:strRef>
          </c:cat>
          <c:val>
            <c:numRef>
              <c:f>New_Ceased_LAC!$AM$291:$AQ$291</c:f>
              <c:numCache>
                <c:formatCode>0.0</c:formatCode>
                <c:ptCount val="5"/>
                <c:pt idx="0">
                  <c:v>-2.8368794326241136</c:v>
                </c:pt>
                <c:pt idx="1">
                  <c:v>6.3829787234042552</c:v>
                </c:pt>
                <c:pt idx="2">
                  <c:v>6.04982206405694</c:v>
                </c:pt>
                <c:pt idx="3">
                  <c:v>6.7137809187279149</c:v>
                </c:pt>
                <c:pt idx="4">
                  <c:v>-5.28169014084507</c:v>
                </c:pt>
              </c:numCache>
            </c:numRef>
          </c:val>
          <c:smooth val="0"/>
          <c:extLst>
            <c:ext xmlns:c16="http://schemas.microsoft.com/office/drawing/2014/chart" uri="{C3380CC4-5D6E-409C-BE32-E72D297353CC}">
              <c16:uniqueId val="{00000001-FA10-4EFA-A700-E9BE728E9C95}"/>
            </c:ext>
          </c:extLst>
        </c:ser>
        <c:ser>
          <c:idx val="1"/>
          <c:order val="1"/>
          <c:tx>
            <c:strRef>
              <c:f>New_Ceased_LAC!$AL$292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New_Ceased_LAC!$AM$292:$AQ$292</c:f>
              <c:numCache>
                <c:formatCode>0.0</c:formatCode>
                <c:ptCount val="5"/>
                <c:pt idx="0">
                  <c:v>-8.0078125</c:v>
                </c:pt>
                <c:pt idx="1">
                  <c:v>2.9239766081871346</c:v>
                </c:pt>
                <c:pt idx="2">
                  <c:v>-7.0588235294117654</c:v>
                </c:pt>
                <c:pt idx="3">
                  <c:v>-5.8823529411764701</c:v>
                </c:pt>
                <c:pt idx="4">
                  <c:v>-4.7713717693836983</c:v>
                </c:pt>
              </c:numCache>
            </c:numRef>
          </c:val>
          <c:smooth val="0"/>
          <c:extLst>
            <c:ext xmlns:c16="http://schemas.microsoft.com/office/drawing/2014/chart" uri="{C3380CC4-5D6E-409C-BE32-E72D297353CC}">
              <c16:uniqueId val="{00000002-FA10-4EFA-A700-E9BE728E9C95}"/>
            </c:ext>
          </c:extLst>
        </c:ser>
        <c:ser>
          <c:idx val="2"/>
          <c:order val="2"/>
          <c:tx>
            <c:strRef>
              <c:f>New_Ceased_LAC!$AL$293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New_Ceased_LAC!$AM$293:$AQ$293</c:f>
              <c:numCache>
                <c:formatCode>0.0</c:formatCode>
                <c:ptCount val="5"/>
                <c:pt idx="0">
                  <c:v>1.8242122719734659</c:v>
                </c:pt>
                <c:pt idx="1">
                  <c:v>-0.65466448445171854</c:v>
                </c:pt>
                <c:pt idx="2">
                  <c:v>1.0560519902518279</c:v>
                </c:pt>
                <c:pt idx="3">
                  <c:v>3.1375703942075623</c:v>
                </c:pt>
                <c:pt idx="4">
                  <c:v>-2.5457438345266503</c:v>
                </c:pt>
              </c:numCache>
            </c:numRef>
          </c:val>
          <c:smooth val="0"/>
          <c:extLst>
            <c:ext xmlns:c16="http://schemas.microsoft.com/office/drawing/2014/chart" uri="{C3380CC4-5D6E-409C-BE32-E72D297353CC}">
              <c16:uniqueId val="{00000003-FA10-4EFA-A700-E9BE728E9C95}"/>
            </c:ext>
          </c:extLst>
        </c:ser>
        <c:ser>
          <c:idx val="5"/>
          <c:order val="3"/>
          <c:tx>
            <c:strRef>
              <c:f>New_Ceased_LAC!$AL$294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New_Ceased_LAC!$AM$294:$AQ$294</c:f>
              <c:numCache>
                <c:formatCode>0.0</c:formatCode>
                <c:ptCount val="5"/>
                <c:pt idx="0">
                  <c:v>-0.75542965061378664</c:v>
                </c:pt>
                <c:pt idx="1">
                  <c:v>1.2275731822474032</c:v>
                </c:pt>
                <c:pt idx="2">
                  <c:v>3.8679245283018866</c:v>
                </c:pt>
                <c:pt idx="3">
                  <c:v>0</c:v>
                </c:pt>
                <c:pt idx="4">
                  <c:v>-0.18814675446848542</c:v>
                </c:pt>
              </c:numCache>
            </c:numRef>
          </c:val>
          <c:smooth val="0"/>
          <c:extLst>
            <c:ext xmlns:c16="http://schemas.microsoft.com/office/drawing/2014/chart" uri="{C3380CC4-5D6E-409C-BE32-E72D297353CC}">
              <c16:uniqueId val="{00000004-FA10-4EFA-A700-E9BE728E9C95}"/>
            </c:ext>
          </c:extLst>
        </c:ser>
        <c:ser>
          <c:idx val="9"/>
          <c:order val="4"/>
          <c:tx>
            <c:strRef>
              <c:f>New_Ceased_LAC!$AL$295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New_Ceased_LAC!$AM$295:$AQ$295</c:f>
              <c:numCache>
                <c:formatCode>0.0</c:formatCode>
                <c:ptCount val="5"/>
                <c:pt idx="0">
                  <c:v>-1.3479957431713374</c:v>
                </c:pt>
                <c:pt idx="1">
                  <c:v>4.0664780763790667</c:v>
                </c:pt>
                <c:pt idx="2">
                  <c:v>5.047652665019414</c:v>
                </c:pt>
                <c:pt idx="3">
                  <c:v>2.0774647887323945</c:v>
                </c:pt>
                <c:pt idx="4">
                  <c:v>-2.6380583890256775</c:v>
                </c:pt>
              </c:numCache>
            </c:numRef>
          </c:val>
          <c:smooth val="0"/>
          <c:extLst>
            <c:ext xmlns:c16="http://schemas.microsoft.com/office/drawing/2014/chart" uri="{C3380CC4-5D6E-409C-BE32-E72D297353CC}">
              <c16:uniqueId val="{00000005-FA10-4EFA-A700-E9BE728E9C95}"/>
            </c:ext>
          </c:extLst>
        </c:ser>
        <c:ser>
          <c:idx val="10"/>
          <c:order val="5"/>
          <c:tx>
            <c:strRef>
              <c:f>New_Ceased_LAC!$AL$296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New_Ceased_LAC!$AM$296:$AQ$296</c:f>
              <c:numCache>
                <c:formatCode>0.0</c:formatCode>
                <c:ptCount val="5"/>
                <c:pt idx="0">
                  <c:v>0</c:v>
                </c:pt>
                <c:pt idx="1">
                  <c:v>9.1269841269841283</c:v>
                </c:pt>
                <c:pt idx="2">
                  <c:v>-2.3904382470119523</c:v>
                </c:pt>
                <c:pt idx="3">
                  <c:v>5.2208835341365463</c:v>
                </c:pt>
                <c:pt idx="4">
                  <c:v>7.6923076923076925</c:v>
                </c:pt>
              </c:numCache>
            </c:numRef>
          </c:val>
          <c:smooth val="0"/>
          <c:extLst>
            <c:ext xmlns:c16="http://schemas.microsoft.com/office/drawing/2014/chart" uri="{C3380CC4-5D6E-409C-BE32-E72D297353CC}">
              <c16:uniqueId val="{00000006-FA10-4EFA-A700-E9BE728E9C95}"/>
            </c:ext>
          </c:extLst>
        </c:ser>
        <c:ser>
          <c:idx val="11"/>
          <c:order val="6"/>
          <c:tx>
            <c:strRef>
              <c:f>New_Ceased_LAC!$AL$297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New_Ceased_LAC!$AM$297:$AQ$297</c:f>
              <c:numCache>
                <c:formatCode>0.0</c:formatCode>
                <c:ptCount val="5"/>
                <c:pt idx="0">
                  <c:v>12.86319612590799</c:v>
                </c:pt>
                <c:pt idx="1">
                  <c:v>-12.792792792792794</c:v>
                </c:pt>
                <c:pt idx="2">
                  <c:v>-8.3606069622136268</c:v>
                </c:pt>
                <c:pt idx="3">
                  <c:v>-1.9700088209350191</c:v>
                </c:pt>
                <c:pt idx="4">
                  <c:v>6.0500290866783013</c:v>
                </c:pt>
              </c:numCache>
            </c:numRef>
          </c:val>
          <c:smooth val="0"/>
          <c:extLst>
            <c:ext xmlns:c16="http://schemas.microsoft.com/office/drawing/2014/chart" uri="{C3380CC4-5D6E-409C-BE32-E72D297353CC}">
              <c16:uniqueId val="{00000007-FA10-4EFA-A700-E9BE728E9C95}"/>
            </c:ext>
          </c:extLst>
        </c:ser>
        <c:ser>
          <c:idx val="12"/>
          <c:order val="7"/>
          <c:tx>
            <c:strRef>
              <c:f>New_Ceased_LAC!$AL$298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New_Ceased_LAC!$AM$298:$AQ$298</c:f>
              <c:numCache>
                <c:formatCode>0.0</c:formatCode>
                <c:ptCount val="5"/>
                <c:pt idx="0">
                  <c:v>-0.31645569620253167</c:v>
                </c:pt>
                <c:pt idx="1">
                  <c:v>-6.5934065934065931</c:v>
                </c:pt>
                <c:pt idx="2">
                  <c:v>2.5039123630672928</c:v>
                </c:pt>
                <c:pt idx="3">
                  <c:v>1.3975155279503104</c:v>
                </c:pt>
                <c:pt idx="4">
                  <c:v>-0.92307692307692302</c:v>
                </c:pt>
              </c:numCache>
            </c:numRef>
          </c:val>
          <c:smooth val="0"/>
          <c:extLst>
            <c:ext xmlns:c16="http://schemas.microsoft.com/office/drawing/2014/chart" uri="{C3380CC4-5D6E-409C-BE32-E72D297353CC}">
              <c16:uniqueId val="{00000008-FA10-4EFA-A700-E9BE728E9C95}"/>
            </c:ext>
          </c:extLst>
        </c:ser>
        <c:ser>
          <c:idx val="13"/>
          <c:order val="8"/>
          <c:tx>
            <c:strRef>
              <c:f>New_Ceased_LAC!$AL$299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New_Ceased_LAC!$AM$299:$AQ$299</c:f>
              <c:numCache>
                <c:formatCode>0.0</c:formatCode>
                <c:ptCount val="5"/>
                <c:pt idx="0">
                  <c:v>-0.45385779122541603</c:v>
                </c:pt>
                <c:pt idx="1">
                  <c:v>6.7064083457526085</c:v>
                </c:pt>
                <c:pt idx="2">
                  <c:v>-0.73964497041420119</c:v>
                </c:pt>
                <c:pt idx="3">
                  <c:v>-1.6105417276720351</c:v>
                </c:pt>
                <c:pt idx="4">
                  <c:v>2.9069767441860463</c:v>
                </c:pt>
              </c:numCache>
            </c:numRef>
          </c:val>
          <c:smooth val="0"/>
          <c:extLst>
            <c:ext xmlns:c16="http://schemas.microsoft.com/office/drawing/2014/chart" uri="{C3380CC4-5D6E-409C-BE32-E72D297353CC}">
              <c16:uniqueId val="{00000009-FA10-4EFA-A700-E9BE728E9C95}"/>
            </c:ext>
          </c:extLst>
        </c:ser>
        <c:ser>
          <c:idx val="15"/>
          <c:order val="9"/>
          <c:tx>
            <c:strRef>
              <c:f>New_Ceased_LAC!$AL$300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New_Ceased_LAC!$AM$300:$AQ$300</c:f>
              <c:numCache>
                <c:formatCode>0.0</c:formatCode>
                <c:ptCount val="5"/>
                <c:pt idx="0">
                  <c:v>5.4301833568406206</c:v>
                </c:pt>
                <c:pt idx="1">
                  <c:v>4.6885934219734082</c:v>
                </c:pt>
                <c:pt idx="2">
                  <c:v>0.34867503486750351</c:v>
                </c:pt>
                <c:pt idx="3">
                  <c:v>5.6629834254143638</c:v>
                </c:pt>
                <c:pt idx="4">
                  <c:v>-0.88980150581793294</c:v>
                </c:pt>
              </c:numCache>
            </c:numRef>
          </c:val>
          <c:smooth val="0"/>
          <c:extLst>
            <c:ext xmlns:c16="http://schemas.microsoft.com/office/drawing/2014/chart" uri="{C3380CC4-5D6E-409C-BE32-E72D297353CC}">
              <c16:uniqueId val="{0000000A-FA10-4EFA-A700-E9BE728E9C95}"/>
            </c:ext>
          </c:extLst>
        </c:ser>
        <c:ser>
          <c:idx val="16"/>
          <c:order val="10"/>
          <c:tx>
            <c:strRef>
              <c:f>New_Ceased_LAC!$AL$301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New_Ceased_LAC!$AM$301:$AQ$301</c:f>
              <c:numCache>
                <c:formatCode>0.0</c:formatCode>
                <c:ptCount val="5"/>
                <c:pt idx="0">
                  <c:v>0.45662100456621008</c:v>
                </c:pt>
                <c:pt idx="1">
                  <c:v>8.1818181818181817</c:v>
                </c:pt>
                <c:pt idx="2">
                  <c:v>11.53846153846154</c:v>
                </c:pt>
                <c:pt idx="3">
                  <c:v>15.454545454545453</c:v>
                </c:pt>
                <c:pt idx="4">
                  <c:v>-5.7077625570776256</c:v>
                </c:pt>
              </c:numCache>
            </c:numRef>
          </c:val>
          <c:smooth val="0"/>
          <c:extLst>
            <c:ext xmlns:c16="http://schemas.microsoft.com/office/drawing/2014/chart" uri="{C3380CC4-5D6E-409C-BE32-E72D297353CC}">
              <c16:uniqueId val="{0000000B-FA10-4EFA-A700-E9BE728E9C95}"/>
            </c:ext>
          </c:extLst>
        </c:ser>
        <c:ser>
          <c:idx val="17"/>
          <c:order val="11"/>
          <c:tx>
            <c:strRef>
              <c:f>New_Ceased_LAC!$AL$302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New_Ceased_LAC!$AM$302:$AQ$302</c:f>
              <c:numCache>
                <c:formatCode>0.0</c:formatCode>
                <c:ptCount val="5"/>
                <c:pt idx="0">
                  <c:v>1.9230769230769231</c:v>
                </c:pt>
                <c:pt idx="1">
                  <c:v>11.475409836065573</c:v>
                </c:pt>
                <c:pt idx="2">
                  <c:v>4.0431266846361185</c:v>
                </c:pt>
                <c:pt idx="3">
                  <c:v>-1.6172506738544474</c:v>
                </c:pt>
                <c:pt idx="4">
                  <c:v>1.8918918918918919</c:v>
                </c:pt>
              </c:numCache>
            </c:numRef>
          </c:val>
          <c:smooth val="0"/>
          <c:extLst>
            <c:ext xmlns:c16="http://schemas.microsoft.com/office/drawing/2014/chart" uri="{C3380CC4-5D6E-409C-BE32-E72D297353CC}">
              <c16:uniqueId val="{0000000C-FA10-4EFA-A700-E9BE728E9C95}"/>
            </c:ext>
          </c:extLst>
        </c:ser>
        <c:ser>
          <c:idx val="19"/>
          <c:order val="12"/>
          <c:tx>
            <c:strRef>
              <c:f>New_Ceased_LAC!$AL$303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New_Ceased_LAC!$AM$303:$AQ$303</c:f>
              <c:numCache>
                <c:formatCode>0.0</c:formatCode>
                <c:ptCount val="5"/>
                <c:pt idx="0">
                  <c:v>-6.1576354679802954</c:v>
                </c:pt>
                <c:pt idx="1">
                  <c:v>1.4492753623188406</c:v>
                </c:pt>
                <c:pt idx="2">
                  <c:v>3.080568720379147</c:v>
                </c:pt>
                <c:pt idx="3">
                  <c:v>1.639344262295082</c:v>
                </c:pt>
                <c:pt idx="4">
                  <c:v>-4.1763341067285387</c:v>
                </c:pt>
              </c:numCache>
            </c:numRef>
          </c:val>
          <c:smooth val="0"/>
          <c:extLst>
            <c:ext xmlns:c16="http://schemas.microsoft.com/office/drawing/2014/chart" uri="{C3380CC4-5D6E-409C-BE32-E72D297353CC}">
              <c16:uniqueId val="{0000000D-FA10-4EFA-A700-E9BE728E9C95}"/>
            </c:ext>
          </c:extLst>
        </c:ser>
        <c:ser>
          <c:idx val="3"/>
          <c:order val="13"/>
          <c:tx>
            <c:strRef>
              <c:f>New_Ceased_LAC!$AL$304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New_Ceased_LAC!$AM$304:$AQ$304</c:f>
              <c:numCache>
                <c:formatCode>0.0</c:formatCode>
                <c:ptCount val="5"/>
                <c:pt idx="0">
                  <c:v>0.5494505494505495</c:v>
                </c:pt>
                <c:pt idx="1">
                  <c:v>-2.825888787602552</c:v>
                </c:pt>
                <c:pt idx="2">
                  <c:v>3.1789282470481379</c:v>
                </c:pt>
                <c:pt idx="3">
                  <c:v>0.90334236675700097</c:v>
                </c:pt>
                <c:pt idx="4">
                  <c:v>-0.53956834532374098</c:v>
                </c:pt>
              </c:numCache>
            </c:numRef>
          </c:val>
          <c:smooth val="0"/>
          <c:extLst>
            <c:ext xmlns:c16="http://schemas.microsoft.com/office/drawing/2014/chart" uri="{C3380CC4-5D6E-409C-BE32-E72D297353CC}">
              <c16:uniqueId val="{0000000E-FA10-4EFA-A700-E9BE728E9C95}"/>
            </c:ext>
          </c:extLst>
        </c:ser>
        <c:ser>
          <c:idx val="20"/>
          <c:order val="14"/>
          <c:tx>
            <c:strRef>
              <c:f>New_Ceased_LAC!$AL$305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New_Ceased_LAC!$AM$305:$AQ$305</c:f>
              <c:numCache>
                <c:formatCode>0.0</c:formatCode>
                <c:ptCount val="5"/>
                <c:pt idx="0">
                  <c:v>1.8292682926829269</c:v>
                </c:pt>
                <c:pt idx="1">
                  <c:v>-10.62124248496994</c:v>
                </c:pt>
                <c:pt idx="2">
                  <c:v>-3.7773359840954273</c:v>
                </c:pt>
                <c:pt idx="3">
                  <c:v>-8.6614173228346463</c:v>
                </c:pt>
                <c:pt idx="4">
                  <c:v>-0.38986354775828463</c:v>
                </c:pt>
              </c:numCache>
            </c:numRef>
          </c:val>
          <c:smooth val="0"/>
          <c:extLst>
            <c:ext xmlns:c16="http://schemas.microsoft.com/office/drawing/2014/chart" uri="{C3380CC4-5D6E-409C-BE32-E72D297353CC}">
              <c16:uniqueId val="{0000000F-FA10-4EFA-A700-E9BE728E9C95}"/>
            </c:ext>
          </c:extLst>
        </c:ser>
        <c:ser>
          <c:idx val="22"/>
          <c:order val="15"/>
          <c:tx>
            <c:strRef>
              <c:f>New_Ceased_LAC!$AL$306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New_Ceased_LAC!$AM$306:$AQ$306</c:f>
              <c:numCache>
                <c:formatCode>0.0</c:formatCode>
                <c:ptCount val="5"/>
                <c:pt idx="0">
                  <c:v>3.2761310452418098</c:v>
                </c:pt>
                <c:pt idx="1">
                  <c:v>-0.34749034749034746</c:v>
                </c:pt>
                <c:pt idx="2">
                  <c:v>1.8056089127929311</c:v>
                </c:pt>
                <c:pt idx="3">
                  <c:v>1.565483008781978</c:v>
                </c:pt>
                <c:pt idx="4">
                  <c:v>0.30326004548900681</c:v>
                </c:pt>
              </c:numCache>
            </c:numRef>
          </c:val>
          <c:smooth val="0"/>
          <c:extLst>
            <c:ext xmlns:c16="http://schemas.microsoft.com/office/drawing/2014/chart" uri="{C3380CC4-5D6E-409C-BE32-E72D297353CC}">
              <c16:uniqueId val="{00000010-FA10-4EFA-A700-E9BE728E9C95}"/>
            </c:ext>
          </c:extLst>
        </c:ser>
        <c:ser>
          <c:idx val="7"/>
          <c:order val="16"/>
          <c:tx>
            <c:strRef>
              <c:f>New_Ceased_LAC!$AL$307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New_Ceased_LAC!$Z$2:$AD$3</c:f>
              <c:strCache>
                <c:ptCount val="5"/>
                <c:pt idx="0">
                  <c:v>2015-16</c:v>
                </c:pt>
                <c:pt idx="1">
                  <c:v>2016-17</c:v>
                </c:pt>
                <c:pt idx="2">
                  <c:v>2017-18</c:v>
                </c:pt>
                <c:pt idx="3">
                  <c:v>2018-19</c:v>
                </c:pt>
                <c:pt idx="4">
                  <c:v>2019-20</c:v>
                </c:pt>
              </c:strCache>
            </c:strRef>
          </c:cat>
          <c:val>
            <c:numRef>
              <c:f>New_Ceased_LAC!$AM$307:$AQ$307</c:f>
              <c:numCache>
                <c:formatCode>0.0</c:formatCode>
                <c:ptCount val="5"/>
                <c:pt idx="0">
                  <c:v>8.5714285714285712</c:v>
                </c:pt>
                <c:pt idx="1">
                  <c:v>6.4646464646464645</c:v>
                </c:pt>
                <c:pt idx="2">
                  <c:v>4.6092184368737472</c:v>
                </c:pt>
                <c:pt idx="3">
                  <c:v>-2.3904382470119523</c:v>
                </c:pt>
                <c:pt idx="4">
                  <c:v>-9.5238095238095237</c:v>
                </c:pt>
              </c:numCache>
            </c:numRef>
          </c:val>
          <c:smooth val="0"/>
          <c:extLst>
            <c:ext xmlns:c16="http://schemas.microsoft.com/office/drawing/2014/chart" uri="{C3380CC4-5D6E-409C-BE32-E72D297353CC}">
              <c16:uniqueId val="{00000011-FA10-4EFA-A700-E9BE728E9C95}"/>
            </c:ext>
          </c:extLst>
        </c:ser>
        <c:ser>
          <c:idx val="8"/>
          <c:order val="17"/>
          <c:tx>
            <c:strRef>
              <c:f>New_Ceased_LAC!$AL$308</c:f>
              <c:strCache>
                <c:ptCount val="1"/>
                <c:pt idx="0">
                  <c:v>Torbay</c:v>
                </c:pt>
              </c:strCache>
            </c:strRef>
          </c:tx>
          <c:spPr>
            <a:ln w="12700"/>
          </c:spPr>
          <c:marker>
            <c:symbol val="circle"/>
            <c:size val="5"/>
            <c:spPr>
              <a:solidFill>
                <a:schemeClr val="accent3">
                  <a:lumMod val="20000"/>
                  <a:lumOff val="80000"/>
                </a:schemeClr>
              </a:solidFill>
            </c:spPr>
          </c:marker>
          <c:cat>
            <c:strRef>
              <c:f>New_Ceased_LAC!$Z$2:$AD$3</c:f>
              <c:strCache>
                <c:ptCount val="5"/>
                <c:pt idx="0">
                  <c:v>2015-16</c:v>
                </c:pt>
                <c:pt idx="1">
                  <c:v>2016-17</c:v>
                </c:pt>
                <c:pt idx="2">
                  <c:v>2017-18</c:v>
                </c:pt>
                <c:pt idx="3">
                  <c:v>2018-19</c:v>
                </c:pt>
                <c:pt idx="4">
                  <c:v>2019-20</c:v>
                </c:pt>
              </c:strCache>
            </c:strRef>
          </c:cat>
          <c:val>
            <c:numRef>
              <c:f>New_Ceased_LAC!$AM$308:$AQ$308</c:f>
              <c:numCache>
                <c:formatCode>0.0</c:formatCode>
                <c:ptCount val="5"/>
                <c:pt idx="0">
                  <c:v>-11.507936507936508</c:v>
                </c:pt>
                <c:pt idx="1">
                  <c:v>2.7559055118110236</c:v>
                </c:pt>
                <c:pt idx="2">
                  <c:v>14.173228346456694</c:v>
                </c:pt>
                <c:pt idx="3">
                  <c:v>11.417322834645669</c:v>
                </c:pt>
                <c:pt idx="4">
                  <c:v>-2.34375</c:v>
                </c:pt>
              </c:numCache>
            </c:numRef>
          </c:val>
          <c:smooth val="0"/>
          <c:extLst>
            <c:ext xmlns:c16="http://schemas.microsoft.com/office/drawing/2014/chart" uri="{C3380CC4-5D6E-409C-BE32-E72D297353CC}">
              <c16:uniqueId val="{00000012-FA10-4EFA-A700-E9BE728E9C95}"/>
            </c:ext>
          </c:extLst>
        </c:ser>
        <c:ser>
          <c:idx val="23"/>
          <c:order val="18"/>
          <c:tx>
            <c:strRef>
              <c:f>New_Ceased_LAC!$AL$309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New_Ceased_LAC!$AM$309:$AQ$309</c:f>
              <c:numCache>
                <c:formatCode>0.0</c:formatCode>
                <c:ptCount val="5"/>
                <c:pt idx="0">
                  <c:v>-4.2016806722689077</c:v>
                </c:pt>
                <c:pt idx="1">
                  <c:v>0</c:v>
                </c:pt>
                <c:pt idx="2">
                  <c:v>-5.027932960893855</c:v>
                </c:pt>
                <c:pt idx="3">
                  <c:v>7.3033707865168536</c:v>
                </c:pt>
                <c:pt idx="4">
                  <c:v>-4.213483146067416</c:v>
                </c:pt>
              </c:numCache>
            </c:numRef>
          </c:val>
          <c:smooth val="0"/>
          <c:extLst>
            <c:ext xmlns:c16="http://schemas.microsoft.com/office/drawing/2014/chart" uri="{C3380CC4-5D6E-409C-BE32-E72D297353CC}">
              <c16:uniqueId val="{00000013-FA10-4EFA-A700-E9BE728E9C95}"/>
            </c:ext>
          </c:extLst>
        </c:ser>
        <c:ser>
          <c:idx val="24"/>
          <c:order val="19"/>
          <c:tx>
            <c:strRef>
              <c:f>New_Ceased_LAC!$AL$310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New_Ceased_LAC!$AM$310:$AQ$310</c:f>
              <c:numCache>
                <c:formatCode>0.0</c:formatCode>
                <c:ptCount val="5"/>
                <c:pt idx="0">
                  <c:v>-0.35211267605633806</c:v>
                </c:pt>
                <c:pt idx="1">
                  <c:v>1.1641443538998837</c:v>
                </c:pt>
                <c:pt idx="2">
                  <c:v>2.3081361800346221</c:v>
                </c:pt>
                <c:pt idx="3">
                  <c:v>-0.45792787635947341</c:v>
                </c:pt>
                <c:pt idx="4">
                  <c:v>5.7921635434412266</c:v>
                </c:pt>
              </c:numCache>
            </c:numRef>
          </c:val>
          <c:smooth val="0"/>
          <c:extLst>
            <c:ext xmlns:c16="http://schemas.microsoft.com/office/drawing/2014/chart" uri="{C3380CC4-5D6E-409C-BE32-E72D297353CC}">
              <c16:uniqueId val="{00000014-FA10-4EFA-A700-E9BE728E9C95}"/>
            </c:ext>
          </c:extLst>
        </c:ser>
        <c:ser>
          <c:idx val="25"/>
          <c:order val="20"/>
          <c:tx>
            <c:strRef>
              <c:f>New_Ceased_LAC!$AL$311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New_Ceased_LAC!$AM$311:$AQ$311</c:f>
              <c:numCache>
                <c:formatCode>0.0</c:formatCode>
                <c:ptCount val="5"/>
                <c:pt idx="0">
                  <c:v>-3.2640949554896141</c:v>
                </c:pt>
                <c:pt idx="1">
                  <c:v>5.2631578947368416</c:v>
                </c:pt>
                <c:pt idx="2">
                  <c:v>-0.87209302325581395</c:v>
                </c:pt>
                <c:pt idx="3">
                  <c:v>3.7572254335260111</c:v>
                </c:pt>
                <c:pt idx="4">
                  <c:v>-2.8818443804034581</c:v>
                </c:pt>
              </c:numCache>
            </c:numRef>
          </c:val>
          <c:smooth val="0"/>
          <c:extLst>
            <c:ext xmlns:c16="http://schemas.microsoft.com/office/drawing/2014/chart" uri="{C3380CC4-5D6E-409C-BE32-E72D297353CC}">
              <c16:uniqueId val="{00000015-FA10-4EFA-A700-E9BE728E9C95}"/>
            </c:ext>
          </c:extLst>
        </c:ser>
        <c:ser>
          <c:idx val="26"/>
          <c:order val="21"/>
          <c:tx>
            <c:strRef>
              <c:f>New_Ceased_LAC!$AL$312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New_Ceased_LAC!$AM$312:$AQ$312</c:f>
              <c:numCache>
                <c:formatCode>0.0</c:formatCode>
                <c:ptCount val="5"/>
                <c:pt idx="0">
                  <c:v>1.0723860589812333</c:v>
                </c:pt>
                <c:pt idx="1">
                  <c:v>-1.5789473684210527</c:v>
                </c:pt>
                <c:pt idx="2">
                  <c:v>7.7519379844961236</c:v>
                </c:pt>
                <c:pt idx="3">
                  <c:v>1.0126582278481013</c:v>
                </c:pt>
                <c:pt idx="4">
                  <c:v>-2.722772277227723</c:v>
                </c:pt>
              </c:numCache>
            </c:numRef>
          </c:val>
          <c:smooth val="0"/>
          <c:extLst>
            <c:ext xmlns:c16="http://schemas.microsoft.com/office/drawing/2014/chart" uri="{C3380CC4-5D6E-409C-BE32-E72D297353CC}">
              <c16:uniqueId val="{00000016-FA10-4EFA-A700-E9BE728E9C95}"/>
            </c:ext>
          </c:extLst>
        </c:ser>
        <c:ser>
          <c:idx val="4"/>
          <c:order val="22"/>
          <c:tx>
            <c:strRef>
              <c:f>New_Ceased_LAC!$AL$313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2015-16</c:v>
                </c:pt>
                <c:pt idx="1">
                  <c:v>2016-17</c:v>
                </c:pt>
                <c:pt idx="2">
                  <c:v>2017-18</c:v>
                </c:pt>
                <c:pt idx="3">
                  <c:v>2018-19</c:v>
                </c:pt>
                <c:pt idx="4">
                  <c:v>2019-20</c:v>
                </c:pt>
              </c:strCache>
            </c:strRef>
          </c:cat>
          <c:val>
            <c:numRef>
              <c:f>New_Ceased_LAC!$AM$313:$AQ$313</c:f>
              <c:numCache>
                <c:formatCode>0.0</c:formatCode>
                <c:ptCount val="5"/>
                <c:pt idx="0">
                  <c:v>2.4503414837599706</c:v>
                </c:pt>
                <c:pt idx="1">
                  <c:v>-0.66732191816253683</c:v>
                </c:pt>
                <c:pt idx="2">
                  <c:v>0.31380215031637426</c:v>
                </c:pt>
                <c:pt idx="3">
                  <c:v>1.1086134668437724</c:v>
                </c:pt>
                <c:pt idx="4">
                  <c:v>0.5890717042453788</c:v>
                </c:pt>
              </c:numCache>
            </c:numRef>
          </c:val>
          <c:smooth val="0"/>
          <c:extLst>
            <c:ext xmlns:c16="http://schemas.microsoft.com/office/drawing/2014/chart" uri="{C3380CC4-5D6E-409C-BE32-E72D297353CC}">
              <c16:uniqueId val="{00000017-FA10-4EFA-A700-E9BE728E9C95}"/>
            </c:ext>
          </c:extLst>
        </c:ser>
        <c:ser>
          <c:idx val="14"/>
          <c:order val="23"/>
          <c:tx>
            <c:strRef>
              <c:f>New_Ceased_LAC!$AL$314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New_Ceased_LAC!$Z$2:$AD$3</c:f>
              <c:strCache>
                <c:ptCount val="5"/>
                <c:pt idx="0">
                  <c:v>2015-16</c:v>
                </c:pt>
                <c:pt idx="1">
                  <c:v>2016-17</c:v>
                </c:pt>
                <c:pt idx="2">
                  <c:v>2017-18</c:v>
                </c:pt>
                <c:pt idx="3">
                  <c:v>2018-19</c:v>
                </c:pt>
                <c:pt idx="4">
                  <c:v>2019-20</c:v>
                </c:pt>
              </c:strCache>
            </c:strRef>
          </c:cat>
          <c:val>
            <c:numRef>
              <c:f>New_Ceased_LAC!$AM$314:$AQ$314</c:f>
              <c:numCache>
                <c:formatCode>0.0</c:formatCode>
                <c:ptCount val="5"/>
                <c:pt idx="0">
                  <c:v>0.26545868692144992</c:v>
                </c:pt>
                <c:pt idx="1">
                  <c:v>1.30671259959441</c:v>
                </c:pt>
                <c:pt idx="2">
                  <c:v>1.8033201314569816</c:v>
                </c:pt>
                <c:pt idx="3">
                  <c:v>1.8570257474110385</c:v>
                </c:pt>
                <c:pt idx="4">
                  <c:v>1.1477427725473237</c:v>
                </c:pt>
              </c:numCache>
            </c:numRef>
          </c:val>
          <c:smooth val="0"/>
          <c:extLst>
            <c:ext xmlns:c16="http://schemas.microsoft.com/office/drawing/2014/chart" uri="{C3380CC4-5D6E-409C-BE32-E72D297353CC}">
              <c16:uniqueId val="{00000018-FA10-4EFA-A700-E9BE728E9C95}"/>
            </c:ext>
          </c:extLst>
        </c:ser>
        <c:ser>
          <c:idx val="6"/>
          <c:order val="24"/>
          <c:tx>
            <c:strRef>
              <c:f>New_Ceased_LAC!$AL$315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2015-16</c:v>
                </c:pt>
                <c:pt idx="1">
                  <c:v>2016-17</c:v>
                </c:pt>
                <c:pt idx="2">
                  <c:v>2017-18</c:v>
                </c:pt>
                <c:pt idx="3">
                  <c:v>2018-19</c:v>
                </c:pt>
                <c:pt idx="4">
                  <c:v>2019-20</c:v>
                </c:pt>
              </c:strCache>
            </c:strRef>
          </c:cat>
          <c:val>
            <c:numRef>
              <c:f>New_Ceased_LAC!$AM$315:$AQ$315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FA10-4EFA-A700-E9BE728E9C95}"/>
            </c:ext>
          </c:extLst>
        </c:ser>
        <c:dLbls>
          <c:showLegendKey val="0"/>
          <c:showVal val="0"/>
          <c:showCatName val="0"/>
          <c:showSerName val="0"/>
          <c:showPercent val="0"/>
          <c:showBubbleSize val="0"/>
        </c:dLbls>
        <c:marker val="1"/>
        <c:smooth val="0"/>
        <c:axId val="614462208"/>
        <c:axId val="614464128"/>
      </c:lineChart>
      <c:catAx>
        <c:axId val="6144622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464128"/>
        <c:crossesAt val="0"/>
        <c:auto val="1"/>
        <c:lblAlgn val="ctr"/>
        <c:lblOffset val="100"/>
        <c:tickLblSkip val="1"/>
        <c:tickMarkSkip val="1"/>
        <c:noMultiLvlLbl val="0"/>
      </c:catAx>
      <c:valAx>
        <c:axId val="61446412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46220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Net Number of Children Starting to be Looked After (Rate per 10,000 0-17 year olds) (Selected LA</a:t>
            </a:r>
            <a:r>
              <a:rPr lang="en-GB" baseline="0"/>
              <a:t> vs. SE)</a:t>
            </a:r>
            <a:r>
              <a:rPr lang="en-GB"/>
              <a:t> </a:t>
            </a:r>
          </a:p>
        </c:rich>
      </c:tx>
      <c:layout>
        <c:manualLayout>
          <c:xMode val="edge"/>
          <c:yMode val="edge"/>
          <c:x val="0.14566663782411815"/>
          <c:y val="3.8613923259592552E-3"/>
        </c:manualLayout>
      </c:layout>
      <c:overlay val="0"/>
      <c:spPr>
        <a:noFill/>
        <a:ln w="25400">
          <a:noFill/>
        </a:ln>
      </c:spPr>
    </c:title>
    <c:autoTitleDeleted val="0"/>
    <c:plotArea>
      <c:layout>
        <c:manualLayout>
          <c:layoutTarget val="inner"/>
          <c:xMode val="edge"/>
          <c:yMode val="edge"/>
          <c:x val="9.6909984154078643E-2"/>
          <c:y val="0.21898575178102736"/>
          <c:w val="0.65146216862752293"/>
          <c:h val="0.55067054118235226"/>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2015-16</c:v>
                </c:pt>
                <c:pt idx="1">
                  <c:v>2016-17</c:v>
                </c:pt>
                <c:pt idx="2">
                  <c:v>2017-18</c:v>
                </c:pt>
                <c:pt idx="3">
                  <c:v>2018-19</c:v>
                </c:pt>
                <c:pt idx="4">
                  <c:v>2019-20</c:v>
                </c:pt>
              </c:strCache>
            </c:strRef>
          </c:cat>
          <c:val>
            <c:numRef>
              <c:f>New_Ceased_LAC!$AM$315:$AQ$315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7B5F-4B03-8275-4BB0A3ECB32D}"/>
            </c:ext>
          </c:extLst>
        </c:ser>
        <c:ser>
          <c:idx val="4"/>
          <c:order val="1"/>
          <c:tx>
            <c:strRef>
              <c:f>New_Ceased_LAC!$B$32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2015-16</c:v>
                </c:pt>
                <c:pt idx="1">
                  <c:v>2016-17</c:v>
                </c:pt>
                <c:pt idx="2">
                  <c:v>2017-18</c:v>
                </c:pt>
                <c:pt idx="3">
                  <c:v>2018-19</c:v>
                </c:pt>
                <c:pt idx="4">
                  <c:v>2019-20</c:v>
                </c:pt>
              </c:strCache>
            </c:strRef>
          </c:cat>
          <c:val>
            <c:numRef>
              <c:f>New_Ceased_LAC!$K$282:$O$282</c:f>
              <c:numCache>
                <c:formatCode>0.0</c:formatCode>
                <c:ptCount val="5"/>
                <c:pt idx="0">
                  <c:v>2.4503414837599706</c:v>
                </c:pt>
                <c:pt idx="1">
                  <c:v>-0.66732191816253683</c:v>
                </c:pt>
                <c:pt idx="2">
                  <c:v>0.31380215031637426</c:v>
                </c:pt>
                <c:pt idx="3">
                  <c:v>1.1086134668437724</c:v>
                </c:pt>
                <c:pt idx="4">
                  <c:v>0.5890717042453788</c:v>
                </c:pt>
              </c:numCache>
            </c:numRef>
          </c:val>
          <c:extLst>
            <c:ext xmlns:c16="http://schemas.microsoft.com/office/drawing/2014/chart" uri="{C3380CC4-5D6E-409C-BE32-E72D297353CC}">
              <c16:uniqueId val="{00000001-7B5F-4B03-8275-4BB0A3ECB32D}"/>
            </c:ext>
          </c:extLst>
        </c:ser>
        <c:ser>
          <c:idx val="0"/>
          <c:order val="2"/>
          <c:tx>
            <c:strRef>
              <c:f>New_Ceased_LAC!$B$33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2015-16</c:v>
                </c:pt>
                <c:pt idx="1">
                  <c:v>2016-17</c:v>
                </c:pt>
                <c:pt idx="2">
                  <c:v>2017-18</c:v>
                </c:pt>
                <c:pt idx="3">
                  <c:v>2018-19</c:v>
                </c:pt>
                <c:pt idx="4">
                  <c:v>2019-20</c:v>
                </c:pt>
              </c:strCache>
            </c:strRef>
          </c:cat>
          <c:val>
            <c:numRef>
              <c:f>New_Ceased_LAC!$K$283:$O$283</c:f>
              <c:numCache>
                <c:formatCode>0.0</c:formatCode>
                <c:ptCount val="5"/>
                <c:pt idx="0">
                  <c:v>0.26545868692144992</c:v>
                </c:pt>
                <c:pt idx="1">
                  <c:v>1.30671259959441</c:v>
                </c:pt>
                <c:pt idx="2">
                  <c:v>1.8033201314569816</c:v>
                </c:pt>
                <c:pt idx="3">
                  <c:v>1.8570257474110385</c:v>
                </c:pt>
                <c:pt idx="4">
                  <c:v>1.1477427725473237</c:v>
                </c:pt>
              </c:numCache>
            </c:numRef>
          </c:val>
          <c:extLst>
            <c:ext xmlns:c16="http://schemas.microsoft.com/office/drawing/2014/chart" uri="{C3380CC4-5D6E-409C-BE32-E72D297353CC}">
              <c16:uniqueId val="{00000002-7B5F-4B03-8275-4BB0A3ECB32D}"/>
            </c:ext>
          </c:extLst>
        </c:ser>
        <c:dLbls>
          <c:showLegendKey val="0"/>
          <c:showVal val="0"/>
          <c:showCatName val="0"/>
          <c:showSerName val="0"/>
          <c:showPercent val="0"/>
          <c:showBubbleSize val="0"/>
        </c:dLbls>
        <c:gapWidth val="100"/>
        <c:axId val="614639872"/>
        <c:axId val="614645760"/>
      </c:barChart>
      <c:catAx>
        <c:axId val="6146398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645760"/>
        <c:crosses val="autoZero"/>
        <c:auto val="1"/>
        <c:lblAlgn val="ctr"/>
        <c:lblOffset val="100"/>
        <c:noMultiLvlLbl val="0"/>
      </c:catAx>
      <c:valAx>
        <c:axId val="614645760"/>
        <c:scaling>
          <c:orientation val="minMax"/>
        </c:scaling>
        <c:delete val="0"/>
        <c:axPos val="l"/>
        <c:majorGridlines>
          <c:spPr>
            <a:ln w="12700">
              <a:solidFill>
                <a:schemeClr val="bg1">
                  <a:lumMod val="7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639872"/>
        <c:crosses val="autoZero"/>
        <c:crossBetween val="between"/>
      </c:valAx>
      <c:spPr>
        <a:noFill/>
        <a:ln w="3175">
          <a:solidFill>
            <a:srgbClr val="000000"/>
          </a:solidFill>
          <a:prstDash val="solid"/>
        </a:ln>
      </c:spPr>
    </c:plotArea>
    <c:legend>
      <c:legendPos val="r"/>
      <c:layout>
        <c:manualLayout>
          <c:xMode val="edge"/>
          <c:yMode val="edge"/>
          <c:x val="0.75990284431229316"/>
          <c:y val="0.21128233970753657"/>
          <c:w val="0.24009715568770687"/>
          <c:h val="0.78871766029246348"/>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Net Number of Children Starting to be Looked After (Rate per 10,000 0-17 year olds) vs. IDACI</a:t>
            </a:r>
          </a:p>
        </c:rich>
      </c:tx>
      <c:layout>
        <c:manualLayout>
          <c:xMode val="edge"/>
          <c:yMode val="edge"/>
          <c:x val="0.14857004412909924"/>
          <c:y val="1.2101865645172731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New_Ceased_LAC!$Y$291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15A2-4F21-BC6B-49475065F5BF}"/>
                </c:ext>
              </c:extLst>
            </c:dLbl>
            <c:dLbl>
              <c:idx val="1"/>
              <c:layout>
                <c:manualLayout>
                  <c:x val="-6.1403508771929717E-2"/>
                  <c:y val="-2.7149321266968326E-2"/>
                </c:manualLayout>
              </c:layout>
              <c:tx>
                <c:strRef>
                  <c:f>New_Ceased_LAC!$AD$292</c:f>
                  <c:strCache>
                    <c:ptCount val="1"/>
                    <c:pt idx="0">
                      <c:v>r² = 0.066</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{A7148459-69B3-4766-BF22-4482FE85A824}</c15:txfldGUID>
                      <c15:f>New_Ceased_LAC!$AD$292</c15:f>
                      <c15:dlblFieldTableCache>
                        <c:ptCount val="1"/>
                        <c:pt idx="0">
                          <c:v>r² = 0.066</c:v>
                        </c:pt>
                      </c15:dlblFieldTableCache>
                    </c15:dlblFTEntry>
                  </c15:dlblFieldTable>
                  <c15:showDataLabelsRange val="0"/>
                </c:ext>
                <c:ext xmlns:c16="http://schemas.microsoft.com/office/drawing/2014/chart" uri="{C3380CC4-5D6E-409C-BE32-E72D297353CC}">
                  <c16:uniqueId val="{00000001-15A2-4F21-BC6B-49475065F5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New_Ceased_LAC!$AB$291:$AB$292</c:f>
              <c:numCache>
                <c:formatCode>General</c:formatCode>
                <c:ptCount val="2"/>
                <c:pt idx="0" formatCode="#,##0.0">
                  <c:v>5</c:v>
                </c:pt>
                <c:pt idx="1">
                  <c:v>35</c:v>
                </c:pt>
              </c:numCache>
            </c:numRef>
          </c:xVal>
          <c:yVal>
            <c:numRef>
              <c:f>New_Ceased_LAC!$AC$291:$AC$292</c:f>
              <c:numCache>
                <c:formatCode>0.0</c:formatCode>
                <c:ptCount val="2"/>
                <c:pt idx="0">
                  <c:v>-2.4160414181063237</c:v>
                </c:pt>
                <c:pt idx="1">
                  <c:v>4.0790302798611178</c:v>
                </c:pt>
              </c:numCache>
            </c:numRef>
          </c:yVal>
          <c:smooth val="1"/>
          <c:extLst>
            <c:ext xmlns:c16="http://schemas.microsoft.com/office/drawing/2014/chart" uri="{C3380CC4-5D6E-409C-BE32-E72D297353CC}">
              <c16:uniqueId val="{00000002-15A2-4F21-BC6B-49475065F5BF}"/>
            </c:ext>
          </c:extLst>
        </c:ser>
        <c:dLbls>
          <c:showLegendKey val="0"/>
          <c:showVal val="0"/>
          <c:showCatName val="0"/>
          <c:showSerName val="0"/>
          <c:showPercent val="0"/>
          <c:showBubbleSize val="0"/>
        </c:dLbls>
        <c:axId val="614677120"/>
        <c:axId val="614687488"/>
      </c:scatterChart>
      <c:scatterChart>
        <c:scatterStyle val="lineMarker"/>
        <c:varyColors val="0"/>
        <c:ser>
          <c:idx val="0"/>
          <c:order val="0"/>
          <c:tx>
            <c:strRef>
              <c:f>New_Ceased_LAC!$AR$145</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15A2-4F21-BC6B-49475065F5BF}"/>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{04330573-F7C7-499A-9F2D-FB1E3CACB7D4}</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15A2-4F21-BC6B-49475065F5BF}"/>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{FDF06667-2E15-409E-A086-A474FC798CA3}</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15A2-4F21-BC6B-49475065F5BF}"/>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{D1C1FAF7-6B0E-4038-A133-5A10A96183B5}</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15A2-4F21-BC6B-49475065F5BF}"/>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{594373FC-26BD-427C-997D-DA6D84173A53}</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15A2-4F21-BC6B-49475065F5BF}"/>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{FE12F008-5E20-4BE7-AC63-C0D43C3FC0CE}</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15A2-4F21-BC6B-49475065F5BF}"/>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{31BE385E-E673-4FBE-BDFF-19521DCBE687}</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15A2-4F21-BC6B-49475065F5BF}"/>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{CCEFDA66-8514-4639-B251-5DD968EFE85D}</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15A2-4F21-BC6B-49475065F5BF}"/>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{49B8BA9D-857D-47D7-B05A-0F60E0B028AF}</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15A2-4F21-BC6B-49475065F5BF}"/>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{B46F2901-4222-4BA2-9FA4-BF391F5FC31F}</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15A2-4F21-BC6B-49475065F5BF}"/>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{BF8E0C06-05EA-41FD-AD72-6F63AA0B9B64}</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15A2-4F21-BC6B-49475065F5BF}"/>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{43662F1E-D733-41DA-A271-CB3B7148B8D2}</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15A2-4F21-BC6B-49475065F5BF}"/>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{7BED4D72-F5B0-4234-9FE6-AFB4362F045E}</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15A2-4F21-BC6B-49475065F5BF}"/>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{E9E991A2-3DC0-4606-9953-7A0DCD8DDE70}</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15A2-4F21-BC6B-49475065F5BF}"/>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{687ED337-43CC-4328-81FA-B80AEC1CA67C}</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15A2-4F21-BC6B-49475065F5BF}"/>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{75FA8704-3960-468E-BF5E-B546C4BEE77A}</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15A2-4F21-BC6B-49475065F5BF}"/>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{6B720DBC-28B7-42E2-9AEB-127D2B804ED3}</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15A2-4F21-BC6B-49475065F5BF}"/>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{17467F48-742B-4DCE-B4CC-50328708BD6E}</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15A2-4F21-BC6B-49475065F5BF}"/>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{109E7BC8-64CC-4C5D-BDA7-511187D76DA5}</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15A2-4F21-BC6B-49475065F5BF}"/>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{7897ECBF-B238-4D4D-9A2C-5EFB6EA36994}</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15A2-4F21-BC6B-49475065F5BF}"/>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(New_Ceased_LAC!$AR$291:$AR$303,New_Ceased_LAC!$AR$305:$AR$306,New_Ceased_LAC!$AR$309:$AR$312)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(New_Ceased_LAC!$AQ$291:$AQ$303,New_Ceased_LAC!$AQ$305:$AQ$306,New_Ceased_LAC!$AQ$309:$AQ$312)</c:f>
              <c:numCache>
                <c:formatCode>0.0</c:formatCode>
                <c:ptCount val="19"/>
                <c:pt idx="0">
                  <c:v>-5.28169014084507</c:v>
                </c:pt>
                <c:pt idx="1">
                  <c:v>-4.7713717693836983</c:v>
                </c:pt>
                <c:pt idx="2">
                  <c:v>-2.5457438345266503</c:v>
                </c:pt>
                <c:pt idx="3">
                  <c:v>-0.18814675446848542</c:v>
                </c:pt>
                <c:pt idx="4">
                  <c:v>-2.6380583890256775</c:v>
                </c:pt>
                <c:pt idx="5">
                  <c:v>7.6923076923076925</c:v>
                </c:pt>
                <c:pt idx="6">
                  <c:v>6.0500290866783013</c:v>
                </c:pt>
                <c:pt idx="7">
                  <c:v>-0.92307692307692302</c:v>
                </c:pt>
                <c:pt idx="8">
                  <c:v>2.9069767441860463</c:v>
                </c:pt>
                <c:pt idx="9">
                  <c:v>-0.88980150581793294</c:v>
                </c:pt>
                <c:pt idx="10">
                  <c:v>-5.7077625570776256</c:v>
                </c:pt>
                <c:pt idx="11">
                  <c:v>1.8918918918918919</c:v>
                </c:pt>
                <c:pt idx="12">
                  <c:v>-4.1763341067285387</c:v>
                </c:pt>
                <c:pt idx="13">
                  <c:v>-0.38986354775828463</c:v>
                </c:pt>
                <c:pt idx="14">
                  <c:v>0.30326004548900681</c:v>
                </c:pt>
                <c:pt idx="15">
                  <c:v>-4.213483146067416</c:v>
                </c:pt>
                <c:pt idx="16">
                  <c:v>5.7921635434412266</c:v>
                </c:pt>
                <c:pt idx="17">
                  <c:v>-2.8818443804034581</c:v>
                </c:pt>
                <c:pt idx="18">
                  <c:v>-2.722772277227723</c:v>
                </c:pt>
              </c:numCache>
            </c:numRef>
          </c:yVal>
          <c:smooth val="0"/>
          <c:extLst>
            <c:ext xmlns:c16="http://schemas.microsoft.com/office/drawing/2014/chart" uri="{C3380CC4-5D6E-409C-BE32-E72D297353CC}">
              <c16:uniqueId val="{00000017-15A2-4F21-BC6B-49475065F5BF}"/>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15A2-4F21-BC6B-49475065F5BF}"/>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{AA1D1CE2-629B-4EAE-AF23-894622D5DDCE}</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15A2-4F21-BC6B-49475065F5BF}"/>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{EE78422A-D72C-4C60-80BA-E6192E4D99D0}</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15A2-4F21-BC6B-49475065F5BF}"/>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{D80139EB-64AD-4A02-8C88-64ED218D2743}</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15A2-4F21-BC6B-49475065F5BF}"/>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(New_Ceased_LAC!$AR$304,New_Ceased_LAC!$AR$307:$AR$308)</c:f>
              <c:numCache>
                <c:formatCode>0.0</c:formatCode>
                <c:ptCount val="3"/>
                <c:pt idx="0">
                  <c:v>13.600000000000001</c:v>
                </c:pt>
                <c:pt idx="1">
                  <c:v>14.899999999999999</c:v>
                </c:pt>
                <c:pt idx="2">
                  <c:v>21.9</c:v>
                </c:pt>
              </c:numCache>
            </c:numRef>
          </c:xVal>
          <c:yVal>
            <c:numRef>
              <c:f>(New_Ceased_LAC!$AQ$304,New_Ceased_LAC!$AQ$307:$AQ$308)</c:f>
              <c:numCache>
                <c:formatCode>0.0</c:formatCode>
                <c:ptCount val="3"/>
                <c:pt idx="0">
                  <c:v>-0.53956834532374098</c:v>
                </c:pt>
                <c:pt idx="1">
                  <c:v>-9.5238095238095237</c:v>
                </c:pt>
                <c:pt idx="2">
                  <c:v>-2.34375</c:v>
                </c:pt>
              </c:numCache>
            </c:numRef>
          </c:yVal>
          <c:smooth val="0"/>
          <c:extLst>
            <c:ext xmlns:c16="http://schemas.microsoft.com/office/drawing/2014/chart" uri="{C3380CC4-5D6E-409C-BE32-E72D297353CC}">
              <c16:uniqueId val="{0000001B-15A2-4F21-BC6B-49475065F5BF}"/>
            </c:ext>
          </c:extLst>
        </c:ser>
        <c:ser>
          <c:idx val="1"/>
          <c:order val="2"/>
          <c:tx>
            <c:strRef>
              <c:f>New_Ceased_LAC!$AA$4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New_Ceased_LAC!$AR$315</c:f>
              <c:numCache>
                <c:formatCode>0.0</c:formatCode>
                <c:ptCount val="1"/>
                <c:pt idx="0">
                  <c:v>#N/A</c:v>
                </c:pt>
              </c:numCache>
            </c:numRef>
          </c:xVal>
          <c:yVal>
            <c:numRef>
              <c:f>New_Ceased_LAC!$AQ$315</c:f>
              <c:numCache>
                <c:formatCode>0.0</c:formatCode>
                <c:ptCount val="1"/>
                <c:pt idx="0">
                  <c:v>#N/A</c:v>
                </c:pt>
              </c:numCache>
            </c:numRef>
          </c:yVal>
          <c:smooth val="0"/>
          <c:extLst>
            <c:ext xmlns:c16="http://schemas.microsoft.com/office/drawing/2014/chart" uri="{C3380CC4-5D6E-409C-BE32-E72D297353CC}">
              <c16:uniqueId val="{0000001C-15A2-4F21-BC6B-49475065F5BF}"/>
            </c:ext>
          </c:extLst>
        </c:ser>
        <c:ser>
          <c:idx val="4"/>
          <c:order val="3"/>
          <c:tx>
            <c:strRef>
              <c:f>New_Ceased_LAC!$B$139</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New_Ceased_LAC!$S$282</c:f>
              <c:numCache>
                <c:formatCode>0.0</c:formatCode>
                <c:ptCount val="1"/>
                <c:pt idx="0">
                  <c:v>12.371268250968637</c:v>
                </c:pt>
              </c:numCache>
            </c:numRef>
          </c:xVal>
          <c:yVal>
            <c:numRef>
              <c:f>New_Ceased_LAC!$O$282</c:f>
              <c:numCache>
                <c:formatCode>0.0</c:formatCode>
                <c:ptCount val="1"/>
                <c:pt idx="0">
                  <c:v>0.5890717042453788</c:v>
                </c:pt>
              </c:numCache>
            </c:numRef>
          </c:yVal>
          <c:smooth val="0"/>
          <c:extLst>
            <c:ext xmlns:c16="http://schemas.microsoft.com/office/drawing/2014/chart" uri="{C3380CC4-5D6E-409C-BE32-E72D297353CC}">
              <c16:uniqueId val="{0000001D-15A2-4F21-BC6B-49475065F5BF}"/>
            </c:ext>
          </c:extLst>
        </c:ser>
        <c:ser>
          <c:idx val="2"/>
          <c:order val="4"/>
          <c:tx>
            <c:strRef>
              <c:f>New_Ceased_LAC!$Y$175</c:f>
              <c:strCache>
                <c:ptCount val="1"/>
                <c:pt idx="0">
                  <c:v>National Trend 2020</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15A2-4F21-BC6B-49475065F5BF}"/>
                </c:ext>
              </c:extLst>
            </c:dLbl>
            <c:dLbl>
              <c:idx val="1"/>
              <c:layout>
                <c:manualLayout>
                  <c:x val="-4.6783625730994045E-2"/>
                  <c:y val="-1.8099547511312219E-2"/>
                </c:manualLayout>
              </c:layout>
              <c:tx>
                <c:strRef>
                  <c:f>New_Ceased_LAC!$AD$293</c:f>
                  <c:strCache>
                    <c:ptCount val="1"/>
                    <c:pt idx="0">
                      <c:v>r² = 0.05</c:v>
                    </c:pt>
                  </c:strCache>
                </c:strRef>
              </c:tx>
              <c:spPr/>
              <c:txPr>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{32142F20-6327-4948-A956-EA6C504F01AF}</c15:txfldGUID>
                      <c15:f>New_Ceased_LAC!$AD$293</c15:f>
                      <c15:dlblFieldTableCache>
                        <c:ptCount val="1"/>
                        <c:pt idx="0">
                          <c:v>r² = 0.05</c:v>
                        </c:pt>
                      </c15:dlblFieldTableCache>
                    </c15:dlblFTEntry>
                  </c15:dlblFieldTable>
                  <c15:showDataLabelsRange val="0"/>
                </c:ext>
                <c:ext xmlns:c16="http://schemas.microsoft.com/office/drawing/2014/chart" uri="{C3380CC4-5D6E-409C-BE32-E72D297353CC}">
                  <c16:uniqueId val="{0000001F-15A2-4F21-BC6B-49475065F5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New_Ceased_LAC!$AB$293:$AB$294</c:f>
              <c:numCache>
                <c:formatCode>General</c:formatCode>
                <c:ptCount val="2"/>
                <c:pt idx="0" formatCode="#,##0.0">
                  <c:v>5</c:v>
                </c:pt>
                <c:pt idx="1">
                  <c:v>35</c:v>
                </c:pt>
              </c:numCache>
            </c:numRef>
          </c:xVal>
          <c:yVal>
            <c:numRef>
              <c:f>New_Ceased_LAC!$AC$293:$AC$294</c:f>
              <c:numCache>
                <c:formatCode>0.0</c:formatCode>
                <c:ptCount val="2"/>
                <c:pt idx="0">
                  <c:v>-1.5101356203874257</c:v>
                </c:pt>
                <c:pt idx="1">
                  <c:v>6.3163662220192611</c:v>
                </c:pt>
              </c:numCache>
            </c:numRef>
          </c:yVal>
          <c:smooth val="0"/>
          <c:extLst>
            <c:ext xmlns:c16="http://schemas.microsoft.com/office/drawing/2014/chart" uri="{C3380CC4-5D6E-409C-BE32-E72D297353CC}">
              <c16:uniqueId val="{00000020-15A2-4F21-BC6B-49475065F5BF}"/>
            </c:ext>
          </c:extLst>
        </c:ser>
        <c:dLbls>
          <c:showLegendKey val="0"/>
          <c:showVal val="0"/>
          <c:showCatName val="0"/>
          <c:showSerName val="0"/>
          <c:showPercent val="0"/>
          <c:showBubbleSize val="0"/>
        </c:dLbls>
        <c:axId val="614677120"/>
        <c:axId val="614687488"/>
      </c:scatterChart>
      <c:valAx>
        <c:axId val="614677120"/>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687488"/>
        <c:crosses val="autoZero"/>
        <c:crossBetween val="midCat"/>
        <c:majorUnit val="5"/>
      </c:valAx>
      <c:valAx>
        <c:axId val="61468748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Net Number of Children Starting to be Looked After</a:t>
                </a:r>
              </a:p>
              <a:p>
                <a:pPr>
                  <a:defRPr sz="800" b="1" i="0" u="none" strike="noStrike" baseline="0">
                    <a:solidFill>
                      <a:srgbClr val="000000"/>
                    </a:solidFill>
                    <a:latin typeface="Arial"/>
                    <a:ea typeface="Arial"/>
                    <a:cs typeface="Arial"/>
                  </a:defRPr>
                </a:pPr>
                <a:r>
                  <a:rPr lang="en-GB" sz="800" b="1" i="0" u="none" strike="noStrike" baseline="0">
                    <a:effectLst/>
                  </a:rPr>
                  <a:t> (Rate per 10,000 0-17 year olds)</a:t>
                </a:r>
                <a:endParaRPr lang="en-GB"/>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677120"/>
        <c:crosses val="autoZero"/>
        <c:crossBetween val="midCat"/>
      </c:valAx>
      <c:spPr>
        <a:noFill/>
        <a:ln w="3175">
          <a:solidFill>
            <a:srgbClr val="000000"/>
          </a:solidFill>
          <a:prstDash val="solid"/>
        </a:ln>
      </c:spPr>
    </c:plotArea>
    <c:plotVisOnly val="0"/>
    <c:dispBlanksAs val="span"/>
    <c:showDLblsOverMax val="0"/>
  </c:chart>
  <c:spPr>
    <a:solidFill>
      <a:schemeClr val="bg1"/>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Children who ceased to be looked after due to a Special Guardianship Order being granted</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8840167706309439"/>
          <c:w val="0.64607416380644722"/>
          <c:h val="0.46031427889695609"/>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2015-16</c:v>
                </c:pt>
                <c:pt idx="1">
                  <c:v>2016-17</c:v>
                </c:pt>
                <c:pt idx="2">
                  <c:v>2017-18</c:v>
                </c:pt>
                <c:pt idx="3">
                  <c:v>2018-19</c:v>
                </c:pt>
                <c:pt idx="4">
                  <c:v>2019-20</c:v>
                </c:pt>
              </c:strCache>
            </c:strRef>
          </c:cat>
          <c:val>
            <c:numRef>
              <c:f>New_Ceased_LAC!$AX$65:$BB$65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D5E0-4318-ADEA-D862222417C1}"/>
            </c:ext>
          </c:extLst>
        </c:ser>
        <c:ser>
          <c:idx val="4"/>
          <c:order val="1"/>
          <c:tx>
            <c:strRef>
              <c:f>New_Ceased_LAC!$B$99</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2015-16</c:v>
                </c:pt>
                <c:pt idx="1">
                  <c:v>2016-17</c:v>
                </c:pt>
                <c:pt idx="2">
                  <c:v>2017-18</c:v>
                </c:pt>
                <c:pt idx="3">
                  <c:v>2018-19</c:v>
                </c:pt>
                <c:pt idx="4">
                  <c:v>2019-20</c:v>
                </c:pt>
              </c:strCache>
            </c:strRef>
          </c:cat>
          <c:val>
            <c:numRef>
              <c:f>New_Ceased_LAC!$D$206:$H$206</c:f>
              <c:numCache>
                <c:formatCode>0%</c:formatCode>
                <c:ptCount val="5"/>
                <c:pt idx="0">
                  <c:v>2.7956989247311829E-2</c:v>
                </c:pt>
                <c:pt idx="1">
                  <c:v>2.7956989247311829E-2</c:v>
                </c:pt>
                <c:pt idx="2">
                  <c:v>2.7842227378190254E-2</c:v>
                </c:pt>
                <c:pt idx="3">
                  <c:v>2.6570048309178744E-2</c:v>
                </c:pt>
                <c:pt idx="4">
                  <c:v>3.7558685446009391E-2</c:v>
                </c:pt>
              </c:numCache>
            </c:numRef>
          </c:val>
          <c:extLst>
            <c:ext xmlns:c16="http://schemas.microsoft.com/office/drawing/2014/chart" uri="{C3380CC4-5D6E-409C-BE32-E72D297353CC}">
              <c16:uniqueId val="{00000001-D5E0-4318-ADEA-D862222417C1}"/>
            </c:ext>
          </c:extLst>
        </c:ser>
        <c:ser>
          <c:idx val="0"/>
          <c:order val="2"/>
          <c:tx>
            <c:strRef>
              <c:f>New_Ceased_LAC!$B$100</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2015-16</c:v>
                </c:pt>
                <c:pt idx="1">
                  <c:v>2016-17</c:v>
                </c:pt>
                <c:pt idx="2">
                  <c:v>2017-18</c:v>
                </c:pt>
                <c:pt idx="3">
                  <c:v>2018-19</c:v>
                </c:pt>
                <c:pt idx="4">
                  <c:v>2019-20</c:v>
                </c:pt>
              </c:strCache>
            </c:strRef>
          </c:cat>
          <c:val>
            <c:numRef>
              <c:f>New_Ceased_LAC!$D$207:$H$207</c:f>
              <c:numCache>
                <c:formatCode>0%</c:formatCode>
                <c:ptCount val="5"/>
                <c:pt idx="0">
                  <c:v>3.5153797865662272E-2</c:v>
                </c:pt>
                <c:pt idx="1">
                  <c:v>3.8216560509554139E-2</c:v>
                </c:pt>
                <c:pt idx="2">
                  <c:v>3.8935108153078206E-2</c:v>
                </c:pt>
                <c:pt idx="3">
                  <c:v>3.8017651052274268E-2</c:v>
                </c:pt>
                <c:pt idx="4">
                  <c:v>3.9202433254477864E-2</c:v>
                </c:pt>
              </c:numCache>
            </c:numRef>
          </c:val>
          <c:extLst>
            <c:ext xmlns:c16="http://schemas.microsoft.com/office/drawing/2014/chart" uri="{C3380CC4-5D6E-409C-BE32-E72D297353CC}">
              <c16:uniqueId val="{00000002-D5E0-4318-ADEA-D862222417C1}"/>
            </c:ext>
          </c:extLst>
        </c:ser>
        <c:dLbls>
          <c:showLegendKey val="0"/>
          <c:showVal val="0"/>
          <c:showCatName val="0"/>
          <c:showSerName val="0"/>
          <c:showPercent val="0"/>
          <c:showBubbleSize val="0"/>
        </c:dLbls>
        <c:gapWidth val="100"/>
        <c:axId val="613850496"/>
        <c:axId val="614163584"/>
      </c:barChart>
      <c:catAx>
        <c:axId val="613850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163584"/>
        <c:crosses val="autoZero"/>
        <c:auto val="1"/>
        <c:lblAlgn val="ctr"/>
        <c:lblOffset val="100"/>
        <c:noMultiLvlLbl val="0"/>
      </c:catAx>
      <c:valAx>
        <c:axId val="61416358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850496"/>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GB" b="1"/>
              <a:t>Proportion of Children who ceased to be looked after due to a Special Guardianship Order being granted</a:t>
            </a:r>
          </a:p>
        </c:rich>
      </c:tx>
      <c:layout>
        <c:manualLayout>
          <c:xMode val="edge"/>
          <c:yMode val="edge"/>
          <c:x val="0.10935894686315961"/>
          <c:y val="1.044932251364953E-2"/>
        </c:manualLayout>
      </c:layout>
      <c:overlay val="1"/>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New_Ceased_LAC!$AL$148</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308-432A-A6A1-18822A51624F}"/>
              </c:ext>
            </c:extLst>
          </c:dPt>
          <c:cat>
            <c:strRef>
              <c:f>New_Ceased_LAC!$AS$146:$AW$147</c:f>
              <c:strCache>
                <c:ptCount val="5"/>
                <c:pt idx="0">
                  <c:v>2015-16</c:v>
                </c:pt>
                <c:pt idx="1">
                  <c:v>2016-17</c:v>
                </c:pt>
                <c:pt idx="2">
                  <c:v>2017-18</c:v>
                </c:pt>
                <c:pt idx="3">
                  <c:v>2018-19</c:v>
                </c:pt>
                <c:pt idx="4">
                  <c:v>2019-20</c:v>
                </c:pt>
              </c:strCache>
            </c:strRef>
          </c:cat>
          <c:val>
            <c:numRef>
              <c:f>New_Ceased_LAC!$AS$148:$AW$148</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01-F308-432A-A6A1-18822A51624F}"/>
            </c:ext>
          </c:extLst>
        </c:ser>
        <c:ser>
          <c:idx val="1"/>
          <c:order val="1"/>
          <c:tx>
            <c:strRef>
              <c:f>New_Ceased_LAC!$AL$149</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New_Ceased_LAC!$AS$149:$AW$149</c:f>
              <c:numCache>
                <c:formatCode>0.0%</c:formatCode>
                <c:ptCount val="5"/>
                <c:pt idx="0">
                  <c:v>#N/A</c:v>
                </c:pt>
                <c:pt idx="1">
                  <c:v>#N/A</c:v>
                </c:pt>
                <c:pt idx="2">
                  <c:v>3.9772727272727272E-2</c:v>
                </c:pt>
                <c:pt idx="3">
                  <c:v>#N/A</c:v>
                </c:pt>
                <c:pt idx="4">
                  <c:v>3.3707865168539325E-2</c:v>
                </c:pt>
              </c:numCache>
            </c:numRef>
          </c:val>
          <c:smooth val="0"/>
          <c:extLst>
            <c:ext xmlns:c16="http://schemas.microsoft.com/office/drawing/2014/chart" uri="{C3380CC4-5D6E-409C-BE32-E72D297353CC}">
              <c16:uniqueId val="{00000002-F308-432A-A6A1-18822A51624F}"/>
            </c:ext>
          </c:extLst>
        </c:ser>
        <c:ser>
          <c:idx val="2"/>
          <c:order val="2"/>
          <c:tx>
            <c:strRef>
              <c:f>New_Ceased_LAC!$AL$150</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New_Ceased_LAC!$AS$150:$AW$150</c:f>
              <c:numCache>
                <c:formatCode>0.0%</c:formatCode>
                <c:ptCount val="5"/>
                <c:pt idx="0">
                  <c:v>2.2026431718061675E-2</c:v>
                </c:pt>
                <c:pt idx="1">
                  <c:v>3.7209302325581395E-2</c:v>
                </c:pt>
                <c:pt idx="2">
                  <c:v>#N/A</c:v>
                </c:pt>
                <c:pt idx="3">
                  <c:v>#N/A</c:v>
                </c:pt>
                <c:pt idx="4">
                  <c:v>2.9787234042553193E-2</c:v>
                </c:pt>
              </c:numCache>
            </c:numRef>
          </c:val>
          <c:smooth val="0"/>
          <c:extLst>
            <c:ext xmlns:c16="http://schemas.microsoft.com/office/drawing/2014/chart" uri="{C3380CC4-5D6E-409C-BE32-E72D297353CC}">
              <c16:uniqueId val="{00000003-F308-432A-A6A1-18822A51624F}"/>
            </c:ext>
          </c:extLst>
        </c:ser>
        <c:ser>
          <c:idx val="5"/>
          <c:order val="3"/>
          <c:tx>
            <c:strRef>
              <c:f>New_Ceased_LAC!$AL$151</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New_Ceased_LAC!$AS$151:$AW$151</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04-F308-432A-A6A1-18822A51624F}"/>
            </c:ext>
          </c:extLst>
        </c:ser>
        <c:ser>
          <c:idx val="9"/>
          <c:order val="4"/>
          <c:tx>
            <c:strRef>
              <c:f>New_Ceased_LAC!$AL$152</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New_Ceased_LAC!$AS$152:$AW$152</c:f>
              <c:numCache>
                <c:formatCode>0.0%</c:formatCode>
                <c:ptCount val="5"/>
                <c:pt idx="0">
                  <c:v>9.1743119266055051E-3</c:v>
                </c:pt>
                <c:pt idx="1">
                  <c:v>3.9473684210526314E-2</c:v>
                </c:pt>
                <c:pt idx="2">
                  <c:v>4.1152263374485597E-2</c:v>
                </c:pt>
                <c:pt idx="3">
                  <c:v>3.0354131534569982E-2</c:v>
                </c:pt>
                <c:pt idx="4">
                  <c:v>4.3269230769230768E-2</c:v>
                </c:pt>
              </c:numCache>
            </c:numRef>
          </c:val>
          <c:smooth val="0"/>
          <c:extLst>
            <c:ext xmlns:c16="http://schemas.microsoft.com/office/drawing/2014/chart" uri="{C3380CC4-5D6E-409C-BE32-E72D297353CC}">
              <c16:uniqueId val="{00000005-F308-432A-A6A1-18822A51624F}"/>
            </c:ext>
          </c:extLst>
        </c:ser>
        <c:ser>
          <c:idx val="10"/>
          <c:order val="5"/>
          <c:tx>
            <c:strRef>
              <c:f>New_Ceased_LAC!$AL$153</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New_Ceased_LAC!$AS$153:$AW$153</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06-F308-432A-A6A1-18822A51624F}"/>
            </c:ext>
          </c:extLst>
        </c:ser>
        <c:ser>
          <c:idx val="11"/>
          <c:order val="6"/>
          <c:tx>
            <c:strRef>
              <c:f>New_Ceased_LAC!$AL$154</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New_Ceased_LAC!$AS$154:$AW$154</c:f>
              <c:numCache>
                <c:formatCode>0.0%</c:formatCode>
                <c:ptCount val="5"/>
                <c:pt idx="0">
                  <c:v>9.2678405931417972E-3</c:v>
                </c:pt>
                <c:pt idx="1">
                  <c:v>8.3586626139817623E-3</c:v>
                </c:pt>
                <c:pt idx="2">
                  <c:v>1.5252621544327931E-2</c:v>
                </c:pt>
                <c:pt idx="3">
                  <c:v>1.310615989515072E-2</c:v>
                </c:pt>
                <c:pt idx="4">
                  <c:v>2.4390243902439025E-2</c:v>
                </c:pt>
              </c:numCache>
            </c:numRef>
          </c:val>
          <c:smooth val="0"/>
          <c:extLst>
            <c:ext xmlns:c16="http://schemas.microsoft.com/office/drawing/2014/chart" uri="{C3380CC4-5D6E-409C-BE32-E72D297353CC}">
              <c16:uniqueId val="{00000007-F308-432A-A6A1-18822A51624F}"/>
            </c:ext>
          </c:extLst>
        </c:ser>
        <c:ser>
          <c:idx val="12"/>
          <c:order val="7"/>
          <c:tx>
            <c:strRef>
              <c:f>New_Ceased_LAC!$AL$155</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New_Ceased_LAC!$AS$155:$AW$155</c:f>
              <c:numCache>
                <c:formatCode>0.0%</c:formatCode>
                <c:ptCount val="5"/>
                <c:pt idx="0">
                  <c:v>9.5238095238095233E-2</c:v>
                </c:pt>
                <c:pt idx="1">
                  <c:v>6.4171122994652413E-2</c:v>
                </c:pt>
                <c:pt idx="2">
                  <c:v>#N/A</c:v>
                </c:pt>
                <c:pt idx="3">
                  <c:v>#N/A</c:v>
                </c:pt>
                <c:pt idx="4">
                  <c:v>7.7777777777777779E-2</c:v>
                </c:pt>
              </c:numCache>
            </c:numRef>
          </c:val>
          <c:smooth val="0"/>
          <c:extLst>
            <c:ext xmlns:c16="http://schemas.microsoft.com/office/drawing/2014/chart" uri="{C3380CC4-5D6E-409C-BE32-E72D297353CC}">
              <c16:uniqueId val="{00000008-F308-432A-A6A1-18822A51624F}"/>
            </c:ext>
          </c:extLst>
        </c:ser>
        <c:ser>
          <c:idx val="13"/>
          <c:order val="8"/>
          <c:tx>
            <c:strRef>
              <c:f>New_Ceased_LAC!$AL$156</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New_Ceased_LAC!$AS$156:$AW$156</c:f>
              <c:numCache>
                <c:formatCode>0.0%</c:formatCode>
                <c:ptCount val="5"/>
                <c:pt idx="0">
                  <c:v>2.6881720430107527E-2</c:v>
                </c:pt>
                <c:pt idx="1">
                  <c:v>#N/A</c:v>
                </c:pt>
                <c:pt idx="2">
                  <c:v>#N/A</c:v>
                </c:pt>
                <c:pt idx="3">
                  <c:v>#N/A</c:v>
                </c:pt>
                <c:pt idx="4">
                  <c:v>6.0810810810810814E-2</c:v>
                </c:pt>
              </c:numCache>
            </c:numRef>
          </c:val>
          <c:smooth val="0"/>
          <c:extLst>
            <c:ext xmlns:c16="http://schemas.microsoft.com/office/drawing/2014/chart" uri="{C3380CC4-5D6E-409C-BE32-E72D297353CC}">
              <c16:uniqueId val="{00000009-F308-432A-A6A1-18822A51624F}"/>
            </c:ext>
          </c:extLst>
        </c:ser>
        <c:ser>
          <c:idx val="15"/>
          <c:order val="9"/>
          <c:tx>
            <c:strRef>
              <c:f>New_Ceased_LAC!$AL$157</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New_Ceased_LAC!$AS$157:$AW$157</c:f>
              <c:numCache>
                <c:formatCode>0.0%</c:formatCode>
                <c:ptCount val="5"/>
                <c:pt idx="0">
                  <c:v>3.5714285714285712E-2</c:v>
                </c:pt>
                <c:pt idx="1">
                  <c:v>6.9930069930069935E-2</c:v>
                </c:pt>
                <c:pt idx="2">
                  <c:v>2.6845637583892617E-2</c:v>
                </c:pt>
                <c:pt idx="3">
                  <c:v>6.95970695970696E-2</c:v>
                </c:pt>
                <c:pt idx="4">
                  <c:v>5.2795031055900624E-2</c:v>
                </c:pt>
              </c:numCache>
            </c:numRef>
          </c:val>
          <c:smooth val="0"/>
          <c:extLst>
            <c:ext xmlns:c16="http://schemas.microsoft.com/office/drawing/2014/chart" uri="{C3380CC4-5D6E-409C-BE32-E72D297353CC}">
              <c16:uniqueId val="{0000000A-F308-432A-A6A1-18822A51624F}"/>
            </c:ext>
          </c:extLst>
        </c:ser>
        <c:ser>
          <c:idx val="16"/>
          <c:order val="10"/>
          <c:tx>
            <c:strRef>
              <c:f>New_Ceased_LAC!$AL$158</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New_Ceased_LAC!$AS$158:$AW$158</c:f>
              <c:numCache>
                <c:formatCode>0.0%</c:formatCode>
                <c:ptCount val="5"/>
                <c:pt idx="0">
                  <c:v>0.11904761904761904</c:v>
                </c:pt>
                <c:pt idx="1">
                  <c:v>#N/A</c:v>
                </c:pt>
                <c:pt idx="2">
                  <c:v>4.3010752688172046E-2</c:v>
                </c:pt>
                <c:pt idx="3">
                  <c:v>6.2111801242236024E-2</c:v>
                </c:pt>
                <c:pt idx="4">
                  <c:v>0</c:v>
                </c:pt>
              </c:numCache>
            </c:numRef>
          </c:val>
          <c:smooth val="0"/>
          <c:extLst>
            <c:ext xmlns:c16="http://schemas.microsoft.com/office/drawing/2014/chart" uri="{C3380CC4-5D6E-409C-BE32-E72D297353CC}">
              <c16:uniqueId val="{0000000B-F308-432A-A6A1-18822A51624F}"/>
            </c:ext>
          </c:extLst>
        </c:ser>
        <c:ser>
          <c:idx val="17"/>
          <c:order val="11"/>
          <c:tx>
            <c:strRef>
              <c:f>New_Ceased_LAC!$AL$159</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New_Ceased_LAC!$AS$159:$AW$159</c:f>
              <c:numCache>
                <c:formatCode>0.0%</c:formatCode>
                <c:ptCount val="5"/>
                <c:pt idx="0">
                  <c:v>8.1300813008130079E-2</c:v>
                </c:pt>
                <c:pt idx="1">
                  <c:v>0</c:v>
                </c:pt>
                <c:pt idx="2">
                  <c:v>#N/A</c:v>
                </c:pt>
                <c:pt idx="3">
                  <c:v>0</c:v>
                </c:pt>
                <c:pt idx="4">
                  <c:v>0</c:v>
                </c:pt>
              </c:numCache>
            </c:numRef>
          </c:val>
          <c:smooth val="0"/>
          <c:extLst>
            <c:ext xmlns:c16="http://schemas.microsoft.com/office/drawing/2014/chart" uri="{C3380CC4-5D6E-409C-BE32-E72D297353CC}">
              <c16:uniqueId val="{0000000C-F308-432A-A6A1-18822A51624F}"/>
            </c:ext>
          </c:extLst>
        </c:ser>
        <c:ser>
          <c:idx val="19"/>
          <c:order val="12"/>
          <c:tx>
            <c:strRef>
              <c:f>New_Ceased_LAC!$AL$160</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New_Ceased_LAC!$AS$160:$AW$160</c:f>
              <c:numCache>
                <c:formatCode>0.0%</c:formatCode>
                <c:ptCount val="5"/>
                <c:pt idx="0">
                  <c:v>6.4935064935064929E-2</c:v>
                </c:pt>
                <c:pt idx="1">
                  <c:v>8.0357142857142863E-2</c:v>
                </c:pt>
                <c:pt idx="2">
                  <c:v>#N/A</c:v>
                </c:pt>
                <c:pt idx="3">
                  <c:v>#N/A</c:v>
                </c:pt>
                <c:pt idx="4">
                  <c:v>0</c:v>
                </c:pt>
              </c:numCache>
            </c:numRef>
          </c:val>
          <c:smooth val="0"/>
          <c:extLst>
            <c:ext xmlns:c16="http://schemas.microsoft.com/office/drawing/2014/chart" uri="{C3380CC4-5D6E-409C-BE32-E72D297353CC}">
              <c16:uniqueId val="{0000000D-F308-432A-A6A1-18822A51624F}"/>
            </c:ext>
          </c:extLst>
        </c:ser>
        <c:ser>
          <c:idx val="3"/>
          <c:order val="13"/>
          <c:tx>
            <c:strRef>
              <c:f>New_Ceased_LAC!$AL$161</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New_Ceased_LAC!$AS$161:$AW$161</c:f>
              <c:numCache>
                <c:formatCode>0.0%</c:formatCode>
                <c:ptCount val="5"/>
                <c:pt idx="0">
                  <c:v>#N/A</c:v>
                </c:pt>
                <c:pt idx="1">
                  <c:v>4.5977011494252873E-2</c:v>
                </c:pt>
                <c:pt idx="2">
                  <c:v>2.6905829596412557E-2</c:v>
                </c:pt>
                <c:pt idx="3">
                  <c:v>#N/A</c:v>
                </c:pt>
                <c:pt idx="4">
                  <c:v>5.5837563451776651E-2</c:v>
                </c:pt>
              </c:numCache>
            </c:numRef>
          </c:val>
          <c:smooth val="0"/>
          <c:extLst>
            <c:ext xmlns:c16="http://schemas.microsoft.com/office/drawing/2014/chart" uri="{C3380CC4-5D6E-409C-BE32-E72D297353CC}">
              <c16:uniqueId val="{0000000E-F308-432A-A6A1-18822A51624F}"/>
            </c:ext>
          </c:extLst>
        </c:ser>
        <c:ser>
          <c:idx val="20"/>
          <c:order val="14"/>
          <c:tx>
            <c:strRef>
              <c:f>New_Ceased_LAC!$AL$162</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New_Ceased_LAC!$AS$162:$AW$162</c:f>
              <c:numCache>
                <c:formatCode>0.0%</c:formatCode>
                <c:ptCount val="5"/>
                <c:pt idx="0">
                  <c:v>#N/A</c:v>
                </c:pt>
                <c:pt idx="1">
                  <c:v>#N/A</c:v>
                </c:pt>
                <c:pt idx="2">
                  <c:v>6.5989847715736044E-2</c:v>
                </c:pt>
                <c:pt idx="3">
                  <c:v>3.7383177570093455E-2</c:v>
                </c:pt>
                <c:pt idx="4">
                  <c:v>0.10552763819095477</c:v>
                </c:pt>
              </c:numCache>
            </c:numRef>
          </c:val>
          <c:smooth val="0"/>
          <c:extLst>
            <c:ext xmlns:c16="http://schemas.microsoft.com/office/drawing/2014/chart" uri="{C3380CC4-5D6E-409C-BE32-E72D297353CC}">
              <c16:uniqueId val="{0000000F-F308-432A-A6A1-18822A51624F}"/>
            </c:ext>
          </c:extLst>
        </c:ser>
        <c:ser>
          <c:idx val="22"/>
          <c:order val="15"/>
          <c:tx>
            <c:strRef>
              <c:f>New_Ceased_LAC!$AL$163</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New_Ceased_LAC!$AS$163:$AW$163</c:f>
              <c:numCache>
                <c:formatCode>0.0%</c:formatCode>
                <c:ptCount val="5"/>
                <c:pt idx="0">
                  <c:v>3.7037037037037035E-2</c:v>
                </c:pt>
                <c:pt idx="1">
                  <c:v>1.6706443914081145E-2</c:v>
                </c:pt>
                <c:pt idx="2">
                  <c:v>3.1784841075794622E-2</c:v>
                </c:pt>
                <c:pt idx="3">
                  <c:v>2.7918781725888325E-2</c:v>
                </c:pt>
                <c:pt idx="4">
                  <c:v>2.7397260273972601E-2</c:v>
                </c:pt>
              </c:numCache>
            </c:numRef>
          </c:val>
          <c:smooth val="0"/>
          <c:extLst>
            <c:ext xmlns:c16="http://schemas.microsoft.com/office/drawing/2014/chart" uri="{C3380CC4-5D6E-409C-BE32-E72D297353CC}">
              <c16:uniqueId val="{00000010-F308-432A-A6A1-18822A51624F}"/>
            </c:ext>
          </c:extLst>
        </c:ser>
        <c:ser>
          <c:idx val="7"/>
          <c:order val="16"/>
          <c:tx>
            <c:strRef>
              <c:f>New_Ceased_LAC!$AL$164</c:f>
              <c:strCache>
                <c:ptCount val="1"/>
                <c:pt idx="0">
                  <c:v>Swindon</c:v>
                </c:pt>
              </c:strCache>
            </c:strRef>
          </c:tx>
          <c:spPr>
            <a:ln w="15875"/>
          </c:spPr>
          <c:marker>
            <c:symbol val="triangle"/>
            <c:size val="5"/>
            <c:spPr>
              <a:solidFill>
                <a:schemeClr val="accent2">
                  <a:lumMod val="20000"/>
                  <a:lumOff val="80000"/>
                </a:schemeClr>
              </a:solidFill>
            </c:spPr>
          </c:marker>
          <c:cat>
            <c:strRef>
              <c:f>New_Ceased_LAC!$AS$146:$AW$147</c:f>
              <c:strCache>
                <c:ptCount val="5"/>
                <c:pt idx="0">
                  <c:v>2015-16</c:v>
                </c:pt>
                <c:pt idx="1">
                  <c:v>2016-17</c:v>
                </c:pt>
                <c:pt idx="2">
                  <c:v>2017-18</c:v>
                </c:pt>
                <c:pt idx="3">
                  <c:v>2018-19</c:v>
                </c:pt>
                <c:pt idx="4">
                  <c:v>2019-20</c:v>
                </c:pt>
              </c:strCache>
            </c:strRef>
          </c:cat>
          <c:val>
            <c:numRef>
              <c:f>New_Ceased_LAC!$AS$164:$AW$164</c:f>
              <c:numCache>
                <c:formatCode>0.0%</c:formatCode>
                <c:ptCount val="5"/>
                <c:pt idx="0">
                  <c:v>#N/A</c:v>
                </c:pt>
                <c:pt idx="1">
                  <c:v>6.6666666666666666E-2</c:v>
                </c:pt>
                <c:pt idx="2">
                  <c:v>5.1612903225806452E-2</c:v>
                </c:pt>
                <c:pt idx="3">
                  <c:v>#N/A</c:v>
                </c:pt>
                <c:pt idx="4">
                  <c:v>0</c:v>
                </c:pt>
              </c:numCache>
            </c:numRef>
          </c:val>
          <c:smooth val="0"/>
          <c:extLst>
            <c:ext xmlns:c16="http://schemas.microsoft.com/office/drawing/2014/chart" uri="{C3380CC4-5D6E-409C-BE32-E72D297353CC}">
              <c16:uniqueId val="{00000011-F308-432A-A6A1-18822A51624F}"/>
            </c:ext>
          </c:extLst>
        </c:ser>
        <c:ser>
          <c:idx val="8"/>
          <c:order val="17"/>
          <c:tx>
            <c:strRef>
              <c:f>New_Ceased_LAC!$AL$165</c:f>
              <c:strCache>
                <c:ptCount val="1"/>
                <c:pt idx="0">
                  <c:v>Torbay</c:v>
                </c:pt>
              </c:strCache>
            </c:strRef>
          </c:tx>
          <c:spPr>
            <a:ln w="12700"/>
          </c:spPr>
          <c:marker>
            <c:symbol val="circle"/>
            <c:size val="5"/>
            <c:spPr>
              <a:solidFill>
                <a:schemeClr val="accent3">
                  <a:lumMod val="20000"/>
                  <a:lumOff val="80000"/>
                </a:schemeClr>
              </a:solidFill>
            </c:spPr>
          </c:marker>
          <c:cat>
            <c:strRef>
              <c:f>New_Ceased_LAC!$AS$146:$AW$147</c:f>
              <c:strCache>
                <c:ptCount val="5"/>
                <c:pt idx="0">
                  <c:v>2015-16</c:v>
                </c:pt>
                <c:pt idx="1">
                  <c:v>2016-17</c:v>
                </c:pt>
                <c:pt idx="2">
                  <c:v>2017-18</c:v>
                </c:pt>
                <c:pt idx="3">
                  <c:v>2018-19</c:v>
                </c:pt>
                <c:pt idx="4">
                  <c:v>2019-20</c:v>
                </c:pt>
              </c:strCache>
            </c:strRef>
          </c:cat>
          <c:val>
            <c:numRef>
              <c:f>New_Ceased_LAC!$AS$165:$AW$165</c:f>
              <c:numCache>
                <c:formatCode>0.0%</c:formatCode>
                <c:ptCount val="5"/>
                <c:pt idx="0">
                  <c:v>0.04</c:v>
                </c:pt>
                <c:pt idx="1">
                  <c:v>0.1111111111111111</c:v>
                </c:pt>
                <c:pt idx="2">
                  <c:v>5.8823529411764705E-2</c:v>
                </c:pt>
                <c:pt idx="3">
                  <c:v>6.7796610169491525E-2</c:v>
                </c:pt>
                <c:pt idx="4">
                  <c:v>0</c:v>
                </c:pt>
              </c:numCache>
            </c:numRef>
          </c:val>
          <c:smooth val="0"/>
          <c:extLst>
            <c:ext xmlns:c16="http://schemas.microsoft.com/office/drawing/2014/chart" uri="{C3380CC4-5D6E-409C-BE32-E72D297353CC}">
              <c16:uniqueId val="{00000012-F308-432A-A6A1-18822A51624F}"/>
            </c:ext>
          </c:extLst>
        </c:ser>
        <c:ser>
          <c:idx val="23"/>
          <c:order val="18"/>
          <c:tx>
            <c:strRef>
              <c:f>New_Ceased_LAC!$AL$166</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New_Ceased_LAC!$AS$166:$AW$166</c:f>
              <c:numCache>
                <c:formatCode>0.0%</c:formatCode>
                <c:ptCount val="5"/>
                <c:pt idx="0">
                  <c:v>0.14492753623188406</c:v>
                </c:pt>
                <c:pt idx="1">
                  <c:v>9.45945945945946E-2</c:v>
                </c:pt>
                <c:pt idx="2">
                  <c:v>0.10465116279069768</c:v>
                </c:pt>
                <c:pt idx="3">
                  <c:v>#N/A</c:v>
                </c:pt>
                <c:pt idx="4">
                  <c:v>0</c:v>
                </c:pt>
              </c:numCache>
            </c:numRef>
          </c:val>
          <c:smooth val="0"/>
          <c:extLst>
            <c:ext xmlns:c16="http://schemas.microsoft.com/office/drawing/2014/chart" uri="{C3380CC4-5D6E-409C-BE32-E72D297353CC}">
              <c16:uniqueId val="{00000013-F308-432A-A6A1-18822A51624F}"/>
            </c:ext>
          </c:extLst>
        </c:ser>
        <c:ser>
          <c:idx val="24"/>
          <c:order val="19"/>
          <c:tx>
            <c:strRef>
              <c:f>New_Ceased_LAC!$AL$167</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New_Ceased_LAC!$AS$167:$AW$167</c:f>
              <c:numCache>
                <c:formatCode>0.0%</c:formatCode>
                <c:ptCount val="5"/>
                <c:pt idx="0">
                  <c:v>#N/A</c:v>
                </c:pt>
                <c:pt idx="1">
                  <c:v>0</c:v>
                </c:pt>
                <c:pt idx="2">
                  <c:v>0</c:v>
                </c:pt>
                <c:pt idx="3">
                  <c:v>#N/A</c:v>
                </c:pt>
                <c:pt idx="4">
                  <c:v>0</c:v>
                </c:pt>
              </c:numCache>
            </c:numRef>
          </c:val>
          <c:smooth val="0"/>
          <c:extLst>
            <c:ext xmlns:c16="http://schemas.microsoft.com/office/drawing/2014/chart" uri="{C3380CC4-5D6E-409C-BE32-E72D297353CC}">
              <c16:uniqueId val="{00000014-F308-432A-A6A1-18822A51624F}"/>
            </c:ext>
          </c:extLst>
        </c:ser>
        <c:ser>
          <c:idx val="25"/>
          <c:order val="20"/>
          <c:tx>
            <c:strRef>
              <c:f>New_Ceased_LAC!$AL$168</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New_Ceased_LAC!$AS$168:$AW$168</c:f>
              <c:numCache>
                <c:formatCode>0.0%</c:formatCode>
                <c:ptCount val="5"/>
                <c:pt idx="0">
                  <c:v>#N/A</c:v>
                </c:pt>
                <c:pt idx="1">
                  <c:v>#N/A</c:v>
                </c:pt>
                <c:pt idx="2">
                  <c:v>#N/A</c:v>
                </c:pt>
                <c:pt idx="3">
                  <c:v>0</c:v>
                </c:pt>
                <c:pt idx="4">
                  <c:v>0</c:v>
                </c:pt>
              </c:numCache>
            </c:numRef>
          </c:val>
          <c:smooth val="0"/>
          <c:extLst>
            <c:ext xmlns:c16="http://schemas.microsoft.com/office/drawing/2014/chart" uri="{C3380CC4-5D6E-409C-BE32-E72D297353CC}">
              <c16:uniqueId val="{00000015-F308-432A-A6A1-18822A51624F}"/>
            </c:ext>
          </c:extLst>
        </c:ser>
        <c:ser>
          <c:idx val="26"/>
          <c:order val="21"/>
          <c:tx>
            <c:strRef>
              <c:f>New_Ceased_LAC!$AL$169</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New_Ceased_LAC!$AS$169:$AW$169</c:f>
              <c:numCache>
                <c:formatCode>0.0%</c:formatCode>
                <c:ptCount val="5"/>
                <c:pt idx="0">
                  <c:v>0</c:v>
                </c:pt>
                <c:pt idx="1">
                  <c:v>#N/A</c:v>
                </c:pt>
                <c:pt idx="2">
                  <c:v>0</c:v>
                </c:pt>
                <c:pt idx="3">
                  <c:v>#N/A</c:v>
                </c:pt>
                <c:pt idx="4">
                  <c:v>0.10909090909090909</c:v>
                </c:pt>
              </c:numCache>
            </c:numRef>
          </c:val>
          <c:smooth val="0"/>
          <c:extLst>
            <c:ext xmlns:c16="http://schemas.microsoft.com/office/drawing/2014/chart" uri="{C3380CC4-5D6E-409C-BE32-E72D297353CC}">
              <c16:uniqueId val="{00000016-F308-432A-A6A1-18822A51624F}"/>
            </c:ext>
          </c:extLst>
        </c:ser>
        <c:ser>
          <c:idx val="4"/>
          <c:order val="22"/>
          <c:tx>
            <c:strRef>
              <c:f>New_Ceased_LAC!$AL$170</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New_Ceased_LAC!$AS$146:$AW$147</c:f>
              <c:strCache>
                <c:ptCount val="5"/>
                <c:pt idx="0">
                  <c:v>2015-16</c:v>
                </c:pt>
                <c:pt idx="1">
                  <c:v>2016-17</c:v>
                </c:pt>
                <c:pt idx="2">
                  <c:v>2017-18</c:v>
                </c:pt>
                <c:pt idx="3">
                  <c:v>2018-19</c:v>
                </c:pt>
                <c:pt idx="4">
                  <c:v>2019-20</c:v>
                </c:pt>
              </c:strCache>
            </c:strRef>
          </c:cat>
          <c:val>
            <c:numRef>
              <c:f>New_Ceased_LAC!$AS$170:$AW$170</c:f>
              <c:numCache>
                <c:formatCode>0.0%</c:formatCode>
                <c:ptCount val="5"/>
                <c:pt idx="0">
                  <c:v>2.7956989247311829E-2</c:v>
                </c:pt>
                <c:pt idx="1">
                  <c:v>2.7956989247311829E-2</c:v>
                </c:pt>
                <c:pt idx="2">
                  <c:v>2.7842227378190254E-2</c:v>
                </c:pt>
                <c:pt idx="3">
                  <c:v>2.6570048309178744E-2</c:v>
                </c:pt>
                <c:pt idx="4">
                  <c:v>3.7558685446009391E-2</c:v>
                </c:pt>
              </c:numCache>
            </c:numRef>
          </c:val>
          <c:smooth val="0"/>
          <c:extLst>
            <c:ext xmlns:c16="http://schemas.microsoft.com/office/drawing/2014/chart" uri="{C3380CC4-5D6E-409C-BE32-E72D297353CC}">
              <c16:uniqueId val="{00000017-F308-432A-A6A1-18822A51624F}"/>
            </c:ext>
          </c:extLst>
        </c:ser>
        <c:ser>
          <c:idx val="14"/>
          <c:order val="23"/>
          <c:tx>
            <c:strRef>
              <c:f>New_Ceased_LAC!$AL$171</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New_Ceased_LAC!$AS$146:$AW$147</c:f>
              <c:strCache>
                <c:ptCount val="5"/>
                <c:pt idx="0">
                  <c:v>2015-16</c:v>
                </c:pt>
                <c:pt idx="1">
                  <c:v>2016-17</c:v>
                </c:pt>
                <c:pt idx="2">
                  <c:v>2017-18</c:v>
                </c:pt>
                <c:pt idx="3">
                  <c:v>2018-19</c:v>
                </c:pt>
                <c:pt idx="4">
                  <c:v>2019-20</c:v>
                </c:pt>
              </c:strCache>
            </c:strRef>
          </c:cat>
          <c:val>
            <c:numRef>
              <c:f>New_Ceased_LAC!$AS$171:$AW$171</c:f>
              <c:numCache>
                <c:formatCode>0.0%</c:formatCode>
                <c:ptCount val="5"/>
                <c:pt idx="0">
                  <c:v>3.5153797865662272E-2</c:v>
                </c:pt>
                <c:pt idx="1">
                  <c:v>3.8216560509554139E-2</c:v>
                </c:pt>
                <c:pt idx="2">
                  <c:v>3.8935108153078206E-2</c:v>
                </c:pt>
                <c:pt idx="3">
                  <c:v>3.8017651052274268E-2</c:v>
                </c:pt>
                <c:pt idx="4">
                  <c:v>3.9202433254477864E-2</c:v>
                </c:pt>
              </c:numCache>
            </c:numRef>
          </c:val>
          <c:smooth val="0"/>
          <c:extLst>
            <c:ext xmlns:c16="http://schemas.microsoft.com/office/drawing/2014/chart" uri="{C3380CC4-5D6E-409C-BE32-E72D297353CC}">
              <c16:uniqueId val="{00000018-F308-432A-A6A1-18822A51624F}"/>
            </c:ext>
          </c:extLst>
        </c:ser>
        <c:ser>
          <c:idx val="6"/>
          <c:order val="24"/>
          <c:tx>
            <c:strRef>
              <c:f>New_Ceased_LAC!$AL$172</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New_Ceased_LAC!$AS$146:$AW$147</c:f>
              <c:strCache>
                <c:ptCount val="5"/>
                <c:pt idx="0">
                  <c:v>2015-16</c:v>
                </c:pt>
                <c:pt idx="1">
                  <c:v>2016-17</c:v>
                </c:pt>
                <c:pt idx="2">
                  <c:v>2017-18</c:v>
                </c:pt>
                <c:pt idx="3">
                  <c:v>2018-19</c:v>
                </c:pt>
                <c:pt idx="4">
                  <c:v>2019-20</c:v>
                </c:pt>
              </c:strCache>
            </c:strRef>
          </c:cat>
          <c:val>
            <c:numRef>
              <c:f>New_Ceased_LAC!$AS$172:$AW$172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F308-432A-A6A1-18822A51624F}"/>
            </c:ext>
          </c:extLst>
        </c:ser>
        <c:dLbls>
          <c:showLegendKey val="0"/>
          <c:showVal val="0"/>
          <c:showCatName val="0"/>
          <c:showSerName val="0"/>
          <c:showPercent val="0"/>
          <c:showBubbleSize val="0"/>
        </c:dLbls>
        <c:marker val="1"/>
        <c:smooth val="0"/>
        <c:axId val="614027264"/>
        <c:axId val="614029184"/>
      </c:lineChart>
      <c:catAx>
        <c:axId val="614027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029184"/>
        <c:crosses val="autoZero"/>
        <c:auto val="1"/>
        <c:lblAlgn val="ctr"/>
        <c:lblOffset val="100"/>
        <c:tickLblSkip val="1"/>
        <c:tickMarkSkip val="1"/>
        <c:noMultiLvlLbl val="0"/>
      </c:catAx>
      <c:valAx>
        <c:axId val="61402918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02726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Placed for Adoption at last</a:t>
            </a:r>
            <a:r>
              <a:rPr lang="en-GB" baseline="0"/>
              <a:t> day in period </a:t>
            </a:r>
            <a:r>
              <a:rPr lang="en-GB"/>
              <a:t>per </a:t>
            </a:r>
          </a:p>
          <a:p>
            <a:pPr>
              <a:defRPr sz="1000" b="1" i="0" u="none" strike="noStrike" baseline="0">
                <a:solidFill>
                  <a:srgbClr val="000000"/>
                </a:solidFill>
                <a:latin typeface="Arial"/>
                <a:ea typeface="Arial"/>
                <a:cs typeface="Arial"/>
              </a:defRPr>
            </a:pPr>
            <a:r>
              <a:rPr lang="en-GB"/>
              <a:t>10,000 0-17 year olds</a:t>
            </a:r>
          </a:p>
        </c:rich>
      </c:tx>
      <c:layout>
        <c:manualLayout>
          <c:xMode val="edge"/>
          <c:yMode val="edge"/>
          <c:x val="0.10916144830377505"/>
          <c:y val="1.2605231944076981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Adoption!$AO$42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AF79-4A96-A731-660B51CA24CE}"/>
              </c:ext>
            </c:extLst>
          </c:dPt>
          <c:cat>
            <c:strRef>
              <c:f>Adoption!$Z$2:$AD$3</c:f>
              <c:strCache>
                <c:ptCount val="5"/>
                <c:pt idx="0">
                  <c:v>2015-16</c:v>
                </c:pt>
                <c:pt idx="1">
                  <c:v>2016-17</c:v>
                </c:pt>
                <c:pt idx="2">
                  <c:v>2017-18</c:v>
                </c:pt>
                <c:pt idx="3">
                  <c:v>2018-19</c:v>
                </c:pt>
                <c:pt idx="4">
                  <c:v>2019-20</c:v>
                </c:pt>
              </c:strCache>
            </c:strRef>
          </c:cat>
          <c:val>
            <c:numRef>
              <c:f>Adoption!$AP$42:$AT$42</c:f>
              <c:numCache>
                <c:formatCode>0.0</c:formatCode>
                <c:ptCount val="5"/>
                <c:pt idx="0">
                  <c:v>1.773049645390071</c:v>
                </c:pt>
                <c:pt idx="1">
                  <c:v>#N/A</c:v>
                </c:pt>
                <c:pt idx="2">
                  <c:v>#N/A</c:v>
                </c:pt>
                <c:pt idx="3">
                  <c:v>#N/A</c:v>
                </c:pt>
                <c:pt idx="4">
                  <c:v>0</c:v>
                </c:pt>
              </c:numCache>
            </c:numRef>
          </c:val>
          <c:smooth val="0"/>
          <c:extLst>
            <c:ext xmlns:c16="http://schemas.microsoft.com/office/drawing/2014/chart" uri="{C3380CC4-5D6E-409C-BE32-E72D297353CC}">
              <c16:uniqueId val="{00000001-AF79-4A96-A731-660B51CA24CE}"/>
            </c:ext>
          </c:extLst>
        </c:ser>
        <c:ser>
          <c:idx val="1"/>
          <c:order val="1"/>
          <c:tx>
            <c:strRef>
              <c:f>Adoption!$AO$43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Adoption!$Z$2:$AD$3</c:f>
              <c:strCache>
                <c:ptCount val="5"/>
                <c:pt idx="0">
                  <c:v>2015-16</c:v>
                </c:pt>
                <c:pt idx="1">
                  <c:v>2016-17</c:v>
                </c:pt>
                <c:pt idx="2">
                  <c:v>2017-18</c:v>
                </c:pt>
                <c:pt idx="3">
                  <c:v>2018-19</c:v>
                </c:pt>
                <c:pt idx="4">
                  <c:v>2019-20</c:v>
                </c:pt>
              </c:strCache>
            </c:strRef>
          </c:cat>
          <c:val>
            <c:numRef>
              <c:f>Adoption!$AP$43:$AT$43</c:f>
              <c:numCache>
                <c:formatCode>0.0</c:formatCode>
                <c:ptCount val="5"/>
                <c:pt idx="0">
                  <c:v>2.9296875</c:v>
                </c:pt>
                <c:pt idx="1">
                  <c:v>6.0428849902534116</c:v>
                </c:pt>
                <c:pt idx="2">
                  <c:v>3.7254901960784315</c:v>
                </c:pt>
                <c:pt idx="3">
                  <c:v>1.9607843137254901</c:v>
                </c:pt>
                <c:pt idx="4">
                  <c:v>1.5904572564612327</c:v>
                </c:pt>
              </c:numCache>
            </c:numRef>
          </c:val>
          <c:smooth val="0"/>
          <c:extLst>
            <c:ext xmlns:c16="http://schemas.microsoft.com/office/drawing/2014/chart" uri="{C3380CC4-5D6E-409C-BE32-E72D297353CC}">
              <c16:uniqueId val="{00000002-AF79-4A96-A731-660B51CA24CE}"/>
            </c:ext>
          </c:extLst>
        </c:ser>
        <c:ser>
          <c:idx val="2"/>
          <c:order val="2"/>
          <c:tx>
            <c:strRef>
              <c:f>Adoption!$AO$44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Adoption!$Z$2:$AD$3</c:f>
              <c:strCache>
                <c:ptCount val="5"/>
                <c:pt idx="0">
                  <c:v>2015-16</c:v>
                </c:pt>
                <c:pt idx="1">
                  <c:v>2016-17</c:v>
                </c:pt>
                <c:pt idx="2">
                  <c:v>2017-18</c:v>
                </c:pt>
                <c:pt idx="3">
                  <c:v>2018-19</c:v>
                </c:pt>
                <c:pt idx="4">
                  <c:v>2019-20</c:v>
                </c:pt>
              </c:strCache>
            </c:strRef>
          </c:cat>
          <c:val>
            <c:numRef>
              <c:f>Adoption!$AP$44:$AT$44</c:f>
              <c:numCache>
                <c:formatCode>0.0</c:formatCode>
                <c:ptCount val="5"/>
                <c:pt idx="0">
                  <c:v>2.0729684908789388</c:v>
                </c:pt>
                <c:pt idx="1">
                  <c:v>1.1456628477905073</c:v>
                </c:pt>
                <c:pt idx="2">
                  <c:v>0.73111291632818842</c:v>
                </c:pt>
                <c:pt idx="3">
                  <c:v>1.4481094127111824</c:v>
                </c:pt>
                <c:pt idx="4">
                  <c:v>0.63643595863166258</c:v>
                </c:pt>
              </c:numCache>
            </c:numRef>
          </c:val>
          <c:smooth val="0"/>
          <c:extLst>
            <c:ext xmlns:c16="http://schemas.microsoft.com/office/drawing/2014/chart" uri="{C3380CC4-5D6E-409C-BE32-E72D297353CC}">
              <c16:uniqueId val="{00000003-AF79-4A96-A731-660B51CA24CE}"/>
            </c:ext>
          </c:extLst>
        </c:ser>
        <c:ser>
          <c:idx val="5"/>
          <c:order val="3"/>
          <c:tx>
            <c:strRef>
              <c:f>Adoption!$AO$45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Adoption!$Z$2:$AD$3</c:f>
              <c:strCache>
                <c:ptCount val="5"/>
                <c:pt idx="0">
                  <c:v>2015-16</c:v>
                </c:pt>
                <c:pt idx="1">
                  <c:v>2016-17</c:v>
                </c:pt>
                <c:pt idx="2">
                  <c:v>2017-18</c:v>
                </c:pt>
                <c:pt idx="3">
                  <c:v>2018-19</c:v>
                </c:pt>
                <c:pt idx="4">
                  <c:v>2019-20</c:v>
                </c:pt>
              </c:strCache>
            </c:strRef>
          </c:cat>
          <c:val>
            <c:numRef>
              <c:f>Adoption!$AP$45:$AT$45</c:f>
              <c:numCache>
                <c:formatCode>0.0</c:formatCode>
                <c:ptCount val="5"/>
                <c:pt idx="0">
                  <c:v>2.8328611898016995</c:v>
                </c:pt>
                <c:pt idx="1">
                  <c:v>2.8328611898016995</c:v>
                </c:pt>
                <c:pt idx="2">
                  <c:v>2.4528301886792452</c:v>
                </c:pt>
                <c:pt idx="3">
                  <c:v>#N/A</c:v>
                </c:pt>
                <c:pt idx="4">
                  <c:v>2.8222013170272811</c:v>
                </c:pt>
              </c:numCache>
            </c:numRef>
          </c:val>
          <c:smooth val="0"/>
          <c:extLst>
            <c:ext xmlns:c16="http://schemas.microsoft.com/office/drawing/2014/chart" uri="{C3380CC4-5D6E-409C-BE32-E72D297353CC}">
              <c16:uniqueId val="{00000004-AF79-4A96-A731-660B51CA24CE}"/>
            </c:ext>
          </c:extLst>
        </c:ser>
        <c:ser>
          <c:idx val="9"/>
          <c:order val="4"/>
          <c:tx>
            <c:strRef>
              <c:f>Adoption!$AO$46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Adoption!$Z$2:$AD$3</c:f>
              <c:strCache>
                <c:ptCount val="5"/>
                <c:pt idx="0">
                  <c:v>2015-16</c:v>
                </c:pt>
                <c:pt idx="1">
                  <c:v>2016-17</c:v>
                </c:pt>
                <c:pt idx="2">
                  <c:v>2017-18</c:v>
                </c:pt>
                <c:pt idx="3">
                  <c:v>2018-19</c:v>
                </c:pt>
                <c:pt idx="4">
                  <c:v>2019-20</c:v>
                </c:pt>
              </c:strCache>
            </c:strRef>
          </c:cat>
          <c:val>
            <c:numRef>
              <c:f>Adoption!$AP$46:$AT$46</c:f>
              <c:numCache>
                <c:formatCode>0.0</c:formatCode>
                <c:ptCount val="5"/>
                <c:pt idx="0">
                  <c:v>2.1284143313231643</c:v>
                </c:pt>
                <c:pt idx="1">
                  <c:v>1.4497878359264498</c:v>
                </c:pt>
                <c:pt idx="2">
                  <c:v>1.9414048711613132</c:v>
                </c:pt>
                <c:pt idx="3">
                  <c:v>1.6901408450704225</c:v>
                </c:pt>
                <c:pt idx="4">
                  <c:v>1.3366162504396764</c:v>
                </c:pt>
              </c:numCache>
            </c:numRef>
          </c:val>
          <c:smooth val="0"/>
          <c:extLst>
            <c:ext xmlns:c16="http://schemas.microsoft.com/office/drawing/2014/chart" uri="{C3380CC4-5D6E-409C-BE32-E72D297353CC}">
              <c16:uniqueId val="{00000005-AF79-4A96-A731-660B51CA24CE}"/>
            </c:ext>
          </c:extLst>
        </c:ser>
        <c:ser>
          <c:idx val="10"/>
          <c:order val="5"/>
          <c:tx>
            <c:strRef>
              <c:f>Adoption!$AO$47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Adoption!$Z$2:$AD$3</c:f>
              <c:strCache>
                <c:ptCount val="5"/>
                <c:pt idx="0">
                  <c:v>2015-16</c:v>
                </c:pt>
                <c:pt idx="1">
                  <c:v>2016-17</c:v>
                </c:pt>
                <c:pt idx="2">
                  <c:v>2017-18</c:v>
                </c:pt>
                <c:pt idx="3">
                  <c:v>2018-19</c:v>
                </c:pt>
                <c:pt idx="4">
                  <c:v>2019-20</c:v>
                </c:pt>
              </c:strCache>
            </c:strRef>
          </c:cat>
          <c:val>
            <c:numRef>
              <c:f>Adoption!$AP$47:$AT$47</c:f>
              <c:numCache>
                <c:formatCode>0.0</c:formatCode>
                <c:ptCount val="5"/>
                <c:pt idx="0">
                  <c:v>#N/A</c:v>
                </c:pt>
                <c:pt idx="1">
                  <c:v>3.9682539682539684</c:v>
                </c:pt>
                <c:pt idx="2">
                  <c:v>#N/A</c:v>
                </c:pt>
                <c:pt idx="3">
                  <c:v>#N/A</c:v>
                </c:pt>
                <c:pt idx="4">
                  <c:v>#N/A</c:v>
                </c:pt>
              </c:numCache>
            </c:numRef>
          </c:val>
          <c:smooth val="0"/>
          <c:extLst>
            <c:ext xmlns:c16="http://schemas.microsoft.com/office/drawing/2014/chart" uri="{C3380CC4-5D6E-409C-BE32-E72D297353CC}">
              <c16:uniqueId val="{00000006-AF79-4A96-A731-660B51CA24CE}"/>
            </c:ext>
          </c:extLst>
        </c:ser>
        <c:ser>
          <c:idx val="11"/>
          <c:order val="6"/>
          <c:tx>
            <c:strRef>
              <c:f>Adoption!$AO$48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Adoption!$Z$2:$AD$3</c:f>
              <c:strCache>
                <c:ptCount val="5"/>
                <c:pt idx="0">
                  <c:v>2015-16</c:v>
                </c:pt>
                <c:pt idx="1">
                  <c:v>2016-17</c:v>
                </c:pt>
                <c:pt idx="2">
                  <c:v>2017-18</c:v>
                </c:pt>
                <c:pt idx="3">
                  <c:v>2018-19</c:v>
                </c:pt>
                <c:pt idx="4">
                  <c:v>2019-20</c:v>
                </c:pt>
              </c:strCache>
            </c:strRef>
          </c:cat>
          <c:val>
            <c:numRef>
              <c:f>Adoption!$AP$48:$AT$48</c:f>
              <c:numCache>
                <c:formatCode>0.0</c:formatCode>
                <c:ptCount val="5"/>
                <c:pt idx="0">
                  <c:v>1.513317191283293</c:v>
                </c:pt>
                <c:pt idx="1">
                  <c:v>1.6516516516516517</c:v>
                </c:pt>
                <c:pt idx="2">
                  <c:v>1.6661707825052068</c:v>
                </c:pt>
                <c:pt idx="3">
                  <c:v>1.1173184357541899</c:v>
                </c:pt>
                <c:pt idx="4">
                  <c:v>1.0471204188481675</c:v>
                </c:pt>
              </c:numCache>
            </c:numRef>
          </c:val>
          <c:smooth val="0"/>
          <c:extLst>
            <c:ext xmlns:c16="http://schemas.microsoft.com/office/drawing/2014/chart" uri="{C3380CC4-5D6E-409C-BE32-E72D297353CC}">
              <c16:uniqueId val="{00000007-AF79-4A96-A731-660B51CA24CE}"/>
            </c:ext>
          </c:extLst>
        </c:ser>
        <c:ser>
          <c:idx val="12"/>
          <c:order val="7"/>
          <c:tx>
            <c:strRef>
              <c:f>Adoption!$AO$49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Adoption!$Z$2:$AD$3</c:f>
              <c:strCache>
                <c:ptCount val="5"/>
                <c:pt idx="0">
                  <c:v>2015-16</c:v>
                </c:pt>
                <c:pt idx="1">
                  <c:v>2016-17</c:v>
                </c:pt>
                <c:pt idx="2">
                  <c:v>2017-18</c:v>
                </c:pt>
                <c:pt idx="3">
                  <c:v>2018-19</c:v>
                </c:pt>
                <c:pt idx="4">
                  <c:v>2019-20</c:v>
                </c:pt>
              </c:strCache>
            </c:strRef>
          </c:cat>
          <c:val>
            <c:numRef>
              <c:f>Adoption!$AP$49:$AT$49</c:f>
              <c:numCache>
                <c:formatCode>0.0</c:formatCode>
                <c:ptCount val="5"/>
                <c:pt idx="0">
                  <c:v>3.9556962025316453</c:v>
                </c:pt>
                <c:pt idx="1">
                  <c:v>5.6514913657770807</c:v>
                </c:pt>
                <c:pt idx="2">
                  <c:v>3.5993740219092332</c:v>
                </c:pt>
                <c:pt idx="3">
                  <c:v>1.5527950310559007</c:v>
                </c:pt>
                <c:pt idx="4">
                  <c:v>2.1538461538461537</c:v>
                </c:pt>
              </c:numCache>
            </c:numRef>
          </c:val>
          <c:smooth val="0"/>
          <c:extLst>
            <c:ext xmlns:c16="http://schemas.microsoft.com/office/drawing/2014/chart" uri="{C3380CC4-5D6E-409C-BE32-E72D297353CC}">
              <c16:uniqueId val="{00000008-AF79-4A96-A731-660B51CA24CE}"/>
            </c:ext>
          </c:extLst>
        </c:ser>
        <c:ser>
          <c:idx val="13"/>
          <c:order val="8"/>
          <c:tx>
            <c:strRef>
              <c:f>Adoption!$AO$50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Adoption!$Z$2:$AD$3</c:f>
              <c:strCache>
                <c:ptCount val="5"/>
                <c:pt idx="0">
                  <c:v>2015-16</c:v>
                </c:pt>
                <c:pt idx="1">
                  <c:v>2016-17</c:v>
                </c:pt>
                <c:pt idx="2">
                  <c:v>2017-18</c:v>
                </c:pt>
                <c:pt idx="3">
                  <c:v>2018-19</c:v>
                </c:pt>
                <c:pt idx="4">
                  <c:v>2019-20</c:v>
                </c:pt>
              </c:strCache>
            </c:strRef>
          </c:cat>
          <c:val>
            <c:numRef>
              <c:f>Adoption!$AP$50:$AT$50</c:f>
              <c:numCache>
                <c:formatCode>0.0</c:formatCode>
                <c:ptCount val="5"/>
                <c:pt idx="0">
                  <c:v>#N/A</c:v>
                </c:pt>
                <c:pt idx="1">
                  <c:v>0.89418777943368111</c:v>
                </c:pt>
                <c:pt idx="2">
                  <c:v>#N/A</c:v>
                </c:pt>
                <c:pt idx="3">
                  <c:v>0.87847730600292828</c:v>
                </c:pt>
                <c:pt idx="4">
                  <c:v>2.3255813953488373</c:v>
                </c:pt>
              </c:numCache>
            </c:numRef>
          </c:val>
          <c:smooth val="0"/>
          <c:extLst>
            <c:ext xmlns:c16="http://schemas.microsoft.com/office/drawing/2014/chart" uri="{C3380CC4-5D6E-409C-BE32-E72D297353CC}">
              <c16:uniqueId val="{00000009-AF79-4A96-A731-660B51CA24CE}"/>
            </c:ext>
          </c:extLst>
        </c:ser>
        <c:ser>
          <c:idx val="15"/>
          <c:order val="9"/>
          <c:tx>
            <c:strRef>
              <c:f>Adoption!$AO$51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Adoption!$Z$2:$AD$3</c:f>
              <c:strCache>
                <c:ptCount val="5"/>
                <c:pt idx="0">
                  <c:v>2015-16</c:v>
                </c:pt>
                <c:pt idx="1">
                  <c:v>2016-17</c:v>
                </c:pt>
                <c:pt idx="2">
                  <c:v>2017-18</c:v>
                </c:pt>
                <c:pt idx="3">
                  <c:v>2018-19</c:v>
                </c:pt>
                <c:pt idx="4">
                  <c:v>2019-20</c:v>
                </c:pt>
              </c:strCache>
            </c:strRef>
          </c:cat>
          <c:val>
            <c:numRef>
              <c:f>Adoption!$AP$51:$AT$51</c:f>
              <c:numCache>
                <c:formatCode>0.0</c:formatCode>
                <c:ptCount val="5"/>
                <c:pt idx="0">
                  <c:v>1.4104372355430184</c:v>
                </c:pt>
                <c:pt idx="1">
                  <c:v>1.8894331700489853</c:v>
                </c:pt>
                <c:pt idx="2">
                  <c:v>1.3249651324965133</c:v>
                </c:pt>
                <c:pt idx="3">
                  <c:v>2.0027624309392262</c:v>
                </c:pt>
                <c:pt idx="4">
                  <c:v>1.1635865845311431</c:v>
                </c:pt>
              </c:numCache>
            </c:numRef>
          </c:val>
          <c:smooth val="0"/>
          <c:extLst>
            <c:ext xmlns:c16="http://schemas.microsoft.com/office/drawing/2014/chart" uri="{C3380CC4-5D6E-409C-BE32-E72D297353CC}">
              <c16:uniqueId val="{0000000A-AF79-4A96-A731-660B51CA24CE}"/>
            </c:ext>
          </c:extLst>
        </c:ser>
        <c:ser>
          <c:idx val="16"/>
          <c:order val="10"/>
          <c:tx>
            <c:strRef>
              <c:f>Adoption!$AO$52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Adoption!$Z$2:$AD$3</c:f>
              <c:strCache>
                <c:ptCount val="5"/>
                <c:pt idx="0">
                  <c:v>2015-16</c:v>
                </c:pt>
                <c:pt idx="1">
                  <c:v>2016-17</c:v>
                </c:pt>
                <c:pt idx="2">
                  <c:v>2017-18</c:v>
                </c:pt>
                <c:pt idx="3">
                  <c:v>2018-19</c:v>
                </c:pt>
                <c:pt idx="4">
                  <c:v>2019-20</c:v>
                </c:pt>
              </c:strCache>
            </c:strRef>
          </c:cat>
          <c:val>
            <c:numRef>
              <c:f>Adoption!$AP$52:$AT$52</c:f>
              <c:numCache>
                <c:formatCode>0.0</c:formatCode>
                <c:ptCount val="5"/>
                <c:pt idx="0">
                  <c:v>4.5662100456621006</c:v>
                </c:pt>
                <c:pt idx="1">
                  <c:v>#N/A</c:v>
                </c:pt>
                <c:pt idx="2">
                  <c:v>#N/A</c:v>
                </c:pt>
                <c:pt idx="3">
                  <c:v>#N/A</c:v>
                </c:pt>
                <c:pt idx="4">
                  <c:v>1.5981735159817352</c:v>
                </c:pt>
              </c:numCache>
            </c:numRef>
          </c:val>
          <c:smooth val="0"/>
          <c:extLst>
            <c:ext xmlns:c16="http://schemas.microsoft.com/office/drawing/2014/chart" uri="{C3380CC4-5D6E-409C-BE32-E72D297353CC}">
              <c16:uniqueId val="{0000000B-AF79-4A96-A731-660B51CA24CE}"/>
            </c:ext>
          </c:extLst>
        </c:ser>
        <c:ser>
          <c:idx val="17"/>
          <c:order val="11"/>
          <c:tx>
            <c:strRef>
              <c:f>Adoption!$AO$53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Adoption!$Z$2:$AD$3</c:f>
              <c:strCache>
                <c:ptCount val="5"/>
                <c:pt idx="0">
                  <c:v>2015-16</c:v>
                </c:pt>
                <c:pt idx="1">
                  <c:v>2016-17</c:v>
                </c:pt>
                <c:pt idx="2">
                  <c:v>2017-18</c:v>
                </c:pt>
                <c:pt idx="3">
                  <c:v>2018-19</c:v>
                </c:pt>
                <c:pt idx="4">
                  <c:v>2019-20</c:v>
                </c:pt>
              </c:strCache>
            </c:strRef>
          </c:cat>
          <c:val>
            <c:numRef>
              <c:f>Adoption!$AP$53:$AT$53</c:f>
              <c:numCache>
                <c:formatCode>0.0</c:formatCode>
                <c:ptCount val="5"/>
                <c:pt idx="0">
                  <c:v>1.3736263736263736</c:v>
                </c:pt>
                <c:pt idx="1">
                  <c:v>#N/A</c:v>
                </c:pt>
                <c:pt idx="2">
                  <c:v>3.2345013477088949</c:v>
                </c:pt>
                <c:pt idx="3">
                  <c:v>1.8867924528301885</c:v>
                </c:pt>
                <c:pt idx="4">
                  <c:v>#N/A</c:v>
                </c:pt>
              </c:numCache>
            </c:numRef>
          </c:val>
          <c:smooth val="0"/>
          <c:extLst>
            <c:ext xmlns:c16="http://schemas.microsoft.com/office/drawing/2014/chart" uri="{C3380CC4-5D6E-409C-BE32-E72D297353CC}">
              <c16:uniqueId val="{0000000C-AF79-4A96-A731-660B51CA24CE}"/>
            </c:ext>
          </c:extLst>
        </c:ser>
        <c:ser>
          <c:idx val="19"/>
          <c:order val="12"/>
          <c:tx>
            <c:strRef>
              <c:f>Adoption!$AO$54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Adoption!$Z$2:$AD$3</c:f>
              <c:strCache>
                <c:ptCount val="5"/>
                <c:pt idx="0">
                  <c:v>2015-16</c:v>
                </c:pt>
                <c:pt idx="1">
                  <c:v>2016-17</c:v>
                </c:pt>
                <c:pt idx="2">
                  <c:v>2017-18</c:v>
                </c:pt>
                <c:pt idx="3">
                  <c:v>2018-19</c:v>
                </c:pt>
                <c:pt idx="4">
                  <c:v>2019-20</c:v>
                </c:pt>
              </c:strCache>
            </c:strRef>
          </c:cat>
          <c:val>
            <c:numRef>
              <c:f>Adoption!$AP$54:$AT$54</c:f>
              <c:numCache>
                <c:formatCode>0.0</c:formatCode>
                <c:ptCount val="5"/>
                <c:pt idx="0">
                  <c:v>1.2315270935960589</c:v>
                </c:pt>
                <c:pt idx="1">
                  <c:v>1.932367149758454</c:v>
                </c:pt>
                <c:pt idx="2">
                  <c:v>1.8957345971563981</c:v>
                </c:pt>
                <c:pt idx="3">
                  <c:v>#N/A</c:v>
                </c:pt>
                <c:pt idx="4">
                  <c:v>1.8561484918793505</c:v>
                </c:pt>
              </c:numCache>
            </c:numRef>
          </c:val>
          <c:smooth val="0"/>
          <c:extLst>
            <c:ext xmlns:c16="http://schemas.microsoft.com/office/drawing/2014/chart" uri="{C3380CC4-5D6E-409C-BE32-E72D297353CC}">
              <c16:uniqueId val="{0000000D-AF79-4A96-A731-660B51CA24CE}"/>
            </c:ext>
          </c:extLst>
        </c:ser>
        <c:ser>
          <c:idx val="3"/>
          <c:order val="13"/>
          <c:tx>
            <c:strRef>
              <c:f>Adoption!$AO$55</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Adoption!$Z$2:$AD$3</c:f>
              <c:strCache>
                <c:ptCount val="5"/>
                <c:pt idx="0">
                  <c:v>2015-16</c:v>
                </c:pt>
                <c:pt idx="1">
                  <c:v>2016-17</c:v>
                </c:pt>
                <c:pt idx="2">
                  <c:v>2017-18</c:v>
                </c:pt>
                <c:pt idx="3">
                  <c:v>2018-19</c:v>
                </c:pt>
                <c:pt idx="4">
                  <c:v>2019-20</c:v>
                </c:pt>
              </c:strCache>
            </c:strRef>
          </c:cat>
          <c:val>
            <c:numRef>
              <c:f>Adoption!$AP$55:$AT$55</c:f>
              <c:numCache>
                <c:formatCode>0.0</c:formatCode>
                <c:ptCount val="5"/>
                <c:pt idx="0">
                  <c:v>1.3736263736263736</c:v>
                </c:pt>
                <c:pt idx="1">
                  <c:v>1.4585232452142205</c:v>
                </c:pt>
                <c:pt idx="2">
                  <c:v>#N/A</c:v>
                </c:pt>
                <c:pt idx="3">
                  <c:v>#N/A</c:v>
                </c:pt>
                <c:pt idx="4">
                  <c:v>2.0683453237410072</c:v>
                </c:pt>
              </c:numCache>
            </c:numRef>
          </c:val>
          <c:smooth val="0"/>
          <c:extLst>
            <c:ext xmlns:c16="http://schemas.microsoft.com/office/drawing/2014/chart" uri="{C3380CC4-5D6E-409C-BE32-E72D297353CC}">
              <c16:uniqueId val="{0000000E-AF79-4A96-A731-660B51CA24CE}"/>
            </c:ext>
          </c:extLst>
        </c:ser>
        <c:ser>
          <c:idx val="20"/>
          <c:order val="14"/>
          <c:tx>
            <c:strRef>
              <c:f>Adoption!$AO$56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Adoption!$Z$2:$AD$3</c:f>
              <c:strCache>
                <c:ptCount val="5"/>
                <c:pt idx="0">
                  <c:v>2015-16</c:v>
                </c:pt>
                <c:pt idx="1">
                  <c:v>2016-17</c:v>
                </c:pt>
                <c:pt idx="2">
                  <c:v>2017-18</c:v>
                </c:pt>
                <c:pt idx="3">
                  <c:v>2018-19</c:v>
                </c:pt>
                <c:pt idx="4">
                  <c:v>2019-20</c:v>
                </c:pt>
              </c:strCache>
            </c:strRef>
          </c:cat>
          <c:val>
            <c:numRef>
              <c:f>Adoption!$AP$56:$AT$56</c:f>
              <c:numCache>
                <c:formatCode>0.0</c:formatCode>
                <c:ptCount val="5"/>
                <c:pt idx="0">
                  <c:v>12.195121951219512</c:v>
                </c:pt>
                <c:pt idx="1">
                  <c:v>8.0160320641282556</c:v>
                </c:pt>
                <c:pt idx="2">
                  <c:v>5.5666003976143141</c:v>
                </c:pt>
                <c:pt idx="3">
                  <c:v>2.5590551181102366</c:v>
                </c:pt>
                <c:pt idx="4">
                  <c:v>#N/A</c:v>
                </c:pt>
              </c:numCache>
            </c:numRef>
          </c:val>
          <c:smooth val="0"/>
          <c:extLst>
            <c:ext xmlns:c16="http://schemas.microsoft.com/office/drawing/2014/chart" uri="{C3380CC4-5D6E-409C-BE32-E72D297353CC}">
              <c16:uniqueId val="{0000000F-AF79-4A96-A731-660B51CA24CE}"/>
            </c:ext>
          </c:extLst>
        </c:ser>
        <c:ser>
          <c:idx val="22"/>
          <c:order val="15"/>
          <c:tx>
            <c:strRef>
              <c:f>Adoption!$AO$57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Adoption!$Z$2:$AD$3</c:f>
              <c:strCache>
                <c:ptCount val="5"/>
                <c:pt idx="0">
                  <c:v>2015-16</c:v>
                </c:pt>
                <c:pt idx="1">
                  <c:v>2016-17</c:v>
                </c:pt>
                <c:pt idx="2">
                  <c:v>2017-18</c:v>
                </c:pt>
                <c:pt idx="3">
                  <c:v>2018-19</c:v>
                </c:pt>
                <c:pt idx="4">
                  <c:v>2019-20</c:v>
                </c:pt>
              </c:strCache>
            </c:strRef>
          </c:cat>
          <c:val>
            <c:numRef>
              <c:f>Adoption!$AP$57:$AT$57</c:f>
              <c:numCache>
                <c:formatCode>0.0</c:formatCode>
                <c:ptCount val="5"/>
                <c:pt idx="0">
                  <c:v>1.3650546021840875</c:v>
                </c:pt>
                <c:pt idx="1">
                  <c:v>0.84942084942084939</c:v>
                </c:pt>
                <c:pt idx="2">
                  <c:v>0.53784095274683064</c:v>
                </c:pt>
                <c:pt idx="3">
                  <c:v>0.49637266132111491</c:v>
                </c:pt>
                <c:pt idx="4">
                  <c:v>#N/A</c:v>
                </c:pt>
              </c:numCache>
            </c:numRef>
          </c:val>
          <c:smooth val="0"/>
          <c:extLst>
            <c:ext xmlns:c16="http://schemas.microsoft.com/office/drawing/2014/chart" uri="{C3380CC4-5D6E-409C-BE32-E72D297353CC}">
              <c16:uniqueId val="{00000010-AF79-4A96-A731-660B51CA24CE}"/>
            </c:ext>
          </c:extLst>
        </c:ser>
        <c:ser>
          <c:idx val="7"/>
          <c:order val="16"/>
          <c:tx>
            <c:strRef>
              <c:f>Adoption!$AO$58</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Adoption!$Z$2:$AD$3</c:f>
              <c:strCache>
                <c:ptCount val="5"/>
                <c:pt idx="0">
                  <c:v>2015-16</c:v>
                </c:pt>
                <c:pt idx="1">
                  <c:v>2016-17</c:v>
                </c:pt>
                <c:pt idx="2">
                  <c:v>2017-18</c:v>
                </c:pt>
                <c:pt idx="3">
                  <c:v>2018-19</c:v>
                </c:pt>
                <c:pt idx="4">
                  <c:v>2019-20</c:v>
                </c:pt>
              </c:strCache>
            </c:strRef>
          </c:cat>
          <c:val>
            <c:numRef>
              <c:f>Adoption!$AP$58:$AT$58</c:f>
              <c:numCache>
                <c:formatCode>0.0</c:formatCode>
                <c:ptCount val="5"/>
                <c:pt idx="0">
                  <c:v>1.0204081632653061</c:v>
                </c:pt>
                <c:pt idx="1">
                  <c:v>#N/A</c:v>
                </c:pt>
                <c:pt idx="2">
                  <c:v>#N/A</c:v>
                </c:pt>
                <c:pt idx="3">
                  <c:v>1.9920318725099602</c:v>
                </c:pt>
                <c:pt idx="4">
                  <c:v>2.3809523809523809</c:v>
                </c:pt>
              </c:numCache>
            </c:numRef>
          </c:val>
          <c:smooth val="0"/>
          <c:extLst>
            <c:ext xmlns:c16="http://schemas.microsoft.com/office/drawing/2014/chart" uri="{C3380CC4-5D6E-409C-BE32-E72D297353CC}">
              <c16:uniqueId val="{00000011-AF79-4A96-A731-660B51CA24CE}"/>
            </c:ext>
          </c:extLst>
        </c:ser>
        <c:ser>
          <c:idx val="8"/>
          <c:order val="17"/>
          <c:tx>
            <c:strRef>
              <c:f>Adoption!$AO$59</c:f>
              <c:strCache>
                <c:ptCount val="1"/>
                <c:pt idx="0">
                  <c:v>Torbay</c:v>
                </c:pt>
              </c:strCache>
            </c:strRef>
          </c:tx>
          <c:spPr>
            <a:ln w="12700"/>
          </c:spPr>
          <c:marker>
            <c:symbol val="circle"/>
            <c:size val="5"/>
            <c:spPr>
              <a:solidFill>
                <a:schemeClr val="accent3">
                  <a:lumMod val="20000"/>
                  <a:lumOff val="80000"/>
                </a:schemeClr>
              </a:solidFill>
            </c:spPr>
          </c:marker>
          <c:cat>
            <c:strRef>
              <c:f>Adoption!$Z$2:$AD$3</c:f>
              <c:strCache>
                <c:ptCount val="5"/>
                <c:pt idx="0">
                  <c:v>2015-16</c:v>
                </c:pt>
                <c:pt idx="1">
                  <c:v>2016-17</c:v>
                </c:pt>
                <c:pt idx="2">
                  <c:v>2017-18</c:v>
                </c:pt>
                <c:pt idx="3">
                  <c:v>2018-19</c:v>
                </c:pt>
                <c:pt idx="4">
                  <c:v>2019-20</c:v>
                </c:pt>
              </c:strCache>
            </c:strRef>
          </c:cat>
          <c:val>
            <c:numRef>
              <c:f>Adoption!$AP$59:$AT$59</c:f>
              <c:numCache>
                <c:formatCode>0.0</c:formatCode>
                <c:ptCount val="5"/>
                <c:pt idx="0">
                  <c:v>3.9682539682539684</c:v>
                </c:pt>
                <c:pt idx="1">
                  <c:v>5.5118110236220472</c:v>
                </c:pt>
                <c:pt idx="2">
                  <c:v>2.7559055118110236</c:v>
                </c:pt>
                <c:pt idx="3">
                  <c:v>8.2677165354330704</c:v>
                </c:pt>
                <c:pt idx="4">
                  <c:v>#N/A</c:v>
                </c:pt>
              </c:numCache>
            </c:numRef>
          </c:val>
          <c:smooth val="0"/>
          <c:extLst>
            <c:ext xmlns:c16="http://schemas.microsoft.com/office/drawing/2014/chart" uri="{C3380CC4-5D6E-409C-BE32-E72D297353CC}">
              <c16:uniqueId val="{00000012-AF79-4A96-A731-660B51CA24CE}"/>
            </c:ext>
          </c:extLst>
        </c:ser>
        <c:ser>
          <c:idx val="23"/>
          <c:order val="18"/>
          <c:tx>
            <c:strRef>
              <c:f>Adoption!$AO$60</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Adoption!$Z$2:$AD$3</c:f>
              <c:strCache>
                <c:ptCount val="5"/>
                <c:pt idx="0">
                  <c:v>2015-16</c:v>
                </c:pt>
                <c:pt idx="1">
                  <c:v>2016-17</c:v>
                </c:pt>
                <c:pt idx="2">
                  <c:v>2017-18</c:v>
                </c:pt>
                <c:pt idx="3">
                  <c:v>2018-19</c:v>
                </c:pt>
                <c:pt idx="4">
                  <c:v>2019-20</c:v>
                </c:pt>
              </c:strCache>
            </c:strRef>
          </c:cat>
          <c:val>
            <c:numRef>
              <c:f>Adoption!$AP$60:$AT$60</c:f>
              <c:numCache>
                <c:formatCode>0.0</c:formatCode>
                <c:ptCount val="5"/>
                <c:pt idx="0">
                  <c:v>2.8011204481792715</c:v>
                </c:pt>
                <c:pt idx="1">
                  <c:v>#N/A</c:v>
                </c:pt>
                <c:pt idx="2">
                  <c:v>#N/A</c:v>
                </c:pt>
                <c:pt idx="3">
                  <c:v>#N/A</c:v>
                </c:pt>
                <c:pt idx="4">
                  <c:v>#N/A</c:v>
                </c:pt>
              </c:numCache>
            </c:numRef>
          </c:val>
          <c:smooth val="0"/>
          <c:extLst>
            <c:ext xmlns:c16="http://schemas.microsoft.com/office/drawing/2014/chart" uri="{C3380CC4-5D6E-409C-BE32-E72D297353CC}">
              <c16:uniqueId val="{00000013-AF79-4A96-A731-660B51CA24CE}"/>
            </c:ext>
          </c:extLst>
        </c:ser>
        <c:ser>
          <c:idx val="24"/>
          <c:order val="19"/>
          <c:tx>
            <c:strRef>
              <c:f>Adoption!$AO$61</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Adoption!$Z$2:$AD$3</c:f>
              <c:strCache>
                <c:ptCount val="5"/>
                <c:pt idx="0">
                  <c:v>2015-16</c:v>
                </c:pt>
                <c:pt idx="1">
                  <c:v>2016-17</c:v>
                </c:pt>
                <c:pt idx="2">
                  <c:v>2017-18</c:v>
                </c:pt>
                <c:pt idx="3">
                  <c:v>2018-19</c:v>
                </c:pt>
                <c:pt idx="4">
                  <c:v>2019-20</c:v>
                </c:pt>
              </c:strCache>
            </c:strRef>
          </c:cat>
          <c:val>
            <c:numRef>
              <c:f>Adoption!$AP$61:$AT$61</c:f>
              <c:numCache>
                <c:formatCode>0.0</c:formatCode>
                <c:ptCount val="5"/>
                <c:pt idx="0">
                  <c:v>2.640845070422535</c:v>
                </c:pt>
                <c:pt idx="1">
                  <c:v>1.7462165308498254</c:v>
                </c:pt>
                <c:pt idx="2">
                  <c:v>2.3658395845354878</c:v>
                </c:pt>
                <c:pt idx="3">
                  <c:v>2.0034344590726958</c:v>
                </c:pt>
                <c:pt idx="4">
                  <c:v>1.8171493469619533</c:v>
                </c:pt>
              </c:numCache>
            </c:numRef>
          </c:val>
          <c:smooth val="0"/>
          <c:extLst>
            <c:ext xmlns:c16="http://schemas.microsoft.com/office/drawing/2014/chart" uri="{C3380CC4-5D6E-409C-BE32-E72D297353CC}">
              <c16:uniqueId val="{00000014-AF79-4A96-A731-660B51CA24CE}"/>
            </c:ext>
          </c:extLst>
        </c:ser>
        <c:ser>
          <c:idx val="25"/>
          <c:order val="20"/>
          <c:tx>
            <c:strRef>
              <c:f>Adoption!$AO$62</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Adoption!$Z$2:$AD$3</c:f>
              <c:strCache>
                <c:ptCount val="5"/>
                <c:pt idx="0">
                  <c:v>2015-16</c:v>
                </c:pt>
                <c:pt idx="1">
                  <c:v>2016-17</c:v>
                </c:pt>
                <c:pt idx="2">
                  <c:v>2017-18</c:v>
                </c:pt>
                <c:pt idx="3">
                  <c:v>2018-19</c:v>
                </c:pt>
                <c:pt idx="4">
                  <c:v>2019-20</c:v>
                </c:pt>
              </c:strCache>
            </c:strRef>
          </c:cat>
          <c:val>
            <c:numRef>
              <c:f>Adoption!$AP$62:$AT$62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AF79-4A96-A731-660B51CA24CE}"/>
            </c:ext>
          </c:extLst>
        </c:ser>
        <c:ser>
          <c:idx val="26"/>
          <c:order val="21"/>
          <c:tx>
            <c:strRef>
              <c:f>Adoption!$AO$63</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Adoption!$Z$2:$AD$3</c:f>
              <c:strCache>
                <c:ptCount val="5"/>
                <c:pt idx="0">
                  <c:v>2015-16</c:v>
                </c:pt>
                <c:pt idx="1">
                  <c:v>2016-17</c:v>
                </c:pt>
                <c:pt idx="2">
                  <c:v>2017-18</c:v>
                </c:pt>
                <c:pt idx="3">
                  <c:v>2018-19</c:v>
                </c:pt>
                <c:pt idx="4">
                  <c:v>2019-20</c:v>
                </c:pt>
              </c:strCache>
            </c:strRef>
          </c:cat>
          <c:val>
            <c:numRef>
              <c:f>Adoption!$AP$63:$AT$63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AF79-4A96-A731-660B51CA24CE}"/>
            </c:ext>
          </c:extLst>
        </c:ser>
        <c:ser>
          <c:idx val="4"/>
          <c:order val="22"/>
          <c:tx>
            <c:strRef>
              <c:f>Adoption!$AO$64</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Adoption!$Z$2:$AD$3</c:f>
              <c:strCache>
                <c:ptCount val="5"/>
                <c:pt idx="0">
                  <c:v>2015-16</c:v>
                </c:pt>
                <c:pt idx="1">
                  <c:v>2016-17</c:v>
                </c:pt>
                <c:pt idx="2">
                  <c:v>2017-18</c:v>
                </c:pt>
                <c:pt idx="3">
                  <c:v>2018-19</c:v>
                </c:pt>
                <c:pt idx="4">
                  <c:v>2019-20</c:v>
                </c:pt>
              </c:strCache>
            </c:strRef>
          </c:cat>
          <c:val>
            <c:numRef>
              <c:f>Adoption!$AP$64:$AT$64</c:f>
              <c:numCache>
                <c:formatCode>0.0</c:formatCode>
                <c:ptCount val="5"/>
                <c:pt idx="0">
                  <c:v>2.3352508970780885</c:v>
                </c:pt>
                <c:pt idx="1">
                  <c:v>2.2141941498659832</c:v>
                </c:pt>
                <c:pt idx="2">
                  <c:v>2.0359281437125749</c:v>
                </c:pt>
                <c:pt idx="3">
                  <c:v>1.7484700886724116</c:v>
                </c:pt>
                <c:pt idx="4">
                  <c:v>1.6872511304582574</c:v>
                </c:pt>
              </c:numCache>
            </c:numRef>
          </c:val>
          <c:smooth val="0"/>
          <c:extLst>
            <c:ext xmlns:c16="http://schemas.microsoft.com/office/drawing/2014/chart" uri="{C3380CC4-5D6E-409C-BE32-E72D297353CC}">
              <c16:uniqueId val="{00000017-AF79-4A96-A731-660B51CA24CE}"/>
            </c:ext>
          </c:extLst>
        </c:ser>
        <c:ser>
          <c:idx val="14"/>
          <c:order val="23"/>
          <c:tx>
            <c:strRef>
              <c:f>Adoption!$AO$65</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Adoption!$Z$2:$AD$3</c:f>
              <c:strCache>
                <c:ptCount val="5"/>
                <c:pt idx="0">
                  <c:v>2015-16</c:v>
                </c:pt>
                <c:pt idx="1">
                  <c:v>2016-17</c:v>
                </c:pt>
                <c:pt idx="2">
                  <c:v>2017-18</c:v>
                </c:pt>
                <c:pt idx="3">
                  <c:v>2018-19</c:v>
                </c:pt>
                <c:pt idx="4">
                  <c:v>2019-20</c:v>
                </c:pt>
              </c:strCache>
            </c:strRef>
          </c:cat>
          <c:val>
            <c:numRef>
              <c:f>Adoption!$AP$65:$AT$65</c:f>
              <c:numCache>
                <c:formatCode>0.0</c:formatCode>
                <c:ptCount val="5"/>
                <c:pt idx="0">
                  <c:v>2.5175759340292343</c:v>
                </c:pt>
                <c:pt idx="1">
                  <c:v>2.1382569811544894</c:v>
                </c:pt>
                <c:pt idx="2">
                  <c:v>1.8791606977332098</c:v>
                </c:pt>
                <c:pt idx="3">
                  <c:v>1.8319308048784566</c:v>
                </c:pt>
                <c:pt idx="4">
                  <c:v>1.7132971822083238</c:v>
                </c:pt>
              </c:numCache>
            </c:numRef>
          </c:val>
          <c:smooth val="0"/>
          <c:extLst>
            <c:ext xmlns:c16="http://schemas.microsoft.com/office/drawing/2014/chart" uri="{C3380CC4-5D6E-409C-BE32-E72D297353CC}">
              <c16:uniqueId val="{00000018-AF79-4A96-A731-660B51CA24CE}"/>
            </c:ext>
          </c:extLst>
        </c:ser>
        <c:ser>
          <c:idx val="6"/>
          <c:order val="24"/>
          <c:tx>
            <c:strRef>
              <c:f>Adoption!$AO$66</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Adoption!$Z$2:$AD$3</c:f>
              <c:strCache>
                <c:ptCount val="5"/>
                <c:pt idx="0">
                  <c:v>2015-16</c:v>
                </c:pt>
                <c:pt idx="1">
                  <c:v>2016-17</c:v>
                </c:pt>
                <c:pt idx="2">
                  <c:v>2017-18</c:v>
                </c:pt>
                <c:pt idx="3">
                  <c:v>2018-19</c:v>
                </c:pt>
                <c:pt idx="4">
                  <c:v>2019-20</c:v>
                </c:pt>
              </c:strCache>
            </c:strRef>
          </c:cat>
          <c:val>
            <c:numRef>
              <c:f>Adoption!$AP$66:$AT$66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AF79-4A96-A731-660B51CA24CE}"/>
            </c:ext>
          </c:extLst>
        </c:ser>
        <c:dLbls>
          <c:showLegendKey val="0"/>
          <c:showVal val="0"/>
          <c:showCatName val="0"/>
          <c:showSerName val="0"/>
          <c:showPercent val="0"/>
          <c:showBubbleSize val="0"/>
        </c:dLbls>
        <c:marker val="1"/>
        <c:smooth val="0"/>
        <c:axId val="417511296"/>
        <c:axId val="417512832"/>
      </c:lineChart>
      <c:catAx>
        <c:axId val="417511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7512832"/>
        <c:crosses val="autoZero"/>
        <c:auto val="1"/>
        <c:lblAlgn val="ctr"/>
        <c:lblOffset val="100"/>
        <c:tickLblSkip val="1"/>
        <c:tickMarkSkip val="1"/>
        <c:noMultiLvlLbl val="0"/>
      </c:catAx>
      <c:valAx>
        <c:axId val="41751283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751129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90836993428112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Children Placed for Adoption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0835954946191171"/>
          <c:y val="3.8613923259592552E-3"/>
        </c:manualLayout>
      </c:layout>
      <c:overlay val="0"/>
      <c:spPr>
        <a:noFill/>
        <a:ln w="25400">
          <a:noFill/>
        </a:ln>
      </c:spPr>
    </c:title>
    <c:autoTitleDeleted val="0"/>
    <c:plotArea>
      <c:layout>
        <c:manualLayout>
          <c:layoutTarget val="inner"/>
          <c:xMode val="edge"/>
          <c:yMode val="edge"/>
          <c:x val="7.8261965506059988E-2"/>
          <c:y val="0.21104924384451942"/>
          <c:w val="0.67011018727554161"/>
          <c:h val="0.55860704911886017"/>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2015-16</c:v>
                </c:pt>
                <c:pt idx="1">
                  <c:v>2016-17</c:v>
                </c:pt>
                <c:pt idx="2">
                  <c:v>2017-18</c:v>
                </c:pt>
                <c:pt idx="3">
                  <c:v>2018-19</c:v>
                </c:pt>
                <c:pt idx="4">
                  <c:v>2019-20</c:v>
                </c:pt>
              </c:strCache>
            </c:strRef>
          </c:cat>
          <c:val>
            <c:numRef>
              <c:f>Adoption!$AP$66:$AT$66</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2607-414A-BE2C-58813A8ACD44}"/>
            </c:ext>
          </c:extLst>
        </c:ser>
        <c:ser>
          <c:idx val="4"/>
          <c:order val="1"/>
          <c:tx>
            <c:strRef>
              <c:f>Adoption!$B$32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2015-16</c:v>
                </c:pt>
                <c:pt idx="1">
                  <c:v>2016-17</c:v>
                </c:pt>
                <c:pt idx="2">
                  <c:v>2017-18</c:v>
                </c:pt>
                <c:pt idx="3">
                  <c:v>2018-19</c:v>
                </c:pt>
                <c:pt idx="4">
                  <c:v>2019-20</c:v>
                </c:pt>
              </c:strCache>
            </c:strRef>
          </c:cat>
          <c:val>
            <c:numRef>
              <c:f>Adoption!$L$32:$P$32</c:f>
              <c:numCache>
                <c:formatCode>0.0</c:formatCode>
                <c:ptCount val="5"/>
                <c:pt idx="0">
                  <c:v>2.3352508970780885</c:v>
                </c:pt>
                <c:pt idx="1">
                  <c:v>2.2141941498659832</c:v>
                </c:pt>
                <c:pt idx="2">
                  <c:v>2.0359281437125749</c:v>
                </c:pt>
                <c:pt idx="3">
                  <c:v>1.7484700886724116</c:v>
                </c:pt>
                <c:pt idx="4">
                  <c:v>1.6872511304582574</c:v>
                </c:pt>
              </c:numCache>
            </c:numRef>
          </c:val>
          <c:extLst>
            <c:ext xmlns:c16="http://schemas.microsoft.com/office/drawing/2014/chart" uri="{C3380CC4-5D6E-409C-BE32-E72D297353CC}">
              <c16:uniqueId val="{00000001-2607-414A-BE2C-58813A8ACD44}"/>
            </c:ext>
          </c:extLst>
        </c:ser>
        <c:ser>
          <c:idx val="0"/>
          <c:order val="2"/>
          <c:tx>
            <c:strRef>
              <c:f>Adoption!$B$33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2015-16</c:v>
                </c:pt>
                <c:pt idx="1">
                  <c:v>2016-17</c:v>
                </c:pt>
                <c:pt idx="2">
                  <c:v>2017-18</c:v>
                </c:pt>
                <c:pt idx="3">
                  <c:v>2018-19</c:v>
                </c:pt>
                <c:pt idx="4">
                  <c:v>2019-20</c:v>
                </c:pt>
              </c:strCache>
            </c:strRef>
          </c:cat>
          <c:val>
            <c:numRef>
              <c:f>Adoption!$L$33:$P$33</c:f>
              <c:numCache>
                <c:formatCode>0.0</c:formatCode>
                <c:ptCount val="5"/>
                <c:pt idx="0">
                  <c:v>2.5175759340292343</c:v>
                </c:pt>
                <c:pt idx="1">
                  <c:v>2.1382569811544894</c:v>
                </c:pt>
                <c:pt idx="2">
                  <c:v>1.8791606977332098</c:v>
                </c:pt>
                <c:pt idx="3">
                  <c:v>1.8319308048784566</c:v>
                </c:pt>
                <c:pt idx="4">
                  <c:v>1.7132971822083238</c:v>
                </c:pt>
              </c:numCache>
            </c:numRef>
          </c:val>
          <c:extLst>
            <c:ext xmlns:c16="http://schemas.microsoft.com/office/drawing/2014/chart" uri="{C3380CC4-5D6E-409C-BE32-E72D297353CC}">
              <c16:uniqueId val="{00000002-2607-414A-BE2C-58813A8ACD44}"/>
            </c:ext>
          </c:extLst>
        </c:ser>
        <c:dLbls>
          <c:showLegendKey val="0"/>
          <c:showVal val="0"/>
          <c:showCatName val="0"/>
          <c:showSerName val="0"/>
          <c:showPercent val="0"/>
          <c:showBubbleSize val="0"/>
        </c:dLbls>
        <c:gapWidth val="100"/>
        <c:axId val="418350208"/>
        <c:axId val="418351744"/>
      </c:barChart>
      <c:catAx>
        <c:axId val="418350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351744"/>
        <c:crosses val="autoZero"/>
        <c:auto val="1"/>
        <c:lblAlgn val="ctr"/>
        <c:lblOffset val="100"/>
        <c:noMultiLvlLbl val="0"/>
      </c:catAx>
      <c:valAx>
        <c:axId val="418351744"/>
        <c:scaling>
          <c:orientation val="minMax"/>
        </c:scaling>
        <c:delete val="0"/>
        <c:axPos val="l"/>
        <c:majorGridlines>
          <c:spPr>
            <a:ln w="12700">
              <a:solidFill>
                <a:schemeClr val="bg1">
                  <a:lumMod val="7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350208"/>
        <c:crosses val="autoZero"/>
        <c:crossBetween val="between"/>
      </c:valAx>
      <c:spPr>
        <a:noFill/>
        <a:ln w="3175">
          <a:solidFill>
            <a:srgbClr val="000000"/>
          </a:solidFill>
          <a:prstDash val="solid"/>
        </a:ln>
      </c:spPr>
    </c:plotArea>
    <c:legend>
      <c:legendPos val="r"/>
      <c:layout>
        <c:manualLayout>
          <c:xMode val="edge"/>
          <c:yMode val="edge"/>
          <c:x val="0.75990284431229316"/>
          <c:y val="0.18747281589801273"/>
          <c:w val="0.24009715568770687"/>
          <c:h val="0.8125271841019872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LAC to Adoption (Selected LA vs. SE &amp; National) </a:t>
            </a:r>
          </a:p>
        </c:rich>
      </c:tx>
      <c:layout>
        <c:manualLayout>
          <c:xMode val="edge"/>
          <c:yMode val="edge"/>
          <c:x val="0.15128205128205127"/>
          <c:y val="3.1258763887390788E-2"/>
        </c:manualLayout>
      </c:layout>
      <c:overlay val="0"/>
      <c:spPr>
        <a:noFill/>
        <a:ln w="25400">
          <a:noFill/>
        </a:ln>
      </c:spPr>
    </c:title>
    <c:autoTitleDeleted val="0"/>
    <c:plotArea>
      <c:layout>
        <c:manualLayout>
          <c:layoutTarget val="inner"/>
          <c:xMode val="edge"/>
          <c:yMode val="edge"/>
          <c:x val="9.8666564984461691E-2"/>
          <c:y val="0.2018215904830078"/>
          <c:w val="0.64607416380644722"/>
          <c:h val="0.54689436547704262"/>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2015-16</c:v>
                </c:pt>
                <c:pt idx="1">
                  <c:v>2016-17</c:v>
                </c:pt>
                <c:pt idx="2">
                  <c:v>2017-18</c:v>
                </c:pt>
                <c:pt idx="3">
                  <c:v>2018-19</c:v>
                </c:pt>
                <c:pt idx="4">
                  <c:v>2019-20</c:v>
                </c:pt>
              </c:strCache>
            </c:strRef>
          </c:cat>
          <c:val>
            <c:numRef>
              <c:f>Adoption!$BA$66:$BE$66</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AD75-41EA-83B5-FC0C89E7BAD7}"/>
            </c:ext>
          </c:extLst>
        </c:ser>
        <c:ser>
          <c:idx val="4"/>
          <c:order val="1"/>
          <c:tx>
            <c:strRef>
              <c:f>Adoption!$B$171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2015-16</c:v>
                </c:pt>
                <c:pt idx="1">
                  <c:v>2016-17</c:v>
                </c:pt>
                <c:pt idx="2">
                  <c:v>2017-18</c:v>
                </c:pt>
                <c:pt idx="3">
                  <c:v>2018-19</c:v>
                </c:pt>
                <c:pt idx="4">
                  <c:v>2019-20</c:v>
                </c:pt>
              </c:strCache>
            </c:strRef>
          </c:cat>
          <c:val>
            <c:numRef>
              <c:f>Adoption!$D$171:$H$171</c:f>
              <c:numCache>
                <c:formatCode>0%</c:formatCode>
                <c:ptCount val="5"/>
                <c:pt idx="0">
                  <c:v>0.14193548387096774</c:v>
                </c:pt>
                <c:pt idx="1">
                  <c:v>0.13118279569892474</c:v>
                </c:pt>
                <c:pt idx="2">
                  <c:v>0.12296983758700696</c:v>
                </c:pt>
                <c:pt idx="3">
                  <c:v>0.12318840579710146</c:v>
                </c:pt>
                <c:pt idx="4">
                  <c:v>0.11032863849765258</c:v>
                </c:pt>
              </c:numCache>
            </c:numRef>
          </c:val>
          <c:extLst>
            <c:ext xmlns:c16="http://schemas.microsoft.com/office/drawing/2014/chart" uri="{C3380CC4-5D6E-409C-BE32-E72D297353CC}">
              <c16:uniqueId val="{00000001-AD75-41EA-83B5-FC0C89E7BAD7}"/>
            </c:ext>
          </c:extLst>
        </c:ser>
        <c:ser>
          <c:idx val="0"/>
          <c:order val="2"/>
          <c:tx>
            <c:strRef>
              <c:f>Adoption!$B$172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2015-16</c:v>
                </c:pt>
                <c:pt idx="1">
                  <c:v>2016-17</c:v>
                </c:pt>
                <c:pt idx="2">
                  <c:v>2017-18</c:v>
                </c:pt>
                <c:pt idx="3">
                  <c:v>2018-19</c:v>
                </c:pt>
                <c:pt idx="4">
                  <c:v>2019-20</c:v>
                </c:pt>
              </c:strCache>
            </c:strRef>
          </c:cat>
          <c:val>
            <c:numRef>
              <c:f>Adoption!$D$172:$H$172</c:f>
              <c:numCache>
                <c:formatCode>0%</c:formatCode>
                <c:ptCount val="5"/>
                <c:pt idx="0">
                  <c:v>0.14783427495291901</c:v>
                </c:pt>
                <c:pt idx="1">
                  <c:v>0.13917197452229299</c:v>
                </c:pt>
                <c:pt idx="2">
                  <c:v>0.1281198003327787</c:v>
                </c:pt>
                <c:pt idx="3">
                  <c:v>0.12118126272912423</c:v>
                </c:pt>
                <c:pt idx="4">
                  <c:v>0.1165934437309902</c:v>
                </c:pt>
              </c:numCache>
            </c:numRef>
          </c:val>
          <c:extLst>
            <c:ext xmlns:c16="http://schemas.microsoft.com/office/drawing/2014/chart" uri="{C3380CC4-5D6E-409C-BE32-E72D297353CC}">
              <c16:uniqueId val="{00000002-AD75-41EA-83B5-FC0C89E7BAD7}"/>
            </c:ext>
          </c:extLst>
        </c:ser>
        <c:dLbls>
          <c:showLegendKey val="0"/>
          <c:showVal val="0"/>
          <c:showCatName val="0"/>
          <c:showSerName val="0"/>
          <c:showPercent val="0"/>
          <c:showBubbleSize val="0"/>
        </c:dLbls>
        <c:gapWidth val="100"/>
        <c:axId val="418423168"/>
        <c:axId val="418424704"/>
      </c:barChart>
      <c:catAx>
        <c:axId val="418423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424704"/>
        <c:crosses val="autoZero"/>
        <c:auto val="1"/>
        <c:lblAlgn val="ctr"/>
        <c:lblOffset val="100"/>
        <c:noMultiLvlLbl val="0"/>
      </c:catAx>
      <c:valAx>
        <c:axId val="41842470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42316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ceasing to be Looked After in year who were Adopted (%)</a:t>
            </a:r>
          </a:p>
        </c:rich>
      </c:tx>
      <c:layout>
        <c:manualLayout>
          <c:xMode val="edge"/>
          <c:yMode val="edge"/>
          <c:x val="0.15267364124574609"/>
          <c:y val="1.239108638232771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Adoption!$AO$42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B997-4DF0-97AC-E2B4E5E7FBB8}"/>
              </c:ext>
            </c:extLst>
          </c:dPt>
          <c:cat>
            <c:strRef>
              <c:f>Adoption!$Z$2:$AD$3</c:f>
              <c:strCache>
                <c:ptCount val="5"/>
                <c:pt idx="0">
                  <c:v>2015-16</c:v>
                </c:pt>
                <c:pt idx="1">
                  <c:v>2016-17</c:v>
                </c:pt>
                <c:pt idx="2">
                  <c:v>2017-18</c:v>
                </c:pt>
                <c:pt idx="3">
                  <c:v>2018-19</c:v>
                </c:pt>
                <c:pt idx="4">
                  <c:v>2019-20</c:v>
                </c:pt>
              </c:strCache>
            </c:strRef>
          </c:cat>
          <c:val>
            <c:numRef>
              <c:f>Adoption!$BA$42:$BE$42</c:f>
              <c:numCache>
                <c:formatCode>0.0%</c:formatCode>
                <c:ptCount val="5"/>
                <c:pt idx="0">
                  <c:v>0.13235294117647059</c:v>
                </c:pt>
                <c:pt idx="1">
                  <c:v>#N/A</c:v>
                </c:pt>
                <c:pt idx="2">
                  <c:v>#N/A</c:v>
                </c:pt>
                <c:pt idx="3">
                  <c:v>0.1076923076923077</c:v>
                </c:pt>
                <c:pt idx="4">
                  <c:v>9.6774193548387094E-2</c:v>
                </c:pt>
              </c:numCache>
            </c:numRef>
          </c:val>
          <c:smooth val="0"/>
          <c:extLst>
            <c:ext xmlns:c16="http://schemas.microsoft.com/office/drawing/2014/chart" uri="{C3380CC4-5D6E-409C-BE32-E72D297353CC}">
              <c16:uniqueId val="{00000001-B997-4DF0-97AC-E2B4E5E7FBB8}"/>
            </c:ext>
          </c:extLst>
        </c:ser>
        <c:ser>
          <c:idx val="1"/>
          <c:order val="1"/>
          <c:tx>
            <c:strRef>
              <c:f>Adoption!$AO$43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Adoption!$Z$2:$AD$3</c:f>
              <c:strCache>
                <c:ptCount val="5"/>
                <c:pt idx="0">
                  <c:v>2015-16</c:v>
                </c:pt>
                <c:pt idx="1">
                  <c:v>2016-17</c:v>
                </c:pt>
                <c:pt idx="2">
                  <c:v>2017-18</c:v>
                </c:pt>
                <c:pt idx="3">
                  <c:v>2018-19</c:v>
                </c:pt>
                <c:pt idx="4">
                  <c:v>2019-20</c:v>
                </c:pt>
              </c:strCache>
            </c:strRef>
          </c:cat>
          <c:val>
            <c:numRef>
              <c:f>Adoption!$BA$43:$BE$43</c:f>
              <c:numCache>
                <c:formatCode>0.0%</c:formatCode>
                <c:ptCount val="5"/>
                <c:pt idx="0">
                  <c:v>0.15918367346938775</c:v>
                </c:pt>
                <c:pt idx="1">
                  <c:v>0.12849162011173185</c:v>
                </c:pt>
                <c:pt idx="2">
                  <c:v>0.18181818181818182</c:v>
                </c:pt>
                <c:pt idx="3">
                  <c:v>0.18181818181818182</c:v>
                </c:pt>
                <c:pt idx="4">
                  <c:v>0.10112359550561797</c:v>
                </c:pt>
              </c:numCache>
            </c:numRef>
          </c:val>
          <c:smooth val="0"/>
          <c:extLst>
            <c:ext xmlns:c16="http://schemas.microsoft.com/office/drawing/2014/chart" uri="{C3380CC4-5D6E-409C-BE32-E72D297353CC}">
              <c16:uniqueId val="{00000002-B997-4DF0-97AC-E2B4E5E7FBB8}"/>
            </c:ext>
          </c:extLst>
        </c:ser>
        <c:ser>
          <c:idx val="2"/>
          <c:order val="2"/>
          <c:tx>
            <c:strRef>
              <c:f>Adoption!$AO$44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Adoption!$Z$2:$AD$3</c:f>
              <c:strCache>
                <c:ptCount val="5"/>
                <c:pt idx="0">
                  <c:v>2015-16</c:v>
                </c:pt>
                <c:pt idx="1">
                  <c:v>2016-17</c:v>
                </c:pt>
                <c:pt idx="2">
                  <c:v>2017-18</c:v>
                </c:pt>
                <c:pt idx="3">
                  <c:v>2018-19</c:v>
                </c:pt>
                <c:pt idx="4">
                  <c:v>2019-20</c:v>
                </c:pt>
              </c:strCache>
            </c:strRef>
          </c:cat>
          <c:val>
            <c:numRef>
              <c:f>Adoption!$BA$44:$BE$44</c:f>
              <c:numCache>
                <c:formatCode>0.0%</c:formatCode>
                <c:ptCount val="5"/>
                <c:pt idx="0">
                  <c:v>0.16740088105726872</c:v>
                </c:pt>
                <c:pt idx="1">
                  <c:v>0.17674418604651163</c:v>
                </c:pt>
                <c:pt idx="2">
                  <c:v>0.12777777777777777</c:v>
                </c:pt>
                <c:pt idx="3">
                  <c:v>0.10588235294117647</c:v>
                </c:pt>
                <c:pt idx="4">
                  <c:v>9.7872340425531917E-2</c:v>
                </c:pt>
              </c:numCache>
            </c:numRef>
          </c:val>
          <c:smooth val="0"/>
          <c:extLst>
            <c:ext xmlns:c16="http://schemas.microsoft.com/office/drawing/2014/chart" uri="{C3380CC4-5D6E-409C-BE32-E72D297353CC}">
              <c16:uniqueId val="{00000003-B997-4DF0-97AC-E2B4E5E7FBB8}"/>
            </c:ext>
          </c:extLst>
        </c:ser>
        <c:ser>
          <c:idx val="5"/>
          <c:order val="3"/>
          <c:tx>
            <c:strRef>
              <c:f>Adoption!$AO$45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Adoption!$Z$2:$AD$3</c:f>
              <c:strCache>
                <c:ptCount val="5"/>
                <c:pt idx="0">
                  <c:v>2015-16</c:v>
                </c:pt>
                <c:pt idx="1">
                  <c:v>2016-17</c:v>
                </c:pt>
                <c:pt idx="2">
                  <c:v>2017-18</c:v>
                </c:pt>
                <c:pt idx="3">
                  <c:v>2018-19</c:v>
                </c:pt>
                <c:pt idx="4">
                  <c:v>2019-20</c:v>
                </c:pt>
              </c:strCache>
            </c:strRef>
          </c:cat>
          <c:val>
            <c:numRef>
              <c:f>Adoption!$BA$45:$BE$45</c:f>
              <c:numCache>
                <c:formatCode>0.0%</c:formatCode>
                <c:ptCount val="5"/>
                <c:pt idx="0">
                  <c:v>0.24479166666666666</c:v>
                </c:pt>
                <c:pt idx="1">
                  <c:v>0.2</c:v>
                </c:pt>
                <c:pt idx="2">
                  <c:v>0.19753086419753085</c:v>
                </c:pt>
                <c:pt idx="3">
                  <c:v>0.15625</c:v>
                </c:pt>
                <c:pt idx="4">
                  <c:v>0.15340909090909091</c:v>
                </c:pt>
              </c:numCache>
            </c:numRef>
          </c:val>
          <c:smooth val="0"/>
          <c:extLst>
            <c:ext xmlns:c16="http://schemas.microsoft.com/office/drawing/2014/chart" uri="{C3380CC4-5D6E-409C-BE32-E72D297353CC}">
              <c16:uniqueId val="{00000004-B997-4DF0-97AC-E2B4E5E7FBB8}"/>
            </c:ext>
          </c:extLst>
        </c:ser>
        <c:ser>
          <c:idx val="9"/>
          <c:order val="4"/>
          <c:tx>
            <c:strRef>
              <c:f>Adoption!$AO$46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Adoption!$Z$2:$AD$3</c:f>
              <c:strCache>
                <c:ptCount val="5"/>
                <c:pt idx="0">
                  <c:v>2015-16</c:v>
                </c:pt>
                <c:pt idx="1">
                  <c:v>2016-17</c:v>
                </c:pt>
                <c:pt idx="2">
                  <c:v>2017-18</c:v>
                </c:pt>
                <c:pt idx="3">
                  <c:v>2018-19</c:v>
                </c:pt>
                <c:pt idx="4">
                  <c:v>2019-20</c:v>
                </c:pt>
              </c:strCache>
            </c:strRef>
          </c:cat>
          <c:val>
            <c:numRef>
              <c:f>Adoption!$BA$46:$BE$46</c:f>
              <c:numCache>
                <c:formatCode>0.0%</c:formatCode>
                <c:ptCount val="5"/>
                <c:pt idx="0">
                  <c:v>0.15412844036697249</c:v>
                </c:pt>
                <c:pt idx="1">
                  <c:v>0.13157894736842105</c:v>
                </c:pt>
                <c:pt idx="2">
                  <c:v>0.11316872427983539</c:v>
                </c:pt>
                <c:pt idx="3">
                  <c:v>0.1163575042158516</c:v>
                </c:pt>
                <c:pt idx="4">
                  <c:v>0.11217948717948718</c:v>
                </c:pt>
              </c:numCache>
            </c:numRef>
          </c:val>
          <c:smooth val="0"/>
          <c:extLst>
            <c:ext xmlns:c16="http://schemas.microsoft.com/office/drawing/2014/chart" uri="{C3380CC4-5D6E-409C-BE32-E72D297353CC}">
              <c16:uniqueId val="{00000005-B997-4DF0-97AC-E2B4E5E7FBB8}"/>
            </c:ext>
          </c:extLst>
        </c:ser>
        <c:ser>
          <c:idx val="10"/>
          <c:order val="5"/>
          <c:tx>
            <c:strRef>
              <c:f>Adoption!$AO$47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Adoption!$Z$2:$AD$3</c:f>
              <c:strCache>
                <c:ptCount val="5"/>
                <c:pt idx="0">
                  <c:v>2015-16</c:v>
                </c:pt>
                <c:pt idx="1">
                  <c:v>2016-17</c:v>
                </c:pt>
                <c:pt idx="2">
                  <c:v>2017-18</c:v>
                </c:pt>
                <c:pt idx="3">
                  <c:v>2018-19</c:v>
                </c:pt>
                <c:pt idx="4">
                  <c:v>2019-20</c:v>
                </c:pt>
              </c:strCache>
            </c:strRef>
          </c:cat>
          <c:val>
            <c:numRef>
              <c:f>Adoption!$BA$47:$BE$47</c:f>
              <c:numCache>
                <c:formatCode>0.0%</c:formatCode>
                <c:ptCount val="5"/>
                <c:pt idx="0">
                  <c:v>0.12328767123287671</c:v>
                </c:pt>
                <c:pt idx="1">
                  <c:v>0.21052631578947367</c:v>
                </c:pt>
                <c:pt idx="2">
                  <c:v>0.15853658536585366</c:v>
                </c:pt>
                <c:pt idx="3">
                  <c:v>0.18032786885245902</c:v>
                </c:pt>
                <c:pt idx="4">
                  <c:v>0.16981132075471697</c:v>
                </c:pt>
              </c:numCache>
            </c:numRef>
          </c:val>
          <c:smooth val="0"/>
          <c:extLst>
            <c:ext xmlns:c16="http://schemas.microsoft.com/office/drawing/2014/chart" uri="{C3380CC4-5D6E-409C-BE32-E72D297353CC}">
              <c16:uniqueId val="{00000006-B997-4DF0-97AC-E2B4E5E7FBB8}"/>
            </c:ext>
          </c:extLst>
        </c:ser>
        <c:ser>
          <c:idx val="11"/>
          <c:order val="6"/>
          <c:tx>
            <c:strRef>
              <c:f>Adoption!$AO$48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Adoption!$Z$2:$AD$3</c:f>
              <c:strCache>
                <c:ptCount val="5"/>
                <c:pt idx="0">
                  <c:v>2015-16</c:v>
                </c:pt>
                <c:pt idx="1">
                  <c:v>2016-17</c:v>
                </c:pt>
                <c:pt idx="2">
                  <c:v>2017-18</c:v>
                </c:pt>
                <c:pt idx="3">
                  <c:v>2018-19</c:v>
                </c:pt>
                <c:pt idx="4">
                  <c:v>2019-20</c:v>
                </c:pt>
              </c:strCache>
            </c:strRef>
          </c:cat>
          <c:val>
            <c:numRef>
              <c:f>Adoption!$BA$48:$BE$48</c:f>
              <c:numCache>
                <c:formatCode>0.0%</c:formatCode>
                <c:ptCount val="5"/>
                <c:pt idx="0">
                  <c:v>0.10009267840593142</c:v>
                </c:pt>
                <c:pt idx="1">
                  <c:v>6.0790273556231005E-2</c:v>
                </c:pt>
                <c:pt idx="2">
                  <c:v>9.9142040038131554E-2</c:v>
                </c:pt>
                <c:pt idx="3">
                  <c:v>0.12581913499344691</c:v>
                </c:pt>
                <c:pt idx="4">
                  <c:v>8.5365853658536592E-2</c:v>
                </c:pt>
              </c:numCache>
            </c:numRef>
          </c:val>
          <c:smooth val="0"/>
          <c:extLst>
            <c:ext xmlns:c16="http://schemas.microsoft.com/office/drawing/2014/chart" uri="{C3380CC4-5D6E-409C-BE32-E72D297353CC}">
              <c16:uniqueId val="{00000007-B997-4DF0-97AC-E2B4E5E7FBB8}"/>
            </c:ext>
          </c:extLst>
        </c:ser>
        <c:ser>
          <c:idx val="12"/>
          <c:order val="7"/>
          <c:tx>
            <c:strRef>
              <c:f>Adoption!$AO$49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Adoption!$Z$2:$AD$3</c:f>
              <c:strCache>
                <c:ptCount val="5"/>
                <c:pt idx="0">
                  <c:v>2015-16</c:v>
                </c:pt>
                <c:pt idx="1">
                  <c:v>2016-17</c:v>
                </c:pt>
                <c:pt idx="2">
                  <c:v>2017-18</c:v>
                </c:pt>
                <c:pt idx="3">
                  <c:v>2018-19</c:v>
                </c:pt>
                <c:pt idx="4">
                  <c:v>2019-20</c:v>
                </c:pt>
              </c:strCache>
            </c:strRef>
          </c:cat>
          <c:val>
            <c:numRef>
              <c:f>Adoption!$BA$49:$BE$49</c:f>
              <c:numCache>
                <c:formatCode>0.0%</c:formatCode>
                <c:ptCount val="5"/>
                <c:pt idx="0">
                  <c:v>0.11428571428571428</c:v>
                </c:pt>
                <c:pt idx="1">
                  <c:v>0.17647058823529413</c:v>
                </c:pt>
                <c:pt idx="2">
                  <c:v>0.22012578616352202</c:v>
                </c:pt>
                <c:pt idx="3">
                  <c:v>0.15189873417721519</c:v>
                </c:pt>
                <c:pt idx="4">
                  <c:v>0.12777777777777777</c:v>
                </c:pt>
              </c:numCache>
            </c:numRef>
          </c:val>
          <c:smooth val="0"/>
          <c:extLst>
            <c:ext xmlns:c16="http://schemas.microsoft.com/office/drawing/2014/chart" uri="{C3380CC4-5D6E-409C-BE32-E72D297353CC}">
              <c16:uniqueId val="{00000008-B997-4DF0-97AC-E2B4E5E7FBB8}"/>
            </c:ext>
          </c:extLst>
        </c:ser>
        <c:ser>
          <c:idx val="13"/>
          <c:order val="8"/>
          <c:tx>
            <c:strRef>
              <c:f>Adoption!$AO$50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Adoption!$Z$2:$AD$3</c:f>
              <c:strCache>
                <c:ptCount val="5"/>
                <c:pt idx="0">
                  <c:v>2015-16</c:v>
                </c:pt>
                <c:pt idx="1">
                  <c:v>2016-17</c:v>
                </c:pt>
                <c:pt idx="2">
                  <c:v>2017-18</c:v>
                </c:pt>
                <c:pt idx="3">
                  <c:v>2018-19</c:v>
                </c:pt>
                <c:pt idx="4">
                  <c:v>2019-20</c:v>
                </c:pt>
              </c:strCache>
            </c:strRef>
          </c:cat>
          <c:val>
            <c:numRef>
              <c:f>Adoption!$BA$50:$BE$50</c:f>
              <c:numCache>
                <c:formatCode>0.0%</c:formatCode>
                <c:ptCount val="5"/>
                <c:pt idx="0">
                  <c:v>0.10215053763440861</c:v>
                </c:pt>
                <c:pt idx="1">
                  <c:v>6.5789473684210523E-2</c:v>
                </c:pt>
                <c:pt idx="2">
                  <c:v>6.2068965517241378E-2</c:v>
                </c:pt>
                <c:pt idx="3">
                  <c:v>0.11560693641618497</c:v>
                </c:pt>
                <c:pt idx="4">
                  <c:v>0.12837837837837837</c:v>
                </c:pt>
              </c:numCache>
            </c:numRef>
          </c:val>
          <c:smooth val="0"/>
          <c:extLst>
            <c:ext xmlns:c16="http://schemas.microsoft.com/office/drawing/2014/chart" uri="{C3380CC4-5D6E-409C-BE32-E72D297353CC}">
              <c16:uniqueId val="{00000009-B997-4DF0-97AC-E2B4E5E7FBB8}"/>
            </c:ext>
          </c:extLst>
        </c:ser>
        <c:ser>
          <c:idx val="15"/>
          <c:order val="9"/>
          <c:tx>
            <c:strRef>
              <c:f>Adoption!$AO$51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Adoption!$Z$2:$AD$3</c:f>
              <c:strCache>
                <c:ptCount val="5"/>
                <c:pt idx="0">
                  <c:v>2015-16</c:v>
                </c:pt>
                <c:pt idx="1">
                  <c:v>2016-17</c:v>
                </c:pt>
                <c:pt idx="2">
                  <c:v>2017-18</c:v>
                </c:pt>
                <c:pt idx="3">
                  <c:v>2018-19</c:v>
                </c:pt>
                <c:pt idx="4">
                  <c:v>2019-20</c:v>
                </c:pt>
              </c:strCache>
            </c:strRef>
          </c:cat>
          <c:val>
            <c:numRef>
              <c:f>Adoption!$BA$51:$BE$51</c:f>
              <c:numCache>
                <c:formatCode>0.0%</c:formatCode>
                <c:ptCount val="5"/>
                <c:pt idx="0">
                  <c:v>0.17857142857142858</c:v>
                </c:pt>
                <c:pt idx="1">
                  <c:v>0.13286713286713286</c:v>
                </c:pt>
                <c:pt idx="2">
                  <c:v>0.12080536912751678</c:v>
                </c:pt>
                <c:pt idx="3">
                  <c:v>9.1575091575091569E-2</c:v>
                </c:pt>
                <c:pt idx="4">
                  <c:v>0.10869565217391304</c:v>
                </c:pt>
              </c:numCache>
            </c:numRef>
          </c:val>
          <c:smooth val="0"/>
          <c:extLst>
            <c:ext xmlns:c16="http://schemas.microsoft.com/office/drawing/2014/chart" uri="{C3380CC4-5D6E-409C-BE32-E72D297353CC}">
              <c16:uniqueId val="{0000000A-B997-4DF0-97AC-E2B4E5E7FBB8}"/>
            </c:ext>
          </c:extLst>
        </c:ser>
        <c:ser>
          <c:idx val="16"/>
          <c:order val="10"/>
          <c:tx>
            <c:strRef>
              <c:f>Adoption!$AO$52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Adoption!$Z$2:$AD$3</c:f>
              <c:strCache>
                <c:ptCount val="5"/>
                <c:pt idx="0">
                  <c:v>2015-16</c:v>
                </c:pt>
                <c:pt idx="1">
                  <c:v>2016-17</c:v>
                </c:pt>
                <c:pt idx="2">
                  <c:v>2017-18</c:v>
                </c:pt>
                <c:pt idx="3">
                  <c:v>2018-19</c:v>
                </c:pt>
                <c:pt idx="4">
                  <c:v>2019-20</c:v>
                </c:pt>
              </c:strCache>
            </c:strRef>
          </c:cat>
          <c:val>
            <c:numRef>
              <c:f>Adoption!$BA$52:$BE$52</c:f>
              <c:numCache>
                <c:formatCode>0.0%</c:formatCode>
                <c:ptCount val="5"/>
                <c:pt idx="0">
                  <c:v>0.21428571428571427</c:v>
                </c:pt>
                <c:pt idx="1">
                  <c:v>0.28455284552845528</c:v>
                </c:pt>
                <c:pt idx="2">
                  <c:v>0.16129032258064516</c:v>
                </c:pt>
                <c:pt idx="3">
                  <c:v>9.3167701863354033E-2</c:v>
                </c:pt>
                <c:pt idx="4">
                  <c:v>0.11274509803921569</c:v>
                </c:pt>
              </c:numCache>
            </c:numRef>
          </c:val>
          <c:smooth val="0"/>
          <c:extLst>
            <c:ext xmlns:c16="http://schemas.microsoft.com/office/drawing/2014/chart" uri="{C3380CC4-5D6E-409C-BE32-E72D297353CC}">
              <c16:uniqueId val="{0000000B-B997-4DF0-97AC-E2B4E5E7FBB8}"/>
            </c:ext>
          </c:extLst>
        </c:ser>
        <c:ser>
          <c:idx val="17"/>
          <c:order val="11"/>
          <c:tx>
            <c:strRef>
              <c:f>Adoption!$AO$53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Adoption!$Z$2:$AD$3</c:f>
              <c:strCache>
                <c:ptCount val="5"/>
                <c:pt idx="0">
                  <c:v>2015-16</c:v>
                </c:pt>
                <c:pt idx="1">
                  <c:v>2016-17</c:v>
                </c:pt>
                <c:pt idx="2">
                  <c:v>2017-18</c:v>
                </c:pt>
                <c:pt idx="3">
                  <c:v>2018-19</c:v>
                </c:pt>
                <c:pt idx="4">
                  <c:v>2019-20</c:v>
                </c:pt>
              </c:strCache>
            </c:strRef>
          </c:cat>
          <c:val>
            <c:numRef>
              <c:f>Adoption!$BA$53:$BE$53</c:f>
              <c:numCache>
                <c:formatCode>0.0%</c:formatCode>
                <c:ptCount val="5"/>
                <c:pt idx="0">
                  <c:v>0.2032520325203252</c:v>
                </c:pt>
                <c:pt idx="1">
                  <c:v>0.16</c:v>
                </c:pt>
                <c:pt idx="2">
                  <c:v>0.14130434782608695</c:v>
                </c:pt>
                <c:pt idx="3">
                  <c:v>0.21052631578947367</c:v>
                </c:pt>
                <c:pt idx="4">
                  <c:v>0.14678899082568808</c:v>
                </c:pt>
              </c:numCache>
            </c:numRef>
          </c:val>
          <c:smooth val="0"/>
          <c:extLst>
            <c:ext xmlns:c16="http://schemas.microsoft.com/office/drawing/2014/chart" uri="{C3380CC4-5D6E-409C-BE32-E72D297353CC}">
              <c16:uniqueId val="{0000000C-B997-4DF0-97AC-E2B4E5E7FBB8}"/>
            </c:ext>
          </c:extLst>
        </c:ser>
        <c:ser>
          <c:idx val="19"/>
          <c:order val="12"/>
          <c:tx>
            <c:strRef>
              <c:f>Adoption!$AO$54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Adoption!$Z$2:$AD$3</c:f>
              <c:strCache>
                <c:ptCount val="5"/>
                <c:pt idx="0">
                  <c:v>2015-16</c:v>
                </c:pt>
                <c:pt idx="1">
                  <c:v>2016-17</c:v>
                </c:pt>
                <c:pt idx="2">
                  <c:v>2017-18</c:v>
                </c:pt>
                <c:pt idx="3">
                  <c:v>2018-19</c:v>
                </c:pt>
                <c:pt idx="4">
                  <c:v>2019-20</c:v>
                </c:pt>
              </c:strCache>
            </c:strRef>
          </c:cat>
          <c:val>
            <c:numRef>
              <c:f>Adoption!$BA$54:$BE$54</c:f>
              <c:numCache>
                <c:formatCode>0.0%</c:formatCode>
                <c:ptCount val="5"/>
                <c:pt idx="0">
                  <c:v>0.1038961038961039</c:v>
                </c:pt>
                <c:pt idx="1">
                  <c:v>9.8214285714285712E-2</c:v>
                </c:pt>
                <c:pt idx="2">
                  <c:v>0.11607142857142858</c:v>
                </c:pt>
                <c:pt idx="3">
                  <c:v>0.11023622047244094</c:v>
                </c:pt>
                <c:pt idx="4">
                  <c:v>0.12</c:v>
                </c:pt>
              </c:numCache>
            </c:numRef>
          </c:val>
          <c:smooth val="0"/>
          <c:extLst>
            <c:ext xmlns:c16="http://schemas.microsoft.com/office/drawing/2014/chart" uri="{C3380CC4-5D6E-409C-BE32-E72D297353CC}">
              <c16:uniqueId val="{0000000D-B997-4DF0-97AC-E2B4E5E7FBB8}"/>
            </c:ext>
          </c:extLst>
        </c:ser>
        <c:ser>
          <c:idx val="3"/>
          <c:order val="13"/>
          <c:tx>
            <c:strRef>
              <c:f>Adoption!$AO$55</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Adoption!$Z$2:$AD$3</c:f>
              <c:strCache>
                <c:ptCount val="5"/>
                <c:pt idx="0">
                  <c:v>2015-16</c:v>
                </c:pt>
                <c:pt idx="1">
                  <c:v>2016-17</c:v>
                </c:pt>
                <c:pt idx="2">
                  <c:v>2017-18</c:v>
                </c:pt>
                <c:pt idx="3">
                  <c:v>2018-19</c:v>
                </c:pt>
                <c:pt idx="4">
                  <c:v>2019-20</c:v>
                </c:pt>
              </c:strCache>
            </c:strRef>
          </c:cat>
          <c:val>
            <c:numRef>
              <c:f>Adoption!$BA$55:$BE$55</c:f>
              <c:numCache>
                <c:formatCode>0.0%</c:formatCode>
                <c:ptCount val="5"/>
                <c:pt idx="0">
                  <c:v>0.22270742358078602</c:v>
                </c:pt>
                <c:pt idx="1">
                  <c:v>0.13026819923371646</c:v>
                </c:pt>
                <c:pt idx="2">
                  <c:v>0.13901345291479822</c:v>
                </c:pt>
                <c:pt idx="3">
                  <c:v>0.125</c:v>
                </c:pt>
                <c:pt idx="4">
                  <c:v>0.21319796954314721</c:v>
                </c:pt>
              </c:numCache>
            </c:numRef>
          </c:val>
          <c:smooth val="0"/>
          <c:extLst>
            <c:ext xmlns:c16="http://schemas.microsoft.com/office/drawing/2014/chart" uri="{C3380CC4-5D6E-409C-BE32-E72D297353CC}">
              <c16:uniqueId val="{0000000E-B997-4DF0-97AC-E2B4E5E7FBB8}"/>
            </c:ext>
          </c:extLst>
        </c:ser>
        <c:ser>
          <c:idx val="20"/>
          <c:order val="14"/>
          <c:tx>
            <c:strRef>
              <c:f>Adoption!$AO$56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Adoption!$Z$2:$AD$3</c:f>
              <c:strCache>
                <c:ptCount val="5"/>
                <c:pt idx="0">
                  <c:v>2015-16</c:v>
                </c:pt>
                <c:pt idx="1">
                  <c:v>2016-17</c:v>
                </c:pt>
                <c:pt idx="2">
                  <c:v>2017-18</c:v>
                </c:pt>
                <c:pt idx="3">
                  <c:v>2018-19</c:v>
                </c:pt>
                <c:pt idx="4">
                  <c:v>2019-20</c:v>
                </c:pt>
              </c:strCache>
            </c:strRef>
          </c:cat>
          <c:val>
            <c:numRef>
              <c:f>Adoption!$BA$56:$BE$56</c:f>
              <c:numCache>
                <c:formatCode>0.0%</c:formatCode>
                <c:ptCount val="5"/>
                <c:pt idx="0">
                  <c:v>0.3073170731707317</c:v>
                </c:pt>
                <c:pt idx="1">
                  <c:v>0.34841628959276016</c:v>
                </c:pt>
                <c:pt idx="2">
                  <c:v>0.27411167512690354</c:v>
                </c:pt>
                <c:pt idx="3">
                  <c:v>0.22429906542056074</c:v>
                </c:pt>
                <c:pt idx="4">
                  <c:v>0.135678391959799</c:v>
                </c:pt>
              </c:numCache>
            </c:numRef>
          </c:val>
          <c:smooth val="0"/>
          <c:extLst>
            <c:ext xmlns:c16="http://schemas.microsoft.com/office/drawing/2014/chart" uri="{C3380CC4-5D6E-409C-BE32-E72D297353CC}">
              <c16:uniqueId val="{0000000F-B997-4DF0-97AC-E2B4E5E7FBB8}"/>
            </c:ext>
          </c:extLst>
        </c:ser>
        <c:ser>
          <c:idx val="22"/>
          <c:order val="15"/>
          <c:tx>
            <c:strRef>
              <c:f>Adoption!$AO$57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Adoption!$Z$2:$AD$3</c:f>
              <c:strCache>
                <c:ptCount val="5"/>
                <c:pt idx="0">
                  <c:v>2015-16</c:v>
                </c:pt>
                <c:pt idx="1">
                  <c:v>2016-17</c:v>
                </c:pt>
                <c:pt idx="2">
                  <c:v>2017-18</c:v>
                </c:pt>
                <c:pt idx="3">
                  <c:v>2018-19</c:v>
                </c:pt>
                <c:pt idx="4">
                  <c:v>2019-20</c:v>
                </c:pt>
              </c:strCache>
            </c:strRef>
          </c:cat>
          <c:val>
            <c:numRef>
              <c:f>Adoption!$BA$57:$BE$57</c:f>
              <c:numCache>
                <c:formatCode>0.0%</c:formatCode>
                <c:ptCount val="5"/>
                <c:pt idx="0">
                  <c:v>0.12592592592592591</c:v>
                </c:pt>
                <c:pt idx="1">
                  <c:v>0.12171837708830549</c:v>
                </c:pt>
                <c:pt idx="2">
                  <c:v>8.0684596577017112E-2</c:v>
                </c:pt>
                <c:pt idx="3">
                  <c:v>6.0913705583756347E-2</c:v>
                </c:pt>
                <c:pt idx="4">
                  <c:v>7.6712328767123292E-2</c:v>
                </c:pt>
              </c:numCache>
            </c:numRef>
          </c:val>
          <c:smooth val="0"/>
          <c:extLst>
            <c:ext xmlns:c16="http://schemas.microsoft.com/office/drawing/2014/chart" uri="{C3380CC4-5D6E-409C-BE32-E72D297353CC}">
              <c16:uniqueId val="{00000010-B997-4DF0-97AC-E2B4E5E7FBB8}"/>
            </c:ext>
          </c:extLst>
        </c:ser>
        <c:ser>
          <c:idx val="7"/>
          <c:order val="16"/>
          <c:tx>
            <c:strRef>
              <c:f>Adoption!$AO$58</c:f>
              <c:strCache>
                <c:ptCount val="1"/>
                <c:pt idx="0">
                  <c:v>Swindon</c:v>
                </c:pt>
              </c:strCache>
            </c:strRef>
          </c:tx>
          <c:spPr>
            <a:ln w="12700"/>
          </c:spPr>
          <c:marker>
            <c:symbol val="triangle"/>
            <c:size val="5"/>
            <c:spPr>
              <a:solidFill>
                <a:schemeClr val="accent2">
                  <a:lumMod val="20000"/>
                  <a:lumOff val="80000"/>
                </a:schemeClr>
              </a:solidFill>
            </c:spPr>
          </c:marker>
          <c:cat>
            <c:strRef>
              <c:f>Adoption!$Z$2:$AD$3</c:f>
              <c:strCache>
                <c:ptCount val="5"/>
                <c:pt idx="0">
                  <c:v>2015-16</c:v>
                </c:pt>
                <c:pt idx="1">
                  <c:v>2016-17</c:v>
                </c:pt>
                <c:pt idx="2">
                  <c:v>2017-18</c:v>
                </c:pt>
                <c:pt idx="3">
                  <c:v>2018-19</c:v>
                </c:pt>
                <c:pt idx="4">
                  <c:v>2019-20</c:v>
                </c:pt>
              </c:strCache>
            </c:strRef>
          </c:cat>
          <c:val>
            <c:numRef>
              <c:f>Adoption!$BA$58:$BE$58</c:f>
              <c:numCache>
                <c:formatCode>0.0%</c:formatCode>
                <c:ptCount val="5"/>
                <c:pt idx="0">
                  <c:v>5.0359712230215826E-2</c:v>
                </c:pt>
                <c:pt idx="1">
                  <c:v>0.12666666666666668</c:v>
                </c:pt>
                <c:pt idx="2">
                  <c:v>0.1032258064516129</c:v>
                </c:pt>
                <c:pt idx="3">
                  <c:v>0.10738255033557047</c:v>
                </c:pt>
                <c:pt idx="4">
                  <c:v>0.18709677419354839</c:v>
                </c:pt>
              </c:numCache>
            </c:numRef>
          </c:val>
          <c:smooth val="0"/>
          <c:extLst>
            <c:ext xmlns:c16="http://schemas.microsoft.com/office/drawing/2014/chart" uri="{C3380CC4-5D6E-409C-BE32-E72D297353CC}">
              <c16:uniqueId val="{00000011-B997-4DF0-97AC-E2B4E5E7FBB8}"/>
            </c:ext>
          </c:extLst>
        </c:ser>
        <c:ser>
          <c:idx val="8"/>
          <c:order val="17"/>
          <c:tx>
            <c:strRef>
              <c:f>Adoption!$AO$59</c:f>
              <c:strCache>
                <c:ptCount val="1"/>
                <c:pt idx="0">
                  <c:v>Torbay</c:v>
                </c:pt>
              </c:strCache>
            </c:strRef>
          </c:tx>
          <c:spPr>
            <a:ln w="12700"/>
          </c:spPr>
          <c:marker>
            <c:symbol val="circle"/>
            <c:size val="5"/>
            <c:spPr>
              <a:solidFill>
                <a:schemeClr val="accent3">
                  <a:lumMod val="20000"/>
                  <a:lumOff val="80000"/>
                </a:schemeClr>
              </a:solidFill>
            </c:spPr>
          </c:marker>
          <c:cat>
            <c:strRef>
              <c:f>Adoption!$Z$2:$AD$3</c:f>
              <c:strCache>
                <c:ptCount val="5"/>
                <c:pt idx="0">
                  <c:v>2015-16</c:v>
                </c:pt>
                <c:pt idx="1">
                  <c:v>2016-17</c:v>
                </c:pt>
                <c:pt idx="2">
                  <c:v>2017-18</c:v>
                </c:pt>
                <c:pt idx="3">
                  <c:v>2018-19</c:v>
                </c:pt>
                <c:pt idx="4">
                  <c:v>2019-20</c:v>
                </c:pt>
              </c:strCache>
            </c:strRef>
          </c:cat>
          <c:val>
            <c:numRef>
              <c:f>Adoption!$BA$59:$BE$59</c:f>
              <c:numCache>
                <c:formatCode>0.0%</c:formatCode>
                <c:ptCount val="5"/>
                <c:pt idx="0">
                  <c:v>0.224</c:v>
                </c:pt>
                <c:pt idx="1">
                  <c:v>0.12962962962962962</c:v>
                </c:pt>
                <c:pt idx="2">
                  <c:v>0.19607843137254902</c:v>
                </c:pt>
                <c:pt idx="3">
                  <c:v>9.3220338983050849E-2</c:v>
                </c:pt>
                <c:pt idx="4">
                  <c:v>0.18439716312056736</c:v>
                </c:pt>
              </c:numCache>
            </c:numRef>
          </c:val>
          <c:smooth val="0"/>
          <c:extLst>
            <c:ext xmlns:c16="http://schemas.microsoft.com/office/drawing/2014/chart" uri="{C3380CC4-5D6E-409C-BE32-E72D297353CC}">
              <c16:uniqueId val="{00000012-B997-4DF0-97AC-E2B4E5E7FBB8}"/>
            </c:ext>
          </c:extLst>
        </c:ser>
        <c:ser>
          <c:idx val="23"/>
          <c:order val="18"/>
          <c:tx>
            <c:strRef>
              <c:f>Adoption!$AO$60</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Adoption!$Z$2:$AD$3</c:f>
              <c:strCache>
                <c:ptCount val="5"/>
                <c:pt idx="0">
                  <c:v>2015-16</c:v>
                </c:pt>
                <c:pt idx="1">
                  <c:v>2016-17</c:v>
                </c:pt>
                <c:pt idx="2">
                  <c:v>2017-18</c:v>
                </c:pt>
                <c:pt idx="3">
                  <c:v>2018-19</c:v>
                </c:pt>
                <c:pt idx="4">
                  <c:v>2019-20</c:v>
                </c:pt>
              </c:strCache>
            </c:strRef>
          </c:cat>
          <c:val>
            <c:numRef>
              <c:f>Adoption!$BA$60:$BE$60</c:f>
              <c:numCache>
                <c:formatCode>0.0%</c:formatCode>
                <c:ptCount val="5"/>
                <c:pt idx="0">
                  <c:v>0.10144927536231885</c:v>
                </c:pt>
                <c:pt idx="1">
                  <c:v>0.16216216216216217</c:v>
                </c:pt>
                <c:pt idx="2">
                  <c:v>#N/A</c:v>
                </c:pt>
                <c:pt idx="3">
                  <c:v>0.11320754716981132</c:v>
                </c:pt>
                <c:pt idx="4">
                  <c:v>8.1081081081081086E-2</c:v>
                </c:pt>
              </c:numCache>
            </c:numRef>
          </c:val>
          <c:smooth val="0"/>
          <c:extLst>
            <c:ext xmlns:c16="http://schemas.microsoft.com/office/drawing/2014/chart" uri="{C3380CC4-5D6E-409C-BE32-E72D297353CC}">
              <c16:uniqueId val="{00000013-B997-4DF0-97AC-E2B4E5E7FBB8}"/>
            </c:ext>
          </c:extLst>
        </c:ser>
        <c:ser>
          <c:idx val="24"/>
          <c:order val="19"/>
          <c:tx>
            <c:strRef>
              <c:f>Adoption!$AO$61</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Adoption!$Z$2:$AD$3</c:f>
              <c:strCache>
                <c:ptCount val="5"/>
                <c:pt idx="0">
                  <c:v>2015-16</c:v>
                </c:pt>
                <c:pt idx="1">
                  <c:v>2016-17</c:v>
                </c:pt>
                <c:pt idx="2">
                  <c:v>2017-18</c:v>
                </c:pt>
                <c:pt idx="3">
                  <c:v>2018-19</c:v>
                </c:pt>
                <c:pt idx="4">
                  <c:v>2019-20</c:v>
                </c:pt>
              </c:strCache>
            </c:strRef>
          </c:cat>
          <c:val>
            <c:numRef>
              <c:f>Adoption!$BA$61:$BE$61</c:f>
              <c:numCache>
                <c:formatCode>0.0%</c:formatCode>
                <c:ptCount val="5"/>
                <c:pt idx="0">
                  <c:v>8.549222797927461E-2</c:v>
                </c:pt>
                <c:pt idx="1">
                  <c:v>0.12885154061624648</c:v>
                </c:pt>
                <c:pt idx="2">
                  <c:v>0.10355029585798817</c:v>
                </c:pt>
                <c:pt idx="3">
                  <c:v>0.11864406779661017</c:v>
                </c:pt>
                <c:pt idx="4">
                  <c:v>0.10985915492957747</c:v>
                </c:pt>
              </c:numCache>
            </c:numRef>
          </c:val>
          <c:smooth val="0"/>
          <c:extLst>
            <c:ext xmlns:c16="http://schemas.microsoft.com/office/drawing/2014/chart" uri="{C3380CC4-5D6E-409C-BE32-E72D297353CC}">
              <c16:uniqueId val="{00000014-B997-4DF0-97AC-E2B4E5E7FBB8}"/>
            </c:ext>
          </c:extLst>
        </c:ser>
        <c:ser>
          <c:idx val="25"/>
          <c:order val="20"/>
          <c:tx>
            <c:strRef>
              <c:f>Adoption!$AO$62</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Adoption!$Z$2:$AD$3</c:f>
              <c:strCache>
                <c:ptCount val="5"/>
                <c:pt idx="0">
                  <c:v>2015-16</c:v>
                </c:pt>
                <c:pt idx="1">
                  <c:v>2016-17</c:v>
                </c:pt>
                <c:pt idx="2">
                  <c:v>2017-18</c:v>
                </c:pt>
                <c:pt idx="3">
                  <c:v>2018-19</c:v>
                </c:pt>
                <c:pt idx="4">
                  <c:v>2019-20</c:v>
                </c:pt>
              </c:strCache>
            </c:strRef>
          </c:cat>
          <c:val>
            <c:numRef>
              <c:f>Adoption!$BA$62:$BE$62</c:f>
              <c:numCache>
                <c:formatCode>0.0%</c:formatCode>
                <c:ptCount val="5"/>
                <c:pt idx="0">
                  <c:v>0.16279069767441862</c:v>
                </c:pt>
                <c:pt idx="1">
                  <c:v>0.17142857142857143</c:v>
                </c:pt>
                <c:pt idx="2">
                  <c:v>#N/A</c:v>
                </c:pt>
                <c:pt idx="3">
                  <c:v>0.13461538461538461</c:v>
                </c:pt>
                <c:pt idx="4">
                  <c:v>0</c:v>
                </c:pt>
              </c:numCache>
            </c:numRef>
          </c:val>
          <c:smooth val="0"/>
          <c:extLst>
            <c:ext xmlns:c16="http://schemas.microsoft.com/office/drawing/2014/chart" uri="{C3380CC4-5D6E-409C-BE32-E72D297353CC}">
              <c16:uniqueId val="{00000015-B997-4DF0-97AC-E2B4E5E7FBB8}"/>
            </c:ext>
          </c:extLst>
        </c:ser>
        <c:ser>
          <c:idx val="26"/>
          <c:order val="21"/>
          <c:tx>
            <c:strRef>
              <c:f>Adoption!$AO$63</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Adoption!$Z$2:$AD$3</c:f>
              <c:strCache>
                <c:ptCount val="5"/>
                <c:pt idx="0">
                  <c:v>2015-16</c:v>
                </c:pt>
                <c:pt idx="1">
                  <c:v>2016-17</c:v>
                </c:pt>
                <c:pt idx="2">
                  <c:v>2017-18</c:v>
                </c:pt>
                <c:pt idx="3">
                  <c:v>2018-19</c:v>
                </c:pt>
                <c:pt idx="4">
                  <c:v>2019-20</c:v>
                </c:pt>
              </c:strCache>
            </c:strRef>
          </c:cat>
          <c:val>
            <c:numRef>
              <c:f>Adoption!$BA$63:$BE$63</c:f>
              <c:numCache>
                <c:formatCode>0.0%</c:formatCode>
                <c:ptCount val="5"/>
                <c:pt idx="0">
                  <c:v>#N/A</c:v>
                </c:pt>
                <c:pt idx="1">
                  <c:v>#N/A</c:v>
                </c:pt>
                <c:pt idx="2">
                  <c:v>#N/A</c:v>
                </c:pt>
                <c:pt idx="3">
                  <c:v>#N/A</c:v>
                </c:pt>
                <c:pt idx="4">
                  <c:v>0.10909090909090909</c:v>
                </c:pt>
              </c:numCache>
            </c:numRef>
          </c:val>
          <c:smooth val="0"/>
          <c:extLst>
            <c:ext xmlns:c16="http://schemas.microsoft.com/office/drawing/2014/chart" uri="{C3380CC4-5D6E-409C-BE32-E72D297353CC}">
              <c16:uniqueId val="{00000016-B997-4DF0-97AC-E2B4E5E7FBB8}"/>
            </c:ext>
          </c:extLst>
        </c:ser>
        <c:ser>
          <c:idx val="4"/>
          <c:order val="22"/>
          <c:tx>
            <c:strRef>
              <c:f>Adoption!$AO$64</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Adoption!$Z$2:$AD$3</c:f>
              <c:strCache>
                <c:ptCount val="5"/>
                <c:pt idx="0">
                  <c:v>2015-16</c:v>
                </c:pt>
                <c:pt idx="1">
                  <c:v>2016-17</c:v>
                </c:pt>
                <c:pt idx="2">
                  <c:v>2017-18</c:v>
                </c:pt>
                <c:pt idx="3">
                  <c:v>2018-19</c:v>
                </c:pt>
                <c:pt idx="4">
                  <c:v>2019-20</c:v>
                </c:pt>
              </c:strCache>
            </c:strRef>
          </c:cat>
          <c:val>
            <c:numRef>
              <c:f>Adoption!$BA$64:$BE$64</c:f>
              <c:numCache>
                <c:formatCode>0.0%</c:formatCode>
                <c:ptCount val="5"/>
                <c:pt idx="0">
                  <c:v>0.14193548387096774</c:v>
                </c:pt>
                <c:pt idx="1">
                  <c:v>0.13118279569892474</c:v>
                </c:pt>
                <c:pt idx="2">
                  <c:v>0.12296983758700696</c:v>
                </c:pt>
                <c:pt idx="3">
                  <c:v>0.12318840579710146</c:v>
                </c:pt>
                <c:pt idx="4">
                  <c:v>0.11032863849765258</c:v>
                </c:pt>
              </c:numCache>
            </c:numRef>
          </c:val>
          <c:smooth val="0"/>
          <c:extLst>
            <c:ext xmlns:c16="http://schemas.microsoft.com/office/drawing/2014/chart" uri="{C3380CC4-5D6E-409C-BE32-E72D297353CC}">
              <c16:uniqueId val="{00000017-B997-4DF0-97AC-E2B4E5E7FBB8}"/>
            </c:ext>
          </c:extLst>
        </c:ser>
        <c:ser>
          <c:idx val="14"/>
          <c:order val="23"/>
          <c:tx>
            <c:strRef>
              <c:f>Adoption!$AO$65</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Adoption!$Z$2:$AD$3</c:f>
              <c:strCache>
                <c:ptCount val="5"/>
                <c:pt idx="0">
                  <c:v>2015-16</c:v>
                </c:pt>
                <c:pt idx="1">
                  <c:v>2016-17</c:v>
                </c:pt>
                <c:pt idx="2">
                  <c:v>2017-18</c:v>
                </c:pt>
                <c:pt idx="3">
                  <c:v>2018-19</c:v>
                </c:pt>
                <c:pt idx="4">
                  <c:v>2019-20</c:v>
                </c:pt>
              </c:strCache>
            </c:strRef>
          </c:cat>
          <c:val>
            <c:numRef>
              <c:f>Adoption!$BA$65:$BE$65</c:f>
              <c:numCache>
                <c:formatCode>0.0%</c:formatCode>
                <c:ptCount val="5"/>
                <c:pt idx="0">
                  <c:v>0.14783427495291901</c:v>
                </c:pt>
                <c:pt idx="1">
                  <c:v>0.13917197452229299</c:v>
                </c:pt>
                <c:pt idx="2">
                  <c:v>0.1281198003327787</c:v>
                </c:pt>
                <c:pt idx="3">
                  <c:v>0.12118126272912423</c:v>
                </c:pt>
                <c:pt idx="4">
                  <c:v>0.1165934437309902</c:v>
                </c:pt>
              </c:numCache>
            </c:numRef>
          </c:val>
          <c:smooth val="0"/>
          <c:extLst>
            <c:ext xmlns:c16="http://schemas.microsoft.com/office/drawing/2014/chart" uri="{C3380CC4-5D6E-409C-BE32-E72D297353CC}">
              <c16:uniqueId val="{00000018-B997-4DF0-97AC-E2B4E5E7FBB8}"/>
            </c:ext>
          </c:extLst>
        </c:ser>
        <c:ser>
          <c:idx val="6"/>
          <c:order val="24"/>
          <c:tx>
            <c:strRef>
              <c:f>Adoption!$AO$66</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Adoption!$Z$2:$AD$3</c:f>
              <c:strCache>
                <c:ptCount val="5"/>
                <c:pt idx="0">
                  <c:v>2015-16</c:v>
                </c:pt>
                <c:pt idx="1">
                  <c:v>2016-17</c:v>
                </c:pt>
                <c:pt idx="2">
                  <c:v>2017-18</c:v>
                </c:pt>
                <c:pt idx="3">
                  <c:v>2018-19</c:v>
                </c:pt>
                <c:pt idx="4">
                  <c:v>2019-20</c:v>
                </c:pt>
              </c:strCache>
            </c:strRef>
          </c:cat>
          <c:val>
            <c:numRef>
              <c:f>Adoption!$BA$66:$BE$66</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B997-4DF0-97AC-E2B4E5E7FBB8}"/>
            </c:ext>
          </c:extLst>
        </c:ser>
        <c:dLbls>
          <c:showLegendKey val="0"/>
          <c:showVal val="0"/>
          <c:showCatName val="0"/>
          <c:showSerName val="0"/>
          <c:showPercent val="0"/>
          <c:showBubbleSize val="0"/>
        </c:dLbls>
        <c:marker val="1"/>
        <c:smooth val="0"/>
        <c:axId val="418116736"/>
        <c:axId val="418118272"/>
      </c:lineChart>
      <c:catAx>
        <c:axId val="418116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118272"/>
        <c:crosses val="autoZero"/>
        <c:auto val="1"/>
        <c:lblAlgn val="ctr"/>
        <c:lblOffset val="100"/>
        <c:tickLblSkip val="1"/>
        <c:tickMarkSkip val="1"/>
        <c:noMultiLvlLbl val="0"/>
      </c:catAx>
      <c:valAx>
        <c:axId val="41811827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11673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9020391647190062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Early Help</a:t>
            </a:r>
            <a:r>
              <a:rPr lang="en-GB" baseline="0"/>
              <a:t> Assessments</a:t>
            </a:r>
            <a:r>
              <a:rPr lang="en-GB"/>
              <a:t> (Selected LA</a:t>
            </a:r>
            <a:r>
              <a:rPr lang="en-GB" baseline="0"/>
              <a:t> vs. SE)</a:t>
            </a:r>
            <a:r>
              <a:rPr lang="en-GB"/>
              <a:t> </a:t>
            </a:r>
          </a:p>
        </c:rich>
      </c:tx>
      <c:layout>
        <c:manualLayout>
          <c:xMode val="edge"/>
          <c:yMode val="edge"/>
          <c:x val="0.14767774603395814"/>
          <c:y val="1.9781902262217224E-2"/>
        </c:manualLayout>
      </c:layout>
      <c:overlay val="0"/>
      <c:spPr>
        <a:noFill/>
        <a:ln w="25400">
          <a:noFill/>
        </a:ln>
      </c:spPr>
    </c:title>
    <c:autoTitleDeleted val="0"/>
    <c:plotArea>
      <c:layout>
        <c:manualLayout>
          <c:layoutTarget val="inner"/>
          <c:xMode val="edge"/>
          <c:yMode val="edge"/>
          <c:x val="0.10447777176411707"/>
          <c:y val="0.1629539207007408"/>
          <c:w val="0.63107076138764251"/>
          <c:h val="0.58971730444522463"/>
        </c:manualLayout>
      </c:layout>
      <c:barChart>
        <c:barDir val="col"/>
        <c:grouping val="clustered"/>
        <c:varyColors val="0"/>
        <c:ser>
          <c:idx val="4"/>
          <c:order val="0"/>
          <c:tx>
            <c:strRef>
              <c:f>EH_Assessments!$B$32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EH_Assessments!$Z$2:$AD$3</c:f>
              <c:strCache>
                <c:ptCount val="5"/>
                <c:pt idx="0">
                  <c:v>2015-16</c:v>
                </c:pt>
                <c:pt idx="1">
                  <c:v>2016-17</c:v>
                </c:pt>
                <c:pt idx="2">
                  <c:v>2017-18</c:v>
                </c:pt>
                <c:pt idx="3">
                  <c:v>2018-19</c:v>
                </c:pt>
                <c:pt idx="4">
                  <c:v>2019-20</c:v>
                </c:pt>
              </c:strCache>
            </c:strRef>
          </c:cat>
          <c:val>
            <c:numRef>
              <c:f>EH_Assessments!$L$32:$P$32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F5DC-42F5-A35D-F1ECB439C408}"/>
            </c:ext>
          </c:extLst>
        </c:ser>
        <c:ser>
          <c:idx val="6"/>
          <c:order val="1"/>
          <c:tx>
            <c:strRef>
              <c:f>EH_Assessments!$Z$4</c:f>
              <c:strCache>
                <c:ptCount val="1"/>
                <c:pt idx="0">
                  <c:v>Selected LA- (none)</c:v>
                </c:pt>
              </c:strCache>
            </c:strRef>
          </c:tx>
          <c:spPr>
            <a:solidFill>
              <a:srgbClr val="66FF99"/>
            </a:solidFill>
            <a:ln>
              <a:solidFill>
                <a:schemeClr val="tx1">
                  <a:lumMod val="75000"/>
                  <a:lumOff val="25000"/>
                </a:schemeClr>
              </a:solidFill>
            </a:ln>
          </c:spPr>
          <c:invertIfNegative val="0"/>
          <c:cat>
            <c:strRef>
              <c:f>EH_Assessments!$Z$2:$AD$3</c:f>
              <c:strCache>
                <c:ptCount val="5"/>
                <c:pt idx="0">
                  <c:v>2015-16</c:v>
                </c:pt>
                <c:pt idx="1">
                  <c:v>2016-17</c:v>
                </c:pt>
                <c:pt idx="2">
                  <c:v>2017-18</c:v>
                </c:pt>
                <c:pt idx="3">
                  <c:v>2018-19</c:v>
                </c:pt>
                <c:pt idx="4">
                  <c:v>2019-20</c:v>
                </c:pt>
              </c:strCache>
            </c:strRef>
          </c:cat>
          <c:val>
            <c:numRef>
              <c:f>EH_Assessments!$AL$63:$AP$63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F5DC-42F5-A35D-F1ECB439C408}"/>
            </c:ext>
          </c:extLst>
        </c:ser>
        <c:dLbls>
          <c:showLegendKey val="0"/>
          <c:showVal val="0"/>
          <c:showCatName val="0"/>
          <c:showSerName val="0"/>
          <c:showPercent val="0"/>
          <c:showBubbleSize val="0"/>
        </c:dLbls>
        <c:gapWidth val="150"/>
        <c:axId val="477390336"/>
        <c:axId val="510320640"/>
      </c:barChart>
      <c:catAx>
        <c:axId val="477390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0320640"/>
        <c:crosses val="autoZero"/>
        <c:auto val="1"/>
        <c:lblAlgn val="ctr"/>
        <c:lblOffset val="100"/>
        <c:noMultiLvlLbl val="0"/>
      </c:catAx>
      <c:valAx>
        <c:axId val="5103206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77390336"/>
        <c:crosses val="autoZero"/>
        <c:crossBetween val="between"/>
      </c:valAx>
      <c:spPr>
        <a:noFill/>
        <a:ln w="3175">
          <a:solidFill>
            <a:srgbClr val="000000"/>
          </a:solidFill>
          <a:prstDash val="solid"/>
        </a:ln>
      </c:spPr>
    </c:plotArea>
    <c:legend>
      <c:legendPos val="r"/>
      <c:layout>
        <c:manualLayout>
          <c:xMode val="edge"/>
          <c:yMode val="edge"/>
          <c:x val="0.75368682018960476"/>
          <c:y val="0.1954093238345207"/>
          <c:w val="0.22913741909176014"/>
          <c:h val="0.648342707161604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Average time in days, between a child entering care and moving in with their adoptive family</a:t>
            </a:r>
          </a:p>
        </c:rich>
      </c:tx>
      <c:layout>
        <c:manualLayout>
          <c:xMode val="edge"/>
          <c:yMode val="edge"/>
          <c:x val="0.12946592470238572"/>
          <c:y val="1.0301221879597805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98537827844135"/>
        </c:manualLayout>
      </c:layout>
      <c:lineChart>
        <c:grouping val="standard"/>
        <c:varyColors val="0"/>
        <c:ser>
          <c:idx val="0"/>
          <c:order val="0"/>
          <c:tx>
            <c:strRef>
              <c:f>Adoption!$AO$113</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F32-4786-988B-D3CBA8172BAD}"/>
              </c:ext>
            </c:extLst>
          </c:dPt>
          <c:cat>
            <c:strRef>
              <c:f>Adoption!$D$80:$H$80</c:f>
              <c:strCache>
                <c:ptCount val="5"/>
                <c:pt idx="0">
                  <c:v>2015-16</c:v>
                </c:pt>
                <c:pt idx="1">
                  <c:v>2016-17</c:v>
                </c:pt>
                <c:pt idx="2">
                  <c:v>2017-18</c:v>
                </c:pt>
                <c:pt idx="3">
                  <c:v>2018-19</c:v>
                </c:pt>
                <c:pt idx="4">
                  <c:v>2019-20</c:v>
                </c:pt>
              </c:strCache>
            </c:strRef>
          </c:cat>
          <c:val>
            <c:numRef>
              <c:f>Adoption!$AV$113:$AZ$113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F32-4786-988B-D3CBA8172BAD}"/>
            </c:ext>
          </c:extLst>
        </c:ser>
        <c:ser>
          <c:idx val="1"/>
          <c:order val="1"/>
          <c:tx>
            <c:strRef>
              <c:f>Adoption!$AO$114</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Adoption!$D$80:$H$80</c:f>
              <c:strCache>
                <c:ptCount val="5"/>
                <c:pt idx="0">
                  <c:v>2015-16</c:v>
                </c:pt>
                <c:pt idx="1">
                  <c:v>2016-17</c:v>
                </c:pt>
                <c:pt idx="2">
                  <c:v>2017-18</c:v>
                </c:pt>
                <c:pt idx="3">
                  <c:v>2018-19</c:v>
                </c:pt>
                <c:pt idx="4">
                  <c:v>2019-20</c:v>
                </c:pt>
              </c:strCache>
            </c:strRef>
          </c:cat>
          <c:val>
            <c:numRef>
              <c:f>Adoption!$AV$114:$AZ$114</c:f>
              <c:numCache>
                <c:formatCode>0</c:formatCode>
                <c:ptCount val="5"/>
                <c:pt idx="0">
                  <c:v>494</c:v>
                </c:pt>
                <c:pt idx="1">
                  <c:v>365</c:v>
                </c:pt>
                <c:pt idx="2">
                  <c:v>401</c:v>
                </c:pt>
                <c:pt idx="3">
                  <c:v>353</c:v>
                </c:pt>
                <c:pt idx="4">
                  <c:v>410</c:v>
                </c:pt>
              </c:numCache>
            </c:numRef>
          </c:val>
          <c:smooth val="0"/>
          <c:extLst>
            <c:ext xmlns:c16="http://schemas.microsoft.com/office/drawing/2014/chart" uri="{C3380CC4-5D6E-409C-BE32-E72D297353CC}">
              <c16:uniqueId val="{00000002-2F32-4786-988B-D3CBA8172BAD}"/>
            </c:ext>
          </c:extLst>
        </c:ser>
        <c:ser>
          <c:idx val="2"/>
          <c:order val="2"/>
          <c:tx>
            <c:strRef>
              <c:f>Adoption!$AO$115</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Adoption!$D$80:$H$80</c:f>
              <c:strCache>
                <c:ptCount val="5"/>
                <c:pt idx="0">
                  <c:v>2015-16</c:v>
                </c:pt>
                <c:pt idx="1">
                  <c:v>2016-17</c:v>
                </c:pt>
                <c:pt idx="2">
                  <c:v>2017-18</c:v>
                </c:pt>
                <c:pt idx="3">
                  <c:v>2018-19</c:v>
                </c:pt>
                <c:pt idx="4">
                  <c:v>2019-20</c:v>
                </c:pt>
              </c:strCache>
            </c:strRef>
          </c:cat>
          <c:val>
            <c:numRef>
              <c:f>Adoption!$AV$115:$AZ$115</c:f>
              <c:numCache>
                <c:formatCode>0</c:formatCode>
                <c:ptCount val="5"/>
                <c:pt idx="0">
                  <c:v>634</c:v>
                </c:pt>
                <c:pt idx="1">
                  <c:v>478</c:v>
                </c:pt>
                <c:pt idx="2">
                  <c:v>349</c:v>
                </c:pt>
                <c:pt idx="3">
                  <c:v>344</c:v>
                </c:pt>
                <c:pt idx="4">
                  <c:v>442.60869565217394</c:v>
                </c:pt>
              </c:numCache>
            </c:numRef>
          </c:val>
          <c:smooth val="0"/>
          <c:extLst>
            <c:ext xmlns:c16="http://schemas.microsoft.com/office/drawing/2014/chart" uri="{C3380CC4-5D6E-409C-BE32-E72D297353CC}">
              <c16:uniqueId val="{00000003-2F32-4786-988B-D3CBA8172BAD}"/>
            </c:ext>
          </c:extLst>
        </c:ser>
        <c:ser>
          <c:idx val="5"/>
          <c:order val="3"/>
          <c:tx>
            <c:strRef>
              <c:f>Adoption!$AO$116</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Adoption!$D$80:$H$80</c:f>
              <c:strCache>
                <c:ptCount val="5"/>
                <c:pt idx="0">
                  <c:v>2015-16</c:v>
                </c:pt>
                <c:pt idx="1">
                  <c:v>2016-17</c:v>
                </c:pt>
                <c:pt idx="2">
                  <c:v>2017-18</c:v>
                </c:pt>
                <c:pt idx="3">
                  <c:v>2018-19</c:v>
                </c:pt>
                <c:pt idx="4">
                  <c:v>2019-20</c:v>
                </c:pt>
              </c:strCache>
            </c:strRef>
          </c:cat>
          <c:val>
            <c:numRef>
              <c:f>Adoption!$AV$116:$AZ$116</c:f>
              <c:numCache>
                <c:formatCode>0</c:formatCode>
                <c:ptCount val="5"/>
                <c:pt idx="0">
                  <c:v>442</c:v>
                </c:pt>
                <c:pt idx="1">
                  <c:v>360</c:v>
                </c:pt>
                <c:pt idx="2">
                  <c:v>434</c:v>
                </c:pt>
                <c:pt idx="3">
                  <c:v>372</c:v>
                </c:pt>
                <c:pt idx="4">
                  <c:v>489.46153846153851</c:v>
                </c:pt>
              </c:numCache>
            </c:numRef>
          </c:val>
          <c:smooth val="0"/>
          <c:extLst>
            <c:ext xmlns:c16="http://schemas.microsoft.com/office/drawing/2014/chart" uri="{C3380CC4-5D6E-409C-BE32-E72D297353CC}">
              <c16:uniqueId val="{00000004-2F32-4786-988B-D3CBA8172BAD}"/>
            </c:ext>
          </c:extLst>
        </c:ser>
        <c:ser>
          <c:idx val="9"/>
          <c:order val="4"/>
          <c:tx>
            <c:strRef>
              <c:f>Adoption!$AO$117</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Adoption!$D$80:$H$80</c:f>
              <c:strCache>
                <c:ptCount val="5"/>
                <c:pt idx="0">
                  <c:v>2015-16</c:v>
                </c:pt>
                <c:pt idx="1">
                  <c:v>2016-17</c:v>
                </c:pt>
                <c:pt idx="2">
                  <c:v>2017-18</c:v>
                </c:pt>
                <c:pt idx="3">
                  <c:v>2018-19</c:v>
                </c:pt>
                <c:pt idx="4">
                  <c:v>2019-20</c:v>
                </c:pt>
              </c:strCache>
            </c:strRef>
          </c:cat>
          <c:val>
            <c:numRef>
              <c:f>Adoption!$AV$117:$AZ$117</c:f>
              <c:numCache>
                <c:formatCode>0</c:formatCode>
                <c:ptCount val="5"/>
                <c:pt idx="0">
                  <c:v>461</c:v>
                </c:pt>
                <c:pt idx="1">
                  <c:v>405</c:v>
                </c:pt>
                <c:pt idx="2">
                  <c:v>388</c:v>
                </c:pt>
                <c:pt idx="3">
                  <c:v>336</c:v>
                </c:pt>
                <c:pt idx="4">
                  <c:v>378.78571428571428</c:v>
                </c:pt>
              </c:numCache>
            </c:numRef>
          </c:val>
          <c:smooth val="0"/>
          <c:extLst>
            <c:ext xmlns:c16="http://schemas.microsoft.com/office/drawing/2014/chart" uri="{C3380CC4-5D6E-409C-BE32-E72D297353CC}">
              <c16:uniqueId val="{00000005-2F32-4786-988B-D3CBA8172BAD}"/>
            </c:ext>
          </c:extLst>
        </c:ser>
        <c:ser>
          <c:idx val="10"/>
          <c:order val="5"/>
          <c:tx>
            <c:strRef>
              <c:f>Adoption!$AO$118</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Adoption!$D$80:$H$80</c:f>
              <c:strCache>
                <c:ptCount val="5"/>
                <c:pt idx="0">
                  <c:v>2015-16</c:v>
                </c:pt>
                <c:pt idx="1">
                  <c:v>2016-17</c:v>
                </c:pt>
                <c:pt idx="2">
                  <c:v>2017-18</c:v>
                </c:pt>
                <c:pt idx="3">
                  <c:v>2018-19</c:v>
                </c:pt>
                <c:pt idx="4">
                  <c:v>2019-20</c:v>
                </c:pt>
              </c:strCache>
            </c:strRef>
          </c:cat>
          <c:val>
            <c:numRef>
              <c:f>Adoption!$AV$118:$AZ$118</c:f>
              <c:numCache>
                <c:formatCode>0</c:formatCode>
                <c:ptCount val="5"/>
                <c:pt idx="0">
                  <c:v>#N/A</c:v>
                </c:pt>
                <c:pt idx="1">
                  <c:v>647</c:v>
                </c:pt>
                <c:pt idx="2">
                  <c:v>298</c:v>
                </c:pt>
                <c:pt idx="3">
                  <c:v>338</c:v>
                </c:pt>
                <c:pt idx="4">
                  <c:v>#N/A</c:v>
                </c:pt>
              </c:numCache>
            </c:numRef>
          </c:val>
          <c:smooth val="0"/>
          <c:extLst>
            <c:ext xmlns:c16="http://schemas.microsoft.com/office/drawing/2014/chart" uri="{C3380CC4-5D6E-409C-BE32-E72D297353CC}">
              <c16:uniqueId val="{00000006-2F32-4786-988B-D3CBA8172BAD}"/>
            </c:ext>
          </c:extLst>
        </c:ser>
        <c:ser>
          <c:idx val="11"/>
          <c:order val="6"/>
          <c:tx>
            <c:strRef>
              <c:f>Adoption!$AO$119</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Adoption!$D$80:$H$80</c:f>
              <c:strCache>
                <c:ptCount val="5"/>
                <c:pt idx="0">
                  <c:v>2015-16</c:v>
                </c:pt>
                <c:pt idx="1">
                  <c:v>2016-17</c:v>
                </c:pt>
                <c:pt idx="2">
                  <c:v>2017-18</c:v>
                </c:pt>
                <c:pt idx="3">
                  <c:v>2018-19</c:v>
                </c:pt>
                <c:pt idx="4">
                  <c:v>2019-20</c:v>
                </c:pt>
              </c:strCache>
            </c:strRef>
          </c:cat>
          <c:val>
            <c:numRef>
              <c:f>Adoption!$AV$119:$AZ$119</c:f>
              <c:numCache>
                <c:formatCode>0</c:formatCode>
                <c:ptCount val="5"/>
                <c:pt idx="0">
                  <c:v>411</c:v>
                </c:pt>
                <c:pt idx="1">
                  <c:v>296</c:v>
                </c:pt>
                <c:pt idx="2">
                  <c:v>301</c:v>
                </c:pt>
                <c:pt idx="3">
                  <c:v>335</c:v>
                </c:pt>
                <c:pt idx="4">
                  <c:v>336.63492063492066</c:v>
                </c:pt>
              </c:numCache>
            </c:numRef>
          </c:val>
          <c:smooth val="0"/>
          <c:extLst>
            <c:ext xmlns:c16="http://schemas.microsoft.com/office/drawing/2014/chart" uri="{C3380CC4-5D6E-409C-BE32-E72D297353CC}">
              <c16:uniqueId val="{00000007-2F32-4786-988B-D3CBA8172BAD}"/>
            </c:ext>
          </c:extLst>
        </c:ser>
        <c:ser>
          <c:idx val="12"/>
          <c:order val="7"/>
          <c:tx>
            <c:strRef>
              <c:f>Adoption!$AO$120</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Adoption!$D$80:$H$80</c:f>
              <c:strCache>
                <c:ptCount val="5"/>
                <c:pt idx="0">
                  <c:v>2015-16</c:v>
                </c:pt>
                <c:pt idx="1">
                  <c:v>2016-17</c:v>
                </c:pt>
                <c:pt idx="2">
                  <c:v>2017-18</c:v>
                </c:pt>
                <c:pt idx="3">
                  <c:v>2018-19</c:v>
                </c:pt>
                <c:pt idx="4">
                  <c:v>2019-20</c:v>
                </c:pt>
              </c:strCache>
            </c:strRef>
          </c:cat>
          <c:val>
            <c:numRef>
              <c:f>Adoption!$AV$120:$AZ$120</c:f>
              <c:numCache>
                <c:formatCode>0</c:formatCode>
                <c:ptCount val="5"/>
                <c:pt idx="0">
                  <c:v>397</c:v>
                </c:pt>
                <c:pt idx="1">
                  <c:v>358</c:v>
                </c:pt>
                <c:pt idx="2">
                  <c:v>363</c:v>
                </c:pt>
                <c:pt idx="3">
                  <c:v>482</c:v>
                </c:pt>
                <c:pt idx="4">
                  <c:v>502.78947368421052</c:v>
                </c:pt>
              </c:numCache>
            </c:numRef>
          </c:val>
          <c:smooth val="0"/>
          <c:extLst>
            <c:ext xmlns:c16="http://schemas.microsoft.com/office/drawing/2014/chart" uri="{C3380CC4-5D6E-409C-BE32-E72D297353CC}">
              <c16:uniqueId val="{00000008-2F32-4786-988B-D3CBA8172BAD}"/>
            </c:ext>
          </c:extLst>
        </c:ser>
        <c:ser>
          <c:idx val="13"/>
          <c:order val="8"/>
          <c:tx>
            <c:strRef>
              <c:f>Adoption!$AO$121</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Adoption!$D$80:$H$80</c:f>
              <c:strCache>
                <c:ptCount val="5"/>
                <c:pt idx="0">
                  <c:v>2015-16</c:v>
                </c:pt>
                <c:pt idx="1">
                  <c:v>2016-17</c:v>
                </c:pt>
                <c:pt idx="2">
                  <c:v>2017-18</c:v>
                </c:pt>
                <c:pt idx="3">
                  <c:v>2018-19</c:v>
                </c:pt>
                <c:pt idx="4">
                  <c:v>2019-20</c:v>
                </c:pt>
              </c:strCache>
            </c:strRef>
          </c:cat>
          <c:val>
            <c:numRef>
              <c:f>Adoption!$AV$121:$AZ$121</c:f>
              <c:numCache>
                <c:formatCode>0</c:formatCode>
                <c:ptCount val="5"/>
                <c:pt idx="0">
                  <c:v>460</c:v>
                </c:pt>
                <c:pt idx="1">
                  <c:v>#N/A</c:v>
                </c:pt>
                <c:pt idx="2">
                  <c:v>#N/A</c:v>
                </c:pt>
                <c:pt idx="3">
                  <c:v>381</c:v>
                </c:pt>
                <c:pt idx="4">
                  <c:v>403.07142857142856</c:v>
                </c:pt>
              </c:numCache>
            </c:numRef>
          </c:val>
          <c:smooth val="0"/>
          <c:extLst>
            <c:ext xmlns:c16="http://schemas.microsoft.com/office/drawing/2014/chart" uri="{C3380CC4-5D6E-409C-BE32-E72D297353CC}">
              <c16:uniqueId val="{00000009-2F32-4786-988B-D3CBA8172BAD}"/>
            </c:ext>
          </c:extLst>
        </c:ser>
        <c:ser>
          <c:idx val="15"/>
          <c:order val="9"/>
          <c:tx>
            <c:strRef>
              <c:f>Adoption!$AO$122</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Adoption!$D$80:$H$80</c:f>
              <c:strCache>
                <c:ptCount val="5"/>
                <c:pt idx="0">
                  <c:v>2015-16</c:v>
                </c:pt>
                <c:pt idx="1">
                  <c:v>2016-17</c:v>
                </c:pt>
                <c:pt idx="2">
                  <c:v>2017-18</c:v>
                </c:pt>
                <c:pt idx="3">
                  <c:v>2018-19</c:v>
                </c:pt>
                <c:pt idx="4">
                  <c:v>2019-20</c:v>
                </c:pt>
              </c:strCache>
            </c:strRef>
          </c:cat>
          <c:val>
            <c:numRef>
              <c:f>Adoption!$AV$122:$AZ$122</c:f>
              <c:numCache>
                <c:formatCode>0</c:formatCode>
                <c:ptCount val="5"/>
                <c:pt idx="0">
                  <c:v>375</c:v>
                </c:pt>
                <c:pt idx="1">
                  <c:v>420</c:v>
                </c:pt>
                <c:pt idx="2">
                  <c:v>354</c:v>
                </c:pt>
                <c:pt idx="3">
                  <c:v>331</c:v>
                </c:pt>
                <c:pt idx="4">
                  <c:v>525.18181818181813</c:v>
                </c:pt>
              </c:numCache>
            </c:numRef>
          </c:val>
          <c:smooth val="0"/>
          <c:extLst>
            <c:ext xmlns:c16="http://schemas.microsoft.com/office/drawing/2014/chart" uri="{C3380CC4-5D6E-409C-BE32-E72D297353CC}">
              <c16:uniqueId val="{0000000A-2F32-4786-988B-D3CBA8172BAD}"/>
            </c:ext>
          </c:extLst>
        </c:ser>
        <c:ser>
          <c:idx val="16"/>
          <c:order val="10"/>
          <c:tx>
            <c:strRef>
              <c:f>Adoption!$AO$123</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Adoption!$D$80:$H$80</c:f>
              <c:strCache>
                <c:ptCount val="5"/>
                <c:pt idx="0">
                  <c:v>2015-16</c:v>
                </c:pt>
                <c:pt idx="1">
                  <c:v>2016-17</c:v>
                </c:pt>
                <c:pt idx="2">
                  <c:v>2017-18</c:v>
                </c:pt>
                <c:pt idx="3">
                  <c:v>2018-19</c:v>
                </c:pt>
                <c:pt idx="4">
                  <c:v>2019-20</c:v>
                </c:pt>
              </c:strCache>
            </c:strRef>
          </c:cat>
          <c:val>
            <c:numRef>
              <c:f>Adoption!$AV$123:$AZ$123</c:f>
              <c:numCache>
                <c:formatCode>0</c:formatCode>
                <c:ptCount val="5"/>
                <c:pt idx="0">
                  <c:v>345</c:v>
                </c:pt>
                <c:pt idx="1">
                  <c:v>388</c:v>
                </c:pt>
                <c:pt idx="2">
                  <c:v>326</c:v>
                </c:pt>
                <c:pt idx="3">
                  <c:v>239</c:v>
                </c:pt>
                <c:pt idx="4">
                  <c:v>390.08</c:v>
                </c:pt>
              </c:numCache>
            </c:numRef>
          </c:val>
          <c:smooth val="0"/>
          <c:extLst>
            <c:ext xmlns:c16="http://schemas.microsoft.com/office/drawing/2014/chart" uri="{C3380CC4-5D6E-409C-BE32-E72D297353CC}">
              <c16:uniqueId val="{0000000B-2F32-4786-988B-D3CBA8172BAD}"/>
            </c:ext>
          </c:extLst>
        </c:ser>
        <c:ser>
          <c:idx val="17"/>
          <c:order val="11"/>
          <c:tx>
            <c:strRef>
              <c:f>Adoption!$AO$124</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Adoption!$D$80:$H$80</c:f>
              <c:strCache>
                <c:ptCount val="5"/>
                <c:pt idx="0">
                  <c:v>2015-16</c:v>
                </c:pt>
                <c:pt idx="1">
                  <c:v>2016-17</c:v>
                </c:pt>
                <c:pt idx="2">
                  <c:v>2017-18</c:v>
                </c:pt>
                <c:pt idx="3">
                  <c:v>2018-19</c:v>
                </c:pt>
                <c:pt idx="4">
                  <c:v>2019-20</c:v>
                </c:pt>
              </c:strCache>
            </c:strRef>
          </c:cat>
          <c:val>
            <c:numRef>
              <c:f>Adoption!$AV$124:$AZ$124</c:f>
              <c:numCache>
                <c:formatCode>0</c:formatCode>
                <c:ptCount val="5"/>
                <c:pt idx="0">
                  <c:v>490</c:v>
                </c:pt>
                <c:pt idx="1">
                  <c:v>289</c:v>
                </c:pt>
                <c:pt idx="2">
                  <c:v>661</c:v>
                </c:pt>
                <c:pt idx="3">
                  <c:v>342</c:v>
                </c:pt>
                <c:pt idx="4">
                  <c:v>439.33333333333331</c:v>
                </c:pt>
              </c:numCache>
            </c:numRef>
          </c:val>
          <c:smooth val="0"/>
          <c:extLst>
            <c:ext xmlns:c16="http://schemas.microsoft.com/office/drawing/2014/chart" uri="{C3380CC4-5D6E-409C-BE32-E72D297353CC}">
              <c16:uniqueId val="{0000000C-2F32-4786-988B-D3CBA8172BAD}"/>
            </c:ext>
          </c:extLst>
        </c:ser>
        <c:ser>
          <c:idx val="19"/>
          <c:order val="12"/>
          <c:tx>
            <c:strRef>
              <c:f>Adoption!$AO$125</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Adoption!$D$80:$H$80</c:f>
              <c:strCache>
                <c:ptCount val="5"/>
                <c:pt idx="0">
                  <c:v>2015-16</c:v>
                </c:pt>
                <c:pt idx="1">
                  <c:v>2016-17</c:v>
                </c:pt>
                <c:pt idx="2">
                  <c:v>2017-18</c:v>
                </c:pt>
                <c:pt idx="3">
                  <c:v>2018-19</c:v>
                </c:pt>
                <c:pt idx="4">
                  <c:v>2019-20</c:v>
                </c:pt>
              </c:strCache>
            </c:strRef>
          </c:cat>
          <c:val>
            <c:numRef>
              <c:f>Adoption!$AV$125:$AZ$125</c:f>
              <c:numCache>
                <c:formatCode>0</c:formatCode>
                <c:ptCount val="5"/>
                <c:pt idx="0">
                  <c:v>362</c:v>
                </c:pt>
                <c:pt idx="1">
                  <c:v>225</c:v>
                </c:pt>
                <c:pt idx="2">
                  <c:v>353</c:v>
                </c:pt>
                <c:pt idx="3">
                  <c:v>411</c:v>
                </c:pt>
                <c:pt idx="4">
                  <c:v>404.8</c:v>
                </c:pt>
              </c:numCache>
            </c:numRef>
          </c:val>
          <c:smooth val="0"/>
          <c:extLst>
            <c:ext xmlns:c16="http://schemas.microsoft.com/office/drawing/2014/chart" uri="{C3380CC4-5D6E-409C-BE32-E72D297353CC}">
              <c16:uniqueId val="{0000000D-2F32-4786-988B-D3CBA8172BAD}"/>
            </c:ext>
          </c:extLst>
        </c:ser>
        <c:ser>
          <c:idx val="3"/>
          <c:order val="13"/>
          <c:tx>
            <c:strRef>
              <c:f>Adoption!$AO$126</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Adoption!$D$80:$H$80</c:f>
              <c:strCache>
                <c:ptCount val="5"/>
                <c:pt idx="0">
                  <c:v>2015-16</c:v>
                </c:pt>
                <c:pt idx="1">
                  <c:v>2016-17</c:v>
                </c:pt>
                <c:pt idx="2">
                  <c:v>2017-18</c:v>
                </c:pt>
                <c:pt idx="3">
                  <c:v>2018-19</c:v>
                </c:pt>
                <c:pt idx="4">
                  <c:v>2019-20</c:v>
                </c:pt>
              </c:strCache>
            </c:strRef>
          </c:cat>
          <c:val>
            <c:numRef>
              <c:f>Adoption!$AV$126:$AZ$126</c:f>
              <c:numCache>
                <c:formatCode>0</c:formatCode>
                <c:ptCount val="5"/>
                <c:pt idx="0">
                  <c:v>334</c:v>
                </c:pt>
                <c:pt idx="1">
                  <c:v>412</c:v>
                </c:pt>
                <c:pt idx="2">
                  <c:v>306</c:v>
                </c:pt>
                <c:pt idx="3">
                  <c:v>284</c:v>
                </c:pt>
                <c:pt idx="4">
                  <c:v>441</c:v>
                </c:pt>
              </c:numCache>
            </c:numRef>
          </c:val>
          <c:smooth val="0"/>
          <c:extLst>
            <c:ext xmlns:c16="http://schemas.microsoft.com/office/drawing/2014/chart" uri="{C3380CC4-5D6E-409C-BE32-E72D297353CC}">
              <c16:uniqueId val="{0000000E-2F32-4786-988B-D3CBA8172BAD}"/>
            </c:ext>
          </c:extLst>
        </c:ser>
        <c:ser>
          <c:idx val="20"/>
          <c:order val="14"/>
          <c:tx>
            <c:strRef>
              <c:f>Adoption!$AO$127</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Adoption!$D$80:$H$80</c:f>
              <c:strCache>
                <c:ptCount val="5"/>
                <c:pt idx="0">
                  <c:v>2015-16</c:v>
                </c:pt>
                <c:pt idx="1">
                  <c:v>2016-17</c:v>
                </c:pt>
                <c:pt idx="2">
                  <c:v>2017-18</c:v>
                </c:pt>
                <c:pt idx="3">
                  <c:v>2018-19</c:v>
                </c:pt>
                <c:pt idx="4">
                  <c:v>2019-20</c:v>
                </c:pt>
              </c:strCache>
            </c:strRef>
          </c:cat>
          <c:val>
            <c:numRef>
              <c:f>Adoption!$AV$127:$AZ$127</c:f>
              <c:numCache>
                <c:formatCode>0</c:formatCode>
                <c:ptCount val="5"/>
                <c:pt idx="0">
                  <c:v>492</c:v>
                </c:pt>
                <c:pt idx="1">
                  <c:v>521</c:v>
                </c:pt>
                <c:pt idx="2">
                  <c:v>374</c:v>
                </c:pt>
                <c:pt idx="3">
                  <c:v>468</c:v>
                </c:pt>
                <c:pt idx="4">
                  <c:v>340.06896551724139</c:v>
                </c:pt>
              </c:numCache>
            </c:numRef>
          </c:val>
          <c:smooth val="0"/>
          <c:extLst>
            <c:ext xmlns:c16="http://schemas.microsoft.com/office/drawing/2014/chart" uri="{C3380CC4-5D6E-409C-BE32-E72D297353CC}">
              <c16:uniqueId val="{0000000F-2F32-4786-988B-D3CBA8172BAD}"/>
            </c:ext>
          </c:extLst>
        </c:ser>
        <c:ser>
          <c:idx val="22"/>
          <c:order val="15"/>
          <c:tx>
            <c:strRef>
              <c:f>Adoption!$AO$128</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Adoption!$D$80:$H$80</c:f>
              <c:strCache>
                <c:ptCount val="5"/>
                <c:pt idx="0">
                  <c:v>2015-16</c:v>
                </c:pt>
                <c:pt idx="1">
                  <c:v>2016-17</c:v>
                </c:pt>
                <c:pt idx="2">
                  <c:v>2017-18</c:v>
                </c:pt>
                <c:pt idx="3">
                  <c:v>2018-19</c:v>
                </c:pt>
                <c:pt idx="4">
                  <c:v>2019-20</c:v>
                </c:pt>
              </c:strCache>
            </c:strRef>
          </c:cat>
          <c:val>
            <c:numRef>
              <c:f>Adoption!$AV$128:$AZ$128</c:f>
              <c:numCache>
                <c:formatCode>0</c:formatCode>
                <c:ptCount val="5"/>
                <c:pt idx="0">
                  <c:v>439</c:v>
                </c:pt>
                <c:pt idx="1">
                  <c:v>386</c:v>
                </c:pt>
                <c:pt idx="2">
                  <c:v>382</c:v>
                </c:pt>
                <c:pt idx="3">
                  <c:v>325</c:v>
                </c:pt>
                <c:pt idx="4">
                  <c:v>325.96428571428572</c:v>
                </c:pt>
              </c:numCache>
            </c:numRef>
          </c:val>
          <c:smooth val="0"/>
          <c:extLst>
            <c:ext xmlns:c16="http://schemas.microsoft.com/office/drawing/2014/chart" uri="{C3380CC4-5D6E-409C-BE32-E72D297353CC}">
              <c16:uniqueId val="{00000010-2F32-4786-988B-D3CBA8172BAD}"/>
            </c:ext>
          </c:extLst>
        </c:ser>
        <c:ser>
          <c:idx val="7"/>
          <c:order val="16"/>
          <c:tx>
            <c:strRef>
              <c:f>Adoption!$AO$129</c:f>
              <c:strCache>
                <c:ptCount val="1"/>
                <c:pt idx="0">
                  <c:v>Swindon</c:v>
                </c:pt>
              </c:strCache>
            </c:strRef>
          </c:tx>
          <c:spPr>
            <a:ln w="12700"/>
          </c:spPr>
          <c:marker>
            <c:symbol val="triangle"/>
            <c:size val="5"/>
            <c:spPr>
              <a:solidFill>
                <a:schemeClr val="accent2">
                  <a:lumMod val="20000"/>
                  <a:lumOff val="80000"/>
                </a:schemeClr>
              </a:solidFill>
            </c:spPr>
          </c:marker>
          <c:cat>
            <c:strRef>
              <c:f>Adoption!$D$80:$H$80</c:f>
              <c:strCache>
                <c:ptCount val="5"/>
                <c:pt idx="0">
                  <c:v>2015-16</c:v>
                </c:pt>
                <c:pt idx="1">
                  <c:v>2016-17</c:v>
                </c:pt>
                <c:pt idx="2">
                  <c:v>2017-18</c:v>
                </c:pt>
                <c:pt idx="3">
                  <c:v>2018-19</c:v>
                </c:pt>
                <c:pt idx="4">
                  <c:v>2019-20</c:v>
                </c:pt>
              </c:strCache>
            </c:strRef>
          </c:cat>
          <c:val>
            <c:numRef>
              <c:f>Adoption!$AV$129:$AZ$129</c:f>
              <c:numCache>
                <c:formatCode>0</c:formatCode>
                <c:ptCount val="5"/>
                <c:pt idx="0">
                  <c:v>#N/A</c:v>
                </c:pt>
                <c:pt idx="1">
                  <c:v>419</c:v>
                </c:pt>
                <c:pt idx="2">
                  <c:v>273</c:v>
                </c:pt>
                <c:pt idx="3">
                  <c:v>104</c:v>
                </c:pt>
                <c:pt idx="4">
                  <c:v>507</c:v>
                </c:pt>
              </c:numCache>
            </c:numRef>
          </c:val>
          <c:smooth val="0"/>
          <c:extLst>
            <c:ext xmlns:c16="http://schemas.microsoft.com/office/drawing/2014/chart" uri="{C3380CC4-5D6E-409C-BE32-E72D297353CC}">
              <c16:uniqueId val="{00000011-2F32-4786-988B-D3CBA8172BAD}"/>
            </c:ext>
          </c:extLst>
        </c:ser>
        <c:ser>
          <c:idx val="8"/>
          <c:order val="17"/>
          <c:tx>
            <c:strRef>
              <c:f>Adoption!$AO$130</c:f>
              <c:strCache>
                <c:ptCount val="1"/>
                <c:pt idx="0">
                  <c:v>Torbay</c:v>
                </c:pt>
              </c:strCache>
            </c:strRef>
          </c:tx>
          <c:spPr>
            <a:ln w="12700"/>
          </c:spPr>
          <c:marker>
            <c:symbol val="circle"/>
            <c:size val="5"/>
            <c:spPr>
              <a:solidFill>
                <a:schemeClr val="accent3">
                  <a:lumMod val="20000"/>
                  <a:lumOff val="80000"/>
                </a:schemeClr>
              </a:solidFill>
            </c:spPr>
          </c:marker>
          <c:cat>
            <c:strRef>
              <c:f>Adoption!$D$80:$H$80</c:f>
              <c:strCache>
                <c:ptCount val="5"/>
                <c:pt idx="0">
                  <c:v>2015-16</c:v>
                </c:pt>
                <c:pt idx="1">
                  <c:v>2016-17</c:v>
                </c:pt>
                <c:pt idx="2">
                  <c:v>2017-18</c:v>
                </c:pt>
                <c:pt idx="3">
                  <c:v>2018-19</c:v>
                </c:pt>
                <c:pt idx="4">
                  <c:v>2019-20</c:v>
                </c:pt>
              </c:strCache>
            </c:strRef>
          </c:cat>
          <c:val>
            <c:numRef>
              <c:f>Adoption!$AV$130:$AZ$130</c:f>
              <c:numCache>
                <c:formatCode>0</c:formatCode>
                <c:ptCount val="5"/>
                <c:pt idx="0">
                  <c:v>350</c:v>
                </c:pt>
                <c:pt idx="1">
                  <c:v>341</c:v>
                </c:pt>
                <c:pt idx="2">
                  <c:v>399</c:v>
                </c:pt>
                <c:pt idx="3">
                  <c:v>303</c:v>
                </c:pt>
                <c:pt idx="4">
                  <c:v>420</c:v>
                </c:pt>
              </c:numCache>
            </c:numRef>
          </c:val>
          <c:smooth val="0"/>
          <c:extLst>
            <c:ext xmlns:c16="http://schemas.microsoft.com/office/drawing/2014/chart" uri="{C3380CC4-5D6E-409C-BE32-E72D297353CC}">
              <c16:uniqueId val="{00000012-2F32-4786-988B-D3CBA8172BAD}"/>
            </c:ext>
          </c:extLst>
        </c:ser>
        <c:ser>
          <c:idx val="23"/>
          <c:order val="18"/>
          <c:tx>
            <c:strRef>
              <c:f>Adoption!$AO$131</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Adoption!$D$80:$H$80</c:f>
              <c:strCache>
                <c:ptCount val="5"/>
                <c:pt idx="0">
                  <c:v>2015-16</c:v>
                </c:pt>
                <c:pt idx="1">
                  <c:v>2016-17</c:v>
                </c:pt>
                <c:pt idx="2">
                  <c:v>2017-18</c:v>
                </c:pt>
                <c:pt idx="3">
                  <c:v>2018-19</c:v>
                </c:pt>
                <c:pt idx="4">
                  <c:v>2019-20</c:v>
                </c:pt>
              </c:strCache>
            </c:strRef>
          </c:cat>
          <c:val>
            <c:numRef>
              <c:f>Adoption!$AV$131:$AZ$131</c:f>
              <c:numCache>
                <c:formatCode>0</c:formatCode>
                <c:ptCount val="5"/>
                <c:pt idx="0">
                  <c:v>#N/A</c:v>
                </c:pt>
                <c:pt idx="1">
                  <c:v>447</c:v>
                </c:pt>
                <c:pt idx="2">
                  <c:v>#N/A</c:v>
                </c:pt>
                <c:pt idx="3">
                  <c:v>#N/A</c:v>
                </c:pt>
                <c:pt idx="4">
                  <c:v>#N/A</c:v>
                </c:pt>
              </c:numCache>
            </c:numRef>
          </c:val>
          <c:smooth val="0"/>
          <c:extLst>
            <c:ext xmlns:c16="http://schemas.microsoft.com/office/drawing/2014/chart" uri="{C3380CC4-5D6E-409C-BE32-E72D297353CC}">
              <c16:uniqueId val="{00000013-2F32-4786-988B-D3CBA8172BAD}"/>
            </c:ext>
          </c:extLst>
        </c:ser>
        <c:ser>
          <c:idx val="24"/>
          <c:order val="19"/>
          <c:tx>
            <c:strRef>
              <c:f>Adoption!$AO$132</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Adoption!$D$80:$H$80</c:f>
              <c:strCache>
                <c:ptCount val="5"/>
                <c:pt idx="0">
                  <c:v>2015-16</c:v>
                </c:pt>
                <c:pt idx="1">
                  <c:v>2016-17</c:v>
                </c:pt>
                <c:pt idx="2">
                  <c:v>2017-18</c:v>
                </c:pt>
                <c:pt idx="3">
                  <c:v>2018-19</c:v>
                </c:pt>
                <c:pt idx="4">
                  <c:v>2019-20</c:v>
                </c:pt>
              </c:strCache>
            </c:strRef>
          </c:cat>
          <c:val>
            <c:numRef>
              <c:f>Adoption!$AV$132:$AZ$132</c:f>
              <c:numCache>
                <c:formatCode>0</c:formatCode>
                <c:ptCount val="5"/>
                <c:pt idx="0">
                  <c:v>407</c:v>
                </c:pt>
                <c:pt idx="1">
                  <c:v>413</c:v>
                </c:pt>
                <c:pt idx="2">
                  <c:v>413</c:v>
                </c:pt>
                <c:pt idx="3">
                  <c:v>398</c:v>
                </c:pt>
                <c:pt idx="4">
                  <c:v>537.61363636363637</c:v>
                </c:pt>
              </c:numCache>
            </c:numRef>
          </c:val>
          <c:smooth val="0"/>
          <c:extLst>
            <c:ext xmlns:c16="http://schemas.microsoft.com/office/drawing/2014/chart" uri="{C3380CC4-5D6E-409C-BE32-E72D297353CC}">
              <c16:uniqueId val="{00000014-2F32-4786-988B-D3CBA8172BAD}"/>
            </c:ext>
          </c:extLst>
        </c:ser>
        <c:ser>
          <c:idx val="25"/>
          <c:order val="20"/>
          <c:tx>
            <c:strRef>
              <c:f>Adoption!$AO$133</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Adoption!$D$80:$H$80</c:f>
              <c:strCache>
                <c:ptCount val="5"/>
                <c:pt idx="0">
                  <c:v>2015-16</c:v>
                </c:pt>
                <c:pt idx="1">
                  <c:v>2016-17</c:v>
                </c:pt>
                <c:pt idx="2">
                  <c:v>2017-18</c:v>
                </c:pt>
                <c:pt idx="3">
                  <c:v>2018-19</c:v>
                </c:pt>
                <c:pt idx="4">
                  <c:v>2019-20</c:v>
                </c:pt>
              </c:strCache>
            </c:strRef>
          </c:cat>
          <c:val>
            <c:numRef>
              <c:f>Adoption!$AV$133:$AZ$133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2F32-4786-988B-D3CBA8172BAD}"/>
            </c:ext>
          </c:extLst>
        </c:ser>
        <c:ser>
          <c:idx val="26"/>
          <c:order val="21"/>
          <c:tx>
            <c:strRef>
              <c:f>Adoption!$AO$134</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Adoption!$D$80:$H$80</c:f>
              <c:strCache>
                <c:ptCount val="5"/>
                <c:pt idx="0">
                  <c:v>2015-16</c:v>
                </c:pt>
                <c:pt idx="1">
                  <c:v>2016-17</c:v>
                </c:pt>
                <c:pt idx="2">
                  <c:v>2017-18</c:v>
                </c:pt>
                <c:pt idx="3">
                  <c:v>2018-19</c:v>
                </c:pt>
                <c:pt idx="4">
                  <c:v>2019-20</c:v>
                </c:pt>
              </c:strCache>
            </c:strRef>
          </c:cat>
          <c:val>
            <c:numRef>
              <c:f>Adoption!$AV$134:$AZ$134</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2F32-4786-988B-D3CBA8172BAD}"/>
            </c:ext>
          </c:extLst>
        </c:ser>
        <c:ser>
          <c:idx val="4"/>
          <c:order val="22"/>
          <c:tx>
            <c:strRef>
              <c:f>Adoption!$AO$135</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Adoption!$D$80:$H$80</c:f>
              <c:strCache>
                <c:ptCount val="5"/>
                <c:pt idx="0">
                  <c:v>2015-16</c:v>
                </c:pt>
                <c:pt idx="1">
                  <c:v>2016-17</c:v>
                </c:pt>
                <c:pt idx="2">
                  <c:v>2017-18</c:v>
                </c:pt>
                <c:pt idx="3">
                  <c:v>2018-19</c:v>
                </c:pt>
                <c:pt idx="4">
                  <c:v>2019-20</c:v>
                </c:pt>
              </c:strCache>
            </c:strRef>
          </c:cat>
          <c:val>
            <c:numRef>
              <c:f>Adoption!$AV$135:$AZ$135</c:f>
              <c:numCache>
                <c:formatCode>0</c:formatCode>
                <c:ptCount val="5"/>
                <c:pt idx="0">
                  <c:v>421.87121212121212</c:v>
                </c:pt>
                <c:pt idx="1">
                  <c:v>385.04754098360655</c:v>
                </c:pt>
                <c:pt idx="2">
                  <c:v>352.70377358490566</c:v>
                </c:pt>
                <c:pt idx="3">
                  <c:v>351.05490196078432</c:v>
                </c:pt>
                <c:pt idx="4">
                  <c:v>417</c:v>
                </c:pt>
              </c:numCache>
            </c:numRef>
          </c:val>
          <c:smooth val="0"/>
          <c:extLst>
            <c:ext xmlns:c16="http://schemas.microsoft.com/office/drawing/2014/chart" uri="{C3380CC4-5D6E-409C-BE32-E72D297353CC}">
              <c16:uniqueId val="{00000017-2F32-4786-988B-D3CBA8172BAD}"/>
            </c:ext>
          </c:extLst>
        </c:ser>
        <c:ser>
          <c:idx val="14"/>
          <c:order val="23"/>
          <c:tx>
            <c:strRef>
              <c:f>Adoption!$AO$136</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Adoption!$D$80:$H$80</c:f>
              <c:strCache>
                <c:ptCount val="5"/>
                <c:pt idx="0">
                  <c:v>2015-16</c:v>
                </c:pt>
                <c:pt idx="1">
                  <c:v>2016-17</c:v>
                </c:pt>
                <c:pt idx="2">
                  <c:v>2017-18</c:v>
                </c:pt>
                <c:pt idx="3">
                  <c:v>2018-19</c:v>
                </c:pt>
                <c:pt idx="4">
                  <c:v>2019-20</c:v>
                </c:pt>
              </c:strCache>
            </c:strRef>
          </c:cat>
          <c:val>
            <c:numRef>
              <c:f>Adoption!$AV$136:$AZ$136</c:f>
              <c:numCache>
                <c:formatCode>0</c:formatCode>
                <c:ptCount val="5"/>
                <c:pt idx="0">
                  <c:v>435</c:v>
                </c:pt>
                <c:pt idx="1">
                  <c:v>399</c:v>
                </c:pt>
                <c:pt idx="2">
                  <c:v>361</c:v>
                </c:pt>
                <c:pt idx="3">
                  <c:v>363</c:v>
                </c:pt>
                <c:pt idx="4">
                  <c:v>459</c:v>
                </c:pt>
              </c:numCache>
            </c:numRef>
          </c:val>
          <c:smooth val="0"/>
          <c:extLst>
            <c:ext xmlns:c16="http://schemas.microsoft.com/office/drawing/2014/chart" uri="{C3380CC4-5D6E-409C-BE32-E72D297353CC}">
              <c16:uniqueId val="{00000018-2F32-4786-988B-D3CBA8172BAD}"/>
            </c:ext>
          </c:extLst>
        </c:ser>
        <c:ser>
          <c:idx val="6"/>
          <c:order val="24"/>
          <c:tx>
            <c:strRef>
              <c:f>Adoption!$AO$137</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Adoption!$D$80:$H$80</c:f>
              <c:strCache>
                <c:ptCount val="5"/>
                <c:pt idx="0">
                  <c:v>2015-16</c:v>
                </c:pt>
                <c:pt idx="1">
                  <c:v>2016-17</c:v>
                </c:pt>
                <c:pt idx="2">
                  <c:v>2017-18</c:v>
                </c:pt>
                <c:pt idx="3">
                  <c:v>2018-19</c:v>
                </c:pt>
                <c:pt idx="4">
                  <c:v>2019-20</c:v>
                </c:pt>
              </c:strCache>
            </c:strRef>
          </c:cat>
          <c:val>
            <c:numRef>
              <c:f>Adoption!$AV$137:$AZ$137</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F32-4786-988B-D3CBA8172BAD}"/>
            </c:ext>
          </c:extLst>
        </c:ser>
        <c:dLbls>
          <c:showLegendKey val="0"/>
          <c:showVal val="0"/>
          <c:showCatName val="0"/>
          <c:showSerName val="0"/>
          <c:showPercent val="0"/>
          <c:showBubbleSize val="0"/>
        </c:dLbls>
        <c:marker val="1"/>
        <c:smooth val="0"/>
        <c:axId val="418850688"/>
        <c:axId val="418861056"/>
      </c:lineChart>
      <c:catAx>
        <c:axId val="418850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861056"/>
        <c:crosses val="autoZero"/>
        <c:auto val="1"/>
        <c:lblAlgn val="ctr"/>
        <c:lblOffset val="100"/>
        <c:tickLblSkip val="1"/>
        <c:tickMarkSkip val="1"/>
        <c:noMultiLvlLbl val="0"/>
      </c:catAx>
      <c:valAx>
        <c:axId val="41886105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850688"/>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019084484757953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Avg. Days LAC start to PFA</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6214911492227855"/>
          <c:y val="1.251934417288748E-2"/>
        </c:manualLayout>
      </c:layout>
      <c:overlay val="0"/>
      <c:spPr>
        <a:noFill/>
        <a:ln w="25400">
          <a:noFill/>
        </a:ln>
      </c:spPr>
    </c:title>
    <c:autoTitleDeleted val="0"/>
    <c:plotArea>
      <c:layout>
        <c:manualLayout>
          <c:layoutTarget val="inner"/>
          <c:xMode val="edge"/>
          <c:yMode val="edge"/>
          <c:x val="9.8666564984461691E-2"/>
          <c:y val="0.21047931508561429"/>
          <c:w val="0.64607416380644722"/>
          <c:h val="0.56053984376213328"/>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2015-16</c:v>
                </c:pt>
                <c:pt idx="1">
                  <c:v>2016-17</c:v>
                </c:pt>
                <c:pt idx="2">
                  <c:v>2017-18</c:v>
                </c:pt>
                <c:pt idx="3">
                  <c:v>2018-19</c:v>
                </c:pt>
                <c:pt idx="4">
                  <c:v>2019-20</c:v>
                </c:pt>
              </c:strCache>
            </c:strRef>
          </c:cat>
          <c:val>
            <c:numRef>
              <c:f>Adoption!$AV$137:$AZ$137</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B163-46AB-A2FB-21A651C9A73F}"/>
            </c:ext>
          </c:extLst>
        </c:ser>
        <c:ser>
          <c:idx val="4"/>
          <c:order val="1"/>
          <c:tx>
            <c:strRef>
              <c:f>Adoption!$B$171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2015-16</c:v>
                </c:pt>
                <c:pt idx="1">
                  <c:v>2016-17</c:v>
                </c:pt>
                <c:pt idx="2">
                  <c:v>2017-18</c:v>
                </c:pt>
                <c:pt idx="3">
                  <c:v>2018-19</c:v>
                </c:pt>
                <c:pt idx="4">
                  <c:v>2019-20</c:v>
                </c:pt>
              </c:strCache>
            </c:strRef>
          </c:cat>
          <c:val>
            <c:numRef>
              <c:f>Adoption!$L$104:$P$104</c:f>
              <c:numCache>
                <c:formatCode>0</c:formatCode>
                <c:ptCount val="5"/>
                <c:pt idx="0">
                  <c:v>421.87121212121212</c:v>
                </c:pt>
                <c:pt idx="1">
                  <c:v>385.04754098360655</c:v>
                </c:pt>
                <c:pt idx="2">
                  <c:v>352.70377358490566</c:v>
                </c:pt>
                <c:pt idx="3">
                  <c:v>351.05490196078432</c:v>
                </c:pt>
                <c:pt idx="4">
                  <c:v>417</c:v>
                </c:pt>
              </c:numCache>
            </c:numRef>
          </c:val>
          <c:extLst>
            <c:ext xmlns:c16="http://schemas.microsoft.com/office/drawing/2014/chart" uri="{C3380CC4-5D6E-409C-BE32-E72D297353CC}">
              <c16:uniqueId val="{00000001-B163-46AB-A2FB-21A651C9A73F}"/>
            </c:ext>
          </c:extLst>
        </c:ser>
        <c:ser>
          <c:idx val="0"/>
          <c:order val="2"/>
          <c:tx>
            <c:strRef>
              <c:f>Adoption!$B$105</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2015-16</c:v>
                </c:pt>
                <c:pt idx="1">
                  <c:v>2016-17</c:v>
                </c:pt>
                <c:pt idx="2">
                  <c:v>2017-18</c:v>
                </c:pt>
                <c:pt idx="3">
                  <c:v>2018-19</c:v>
                </c:pt>
                <c:pt idx="4">
                  <c:v>2019-20</c:v>
                </c:pt>
              </c:strCache>
            </c:strRef>
          </c:cat>
          <c:val>
            <c:numRef>
              <c:f>Adoption!$L$105:$P$105</c:f>
              <c:numCache>
                <c:formatCode>0</c:formatCode>
                <c:ptCount val="5"/>
                <c:pt idx="0">
                  <c:v>435</c:v>
                </c:pt>
                <c:pt idx="1">
                  <c:v>399</c:v>
                </c:pt>
                <c:pt idx="2">
                  <c:v>361</c:v>
                </c:pt>
                <c:pt idx="3">
                  <c:v>363</c:v>
                </c:pt>
                <c:pt idx="4">
                  <c:v>459</c:v>
                </c:pt>
              </c:numCache>
            </c:numRef>
          </c:val>
          <c:extLst>
            <c:ext xmlns:c16="http://schemas.microsoft.com/office/drawing/2014/chart" uri="{C3380CC4-5D6E-409C-BE32-E72D297353CC}">
              <c16:uniqueId val="{00000002-B163-46AB-A2FB-21A651C9A73F}"/>
            </c:ext>
          </c:extLst>
        </c:ser>
        <c:dLbls>
          <c:showLegendKey val="0"/>
          <c:showVal val="0"/>
          <c:showCatName val="0"/>
          <c:showSerName val="0"/>
          <c:showPercent val="0"/>
          <c:showBubbleSize val="0"/>
        </c:dLbls>
        <c:gapWidth val="100"/>
        <c:axId val="419239424"/>
        <c:axId val="419240960"/>
      </c:barChart>
      <c:catAx>
        <c:axId val="419239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240960"/>
        <c:crosses val="autoZero"/>
        <c:auto val="1"/>
        <c:lblAlgn val="ctr"/>
        <c:lblOffset val="100"/>
        <c:noMultiLvlLbl val="0"/>
      </c:catAx>
      <c:valAx>
        <c:axId val="41924096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23942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Placed for Adoption vs. IDACI</a:t>
            </a:r>
          </a:p>
        </c:rich>
      </c:tx>
      <c:layout>
        <c:manualLayout>
          <c:xMode val="edge"/>
          <c:yMode val="edge"/>
          <c:x val="0.15926796821630174"/>
          <c:y val="3.0147147896105751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Adoption!$AU$39</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0178-4DD4-8EEF-C65A511D636C}"/>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{CD0973DC-9AD1-4251-9C05-326DECC758E8}</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0178-4DD4-8EEF-C65A511D636C}"/>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{3AC4E391-7AE8-41B8-AAEB-C84185D5840F}</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0178-4DD4-8EEF-C65A511D636C}"/>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{AB9C6035-0E75-4574-9050-315D32A5B72F}</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0178-4DD4-8EEF-C65A511D636C}"/>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{A9CF4E83-2330-4A09-9226-D405EB345F2A}</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0178-4DD4-8EEF-C65A511D636C}"/>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{41576E07-B606-4AE3-8746-42AFDC4E474A}</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0178-4DD4-8EEF-C65A511D636C}"/>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{8CB5414C-5E82-48D9-9AC9-4BB367D3632E}</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0178-4DD4-8EEF-C65A511D636C}"/>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{09810FD4-1453-449C-AF3E-F800D1A2F93E}</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0178-4DD4-8EEF-C65A511D636C}"/>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{33A4D55C-57D9-414B-8D26-6A7E11705E3F}</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0178-4DD4-8EEF-C65A511D636C}"/>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{2FCC3026-5E45-4B66-9ECC-37F2134ECEBF}</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0178-4DD4-8EEF-C65A511D636C}"/>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{39D3E7AD-694B-4758-821F-53A0BF39FBF3}</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0178-4DD4-8EEF-C65A511D636C}"/>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{27BF2E51-18AC-4D0D-B985-5F348414D363}</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0178-4DD4-8EEF-C65A511D636C}"/>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{6D4C29E0-BD14-43A6-B68D-3B53E7DD74A7}</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0178-4DD4-8EEF-C65A511D636C}"/>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{F15E3780-FDD9-4F6D-A9E6-5C9129E707A2}</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0178-4DD4-8EEF-C65A511D636C}"/>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{0A552BE3-EAA4-4D21-A5E4-04135C88CF3F}</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0178-4DD4-8EEF-C65A511D636C}"/>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{3007339F-4360-490F-9BF2-D5A244E3E3A2}</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0178-4DD4-8EEF-C65A511D636C}"/>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{E6C177A1-DA26-4AF6-88D7-0B87B884C272}</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0178-4DD4-8EEF-C65A511D636C}"/>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{88FB18F5-CFA2-4F39-9402-AD31BE499A54}</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0178-4DD4-8EEF-C65A511D636C}"/>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{1D4E30EB-3C06-48A5-9B87-0AD685A987CC}</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0178-4DD4-8EEF-C65A511D636C}"/>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{1B608FE4-6EC5-4596-B854-2AD0F098ED36}</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0178-4DD4-8EEF-C65A511D636C}"/>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(Adoption!$AU$42:$AU$54,Adoption!$AU$56:$AU$57,Adoption!$AU$60:$AU$63)</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(Adoption!$AT$42:$AT$54,Adoption!$AT$56:$AT$57,Adoption!$AT$60:$AT$63)</c:f>
              <c:numCache>
                <c:formatCode>0.0</c:formatCode>
                <c:ptCount val="19"/>
                <c:pt idx="0">
                  <c:v>0</c:v>
                </c:pt>
                <c:pt idx="1">
                  <c:v>1.5904572564612327</c:v>
                </c:pt>
                <c:pt idx="2">
                  <c:v>0.63643595863166258</c:v>
                </c:pt>
                <c:pt idx="3">
                  <c:v>2.8222013170272811</c:v>
                </c:pt>
                <c:pt idx="4">
                  <c:v>1.3366162504396764</c:v>
                </c:pt>
                <c:pt idx="5">
                  <c:v>#N/A</c:v>
                </c:pt>
                <c:pt idx="6">
                  <c:v>1.0471204188481675</c:v>
                </c:pt>
                <c:pt idx="7">
                  <c:v>2.1538461538461537</c:v>
                </c:pt>
                <c:pt idx="8">
                  <c:v>2.3255813953488373</c:v>
                </c:pt>
                <c:pt idx="9">
                  <c:v>1.1635865845311431</c:v>
                </c:pt>
                <c:pt idx="10">
                  <c:v>1.5981735159817352</c:v>
                </c:pt>
                <c:pt idx="11">
                  <c:v>#N/A</c:v>
                </c:pt>
                <c:pt idx="12">
                  <c:v>1.8561484918793505</c:v>
                </c:pt>
                <c:pt idx="13">
                  <c:v>#N/A</c:v>
                </c:pt>
                <c:pt idx="14">
                  <c:v>#N/A</c:v>
                </c:pt>
                <c:pt idx="15">
                  <c:v>#N/A</c:v>
                </c:pt>
                <c:pt idx="16">
                  <c:v>1.8171493469619533</c:v>
                </c:pt>
                <c:pt idx="17">
                  <c:v>#N/A</c:v>
                </c:pt>
                <c:pt idx="18">
                  <c:v>#N/A</c:v>
                </c:pt>
              </c:numCache>
            </c:numRef>
          </c:yVal>
          <c:smooth val="0"/>
          <c:extLst>
            <c:ext xmlns:c16="http://schemas.microsoft.com/office/drawing/2014/chart" uri="{C3380CC4-5D6E-409C-BE32-E72D297353CC}">
              <c16:uniqueId val="{00000015-0178-4DD4-8EEF-C65A511D636C}"/>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6-0178-4DD4-8EEF-C65A511D636C}"/>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{F0C4AF02-3C29-4A1E-A8FA-85FBD2BBB9BA}</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6-0178-4DD4-8EEF-C65A511D636C}"/>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{703E2F58-C59C-48E8-BB59-53A9B01AD11E}</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7-0178-4DD4-8EEF-C65A511D636C}"/>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{1298FB53-BDBF-4A24-BA50-F48BDB99D08E}</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8-0178-4DD4-8EEF-C65A511D636C}"/>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(Adoption!$AU$55,Adoption!$AU$58,Adoption!$AU$59)</c:f>
              <c:numCache>
                <c:formatCode>0.0</c:formatCode>
                <c:ptCount val="3"/>
                <c:pt idx="0">
                  <c:v>13.600000000000001</c:v>
                </c:pt>
                <c:pt idx="1">
                  <c:v>14.899999999999999</c:v>
                </c:pt>
                <c:pt idx="2">
                  <c:v>21.9</c:v>
                </c:pt>
              </c:numCache>
            </c:numRef>
          </c:xVal>
          <c:yVal>
            <c:numRef>
              <c:f>(Adoption!$AT$55,Adoption!$AT$58,Adoption!$AT$59)</c:f>
              <c:numCache>
                <c:formatCode>0.0</c:formatCode>
                <c:ptCount val="3"/>
                <c:pt idx="0">
                  <c:v>2.0683453237410072</c:v>
                </c:pt>
                <c:pt idx="1">
                  <c:v>2.3809523809523809</c:v>
                </c:pt>
                <c:pt idx="2">
                  <c:v>#N/A</c:v>
                </c:pt>
              </c:numCache>
            </c:numRef>
          </c:yVal>
          <c:smooth val="0"/>
          <c:extLst>
            <c:ext xmlns:c16="http://schemas.microsoft.com/office/drawing/2014/chart" uri="{C3380CC4-5D6E-409C-BE32-E72D297353CC}">
              <c16:uniqueId val="{00000019-0178-4DD4-8EEF-C65A511D636C}"/>
            </c:ext>
          </c:extLst>
        </c:ser>
        <c:ser>
          <c:idx val="1"/>
          <c:order val="2"/>
          <c:tx>
            <c:strRef>
              <c:f>Adoption!$Z$4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Adoption!$AU$66</c:f>
              <c:numCache>
                <c:formatCode>0.0</c:formatCode>
                <c:ptCount val="1"/>
                <c:pt idx="0">
                  <c:v>#N/A</c:v>
                </c:pt>
              </c:numCache>
            </c:numRef>
          </c:xVal>
          <c:yVal>
            <c:numRef>
              <c:f>Adoption!$AT$66</c:f>
              <c:numCache>
                <c:formatCode>0.0</c:formatCode>
                <c:ptCount val="1"/>
                <c:pt idx="0">
                  <c:v>#N/A</c:v>
                </c:pt>
              </c:numCache>
            </c:numRef>
          </c:yVal>
          <c:smooth val="0"/>
          <c:extLst>
            <c:ext xmlns:c16="http://schemas.microsoft.com/office/drawing/2014/chart" uri="{C3380CC4-5D6E-409C-BE32-E72D297353CC}">
              <c16:uniqueId val="{0000001A-0178-4DD4-8EEF-C65A511D636C}"/>
            </c:ext>
          </c:extLst>
        </c:ser>
        <c:ser>
          <c:idx val="4"/>
          <c:order val="3"/>
          <c:tx>
            <c:strRef>
              <c:f>Adoption!$B$32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Adoption!$T$32</c:f>
              <c:numCache>
                <c:formatCode>0.0</c:formatCode>
                <c:ptCount val="1"/>
                <c:pt idx="0">
                  <c:v>13.023146175906508</c:v>
                </c:pt>
              </c:numCache>
            </c:numRef>
          </c:xVal>
          <c:yVal>
            <c:numRef>
              <c:f>Adoption!$P$32</c:f>
              <c:numCache>
                <c:formatCode>0.0</c:formatCode>
                <c:ptCount val="1"/>
                <c:pt idx="0">
                  <c:v>1.6872511304582574</c:v>
                </c:pt>
              </c:numCache>
            </c:numRef>
          </c:yVal>
          <c:smooth val="0"/>
          <c:extLst>
            <c:ext xmlns:c16="http://schemas.microsoft.com/office/drawing/2014/chart" uri="{C3380CC4-5D6E-409C-BE32-E72D297353CC}">
              <c16:uniqueId val="{0000001B-0178-4DD4-8EEF-C65A511D636C}"/>
            </c:ext>
          </c:extLst>
        </c:ser>
        <c:dLbls>
          <c:showLegendKey val="0"/>
          <c:showVal val="0"/>
          <c:showCatName val="0"/>
          <c:showSerName val="0"/>
          <c:showPercent val="0"/>
          <c:showBubbleSize val="0"/>
        </c:dLbls>
        <c:axId val="419281536"/>
        <c:axId val="419062912"/>
      </c:scatterChart>
      <c:scatterChart>
        <c:scatterStyle val="smoothMarker"/>
        <c:varyColors val="0"/>
        <c:ser>
          <c:idx val="2"/>
          <c:order val="4"/>
          <c:tx>
            <c:strRef>
              <c:f>Adoption!$X$42</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1E98-48B7-8E0C-15F295CC25C1}"/>
                </c:ext>
              </c:extLst>
            </c:dLbl>
            <c:dLbl>
              <c:idx val="1"/>
              <c:layout>
                <c:manualLayout>
                  <c:x val="-8.9922480620155149E-2"/>
                  <c:y val="-3.3182503770739093E-2"/>
                </c:manualLayout>
              </c:layout>
              <c:tx>
                <c:strRef>
                  <c:f>Adoption!$AC$43</c:f>
                  <c:strCache>
                    <c:ptCount val="1"/>
                    <c:pt idx="0">
                      <c:v>r² = 0.387</c:v>
                    </c:pt>
                  </c:strCache>
                </c:strRef>
              </c:tx>
              <c:spPr>
                <a:noFill/>
                <a:ln>
                  <a:noFill/>
                </a:ln>
                <a:effectLst/>
              </c:spPr>
              <c:txPr>
                <a:bodyPr wrap="square" lIns="38100" tIns="19050" rIns="38100" bIns="19050" anchor="ctr">
                  <a:spAutoFit/>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{C0E19D94-1F03-4C93-BD1C-5DDF53AACA95}</c15:txfldGUID>
                      <c15:f>Adoption!$AC$43</c15:f>
                      <c15:dlblFieldTableCache>
                        <c:ptCount val="1"/>
                        <c:pt idx="0">
                          <c:v>r² = 0.387</c:v>
                        </c:pt>
                      </c15:dlblFieldTableCache>
                    </c15:dlblFTEntry>
                  </c15:dlblFieldTable>
                  <c15:showDataLabelsRange val="0"/>
                </c:ext>
                <c:ext xmlns:c16="http://schemas.microsoft.com/office/drawing/2014/chart" uri="{C3380CC4-5D6E-409C-BE32-E72D297353CC}">
                  <c16:uniqueId val="{00000005-1E98-48B7-8E0C-15F295CC25C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Adoption!$AA$42:$AA$43</c:f>
              <c:numCache>
                <c:formatCode>General</c:formatCode>
                <c:ptCount val="2"/>
                <c:pt idx="0" formatCode="#,##0.0">
                  <c:v>5</c:v>
                </c:pt>
                <c:pt idx="1">
                  <c:v>35</c:v>
                </c:pt>
              </c:numCache>
            </c:numRef>
          </c:xVal>
          <c:yVal>
            <c:numRef>
              <c:f>Adoption!$AB$42:$AB$43</c:f>
              <c:numCache>
                <c:formatCode>0.0</c:formatCode>
                <c:ptCount val="2"/>
                <c:pt idx="0">
                  <c:v>0.46724181010521504</c:v>
                </c:pt>
                <c:pt idx="1">
                  <c:v>4.1212805200558691</c:v>
                </c:pt>
              </c:numCache>
            </c:numRef>
          </c:yVal>
          <c:smooth val="1"/>
          <c:extLst>
            <c:ext xmlns:c16="http://schemas.microsoft.com/office/drawing/2014/chart" uri="{C3380CC4-5D6E-409C-BE32-E72D297353CC}">
              <c16:uniqueId val="{00000003-1E98-48B7-8E0C-15F295CC25C1}"/>
            </c:ext>
          </c:extLst>
        </c:ser>
        <c:dLbls>
          <c:showLegendKey val="0"/>
          <c:showVal val="0"/>
          <c:showCatName val="0"/>
          <c:showSerName val="0"/>
          <c:showPercent val="0"/>
          <c:showBubbleSize val="0"/>
        </c:dLbls>
        <c:axId val="419281536"/>
        <c:axId val="419062912"/>
      </c:scatterChart>
      <c:valAx>
        <c:axId val="419281536"/>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062912"/>
        <c:crosses val="autoZero"/>
        <c:crossBetween val="midCat"/>
        <c:majorUnit val="5"/>
      </c:valAx>
      <c:valAx>
        <c:axId val="41906291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Children Placed for Adoption </a:t>
                </a:r>
                <a:r>
                  <a:rPr lang="en-GB"/>
                  <a:t>per</a:t>
                </a:r>
              </a:p>
              <a:p>
                <a:pPr>
                  <a:defRPr sz="800" b="1" i="0" u="none" strike="noStrike" baseline="0">
                    <a:solidFill>
                      <a:srgbClr val="000000"/>
                    </a:solidFill>
                    <a:latin typeface="Arial"/>
                    <a:ea typeface="Arial"/>
                    <a:cs typeface="Arial"/>
                  </a:defRPr>
                </a:pPr>
                <a:r>
                  <a:rPr lang="en-GB"/>
                  <a:t>10,000 0-17 year olds</a:t>
                </a:r>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28153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Average time in days between a child entering care and moving in with their adoptive family vs. IDACI</a:t>
            </a:r>
          </a:p>
        </c:rich>
      </c:tx>
      <c:layout>
        <c:manualLayout>
          <c:xMode val="edge"/>
          <c:yMode val="edge"/>
          <c:x val="0.15926796821630174"/>
          <c:y val="1.8080782888564271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2"/>
          <c:order val="4"/>
          <c:tx>
            <c:strRef>
              <c:f>Adoption!$X$113</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19AD-45E4-807E-EF1D02C7F9F9}"/>
                </c:ext>
              </c:extLst>
            </c:dLbl>
            <c:dLbl>
              <c:idx val="1"/>
              <c:layout>
                <c:manualLayout>
                  <c:x val="-7.4418604651162679E-2"/>
                  <c:y val="-2.7149321266968326E-2"/>
                </c:manualLayout>
              </c:layout>
              <c:tx>
                <c:strRef>
                  <c:f>Adoption!$AC$114</c:f>
                  <c:strCache>
                    <c:ptCount val="1"/>
                    <c:pt idx="0">
                      <c:v>r² = 0.019</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{AF11A22A-5DE4-4D51-B268-F87BE6A2CA20}</c15:txfldGUID>
                      <c15:f>Adoption!$AC$114</c15:f>
                      <c15:dlblFieldTableCache>
                        <c:ptCount val="1"/>
                        <c:pt idx="0">
                          <c:v>r² = 0.019</c:v>
                        </c:pt>
                      </c15:dlblFieldTableCache>
                    </c15:dlblFTEntry>
                  </c15:dlblFieldTable>
                  <c15:showDataLabelsRange val="0"/>
                </c:ext>
                <c:ext xmlns:c16="http://schemas.microsoft.com/office/drawing/2014/chart" uri="{C3380CC4-5D6E-409C-BE32-E72D297353CC}">
                  <c16:uniqueId val="{00000001-19AD-45E4-807E-EF1D02C7F9F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Adoption!$AA$113:$AA$114</c:f>
              <c:numCache>
                <c:formatCode>General</c:formatCode>
                <c:ptCount val="2"/>
                <c:pt idx="0" formatCode="#,##0.0">
                  <c:v>5</c:v>
                </c:pt>
                <c:pt idx="1">
                  <c:v>35</c:v>
                </c:pt>
              </c:numCache>
            </c:numRef>
          </c:xVal>
          <c:yVal>
            <c:numRef>
              <c:f>Adoption!$AB$113:$AB$114</c:f>
              <c:numCache>
                <c:formatCode>0.0</c:formatCode>
                <c:ptCount val="2"/>
                <c:pt idx="0">
                  <c:v>444.94306524887088</c:v>
                </c:pt>
                <c:pt idx="1">
                  <c:v>375.33177718360832</c:v>
                </c:pt>
              </c:numCache>
            </c:numRef>
          </c:yVal>
          <c:smooth val="1"/>
          <c:extLst>
            <c:ext xmlns:c16="http://schemas.microsoft.com/office/drawing/2014/chart" uri="{C3380CC4-5D6E-409C-BE32-E72D297353CC}">
              <c16:uniqueId val="{00000002-19AD-45E4-807E-EF1D02C7F9F9}"/>
            </c:ext>
          </c:extLst>
        </c:ser>
        <c:dLbls>
          <c:showLegendKey val="0"/>
          <c:showVal val="0"/>
          <c:showCatName val="0"/>
          <c:showSerName val="0"/>
          <c:showPercent val="0"/>
          <c:showBubbleSize val="0"/>
        </c:dLbls>
        <c:axId val="419128832"/>
        <c:axId val="419172352"/>
      </c:scatterChart>
      <c:scatterChart>
        <c:scatterStyle val="lineMarker"/>
        <c:varyColors val="0"/>
        <c:ser>
          <c:idx val="0"/>
          <c:order val="0"/>
          <c:tx>
            <c:strRef>
              <c:f>Adoption!$AU$39</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19AD-45E4-807E-EF1D02C7F9F9}"/>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{CAACEDB8-45D5-42D7-B222-B688104CBBC3}</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19AD-45E4-807E-EF1D02C7F9F9}"/>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{9BDCCFC3-A6D7-47EC-8B4B-8360EC5037BD}</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19AD-45E4-807E-EF1D02C7F9F9}"/>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{138A6F6C-5E28-4B40-8F20-31AF124DF5E0}</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19AD-45E4-807E-EF1D02C7F9F9}"/>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{70B0BB15-DAAA-4234-9C7C-A1E868F92296}</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19AD-45E4-807E-EF1D02C7F9F9}"/>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{A05CC49B-72A1-4930-8F01-2412EDED3583}</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19AD-45E4-807E-EF1D02C7F9F9}"/>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{714EA79B-924E-42CD-AE76-0A2D3E534248}</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19AD-45E4-807E-EF1D02C7F9F9}"/>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{E0362E29-4660-42F7-9BAC-B9B07F63D8AE}</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19AD-45E4-807E-EF1D02C7F9F9}"/>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{CE4C6CB5-7277-449E-9417-D5C4FF33038E}</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19AD-45E4-807E-EF1D02C7F9F9}"/>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{5ED62E9F-2EE5-48D1-A4C9-FFA45D312CD3}</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19AD-45E4-807E-EF1D02C7F9F9}"/>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{8B93E530-4B06-498B-BC88-095FCF6248A0}</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19AD-45E4-807E-EF1D02C7F9F9}"/>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{6C6FF2D8-FAA8-4240-8123-D1B53B257F38}</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19AD-45E4-807E-EF1D02C7F9F9}"/>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{CE9B87DD-54C0-4A42-A8AE-FA13AAE010EA}</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19AD-45E4-807E-EF1D02C7F9F9}"/>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{9BA4EB81-2FD9-4439-A00A-1B6F37608BB6}</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19AD-45E4-807E-EF1D02C7F9F9}"/>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{B55BDE7F-145B-4150-B233-6B3EA97264C6}</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19AD-45E4-807E-EF1D02C7F9F9}"/>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{D41946B8-0C7B-45EE-81E4-612508CD8A43}</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19AD-45E4-807E-EF1D02C7F9F9}"/>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{6496EA51-42EA-40EF-8305-FB8E6C69B226}</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19AD-45E4-807E-EF1D02C7F9F9}"/>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{63A44B43-0C79-4D83-8982-C26D47E92F15}</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19AD-45E4-807E-EF1D02C7F9F9}"/>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{72C43FAB-3315-4AE0-8F4D-8B915C83271B}</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19AD-45E4-807E-EF1D02C7F9F9}"/>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{A467157A-668E-4428-AE30-0076BCCC7719}</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19AD-45E4-807E-EF1D02C7F9F9}"/>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(Adoption!$AU$113:$AU$125,Adoption!$AU$127:$AU$128,Adoption!$AU$131:$AU$134)</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(Adoption!$AZ$113:$AZ$125,Adoption!$AZ$127:$AZ$128,Adoption!$AZ$131:$AZ$134)</c:f>
              <c:numCache>
                <c:formatCode>0</c:formatCode>
                <c:ptCount val="19"/>
                <c:pt idx="0">
                  <c:v>#N/A</c:v>
                </c:pt>
                <c:pt idx="1">
                  <c:v>410</c:v>
                </c:pt>
                <c:pt idx="2">
                  <c:v>442.60869565217394</c:v>
                </c:pt>
                <c:pt idx="3">
                  <c:v>489.46153846153851</c:v>
                </c:pt>
                <c:pt idx="4">
                  <c:v>378.78571428571428</c:v>
                </c:pt>
                <c:pt idx="5">
                  <c:v>#N/A</c:v>
                </c:pt>
                <c:pt idx="6">
                  <c:v>336.63492063492066</c:v>
                </c:pt>
                <c:pt idx="7">
                  <c:v>502.78947368421052</c:v>
                </c:pt>
                <c:pt idx="8">
                  <c:v>403.07142857142856</c:v>
                </c:pt>
                <c:pt idx="9">
                  <c:v>525.18181818181813</c:v>
                </c:pt>
                <c:pt idx="10">
                  <c:v>390.08</c:v>
                </c:pt>
                <c:pt idx="11">
                  <c:v>439.33333333333331</c:v>
                </c:pt>
                <c:pt idx="12">
                  <c:v>404.8</c:v>
                </c:pt>
                <c:pt idx="13">
                  <c:v>340.06896551724139</c:v>
                </c:pt>
                <c:pt idx="14">
                  <c:v>325.96428571428572</c:v>
                </c:pt>
                <c:pt idx="15">
                  <c:v>#N/A</c:v>
                </c:pt>
                <c:pt idx="16">
                  <c:v>537.61363636363637</c:v>
                </c:pt>
                <c:pt idx="17">
                  <c:v>#N/A</c:v>
                </c:pt>
                <c:pt idx="18">
                  <c:v>#N/A</c:v>
                </c:pt>
              </c:numCache>
            </c:numRef>
          </c:yVal>
          <c:smooth val="0"/>
          <c:extLst>
            <c:ext xmlns:c16="http://schemas.microsoft.com/office/drawing/2014/chart" uri="{C3380CC4-5D6E-409C-BE32-E72D297353CC}">
              <c16:uniqueId val="{00000017-19AD-45E4-807E-EF1D02C7F9F9}"/>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19AD-45E4-807E-EF1D02C7F9F9}"/>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{73F0934B-4D58-4411-AA63-E969401A55C5}</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19AD-45E4-807E-EF1D02C7F9F9}"/>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{E06E34C5-9D47-454E-B897-A81EC14A019B}</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19AD-45E4-807E-EF1D02C7F9F9}"/>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{6CC6A77C-A01D-41C5-B6CF-BE947D59066F}</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19AD-45E4-807E-EF1D02C7F9F9}"/>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(Adoption!$AU$126,Adoption!$AU$129:$AU$130)</c:f>
              <c:numCache>
                <c:formatCode>0.0</c:formatCode>
                <c:ptCount val="3"/>
                <c:pt idx="0">
                  <c:v>13.600000000000001</c:v>
                </c:pt>
                <c:pt idx="1">
                  <c:v>14.899999999999999</c:v>
                </c:pt>
                <c:pt idx="2">
                  <c:v>21.9</c:v>
                </c:pt>
              </c:numCache>
            </c:numRef>
          </c:xVal>
          <c:yVal>
            <c:numRef>
              <c:f>(Adoption!$AZ$126,Adoption!$AZ$129:$AZ$130)</c:f>
              <c:numCache>
                <c:formatCode>0</c:formatCode>
                <c:ptCount val="3"/>
                <c:pt idx="0">
                  <c:v>441</c:v>
                </c:pt>
                <c:pt idx="1">
                  <c:v>507</c:v>
                </c:pt>
                <c:pt idx="2">
                  <c:v>420</c:v>
                </c:pt>
              </c:numCache>
            </c:numRef>
          </c:yVal>
          <c:smooth val="0"/>
          <c:extLst>
            <c:ext xmlns:c16="http://schemas.microsoft.com/office/drawing/2014/chart" uri="{C3380CC4-5D6E-409C-BE32-E72D297353CC}">
              <c16:uniqueId val="{0000001B-19AD-45E4-807E-EF1D02C7F9F9}"/>
            </c:ext>
          </c:extLst>
        </c:ser>
        <c:ser>
          <c:idx val="1"/>
          <c:order val="2"/>
          <c:tx>
            <c:strRef>
              <c:f>Adoption!$Z$4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Adoption!$AU$137</c:f>
              <c:numCache>
                <c:formatCode>0.0</c:formatCode>
                <c:ptCount val="1"/>
                <c:pt idx="0">
                  <c:v>#N/A</c:v>
                </c:pt>
              </c:numCache>
            </c:numRef>
          </c:xVal>
          <c:yVal>
            <c:numRef>
              <c:f>Adoption!$AT$137</c:f>
              <c:numCache>
                <c:formatCode>0.0</c:formatCode>
                <c:ptCount val="1"/>
                <c:pt idx="0">
                  <c:v>#N/A</c:v>
                </c:pt>
              </c:numCache>
            </c:numRef>
          </c:yVal>
          <c:smooth val="0"/>
          <c:extLst>
            <c:ext xmlns:c16="http://schemas.microsoft.com/office/drawing/2014/chart" uri="{C3380CC4-5D6E-409C-BE32-E72D297353CC}">
              <c16:uniqueId val="{0000001C-19AD-45E4-807E-EF1D02C7F9F9}"/>
            </c:ext>
          </c:extLst>
        </c:ser>
        <c:ser>
          <c:idx val="4"/>
          <c:order val="3"/>
          <c:tx>
            <c:strRef>
              <c:f>Adoption!$B$32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Adoption!$T$104</c:f>
              <c:numCache>
                <c:formatCode>0.0</c:formatCode>
                <c:ptCount val="1"/>
                <c:pt idx="0">
                  <c:v>12.371268250968637</c:v>
                </c:pt>
              </c:numCache>
            </c:numRef>
          </c:xVal>
          <c:yVal>
            <c:numRef>
              <c:f>Adoption!$P$104</c:f>
              <c:numCache>
                <c:formatCode>0</c:formatCode>
                <c:ptCount val="1"/>
                <c:pt idx="0">
                  <c:v>417</c:v>
                </c:pt>
              </c:numCache>
            </c:numRef>
          </c:yVal>
          <c:smooth val="0"/>
          <c:extLst>
            <c:ext xmlns:c16="http://schemas.microsoft.com/office/drawing/2014/chart" uri="{C3380CC4-5D6E-409C-BE32-E72D297353CC}">
              <c16:uniqueId val="{0000001D-19AD-45E4-807E-EF1D02C7F9F9}"/>
            </c:ext>
          </c:extLst>
        </c:ser>
        <c:dLbls>
          <c:showLegendKey val="0"/>
          <c:showVal val="0"/>
          <c:showCatName val="0"/>
          <c:showSerName val="0"/>
          <c:showPercent val="0"/>
          <c:showBubbleSize val="0"/>
        </c:dLbls>
        <c:axId val="419128832"/>
        <c:axId val="419172352"/>
      </c:scatterChart>
      <c:valAx>
        <c:axId val="419128832"/>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172352"/>
        <c:crosses val="autoZero"/>
        <c:crossBetween val="midCat"/>
        <c:majorUnit val="5"/>
      </c:valAx>
      <c:valAx>
        <c:axId val="41917235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Children Placed for Adoption </a:t>
                </a:r>
                <a:r>
                  <a:rPr lang="en-GB"/>
                  <a:t>per</a:t>
                </a:r>
              </a:p>
              <a:p>
                <a:pPr>
                  <a:defRPr sz="800" b="1" i="0" u="none" strike="noStrike" baseline="0">
                    <a:solidFill>
                      <a:srgbClr val="000000"/>
                    </a:solidFill>
                    <a:latin typeface="Arial"/>
                    <a:ea typeface="Arial"/>
                    <a:cs typeface="Arial"/>
                  </a:defRPr>
                </a:pPr>
                <a:r>
                  <a:rPr lang="en-GB"/>
                  <a:t>10,000 0-17 year olds</a:t>
                </a:r>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12883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Leavers</a:t>
            </a:r>
            <a:r>
              <a:rPr lang="en-GB" baseline="0"/>
              <a:t> (Aged 19-21)</a:t>
            </a:r>
            <a:r>
              <a:rPr lang="en-GB"/>
              <a:t>, per 10,000 0-17 year olds</a:t>
            </a:r>
          </a:p>
        </c:rich>
      </c:tx>
      <c:layout>
        <c:manualLayout>
          <c:xMode val="edge"/>
          <c:yMode val="edge"/>
          <c:x val="0.10289835662760959"/>
          <c:y val="2.285834825365868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Care_Leavers!$AK$41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4B3-4BFD-A55C-DD3ACEE208E5}"/>
              </c:ext>
            </c:extLst>
          </c:dPt>
          <c:cat>
            <c:strRef>
              <c:f>Care_Leavers!$Y$2:$AC$3</c:f>
              <c:strCache>
                <c:ptCount val="5"/>
                <c:pt idx="0">
                  <c:v>2015-16</c:v>
                </c:pt>
                <c:pt idx="1">
                  <c:v>2016-17</c:v>
                </c:pt>
                <c:pt idx="2">
                  <c:v>2017-18</c:v>
                </c:pt>
                <c:pt idx="3">
                  <c:v>2018-19</c:v>
                </c:pt>
                <c:pt idx="4">
                  <c:v>2019-20</c:v>
                </c:pt>
              </c:strCache>
            </c:strRef>
          </c:cat>
          <c:val>
            <c:numRef>
              <c:f>Care_Leavers!$AL$41:$AP$41</c:f>
              <c:numCache>
                <c:formatCode>0.0</c:formatCode>
                <c:ptCount val="5"/>
                <c:pt idx="0">
                  <c:v>121.21212121212122</c:v>
                </c:pt>
                <c:pt idx="1">
                  <c:v>103.2258064516129</c:v>
                </c:pt>
                <c:pt idx="2">
                  <c:v>131.25</c:v>
                </c:pt>
                <c:pt idx="3">
                  <c:v>142.42424242424241</c:v>
                </c:pt>
                <c:pt idx="4">
                  <c:v>169.13946587537092</c:v>
                </c:pt>
              </c:numCache>
            </c:numRef>
          </c:val>
          <c:smooth val="0"/>
          <c:extLst>
            <c:ext xmlns:c16="http://schemas.microsoft.com/office/drawing/2014/chart" uri="{C3380CC4-5D6E-409C-BE32-E72D297353CC}">
              <c16:uniqueId val="{00000001-D4B3-4BFD-A55C-DD3ACEE208E5}"/>
            </c:ext>
          </c:extLst>
        </c:ser>
        <c:ser>
          <c:idx val="1"/>
          <c:order val="1"/>
          <c:tx>
            <c:strRef>
              <c:f>Care_Leavers!$AK$42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Care_Leavers!$AL$42:$AP$42</c:f>
              <c:numCache>
                <c:formatCode>0.0</c:formatCode>
                <c:ptCount val="5"/>
                <c:pt idx="0">
                  <c:v>88.461538461538453</c:v>
                </c:pt>
                <c:pt idx="1">
                  <c:v>90.155440414507765</c:v>
                </c:pt>
                <c:pt idx="2">
                  <c:v>95.588235294117652</c:v>
                </c:pt>
                <c:pt idx="3">
                  <c:v>103.7914691943128</c:v>
                </c:pt>
                <c:pt idx="4">
                  <c:v>109.36007640878702</c:v>
                </c:pt>
              </c:numCache>
            </c:numRef>
          </c:val>
          <c:smooth val="0"/>
          <c:extLst>
            <c:ext xmlns:c16="http://schemas.microsoft.com/office/drawing/2014/chart" uri="{C3380CC4-5D6E-409C-BE32-E72D297353CC}">
              <c16:uniqueId val="{00000002-D4B3-4BFD-A55C-DD3ACEE208E5}"/>
            </c:ext>
          </c:extLst>
        </c:ser>
        <c:ser>
          <c:idx val="2"/>
          <c:order val="2"/>
          <c:tx>
            <c:strRef>
              <c:f>Care_Leavers!$AK$43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Care_Leavers!$AL$43:$AP$43</c:f>
              <c:numCache>
                <c:formatCode>0.0</c:formatCode>
                <c:ptCount val="5"/>
                <c:pt idx="0">
                  <c:v>102.72108843537416</c:v>
                </c:pt>
                <c:pt idx="1">
                  <c:v>118.05555555555556</c:v>
                </c:pt>
                <c:pt idx="2">
                  <c:v>145.25547445255475</c:v>
                </c:pt>
                <c:pt idx="3">
                  <c:v>139.84962406015038</c:v>
                </c:pt>
                <c:pt idx="4">
                  <c:v>151.5625</c:v>
                </c:pt>
              </c:numCache>
            </c:numRef>
          </c:val>
          <c:smooth val="0"/>
          <c:extLst>
            <c:ext xmlns:c16="http://schemas.microsoft.com/office/drawing/2014/chart" uri="{C3380CC4-5D6E-409C-BE32-E72D297353CC}">
              <c16:uniqueId val="{00000003-D4B3-4BFD-A55C-DD3ACEE208E5}"/>
            </c:ext>
          </c:extLst>
        </c:ser>
        <c:ser>
          <c:idx val="5"/>
          <c:order val="3"/>
          <c:tx>
            <c:strRef>
              <c:f>Care_Leavers!$AK$44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Care_Leavers!$AL$44:$AP$44</c:f>
              <c:numCache>
                <c:formatCode>0.0</c:formatCode>
                <c:ptCount val="5"/>
                <c:pt idx="0">
                  <c:v>95.59748427672956</c:v>
                </c:pt>
                <c:pt idx="1">
                  <c:v>94.904458598726109</c:v>
                </c:pt>
                <c:pt idx="2">
                  <c:v>99.354838709677423</c:v>
                </c:pt>
                <c:pt idx="3">
                  <c:v>109.86842105263158</c:v>
                </c:pt>
                <c:pt idx="4">
                  <c:v>137.39298536315934</c:v>
                </c:pt>
              </c:numCache>
            </c:numRef>
          </c:val>
          <c:smooth val="0"/>
          <c:extLst>
            <c:ext xmlns:c16="http://schemas.microsoft.com/office/drawing/2014/chart" uri="{C3380CC4-5D6E-409C-BE32-E72D297353CC}">
              <c16:uniqueId val="{00000004-D4B3-4BFD-A55C-DD3ACEE208E5}"/>
            </c:ext>
          </c:extLst>
        </c:ser>
        <c:ser>
          <c:idx val="9"/>
          <c:order val="4"/>
          <c:tx>
            <c:strRef>
              <c:f>Care_Leavers!$AK$45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Care_Leavers!$AL$45:$AP$45</c:f>
              <c:numCache>
                <c:formatCode>0.0</c:formatCode>
                <c:ptCount val="5"/>
                <c:pt idx="0">
                  <c:v>121.46341463414635</c:v>
                </c:pt>
                <c:pt idx="1">
                  <c:v>123.77450980392156</c:v>
                </c:pt>
                <c:pt idx="2">
                  <c:v>133.50125944584383</c:v>
                </c:pt>
                <c:pt idx="3">
                  <c:v>131.12244897959184</c:v>
                </c:pt>
                <c:pt idx="4">
                  <c:v>143.97871618978064</c:v>
                </c:pt>
              </c:numCache>
            </c:numRef>
          </c:val>
          <c:smooth val="0"/>
          <c:extLst>
            <c:ext xmlns:c16="http://schemas.microsoft.com/office/drawing/2014/chart" uri="{C3380CC4-5D6E-409C-BE32-E72D297353CC}">
              <c16:uniqueId val="{00000005-D4B3-4BFD-A55C-DD3ACEE208E5}"/>
            </c:ext>
          </c:extLst>
        </c:ser>
        <c:ser>
          <c:idx val="10"/>
          <c:order val="5"/>
          <c:tx>
            <c:strRef>
              <c:f>Care_Leavers!$AK$46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Care_Leavers!$AL$46:$AP$46</c:f>
              <c:numCache>
                <c:formatCode>0.0</c:formatCode>
                <c:ptCount val="5"/>
                <c:pt idx="0">
                  <c:v>219.51219512195121</c:v>
                </c:pt>
                <c:pt idx="1">
                  <c:v>235</c:v>
                </c:pt>
                <c:pt idx="2">
                  <c:v>234.21052631578948</c:v>
                </c:pt>
                <c:pt idx="3">
                  <c:v>234.21052631578948</c:v>
                </c:pt>
                <c:pt idx="4">
                  <c:v>243.4928631402183</c:v>
                </c:pt>
              </c:numCache>
            </c:numRef>
          </c:val>
          <c:smooth val="0"/>
          <c:extLst>
            <c:ext xmlns:c16="http://schemas.microsoft.com/office/drawing/2014/chart" uri="{C3380CC4-5D6E-409C-BE32-E72D297353CC}">
              <c16:uniqueId val="{00000006-D4B3-4BFD-A55C-DD3ACEE208E5}"/>
            </c:ext>
          </c:extLst>
        </c:ser>
        <c:ser>
          <c:idx val="11"/>
          <c:order val="6"/>
          <c:tx>
            <c:strRef>
              <c:f>Care_Leavers!$AK$47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Care_Leavers!$AL$47:$AP$47</c:f>
              <c:numCache>
                <c:formatCode>0.0</c:formatCode>
                <c:ptCount val="5"/>
                <c:pt idx="0">
                  <c:v>174.35424354243543</c:v>
                </c:pt>
                <c:pt idx="1">
                  <c:v>202.43445692883896</c:v>
                </c:pt>
                <c:pt idx="2">
                  <c:v>255.49242424242425</c:v>
                </c:pt>
                <c:pt idx="3">
                  <c:v>290.43977055449329</c:v>
                </c:pt>
                <c:pt idx="4">
                  <c:v>271.92827228219193</c:v>
                </c:pt>
              </c:numCache>
            </c:numRef>
          </c:val>
          <c:smooth val="0"/>
          <c:extLst>
            <c:ext xmlns:c16="http://schemas.microsoft.com/office/drawing/2014/chart" uri="{C3380CC4-5D6E-409C-BE32-E72D297353CC}">
              <c16:uniqueId val="{00000007-D4B3-4BFD-A55C-DD3ACEE208E5}"/>
            </c:ext>
          </c:extLst>
        </c:ser>
        <c:ser>
          <c:idx val="12"/>
          <c:order val="7"/>
          <c:tx>
            <c:strRef>
              <c:f>Care_Leavers!$AK$48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Care_Leavers!$AL$48:$AP$48</c:f>
              <c:numCache>
                <c:formatCode>0.0</c:formatCode>
                <c:ptCount val="5"/>
                <c:pt idx="0">
                  <c:v>145.79439252336448</c:v>
                </c:pt>
                <c:pt idx="1">
                  <c:v>113.59223300970874</c:v>
                </c:pt>
                <c:pt idx="2">
                  <c:v>113.13131313131314</c:v>
                </c:pt>
                <c:pt idx="3">
                  <c:v>123.95833333333333</c:v>
                </c:pt>
                <c:pt idx="4">
                  <c:v>129.50872310820935</c:v>
                </c:pt>
              </c:numCache>
            </c:numRef>
          </c:val>
          <c:smooth val="0"/>
          <c:extLst>
            <c:ext xmlns:c16="http://schemas.microsoft.com/office/drawing/2014/chart" uri="{C3380CC4-5D6E-409C-BE32-E72D297353CC}">
              <c16:uniqueId val="{00000008-D4B3-4BFD-A55C-DD3ACEE208E5}"/>
            </c:ext>
          </c:extLst>
        </c:ser>
        <c:ser>
          <c:idx val="13"/>
          <c:order val="8"/>
          <c:tx>
            <c:strRef>
              <c:f>Care_Leavers!$AK$49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Care_Leavers!$AL$49:$AP$49</c:f>
              <c:numCache>
                <c:formatCode>0.0</c:formatCode>
                <c:ptCount val="5"/>
                <c:pt idx="0">
                  <c:v>164.78873239436621</c:v>
                </c:pt>
                <c:pt idx="1">
                  <c:v>204.47761194029849</c:v>
                </c:pt>
                <c:pt idx="2">
                  <c:v>222.38805970149252</c:v>
                </c:pt>
                <c:pt idx="3">
                  <c:v>256.92307692307691</c:v>
                </c:pt>
                <c:pt idx="4">
                  <c:v>260.66350710900474</c:v>
                </c:pt>
              </c:numCache>
            </c:numRef>
          </c:val>
          <c:smooth val="0"/>
          <c:extLst>
            <c:ext xmlns:c16="http://schemas.microsoft.com/office/drawing/2014/chart" uri="{C3380CC4-5D6E-409C-BE32-E72D297353CC}">
              <c16:uniqueId val="{00000009-D4B3-4BFD-A55C-DD3ACEE208E5}"/>
            </c:ext>
          </c:extLst>
        </c:ser>
        <c:ser>
          <c:idx val="15"/>
          <c:order val="9"/>
          <c:tx>
            <c:strRef>
              <c:f>Care_Leavers!$AK$50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Care_Leavers!$AL$50:$AP$50</c:f>
              <c:numCache>
                <c:formatCode>0.0</c:formatCode>
                <c:ptCount val="5"/>
                <c:pt idx="0">
                  <c:v>83.828382838283829</c:v>
                </c:pt>
                <c:pt idx="1">
                  <c:v>75.65789473684211</c:v>
                </c:pt>
                <c:pt idx="2">
                  <c:v>80.936454849498318</c:v>
                </c:pt>
                <c:pt idx="3">
                  <c:v>91.973244147157203</c:v>
                </c:pt>
                <c:pt idx="4">
                  <c:v>97.249607325468702</c:v>
                </c:pt>
              </c:numCache>
            </c:numRef>
          </c:val>
          <c:smooth val="0"/>
          <c:extLst>
            <c:ext xmlns:c16="http://schemas.microsoft.com/office/drawing/2014/chart" uri="{C3380CC4-5D6E-409C-BE32-E72D297353CC}">
              <c16:uniqueId val="{0000000A-D4B3-4BFD-A55C-DD3ACEE208E5}"/>
            </c:ext>
          </c:extLst>
        </c:ser>
        <c:ser>
          <c:idx val="16"/>
          <c:order val="10"/>
          <c:tx>
            <c:strRef>
              <c:f>Care_Leavers!$AK$51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Care_Leavers!$AL$51:$AP$51</c:f>
              <c:numCache>
                <c:formatCode>0.0</c:formatCode>
                <c:ptCount val="5"/>
                <c:pt idx="0">
                  <c:v>69.736842105263165</c:v>
                </c:pt>
                <c:pt idx="1">
                  <c:v>72.903225806451616</c:v>
                </c:pt>
                <c:pt idx="2">
                  <c:v>70.987654320987659</c:v>
                </c:pt>
                <c:pt idx="3">
                  <c:v>75</c:v>
                </c:pt>
                <c:pt idx="4">
                  <c:v>92.024539877300626</c:v>
                </c:pt>
              </c:numCache>
            </c:numRef>
          </c:val>
          <c:smooth val="0"/>
          <c:extLst>
            <c:ext xmlns:c16="http://schemas.microsoft.com/office/drawing/2014/chart" uri="{C3380CC4-5D6E-409C-BE32-E72D297353CC}">
              <c16:uniqueId val="{0000000B-D4B3-4BFD-A55C-DD3ACEE208E5}"/>
            </c:ext>
          </c:extLst>
        </c:ser>
        <c:ser>
          <c:idx val="17"/>
          <c:order val="11"/>
          <c:tx>
            <c:strRef>
              <c:f>Care_Leavers!$AK$52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Care_Leavers!$AL$52:$AP$52</c:f>
              <c:numCache>
                <c:formatCode>0.0</c:formatCode>
                <c:ptCount val="5"/>
                <c:pt idx="0">
                  <c:v>77.27272727272728</c:v>
                </c:pt>
                <c:pt idx="1">
                  <c:v>88.63636363636364</c:v>
                </c:pt>
                <c:pt idx="2">
                  <c:v>95.604395604395592</c:v>
                </c:pt>
                <c:pt idx="3">
                  <c:v>104.25531914893618</c:v>
                </c:pt>
                <c:pt idx="4">
                  <c:v>114.20171867933063</c:v>
                </c:pt>
              </c:numCache>
            </c:numRef>
          </c:val>
          <c:smooth val="0"/>
          <c:extLst>
            <c:ext xmlns:c16="http://schemas.microsoft.com/office/drawing/2014/chart" uri="{C3380CC4-5D6E-409C-BE32-E72D297353CC}">
              <c16:uniqueId val="{0000000C-D4B3-4BFD-A55C-DD3ACEE208E5}"/>
            </c:ext>
          </c:extLst>
        </c:ser>
        <c:ser>
          <c:idx val="19"/>
          <c:order val="12"/>
          <c:tx>
            <c:strRef>
              <c:f>Care_Leavers!$AK$53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Care_Leavers!$AL$53:$AP$53</c:f>
              <c:numCache>
                <c:formatCode>0.0</c:formatCode>
                <c:ptCount val="5"/>
                <c:pt idx="0">
                  <c:v>197.77777777777777</c:v>
                </c:pt>
                <c:pt idx="1">
                  <c:v>188.63636363636363</c:v>
                </c:pt>
                <c:pt idx="2">
                  <c:v>206.97674418604649</c:v>
                </c:pt>
                <c:pt idx="3">
                  <c:v>207.14285714285714</c:v>
                </c:pt>
                <c:pt idx="4">
                  <c:v>227.1062271062271</c:v>
                </c:pt>
              </c:numCache>
            </c:numRef>
          </c:val>
          <c:smooth val="0"/>
          <c:extLst>
            <c:ext xmlns:c16="http://schemas.microsoft.com/office/drawing/2014/chart" uri="{C3380CC4-5D6E-409C-BE32-E72D297353CC}">
              <c16:uniqueId val="{0000000D-D4B3-4BFD-A55C-DD3ACEE208E5}"/>
            </c:ext>
          </c:extLst>
        </c:ser>
        <c:ser>
          <c:idx val="3"/>
          <c:order val="13"/>
          <c:tx>
            <c:strRef>
              <c:f>Care_Leavers!$AK$54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Care_Leavers!$AL$54:$AP$54</c:f>
              <c:numCache>
                <c:formatCode>0.0</c:formatCode>
                <c:ptCount val="5"/>
                <c:pt idx="0">
                  <c:v>169.93464052287581</c:v>
                </c:pt>
                <c:pt idx="1">
                  <c:v>147.65100671140939</c:v>
                </c:pt>
                <c:pt idx="2">
                  <c:v>135.81081081081081</c:v>
                </c:pt>
                <c:pt idx="3">
                  <c:v>124.82758620689656</c:v>
                </c:pt>
                <c:pt idx="4">
                  <c:v>149.78857593349102</c:v>
                </c:pt>
              </c:numCache>
            </c:numRef>
          </c:val>
          <c:smooth val="0"/>
          <c:extLst>
            <c:ext xmlns:c16="http://schemas.microsoft.com/office/drawing/2014/chart" uri="{C3380CC4-5D6E-409C-BE32-E72D297353CC}">
              <c16:uniqueId val="{0000000E-D4B3-4BFD-A55C-DD3ACEE208E5}"/>
            </c:ext>
          </c:extLst>
        </c:ser>
        <c:ser>
          <c:idx val="20"/>
          <c:order val="14"/>
          <c:tx>
            <c:strRef>
              <c:f>Care_Leavers!$AK$55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Care_Leavers!$AL$55:$AP$55</c:f>
              <c:numCache>
                <c:formatCode>0.0</c:formatCode>
                <c:ptCount val="5"/>
                <c:pt idx="0">
                  <c:v>62.5</c:v>
                </c:pt>
                <c:pt idx="1">
                  <c:v>56.88073394495413</c:v>
                </c:pt>
                <c:pt idx="2">
                  <c:v>56.108597285067873</c:v>
                </c:pt>
                <c:pt idx="3">
                  <c:v>57.727272727272734</c:v>
                </c:pt>
                <c:pt idx="4">
                  <c:v>63.961720619110395</c:v>
                </c:pt>
              </c:numCache>
            </c:numRef>
          </c:val>
          <c:smooth val="0"/>
          <c:extLst>
            <c:ext xmlns:c16="http://schemas.microsoft.com/office/drawing/2014/chart" uri="{C3380CC4-5D6E-409C-BE32-E72D297353CC}">
              <c16:uniqueId val="{0000000F-D4B3-4BFD-A55C-DD3ACEE208E5}"/>
            </c:ext>
          </c:extLst>
        </c:ser>
        <c:ser>
          <c:idx val="22"/>
          <c:order val="15"/>
          <c:tx>
            <c:strRef>
              <c:f>Care_Leavers!$AK$56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Care_Leavers!$AL$56:$AP$56</c:f>
              <c:numCache>
                <c:formatCode>0.0</c:formatCode>
                <c:ptCount val="5"/>
                <c:pt idx="0">
                  <c:v>98.910081743869213</c:v>
                </c:pt>
                <c:pt idx="1">
                  <c:v>103.82513661202186</c:v>
                </c:pt>
                <c:pt idx="2">
                  <c:v>112.36559139784946</c:v>
                </c:pt>
                <c:pt idx="3">
                  <c:v>126.66666666666666</c:v>
                </c:pt>
                <c:pt idx="4">
                  <c:v>137.1105420401195</c:v>
                </c:pt>
              </c:numCache>
            </c:numRef>
          </c:val>
          <c:smooth val="0"/>
          <c:extLst>
            <c:ext xmlns:c16="http://schemas.microsoft.com/office/drawing/2014/chart" uri="{C3380CC4-5D6E-409C-BE32-E72D297353CC}">
              <c16:uniqueId val="{00000010-D4B3-4BFD-A55C-DD3ACEE208E5}"/>
            </c:ext>
          </c:extLst>
        </c:ser>
        <c:ser>
          <c:idx val="7"/>
          <c:order val="16"/>
          <c:tx>
            <c:strRef>
              <c:f>Care_Leavers!$AK$57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Care_Leavers!$Y$2:$AC$3</c:f>
              <c:strCache>
                <c:ptCount val="5"/>
                <c:pt idx="0">
                  <c:v>2015-16</c:v>
                </c:pt>
                <c:pt idx="1">
                  <c:v>2016-17</c:v>
                </c:pt>
                <c:pt idx="2">
                  <c:v>2017-18</c:v>
                </c:pt>
                <c:pt idx="3">
                  <c:v>2018-19</c:v>
                </c:pt>
                <c:pt idx="4">
                  <c:v>2019-20</c:v>
                </c:pt>
              </c:strCache>
            </c:strRef>
          </c:cat>
          <c:val>
            <c:numRef>
              <c:f>Care_Leavers!$AL$57:$AP$57</c:f>
              <c:numCache>
                <c:formatCode>0.0</c:formatCode>
                <c:ptCount val="5"/>
                <c:pt idx="0">
                  <c:v>218.46153846153845</c:v>
                </c:pt>
                <c:pt idx="1">
                  <c:v>201.58730158730157</c:v>
                </c:pt>
                <c:pt idx="2">
                  <c:v>196.82539682539684</c:v>
                </c:pt>
                <c:pt idx="3">
                  <c:v>214.28571428571428</c:v>
                </c:pt>
                <c:pt idx="4">
                  <c:v>230.03401911550301</c:v>
                </c:pt>
              </c:numCache>
            </c:numRef>
          </c:val>
          <c:smooth val="0"/>
          <c:extLst>
            <c:ext xmlns:c16="http://schemas.microsoft.com/office/drawing/2014/chart" uri="{C3380CC4-5D6E-409C-BE32-E72D297353CC}">
              <c16:uniqueId val="{00000011-D4B3-4BFD-A55C-DD3ACEE208E5}"/>
            </c:ext>
          </c:extLst>
        </c:ser>
        <c:ser>
          <c:idx val="8"/>
          <c:order val="17"/>
          <c:tx>
            <c:strRef>
              <c:f>Care_Leavers!$AK$58</c:f>
              <c:strCache>
                <c:ptCount val="1"/>
                <c:pt idx="0">
                  <c:v>Torbay</c:v>
                </c:pt>
              </c:strCache>
            </c:strRef>
          </c:tx>
          <c:spPr>
            <a:ln w="12700"/>
          </c:spPr>
          <c:marker>
            <c:symbol val="circle"/>
            <c:size val="5"/>
            <c:spPr>
              <a:solidFill>
                <a:schemeClr val="accent3">
                  <a:lumMod val="20000"/>
                  <a:lumOff val="80000"/>
                </a:schemeClr>
              </a:solidFill>
            </c:spPr>
          </c:marker>
          <c:cat>
            <c:strRef>
              <c:f>Care_Leavers!$Y$2:$AC$3</c:f>
              <c:strCache>
                <c:ptCount val="5"/>
                <c:pt idx="0">
                  <c:v>2015-16</c:v>
                </c:pt>
                <c:pt idx="1">
                  <c:v>2016-17</c:v>
                </c:pt>
                <c:pt idx="2">
                  <c:v>2017-18</c:v>
                </c:pt>
                <c:pt idx="3">
                  <c:v>2018-19</c:v>
                </c:pt>
                <c:pt idx="4">
                  <c:v>2019-20</c:v>
                </c:pt>
              </c:strCache>
            </c:strRef>
          </c:cat>
          <c:val>
            <c:numRef>
              <c:f>Care_Leavers!$AL$58:$AP$58</c:f>
              <c:numCache>
                <c:formatCode>0.0</c:formatCode>
                <c:ptCount val="5"/>
                <c:pt idx="0">
                  <c:v>252.63157894736841</c:v>
                </c:pt>
                <c:pt idx="1">
                  <c:v>254.05405405405406</c:v>
                </c:pt>
                <c:pt idx="2">
                  <c:v>297.22222222222223</c:v>
                </c:pt>
                <c:pt idx="3">
                  <c:v>297.14285714285717</c:v>
                </c:pt>
                <c:pt idx="4">
                  <c:v>343.39846062759028</c:v>
                </c:pt>
              </c:numCache>
            </c:numRef>
          </c:val>
          <c:smooth val="0"/>
          <c:extLst>
            <c:ext xmlns:c16="http://schemas.microsoft.com/office/drawing/2014/chart" uri="{C3380CC4-5D6E-409C-BE32-E72D297353CC}">
              <c16:uniqueId val="{00000012-D4B3-4BFD-A55C-DD3ACEE208E5}"/>
            </c:ext>
          </c:extLst>
        </c:ser>
        <c:ser>
          <c:idx val="23"/>
          <c:order val="18"/>
          <c:tx>
            <c:strRef>
              <c:f>Care_Leavers!$AK$59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Care_Leavers!$AL$59:$AP$59</c:f>
              <c:numCache>
                <c:formatCode>0.0</c:formatCode>
                <c:ptCount val="5"/>
                <c:pt idx="0">
                  <c:v>144.73684210526315</c:v>
                </c:pt>
                <c:pt idx="1">
                  <c:v>143.58974358974359</c:v>
                </c:pt>
                <c:pt idx="2">
                  <c:v>205.26315789473685</c:v>
                </c:pt>
                <c:pt idx="3">
                  <c:v>200</c:v>
                </c:pt>
                <c:pt idx="4">
                  <c:v>213.33333333333331</c:v>
                </c:pt>
              </c:numCache>
            </c:numRef>
          </c:val>
          <c:smooth val="0"/>
          <c:extLst>
            <c:ext xmlns:c16="http://schemas.microsoft.com/office/drawing/2014/chart" uri="{C3380CC4-5D6E-409C-BE32-E72D297353CC}">
              <c16:uniqueId val="{00000013-D4B3-4BFD-A55C-DD3ACEE208E5}"/>
            </c:ext>
          </c:extLst>
        </c:ser>
        <c:ser>
          <c:idx val="24"/>
          <c:order val="19"/>
          <c:tx>
            <c:strRef>
              <c:f>Care_Leavers!$AK$60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Care_Leavers!$AL$60:$AP$60</c:f>
              <c:numCache>
                <c:formatCode>0.0</c:formatCode>
                <c:ptCount val="5"/>
                <c:pt idx="0">
                  <c:v>129.78723404255319</c:v>
                </c:pt>
                <c:pt idx="1">
                  <c:v>138.96103896103895</c:v>
                </c:pt>
                <c:pt idx="2">
                  <c:v>152.63157894736841</c:v>
                </c:pt>
                <c:pt idx="3">
                  <c:v>161.33333333333331</c:v>
                </c:pt>
                <c:pt idx="4">
                  <c:v>171.77971230389645</c:v>
                </c:pt>
              </c:numCache>
            </c:numRef>
          </c:val>
          <c:smooth val="0"/>
          <c:extLst>
            <c:ext xmlns:c16="http://schemas.microsoft.com/office/drawing/2014/chart" uri="{C3380CC4-5D6E-409C-BE32-E72D297353CC}">
              <c16:uniqueId val="{00000014-D4B3-4BFD-A55C-DD3ACEE208E5}"/>
            </c:ext>
          </c:extLst>
        </c:ser>
        <c:ser>
          <c:idx val="25"/>
          <c:order val="20"/>
          <c:tx>
            <c:strRef>
              <c:f>Care_Leavers!$AK$61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Care_Leavers!$AL$61:$AP$61</c:f>
              <c:numCache>
                <c:formatCode>0.0</c:formatCode>
                <c:ptCount val="5"/>
                <c:pt idx="0">
                  <c:v>135.48387096774192</c:v>
                </c:pt>
                <c:pt idx="1">
                  <c:v>145.16129032258064</c:v>
                </c:pt>
                <c:pt idx="2">
                  <c:v>154.83870967741936</c:v>
                </c:pt>
                <c:pt idx="3">
                  <c:v>175.00000000000003</c:v>
                </c:pt>
                <c:pt idx="4">
                  <c:v>168.16816816816817</c:v>
                </c:pt>
              </c:numCache>
            </c:numRef>
          </c:val>
          <c:smooth val="0"/>
          <c:extLst>
            <c:ext xmlns:c16="http://schemas.microsoft.com/office/drawing/2014/chart" uri="{C3380CC4-5D6E-409C-BE32-E72D297353CC}">
              <c16:uniqueId val="{00000015-D4B3-4BFD-A55C-DD3ACEE208E5}"/>
            </c:ext>
          </c:extLst>
        </c:ser>
        <c:ser>
          <c:idx val="26"/>
          <c:order val="21"/>
          <c:tx>
            <c:strRef>
              <c:f>Care_Leavers!$AK$62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Care_Leavers!$AL$62:$AP$62</c:f>
              <c:numCache>
                <c:formatCode>0.0</c:formatCode>
                <c:ptCount val="5"/>
                <c:pt idx="0">
                  <c:v>70.454545454545453</c:v>
                </c:pt>
                <c:pt idx="1">
                  <c:v>74.418604651162795</c:v>
                </c:pt>
                <c:pt idx="2">
                  <c:v>63.63636363636364</c:v>
                </c:pt>
                <c:pt idx="3">
                  <c:v>86.36363636363636</c:v>
                </c:pt>
                <c:pt idx="4">
                  <c:v>115.85642889595638</c:v>
                </c:pt>
              </c:numCache>
            </c:numRef>
          </c:val>
          <c:smooth val="0"/>
          <c:extLst>
            <c:ext xmlns:c16="http://schemas.microsoft.com/office/drawing/2014/chart" uri="{C3380CC4-5D6E-409C-BE32-E72D297353CC}">
              <c16:uniqueId val="{00000016-D4B3-4BFD-A55C-DD3ACEE208E5}"/>
            </c:ext>
          </c:extLst>
        </c:ser>
        <c:ser>
          <c:idx val="4"/>
          <c:order val="22"/>
          <c:tx>
            <c:strRef>
              <c:f>Care_Leavers!$AK$63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Care_Leavers!$AL$63:$AP$63</c:f>
              <c:numCache>
                <c:formatCode>0.0</c:formatCode>
                <c:ptCount val="5"/>
                <c:pt idx="0">
                  <c:v>117.07773961910709</c:v>
                </c:pt>
                <c:pt idx="1">
                  <c:v>122.65331664580727</c:v>
                </c:pt>
                <c:pt idx="2">
                  <c:v>138.10420590081608</c:v>
                </c:pt>
                <c:pt idx="3">
                  <c:v>149.55919395465995</c:v>
                </c:pt>
                <c:pt idx="4">
                  <c:v>155.57659973329726</c:v>
                </c:pt>
              </c:numCache>
            </c:numRef>
          </c:val>
          <c:smooth val="0"/>
          <c:extLst>
            <c:ext xmlns:c16="http://schemas.microsoft.com/office/drawing/2014/chart" uri="{C3380CC4-5D6E-409C-BE32-E72D297353CC}">
              <c16:uniqueId val="{00000017-D4B3-4BFD-A55C-DD3ACEE208E5}"/>
            </c:ext>
          </c:extLst>
        </c:ser>
        <c:ser>
          <c:idx val="14"/>
          <c:order val="23"/>
          <c:tx>
            <c:strRef>
              <c:f>Care_Leavers!$B$33</c:f>
              <c:strCache>
                <c:ptCount val="1"/>
                <c:pt idx="0">
                  <c:v>England</c:v>
                </c:pt>
              </c:strCache>
            </c:strRef>
          </c:tx>
          <c:spPr>
            <a:ln w="22225">
              <a:solidFill>
                <a:schemeClr val="tx1">
                  <a:lumMod val="75000"/>
                  <a:lumOff val="25000"/>
                </a:schemeClr>
              </a:solidFill>
            </a:ln>
          </c:spPr>
          <c:marker>
            <c:symbol val="plus"/>
            <c:size val="5"/>
            <c:spPr>
              <a:noFill/>
              <a:ln w="12700">
                <a:solidFill>
                  <a:schemeClr val="tx1">
                    <a:lumMod val="75000"/>
                    <a:lumOff val="25000"/>
                  </a:schemeClr>
                </a:solidFill>
              </a:ln>
            </c:spPr>
          </c:marker>
          <c:val>
            <c:numRef>
              <c:f>Care_Leavers!$L$33:$P$33</c:f>
              <c:numCache>
                <c:formatCode>#,##0.0</c:formatCode>
                <c:ptCount val="5"/>
                <c:pt idx="0">
                  <c:v>128.97223718356756</c:v>
                </c:pt>
                <c:pt idx="1">
                  <c:v>132.47339251557213</c:v>
                </c:pt>
                <c:pt idx="2">
                  <c:v>140.46410799625562</c:v>
                </c:pt>
                <c:pt idx="3">
                  <c:v>148.13165058153922</c:v>
                </c:pt>
                <c:pt idx="4">
                  <c:v>157.276292586229</c:v>
                </c:pt>
              </c:numCache>
            </c:numRef>
          </c:val>
          <c:smooth val="0"/>
          <c:extLst>
            <c:ext xmlns:c16="http://schemas.microsoft.com/office/drawing/2014/chart" uri="{C3380CC4-5D6E-409C-BE32-E72D297353CC}">
              <c16:uniqueId val="{00000001-E041-4000-869B-CC7F3261181D}"/>
            </c:ext>
          </c:extLst>
        </c:ser>
        <c:ser>
          <c:idx val="6"/>
          <c:order val="24"/>
          <c:tx>
            <c:strRef>
              <c:f>Care_Leavers!$AK$65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Care_Leavers!$Y$2:$AC$3</c:f>
              <c:strCache>
                <c:ptCount val="5"/>
                <c:pt idx="0">
                  <c:v>2015-16</c:v>
                </c:pt>
                <c:pt idx="1">
                  <c:v>2016-17</c:v>
                </c:pt>
                <c:pt idx="2">
                  <c:v>2017-18</c:v>
                </c:pt>
                <c:pt idx="3">
                  <c:v>2018-19</c:v>
                </c:pt>
                <c:pt idx="4">
                  <c:v>2019-20</c:v>
                </c:pt>
              </c:strCache>
            </c:strRef>
          </c:cat>
          <c:val>
            <c:numRef>
              <c:f>Care_Leavers!$AL$65:$AP$65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D4B3-4BFD-A55C-DD3ACEE208E5}"/>
            </c:ext>
          </c:extLst>
        </c:ser>
        <c:dLbls>
          <c:showLegendKey val="0"/>
          <c:showVal val="0"/>
          <c:showCatName val="0"/>
          <c:showSerName val="0"/>
          <c:showPercent val="0"/>
          <c:showBubbleSize val="0"/>
        </c:dLbls>
        <c:marker val="1"/>
        <c:smooth val="0"/>
        <c:axId val="615060608"/>
        <c:axId val="615062528"/>
      </c:lineChart>
      <c:catAx>
        <c:axId val="615060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062528"/>
        <c:crosses val="autoZero"/>
        <c:auto val="1"/>
        <c:lblAlgn val="ctr"/>
        <c:lblOffset val="100"/>
        <c:tickLblSkip val="1"/>
        <c:tickMarkSkip val="1"/>
        <c:noMultiLvlLbl val="0"/>
      </c:catAx>
      <c:valAx>
        <c:axId val="61506252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06060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29937909831668924"/>
          <c:h val="0.8652076669873971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Care Leavers (Aged 19-21)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5559696170928181"/>
          <c:y val="4.0025470189007442E-3"/>
        </c:manualLayout>
      </c:layout>
      <c:overlay val="0"/>
      <c:spPr>
        <a:noFill/>
        <a:ln w="25400">
          <a:noFill/>
        </a:ln>
      </c:spPr>
    </c:title>
    <c:autoTitleDeleted val="0"/>
    <c:plotArea>
      <c:layout>
        <c:manualLayout>
          <c:layoutTarget val="inner"/>
          <c:xMode val="edge"/>
          <c:yMode val="edge"/>
          <c:x val="9.6909984154078643E-2"/>
          <c:y val="0.2187038158691702"/>
          <c:w val="0.65146216862752293"/>
          <c:h val="0.54957337433412534"/>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2015-16</c:v>
                </c:pt>
                <c:pt idx="1">
                  <c:v>2016-17</c:v>
                </c:pt>
                <c:pt idx="2">
                  <c:v>2017-18</c:v>
                </c:pt>
                <c:pt idx="3">
                  <c:v>2018-19</c:v>
                </c:pt>
                <c:pt idx="4">
                  <c:v>2019-20</c:v>
                </c:pt>
              </c:strCache>
            </c:strRef>
          </c:cat>
          <c:val>
            <c:numRef>
              <c:f>Care_Leavers!$AL$65:$AP$65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F4E1-42EC-9103-0F92CF6DB7BF}"/>
            </c:ext>
          </c:extLst>
        </c:ser>
        <c:ser>
          <c:idx val="4"/>
          <c:order val="1"/>
          <c:tx>
            <c:strRef>
              <c:f>Care_Leavers!$B$32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2015-16</c:v>
                </c:pt>
                <c:pt idx="1">
                  <c:v>2016-17</c:v>
                </c:pt>
                <c:pt idx="2">
                  <c:v>2017-18</c:v>
                </c:pt>
                <c:pt idx="3">
                  <c:v>2018-19</c:v>
                </c:pt>
                <c:pt idx="4">
                  <c:v>2019-20</c:v>
                </c:pt>
              </c:strCache>
            </c:strRef>
          </c:cat>
          <c:val>
            <c:numRef>
              <c:f>Care_Leavers!$L$32:$P$32</c:f>
              <c:numCache>
                <c:formatCode>0.0</c:formatCode>
                <c:ptCount val="5"/>
                <c:pt idx="0">
                  <c:v>117.07773961910709</c:v>
                </c:pt>
                <c:pt idx="1">
                  <c:v>122.65331664580727</c:v>
                </c:pt>
                <c:pt idx="2">
                  <c:v>138.10420590081608</c:v>
                </c:pt>
                <c:pt idx="3">
                  <c:v>149.55919395465995</c:v>
                </c:pt>
                <c:pt idx="4">
                  <c:v>155.57659973329726</c:v>
                </c:pt>
              </c:numCache>
            </c:numRef>
          </c:val>
          <c:extLst>
            <c:ext xmlns:c16="http://schemas.microsoft.com/office/drawing/2014/chart" uri="{C3380CC4-5D6E-409C-BE32-E72D297353CC}">
              <c16:uniqueId val="{00000001-F4E1-42EC-9103-0F92CF6DB7BF}"/>
            </c:ext>
          </c:extLst>
        </c:ser>
        <c:ser>
          <c:idx val="0"/>
          <c:order val="2"/>
          <c:tx>
            <c:strRef>
              <c:f>Care_Leavers!$B$33</c:f>
              <c:strCache>
                <c:ptCount val="1"/>
                <c:pt idx="0">
                  <c:v>England</c:v>
                </c:pt>
              </c:strCache>
            </c:strRef>
          </c:tx>
          <c:spPr>
            <a:solidFill>
              <a:schemeClr val="tx1">
                <a:lumMod val="75000"/>
                <a:lumOff val="25000"/>
              </a:schemeClr>
            </a:solidFill>
            <a:ln>
              <a:solidFill>
                <a:schemeClr val="tx1">
                  <a:lumMod val="75000"/>
                  <a:lumOff val="25000"/>
                </a:schemeClr>
              </a:solidFill>
            </a:ln>
          </c:spPr>
          <c:invertIfNegative val="0"/>
          <c:val>
            <c:numRef>
              <c:f>Care_Leavers!$L$33:$P$33</c:f>
              <c:numCache>
                <c:formatCode>#,##0.0</c:formatCode>
                <c:ptCount val="5"/>
                <c:pt idx="0">
                  <c:v>128.97223718356756</c:v>
                </c:pt>
                <c:pt idx="1">
                  <c:v>132.47339251557213</c:v>
                </c:pt>
                <c:pt idx="2">
                  <c:v>140.46410799625562</c:v>
                </c:pt>
                <c:pt idx="3">
                  <c:v>148.13165058153922</c:v>
                </c:pt>
                <c:pt idx="4">
                  <c:v>157.276292586229</c:v>
                </c:pt>
              </c:numCache>
            </c:numRef>
          </c:val>
          <c:extLst>
            <c:ext xmlns:c16="http://schemas.microsoft.com/office/drawing/2014/chart" uri="{C3380CC4-5D6E-409C-BE32-E72D297353CC}">
              <c16:uniqueId val="{00000000-0C41-4C54-9C11-D3D34D861ABE}"/>
            </c:ext>
          </c:extLst>
        </c:ser>
        <c:dLbls>
          <c:showLegendKey val="0"/>
          <c:showVal val="0"/>
          <c:showCatName val="0"/>
          <c:showSerName val="0"/>
          <c:showPercent val="0"/>
          <c:showBubbleSize val="0"/>
        </c:dLbls>
        <c:gapWidth val="100"/>
        <c:axId val="615087488"/>
        <c:axId val="615089280"/>
      </c:barChart>
      <c:catAx>
        <c:axId val="615087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089280"/>
        <c:crosses val="autoZero"/>
        <c:auto val="1"/>
        <c:lblAlgn val="ctr"/>
        <c:lblOffset val="100"/>
        <c:noMultiLvlLbl val="0"/>
      </c:catAx>
      <c:valAx>
        <c:axId val="6150892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087488"/>
        <c:crosses val="autoZero"/>
        <c:crossBetween val="between"/>
      </c:valAx>
      <c:spPr>
        <a:noFill/>
        <a:ln w="3175">
          <a:solidFill>
            <a:srgbClr val="000000"/>
          </a:solidFill>
          <a:prstDash val="solid"/>
        </a:ln>
      </c:spPr>
    </c:plotArea>
    <c:legend>
      <c:legendPos val="r"/>
      <c:layout>
        <c:manualLayout>
          <c:xMode val="edge"/>
          <c:yMode val="edge"/>
          <c:x val="0.75680211028453626"/>
          <c:y val="0.17953653819588342"/>
          <c:w val="0.24319788971546366"/>
          <c:h val="0.65117768562953304"/>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Care leavers aged 19-21 who were in Suitable Accommodation (Selected LA</a:t>
            </a:r>
            <a:r>
              <a:rPr lang="en-GB" sz="900" baseline="0"/>
              <a:t> vs. SE)</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2015-16</c:v>
                </c:pt>
                <c:pt idx="1">
                  <c:v>2016-17</c:v>
                </c:pt>
                <c:pt idx="2">
                  <c:v>2017-18</c:v>
                </c:pt>
                <c:pt idx="3">
                  <c:v>2018-19</c:v>
                </c:pt>
                <c:pt idx="4">
                  <c:v>2019-20</c:v>
                </c:pt>
              </c:strCache>
            </c:strRef>
          </c:cat>
          <c:val>
            <c:numRef>
              <c:f>Care_Leavers!$AW$65:$BA$65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7644-4539-A6E4-676D5E5EFBA3}"/>
            </c:ext>
          </c:extLst>
        </c:ser>
        <c:ser>
          <c:idx val="4"/>
          <c:order val="1"/>
          <c:tx>
            <c:strRef>
              <c:f>Care_Leavers!$B$135</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2015-16</c:v>
                </c:pt>
                <c:pt idx="1">
                  <c:v>2016-17</c:v>
                </c:pt>
                <c:pt idx="2">
                  <c:v>2017-18</c:v>
                </c:pt>
                <c:pt idx="3">
                  <c:v>2018-19</c:v>
                </c:pt>
                <c:pt idx="4">
                  <c:v>2019-20</c:v>
                </c:pt>
              </c:strCache>
            </c:strRef>
          </c:cat>
          <c:val>
            <c:numRef>
              <c:f>Care_Leavers!$D$135:$H$135</c:f>
              <c:numCache>
                <c:formatCode>0%</c:formatCode>
                <c:ptCount val="5"/>
                <c:pt idx="0">
                  <c:v>0.7567279509725553</c:v>
                </c:pt>
                <c:pt idx="1">
                  <c:v>0.79061463912267282</c:v>
                </c:pt>
                <c:pt idx="2">
                  <c:v>0.78935395814376708</c:v>
                </c:pt>
                <c:pt idx="3">
                  <c:v>0.7987355110642782</c:v>
                </c:pt>
                <c:pt idx="4">
                  <c:v>0.791545793617903</c:v>
                </c:pt>
              </c:numCache>
            </c:numRef>
          </c:val>
          <c:extLst>
            <c:ext xmlns:c16="http://schemas.microsoft.com/office/drawing/2014/chart" uri="{C3380CC4-5D6E-409C-BE32-E72D297353CC}">
              <c16:uniqueId val="{00000001-7644-4539-A6E4-676D5E5EFBA3}"/>
            </c:ext>
          </c:extLst>
        </c:ser>
        <c:ser>
          <c:idx val="0"/>
          <c:order val="2"/>
          <c:tx>
            <c:strRef>
              <c:f>Care_Leavers!$B$136</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Care_Leavers!$D$136:$H$136</c:f>
              <c:numCache>
                <c:formatCode>0%</c:formatCode>
                <c:ptCount val="5"/>
                <c:pt idx="0">
                  <c:v>0.81624905087319666</c:v>
                </c:pt>
                <c:pt idx="1">
                  <c:v>0.82117734172528689</c:v>
                </c:pt>
                <c:pt idx="2">
                  <c:v>0.82462293931953701</c:v>
                </c:pt>
                <c:pt idx="3">
                  <c:v>0.83695289007684592</c:v>
                </c:pt>
                <c:pt idx="4">
                  <c:v>0.84325015994881636</c:v>
                </c:pt>
              </c:numCache>
            </c:numRef>
          </c:val>
          <c:extLst>
            <c:ext xmlns:c16="http://schemas.microsoft.com/office/drawing/2014/chart" uri="{C3380CC4-5D6E-409C-BE32-E72D297353CC}">
              <c16:uniqueId val="{00000000-BA40-46E0-8B9A-16A69211ECE2}"/>
            </c:ext>
          </c:extLst>
        </c:ser>
        <c:dLbls>
          <c:showLegendKey val="0"/>
          <c:showVal val="0"/>
          <c:showCatName val="0"/>
          <c:showSerName val="0"/>
          <c:showPercent val="0"/>
          <c:showBubbleSize val="0"/>
        </c:dLbls>
        <c:gapWidth val="100"/>
        <c:axId val="615262080"/>
        <c:axId val="615263616"/>
      </c:barChart>
      <c:catAx>
        <c:axId val="615262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263616"/>
        <c:crosses val="autoZero"/>
        <c:auto val="1"/>
        <c:lblAlgn val="ctr"/>
        <c:lblOffset val="100"/>
        <c:noMultiLvlLbl val="0"/>
      </c:catAx>
      <c:valAx>
        <c:axId val="61526361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262080"/>
        <c:crosses val="autoZero"/>
        <c:crossBetween val="between"/>
      </c:valAx>
      <c:spPr>
        <a:noFill/>
        <a:ln w="3175">
          <a:solidFill>
            <a:srgbClr val="000000"/>
          </a:solidFill>
          <a:prstDash val="solid"/>
        </a:ln>
      </c:spPr>
    </c:plotArea>
    <c:legend>
      <c:legendPos val="r"/>
      <c:layout>
        <c:manualLayout>
          <c:xMode val="edge"/>
          <c:yMode val="edge"/>
          <c:x val="0.7522325863113265"/>
          <c:y val="0.21128233970753657"/>
          <c:w val="0.2477674136886735"/>
          <c:h val="0.66700019640402086"/>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Care leavers aged 19-21 who were in Suitable</a:t>
            </a:r>
            <a:r>
              <a:rPr lang="en-GB" baseline="0"/>
              <a:t> Accommodation</a:t>
            </a:r>
            <a:endParaRPr lang="en-GB"/>
          </a:p>
        </c:rich>
      </c:tx>
      <c:layout>
        <c:manualLayout>
          <c:xMode val="edge"/>
          <c:yMode val="edge"/>
          <c:x val="0.18273207832988811"/>
          <c:y val="6.1214683711112525E-3"/>
        </c:manualLayout>
      </c:layout>
      <c:overlay val="0"/>
      <c:spPr>
        <a:noFill/>
        <a:ln w="25400">
          <a:noFill/>
        </a:ln>
      </c:spPr>
    </c:title>
    <c:autoTitleDeleted val="0"/>
    <c:plotArea>
      <c:layout>
        <c:manualLayout>
          <c:layoutTarget val="inner"/>
          <c:xMode val="edge"/>
          <c:yMode val="edge"/>
          <c:x val="8.9669774541780586E-2"/>
          <c:y val="6.3213503951413688E-2"/>
          <c:w val="0.57508230927201043"/>
          <c:h val="0.87574900448744453"/>
        </c:manualLayout>
      </c:layout>
      <c:lineChart>
        <c:grouping val="standard"/>
        <c:varyColors val="0"/>
        <c:ser>
          <c:idx val="0"/>
          <c:order val="0"/>
          <c:tx>
            <c:strRef>
              <c:f>Care_Leavers!$AK$41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4A6-4E5F-82F2-D6113A3AC8E2}"/>
              </c:ext>
            </c:extLst>
          </c:dPt>
          <c:cat>
            <c:strRef>
              <c:f>Care_Leavers!$Y$2:$AC$3</c:f>
              <c:strCache>
                <c:ptCount val="5"/>
                <c:pt idx="0">
                  <c:v>2015-16</c:v>
                </c:pt>
                <c:pt idx="1">
                  <c:v>2016-17</c:v>
                </c:pt>
                <c:pt idx="2">
                  <c:v>2017-18</c:v>
                </c:pt>
                <c:pt idx="3">
                  <c:v>2018-19</c:v>
                </c:pt>
                <c:pt idx="4">
                  <c:v>2019-20</c:v>
                </c:pt>
              </c:strCache>
            </c:strRef>
          </c:cat>
          <c:val>
            <c:numRef>
              <c:f>Care_Leavers!$AW$41:$BA$41</c:f>
              <c:numCache>
                <c:formatCode>0.0%</c:formatCode>
                <c:ptCount val="5"/>
                <c:pt idx="0">
                  <c:v>0.9</c:v>
                </c:pt>
                <c:pt idx="1">
                  <c:v>0.96875</c:v>
                </c:pt>
                <c:pt idx="2">
                  <c:v>1</c:v>
                </c:pt>
                <c:pt idx="3">
                  <c:v>#N/A</c:v>
                </c:pt>
                <c:pt idx="4">
                  <c:v>#N/A</c:v>
                </c:pt>
              </c:numCache>
            </c:numRef>
          </c:val>
          <c:smooth val="0"/>
          <c:extLst>
            <c:ext xmlns:c16="http://schemas.microsoft.com/office/drawing/2014/chart" uri="{C3380CC4-5D6E-409C-BE32-E72D297353CC}">
              <c16:uniqueId val="{00000001-24A6-4E5F-82F2-D6113A3AC8E2}"/>
            </c:ext>
          </c:extLst>
        </c:ser>
        <c:ser>
          <c:idx val="1"/>
          <c:order val="1"/>
          <c:tx>
            <c:strRef>
              <c:f>Care_Leavers!$AK$42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Care_Leavers!$AW$42:$BA$42</c:f>
              <c:numCache>
                <c:formatCode>0.0%</c:formatCode>
                <c:ptCount val="5"/>
                <c:pt idx="0">
                  <c:v>0.95652173913043481</c:v>
                </c:pt>
                <c:pt idx="1">
                  <c:v>0.94252873563218387</c:v>
                </c:pt>
                <c:pt idx="2">
                  <c:v>0.9128205128205128</c:v>
                </c:pt>
                <c:pt idx="3">
                  <c:v>0.90410958904109584</c:v>
                </c:pt>
                <c:pt idx="4">
                  <c:v>0.90393013100436681</c:v>
                </c:pt>
              </c:numCache>
            </c:numRef>
          </c:val>
          <c:smooth val="0"/>
          <c:extLst>
            <c:ext xmlns:c16="http://schemas.microsoft.com/office/drawing/2014/chart" uri="{C3380CC4-5D6E-409C-BE32-E72D297353CC}">
              <c16:uniqueId val="{00000002-24A6-4E5F-82F2-D6113A3AC8E2}"/>
            </c:ext>
          </c:extLst>
        </c:ser>
        <c:ser>
          <c:idx val="2"/>
          <c:order val="2"/>
          <c:tx>
            <c:strRef>
              <c:f>Care_Leavers!$AK$43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Care_Leavers!$AW$43:$BA$43</c:f>
              <c:numCache>
                <c:formatCode>0.0%</c:formatCode>
                <c:ptCount val="5"/>
                <c:pt idx="0">
                  <c:v>0.79470198675496684</c:v>
                </c:pt>
                <c:pt idx="1">
                  <c:v>0.68823529411764706</c:v>
                </c:pt>
                <c:pt idx="2">
                  <c:v>0.76884422110552764</c:v>
                </c:pt>
                <c:pt idx="3">
                  <c:v>0.89247311827956988</c:v>
                </c:pt>
                <c:pt idx="4">
                  <c:v>0.82989690721649489</c:v>
                </c:pt>
              </c:numCache>
            </c:numRef>
          </c:val>
          <c:smooth val="0"/>
          <c:extLst>
            <c:ext xmlns:c16="http://schemas.microsoft.com/office/drawing/2014/chart" uri="{C3380CC4-5D6E-409C-BE32-E72D297353CC}">
              <c16:uniqueId val="{00000003-24A6-4E5F-82F2-D6113A3AC8E2}"/>
            </c:ext>
          </c:extLst>
        </c:ser>
        <c:ser>
          <c:idx val="5"/>
          <c:order val="3"/>
          <c:tx>
            <c:strRef>
              <c:f>Care_Leavers!$AK$44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Care_Leavers!$AW$44:$BA$44</c:f>
              <c:numCache>
                <c:formatCode>0.0%</c:formatCode>
                <c:ptCount val="5"/>
                <c:pt idx="0">
                  <c:v>0.81578947368421051</c:v>
                </c:pt>
                <c:pt idx="1">
                  <c:v>0.7651006711409396</c:v>
                </c:pt>
                <c:pt idx="2">
                  <c:v>0.77272727272727271</c:v>
                </c:pt>
                <c:pt idx="3">
                  <c:v>0.78443113772455086</c:v>
                </c:pt>
                <c:pt idx="4">
                  <c:v>0.7839195979899497</c:v>
                </c:pt>
              </c:numCache>
            </c:numRef>
          </c:val>
          <c:smooth val="0"/>
          <c:extLst>
            <c:ext xmlns:c16="http://schemas.microsoft.com/office/drawing/2014/chart" uri="{C3380CC4-5D6E-409C-BE32-E72D297353CC}">
              <c16:uniqueId val="{00000004-24A6-4E5F-82F2-D6113A3AC8E2}"/>
            </c:ext>
          </c:extLst>
        </c:ser>
        <c:ser>
          <c:idx val="9"/>
          <c:order val="4"/>
          <c:tx>
            <c:strRef>
              <c:f>Care_Leavers!$AK$45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Care_Leavers!$AW$45:$BA$45</c:f>
              <c:numCache>
                <c:formatCode>0.0%</c:formatCode>
                <c:ptCount val="5"/>
                <c:pt idx="0">
                  <c:v>0.71084337349397586</c:v>
                </c:pt>
                <c:pt idx="1">
                  <c:v>0.75445544554455446</c:v>
                </c:pt>
                <c:pt idx="2">
                  <c:v>0.70754716981132071</c:v>
                </c:pt>
                <c:pt idx="3">
                  <c:v>0.65758754863813229</c:v>
                </c:pt>
                <c:pt idx="4">
                  <c:v>0.70652173913043481</c:v>
                </c:pt>
              </c:numCache>
            </c:numRef>
          </c:val>
          <c:smooth val="0"/>
          <c:extLst>
            <c:ext xmlns:c16="http://schemas.microsoft.com/office/drawing/2014/chart" uri="{C3380CC4-5D6E-409C-BE32-E72D297353CC}">
              <c16:uniqueId val="{00000005-24A6-4E5F-82F2-D6113A3AC8E2}"/>
            </c:ext>
          </c:extLst>
        </c:ser>
        <c:ser>
          <c:idx val="10"/>
          <c:order val="5"/>
          <c:tx>
            <c:strRef>
              <c:f>Care_Leavers!$AK$46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Care_Leavers!$AW$46:$BA$46</c:f>
              <c:numCache>
                <c:formatCode>0.0%</c:formatCode>
                <c:ptCount val="5"/>
                <c:pt idx="0">
                  <c:v>0.91111111111111109</c:v>
                </c:pt>
                <c:pt idx="1">
                  <c:v>0.71276595744680848</c:v>
                </c:pt>
                <c:pt idx="2">
                  <c:v>#N/A</c:v>
                </c:pt>
                <c:pt idx="3">
                  <c:v>0.88764044943820219</c:v>
                </c:pt>
                <c:pt idx="4">
                  <c:v>#N/A</c:v>
                </c:pt>
              </c:numCache>
            </c:numRef>
          </c:val>
          <c:smooth val="0"/>
          <c:extLst>
            <c:ext xmlns:c16="http://schemas.microsoft.com/office/drawing/2014/chart" uri="{C3380CC4-5D6E-409C-BE32-E72D297353CC}">
              <c16:uniqueId val="{00000006-24A6-4E5F-82F2-D6113A3AC8E2}"/>
            </c:ext>
          </c:extLst>
        </c:ser>
        <c:ser>
          <c:idx val="11"/>
          <c:order val="6"/>
          <c:tx>
            <c:strRef>
              <c:f>Care_Leavers!$AK$47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Care_Leavers!$AW$47:$BA$47</c:f>
              <c:numCache>
                <c:formatCode>0.0%</c:formatCode>
                <c:ptCount val="5"/>
                <c:pt idx="0">
                  <c:v>0.67513227513227514</c:v>
                </c:pt>
                <c:pt idx="1">
                  <c:v>0.76133209990749307</c:v>
                </c:pt>
                <c:pt idx="2">
                  <c:v>0.76278724981467749</c:v>
                </c:pt>
                <c:pt idx="3">
                  <c:v>0.7695852534562212</c:v>
                </c:pt>
                <c:pt idx="4">
                  <c:v>0.74620390455531449</c:v>
                </c:pt>
              </c:numCache>
            </c:numRef>
          </c:val>
          <c:smooth val="0"/>
          <c:extLst>
            <c:ext xmlns:c16="http://schemas.microsoft.com/office/drawing/2014/chart" uri="{C3380CC4-5D6E-409C-BE32-E72D297353CC}">
              <c16:uniqueId val="{00000007-24A6-4E5F-82F2-D6113A3AC8E2}"/>
            </c:ext>
          </c:extLst>
        </c:ser>
        <c:ser>
          <c:idx val="12"/>
          <c:order val="7"/>
          <c:tx>
            <c:strRef>
              <c:f>Care_Leavers!$AK$48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Care_Leavers!$AW$48:$BA$48</c:f>
              <c:numCache>
                <c:formatCode>0.0%</c:formatCode>
                <c:ptCount val="5"/>
                <c:pt idx="0">
                  <c:v>0.89743589743589747</c:v>
                </c:pt>
                <c:pt idx="1">
                  <c:v>0.88034188034188032</c:v>
                </c:pt>
                <c:pt idx="2">
                  <c:v>0.9285714285714286</c:v>
                </c:pt>
                <c:pt idx="3">
                  <c:v>0.90756302521008403</c:v>
                </c:pt>
                <c:pt idx="4">
                  <c:v>0.94214876033057848</c:v>
                </c:pt>
              </c:numCache>
            </c:numRef>
          </c:val>
          <c:smooth val="0"/>
          <c:extLst>
            <c:ext xmlns:c16="http://schemas.microsoft.com/office/drawing/2014/chart" uri="{C3380CC4-5D6E-409C-BE32-E72D297353CC}">
              <c16:uniqueId val="{00000008-24A6-4E5F-82F2-D6113A3AC8E2}"/>
            </c:ext>
          </c:extLst>
        </c:ser>
        <c:ser>
          <c:idx val="13"/>
          <c:order val="8"/>
          <c:tx>
            <c:strRef>
              <c:f>Care_Leavers!$AK$49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Care_Leavers!$AW$49:$BA$49</c:f>
              <c:numCache>
                <c:formatCode>0.0%</c:formatCode>
                <c:ptCount val="5"/>
                <c:pt idx="0">
                  <c:v>0.77777777777777779</c:v>
                </c:pt>
                <c:pt idx="1">
                  <c:v>0.82481751824817517</c:v>
                </c:pt>
                <c:pt idx="2">
                  <c:v>0.79865771812080533</c:v>
                </c:pt>
                <c:pt idx="3">
                  <c:v>0.81437125748502992</c:v>
                </c:pt>
                <c:pt idx="4">
                  <c:v>0.81818181818181823</c:v>
                </c:pt>
              </c:numCache>
            </c:numRef>
          </c:val>
          <c:smooth val="0"/>
          <c:extLst>
            <c:ext xmlns:c16="http://schemas.microsoft.com/office/drawing/2014/chart" uri="{C3380CC4-5D6E-409C-BE32-E72D297353CC}">
              <c16:uniqueId val="{00000009-24A6-4E5F-82F2-D6113A3AC8E2}"/>
            </c:ext>
          </c:extLst>
        </c:ser>
        <c:ser>
          <c:idx val="15"/>
          <c:order val="9"/>
          <c:tx>
            <c:strRef>
              <c:f>Care_Leavers!$AK$50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Care_Leavers!$AW$50:$BA$50</c:f>
              <c:numCache>
                <c:formatCode>0.0%</c:formatCode>
                <c:ptCount val="5"/>
                <c:pt idx="0">
                  <c:v>0.70472440944881887</c:v>
                </c:pt>
                <c:pt idx="1">
                  <c:v>0.80869565217391304</c:v>
                </c:pt>
                <c:pt idx="2">
                  <c:v>0.77272727272727271</c:v>
                </c:pt>
                <c:pt idx="3">
                  <c:v>0.74545454545454548</c:v>
                </c:pt>
                <c:pt idx="4">
                  <c:v>0.76975945017182135</c:v>
                </c:pt>
              </c:numCache>
            </c:numRef>
          </c:val>
          <c:smooth val="0"/>
          <c:extLst>
            <c:ext xmlns:c16="http://schemas.microsoft.com/office/drawing/2014/chart" uri="{C3380CC4-5D6E-409C-BE32-E72D297353CC}">
              <c16:uniqueId val="{0000000A-24A6-4E5F-82F2-D6113A3AC8E2}"/>
            </c:ext>
          </c:extLst>
        </c:ser>
        <c:ser>
          <c:idx val="16"/>
          <c:order val="10"/>
          <c:tx>
            <c:strRef>
              <c:f>Care_Leavers!$AK$51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Care_Leavers!$AW$51:$BA$51</c:f>
              <c:numCache>
                <c:formatCode>0.0%</c:formatCode>
                <c:ptCount val="5"/>
                <c:pt idx="0">
                  <c:v>0.63207547169811318</c:v>
                </c:pt>
                <c:pt idx="1">
                  <c:v>0.65486725663716816</c:v>
                </c:pt>
                <c:pt idx="2">
                  <c:v>0.69565217391304346</c:v>
                </c:pt>
                <c:pt idx="3">
                  <c:v>0.68292682926829273</c:v>
                </c:pt>
                <c:pt idx="4">
                  <c:v>0.70588235294117652</c:v>
                </c:pt>
              </c:numCache>
            </c:numRef>
          </c:val>
          <c:smooth val="0"/>
          <c:extLst>
            <c:ext xmlns:c16="http://schemas.microsoft.com/office/drawing/2014/chart" uri="{C3380CC4-5D6E-409C-BE32-E72D297353CC}">
              <c16:uniqueId val="{0000000B-24A6-4E5F-82F2-D6113A3AC8E2}"/>
            </c:ext>
          </c:extLst>
        </c:ser>
        <c:ser>
          <c:idx val="17"/>
          <c:order val="11"/>
          <c:tx>
            <c:strRef>
              <c:f>Care_Leavers!$AK$52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Care_Leavers!$AW$52:$BA$52</c:f>
              <c:numCache>
                <c:formatCode>0.0%</c:formatCode>
                <c:ptCount val="5"/>
                <c:pt idx="0">
                  <c:v>0.8970588235294118</c:v>
                </c:pt>
                <c:pt idx="1">
                  <c:v>0.88461538461538458</c:v>
                </c:pt>
                <c:pt idx="2">
                  <c:v>0.7816091954022989</c:v>
                </c:pt>
                <c:pt idx="3">
                  <c:v>0.87755102040816324</c:v>
                </c:pt>
                <c:pt idx="4">
                  <c:v>0.84158415841584155</c:v>
                </c:pt>
              </c:numCache>
            </c:numRef>
          </c:val>
          <c:smooth val="0"/>
          <c:extLst>
            <c:ext xmlns:c16="http://schemas.microsoft.com/office/drawing/2014/chart" uri="{C3380CC4-5D6E-409C-BE32-E72D297353CC}">
              <c16:uniqueId val="{0000000C-24A6-4E5F-82F2-D6113A3AC8E2}"/>
            </c:ext>
          </c:extLst>
        </c:ser>
        <c:ser>
          <c:idx val="19"/>
          <c:order val="12"/>
          <c:tx>
            <c:strRef>
              <c:f>Care_Leavers!$AK$53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Care_Leavers!$AW$53:$BA$53</c:f>
              <c:numCache>
                <c:formatCode>0.0%</c:formatCode>
                <c:ptCount val="5"/>
                <c:pt idx="0">
                  <c:v>0.6741573033707865</c:v>
                </c:pt>
                <c:pt idx="1">
                  <c:v>0.68674698795180722</c:v>
                </c:pt>
                <c:pt idx="2">
                  <c:v>0.6741573033707865</c:v>
                </c:pt>
                <c:pt idx="3">
                  <c:v>0.7931034482758621</c:v>
                </c:pt>
                <c:pt idx="4">
                  <c:v>0.79569892473118276</c:v>
                </c:pt>
              </c:numCache>
            </c:numRef>
          </c:val>
          <c:smooth val="0"/>
          <c:extLst>
            <c:ext xmlns:c16="http://schemas.microsoft.com/office/drawing/2014/chart" uri="{C3380CC4-5D6E-409C-BE32-E72D297353CC}">
              <c16:uniqueId val="{0000000D-24A6-4E5F-82F2-D6113A3AC8E2}"/>
            </c:ext>
          </c:extLst>
        </c:ser>
        <c:ser>
          <c:idx val="3"/>
          <c:order val="13"/>
          <c:tx>
            <c:strRef>
              <c:f>Care_Leavers!$AK$54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Care_Leavers!$AW$54:$BA$54</c:f>
              <c:numCache>
                <c:formatCode>0.0%</c:formatCode>
                <c:ptCount val="5"/>
                <c:pt idx="0">
                  <c:v>0.88846153846153841</c:v>
                </c:pt>
                <c:pt idx="1">
                  <c:v>0.92272727272727273</c:v>
                </c:pt>
                <c:pt idx="2">
                  <c:v>0.93034825870646765</c:v>
                </c:pt>
                <c:pt idx="3">
                  <c:v>#N/A</c:v>
                </c:pt>
                <c:pt idx="4">
                  <c:v>0.95215311004784686</c:v>
                </c:pt>
              </c:numCache>
            </c:numRef>
          </c:val>
          <c:smooth val="0"/>
          <c:extLst>
            <c:ext xmlns:c16="http://schemas.microsoft.com/office/drawing/2014/chart" uri="{C3380CC4-5D6E-409C-BE32-E72D297353CC}">
              <c16:uniqueId val="{0000000E-24A6-4E5F-82F2-D6113A3AC8E2}"/>
            </c:ext>
          </c:extLst>
        </c:ser>
        <c:ser>
          <c:idx val="20"/>
          <c:order val="14"/>
          <c:tx>
            <c:strRef>
              <c:f>Care_Leavers!$AK$55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Care_Leavers!$AW$55:$BA$55</c:f>
              <c:numCache>
                <c:formatCode>0.0%</c:formatCode>
                <c:ptCount val="5"/>
                <c:pt idx="0">
                  <c:v>0.63076923076923075</c:v>
                </c:pt>
                <c:pt idx="1">
                  <c:v>0.77419354838709675</c:v>
                </c:pt>
                <c:pt idx="2">
                  <c:v>0.79838709677419351</c:v>
                </c:pt>
                <c:pt idx="3">
                  <c:v>0.83464566929133854</c:v>
                </c:pt>
                <c:pt idx="4">
                  <c:v>0.79389312977099236</c:v>
                </c:pt>
              </c:numCache>
            </c:numRef>
          </c:val>
          <c:smooth val="0"/>
          <c:extLst>
            <c:ext xmlns:c16="http://schemas.microsoft.com/office/drawing/2014/chart" uri="{C3380CC4-5D6E-409C-BE32-E72D297353CC}">
              <c16:uniqueId val="{0000000F-24A6-4E5F-82F2-D6113A3AC8E2}"/>
            </c:ext>
          </c:extLst>
        </c:ser>
        <c:ser>
          <c:idx val="22"/>
          <c:order val="15"/>
          <c:tx>
            <c:strRef>
              <c:f>Care_Leavers!$AK$56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Care_Leavers!$AW$56:$BA$56</c:f>
              <c:numCache>
                <c:formatCode>0.0%</c:formatCode>
                <c:ptCount val="5"/>
                <c:pt idx="0">
                  <c:v>0.84297520661157022</c:v>
                </c:pt>
                <c:pt idx="1">
                  <c:v>0.83421052631578951</c:v>
                </c:pt>
                <c:pt idx="2">
                  <c:v>0.81578947368421051</c:v>
                </c:pt>
                <c:pt idx="3">
                  <c:v>0.84842105263157896</c:v>
                </c:pt>
                <c:pt idx="4">
                  <c:v>0.78210116731517509</c:v>
                </c:pt>
              </c:numCache>
            </c:numRef>
          </c:val>
          <c:smooth val="0"/>
          <c:extLst>
            <c:ext xmlns:c16="http://schemas.microsoft.com/office/drawing/2014/chart" uri="{C3380CC4-5D6E-409C-BE32-E72D297353CC}">
              <c16:uniqueId val="{00000010-24A6-4E5F-82F2-D6113A3AC8E2}"/>
            </c:ext>
          </c:extLst>
        </c:ser>
        <c:ser>
          <c:idx val="7"/>
          <c:order val="16"/>
          <c:tx>
            <c:strRef>
              <c:f>Care_Leavers!$AK$57</c:f>
              <c:strCache>
                <c:ptCount val="1"/>
                <c:pt idx="0">
                  <c:v>Swindon</c:v>
                </c:pt>
              </c:strCache>
            </c:strRef>
          </c:tx>
          <c:spPr>
            <a:ln w="12700"/>
          </c:spPr>
          <c:marker>
            <c:symbol val="triangle"/>
            <c:size val="5"/>
            <c:spPr>
              <a:solidFill>
                <a:schemeClr val="accent2">
                  <a:lumMod val="20000"/>
                  <a:lumOff val="80000"/>
                </a:schemeClr>
              </a:solidFill>
            </c:spPr>
          </c:marker>
          <c:cat>
            <c:strRef>
              <c:f>Care_Leavers!$Y$2:$AC$3</c:f>
              <c:strCache>
                <c:ptCount val="5"/>
                <c:pt idx="0">
                  <c:v>2015-16</c:v>
                </c:pt>
                <c:pt idx="1">
                  <c:v>2016-17</c:v>
                </c:pt>
                <c:pt idx="2">
                  <c:v>2017-18</c:v>
                </c:pt>
                <c:pt idx="3">
                  <c:v>2018-19</c:v>
                </c:pt>
                <c:pt idx="4">
                  <c:v>2019-20</c:v>
                </c:pt>
              </c:strCache>
            </c:strRef>
          </c:cat>
          <c:val>
            <c:numRef>
              <c:f>Care_Leavers!$AW$57:$BA$57</c:f>
              <c:numCache>
                <c:formatCode>0.0%</c:formatCode>
                <c:ptCount val="5"/>
                <c:pt idx="0">
                  <c:v>0.84507042253521125</c:v>
                </c:pt>
                <c:pt idx="1">
                  <c:v>0.83464566929133854</c:v>
                </c:pt>
                <c:pt idx="2">
                  <c:v>0.88709677419354838</c:v>
                </c:pt>
                <c:pt idx="3">
                  <c:v>0.82222222222222219</c:v>
                </c:pt>
                <c:pt idx="4">
                  <c:v>0.8098591549295775</c:v>
                </c:pt>
              </c:numCache>
            </c:numRef>
          </c:val>
          <c:smooth val="0"/>
          <c:extLst>
            <c:ext xmlns:c16="http://schemas.microsoft.com/office/drawing/2014/chart" uri="{C3380CC4-5D6E-409C-BE32-E72D297353CC}">
              <c16:uniqueId val="{00000011-24A6-4E5F-82F2-D6113A3AC8E2}"/>
            </c:ext>
          </c:extLst>
        </c:ser>
        <c:ser>
          <c:idx val="8"/>
          <c:order val="17"/>
          <c:tx>
            <c:strRef>
              <c:f>Care_Leavers!$AK$58</c:f>
              <c:strCache>
                <c:ptCount val="1"/>
                <c:pt idx="0">
                  <c:v>Torbay</c:v>
                </c:pt>
              </c:strCache>
            </c:strRef>
          </c:tx>
          <c:spPr>
            <a:ln w="12700"/>
          </c:spPr>
          <c:marker>
            <c:symbol val="circle"/>
            <c:size val="5"/>
            <c:spPr>
              <a:solidFill>
                <a:schemeClr val="accent3">
                  <a:lumMod val="20000"/>
                  <a:lumOff val="80000"/>
                </a:schemeClr>
              </a:solidFill>
            </c:spPr>
          </c:marker>
          <c:cat>
            <c:strRef>
              <c:f>Care_Leavers!$Y$2:$AC$3</c:f>
              <c:strCache>
                <c:ptCount val="5"/>
                <c:pt idx="0">
                  <c:v>2015-16</c:v>
                </c:pt>
                <c:pt idx="1">
                  <c:v>2016-17</c:v>
                </c:pt>
                <c:pt idx="2">
                  <c:v>2017-18</c:v>
                </c:pt>
                <c:pt idx="3">
                  <c:v>2018-19</c:v>
                </c:pt>
                <c:pt idx="4">
                  <c:v>2019-20</c:v>
                </c:pt>
              </c:strCache>
            </c:strRef>
          </c:cat>
          <c:val>
            <c:numRef>
              <c:f>Care_Leavers!$AW$58:$BA$58</c:f>
              <c:numCache>
                <c:formatCode>0.0%</c:formatCode>
                <c:ptCount val="5"/>
                <c:pt idx="0">
                  <c:v>0.9375</c:v>
                </c:pt>
                <c:pt idx="1">
                  <c:v>0.94680851063829785</c:v>
                </c:pt>
                <c:pt idx="2">
                  <c:v>#N/A</c:v>
                </c:pt>
                <c:pt idx="3">
                  <c:v>0.91346153846153844</c:v>
                </c:pt>
                <c:pt idx="4">
                  <c:v>0.89655172413793105</c:v>
                </c:pt>
              </c:numCache>
            </c:numRef>
          </c:val>
          <c:smooth val="0"/>
          <c:extLst>
            <c:ext xmlns:c16="http://schemas.microsoft.com/office/drawing/2014/chart" uri="{C3380CC4-5D6E-409C-BE32-E72D297353CC}">
              <c16:uniqueId val="{00000012-24A6-4E5F-82F2-D6113A3AC8E2}"/>
            </c:ext>
          </c:extLst>
        </c:ser>
        <c:ser>
          <c:idx val="23"/>
          <c:order val="18"/>
          <c:tx>
            <c:strRef>
              <c:f>Care_Leavers!$AK$59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Care_Leavers!$AW$59:$BA$59</c:f>
              <c:numCache>
                <c:formatCode>0.0%</c:formatCode>
                <c:ptCount val="5"/>
                <c:pt idx="0">
                  <c:v>0.69090909090909092</c:v>
                </c:pt>
                <c:pt idx="1">
                  <c:v>0.6428571428571429</c:v>
                </c:pt>
                <c:pt idx="2">
                  <c:v>0.70512820512820518</c:v>
                </c:pt>
                <c:pt idx="3">
                  <c:v>#N/A</c:v>
                </c:pt>
                <c:pt idx="4">
                  <c:v>#N/A</c:v>
                </c:pt>
              </c:numCache>
            </c:numRef>
          </c:val>
          <c:smooth val="0"/>
          <c:extLst>
            <c:ext xmlns:c16="http://schemas.microsoft.com/office/drawing/2014/chart" uri="{C3380CC4-5D6E-409C-BE32-E72D297353CC}">
              <c16:uniqueId val="{00000013-24A6-4E5F-82F2-D6113A3AC8E2}"/>
            </c:ext>
          </c:extLst>
        </c:ser>
        <c:ser>
          <c:idx val="24"/>
          <c:order val="19"/>
          <c:tx>
            <c:strRef>
              <c:f>Care_Leavers!$AK$60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Care_Leavers!$AW$60:$BA$60</c:f>
              <c:numCache>
                <c:formatCode>0.0%</c:formatCode>
                <c:ptCount val="5"/>
                <c:pt idx="0">
                  <c:v>0.84918032786885245</c:v>
                </c:pt>
                <c:pt idx="1">
                  <c:v>0.90342679127725856</c:v>
                </c:pt>
                <c:pt idx="2">
                  <c:v>0.91379310344827591</c:v>
                </c:pt>
                <c:pt idx="3">
                  <c:v>0.87603305785123964</c:v>
                </c:pt>
                <c:pt idx="4">
                  <c:v>0.86178861788617889</c:v>
                </c:pt>
              </c:numCache>
            </c:numRef>
          </c:val>
          <c:smooth val="0"/>
          <c:extLst>
            <c:ext xmlns:c16="http://schemas.microsoft.com/office/drawing/2014/chart" uri="{C3380CC4-5D6E-409C-BE32-E72D297353CC}">
              <c16:uniqueId val="{00000014-24A6-4E5F-82F2-D6113A3AC8E2}"/>
            </c:ext>
          </c:extLst>
        </c:ser>
        <c:ser>
          <c:idx val="25"/>
          <c:order val="20"/>
          <c:tx>
            <c:strRef>
              <c:f>Care_Leavers!$AK$61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Care_Leavers!$AW$61:$BA$61</c:f>
              <c:numCache>
                <c:formatCode>0.0%</c:formatCode>
                <c:ptCount val="5"/>
                <c:pt idx="0">
                  <c:v>0.69047619047619047</c:v>
                </c:pt>
                <c:pt idx="1">
                  <c:v>0.77777777777777779</c:v>
                </c:pt>
                <c:pt idx="2">
                  <c:v>0.6875</c:v>
                </c:pt>
                <c:pt idx="3">
                  <c:v>0.875</c:v>
                </c:pt>
                <c:pt idx="4">
                  <c:v>0.8035714285714286</c:v>
                </c:pt>
              </c:numCache>
            </c:numRef>
          </c:val>
          <c:smooth val="0"/>
          <c:extLst>
            <c:ext xmlns:c16="http://schemas.microsoft.com/office/drawing/2014/chart" uri="{C3380CC4-5D6E-409C-BE32-E72D297353CC}">
              <c16:uniqueId val="{00000015-24A6-4E5F-82F2-D6113A3AC8E2}"/>
            </c:ext>
          </c:extLst>
        </c:ser>
        <c:ser>
          <c:idx val="26"/>
          <c:order val="21"/>
          <c:tx>
            <c:strRef>
              <c:f>Care_Leavers!$AK$62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Care_Leavers!$AW$62:$BA$62</c:f>
              <c:numCache>
                <c:formatCode>0.0%</c:formatCode>
                <c:ptCount val="5"/>
                <c:pt idx="0">
                  <c:v>0.77419354838709675</c:v>
                </c:pt>
                <c:pt idx="1">
                  <c:v>0.84375</c:v>
                </c:pt>
                <c:pt idx="2">
                  <c:v>#N/A</c:v>
                </c:pt>
                <c:pt idx="3">
                  <c:v>#N/A</c:v>
                </c:pt>
                <c:pt idx="4">
                  <c:v>#N/A</c:v>
                </c:pt>
              </c:numCache>
            </c:numRef>
          </c:val>
          <c:smooth val="0"/>
          <c:extLst>
            <c:ext xmlns:c16="http://schemas.microsoft.com/office/drawing/2014/chart" uri="{C3380CC4-5D6E-409C-BE32-E72D297353CC}">
              <c16:uniqueId val="{00000016-24A6-4E5F-82F2-D6113A3AC8E2}"/>
            </c:ext>
          </c:extLst>
        </c:ser>
        <c:ser>
          <c:idx val="4"/>
          <c:order val="22"/>
          <c:tx>
            <c:strRef>
              <c:f>Care_Leavers!$AK$63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Care_Leavers!$AW$63:$BA$63</c:f>
              <c:numCache>
                <c:formatCode>0.0%</c:formatCode>
                <c:ptCount val="5"/>
                <c:pt idx="0">
                  <c:v>0.7567279509725553</c:v>
                </c:pt>
                <c:pt idx="1">
                  <c:v>0.79061463912267282</c:v>
                </c:pt>
                <c:pt idx="2">
                  <c:v>0.78935395814376708</c:v>
                </c:pt>
                <c:pt idx="3">
                  <c:v>0.7987355110642782</c:v>
                </c:pt>
                <c:pt idx="4">
                  <c:v>0.791545793617903</c:v>
                </c:pt>
              </c:numCache>
            </c:numRef>
          </c:val>
          <c:smooth val="0"/>
          <c:extLst>
            <c:ext xmlns:c16="http://schemas.microsoft.com/office/drawing/2014/chart" uri="{C3380CC4-5D6E-409C-BE32-E72D297353CC}">
              <c16:uniqueId val="{00000017-24A6-4E5F-82F2-D6113A3AC8E2}"/>
            </c:ext>
          </c:extLst>
        </c:ser>
        <c:ser>
          <c:idx val="14"/>
          <c:order val="23"/>
          <c:tx>
            <c:strRef>
              <c:f>Care_Leavers!$AK$64</c:f>
              <c:strCache>
                <c:ptCount val="1"/>
                <c:pt idx="0">
                  <c:v>England</c:v>
                </c:pt>
              </c:strCache>
            </c:strRef>
          </c:tx>
          <c:spPr>
            <a:ln w="22225">
              <a:solidFill>
                <a:schemeClr val="tx1">
                  <a:lumMod val="75000"/>
                  <a:lumOff val="25000"/>
                </a:schemeClr>
              </a:solidFill>
            </a:ln>
          </c:spPr>
          <c:marker>
            <c:symbol val="plus"/>
            <c:size val="5"/>
            <c:spPr>
              <a:noFill/>
              <a:ln w="12700">
                <a:solidFill>
                  <a:srgbClr val="000000"/>
                </a:solidFill>
              </a:ln>
            </c:spPr>
          </c:marker>
          <c:val>
            <c:numRef>
              <c:f>Care_Leavers!$AW$64:$BA$64</c:f>
              <c:numCache>
                <c:formatCode>0.0%</c:formatCode>
                <c:ptCount val="5"/>
                <c:pt idx="0">
                  <c:v>0.81624905087319666</c:v>
                </c:pt>
                <c:pt idx="1">
                  <c:v>0.82117734172528689</c:v>
                </c:pt>
                <c:pt idx="2">
                  <c:v>0.82462293931953701</c:v>
                </c:pt>
                <c:pt idx="3">
                  <c:v>0.83695289007684592</c:v>
                </c:pt>
                <c:pt idx="4">
                  <c:v>0.84325015994881636</c:v>
                </c:pt>
              </c:numCache>
            </c:numRef>
          </c:val>
          <c:smooth val="0"/>
          <c:extLst>
            <c:ext xmlns:c16="http://schemas.microsoft.com/office/drawing/2014/chart" uri="{C3380CC4-5D6E-409C-BE32-E72D297353CC}">
              <c16:uniqueId val="{00000001-0438-4864-8164-D0C14BC196DC}"/>
            </c:ext>
          </c:extLst>
        </c:ser>
        <c:ser>
          <c:idx val="6"/>
          <c:order val="24"/>
          <c:tx>
            <c:strRef>
              <c:f>Care_Leavers!$AK$65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Care_Leavers!$Y$2:$AC$3</c:f>
              <c:strCache>
                <c:ptCount val="5"/>
                <c:pt idx="0">
                  <c:v>2015-16</c:v>
                </c:pt>
                <c:pt idx="1">
                  <c:v>2016-17</c:v>
                </c:pt>
                <c:pt idx="2">
                  <c:v>2017-18</c:v>
                </c:pt>
                <c:pt idx="3">
                  <c:v>2018-19</c:v>
                </c:pt>
                <c:pt idx="4">
                  <c:v>2019-20</c:v>
                </c:pt>
              </c:strCache>
            </c:strRef>
          </c:cat>
          <c:val>
            <c:numRef>
              <c:f>Care_Leavers!$AW$65:$BA$65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24A6-4E5F-82F2-D6113A3AC8E2}"/>
            </c:ext>
          </c:extLst>
        </c:ser>
        <c:dLbls>
          <c:showLegendKey val="0"/>
          <c:showVal val="0"/>
          <c:showCatName val="0"/>
          <c:showSerName val="0"/>
          <c:showPercent val="0"/>
          <c:showBubbleSize val="0"/>
        </c:dLbls>
        <c:marker val="1"/>
        <c:smooth val="0"/>
        <c:axId val="625174016"/>
        <c:axId val="625175936"/>
      </c:lineChart>
      <c:catAx>
        <c:axId val="625174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175936"/>
        <c:crosses val="autoZero"/>
        <c:auto val="1"/>
        <c:lblAlgn val="ctr"/>
        <c:lblOffset val="100"/>
        <c:tickLblSkip val="1"/>
        <c:tickMarkSkip val="1"/>
        <c:noMultiLvlLbl val="0"/>
      </c:catAx>
      <c:valAx>
        <c:axId val="625175936"/>
        <c:scaling>
          <c:orientation val="minMax"/>
          <c:max val="1.02"/>
          <c:min val="0"/>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17401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0668096366003028"/>
          <c:h val="0.8676071287519747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a:t>
            </a:r>
            <a:r>
              <a:rPr lang="en-GB" sz="900" b="1" i="0" u="none" strike="noStrike" baseline="0">
                <a:effectLst/>
              </a:rPr>
              <a:t>Care leavers aged 19-21 who were 'In Touch</a:t>
            </a:r>
            <a:endParaRPr lang="en-GB" sz="900" baseline="0"/>
          </a:p>
          <a:p>
            <a:pPr>
              <a:defRPr sz="900" b="1" i="0" u="none" strike="noStrike" baseline="0">
                <a:solidFill>
                  <a:srgbClr val="000000"/>
                </a:solidFill>
                <a:latin typeface="Arial"/>
                <a:ea typeface="Arial"/>
                <a:cs typeface="Arial"/>
              </a:defRPr>
            </a:pPr>
            <a:r>
              <a:rPr lang="en-GB" sz="900"/>
              <a:t>(Selected LA</a:t>
            </a:r>
            <a:r>
              <a:rPr lang="en-GB" sz="900" baseline="0"/>
              <a:t> vs. SE)</a:t>
            </a:r>
            <a:r>
              <a:rPr lang="en-GB" sz="900"/>
              <a:t> </a:t>
            </a:r>
          </a:p>
        </c:rich>
      </c:tx>
      <c:layout>
        <c:manualLayout>
          <c:xMode val="edge"/>
          <c:yMode val="edge"/>
          <c:x val="0.14973746463510243"/>
          <c:y val="3.8616300816810812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2015-16</c:v>
                </c:pt>
                <c:pt idx="1">
                  <c:v>2016-17</c:v>
                </c:pt>
                <c:pt idx="2">
                  <c:v>2017-18</c:v>
                </c:pt>
                <c:pt idx="3">
                  <c:v>2018-19</c:v>
                </c:pt>
                <c:pt idx="4">
                  <c:v>2019-20</c:v>
                </c:pt>
              </c:strCache>
            </c:strRef>
          </c:cat>
          <c:val>
            <c:numRef>
              <c:f>Care_Leavers!$AR$65:$AV$65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1B2C-4914-9D08-487F222D4159}"/>
            </c:ext>
          </c:extLst>
        </c:ser>
        <c:ser>
          <c:idx val="4"/>
          <c:order val="1"/>
          <c:tx>
            <c:strRef>
              <c:f>Care_Leavers!$B$135</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2015-16</c:v>
                </c:pt>
                <c:pt idx="1">
                  <c:v>2016-17</c:v>
                </c:pt>
                <c:pt idx="2">
                  <c:v>2017-18</c:v>
                </c:pt>
                <c:pt idx="3">
                  <c:v>2018-19</c:v>
                </c:pt>
                <c:pt idx="4">
                  <c:v>2019-20</c:v>
                </c:pt>
              </c:strCache>
            </c:strRef>
          </c:cat>
          <c:val>
            <c:numRef>
              <c:f>Care_Leavers!$D$99:$H$99</c:f>
              <c:numCache>
                <c:formatCode>0%</c:formatCode>
                <c:ptCount val="5"/>
                <c:pt idx="0">
                  <c:v>#N/A</c:v>
                </c:pt>
                <c:pt idx="1">
                  <c:v>0.84927314460596781</c:v>
                </c:pt>
                <c:pt idx="2">
                  <c:v>0.84167424931756141</c:v>
                </c:pt>
                <c:pt idx="3">
                  <c:v>0.86617492096944149</c:v>
                </c:pt>
                <c:pt idx="4">
                  <c:v>0.85992540406133444</c:v>
                </c:pt>
              </c:numCache>
            </c:numRef>
          </c:val>
          <c:extLst>
            <c:ext xmlns:c16="http://schemas.microsoft.com/office/drawing/2014/chart" uri="{C3380CC4-5D6E-409C-BE32-E72D297353CC}">
              <c16:uniqueId val="{00000001-1B2C-4914-9D08-487F222D4159}"/>
            </c:ext>
          </c:extLst>
        </c:ser>
        <c:ser>
          <c:idx val="0"/>
          <c:order val="2"/>
          <c:tx>
            <c:strRef>
              <c:f>Care_Leavers!$B$100</c:f>
              <c:strCache>
                <c:ptCount val="1"/>
                <c:pt idx="0">
                  <c:v>England</c:v>
                </c:pt>
              </c:strCache>
            </c:strRef>
          </c:tx>
          <c:spPr>
            <a:solidFill>
              <a:sysClr val="windowText" lastClr="000000">
                <a:lumMod val="75000"/>
                <a:lumOff val="25000"/>
              </a:sysClr>
            </a:solidFill>
            <a:ln>
              <a:solidFill>
                <a:srgbClr val="000000"/>
              </a:solidFill>
            </a:ln>
          </c:spPr>
          <c:invertIfNegative val="0"/>
          <c:val>
            <c:numRef>
              <c:f>Care_Leavers!$D$100:$H$100</c:f>
              <c:numCache>
                <c:formatCode>0%</c:formatCode>
                <c:ptCount val="5"/>
                <c:pt idx="0">
                  <c:v>#N/A</c:v>
                </c:pt>
                <c:pt idx="1">
                  <c:v>0.88041466123657908</c:v>
                </c:pt>
                <c:pt idx="2">
                  <c:v>0.881445106980007</c:v>
                </c:pt>
                <c:pt idx="3">
                  <c:v>0.90878717006348142</c:v>
                </c:pt>
                <c:pt idx="4">
                  <c:v>0.89763275751759442</c:v>
                </c:pt>
              </c:numCache>
            </c:numRef>
          </c:val>
          <c:extLst>
            <c:ext xmlns:c16="http://schemas.microsoft.com/office/drawing/2014/chart" uri="{C3380CC4-5D6E-409C-BE32-E72D297353CC}">
              <c16:uniqueId val="{00000000-11B1-41A1-ADF5-AB1EBE9E8E26}"/>
            </c:ext>
          </c:extLst>
        </c:ser>
        <c:dLbls>
          <c:showLegendKey val="0"/>
          <c:showVal val="0"/>
          <c:showCatName val="0"/>
          <c:showSerName val="0"/>
          <c:showPercent val="0"/>
          <c:showBubbleSize val="0"/>
        </c:dLbls>
        <c:gapWidth val="100"/>
        <c:axId val="625566080"/>
        <c:axId val="625567616"/>
      </c:barChart>
      <c:catAx>
        <c:axId val="625566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567616"/>
        <c:crosses val="autoZero"/>
        <c:auto val="1"/>
        <c:lblAlgn val="ctr"/>
        <c:lblOffset val="100"/>
        <c:noMultiLvlLbl val="0"/>
      </c:catAx>
      <c:valAx>
        <c:axId val="62556761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566080"/>
        <c:crosses val="autoZero"/>
        <c:crossBetween val="between"/>
      </c:valAx>
      <c:spPr>
        <a:noFill/>
        <a:ln w="3175">
          <a:solidFill>
            <a:srgbClr val="000000"/>
          </a:solidFill>
          <a:prstDash val="solid"/>
        </a:ln>
      </c:spPr>
    </c:plotArea>
    <c:legend>
      <c:legendPos val="r"/>
      <c:layout>
        <c:manualLayout>
          <c:xMode val="edge"/>
          <c:yMode val="edge"/>
          <c:x val="0.76248899656773672"/>
          <c:y val="0.22917914412503718"/>
          <c:w val="0.23751100343226328"/>
          <c:h val="0.6043554726308566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Care leavers aged 19-21 who were 'In Touch'</a:t>
            </a:r>
          </a:p>
        </c:rich>
      </c:tx>
      <c:layout>
        <c:manualLayout>
          <c:xMode val="edge"/>
          <c:yMode val="edge"/>
          <c:x val="0.17975815523059618"/>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Care_Leavers!$AK$41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757-41D5-A1BA-5042AF4DC6A0}"/>
              </c:ext>
            </c:extLst>
          </c:dPt>
          <c:cat>
            <c:strRef>
              <c:f>Care_Leavers!$AR$39:$AV$39</c:f>
              <c:strCache>
                <c:ptCount val="5"/>
                <c:pt idx="0">
                  <c:v>2015-16</c:v>
                </c:pt>
                <c:pt idx="1">
                  <c:v>2016-17</c:v>
                </c:pt>
                <c:pt idx="2">
                  <c:v>2017-18</c:v>
                </c:pt>
                <c:pt idx="3">
                  <c:v>2018-19</c:v>
                </c:pt>
                <c:pt idx="4">
                  <c:v>2019-20</c:v>
                </c:pt>
              </c:strCache>
            </c:strRef>
          </c:cat>
          <c:val>
            <c:numRef>
              <c:f>Care_Leavers!$AR$41:$AV$41</c:f>
              <c:numCache>
                <c:formatCode>0.0%</c:formatCode>
                <c:ptCount val="5"/>
                <c:pt idx="0">
                  <c:v>#N/A</c:v>
                </c:pt>
                <c:pt idx="1">
                  <c:v>1</c:v>
                </c:pt>
                <c:pt idx="2">
                  <c:v>1</c:v>
                </c:pt>
                <c:pt idx="3">
                  <c:v>0.53191489361702127</c:v>
                </c:pt>
                <c:pt idx="4">
                  <c:v>#N/A</c:v>
                </c:pt>
              </c:numCache>
            </c:numRef>
          </c:val>
          <c:smooth val="0"/>
          <c:extLst>
            <c:ext xmlns:c16="http://schemas.microsoft.com/office/drawing/2014/chart" uri="{C3380CC4-5D6E-409C-BE32-E72D297353CC}">
              <c16:uniqueId val="{00000001-F757-41D5-A1BA-5042AF4DC6A0}"/>
            </c:ext>
          </c:extLst>
        </c:ser>
        <c:ser>
          <c:idx val="1"/>
          <c:order val="1"/>
          <c:tx>
            <c:strRef>
              <c:f>Care_Leavers!$AK$42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Care_Leavers!$AR$42:$AV$42</c:f>
              <c:numCache>
                <c:formatCode>0.0%</c:formatCode>
                <c:ptCount val="5"/>
                <c:pt idx="0">
                  <c:v>#N/A</c:v>
                </c:pt>
                <c:pt idx="1">
                  <c:v>#N/A</c:v>
                </c:pt>
                <c:pt idx="2">
                  <c:v>#N/A</c:v>
                </c:pt>
                <c:pt idx="3">
                  <c:v>0.9634703196347032</c:v>
                </c:pt>
                <c:pt idx="4">
                  <c:v>0.95633187772925765</c:v>
                </c:pt>
              </c:numCache>
            </c:numRef>
          </c:val>
          <c:smooth val="0"/>
          <c:extLst>
            <c:ext xmlns:c16="http://schemas.microsoft.com/office/drawing/2014/chart" uri="{C3380CC4-5D6E-409C-BE32-E72D297353CC}">
              <c16:uniqueId val="{00000002-F757-41D5-A1BA-5042AF4DC6A0}"/>
            </c:ext>
          </c:extLst>
        </c:ser>
        <c:ser>
          <c:idx val="2"/>
          <c:order val="2"/>
          <c:tx>
            <c:strRef>
              <c:f>Care_Leavers!$AK$43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Care_Leavers!$AR$43:$AV$43</c:f>
              <c:numCache>
                <c:formatCode>0.0%</c:formatCode>
                <c:ptCount val="5"/>
                <c:pt idx="0">
                  <c:v>#N/A</c:v>
                </c:pt>
                <c:pt idx="1">
                  <c:v>0.73529411764705888</c:v>
                </c:pt>
                <c:pt idx="2">
                  <c:v>0.78894472361809043</c:v>
                </c:pt>
                <c:pt idx="3">
                  <c:v>0.956989247311828</c:v>
                </c:pt>
                <c:pt idx="4">
                  <c:v>0.89175257731958768</c:v>
                </c:pt>
              </c:numCache>
            </c:numRef>
          </c:val>
          <c:smooth val="0"/>
          <c:extLst>
            <c:ext xmlns:c16="http://schemas.microsoft.com/office/drawing/2014/chart" uri="{C3380CC4-5D6E-409C-BE32-E72D297353CC}">
              <c16:uniqueId val="{00000003-F757-41D5-A1BA-5042AF4DC6A0}"/>
            </c:ext>
          </c:extLst>
        </c:ser>
        <c:ser>
          <c:idx val="5"/>
          <c:order val="3"/>
          <c:tx>
            <c:strRef>
              <c:f>Care_Leavers!$AK$44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Care_Leavers!$AR$44:$AV$44</c:f>
              <c:numCache>
                <c:formatCode>0.0%</c:formatCode>
                <c:ptCount val="5"/>
                <c:pt idx="0">
                  <c:v>#N/A</c:v>
                </c:pt>
                <c:pt idx="1">
                  <c:v>0.8523489932885906</c:v>
                </c:pt>
                <c:pt idx="2">
                  <c:v>0.79220779220779225</c:v>
                </c:pt>
                <c:pt idx="3">
                  <c:v>0.85029940119760483</c:v>
                </c:pt>
                <c:pt idx="4">
                  <c:v>0.83417085427135673</c:v>
                </c:pt>
              </c:numCache>
            </c:numRef>
          </c:val>
          <c:smooth val="0"/>
          <c:extLst>
            <c:ext xmlns:c16="http://schemas.microsoft.com/office/drawing/2014/chart" uri="{C3380CC4-5D6E-409C-BE32-E72D297353CC}">
              <c16:uniqueId val="{00000004-F757-41D5-A1BA-5042AF4DC6A0}"/>
            </c:ext>
          </c:extLst>
        </c:ser>
        <c:ser>
          <c:idx val="9"/>
          <c:order val="4"/>
          <c:tx>
            <c:strRef>
              <c:f>Care_Leavers!$AK$45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Care_Leavers!$AR$45:$AV$45</c:f>
              <c:numCache>
                <c:formatCode>0.0%</c:formatCode>
                <c:ptCount val="5"/>
                <c:pt idx="0">
                  <c:v>#N/A</c:v>
                </c:pt>
                <c:pt idx="1">
                  <c:v>0.81980198019801975</c:v>
                </c:pt>
                <c:pt idx="2">
                  <c:v>0.80188679245283023</c:v>
                </c:pt>
                <c:pt idx="3">
                  <c:v>0.72957198443579763</c:v>
                </c:pt>
                <c:pt idx="4">
                  <c:v>0.78260869565217395</c:v>
                </c:pt>
              </c:numCache>
            </c:numRef>
          </c:val>
          <c:smooth val="0"/>
          <c:extLst>
            <c:ext xmlns:c16="http://schemas.microsoft.com/office/drawing/2014/chart" uri="{C3380CC4-5D6E-409C-BE32-E72D297353CC}">
              <c16:uniqueId val="{00000005-F757-41D5-A1BA-5042AF4DC6A0}"/>
            </c:ext>
          </c:extLst>
        </c:ser>
        <c:ser>
          <c:idx val="10"/>
          <c:order val="5"/>
          <c:tx>
            <c:strRef>
              <c:f>Care_Leavers!$AK$46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Care_Leavers!$AR$46:$AV$46</c:f>
              <c:numCache>
                <c:formatCode>0.0%</c:formatCode>
                <c:ptCount val="5"/>
                <c:pt idx="0">
                  <c:v>#N/A</c:v>
                </c:pt>
                <c:pt idx="1">
                  <c:v>0.82978723404255317</c:v>
                </c:pt>
                <c:pt idx="2">
                  <c:v>#N/A</c:v>
                </c:pt>
                <c:pt idx="3">
                  <c:v>1</c:v>
                </c:pt>
                <c:pt idx="4">
                  <c:v>#N/A</c:v>
                </c:pt>
              </c:numCache>
            </c:numRef>
          </c:val>
          <c:smooth val="0"/>
          <c:extLst>
            <c:ext xmlns:c16="http://schemas.microsoft.com/office/drawing/2014/chart" uri="{C3380CC4-5D6E-409C-BE32-E72D297353CC}">
              <c16:uniqueId val="{00000006-F757-41D5-A1BA-5042AF4DC6A0}"/>
            </c:ext>
          </c:extLst>
        </c:ser>
        <c:ser>
          <c:idx val="11"/>
          <c:order val="6"/>
          <c:tx>
            <c:strRef>
              <c:f>Care_Leavers!$AK$47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Care_Leavers!$AR$47:$AV$47</c:f>
              <c:numCache>
                <c:formatCode>0.0%</c:formatCode>
                <c:ptCount val="5"/>
                <c:pt idx="0">
                  <c:v>#N/A</c:v>
                </c:pt>
                <c:pt idx="1">
                  <c:v>0.81128584643848289</c:v>
                </c:pt>
                <c:pt idx="2">
                  <c:v>0.81541882876204597</c:v>
                </c:pt>
                <c:pt idx="3">
                  <c:v>0.82949308755760365</c:v>
                </c:pt>
                <c:pt idx="4">
                  <c:v>0.85104844540853219</c:v>
                </c:pt>
              </c:numCache>
            </c:numRef>
          </c:val>
          <c:smooth val="0"/>
          <c:extLst>
            <c:ext xmlns:c16="http://schemas.microsoft.com/office/drawing/2014/chart" uri="{C3380CC4-5D6E-409C-BE32-E72D297353CC}">
              <c16:uniqueId val="{00000007-F757-41D5-A1BA-5042AF4DC6A0}"/>
            </c:ext>
          </c:extLst>
        </c:ser>
        <c:ser>
          <c:idx val="12"/>
          <c:order val="7"/>
          <c:tx>
            <c:strRef>
              <c:f>Care_Leavers!$AK$48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Care_Leavers!$AR$48:$AV$48</c:f>
              <c:numCache>
                <c:formatCode>0.0%</c:formatCode>
                <c:ptCount val="5"/>
                <c:pt idx="0">
                  <c:v>#N/A</c:v>
                </c:pt>
                <c:pt idx="1">
                  <c:v>#N/A</c:v>
                </c:pt>
                <c:pt idx="2">
                  <c:v>#N/A</c:v>
                </c:pt>
                <c:pt idx="3">
                  <c:v>0.49579831932773111</c:v>
                </c:pt>
                <c:pt idx="4">
                  <c:v>#N/A</c:v>
                </c:pt>
              </c:numCache>
            </c:numRef>
          </c:val>
          <c:smooth val="0"/>
          <c:extLst>
            <c:ext xmlns:c16="http://schemas.microsoft.com/office/drawing/2014/chart" uri="{C3380CC4-5D6E-409C-BE32-E72D297353CC}">
              <c16:uniqueId val="{00000008-F757-41D5-A1BA-5042AF4DC6A0}"/>
            </c:ext>
          </c:extLst>
        </c:ser>
        <c:ser>
          <c:idx val="13"/>
          <c:order val="8"/>
          <c:tx>
            <c:strRef>
              <c:f>Care_Leavers!$AK$49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Care_Leavers!$AR$49:$AV$49</c:f>
              <c:numCache>
                <c:formatCode>0.0%</c:formatCode>
                <c:ptCount val="5"/>
                <c:pt idx="0">
                  <c:v>#N/A</c:v>
                </c:pt>
                <c:pt idx="1">
                  <c:v>0.82481751824817517</c:v>
                </c:pt>
                <c:pt idx="2">
                  <c:v>0.86577181208053688</c:v>
                </c:pt>
                <c:pt idx="3">
                  <c:v>0.91017964071856283</c:v>
                </c:pt>
                <c:pt idx="4">
                  <c:v>0.89090909090909087</c:v>
                </c:pt>
              </c:numCache>
            </c:numRef>
          </c:val>
          <c:smooth val="0"/>
          <c:extLst>
            <c:ext xmlns:c16="http://schemas.microsoft.com/office/drawing/2014/chart" uri="{C3380CC4-5D6E-409C-BE32-E72D297353CC}">
              <c16:uniqueId val="{00000009-F757-41D5-A1BA-5042AF4DC6A0}"/>
            </c:ext>
          </c:extLst>
        </c:ser>
        <c:ser>
          <c:idx val="15"/>
          <c:order val="9"/>
          <c:tx>
            <c:strRef>
              <c:f>Care_Leavers!$AK$50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Care_Leavers!$AR$50:$AV$50</c:f>
              <c:numCache>
                <c:formatCode>0.0%</c:formatCode>
                <c:ptCount val="5"/>
                <c:pt idx="0">
                  <c:v>#N/A</c:v>
                </c:pt>
                <c:pt idx="1">
                  <c:v>0.86086956521739133</c:v>
                </c:pt>
                <c:pt idx="2">
                  <c:v>0.81818181818181823</c:v>
                </c:pt>
                <c:pt idx="3">
                  <c:v>0.81818181818181823</c:v>
                </c:pt>
                <c:pt idx="4">
                  <c:v>0.83848797250859108</c:v>
                </c:pt>
              </c:numCache>
            </c:numRef>
          </c:val>
          <c:smooth val="0"/>
          <c:extLst>
            <c:ext xmlns:c16="http://schemas.microsoft.com/office/drawing/2014/chart" uri="{C3380CC4-5D6E-409C-BE32-E72D297353CC}">
              <c16:uniqueId val="{0000000A-F757-41D5-A1BA-5042AF4DC6A0}"/>
            </c:ext>
          </c:extLst>
        </c:ser>
        <c:ser>
          <c:idx val="16"/>
          <c:order val="10"/>
          <c:tx>
            <c:strRef>
              <c:f>Care_Leavers!$AK$51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Care_Leavers!$AR$51:$AV$51</c:f>
              <c:numCache>
                <c:formatCode>0.0%</c:formatCode>
                <c:ptCount val="5"/>
                <c:pt idx="0">
                  <c:v>#N/A</c:v>
                </c:pt>
                <c:pt idx="1">
                  <c:v>0.79646017699115046</c:v>
                </c:pt>
                <c:pt idx="2">
                  <c:v>0.76521739130434785</c:v>
                </c:pt>
                <c:pt idx="3">
                  <c:v>0.77235772357723576</c:v>
                </c:pt>
                <c:pt idx="4">
                  <c:v>0.76470588235294112</c:v>
                </c:pt>
              </c:numCache>
            </c:numRef>
          </c:val>
          <c:smooth val="0"/>
          <c:extLst>
            <c:ext xmlns:c16="http://schemas.microsoft.com/office/drawing/2014/chart" uri="{C3380CC4-5D6E-409C-BE32-E72D297353CC}">
              <c16:uniqueId val="{0000000B-F757-41D5-A1BA-5042AF4DC6A0}"/>
            </c:ext>
          </c:extLst>
        </c:ser>
        <c:ser>
          <c:idx val="17"/>
          <c:order val="11"/>
          <c:tx>
            <c:strRef>
              <c:f>Care_Leavers!$AK$52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Care_Leavers!$AR$52:$AV$52</c:f>
              <c:numCache>
                <c:formatCode>0.0%</c:formatCode>
                <c:ptCount val="5"/>
                <c:pt idx="0">
                  <c:v>#N/A</c:v>
                </c:pt>
                <c:pt idx="1">
                  <c:v>0.91025641025641024</c:v>
                </c:pt>
                <c:pt idx="2">
                  <c:v>0.83908045977011492</c:v>
                </c:pt>
                <c:pt idx="3">
                  <c:v>0.48979591836734693</c:v>
                </c:pt>
                <c:pt idx="4">
                  <c:v>0.90099009900990101</c:v>
                </c:pt>
              </c:numCache>
            </c:numRef>
          </c:val>
          <c:smooth val="0"/>
          <c:extLst>
            <c:ext xmlns:c16="http://schemas.microsoft.com/office/drawing/2014/chart" uri="{C3380CC4-5D6E-409C-BE32-E72D297353CC}">
              <c16:uniqueId val="{0000000C-F757-41D5-A1BA-5042AF4DC6A0}"/>
            </c:ext>
          </c:extLst>
        </c:ser>
        <c:ser>
          <c:idx val="19"/>
          <c:order val="12"/>
          <c:tx>
            <c:strRef>
              <c:f>Care_Leavers!$AK$53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Care_Leavers!$AR$53:$AV$53</c:f>
              <c:numCache>
                <c:formatCode>0.0%</c:formatCode>
                <c:ptCount val="5"/>
                <c:pt idx="0">
                  <c:v>#N/A</c:v>
                </c:pt>
                <c:pt idx="1">
                  <c:v>0.77108433734939763</c:v>
                </c:pt>
                <c:pt idx="2">
                  <c:v>0.8314606741573034</c:v>
                </c:pt>
                <c:pt idx="3">
                  <c:v>0.90804597701149425</c:v>
                </c:pt>
                <c:pt idx="4">
                  <c:v>0.90322580645161288</c:v>
                </c:pt>
              </c:numCache>
            </c:numRef>
          </c:val>
          <c:smooth val="0"/>
          <c:extLst>
            <c:ext xmlns:c16="http://schemas.microsoft.com/office/drawing/2014/chart" uri="{C3380CC4-5D6E-409C-BE32-E72D297353CC}">
              <c16:uniqueId val="{0000000D-F757-41D5-A1BA-5042AF4DC6A0}"/>
            </c:ext>
          </c:extLst>
        </c:ser>
        <c:ser>
          <c:idx val="3"/>
          <c:order val="13"/>
          <c:tx>
            <c:strRef>
              <c:f>Care_Leavers!$AK$54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Care_Leavers!$AR$54:$AV$54</c:f>
              <c:numCache>
                <c:formatCode>0.0%</c:formatCode>
                <c:ptCount val="5"/>
                <c:pt idx="0">
                  <c:v>#N/A</c:v>
                </c:pt>
                <c:pt idx="1">
                  <c:v>0.97272727272727277</c:v>
                </c:pt>
                <c:pt idx="2">
                  <c:v>#N/A</c:v>
                </c:pt>
                <c:pt idx="3">
                  <c:v>0.574585635359116</c:v>
                </c:pt>
                <c:pt idx="4">
                  <c:v>0.9712918660287081</c:v>
                </c:pt>
              </c:numCache>
            </c:numRef>
          </c:val>
          <c:smooth val="0"/>
          <c:extLst>
            <c:ext xmlns:c16="http://schemas.microsoft.com/office/drawing/2014/chart" uri="{C3380CC4-5D6E-409C-BE32-E72D297353CC}">
              <c16:uniqueId val="{0000000E-F757-41D5-A1BA-5042AF4DC6A0}"/>
            </c:ext>
          </c:extLst>
        </c:ser>
        <c:ser>
          <c:idx val="20"/>
          <c:order val="14"/>
          <c:tx>
            <c:strRef>
              <c:f>Care_Leavers!$AK$55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Care_Leavers!$AR$55:$AV$55</c:f>
              <c:numCache>
                <c:formatCode>0.0%</c:formatCode>
                <c:ptCount val="5"/>
                <c:pt idx="0">
                  <c:v>#N/A</c:v>
                </c:pt>
                <c:pt idx="1">
                  <c:v>0.87096774193548387</c:v>
                </c:pt>
                <c:pt idx="2">
                  <c:v>0.86290322580645162</c:v>
                </c:pt>
                <c:pt idx="3">
                  <c:v>0.93700787401574803</c:v>
                </c:pt>
                <c:pt idx="4">
                  <c:v>0.90839694656488545</c:v>
                </c:pt>
              </c:numCache>
            </c:numRef>
          </c:val>
          <c:smooth val="0"/>
          <c:extLst>
            <c:ext xmlns:c16="http://schemas.microsoft.com/office/drawing/2014/chart" uri="{C3380CC4-5D6E-409C-BE32-E72D297353CC}">
              <c16:uniqueId val="{0000000F-F757-41D5-A1BA-5042AF4DC6A0}"/>
            </c:ext>
          </c:extLst>
        </c:ser>
        <c:ser>
          <c:idx val="22"/>
          <c:order val="15"/>
          <c:tx>
            <c:strRef>
              <c:f>Care_Leavers!$AK$56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Care_Leavers!$AR$56:$AV$56</c:f>
              <c:numCache>
                <c:formatCode>0.0%</c:formatCode>
                <c:ptCount val="5"/>
                <c:pt idx="0">
                  <c:v>#N/A</c:v>
                </c:pt>
                <c:pt idx="1">
                  <c:v>0.86578947368421055</c:v>
                </c:pt>
                <c:pt idx="2">
                  <c:v>0.83971291866028708</c:v>
                </c:pt>
                <c:pt idx="3">
                  <c:v>0.91157894736842104</c:v>
                </c:pt>
                <c:pt idx="4">
                  <c:v>0.8132295719844358</c:v>
                </c:pt>
              </c:numCache>
            </c:numRef>
          </c:val>
          <c:smooth val="0"/>
          <c:extLst>
            <c:ext xmlns:c16="http://schemas.microsoft.com/office/drawing/2014/chart" uri="{C3380CC4-5D6E-409C-BE32-E72D297353CC}">
              <c16:uniqueId val="{00000010-F757-41D5-A1BA-5042AF4DC6A0}"/>
            </c:ext>
          </c:extLst>
        </c:ser>
        <c:ser>
          <c:idx val="7"/>
          <c:order val="16"/>
          <c:tx>
            <c:strRef>
              <c:f>Care_Leavers!$AK$57</c:f>
              <c:strCache>
                <c:ptCount val="1"/>
                <c:pt idx="0">
                  <c:v>Swindon</c:v>
                </c:pt>
              </c:strCache>
            </c:strRef>
          </c:tx>
          <c:spPr>
            <a:ln w="12700"/>
          </c:spPr>
          <c:marker>
            <c:symbol val="triangle"/>
            <c:size val="5"/>
            <c:spPr>
              <a:solidFill>
                <a:schemeClr val="accent2">
                  <a:lumMod val="20000"/>
                  <a:lumOff val="80000"/>
                </a:schemeClr>
              </a:solidFill>
            </c:spPr>
          </c:marker>
          <c:cat>
            <c:strRef>
              <c:f>Care_Leavers!$AR$39:$AV$39</c:f>
              <c:strCache>
                <c:ptCount val="5"/>
                <c:pt idx="0">
                  <c:v>2015-16</c:v>
                </c:pt>
                <c:pt idx="1">
                  <c:v>2016-17</c:v>
                </c:pt>
                <c:pt idx="2">
                  <c:v>2017-18</c:v>
                </c:pt>
                <c:pt idx="3">
                  <c:v>2018-19</c:v>
                </c:pt>
                <c:pt idx="4">
                  <c:v>2019-20</c:v>
                </c:pt>
              </c:strCache>
            </c:strRef>
          </c:cat>
          <c:val>
            <c:numRef>
              <c:f>Care_Leavers!$AR$57:$AV$57</c:f>
              <c:numCache>
                <c:formatCode>0.0%</c:formatCode>
                <c:ptCount val="5"/>
                <c:pt idx="0">
                  <c:v>#N/A</c:v>
                </c:pt>
                <c:pt idx="1">
                  <c:v>#N/A</c:v>
                </c:pt>
                <c:pt idx="2">
                  <c:v>1</c:v>
                </c:pt>
                <c:pt idx="3">
                  <c:v>0.94814814814814818</c:v>
                </c:pt>
                <c:pt idx="4">
                  <c:v>#N/A</c:v>
                </c:pt>
              </c:numCache>
            </c:numRef>
          </c:val>
          <c:smooth val="0"/>
          <c:extLst>
            <c:ext xmlns:c16="http://schemas.microsoft.com/office/drawing/2014/chart" uri="{C3380CC4-5D6E-409C-BE32-E72D297353CC}">
              <c16:uniqueId val="{00000011-F757-41D5-A1BA-5042AF4DC6A0}"/>
            </c:ext>
          </c:extLst>
        </c:ser>
        <c:ser>
          <c:idx val="8"/>
          <c:order val="17"/>
          <c:tx>
            <c:strRef>
              <c:f>Care_Leavers!$AK$58</c:f>
              <c:strCache>
                <c:ptCount val="1"/>
                <c:pt idx="0">
                  <c:v>Torbay</c:v>
                </c:pt>
              </c:strCache>
            </c:strRef>
          </c:tx>
          <c:spPr>
            <a:ln w="12700"/>
          </c:spPr>
          <c:marker>
            <c:symbol val="circle"/>
            <c:size val="5"/>
            <c:spPr>
              <a:solidFill>
                <a:schemeClr val="accent3">
                  <a:lumMod val="20000"/>
                  <a:lumOff val="80000"/>
                </a:schemeClr>
              </a:solidFill>
            </c:spPr>
          </c:marker>
          <c:cat>
            <c:strRef>
              <c:f>Care_Leavers!$AR$39:$AV$39</c:f>
              <c:strCache>
                <c:ptCount val="5"/>
                <c:pt idx="0">
                  <c:v>2015-16</c:v>
                </c:pt>
                <c:pt idx="1">
                  <c:v>2016-17</c:v>
                </c:pt>
                <c:pt idx="2">
                  <c:v>2017-18</c:v>
                </c:pt>
                <c:pt idx="3">
                  <c:v>2018-19</c:v>
                </c:pt>
                <c:pt idx="4">
                  <c:v>2019-20</c:v>
                </c:pt>
              </c:strCache>
            </c:strRef>
          </c:cat>
          <c:val>
            <c:numRef>
              <c:f>Care_Leavers!$AR$58:$AV$58</c:f>
              <c:numCache>
                <c:formatCode>0.0%</c:formatCode>
                <c:ptCount val="5"/>
                <c:pt idx="0">
                  <c:v>#N/A</c:v>
                </c:pt>
                <c:pt idx="1">
                  <c:v>0.88297872340425532</c:v>
                </c:pt>
                <c:pt idx="2">
                  <c:v>#N/A</c:v>
                </c:pt>
                <c:pt idx="3">
                  <c:v>0.55769230769230771</c:v>
                </c:pt>
                <c:pt idx="4">
                  <c:v>#N/A</c:v>
                </c:pt>
              </c:numCache>
            </c:numRef>
          </c:val>
          <c:smooth val="0"/>
          <c:extLst>
            <c:ext xmlns:c16="http://schemas.microsoft.com/office/drawing/2014/chart" uri="{C3380CC4-5D6E-409C-BE32-E72D297353CC}">
              <c16:uniqueId val="{00000012-F757-41D5-A1BA-5042AF4DC6A0}"/>
            </c:ext>
          </c:extLst>
        </c:ser>
        <c:ser>
          <c:idx val="23"/>
          <c:order val="18"/>
          <c:tx>
            <c:strRef>
              <c:f>Care_Leavers!$AK$59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Care_Leavers!$AR$59:$AV$59</c:f>
              <c:numCache>
                <c:formatCode>0.0%</c:formatCode>
                <c:ptCount val="5"/>
                <c:pt idx="0">
                  <c:v>#N/A</c:v>
                </c:pt>
                <c:pt idx="1">
                  <c:v>0.6428571428571429</c:v>
                </c:pt>
                <c:pt idx="2">
                  <c:v>0.74358974358974361</c:v>
                </c:pt>
                <c:pt idx="3">
                  <c:v>0.88157894736842102</c:v>
                </c:pt>
                <c:pt idx="4">
                  <c:v>0.875</c:v>
                </c:pt>
              </c:numCache>
            </c:numRef>
          </c:val>
          <c:smooth val="0"/>
          <c:extLst>
            <c:ext xmlns:c16="http://schemas.microsoft.com/office/drawing/2014/chart" uri="{C3380CC4-5D6E-409C-BE32-E72D297353CC}">
              <c16:uniqueId val="{00000013-F757-41D5-A1BA-5042AF4DC6A0}"/>
            </c:ext>
          </c:extLst>
        </c:ser>
        <c:ser>
          <c:idx val="24"/>
          <c:order val="19"/>
          <c:tx>
            <c:strRef>
              <c:f>Care_Leavers!$AK$60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Care_Leavers!$AR$60:$AV$60</c:f>
              <c:numCache>
                <c:formatCode>0.0%</c:formatCode>
                <c:ptCount val="5"/>
                <c:pt idx="0">
                  <c:v>#N/A</c:v>
                </c:pt>
                <c:pt idx="1">
                  <c:v>0.96261682242990654</c:v>
                </c:pt>
                <c:pt idx="2">
                  <c:v>0.92816091954022983</c:v>
                </c:pt>
                <c:pt idx="3">
                  <c:v>0.92011019283746553</c:v>
                </c:pt>
                <c:pt idx="4">
                  <c:v>0.90243902439024393</c:v>
                </c:pt>
              </c:numCache>
            </c:numRef>
          </c:val>
          <c:smooth val="0"/>
          <c:extLst>
            <c:ext xmlns:c16="http://schemas.microsoft.com/office/drawing/2014/chart" uri="{C3380CC4-5D6E-409C-BE32-E72D297353CC}">
              <c16:uniqueId val="{00000014-F757-41D5-A1BA-5042AF4DC6A0}"/>
            </c:ext>
          </c:extLst>
        </c:ser>
        <c:ser>
          <c:idx val="25"/>
          <c:order val="20"/>
          <c:tx>
            <c:strRef>
              <c:f>Care_Leavers!$AK$61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Care_Leavers!$AR$61:$AV$61</c:f>
              <c:numCache>
                <c:formatCode>0.0%</c:formatCode>
                <c:ptCount val="5"/>
                <c:pt idx="0">
                  <c:v>#N/A</c:v>
                </c:pt>
                <c:pt idx="1">
                  <c:v>0.8666666666666667</c:v>
                </c:pt>
                <c:pt idx="2">
                  <c:v>0.83333333333333337</c:v>
                </c:pt>
                <c:pt idx="3">
                  <c:v>0.875</c:v>
                </c:pt>
                <c:pt idx="4">
                  <c:v>0.8928571428571429</c:v>
                </c:pt>
              </c:numCache>
            </c:numRef>
          </c:val>
          <c:smooth val="0"/>
          <c:extLst>
            <c:ext xmlns:c16="http://schemas.microsoft.com/office/drawing/2014/chart" uri="{C3380CC4-5D6E-409C-BE32-E72D297353CC}">
              <c16:uniqueId val="{00000015-F757-41D5-A1BA-5042AF4DC6A0}"/>
            </c:ext>
          </c:extLst>
        </c:ser>
        <c:ser>
          <c:idx val="26"/>
          <c:order val="21"/>
          <c:tx>
            <c:strRef>
              <c:f>Care_Leavers!$AK$62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Care_Leavers!$AR$62:$AV$62</c:f>
              <c:numCache>
                <c:formatCode>0.0%</c:formatCode>
                <c:ptCount val="5"/>
                <c:pt idx="0">
                  <c:v>#N/A</c:v>
                </c:pt>
                <c:pt idx="1">
                  <c:v>#N/A</c:v>
                </c:pt>
                <c:pt idx="2">
                  <c:v>#N/A</c:v>
                </c:pt>
                <c:pt idx="3">
                  <c:v>1</c:v>
                </c:pt>
                <c:pt idx="4">
                  <c:v>#N/A</c:v>
                </c:pt>
              </c:numCache>
            </c:numRef>
          </c:val>
          <c:smooth val="0"/>
          <c:extLst>
            <c:ext xmlns:c16="http://schemas.microsoft.com/office/drawing/2014/chart" uri="{C3380CC4-5D6E-409C-BE32-E72D297353CC}">
              <c16:uniqueId val="{00000016-F757-41D5-A1BA-5042AF4DC6A0}"/>
            </c:ext>
          </c:extLst>
        </c:ser>
        <c:ser>
          <c:idx val="4"/>
          <c:order val="22"/>
          <c:tx>
            <c:strRef>
              <c:f>Care_Leavers!$AK$63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Care_Leavers!$AR$39:$AV$39</c:f>
              <c:strCache>
                <c:ptCount val="5"/>
                <c:pt idx="0">
                  <c:v>2015-16</c:v>
                </c:pt>
                <c:pt idx="1">
                  <c:v>2016-17</c:v>
                </c:pt>
                <c:pt idx="2">
                  <c:v>2017-18</c:v>
                </c:pt>
                <c:pt idx="3">
                  <c:v>2018-19</c:v>
                </c:pt>
                <c:pt idx="4">
                  <c:v>2019-20</c:v>
                </c:pt>
              </c:strCache>
            </c:strRef>
          </c:cat>
          <c:val>
            <c:numRef>
              <c:f>Care_Leavers!$AR$63:$AV$63</c:f>
              <c:numCache>
                <c:formatCode>0.0%</c:formatCode>
                <c:ptCount val="5"/>
                <c:pt idx="0">
                  <c:v>#N/A</c:v>
                </c:pt>
                <c:pt idx="1">
                  <c:v>0.84927314460596781</c:v>
                </c:pt>
                <c:pt idx="2">
                  <c:v>0.84167424931756141</c:v>
                </c:pt>
                <c:pt idx="3">
                  <c:v>0.86617492096944149</c:v>
                </c:pt>
                <c:pt idx="4">
                  <c:v>0.85992540406133444</c:v>
                </c:pt>
              </c:numCache>
            </c:numRef>
          </c:val>
          <c:smooth val="0"/>
          <c:extLst>
            <c:ext xmlns:c16="http://schemas.microsoft.com/office/drawing/2014/chart" uri="{C3380CC4-5D6E-409C-BE32-E72D297353CC}">
              <c16:uniqueId val="{00000017-F757-41D5-A1BA-5042AF4DC6A0}"/>
            </c:ext>
          </c:extLst>
        </c:ser>
        <c:ser>
          <c:idx val="14"/>
          <c:order val="23"/>
          <c:tx>
            <c:strRef>
              <c:f>Care_Leavers!$AK$64</c:f>
              <c:strCache>
                <c:ptCount val="1"/>
                <c:pt idx="0">
                  <c:v>England</c:v>
                </c:pt>
              </c:strCache>
            </c:strRef>
          </c:tx>
          <c:spPr>
            <a:ln w="22225">
              <a:solidFill>
                <a:schemeClr val="tx1">
                  <a:lumMod val="75000"/>
                  <a:lumOff val="25000"/>
                </a:schemeClr>
              </a:solidFill>
            </a:ln>
          </c:spPr>
          <c:marker>
            <c:symbol val="plus"/>
            <c:size val="5"/>
            <c:spPr>
              <a:ln w="6350">
                <a:solidFill>
                  <a:schemeClr val="tx1">
                    <a:lumMod val="75000"/>
                    <a:lumOff val="25000"/>
                  </a:schemeClr>
                </a:solidFill>
              </a:ln>
            </c:spPr>
          </c:marker>
          <c:cat>
            <c:strRef>
              <c:f>Care_Leavers!$AR$39:$AV$39</c:f>
              <c:strCache>
                <c:ptCount val="5"/>
                <c:pt idx="0">
                  <c:v>2015-16</c:v>
                </c:pt>
                <c:pt idx="1">
                  <c:v>2016-17</c:v>
                </c:pt>
                <c:pt idx="2">
                  <c:v>2017-18</c:v>
                </c:pt>
                <c:pt idx="3">
                  <c:v>2018-19</c:v>
                </c:pt>
                <c:pt idx="4">
                  <c:v>2019-20</c:v>
                </c:pt>
              </c:strCache>
            </c:strRef>
          </c:cat>
          <c:val>
            <c:numRef>
              <c:f>Care_Leavers!$AR$64:$AV$64</c:f>
              <c:numCache>
                <c:formatCode>0.0%</c:formatCode>
                <c:ptCount val="5"/>
                <c:pt idx="0">
                  <c:v>#N/A</c:v>
                </c:pt>
                <c:pt idx="1">
                  <c:v>0.88041466123657908</c:v>
                </c:pt>
                <c:pt idx="2">
                  <c:v>0.881445106980007</c:v>
                </c:pt>
                <c:pt idx="3">
                  <c:v>0.90878717006348142</c:v>
                </c:pt>
                <c:pt idx="4">
                  <c:v>0.89763275751759442</c:v>
                </c:pt>
              </c:numCache>
            </c:numRef>
          </c:val>
          <c:smooth val="0"/>
          <c:extLst>
            <c:ext xmlns:c16="http://schemas.microsoft.com/office/drawing/2014/chart" uri="{C3380CC4-5D6E-409C-BE32-E72D297353CC}">
              <c16:uniqueId val="{00000001-5C7E-4EBA-8544-847333F961FD}"/>
            </c:ext>
          </c:extLst>
        </c:ser>
        <c:ser>
          <c:idx val="6"/>
          <c:order val="24"/>
          <c:tx>
            <c:strRef>
              <c:f>Care_Leavers!$AK$65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Care_Leavers!$AR$39:$AV$39</c:f>
              <c:strCache>
                <c:ptCount val="5"/>
                <c:pt idx="0">
                  <c:v>2015-16</c:v>
                </c:pt>
                <c:pt idx="1">
                  <c:v>2016-17</c:v>
                </c:pt>
                <c:pt idx="2">
                  <c:v>2017-18</c:v>
                </c:pt>
                <c:pt idx="3">
                  <c:v>2018-19</c:v>
                </c:pt>
                <c:pt idx="4">
                  <c:v>2019-20</c:v>
                </c:pt>
              </c:strCache>
            </c:strRef>
          </c:cat>
          <c:val>
            <c:numRef>
              <c:f>Care_Leavers!$AR$65:$AV$65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F757-41D5-A1BA-5042AF4DC6A0}"/>
            </c:ext>
          </c:extLst>
        </c:ser>
        <c:dLbls>
          <c:showLegendKey val="0"/>
          <c:showVal val="0"/>
          <c:showCatName val="0"/>
          <c:showSerName val="0"/>
          <c:showPercent val="0"/>
          <c:showBubbleSize val="0"/>
        </c:dLbls>
        <c:marker val="1"/>
        <c:smooth val="0"/>
        <c:axId val="625238400"/>
        <c:axId val="625240320"/>
      </c:lineChart>
      <c:catAx>
        <c:axId val="625238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240320"/>
        <c:crosses val="autoZero"/>
        <c:auto val="1"/>
        <c:lblAlgn val="ctr"/>
        <c:lblOffset val="100"/>
        <c:tickLblSkip val="1"/>
        <c:tickMarkSkip val="1"/>
        <c:noMultiLvlLbl val="0"/>
      </c:catAx>
      <c:valAx>
        <c:axId val="62524032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238400"/>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0668096366003028"/>
          <c:h val="0.8694958417175919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EH Assessments resulting in Step-Up</a:t>
            </a:r>
            <a:endParaRPr lang="en-GB" baseline="0"/>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4928472923935354"/>
          <c:y val="3.8613923259592556E-3"/>
        </c:manualLayout>
      </c:layout>
      <c:overlay val="0"/>
      <c:spPr>
        <a:noFill/>
        <a:ln w="25400">
          <a:noFill/>
        </a:ln>
      </c:spPr>
    </c:title>
    <c:autoTitleDeleted val="0"/>
    <c:plotArea>
      <c:layout>
        <c:manualLayout>
          <c:layoutTarget val="inner"/>
          <c:xMode val="edge"/>
          <c:yMode val="edge"/>
          <c:x val="9.8666564984461691E-2"/>
          <c:y val="0.23673060098256948"/>
          <c:w val="0.63239900097233603"/>
          <c:h val="0.56232885253984133"/>
        </c:manualLayout>
      </c:layout>
      <c:barChart>
        <c:barDir val="col"/>
        <c:grouping val="clustered"/>
        <c:varyColors val="0"/>
        <c:ser>
          <c:idx val="4"/>
          <c:order val="0"/>
          <c:tx>
            <c:strRef>
              <c:f>EH_Assessments!$B$32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EH_Assessments!$L$8:$P$8</c:f>
              <c:strCache>
                <c:ptCount val="5"/>
                <c:pt idx="0">
                  <c:v>2015-16</c:v>
                </c:pt>
                <c:pt idx="1">
                  <c:v>2016-17</c:v>
                </c:pt>
                <c:pt idx="2">
                  <c:v>2017-18</c:v>
                </c:pt>
                <c:pt idx="3">
                  <c:v>2018-19</c:v>
                </c:pt>
                <c:pt idx="4">
                  <c:v>2019-20</c:v>
                </c:pt>
              </c:strCache>
            </c:strRef>
          </c:cat>
          <c:val>
            <c:numRef>
              <c:f>EH_Assessments!$AS$62:$AW$62</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51AA-4F2D-9A3C-5718586EB2C8}"/>
            </c:ext>
          </c:extLst>
        </c:ser>
        <c:ser>
          <c:idx val="6"/>
          <c:order val="1"/>
          <c:tx>
            <c:strRef>
              <c:f>EH_Assessments!$Z$4</c:f>
              <c:strCache>
                <c:ptCount val="1"/>
                <c:pt idx="0">
                  <c:v>Selected LA- (none)</c:v>
                </c:pt>
              </c:strCache>
            </c:strRef>
          </c:tx>
          <c:spPr>
            <a:solidFill>
              <a:srgbClr val="66FF99"/>
            </a:solidFill>
            <a:ln>
              <a:solidFill>
                <a:schemeClr val="tx1">
                  <a:lumMod val="75000"/>
                  <a:lumOff val="25000"/>
                </a:schemeClr>
              </a:solidFill>
            </a:ln>
          </c:spPr>
          <c:invertIfNegative val="0"/>
          <c:cat>
            <c:strRef>
              <c:f>EH_Assessments!$L$8:$P$8</c:f>
              <c:strCache>
                <c:ptCount val="5"/>
                <c:pt idx="0">
                  <c:v>2015-16</c:v>
                </c:pt>
                <c:pt idx="1">
                  <c:v>2016-17</c:v>
                </c:pt>
                <c:pt idx="2">
                  <c:v>2017-18</c:v>
                </c:pt>
                <c:pt idx="3">
                  <c:v>2018-19</c:v>
                </c:pt>
                <c:pt idx="4">
                  <c:v>2019-20</c:v>
                </c:pt>
              </c:strCache>
            </c:strRef>
          </c:cat>
          <c:val>
            <c:numRef>
              <c:f>EH_Assessments!$AS$63:$AW$63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51AA-4F2D-9A3C-5718586EB2C8}"/>
            </c:ext>
          </c:extLst>
        </c:ser>
        <c:dLbls>
          <c:showLegendKey val="0"/>
          <c:showVal val="0"/>
          <c:showCatName val="0"/>
          <c:showSerName val="0"/>
          <c:showPercent val="0"/>
          <c:showBubbleSize val="0"/>
        </c:dLbls>
        <c:gapWidth val="150"/>
        <c:axId val="477897472"/>
        <c:axId val="477899008"/>
      </c:barChart>
      <c:catAx>
        <c:axId val="477897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77899008"/>
        <c:crosses val="autoZero"/>
        <c:auto val="1"/>
        <c:lblAlgn val="ctr"/>
        <c:lblOffset val="100"/>
        <c:noMultiLvlLbl val="0"/>
      </c:catAx>
      <c:valAx>
        <c:axId val="47789900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77897472"/>
        <c:crosses val="autoZero"/>
        <c:crossBetween val="between"/>
      </c:valAx>
      <c:spPr>
        <a:noFill/>
        <a:ln w="3175">
          <a:solidFill>
            <a:srgbClr val="000000"/>
          </a:solidFill>
          <a:prstDash val="solid"/>
        </a:ln>
      </c:spPr>
    </c:plotArea>
    <c:legend>
      <c:legendPos val="r"/>
      <c:layout>
        <c:manualLayout>
          <c:xMode val="edge"/>
          <c:yMode val="edge"/>
          <c:x val="0.75849891644900325"/>
          <c:y val="0.23644709045515652"/>
          <c:w val="0.21744688693574321"/>
          <c:h val="0.5584648870110748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Care leavers aged 19-21 who were EET</a:t>
            </a:r>
          </a:p>
          <a:p>
            <a:pPr>
              <a:defRPr sz="900" b="1" i="0" u="none" strike="noStrike" baseline="0">
                <a:solidFill>
                  <a:srgbClr val="000000"/>
                </a:solidFill>
                <a:latin typeface="Arial"/>
                <a:ea typeface="Arial"/>
                <a:cs typeface="Arial"/>
              </a:defRPr>
            </a:pPr>
            <a:r>
              <a:rPr lang="en-GB" sz="900"/>
              <a:t>(Selected LA</a:t>
            </a:r>
            <a:r>
              <a:rPr lang="en-GB" sz="900" baseline="0"/>
              <a:t> vs. SE)</a:t>
            </a:r>
            <a:r>
              <a:rPr lang="en-GB" sz="900"/>
              <a:t> </a:t>
            </a:r>
          </a:p>
        </c:rich>
      </c:tx>
      <c:layout>
        <c:manualLayout>
          <c:xMode val="edge"/>
          <c:yMode val="edge"/>
          <c:x val="0.15417745509084091"/>
          <c:y val="3.861468535945202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5355867101978107"/>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2015-16</c:v>
                </c:pt>
                <c:pt idx="1">
                  <c:v>2016-17</c:v>
                </c:pt>
                <c:pt idx="2">
                  <c:v>2017-18</c:v>
                </c:pt>
                <c:pt idx="3">
                  <c:v>2018-19</c:v>
                </c:pt>
                <c:pt idx="4">
                  <c:v>2019-20</c:v>
                </c:pt>
              </c:strCache>
            </c:strRef>
          </c:cat>
          <c:val>
            <c:numRef>
              <c:f>Care_Leavers!$BB$65:$BF$65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5122-4ACC-825B-566E1F812505}"/>
            </c:ext>
          </c:extLst>
        </c:ser>
        <c:ser>
          <c:idx val="4"/>
          <c:order val="1"/>
          <c:tx>
            <c:strRef>
              <c:f>Care_Leavers!$B$135</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2015-16</c:v>
                </c:pt>
                <c:pt idx="1">
                  <c:v>2016-17</c:v>
                </c:pt>
                <c:pt idx="2">
                  <c:v>2017-18</c:v>
                </c:pt>
                <c:pt idx="3">
                  <c:v>2018-19</c:v>
                </c:pt>
                <c:pt idx="4">
                  <c:v>2019-20</c:v>
                </c:pt>
              </c:strCache>
            </c:strRef>
          </c:cat>
          <c:val>
            <c:numRef>
              <c:f>Care_Leavers!$D$171:$H$171</c:f>
              <c:numCache>
                <c:formatCode>0%</c:formatCode>
                <c:ptCount val="5"/>
                <c:pt idx="0">
                  <c:v>#N/A</c:v>
                </c:pt>
                <c:pt idx="1">
                  <c:v>#N/A</c:v>
                </c:pt>
                <c:pt idx="2">
                  <c:v>0.52272727272727271</c:v>
                </c:pt>
                <c:pt idx="3">
                  <c:v>0.53894736842105262</c:v>
                </c:pt>
                <c:pt idx="4">
                  <c:v>0.53209109730848858</c:v>
                </c:pt>
              </c:numCache>
            </c:numRef>
          </c:val>
          <c:extLst>
            <c:ext xmlns:c16="http://schemas.microsoft.com/office/drawing/2014/chart" uri="{C3380CC4-5D6E-409C-BE32-E72D297353CC}">
              <c16:uniqueId val="{00000001-5122-4ACC-825B-566E1F812505}"/>
            </c:ext>
          </c:extLst>
        </c:ser>
        <c:ser>
          <c:idx val="0"/>
          <c:order val="2"/>
          <c:tx>
            <c:strRef>
              <c:f>Care_Leavers!$B$172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Care_Leavers!$D$172:$H$172</c:f>
              <c:numCache>
                <c:formatCode>0%</c:formatCode>
                <c:ptCount val="5"/>
                <c:pt idx="0">
                  <c:v>#N/A</c:v>
                </c:pt>
                <c:pt idx="1">
                  <c:v>#N/A</c:v>
                </c:pt>
                <c:pt idx="2">
                  <c:v>0.51350403367239561</c:v>
                </c:pt>
                <c:pt idx="3">
                  <c:v>0.52255262278650183</c:v>
                </c:pt>
                <c:pt idx="4">
                  <c:v>0.52591170825335898</c:v>
                </c:pt>
              </c:numCache>
            </c:numRef>
          </c:val>
          <c:extLst>
            <c:ext xmlns:c16="http://schemas.microsoft.com/office/drawing/2014/chart" uri="{C3380CC4-5D6E-409C-BE32-E72D297353CC}">
              <c16:uniqueId val="{00000000-999A-4D9A-8D19-3037721692B9}"/>
            </c:ext>
          </c:extLst>
        </c:ser>
        <c:dLbls>
          <c:showLegendKey val="0"/>
          <c:showVal val="0"/>
          <c:showCatName val="0"/>
          <c:showSerName val="0"/>
          <c:showPercent val="0"/>
          <c:showBubbleSize val="0"/>
        </c:dLbls>
        <c:gapWidth val="100"/>
        <c:axId val="625265664"/>
        <c:axId val="625357568"/>
      </c:barChart>
      <c:catAx>
        <c:axId val="625265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357568"/>
        <c:crosses val="autoZero"/>
        <c:auto val="1"/>
        <c:lblAlgn val="ctr"/>
        <c:lblOffset val="100"/>
        <c:noMultiLvlLbl val="0"/>
      </c:catAx>
      <c:valAx>
        <c:axId val="62535756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265664"/>
        <c:crosses val="autoZero"/>
        <c:crossBetween val="between"/>
      </c:valAx>
      <c:spPr>
        <a:noFill/>
        <a:ln w="3175">
          <a:solidFill>
            <a:srgbClr val="000000"/>
          </a:solidFill>
          <a:prstDash val="solid"/>
        </a:ln>
      </c:spPr>
    </c:plotArea>
    <c:legend>
      <c:legendPos val="r"/>
      <c:layout>
        <c:manualLayout>
          <c:xMode val="edge"/>
          <c:yMode val="edge"/>
          <c:x val="0.74881378289252309"/>
          <c:y val="0.21128233970753657"/>
          <c:w val="0.25118621710747696"/>
          <c:h val="0.59785993214262856"/>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Care leavers aged 19-21 who were in Employment,</a:t>
            </a:r>
            <a:r>
              <a:rPr lang="en-GB" baseline="0"/>
              <a:t> Education or Training (EET)</a:t>
            </a:r>
            <a:endParaRPr lang="en-GB"/>
          </a:p>
        </c:rich>
      </c:tx>
      <c:layout>
        <c:manualLayout>
          <c:xMode val="edge"/>
          <c:yMode val="edge"/>
          <c:x val="0.14489872132716877"/>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37915654714237"/>
        </c:manualLayout>
      </c:layout>
      <c:lineChart>
        <c:grouping val="standard"/>
        <c:varyColors val="0"/>
        <c:ser>
          <c:idx val="0"/>
          <c:order val="0"/>
          <c:tx>
            <c:strRef>
              <c:f>Care_Leavers!$AK$41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9F0-4D3B-B980-60AB198140B0}"/>
              </c:ext>
            </c:extLst>
          </c:dPt>
          <c:cat>
            <c:strRef>
              <c:f>Care_Leavers!$Y$2:$AC$3</c:f>
              <c:strCache>
                <c:ptCount val="5"/>
                <c:pt idx="0">
                  <c:v>2015-16</c:v>
                </c:pt>
                <c:pt idx="1">
                  <c:v>2016-17</c:v>
                </c:pt>
                <c:pt idx="2">
                  <c:v>2017-18</c:v>
                </c:pt>
                <c:pt idx="3">
                  <c:v>2018-19</c:v>
                </c:pt>
                <c:pt idx="4">
                  <c:v>2019-20</c:v>
                </c:pt>
              </c:strCache>
            </c:strRef>
          </c:cat>
          <c:val>
            <c:numRef>
              <c:f>Care_Leavers!$BB$41:$BF$41</c:f>
              <c:numCache>
                <c:formatCode>0.0%</c:formatCode>
                <c:ptCount val="5"/>
                <c:pt idx="0">
                  <c:v>#N/A</c:v>
                </c:pt>
                <c:pt idx="1">
                  <c:v>#N/A</c:v>
                </c:pt>
                <c:pt idx="2">
                  <c:v>0.66666666666666663</c:v>
                </c:pt>
                <c:pt idx="3">
                  <c:v>0.53191489361702127</c:v>
                </c:pt>
                <c:pt idx="4">
                  <c:v>0.50877192982456143</c:v>
                </c:pt>
              </c:numCache>
            </c:numRef>
          </c:val>
          <c:smooth val="0"/>
          <c:extLst>
            <c:ext xmlns:c16="http://schemas.microsoft.com/office/drawing/2014/chart" uri="{C3380CC4-5D6E-409C-BE32-E72D297353CC}">
              <c16:uniqueId val="{00000001-D9F0-4D3B-B980-60AB198140B0}"/>
            </c:ext>
          </c:extLst>
        </c:ser>
        <c:ser>
          <c:idx val="1"/>
          <c:order val="1"/>
          <c:tx>
            <c:strRef>
              <c:f>Care_Leavers!$AK$42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Care_Leavers!$BB$42:$BF$42</c:f>
              <c:numCache>
                <c:formatCode>0.0%</c:formatCode>
                <c:ptCount val="5"/>
                <c:pt idx="0">
                  <c:v>#N/A</c:v>
                </c:pt>
                <c:pt idx="1">
                  <c:v>#N/A</c:v>
                </c:pt>
                <c:pt idx="2">
                  <c:v>0.69230769230769229</c:v>
                </c:pt>
                <c:pt idx="3">
                  <c:v>0.69406392694063923</c:v>
                </c:pt>
                <c:pt idx="4">
                  <c:v>0.68558951965065507</c:v>
                </c:pt>
              </c:numCache>
            </c:numRef>
          </c:val>
          <c:smooth val="0"/>
          <c:extLst>
            <c:ext xmlns:c16="http://schemas.microsoft.com/office/drawing/2014/chart" uri="{C3380CC4-5D6E-409C-BE32-E72D297353CC}">
              <c16:uniqueId val="{00000002-D9F0-4D3B-B980-60AB198140B0}"/>
            </c:ext>
          </c:extLst>
        </c:ser>
        <c:ser>
          <c:idx val="2"/>
          <c:order val="2"/>
          <c:tx>
            <c:strRef>
              <c:f>Care_Leavers!$AK$43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Care_Leavers!$BB$43:$BF$43</c:f>
              <c:numCache>
                <c:formatCode>0.0%</c:formatCode>
                <c:ptCount val="5"/>
                <c:pt idx="0">
                  <c:v>#N/A</c:v>
                </c:pt>
                <c:pt idx="1">
                  <c:v>#N/A</c:v>
                </c:pt>
                <c:pt idx="2">
                  <c:v>0.51256281407035176</c:v>
                </c:pt>
                <c:pt idx="3">
                  <c:v>0.55913978494623651</c:v>
                </c:pt>
                <c:pt idx="4">
                  <c:v>0.4845360824742268</c:v>
                </c:pt>
              </c:numCache>
            </c:numRef>
          </c:val>
          <c:smooth val="0"/>
          <c:extLst>
            <c:ext xmlns:c16="http://schemas.microsoft.com/office/drawing/2014/chart" uri="{C3380CC4-5D6E-409C-BE32-E72D297353CC}">
              <c16:uniqueId val="{00000003-D9F0-4D3B-B980-60AB198140B0}"/>
            </c:ext>
          </c:extLst>
        </c:ser>
        <c:ser>
          <c:idx val="5"/>
          <c:order val="3"/>
          <c:tx>
            <c:strRef>
              <c:f>Care_Leavers!$AK$44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Care_Leavers!$BB$44:$BF$44</c:f>
              <c:numCache>
                <c:formatCode>0.0%</c:formatCode>
                <c:ptCount val="5"/>
                <c:pt idx="0">
                  <c:v>#N/A</c:v>
                </c:pt>
                <c:pt idx="1">
                  <c:v>#N/A</c:v>
                </c:pt>
                <c:pt idx="2">
                  <c:v>0.51948051948051943</c:v>
                </c:pt>
                <c:pt idx="3">
                  <c:v>0.52095808383233533</c:v>
                </c:pt>
                <c:pt idx="4">
                  <c:v>0.52763819095477382</c:v>
                </c:pt>
              </c:numCache>
            </c:numRef>
          </c:val>
          <c:smooth val="0"/>
          <c:extLst>
            <c:ext xmlns:c16="http://schemas.microsoft.com/office/drawing/2014/chart" uri="{C3380CC4-5D6E-409C-BE32-E72D297353CC}">
              <c16:uniqueId val="{00000004-D9F0-4D3B-B980-60AB198140B0}"/>
            </c:ext>
          </c:extLst>
        </c:ser>
        <c:ser>
          <c:idx val="9"/>
          <c:order val="4"/>
          <c:tx>
            <c:strRef>
              <c:f>Care_Leavers!$AK$45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Care_Leavers!$BB$45:$BF$45</c:f>
              <c:numCache>
                <c:formatCode>0.0%</c:formatCode>
                <c:ptCount val="5"/>
                <c:pt idx="0">
                  <c:v>#N/A</c:v>
                </c:pt>
                <c:pt idx="1">
                  <c:v>#N/A</c:v>
                </c:pt>
                <c:pt idx="2">
                  <c:v>0.44905660377358492</c:v>
                </c:pt>
                <c:pt idx="3">
                  <c:v>0.44941634241245138</c:v>
                </c:pt>
                <c:pt idx="4">
                  <c:v>0.51449275362318836</c:v>
                </c:pt>
              </c:numCache>
            </c:numRef>
          </c:val>
          <c:smooth val="0"/>
          <c:extLst>
            <c:ext xmlns:c16="http://schemas.microsoft.com/office/drawing/2014/chart" uri="{C3380CC4-5D6E-409C-BE32-E72D297353CC}">
              <c16:uniqueId val="{00000005-D9F0-4D3B-B980-60AB198140B0}"/>
            </c:ext>
          </c:extLst>
        </c:ser>
        <c:ser>
          <c:idx val="10"/>
          <c:order val="5"/>
          <c:tx>
            <c:strRef>
              <c:f>Care_Leavers!$AK$46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Care_Leavers!$BB$46:$BF$46</c:f>
              <c:numCache>
                <c:formatCode>0.0%</c:formatCode>
                <c:ptCount val="5"/>
                <c:pt idx="0">
                  <c:v>#N/A</c:v>
                </c:pt>
                <c:pt idx="1">
                  <c:v>#N/A</c:v>
                </c:pt>
                <c:pt idx="2">
                  <c:v>0.5280898876404494</c:v>
                </c:pt>
                <c:pt idx="3">
                  <c:v>0.5955056179775281</c:v>
                </c:pt>
                <c:pt idx="4">
                  <c:v>0.63218390804597702</c:v>
                </c:pt>
              </c:numCache>
            </c:numRef>
          </c:val>
          <c:smooth val="0"/>
          <c:extLst>
            <c:ext xmlns:c16="http://schemas.microsoft.com/office/drawing/2014/chart" uri="{C3380CC4-5D6E-409C-BE32-E72D297353CC}">
              <c16:uniqueId val="{00000006-D9F0-4D3B-B980-60AB198140B0}"/>
            </c:ext>
          </c:extLst>
        </c:ser>
        <c:ser>
          <c:idx val="11"/>
          <c:order val="6"/>
          <c:tx>
            <c:strRef>
              <c:f>Care_Leavers!$AK$47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Care_Leavers!$BB$47:$BF$47</c:f>
              <c:numCache>
                <c:formatCode>0.0%</c:formatCode>
                <c:ptCount val="5"/>
                <c:pt idx="0">
                  <c:v>#N/A</c:v>
                </c:pt>
                <c:pt idx="1">
                  <c:v>#N/A</c:v>
                </c:pt>
                <c:pt idx="2">
                  <c:v>0.52038547071905117</c:v>
                </c:pt>
                <c:pt idx="3">
                  <c:v>0.54838709677419351</c:v>
                </c:pt>
                <c:pt idx="4">
                  <c:v>0.54013015184381774</c:v>
                </c:pt>
              </c:numCache>
            </c:numRef>
          </c:val>
          <c:smooth val="0"/>
          <c:extLst>
            <c:ext xmlns:c16="http://schemas.microsoft.com/office/drawing/2014/chart" uri="{C3380CC4-5D6E-409C-BE32-E72D297353CC}">
              <c16:uniqueId val="{00000007-D9F0-4D3B-B980-60AB198140B0}"/>
            </c:ext>
          </c:extLst>
        </c:ser>
        <c:ser>
          <c:idx val="12"/>
          <c:order val="7"/>
          <c:tx>
            <c:strRef>
              <c:f>Care_Leavers!$AK$48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Care_Leavers!$BB$48:$BF$48</c:f>
              <c:numCache>
                <c:formatCode>0.0%</c:formatCode>
                <c:ptCount val="5"/>
                <c:pt idx="0">
                  <c:v>#N/A</c:v>
                </c:pt>
                <c:pt idx="1">
                  <c:v>#N/A</c:v>
                </c:pt>
                <c:pt idx="2">
                  <c:v>#N/A</c:v>
                </c:pt>
                <c:pt idx="3">
                  <c:v>#N/A</c:v>
                </c:pt>
                <c:pt idx="4">
                  <c:v>0.47933884297520662</c:v>
                </c:pt>
              </c:numCache>
            </c:numRef>
          </c:val>
          <c:smooth val="0"/>
          <c:extLst>
            <c:ext xmlns:c16="http://schemas.microsoft.com/office/drawing/2014/chart" uri="{C3380CC4-5D6E-409C-BE32-E72D297353CC}">
              <c16:uniqueId val="{00000008-D9F0-4D3B-B980-60AB198140B0}"/>
            </c:ext>
          </c:extLst>
        </c:ser>
        <c:ser>
          <c:idx val="13"/>
          <c:order val="8"/>
          <c:tx>
            <c:strRef>
              <c:f>Care_Leavers!$AK$49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Care_Leavers!$BB$49:$BF$49</c:f>
              <c:numCache>
                <c:formatCode>0.0%</c:formatCode>
                <c:ptCount val="5"/>
                <c:pt idx="0">
                  <c:v>#N/A</c:v>
                </c:pt>
                <c:pt idx="1">
                  <c:v>#N/A</c:v>
                </c:pt>
                <c:pt idx="2">
                  <c:v>0.4563758389261745</c:v>
                </c:pt>
                <c:pt idx="3">
                  <c:v>0.40119760479041916</c:v>
                </c:pt>
                <c:pt idx="4">
                  <c:v>0.40606060606060607</c:v>
                </c:pt>
              </c:numCache>
            </c:numRef>
          </c:val>
          <c:smooth val="0"/>
          <c:extLst>
            <c:ext xmlns:c16="http://schemas.microsoft.com/office/drawing/2014/chart" uri="{C3380CC4-5D6E-409C-BE32-E72D297353CC}">
              <c16:uniqueId val="{00000009-D9F0-4D3B-B980-60AB198140B0}"/>
            </c:ext>
          </c:extLst>
        </c:ser>
        <c:ser>
          <c:idx val="15"/>
          <c:order val="9"/>
          <c:tx>
            <c:strRef>
              <c:f>Care_Leavers!$AK$50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Care_Leavers!$BB$50:$BF$50</c:f>
              <c:numCache>
                <c:formatCode>0.0%</c:formatCode>
                <c:ptCount val="5"/>
                <c:pt idx="0">
                  <c:v>#N/A</c:v>
                </c:pt>
                <c:pt idx="1">
                  <c:v>#N/A</c:v>
                </c:pt>
                <c:pt idx="2">
                  <c:v>0.48347107438016529</c:v>
                </c:pt>
                <c:pt idx="3">
                  <c:v>0.49454545454545457</c:v>
                </c:pt>
                <c:pt idx="4">
                  <c:v>0.45704467353951889</c:v>
                </c:pt>
              </c:numCache>
            </c:numRef>
          </c:val>
          <c:smooth val="0"/>
          <c:extLst>
            <c:ext xmlns:c16="http://schemas.microsoft.com/office/drawing/2014/chart" uri="{C3380CC4-5D6E-409C-BE32-E72D297353CC}">
              <c16:uniqueId val="{0000000A-D9F0-4D3B-B980-60AB198140B0}"/>
            </c:ext>
          </c:extLst>
        </c:ser>
        <c:ser>
          <c:idx val="16"/>
          <c:order val="10"/>
          <c:tx>
            <c:strRef>
              <c:f>Care_Leavers!$AK$51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Care_Leavers!$BB$51:$BF$51</c:f>
              <c:numCache>
                <c:formatCode>0.0%</c:formatCode>
                <c:ptCount val="5"/>
                <c:pt idx="0">
                  <c:v>#N/A</c:v>
                </c:pt>
                <c:pt idx="1">
                  <c:v>#N/A</c:v>
                </c:pt>
                <c:pt idx="2">
                  <c:v>0.37391304347826088</c:v>
                </c:pt>
                <c:pt idx="3">
                  <c:v>0.44715447154471544</c:v>
                </c:pt>
                <c:pt idx="4">
                  <c:v>0.50326797385620914</c:v>
                </c:pt>
              </c:numCache>
            </c:numRef>
          </c:val>
          <c:smooth val="0"/>
          <c:extLst>
            <c:ext xmlns:c16="http://schemas.microsoft.com/office/drawing/2014/chart" uri="{C3380CC4-5D6E-409C-BE32-E72D297353CC}">
              <c16:uniqueId val="{0000000B-D9F0-4D3B-B980-60AB198140B0}"/>
            </c:ext>
          </c:extLst>
        </c:ser>
        <c:ser>
          <c:idx val="17"/>
          <c:order val="11"/>
          <c:tx>
            <c:strRef>
              <c:f>Care_Leavers!$AK$52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Care_Leavers!$BB$52:$BF$52</c:f>
              <c:numCache>
                <c:formatCode>0.0%</c:formatCode>
                <c:ptCount val="5"/>
                <c:pt idx="0">
                  <c:v>#N/A</c:v>
                </c:pt>
                <c:pt idx="1">
                  <c:v>#N/A</c:v>
                </c:pt>
                <c:pt idx="2">
                  <c:v>0.42528735632183906</c:v>
                </c:pt>
                <c:pt idx="3">
                  <c:v>#N/A</c:v>
                </c:pt>
                <c:pt idx="4">
                  <c:v>0.46534653465346537</c:v>
                </c:pt>
              </c:numCache>
            </c:numRef>
          </c:val>
          <c:smooth val="0"/>
          <c:extLst>
            <c:ext xmlns:c16="http://schemas.microsoft.com/office/drawing/2014/chart" uri="{C3380CC4-5D6E-409C-BE32-E72D297353CC}">
              <c16:uniqueId val="{0000000C-D9F0-4D3B-B980-60AB198140B0}"/>
            </c:ext>
          </c:extLst>
        </c:ser>
        <c:ser>
          <c:idx val="19"/>
          <c:order val="12"/>
          <c:tx>
            <c:strRef>
              <c:f>Care_Leavers!$AK$53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Care_Leavers!$BB$53:$BF$53</c:f>
              <c:numCache>
                <c:formatCode>0.0%</c:formatCode>
                <c:ptCount val="5"/>
                <c:pt idx="0">
                  <c:v>#N/A</c:v>
                </c:pt>
                <c:pt idx="1">
                  <c:v>#N/A</c:v>
                </c:pt>
                <c:pt idx="2">
                  <c:v>0.38202247191011235</c:v>
                </c:pt>
                <c:pt idx="3">
                  <c:v>0.58620689655172409</c:v>
                </c:pt>
                <c:pt idx="4">
                  <c:v>0.63440860215053763</c:v>
                </c:pt>
              </c:numCache>
            </c:numRef>
          </c:val>
          <c:smooth val="0"/>
          <c:extLst>
            <c:ext xmlns:c16="http://schemas.microsoft.com/office/drawing/2014/chart" uri="{C3380CC4-5D6E-409C-BE32-E72D297353CC}">
              <c16:uniqueId val="{0000000D-D9F0-4D3B-B980-60AB198140B0}"/>
            </c:ext>
          </c:extLst>
        </c:ser>
        <c:ser>
          <c:idx val="3"/>
          <c:order val="13"/>
          <c:tx>
            <c:strRef>
              <c:f>Care_Leavers!$AK$54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Care_Leavers!$BB$54:$BF$54</c:f>
              <c:numCache>
                <c:formatCode>0.0%</c:formatCode>
                <c:ptCount val="5"/>
                <c:pt idx="0">
                  <c:v>#N/A</c:v>
                </c:pt>
                <c:pt idx="1">
                  <c:v>#N/A</c:v>
                </c:pt>
                <c:pt idx="2">
                  <c:v>0.57711442786069655</c:v>
                </c:pt>
                <c:pt idx="3">
                  <c:v>0.574585635359116</c:v>
                </c:pt>
                <c:pt idx="4">
                  <c:v>0.59330143540669855</c:v>
                </c:pt>
              </c:numCache>
            </c:numRef>
          </c:val>
          <c:smooth val="0"/>
          <c:extLst>
            <c:ext xmlns:c16="http://schemas.microsoft.com/office/drawing/2014/chart" uri="{C3380CC4-5D6E-409C-BE32-E72D297353CC}">
              <c16:uniqueId val="{0000000E-D9F0-4D3B-B980-60AB198140B0}"/>
            </c:ext>
          </c:extLst>
        </c:ser>
        <c:ser>
          <c:idx val="20"/>
          <c:order val="14"/>
          <c:tx>
            <c:strRef>
              <c:f>Care_Leavers!$AK$55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Care_Leavers!$BB$55:$BF$55</c:f>
              <c:numCache>
                <c:formatCode>0.0%</c:formatCode>
                <c:ptCount val="5"/>
                <c:pt idx="0">
                  <c:v>#N/A</c:v>
                </c:pt>
                <c:pt idx="1">
                  <c:v>#N/A</c:v>
                </c:pt>
                <c:pt idx="2">
                  <c:v>0.41129032258064518</c:v>
                </c:pt>
                <c:pt idx="3">
                  <c:v>0.44881889763779526</c:v>
                </c:pt>
                <c:pt idx="4">
                  <c:v>0.42748091603053434</c:v>
                </c:pt>
              </c:numCache>
            </c:numRef>
          </c:val>
          <c:smooth val="0"/>
          <c:extLst>
            <c:ext xmlns:c16="http://schemas.microsoft.com/office/drawing/2014/chart" uri="{C3380CC4-5D6E-409C-BE32-E72D297353CC}">
              <c16:uniqueId val="{0000000F-D9F0-4D3B-B980-60AB198140B0}"/>
            </c:ext>
          </c:extLst>
        </c:ser>
        <c:ser>
          <c:idx val="22"/>
          <c:order val="15"/>
          <c:tx>
            <c:strRef>
              <c:f>Care_Leavers!$AK$56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Care_Leavers!$BB$56:$BF$56</c:f>
              <c:numCache>
                <c:formatCode>0.0%</c:formatCode>
                <c:ptCount val="5"/>
                <c:pt idx="0">
                  <c:v>#N/A</c:v>
                </c:pt>
                <c:pt idx="1">
                  <c:v>#N/A</c:v>
                </c:pt>
                <c:pt idx="2">
                  <c:v>0.56220095693779903</c:v>
                </c:pt>
                <c:pt idx="3">
                  <c:v>0.57894736842105265</c:v>
                </c:pt>
                <c:pt idx="4">
                  <c:v>0.53307392996108949</c:v>
                </c:pt>
              </c:numCache>
            </c:numRef>
          </c:val>
          <c:smooth val="0"/>
          <c:extLst>
            <c:ext xmlns:c16="http://schemas.microsoft.com/office/drawing/2014/chart" uri="{C3380CC4-5D6E-409C-BE32-E72D297353CC}">
              <c16:uniqueId val="{00000010-D9F0-4D3B-B980-60AB198140B0}"/>
            </c:ext>
          </c:extLst>
        </c:ser>
        <c:ser>
          <c:idx val="7"/>
          <c:order val="16"/>
          <c:tx>
            <c:strRef>
              <c:f>Care_Leavers!$AK$57</c:f>
              <c:strCache>
                <c:ptCount val="1"/>
                <c:pt idx="0">
                  <c:v>Swindon</c:v>
                </c:pt>
              </c:strCache>
            </c:strRef>
          </c:tx>
          <c:spPr>
            <a:ln w="12700"/>
          </c:spPr>
          <c:marker>
            <c:symbol val="triangle"/>
            <c:size val="5"/>
            <c:spPr>
              <a:solidFill>
                <a:schemeClr val="accent2">
                  <a:lumMod val="20000"/>
                  <a:lumOff val="80000"/>
                </a:schemeClr>
              </a:solidFill>
            </c:spPr>
          </c:marker>
          <c:cat>
            <c:strRef>
              <c:f>Care_Leavers!$Y$2:$AC$3</c:f>
              <c:strCache>
                <c:ptCount val="5"/>
                <c:pt idx="0">
                  <c:v>2015-16</c:v>
                </c:pt>
                <c:pt idx="1">
                  <c:v>2016-17</c:v>
                </c:pt>
                <c:pt idx="2">
                  <c:v>2017-18</c:v>
                </c:pt>
                <c:pt idx="3">
                  <c:v>2018-19</c:v>
                </c:pt>
                <c:pt idx="4">
                  <c:v>2019-20</c:v>
                </c:pt>
              </c:strCache>
            </c:strRef>
          </c:cat>
          <c:val>
            <c:numRef>
              <c:f>Care_Leavers!$BB$57:$BF$57</c:f>
              <c:numCache>
                <c:formatCode>0.0%</c:formatCode>
                <c:ptCount val="5"/>
                <c:pt idx="0">
                  <c:v>#N/A</c:v>
                </c:pt>
                <c:pt idx="1">
                  <c:v>#N/A</c:v>
                </c:pt>
                <c:pt idx="2">
                  <c:v>0.59677419354838712</c:v>
                </c:pt>
                <c:pt idx="3">
                  <c:v>0.51851851851851849</c:v>
                </c:pt>
                <c:pt idx="4">
                  <c:v>0.55633802816901412</c:v>
                </c:pt>
              </c:numCache>
            </c:numRef>
          </c:val>
          <c:smooth val="0"/>
          <c:extLst>
            <c:ext xmlns:c16="http://schemas.microsoft.com/office/drawing/2014/chart" uri="{C3380CC4-5D6E-409C-BE32-E72D297353CC}">
              <c16:uniqueId val="{00000011-D9F0-4D3B-B980-60AB198140B0}"/>
            </c:ext>
          </c:extLst>
        </c:ser>
        <c:ser>
          <c:idx val="8"/>
          <c:order val="17"/>
          <c:tx>
            <c:strRef>
              <c:f>Care_Leavers!$AK$58</c:f>
              <c:strCache>
                <c:ptCount val="1"/>
                <c:pt idx="0">
                  <c:v>Torbay</c:v>
                </c:pt>
              </c:strCache>
            </c:strRef>
          </c:tx>
          <c:spPr>
            <a:ln w="12700"/>
          </c:spPr>
          <c:marker>
            <c:symbol val="circle"/>
            <c:size val="5"/>
            <c:spPr>
              <a:solidFill>
                <a:schemeClr val="accent3">
                  <a:lumMod val="20000"/>
                  <a:lumOff val="80000"/>
                </a:schemeClr>
              </a:solidFill>
            </c:spPr>
          </c:marker>
          <c:cat>
            <c:strRef>
              <c:f>Care_Leavers!$Y$2:$AC$3</c:f>
              <c:strCache>
                <c:ptCount val="5"/>
                <c:pt idx="0">
                  <c:v>2015-16</c:v>
                </c:pt>
                <c:pt idx="1">
                  <c:v>2016-17</c:v>
                </c:pt>
                <c:pt idx="2">
                  <c:v>2017-18</c:v>
                </c:pt>
                <c:pt idx="3">
                  <c:v>2018-19</c:v>
                </c:pt>
                <c:pt idx="4">
                  <c:v>2019-20</c:v>
                </c:pt>
              </c:strCache>
            </c:strRef>
          </c:cat>
          <c:val>
            <c:numRef>
              <c:f>Care_Leavers!$BB$58:$BF$58</c:f>
              <c:numCache>
                <c:formatCode>0.0%</c:formatCode>
                <c:ptCount val="5"/>
                <c:pt idx="0">
                  <c:v>#N/A</c:v>
                </c:pt>
                <c:pt idx="1">
                  <c:v>#N/A</c:v>
                </c:pt>
                <c:pt idx="2">
                  <c:v>#N/A</c:v>
                </c:pt>
                <c:pt idx="3">
                  <c:v>0.55769230769230771</c:v>
                </c:pt>
                <c:pt idx="4">
                  <c:v>0.55172413793103448</c:v>
                </c:pt>
              </c:numCache>
            </c:numRef>
          </c:val>
          <c:smooth val="0"/>
          <c:extLst>
            <c:ext xmlns:c16="http://schemas.microsoft.com/office/drawing/2014/chart" uri="{C3380CC4-5D6E-409C-BE32-E72D297353CC}">
              <c16:uniqueId val="{00000012-D9F0-4D3B-B980-60AB198140B0}"/>
            </c:ext>
          </c:extLst>
        </c:ser>
        <c:ser>
          <c:idx val="23"/>
          <c:order val="18"/>
          <c:tx>
            <c:strRef>
              <c:f>Care_Leavers!$AK$59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Care_Leavers!$BB$59:$BF$59</c:f>
              <c:numCache>
                <c:formatCode>0.0%</c:formatCode>
                <c:ptCount val="5"/>
                <c:pt idx="0">
                  <c:v>#N/A</c:v>
                </c:pt>
                <c:pt idx="1">
                  <c:v>#N/A</c:v>
                </c:pt>
                <c:pt idx="2">
                  <c:v>0.48717948717948717</c:v>
                </c:pt>
                <c:pt idx="3">
                  <c:v>0.46052631578947367</c:v>
                </c:pt>
                <c:pt idx="4">
                  <c:v>0.7</c:v>
                </c:pt>
              </c:numCache>
            </c:numRef>
          </c:val>
          <c:smooth val="0"/>
          <c:extLst>
            <c:ext xmlns:c16="http://schemas.microsoft.com/office/drawing/2014/chart" uri="{C3380CC4-5D6E-409C-BE32-E72D297353CC}">
              <c16:uniqueId val="{00000013-D9F0-4D3B-B980-60AB198140B0}"/>
            </c:ext>
          </c:extLst>
        </c:ser>
        <c:ser>
          <c:idx val="24"/>
          <c:order val="19"/>
          <c:tx>
            <c:strRef>
              <c:f>Care_Leavers!$AK$60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Care_Leavers!$BB$60:$BF$60</c:f>
              <c:numCache>
                <c:formatCode>0.0%</c:formatCode>
                <c:ptCount val="5"/>
                <c:pt idx="0">
                  <c:v>#N/A</c:v>
                </c:pt>
                <c:pt idx="1">
                  <c:v>#N/A</c:v>
                </c:pt>
                <c:pt idx="2">
                  <c:v>0.71551724137931039</c:v>
                </c:pt>
                <c:pt idx="3">
                  <c:v>0.6584022038567493</c:v>
                </c:pt>
                <c:pt idx="4">
                  <c:v>0.5934959349593496</c:v>
                </c:pt>
              </c:numCache>
            </c:numRef>
          </c:val>
          <c:smooth val="0"/>
          <c:extLst>
            <c:ext xmlns:c16="http://schemas.microsoft.com/office/drawing/2014/chart" uri="{C3380CC4-5D6E-409C-BE32-E72D297353CC}">
              <c16:uniqueId val="{00000014-D9F0-4D3B-B980-60AB198140B0}"/>
            </c:ext>
          </c:extLst>
        </c:ser>
        <c:ser>
          <c:idx val="25"/>
          <c:order val="20"/>
          <c:tx>
            <c:strRef>
              <c:f>Care_Leavers!$AK$61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Care_Leavers!$BB$61:$BF$61</c:f>
              <c:numCache>
                <c:formatCode>0.0%</c:formatCode>
                <c:ptCount val="5"/>
                <c:pt idx="0">
                  <c:v>#N/A</c:v>
                </c:pt>
                <c:pt idx="1">
                  <c:v>#N/A</c:v>
                </c:pt>
                <c:pt idx="2">
                  <c:v>0.52083333333333337</c:v>
                </c:pt>
                <c:pt idx="3">
                  <c:v>0.5535714285714286</c:v>
                </c:pt>
                <c:pt idx="4">
                  <c:v>0.44642857142857145</c:v>
                </c:pt>
              </c:numCache>
            </c:numRef>
          </c:val>
          <c:smooth val="0"/>
          <c:extLst>
            <c:ext xmlns:c16="http://schemas.microsoft.com/office/drawing/2014/chart" uri="{C3380CC4-5D6E-409C-BE32-E72D297353CC}">
              <c16:uniqueId val="{00000015-D9F0-4D3B-B980-60AB198140B0}"/>
            </c:ext>
          </c:extLst>
        </c:ser>
        <c:ser>
          <c:idx val="26"/>
          <c:order val="21"/>
          <c:tx>
            <c:strRef>
              <c:f>Care_Leavers!$AK$62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Care_Leavers!$BB$62:$BF$62</c:f>
              <c:numCache>
                <c:formatCode>0.0%</c:formatCode>
                <c:ptCount val="5"/>
                <c:pt idx="0">
                  <c:v>#N/A</c:v>
                </c:pt>
                <c:pt idx="1">
                  <c:v>#N/A</c:v>
                </c:pt>
                <c:pt idx="2">
                  <c:v>0.6071428571428571</c:v>
                </c:pt>
                <c:pt idx="3">
                  <c:v>0.55263157894736847</c:v>
                </c:pt>
                <c:pt idx="4">
                  <c:v>0.56862745098039214</c:v>
                </c:pt>
              </c:numCache>
            </c:numRef>
          </c:val>
          <c:smooth val="0"/>
          <c:extLst>
            <c:ext xmlns:c16="http://schemas.microsoft.com/office/drawing/2014/chart" uri="{C3380CC4-5D6E-409C-BE32-E72D297353CC}">
              <c16:uniqueId val="{00000016-D9F0-4D3B-B980-60AB198140B0}"/>
            </c:ext>
          </c:extLst>
        </c:ser>
        <c:ser>
          <c:idx val="4"/>
          <c:order val="22"/>
          <c:tx>
            <c:strRef>
              <c:f>Care_Leavers!$AK$63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2015-16</c:v>
                </c:pt>
                <c:pt idx="1">
                  <c:v>2016-17</c:v>
                </c:pt>
                <c:pt idx="2">
                  <c:v>2017-18</c:v>
                </c:pt>
                <c:pt idx="3">
                  <c:v>2018-19</c:v>
                </c:pt>
                <c:pt idx="4">
                  <c:v>2019-20</c:v>
                </c:pt>
              </c:strCache>
            </c:strRef>
          </c:cat>
          <c:val>
            <c:numRef>
              <c:f>Care_Leavers!$BB$63:$BF$63</c:f>
              <c:numCache>
                <c:formatCode>0.0%</c:formatCode>
                <c:ptCount val="5"/>
                <c:pt idx="0">
                  <c:v>#N/A</c:v>
                </c:pt>
                <c:pt idx="1">
                  <c:v>#N/A</c:v>
                </c:pt>
                <c:pt idx="2">
                  <c:v>0.52272727272727271</c:v>
                </c:pt>
                <c:pt idx="3">
                  <c:v>0.53894736842105262</c:v>
                </c:pt>
                <c:pt idx="4">
                  <c:v>0.53209109730848858</c:v>
                </c:pt>
              </c:numCache>
            </c:numRef>
          </c:val>
          <c:smooth val="0"/>
          <c:extLst>
            <c:ext xmlns:c16="http://schemas.microsoft.com/office/drawing/2014/chart" uri="{C3380CC4-5D6E-409C-BE32-E72D297353CC}">
              <c16:uniqueId val="{00000017-D9F0-4D3B-B980-60AB198140B0}"/>
            </c:ext>
          </c:extLst>
        </c:ser>
        <c:ser>
          <c:idx val="14"/>
          <c:order val="23"/>
          <c:tx>
            <c:strRef>
              <c:f>Care_Leavers!$AK$64</c:f>
              <c:strCache>
                <c:ptCount val="1"/>
                <c:pt idx="0">
                  <c:v>England</c:v>
                </c:pt>
              </c:strCache>
            </c:strRef>
          </c:tx>
          <c:spPr>
            <a:ln w="22225">
              <a:solidFill>
                <a:schemeClr val="tx1">
                  <a:lumMod val="75000"/>
                  <a:lumOff val="25000"/>
                </a:schemeClr>
              </a:solidFill>
            </a:ln>
          </c:spPr>
          <c:marker>
            <c:symbol val="plus"/>
            <c:size val="5"/>
            <c:spPr>
              <a:noFill/>
              <a:ln w="12700">
                <a:solidFill>
                  <a:schemeClr val="tx1">
                    <a:lumMod val="75000"/>
                    <a:lumOff val="25000"/>
                  </a:schemeClr>
                </a:solidFill>
              </a:ln>
            </c:spPr>
          </c:marker>
          <c:val>
            <c:numRef>
              <c:f>Care_Leavers!$BB$64:$BF$64</c:f>
              <c:numCache>
                <c:formatCode>0.0%</c:formatCode>
                <c:ptCount val="5"/>
                <c:pt idx="0">
                  <c:v>#N/A</c:v>
                </c:pt>
                <c:pt idx="1">
                  <c:v>#N/A</c:v>
                </c:pt>
                <c:pt idx="2">
                  <c:v>0.51350403367239561</c:v>
                </c:pt>
                <c:pt idx="3">
                  <c:v>0.52255262278650183</c:v>
                </c:pt>
                <c:pt idx="4">
                  <c:v>0.52591170825335898</c:v>
                </c:pt>
              </c:numCache>
            </c:numRef>
          </c:val>
          <c:smooth val="0"/>
          <c:extLst>
            <c:ext xmlns:c16="http://schemas.microsoft.com/office/drawing/2014/chart" uri="{C3380CC4-5D6E-409C-BE32-E72D297353CC}">
              <c16:uniqueId val="{00000003-6E41-417B-BB75-805E5870F091}"/>
            </c:ext>
          </c:extLst>
        </c:ser>
        <c:ser>
          <c:idx val="6"/>
          <c:order val="24"/>
          <c:tx>
            <c:strRef>
              <c:f>Care_Leavers!$AK$65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Care_Leavers!$Y$2:$AC$3</c:f>
              <c:strCache>
                <c:ptCount val="5"/>
                <c:pt idx="0">
                  <c:v>2015-16</c:v>
                </c:pt>
                <c:pt idx="1">
                  <c:v>2016-17</c:v>
                </c:pt>
                <c:pt idx="2">
                  <c:v>2017-18</c:v>
                </c:pt>
                <c:pt idx="3">
                  <c:v>2018-19</c:v>
                </c:pt>
                <c:pt idx="4">
                  <c:v>2019-20</c:v>
                </c:pt>
              </c:strCache>
            </c:strRef>
          </c:cat>
          <c:val>
            <c:numRef>
              <c:f>Care_Leavers!$BB$65:$BF$65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D9F0-4D3B-B980-60AB198140B0}"/>
            </c:ext>
          </c:extLst>
        </c:ser>
        <c:dLbls>
          <c:showLegendKey val="0"/>
          <c:showVal val="0"/>
          <c:showCatName val="0"/>
          <c:showSerName val="0"/>
          <c:showPercent val="0"/>
          <c:showBubbleSize val="0"/>
        </c:dLbls>
        <c:marker val="1"/>
        <c:smooth val="0"/>
        <c:axId val="625683072"/>
        <c:axId val="625705728"/>
      </c:lineChart>
      <c:catAx>
        <c:axId val="625683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705728"/>
        <c:crosses val="autoZero"/>
        <c:auto val="1"/>
        <c:lblAlgn val="ctr"/>
        <c:lblOffset val="100"/>
        <c:tickLblSkip val="1"/>
        <c:tickMarkSkip val="1"/>
        <c:noMultiLvlLbl val="0"/>
      </c:catAx>
      <c:valAx>
        <c:axId val="62570572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6830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0668096366003028"/>
          <c:h val="0.8674602179816423"/>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Leavers (Aged 19-21) vs. IDACI</a:t>
            </a:r>
          </a:p>
        </c:rich>
      </c:tx>
      <c:layout>
        <c:manualLayout>
          <c:xMode val="edge"/>
          <c:yMode val="edge"/>
          <c:x val="0.20188592864248134"/>
          <c:y val="3.011988366319074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2"/>
          <c:order val="4"/>
          <c:tx>
            <c:strRef>
              <c:f>Care_Leavers!$X$41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D69A-4BB8-891E-AE287DDD9B8B}"/>
                </c:ext>
              </c:extLst>
            </c:dLbl>
            <c:dLbl>
              <c:idx val="1"/>
              <c:layout>
                <c:manualLayout>
                  <c:x val="-6.511627906976733E-2"/>
                  <c:y val="-3.3182503770739065E-2"/>
                </c:manualLayout>
              </c:layout>
              <c:tx>
                <c:strRef>
                  <c:f>Care_Leavers!$AC$42</c:f>
                  <c:strCache>
                    <c:ptCount val="1"/>
                    <c:pt idx="0">
                      <c:v>r² = 0.004</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{257DEDF7-3B33-432A-8E80-9A5CE0C8E540}</c15:txfldGUID>
                      <c15:f>Care_Leavers!$AC$42</c15:f>
                      <c15:dlblFieldTableCache>
                        <c:ptCount val="1"/>
                        <c:pt idx="0">
                          <c:v>r² = 0.004</c:v>
                        </c:pt>
                      </c15:dlblFieldTableCache>
                    </c15:dlblFTEntry>
                  </c15:dlblFieldTable>
                  <c15:showDataLabelsRange val="0"/>
                </c:ext>
                <c:ext xmlns:c16="http://schemas.microsoft.com/office/drawing/2014/chart" uri="{C3380CC4-5D6E-409C-BE32-E72D297353CC}">
                  <c16:uniqueId val="{00000001-D69A-4BB8-891E-AE287DDD9B8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Care_Leavers!$AA$41:$AA$42</c:f>
              <c:numCache>
                <c:formatCode>General</c:formatCode>
                <c:ptCount val="2"/>
                <c:pt idx="0" formatCode="#,##0.0">
                  <c:v>5</c:v>
                </c:pt>
                <c:pt idx="1">
                  <c:v>35</c:v>
                </c:pt>
              </c:numCache>
            </c:numRef>
          </c:xVal>
          <c:yVal>
            <c:numRef>
              <c:f>Care_Leavers!$AB$41:$AB$42</c:f>
              <c:numCache>
                <c:formatCode>0.0</c:formatCode>
                <c:ptCount val="2"/>
                <c:pt idx="0">
                  <c:v>165.03591840912321</c:v>
                </c:pt>
                <c:pt idx="1">
                  <c:v>141.98572115729002</c:v>
                </c:pt>
              </c:numCache>
            </c:numRef>
          </c:yVal>
          <c:smooth val="1"/>
          <c:extLst>
            <c:ext xmlns:c16="http://schemas.microsoft.com/office/drawing/2014/chart" uri="{C3380CC4-5D6E-409C-BE32-E72D297353CC}">
              <c16:uniqueId val="{00000002-D69A-4BB8-891E-AE287DDD9B8B}"/>
            </c:ext>
          </c:extLst>
        </c:ser>
        <c:dLbls>
          <c:showLegendKey val="0"/>
          <c:showVal val="0"/>
          <c:showCatName val="0"/>
          <c:showSerName val="0"/>
          <c:showPercent val="0"/>
          <c:showBubbleSize val="0"/>
        </c:dLbls>
        <c:axId val="626018176"/>
        <c:axId val="626045312"/>
      </c:scatterChart>
      <c:scatterChart>
        <c:scatterStyle val="lineMarker"/>
        <c:varyColors val="0"/>
        <c:ser>
          <c:idx val="0"/>
          <c:order val="0"/>
          <c:tx>
            <c:strRef>
              <c:f>Care_Leavers!$AQ$38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D69A-4BB8-891E-AE287DDD9B8B}"/>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{3E98F27B-531D-4F63-8477-0FAE48D8059D}</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D69A-4BB8-891E-AE287DDD9B8B}"/>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{7A19CD9C-9AE7-4582-AFED-1A189A08C8D4}</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D69A-4BB8-891E-AE287DDD9B8B}"/>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{F2939182-6D45-4013-83B4-A6FAA625A214}</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D69A-4BB8-891E-AE287DDD9B8B}"/>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{31E5919A-EA48-4276-8085-A2166D0B19C8}</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D69A-4BB8-891E-AE287DDD9B8B}"/>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{1E06D774-CECC-4666-8E05-CD5DFBEE20D1}</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D69A-4BB8-891E-AE287DDD9B8B}"/>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{F0B8EECF-EEDB-4228-81F7-4978B52BD88F}</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D69A-4BB8-891E-AE287DDD9B8B}"/>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{E181C74B-93AC-492A-B2F5-AC7D3BFF0B0F}</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D69A-4BB8-891E-AE287DDD9B8B}"/>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{44879563-6000-4652-BB84-FC427F2707E2}</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D69A-4BB8-891E-AE287DDD9B8B}"/>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{7584B81B-356C-4FD8-B123-5C9CF6882C92}</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D69A-4BB8-891E-AE287DDD9B8B}"/>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{273472ED-FB64-48BE-846B-D4F5C77165C7}</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D69A-4BB8-891E-AE287DDD9B8B}"/>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{E93F0D74-DA9B-4D7C-B30C-89EF1492D0B6}</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D69A-4BB8-891E-AE287DDD9B8B}"/>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{79316EE3-906D-46AB-B49A-FF691EBBFCE7}</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D69A-4BB8-891E-AE287DDD9B8B}"/>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{260C005A-A28B-4053-B99F-D6839B481FEA}</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D69A-4BB8-891E-AE287DDD9B8B}"/>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{B82C3980-311C-4BA8-8C0F-DBA6B0DFCA91}</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D69A-4BB8-891E-AE287DDD9B8B}"/>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{92A90CEB-0F99-4E21-A640-F444C7E56698}</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D69A-4BB8-891E-AE287DDD9B8B}"/>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{C07912C9-2079-48A7-9539-6FF777785282}</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D69A-4BB8-891E-AE287DDD9B8B}"/>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{2F23A49A-F484-4F3F-AEA8-6F421B9611EE}</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D69A-4BB8-891E-AE287DDD9B8B}"/>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{FC3DF279-8D02-40C2-B931-93E3D9BE2251}</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D69A-4BB8-891E-AE287DDD9B8B}"/>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{3EE738AA-B33B-426B-B827-C59EAE019C17}</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D69A-4BB8-891E-AE287DDD9B8B}"/>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(Care_Leavers!$AQ$41:$AQ$53,Care_Leavers!$AQ$55:$AQ$56,Care_Leavers!$AQ$59:$AQ$62)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(Care_Leavers!$AP$41:$AP$53,Care_Leavers!$AP$55:$AP$56,Care_Leavers!$AP$59:$AP$62)</c:f>
              <c:numCache>
                <c:formatCode>0.0</c:formatCode>
                <c:ptCount val="19"/>
                <c:pt idx="0">
                  <c:v>169.13946587537092</c:v>
                </c:pt>
                <c:pt idx="1">
                  <c:v>109.36007640878702</c:v>
                </c:pt>
                <c:pt idx="2">
                  <c:v>151.5625</c:v>
                </c:pt>
                <c:pt idx="3">
                  <c:v>137.39298536315934</c:v>
                </c:pt>
                <c:pt idx="4">
                  <c:v>143.97871618978064</c:v>
                </c:pt>
                <c:pt idx="5">
                  <c:v>243.4928631402183</c:v>
                </c:pt>
                <c:pt idx="6">
                  <c:v>271.92827228219193</c:v>
                </c:pt>
                <c:pt idx="7">
                  <c:v>129.50872310820935</c:v>
                </c:pt>
                <c:pt idx="8">
                  <c:v>260.66350710900474</c:v>
                </c:pt>
                <c:pt idx="9">
                  <c:v>97.249607325468702</c:v>
                </c:pt>
                <c:pt idx="10">
                  <c:v>92.024539877300626</c:v>
                </c:pt>
                <c:pt idx="11">
                  <c:v>114.20171867933063</c:v>
                </c:pt>
                <c:pt idx="12">
                  <c:v>227.1062271062271</c:v>
                </c:pt>
                <c:pt idx="13">
                  <c:v>63.961720619110395</c:v>
                </c:pt>
                <c:pt idx="14">
                  <c:v>137.1105420401195</c:v>
                </c:pt>
                <c:pt idx="15">
                  <c:v>213.33333333333331</c:v>
                </c:pt>
                <c:pt idx="16">
                  <c:v>171.77971230389645</c:v>
                </c:pt>
                <c:pt idx="17">
                  <c:v>168.16816816816817</c:v>
                </c:pt>
                <c:pt idx="18">
                  <c:v>115.85642889595638</c:v>
                </c:pt>
              </c:numCache>
            </c:numRef>
          </c:yVal>
          <c:smooth val="0"/>
          <c:extLst>
            <c:ext xmlns:c16="http://schemas.microsoft.com/office/drawing/2014/chart" uri="{C3380CC4-5D6E-409C-BE32-E72D297353CC}">
              <c16:uniqueId val="{00000017-D69A-4BB8-891E-AE287DDD9B8B}"/>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D69A-4BB8-891E-AE287DDD9B8B}"/>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{A91A5A5E-A884-4E4E-9EFA-5D9B47D99481}</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D69A-4BB8-891E-AE287DDD9B8B}"/>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{31D0B733-1DC3-44B4-B293-B20352FA797E}</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D69A-4BB8-891E-AE287DDD9B8B}"/>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{8BD7D26B-F9EB-4083-86B4-9A57DB30C37E}</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D69A-4BB8-891E-AE287DDD9B8B}"/>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(Care_Leavers!$AQ$54,Care_Leavers!$AQ$57:$AQ$58)</c:f>
              <c:numCache>
                <c:formatCode>0.0</c:formatCode>
                <c:ptCount val="3"/>
                <c:pt idx="0">
                  <c:v>13.600000000000001</c:v>
                </c:pt>
                <c:pt idx="1">
                  <c:v>14.899999999999999</c:v>
                </c:pt>
                <c:pt idx="2">
                  <c:v>21.9</c:v>
                </c:pt>
              </c:numCache>
            </c:numRef>
          </c:xVal>
          <c:yVal>
            <c:numRef>
              <c:f>(Care_Leavers!$AP$54,Care_Leavers!$AP$57:$AP$58)</c:f>
              <c:numCache>
                <c:formatCode>0.0</c:formatCode>
                <c:ptCount val="3"/>
                <c:pt idx="0">
                  <c:v>149.78857593349102</c:v>
                </c:pt>
                <c:pt idx="1">
                  <c:v>230.03401911550301</c:v>
                </c:pt>
                <c:pt idx="2">
                  <c:v>343.39846062759028</c:v>
                </c:pt>
              </c:numCache>
            </c:numRef>
          </c:yVal>
          <c:smooth val="0"/>
          <c:extLst>
            <c:ext xmlns:c16="http://schemas.microsoft.com/office/drawing/2014/chart" uri="{C3380CC4-5D6E-409C-BE32-E72D297353CC}">
              <c16:uniqueId val="{0000001B-D69A-4BB8-891E-AE287DDD9B8B}"/>
            </c:ext>
          </c:extLst>
        </c:ser>
        <c:ser>
          <c:idx val="1"/>
          <c:order val="2"/>
          <c:tx>
            <c:strRef>
              <c:f>Care_Leavers!$Z$4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Care_Leavers!$AQ$65</c:f>
              <c:numCache>
                <c:formatCode>0.0</c:formatCode>
                <c:ptCount val="1"/>
                <c:pt idx="0">
                  <c:v>#N/A</c:v>
                </c:pt>
              </c:numCache>
            </c:numRef>
          </c:xVal>
          <c:yVal>
            <c:numRef>
              <c:f>Care_Leavers!$AP$65</c:f>
              <c:numCache>
                <c:formatCode>0.0</c:formatCode>
                <c:ptCount val="1"/>
                <c:pt idx="0">
                  <c:v>#N/A</c:v>
                </c:pt>
              </c:numCache>
            </c:numRef>
          </c:yVal>
          <c:smooth val="0"/>
          <c:extLst>
            <c:ext xmlns:c16="http://schemas.microsoft.com/office/drawing/2014/chart" uri="{C3380CC4-5D6E-409C-BE32-E72D297353CC}">
              <c16:uniqueId val="{0000001C-D69A-4BB8-891E-AE287DDD9B8B}"/>
            </c:ext>
          </c:extLst>
        </c:ser>
        <c:ser>
          <c:idx val="4"/>
          <c:order val="3"/>
          <c:tx>
            <c:strRef>
              <c:f>Care_Leavers!$B$32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Care_Leavers!$T$32</c:f>
              <c:numCache>
                <c:formatCode>0.0</c:formatCode>
                <c:ptCount val="1"/>
                <c:pt idx="0">
                  <c:v>12.371268250968637</c:v>
                </c:pt>
              </c:numCache>
            </c:numRef>
          </c:xVal>
          <c:yVal>
            <c:numRef>
              <c:f>Care_Leavers!$P$32</c:f>
              <c:numCache>
                <c:formatCode>0.0</c:formatCode>
                <c:ptCount val="1"/>
                <c:pt idx="0">
                  <c:v>155.57659973329726</c:v>
                </c:pt>
              </c:numCache>
            </c:numRef>
          </c:yVal>
          <c:smooth val="0"/>
          <c:extLst>
            <c:ext xmlns:c16="http://schemas.microsoft.com/office/drawing/2014/chart" uri="{C3380CC4-5D6E-409C-BE32-E72D297353CC}">
              <c16:uniqueId val="{0000001D-D69A-4BB8-891E-AE287DDD9B8B}"/>
            </c:ext>
          </c:extLst>
        </c:ser>
        <c:dLbls>
          <c:showLegendKey val="0"/>
          <c:showVal val="0"/>
          <c:showCatName val="0"/>
          <c:showSerName val="0"/>
          <c:showPercent val="0"/>
          <c:showBubbleSize val="0"/>
        </c:dLbls>
        <c:axId val="626018176"/>
        <c:axId val="626045312"/>
      </c:scatterChart>
      <c:valAx>
        <c:axId val="626018176"/>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045312"/>
        <c:crosses val="autoZero"/>
        <c:crossBetween val="midCat"/>
        <c:majorUnit val="5"/>
      </c:valAx>
      <c:valAx>
        <c:axId val="62604531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Care Leavers (Aged 19-21) </a:t>
                </a:r>
                <a:r>
                  <a:rPr lang="en-GB"/>
                  <a:t>per</a:t>
                </a:r>
              </a:p>
              <a:p>
                <a:pPr>
                  <a:defRPr sz="800" b="1" i="0" u="none" strike="noStrike" baseline="0">
                    <a:solidFill>
                      <a:srgbClr val="000000"/>
                    </a:solidFill>
                    <a:latin typeface="Arial"/>
                    <a:ea typeface="Arial"/>
                    <a:cs typeface="Arial"/>
                  </a:defRPr>
                </a:pPr>
                <a:r>
                  <a:rPr lang="en-GB"/>
                  <a:t>10,000 19-21 year olds</a:t>
                </a:r>
              </a:p>
            </c:rich>
          </c:tx>
          <c:layout>
            <c:manualLayout>
              <c:xMode val="edge"/>
              <c:yMode val="edge"/>
              <c:x val="2.7638634211819415E-2"/>
              <c:y val="0.2182504551795890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01817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Child Arrangement Orders, per 10,000 0-17 year olds</a:t>
            </a:r>
          </a:p>
        </c:rich>
      </c:tx>
      <c:layout>
        <c:manualLayout>
          <c:xMode val="edge"/>
          <c:yMode val="edge"/>
          <c:x val="0.10471364719577417"/>
          <c:y val="1.2538108693713617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ROSGO!$AK$41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91B6-43A2-8B95-C89E3387285C}"/>
              </c:ext>
            </c:extLst>
          </c:dPt>
          <c:cat>
            <c:strRef>
              <c:f>ROSGO!$Z$2:$AD$3</c:f>
              <c:strCache>
                <c:ptCount val="5"/>
                <c:pt idx="0">
                  <c:v>2015-16</c:v>
                </c:pt>
                <c:pt idx="1">
                  <c:v>2016-17</c:v>
                </c:pt>
                <c:pt idx="2">
                  <c:v>2017-18</c:v>
                </c:pt>
                <c:pt idx="3">
                  <c:v>2018-19</c:v>
                </c:pt>
                <c:pt idx="4">
                  <c:v>2019-20</c:v>
                </c:pt>
              </c:strCache>
            </c:strRef>
          </c:cat>
          <c:val>
            <c:numRef>
              <c:f>ROSGO!$AL$41:$AP$41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1B6-43A2-8B95-C89E3387285C}"/>
            </c:ext>
          </c:extLst>
        </c:ser>
        <c:ser>
          <c:idx val="1"/>
          <c:order val="1"/>
          <c:tx>
            <c:strRef>
              <c:f>ROSGO!$AK$42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ROSGO!$Z$2:$AD$3</c:f>
              <c:strCache>
                <c:ptCount val="5"/>
                <c:pt idx="0">
                  <c:v>2015-16</c:v>
                </c:pt>
                <c:pt idx="1">
                  <c:v>2016-17</c:v>
                </c:pt>
                <c:pt idx="2">
                  <c:v>2017-18</c:v>
                </c:pt>
                <c:pt idx="3">
                  <c:v>2018-19</c:v>
                </c:pt>
                <c:pt idx="4">
                  <c:v>2019-20</c:v>
                </c:pt>
              </c:strCache>
            </c:strRef>
          </c:cat>
          <c:val>
            <c:numRef>
              <c:f>ROSGO!$AL$42:$AP$42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91B6-43A2-8B95-C89E3387285C}"/>
            </c:ext>
          </c:extLst>
        </c:ser>
        <c:ser>
          <c:idx val="2"/>
          <c:order val="2"/>
          <c:tx>
            <c:strRef>
              <c:f>ROSGO!$AK$43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ROSGO!$Z$2:$AD$3</c:f>
              <c:strCache>
                <c:ptCount val="5"/>
                <c:pt idx="0">
                  <c:v>2015-16</c:v>
                </c:pt>
                <c:pt idx="1">
                  <c:v>2016-17</c:v>
                </c:pt>
                <c:pt idx="2">
                  <c:v>2017-18</c:v>
                </c:pt>
                <c:pt idx="3">
                  <c:v>2018-19</c:v>
                </c:pt>
                <c:pt idx="4">
                  <c:v>2019-20</c:v>
                </c:pt>
              </c:strCache>
            </c:strRef>
          </c:cat>
          <c:val>
            <c:numRef>
              <c:f>ROSGO!$AL$43:$AP$43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91B6-43A2-8B95-C89E3387285C}"/>
            </c:ext>
          </c:extLst>
        </c:ser>
        <c:ser>
          <c:idx val="5"/>
          <c:order val="3"/>
          <c:tx>
            <c:strRef>
              <c:f>ROSGO!$AK$44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ROSGO!$Z$2:$AD$3</c:f>
              <c:strCache>
                <c:ptCount val="5"/>
                <c:pt idx="0">
                  <c:v>2015-16</c:v>
                </c:pt>
                <c:pt idx="1">
                  <c:v>2016-17</c:v>
                </c:pt>
                <c:pt idx="2">
                  <c:v>2017-18</c:v>
                </c:pt>
                <c:pt idx="3">
                  <c:v>2018-19</c:v>
                </c:pt>
                <c:pt idx="4">
                  <c:v>2019-20</c:v>
                </c:pt>
              </c:strCache>
            </c:strRef>
          </c:cat>
          <c:val>
            <c:numRef>
              <c:f>ROSGO!$AL$44:$AP$44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91B6-43A2-8B95-C89E3387285C}"/>
            </c:ext>
          </c:extLst>
        </c:ser>
        <c:ser>
          <c:idx val="9"/>
          <c:order val="4"/>
          <c:tx>
            <c:strRef>
              <c:f>ROSGO!$AK$45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ROSGO!$Z$2:$AD$3</c:f>
              <c:strCache>
                <c:ptCount val="5"/>
                <c:pt idx="0">
                  <c:v>2015-16</c:v>
                </c:pt>
                <c:pt idx="1">
                  <c:v>2016-17</c:v>
                </c:pt>
                <c:pt idx="2">
                  <c:v>2017-18</c:v>
                </c:pt>
                <c:pt idx="3">
                  <c:v>2018-19</c:v>
                </c:pt>
                <c:pt idx="4">
                  <c:v>2019-20</c:v>
                </c:pt>
              </c:strCache>
            </c:strRef>
          </c:cat>
          <c:val>
            <c:numRef>
              <c:f>ROSGO!$AL$45:$AP$45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91B6-43A2-8B95-C89E3387285C}"/>
            </c:ext>
          </c:extLst>
        </c:ser>
        <c:ser>
          <c:idx val="10"/>
          <c:order val="5"/>
          <c:tx>
            <c:strRef>
              <c:f>ROSGO!$AK$46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ROSGO!$Z$2:$AD$3</c:f>
              <c:strCache>
                <c:ptCount val="5"/>
                <c:pt idx="0">
                  <c:v>2015-16</c:v>
                </c:pt>
                <c:pt idx="1">
                  <c:v>2016-17</c:v>
                </c:pt>
                <c:pt idx="2">
                  <c:v>2017-18</c:v>
                </c:pt>
                <c:pt idx="3">
                  <c:v>2018-19</c:v>
                </c:pt>
                <c:pt idx="4">
                  <c:v>2019-20</c:v>
                </c:pt>
              </c:strCache>
            </c:strRef>
          </c:cat>
          <c:val>
            <c:numRef>
              <c:f>ROSGO!$AL$46:$AP$46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91B6-43A2-8B95-C89E3387285C}"/>
            </c:ext>
          </c:extLst>
        </c:ser>
        <c:ser>
          <c:idx val="11"/>
          <c:order val="6"/>
          <c:tx>
            <c:strRef>
              <c:f>ROSGO!$AK$47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ROSGO!$Z$2:$AD$3</c:f>
              <c:strCache>
                <c:ptCount val="5"/>
                <c:pt idx="0">
                  <c:v>2015-16</c:v>
                </c:pt>
                <c:pt idx="1">
                  <c:v>2016-17</c:v>
                </c:pt>
                <c:pt idx="2">
                  <c:v>2017-18</c:v>
                </c:pt>
                <c:pt idx="3">
                  <c:v>2018-19</c:v>
                </c:pt>
                <c:pt idx="4">
                  <c:v>2019-20</c:v>
                </c:pt>
              </c:strCache>
            </c:strRef>
          </c:cat>
          <c:val>
            <c:numRef>
              <c:f>ROSGO!$AL$47:$AP$47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91B6-43A2-8B95-C89E3387285C}"/>
            </c:ext>
          </c:extLst>
        </c:ser>
        <c:ser>
          <c:idx val="12"/>
          <c:order val="7"/>
          <c:tx>
            <c:strRef>
              <c:f>ROSGO!$AK$48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ROSGO!$Z$2:$AD$3</c:f>
              <c:strCache>
                <c:ptCount val="5"/>
                <c:pt idx="0">
                  <c:v>2015-16</c:v>
                </c:pt>
                <c:pt idx="1">
                  <c:v>2016-17</c:v>
                </c:pt>
                <c:pt idx="2">
                  <c:v>2017-18</c:v>
                </c:pt>
                <c:pt idx="3">
                  <c:v>2018-19</c:v>
                </c:pt>
                <c:pt idx="4">
                  <c:v>2019-20</c:v>
                </c:pt>
              </c:strCache>
            </c:strRef>
          </c:cat>
          <c:val>
            <c:numRef>
              <c:f>ROSGO!$AL$48:$AP$48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91B6-43A2-8B95-C89E3387285C}"/>
            </c:ext>
          </c:extLst>
        </c:ser>
        <c:ser>
          <c:idx val="13"/>
          <c:order val="8"/>
          <c:tx>
            <c:strRef>
              <c:f>ROSGO!$AK$49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ROSGO!$Z$2:$AD$3</c:f>
              <c:strCache>
                <c:ptCount val="5"/>
                <c:pt idx="0">
                  <c:v>2015-16</c:v>
                </c:pt>
                <c:pt idx="1">
                  <c:v>2016-17</c:v>
                </c:pt>
                <c:pt idx="2">
                  <c:v>2017-18</c:v>
                </c:pt>
                <c:pt idx="3">
                  <c:v>2018-19</c:v>
                </c:pt>
                <c:pt idx="4">
                  <c:v>2019-20</c:v>
                </c:pt>
              </c:strCache>
            </c:strRef>
          </c:cat>
          <c:val>
            <c:numRef>
              <c:f>ROSGO!$AL$49:$AP$49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91B6-43A2-8B95-C89E3387285C}"/>
            </c:ext>
          </c:extLst>
        </c:ser>
        <c:ser>
          <c:idx val="15"/>
          <c:order val="9"/>
          <c:tx>
            <c:strRef>
              <c:f>ROSGO!$AK$50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ROSGO!$Z$2:$AD$3</c:f>
              <c:strCache>
                <c:ptCount val="5"/>
                <c:pt idx="0">
                  <c:v>2015-16</c:v>
                </c:pt>
                <c:pt idx="1">
                  <c:v>2016-17</c:v>
                </c:pt>
                <c:pt idx="2">
                  <c:v>2017-18</c:v>
                </c:pt>
                <c:pt idx="3">
                  <c:v>2018-19</c:v>
                </c:pt>
                <c:pt idx="4">
                  <c:v>2019-20</c:v>
                </c:pt>
              </c:strCache>
            </c:strRef>
          </c:cat>
          <c:val>
            <c:numRef>
              <c:f>ROSGO!$AL$50:$AP$50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91B6-43A2-8B95-C89E3387285C}"/>
            </c:ext>
          </c:extLst>
        </c:ser>
        <c:ser>
          <c:idx val="16"/>
          <c:order val="10"/>
          <c:tx>
            <c:strRef>
              <c:f>ROSGO!$AK$51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ROSGO!$Z$2:$AD$3</c:f>
              <c:strCache>
                <c:ptCount val="5"/>
                <c:pt idx="0">
                  <c:v>2015-16</c:v>
                </c:pt>
                <c:pt idx="1">
                  <c:v>2016-17</c:v>
                </c:pt>
                <c:pt idx="2">
                  <c:v>2017-18</c:v>
                </c:pt>
                <c:pt idx="3">
                  <c:v>2018-19</c:v>
                </c:pt>
                <c:pt idx="4">
                  <c:v>2019-20</c:v>
                </c:pt>
              </c:strCache>
            </c:strRef>
          </c:cat>
          <c:val>
            <c:numRef>
              <c:f>ROSGO!$AL$51:$AP$51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91B6-43A2-8B95-C89E3387285C}"/>
            </c:ext>
          </c:extLst>
        </c:ser>
        <c:ser>
          <c:idx val="17"/>
          <c:order val="11"/>
          <c:tx>
            <c:strRef>
              <c:f>ROSGO!$AK$52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ROSGO!$Z$2:$AD$3</c:f>
              <c:strCache>
                <c:ptCount val="5"/>
                <c:pt idx="0">
                  <c:v>2015-16</c:v>
                </c:pt>
                <c:pt idx="1">
                  <c:v>2016-17</c:v>
                </c:pt>
                <c:pt idx="2">
                  <c:v>2017-18</c:v>
                </c:pt>
                <c:pt idx="3">
                  <c:v>2018-19</c:v>
                </c:pt>
                <c:pt idx="4">
                  <c:v>2019-20</c:v>
                </c:pt>
              </c:strCache>
            </c:strRef>
          </c:cat>
          <c:val>
            <c:numRef>
              <c:f>ROSGO!$AL$52:$AP$52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91B6-43A2-8B95-C89E3387285C}"/>
            </c:ext>
          </c:extLst>
        </c:ser>
        <c:ser>
          <c:idx val="19"/>
          <c:order val="12"/>
          <c:tx>
            <c:strRef>
              <c:f>ROSGO!$AK$53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ROSGO!$Z$2:$AD$3</c:f>
              <c:strCache>
                <c:ptCount val="5"/>
                <c:pt idx="0">
                  <c:v>2015-16</c:v>
                </c:pt>
                <c:pt idx="1">
                  <c:v>2016-17</c:v>
                </c:pt>
                <c:pt idx="2">
                  <c:v>2017-18</c:v>
                </c:pt>
                <c:pt idx="3">
                  <c:v>2018-19</c:v>
                </c:pt>
                <c:pt idx="4">
                  <c:v>2019-20</c:v>
                </c:pt>
              </c:strCache>
            </c:strRef>
          </c:cat>
          <c:val>
            <c:numRef>
              <c:f>ROSGO!$AL$53:$AP$53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91B6-43A2-8B95-C89E3387285C}"/>
            </c:ext>
          </c:extLst>
        </c:ser>
        <c:ser>
          <c:idx val="3"/>
          <c:order val="13"/>
          <c:tx>
            <c:strRef>
              <c:f>ROSGO!$AK$54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ROSGO!$Z$2:$AD$3</c:f>
              <c:strCache>
                <c:ptCount val="5"/>
                <c:pt idx="0">
                  <c:v>2015-16</c:v>
                </c:pt>
                <c:pt idx="1">
                  <c:v>2016-17</c:v>
                </c:pt>
                <c:pt idx="2">
                  <c:v>2017-18</c:v>
                </c:pt>
                <c:pt idx="3">
                  <c:v>2018-19</c:v>
                </c:pt>
                <c:pt idx="4">
                  <c:v>2019-20</c:v>
                </c:pt>
              </c:strCache>
            </c:strRef>
          </c:cat>
          <c:val>
            <c:numRef>
              <c:f>ROSGO!$AL$54:$AP$54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91B6-43A2-8B95-C89E3387285C}"/>
            </c:ext>
          </c:extLst>
        </c:ser>
        <c:ser>
          <c:idx val="20"/>
          <c:order val="14"/>
          <c:tx>
            <c:strRef>
              <c:f>ROSGO!$AK$55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ROSGO!$Z$2:$AD$3</c:f>
              <c:strCache>
                <c:ptCount val="5"/>
                <c:pt idx="0">
                  <c:v>2015-16</c:v>
                </c:pt>
                <c:pt idx="1">
                  <c:v>2016-17</c:v>
                </c:pt>
                <c:pt idx="2">
                  <c:v>2017-18</c:v>
                </c:pt>
                <c:pt idx="3">
                  <c:v>2018-19</c:v>
                </c:pt>
                <c:pt idx="4">
                  <c:v>2019-20</c:v>
                </c:pt>
              </c:strCache>
            </c:strRef>
          </c:cat>
          <c:val>
            <c:numRef>
              <c:f>ROSGO!$AL$55:$AP$55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91B6-43A2-8B95-C89E3387285C}"/>
            </c:ext>
          </c:extLst>
        </c:ser>
        <c:ser>
          <c:idx val="22"/>
          <c:order val="15"/>
          <c:tx>
            <c:strRef>
              <c:f>ROSGO!$AK$56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ROSGO!$Z$2:$AD$3</c:f>
              <c:strCache>
                <c:ptCount val="5"/>
                <c:pt idx="0">
                  <c:v>2015-16</c:v>
                </c:pt>
                <c:pt idx="1">
                  <c:v>2016-17</c:v>
                </c:pt>
                <c:pt idx="2">
                  <c:v>2017-18</c:v>
                </c:pt>
                <c:pt idx="3">
                  <c:v>2018-19</c:v>
                </c:pt>
                <c:pt idx="4">
                  <c:v>2019-20</c:v>
                </c:pt>
              </c:strCache>
            </c:strRef>
          </c:cat>
          <c:val>
            <c:numRef>
              <c:f>ROSGO!$AL$56:$AP$56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91B6-43A2-8B95-C89E3387285C}"/>
            </c:ext>
          </c:extLst>
        </c:ser>
        <c:ser>
          <c:idx val="7"/>
          <c:order val="16"/>
          <c:tx>
            <c:strRef>
              <c:f>ROSGO!$AK$57</c:f>
              <c:strCache>
                <c:ptCount val="1"/>
                <c:pt idx="0">
                  <c:v>Swindon</c:v>
                </c:pt>
              </c:strCache>
            </c:strRef>
          </c:tx>
          <c:spPr>
            <a:ln w="12700"/>
          </c:spPr>
          <c:marker>
            <c:symbol val="triangle"/>
            <c:size val="5"/>
            <c:spPr>
              <a:solidFill>
                <a:schemeClr val="accent2">
                  <a:lumMod val="20000"/>
                  <a:lumOff val="80000"/>
                </a:schemeClr>
              </a:solidFill>
            </c:spPr>
          </c:marker>
          <c:cat>
            <c:strRef>
              <c:f>ROSGO!$Z$2:$AD$3</c:f>
              <c:strCache>
                <c:ptCount val="5"/>
                <c:pt idx="0">
                  <c:v>2015-16</c:v>
                </c:pt>
                <c:pt idx="1">
                  <c:v>2016-17</c:v>
                </c:pt>
                <c:pt idx="2">
                  <c:v>2017-18</c:v>
                </c:pt>
                <c:pt idx="3">
                  <c:v>2018-19</c:v>
                </c:pt>
                <c:pt idx="4">
                  <c:v>2019-20</c:v>
                </c:pt>
              </c:strCache>
            </c:strRef>
          </c:cat>
          <c:val>
            <c:numRef>
              <c:f>ROSGO!$AL$57:$AP$57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91B6-43A2-8B95-C89E3387285C}"/>
            </c:ext>
          </c:extLst>
        </c:ser>
        <c:ser>
          <c:idx val="8"/>
          <c:order val="17"/>
          <c:tx>
            <c:strRef>
              <c:f>ROSGO!$AK$58</c:f>
              <c:strCache>
                <c:ptCount val="1"/>
                <c:pt idx="0">
                  <c:v>Torbay</c:v>
                </c:pt>
              </c:strCache>
            </c:strRef>
          </c:tx>
          <c:spPr>
            <a:ln w="12700"/>
          </c:spPr>
          <c:marker>
            <c:symbol val="circle"/>
            <c:size val="5"/>
            <c:spPr>
              <a:solidFill>
                <a:schemeClr val="accent3">
                  <a:lumMod val="20000"/>
                  <a:lumOff val="80000"/>
                </a:schemeClr>
              </a:solidFill>
            </c:spPr>
          </c:marker>
          <c:cat>
            <c:strRef>
              <c:f>ROSGO!$Z$2:$AD$3</c:f>
              <c:strCache>
                <c:ptCount val="5"/>
                <c:pt idx="0">
                  <c:v>2015-16</c:v>
                </c:pt>
                <c:pt idx="1">
                  <c:v>2016-17</c:v>
                </c:pt>
                <c:pt idx="2">
                  <c:v>2017-18</c:v>
                </c:pt>
                <c:pt idx="3">
                  <c:v>2018-19</c:v>
                </c:pt>
                <c:pt idx="4">
                  <c:v>2019-20</c:v>
                </c:pt>
              </c:strCache>
            </c:strRef>
          </c:cat>
          <c:val>
            <c:numRef>
              <c:f>ROSGO!$AL$58:$AP$58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91B6-43A2-8B95-C89E3387285C}"/>
            </c:ext>
          </c:extLst>
        </c:ser>
        <c:ser>
          <c:idx val="23"/>
          <c:order val="18"/>
          <c:tx>
            <c:strRef>
              <c:f>ROSGO!$AK$59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ROSGO!$Z$2:$AD$3</c:f>
              <c:strCache>
                <c:ptCount val="5"/>
                <c:pt idx="0">
                  <c:v>2015-16</c:v>
                </c:pt>
                <c:pt idx="1">
                  <c:v>2016-17</c:v>
                </c:pt>
                <c:pt idx="2">
                  <c:v>2017-18</c:v>
                </c:pt>
                <c:pt idx="3">
                  <c:v>2018-19</c:v>
                </c:pt>
                <c:pt idx="4">
                  <c:v>2019-20</c:v>
                </c:pt>
              </c:strCache>
            </c:strRef>
          </c:cat>
          <c:val>
            <c:numRef>
              <c:f>ROSGO!$AL$59:$AP$59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91B6-43A2-8B95-C89E3387285C}"/>
            </c:ext>
          </c:extLst>
        </c:ser>
        <c:ser>
          <c:idx val="24"/>
          <c:order val="19"/>
          <c:tx>
            <c:strRef>
              <c:f>ROSGO!$AK$60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ROSGO!$Z$2:$AD$3</c:f>
              <c:strCache>
                <c:ptCount val="5"/>
                <c:pt idx="0">
                  <c:v>2015-16</c:v>
                </c:pt>
                <c:pt idx="1">
                  <c:v>2016-17</c:v>
                </c:pt>
                <c:pt idx="2">
                  <c:v>2017-18</c:v>
                </c:pt>
                <c:pt idx="3">
                  <c:v>2018-19</c:v>
                </c:pt>
                <c:pt idx="4">
                  <c:v>2019-20</c:v>
                </c:pt>
              </c:strCache>
            </c:strRef>
          </c:cat>
          <c:val>
            <c:numRef>
              <c:f>ROSGO!$AL$60:$AP$60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91B6-43A2-8B95-C89E3387285C}"/>
            </c:ext>
          </c:extLst>
        </c:ser>
        <c:ser>
          <c:idx val="25"/>
          <c:order val="20"/>
          <c:tx>
            <c:strRef>
              <c:f>ROSGO!$AK$61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ROSGO!$Z$2:$AD$3</c:f>
              <c:strCache>
                <c:ptCount val="5"/>
                <c:pt idx="0">
                  <c:v>2015-16</c:v>
                </c:pt>
                <c:pt idx="1">
                  <c:v>2016-17</c:v>
                </c:pt>
                <c:pt idx="2">
                  <c:v>2017-18</c:v>
                </c:pt>
                <c:pt idx="3">
                  <c:v>2018-19</c:v>
                </c:pt>
                <c:pt idx="4">
                  <c:v>2019-20</c:v>
                </c:pt>
              </c:strCache>
            </c:strRef>
          </c:cat>
          <c:val>
            <c:numRef>
              <c:f>ROSGO!$AL$61:$AP$61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91B6-43A2-8B95-C89E3387285C}"/>
            </c:ext>
          </c:extLst>
        </c:ser>
        <c:ser>
          <c:idx val="26"/>
          <c:order val="21"/>
          <c:tx>
            <c:strRef>
              <c:f>ROSGO!$AK$62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ROSGO!$Z$2:$AD$3</c:f>
              <c:strCache>
                <c:ptCount val="5"/>
                <c:pt idx="0">
                  <c:v>2015-16</c:v>
                </c:pt>
                <c:pt idx="1">
                  <c:v>2016-17</c:v>
                </c:pt>
                <c:pt idx="2">
                  <c:v>2017-18</c:v>
                </c:pt>
                <c:pt idx="3">
                  <c:v>2018-19</c:v>
                </c:pt>
                <c:pt idx="4">
                  <c:v>2019-20</c:v>
                </c:pt>
              </c:strCache>
            </c:strRef>
          </c:cat>
          <c:val>
            <c:numRef>
              <c:f>ROSGO!$AL$62:$AP$62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91B6-43A2-8B95-C89E3387285C}"/>
            </c:ext>
          </c:extLst>
        </c:ser>
        <c:ser>
          <c:idx val="4"/>
          <c:order val="22"/>
          <c:tx>
            <c:strRef>
              <c:f>ROSGO!$AK$63</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strRef>
              <c:f>ROSGO!$Z$2:$AD$3</c:f>
              <c:strCache>
                <c:ptCount val="5"/>
                <c:pt idx="0">
                  <c:v>2015-16</c:v>
                </c:pt>
                <c:pt idx="1">
                  <c:v>2016-17</c:v>
                </c:pt>
                <c:pt idx="2">
                  <c:v>2017-18</c:v>
                </c:pt>
                <c:pt idx="3">
                  <c:v>2018-19</c:v>
                </c:pt>
                <c:pt idx="4">
                  <c:v>2019-20</c:v>
                </c:pt>
              </c:strCache>
            </c:strRef>
          </c:cat>
          <c:val>
            <c:numRef>
              <c:f>ROSGO!$AL$63:$AP$63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91B6-43A2-8B95-C89E3387285C}"/>
            </c:ext>
          </c:extLst>
        </c:ser>
        <c:ser>
          <c:idx val="6"/>
          <c:order val="23"/>
          <c:tx>
            <c:strRef>
              <c:f>ROSGO!$AK$65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ROSGO!$Z$2:$AD$3</c:f>
              <c:strCache>
                <c:ptCount val="5"/>
                <c:pt idx="0">
                  <c:v>2015-16</c:v>
                </c:pt>
                <c:pt idx="1">
                  <c:v>2016-17</c:v>
                </c:pt>
                <c:pt idx="2">
                  <c:v>2017-18</c:v>
                </c:pt>
                <c:pt idx="3">
                  <c:v>2018-19</c:v>
                </c:pt>
                <c:pt idx="4">
                  <c:v>2019-20</c:v>
                </c:pt>
              </c:strCache>
            </c:strRef>
          </c:cat>
          <c:val>
            <c:numRef>
              <c:f>ROSGO!$AL$65:$AP$65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91B6-43A2-8B95-C89E3387285C}"/>
            </c:ext>
          </c:extLst>
        </c:ser>
        <c:dLbls>
          <c:showLegendKey val="0"/>
          <c:showVal val="0"/>
          <c:showCatName val="0"/>
          <c:showSerName val="0"/>
          <c:showPercent val="0"/>
          <c:showBubbleSize val="0"/>
        </c:dLbls>
        <c:marker val="1"/>
        <c:smooth val="0"/>
        <c:axId val="626148480"/>
        <c:axId val="626150400"/>
      </c:lineChart>
      <c:catAx>
        <c:axId val="626148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150400"/>
        <c:crosses val="autoZero"/>
        <c:auto val="1"/>
        <c:lblAlgn val="ctr"/>
        <c:lblOffset val="100"/>
        <c:tickLblSkip val="1"/>
        <c:tickMarkSkip val="1"/>
        <c:noMultiLvlLbl val="0"/>
      </c:catAx>
      <c:valAx>
        <c:axId val="62615040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148480"/>
        <c:crosses val="autoZero"/>
        <c:crossBetween val="between"/>
      </c:valAx>
      <c:spPr>
        <a:noFill/>
        <a:ln w="3175">
          <a:solidFill>
            <a:srgbClr val="000000"/>
          </a:solidFill>
          <a:prstDash val="solid"/>
        </a:ln>
      </c:spPr>
    </c:plotArea>
    <c:legend>
      <c:legendPos val="r"/>
      <c:layout>
        <c:manualLayout>
          <c:xMode val="edge"/>
          <c:yMode val="edge"/>
          <c:x val="0.67109092691214423"/>
          <c:y val="8.3045595137039102E-2"/>
          <c:w val="0.31566325129860862"/>
          <c:h val="0.893869446931640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Child Arrangement Orders (Selected LA</a:t>
            </a:r>
            <a:r>
              <a:rPr lang="en-GB" baseline="0"/>
              <a:t> vs. SE)</a:t>
            </a:r>
            <a:r>
              <a:rPr lang="en-GB"/>
              <a:t> </a:t>
            </a:r>
          </a:p>
        </c:rich>
      </c:tx>
      <c:layout>
        <c:manualLayout>
          <c:xMode val="edge"/>
          <c:yMode val="edge"/>
          <c:x val="0.12673830541154485"/>
          <c:y val="5.5711786026746658E-3"/>
        </c:manualLayout>
      </c:layout>
      <c:overlay val="0"/>
      <c:spPr>
        <a:noFill/>
        <a:ln w="25400">
          <a:noFill/>
        </a:ln>
      </c:spPr>
    </c:title>
    <c:autoTitleDeleted val="0"/>
    <c:plotArea>
      <c:layout>
        <c:manualLayout>
          <c:layoutTarget val="inner"/>
          <c:xMode val="edge"/>
          <c:yMode val="edge"/>
          <c:x val="7.7870299398415901E-2"/>
          <c:y val="0.21700974878140233"/>
          <c:w val="0.65767821057766007"/>
          <c:h val="0.55264654418197723"/>
        </c:manualLayout>
      </c:layout>
      <c:barChart>
        <c:barDir val="col"/>
        <c:grouping val="clustered"/>
        <c:varyColors val="0"/>
        <c:ser>
          <c:idx val="4"/>
          <c:order val="0"/>
          <c:tx>
            <c:strRef>
              <c:f>ROSGO!$B$33</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ROSGO!$Z$2:$AD$3</c:f>
              <c:strCache>
                <c:ptCount val="5"/>
                <c:pt idx="0">
                  <c:v>2015-16</c:v>
                </c:pt>
                <c:pt idx="1">
                  <c:v>2016-17</c:v>
                </c:pt>
                <c:pt idx="2">
                  <c:v>2017-18</c:v>
                </c:pt>
                <c:pt idx="3">
                  <c:v>2018-19</c:v>
                </c:pt>
                <c:pt idx="4">
                  <c:v>2019-20</c:v>
                </c:pt>
              </c:strCache>
            </c:strRef>
          </c:cat>
          <c:val>
            <c:numRef>
              <c:f>ROSGO!$L$33:$P$33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5FB6-4A25-93F3-3A471C82F9B4}"/>
            </c:ext>
          </c:extLst>
        </c:ser>
        <c:ser>
          <c:idx val="6"/>
          <c:order val="1"/>
          <c:tx>
            <c:strRef>
              <c:f>ROSGO!$Z$4</c:f>
              <c:strCache>
                <c:ptCount val="1"/>
                <c:pt idx="0">
                  <c:v>Selected LA- (none)</c:v>
                </c:pt>
              </c:strCache>
            </c:strRef>
          </c:tx>
          <c:spPr>
            <a:solidFill>
              <a:srgbClr val="66FF99"/>
            </a:solidFill>
            <a:ln>
              <a:solidFill>
                <a:schemeClr val="tx1">
                  <a:lumMod val="75000"/>
                  <a:lumOff val="25000"/>
                </a:schemeClr>
              </a:solidFill>
            </a:ln>
          </c:spPr>
          <c:invertIfNegative val="0"/>
          <c:cat>
            <c:strRef>
              <c:f>ROSGO!$Z$2:$AD$3</c:f>
              <c:strCache>
                <c:ptCount val="5"/>
                <c:pt idx="0">
                  <c:v>2015-16</c:v>
                </c:pt>
                <c:pt idx="1">
                  <c:v>2016-17</c:v>
                </c:pt>
                <c:pt idx="2">
                  <c:v>2017-18</c:v>
                </c:pt>
                <c:pt idx="3">
                  <c:v>2018-19</c:v>
                </c:pt>
                <c:pt idx="4">
                  <c:v>2019-20</c:v>
                </c:pt>
              </c:strCache>
            </c:strRef>
          </c:cat>
          <c:val>
            <c:numRef>
              <c:f>ROSGO!$AL$65:$AP$65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5FB6-4A25-93F3-3A471C82F9B4}"/>
            </c:ext>
          </c:extLst>
        </c:ser>
        <c:dLbls>
          <c:showLegendKey val="0"/>
          <c:showVal val="0"/>
          <c:showCatName val="0"/>
          <c:showSerName val="0"/>
          <c:showPercent val="0"/>
          <c:showBubbleSize val="0"/>
        </c:dLbls>
        <c:gapWidth val="150"/>
        <c:axId val="626171264"/>
        <c:axId val="626185344"/>
      </c:barChart>
      <c:catAx>
        <c:axId val="626171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185344"/>
        <c:crosses val="autoZero"/>
        <c:auto val="1"/>
        <c:lblAlgn val="ctr"/>
        <c:lblOffset val="100"/>
        <c:noMultiLvlLbl val="0"/>
      </c:catAx>
      <c:valAx>
        <c:axId val="62618534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171264"/>
        <c:crosses val="autoZero"/>
        <c:crossBetween val="between"/>
      </c:valAx>
      <c:spPr>
        <a:noFill/>
        <a:ln w="3175">
          <a:solidFill>
            <a:srgbClr val="000000"/>
          </a:solidFill>
          <a:prstDash val="solid"/>
        </a:ln>
      </c:spPr>
    </c:plotArea>
    <c:legend>
      <c:legendPos val="r"/>
      <c:layout>
        <c:manualLayout>
          <c:xMode val="edge"/>
          <c:yMode val="edge"/>
          <c:x val="0.75368685109051636"/>
          <c:y val="0.23342144731908512"/>
          <c:w val="0.2061168791954103"/>
          <c:h val="0.766578552680914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effectLst/>
              </a:rPr>
              <a:t>Rate of Children subject to Special Guardianship Orders </a:t>
            </a:r>
            <a:r>
              <a:rPr lang="en-GB"/>
              <a:t>(Selected LA</a:t>
            </a:r>
            <a:r>
              <a:rPr lang="en-GB" baseline="0"/>
              <a:t> vs. SE)</a:t>
            </a:r>
            <a:r>
              <a:rPr lang="en-GB"/>
              <a:t> </a:t>
            </a:r>
          </a:p>
        </c:rich>
      </c:tx>
      <c:layout>
        <c:manualLayout>
          <c:xMode val="edge"/>
          <c:yMode val="edge"/>
          <c:x val="0.11348082595870207"/>
          <c:y val="5.5712649178521192E-3"/>
        </c:manualLayout>
      </c:layout>
      <c:overlay val="0"/>
      <c:spPr>
        <a:noFill/>
        <a:ln w="25400">
          <a:noFill/>
        </a:ln>
      </c:spPr>
    </c:title>
    <c:autoTitleDeleted val="0"/>
    <c:plotArea>
      <c:layout>
        <c:manualLayout>
          <c:layoutTarget val="inner"/>
          <c:xMode val="edge"/>
          <c:yMode val="edge"/>
          <c:x val="7.7870299398415901E-2"/>
          <c:y val="0.21784526934133233"/>
          <c:w val="0.65767821057766007"/>
          <c:h val="0.54531558555180604"/>
        </c:manualLayout>
      </c:layout>
      <c:barChart>
        <c:barDir val="col"/>
        <c:grouping val="clustered"/>
        <c:varyColors val="0"/>
        <c:ser>
          <c:idx val="4"/>
          <c:order val="0"/>
          <c:tx>
            <c:strRef>
              <c:f>ROSGO!$B$33</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ROSGO!$L$9:$Q$9</c:f>
              <c:strCache>
                <c:ptCount val="5"/>
                <c:pt idx="0">
                  <c:v>2015-16</c:v>
                </c:pt>
                <c:pt idx="1">
                  <c:v>2016-17</c:v>
                </c:pt>
                <c:pt idx="2">
                  <c:v>2017-18</c:v>
                </c:pt>
                <c:pt idx="3">
                  <c:v>2018-19</c:v>
                </c:pt>
                <c:pt idx="4">
                  <c:v>2019-20</c:v>
                </c:pt>
              </c:strCache>
            </c:strRef>
          </c:cat>
          <c:val>
            <c:numRef>
              <c:f>ROSGO!$L$140:$P$140</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3F33-4070-90F5-B3C45C328BA6}"/>
            </c:ext>
          </c:extLst>
        </c:ser>
        <c:ser>
          <c:idx val="6"/>
          <c:order val="1"/>
          <c:tx>
            <c:strRef>
              <c:f>ROSGO!$Z$4</c:f>
              <c:strCache>
                <c:ptCount val="1"/>
                <c:pt idx="0">
                  <c:v>Selected LA- (none)</c:v>
                </c:pt>
              </c:strCache>
            </c:strRef>
          </c:tx>
          <c:spPr>
            <a:solidFill>
              <a:srgbClr val="66FF99"/>
            </a:solidFill>
            <a:ln>
              <a:solidFill>
                <a:schemeClr val="tx1">
                  <a:lumMod val="75000"/>
                  <a:lumOff val="25000"/>
                </a:schemeClr>
              </a:solidFill>
            </a:ln>
          </c:spPr>
          <c:invertIfNegative val="0"/>
          <c:cat>
            <c:strRef>
              <c:f>ROSGO!$L$9:$Q$9</c:f>
              <c:strCache>
                <c:ptCount val="5"/>
                <c:pt idx="0">
                  <c:v>2015-16</c:v>
                </c:pt>
                <c:pt idx="1">
                  <c:v>2016-17</c:v>
                </c:pt>
                <c:pt idx="2">
                  <c:v>2017-18</c:v>
                </c:pt>
                <c:pt idx="3">
                  <c:v>2018-19</c:v>
                </c:pt>
                <c:pt idx="4">
                  <c:v>2019-20</c:v>
                </c:pt>
              </c:strCache>
            </c:strRef>
          </c:cat>
          <c:val>
            <c:numRef>
              <c:f>ROSGO!$AL$172:$AP$172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3F33-4070-90F5-B3C45C328BA6}"/>
            </c:ext>
          </c:extLst>
        </c:ser>
        <c:dLbls>
          <c:showLegendKey val="0"/>
          <c:showVal val="0"/>
          <c:showCatName val="0"/>
          <c:showSerName val="0"/>
          <c:showPercent val="0"/>
          <c:showBubbleSize val="0"/>
        </c:dLbls>
        <c:gapWidth val="150"/>
        <c:axId val="640776064"/>
        <c:axId val="640777600"/>
      </c:barChart>
      <c:catAx>
        <c:axId val="640776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0777600"/>
        <c:crosses val="autoZero"/>
        <c:auto val="1"/>
        <c:lblAlgn val="ctr"/>
        <c:lblOffset val="100"/>
        <c:noMultiLvlLbl val="0"/>
      </c:catAx>
      <c:valAx>
        <c:axId val="64077760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0776064"/>
        <c:crosses val="autoZero"/>
        <c:crossBetween val="between"/>
      </c:valAx>
      <c:spPr>
        <a:noFill/>
        <a:ln w="3175">
          <a:solidFill>
            <a:srgbClr val="000000"/>
          </a:solidFill>
          <a:prstDash val="solid"/>
        </a:ln>
      </c:spPr>
    </c:plotArea>
    <c:legend>
      <c:legendPos val="r"/>
      <c:layout>
        <c:manualLayout>
          <c:xMode val="edge"/>
          <c:yMode val="edge"/>
          <c:x val="0.75368685109051636"/>
          <c:y val="0.17953653819588342"/>
          <c:w val="0.2061168791954103"/>
          <c:h val="0.718687978373960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Special Guardianship Orders, per 10,000 0-17 year olds</a:t>
            </a:r>
          </a:p>
        </c:rich>
      </c:tx>
      <c:layout>
        <c:manualLayout>
          <c:xMode val="edge"/>
          <c:yMode val="edge"/>
          <c:x val="0.10471364719577417"/>
          <c:y val="1.2538108693713617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80919853383"/>
        </c:manualLayout>
      </c:layout>
      <c:lineChart>
        <c:grouping val="standard"/>
        <c:varyColors val="0"/>
        <c:ser>
          <c:idx val="0"/>
          <c:order val="0"/>
          <c:tx>
            <c:strRef>
              <c:f>ROSGO!$AK$148</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4503-4780-8EFF-E2790124FFD6}"/>
              </c:ext>
            </c:extLst>
          </c:dPt>
          <c:cat>
            <c:strRef>
              <c:f>ROSGO!$Z$2:$AD$3</c:f>
              <c:strCache>
                <c:ptCount val="5"/>
                <c:pt idx="0">
                  <c:v>2015-16</c:v>
                </c:pt>
                <c:pt idx="1">
                  <c:v>2016-17</c:v>
                </c:pt>
                <c:pt idx="2">
                  <c:v>2017-18</c:v>
                </c:pt>
                <c:pt idx="3">
                  <c:v>2018-19</c:v>
                </c:pt>
                <c:pt idx="4">
                  <c:v>2019-20</c:v>
                </c:pt>
              </c:strCache>
            </c:strRef>
          </c:cat>
          <c:val>
            <c:numRef>
              <c:f>ROSGO!$AL$148:$AP$148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503-4780-8EFF-E2790124FFD6}"/>
            </c:ext>
          </c:extLst>
        </c:ser>
        <c:ser>
          <c:idx val="1"/>
          <c:order val="1"/>
          <c:tx>
            <c:strRef>
              <c:f>ROSGO!$AK$149</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ROSGO!$Z$2:$AD$3</c:f>
              <c:strCache>
                <c:ptCount val="5"/>
                <c:pt idx="0">
                  <c:v>2015-16</c:v>
                </c:pt>
                <c:pt idx="1">
                  <c:v>2016-17</c:v>
                </c:pt>
                <c:pt idx="2">
                  <c:v>2017-18</c:v>
                </c:pt>
                <c:pt idx="3">
                  <c:v>2018-19</c:v>
                </c:pt>
                <c:pt idx="4">
                  <c:v>2019-20</c:v>
                </c:pt>
              </c:strCache>
            </c:strRef>
          </c:cat>
          <c:val>
            <c:numRef>
              <c:f>ROSGO!$AL$149:$AP$149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4503-4780-8EFF-E2790124FFD6}"/>
            </c:ext>
          </c:extLst>
        </c:ser>
        <c:ser>
          <c:idx val="2"/>
          <c:order val="2"/>
          <c:tx>
            <c:strRef>
              <c:f>ROSGO!$AK$150</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ROSGO!$Z$2:$AD$3</c:f>
              <c:strCache>
                <c:ptCount val="5"/>
                <c:pt idx="0">
                  <c:v>2015-16</c:v>
                </c:pt>
                <c:pt idx="1">
                  <c:v>2016-17</c:v>
                </c:pt>
                <c:pt idx="2">
                  <c:v>2017-18</c:v>
                </c:pt>
                <c:pt idx="3">
                  <c:v>2018-19</c:v>
                </c:pt>
                <c:pt idx="4">
                  <c:v>2019-20</c:v>
                </c:pt>
              </c:strCache>
            </c:strRef>
          </c:cat>
          <c:val>
            <c:numRef>
              <c:f>ROSGO!$AL$150:$AP$150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4503-4780-8EFF-E2790124FFD6}"/>
            </c:ext>
          </c:extLst>
        </c:ser>
        <c:ser>
          <c:idx val="5"/>
          <c:order val="3"/>
          <c:tx>
            <c:strRef>
              <c:f>ROSGO!$AK$151</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ROSGO!$Z$2:$AD$3</c:f>
              <c:strCache>
                <c:ptCount val="5"/>
                <c:pt idx="0">
                  <c:v>2015-16</c:v>
                </c:pt>
                <c:pt idx="1">
                  <c:v>2016-17</c:v>
                </c:pt>
                <c:pt idx="2">
                  <c:v>2017-18</c:v>
                </c:pt>
                <c:pt idx="3">
                  <c:v>2018-19</c:v>
                </c:pt>
                <c:pt idx="4">
                  <c:v>2019-20</c:v>
                </c:pt>
              </c:strCache>
            </c:strRef>
          </c:cat>
          <c:val>
            <c:numRef>
              <c:f>ROSGO!$AL$151:$AP$151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4503-4780-8EFF-E2790124FFD6}"/>
            </c:ext>
          </c:extLst>
        </c:ser>
        <c:ser>
          <c:idx val="9"/>
          <c:order val="4"/>
          <c:tx>
            <c:strRef>
              <c:f>ROSGO!$AK$152</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ROSGO!$Z$2:$AD$3</c:f>
              <c:strCache>
                <c:ptCount val="5"/>
                <c:pt idx="0">
                  <c:v>2015-16</c:v>
                </c:pt>
                <c:pt idx="1">
                  <c:v>2016-17</c:v>
                </c:pt>
                <c:pt idx="2">
                  <c:v>2017-18</c:v>
                </c:pt>
                <c:pt idx="3">
                  <c:v>2018-19</c:v>
                </c:pt>
                <c:pt idx="4">
                  <c:v>2019-20</c:v>
                </c:pt>
              </c:strCache>
            </c:strRef>
          </c:cat>
          <c:val>
            <c:numRef>
              <c:f>ROSGO!$AL$152:$AP$152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4503-4780-8EFF-E2790124FFD6}"/>
            </c:ext>
          </c:extLst>
        </c:ser>
        <c:ser>
          <c:idx val="10"/>
          <c:order val="5"/>
          <c:tx>
            <c:strRef>
              <c:f>ROSGO!$AK$153</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ROSGO!$Z$2:$AD$3</c:f>
              <c:strCache>
                <c:ptCount val="5"/>
                <c:pt idx="0">
                  <c:v>2015-16</c:v>
                </c:pt>
                <c:pt idx="1">
                  <c:v>2016-17</c:v>
                </c:pt>
                <c:pt idx="2">
                  <c:v>2017-18</c:v>
                </c:pt>
                <c:pt idx="3">
                  <c:v>2018-19</c:v>
                </c:pt>
                <c:pt idx="4">
                  <c:v>2019-20</c:v>
                </c:pt>
              </c:strCache>
            </c:strRef>
          </c:cat>
          <c:val>
            <c:numRef>
              <c:f>ROSGO!$AL$153:$AP$153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4503-4780-8EFF-E2790124FFD6}"/>
            </c:ext>
          </c:extLst>
        </c:ser>
        <c:ser>
          <c:idx val="11"/>
          <c:order val="6"/>
          <c:tx>
            <c:strRef>
              <c:f>ROSGO!$AK$154</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ROSGO!$Z$2:$AD$3</c:f>
              <c:strCache>
                <c:ptCount val="5"/>
                <c:pt idx="0">
                  <c:v>2015-16</c:v>
                </c:pt>
                <c:pt idx="1">
                  <c:v>2016-17</c:v>
                </c:pt>
                <c:pt idx="2">
                  <c:v>2017-18</c:v>
                </c:pt>
                <c:pt idx="3">
                  <c:v>2018-19</c:v>
                </c:pt>
                <c:pt idx="4">
                  <c:v>2019-20</c:v>
                </c:pt>
              </c:strCache>
            </c:strRef>
          </c:cat>
          <c:val>
            <c:numRef>
              <c:f>ROSGO!$AL$154:$AP$154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4503-4780-8EFF-E2790124FFD6}"/>
            </c:ext>
          </c:extLst>
        </c:ser>
        <c:ser>
          <c:idx val="12"/>
          <c:order val="7"/>
          <c:tx>
            <c:strRef>
              <c:f>ROSGO!$AK$155</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ROSGO!$Z$2:$AD$3</c:f>
              <c:strCache>
                <c:ptCount val="5"/>
                <c:pt idx="0">
                  <c:v>2015-16</c:v>
                </c:pt>
                <c:pt idx="1">
                  <c:v>2016-17</c:v>
                </c:pt>
                <c:pt idx="2">
                  <c:v>2017-18</c:v>
                </c:pt>
                <c:pt idx="3">
                  <c:v>2018-19</c:v>
                </c:pt>
                <c:pt idx="4">
                  <c:v>2019-20</c:v>
                </c:pt>
              </c:strCache>
            </c:strRef>
          </c:cat>
          <c:val>
            <c:numRef>
              <c:f>ROSGO!$AL$155:$AP$155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4503-4780-8EFF-E2790124FFD6}"/>
            </c:ext>
          </c:extLst>
        </c:ser>
        <c:ser>
          <c:idx val="13"/>
          <c:order val="8"/>
          <c:tx>
            <c:strRef>
              <c:f>ROSGO!$AK$156</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ROSGO!$Z$2:$AD$3</c:f>
              <c:strCache>
                <c:ptCount val="5"/>
                <c:pt idx="0">
                  <c:v>2015-16</c:v>
                </c:pt>
                <c:pt idx="1">
                  <c:v>2016-17</c:v>
                </c:pt>
                <c:pt idx="2">
                  <c:v>2017-18</c:v>
                </c:pt>
                <c:pt idx="3">
                  <c:v>2018-19</c:v>
                </c:pt>
                <c:pt idx="4">
                  <c:v>2019-20</c:v>
                </c:pt>
              </c:strCache>
            </c:strRef>
          </c:cat>
          <c:val>
            <c:numRef>
              <c:f>ROSGO!$AL$156:$AP$156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4503-4780-8EFF-E2790124FFD6}"/>
            </c:ext>
          </c:extLst>
        </c:ser>
        <c:ser>
          <c:idx val="15"/>
          <c:order val="9"/>
          <c:tx>
            <c:strRef>
              <c:f>ROSGO!$AK$157</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ROSGO!$Z$2:$AD$3</c:f>
              <c:strCache>
                <c:ptCount val="5"/>
                <c:pt idx="0">
                  <c:v>2015-16</c:v>
                </c:pt>
                <c:pt idx="1">
                  <c:v>2016-17</c:v>
                </c:pt>
                <c:pt idx="2">
                  <c:v>2017-18</c:v>
                </c:pt>
                <c:pt idx="3">
                  <c:v>2018-19</c:v>
                </c:pt>
                <c:pt idx="4">
                  <c:v>2019-20</c:v>
                </c:pt>
              </c:strCache>
            </c:strRef>
          </c:cat>
          <c:val>
            <c:numRef>
              <c:f>ROSGO!$AL$157:$AP$157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4503-4780-8EFF-E2790124FFD6}"/>
            </c:ext>
          </c:extLst>
        </c:ser>
        <c:ser>
          <c:idx val="16"/>
          <c:order val="10"/>
          <c:tx>
            <c:strRef>
              <c:f>ROSGO!$AK$158</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ROSGO!$Z$2:$AD$3</c:f>
              <c:strCache>
                <c:ptCount val="5"/>
                <c:pt idx="0">
                  <c:v>2015-16</c:v>
                </c:pt>
                <c:pt idx="1">
                  <c:v>2016-17</c:v>
                </c:pt>
                <c:pt idx="2">
                  <c:v>2017-18</c:v>
                </c:pt>
                <c:pt idx="3">
                  <c:v>2018-19</c:v>
                </c:pt>
                <c:pt idx="4">
                  <c:v>2019-20</c:v>
                </c:pt>
              </c:strCache>
            </c:strRef>
          </c:cat>
          <c:val>
            <c:numRef>
              <c:f>ROSGO!$AL$158:$AP$158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4503-4780-8EFF-E2790124FFD6}"/>
            </c:ext>
          </c:extLst>
        </c:ser>
        <c:ser>
          <c:idx val="17"/>
          <c:order val="11"/>
          <c:tx>
            <c:strRef>
              <c:f>ROSGO!$AK$159</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ROSGO!$Z$2:$AD$3</c:f>
              <c:strCache>
                <c:ptCount val="5"/>
                <c:pt idx="0">
                  <c:v>2015-16</c:v>
                </c:pt>
                <c:pt idx="1">
                  <c:v>2016-17</c:v>
                </c:pt>
                <c:pt idx="2">
                  <c:v>2017-18</c:v>
                </c:pt>
                <c:pt idx="3">
                  <c:v>2018-19</c:v>
                </c:pt>
                <c:pt idx="4">
                  <c:v>2019-20</c:v>
                </c:pt>
              </c:strCache>
            </c:strRef>
          </c:cat>
          <c:val>
            <c:numRef>
              <c:f>ROSGO!$AL$159:$AP$159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4503-4780-8EFF-E2790124FFD6}"/>
            </c:ext>
          </c:extLst>
        </c:ser>
        <c:ser>
          <c:idx val="19"/>
          <c:order val="12"/>
          <c:tx>
            <c:strRef>
              <c:f>ROSGO!$AK$160</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ROSGO!$Z$2:$AD$3</c:f>
              <c:strCache>
                <c:ptCount val="5"/>
                <c:pt idx="0">
                  <c:v>2015-16</c:v>
                </c:pt>
                <c:pt idx="1">
                  <c:v>2016-17</c:v>
                </c:pt>
                <c:pt idx="2">
                  <c:v>2017-18</c:v>
                </c:pt>
                <c:pt idx="3">
                  <c:v>2018-19</c:v>
                </c:pt>
                <c:pt idx="4">
                  <c:v>2019-20</c:v>
                </c:pt>
              </c:strCache>
            </c:strRef>
          </c:cat>
          <c:val>
            <c:numRef>
              <c:f>ROSGO!$AL$160:$AP$160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4503-4780-8EFF-E2790124FFD6}"/>
            </c:ext>
          </c:extLst>
        </c:ser>
        <c:ser>
          <c:idx val="3"/>
          <c:order val="13"/>
          <c:tx>
            <c:strRef>
              <c:f>ROSGO!$AK$161</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ROSGO!$Z$2:$AD$3</c:f>
              <c:strCache>
                <c:ptCount val="5"/>
                <c:pt idx="0">
                  <c:v>2015-16</c:v>
                </c:pt>
                <c:pt idx="1">
                  <c:v>2016-17</c:v>
                </c:pt>
                <c:pt idx="2">
                  <c:v>2017-18</c:v>
                </c:pt>
                <c:pt idx="3">
                  <c:v>2018-19</c:v>
                </c:pt>
                <c:pt idx="4">
                  <c:v>2019-20</c:v>
                </c:pt>
              </c:strCache>
            </c:strRef>
          </c:cat>
          <c:val>
            <c:numRef>
              <c:f>ROSGO!$AL$161:$AP$161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4503-4780-8EFF-E2790124FFD6}"/>
            </c:ext>
          </c:extLst>
        </c:ser>
        <c:ser>
          <c:idx val="20"/>
          <c:order val="14"/>
          <c:tx>
            <c:strRef>
              <c:f>ROSGO!$AK$162</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ROSGO!$Z$2:$AD$3</c:f>
              <c:strCache>
                <c:ptCount val="5"/>
                <c:pt idx="0">
                  <c:v>2015-16</c:v>
                </c:pt>
                <c:pt idx="1">
                  <c:v>2016-17</c:v>
                </c:pt>
                <c:pt idx="2">
                  <c:v>2017-18</c:v>
                </c:pt>
                <c:pt idx="3">
                  <c:v>2018-19</c:v>
                </c:pt>
                <c:pt idx="4">
                  <c:v>2019-20</c:v>
                </c:pt>
              </c:strCache>
            </c:strRef>
          </c:cat>
          <c:val>
            <c:numRef>
              <c:f>ROSGO!$AL$162:$AP$162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4503-4780-8EFF-E2790124FFD6}"/>
            </c:ext>
          </c:extLst>
        </c:ser>
        <c:ser>
          <c:idx val="22"/>
          <c:order val="15"/>
          <c:tx>
            <c:strRef>
              <c:f>ROSGO!$AK$163</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ROSGO!$Z$2:$AD$3</c:f>
              <c:strCache>
                <c:ptCount val="5"/>
                <c:pt idx="0">
                  <c:v>2015-16</c:v>
                </c:pt>
                <c:pt idx="1">
                  <c:v>2016-17</c:v>
                </c:pt>
                <c:pt idx="2">
                  <c:v>2017-18</c:v>
                </c:pt>
                <c:pt idx="3">
                  <c:v>2018-19</c:v>
                </c:pt>
                <c:pt idx="4">
                  <c:v>2019-20</c:v>
                </c:pt>
              </c:strCache>
            </c:strRef>
          </c:cat>
          <c:val>
            <c:numRef>
              <c:f>ROSGO!$AL$163:$AP$163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4503-4780-8EFF-E2790124FFD6}"/>
            </c:ext>
          </c:extLst>
        </c:ser>
        <c:ser>
          <c:idx val="7"/>
          <c:order val="16"/>
          <c:tx>
            <c:strRef>
              <c:f>ROSGO!$AK$164</c:f>
              <c:strCache>
                <c:ptCount val="1"/>
                <c:pt idx="0">
                  <c:v>Swindon</c:v>
                </c:pt>
              </c:strCache>
            </c:strRef>
          </c:tx>
          <c:spPr>
            <a:ln w="12700"/>
          </c:spPr>
          <c:marker>
            <c:symbol val="triangle"/>
            <c:size val="5"/>
            <c:spPr>
              <a:solidFill>
                <a:schemeClr val="accent2">
                  <a:lumMod val="20000"/>
                  <a:lumOff val="80000"/>
                </a:schemeClr>
              </a:solidFill>
            </c:spPr>
          </c:marker>
          <c:cat>
            <c:strRef>
              <c:f>ROSGO!$Z$2:$AD$3</c:f>
              <c:strCache>
                <c:ptCount val="5"/>
                <c:pt idx="0">
                  <c:v>2015-16</c:v>
                </c:pt>
                <c:pt idx="1">
                  <c:v>2016-17</c:v>
                </c:pt>
                <c:pt idx="2">
                  <c:v>2017-18</c:v>
                </c:pt>
                <c:pt idx="3">
                  <c:v>2018-19</c:v>
                </c:pt>
                <c:pt idx="4">
                  <c:v>2019-20</c:v>
                </c:pt>
              </c:strCache>
            </c:strRef>
          </c:cat>
          <c:val>
            <c:numRef>
              <c:f>ROSGO!$AL$164:$AP$164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4503-4780-8EFF-E2790124FFD6}"/>
            </c:ext>
          </c:extLst>
        </c:ser>
        <c:ser>
          <c:idx val="8"/>
          <c:order val="17"/>
          <c:tx>
            <c:strRef>
              <c:f>ROSGO!$AK$165</c:f>
              <c:strCache>
                <c:ptCount val="1"/>
                <c:pt idx="0">
                  <c:v>Torbay</c:v>
                </c:pt>
              </c:strCache>
            </c:strRef>
          </c:tx>
          <c:spPr>
            <a:ln w="12700"/>
          </c:spPr>
          <c:marker>
            <c:symbol val="circle"/>
            <c:size val="5"/>
            <c:spPr>
              <a:solidFill>
                <a:schemeClr val="accent3">
                  <a:lumMod val="20000"/>
                  <a:lumOff val="80000"/>
                </a:schemeClr>
              </a:solidFill>
            </c:spPr>
          </c:marker>
          <c:cat>
            <c:strRef>
              <c:f>ROSGO!$Z$2:$AD$3</c:f>
              <c:strCache>
                <c:ptCount val="5"/>
                <c:pt idx="0">
                  <c:v>2015-16</c:v>
                </c:pt>
                <c:pt idx="1">
                  <c:v>2016-17</c:v>
                </c:pt>
                <c:pt idx="2">
                  <c:v>2017-18</c:v>
                </c:pt>
                <c:pt idx="3">
                  <c:v>2018-19</c:v>
                </c:pt>
                <c:pt idx="4">
                  <c:v>2019-20</c:v>
                </c:pt>
              </c:strCache>
            </c:strRef>
          </c:cat>
          <c:val>
            <c:numRef>
              <c:f>ROSGO!$AL$165:$AP$165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4503-4780-8EFF-E2790124FFD6}"/>
            </c:ext>
          </c:extLst>
        </c:ser>
        <c:ser>
          <c:idx val="23"/>
          <c:order val="18"/>
          <c:tx>
            <c:strRef>
              <c:f>ROSGO!$AK$166</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ROSGO!$Z$2:$AD$3</c:f>
              <c:strCache>
                <c:ptCount val="5"/>
                <c:pt idx="0">
                  <c:v>2015-16</c:v>
                </c:pt>
                <c:pt idx="1">
                  <c:v>2016-17</c:v>
                </c:pt>
                <c:pt idx="2">
                  <c:v>2017-18</c:v>
                </c:pt>
                <c:pt idx="3">
                  <c:v>2018-19</c:v>
                </c:pt>
                <c:pt idx="4">
                  <c:v>2019-20</c:v>
                </c:pt>
              </c:strCache>
            </c:strRef>
          </c:cat>
          <c:val>
            <c:numRef>
              <c:f>ROSGO!$AL$166:$AP$166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4503-4780-8EFF-E2790124FFD6}"/>
            </c:ext>
          </c:extLst>
        </c:ser>
        <c:ser>
          <c:idx val="24"/>
          <c:order val="19"/>
          <c:tx>
            <c:strRef>
              <c:f>ROSGO!$AK$167</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ROSGO!$Z$2:$AD$3</c:f>
              <c:strCache>
                <c:ptCount val="5"/>
                <c:pt idx="0">
                  <c:v>2015-16</c:v>
                </c:pt>
                <c:pt idx="1">
                  <c:v>2016-17</c:v>
                </c:pt>
                <c:pt idx="2">
                  <c:v>2017-18</c:v>
                </c:pt>
                <c:pt idx="3">
                  <c:v>2018-19</c:v>
                </c:pt>
                <c:pt idx="4">
                  <c:v>2019-20</c:v>
                </c:pt>
              </c:strCache>
            </c:strRef>
          </c:cat>
          <c:val>
            <c:numRef>
              <c:f>ROSGO!$AL$167:$AP$167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4503-4780-8EFF-E2790124FFD6}"/>
            </c:ext>
          </c:extLst>
        </c:ser>
        <c:ser>
          <c:idx val="25"/>
          <c:order val="20"/>
          <c:tx>
            <c:strRef>
              <c:f>ROSGO!$AK$168</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ROSGO!$Z$2:$AD$3</c:f>
              <c:strCache>
                <c:ptCount val="5"/>
                <c:pt idx="0">
                  <c:v>2015-16</c:v>
                </c:pt>
                <c:pt idx="1">
                  <c:v>2016-17</c:v>
                </c:pt>
                <c:pt idx="2">
                  <c:v>2017-18</c:v>
                </c:pt>
                <c:pt idx="3">
                  <c:v>2018-19</c:v>
                </c:pt>
                <c:pt idx="4">
                  <c:v>2019-20</c:v>
                </c:pt>
              </c:strCache>
            </c:strRef>
          </c:cat>
          <c:val>
            <c:numRef>
              <c:f>ROSGO!$AL$168:$AP$168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4503-4780-8EFF-E2790124FFD6}"/>
            </c:ext>
          </c:extLst>
        </c:ser>
        <c:ser>
          <c:idx val="26"/>
          <c:order val="21"/>
          <c:tx>
            <c:strRef>
              <c:f>ROSGO!$AK$169</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ROSGO!$Z$2:$AD$3</c:f>
              <c:strCache>
                <c:ptCount val="5"/>
                <c:pt idx="0">
                  <c:v>2015-16</c:v>
                </c:pt>
                <c:pt idx="1">
                  <c:v>2016-17</c:v>
                </c:pt>
                <c:pt idx="2">
                  <c:v>2017-18</c:v>
                </c:pt>
                <c:pt idx="3">
                  <c:v>2018-19</c:v>
                </c:pt>
                <c:pt idx="4">
                  <c:v>2019-20</c:v>
                </c:pt>
              </c:strCache>
            </c:strRef>
          </c:cat>
          <c:val>
            <c:numRef>
              <c:f>ROSGO!$AL$169:$AP$169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4503-4780-8EFF-E2790124FFD6}"/>
            </c:ext>
          </c:extLst>
        </c:ser>
        <c:ser>
          <c:idx val="4"/>
          <c:order val="22"/>
          <c:tx>
            <c:strRef>
              <c:f>ROSGO!$AK$170</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strRef>
              <c:f>ROSGO!$Z$2:$AD$3</c:f>
              <c:strCache>
                <c:ptCount val="5"/>
                <c:pt idx="0">
                  <c:v>2015-16</c:v>
                </c:pt>
                <c:pt idx="1">
                  <c:v>2016-17</c:v>
                </c:pt>
                <c:pt idx="2">
                  <c:v>2017-18</c:v>
                </c:pt>
                <c:pt idx="3">
                  <c:v>2018-19</c:v>
                </c:pt>
                <c:pt idx="4">
                  <c:v>2019-20</c:v>
                </c:pt>
              </c:strCache>
            </c:strRef>
          </c:cat>
          <c:val>
            <c:numRef>
              <c:f>ROSGO!$AL$170:$AP$170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4503-4780-8EFF-E2790124FFD6}"/>
            </c:ext>
          </c:extLst>
        </c:ser>
        <c:ser>
          <c:idx val="6"/>
          <c:order val="23"/>
          <c:tx>
            <c:strRef>
              <c:f>ROSGO!$AK$172</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ROSGO!$Z$2:$AD$3</c:f>
              <c:strCache>
                <c:ptCount val="5"/>
                <c:pt idx="0">
                  <c:v>2015-16</c:v>
                </c:pt>
                <c:pt idx="1">
                  <c:v>2016-17</c:v>
                </c:pt>
                <c:pt idx="2">
                  <c:v>2017-18</c:v>
                </c:pt>
                <c:pt idx="3">
                  <c:v>2018-19</c:v>
                </c:pt>
                <c:pt idx="4">
                  <c:v>2019-20</c:v>
                </c:pt>
              </c:strCache>
            </c:strRef>
          </c:cat>
          <c:val>
            <c:numRef>
              <c:f>ROSGO!$AL$172:$AP$172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4503-4780-8EFF-E2790124FFD6}"/>
            </c:ext>
          </c:extLst>
        </c:ser>
        <c:dLbls>
          <c:showLegendKey val="0"/>
          <c:showVal val="0"/>
          <c:showCatName val="0"/>
          <c:showSerName val="0"/>
          <c:showPercent val="0"/>
          <c:showBubbleSize val="0"/>
        </c:dLbls>
        <c:marker val="1"/>
        <c:smooth val="0"/>
        <c:axId val="641410560"/>
        <c:axId val="641412480"/>
      </c:lineChart>
      <c:catAx>
        <c:axId val="641410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412480"/>
        <c:crosses val="autoZero"/>
        <c:auto val="1"/>
        <c:lblAlgn val="ctr"/>
        <c:lblOffset val="100"/>
        <c:tickLblSkip val="1"/>
        <c:tickMarkSkip val="1"/>
        <c:noMultiLvlLbl val="0"/>
      </c:catAx>
      <c:valAx>
        <c:axId val="6414124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410560"/>
        <c:crosses val="autoZero"/>
        <c:crossBetween val="between"/>
      </c:valAx>
      <c:spPr>
        <a:noFill/>
        <a:ln w="3175">
          <a:solidFill>
            <a:srgbClr val="000000"/>
          </a:solidFill>
          <a:prstDash val="solid"/>
        </a:ln>
      </c:spPr>
    </c:plotArea>
    <c:legend>
      <c:legendPos val="r"/>
      <c:layout>
        <c:manualLayout>
          <c:xMode val="edge"/>
          <c:yMode val="edge"/>
          <c:x val="0.67109092691214423"/>
          <c:y val="8.3045595137039102E-2"/>
          <c:w val="0.31566325129860862"/>
          <c:h val="0.893869446931640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LAC to CAO</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4145868399038699"/>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2015-16</c:v>
                </c:pt>
                <c:pt idx="1">
                  <c:v>2016-17</c:v>
                </c:pt>
                <c:pt idx="2">
                  <c:v>2017-18</c:v>
                </c:pt>
                <c:pt idx="3">
                  <c:v>2018-19</c:v>
                </c:pt>
                <c:pt idx="4">
                  <c:v>2019-20</c:v>
                </c:pt>
              </c:strCache>
            </c:strRef>
          </c:cat>
          <c:val>
            <c:numRef>
              <c:f>ROSGO!$AR$172:$AV$172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06BB-4AC1-AB89-2E31FE0C9BF3}"/>
            </c:ext>
          </c:extLst>
        </c:ser>
        <c:ser>
          <c:idx val="4"/>
          <c:order val="1"/>
          <c:tx>
            <c:strRef>
              <c:f>Adoption!$B$171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2015-16</c:v>
                </c:pt>
                <c:pt idx="1">
                  <c:v>2016-17</c:v>
                </c:pt>
                <c:pt idx="2">
                  <c:v>2017-18</c:v>
                </c:pt>
                <c:pt idx="3">
                  <c:v>2018-19</c:v>
                </c:pt>
                <c:pt idx="4">
                  <c:v>2019-20</c:v>
                </c:pt>
              </c:strCache>
            </c:strRef>
          </c:cat>
          <c:val>
            <c:numRef>
              <c:f>ROSGO!$D$99:$H$99</c:f>
              <c:numCache>
                <c:formatCode>0%</c:formatCode>
                <c:ptCount val="5"/>
                <c:pt idx="0">
                  <c:v>2.7956989247311829E-2</c:v>
                </c:pt>
                <c:pt idx="1">
                  <c:v>2.7956989247311829E-2</c:v>
                </c:pt>
                <c:pt idx="2">
                  <c:v>2.7842227378190254E-2</c:v>
                </c:pt>
                <c:pt idx="3">
                  <c:v>2.6570048309178744E-2</c:v>
                </c:pt>
                <c:pt idx="4">
                  <c:v>3.7558685446009391E-2</c:v>
                </c:pt>
              </c:numCache>
            </c:numRef>
          </c:val>
          <c:extLst>
            <c:ext xmlns:c16="http://schemas.microsoft.com/office/drawing/2014/chart" uri="{C3380CC4-5D6E-409C-BE32-E72D297353CC}">
              <c16:uniqueId val="{00000001-06BB-4AC1-AB89-2E31FE0C9BF3}"/>
            </c:ext>
          </c:extLst>
        </c:ser>
        <c:ser>
          <c:idx val="0"/>
          <c:order val="2"/>
          <c:tx>
            <c:strRef>
              <c:f>Adoption!$B$172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2015-16</c:v>
                </c:pt>
                <c:pt idx="1">
                  <c:v>2016-17</c:v>
                </c:pt>
                <c:pt idx="2">
                  <c:v>2017-18</c:v>
                </c:pt>
                <c:pt idx="3">
                  <c:v>2018-19</c:v>
                </c:pt>
                <c:pt idx="4">
                  <c:v>2019-20</c:v>
                </c:pt>
              </c:strCache>
            </c:strRef>
          </c:cat>
          <c:val>
            <c:numRef>
              <c:f>ROSGO!$D$100:$H$100</c:f>
              <c:numCache>
                <c:formatCode>0%</c:formatCode>
                <c:ptCount val="5"/>
                <c:pt idx="0">
                  <c:v>3.5153797865662272E-2</c:v>
                </c:pt>
                <c:pt idx="1">
                  <c:v>3.8216560509554139E-2</c:v>
                </c:pt>
                <c:pt idx="2">
                  <c:v>3.8935108153078206E-2</c:v>
                </c:pt>
                <c:pt idx="3">
                  <c:v>3.8017651052274268E-2</c:v>
                </c:pt>
                <c:pt idx="4">
                  <c:v>3.9202433254477864E-2</c:v>
                </c:pt>
              </c:numCache>
            </c:numRef>
          </c:val>
          <c:extLst>
            <c:ext xmlns:c16="http://schemas.microsoft.com/office/drawing/2014/chart" uri="{C3380CC4-5D6E-409C-BE32-E72D297353CC}">
              <c16:uniqueId val="{00000002-06BB-4AC1-AB89-2E31FE0C9BF3}"/>
            </c:ext>
          </c:extLst>
        </c:ser>
        <c:dLbls>
          <c:showLegendKey val="0"/>
          <c:showVal val="0"/>
          <c:showCatName val="0"/>
          <c:showSerName val="0"/>
          <c:showPercent val="0"/>
          <c:showBubbleSize val="0"/>
        </c:dLbls>
        <c:gapWidth val="100"/>
        <c:axId val="641459328"/>
        <c:axId val="641460864"/>
      </c:barChart>
      <c:catAx>
        <c:axId val="641459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460864"/>
        <c:crosses val="autoZero"/>
        <c:auto val="1"/>
        <c:lblAlgn val="ctr"/>
        <c:lblOffset val="100"/>
        <c:noMultiLvlLbl val="0"/>
      </c:catAx>
      <c:valAx>
        <c:axId val="64146086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45932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ceasing to be Looked After in year who were </a:t>
            </a:r>
          </a:p>
          <a:p>
            <a:pPr>
              <a:defRPr sz="1000" b="1" i="0" u="none" strike="noStrike" baseline="0">
                <a:solidFill>
                  <a:srgbClr val="000000"/>
                </a:solidFill>
                <a:latin typeface="Arial"/>
                <a:ea typeface="Arial"/>
                <a:cs typeface="Arial"/>
              </a:defRPr>
            </a:pPr>
            <a:r>
              <a:rPr lang="en-GB"/>
              <a:t>granted a Child Arrangement Order (%)</a:t>
            </a:r>
          </a:p>
        </c:rich>
      </c:tx>
      <c:layout>
        <c:manualLayout>
          <c:xMode val="edge"/>
          <c:yMode val="edge"/>
          <c:x val="0.11896079723102342"/>
          <c:y val="1.0301221879597805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50930878282328"/>
        </c:manualLayout>
      </c:layout>
      <c:lineChart>
        <c:grouping val="standard"/>
        <c:varyColors val="0"/>
        <c:ser>
          <c:idx val="0"/>
          <c:order val="0"/>
          <c:tx>
            <c:strRef>
              <c:f>Adoption!$AO$42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CF0F-4D84-94AC-55E3746B532A}"/>
              </c:ext>
            </c:extLst>
          </c:dPt>
          <c:cat>
            <c:strRef>
              <c:f>ROSGO!$Z$2:$AD$3</c:f>
              <c:strCache>
                <c:ptCount val="5"/>
                <c:pt idx="0">
                  <c:v>2015-16</c:v>
                </c:pt>
                <c:pt idx="1">
                  <c:v>2016-17</c:v>
                </c:pt>
                <c:pt idx="2">
                  <c:v>2017-18</c:v>
                </c:pt>
                <c:pt idx="3">
                  <c:v>2018-19</c:v>
                </c:pt>
                <c:pt idx="4">
                  <c:v>2019-20</c:v>
                </c:pt>
              </c:strCache>
            </c:strRef>
          </c:cat>
          <c:val>
            <c:numRef>
              <c:f>ROSGO!$AR$148:$AV$148</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01-CF0F-4D84-94AC-55E3746B532A}"/>
            </c:ext>
          </c:extLst>
        </c:ser>
        <c:ser>
          <c:idx val="1"/>
          <c:order val="1"/>
          <c:tx>
            <c:strRef>
              <c:f>Adoption!$AO$43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ROSGO!$Z$2:$AD$3</c:f>
              <c:strCache>
                <c:ptCount val="5"/>
                <c:pt idx="0">
                  <c:v>2015-16</c:v>
                </c:pt>
                <c:pt idx="1">
                  <c:v>2016-17</c:v>
                </c:pt>
                <c:pt idx="2">
                  <c:v>2017-18</c:v>
                </c:pt>
                <c:pt idx="3">
                  <c:v>2018-19</c:v>
                </c:pt>
                <c:pt idx="4">
                  <c:v>2019-20</c:v>
                </c:pt>
              </c:strCache>
            </c:strRef>
          </c:cat>
          <c:val>
            <c:numRef>
              <c:f>ROSGO!$AR$149:$AV$149</c:f>
              <c:numCache>
                <c:formatCode>0.0%</c:formatCode>
                <c:ptCount val="5"/>
                <c:pt idx="0">
                  <c:v>#N/A</c:v>
                </c:pt>
                <c:pt idx="1">
                  <c:v>#N/A</c:v>
                </c:pt>
                <c:pt idx="2">
                  <c:v>3.9772727272727272E-2</c:v>
                </c:pt>
                <c:pt idx="3">
                  <c:v>#N/A</c:v>
                </c:pt>
                <c:pt idx="4">
                  <c:v>3.3707865168539325E-2</c:v>
                </c:pt>
              </c:numCache>
            </c:numRef>
          </c:val>
          <c:smooth val="0"/>
          <c:extLst>
            <c:ext xmlns:c16="http://schemas.microsoft.com/office/drawing/2014/chart" uri="{C3380CC4-5D6E-409C-BE32-E72D297353CC}">
              <c16:uniqueId val="{00000002-CF0F-4D84-94AC-55E3746B532A}"/>
            </c:ext>
          </c:extLst>
        </c:ser>
        <c:ser>
          <c:idx val="2"/>
          <c:order val="2"/>
          <c:tx>
            <c:strRef>
              <c:f>Adoption!$AO$44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ROSGO!$Z$2:$AD$3</c:f>
              <c:strCache>
                <c:ptCount val="5"/>
                <c:pt idx="0">
                  <c:v>2015-16</c:v>
                </c:pt>
                <c:pt idx="1">
                  <c:v>2016-17</c:v>
                </c:pt>
                <c:pt idx="2">
                  <c:v>2017-18</c:v>
                </c:pt>
                <c:pt idx="3">
                  <c:v>2018-19</c:v>
                </c:pt>
                <c:pt idx="4">
                  <c:v>2019-20</c:v>
                </c:pt>
              </c:strCache>
            </c:strRef>
          </c:cat>
          <c:val>
            <c:numRef>
              <c:f>ROSGO!$AR$150:$AV$150</c:f>
              <c:numCache>
                <c:formatCode>0.0%</c:formatCode>
                <c:ptCount val="5"/>
                <c:pt idx="0">
                  <c:v>2.2026431718061675E-2</c:v>
                </c:pt>
                <c:pt idx="1">
                  <c:v>3.7209302325581395E-2</c:v>
                </c:pt>
                <c:pt idx="2">
                  <c:v>#N/A</c:v>
                </c:pt>
                <c:pt idx="3">
                  <c:v>#N/A</c:v>
                </c:pt>
                <c:pt idx="4">
                  <c:v>2.9787234042553193E-2</c:v>
                </c:pt>
              </c:numCache>
            </c:numRef>
          </c:val>
          <c:smooth val="0"/>
          <c:extLst>
            <c:ext xmlns:c16="http://schemas.microsoft.com/office/drawing/2014/chart" uri="{C3380CC4-5D6E-409C-BE32-E72D297353CC}">
              <c16:uniqueId val="{00000003-CF0F-4D84-94AC-55E3746B532A}"/>
            </c:ext>
          </c:extLst>
        </c:ser>
        <c:ser>
          <c:idx val="5"/>
          <c:order val="3"/>
          <c:tx>
            <c:strRef>
              <c:f>Adoption!$AO$45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ROSGO!$Z$2:$AD$3</c:f>
              <c:strCache>
                <c:ptCount val="5"/>
                <c:pt idx="0">
                  <c:v>2015-16</c:v>
                </c:pt>
                <c:pt idx="1">
                  <c:v>2016-17</c:v>
                </c:pt>
                <c:pt idx="2">
                  <c:v>2017-18</c:v>
                </c:pt>
                <c:pt idx="3">
                  <c:v>2018-19</c:v>
                </c:pt>
                <c:pt idx="4">
                  <c:v>2019-20</c:v>
                </c:pt>
              </c:strCache>
            </c:strRef>
          </c:cat>
          <c:val>
            <c:numRef>
              <c:f>ROSGO!$AR$151:$AV$151</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04-CF0F-4D84-94AC-55E3746B532A}"/>
            </c:ext>
          </c:extLst>
        </c:ser>
        <c:ser>
          <c:idx val="9"/>
          <c:order val="4"/>
          <c:tx>
            <c:strRef>
              <c:f>Adoption!$AO$46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ROSGO!$Z$2:$AD$3</c:f>
              <c:strCache>
                <c:ptCount val="5"/>
                <c:pt idx="0">
                  <c:v>2015-16</c:v>
                </c:pt>
                <c:pt idx="1">
                  <c:v>2016-17</c:v>
                </c:pt>
                <c:pt idx="2">
                  <c:v>2017-18</c:v>
                </c:pt>
                <c:pt idx="3">
                  <c:v>2018-19</c:v>
                </c:pt>
                <c:pt idx="4">
                  <c:v>2019-20</c:v>
                </c:pt>
              </c:strCache>
            </c:strRef>
          </c:cat>
          <c:val>
            <c:numRef>
              <c:f>ROSGO!$AR$152:$AV$152</c:f>
              <c:numCache>
                <c:formatCode>0.0%</c:formatCode>
                <c:ptCount val="5"/>
                <c:pt idx="0">
                  <c:v>9.1743119266055051E-3</c:v>
                </c:pt>
                <c:pt idx="1">
                  <c:v>3.9473684210526314E-2</c:v>
                </c:pt>
                <c:pt idx="2">
                  <c:v>4.1152263374485597E-2</c:v>
                </c:pt>
                <c:pt idx="3">
                  <c:v>3.0354131534569982E-2</c:v>
                </c:pt>
                <c:pt idx="4">
                  <c:v>4.3269230769230768E-2</c:v>
                </c:pt>
              </c:numCache>
            </c:numRef>
          </c:val>
          <c:smooth val="0"/>
          <c:extLst>
            <c:ext xmlns:c16="http://schemas.microsoft.com/office/drawing/2014/chart" uri="{C3380CC4-5D6E-409C-BE32-E72D297353CC}">
              <c16:uniqueId val="{00000005-CF0F-4D84-94AC-55E3746B532A}"/>
            </c:ext>
          </c:extLst>
        </c:ser>
        <c:ser>
          <c:idx val="10"/>
          <c:order val="5"/>
          <c:tx>
            <c:strRef>
              <c:f>Adoption!$AO$47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ROSGO!$Z$2:$AD$3</c:f>
              <c:strCache>
                <c:ptCount val="5"/>
                <c:pt idx="0">
                  <c:v>2015-16</c:v>
                </c:pt>
                <c:pt idx="1">
                  <c:v>2016-17</c:v>
                </c:pt>
                <c:pt idx="2">
                  <c:v>2017-18</c:v>
                </c:pt>
                <c:pt idx="3">
                  <c:v>2018-19</c:v>
                </c:pt>
                <c:pt idx="4">
                  <c:v>2019-20</c:v>
                </c:pt>
              </c:strCache>
            </c:strRef>
          </c:cat>
          <c:val>
            <c:numRef>
              <c:f>ROSGO!$AR$153:$AV$153</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06-CF0F-4D84-94AC-55E3746B532A}"/>
            </c:ext>
          </c:extLst>
        </c:ser>
        <c:ser>
          <c:idx val="11"/>
          <c:order val="6"/>
          <c:tx>
            <c:strRef>
              <c:f>Adoption!$AO$48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ROSGO!$Z$2:$AD$3</c:f>
              <c:strCache>
                <c:ptCount val="5"/>
                <c:pt idx="0">
                  <c:v>2015-16</c:v>
                </c:pt>
                <c:pt idx="1">
                  <c:v>2016-17</c:v>
                </c:pt>
                <c:pt idx="2">
                  <c:v>2017-18</c:v>
                </c:pt>
                <c:pt idx="3">
                  <c:v>2018-19</c:v>
                </c:pt>
                <c:pt idx="4">
                  <c:v>2019-20</c:v>
                </c:pt>
              </c:strCache>
            </c:strRef>
          </c:cat>
          <c:val>
            <c:numRef>
              <c:f>ROSGO!$AR$154:$AV$154</c:f>
              <c:numCache>
                <c:formatCode>0.0%</c:formatCode>
                <c:ptCount val="5"/>
                <c:pt idx="0">
                  <c:v>9.2678405931417972E-3</c:v>
                </c:pt>
                <c:pt idx="1">
                  <c:v>8.3586626139817623E-3</c:v>
                </c:pt>
                <c:pt idx="2">
                  <c:v>1.5252621544327931E-2</c:v>
                </c:pt>
                <c:pt idx="3">
                  <c:v>1.310615989515072E-2</c:v>
                </c:pt>
                <c:pt idx="4">
                  <c:v>2.4390243902439025E-2</c:v>
                </c:pt>
              </c:numCache>
            </c:numRef>
          </c:val>
          <c:smooth val="0"/>
          <c:extLst>
            <c:ext xmlns:c16="http://schemas.microsoft.com/office/drawing/2014/chart" uri="{C3380CC4-5D6E-409C-BE32-E72D297353CC}">
              <c16:uniqueId val="{00000007-CF0F-4D84-94AC-55E3746B532A}"/>
            </c:ext>
          </c:extLst>
        </c:ser>
        <c:ser>
          <c:idx val="12"/>
          <c:order val="7"/>
          <c:tx>
            <c:strRef>
              <c:f>Adoption!$AO$49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ROSGO!$Z$2:$AD$3</c:f>
              <c:strCache>
                <c:ptCount val="5"/>
                <c:pt idx="0">
                  <c:v>2015-16</c:v>
                </c:pt>
                <c:pt idx="1">
                  <c:v>2016-17</c:v>
                </c:pt>
                <c:pt idx="2">
                  <c:v>2017-18</c:v>
                </c:pt>
                <c:pt idx="3">
                  <c:v>2018-19</c:v>
                </c:pt>
                <c:pt idx="4">
                  <c:v>2019-20</c:v>
                </c:pt>
              </c:strCache>
            </c:strRef>
          </c:cat>
          <c:val>
            <c:numRef>
              <c:f>ROSGO!$AR$155:$AV$155</c:f>
              <c:numCache>
                <c:formatCode>0.0%</c:formatCode>
                <c:ptCount val="5"/>
                <c:pt idx="0">
                  <c:v>9.5238095238095233E-2</c:v>
                </c:pt>
                <c:pt idx="1">
                  <c:v>6.4171122994652413E-2</c:v>
                </c:pt>
                <c:pt idx="2">
                  <c:v>#N/A</c:v>
                </c:pt>
                <c:pt idx="3">
                  <c:v>#N/A</c:v>
                </c:pt>
                <c:pt idx="4">
                  <c:v>7.7777777777777779E-2</c:v>
                </c:pt>
              </c:numCache>
            </c:numRef>
          </c:val>
          <c:smooth val="0"/>
          <c:extLst>
            <c:ext xmlns:c16="http://schemas.microsoft.com/office/drawing/2014/chart" uri="{C3380CC4-5D6E-409C-BE32-E72D297353CC}">
              <c16:uniqueId val="{00000008-CF0F-4D84-94AC-55E3746B532A}"/>
            </c:ext>
          </c:extLst>
        </c:ser>
        <c:ser>
          <c:idx val="13"/>
          <c:order val="8"/>
          <c:tx>
            <c:strRef>
              <c:f>Adoption!$AO$50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ROSGO!$Z$2:$AD$3</c:f>
              <c:strCache>
                <c:ptCount val="5"/>
                <c:pt idx="0">
                  <c:v>2015-16</c:v>
                </c:pt>
                <c:pt idx="1">
                  <c:v>2016-17</c:v>
                </c:pt>
                <c:pt idx="2">
                  <c:v>2017-18</c:v>
                </c:pt>
                <c:pt idx="3">
                  <c:v>2018-19</c:v>
                </c:pt>
                <c:pt idx="4">
                  <c:v>2019-20</c:v>
                </c:pt>
              </c:strCache>
            </c:strRef>
          </c:cat>
          <c:val>
            <c:numRef>
              <c:f>ROSGO!$AR$156:$AV$156</c:f>
              <c:numCache>
                <c:formatCode>0.0%</c:formatCode>
                <c:ptCount val="5"/>
                <c:pt idx="0">
                  <c:v>2.6881720430107527E-2</c:v>
                </c:pt>
                <c:pt idx="1">
                  <c:v>#N/A</c:v>
                </c:pt>
                <c:pt idx="2">
                  <c:v>#N/A</c:v>
                </c:pt>
                <c:pt idx="3">
                  <c:v>#N/A</c:v>
                </c:pt>
                <c:pt idx="4">
                  <c:v>6.0810810810810814E-2</c:v>
                </c:pt>
              </c:numCache>
            </c:numRef>
          </c:val>
          <c:smooth val="0"/>
          <c:extLst>
            <c:ext xmlns:c16="http://schemas.microsoft.com/office/drawing/2014/chart" uri="{C3380CC4-5D6E-409C-BE32-E72D297353CC}">
              <c16:uniqueId val="{00000009-CF0F-4D84-94AC-55E3746B532A}"/>
            </c:ext>
          </c:extLst>
        </c:ser>
        <c:ser>
          <c:idx val="15"/>
          <c:order val="9"/>
          <c:tx>
            <c:strRef>
              <c:f>Adoption!$AO$51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ROSGO!$Z$2:$AD$3</c:f>
              <c:strCache>
                <c:ptCount val="5"/>
                <c:pt idx="0">
                  <c:v>2015-16</c:v>
                </c:pt>
                <c:pt idx="1">
                  <c:v>2016-17</c:v>
                </c:pt>
                <c:pt idx="2">
                  <c:v>2017-18</c:v>
                </c:pt>
                <c:pt idx="3">
                  <c:v>2018-19</c:v>
                </c:pt>
                <c:pt idx="4">
                  <c:v>2019-20</c:v>
                </c:pt>
              </c:strCache>
            </c:strRef>
          </c:cat>
          <c:val>
            <c:numRef>
              <c:f>ROSGO!$AR$157:$AV$157</c:f>
              <c:numCache>
                <c:formatCode>0.0%</c:formatCode>
                <c:ptCount val="5"/>
                <c:pt idx="0">
                  <c:v>3.5714285714285712E-2</c:v>
                </c:pt>
                <c:pt idx="1">
                  <c:v>6.9930069930069935E-2</c:v>
                </c:pt>
                <c:pt idx="2">
                  <c:v>2.6845637583892617E-2</c:v>
                </c:pt>
                <c:pt idx="3">
                  <c:v>6.95970695970696E-2</c:v>
                </c:pt>
                <c:pt idx="4">
                  <c:v>5.2795031055900624E-2</c:v>
                </c:pt>
              </c:numCache>
            </c:numRef>
          </c:val>
          <c:smooth val="0"/>
          <c:extLst>
            <c:ext xmlns:c16="http://schemas.microsoft.com/office/drawing/2014/chart" uri="{C3380CC4-5D6E-409C-BE32-E72D297353CC}">
              <c16:uniqueId val="{0000000A-CF0F-4D84-94AC-55E3746B532A}"/>
            </c:ext>
          </c:extLst>
        </c:ser>
        <c:ser>
          <c:idx val="16"/>
          <c:order val="10"/>
          <c:tx>
            <c:strRef>
              <c:f>Adoption!$AO$52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ROSGO!$Z$2:$AD$3</c:f>
              <c:strCache>
                <c:ptCount val="5"/>
                <c:pt idx="0">
                  <c:v>2015-16</c:v>
                </c:pt>
                <c:pt idx="1">
                  <c:v>2016-17</c:v>
                </c:pt>
                <c:pt idx="2">
                  <c:v>2017-18</c:v>
                </c:pt>
                <c:pt idx="3">
                  <c:v>2018-19</c:v>
                </c:pt>
                <c:pt idx="4">
                  <c:v>2019-20</c:v>
                </c:pt>
              </c:strCache>
            </c:strRef>
          </c:cat>
          <c:val>
            <c:numRef>
              <c:f>ROSGO!$AR$158:$AV$158</c:f>
              <c:numCache>
                <c:formatCode>0.0%</c:formatCode>
                <c:ptCount val="5"/>
                <c:pt idx="0">
                  <c:v>0.11904761904761904</c:v>
                </c:pt>
                <c:pt idx="1">
                  <c:v>#N/A</c:v>
                </c:pt>
                <c:pt idx="2">
                  <c:v>4.3010752688172046E-2</c:v>
                </c:pt>
                <c:pt idx="3">
                  <c:v>6.2111801242236024E-2</c:v>
                </c:pt>
                <c:pt idx="4">
                  <c:v>0</c:v>
                </c:pt>
              </c:numCache>
            </c:numRef>
          </c:val>
          <c:smooth val="0"/>
          <c:extLst>
            <c:ext xmlns:c16="http://schemas.microsoft.com/office/drawing/2014/chart" uri="{C3380CC4-5D6E-409C-BE32-E72D297353CC}">
              <c16:uniqueId val="{0000000B-CF0F-4D84-94AC-55E3746B532A}"/>
            </c:ext>
          </c:extLst>
        </c:ser>
        <c:ser>
          <c:idx val="17"/>
          <c:order val="11"/>
          <c:tx>
            <c:strRef>
              <c:f>Adoption!$AO$53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ROSGO!$Z$2:$AD$3</c:f>
              <c:strCache>
                <c:ptCount val="5"/>
                <c:pt idx="0">
                  <c:v>2015-16</c:v>
                </c:pt>
                <c:pt idx="1">
                  <c:v>2016-17</c:v>
                </c:pt>
                <c:pt idx="2">
                  <c:v>2017-18</c:v>
                </c:pt>
                <c:pt idx="3">
                  <c:v>2018-19</c:v>
                </c:pt>
                <c:pt idx="4">
                  <c:v>2019-20</c:v>
                </c:pt>
              </c:strCache>
            </c:strRef>
          </c:cat>
          <c:val>
            <c:numRef>
              <c:f>ROSGO!$AR$159:$AV$159</c:f>
              <c:numCache>
                <c:formatCode>0.0%</c:formatCode>
                <c:ptCount val="5"/>
                <c:pt idx="0">
                  <c:v>8.1300813008130079E-2</c:v>
                </c:pt>
                <c:pt idx="1">
                  <c:v>0</c:v>
                </c:pt>
                <c:pt idx="2">
                  <c:v>#N/A</c:v>
                </c:pt>
                <c:pt idx="3">
                  <c:v>0</c:v>
                </c:pt>
                <c:pt idx="4">
                  <c:v>0</c:v>
                </c:pt>
              </c:numCache>
            </c:numRef>
          </c:val>
          <c:smooth val="0"/>
          <c:extLst>
            <c:ext xmlns:c16="http://schemas.microsoft.com/office/drawing/2014/chart" uri="{C3380CC4-5D6E-409C-BE32-E72D297353CC}">
              <c16:uniqueId val="{0000000C-CF0F-4D84-94AC-55E3746B532A}"/>
            </c:ext>
          </c:extLst>
        </c:ser>
        <c:ser>
          <c:idx val="19"/>
          <c:order val="12"/>
          <c:tx>
            <c:strRef>
              <c:f>Adoption!$AO$54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ROSGO!$Z$2:$AD$3</c:f>
              <c:strCache>
                <c:ptCount val="5"/>
                <c:pt idx="0">
                  <c:v>2015-16</c:v>
                </c:pt>
                <c:pt idx="1">
                  <c:v>2016-17</c:v>
                </c:pt>
                <c:pt idx="2">
                  <c:v>2017-18</c:v>
                </c:pt>
                <c:pt idx="3">
                  <c:v>2018-19</c:v>
                </c:pt>
                <c:pt idx="4">
                  <c:v>2019-20</c:v>
                </c:pt>
              </c:strCache>
            </c:strRef>
          </c:cat>
          <c:val>
            <c:numRef>
              <c:f>ROSGO!$AR$160:$AV$160</c:f>
              <c:numCache>
                <c:formatCode>0.0%</c:formatCode>
                <c:ptCount val="5"/>
                <c:pt idx="0">
                  <c:v>6.4935064935064929E-2</c:v>
                </c:pt>
                <c:pt idx="1">
                  <c:v>8.0357142857142863E-2</c:v>
                </c:pt>
                <c:pt idx="2">
                  <c:v>#N/A</c:v>
                </c:pt>
                <c:pt idx="3">
                  <c:v>#N/A</c:v>
                </c:pt>
                <c:pt idx="4">
                  <c:v>0</c:v>
                </c:pt>
              </c:numCache>
            </c:numRef>
          </c:val>
          <c:smooth val="0"/>
          <c:extLst>
            <c:ext xmlns:c16="http://schemas.microsoft.com/office/drawing/2014/chart" uri="{C3380CC4-5D6E-409C-BE32-E72D297353CC}">
              <c16:uniqueId val="{0000000D-CF0F-4D84-94AC-55E3746B532A}"/>
            </c:ext>
          </c:extLst>
        </c:ser>
        <c:ser>
          <c:idx val="3"/>
          <c:order val="13"/>
          <c:tx>
            <c:strRef>
              <c:f>Adoption!$AO$55</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ROSGO!$Z$2:$AD$3</c:f>
              <c:strCache>
                <c:ptCount val="5"/>
                <c:pt idx="0">
                  <c:v>2015-16</c:v>
                </c:pt>
                <c:pt idx="1">
                  <c:v>2016-17</c:v>
                </c:pt>
                <c:pt idx="2">
                  <c:v>2017-18</c:v>
                </c:pt>
                <c:pt idx="3">
                  <c:v>2018-19</c:v>
                </c:pt>
                <c:pt idx="4">
                  <c:v>2019-20</c:v>
                </c:pt>
              </c:strCache>
            </c:strRef>
          </c:cat>
          <c:val>
            <c:numRef>
              <c:f>ROSGO!$AR$161:$AV$161</c:f>
              <c:numCache>
                <c:formatCode>0.0%</c:formatCode>
                <c:ptCount val="5"/>
                <c:pt idx="0">
                  <c:v>#N/A</c:v>
                </c:pt>
                <c:pt idx="1">
                  <c:v>4.5977011494252873E-2</c:v>
                </c:pt>
                <c:pt idx="2">
                  <c:v>2.6905829596412557E-2</c:v>
                </c:pt>
                <c:pt idx="3">
                  <c:v>#N/A</c:v>
                </c:pt>
                <c:pt idx="4">
                  <c:v>5.5837563451776651E-2</c:v>
                </c:pt>
              </c:numCache>
            </c:numRef>
          </c:val>
          <c:smooth val="0"/>
          <c:extLst>
            <c:ext xmlns:c16="http://schemas.microsoft.com/office/drawing/2014/chart" uri="{C3380CC4-5D6E-409C-BE32-E72D297353CC}">
              <c16:uniqueId val="{0000000E-CF0F-4D84-94AC-55E3746B532A}"/>
            </c:ext>
          </c:extLst>
        </c:ser>
        <c:ser>
          <c:idx val="20"/>
          <c:order val="14"/>
          <c:tx>
            <c:strRef>
              <c:f>Adoption!$AO$56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ROSGO!$Z$2:$AD$3</c:f>
              <c:strCache>
                <c:ptCount val="5"/>
                <c:pt idx="0">
                  <c:v>2015-16</c:v>
                </c:pt>
                <c:pt idx="1">
                  <c:v>2016-17</c:v>
                </c:pt>
                <c:pt idx="2">
                  <c:v>2017-18</c:v>
                </c:pt>
                <c:pt idx="3">
                  <c:v>2018-19</c:v>
                </c:pt>
                <c:pt idx="4">
                  <c:v>2019-20</c:v>
                </c:pt>
              </c:strCache>
            </c:strRef>
          </c:cat>
          <c:val>
            <c:numRef>
              <c:f>ROSGO!$AR$162:$AV$162</c:f>
              <c:numCache>
                <c:formatCode>0.0%</c:formatCode>
                <c:ptCount val="5"/>
                <c:pt idx="0">
                  <c:v>#N/A</c:v>
                </c:pt>
                <c:pt idx="1">
                  <c:v>#N/A</c:v>
                </c:pt>
                <c:pt idx="2">
                  <c:v>6.5989847715736044E-2</c:v>
                </c:pt>
                <c:pt idx="3">
                  <c:v>3.7383177570093455E-2</c:v>
                </c:pt>
                <c:pt idx="4">
                  <c:v>0.10552763819095477</c:v>
                </c:pt>
              </c:numCache>
            </c:numRef>
          </c:val>
          <c:smooth val="0"/>
          <c:extLst>
            <c:ext xmlns:c16="http://schemas.microsoft.com/office/drawing/2014/chart" uri="{C3380CC4-5D6E-409C-BE32-E72D297353CC}">
              <c16:uniqueId val="{0000000F-CF0F-4D84-94AC-55E3746B532A}"/>
            </c:ext>
          </c:extLst>
        </c:ser>
        <c:ser>
          <c:idx val="22"/>
          <c:order val="15"/>
          <c:tx>
            <c:strRef>
              <c:f>Adoption!$AO$57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ROSGO!$Z$2:$AD$3</c:f>
              <c:strCache>
                <c:ptCount val="5"/>
                <c:pt idx="0">
                  <c:v>2015-16</c:v>
                </c:pt>
                <c:pt idx="1">
                  <c:v>2016-17</c:v>
                </c:pt>
                <c:pt idx="2">
                  <c:v>2017-18</c:v>
                </c:pt>
                <c:pt idx="3">
                  <c:v>2018-19</c:v>
                </c:pt>
                <c:pt idx="4">
                  <c:v>2019-20</c:v>
                </c:pt>
              </c:strCache>
            </c:strRef>
          </c:cat>
          <c:val>
            <c:numRef>
              <c:f>ROSGO!$AR$163:$AV$163</c:f>
              <c:numCache>
                <c:formatCode>0.0%</c:formatCode>
                <c:ptCount val="5"/>
                <c:pt idx="0">
                  <c:v>3.7037037037037035E-2</c:v>
                </c:pt>
                <c:pt idx="1">
                  <c:v>1.6706443914081145E-2</c:v>
                </c:pt>
                <c:pt idx="2">
                  <c:v>3.1784841075794622E-2</c:v>
                </c:pt>
                <c:pt idx="3">
                  <c:v>2.7918781725888325E-2</c:v>
                </c:pt>
                <c:pt idx="4">
                  <c:v>2.7397260273972601E-2</c:v>
                </c:pt>
              </c:numCache>
            </c:numRef>
          </c:val>
          <c:smooth val="0"/>
          <c:extLst>
            <c:ext xmlns:c16="http://schemas.microsoft.com/office/drawing/2014/chart" uri="{C3380CC4-5D6E-409C-BE32-E72D297353CC}">
              <c16:uniqueId val="{00000010-CF0F-4D84-94AC-55E3746B532A}"/>
            </c:ext>
          </c:extLst>
        </c:ser>
        <c:ser>
          <c:idx val="7"/>
          <c:order val="16"/>
          <c:tx>
            <c:strRef>
              <c:f>Adoption!$AO$58</c:f>
              <c:strCache>
                <c:ptCount val="1"/>
                <c:pt idx="0">
                  <c:v>Swindon</c:v>
                </c:pt>
              </c:strCache>
            </c:strRef>
          </c:tx>
          <c:spPr>
            <a:ln w="12700"/>
          </c:spPr>
          <c:marker>
            <c:symbol val="triangle"/>
            <c:size val="5"/>
            <c:spPr>
              <a:solidFill>
                <a:schemeClr val="accent2">
                  <a:lumMod val="20000"/>
                  <a:lumOff val="80000"/>
                </a:schemeClr>
              </a:solidFill>
            </c:spPr>
          </c:marker>
          <c:cat>
            <c:strRef>
              <c:f>ROSGO!$Z$2:$AD$3</c:f>
              <c:strCache>
                <c:ptCount val="5"/>
                <c:pt idx="0">
                  <c:v>2015-16</c:v>
                </c:pt>
                <c:pt idx="1">
                  <c:v>2016-17</c:v>
                </c:pt>
                <c:pt idx="2">
                  <c:v>2017-18</c:v>
                </c:pt>
                <c:pt idx="3">
                  <c:v>2018-19</c:v>
                </c:pt>
                <c:pt idx="4">
                  <c:v>2019-20</c:v>
                </c:pt>
              </c:strCache>
            </c:strRef>
          </c:cat>
          <c:val>
            <c:numRef>
              <c:f>ROSGO!$AR$164:$AV$164</c:f>
              <c:numCache>
                <c:formatCode>0.0%</c:formatCode>
                <c:ptCount val="5"/>
                <c:pt idx="0">
                  <c:v>#N/A</c:v>
                </c:pt>
                <c:pt idx="1">
                  <c:v>6.6666666666666666E-2</c:v>
                </c:pt>
                <c:pt idx="2">
                  <c:v>5.1612903225806452E-2</c:v>
                </c:pt>
                <c:pt idx="3">
                  <c:v>#N/A</c:v>
                </c:pt>
                <c:pt idx="4">
                  <c:v>0</c:v>
                </c:pt>
              </c:numCache>
            </c:numRef>
          </c:val>
          <c:smooth val="0"/>
          <c:extLst>
            <c:ext xmlns:c16="http://schemas.microsoft.com/office/drawing/2014/chart" uri="{C3380CC4-5D6E-409C-BE32-E72D297353CC}">
              <c16:uniqueId val="{00000011-CF0F-4D84-94AC-55E3746B532A}"/>
            </c:ext>
          </c:extLst>
        </c:ser>
        <c:ser>
          <c:idx val="8"/>
          <c:order val="17"/>
          <c:tx>
            <c:strRef>
              <c:f>Adoption!$AO$59</c:f>
              <c:strCache>
                <c:ptCount val="1"/>
                <c:pt idx="0">
                  <c:v>Torbay</c:v>
                </c:pt>
              </c:strCache>
            </c:strRef>
          </c:tx>
          <c:spPr>
            <a:ln w="12700"/>
          </c:spPr>
          <c:marker>
            <c:symbol val="circle"/>
            <c:size val="5"/>
            <c:spPr>
              <a:solidFill>
                <a:schemeClr val="accent3">
                  <a:lumMod val="20000"/>
                  <a:lumOff val="80000"/>
                </a:schemeClr>
              </a:solidFill>
            </c:spPr>
          </c:marker>
          <c:cat>
            <c:strRef>
              <c:f>ROSGO!$Z$2:$AD$3</c:f>
              <c:strCache>
                <c:ptCount val="5"/>
                <c:pt idx="0">
                  <c:v>2015-16</c:v>
                </c:pt>
                <c:pt idx="1">
                  <c:v>2016-17</c:v>
                </c:pt>
                <c:pt idx="2">
                  <c:v>2017-18</c:v>
                </c:pt>
                <c:pt idx="3">
                  <c:v>2018-19</c:v>
                </c:pt>
                <c:pt idx="4">
                  <c:v>2019-20</c:v>
                </c:pt>
              </c:strCache>
            </c:strRef>
          </c:cat>
          <c:val>
            <c:numRef>
              <c:f>ROSGO!$AR$165:$AV$165</c:f>
              <c:numCache>
                <c:formatCode>0.0%</c:formatCode>
                <c:ptCount val="5"/>
                <c:pt idx="0">
                  <c:v>0.04</c:v>
                </c:pt>
                <c:pt idx="1">
                  <c:v>0.1111111111111111</c:v>
                </c:pt>
                <c:pt idx="2">
                  <c:v>5.8823529411764705E-2</c:v>
                </c:pt>
                <c:pt idx="3">
                  <c:v>6.7796610169491525E-2</c:v>
                </c:pt>
                <c:pt idx="4">
                  <c:v>0</c:v>
                </c:pt>
              </c:numCache>
            </c:numRef>
          </c:val>
          <c:smooth val="0"/>
          <c:extLst>
            <c:ext xmlns:c16="http://schemas.microsoft.com/office/drawing/2014/chart" uri="{C3380CC4-5D6E-409C-BE32-E72D297353CC}">
              <c16:uniqueId val="{00000012-CF0F-4D84-94AC-55E3746B532A}"/>
            </c:ext>
          </c:extLst>
        </c:ser>
        <c:ser>
          <c:idx val="23"/>
          <c:order val="18"/>
          <c:tx>
            <c:strRef>
              <c:f>Adoption!$AO$60</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ROSGO!$Z$2:$AD$3</c:f>
              <c:strCache>
                <c:ptCount val="5"/>
                <c:pt idx="0">
                  <c:v>2015-16</c:v>
                </c:pt>
                <c:pt idx="1">
                  <c:v>2016-17</c:v>
                </c:pt>
                <c:pt idx="2">
                  <c:v>2017-18</c:v>
                </c:pt>
                <c:pt idx="3">
                  <c:v>2018-19</c:v>
                </c:pt>
                <c:pt idx="4">
                  <c:v>2019-20</c:v>
                </c:pt>
              </c:strCache>
            </c:strRef>
          </c:cat>
          <c:val>
            <c:numRef>
              <c:f>ROSGO!$AR$166:$AV$166</c:f>
              <c:numCache>
                <c:formatCode>0.0%</c:formatCode>
                <c:ptCount val="5"/>
                <c:pt idx="0">
                  <c:v>0.14492753623188406</c:v>
                </c:pt>
                <c:pt idx="1">
                  <c:v>9.45945945945946E-2</c:v>
                </c:pt>
                <c:pt idx="2">
                  <c:v>0.10465116279069768</c:v>
                </c:pt>
                <c:pt idx="3">
                  <c:v>#N/A</c:v>
                </c:pt>
                <c:pt idx="4">
                  <c:v>0</c:v>
                </c:pt>
              </c:numCache>
            </c:numRef>
          </c:val>
          <c:smooth val="0"/>
          <c:extLst>
            <c:ext xmlns:c16="http://schemas.microsoft.com/office/drawing/2014/chart" uri="{C3380CC4-5D6E-409C-BE32-E72D297353CC}">
              <c16:uniqueId val="{00000013-CF0F-4D84-94AC-55E3746B532A}"/>
            </c:ext>
          </c:extLst>
        </c:ser>
        <c:ser>
          <c:idx val="24"/>
          <c:order val="19"/>
          <c:tx>
            <c:strRef>
              <c:f>Adoption!$AO$61</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ROSGO!$Z$2:$AD$3</c:f>
              <c:strCache>
                <c:ptCount val="5"/>
                <c:pt idx="0">
                  <c:v>2015-16</c:v>
                </c:pt>
                <c:pt idx="1">
                  <c:v>2016-17</c:v>
                </c:pt>
                <c:pt idx="2">
                  <c:v>2017-18</c:v>
                </c:pt>
                <c:pt idx="3">
                  <c:v>2018-19</c:v>
                </c:pt>
                <c:pt idx="4">
                  <c:v>2019-20</c:v>
                </c:pt>
              </c:strCache>
            </c:strRef>
          </c:cat>
          <c:val>
            <c:numRef>
              <c:f>ROSGO!$AR$167:$AV$167</c:f>
              <c:numCache>
                <c:formatCode>0.0%</c:formatCode>
                <c:ptCount val="5"/>
                <c:pt idx="0">
                  <c:v>#N/A</c:v>
                </c:pt>
                <c:pt idx="1">
                  <c:v>0</c:v>
                </c:pt>
                <c:pt idx="2">
                  <c:v>0</c:v>
                </c:pt>
                <c:pt idx="3">
                  <c:v>#N/A</c:v>
                </c:pt>
                <c:pt idx="4">
                  <c:v>0</c:v>
                </c:pt>
              </c:numCache>
            </c:numRef>
          </c:val>
          <c:smooth val="0"/>
          <c:extLst>
            <c:ext xmlns:c16="http://schemas.microsoft.com/office/drawing/2014/chart" uri="{C3380CC4-5D6E-409C-BE32-E72D297353CC}">
              <c16:uniqueId val="{00000014-CF0F-4D84-94AC-55E3746B532A}"/>
            </c:ext>
          </c:extLst>
        </c:ser>
        <c:ser>
          <c:idx val="25"/>
          <c:order val="20"/>
          <c:tx>
            <c:strRef>
              <c:f>Adoption!$AO$62</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ROSGO!$Z$2:$AD$3</c:f>
              <c:strCache>
                <c:ptCount val="5"/>
                <c:pt idx="0">
                  <c:v>2015-16</c:v>
                </c:pt>
                <c:pt idx="1">
                  <c:v>2016-17</c:v>
                </c:pt>
                <c:pt idx="2">
                  <c:v>2017-18</c:v>
                </c:pt>
                <c:pt idx="3">
                  <c:v>2018-19</c:v>
                </c:pt>
                <c:pt idx="4">
                  <c:v>2019-20</c:v>
                </c:pt>
              </c:strCache>
            </c:strRef>
          </c:cat>
          <c:val>
            <c:numRef>
              <c:f>ROSGO!$AR$168:$AV$168</c:f>
              <c:numCache>
                <c:formatCode>0.0%</c:formatCode>
                <c:ptCount val="5"/>
                <c:pt idx="0">
                  <c:v>#N/A</c:v>
                </c:pt>
                <c:pt idx="1">
                  <c:v>#N/A</c:v>
                </c:pt>
                <c:pt idx="2">
                  <c:v>#N/A</c:v>
                </c:pt>
                <c:pt idx="3">
                  <c:v>0</c:v>
                </c:pt>
                <c:pt idx="4">
                  <c:v>0</c:v>
                </c:pt>
              </c:numCache>
            </c:numRef>
          </c:val>
          <c:smooth val="0"/>
          <c:extLst>
            <c:ext xmlns:c16="http://schemas.microsoft.com/office/drawing/2014/chart" uri="{C3380CC4-5D6E-409C-BE32-E72D297353CC}">
              <c16:uniqueId val="{00000015-CF0F-4D84-94AC-55E3746B532A}"/>
            </c:ext>
          </c:extLst>
        </c:ser>
        <c:ser>
          <c:idx val="26"/>
          <c:order val="21"/>
          <c:tx>
            <c:strRef>
              <c:f>Adoption!$AO$63</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ROSGO!$Z$2:$AD$3</c:f>
              <c:strCache>
                <c:ptCount val="5"/>
                <c:pt idx="0">
                  <c:v>2015-16</c:v>
                </c:pt>
                <c:pt idx="1">
                  <c:v>2016-17</c:v>
                </c:pt>
                <c:pt idx="2">
                  <c:v>2017-18</c:v>
                </c:pt>
                <c:pt idx="3">
                  <c:v>2018-19</c:v>
                </c:pt>
                <c:pt idx="4">
                  <c:v>2019-20</c:v>
                </c:pt>
              </c:strCache>
            </c:strRef>
          </c:cat>
          <c:val>
            <c:numRef>
              <c:f>ROSGO!$AR$169:$AV$169</c:f>
              <c:numCache>
                <c:formatCode>0.0%</c:formatCode>
                <c:ptCount val="5"/>
                <c:pt idx="0">
                  <c:v>0</c:v>
                </c:pt>
                <c:pt idx="1">
                  <c:v>#N/A</c:v>
                </c:pt>
                <c:pt idx="2">
                  <c:v>0</c:v>
                </c:pt>
                <c:pt idx="3">
                  <c:v>#N/A</c:v>
                </c:pt>
                <c:pt idx="4">
                  <c:v>0.10909090909090909</c:v>
                </c:pt>
              </c:numCache>
            </c:numRef>
          </c:val>
          <c:smooth val="0"/>
          <c:extLst>
            <c:ext xmlns:c16="http://schemas.microsoft.com/office/drawing/2014/chart" uri="{C3380CC4-5D6E-409C-BE32-E72D297353CC}">
              <c16:uniqueId val="{00000016-CF0F-4D84-94AC-55E3746B532A}"/>
            </c:ext>
          </c:extLst>
        </c:ser>
        <c:ser>
          <c:idx val="4"/>
          <c:order val="22"/>
          <c:tx>
            <c:strRef>
              <c:f>Adoption!$AO$64</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ROSGO!$Z$2:$AD$3</c:f>
              <c:strCache>
                <c:ptCount val="5"/>
                <c:pt idx="0">
                  <c:v>2015-16</c:v>
                </c:pt>
                <c:pt idx="1">
                  <c:v>2016-17</c:v>
                </c:pt>
                <c:pt idx="2">
                  <c:v>2017-18</c:v>
                </c:pt>
                <c:pt idx="3">
                  <c:v>2018-19</c:v>
                </c:pt>
                <c:pt idx="4">
                  <c:v>2019-20</c:v>
                </c:pt>
              </c:strCache>
            </c:strRef>
          </c:cat>
          <c:val>
            <c:numRef>
              <c:f>ROSGO!$AR$170:$AV$170</c:f>
              <c:numCache>
                <c:formatCode>0.0%</c:formatCode>
                <c:ptCount val="5"/>
                <c:pt idx="0">
                  <c:v>2.7956989247311829E-2</c:v>
                </c:pt>
                <c:pt idx="1">
                  <c:v>2.7956989247311829E-2</c:v>
                </c:pt>
                <c:pt idx="2">
                  <c:v>2.7842227378190254E-2</c:v>
                </c:pt>
                <c:pt idx="3">
                  <c:v>2.6570048309178744E-2</c:v>
                </c:pt>
                <c:pt idx="4">
                  <c:v>3.7558685446009391E-2</c:v>
                </c:pt>
              </c:numCache>
            </c:numRef>
          </c:val>
          <c:smooth val="0"/>
          <c:extLst>
            <c:ext xmlns:c16="http://schemas.microsoft.com/office/drawing/2014/chart" uri="{C3380CC4-5D6E-409C-BE32-E72D297353CC}">
              <c16:uniqueId val="{00000017-CF0F-4D84-94AC-55E3746B532A}"/>
            </c:ext>
          </c:extLst>
        </c:ser>
        <c:ser>
          <c:idx val="14"/>
          <c:order val="23"/>
          <c:tx>
            <c:strRef>
              <c:f>ROSGO!$B$100</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ROSGO!$Z$2:$AD$3</c:f>
              <c:strCache>
                <c:ptCount val="5"/>
                <c:pt idx="0">
                  <c:v>2015-16</c:v>
                </c:pt>
                <c:pt idx="1">
                  <c:v>2016-17</c:v>
                </c:pt>
                <c:pt idx="2">
                  <c:v>2017-18</c:v>
                </c:pt>
                <c:pt idx="3">
                  <c:v>2018-19</c:v>
                </c:pt>
                <c:pt idx="4">
                  <c:v>2019-20</c:v>
                </c:pt>
              </c:strCache>
            </c:strRef>
          </c:cat>
          <c:val>
            <c:numRef>
              <c:f>ROSGO!$D$100:$H$100</c:f>
              <c:numCache>
                <c:formatCode>0%</c:formatCode>
                <c:ptCount val="5"/>
                <c:pt idx="0">
                  <c:v>3.5153797865662272E-2</c:v>
                </c:pt>
                <c:pt idx="1">
                  <c:v>3.8216560509554139E-2</c:v>
                </c:pt>
                <c:pt idx="2">
                  <c:v>3.8935108153078206E-2</c:v>
                </c:pt>
                <c:pt idx="3">
                  <c:v>3.8017651052274268E-2</c:v>
                </c:pt>
                <c:pt idx="4">
                  <c:v>3.9202433254477864E-2</c:v>
                </c:pt>
              </c:numCache>
            </c:numRef>
          </c:val>
          <c:smooth val="0"/>
          <c:extLst>
            <c:ext xmlns:c16="http://schemas.microsoft.com/office/drawing/2014/chart" uri="{C3380CC4-5D6E-409C-BE32-E72D297353CC}">
              <c16:uniqueId val="{00000018-CF0F-4D84-94AC-55E3746B532A}"/>
            </c:ext>
          </c:extLst>
        </c:ser>
        <c:ser>
          <c:idx val="6"/>
          <c:order val="24"/>
          <c:tx>
            <c:strRef>
              <c:f>Adoption!$AO$66</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ROSGO!$Z$2:$AD$3</c:f>
              <c:strCache>
                <c:ptCount val="5"/>
                <c:pt idx="0">
                  <c:v>2015-16</c:v>
                </c:pt>
                <c:pt idx="1">
                  <c:v>2016-17</c:v>
                </c:pt>
                <c:pt idx="2">
                  <c:v>2017-18</c:v>
                </c:pt>
                <c:pt idx="3">
                  <c:v>2018-19</c:v>
                </c:pt>
                <c:pt idx="4">
                  <c:v>2019-20</c:v>
                </c:pt>
              </c:strCache>
            </c:strRef>
          </c:cat>
          <c:val>
            <c:numRef>
              <c:f>ROSGO!$AR$172:$AV$172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CF0F-4D84-94AC-55E3746B532A}"/>
            </c:ext>
          </c:extLst>
        </c:ser>
        <c:dLbls>
          <c:showLegendKey val="0"/>
          <c:showVal val="0"/>
          <c:showCatName val="0"/>
          <c:showSerName val="0"/>
          <c:showPercent val="0"/>
          <c:showBubbleSize val="0"/>
        </c:dLbls>
        <c:marker val="1"/>
        <c:smooth val="0"/>
        <c:axId val="641730432"/>
        <c:axId val="641736704"/>
      </c:lineChart>
      <c:catAx>
        <c:axId val="641730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736704"/>
        <c:crosses val="autoZero"/>
        <c:auto val="1"/>
        <c:lblAlgn val="ctr"/>
        <c:lblOffset val="100"/>
        <c:tickLblSkip val="1"/>
        <c:tickMarkSkip val="1"/>
        <c:noMultiLvlLbl val="0"/>
      </c:catAx>
      <c:valAx>
        <c:axId val="64173670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7304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9149370983799438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LAC to </a:t>
            </a:r>
            <a:r>
              <a:rPr lang="en-GB" sz="900" baseline="0"/>
              <a:t>SGO</a:t>
            </a:r>
            <a:endParaRPr lang="en-GB" sz="900"/>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ROSGO!$AK$172</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2015-16</c:v>
                </c:pt>
                <c:pt idx="1">
                  <c:v>2016-17</c:v>
                </c:pt>
                <c:pt idx="2">
                  <c:v>2017-18</c:v>
                </c:pt>
                <c:pt idx="3">
                  <c:v>2018-19</c:v>
                </c:pt>
                <c:pt idx="4">
                  <c:v>2019-20</c:v>
                </c:pt>
              </c:strCache>
            </c:strRef>
          </c:cat>
          <c:val>
            <c:numRef>
              <c:f>ROSGO!$AW$172:$BA$172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89D8-4E8A-B816-5B1BB544C5FA}"/>
            </c:ext>
          </c:extLst>
        </c:ser>
        <c:ser>
          <c:idx val="4"/>
          <c:order val="1"/>
          <c:tx>
            <c:strRef>
              <c:f>Adoption!$B$171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2015-16</c:v>
                </c:pt>
                <c:pt idx="1">
                  <c:v>2016-17</c:v>
                </c:pt>
                <c:pt idx="2">
                  <c:v>2017-18</c:v>
                </c:pt>
                <c:pt idx="3">
                  <c:v>2018-19</c:v>
                </c:pt>
                <c:pt idx="4">
                  <c:v>2019-20</c:v>
                </c:pt>
              </c:strCache>
            </c:strRef>
          </c:cat>
          <c:val>
            <c:numRef>
              <c:f>ROSGO!$D$206:$H$206</c:f>
              <c:numCache>
                <c:formatCode>0%</c:formatCode>
                <c:ptCount val="5"/>
                <c:pt idx="0">
                  <c:v>9.6774193548387094E-2</c:v>
                </c:pt>
                <c:pt idx="1">
                  <c:v>9.8924731182795697E-2</c:v>
                </c:pt>
                <c:pt idx="2">
                  <c:v>0.11600928074245939</c:v>
                </c:pt>
                <c:pt idx="3">
                  <c:v>0.11835748792270531</c:v>
                </c:pt>
                <c:pt idx="4">
                  <c:v>0.11267605633802817</c:v>
                </c:pt>
              </c:numCache>
            </c:numRef>
          </c:val>
          <c:extLst>
            <c:ext xmlns:c16="http://schemas.microsoft.com/office/drawing/2014/chart" uri="{C3380CC4-5D6E-409C-BE32-E72D297353CC}">
              <c16:uniqueId val="{00000001-89D8-4E8A-B816-5B1BB544C5FA}"/>
            </c:ext>
          </c:extLst>
        </c:ser>
        <c:ser>
          <c:idx val="0"/>
          <c:order val="2"/>
          <c:tx>
            <c:strRef>
              <c:f>Adoption!$B$172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2015-16</c:v>
                </c:pt>
                <c:pt idx="1">
                  <c:v>2016-17</c:v>
                </c:pt>
                <c:pt idx="2">
                  <c:v>2017-18</c:v>
                </c:pt>
                <c:pt idx="3">
                  <c:v>2018-19</c:v>
                </c:pt>
                <c:pt idx="4">
                  <c:v>2019-20</c:v>
                </c:pt>
              </c:strCache>
            </c:strRef>
          </c:cat>
          <c:val>
            <c:numRef>
              <c:f>ROSGO!$D$207:$H$207</c:f>
              <c:numCache>
                <c:formatCode>0%</c:formatCode>
                <c:ptCount val="5"/>
                <c:pt idx="0">
                  <c:v>0.12115505335844319</c:v>
                </c:pt>
                <c:pt idx="1">
                  <c:v>0.11751592356687898</c:v>
                </c:pt>
                <c:pt idx="2">
                  <c:v>0.11414309484193012</c:v>
                </c:pt>
                <c:pt idx="3">
                  <c:v>0.13034623217922606</c:v>
                </c:pt>
                <c:pt idx="4">
                  <c:v>0.1250422440013518</c:v>
                </c:pt>
              </c:numCache>
            </c:numRef>
          </c:val>
          <c:extLst>
            <c:ext xmlns:c16="http://schemas.microsoft.com/office/drawing/2014/chart" uri="{C3380CC4-5D6E-409C-BE32-E72D297353CC}">
              <c16:uniqueId val="{00000002-89D8-4E8A-B816-5B1BB544C5FA}"/>
            </c:ext>
          </c:extLst>
        </c:ser>
        <c:dLbls>
          <c:showLegendKey val="0"/>
          <c:showVal val="0"/>
          <c:showCatName val="0"/>
          <c:showSerName val="0"/>
          <c:showPercent val="0"/>
          <c:showBubbleSize val="0"/>
        </c:dLbls>
        <c:gapWidth val="100"/>
        <c:axId val="641771008"/>
        <c:axId val="641772544"/>
      </c:barChart>
      <c:catAx>
        <c:axId val="641771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772544"/>
        <c:crosses val="autoZero"/>
        <c:auto val="1"/>
        <c:lblAlgn val="ctr"/>
        <c:lblOffset val="100"/>
        <c:noMultiLvlLbl val="0"/>
      </c:catAx>
      <c:valAx>
        <c:axId val="64177254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77100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Early Help Assessments, per 10,000 0-17 year olds</a:t>
            </a:r>
          </a:p>
        </c:rich>
      </c:tx>
      <c:layout>
        <c:manualLayout>
          <c:xMode val="edge"/>
          <c:yMode val="edge"/>
          <c:x val="0.11029244775365422"/>
          <c:y val="1.8762029746281716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314128316378036"/>
        </c:manualLayout>
      </c:layout>
      <c:lineChart>
        <c:grouping val="standard"/>
        <c:varyColors val="0"/>
        <c:ser>
          <c:idx val="0"/>
          <c:order val="0"/>
          <c:tx>
            <c:strRef>
              <c:f>EH_Assessments!$AK$40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9E31-4DED-A434-7CD525A546E1}"/>
              </c:ext>
            </c:extLst>
          </c:dPt>
          <c:cat>
            <c:strRef>
              <c:f>EH_Assessments!$Z$2:$AD$3</c:f>
              <c:strCache>
                <c:ptCount val="5"/>
                <c:pt idx="0">
                  <c:v>2015-16</c:v>
                </c:pt>
                <c:pt idx="1">
                  <c:v>2016-17</c:v>
                </c:pt>
                <c:pt idx="2">
                  <c:v>2017-18</c:v>
                </c:pt>
                <c:pt idx="3">
                  <c:v>2018-19</c:v>
                </c:pt>
                <c:pt idx="4">
                  <c:v>2019-20</c:v>
                </c:pt>
              </c:strCache>
            </c:strRef>
          </c:cat>
          <c:val>
            <c:numRef>
              <c:f>EH_Assessments!$AL$40:$AP$40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E31-4DED-A434-7CD525A546E1}"/>
            </c:ext>
          </c:extLst>
        </c:ser>
        <c:ser>
          <c:idx val="1"/>
          <c:order val="1"/>
          <c:tx>
            <c:strRef>
              <c:f>EH_Assessments!$AK$41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EH_Assessments!$AL$41:$AP$41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9E31-4DED-A434-7CD525A546E1}"/>
            </c:ext>
          </c:extLst>
        </c:ser>
        <c:ser>
          <c:idx val="2"/>
          <c:order val="2"/>
          <c:tx>
            <c:strRef>
              <c:f>EH_Assessments!$AK$42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EH_Assessments!$AL$42:$AP$42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9E31-4DED-A434-7CD525A546E1}"/>
            </c:ext>
          </c:extLst>
        </c:ser>
        <c:ser>
          <c:idx val="5"/>
          <c:order val="3"/>
          <c:tx>
            <c:strRef>
              <c:f>EH_Assessments!$AK$43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EH_Assessments!$AL$43:$AP$43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9E31-4DED-A434-7CD525A546E1}"/>
            </c:ext>
          </c:extLst>
        </c:ser>
        <c:ser>
          <c:idx val="9"/>
          <c:order val="4"/>
          <c:tx>
            <c:strRef>
              <c:f>EH_Assessments!$AK$44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EH_Assessments!$AL$44:$AP$44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9E31-4DED-A434-7CD525A546E1}"/>
            </c:ext>
          </c:extLst>
        </c:ser>
        <c:ser>
          <c:idx val="10"/>
          <c:order val="5"/>
          <c:tx>
            <c:strRef>
              <c:f>EH_Assessments!$AK$45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EH_Assessments!$AL$45:$AP$45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9E31-4DED-A434-7CD525A546E1}"/>
            </c:ext>
          </c:extLst>
        </c:ser>
        <c:ser>
          <c:idx val="11"/>
          <c:order val="6"/>
          <c:tx>
            <c:strRef>
              <c:f>EH_Assessments!$AK$46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EH_Assessments!$AL$46:$AP$46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9E31-4DED-A434-7CD525A546E1}"/>
            </c:ext>
          </c:extLst>
        </c:ser>
        <c:ser>
          <c:idx val="12"/>
          <c:order val="7"/>
          <c:tx>
            <c:strRef>
              <c:f>EH_Assessments!$AK$47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EH_Assessments!$AL$47:$AP$47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9E31-4DED-A434-7CD525A546E1}"/>
            </c:ext>
          </c:extLst>
        </c:ser>
        <c:ser>
          <c:idx val="13"/>
          <c:order val="8"/>
          <c:tx>
            <c:strRef>
              <c:f>EH_Assessments!$AK$48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EH_Assessments!$AL$48:$AP$48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9E31-4DED-A434-7CD525A546E1}"/>
            </c:ext>
          </c:extLst>
        </c:ser>
        <c:ser>
          <c:idx val="15"/>
          <c:order val="9"/>
          <c:tx>
            <c:strRef>
              <c:f>EH_Assessments!$AK$49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EH_Assessments!$AL$49:$AP$49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9E31-4DED-A434-7CD525A546E1}"/>
            </c:ext>
          </c:extLst>
        </c:ser>
        <c:ser>
          <c:idx val="16"/>
          <c:order val="10"/>
          <c:tx>
            <c:strRef>
              <c:f>EH_Assessments!$AK$50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EH_Assessments!$AL$50:$AP$50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9E31-4DED-A434-7CD525A546E1}"/>
            </c:ext>
          </c:extLst>
        </c:ser>
        <c:ser>
          <c:idx val="17"/>
          <c:order val="11"/>
          <c:tx>
            <c:strRef>
              <c:f>EH_Assessments!$AK$51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EH_Assessments!$AL$51:$AP$51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9E31-4DED-A434-7CD525A546E1}"/>
            </c:ext>
          </c:extLst>
        </c:ser>
        <c:ser>
          <c:idx val="19"/>
          <c:order val="12"/>
          <c:tx>
            <c:strRef>
              <c:f>EH_Assessments!$AK$52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EH_Assessments!$AL$52:$AP$52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9E31-4DED-A434-7CD525A546E1}"/>
            </c:ext>
          </c:extLst>
        </c:ser>
        <c:ser>
          <c:idx val="3"/>
          <c:order val="13"/>
          <c:tx>
            <c:strRef>
              <c:f>EH_Assessments!$AK$53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EH_Assessments!$AL$53:$AP$53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9E31-4DED-A434-7CD525A546E1}"/>
            </c:ext>
          </c:extLst>
        </c:ser>
        <c:ser>
          <c:idx val="20"/>
          <c:order val="14"/>
          <c:tx>
            <c:strRef>
              <c:f>EH_Assessments!$AK$54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EH_Assessments!$AL$54:$AP$54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9E31-4DED-A434-7CD525A546E1}"/>
            </c:ext>
          </c:extLst>
        </c:ser>
        <c:ser>
          <c:idx val="22"/>
          <c:order val="15"/>
          <c:tx>
            <c:strRef>
              <c:f>EH_Assessments!$AK$55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EH_Assessments!$AL$55:$AP$55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9E31-4DED-A434-7CD525A546E1}"/>
            </c:ext>
          </c:extLst>
        </c:ser>
        <c:ser>
          <c:idx val="7"/>
          <c:order val="16"/>
          <c:tx>
            <c:strRef>
              <c:f>EH_Assessments!$AK$56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EH_Assessments!$Z$2:$AD$3</c:f>
              <c:strCache>
                <c:ptCount val="5"/>
                <c:pt idx="0">
                  <c:v>2015-16</c:v>
                </c:pt>
                <c:pt idx="1">
                  <c:v>2016-17</c:v>
                </c:pt>
                <c:pt idx="2">
                  <c:v>2017-18</c:v>
                </c:pt>
                <c:pt idx="3">
                  <c:v>2018-19</c:v>
                </c:pt>
                <c:pt idx="4">
                  <c:v>2019-20</c:v>
                </c:pt>
              </c:strCache>
            </c:strRef>
          </c:cat>
          <c:val>
            <c:numRef>
              <c:f>EH_Assessments!$AL$56:$AP$56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9E31-4DED-A434-7CD525A546E1}"/>
            </c:ext>
          </c:extLst>
        </c:ser>
        <c:ser>
          <c:idx val="8"/>
          <c:order val="17"/>
          <c:tx>
            <c:strRef>
              <c:f>EH_Assessments!$AK$57</c:f>
              <c:strCache>
                <c:ptCount val="1"/>
                <c:pt idx="0">
                  <c:v>Torbay</c:v>
                </c:pt>
              </c:strCache>
            </c:strRef>
          </c:tx>
          <c:spPr>
            <a:ln w="12700"/>
          </c:spPr>
          <c:marker>
            <c:symbol val="circle"/>
            <c:size val="5"/>
            <c:spPr>
              <a:solidFill>
                <a:schemeClr val="accent3">
                  <a:lumMod val="20000"/>
                  <a:lumOff val="80000"/>
                </a:schemeClr>
              </a:solidFill>
            </c:spPr>
          </c:marker>
          <c:cat>
            <c:strRef>
              <c:f>EH_Assessments!$Z$2:$AD$3</c:f>
              <c:strCache>
                <c:ptCount val="5"/>
                <c:pt idx="0">
                  <c:v>2015-16</c:v>
                </c:pt>
                <c:pt idx="1">
                  <c:v>2016-17</c:v>
                </c:pt>
                <c:pt idx="2">
                  <c:v>2017-18</c:v>
                </c:pt>
                <c:pt idx="3">
                  <c:v>2018-19</c:v>
                </c:pt>
                <c:pt idx="4">
                  <c:v>2019-20</c:v>
                </c:pt>
              </c:strCache>
            </c:strRef>
          </c:cat>
          <c:val>
            <c:numRef>
              <c:f>EH_Assessments!$AL$57:$AP$57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9E31-4DED-A434-7CD525A546E1}"/>
            </c:ext>
          </c:extLst>
        </c:ser>
        <c:ser>
          <c:idx val="23"/>
          <c:order val="18"/>
          <c:tx>
            <c:strRef>
              <c:f>EH_Assessments!$AK$58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EH_Assessments!$AL$58:$AP$58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9E31-4DED-A434-7CD525A546E1}"/>
            </c:ext>
          </c:extLst>
        </c:ser>
        <c:ser>
          <c:idx val="24"/>
          <c:order val="19"/>
          <c:tx>
            <c:strRef>
              <c:f>EH_Assessments!$AK$59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EH_Assessments!$AL$59:$AP$59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9E31-4DED-A434-7CD525A546E1}"/>
            </c:ext>
          </c:extLst>
        </c:ser>
        <c:ser>
          <c:idx val="25"/>
          <c:order val="20"/>
          <c:tx>
            <c:strRef>
              <c:f>EH_Assessments!$AK$60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EH_Assessments!$AL$60:$AP$60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9E31-4DED-A434-7CD525A546E1}"/>
            </c:ext>
          </c:extLst>
        </c:ser>
        <c:ser>
          <c:idx val="26"/>
          <c:order val="21"/>
          <c:tx>
            <c:strRef>
              <c:f>EH_Assessments!$AK$61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EH_Assessments!$AL$61:$AP$61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9E31-4DED-A434-7CD525A546E1}"/>
            </c:ext>
          </c:extLst>
        </c:ser>
        <c:ser>
          <c:idx val="4"/>
          <c:order val="22"/>
          <c:tx>
            <c:strRef>
              <c:f>EH_Assessments!$AK$62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EH_Assessments!$AL$62:$AP$62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9E31-4DED-A434-7CD525A546E1}"/>
            </c:ext>
          </c:extLst>
        </c:ser>
        <c:ser>
          <c:idx val="14"/>
          <c:order val="23"/>
          <c:tx>
            <c:strRef>
              <c:f>EH_Assessments!$AK$63</c:f>
              <c:strCache>
                <c:ptCount val="1"/>
                <c:pt idx="0">
                  <c:v>Selected LA- (none)</c:v>
                </c:pt>
              </c:strCache>
            </c:strRef>
          </c:tx>
          <c:spPr>
            <a:ln w="19050">
              <a:solidFill>
                <a:schemeClr val="tx1">
                  <a:lumMod val="75000"/>
                  <a:lumOff val="25000"/>
                </a:schemeClr>
              </a:solidFill>
            </a:ln>
          </c:spPr>
          <c:marker>
            <c:symbol val="circle"/>
            <c:size val="6"/>
            <c:spPr>
              <a:solidFill>
                <a:srgbClr val="66FF99"/>
              </a:solidFill>
              <a:ln w="12700">
                <a:solidFill>
                  <a:schemeClr val="tx1">
                    <a:lumMod val="75000"/>
                    <a:lumOff val="25000"/>
                  </a:schemeClr>
                </a:solidFill>
              </a:ln>
            </c:spPr>
          </c:marker>
          <c:cat>
            <c:strRef>
              <c:f>EH_Assessments!$Z$2:$AD$3</c:f>
              <c:strCache>
                <c:ptCount val="5"/>
                <c:pt idx="0">
                  <c:v>2015-16</c:v>
                </c:pt>
                <c:pt idx="1">
                  <c:v>2016-17</c:v>
                </c:pt>
                <c:pt idx="2">
                  <c:v>2017-18</c:v>
                </c:pt>
                <c:pt idx="3">
                  <c:v>2018-19</c:v>
                </c:pt>
                <c:pt idx="4">
                  <c:v>2019-20</c:v>
                </c:pt>
              </c:strCache>
            </c:strRef>
          </c:cat>
          <c:val>
            <c:numRef>
              <c:f>EH_Assessments!$AL$63:$AP$63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9E31-4DED-A434-7CD525A546E1}"/>
            </c:ext>
          </c:extLst>
        </c:ser>
        <c:dLbls>
          <c:showLegendKey val="0"/>
          <c:showVal val="0"/>
          <c:showCatName val="0"/>
          <c:showSerName val="0"/>
          <c:showPercent val="0"/>
          <c:showBubbleSize val="0"/>
        </c:dLbls>
        <c:marker val="1"/>
        <c:smooth val="0"/>
        <c:axId val="477983872"/>
        <c:axId val="477985408"/>
      </c:lineChart>
      <c:catAx>
        <c:axId val="477983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77985408"/>
        <c:crosses val="autoZero"/>
        <c:auto val="1"/>
        <c:lblAlgn val="ctr"/>
        <c:lblOffset val="100"/>
        <c:tickLblSkip val="1"/>
        <c:tickMarkSkip val="1"/>
        <c:noMultiLvlLbl val="0"/>
      </c:catAx>
      <c:valAx>
        <c:axId val="47798540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779838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ceasing to be Looked After in year who were </a:t>
            </a:r>
          </a:p>
          <a:p>
            <a:pPr>
              <a:defRPr sz="1000" b="1" i="0" u="none" strike="noStrike" baseline="0">
                <a:solidFill>
                  <a:srgbClr val="000000"/>
                </a:solidFill>
                <a:latin typeface="Arial"/>
                <a:ea typeface="Arial"/>
                <a:cs typeface="Arial"/>
              </a:defRPr>
            </a:pPr>
            <a:r>
              <a:rPr lang="en-GB"/>
              <a:t>granted a Special Guardianship Order (%)</a:t>
            </a:r>
          </a:p>
        </c:rich>
      </c:tx>
      <c:layout>
        <c:manualLayout>
          <c:xMode val="edge"/>
          <c:yMode val="edge"/>
          <c:x val="0.11896079723102342"/>
          <c:y val="1.0301221879597805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50930878282328"/>
        </c:manualLayout>
      </c:layout>
      <c:lineChart>
        <c:grouping val="standard"/>
        <c:varyColors val="0"/>
        <c:ser>
          <c:idx val="0"/>
          <c:order val="0"/>
          <c:tx>
            <c:strRef>
              <c:f>ROSGO!$AK$148</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900A-4E0D-8679-942F305675EC}"/>
              </c:ext>
            </c:extLst>
          </c:dPt>
          <c:cat>
            <c:strRef>
              <c:f>ROSGO!$AW$146:$BA$147</c:f>
              <c:strCache>
                <c:ptCount val="5"/>
                <c:pt idx="0">
                  <c:v>2015-16</c:v>
                </c:pt>
                <c:pt idx="1">
                  <c:v>2016-17</c:v>
                </c:pt>
                <c:pt idx="2">
                  <c:v>2017-18</c:v>
                </c:pt>
                <c:pt idx="3">
                  <c:v>2018-19</c:v>
                </c:pt>
                <c:pt idx="4">
                  <c:v>2019-20</c:v>
                </c:pt>
              </c:strCache>
            </c:strRef>
          </c:cat>
          <c:val>
            <c:numRef>
              <c:f>ROSGO!$AW$148:$BA$148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00A-4E0D-8679-942F305675EC}"/>
            </c:ext>
          </c:extLst>
        </c:ser>
        <c:ser>
          <c:idx val="1"/>
          <c:order val="1"/>
          <c:tx>
            <c:strRef>
              <c:f>ROSGO!$AK$149</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ROSGO!$AW$146:$BA$147</c:f>
              <c:strCache>
                <c:ptCount val="5"/>
                <c:pt idx="0">
                  <c:v>2015-16</c:v>
                </c:pt>
                <c:pt idx="1">
                  <c:v>2016-17</c:v>
                </c:pt>
                <c:pt idx="2">
                  <c:v>2017-18</c:v>
                </c:pt>
                <c:pt idx="3">
                  <c:v>2018-19</c:v>
                </c:pt>
                <c:pt idx="4">
                  <c:v>2019-20</c:v>
                </c:pt>
              </c:strCache>
            </c:strRef>
          </c:cat>
          <c:val>
            <c:numRef>
              <c:f>ROSGO!$AW$149:$BA$149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900A-4E0D-8679-942F305675EC}"/>
            </c:ext>
          </c:extLst>
        </c:ser>
        <c:ser>
          <c:idx val="2"/>
          <c:order val="2"/>
          <c:tx>
            <c:strRef>
              <c:f>ROSGO!$AK$150</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ROSGO!$AW$146:$BA$147</c:f>
              <c:strCache>
                <c:ptCount val="5"/>
                <c:pt idx="0">
                  <c:v>2015-16</c:v>
                </c:pt>
                <c:pt idx="1">
                  <c:v>2016-17</c:v>
                </c:pt>
                <c:pt idx="2">
                  <c:v>2017-18</c:v>
                </c:pt>
                <c:pt idx="3">
                  <c:v>2018-19</c:v>
                </c:pt>
                <c:pt idx="4">
                  <c:v>2019-20</c:v>
                </c:pt>
              </c:strCache>
            </c:strRef>
          </c:cat>
          <c:val>
            <c:numRef>
              <c:f>ROSGO!$AW$150:$BA$150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900A-4E0D-8679-942F305675EC}"/>
            </c:ext>
          </c:extLst>
        </c:ser>
        <c:ser>
          <c:idx val="5"/>
          <c:order val="3"/>
          <c:tx>
            <c:strRef>
              <c:f>ROSGO!$AK$151</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ROSGO!$AW$146:$BA$147</c:f>
              <c:strCache>
                <c:ptCount val="5"/>
                <c:pt idx="0">
                  <c:v>2015-16</c:v>
                </c:pt>
                <c:pt idx="1">
                  <c:v>2016-17</c:v>
                </c:pt>
                <c:pt idx="2">
                  <c:v>2017-18</c:v>
                </c:pt>
                <c:pt idx="3">
                  <c:v>2018-19</c:v>
                </c:pt>
                <c:pt idx="4">
                  <c:v>2019-20</c:v>
                </c:pt>
              </c:strCache>
            </c:strRef>
          </c:cat>
          <c:val>
            <c:numRef>
              <c:f>ROSGO!$AW$151:$BA$151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900A-4E0D-8679-942F305675EC}"/>
            </c:ext>
          </c:extLst>
        </c:ser>
        <c:ser>
          <c:idx val="9"/>
          <c:order val="4"/>
          <c:tx>
            <c:strRef>
              <c:f>ROSGO!$AK$152</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ROSGO!$AW$146:$BA$147</c:f>
              <c:strCache>
                <c:ptCount val="5"/>
                <c:pt idx="0">
                  <c:v>2015-16</c:v>
                </c:pt>
                <c:pt idx="1">
                  <c:v>2016-17</c:v>
                </c:pt>
                <c:pt idx="2">
                  <c:v>2017-18</c:v>
                </c:pt>
                <c:pt idx="3">
                  <c:v>2018-19</c:v>
                </c:pt>
                <c:pt idx="4">
                  <c:v>2019-20</c:v>
                </c:pt>
              </c:strCache>
            </c:strRef>
          </c:cat>
          <c:val>
            <c:numRef>
              <c:f>ROSGO!$AW$152:$BA$152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900A-4E0D-8679-942F305675EC}"/>
            </c:ext>
          </c:extLst>
        </c:ser>
        <c:ser>
          <c:idx val="10"/>
          <c:order val="5"/>
          <c:tx>
            <c:strRef>
              <c:f>ROSGO!$AK$153</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ROSGO!$AW$146:$BA$147</c:f>
              <c:strCache>
                <c:ptCount val="5"/>
                <c:pt idx="0">
                  <c:v>2015-16</c:v>
                </c:pt>
                <c:pt idx="1">
                  <c:v>2016-17</c:v>
                </c:pt>
                <c:pt idx="2">
                  <c:v>2017-18</c:v>
                </c:pt>
                <c:pt idx="3">
                  <c:v>2018-19</c:v>
                </c:pt>
                <c:pt idx="4">
                  <c:v>2019-20</c:v>
                </c:pt>
              </c:strCache>
            </c:strRef>
          </c:cat>
          <c:val>
            <c:numRef>
              <c:f>ROSGO!$AW$153:$BA$153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900A-4E0D-8679-942F305675EC}"/>
            </c:ext>
          </c:extLst>
        </c:ser>
        <c:ser>
          <c:idx val="11"/>
          <c:order val="6"/>
          <c:tx>
            <c:strRef>
              <c:f>ROSGO!$AK$154</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ROSGO!$AW$146:$BA$147</c:f>
              <c:strCache>
                <c:ptCount val="5"/>
                <c:pt idx="0">
                  <c:v>2015-16</c:v>
                </c:pt>
                <c:pt idx="1">
                  <c:v>2016-17</c:v>
                </c:pt>
                <c:pt idx="2">
                  <c:v>2017-18</c:v>
                </c:pt>
                <c:pt idx="3">
                  <c:v>2018-19</c:v>
                </c:pt>
                <c:pt idx="4">
                  <c:v>2019-20</c:v>
                </c:pt>
              </c:strCache>
            </c:strRef>
          </c:cat>
          <c:val>
            <c:numRef>
              <c:f>ROSGO!$AW$154:$BA$154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900A-4E0D-8679-942F305675EC}"/>
            </c:ext>
          </c:extLst>
        </c:ser>
        <c:ser>
          <c:idx val="12"/>
          <c:order val="7"/>
          <c:tx>
            <c:strRef>
              <c:f>ROSGO!$AK$155</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ROSGO!$AW$146:$BA$147</c:f>
              <c:strCache>
                <c:ptCount val="5"/>
                <c:pt idx="0">
                  <c:v>2015-16</c:v>
                </c:pt>
                <c:pt idx="1">
                  <c:v>2016-17</c:v>
                </c:pt>
                <c:pt idx="2">
                  <c:v>2017-18</c:v>
                </c:pt>
                <c:pt idx="3">
                  <c:v>2018-19</c:v>
                </c:pt>
                <c:pt idx="4">
                  <c:v>2019-20</c:v>
                </c:pt>
              </c:strCache>
            </c:strRef>
          </c:cat>
          <c:val>
            <c:numRef>
              <c:f>ROSGO!$AW$155:$BA$155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900A-4E0D-8679-942F305675EC}"/>
            </c:ext>
          </c:extLst>
        </c:ser>
        <c:ser>
          <c:idx val="13"/>
          <c:order val="8"/>
          <c:tx>
            <c:strRef>
              <c:f>ROSGO!$AK$156</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ROSGO!$AW$146:$BA$147</c:f>
              <c:strCache>
                <c:ptCount val="5"/>
                <c:pt idx="0">
                  <c:v>2015-16</c:v>
                </c:pt>
                <c:pt idx="1">
                  <c:v>2016-17</c:v>
                </c:pt>
                <c:pt idx="2">
                  <c:v>2017-18</c:v>
                </c:pt>
                <c:pt idx="3">
                  <c:v>2018-19</c:v>
                </c:pt>
                <c:pt idx="4">
                  <c:v>2019-20</c:v>
                </c:pt>
              </c:strCache>
            </c:strRef>
          </c:cat>
          <c:val>
            <c:numRef>
              <c:f>ROSGO!$AW$156:$BA$156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900A-4E0D-8679-942F305675EC}"/>
            </c:ext>
          </c:extLst>
        </c:ser>
        <c:ser>
          <c:idx val="15"/>
          <c:order val="9"/>
          <c:tx>
            <c:strRef>
              <c:f>ROSGO!$AK$157</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ROSGO!$AW$146:$BA$147</c:f>
              <c:strCache>
                <c:ptCount val="5"/>
                <c:pt idx="0">
                  <c:v>2015-16</c:v>
                </c:pt>
                <c:pt idx="1">
                  <c:v>2016-17</c:v>
                </c:pt>
                <c:pt idx="2">
                  <c:v>2017-18</c:v>
                </c:pt>
                <c:pt idx="3">
                  <c:v>2018-19</c:v>
                </c:pt>
                <c:pt idx="4">
                  <c:v>2019-20</c:v>
                </c:pt>
              </c:strCache>
            </c:strRef>
          </c:cat>
          <c:val>
            <c:numRef>
              <c:f>ROSGO!$AW$157:$BA$157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900A-4E0D-8679-942F305675EC}"/>
            </c:ext>
          </c:extLst>
        </c:ser>
        <c:ser>
          <c:idx val="16"/>
          <c:order val="10"/>
          <c:tx>
            <c:strRef>
              <c:f>ROSGO!$AK$158</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ROSGO!$AW$146:$BA$147</c:f>
              <c:strCache>
                <c:ptCount val="5"/>
                <c:pt idx="0">
                  <c:v>2015-16</c:v>
                </c:pt>
                <c:pt idx="1">
                  <c:v>2016-17</c:v>
                </c:pt>
                <c:pt idx="2">
                  <c:v>2017-18</c:v>
                </c:pt>
                <c:pt idx="3">
                  <c:v>2018-19</c:v>
                </c:pt>
                <c:pt idx="4">
                  <c:v>2019-20</c:v>
                </c:pt>
              </c:strCache>
            </c:strRef>
          </c:cat>
          <c:val>
            <c:numRef>
              <c:f>ROSGO!$AW$158:$BA$158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900A-4E0D-8679-942F305675EC}"/>
            </c:ext>
          </c:extLst>
        </c:ser>
        <c:ser>
          <c:idx val="17"/>
          <c:order val="11"/>
          <c:tx>
            <c:strRef>
              <c:f>ROSGO!$AK$159</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ROSGO!$AW$146:$BA$147</c:f>
              <c:strCache>
                <c:ptCount val="5"/>
                <c:pt idx="0">
                  <c:v>2015-16</c:v>
                </c:pt>
                <c:pt idx="1">
                  <c:v>2016-17</c:v>
                </c:pt>
                <c:pt idx="2">
                  <c:v>2017-18</c:v>
                </c:pt>
                <c:pt idx="3">
                  <c:v>2018-19</c:v>
                </c:pt>
                <c:pt idx="4">
                  <c:v>2019-20</c:v>
                </c:pt>
              </c:strCache>
            </c:strRef>
          </c:cat>
          <c:val>
            <c:numRef>
              <c:f>ROSGO!$AW$159:$BA$159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900A-4E0D-8679-942F305675EC}"/>
            </c:ext>
          </c:extLst>
        </c:ser>
        <c:ser>
          <c:idx val="19"/>
          <c:order val="12"/>
          <c:tx>
            <c:strRef>
              <c:f>ROSGO!$AK$160</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ROSGO!$AW$146:$BA$147</c:f>
              <c:strCache>
                <c:ptCount val="5"/>
                <c:pt idx="0">
                  <c:v>2015-16</c:v>
                </c:pt>
                <c:pt idx="1">
                  <c:v>2016-17</c:v>
                </c:pt>
                <c:pt idx="2">
                  <c:v>2017-18</c:v>
                </c:pt>
                <c:pt idx="3">
                  <c:v>2018-19</c:v>
                </c:pt>
                <c:pt idx="4">
                  <c:v>2019-20</c:v>
                </c:pt>
              </c:strCache>
            </c:strRef>
          </c:cat>
          <c:val>
            <c:numRef>
              <c:f>ROSGO!$AW$160:$BA$160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900A-4E0D-8679-942F305675EC}"/>
            </c:ext>
          </c:extLst>
        </c:ser>
        <c:ser>
          <c:idx val="3"/>
          <c:order val="13"/>
          <c:tx>
            <c:strRef>
              <c:f>ROSGO!$AK$161</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ROSGO!$AW$146:$BA$147</c:f>
              <c:strCache>
                <c:ptCount val="5"/>
                <c:pt idx="0">
                  <c:v>2015-16</c:v>
                </c:pt>
                <c:pt idx="1">
                  <c:v>2016-17</c:v>
                </c:pt>
                <c:pt idx="2">
                  <c:v>2017-18</c:v>
                </c:pt>
                <c:pt idx="3">
                  <c:v>2018-19</c:v>
                </c:pt>
                <c:pt idx="4">
                  <c:v>2019-20</c:v>
                </c:pt>
              </c:strCache>
            </c:strRef>
          </c:cat>
          <c:val>
            <c:numRef>
              <c:f>ROSGO!$AW$161:$BA$161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900A-4E0D-8679-942F305675EC}"/>
            </c:ext>
          </c:extLst>
        </c:ser>
        <c:ser>
          <c:idx val="20"/>
          <c:order val="14"/>
          <c:tx>
            <c:strRef>
              <c:f>ROSGO!$AK$162</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ROSGO!$AW$146:$BA$147</c:f>
              <c:strCache>
                <c:ptCount val="5"/>
                <c:pt idx="0">
                  <c:v>2015-16</c:v>
                </c:pt>
                <c:pt idx="1">
                  <c:v>2016-17</c:v>
                </c:pt>
                <c:pt idx="2">
                  <c:v>2017-18</c:v>
                </c:pt>
                <c:pt idx="3">
                  <c:v>2018-19</c:v>
                </c:pt>
                <c:pt idx="4">
                  <c:v>2019-20</c:v>
                </c:pt>
              </c:strCache>
            </c:strRef>
          </c:cat>
          <c:val>
            <c:numRef>
              <c:f>ROSGO!$AW$162:$BA$162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900A-4E0D-8679-942F305675EC}"/>
            </c:ext>
          </c:extLst>
        </c:ser>
        <c:ser>
          <c:idx val="22"/>
          <c:order val="15"/>
          <c:tx>
            <c:strRef>
              <c:f>ROSGO!$AK$163</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ROSGO!$AW$146:$BA$147</c:f>
              <c:strCache>
                <c:ptCount val="5"/>
                <c:pt idx="0">
                  <c:v>2015-16</c:v>
                </c:pt>
                <c:pt idx="1">
                  <c:v>2016-17</c:v>
                </c:pt>
                <c:pt idx="2">
                  <c:v>2017-18</c:v>
                </c:pt>
                <c:pt idx="3">
                  <c:v>2018-19</c:v>
                </c:pt>
                <c:pt idx="4">
                  <c:v>2019-20</c:v>
                </c:pt>
              </c:strCache>
            </c:strRef>
          </c:cat>
          <c:val>
            <c:numRef>
              <c:f>ROSGO!$AW$163:$BA$163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900A-4E0D-8679-942F305675EC}"/>
            </c:ext>
          </c:extLst>
        </c:ser>
        <c:ser>
          <c:idx val="7"/>
          <c:order val="16"/>
          <c:tx>
            <c:strRef>
              <c:f>ROSGO!$AK$164</c:f>
              <c:strCache>
                <c:ptCount val="1"/>
                <c:pt idx="0">
                  <c:v>Swindon</c:v>
                </c:pt>
              </c:strCache>
            </c:strRef>
          </c:tx>
          <c:spPr>
            <a:ln w="12700"/>
          </c:spPr>
          <c:marker>
            <c:symbol val="triangle"/>
            <c:size val="5"/>
            <c:spPr>
              <a:solidFill>
                <a:schemeClr val="accent2">
                  <a:lumMod val="20000"/>
                  <a:lumOff val="80000"/>
                </a:schemeClr>
              </a:solidFill>
            </c:spPr>
          </c:marker>
          <c:cat>
            <c:strRef>
              <c:f>ROSGO!$AW$146:$BA$147</c:f>
              <c:strCache>
                <c:ptCount val="5"/>
                <c:pt idx="0">
                  <c:v>2015-16</c:v>
                </c:pt>
                <c:pt idx="1">
                  <c:v>2016-17</c:v>
                </c:pt>
                <c:pt idx="2">
                  <c:v>2017-18</c:v>
                </c:pt>
                <c:pt idx="3">
                  <c:v>2018-19</c:v>
                </c:pt>
                <c:pt idx="4">
                  <c:v>2019-20</c:v>
                </c:pt>
              </c:strCache>
            </c:strRef>
          </c:cat>
          <c:val>
            <c:numRef>
              <c:f>ROSGO!$AW$164:$BA$164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900A-4E0D-8679-942F305675EC}"/>
            </c:ext>
          </c:extLst>
        </c:ser>
        <c:ser>
          <c:idx val="8"/>
          <c:order val="17"/>
          <c:tx>
            <c:strRef>
              <c:f>ROSGO!$AK$165</c:f>
              <c:strCache>
                <c:ptCount val="1"/>
                <c:pt idx="0">
                  <c:v>Torbay</c:v>
                </c:pt>
              </c:strCache>
            </c:strRef>
          </c:tx>
          <c:spPr>
            <a:ln w="12700"/>
          </c:spPr>
          <c:marker>
            <c:symbol val="circle"/>
            <c:size val="5"/>
            <c:spPr>
              <a:solidFill>
                <a:schemeClr val="accent3">
                  <a:lumMod val="20000"/>
                  <a:lumOff val="80000"/>
                </a:schemeClr>
              </a:solidFill>
            </c:spPr>
          </c:marker>
          <c:cat>
            <c:strRef>
              <c:f>ROSGO!$AW$146:$BA$147</c:f>
              <c:strCache>
                <c:ptCount val="5"/>
                <c:pt idx="0">
                  <c:v>2015-16</c:v>
                </c:pt>
                <c:pt idx="1">
                  <c:v>2016-17</c:v>
                </c:pt>
                <c:pt idx="2">
                  <c:v>2017-18</c:v>
                </c:pt>
                <c:pt idx="3">
                  <c:v>2018-19</c:v>
                </c:pt>
                <c:pt idx="4">
                  <c:v>2019-20</c:v>
                </c:pt>
              </c:strCache>
            </c:strRef>
          </c:cat>
          <c:val>
            <c:numRef>
              <c:f>ROSGO!$AW$165:$BA$165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900A-4E0D-8679-942F305675EC}"/>
            </c:ext>
          </c:extLst>
        </c:ser>
        <c:ser>
          <c:idx val="23"/>
          <c:order val="18"/>
          <c:tx>
            <c:strRef>
              <c:f>ROSGO!$AK$166</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ROSGO!$AW$146:$BA$147</c:f>
              <c:strCache>
                <c:ptCount val="5"/>
                <c:pt idx="0">
                  <c:v>2015-16</c:v>
                </c:pt>
                <c:pt idx="1">
                  <c:v>2016-17</c:v>
                </c:pt>
                <c:pt idx="2">
                  <c:v>2017-18</c:v>
                </c:pt>
                <c:pt idx="3">
                  <c:v>2018-19</c:v>
                </c:pt>
                <c:pt idx="4">
                  <c:v>2019-20</c:v>
                </c:pt>
              </c:strCache>
            </c:strRef>
          </c:cat>
          <c:val>
            <c:numRef>
              <c:f>ROSGO!$AW$166:$BA$166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900A-4E0D-8679-942F305675EC}"/>
            </c:ext>
          </c:extLst>
        </c:ser>
        <c:ser>
          <c:idx val="24"/>
          <c:order val="19"/>
          <c:tx>
            <c:strRef>
              <c:f>ROSGO!$AK$167</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ROSGO!$AW$146:$BA$147</c:f>
              <c:strCache>
                <c:ptCount val="5"/>
                <c:pt idx="0">
                  <c:v>2015-16</c:v>
                </c:pt>
                <c:pt idx="1">
                  <c:v>2016-17</c:v>
                </c:pt>
                <c:pt idx="2">
                  <c:v>2017-18</c:v>
                </c:pt>
                <c:pt idx="3">
                  <c:v>2018-19</c:v>
                </c:pt>
                <c:pt idx="4">
                  <c:v>2019-20</c:v>
                </c:pt>
              </c:strCache>
            </c:strRef>
          </c:cat>
          <c:val>
            <c:numRef>
              <c:f>ROSGO!$AW$167:$BA$167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900A-4E0D-8679-942F305675EC}"/>
            </c:ext>
          </c:extLst>
        </c:ser>
        <c:ser>
          <c:idx val="25"/>
          <c:order val="20"/>
          <c:tx>
            <c:strRef>
              <c:f>ROSGO!$AK$168</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ROSGO!$AW$146:$BA$147</c:f>
              <c:strCache>
                <c:ptCount val="5"/>
                <c:pt idx="0">
                  <c:v>2015-16</c:v>
                </c:pt>
                <c:pt idx="1">
                  <c:v>2016-17</c:v>
                </c:pt>
                <c:pt idx="2">
                  <c:v>2017-18</c:v>
                </c:pt>
                <c:pt idx="3">
                  <c:v>2018-19</c:v>
                </c:pt>
                <c:pt idx="4">
                  <c:v>2019-20</c:v>
                </c:pt>
              </c:strCache>
            </c:strRef>
          </c:cat>
          <c:val>
            <c:numRef>
              <c:f>ROSGO!$AW$168:$BA$168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900A-4E0D-8679-942F305675EC}"/>
            </c:ext>
          </c:extLst>
        </c:ser>
        <c:ser>
          <c:idx val="26"/>
          <c:order val="21"/>
          <c:tx>
            <c:strRef>
              <c:f>ROSGO!$AK$169</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ROSGO!$AW$146:$BA$147</c:f>
              <c:strCache>
                <c:ptCount val="5"/>
                <c:pt idx="0">
                  <c:v>2015-16</c:v>
                </c:pt>
                <c:pt idx="1">
                  <c:v>2016-17</c:v>
                </c:pt>
                <c:pt idx="2">
                  <c:v>2017-18</c:v>
                </c:pt>
                <c:pt idx="3">
                  <c:v>2018-19</c:v>
                </c:pt>
                <c:pt idx="4">
                  <c:v>2019-20</c:v>
                </c:pt>
              </c:strCache>
            </c:strRef>
          </c:cat>
          <c:val>
            <c:numRef>
              <c:f>ROSGO!$AW$169:$BA$169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900A-4E0D-8679-942F305675EC}"/>
            </c:ext>
          </c:extLst>
        </c:ser>
        <c:ser>
          <c:idx val="4"/>
          <c:order val="22"/>
          <c:tx>
            <c:strRef>
              <c:f>ROSGO!$AK$170</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ROSGO!$AW$146:$BA$147</c:f>
              <c:strCache>
                <c:ptCount val="5"/>
                <c:pt idx="0">
                  <c:v>2015-16</c:v>
                </c:pt>
                <c:pt idx="1">
                  <c:v>2016-17</c:v>
                </c:pt>
                <c:pt idx="2">
                  <c:v>2017-18</c:v>
                </c:pt>
                <c:pt idx="3">
                  <c:v>2018-19</c:v>
                </c:pt>
                <c:pt idx="4">
                  <c:v>2019-20</c:v>
                </c:pt>
              </c:strCache>
            </c:strRef>
          </c:cat>
          <c:val>
            <c:numRef>
              <c:f>ROSGO!$AW$170:$BA$170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900A-4E0D-8679-942F305675EC}"/>
            </c:ext>
          </c:extLst>
        </c:ser>
        <c:ser>
          <c:idx val="6"/>
          <c:order val="23"/>
          <c:tx>
            <c:strRef>
              <c:f>ROSGO!$B$207</c:f>
              <c:strCache>
                <c:ptCount val="1"/>
                <c:pt idx="0">
                  <c:v>#REF!</c:v>
                </c:pt>
              </c:strCache>
            </c:strRef>
          </c:tx>
          <c:spPr>
            <a:ln w="22225">
              <a:solidFill>
                <a:schemeClr val="tx1">
                  <a:lumMod val="75000"/>
                  <a:lumOff val="25000"/>
                </a:schemeClr>
              </a:solidFill>
            </a:ln>
          </c:spPr>
          <c:marker>
            <c:symbol val="plus"/>
            <c:size val="5"/>
            <c:spPr>
              <a:noFill/>
              <a:ln>
                <a:solidFill>
                  <a:schemeClr val="tx1">
                    <a:lumMod val="75000"/>
                    <a:lumOff val="25000"/>
                  </a:schemeClr>
                </a:solidFill>
              </a:ln>
            </c:spPr>
          </c:marker>
          <c:val>
            <c:numRef>
              <c:f>ROSGO!$D$207:$H$207</c:f>
              <c:numCache>
                <c:formatCode>0%</c:formatCode>
                <c:ptCount val="5"/>
                <c:pt idx="0">
                  <c:v>0.12115505335844319</c:v>
                </c:pt>
                <c:pt idx="1">
                  <c:v>0.11751592356687898</c:v>
                </c:pt>
                <c:pt idx="2">
                  <c:v>0.11414309484193012</c:v>
                </c:pt>
                <c:pt idx="3">
                  <c:v>0.13034623217922606</c:v>
                </c:pt>
                <c:pt idx="4">
                  <c:v>0.1250422440013518</c:v>
                </c:pt>
              </c:numCache>
            </c:numRef>
          </c:val>
          <c:smooth val="0"/>
          <c:extLst>
            <c:ext xmlns:c16="http://schemas.microsoft.com/office/drawing/2014/chart" uri="{C3380CC4-5D6E-409C-BE32-E72D297353CC}">
              <c16:uniqueId val="{00000002-68A3-4F12-9C66-C598CF96E637}"/>
            </c:ext>
          </c:extLst>
        </c:ser>
        <c:ser>
          <c:idx val="14"/>
          <c:order val="24"/>
          <c:tx>
            <c:strRef>
              <c:f>ROSGO!$AK$172</c:f>
              <c:strCache>
                <c:ptCount val="1"/>
                <c:pt idx="0">
                  <c:v>Selected LA- (none)</c:v>
                </c:pt>
              </c:strCache>
            </c:strRef>
          </c:tx>
          <c:spPr>
            <a:ln w="25400">
              <a:solidFill>
                <a:schemeClr val="tx1">
                  <a:lumMod val="75000"/>
                  <a:lumOff val="25000"/>
                </a:schemeClr>
              </a:solidFill>
            </a:ln>
          </c:spPr>
          <c:marker>
            <c:symbol val="circle"/>
            <c:size val="6"/>
            <c:spPr>
              <a:solidFill>
                <a:srgbClr val="66FF99"/>
              </a:solidFill>
              <a:ln w="12700">
                <a:solidFill>
                  <a:srgbClr val="C00000"/>
                </a:solidFill>
              </a:ln>
            </c:spPr>
          </c:marker>
          <c:cat>
            <c:strRef>
              <c:f>ROSGO!$AW$146:$BA$147</c:f>
              <c:strCache>
                <c:ptCount val="5"/>
                <c:pt idx="0">
                  <c:v>2015-16</c:v>
                </c:pt>
                <c:pt idx="1">
                  <c:v>2016-17</c:v>
                </c:pt>
                <c:pt idx="2">
                  <c:v>2017-18</c:v>
                </c:pt>
                <c:pt idx="3">
                  <c:v>2018-19</c:v>
                </c:pt>
                <c:pt idx="4">
                  <c:v>2019-20</c:v>
                </c:pt>
              </c:strCache>
            </c:strRef>
          </c:cat>
          <c:val>
            <c:numRef>
              <c:f>ROSGO!$AW$172:$BA$172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900A-4E0D-8679-942F305675EC}"/>
            </c:ext>
          </c:extLst>
        </c:ser>
        <c:dLbls>
          <c:showLegendKey val="0"/>
          <c:showVal val="0"/>
          <c:showCatName val="0"/>
          <c:showSerName val="0"/>
          <c:showPercent val="0"/>
          <c:showBubbleSize val="0"/>
        </c:dLbls>
        <c:marker val="1"/>
        <c:smooth val="0"/>
        <c:axId val="641869312"/>
        <c:axId val="641870848"/>
      </c:lineChart>
      <c:catAx>
        <c:axId val="641869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870848"/>
        <c:crosses val="autoZero"/>
        <c:auto val="1"/>
        <c:lblAlgn val="ctr"/>
        <c:lblOffset val="100"/>
        <c:tickLblSkip val="1"/>
        <c:tickMarkSkip val="1"/>
        <c:noMultiLvlLbl val="0"/>
      </c:catAx>
      <c:valAx>
        <c:axId val="6418708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86931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0668096366003028"/>
          <c:h val="0.8634059849101933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Child Arrangement Orders vs. IDACI</a:t>
            </a:r>
          </a:p>
        </c:rich>
      </c:tx>
      <c:layout>
        <c:manualLayout>
          <c:xMode val="edge"/>
          <c:yMode val="edge"/>
          <c:x val="0.12882656791188773"/>
          <c:y val="1.8107871651178734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2"/>
          <c:order val="4"/>
          <c:tx>
            <c:strRef>
              <c:f>ROSGO!$X$41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D29-428E-BC21-24DF913B0D47}"/>
                </c:ext>
              </c:extLst>
            </c:dLbl>
            <c:dLbl>
              <c:idx val="1"/>
              <c:layout>
                <c:manualLayout>
                  <c:x val="-8.9922480620155038E-2"/>
                  <c:y val="-2.4132730015082957E-2"/>
                </c:manualLayout>
              </c:layout>
              <c:tx>
                <c:strRef>
                  <c:f>ROSGO!$AC$42</c:f>
                  <c:strCache>
                    <c:ptCount val="1"/>
                    <c:pt idx="0">
                      <c:v>#DIV/0!</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{7BC8453C-4DDF-4ECD-878C-3A5BC27CCC05}</c15:txfldGUID>
                      <c15:f>ROSGO!$AC$42</c15:f>
                      <c15:dlblFieldTableCache>
                        <c:ptCount val="1"/>
                        <c:pt idx="0">
                          <c:v>#DIV/0!</c:v>
                        </c:pt>
                      </c15:dlblFieldTableCache>
                    </c15:dlblFTEntry>
                  </c15:dlblFieldTable>
                  <c15:showDataLabelsRange val="0"/>
                </c:ext>
                <c:ext xmlns:c16="http://schemas.microsoft.com/office/drawing/2014/chart" uri="{C3380CC4-5D6E-409C-BE32-E72D297353CC}">
                  <c16:uniqueId val="{00000001-7D29-428E-BC21-24DF913B0D4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ROSGO!$AA$41:$AA$42</c:f>
              <c:numCache>
                <c:formatCode>General</c:formatCode>
                <c:ptCount val="2"/>
                <c:pt idx="0" formatCode="#,##0.0">
                  <c:v>5</c:v>
                </c:pt>
                <c:pt idx="1">
                  <c:v>35</c:v>
                </c:pt>
              </c:numCache>
            </c:numRef>
          </c:xVal>
          <c:yVal>
            <c:numRef>
              <c:f>ROSGO!$AB$41:$AB$42</c:f>
              <c:numCache>
                <c:formatCode>0.0</c:formatCode>
                <c:ptCount val="2"/>
                <c:pt idx="0">
                  <c:v>0</c:v>
                </c:pt>
                <c:pt idx="1">
                  <c:v>0</c:v>
                </c:pt>
              </c:numCache>
            </c:numRef>
          </c:yVal>
          <c:smooth val="1"/>
          <c:extLst>
            <c:ext xmlns:c16="http://schemas.microsoft.com/office/drawing/2014/chart" uri="{C3380CC4-5D6E-409C-BE32-E72D297353CC}">
              <c16:uniqueId val="{00000002-7D29-428E-BC21-24DF913B0D47}"/>
            </c:ext>
          </c:extLst>
        </c:ser>
        <c:dLbls>
          <c:showLegendKey val="0"/>
          <c:showVal val="0"/>
          <c:showCatName val="0"/>
          <c:showSerName val="0"/>
          <c:showPercent val="0"/>
          <c:showBubbleSize val="0"/>
        </c:dLbls>
        <c:axId val="642007040"/>
        <c:axId val="642009344"/>
      </c:scatterChart>
      <c:scatterChart>
        <c:scatterStyle val="lineMarker"/>
        <c:varyColors val="0"/>
        <c:ser>
          <c:idx val="0"/>
          <c:order val="0"/>
          <c:tx>
            <c:strRef>
              <c:f>ROSGO!$AQ$38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7D29-428E-BC21-24DF913B0D47}"/>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{F15EE530-4BDD-4DA7-94FC-C70FDBF65794}</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7D29-428E-BC21-24DF913B0D47}"/>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{97772A60-40A1-48D5-AB17-637D89812EA3}</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7D29-428E-BC21-24DF913B0D47}"/>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{D18EB9CF-A90C-47F1-B91B-0DDB33294469}</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7D29-428E-BC21-24DF913B0D47}"/>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{FD9E45C6-FA07-433D-91B5-E1AF25699E44}</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7D29-428E-BC21-24DF913B0D47}"/>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{81FCC5DE-3B11-42D3-A094-EB33A406FF51}</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7D29-428E-BC21-24DF913B0D47}"/>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{55418AE7-0E44-409C-B16B-90431B206E94}</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7D29-428E-BC21-24DF913B0D47}"/>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{3EB608B6-6A70-437B-9D5F-1C1802956264}</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7D29-428E-BC21-24DF913B0D47}"/>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{7F9436F4-33CC-4215-BE54-8AAB2840E781}</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7D29-428E-BC21-24DF913B0D47}"/>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{724837C0-99CF-4C4B-A2B6-A9A661CF1C30}</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7D29-428E-BC21-24DF913B0D47}"/>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{DF5F54D5-3FC8-4559-92CD-8250C3FC9623}</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7D29-428E-BC21-24DF913B0D47}"/>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{F5128F95-3DDF-4A65-93B0-E43EC1FABFF7}</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7D29-428E-BC21-24DF913B0D47}"/>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{3A7B9F01-3984-4C51-B064-AA4F8795672C}</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7D29-428E-BC21-24DF913B0D47}"/>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{5C094DF1-64D8-4687-9808-DD9BE256DAD4}</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7D29-428E-BC21-24DF913B0D47}"/>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{17A630FA-71D3-41E9-85C6-305A6DD89D84}</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7D29-428E-BC21-24DF913B0D47}"/>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{3C497AF5-AB34-4697-BABF-B23127D08E30}</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7D29-428E-BC21-24DF913B0D47}"/>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{EE95C48A-1EA5-4A51-9771-5EEEA4EC1D9D}</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7D29-428E-BC21-24DF913B0D47}"/>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{092473D1-B2AF-4E84-9103-EC2301C4376D}</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7D29-428E-BC21-24DF913B0D47}"/>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{4B6857F0-05E4-42E8-A5FB-1665892CFD2B}</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7D29-428E-BC21-24DF913B0D47}"/>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{2E2197E6-C682-4D20-AC10-52566D811C06}</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7D29-428E-BC21-24DF913B0D47}"/>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(ROSGO!$AQ$41:$AQ$53,ROSGO!$AQ$55:$AQ$56,ROSGO!$AQ$59:$AQ$62)</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xVal>
          <c:yVal>
            <c:numRef>
              <c:f>(ROSGO!$AP$41:$AP$53,ROSGO!$AP$55:$AP$56,ROSGO!$AP$59:$AP$62)</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7D29-428E-BC21-24DF913B0D47}"/>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7D29-428E-BC21-24DF913B0D47}"/>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{8115CA41-3AAD-41AC-BC45-FA84DDF88402}</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7D29-428E-BC21-24DF913B0D47}"/>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{84867DCF-ADA9-4F66-86CF-A893666B9C47}</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7D29-428E-BC21-24DF913B0D47}"/>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{FAD74BA9-F168-4507-9E07-95A85A027CC8}</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7D29-428E-BC21-24DF913B0D47}"/>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(ROSGO!$AQ$54,ROSGO!$AQ$57:$AQ$58)</c:f>
              <c:numCache>
                <c:formatCode>0.0</c:formatCode>
                <c:ptCount val="3"/>
                <c:pt idx="0">
                  <c:v>#N/A</c:v>
                </c:pt>
                <c:pt idx="1">
                  <c:v>#N/A</c:v>
                </c:pt>
                <c:pt idx="2">
                  <c:v>#N/A</c:v>
                </c:pt>
              </c:numCache>
            </c:numRef>
          </c:xVal>
          <c:yVal>
            <c:numRef>
              <c:f>(ROSGO!$AP$54,ROSGO!$AP$57:$AP$58)</c:f>
              <c:numCache>
                <c:formatCode>0.0</c:formatCode>
                <c:ptCount val="3"/>
                <c:pt idx="0">
                  <c:v>#N/A</c:v>
                </c:pt>
                <c:pt idx="1">
                  <c:v>#N/A</c:v>
                </c:pt>
                <c:pt idx="2">
                  <c:v>#N/A</c:v>
                </c:pt>
              </c:numCache>
            </c:numRef>
          </c:yVal>
          <c:smooth val="0"/>
          <c:extLst>
            <c:ext xmlns:c16="http://schemas.microsoft.com/office/drawing/2014/chart" uri="{C3380CC4-5D6E-409C-BE32-E72D297353CC}">
              <c16:uniqueId val="{0000001B-7D29-428E-BC21-24DF913B0D47}"/>
            </c:ext>
          </c:extLst>
        </c:ser>
        <c:ser>
          <c:idx val="1"/>
          <c:order val="2"/>
          <c:tx>
            <c:strRef>
              <c:f>ROSGO!$Z$4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ROSGO!$AQ$65</c:f>
              <c:numCache>
                <c:formatCode>0.0</c:formatCode>
                <c:ptCount val="1"/>
                <c:pt idx="0">
                  <c:v>#N/A</c:v>
                </c:pt>
              </c:numCache>
            </c:numRef>
          </c:xVal>
          <c:yVal>
            <c:numRef>
              <c:f>ROSGO!$AP$65</c:f>
              <c:numCache>
                <c:formatCode>0.0</c:formatCode>
                <c:ptCount val="1"/>
                <c:pt idx="0">
                  <c:v>#N/A</c:v>
                </c:pt>
              </c:numCache>
            </c:numRef>
          </c:yVal>
          <c:smooth val="0"/>
          <c:extLst>
            <c:ext xmlns:c16="http://schemas.microsoft.com/office/drawing/2014/chart" uri="{C3380CC4-5D6E-409C-BE32-E72D297353CC}">
              <c16:uniqueId val="{0000001C-7D29-428E-BC21-24DF913B0D47}"/>
            </c:ext>
          </c:extLst>
        </c:ser>
        <c:ser>
          <c:idx val="4"/>
          <c:order val="3"/>
          <c:tx>
            <c:strRef>
              <c:f>ROSGO!$B$33</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ROSGO!$T$33</c:f>
              <c:numCache>
                <c:formatCode>0.0</c:formatCode>
                <c:ptCount val="1"/>
                <c:pt idx="0">
                  <c:v>0</c:v>
                </c:pt>
              </c:numCache>
            </c:numRef>
          </c:xVal>
          <c:yVal>
            <c:numRef>
              <c:f>ROSGO!$P$33</c:f>
              <c:numCache>
                <c:formatCode>0.0</c:formatCode>
                <c:ptCount val="1"/>
                <c:pt idx="0">
                  <c:v>#N/A</c:v>
                </c:pt>
              </c:numCache>
            </c:numRef>
          </c:yVal>
          <c:smooth val="0"/>
          <c:extLst>
            <c:ext xmlns:c16="http://schemas.microsoft.com/office/drawing/2014/chart" uri="{C3380CC4-5D6E-409C-BE32-E72D297353CC}">
              <c16:uniqueId val="{0000001D-7D29-428E-BC21-24DF913B0D47}"/>
            </c:ext>
          </c:extLst>
        </c:ser>
        <c:dLbls>
          <c:showLegendKey val="0"/>
          <c:showVal val="0"/>
          <c:showCatName val="0"/>
          <c:showSerName val="0"/>
          <c:showPercent val="0"/>
          <c:showBubbleSize val="0"/>
        </c:dLbls>
        <c:axId val="642007040"/>
        <c:axId val="642009344"/>
      </c:scatterChart>
      <c:valAx>
        <c:axId val="642007040"/>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2009344"/>
        <c:crosses val="autoZero"/>
        <c:crossBetween val="midCat"/>
        <c:majorUnit val="5"/>
      </c:valAx>
      <c:valAx>
        <c:axId val="64200934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Children subject to Child Arrangement Orders </a:t>
                </a:r>
              </a:p>
              <a:p>
                <a:pPr>
                  <a:defRPr sz="800" b="1" i="0" u="none" strike="noStrike" baseline="0">
                    <a:solidFill>
                      <a:srgbClr val="000000"/>
                    </a:solidFill>
                    <a:latin typeface="Arial"/>
                    <a:ea typeface="Arial"/>
                    <a:cs typeface="Arial"/>
                  </a:defRPr>
                </a:pPr>
                <a:r>
                  <a:rPr lang="en-GB" sz="800" b="1" i="0" u="none" strike="noStrike" baseline="0">
                    <a:effectLst/>
                  </a:rPr>
                  <a:t>per 10,000 0-17 year olds</a:t>
                </a:r>
              </a:p>
            </c:rich>
          </c:tx>
          <c:layout>
            <c:manualLayout>
              <c:xMode val="edge"/>
              <c:yMode val="edge"/>
              <c:x val="3.6771054303143612E-2"/>
              <c:y val="0.1521843891135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200704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a:t>
            </a:r>
            <a:r>
              <a:rPr lang="en-GB" sz="1000" b="1" i="0" u="none" strike="noStrike" baseline="0">
                <a:effectLst/>
              </a:rPr>
              <a:t>Special Guardianship  </a:t>
            </a:r>
            <a:r>
              <a:rPr lang="en-GB"/>
              <a:t>Orders vs. IDACI</a:t>
            </a:r>
          </a:p>
        </c:rich>
      </c:tx>
      <c:layout>
        <c:manualLayout>
          <c:xMode val="edge"/>
          <c:yMode val="edge"/>
          <c:x val="0.12882656791188773"/>
          <c:y val="1.8107871651178734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2"/>
          <c:order val="4"/>
          <c:tx>
            <c:strRef>
              <c:f>ROSGO!$X$148</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8E85-49E6-A762-C617489DFE3B}"/>
                </c:ext>
              </c:extLst>
            </c:dLbl>
            <c:dLbl>
              <c:idx val="1"/>
              <c:layout>
                <c:manualLayout>
                  <c:x val="-6.511627906976733E-2"/>
                  <c:y val="-2.4132730015082971E-2"/>
                </c:manualLayout>
              </c:layout>
              <c:tx>
                <c:strRef>
                  <c:f>ROSGO!$AC$149</c:f>
                  <c:strCache>
                    <c:ptCount val="1"/>
                    <c:pt idx="0">
                      <c:v>#DIV/0!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{B699A6CE-46A9-4F62-9738-56DC2F4C12B0}</c15:txfldGUID>
                      <c15:f>ROSGO!$AC$149</c15:f>
                      <c15:dlblFieldTableCache>
                        <c:ptCount val="1"/>
                        <c:pt idx="0">
                          <c:v>#DIV/0!</c:v>
                        </c:pt>
                      </c15:dlblFieldTableCache>
                    </c15:dlblFTEntry>
                  </c15:dlblFieldTable>
                  <c15:showDataLabelsRange val="0"/>
                </c:ext>
                <c:ext xmlns:c16="http://schemas.microsoft.com/office/drawing/2014/chart" uri="{C3380CC4-5D6E-409C-BE32-E72D297353CC}">
                  <c16:uniqueId val="{00000001-8E85-49E6-A762-C617489DFE3B}"/>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ROSGO!$AA$148:$AA$149</c:f>
              <c:numCache>
                <c:formatCode>General</c:formatCode>
                <c:ptCount val="2"/>
                <c:pt idx="0" formatCode="#,##0.0">
                  <c:v>5</c:v>
                </c:pt>
                <c:pt idx="1">
                  <c:v>35</c:v>
                </c:pt>
              </c:numCache>
            </c:numRef>
          </c:xVal>
          <c:yVal>
            <c:numRef>
              <c:f>ROSGO!$AB$148:$AB$149</c:f>
              <c:numCache>
                <c:formatCode>0.0</c:formatCode>
                <c:ptCount val="2"/>
                <c:pt idx="0">
                  <c:v>0</c:v>
                </c:pt>
                <c:pt idx="1">
                  <c:v>0</c:v>
                </c:pt>
              </c:numCache>
            </c:numRef>
          </c:yVal>
          <c:smooth val="1"/>
          <c:extLst>
            <c:ext xmlns:c16="http://schemas.microsoft.com/office/drawing/2014/chart" uri="{C3380CC4-5D6E-409C-BE32-E72D297353CC}">
              <c16:uniqueId val="{00000002-8E85-49E6-A762-C617489DFE3B}"/>
            </c:ext>
          </c:extLst>
        </c:ser>
        <c:dLbls>
          <c:showLegendKey val="0"/>
          <c:showVal val="0"/>
          <c:showCatName val="0"/>
          <c:showSerName val="0"/>
          <c:showPercent val="0"/>
          <c:showBubbleSize val="0"/>
        </c:dLbls>
        <c:axId val="642484864"/>
        <c:axId val="642192128"/>
      </c:scatterChart>
      <c:scatterChart>
        <c:scatterStyle val="lineMarker"/>
        <c:varyColors val="0"/>
        <c:ser>
          <c:idx val="0"/>
          <c:order val="0"/>
          <c:tx>
            <c:strRef>
              <c:f>ROSGO!$AQ$145</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8E85-49E6-A762-C617489DFE3B}"/>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{B447D952-CA72-441D-886F-E4233DE9C4DC}</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8E85-49E6-A762-C617489DFE3B}"/>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{205D009D-D3F3-451D-9C6B-62EEC7A65532}</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8E85-49E6-A762-C617489DFE3B}"/>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{D39EF552-24F1-40F3-B1F9-005CA66D8EEF}</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8E85-49E6-A762-C617489DFE3B}"/>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{351C1830-2FEA-4555-9F2B-76779629FD3E}</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8E85-49E6-A762-C617489DFE3B}"/>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{8F681B2E-9D05-464F-BAED-5EDC3E49BF01}</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8E85-49E6-A762-C617489DFE3B}"/>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{715282BB-3AED-4C79-B825-F3202032B0D3}</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8E85-49E6-A762-C617489DFE3B}"/>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{DAA0F029-7B27-4C22-B0A3-07284725CFCC}</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8E85-49E6-A762-C617489DFE3B}"/>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{7346A279-4B7D-49A6-980F-06269CA90472}</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8E85-49E6-A762-C617489DFE3B}"/>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{304FBD6F-4465-4077-A292-7BC976F5B3F8}</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8E85-49E6-A762-C617489DFE3B}"/>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{A0B45090-F405-463D-A598-64FFB8E51575}</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8E85-49E6-A762-C617489DFE3B}"/>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{5DDD1584-C585-4F34-BD05-0D71E3178273}</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8E85-49E6-A762-C617489DFE3B}"/>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{2DBFFEA9-9DB0-4FCC-9802-13FBF33C42E7}</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8E85-49E6-A762-C617489DFE3B}"/>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{A2550C11-7582-469D-9A74-F226361AE86D}</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8E85-49E6-A762-C617489DFE3B}"/>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{F0A03587-9C35-4AD9-8D54-B8967703D39D}</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8E85-49E6-A762-C617489DFE3B}"/>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{88F23C05-4390-4606-803D-7339156A1401}</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8E85-49E6-A762-C617489DFE3B}"/>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{9969E5A6-753A-4619-9DB3-088AD0FA69AB}</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8E85-49E6-A762-C617489DFE3B}"/>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{761A0781-4A25-4308-8452-E03B93A4E86C}</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8E85-49E6-A762-C617489DFE3B}"/>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{7CD91D6B-9B2A-4BFE-8972-84FEEFA679AC}</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8E85-49E6-A762-C617489DFE3B}"/>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{B87972D2-9B04-4DFC-AD0D-726785BF4DED}</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8E85-49E6-A762-C617489DFE3B}"/>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(ROSGO!$AQ$148:$AQ$160,ROSGO!$AQ$162:$AQ$163,ROSGO!$AQ$166:$AQ$169)</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xVal>
          <c:yVal>
            <c:numRef>
              <c:f>(ROSGO!$AP$148:$AP$160,ROSGO!$AP$162:$AP$163,ROSGO!$AP$166:$AP$169)</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8E85-49E6-A762-C617489DFE3B}"/>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8E85-49E6-A762-C617489DFE3B}"/>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{B951EF14-50CA-491C-BE3A-8FC075288AAB}</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8E85-49E6-A762-C617489DFE3B}"/>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{DF8546B3-B1F5-4511-AB8B-4BDB16B2C19C}</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8E85-49E6-A762-C617489DFE3B}"/>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{874D4D9E-2C4F-4DD1-9C76-C64E65D4B8FF}</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8E85-49E6-A762-C617489DFE3B}"/>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(ROSGO!$AQ$161,ROSGO!$AQ$164:$AQ$165)</c:f>
              <c:numCache>
                <c:formatCode>0.0</c:formatCode>
                <c:ptCount val="3"/>
                <c:pt idx="0">
                  <c:v>#N/A</c:v>
                </c:pt>
                <c:pt idx="1">
                  <c:v>#N/A</c:v>
                </c:pt>
                <c:pt idx="2">
                  <c:v>#N/A</c:v>
                </c:pt>
              </c:numCache>
            </c:numRef>
          </c:xVal>
          <c:yVal>
            <c:numRef>
              <c:f>(ROSGO!$AP$161,ROSGO!$AP$164:$AP$165)</c:f>
              <c:numCache>
                <c:formatCode>0.0</c:formatCode>
                <c:ptCount val="3"/>
                <c:pt idx="0">
                  <c:v>#N/A</c:v>
                </c:pt>
                <c:pt idx="1">
                  <c:v>#N/A</c:v>
                </c:pt>
                <c:pt idx="2">
                  <c:v>#N/A</c:v>
                </c:pt>
              </c:numCache>
            </c:numRef>
          </c:yVal>
          <c:smooth val="0"/>
          <c:extLst>
            <c:ext xmlns:c16="http://schemas.microsoft.com/office/drawing/2014/chart" uri="{C3380CC4-5D6E-409C-BE32-E72D297353CC}">
              <c16:uniqueId val="{0000001B-8E85-49E6-A762-C617489DFE3B}"/>
            </c:ext>
          </c:extLst>
        </c:ser>
        <c:ser>
          <c:idx val="1"/>
          <c:order val="2"/>
          <c:tx>
            <c:strRef>
              <c:f>ROSGO!$Z$4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ROSGO!$AQ$172</c:f>
              <c:numCache>
                <c:formatCode>0.0</c:formatCode>
                <c:ptCount val="1"/>
                <c:pt idx="0">
                  <c:v>#N/A</c:v>
                </c:pt>
              </c:numCache>
            </c:numRef>
          </c:xVal>
          <c:yVal>
            <c:numRef>
              <c:f>ROSGO!$AP$172</c:f>
              <c:numCache>
                <c:formatCode>0.0</c:formatCode>
                <c:ptCount val="1"/>
                <c:pt idx="0">
                  <c:v>#N/A</c:v>
                </c:pt>
              </c:numCache>
            </c:numRef>
          </c:yVal>
          <c:smooth val="0"/>
          <c:extLst>
            <c:ext xmlns:c16="http://schemas.microsoft.com/office/drawing/2014/chart" uri="{C3380CC4-5D6E-409C-BE32-E72D297353CC}">
              <c16:uniqueId val="{0000001C-8E85-49E6-A762-C617489DFE3B}"/>
            </c:ext>
          </c:extLst>
        </c:ser>
        <c:ser>
          <c:idx val="4"/>
          <c:order val="3"/>
          <c:tx>
            <c:strRef>
              <c:f>ROSGO!$B$140</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ROSGO!$T$140</c:f>
              <c:numCache>
                <c:formatCode>0.0</c:formatCode>
                <c:ptCount val="1"/>
                <c:pt idx="0">
                  <c:v>0</c:v>
                </c:pt>
              </c:numCache>
            </c:numRef>
          </c:xVal>
          <c:yVal>
            <c:numRef>
              <c:f>ROSGO!$P$140</c:f>
              <c:numCache>
                <c:formatCode>0.0</c:formatCode>
                <c:ptCount val="1"/>
                <c:pt idx="0">
                  <c:v>#N/A</c:v>
                </c:pt>
              </c:numCache>
            </c:numRef>
          </c:yVal>
          <c:smooth val="0"/>
          <c:extLst>
            <c:ext xmlns:c16="http://schemas.microsoft.com/office/drawing/2014/chart" uri="{C3380CC4-5D6E-409C-BE32-E72D297353CC}">
              <c16:uniqueId val="{0000001D-8E85-49E6-A762-C617489DFE3B}"/>
            </c:ext>
          </c:extLst>
        </c:ser>
        <c:dLbls>
          <c:showLegendKey val="0"/>
          <c:showVal val="0"/>
          <c:showCatName val="0"/>
          <c:showSerName val="0"/>
          <c:showPercent val="0"/>
          <c:showBubbleSize val="0"/>
        </c:dLbls>
        <c:axId val="642484864"/>
        <c:axId val="642192128"/>
      </c:scatterChart>
      <c:valAx>
        <c:axId val="642484864"/>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2192128"/>
        <c:crosses val="autoZero"/>
        <c:crossBetween val="midCat"/>
        <c:majorUnit val="5"/>
      </c:valAx>
      <c:valAx>
        <c:axId val="64219212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Children subject to Special Guardianship Orders </a:t>
                </a:r>
              </a:p>
              <a:p>
                <a:pPr>
                  <a:defRPr sz="800" b="1" i="0" u="none" strike="noStrike" baseline="0">
                    <a:solidFill>
                      <a:srgbClr val="000000"/>
                    </a:solidFill>
                    <a:latin typeface="Arial"/>
                    <a:ea typeface="Arial"/>
                    <a:cs typeface="Arial"/>
                  </a:defRPr>
                </a:pPr>
                <a:r>
                  <a:rPr lang="en-GB" sz="800" b="1" i="0" u="none" strike="noStrike" baseline="0">
                    <a:effectLst/>
                  </a:rPr>
                  <a:t>per 10,000 0-17 year olds</a:t>
                </a:r>
              </a:p>
            </c:rich>
          </c:tx>
          <c:layout>
            <c:manualLayout>
              <c:xMode val="edge"/>
              <c:yMode val="edge"/>
              <c:x val="3.6771054303143612E-2"/>
              <c:y val="0.1521843891135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248486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New EHC Plans Issued in period, per 10,000 </a:t>
            </a:r>
          </a:p>
          <a:p>
            <a:pPr>
              <a:defRPr sz="1000" b="1" i="0" u="none" strike="noStrike" baseline="0">
                <a:solidFill>
                  <a:srgbClr val="000000"/>
                </a:solidFill>
                <a:latin typeface="Arial"/>
                <a:ea typeface="Arial"/>
                <a:cs typeface="Arial"/>
              </a:defRPr>
            </a:pPr>
            <a:r>
              <a:rPr lang="en-GB"/>
              <a:t>0-25 year olds</a:t>
            </a:r>
          </a:p>
        </c:rich>
      </c:tx>
      <c:layout>
        <c:manualLayout>
          <c:xMode val="edge"/>
          <c:yMode val="edge"/>
          <c:x val="0.15135066275711351"/>
          <c:y val="1.0531740794488318E-2"/>
        </c:manualLayout>
      </c:layout>
      <c:overlay val="0"/>
      <c:spPr>
        <a:noFill/>
        <a:ln w="25400">
          <a:noFill/>
        </a:ln>
      </c:spPr>
    </c:title>
    <c:autoTitleDeleted val="0"/>
    <c:plotArea>
      <c:layout>
        <c:manualLayout>
          <c:layoutTarget val="inner"/>
          <c:xMode val="edge"/>
          <c:yMode val="edge"/>
          <c:x val="8.4399697073438945E-2"/>
          <c:y val="7.561648611783256E-2"/>
          <c:w val="0.57508230927201043"/>
          <c:h val="0.86466476534538173"/>
        </c:manualLayout>
      </c:layout>
      <c:lineChart>
        <c:grouping val="standard"/>
        <c:varyColors val="0"/>
        <c:ser>
          <c:idx val="0"/>
          <c:order val="0"/>
          <c:tx>
            <c:strRef>
              <c:f>EHCP!$AL$41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5A13-4457-89CB-32B43BDE177C}"/>
              </c:ext>
            </c:extLst>
          </c:dPt>
          <c:cat>
            <c:strRef>
              <c:f>EHCP!$Z$2:$AD$3</c:f>
              <c:strCache>
                <c:ptCount val="5"/>
                <c:pt idx="0">
                  <c:v>2015-16</c:v>
                </c:pt>
                <c:pt idx="1">
                  <c:v>2016-17</c:v>
                </c:pt>
                <c:pt idx="2">
                  <c:v>2017-18</c:v>
                </c:pt>
                <c:pt idx="3">
                  <c:v>2018-19</c:v>
                </c:pt>
                <c:pt idx="4">
                  <c:v>2019-20</c:v>
                </c:pt>
              </c:strCache>
            </c:strRef>
          </c:cat>
          <c:val>
            <c:numRef>
              <c:f>EHCP!$AM$41:$AQ$41</c:f>
              <c:numCache>
                <c:formatCode>0.0</c:formatCode>
                <c:ptCount val="5"/>
                <c:pt idx="0">
                  <c:v>#N/A</c:v>
                </c:pt>
                <c:pt idx="1">
                  <c:v>#N/A</c:v>
                </c:pt>
                <c:pt idx="2">
                  <c:v>#N/A</c:v>
                </c:pt>
                <c:pt idx="3">
                  <c:v>38.242894056847547</c:v>
                </c:pt>
                <c:pt idx="4">
                  <c:v>45.103092783505147</c:v>
                </c:pt>
              </c:numCache>
            </c:numRef>
          </c:val>
          <c:smooth val="0"/>
          <c:extLst>
            <c:ext xmlns:c16="http://schemas.microsoft.com/office/drawing/2014/chart" uri="{C3380CC4-5D6E-409C-BE32-E72D297353CC}">
              <c16:uniqueId val="{00000001-5A13-4457-89CB-32B43BDE177C}"/>
            </c:ext>
          </c:extLst>
        </c:ser>
        <c:ser>
          <c:idx val="1"/>
          <c:order val="1"/>
          <c:tx>
            <c:strRef>
              <c:f>EHCP!$AL$42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EHCP!$Z$2:$AD$3</c:f>
              <c:strCache>
                <c:ptCount val="5"/>
                <c:pt idx="0">
                  <c:v>2015-16</c:v>
                </c:pt>
                <c:pt idx="1">
                  <c:v>2016-17</c:v>
                </c:pt>
                <c:pt idx="2">
                  <c:v>2017-18</c:v>
                </c:pt>
                <c:pt idx="3">
                  <c:v>2018-19</c:v>
                </c:pt>
                <c:pt idx="4">
                  <c:v>2019-20</c:v>
                </c:pt>
              </c:strCache>
            </c:strRef>
          </c:cat>
          <c:val>
            <c:numRef>
              <c:f>EHCP!$AM$42:$AQ$42</c:f>
              <c:numCache>
                <c:formatCode>0.0</c:formatCode>
                <c:ptCount val="5"/>
                <c:pt idx="0">
                  <c:v>#N/A</c:v>
                </c:pt>
                <c:pt idx="1">
                  <c:v>#N/A</c:v>
                </c:pt>
                <c:pt idx="2">
                  <c:v>#N/A</c:v>
                </c:pt>
                <c:pt idx="3">
                  <c:v>24.573721163490472</c:v>
                </c:pt>
                <c:pt idx="4">
                  <c:v>24.221105527638191</c:v>
                </c:pt>
              </c:numCache>
            </c:numRef>
          </c:val>
          <c:smooth val="0"/>
          <c:extLst>
            <c:ext xmlns:c16="http://schemas.microsoft.com/office/drawing/2014/chart" uri="{C3380CC4-5D6E-409C-BE32-E72D297353CC}">
              <c16:uniqueId val="{00000002-5A13-4457-89CB-32B43BDE177C}"/>
            </c:ext>
          </c:extLst>
        </c:ser>
        <c:ser>
          <c:idx val="2"/>
          <c:order val="2"/>
          <c:tx>
            <c:strRef>
              <c:f>EHCP!$AL$43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EHCP!$Z$2:$AD$3</c:f>
              <c:strCache>
                <c:ptCount val="5"/>
                <c:pt idx="0">
                  <c:v>2015-16</c:v>
                </c:pt>
                <c:pt idx="1">
                  <c:v>2016-17</c:v>
                </c:pt>
                <c:pt idx="2">
                  <c:v>2017-18</c:v>
                </c:pt>
                <c:pt idx="3">
                  <c:v>2018-19</c:v>
                </c:pt>
                <c:pt idx="4">
                  <c:v>2019-20</c:v>
                </c:pt>
              </c:strCache>
            </c:strRef>
          </c:cat>
          <c:val>
            <c:numRef>
              <c:f>EHCP!$AM$43:$AQ$43</c:f>
              <c:numCache>
                <c:formatCode>0.0</c:formatCode>
                <c:ptCount val="5"/>
                <c:pt idx="0">
                  <c:v>#N/A</c:v>
                </c:pt>
                <c:pt idx="1">
                  <c:v>#N/A</c:v>
                </c:pt>
                <c:pt idx="2">
                  <c:v>#N/A</c:v>
                </c:pt>
                <c:pt idx="3">
                  <c:v>37.605294825511429</c:v>
                </c:pt>
                <c:pt idx="4">
                  <c:v>40.323547034152185</c:v>
                </c:pt>
              </c:numCache>
            </c:numRef>
          </c:val>
          <c:smooth val="0"/>
          <c:extLst>
            <c:ext xmlns:c16="http://schemas.microsoft.com/office/drawing/2014/chart" uri="{C3380CC4-5D6E-409C-BE32-E72D297353CC}">
              <c16:uniqueId val="{00000003-5A13-4457-89CB-32B43BDE177C}"/>
            </c:ext>
          </c:extLst>
        </c:ser>
        <c:ser>
          <c:idx val="5"/>
          <c:order val="3"/>
          <c:tx>
            <c:strRef>
              <c:f>EHCP!$AL$44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EHCP!$Z$2:$AD$3</c:f>
              <c:strCache>
                <c:ptCount val="5"/>
                <c:pt idx="0">
                  <c:v>2015-16</c:v>
                </c:pt>
                <c:pt idx="1">
                  <c:v>2016-17</c:v>
                </c:pt>
                <c:pt idx="2">
                  <c:v>2017-18</c:v>
                </c:pt>
                <c:pt idx="3">
                  <c:v>2018-19</c:v>
                </c:pt>
                <c:pt idx="4">
                  <c:v>2019-20</c:v>
                </c:pt>
              </c:strCache>
            </c:strRef>
          </c:cat>
          <c:val>
            <c:numRef>
              <c:f>EHCP!$AM$44:$AQ$44</c:f>
              <c:numCache>
                <c:formatCode>0.0</c:formatCode>
                <c:ptCount val="5"/>
                <c:pt idx="0">
                  <c:v>#N/A</c:v>
                </c:pt>
                <c:pt idx="1">
                  <c:v>#N/A</c:v>
                </c:pt>
                <c:pt idx="2">
                  <c:v>#N/A</c:v>
                </c:pt>
                <c:pt idx="3">
                  <c:v>22.229684351914038</c:v>
                </c:pt>
                <c:pt idx="4">
                  <c:v>19.946091644204852</c:v>
                </c:pt>
              </c:numCache>
            </c:numRef>
          </c:val>
          <c:smooth val="0"/>
          <c:extLst>
            <c:ext xmlns:c16="http://schemas.microsoft.com/office/drawing/2014/chart" uri="{C3380CC4-5D6E-409C-BE32-E72D297353CC}">
              <c16:uniqueId val="{00000004-5A13-4457-89CB-32B43BDE177C}"/>
            </c:ext>
          </c:extLst>
        </c:ser>
        <c:ser>
          <c:idx val="9"/>
          <c:order val="4"/>
          <c:tx>
            <c:strRef>
              <c:f>EHCP!$AL$45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EHCP!$Z$2:$AD$3</c:f>
              <c:strCache>
                <c:ptCount val="5"/>
                <c:pt idx="0">
                  <c:v>2015-16</c:v>
                </c:pt>
                <c:pt idx="1">
                  <c:v>2016-17</c:v>
                </c:pt>
                <c:pt idx="2">
                  <c:v>2017-18</c:v>
                </c:pt>
                <c:pt idx="3">
                  <c:v>2018-19</c:v>
                </c:pt>
                <c:pt idx="4">
                  <c:v>2019-20</c:v>
                </c:pt>
              </c:strCache>
            </c:strRef>
          </c:cat>
          <c:val>
            <c:numRef>
              <c:f>EHCP!$AM$45:$AQ$45</c:f>
              <c:numCache>
                <c:formatCode>0.0</c:formatCode>
                <c:ptCount val="5"/>
                <c:pt idx="0">
                  <c:v>#N/A</c:v>
                </c:pt>
                <c:pt idx="1">
                  <c:v>#N/A</c:v>
                </c:pt>
                <c:pt idx="2">
                  <c:v>#N/A</c:v>
                </c:pt>
                <c:pt idx="3">
                  <c:v>27.953453073614977</c:v>
                </c:pt>
                <c:pt idx="4">
                  <c:v>24.79087452471483</c:v>
                </c:pt>
              </c:numCache>
            </c:numRef>
          </c:val>
          <c:smooth val="0"/>
          <c:extLst>
            <c:ext xmlns:c16="http://schemas.microsoft.com/office/drawing/2014/chart" uri="{C3380CC4-5D6E-409C-BE32-E72D297353CC}">
              <c16:uniqueId val="{00000005-5A13-4457-89CB-32B43BDE177C}"/>
            </c:ext>
          </c:extLst>
        </c:ser>
        <c:ser>
          <c:idx val="10"/>
          <c:order val="5"/>
          <c:tx>
            <c:strRef>
              <c:f>EHCP!$AL$46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EHCP!$Z$2:$AD$3</c:f>
              <c:strCache>
                <c:ptCount val="5"/>
                <c:pt idx="0">
                  <c:v>2015-16</c:v>
                </c:pt>
                <c:pt idx="1">
                  <c:v>2016-17</c:v>
                </c:pt>
                <c:pt idx="2">
                  <c:v>2017-18</c:v>
                </c:pt>
                <c:pt idx="3">
                  <c:v>2018-19</c:v>
                </c:pt>
                <c:pt idx="4">
                  <c:v>2019-20</c:v>
                </c:pt>
              </c:strCache>
            </c:strRef>
          </c:cat>
          <c:val>
            <c:numRef>
              <c:f>EHCP!$AM$46:$AQ$46</c:f>
              <c:numCache>
                <c:formatCode>0.0</c:formatCode>
                <c:ptCount val="5"/>
                <c:pt idx="0">
                  <c:v>#N/A</c:v>
                </c:pt>
                <c:pt idx="1">
                  <c:v>#N/A</c:v>
                </c:pt>
                <c:pt idx="2">
                  <c:v>#N/A</c:v>
                </c:pt>
                <c:pt idx="3">
                  <c:v>43.539325842696627</c:v>
                </c:pt>
                <c:pt idx="4">
                  <c:v>43.059490084985839</c:v>
                </c:pt>
              </c:numCache>
            </c:numRef>
          </c:val>
          <c:smooth val="0"/>
          <c:extLst>
            <c:ext xmlns:c16="http://schemas.microsoft.com/office/drawing/2014/chart" uri="{C3380CC4-5D6E-409C-BE32-E72D297353CC}">
              <c16:uniqueId val="{00000006-5A13-4457-89CB-32B43BDE177C}"/>
            </c:ext>
          </c:extLst>
        </c:ser>
        <c:ser>
          <c:idx val="11"/>
          <c:order val="6"/>
          <c:tx>
            <c:strRef>
              <c:f>EHCP!$AL$47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EHCP!$Z$2:$AD$3</c:f>
              <c:strCache>
                <c:ptCount val="5"/>
                <c:pt idx="0">
                  <c:v>2015-16</c:v>
                </c:pt>
                <c:pt idx="1">
                  <c:v>2016-17</c:v>
                </c:pt>
                <c:pt idx="2">
                  <c:v>2017-18</c:v>
                </c:pt>
                <c:pt idx="3">
                  <c:v>2018-19</c:v>
                </c:pt>
                <c:pt idx="4">
                  <c:v>2019-20</c:v>
                </c:pt>
              </c:strCache>
            </c:strRef>
          </c:cat>
          <c:val>
            <c:numRef>
              <c:f>EHCP!$AM$47:$AQ$47</c:f>
              <c:numCache>
                <c:formatCode>0.0</c:formatCode>
                <c:ptCount val="5"/>
                <c:pt idx="0">
                  <c:v>#N/A</c:v>
                </c:pt>
                <c:pt idx="1">
                  <c:v>#N/A</c:v>
                </c:pt>
                <c:pt idx="2">
                  <c:v>#N/A</c:v>
                </c:pt>
                <c:pt idx="3">
                  <c:v>34.265589392997725</c:v>
                </c:pt>
                <c:pt idx="4">
                  <c:v>41.298057048367092</c:v>
                </c:pt>
              </c:numCache>
            </c:numRef>
          </c:val>
          <c:smooth val="0"/>
          <c:extLst>
            <c:ext xmlns:c16="http://schemas.microsoft.com/office/drawing/2014/chart" uri="{C3380CC4-5D6E-409C-BE32-E72D297353CC}">
              <c16:uniqueId val="{00000007-5A13-4457-89CB-32B43BDE177C}"/>
            </c:ext>
          </c:extLst>
        </c:ser>
        <c:ser>
          <c:idx val="12"/>
          <c:order val="7"/>
          <c:tx>
            <c:strRef>
              <c:f>EHCP!$AL$48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EHCP!$Z$2:$AD$3</c:f>
              <c:strCache>
                <c:ptCount val="5"/>
                <c:pt idx="0">
                  <c:v>2015-16</c:v>
                </c:pt>
                <c:pt idx="1">
                  <c:v>2016-17</c:v>
                </c:pt>
                <c:pt idx="2">
                  <c:v>2017-18</c:v>
                </c:pt>
                <c:pt idx="3">
                  <c:v>2018-19</c:v>
                </c:pt>
                <c:pt idx="4">
                  <c:v>2019-20</c:v>
                </c:pt>
              </c:strCache>
            </c:strRef>
          </c:cat>
          <c:val>
            <c:numRef>
              <c:f>EHCP!$AM$48:$AQ$48</c:f>
              <c:numCache>
                <c:formatCode>0.0</c:formatCode>
                <c:ptCount val="5"/>
                <c:pt idx="0">
                  <c:v>#N/A</c:v>
                </c:pt>
                <c:pt idx="1">
                  <c:v>#N/A</c:v>
                </c:pt>
                <c:pt idx="2">
                  <c:v>#N/A</c:v>
                </c:pt>
                <c:pt idx="3">
                  <c:v>28.196721311475407</c:v>
                </c:pt>
                <c:pt idx="4">
                  <c:v>34.687156970362238</c:v>
                </c:pt>
              </c:numCache>
            </c:numRef>
          </c:val>
          <c:smooth val="0"/>
          <c:extLst>
            <c:ext xmlns:c16="http://schemas.microsoft.com/office/drawing/2014/chart" uri="{C3380CC4-5D6E-409C-BE32-E72D297353CC}">
              <c16:uniqueId val="{00000008-5A13-4457-89CB-32B43BDE177C}"/>
            </c:ext>
          </c:extLst>
        </c:ser>
        <c:ser>
          <c:idx val="13"/>
          <c:order val="8"/>
          <c:tx>
            <c:strRef>
              <c:f>EHCP!$AL$49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EHCP!$Z$2:$AD$3</c:f>
              <c:strCache>
                <c:ptCount val="5"/>
                <c:pt idx="0">
                  <c:v>2015-16</c:v>
                </c:pt>
                <c:pt idx="1">
                  <c:v>2016-17</c:v>
                </c:pt>
                <c:pt idx="2">
                  <c:v>2017-18</c:v>
                </c:pt>
                <c:pt idx="3">
                  <c:v>2018-19</c:v>
                </c:pt>
                <c:pt idx="4">
                  <c:v>2019-20</c:v>
                </c:pt>
              </c:strCache>
            </c:strRef>
          </c:cat>
          <c:val>
            <c:numRef>
              <c:f>EHCP!$AM$49:$AQ$49</c:f>
              <c:numCache>
                <c:formatCode>0.0</c:formatCode>
                <c:ptCount val="5"/>
                <c:pt idx="0">
                  <c:v>#N/A</c:v>
                </c:pt>
                <c:pt idx="1">
                  <c:v>#N/A</c:v>
                </c:pt>
                <c:pt idx="2">
                  <c:v>#N/A</c:v>
                </c:pt>
                <c:pt idx="3">
                  <c:v>18.680089485458613</c:v>
                </c:pt>
                <c:pt idx="4">
                  <c:v>32.552954292084728</c:v>
                </c:pt>
              </c:numCache>
            </c:numRef>
          </c:val>
          <c:smooth val="0"/>
          <c:extLst>
            <c:ext xmlns:c16="http://schemas.microsoft.com/office/drawing/2014/chart" uri="{C3380CC4-5D6E-409C-BE32-E72D297353CC}">
              <c16:uniqueId val="{00000009-5A13-4457-89CB-32B43BDE177C}"/>
            </c:ext>
          </c:extLst>
        </c:ser>
        <c:ser>
          <c:idx val="15"/>
          <c:order val="9"/>
          <c:tx>
            <c:strRef>
              <c:f>EHCP!$AL$50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EHCP!$Z$2:$AD$3</c:f>
              <c:strCache>
                <c:ptCount val="5"/>
                <c:pt idx="0">
                  <c:v>2015-16</c:v>
                </c:pt>
                <c:pt idx="1">
                  <c:v>2016-17</c:v>
                </c:pt>
                <c:pt idx="2">
                  <c:v>2017-18</c:v>
                </c:pt>
                <c:pt idx="3">
                  <c:v>2018-19</c:v>
                </c:pt>
                <c:pt idx="4">
                  <c:v>2019-20</c:v>
                </c:pt>
              </c:strCache>
            </c:strRef>
          </c:cat>
          <c:val>
            <c:numRef>
              <c:f>EHCP!$AM$50:$AQ$50</c:f>
              <c:numCache>
                <c:formatCode>0.0</c:formatCode>
                <c:ptCount val="5"/>
                <c:pt idx="0">
                  <c:v>#N/A</c:v>
                </c:pt>
                <c:pt idx="1">
                  <c:v>#N/A</c:v>
                </c:pt>
                <c:pt idx="2">
                  <c:v>#N/A</c:v>
                </c:pt>
                <c:pt idx="3">
                  <c:v>25.20288548241659</c:v>
                </c:pt>
                <c:pt idx="4">
                  <c:v>27.845254161043634</c:v>
                </c:pt>
              </c:numCache>
            </c:numRef>
          </c:val>
          <c:smooth val="0"/>
          <c:extLst>
            <c:ext xmlns:c16="http://schemas.microsoft.com/office/drawing/2014/chart" uri="{C3380CC4-5D6E-409C-BE32-E72D297353CC}">
              <c16:uniqueId val="{0000000A-5A13-4457-89CB-32B43BDE177C}"/>
            </c:ext>
          </c:extLst>
        </c:ser>
        <c:ser>
          <c:idx val="16"/>
          <c:order val="10"/>
          <c:tx>
            <c:strRef>
              <c:f>EHCP!$AL$51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EHCP!$Z$2:$AD$3</c:f>
              <c:strCache>
                <c:ptCount val="5"/>
                <c:pt idx="0">
                  <c:v>2015-16</c:v>
                </c:pt>
                <c:pt idx="1">
                  <c:v>2016-17</c:v>
                </c:pt>
                <c:pt idx="2">
                  <c:v>2017-18</c:v>
                </c:pt>
                <c:pt idx="3">
                  <c:v>2018-19</c:v>
                </c:pt>
                <c:pt idx="4">
                  <c:v>2019-20</c:v>
                </c:pt>
              </c:strCache>
            </c:strRef>
          </c:cat>
          <c:val>
            <c:numRef>
              <c:f>EHCP!$AM$51:$AQ$51</c:f>
              <c:numCache>
                <c:formatCode>0.0</c:formatCode>
                <c:ptCount val="5"/>
                <c:pt idx="0">
                  <c:v>#N/A</c:v>
                </c:pt>
                <c:pt idx="1">
                  <c:v>#N/A</c:v>
                </c:pt>
                <c:pt idx="2">
                  <c:v>#N/A</c:v>
                </c:pt>
                <c:pt idx="3">
                  <c:v>23.566084788029926</c:v>
                </c:pt>
                <c:pt idx="4">
                  <c:v>24.905660377358494</c:v>
                </c:pt>
              </c:numCache>
            </c:numRef>
          </c:val>
          <c:smooth val="0"/>
          <c:extLst>
            <c:ext xmlns:c16="http://schemas.microsoft.com/office/drawing/2014/chart" uri="{C3380CC4-5D6E-409C-BE32-E72D297353CC}">
              <c16:uniqueId val="{0000000B-5A13-4457-89CB-32B43BDE177C}"/>
            </c:ext>
          </c:extLst>
        </c:ser>
        <c:ser>
          <c:idx val="17"/>
          <c:order val="11"/>
          <c:tx>
            <c:strRef>
              <c:f>EHCP!$AL$52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EHCP!$Z$2:$AD$3</c:f>
              <c:strCache>
                <c:ptCount val="5"/>
                <c:pt idx="0">
                  <c:v>2015-16</c:v>
                </c:pt>
                <c:pt idx="1">
                  <c:v>2016-17</c:v>
                </c:pt>
                <c:pt idx="2">
                  <c:v>2017-18</c:v>
                </c:pt>
                <c:pt idx="3">
                  <c:v>2018-19</c:v>
                </c:pt>
                <c:pt idx="4">
                  <c:v>2019-20</c:v>
                </c:pt>
              </c:strCache>
            </c:strRef>
          </c:cat>
          <c:val>
            <c:numRef>
              <c:f>EHCP!$AM$52:$AQ$52</c:f>
              <c:numCache>
                <c:formatCode>0.0</c:formatCode>
                <c:ptCount val="5"/>
                <c:pt idx="0">
                  <c:v>#N/A</c:v>
                </c:pt>
                <c:pt idx="1">
                  <c:v>#N/A</c:v>
                </c:pt>
                <c:pt idx="2">
                  <c:v>#N/A</c:v>
                </c:pt>
                <c:pt idx="3">
                  <c:v>34.01015228426396</c:v>
                </c:pt>
                <c:pt idx="4">
                  <c:v>30</c:v>
                </c:pt>
              </c:numCache>
            </c:numRef>
          </c:val>
          <c:smooth val="0"/>
          <c:extLst>
            <c:ext xmlns:c16="http://schemas.microsoft.com/office/drawing/2014/chart" uri="{C3380CC4-5D6E-409C-BE32-E72D297353CC}">
              <c16:uniqueId val="{0000000C-5A13-4457-89CB-32B43BDE177C}"/>
            </c:ext>
          </c:extLst>
        </c:ser>
        <c:ser>
          <c:idx val="19"/>
          <c:order val="12"/>
          <c:tx>
            <c:strRef>
              <c:f>EHCP!$AL$53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EHCP!$Z$2:$AD$3</c:f>
              <c:strCache>
                <c:ptCount val="5"/>
                <c:pt idx="0">
                  <c:v>2015-16</c:v>
                </c:pt>
                <c:pt idx="1">
                  <c:v>2016-17</c:v>
                </c:pt>
                <c:pt idx="2">
                  <c:v>2017-18</c:v>
                </c:pt>
                <c:pt idx="3">
                  <c:v>2018-19</c:v>
                </c:pt>
                <c:pt idx="4">
                  <c:v>2019-20</c:v>
                </c:pt>
              </c:strCache>
            </c:strRef>
          </c:cat>
          <c:val>
            <c:numRef>
              <c:f>EHCP!$AM$53:$AQ$53</c:f>
              <c:numCache>
                <c:formatCode>0.0</c:formatCode>
                <c:ptCount val="5"/>
                <c:pt idx="0">
                  <c:v>#N/A</c:v>
                </c:pt>
                <c:pt idx="1">
                  <c:v>#N/A</c:v>
                </c:pt>
                <c:pt idx="2">
                  <c:v>#N/A</c:v>
                </c:pt>
                <c:pt idx="3">
                  <c:v>30.198915009041592</c:v>
                </c:pt>
                <c:pt idx="4">
                  <c:v>38.172043010752688</c:v>
                </c:pt>
              </c:numCache>
            </c:numRef>
          </c:val>
          <c:smooth val="0"/>
          <c:extLst>
            <c:ext xmlns:c16="http://schemas.microsoft.com/office/drawing/2014/chart" uri="{C3380CC4-5D6E-409C-BE32-E72D297353CC}">
              <c16:uniqueId val="{0000000D-5A13-4457-89CB-32B43BDE177C}"/>
            </c:ext>
          </c:extLst>
        </c:ser>
        <c:ser>
          <c:idx val="3"/>
          <c:order val="13"/>
          <c:tx>
            <c:strRef>
              <c:f>EHCP!$AL$54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EHCP!$Z$2:$AD$3</c:f>
              <c:strCache>
                <c:ptCount val="5"/>
                <c:pt idx="0">
                  <c:v>2015-16</c:v>
                </c:pt>
                <c:pt idx="1">
                  <c:v>2016-17</c:v>
                </c:pt>
                <c:pt idx="2">
                  <c:v>2017-18</c:v>
                </c:pt>
                <c:pt idx="3">
                  <c:v>2018-19</c:v>
                </c:pt>
                <c:pt idx="4">
                  <c:v>2019-20</c:v>
                </c:pt>
              </c:strCache>
            </c:strRef>
          </c:cat>
          <c:val>
            <c:numRef>
              <c:f>EHCP!$AM$54:$AQ$54</c:f>
              <c:numCache>
                <c:formatCode>0.0</c:formatCode>
                <c:ptCount val="5"/>
                <c:pt idx="0">
                  <c:v>#N/A</c:v>
                </c:pt>
                <c:pt idx="1">
                  <c:v>#N/A</c:v>
                </c:pt>
                <c:pt idx="2">
                  <c:v>#N/A</c:v>
                </c:pt>
                <c:pt idx="3">
                  <c:v>28.524804177545693</c:v>
                </c:pt>
                <c:pt idx="4">
                  <c:v>35.690897184020955</c:v>
                </c:pt>
              </c:numCache>
            </c:numRef>
          </c:val>
          <c:smooth val="0"/>
          <c:extLst>
            <c:ext xmlns:c16="http://schemas.microsoft.com/office/drawing/2014/chart" uri="{C3380CC4-5D6E-409C-BE32-E72D297353CC}">
              <c16:uniqueId val="{0000000E-5A13-4457-89CB-32B43BDE177C}"/>
            </c:ext>
          </c:extLst>
        </c:ser>
        <c:ser>
          <c:idx val="20"/>
          <c:order val="14"/>
          <c:tx>
            <c:strRef>
              <c:f>EHCP!$AL$55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EHCP!$Z$2:$AD$3</c:f>
              <c:strCache>
                <c:ptCount val="5"/>
                <c:pt idx="0">
                  <c:v>2015-16</c:v>
                </c:pt>
                <c:pt idx="1">
                  <c:v>2016-17</c:v>
                </c:pt>
                <c:pt idx="2">
                  <c:v>2017-18</c:v>
                </c:pt>
                <c:pt idx="3">
                  <c:v>2018-19</c:v>
                </c:pt>
                <c:pt idx="4">
                  <c:v>2019-20</c:v>
                </c:pt>
              </c:strCache>
            </c:strRef>
          </c:cat>
          <c:val>
            <c:numRef>
              <c:f>EHCP!$AM$55:$AQ$55</c:f>
              <c:numCache>
                <c:formatCode>0.0</c:formatCode>
                <c:ptCount val="5"/>
                <c:pt idx="0">
                  <c:v>#N/A</c:v>
                </c:pt>
                <c:pt idx="1">
                  <c:v>#N/A</c:v>
                </c:pt>
                <c:pt idx="2">
                  <c:v>#N/A</c:v>
                </c:pt>
                <c:pt idx="3">
                  <c:v>18.668012108980829</c:v>
                </c:pt>
                <c:pt idx="4">
                  <c:v>25.975359342915809</c:v>
                </c:pt>
              </c:numCache>
            </c:numRef>
          </c:val>
          <c:smooth val="0"/>
          <c:extLst>
            <c:ext xmlns:c16="http://schemas.microsoft.com/office/drawing/2014/chart" uri="{C3380CC4-5D6E-409C-BE32-E72D297353CC}">
              <c16:uniqueId val="{0000000F-5A13-4457-89CB-32B43BDE177C}"/>
            </c:ext>
          </c:extLst>
        </c:ser>
        <c:ser>
          <c:idx val="22"/>
          <c:order val="15"/>
          <c:tx>
            <c:strRef>
              <c:f>EHCP!$AL$56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EHCP!$Z$2:$AD$3</c:f>
              <c:strCache>
                <c:ptCount val="5"/>
                <c:pt idx="0">
                  <c:v>2015-16</c:v>
                </c:pt>
                <c:pt idx="1">
                  <c:v>2016-17</c:v>
                </c:pt>
                <c:pt idx="2">
                  <c:v>2017-18</c:v>
                </c:pt>
                <c:pt idx="3">
                  <c:v>2018-19</c:v>
                </c:pt>
                <c:pt idx="4">
                  <c:v>2019-20</c:v>
                </c:pt>
              </c:strCache>
            </c:strRef>
          </c:cat>
          <c:val>
            <c:numRef>
              <c:f>EHCP!$AM$56:$AQ$56</c:f>
              <c:numCache>
                <c:formatCode>0.0</c:formatCode>
                <c:ptCount val="5"/>
                <c:pt idx="0">
                  <c:v>#N/A</c:v>
                </c:pt>
                <c:pt idx="1">
                  <c:v>#N/A</c:v>
                </c:pt>
                <c:pt idx="2">
                  <c:v>#N/A</c:v>
                </c:pt>
                <c:pt idx="3">
                  <c:v>37.749248839114998</c:v>
                </c:pt>
                <c:pt idx="4">
                  <c:v>39.929424538545064</c:v>
                </c:pt>
              </c:numCache>
            </c:numRef>
          </c:val>
          <c:smooth val="0"/>
          <c:extLst>
            <c:ext xmlns:c16="http://schemas.microsoft.com/office/drawing/2014/chart" uri="{C3380CC4-5D6E-409C-BE32-E72D297353CC}">
              <c16:uniqueId val="{00000010-5A13-4457-89CB-32B43BDE177C}"/>
            </c:ext>
          </c:extLst>
        </c:ser>
        <c:ser>
          <c:idx val="7"/>
          <c:order val="16"/>
          <c:tx>
            <c:strRef>
              <c:f>EHCP!$AL$57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EHCP!$Z$2:$AD$3</c:f>
              <c:strCache>
                <c:ptCount val="5"/>
                <c:pt idx="0">
                  <c:v>2015-16</c:v>
                </c:pt>
                <c:pt idx="1">
                  <c:v>2016-17</c:v>
                </c:pt>
                <c:pt idx="2">
                  <c:v>2017-18</c:v>
                </c:pt>
                <c:pt idx="3">
                  <c:v>2018-19</c:v>
                </c:pt>
                <c:pt idx="4">
                  <c:v>2019-20</c:v>
                </c:pt>
              </c:strCache>
            </c:strRef>
          </c:cat>
          <c:val>
            <c:numRef>
              <c:f>EHCP!$AM$57:$AQ$57</c:f>
              <c:numCache>
                <c:formatCode>0.0</c:formatCode>
                <c:ptCount val="5"/>
                <c:pt idx="0">
                  <c:v>#N/A</c:v>
                </c:pt>
                <c:pt idx="1">
                  <c:v>#N/A</c:v>
                </c:pt>
                <c:pt idx="2">
                  <c:v>#N/A</c:v>
                </c:pt>
                <c:pt idx="3">
                  <c:v>29.694323144104803</c:v>
                </c:pt>
                <c:pt idx="4">
                  <c:v>34.649122807017548</c:v>
                </c:pt>
              </c:numCache>
            </c:numRef>
          </c:val>
          <c:smooth val="0"/>
          <c:extLst>
            <c:ext xmlns:c16="http://schemas.microsoft.com/office/drawing/2014/chart" uri="{C3380CC4-5D6E-409C-BE32-E72D297353CC}">
              <c16:uniqueId val="{00000011-5A13-4457-89CB-32B43BDE177C}"/>
            </c:ext>
          </c:extLst>
        </c:ser>
        <c:ser>
          <c:idx val="8"/>
          <c:order val="17"/>
          <c:tx>
            <c:strRef>
              <c:f>EHCP!$AL$58</c:f>
              <c:strCache>
                <c:ptCount val="1"/>
                <c:pt idx="0">
                  <c:v>Torbay</c:v>
                </c:pt>
              </c:strCache>
            </c:strRef>
          </c:tx>
          <c:spPr>
            <a:ln w="12700"/>
          </c:spPr>
          <c:marker>
            <c:symbol val="circle"/>
            <c:size val="5"/>
            <c:spPr>
              <a:solidFill>
                <a:schemeClr val="accent3">
                  <a:lumMod val="20000"/>
                  <a:lumOff val="80000"/>
                </a:schemeClr>
              </a:solidFill>
            </c:spPr>
          </c:marker>
          <c:cat>
            <c:strRef>
              <c:f>EHCP!$Z$2:$AD$3</c:f>
              <c:strCache>
                <c:ptCount val="5"/>
                <c:pt idx="0">
                  <c:v>2015-16</c:v>
                </c:pt>
                <c:pt idx="1">
                  <c:v>2016-17</c:v>
                </c:pt>
                <c:pt idx="2">
                  <c:v>2017-18</c:v>
                </c:pt>
                <c:pt idx="3">
                  <c:v>2018-19</c:v>
                </c:pt>
                <c:pt idx="4">
                  <c:v>2019-20</c:v>
                </c:pt>
              </c:strCache>
            </c:strRef>
          </c:cat>
          <c:val>
            <c:numRef>
              <c:f>EHCP!$AM$58:$AQ$58</c:f>
              <c:numCache>
                <c:formatCode>0.0</c:formatCode>
                <c:ptCount val="5"/>
                <c:pt idx="0">
                  <c:v>#N/A</c:v>
                </c:pt>
                <c:pt idx="1">
                  <c:v>#N/A</c:v>
                </c:pt>
                <c:pt idx="2">
                  <c:v>#N/A</c:v>
                </c:pt>
                <c:pt idx="3">
                  <c:v>50.420168067226896</c:v>
                </c:pt>
                <c:pt idx="4">
                  <c:v>53.257790368271948</c:v>
                </c:pt>
              </c:numCache>
            </c:numRef>
          </c:val>
          <c:smooth val="0"/>
          <c:extLst>
            <c:ext xmlns:c16="http://schemas.microsoft.com/office/drawing/2014/chart" uri="{C3380CC4-5D6E-409C-BE32-E72D297353CC}">
              <c16:uniqueId val="{00000012-5A13-4457-89CB-32B43BDE177C}"/>
            </c:ext>
          </c:extLst>
        </c:ser>
        <c:ser>
          <c:idx val="23"/>
          <c:order val="18"/>
          <c:tx>
            <c:strRef>
              <c:f>EHCP!$AL$59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EHCP!$Z$2:$AD$3</c:f>
              <c:strCache>
                <c:ptCount val="5"/>
                <c:pt idx="0">
                  <c:v>2015-16</c:v>
                </c:pt>
                <c:pt idx="1">
                  <c:v>2016-17</c:v>
                </c:pt>
                <c:pt idx="2">
                  <c:v>2017-18</c:v>
                </c:pt>
                <c:pt idx="3">
                  <c:v>2018-19</c:v>
                </c:pt>
                <c:pt idx="4">
                  <c:v>2019-20</c:v>
                </c:pt>
              </c:strCache>
            </c:strRef>
          </c:cat>
          <c:val>
            <c:numRef>
              <c:f>EHCP!$AM$59:$AQ$59</c:f>
              <c:numCache>
                <c:formatCode>0.0</c:formatCode>
                <c:ptCount val="5"/>
                <c:pt idx="0">
                  <c:v>#N/A</c:v>
                </c:pt>
                <c:pt idx="1">
                  <c:v>#N/A</c:v>
                </c:pt>
                <c:pt idx="2">
                  <c:v>#N/A</c:v>
                </c:pt>
                <c:pt idx="3">
                  <c:v>24.109014675052411</c:v>
                </c:pt>
                <c:pt idx="4">
                  <c:v>32.700421940928265</c:v>
                </c:pt>
              </c:numCache>
            </c:numRef>
          </c:val>
          <c:smooth val="0"/>
          <c:extLst>
            <c:ext xmlns:c16="http://schemas.microsoft.com/office/drawing/2014/chart" uri="{C3380CC4-5D6E-409C-BE32-E72D297353CC}">
              <c16:uniqueId val="{00000013-5A13-4457-89CB-32B43BDE177C}"/>
            </c:ext>
          </c:extLst>
        </c:ser>
        <c:ser>
          <c:idx val="24"/>
          <c:order val="19"/>
          <c:tx>
            <c:strRef>
              <c:f>EHCP!$AL$60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EHCP!$Z$2:$AD$3</c:f>
              <c:strCache>
                <c:ptCount val="5"/>
                <c:pt idx="0">
                  <c:v>2015-16</c:v>
                </c:pt>
                <c:pt idx="1">
                  <c:v>2016-17</c:v>
                </c:pt>
                <c:pt idx="2">
                  <c:v>2017-18</c:v>
                </c:pt>
                <c:pt idx="3">
                  <c:v>2018-19</c:v>
                </c:pt>
                <c:pt idx="4">
                  <c:v>2019-20</c:v>
                </c:pt>
              </c:strCache>
            </c:strRef>
          </c:cat>
          <c:val>
            <c:numRef>
              <c:f>EHCP!$AM$60:$AQ$60</c:f>
              <c:numCache>
                <c:formatCode>0.0</c:formatCode>
                <c:ptCount val="5"/>
                <c:pt idx="0">
                  <c:v>#N/A</c:v>
                </c:pt>
                <c:pt idx="1">
                  <c:v>#N/A</c:v>
                </c:pt>
                <c:pt idx="2">
                  <c:v>#N/A</c:v>
                </c:pt>
                <c:pt idx="3">
                  <c:v>25.721455457967377</c:v>
                </c:pt>
                <c:pt idx="4">
                  <c:v>31.939799331103682</c:v>
                </c:pt>
              </c:numCache>
            </c:numRef>
          </c:val>
          <c:smooth val="0"/>
          <c:extLst>
            <c:ext xmlns:c16="http://schemas.microsoft.com/office/drawing/2014/chart" uri="{C3380CC4-5D6E-409C-BE32-E72D297353CC}">
              <c16:uniqueId val="{00000014-5A13-4457-89CB-32B43BDE177C}"/>
            </c:ext>
          </c:extLst>
        </c:ser>
        <c:ser>
          <c:idx val="25"/>
          <c:order val="20"/>
          <c:tx>
            <c:strRef>
              <c:f>EHCP!$AL$61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EHCP!$Z$2:$AD$3</c:f>
              <c:strCache>
                <c:ptCount val="5"/>
                <c:pt idx="0">
                  <c:v>2015-16</c:v>
                </c:pt>
                <c:pt idx="1">
                  <c:v>2016-17</c:v>
                </c:pt>
                <c:pt idx="2">
                  <c:v>2017-18</c:v>
                </c:pt>
                <c:pt idx="3">
                  <c:v>2018-19</c:v>
                </c:pt>
                <c:pt idx="4">
                  <c:v>2019-20</c:v>
                </c:pt>
              </c:strCache>
            </c:strRef>
          </c:cat>
          <c:val>
            <c:numRef>
              <c:f>EHCP!$AM$61:$AQ$61</c:f>
              <c:numCache>
                <c:formatCode>0.0</c:formatCode>
                <c:ptCount val="5"/>
                <c:pt idx="0">
                  <c:v>#N/A</c:v>
                </c:pt>
                <c:pt idx="1">
                  <c:v>#N/A</c:v>
                </c:pt>
                <c:pt idx="2">
                  <c:v>#N/A</c:v>
                </c:pt>
                <c:pt idx="3">
                  <c:v>25.663716814159294</c:v>
                </c:pt>
                <c:pt idx="4">
                  <c:v>33.406593406593409</c:v>
                </c:pt>
              </c:numCache>
            </c:numRef>
          </c:val>
          <c:smooth val="0"/>
          <c:extLst>
            <c:ext xmlns:c16="http://schemas.microsoft.com/office/drawing/2014/chart" uri="{C3380CC4-5D6E-409C-BE32-E72D297353CC}">
              <c16:uniqueId val="{00000015-5A13-4457-89CB-32B43BDE177C}"/>
            </c:ext>
          </c:extLst>
        </c:ser>
        <c:ser>
          <c:idx val="26"/>
          <c:order val="21"/>
          <c:tx>
            <c:strRef>
              <c:f>EHCP!$AL$62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EHCP!$Z$2:$AD$3</c:f>
              <c:strCache>
                <c:ptCount val="5"/>
                <c:pt idx="0">
                  <c:v>2015-16</c:v>
                </c:pt>
                <c:pt idx="1">
                  <c:v>2016-17</c:v>
                </c:pt>
                <c:pt idx="2">
                  <c:v>2017-18</c:v>
                </c:pt>
                <c:pt idx="3">
                  <c:v>2018-19</c:v>
                </c:pt>
                <c:pt idx="4">
                  <c:v>2019-20</c:v>
                </c:pt>
              </c:strCache>
            </c:strRef>
          </c:cat>
          <c:val>
            <c:numRef>
              <c:f>EHCP!$AM$62:$AQ$62</c:f>
              <c:numCache>
                <c:formatCode>0.0</c:formatCode>
                <c:ptCount val="5"/>
                <c:pt idx="0">
                  <c:v>#N/A</c:v>
                </c:pt>
                <c:pt idx="1">
                  <c:v>#N/A</c:v>
                </c:pt>
                <c:pt idx="2">
                  <c:v>#N/A</c:v>
                </c:pt>
                <c:pt idx="3">
                  <c:v>20.458891013384321</c:v>
                </c:pt>
                <c:pt idx="4">
                  <c:v>30.09345794392523</c:v>
                </c:pt>
              </c:numCache>
            </c:numRef>
          </c:val>
          <c:smooth val="0"/>
          <c:extLst>
            <c:ext xmlns:c16="http://schemas.microsoft.com/office/drawing/2014/chart" uri="{C3380CC4-5D6E-409C-BE32-E72D297353CC}">
              <c16:uniqueId val="{00000016-5A13-4457-89CB-32B43BDE177C}"/>
            </c:ext>
          </c:extLst>
        </c:ser>
        <c:ser>
          <c:idx val="4"/>
          <c:order val="22"/>
          <c:tx>
            <c:strRef>
              <c:f>EHCP!$AL$63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EHCP!$Z$2:$AD$3</c:f>
              <c:strCache>
                <c:ptCount val="5"/>
                <c:pt idx="0">
                  <c:v>2015-16</c:v>
                </c:pt>
                <c:pt idx="1">
                  <c:v>2016-17</c:v>
                </c:pt>
                <c:pt idx="2">
                  <c:v>2017-18</c:v>
                </c:pt>
                <c:pt idx="3">
                  <c:v>2018-19</c:v>
                </c:pt>
                <c:pt idx="4">
                  <c:v>2019-20</c:v>
                </c:pt>
              </c:strCache>
            </c:strRef>
          </c:cat>
          <c:val>
            <c:numRef>
              <c:f>EHCP!$AM$63:$AQ$63</c:f>
              <c:numCache>
                <c:formatCode>0.0</c:formatCode>
                <c:ptCount val="5"/>
                <c:pt idx="0">
                  <c:v>#N/A</c:v>
                </c:pt>
                <c:pt idx="1">
                  <c:v>#N/A</c:v>
                </c:pt>
                <c:pt idx="2">
                  <c:v>#N/A</c:v>
                </c:pt>
                <c:pt idx="3">
                  <c:v>42.52579952998876</c:v>
                </c:pt>
                <c:pt idx="4">
                  <c:v>47.130814543977252</c:v>
                </c:pt>
              </c:numCache>
            </c:numRef>
          </c:val>
          <c:smooth val="0"/>
          <c:extLst>
            <c:ext xmlns:c16="http://schemas.microsoft.com/office/drawing/2014/chart" uri="{C3380CC4-5D6E-409C-BE32-E72D297353CC}">
              <c16:uniqueId val="{00000017-5A13-4457-89CB-32B43BDE177C}"/>
            </c:ext>
          </c:extLst>
        </c:ser>
        <c:ser>
          <c:idx val="14"/>
          <c:order val="23"/>
          <c:tx>
            <c:strRef>
              <c:f>EHCP!$AL$64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EHCP!$Z$2:$AD$3</c:f>
              <c:strCache>
                <c:ptCount val="5"/>
                <c:pt idx="0">
                  <c:v>2015-16</c:v>
                </c:pt>
                <c:pt idx="1">
                  <c:v>2016-17</c:v>
                </c:pt>
                <c:pt idx="2">
                  <c:v>2017-18</c:v>
                </c:pt>
                <c:pt idx="3">
                  <c:v>2018-19</c:v>
                </c:pt>
                <c:pt idx="4">
                  <c:v>2019-20</c:v>
                </c:pt>
              </c:strCache>
            </c:strRef>
          </c:cat>
          <c:val>
            <c:numRef>
              <c:f>EHCP!$AM$64:$AQ$64</c:f>
              <c:numCache>
                <c:formatCode>0.0</c:formatCode>
                <c:ptCount val="5"/>
                <c:pt idx="0">
                  <c:v>#N/A</c:v>
                </c:pt>
                <c:pt idx="1">
                  <c:v>#N/A</c:v>
                </c:pt>
                <c:pt idx="2">
                  <c:v>#N/A</c:v>
                </c:pt>
                <c:pt idx="3">
                  <c:v>27.749957125707425</c:v>
                </c:pt>
                <c:pt idx="4">
                  <c:v>30.453777097562647</c:v>
                </c:pt>
              </c:numCache>
            </c:numRef>
          </c:val>
          <c:smooth val="0"/>
          <c:extLst>
            <c:ext xmlns:c16="http://schemas.microsoft.com/office/drawing/2014/chart" uri="{C3380CC4-5D6E-409C-BE32-E72D297353CC}">
              <c16:uniqueId val="{00000018-5A13-4457-89CB-32B43BDE177C}"/>
            </c:ext>
          </c:extLst>
        </c:ser>
        <c:ser>
          <c:idx val="6"/>
          <c:order val="24"/>
          <c:tx>
            <c:strRef>
              <c:f>EHCP!$AL$65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EHCP!$Z$2:$AD$3</c:f>
              <c:strCache>
                <c:ptCount val="5"/>
                <c:pt idx="0">
                  <c:v>2015-16</c:v>
                </c:pt>
                <c:pt idx="1">
                  <c:v>2016-17</c:v>
                </c:pt>
                <c:pt idx="2">
                  <c:v>2017-18</c:v>
                </c:pt>
                <c:pt idx="3">
                  <c:v>2018-19</c:v>
                </c:pt>
                <c:pt idx="4">
                  <c:v>2019-20</c:v>
                </c:pt>
              </c:strCache>
            </c:strRef>
          </c:cat>
          <c:val>
            <c:numRef>
              <c:f>EHCP!$AM$65:$AQ$65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5A13-4457-89CB-32B43BDE177C}"/>
            </c:ext>
          </c:extLst>
        </c:ser>
        <c:dLbls>
          <c:showLegendKey val="0"/>
          <c:showVal val="0"/>
          <c:showCatName val="0"/>
          <c:showSerName val="0"/>
          <c:showPercent val="0"/>
          <c:showBubbleSize val="0"/>
        </c:dLbls>
        <c:marker val="1"/>
        <c:smooth val="0"/>
        <c:axId val="652202752"/>
        <c:axId val="652204672"/>
      </c:lineChart>
      <c:catAx>
        <c:axId val="6522027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52204672"/>
        <c:crosses val="autoZero"/>
        <c:auto val="1"/>
        <c:lblAlgn val="ctr"/>
        <c:lblOffset val="100"/>
        <c:tickLblSkip val="1"/>
        <c:tickMarkSkip val="1"/>
        <c:noMultiLvlLbl val="0"/>
      </c:catAx>
      <c:valAx>
        <c:axId val="65220467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5220275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0963223470583962"/>
          <c:h val="0.90631232077902868"/>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effectLst/>
              </a:rPr>
              <a:t>New EHC Plans Issued in period </a:t>
            </a:r>
            <a:r>
              <a:rPr lang="en-GB"/>
              <a:t>(Selected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828958880139982"/>
        </c:manualLayout>
      </c:layout>
      <c:barChart>
        <c:barDir val="col"/>
        <c:grouping val="clustered"/>
        <c:varyColors val="0"/>
        <c:ser>
          <c:idx val="6"/>
          <c:order val="0"/>
          <c:tx>
            <c:strRef>
              <c:f>EHCP!$AA$4</c:f>
              <c:strCache>
                <c:ptCount val="1"/>
                <c:pt idx="0">
                  <c:v>Selected LA- (none)</c:v>
                </c:pt>
              </c:strCache>
            </c:strRef>
          </c:tx>
          <c:spPr>
            <a:solidFill>
              <a:srgbClr val="66FF99"/>
            </a:solidFill>
            <a:ln>
              <a:solidFill>
                <a:schemeClr val="tx1">
                  <a:lumMod val="75000"/>
                  <a:lumOff val="25000"/>
                </a:schemeClr>
              </a:solidFill>
            </a:ln>
          </c:spPr>
          <c:invertIfNegative val="0"/>
          <c:cat>
            <c:strRef>
              <c:f>EHCP!$Z$2:$AD$3</c:f>
              <c:strCache>
                <c:ptCount val="5"/>
                <c:pt idx="0">
                  <c:v>2015-16</c:v>
                </c:pt>
                <c:pt idx="1">
                  <c:v>2016-17</c:v>
                </c:pt>
                <c:pt idx="2">
                  <c:v>2017-18</c:v>
                </c:pt>
                <c:pt idx="3">
                  <c:v>2018-19</c:v>
                </c:pt>
                <c:pt idx="4">
                  <c:v>2019-20</c:v>
                </c:pt>
              </c:strCache>
            </c:strRef>
          </c:cat>
          <c:val>
            <c:numRef>
              <c:f>EHCP!$AM$65:$AQ$65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C731-426A-8155-FCD4BCE3FE99}"/>
            </c:ext>
          </c:extLst>
        </c:ser>
        <c:ser>
          <c:idx val="4"/>
          <c:order val="1"/>
          <c:tx>
            <c:strRef>
              <c:f>EHCP!$B$32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EHCP!$Z$2:$AD$3</c:f>
              <c:strCache>
                <c:ptCount val="5"/>
                <c:pt idx="0">
                  <c:v>2015-16</c:v>
                </c:pt>
                <c:pt idx="1">
                  <c:v>2016-17</c:v>
                </c:pt>
                <c:pt idx="2">
                  <c:v>2017-18</c:v>
                </c:pt>
                <c:pt idx="3">
                  <c:v>2018-19</c:v>
                </c:pt>
                <c:pt idx="4">
                  <c:v>2019-20</c:v>
                </c:pt>
              </c:strCache>
            </c:strRef>
          </c:cat>
          <c:val>
            <c:numRef>
              <c:f>EHCP!$K$32:$O$32</c:f>
              <c:numCache>
                <c:formatCode>0.0</c:formatCode>
                <c:ptCount val="5"/>
                <c:pt idx="0">
                  <c:v>#N/A</c:v>
                </c:pt>
                <c:pt idx="1">
                  <c:v>#N/A</c:v>
                </c:pt>
                <c:pt idx="2">
                  <c:v>#N/A</c:v>
                </c:pt>
                <c:pt idx="3">
                  <c:v>42.52579952998876</c:v>
                </c:pt>
                <c:pt idx="4">
                  <c:v>47.130814543977252</c:v>
                </c:pt>
              </c:numCache>
            </c:numRef>
          </c:val>
          <c:extLst>
            <c:ext xmlns:c16="http://schemas.microsoft.com/office/drawing/2014/chart" uri="{C3380CC4-5D6E-409C-BE32-E72D297353CC}">
              <c16:uniqueId val="{00000001-C731-426A-8155-FCD4BCE3FE99}"/>
            </c:ext>
          </c:extLst>
        </c:ser>
        <c:ser>
          <c:idx val="0"/>
          <c:order val="2"/>
          <c:tx>
            <c:strRef>
              <c:f>EHCP!$B$33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EHCP!$Z$2:$AD$3</c:f>
              <c:strCache>
                <c:ptCount val="5"/>
                <c:pt idx="0">
                  <c:v>2015-16</c:v>
                </c:pt>
                <c:pt idx="1">
                  <c:v>2016-17</c:v>
                </c:pt>
                <c:pt idx="2">
                  <c:v>2017-18</c:v>
                </c:pt>
                <c:pt idx="3">
                  <c:v>2018-19</c:v>
                </c:pt>
                <c:pt idx="4">
                  <c:v>2019-20</c:v>
                </c:pt>
              </c:strCache>
            </c:strRef>
          </c:cat>
          <c:val>
            <c:numRef>
              <c:f>EHCP!$K$33:$O$33</c:f>
              <c:numCache>
                <c:formatCode>0.0</c:formatCode>
                <c:ptCount val="5"/>
                <c:pt idx="0">
                  <c:v>#N/A</c:v>
                </c:pt>
                <c:pt idx="1">
                  <c:v>#N/A</c:v>
                </c:pt>
                <c:pt idx="2">
                  <c:v>#N/A</c:v>
                </c:pt>
                <c:pt idx="3">
                  <c:v>27.749957125707425</c:v>
                </c:pt>
                <c:pt idx="4">
                  <c:v>30.453777097562647</c:v>
                </c:pt>
              </c:numCache>
            </c:numRef>
          </c:val>
          <c:extLst>
            <c:ext xmlns:c16="http://schemas.microsoft.com/office/drawing/2014/chart" uri="{C3380CC4-5D6E-409C-BE32-E72D297353CC}">
              <c16:uniqueId val="{00000002-C731-426A-8155-FCD4BCE3FE99}"/>
            </c:ext>
          </c:extLst>
        </c:ser>
        <c:dLbls>
          <c:showLegendKey val="0"/>
          <c:showVal val="0"/>
          <c:showCatName val="0"/>
          <c:showSerName val="0"/>
          <c:showPercent val="0"/>
          <c:showBubbleSize val="0"/>
        </c:dLbls>
        <c:gapWidth val="100"/>
        <c:axId val="652055296"/>
        <c:axId val="652056832"/>
      </c:barChart>
      <c:catAx>
        <c:axId val="652055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52056832"/>
        <c:crosses val="autoZero"/>
        <c:auto val="1"/>
        <c:lblAlgn val="ctr"/>
        <c:lblOffset val="100"/>
        <c:noMultiLvlLbl val="0"/>
      </c:catAx>
      <c:valAx>
        <c:axId val="65205683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5205529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New EHC Plans Issued within 20 Weeks - </a:t>
            </a:r>
          </a:p>
          <a:p>
            <a:pPr>
              <a:defRPr sz="900" b="1" i="0" u="none" strike="noStrike" baseline="0">
                <a:solidFill>
                  <a:srgbClr val="000000"/>
                </a:solidFill>
                <a:latin typeface="Arial"/>
                <a:ea typeface="Arial"/>
                <a:cs typeface="Arial"/>
              </a:defRPr>
            </a:pPr>
            <a:r>
              <a:rPr lang="en-GB" sz="900" baseline="0"/>
              <a:t>inc. exceptions </a:t>
            </a:r>
            <a:r>
              <a:rPr lang="en-GB" sz="900"/>
              <a:t>(Selected LA</a:t>
            </a:r>
            <a:r>
              <a:rPr lang="en-GB" sz="900" baseline="0"/>
              <a:t> vs. SE &amp; National)</a:t>
            </a:r>
            <a:r>
              <a:rPr lang="en-GB" sz="900"/>
              <a:t> </a:t>
            </a:r>
          </a:p>
        </c:rich>
      </c:tx>
      <c:layout>
        <c:manualLayout>
          <c:xMode val="edge"/>
          <c:yMode val="edge"/>
          <c:x val="0.14777186635454351"/>
          <c:y val="3.8616300816810812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4145868399038699"/>
        </c:manualLayout>
      </c:layout>
      <c:barChart>
        <c:barDir val="col"/>
        <c:grouping val="clustered"/>
        <c:varyColors val="0"/>
        <c:ser>
          <c:idx val="6"/>
          <c:order val="0"/>
          <c:tx>
            <c:strRef>
              <c:f>EHCP!$AA$4</c:f>
              <c:strCache>
                <c:ptCount val="1"/>
                <c:pt idx="0">
                  <c:v>Selected LA- (none)</c:v>
                </c:pt>
              </c:strCache>
            </c:strRef>
          </c:tx>
          <c:spPr>
            <a:solidFill>
              <a:srgbClr val="66FF99"/>
            </a:solidFill>
            <a:ln>
              <a:solidFill>
                <a:schemeClr val="tx1">
                  <a:lumMod val="75000"/>
                  <a:lumOff val="25000"/>
                </a:schemeClr>
              </a:solidFill>
            </a:ln>
          </c:spPr>
          <c:invertIfNegative val="0"/>
          <c:cat>
            <c:strRef>
              <c:f>EHCP!$Z$2:$AD$3</c:f>
              <c:strCache>
                <c:ptCount val="5"/>
                <c:pt idx="0">
                  <c:v>2015-16</c:v>
                </c:pt>
                <c:pt idx="1">
                  <c:v>2016-17</c:v>
                </c:pt>
                <c:pt idx="2">
                  <c:v>2017-18</c:v>
                </c:pt>
                <c:pt idx="3">
                  <c:v>2018-19</c:v>
                </c:pt>
                <c:pt idx="4">
                  <c:v>2019-20</c:v>
                </c:pt>
              </c:strCache>
            </c:strRef>
          </c:cat>
          <c:val>
            <c:numRef>
              <c:f>EHCP!$AS$65:$AW$65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A5CB-42AB-B283-953F3F058308}"/>
            </c:ext>
          </c:extLst>
        </c:ser>
        <c:ser>
          <c:idx val="4"/>
          <c:order val="1"/>
          <c:tx>
            <c:strRef>
              <c:f>EHCP!$B$99</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EHCP!$Z$2:$AD$3</c:f>
              <c:strCache>
                <c:ptCount val="5"/>
                <c:pt idx="0">
                  <c:v>2015-16</c:v>
                </c:pt>
                <c:pt idx="1">
                  <c:v>2016-17</c:v>
                </c:pt>
                <c:pt idx="2">
                  <c:v>2017-18</c:v>
                </c:pt>
                <c:pt idx="3">
                  <c:v>2018-19</c:v>
                </c:pt>
                <c:pt idx="4">
                  <c:v>2019-20</c:v>
                </c:pt>
              </c:strCache>
            </c:strRef>
          </c:cat>
          <c:val>
            <c:numRef>
              <c:f>EHCP!$D$99:$H$99</c:f>
              <c:numCache>
                <c:formatCode>0%</c:formatCode>
                <c:ptCount val="5"/>
                <c:pt idx="0">
                  <c:v>#N/A</c:v>
                </c:pt>
                <c:pt idx="1">
                  <c:v>#N/A</c:v>
                </c:pt>
                <c:pt idx="2">
                  <c:v>#N/A</c:v>
                </c:pt>
                <c:pt idx="3">
                  <c:v>0.50108121095627101</c:v>
                </c:pt>
                <c:pt idx="4">
                  <c:v>0.46363538411809074</c:v>
                </c:pt>
              </c:numCache>
            </c:numRef>
          </c:val>
          <c:extLst>
            <c:ext xmlns:c16="http://schemas.microsoft.com/office/drawing/2014/chart" uri="{C3380CC4-5D6E-409C-BE32-E72D297353CC}">
              <c16:uniqueId val="{00000001-A5CB-42AB-B283-953F3F058308}"/>
            </c:ext>
          </c:extLst>
        </c:ser>
        <c:ser>
          <c:idx val="0"/>
          <c:order val="2"/>
          <c:tx>
            <c:strRef>
              <c:f>EHCP!$B$100</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EHCP!$Z$2:$AD$3</c:f>
              <c:strCache>
                <c:ptCount val="5"/>
                <c:pt idx="0">
                  <c:v>2015-16</c:v>
                </c:pt>
                <c:pt idx="1">
                  <c:v>2016-17</c:v>
                </c:pt>
                <c:pt idx="2">
                  <c:v>2017-18</c:v>
                </c:pt>
                <c:pt idx="3">
                  <c:v>2018-19</c:v>
                </c:pt>
                <c:pt idx="4">
                  <c:v>2019-20</c:v>
                </c:pt>
              </c:strCache>
            </c:strRef>
          </c:cat>
          <c:val>
            <c:numRef>
              <c:f>EHCP!$D$100:$H$100</c:f>
              <c:numCache>
                <c:formatCode>0%</c:formatCode>
                <c:ptCount val="5"/>
                <c:pt idx="0">
                  <c:v>#N/A</c:v>
                </c:pt>
                <c:pt idx="1">
                  <c:v>#N/A</c:v>
                </c:pt>
                <c:pt idx="2">
                  <c:v>#N/A</c:v>
                </c:pt>
                <c:pt idx="3">
                  <c:v>0.58047504274560702</c:v>
                </c:pt>
                <c:pt idx="4">
                  <c:v>0.58718847863183754</c:v>
                </c:pt>
              </c:numCache>
            </c:numRef>
          </c:val>
          <c:extLst>
            <c:ext xmlns:c16="http://schemas.microsoft.com/office/drawing/2014/chart" uri="{C3380CC4-5D6E-409C-BE32-E72D297353CC}">
              <c16:uniqueId val="{00000002-A5CB-42AB-B283-953F3F058308}"/>
            </c:ext>
          </c:extLst>
        </c:ser>
        <c:dLbls>
          <c:showLegendKey val="0"/>
          <c:showVal val="0"/>
          <c:showCatName val="0"/>
          <c:showSerName val="0"/>
          <c:showPercent val="0"/>
          <c:showBubbleSize val="0"/>
        </c:dLbls>
        <c:gapWidth val="100"/>
        <c:axId val="652509184"/>
        <c:axId val="652510720"/>
      </c:barChart>
      <c:catAx>
        <c:axId val="6525091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52510720"/>
        <c:crosses val="autoZero"/>
        <c:auto val="1"/>
        <c:lblAlgn val="ctr"/>
        <c:lblOffset val="100"/>
        <c:noMultiLvlLbl val="0"/>
      </c:catAx>
      <c:valAx>
        <c:axId val="65251072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5250918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New EHC Plans Issued within 20 Weeks - </a:t>
            </a:r>
          </a:p>
          <a:p>
            <a:pPr>
              <a:defRPr sz="1000" b="1" i="0" u="none" strike="noStrike" baseline="0">
                <a:solidFill>
                  <a:srgbClr val="000000"/>
                </a:solidFill>
                <a:latin typeface="Arial"/>
                <a:ea typeface="Arial"/>
                <a:cs typeface="Arial"/>
              </a:defRPr>
            </a:pPr>
            <a:r>
              <a:rPr lang="en-GB"/>
              <a:t>including exceptions</a:t>
            </a:r>
          </a:p>
        </c:rich>
      </c:tx>
      <c:layout>
        <c:manualLayout>
          <c:xMode val="edge"/>
          <c:yMode val="edge"/>
          <c:x val="0.19723821072073594"/>
          <c:y val="1.0301221879597805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EHCP!$AL$41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373E-4217-9FD8-C5D5547D6EA9}"/>
              </c:ext>
            </c:extLst>
          </c:dPt>
          <c:cat>
            <c:strRef>
              <c:f>EHCP!$Z$2:$AD$3</c:f>
              <c:strCache>
                <c:ptCount val="5"/>
                <c:pt idx="0">
                  <c:v>2015-16</c:v>
                </c:pt>
                <c:pt idx="1">
                  <c:v>2016-17</c:v>
                </c:pt>
                <c:pt idx="2">
                  <c:v>2017-18</c:v>
                </c:pt>
                <c:pt idx="3">
                  <c:v>2018-19</c:v>
                </c:pt>
                <c:pt idx="4">
                  <c:v>2019-20</c:v>
                </c:pt>
              </c:strCache>
            </c:strRef>
          </c:cat>
          <c:val>
            <c:numRef>
              <c:f>EHCP!$AS$41:$AW$41</c:f>
              <c:numCache>
                <c:formatCode>0.0%</c:formatCode>
                <c:ptCount val="5"/>
                <c:pt idx="0">
                  <c:v>#N/A</c:v>
                </c:pt>
                <c:pt idx="1">
                  <c:v>#N/A</c:v>
                </c:pt>
                <c:pt idx="2">
                  <c:v>#N/A</c:v>
                </c:pt>
                <c:pt idx="3">
                  <c:v>0.86486486486486491</c:v>
                </c:pt>
                <c:pt idx="4">
                  <c:v>0.61142857142857143</c:v>
                </c:pt>
              </c:numCache>
            </c:numRef>
          </c:val>
          <c:smooth val="0"/>
          <c:extLst>
            <c:ext xmlns:c16="http://schemas.microsoft.com/office/drawing/2014/chart" uri="{C3380CC4-5D6E-409C-BE32-E72D297353CC}">
              <c16:uniqueId val="{00000001-373E-4217-9FD8-C5D5547D6EA9}"/>
            </c:ext>
          </c:extLst>
        </c:ser>
        <c:ser>
          <c:idx val="1"/>
          <c:order val="1"/>
          <c:tx>
            <c:strRef>
              <c:f>EHCP!$AL$42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EHCP!$Z$2:$AD$3</c:f>
              <c:strCache>
                <c:ptCount val="5"/>
                <c:pt idx="0">
                  <c:v>2015-16</c:v>
                </c:pt>
                <c:pt idx="1">
                  <c:v>2016-17</c:v>
                </c:pt>
                <c:pt idx="2">
                  <c:v>2017-18</c:v>
                </c:pt>
                <c:pt idx="3">
                  <c:v>2018-19</c:v>
                </c:pt>
                <c:pt idx="4">
                  <c:v>2019-20</c:v>
                </c:pt>
              </c:strCache>
            </c:strRef>
          </c:cat>
          <c:val>
            <c:numRef>
              <c:f>EHCP!$AS$42:$AW$42</c:f>
              <c:numCache>
                <c:formatCode>0.0%</c:formatCode>
                <c:ptCount val="5"/>
                <c:pt idx="0">
                  <c:v>#N/A</c:v>
                </c:pt>
                <c:pt idx="1">
                  <c:v>#N/A</c:v>
                </c:pt>
                <c:pt idx="2">
                  <c:v>#N/A</c:v>
                </c:pt>
                <c:pt idx="3">
                  <c:v>0.65714285714285703</c:v>
                </c:pt>
                <c:pt idx="4">
                  <c:v>0.60580912863070535</c:v>
                </c:pt>
              </c:numCache>
            </c:numRef>
          </c:val>
          <c:smooth val="0"/>
          <c:extLst>
            <c:ext xmlns:c16="http://schemas.microsoft.com/office/drawing/2014/chart" uri="{C3380CC4-5D6E-409C-BE32-E72D297353CC}">
              <c16:uniqueId val="{00000002-373E-4217-9FD8-C5D5547D6EA9}"/>
            </c:ext>
          </c:extLst>
        </c:ser>
        <c:ser>
          <c:idx val="2"/>
          <c:order val="2"/>
          <c:tx>
            <c:strRef>
              <c:f>EHCP!$AL$43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EHCP!$Z$2:$AD$3</c:f>
              <c:strCache>
                <c:ptCount val="5"/>
                <c:pt idx="0">
                  <c:v>2015-16</c:v>
                </c:pt>
                <c:pt idx="1">
                  <c:v>2016-17</c:v>
                </c:pt>
                <c:pt idx="2">
                  <c:v>2017-18</c:v>
                </c:pt>
                <c:pt idx="3">
                  <c:v>2018-19</c:v>
                </c:pt>
                <c:pt idx="4">
                  <c:v>2019-20</c:v>
                </c:pt>
              </c:strCache>
            </c:strRef>
          </c:cat>
          <c:val>
            <c:numRef>
              <c:f>EHCP!$AS$43:$AW$43</c:f>
              <c:numCache>
                <c:formatCode>0.0%</c:formatCode>
                <c:ptCount val="5"/>
                <c:pt idx="0">
                  <c:v>#N/A</c:v>
                </c:pt>
                <c:pt idx="1">
                  <c:v>#N/A</c:v>
                </c:pt>
                <c:pt idx="2">
                  <c:v>#N/A</c:v>
                </c:pt>
                <c:pt idx="3">
                  <c:v>0.30880000000000002</c:v>
                </c:pt>
                <c:pt idx="4">
                  <c:v>0.38335809806835069</c:v>
                </c:pt>
              </c:numCache>
            </c:numRef>
          </c:val>
          <c:smooth val="0"/>
          <c:extLst>
            <c:ext xmlns:c16="http://schemas.microsoft.com/office/drawing/2014/chart" uri="{C3380CC4-5D6E-409C-BE32-E72D297353CC}">
              <c16:uniqueId val="{00000003-373E-4217-9FD8-C5D5547D6EA9}"/>
            </c:ext>
          </c:extLst>
        </c:ser>
        <c:ser>
          <c:idx val="5"/>
          <c:order val="3"/>
          <c:tx>
            <c:strRef>
              <c:f>EHCP!$AL$44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EHCP!$Z$2:$AD$3</c:f>
              <c:strCache>
                <c:ptCount val="5"/>
                <c:pt idx="0">
                  <c:v>2015-16</c:v>
                </c:pt>
                <c:pt idx="1">
                  <c:v>2016-17</c:v>
                </c:pt>
                <c:pt idx="2">
                  <c:v>2017-18</c:v>
                </c:pt>
                <c:pt idx="3">
                  <c:v>2018-19</c:v>
                </c:pt>
                <c:pt idx="4">
                  <c:v>2019-20</c:v>
                </c:pt>
              </c:strCache>
            </c:strRef>
          </c:cat>
          <c:val>
            <c:numRef>
              <c:f>EHCP!$AS$44:$AW$44</c:f>
              <c:numCache>
                <c:formatCode>0.0%</c:formatCode>
                <c:ptCount val="5"/>
                <c:pt idx="0">
                  <c:v>#N/A</c:v>
                </c:pt>
                <c:pt idx="1">
                  <c:v>#N/A</c:v>
                </c:pt>
                <c:pt idx="2">
                  <c:v>#N/A</c:v>
                </c:pt>
                <c:pt idx="3">
                  <c:v>0.60725075528700911</c:v>
                </c:pt>
                <c:pt idx="4">
                  <c:v>0.42229729729729731</c:v>
                </c:pt>
              </c:numCache>
            </c:numRef>
          </c:val>
          <c:smooth val="0"/>
          <c:extLst>
            <c:ext xmlns:c16="http://schemas.microsoft.com/office/drawing/2014/chart" uri="{C3380CC4-5D6E-409C-BE32-E72D297353CC}">
              <c16:uniqueId val="{00000004-373E-4217-9FD8-C5D5547D6EA9}"/>
            </c:ext>
          </c:extLst>
        </c:ser>
        <c:ser>
          <c:idx val="9"/>
          <c:order val="4"/>
          <c:tx>
            <c:strRef>
              <c:f>EHCP!$AL$45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EHCP!$Z$2:$AD$3</c:f>
              <c:strCache>
                <c:ptCount val="5"/>
                <c:pt idx="0">
                  <c:v>2015-16</c:v>
                </c:pt>
                <c:pt idx="1">
                  <c:v>2016-17</c:v>
                </c:pt>
                <c:pt idx="2">
                  <c:v>2017-18</c:v>
                </c:pt>
                <c:pt idx="3">
                  <c:v>2018-19</c:v>
                </c:pt>
                <c:pt idx="4">
                  <c:v>2019-20</c:v>
                </c:pt>
              </c:strCache>
            </c:strRef>
          </c:cat>
          <c:val>
            <c:numRef>
              <c:f>EHCP!$AS$45:$AW$45</c:f>
              <c:numCache>
                <c:formatCode>0.0%</c:formatCode>
                <c:ptCount val="5"/>
                <c:pt idx="0">
                  <c:v>#N/A</c:v>
                </c:pt>
                <c:pt idx="1">
                  <c:v>#N/A</c:v>
                </c:pt>
                <c:pt idx="2">
                  <c:v>#N/A</c:v>
                </c:pt>
                <c:pt idx="3">
                  <c:v>0.54751131221719462</c:v>
                </c:pt>
                <c:pt idx="4">
                  <c:v>5.8282208588957052E-2</c:v>
                </c:pt>
              </c:numCache>
            </c:numRef>
          </c:val>
          <c:smooth val="0"/>
          <c:extLst>
            <c:ext xmlns:c16="http://schemas.microsoft.com/office/drawing/2014/chart" uri="{C3380CC4-5D6E-409C-BE32-E72D297353CC}">
              <c16:uniqueId val="{00000005-373E-4217-9FD8-C5D5547D6EA9}"/>
            </c:ext>
          </c:extLst>
        </c:ser>
        <c:ser>
          <c:idx val="10"/>
          <c:order val="5"/>
          <c:tx>
            <c:strRef>
              <c:f>EHCP!$AL$46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EHCP!$Z$2:$AD$3</c:f>
              <c:strCache>
                <c:ptCount val="5"/>
                <c:pt idx="0">
                  <c:v>2015-16</c:v>
                </c:pt>
                <c:pt idx="1">
                  <c:v>2016-17</c:v>
                </c:pt>
                <c:pt idx="2">
                  <c:v>2017-18</c:v>
                </c:pt>
                <c:pt idx="3">
                  <c:v>2018-19</c:v>
                </c:pt>
                <c:pt idx="4">
                  <c:v>2019-20</c:v>
                </c:pt>
              </c:strCache>
            </c:strRef>
          </c:cat>
          <c:val>
            <c:numRef>
              <c:f>EHCP!$AS$46:$AW$46</c:f>
              <c:numCache>
                <c:formatCode>0.0%</c:formatCode>
                <c:ptCount val="5"/>
                <c:pt idx="0">
                  <c:v>#N/A</c:v>
                </c:pt>
                <c:pt idx="1">
                  <c:v>#N/A</c:v>
                </c:pt>
                <c:pt idx="2">
                  <c:v>#N/A</c:v>
                </c:pt>
                <c:pt idx="3">
                  <c:v>0.41290322580645161</c:v>
                </c:pt>
                <c:pt idx="4">
                  <c:v>0.71710526315789469</c:v>
                </c:pt>
              </c:numCache>
            </c:numRef>
          </c:val>
          <c:smooth val="0"/>
          <c:extLst>
            <c:ext xmlns:c16="http://schemas.microsoft.com/office/drawing/2014/chart" uri="{C3380CC4-5D6E-409C-BE32-E72D297353CC}">
              <c16:uniqueId val="{00000006-373E-4217-9FD8-C5D5547D6EA9}"/>
            </c:ext>
          </c:extLst>
        </c:ser>
        <c:ser>
          <c:idx val="11"/>
          <c:order val="6"/>
          <c:tx>
            <c:strRef>
              <c:f>EHCP!$AL$47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EHCP!$Z$2:$AD$3</c:f>
              <c:strCache>
                <c:ptCount val="5"/>
                <c:pt idx="0">
                  <c:v>2015-16</c:v>
                </c:pt>
                <c:pt idx="1">
                  <c:v>2016-17</c:v>
                </c:pt>
                <c:pt idx="2">
                  <c:v>2017-18</c:v>
                </c:pt>
                <c:pt idx="3">
                  <c:v>2018-19</c:v>
                </c:pt>
                <c:pt idx="4">
                  <c:v>2019-20</c:v>
                </c:pt>
              </c:strCache>
            </c:strRef>
          </c:cat>
          <c:val>
            <c:numRef>
              <c:f>EHCP!$AS$47:$AW$47</c:f>
              <c:numCache>
                <c:formatCode>0.0%</c:formatCode>
                <c:ptCount val="5"/>
                <c:pt idx="0">
                  <c:v>#N/A</c:v>
                </c:pt>
                <c:pt idx="1">
                  <c:v>#N/A</c:v>
                </c:pt>
                <c:pt idx="2">
                  <c:v>#N/A</c:v>
                </c:pt>
                <c:pt idx="3">
                  <c:v>0.28476420798065294</c:v>
                </c:pt>
                <c:pt idx="4">
                  <c:v>0.28878878878878878</c:v>
                </c:pt>
              </c:numCache>
            </c:numRef>
          </c:val>
          <c:smooth val="0"/>
          <c:extLst>
            <c:ext xmlns:c16="http://schemas.microsoft.com/office/drawing/2014/chart" uri="{C3380CC4-5D6E-409C-BE32-E72D297353CC}">
              <c16:uniqueId val="{00000007-373E-4217-9FD8-C5D5547D6EA9}"/>
            </c:ext>
          </c:extLst>
        </c:ser>
        <c:ser>
          <c:idx val="12"/>
          <c:order val="7"/>
          <c:tx>
            <c:strRef>
              <c:f>EHCP!$AL$48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EHCP!$Z$2:$AD$3</c:f>
              <c:strCache>
                <c:ptCount val="5"/>
                <c:pt idx="0">
                  <c:v>2015-16</c:v>
                </c:pt>
                <c:pt idx="1">
                  <c:v>2016-17</c:v>
                </c:pt>
                <c:pt idx="2">
                  <c:v>2017-18</c:v>
                </c:pt>
                <c:pt idx="3">
                  <c:v>2018-19</c:v>
                </c:pt>
                <c:pt idx="4">
                  <c:v>2019-20</c:v>
                </c:pt>
              </c:strCache>
            </c:strRef>
          </c:cat>
          <c:val>
            <c:numRef>
              <c:f>EHCP!$AS$48:$AW$48</c:f>
              <c:numCache>
                <c:formatCode>0.0%</c:formatCode>
                <c:ptCount val="5"/>
                <c:pt idx="0">
                  <c:v>#N/A</c:v>
                </c:pt>
                <c:pt idx="1">
                  <c:v>#N/A</c:v>
                </c:pt>
                <c:pt idx="2">
                  <c:v>#N/A</c:v>
                </c:pt>
                <c:pt idx="3">
                  <c:v>0.22480620155038761</c:v>
                </c:pt>
                <c:pt idx="4">
                  <c:v>0.569620253164557</c:v>
                </c:pt>
              </c:numCache>
            </c:numRef>
          </c:val>
          <c:smooth val="0"/>
          <c:extLst>
            <c:ext xmlns:c16="http://schemas.microsoft.com/office/drawing/2014/chart" uri="{C3380CC4-5D6E-409C-BE32-E72D297353CC}">
              <c16:uniqueId val="{00000008-373E-4217-9FD8-C5D5547D6EA9}"/>
            </c:ext>
          </c:extLst>
        </c:ser>
        <c:ser>
          <c:idx val="13"/>
          <c:order val="8"/>
          <c:tx>
            <c:strRef>
              <c:f>EHCP!$AL$49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EHCP!$Z$2:$AD$3</c:f>
              <c:strCache>
                <c:ptCount val="5"/>
                <c:pt idx="0">
                  <c:v>2015-16</c:v>
                </c:pt>
                <c:pt idx="1">
                  <c:v>2016-17</c:v>
                </c:pt>
                <c:pt idx="2">
                  <c:v>2017-18</c:v>
                </c:pt>
                <c:pt idx="3">
                  <c:v>2018-19</c:v>
                </c:pt>
                <c:pt idx="4">
                  <c:v>2019-20</c:v>
                </c:pt>
              </c:strCache>
            </c:strRef>
          </c:cat>
          <c:val>
            <c:numRef>
              <c:f>EHCP!$AS$49:$AW$49</c:f>
              <c:numCache>
                <c:formatCode>0.0%</c:formatCode>
                <c:ptCount val="5"/>
                <c:pt idx="0">
                  <c:v>#N/A</c:v>
                </c:pt>
                <c:pt idx="1">
                  <c:v>#N/A</c:v>
                </c:pt>
                <c:pt idx="2">
                  <c:v>#N/A</c:v>
                </c:pt>
                <c:pt idx="3">
                  <c:v>0.66467065868263475</c:v>
                </c:pt>
                <c:pt idx="4">
                  <c:v>0.74657534246575341</c:v>
                </c:pt>
              </c:numCache>
            </c:numRef>
          </c:val>
          <c:smooth val="0"/>
          <c:extLst>
            <c:ext xmlns:c16="http://schemas.microsoft.com/office/drawing/2014/chart" uri="{C3380CC4-5D6E-409C-BE32-E72D297353CC}">
              <c16:uniqueId val="{00000009-373E-4217-9FD8-C5D5547D6EA9}"/>
            </c:ext>
          </c:extLst>
        </c:ser>
        <c:ser>
          <c:idx val="15"/>
          <c:order val="9"/>
          <c:tx>
            <c:strRef>
              <c:f>EHCP!$AL$50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EHCP!$Z$2:$AD$3</c:f>
              <c:strCache>
                <c:ptCount val="5"/>
                <c:pt idx="0">
                  <c:v>2015-16</c:v>
                </c:pt>
                <c:pt idx="1">
                  <c:v>2016-17</c:v>
                </c:pt>
                <c:pt idx="2">
                  <c:v>2017-18</c:v>
                </c:pt>
                <c:pt idx="3">
                  <c:v>2018-19</c:v>
                </c:pt>
                <c:pt idx="4">
                  <c:v>2019-20</c:v>
                </c:pt>
              </c:strCache>
            </c:strRef>
          </c:cat>
          <c:val>
            <c:numRef>
              <c:f>EHCP!$AS$50:$AW$50</c:f>
              <c:numCache>
                <c:formatCode>0.0%</c:formatCode>
                <c:ptCount val="5"/>
                <c:pt idx="0">
                  <c:v>#N/A</c:v>
                </c:pt>
                <c:pt idx="1">
                  <c:v>#N/A</c:v>
                </c:pt>
                <c:pt idx="2">
                  <c:v>#N/A</c:v>
                </c:pt>
                <c:pt idx="3">
                  <c:v>0.47227191413237923</c:v>
                </c:pt>
                <c:pt idx="4">
                  <c:v>0.50242326332794829</c:v>
                </c:pt>
              </c:numCache>
            </c:numRef>
          </c:val>
          <c:smooth val="0"/>
          <c:extLst>
            <c:ext xmlns:c16="http://schemas.microsoft.com/office/drawing/2014/chart" uri="{C3380CC4-5D6E-409C-BE32-E72D297353CC}">
              <c16:uniqueId val="{0000000A-373E-4217-9FD8-C5D5547D6EA9}"/>
            </c:ext>
          </c:extLst>
        </c:ser>
        <c:ser>
          <c:idx val="16"/>
          <c:order val="10"/>
          <c:tx>
            <c:strRef>
              <c:f>EHCP!$AL$51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EHCP!$Z$2:$AD$3</c:f>
              <c:strCache>
                <c:ptCount val="5"/>
                <c:pt idx="0">
                  <c:v>2015-16</c:v>
                </c:pt>
                <c:pt idx="1">
                  <c:v>2016-17</c:v>
                </c:pt>
                <c:pt idx="2">
                  <c:v>2017-18</c:v>
                </c:pt>
                <c:pt idx="3">
                  <c:v>2018-19</c:v>
                </c:pt>
                <c:pt idx="4">
                  <c:v>2019-20</c:v>
                </c:pt>
              </c:strCache>
            </c:strRef>
          </c:cat>
          <c:val>
            <c:numRef>
              <c:f>EHCP!$AS$51:$AW$51</c:f>
              <c:numCache>
                <c:formatCode>0.0%</c:formatCode>
                <c:ptCount val="5"/>
                <c:pt idx="0">
                  <c:v>#N/A</c:v>
                </c:pt>
                <c:pt idx="1">
                  <c:v>#N/A</c:v>
                </c:pt>
                <c:pt idx="2">
                  <c:v>#N/A</c:v>
                </c:pt>
                <c:pt idx="3">
                  <c:v>0.97354497354497349</c:v>
                </c:pt>
                <c:pt idx="4">
                  <c:v>0.95959595959595956</c:v>
                </c:pt>
              </c:numCache>
            </c:numRef>
          </c:val>
          <c:smooth val="0"/>
          <c:extLst>
            <c:ext xmlns:c16="http://schemas.microsoft.com/office/drawing/2014/chart" uri="{C3380CC4-5D6E-409C-BE32-E72D297353CC}">
              <c16:uniqueId val="{0000000B-373E-4217-9FD8-C5D5547D6EA9}"/>
            </c:ext>
          </c:extLst>
        </c:ser>
        <c:ser>
          <c:idx val="17"/>
          <c:order val="11"/>
          <c:tx>
            <c:strRef>
              <c:f>EHCP!$AL$52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EHCP!$Z$2:$AD$3</c:f>
              <c:strCache>
                <c:ptCount val="5"/>
                <c:pt idx="0">
                  <c:v>2015-16</c:v>
                </c:pt>
                <c:pt idx="1">
                  <c:v>2016-17</c:v>
                </c:pt>
                <c:pt idx="2">
                  <c:v>2017-18</c:v>
                </c:pt>
                <c:pt idx="3">
                  <c:v>2018-19</c:v>
                </c:pt>
                <c:pt idx="4">
                  <c:v>2019-20</c:v>
                </c:pt>
              </c:strCache>
            </c:strRef>
          </c:cat>
          <c:val>
            <c:numRef>
              <c:f>EHCP!$AS$52:$AW$52</c:f>
              <c:numCache>
                <c:formatCode>0.0%</c:formatCode>
                <c:ptCount val="5"/>
                <c:pt idx="0">
                  <c:v>#N/A</c:v>
                </c:pt>
                <c:pt idx="1">
                  <c:v>#N/A</c:v>
                </c:pt>
                <c:pt idx="2">
                  <c:v>#N/A</c:v>
                </c:pt>
                <c:pt idx="3">
                  <c:v>0.71144278606965172</c:v>
                </c:pt>
                <c:pt idx="4">
                  <c:v>0.4885057471264368</c:v>
                </c:pt>
              </c:numCache>
            </c:numRef>
          </c:val>
          <c:smooth val="0"/>
          <c:extLst>
            <c:ext xmlns:c16="http://schemas.microsoft.com/office/drawing/2014/chart" uri="{C3380CC4-5D6E-409C-BE32-E72D297353CC}">
              <c16:uniqueId val="{0000000C-373E-4217-9FD8-C5D5547D6EA9}"/>
            </c:ext>
          </c:extLst>
        </c:ser>
        <c:ser>
          <c:idx val="19"/>
          <c:order val="12"/>
          <c:tx>
            <c:strRef>
              <c:f>EHCP!$AL$53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EHCP!$Z$2:$AD$3</c:f>
              <c:strCache>
                <c:ptCount val="5"/>
                <c:pt idx="0">
                  <c:v>2015-16</c:v>
                </c:pt>
                <c:pt idx="1">
                  <c:v>2016-17</c:v>
                </c:pt>
                <c:pt idx="2">
                  <c:v>2017-18</c:v>
                </c:pt>
                <c:pt idx="3">
                  <c:v>2018-19</c:v>
                </c:pt>
                <c:pt idx="4">
                  <c:v>2019-20</c:v>
                </c:pt>
              </c:strCache>
            </c:strRef>
          </c:cat>
          <c:val>
            <c:numRef>
              <c:f>EHCP!$AS$53:$AW$53</c:f>
              <c:numCache>
                <c:formatCode>0.0%</c:formatCode>
                <c:ptCount val="5"/>
                <c:pt idx="0">
                  <c:v>#N/A</c:v>
                </c:pt>
                <c:pt idx="1">
                  <c:v>#N/A</c:v>
                </c:pt>
                <c:pt idx="2">
                  <c:v>#N/A</c:v>
                </c:pt>
                <c:pt idx="3">
                  <c:v>0.57485029940119758</c:v>
                </c:pt>
                <c:pt idx="4">
                  <c:v>0.62441314553990612</c:v>
                </c:pt>
              </c:numCache>
            </c:numRef>
          </c:val>
          <c:smooth val="0"/>
          <c:extLst>
            <c:ext xmlns:c16="http://schemas.microsoft.com/office/drawing/2014/chart" uri="{C3380CC4-5D6E-409C-BE32-E72D297353CC}">
              <c16:uniqueId val="{0000000D-373E-4217-9FD8-C5D5547D6EA9}"/>
            </c:ext>
          </c:extLst>
        </c:ser>
        <c:ser>
          <c:idx val="3"/>
          <c:order val="13"/>
          <c:tx>
            <c:strRef>
              <c:f>EHCP!$AL$54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EHCP!$Z$2:$AD$3</c:f>
              <c:strCache>
                <c:ptCount val="5"/>
                <c:pt idx="0">
                  <c:v>2015-16</c:v>
                </c:pt>
                <c:pt idx="1">
                  <c:v>2016-17</c:v>
                </c:pt>
                <c:pt idx="2">
                  <c:v>2017-18</c:v>
                </c:pt>
                <c:pt idx="3">
                  <c:v>2018-19</c:v>
                </c:pt>
                <c:pt idx="4">
                  <c:v>2019-20</c:v>
                </c:pt>
              </c:strCache>
            </c:strRef>
          </c:cat>
          <c:val>
            <c:numRef>
              <c:f>EHCP!$AS$54:$AW$54</c:f>
              <c:numCache>
                <c:formatCode>0.0%</c:formatCode>
                <c:ptCount val="5"/>
                <c:pt idx="0">
                  <c:v>#N/A</c:v>
                </c:pt>
                <c:pt idx="1">
                  <c:v>#N/A</c:v>
                </c:pt>
                <c:pt idx="2">
                  <c:v>#N/A</c:v>
                </c:pt>
                <c:pt idx="3">
                  <c:v>0.3592677345537757</c:v>
                </c:pt>
                <c:pt idx="4">
                  <c:v>0.20917431192660552</c:v>
                </c:pt>
              </c:numCache>
            </c:numRef>
          </c:val>
          <c:smooth val="0"/>
          <c:extLst>
            <c:ext xmlns:c16="http://schemas.microsoft.com/office/drawing/2014/chart" uri="{C3380CC4-5D6E-409C-BE32-E72D297353CC}">
              <c16:uniqueId val="{0000000E-373E-4217-9FD8-C5D5547D6EA9}"/>
            </c:ext>
          </c:extLst>
        </c:ser>
        <c:ser>
          <c:idx val="20"/>
          <c:order val="14"/>
          <c:tx>
            <c:strRef>
              <c:f>EHCP!$AL$55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EHCP!$Z$2:$AD$3</c:f>
              <c:strCache>
                <c:ptCount val="5"/>
                <c:pt idx="0">
                  <c:v>2015-16</c:v>
                </c:pt>
                <c:pt idx="1">
                  <c:v>2016-17</c:v>
                </c:pt>
                <c:pt idx="2">
                  <c:v>2017-18</c:v>
                </c:pt>
                <c:pt idx="3">
                  <c:v>2018-19</c:v>
                </c:pt>
                <c:pt idx="4">
                  <c:v>2019-20</c:v>
                </c:pt>
              </c:strCache>
            </c:strRef>
          </c:cat>
          <c:val>
            <c:numRef>
              <c:f>EHCP!$AS$55:$AW$55</c:f>
              <c:numCache>
                <c:formatCode>0.0%</c:formatCode>
                <c:ptCount val="5"/>
                <c:pt idx="0">
                  <c:v>#N/A</c:v>
                </c:pt>
                <c:pt idx="1">
                  <c:v>#N/A</c:v>
                </c:pt>
                <c:pt idx="2">
                  <c:v>#N/A</c:v>
                </c:pt>
                <c:pt idx="3">
                  <c:v>0.2810810810810811</c:v>
                </c:pt>
                <c:pt idx="4">
                  <c:v>0.54545454545454541</c:v>
                </c:pt>
              </c:numCache>
            </c:numRef>
          </c:val>
          <c:smooth val="0"/>
          <c:extLst>
            <c:ext xmlns:c16="http://schemas.microsoft.com/office/drawing/2014/chart" uri="{C3380CC4-5D6E-409C-BE32-E72D297353CC}">
              <c16:uniqueId val="{0000000F-373E-4217-9FD8-C5D5547D6EA9}"/>
            </c:ext>
          </c:extLst>
        </c:ser>
        <c:ser>
          <c:idx val="22"/>
          <c:order val="15"/>
          <c:tx>
            <c:strRef>
              <c:f>EHCP!$AL$56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EHCP!$Z$2:$AD$3</c:f>
              <c:strCache>
                <c:ptCount val="5"/>
                <c:pt idx="0">
                  <c:v>2015-16</c:v>
                </c:pt>
                <c:pt idx="1">
                  <c:v>2016-17</c:v>
                </c:pt>
                <c:pt idx="2">
                  <c:v>2017-18</c:v>
                </c:pt>
                <c:pt idx="3">
                  <c:v>2018-19</c:v>
                </c:pt>
                <c:pt idx="4">
                  <c:v>2019-20</c:v>
                </c:pt>
              </c:strCache>
            </c:strRef>
          </c:cat>
          <c:val>
            <c:numRef>
              <c:f>EHCP!$AS$56:$AW$56</c:f>
              <c:numCache>
                <c:formatCode>0.0%</c:formatCode>
                <c:ptCount val="5"/>
                <c:pt idx="0">
                  <c:v>#N/A</c:v>
                </c:pt>
                <c:pt idx="1">
                  <c:v>#N/A</c:v>
                </c:pt>
                <c:pt idx="2">
                  <c:v>#N/A</c:v>
                </c:pt>
                <c:pt idx="3">
                  <c:v>0.67221418234442831</c:v>
                </c:pt>
                <c:pt idx="4">
                  <c:v>0.54384772263766146</c:v>
                </c:pt>
              </c:numCache>
            </c:numRef>
          </c:val>
          <c:smooth val="0"/>
          <c:extLst>
            <c:ext xmlns:c16="http://schemas.microsoft.com/office/drawing/2014/chart" uri="{C3380CC4-5D6E-409C-BE32-E72D297353CC}">
              <c16:uniqueId val="{00000010-373E-4217-9FD8-C5D5547D6EA9}"/>
            </c:ext>
          </c:extLst>
        </c:ser>
        <c:ser>
          <c:idx val="7"/>
          <c:order val="16"/>
          <c:tx>
            <c:strRef>
              <c:f>EHCP!$AL$57</c:f>
              <c:strCache>
                <c:ptCount val="1"/>
                <c:pt idx="0">
                  <c:v>Swindon</c:v>
                </c:pt>
              </c:strCache>
            </c:strRef>
          </c:tx>
          <c:spPr>
            <a:ln w="12700"/>
          </c:spPr>
          <c:marker>
            <c:symbol val="triangle"/>
            <c:size val="5"/>
            <c:spPr>
              <a:solidFill>
                <a:schemeClr val="accent2">
                  <a:lumMod val="20000"/>
                  <a:lumOff val="80000"/>
                </a:schemeClr>
              </a:solidFill>
            </c:spPr>
          </c:marker>
          <c:cat>
            <c:strRef>
              <c:f>EHCP!$Z$2:$AD$3</c:f>
              <c:strCache>
                <c:ptCount val="5"/>
                <c:pt idx="0">
                  <c:v>2015-16</c:v>
                </c:pt>
                <c:pt idx="1">
                  <c:v>2016-17</c:v>
                </c:pt>
                <c:pt idx="2">
                  <c:v>2017-18</c:v>
                </c:pt>
                <c:pt idx="3">
                  <c:v>2018-19</c:v>
                </c:pt>
                <c:pt idx="4">
                  <c:v>2019-20</c:v>
                </c:pt>
              </c:strCache>
            </c:strRef>
          </c:cat>
          <c:val>
            <c:numRef>
              <c:f>EHCP!$AS$57:$AW$57</c:f>
              <c:numCache>
                <c:formatCode>0.0%</c:formatCode>
                <c:ptCount val="5"/>
                <c:pt idx="0">
                  <c:v>#N/A</c:v>
                </c:pt>
                <c:pt idx="1">
                  <c:v>#N/A</c:v>
                </c:pt>
                <c:pt idx="2">
                  <c:v>#N/A</c:v>
                </c:pt>
                <c:pt idx="3">
                  <c:v>0.92156862745098034</c:v>
                </c:pt>
                <c:pt idx="4">
                  <c:v>0.30379746835443039</c:v>
                </c:pt>
              </c:numCache>
            </c:numRef>
          </c:val>
          <c:smooth val="0"/>
          <c:extLst>
            <c:ext xmlns:c16="http://schemas.microsoft.com/office/drawing/2014/chart" uri="{C3380CC4-5D6E-409C-BE32-E72D297353CC}">
              <c16:uniqueId val="{00000011-373E-4217-9FD8-C5D5547D6EA9}"/>
            </c:ext>
          </c:extLst>
        </c:ser>
        <c:ser>
          <c:idx val="8"/>
          <c:order val="17"/>
          <c:tx>
            <c:strRef>
              <c:f>EHCP!$AL$58</c:f>
              <c:strCache>
                <c:ptCount val="1"/>
                <c:pt idx="0">
                  <c:v>Torbay</c:v>
                </c:pt>
              </c:strCache>
            </c:strRef>
          </c:tx>
          <c:spPr>
            <a:ln w="12700"/>
          </c:spPr>
          <c:marker>
            <c:symbol val="circle"/>
            <c:size val="5"/>
            <c:spPr>
              <a:solidFill>
                <a:schemeClr val="accent3">
                  <a:lumMod val="20000"/>
                  <a:lumOff val="80000"/>
                </a:schemeClr>
              </a:solidFill>
            </c:spPr>
          </c:marker>
          <c:cat>
            <c:strRef>
              <c:f>EHCP!$Z$2:$AD$3</c:f>
              <c:strCache>
                <c:ptCount val="5"/>
                <c:pt idx="0">
                  <c:v>2015-16</c:v>
                </c:pt>
                <c:pt idx="1">
                  <c:v>2016-17</c:v>
                </c:pt>
                <c:pt idx="2">
                  <c:v>2017-18</c:v>
                </c:pt>
                <c:pt idx="3">
                  <c:v>2018-19</c:v>
                </c:pt>
                <c:pt idx="4">
                  <c:v>2019-20</c:v>
                </c:pt>
              </c:strCache>
            </c:strRef>
          </c:cat>
          <c:val>
            <c:numRef>
              <c:f>EHCP!$AS$58:$AW$58</c:f>
              <c:numCache>
                <c:formatCode>0.0%</c:formatCode>
                <c:ptCount val="5"/>
                <c:pt idx="0">
                  <c:v>#N/A</c:v>
                </c:pt>
                <c:pt idx="1">
                  <c:v>#N/A</c:v>
                </c:pt>
                <c:pt idx="2">
                  <c:v>#N/A</c:v>
                </c:pt>
                <c:pt idx="3">
                  <c:v>0.92777777777777781</c:v>
                </c:pt>
                <c:pt idx="4">
                  <c:v>0.26595744680851063</c:v>
                </c:pt>
              </c:numCache>
            </c:numRef>
          </c:val>
          <c:smooth val="0"/>
          <c:extLst>
            <c:ext xmlns:c16="http://schemas.microsoft.com/office/drawing/2014/chart" uri="{C3380CC4-5D6E-409C-BE32-E72D297353CC}">
              <c16:uniqueId val="{00000012-373E-4217-9FD8-C5D5547D6EA9}"/>
            </c:ext>
          </c:extLst>
        </c:ser>
        <c:ser>
          <c:idx val="23"/>
          <c:order val="18"/>
          <c:tx>
            <c:strRef>
              <c:f>EHCP!$AL$59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EHCP!$Z$2:$AD$3</c:f>
              <c:strCache>
                <c:ptCount val="5"/>
                <c:pt idx="0">
                  <c:v>2015-16</c:v>
                </c:pt>
                <c:pt idx="1">
                  <c:v>2016-17</c:v>
                </c:pt>
                <c:pt idx="2">
                  <c:v>2017-18</c:v>
                </c:pt>
                <c:pt idx="3">
                  <c:v>2018-19</c:v>
                </c:pt>
                <c:pt idx="4">
                  <c:v>2019-20</c:v>
                </c:pt>
              </c:strCache>
            </c:strRef>
          </c:cat>
          <c:val>
            <c:numRef>
              <c:f>EHCP!$AS$59:$AW$59</c:f>
              <c:numCache>
                <c:formatCode>0.0%</c:formatCode>
                <c:ptCount val="5"/>
                <c:pt idx="0">
                  <c:v>#N/A</c:v>
                </c:pt>
                <c:pt idx="1">
                  <c:v>#N/A</c:v>
                </c:pt>
                <c:pt idx="2">
                  <c:v>#N/A</c:v>
                </c:pt>
                <c:pt idx="3">
                  <c:v>0.84347826086956523</c:v>
                </c:pt>
                <c:pt idx="4">
                  <c:v>0.84516129032258069</c:v>
                </c:pt>
              </c:numCache>
            </c:numRef>
          </c:val>
          <c:smooth val="0"/>
          <c:extLst>
            <c:ext xmlns:c16="http://schemas.microsoft.com/office/drawing/2014/chart" uri="{C3380CC4-5D6E-409C-BE32-E72D297353CC}">
              <c16:uniqueId val="{00000013-373E-4217-9FD8-C5D5547D6EA9}"/>
            </c:ext>
          </c:extLst>
        </c:ser>
        <c:ser>
          <c:idx val="24"/>
          <c:order val="19"/>
          <c:tx>
            <c:strRef>
              <c:f>EHCP!$AL$60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EHCP!$Z$2:$AD$3</c:f>
              <c:strCache>
                <c:ptCount val="5"/>
                <c:pt idx="0">
                  <c:v>2015-16</c:v>
                </c:pt>
                <c:pt idx="1">
                  <c:v>2016-17</c:v>
                </c:pt>
                <c:pt idx="2">
                  <c:v>2017-18</c:v>
                </c:pt>
                <c:pt idx="3">
                  <c:v>2018-19</c:v>
                </c:pt>
                <c:pt idx="4">
                  <c:v>2019-20</c:v>
                </c:pt>
              </c:strCache>
            </c:strRef>
          </c:cat>
          <c:val>
            <c:numRef>
              <c:f>EHCP!$AS$60:$AW$60</c:f>
              <c:numCache>
                <c:formatCode>0.0%</c:formatCode>
                <c:ptCount val="5"/>
                <c:pt idx="0">
                  <c:v>#N/A</c:v>
                </c:pt>
                <c:pt idx="1">
                  <c:v>#N/A</c:v>
                </c:pt>
                <c:pt idx="2">
                  <c:v>#N/A</c:v>
                </c:pt>
                <c:pt idx="3">
                  <c:v>0.43577235772357725</c:v>
                </c:pt>
                <c:pt idx="4">
                  <c:v>0.78010471204188481</c:v>
                </c:pt>
              </c:numCache>
            </c:numRef>
          </c:val>
          <c:smooth val="0"/>
          <c:extLst>
            <c:ext xmlns:c16="http://schemas.microsoft.com/office/drawing/2014/chart" uri="{C3380CC4-5D6E-409C-BE32-E72D297353CC}">
              <c16:uniqueId val="{00000014-373E-4217-9FD8-C5D5547D6EA9}"/>
            </c:ext>
          </c:extLst>
        </c:ser>
        <c:ser>
          <c:idx val="25"/>
          <c:order val="20"/>
          <c:tx>
            <c:strRef>
              <c:f>EHCP!$AL$61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EHCP!$Z$2:$AD$3</c:f>
              <c:strCache>
                <c:ptCount val="5"/>
                <c:pt idx="0">
                  <c:v>2015-16</c:v>
                </c:pt>
                <c:pt idx="1">
                  <c:v>2016-17</c:v>
                </c:pt>
                <c:pt idx="2">
                  <c:v>2017-18</c:v>
                </c:pt>
                <c:pt idx="3">
                  <c:v>2018-19</c:v>
                </c:pt>
                <c:pt idx="4">
                  <c:v>2019-20</c:v>
                </c:pt>
              </c:strCache>
            </c:strRef>
          </c:cat>
          <c:val>
            <c:numRef>
              <c:f>EHCP!$AS$61:$AW$61</c:f>
              <c:numCache>
                <c:formatCode>0.0%</c:formatCode>
                <c:ptCount val="5"/>
                <c:pt idx="0">
                  <c:v>#N/A</c:v>
                </c:pt>
                <c:pt idx="1">
                  <c:v>#N/A</c:v>
                </c:pt>
                <c:pt idx="2">
                  <c:v>#N/A</c:v>
                </c:pt>
                <c:pt idx="3">
                  <c:v>0.98275862068965514</c:v>
                </c:pt>
                <c:pt idx="4">
                  <c:v>0.84210526315789469</c:v>
                </c:pt>
              </c:numCache>
            </c:numRef>
          </c:val>
          <c:smooth val="0"/>
          <c:extLst>
            <c:ext xmlns:c16="http://schemas.microsoft.com/office/drawing/2014/chart" uri="{C3380CC4-5D6E-409C-BE32-E72D297353CC}">
              <c16:uniqueId val="{00000015-373E-4217-9FD8-C5D5547D6EA9}"/>
            </c:ext>
          </c:extLst>
        </c:ser>
        <c:ser>
          <c:idx val="26"/>
          <c:order val="21"/>
          <c:tx>
            <c:strRef>
              <c:f>EHCP!$AL$62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EHCP!$Z$2:$AD$3</c:f>
              <c:strCache>
                <c:ptCount val="5"/>
                <c:pt idx="0">
                  <c:v>2015-16</c:v>
                </c:pt>
                <c:pt idx="1">
                  <c:v>2016-17</c:v>
                </c:pt>
                <c:pt idx="2">
                  <c:v>2017-18</c:v>
                </c:pt>
                <c:pt idx="3">
                  <c:v>2018-19</c:v>
                </c:pt>
                <c:pt idx="4">
                  <c:v>2019-20</c:v>
                </c:pt>
              </c:strCache>
            </c:strRef>
          </c:cat>
          <c:val>
            <c:numRef>
              <c:f>EHCP!$AS$62:$AW$62</c:f>
              <c:numCache>
                <c:formatCode>0.0%</c:formatCode>
                <c:ptCount val="5"/>
                <c:pt idx="0">
                  <c:v>#N/A</c:v>
                </c:pt>
                <c:pt idx="1">
                  <c:v>#N/A</c:v>
                </c:pt>
                <c:pt idx="2">
                  <c:v>#N/A</c:v>
                </c:pt>
                <c:pt idx="3">
                  <c:v>0.29906542056074764</c:v>
                </c:pt>
                <c:pt idx="4">
                  <c:v>8.6956521739130432E-2</c:v>
                </c:pt>
              </c:numCache>
            </c:numRef>
          </c:val>
          <c:smooth val="0"/>
          <c:extLst>
            <c:ext xmlns:c16="http://schemas.microsoft.com/office/drawing/2014/chart" uri="{C3380CC4-5D6E-409C-BE32-E72D297353CC}">
              <c16:uniqueId val="{00000016-373E-4217-9FD8-C5D5547D6EA9}"/>
            </c:ext>
          </c:extLst>
        </c:ser>
        <c:ser>
          <c:idx val="4"/>
          <c:order val="22"/>
          <c:tx>
            <c:strRef>
              <c:f>EHCP!$AL$63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EHCP!$Z$2:$AD$3</c:f>
              <c:strCache>
                <c:ptCount val="5"/>
                <c:pt idx="0">
                  <c:v>2015-16</c:v>
                </c:pt>
                <c:pt idx="1">
                  <c:v>2016-17</c:v>
                </c:pt>
                <c:pt idx="2">
                  <c:v>2017-18</c:v>
                </c:pt>
                <c:pt idx="3">
                  <c:v>2018-19</c:v>
                </c:pt>
                <c:pt idx="4">
                  <c:v>2019-20</c:v>
                </c:pt>
              </c:strCache>
            </c:strRef>
          </c:cat>
          <c:val>
            <c:numRef>
              <c:f>EHCP!$AS$63:$AW$63</c:f>
              <c:numCache>
                <c:formatCode>0.0%</c:formatCode>
                <c:ptCount val="5"/>
                <c:pt idx="0">
                  <c:v>#N/A</c:v>
                </c:pt>
                <c:pt idx="1">
                  <c:v>#N/A</c:v>
                </c:pt>
                <c:pt idx="2">
                  <c:v>#N/A</c:v>
                </c:pt>
                <c:pt idx="3">
                  <c:v>0.50108121095627101</c:v>
                </c:pt>
                <c:pt idx="4">
                  <c:v>0.46363538411809074</c:v>
                </c:pt>
              </c:numCache>
            </c:numRef>
          </c:val>
          <c:smooth val="0"/>
          <c:extLst>
            <c:ext xmlns:c16="http://schemas.microsoft.com/office/drawing/2014/chart" uri="{C3380CC4-5D6E-409C-BE32-E72D297353CC}">
              <c16:uniqueId val="{00000017-373E-4217-9FD8-C5D5547D6EA9}"/>
            </c:ext>
          </c:extLst>
        </c:ser>
        <c:ser>
          <c:idx val="14"/>
          <c:order val="23"/>
          <c:tx>
            <c:strRef>
              <c:f>EHCP!$AL$64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EHCP!$Z$2:$AD$3</c:f>
              <c:strCache>
                <c:ptCount val="5"/>
                <c:pt idx="0">
                  <c:v>2015-16</c:v>
                </c:pt>
                <c:pt idx="1">
                  <c:v>2016-17</c:v>
                </c:pt>
                <c:pt idx="2">
                  <c:v>2017-18</c:v>
                </c:pt>
                <c:pt idx="3">
                  <c:v>2018-19</c:v>
                </c:pt>
                <c:pt idx="4">
                  <c:v>2019-20</c:v>
                </c:pt>
              </c:strCache>
            </c:strRef>
          </c:cat>
          <c:val>
            <c:numRef>
              <c:f>EHCP!$AS$64:$AW$64</c:f>
              <c:numCache>
                <c:formatCode>0.0%</c:formatCode>
                <c:ptCount val="5"/>
                <c:pt idx="0">
                  <c:v>#N/A</c:v>
                </c:pt>
                <c:pt idx="1">
                  <c:v>#N/A</c:v>
                </c:pt>
                <c:pt idx="2">
                  <c:v>#N/A</c:v>
                </c:pt>
                <c:pt idx="3">
                  <c:v>0.58047504274560702</c:v>
                </c:pt>
                <c:pt idx="4">
                  <c:v>0.58718847863183754</c:v>
                </c:pt>
              </c:numCache>
            </c:numRef>
          </c:val>
          <c:smooth val="0"/>
          <c:extLst>
            <c:ext xmlns:c16="http://schemas.microsoft.com/office/drawing/2014/chart" uri="{C3380CC4-5D6E-409C-BE32-E72D297353CC}">
              <c16:uniqueId val="{00000018-373E-4217-9FD8-C5D5547D6EA9}"/>
            </c:ext>
          </c:extLst>
        </c:ser>
        <c:ser>
          <c:idx val="6"/>
          <c:order val="24"/>
          <c:tx>
            <c:strRef>
              <c:f>EHCP!$AL$65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EHCP!$Z$2:$AD$3</c:f>
              <c:strCache>
                <c:ptCount val="5"/>
                <c:pt idx="0">
                  <c:v>2015-16</c:v>
                </c:pt>
                <c:pt idx="1">
                  <c:v>2016-17</c:v>
                </c:pt>
                <c:pt idx="2">
                  <c:v>2017-18</c:v>
                </c:pt>
                <c:pt idx="3">
                  <c:v>2018-19</c:v>
                </c:pt>
                <c:pt idx="4">
                  <c:v>2019-20</c:v>
                </c:pt>
              </c:strCache>
            </c:strRef>
          </c:cat>
          <c:val>
            <c:numRef>
              <c:f>EHCP!$AS$65:$AW$65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373E-4217-9FD8-C5D5547D6EA9}"/>
            </c:ext>
          </c:extLst>
        </c:ser>
        <c:dLbls>
          <c:showLegendKey val="0"/>
          <c:showVal val="0"/>
          <c:showCatName val="0"/>
          <c:showSerName val="0"/>
          <c:showPercent val="0"/>
          <c:showBubbleSize val="0"/>
        </c:dLbls>
        <c:marker val="1"/>
        <c:smooth val="0"/>
        <c:axId val="652272000"/>
        <c:axId val="652273920"/>
      </c:lineChart>
      <c:catAx>
        <c:axId val="652272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52273920"/>
        <c:crosses val="autoZero"/>
        <c:auto val="1"/>
        <c:lblAlgn val="ctr"/>
        <c:lblOffset val="100"/>
        <c:tickLblSkip val="1"/>
        <c:tickMarkSkip val="1"/>
        <c:noMultiLvlLbl val="0"/>
      </c:catAx>
      <c:valAx>
        <c:axId val="65227392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52272000"/>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083087582271959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New EHC Plans Issued vs. IDACI</a:t>
            </a:r>
          </a:p>
        </c:rich>
      </c:tx>
      <c:layout>
        <c:manualLayout>
          <c:xMode val="edge"/>
          <c:yMode val="edge"/>
          <c:x val="0.22518854373972486"/>
          <c:y val="3.3190817211197016E-2"/>
        </c:manualLayout>
      </c:layout>
      <c:overlay val="0"/>
      <c:spPr>
        <a:noFill/>
        <a:ln w="25400">
          <a:noFill/>
        </a:ln>
      </c:spPr>
    </c:title>
    <c:autoTitleDeleted val="0"/>
    <c:plotArea>
      <c:layout>
        <c:manualLayout>
          <c:layoutTarget val="inner"/>
          <c:xMode val="edge"/>
          <c:yMode val="edge"/>
          <c:x val="0.1696751752184823"/>
          <c:y val="0.10979917103122291"/>
          <c:w val="0.72507605780046724"/>
          <c:h val="0.7425640385641078"/>
        </c:manualLayout>
      </c:layout>
      <c:scatterChart>
        <c:scatterStyle val="smoothMarker"/>
        <c:varyColors val="0"/>
        <c:ser>
          <c:idx val="5"/>
          <c:order val="5"/>
          <c:tx>
            <c:strRef>
              <c:f>EHCP!$Y$41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B1EC-4E4E-AB30-FDB175312AC5}"/>
                </c:ext>
              </c:extLst>
            </c:dLbl>
            <c:dLbl>
              <c:idx val="1"/>
              <c:layout>
                <c:manualLayout>
                  <c:x val="-5.8479532163742687E-2"/>
                  <c:y val="3.0165912518853696E-2"/>
                </c:manualLayout>
              </c:layout>
              <c:tx>
                <c:strRef>
                  <c:f>EHCP!$AD$42</c:f>
                  <c:strCache>
                    <c:ptCount val="1"/>
                    <c:pt idx="0">
                      <c:v>r² = 0.055</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{09B1BE1B-930F-4193-A623-59B924B869B6}</c15:txfldGUID>
                      <c15:f>EHCP!$AD$42</c15:f>
                      <c15:dlblFieldTableCache>
                        <c:ptCount val="1"/>
                        <c:pt idx="0">
                          <c:v>r² = 0.055</c:v>
                        </c:pt>
                      </c15:dlblFieldTableCache>
                    </c15:dlblFTEntry>
                  </c15:dlblFieldTable>
                  <c15:showDataLabelsRange val="0"/>
                </c:ext>
                <c:ext xmlns:c16="http://schemas.microsoft.com/office/drawing/2014/chart" uri="{C3380CC4-5D6E-409C-BE32-E72D297353CC}">
                  <c16:uniqueId val="{00000001-B1EC-4E4E-AB30-FDB175312AC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EHCP!$AB$41:$AB$42</c:f>
              <c:numCache>
                <c:formatCode>General</c:formatCode>
                <c:ptCount val="2"/>
                <c:pt idx="0" formatCode="#,##0.0">
                  <c:v>5</c:v>
                </c:pt>
                <c:pt idx="1">
                  <c:v>35</c:v>
                </c:pt>
              </c:numCache>
            </c:numRef>
          </c:xVal>
          <c:yVal>
            <c:numRef>
              <c:f>EHCP!$AC$41:$AC$42</c:f>
              <c:numCache>
                <c:formatCode>0.0</c:formatCode>
                <c:ptCount val="2"/>
                <c:pt idx="0">
                  <c:v>35.569267018991738</c:v>
                </c:pt>
                <c:pt idx="1">
                  <c:v>24.839340800413861</c:v>
                </c:pt>
              </c:numCache>
            </c:numRef>
          </c:yVal>
          <c:smooth val="1"/>
          <c:extLst>
            <c:ext xmlns:c16="http://schemas.microsoft.com/office/drawing/2014/chart" uri="{C3380CC4-5D6E-409C-BE32-E72D297353CC}">
              <c16:uniqueId val="{00000002-B1EC-4E4E-AB30-FDB175312AC5}"/>
            </c:ext>
          </c:extLst>
        </c:ser>
        <c:dLbls>
          <c:showLegendKey val="0"/>
          <c:showVal val="0"/>
          <c:showCatName val="0"/>
          <c:showSerName val="0"/>
          <c:showPercent val="0"/>
          <c:showBubbleSize val="0"/>
        </c:dLbls>
        <c:axId val="652436224"/>
        <c:axId val="652438144"/>
      </c:scatterChart>
      <c:scatterChart>
        <c:scatterStyle val="lineMarker"/>
        <c:varyColors val="0"/>
        <c:ser>
          <c:idx val="0"/>
          <c:order val="0"/>
          <c:tx>
            <c:strRef>
              <c:f>EHCP!$AR$38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B1EC-4E4E-AB30-FDB175312AC5}"/>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{CEC65C7A-1DC3-4CE8-9A12-E3161F01E974}</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B1EC-4E4E-AB30-FDB175312AC5}"/>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{567CAF3A-5AF9-4FC8-8755-E4DF1E0D7F78}</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B1EC-4E4E-AB30-FDB175312AC5}"/>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{A2EC5E06-05BA-4A00-B17B-E6B44D9E8402}</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B1EC-4E4E-AB30-FDB175312AC5}"/>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{86B9BA71-D0CA-4407-9180-92348522EBBB}</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B1EC-4E4E-AB30-FDB175312AC5}"/>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{422BE786-59BA-4203-ABF7-91B5C09E0A44}</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B1EC-4E4E-AB30-FDB175312AC5}"/>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{18D20457-38B3-4674-8126-83AF33FDC305}</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B1EC-4E4E-AB30-FDB175312AC5}"/>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{7DBB4583-B3C6-4F64-B25A-36E84137B73A}</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B1EC-4E4E-AB30-FDB175312AC5}"/>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{39FA750C-616F-4A28-8B6F-1B44248C805D}</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B1EC-4E4E-AB30-FDB175312AC5}"/>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{2826F086-E6F9-414B-89A1-BB40FFFC93B7}</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B1EC-4E4E-AB30-FDB175312AC5}"/>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{8392DF5D-E701-4E44-BCEA-0BDE6D91EFA6}</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B1EC-4E4E-AB30-FDB175312AC5}"/>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{B6E21276-6014-4F72-B42A-E841C58FA370}</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B1EC-4E4E-AB30-FDB175312AC5}"/>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{733E94C5-B9ED-4FD4-B517-212A4C38E9AE}</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B1EC-4E4E-AB30-FDB175312AC5}"/>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{32E8DCF0-10A2-49D9-843D-DEFDCC16E01A}</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B1EC-4E4E-AB30-FDB175312AC5}"/>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{6C0668A0-DC71-4245-A98B-D943BE9136F3}</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B1EC-4E4E-AB30-FDB175312AC5}"/>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{3B1CF72A-9E3D-4D0D-8838-164140A51C87}</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B1EC-4E4E-AB30-FDB175312AC5}"/>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{2EDF9C8C-85BC-4635-9280-539BD78C7C0A}</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B1EC-4E4E-AB30-FDB175312AC5}"/>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{B6D42716-ECD1-4624-9089-FA36C0BF915B}</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B1EC-4E4E-AB30-FDB175312AC5}"/>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{A694591A-1F48-4DF2-B25A-5F542C1E10E1}</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B1EC-4E4E-AB30-FDB175312AC5}"/>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{C3BF9C01-A397-4E47-9239-2BC1723DC964}</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B1EC-4E4E-AB30-FDB175312AC5}"/>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(EHCP!$AR$41:$AR$53,EHCP!$AR$55:$AR$56,EHCP!$AR$59:$AR$62)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(EHCP!$AQ$41:$AQ$53,EHCP!$AQ$55:$AQ$56,EHCP!$AQ$59:$AQ$62)</c:f>
              <c:numCache>
                <c:formatCode>0.0</c:formatCode>
                <c:ptCount val="19"/>
                <c:pt idx="0">
                  <c:v>45.103092783505147</c:v>
                </c:pt>
                <c:pt idx="1">
                  <c:v>24.221105527638191</c:v>
                </c:pt>
                <c:pt idx="2">
                  <c:v>40.323547034152185</c:v>
                </c:pt>
                <c:pt idx="3">
                  <c:v>19.946091644204852</c:v>
                </c:pt>
                <c:pt idx="4">
                  <c:v>24.79087452471483</c:v>
                </c:pt>
                <c:pt idx="5">
                  <c:v>43.059490084985839</c:v>
                </c:pt>
                <c:pt idx="6">
                  <c:v>41.298057048367092</c:v>
                </c:pt>
                <c:pt idx="7">
                  <c:v>34.687156970362238</c:v>
                </c:pt>
                <c:pt idx="8">
                  <c:v>32.552954292084728</c:v>
                </c:pt>
                <c:pt idx="9">
                  <c:v>27.845254161043634</c:v>
                </c:pt>
                <c:pt idx="10">
                  <c:v>24.905660377358494</c:v>
                </c:pt>
                <c:pt idx="11">
                  <c:v>30</c:v>
                </c:pt>
                <c:pt idx="12">
                  <c:v>38.172043010752688</c:v>
                </c:pt>
                <c:pt idx="13">
                  <c:v>25.975359342915809</c:v>
                </c:pt>
                <c:pt idx="14">
                  <c:v>39.929424538545064</c:v>
                </c:pt>
                <c:pt idx="15">
                  <c:v>32.700421940928265</c:v>
                </c:pt>
                <c:pt idx="16">
                  <c:v>31.939799331103682</c:v>
                </c:pt>
                <c:pt idx="17">
                  <c:v>33.406593406593409</c:v>
                </c:pt>
                <c:pt idx="18">
                  <c:v>30.09345794392523</c:v>
                </c:pt>
              </c:numCache>
            </c:numRef>
          </c:yVal>
          <c:smooth val="0"/>
          <c:extLst>
            <c:ext xmlns:c16="http://schemas.microsoft.com/office/drawing/2014/chart" uri="{C3380CC4-5D6E-409C-BE32-E72D297353CC}">
              <c16:uniqueId val="{00000017-B1EC-4E4E-AB30-FDB175312AC5}"/>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B1EC-4E4E-AB30-FDB175312AC5}"/>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{7E6EF432-846B-451F-BDDA-80CD69CC146F}</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B1EC-4E4E-AB30-FDB175312AC5}"/>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{DEC4AB1C-76C9-4F25-BA63-803BEB18003F}</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B1EC-4E4E-AB30-FDB175312AC5}"/>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{0BAAC18C-EDAC-4097-B4B8-934F6545DF2D}</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B1EC-4E4E-AB30-FDB175312AC5}"/>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(EHCP!$AQ$54,EHCP!$AQ$57:$AQ$58)</c:f>
              <c:numCache>
                <c:formatCode>0.0</c:formatCode>
                <c:ptCount val="3"/>
                <c:pt idx="0">
                  <c:v>35.690897184020955</c:v>
                </c:pt>
                <c:pt idx="1">
                  <c:v>34.649122807017548</c:v>
                </c:pt>
                <c:pt idx="2">
                  <c:v>53.257790368271948</c:v>
                </c:pt>
              </c:numCache>
            </c:numRef>
          </c:xVal>
          <c:yVal>
            <c:numRef>
              <c:f>(EHCP!$AQ$54,EHCP!$AQ$57:$AQ$58)</c:f>
              <c:numCache>
                <c:formatCode>0.0</c:formatCode>
                <c:ptCount val="3"/>
                <c:pt idx="0">
                  <c:v>35.690897184020955</c:v>
                </c:pt>
                <c:pt idx="1">
                  <c:v>34.649122807017548</c:v>
                </c:pt>
                <c:pt idx="2">
                  <c:v>53.257790368271948</c:v>
                </c:pt>
              </c:numCache>
            </c:numRef>
          </c:yVal>
          <c:smooth val="0"/>
          <c:extLst>
            <c:ext xmlns:c16="http://schemas.microsoft.com/office/drawing/2014/chart" uri="{C3380CC4-5D6E-409C-BE32-E72D297353CC}">
              <c16:uniqueId val="{0000001B-B1EC-4E4E-AB30-FDB175312AC5}"/>
            </c:ext>
          </c:extLst>
        </c:ser>
        <c:ser>
          <c:idx val="1"/>
          <c:order val="2"/>
          <c:tx>
            <c:strRef>
              <c:f>EHCP!$Z$4</c:f>
              <c:strCache>
                <c:ptCount val="1"/>
                <c:pt idx="0">
                  <c:v>(none)</c:v>
                </c:pt>
              </c:strCache>
            </c:strRef>
          </c:tx>
          <c:spPr>
            <a:ln w="28575">
              <a:noFill/>
            </a:ln>
          </c:spPr>
          <c:marker>
            <c:symbol val="circle"/>
            <c:size val="7"/>
            <c:spPr>
              <a:solidFill>
                <a:srgbClr val="66FF99"/>
              </a:solidFill>
              <a:ln>
                <a:solidFill>
                  <a:prstClr val="black"/>
                </a:solidFill>
              </a:ln>
            </c:spPr>
          </c:marker>
          <c:xVal>
            <c:numRef>
              <c:f>EHCP!$AR$65</c:f>
              <c:numCache>
                <c:formatCode>0.0</c:formatCode>
                <c:ptCount val="1"/>
                <c:pt idx="0">
                  <c:v>#N/A</c:v>
                </c:pt>
              </c:numCache>
            </c:numRef>
          </c:xVal>
          <c:yVal>
            <c:numRef>
              <c:f>EHCP!$AQ$65</c:f>
              <c:numCache>
                <c:formatCode>0.0</c:formatCode>
                <c:ptCount val="1"/>
                <c:pt idx="0">
                  <c:v>#N/A</c:v>
                </c:pt>
              </c:numCache>
            </c:numRef>
          </c:yVal>
          <c:smooth val="0"/>
          <c:extLst>
            <c:ext xmlns:c16="http://schemas.microsoft.com/office/drawing/2014/chart" uri="{C3380CC4-5D6E-409C-BE32-E72D297353CC}">
              <c16:uniqueId val="{0000001C-B1EC-4E4E-AB30-FDB175312AC5}"/>
            </c:ext>
          </c:extLst>
        </c:ser>
        <c:ser>
          <c:idx val="4"/>
          <c:order val="3"/>
          <c:tx>
            <c:strRef>
              <c:f>EHCP!$B$32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EHCP!$S$32</c:f>
              <c:numCache>
                <c:formatCode>0.0</c:formatCode>
                <c:ptCount val="1"/>
                <c:pt idx="0">
                  <c:v>12.371268250968637</c:v>
                </c:pt>
              </c:numCache>
            </c:numRef>
          </c:xVal>
          <c:yVal>
            <c:numRef>
              <c:f>EHCP!$O$32</c:f>
              <c:numCache>
                <c:formatCode>0.0</c:formatCode>
                <c:ptCount val="1"/>
                <c:pt idx="0">
                  <c:v>47.130814543977252</c:v>
                </c:pt>
              </c:numCache>
            </c:numRef>
          </c:yVal>
          <c:smooth val="0"/>
          <c:extLst>
            <c:ext xmlns:c16="http://schemas.microsoft.com/office/drawing/2014/chart" uri="{C3380CC4-5D6E-409C-BE32-E72D297353CC}">
              <c16:uniqueId val="{0000001D-B1EC-4E4E-AB30-FDB175312AC5}"/>
            </c:ext>
          </c:extLst>
        </c:ser>
        <c:ser>
          <c:idx val="2"/>
          <c:order val="4"/>
          <c:tx>
            <c:strRef>
              <c:f>EHCP!$Y$43</c:f>
              <c:strCache>
                <c:ptCount val="1"/>
                <c:pt idx="0">
                  <c:v>National Trend 2020</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B1EC-4E4E-AB30-FDB175312AC5}"/>
                </c:ext>
              </c:extLst>
            </c:dLbl>
            <c:dLbl>
              <c:idx val="1"/>
              <c:layout>
                <c:manualLayout>
                  <c:x val="-6.9574757102730575E-2"/>
                  <c:y val="-2.7149321266968326E-2"/>
                </c:manualLayout>
              </c:layout>
              <c:tx>
                <c:strRef>
                  <c:f>EHCP!$AD$43</c:f>
                  <c:strCache>
                    <c:ptCount val="1"/>
                    <c:pt idx="0">
                      <c:v>r² = 0.0051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{26B8396F-F891-4E2E-97B2-A8A31E80C887}</c15:txfldGUID>
                      <c15:f>EHCP!$AD$43</c15:f>
                      <c15:dlblFieldTableCache>
                        <c:ptCount val="1"/>
                        <c:pt idx="0">
                          <c:v>r² = 0.0051</c:v>
                        </c:pt>
                      </c15:dlblFieldTableCache>
                    </c15:dlblFTEntry>
                  </c15:dlblFieldTable>
                  <c15:showDataLabelsRange val="0"/>
                </c:ext>
                <c:ext xmlns:c16="http://schemas.microsoft.com/office/drawing/2014/chart" uri="{C3380CC4-5D6E-409C-BE32-E72D297353CC}">
                  <c16:uniqueId val="{0000001F-B1EC-4E4E-AB30-FDB175312AC5}"/>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EHCP!$AB$43:$AB$44</c:f>
              <c:numCache>
                <c:formatCode>General</c:formatCode>
                <c:ptCount val="2"/>
                <c:pt idx="0" formatCode="#,##0.0">
                  <c:v>5</c:v>
                </c:pt>
                <c:pt idx="1">
                  <c:v>35</c:v>
                </c:pt>
              </c:numCache>
            </c:numRef>
          </c:xVal>
          <c:yVal>
            <c:numRef>
              <c:f>EHCP!$AC$43:$AC$44</c:f>
              <c:numCache>
                <c:formatCode>0.0</c:formatCode>
                <c:ptCount val="2"/>
                <c:pt idx="0">
                  <c:v>20.216662296681111</c:v>
                </c:pt>
                <c:pt idx="1">
                  <c:v>22.695976933900241</c:v>
                </c:pt>
              </c:numCache>
            </c:numRef>
          </c:yVal>
          <c:smooth val="0"/>
          <c:extLst>
            <c:ext xmlns:c16="http://schemas.microsoft.com/office/drawing/2014/chart" uri="{C3380CC4-5D6E-409C-BE32-E72D297353CC}">
              <c16:uniqueId val="{00000020-B1EC-4E4E-AB30-FDB175312AC5}"/>
            </c:ext>
          </c:extLst>
        </c:ser>
        <c:dLbls>
          <c:showLegendKey val="0"/>
          <c:showVal val="0"/>
          <c:showCatName val="0"/>
          <c:showSerName val="0"/>
          <c:showPercent val="0"/>
          <c:showBubbleSize val="0"/>
        </c:dLbls>
        <c:axId val="652436224"/>
        <c:axId val="652438144"/>
      </c:scatterChart>
      <c:valAx>
        <c:axId val="652436224"/>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52438144"/>
        <c:crosses val="autoZero"/>
        <c:crossBetween val="midCat"/>
        <c:majorUnit val="5"/>
      </c:valAx>
      <c:valAx>
        <c:axId val="652438144"/>
        <c:scaling>
          <c:orientation val="minMax"/>
          <c:min val="0"/>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New EHC Plans Issued per 10,000 0-25 year olds</a:t>
                </a:r>
              </a:p>
            </c:rich>
          </c:tx>
          <c:layout>
            <c:manualLayout>
              <c:xMode val="edge"/>
              <c:yMode val="edge"/>
              <c:x val="4.556222779844827E-2"/>
              <c:y val="0.152184415862044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5243622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Missing Education, </a:t>
            </a:r>
          </a:p>
          <a:p>
            <a:pPr>
              <a:defRPr sz="1000" b="1" i="0" u="none" strike="noStrike" baseline="0">
                <a:solidFill>
                  <a:srgbClr val="000000"/>
                </a:solidFill>
                <a:latin typeface="Arial"/>
                <a:ea typeface="Arial"/>
                <a:cs typeface="Arial"/>
              </a:defRPr>
            </a:pPr>
            <a:r>
              <a:rPr lang="en-GB"/>
              <a:t>per 10,000 5-15 year olds</a:t>
            </a:r>
          </a:p>
        </c:rich>
      </c:tx>
      <c:layout>
        <c:manualLayout>
          <c:xMode val="edge"/>
          <c:yMode val="edge"/>
          <c:x val="0.24569055692855912"/>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EHE_CME!$AK$41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91F8-4B95-BF9C-0FF8B0FCE301}"/>
              </c:ext>
            </c:extLst>
          </c:dPt>
          <c:cat>
            <c:strRef>
              <c:f>EHE_CME!$Y$2:$AC$3</c:f>
              <c:strCache>
                <c:ptCount val="5"/>
                <c:pt idx="0">
                  <c:v>2015-16</c:v>
                </c:pt>
                <c:pt idx="1">
                  <c:v>2016-17</c:v>
                </c:pt>
                <c:pt idx="2">
                  <c:v>2017-18</c:v>
                </c:pt>
                <c:pt idx="3">
                  <c:v>2018-19</c:v>
                </c:pt>
                <c:pt idx="4">
                  <c:v>2019-20</c:v>
                </c:pt>
              </c:strCache>
            </c:strRef>
          </c:cat>
          <c:val>
            <c:numRef>
              <c:f>EHE_CME!$AL$41:$AP$41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1F8-4B95-BF9C-0FF8B0FCE301}"/>
            </c:ext>
          </c:extLst>
        </c:ser>
        <c:ser>
          <c:idx val="1"/>
          <c:order val="1"/>
          <c:tx>
            <c:strRef>
              <c:f>EHE_CME!$AK$42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EHE_CME!$Y$2:$AC$3</c:f>
              <c:strCache>
                <c:ptCount val="5"/>
                <c:pt idx="0">
                  <c:v>2015-16</c:v>
                </c:pt>
                <c:pt idx="1">
                  <c:v>2016-17</c:v>
                </c:pt>
                <c:pt idx="2">
                  <c:v>2017-18</c:v>
                </c:pt>
                <c:pt idx="3">
                  <c:v>2018-19</c:v>
                </c:pt>
                <c:pt idx="4">
                  <c:v>2019-20</c:v>
                </c:pt>
              </c:strCache>
            </c:strRef>
          </c:cat>
          <c:val>
            <c:numRef>
              <c:f>EHE_CME!$AL$42:$AP$42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91F8-4B95-BF9C-0FF8B0FCE301}"/>
            </c:ext>
          </c:extLst>
        </c:ser>
        <c:ser>
          <c:idx val="2"/>
          <c:order val="2"/>
          <c:tx>
            <c:strRef>
              <c:f>EHE_CME!$AK$43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EHE_CME!$Y$2:$AC$3</c:f>
              <c:strCache>
                <c:ptCount val="5"/>
                <c:pt idx="0">
                  <c:v>2015-16</c:v>
                </c:pt>
                <c:pt idx="1">
                  <c:v>2016-17</c:v>
                </c:pt>
                <c:pt idx="2">
                  <c:v>2017-18</c:v>
                </c:pt>
                <c:pt idx="3">
                  <c:v>2018-19</c:v>
                </c:pt>
                <c:pt idx="4">
                  <c:v>2019-20</c:v>
                </c:pt>
              </c:strCache>
            </c:strRef>
          </c:cat>
          <c:val>
            <c:numRef>
              <c:f>EHE_CME!$AL$43:$AP$43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91F8-4B95-BF9C-0FF8B0FCE301}"/>
            </c:ext>
          </c:extLst>
        </c:ser>
        <c:ser>
          <c:idx val="5"/>
          <c:order val="3"/>
          <c:tx>
            <c:strRef>
              <c:f>EHE_CME!$AK$44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EHE_CME!$Y$2:$AC$3</c:f>
              <c:strCache>
                <c:ptCount val="5"/>
                <c:pt idx="0">
                  <c:v>2015-16</c:v>
                </c:pt>
                <c:pt idx="1">
                  <c:v>2016-17</c:v>
                </c:pt>
                <c:pt idx="2">
                  <c:v>2017-18</c:v>
                </c:pt>
                <c:pt idx="3">
                  <c:v>2018-19</c:v>
                </c:pt>
                <c:pt idx="4">
                  <c:v>2019-20</c:v>
                </c:pt>
              </c:strCache>
            </c:strRef>
          </c:cat>
          <c:val>
            <c:numRef>
              <c:f>EHE_CME!$AL$44:$AP$44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91F8-4B95-BF9C-0FF8B0FCE301}"/>
            </c:ext>
          </c:extLst>
        </c:ser>
        <c:ser>
          <c:idx val="9"/>
          <c:order val="4"/>
          <c:tx>
            <c:strRef>
              <c:f>EHE_CME!$AK$45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EHE_CME!$Y$2:$AC$3</c:f>
              <c:strCache>
                <c:ptCount val="5"/>
                <c:pt idx="0">
                  <c:v>2015-16</c:v>
                </c:pt>
                <c:pt idx="1">
                  <c:v>2016-17</c:v>
                </c:pt>
                <c:pt idx="2">
                  <c:v>2017-18</c:v>
                </c:pt>
                <c:pt idx="3">
                  <c:v>2018-19</c:v>
                </c:pt>
                <c:pt idx="4">
                  <c:v>2019-20</c:v>
                </c:pt>
              </c:strCache>
            </c:strRef>
          </c:cat>
          <c:val>
            <c:numRef>
              <c:f>EHE_CME!$AL$45:$AP$45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91F8-4B95-BF9C-0FF8B0FCE301}"/>
            </c:ext>
          </c:extLst>
        </c:ser>
        <c:ser>
          <c:idx val="10"/>
          <c:order val="5"/>
          <c:tx>
            <c:strRef>
              <c:f>EHE_CME!$AK$46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EHE_CME!$Y$2:$AC$3</c:f>
              <c:strCache>
                <c:ptCount val="5"/>
                <c:pt idx="0">
                  <c:v>2015-16</c:v>
                </c:pt>
                <c:pt idx="1">
                  <c:v>2016-17</c:v>
                </c:pt>
                <c:pt idx="2">
                  <c:v>2017-18</c:v>
                </c:pt>
                <c:pt idx="3">
                  <c:v>2018-19</c:v>
                </c:pt>
                <c:pt idx="4">
                  <c:v>2019-20</c:v>
                </c:pt>
              </c:strCache>
            </c:strRef>
          </c:cat>
          <c:val>
            <c:numRef>
              <c:f>EHE_CME!$AL$46:$AP$46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91F8-4B95-BF9C-0FF8B0FCE301}"/>
            </c:ext>
          </c:extLst>
        </c:ser>
        <c:ser>
          <c:idx val="11"/>
          <c:order val="6"/>
          <c:tx>
            <c:strRef>
              <c:f>EHE_CME!$AK$47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EHE_CME!$Y$2:$AC$3</c:f>
              <c:strCache>
                <c:ptCount val="5"/>
                <c:pt idx="0">
                  <c:v>2015-16</c:v>
                </c:pt>
                <c:pt idx="1">
                  <c:v>2016-17</c:v>
                </c:pt>
                <c:pt idx="2">
                  <c:v>2017-18</c:v>
                </c:pt>
                <c:pt idx="3">
                  <c:v>2018-19</c:v>
                </c:pt>
                <c:pt idx="4">
                  <c:v>2019-20</c:v>
                </c:pt>
              </c:strCache>
            </c:strRef>
          </c:cat>
          <c:val>
            <c:numRef>
              <c:f>EHE_CME!$AL$47:$AP$47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91F8-4B95-BF9C-0FF8B0FCE301}"/>
            </c:ext>
          </c:extLst>
        </c:ser>
        <c:ser>
          <c:idx val="12"/>
          <c:order val="7"/>
          <c:tx>
            <c:strRef>
              <c:f>EHE_CME!$AK$48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EHE_CME!$Y$2:$AC$3</c:f>
              <c:strCache>
                <c:ptCount val="5"/>
                <c:pt idx="0">
                  <c:v>2015-16</c:v>
                </c:pt>
                <c:pt idx="1">
                  <c:v>2016-17</c:v>
                </c:pt>
                <c:pt idx="2">
                  <c:v>2017-18</c:v>
                </c:pt>
                <c:pt idx="3">
                  <c:v>2018-19</c:v>
                </c:pt>
                <c:pt idx="4">
                  <c:v>2019-20</c:v>
                </c:pt>
              </c:strCache>
            </c:strRef>
          </c:cat>
          <c:val>
            <c:numRef>
              <c:f>EHE_CME!$AL$48:$AP$48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91F8-4B95-BF9C-0FF8B0FCE301}"/>
            </c:ext>
          </c:extLst>
        </c:ser>
        <c:ser>
          <c:idx val="13"/>
          <c:order val="8"/>
          <c:tx>
            <c:strRef>
              <c:f>EHE_CME!$AK$49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EHE_CME!$Y$2:$AC$3</c:f>
              <c:strCache>
                <c:ptCount val="5"/>
                <c:pt idx="0">
                  <c:v>2015-16</c:v>
                </c:pt>
                <c:pt idx="1">
                  <c:v>2016-17</c:v>
                </c:pt>
                <c:pt idx="2">
                  <c:v>2017-18</c:v>
                </c:pt>
                <c:pt idx="3">
                  <c:v>2018-19</c:v>
                </c:pt>
                <c:pt idx="4">
                  <c:v>2019-20</c:v>
                </c:pt>
              </c:strCache>
            </c:strRef>
          </c:cat>
          <c:val>
            <c:numRef>
              <c:f>EHE_CME!$AL$49:$AP$49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91F8-4B95-BF9C-0FF8B0FCE301}"/>
            </c:ext>
          </c:extLst>
        </c:ser>
        <c:ser>
          <c:idx val="15"/>
          <c:order val="9"/>
          <c:tx>
            <c:strRef>
              <c:f>EHE_CME!$AK$50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EHE_CME!$Y$2:$AC$3</c:f>
              <c:strCache>
                <c:ptCount val="5"/>
                <c:pt idx="0">
                  <c:v>2015-16</c:v>
                </c:pt>
                <c:pt idx="1">
                  <c:v>2016-17</c:v>
                </c:pt>
                <c:pt idx="2">
                  <c:v>2017-18</c:v>
                </c:pt>
                <c:pt idx="3">
                  <c:v>2018-19</c:v>
                </c:pt>
                <c:pt idx="4">
                  <c:v>2019-20</c:v>
                </c:pt>
              </c:strCache>
            </c:strRef>
          </c:cat>
          <c:val>
            <c:numRef>
              <c:f>EHE_CME!$AL$50:$AP$50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91F8-4B95-BF9C-0FF8B0FCE301}"/>
            </c:ext>
          </c:extLst>
        </c:ser>
        <c:ser>
          <c:idx val="16"/>
          <c:order val="10"/>
          <c:tx>
            <c:strRef>
              <c:f>EHE_CME!$AK$51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EHE_CME!$Y$2:$AC$3</c:f>
              <c:strCache>
                <c:ptCount val="5"/>
                <c:pt idx="0">
                  <c:v>2015-16</c:v>
                </c:pt>
                <c:pt idx="1">
                  <c:v>2016-17</c:v>
                </c:pt>
                <c:pt idx="2">
                  <c:v>2017-18</c:v>
                </c:pt>
                <c:pt idx="3">
                  <c:v>2018-19</c:v>
                </c:pt>
                <c:pt idx="4">
                  <c:v>2019-20</c:v>
                </c:pt>
              </c:strCache>
            </c:strRef>
          </c:cat>
          <c:val>
            <c:numRef>
              <c:f>EHE_CME!$AL$51:$AP$51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91F8-4B95-BF9C-0FF8B0FCE301}"/>
            </c:ext>
          </c:extLst>
        </c:ser>
        <c:ser>
          <c:idx val="17"/>
          <c:order val="11"/>
          <c:tx>
            <c:strRef>
              <c:f>EHE_CME!$AK$52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EHE_CME!$Y$2:$AC$3</c:f>
              <c:strCache>
                <c:ptCount val="5"/>
                <c:pt idx="0">
                  <c:v>2015-16</c:v>
                </c:pt>
                <c:pt idx="1">
                  <c:v>2016-17</c:v>
                </c:pt>
                <c:pt idx="2">
                  <c:v>2017-18</c:v>
                </c:pt>
                <c:pt idx="3">
                  <c:v>2018-19</c:v>
                </c:pt>
                <c:pt idx="4">
                  <c:v>2019-20</c:v>
                </c:pt>
              </c:strCache>
            </c:strRef>
          </c:cat>
          <c:val>
            <c:numRef>
              <c:f>EHE_CME!$AL$52:$AP$52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91F8-4B95-BF9C-0FF8B0FCE301}"/>
            </c:ext>
          </c:extLst>
        </c:ser>
        <c:ser>
          <c:idx val="19"/>
          <c:order val="12"/>
          <c:tx>
            <c:strRef>
              <c:f>EHE_CME!$AK$53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EHE_CME!$Y$2:$AC$3</c:f>
              <c:strCache>
                <c:ptCount val="5"/>
                <c:pt idx="0">
                  <c:v>2015-16</c:v>
                </c:pt>
                <c:pt idx="1">
                  <c:v>2016-17</c:v>
                </c:pt>
                <c:pt idx="2">
                  <c:v>2017-18</c:v>
                </c:pt>
                <c:pt idx="3">
                  <c:v>2018-19</c:v>
                </c:pt>
                <c:pt idx="4">
                  <c:v>2019-20</c:v>
                </c:pt>
              </c:strCache>
            </c:strRef>
          </c:cat>
          <c:val>
            <c:numRef>
              <c:f>EHE_CME!$AL$53:$AP$53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91F8-4B95-BF9C-0FF8B0FCE301}"/>
            </c:ext>
          </c:extLst>
        </c:ser>
        <c:ser>
          <c:idx val="3"/>
          <c:order val="13"/>
          <c:tx>
            <c:strRef>
              <c:f>EHE_CME!$AK$54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EHE_CME!$Y$2:$AC$3</c:f>
              <c:strCache>
                <c:ptCount val="5"/>
                <c:pt idx="0">
                  <c:v>2015-16</c:v>
                </c:pt>
                <c:pt idx="1">
                  <c:v>2016-17</c:v>
                </c:pt>
                <c:pt idx="2">
                  <c:v>2017-18</c:v>
                </c:pt>
                <c:pt idx="3">
                  <c:v>2018-19</c:v>
                </c:pt>
                <c:pt idx="4">
                  <c:v>2019-20</c:v>
                </c:pt>
              </c:strCache>
            </c:strRef>
          </c:cat>
          <c:val>
            <c:numRef>
              <c:f>EHE_CME!$AL$54:$AP$54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91F8-4B95-BF9C-0FF8B0FCE301}"/>
            </c:ext>
          </c:extLst>
        </c:ser>
        <c:ser>
          <c:idx val="20"/>
          <c:order val="14"/>
          <c:tx>
            <c:strRef>
              <c:f>EHE_CME!$AK$55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EHE_CME!$Y$2:$AC$3</c:f>
              <c:strCache>
                <c:ptCount val="5"/>
                <c:pt idx="0">
                  <c:v>2015-16</c:v>
                </c:pt>
                <c:pt idx="1">
                  <c:v>2016-17</c:v>
                </c:pt>
                <c:pt idx="2">
                  <c:v>2017-18</c:v>
                </c:pt>
                <c:pt idx="3">
                  <c:v>2018-19</c:v>
                </c:pt>
                <c:pt idx="4">
                  <c:v>2019-20</c:v>
                </c:pt>
              </c:strCache>
            </c:strRef>
          </c:cat>
          <c:val>
            <c:numRef>
              <c:f>EHE_CME!$AL$55:$AP$55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91F8-4B95-BF9C-0FF8B0FCE301}"/>
            </c:ext>
          </c:extLst>
        </c:ser>
        <c:ser>
          <c:idx val="22"/>
          <c:order val="15"/>
          <c:tx>
            <c:strRef>
              <c:f>EHE_CME!$AK$56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EHE_CME!$Y$2:$AC$3</c:f>
              <c:strCache>
                <c:ptCount val="5"/>
                <c:pt idx="0">
                  <c:v>2015-16</c:v>
                </c:pt>
                <c:pt idx="1">
                  <c:v>2016-17</c:v>
                </c:pt>
                <c:pt idx="2">
                  <c:v>2017-18</c:v>
                </c:pt>
                <c:pt idx="3">
                  <c:v>2018-19</c:v>
                </c:pt>
                <c:pt idx="4">
                  <c:v>2019-20</c:v>
                </c:pt>
              </c:strCache>
            </c:strRef>
          </c:cat>
          <c:val>
            <c:numRef>
              <c:f>EHE_CME!$AL$56:$AP$56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91F8-4B95-BF9C-0FF8B0FCE301}"/>
            </c:ext>
          </c:extLst>
        </c:ser>
        <c:ser>
          <c:idx val="7"/>
          <c:order val="16"/>
          <c:tx>
            <c:strRef>
              <c:f>EHE_CME!$AK$57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EHE_CME!$Y$2:$AC$3</c:f>
              <c:strCache>
                <c:ptCount val="5"/>
                <c:pt idx="0">
                  <c:v>2015-16</c:v>
                </c:pt>
                <c:pt idx="1">
                  <c:v>2016-17</c:v>
                </c:pt>
                <c:pt idx="2">
                  <c:v>2017-18</c:v>
                </c:pt>
                <c:pt idx="3">
                  <c:v>2018-19</c:v>
                </c:pt>
                <c:pt idx="4">
                  <c:v>2019-20</c:v>
                </c:pt>
              </c:strCache>
            </c:strRef>
          </c:cat>
          <c:val>
            <c:numRef>
              <c:f>EHE_CME!$AL$57:$AP$57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91F8-4B95-BF9C-0FF8B0FCE301}"/>
            </c:ext>
          </c:extLst>
        </c:ser>
        <c:ser>
          <c:idx val="8"/>
          <c:order val="17"/>
          <c:tx>
            <c:strRef>
              <c:f>EHE_CME!$AK$58</c:f>
              <c:strCache>
                <c:ptCount val="1"/>
                <c:pt idx="0">
                  <c:v>Torbay</c:v>
                </c:pt>
              </c:strCache>
            </c:strRef>
          </c:tx>
          <c:spPr>
            <a:ln w="12700"/>
          </c:spPr>
          <c:marker>
            <c:symbol val="circle"/>
            <c:size val="5"/>
            <c:spPr>
              <a:solidFill>
                <a:schemeClr val="accent3">
                  <a:lumMod val="20000"/>
                  <a:lumOff val="80000"/>
                </a:schemeClr>
              </a:solidFill>
            </c:spPr>
          </c:marker>
          <c:cat>
            <c:strRef>
              <c:f>EHE_CME!$Y$2:$AC$3</c:f>
              <c:strCache>
                <c:ptCount val="5"/>
                <c:pt idx="0">
                  <c:v>2015-16</c:v>
                </c:pt>
                <c:pt idx="1">
                  <c:v>2016-17</c:v>
                </c:pt>
                <c:pt idx="2">
                  <c:v>2017-18</c:v>
                </c:pt>
                <c:pt idx="3">
                  <c:v>2018-19</c:v>
                </c:pt>
                <c:pt idx="4">
                  <c:v>2019-20</c:v>
                </c:pt>
              </c:strCache>
            </c:strRef>
          </c:cat>
          <c:val>
            <c:numRef>
              <c:f>EHE_CME!$AL$58:$AP$58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91F8-4B95-BF9C-0FF8B0FCE301}"/>
            </c:ext>
          </c:extLst>
        </c:ser>
        <c:ser>
          <c:idx val="23"/>
          <c:order val="18"/>
          <c:tx>
            <c:strRef>
              <c:f>EHE_CME!$AK$59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EHE_CME!$Y$2:$AC$3</c:f>
              <c:strCache>
                <c:ptCount val="5"/>
                <c:pt idx="0">
                  <c:v>2015-16</c:v>
                </c:pt>
                <c:pt idx="1">
                  <c:v>2016-17</c:v>
                </c:pt>
                <c:pt idx="2">
                  <c:v>2017-18</c:v>
                </c:pt>
                <c:pt idx="3">
                  <c:v>2018-19</c:v>
                </c:pt>
                <c:pt idx="4">
                  <c:v>2019-20</c:v>
                </c:pt>
              </c:strCache>
            </c:strRef>
          </c:cat>
          <c:val>
            <c:numRef>
              <c:f>EHE_CME!$AL$59:$AP$59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91F8-4B95-BF9C-0FF8B0FCE301}"/>
            </c:ext>
          </c:extLst>
        </c:ser>
        <c:ser>
          <c:idx val="24"/>
          <c:order val="19"/>
          <c:tx>
            <c:strRef>
              <c:f>EHE_CME!$AK$60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EHE_CME!$Y$2:$AC$3</c:f>
              <c:strCache>
                <c:ptCount val="5"/>
                <c:pt idx="0">
                  <c:v>2015-16</c:v>
                </c:pt>
                <c:pt idx="1">
                  <c:v>2016-17</c:v>
                </c:pt>
                <c:pt idx="2">
                  <c:v>2017-18</c:v>
                </c:pt>
                <c:pt idx="3">
                  <c:v>2018-19</c:v>
                </c:pt>
                <c:pt idx="4">
                  <c:v>2019-20</c:v>
                </c:pt>
              </c:strCache>
            </c:strRef>
          </c:cat>
          <c:val>
            <c:numRef>
              <c:f>EHE_CME!$AL$60:$AP$60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91F8-4B95-BF9C-0FF8B0FCE301}"/>
            </c:ext>
          </c:extLst>
        </c:ser>
        <c:ser>
          <c:idx val="25"/>
          <c:order val="20"/>
          <c:tx>
            <c:strRef>
              <c:f>EHE_CME!$AK$61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EHE_CME!$Y$2:$AC$3</c:f>
              <c:strCache>
                <c:ptCount val="5"/>
                <c:pt idx="0">
                  <c:v>2015-16</c:v>
                </c:pt>
                <c:pt idx="1">
                  <c:v>2016-17</c:v>
                </c:pt>
                <c:pt idx="2">
                  <c:v>2017-18</c:v>
                </c:pt>
                <c:pt idx="3">
                  <c:v>2018-19</c:v>
                </c:pt>
                <c:pt idx="4">
                  <c:v>2019-20</c:v>
                </c:pt>
              </c:strCache>
            </c:strRef>
          </c:cat>
          <c:val>
            <c:numRef>
              <c:f>EHE_CME!$AL$61:$AP$61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91F8-4B95-BF9C-0FF8B0FCE301}"/>
            </c:ext>
          </c:extLst>
        </c:ser>
        <c:ser>
          <c:idx val="26"/>
          <c:order val="21"/>
          <c:tx>
            <c:strRef>
              <c:f>EHE_CME!$AK$62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EHE_CME!$Y$2:$AC$3</c:f>
              <c:strCache>
                <c:ptCount val="5"/>
                <c:pt idx="0">
                  <c:v>2015-16</c:v>
                </c:pt>
                <c:pt idx="1">
                  <c:v>2016-17</c:v>
                </c:pt>
                <c:pt idx="2">
                  <c:v>2017-18</c:v>
                </c:pt>
                <c:pt idx="3">
                  <c:v>2018-19</c:v>
                </c:pt>
                <c:pt idx="4">
                  <c:v>2019-20</c:v>
                </c:pt>
              </c:strCache>
            </c:strRef>
          </c:cat>
          <c:val>
            <c:numRef>
              <c:f>EHE_CME!$AL$62:$AP$62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91F8-4B95-BF9C-0FF8B0FCE301}"/>
            </c:ext>
          </c:extLst>
        </c:ser>
        <c:ser>
          <c:idx val="4"/>
          <c:order val="22"/>
          <c:tx>
            <c:strRef>
              <c:f>EHE_CME!$AK$63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EHE_CME!$Y$2:$AC$3</c:f>
              <c:strCache>
                <c:ptCount val="5"/>
                <c:pt idx="0">
                  <c:v>2015-16</c:v>
                </c:pt>
                <c:pt idx="1">
                  <c:v>2016-17</c:v>
                </c:pt>
                <c:pt idx="2">
                  <c:v>2017-18</c:v>
                </c:pt>
                <c:pt idx="3">
                  <c:v>2018-19</c:v>
                </c:pt>
                <c:pt idx="4">
                  <c:v>2019-20</c:v>
                </c:pt>
              </c:strCache>
            </c:strRef>
          </c:cat>
          <c:val>
            <c:numRef>
              <c:f>EHE_CME!$AL$63:$AP$63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91F8-4B95-BF9C-0FF8B0FCE301}"/>
            </c:ext>
          </c:extLst>
        </c:ser>
        <c:ser>
          <c:idx val="6"/>
          <c:order val="24"/>
          <c:tx>
            <c:strRef>
              <c:f>EHE_CME!$AK$65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EHE_CME!$Y$2:$AC$3</c:f>
              <c:strCache>
                <c:ptCount val="5"/>
                <c:pt idx="0">
                  <c:v>2015-16</c:v>
                </c:pt>
                <c:pt idx="1">
                  <c:v>2016-17</c:v>
                </c:pt>
                <c:pt idx="2">
                  <c:v>2017-18</c:v>
                </c:pt>
                <c:pt idx="3">
                  <c:v>2018-19</c:v>
                </c:pt>
                <c:pt idx="4">
                  <c:v>2019-20</c:v>
                </c:pt>
              </c:strCache>
            </c:strRef>
          </c:cat>
          <c:val>
            <c:numRef>
              <c:f>EHE_CME!$AL$65:$AP$65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91F8-4B95-BF9C-0FF8B0FCE301}"/>
            </c:ext>
          </c:extLst>
        </c:ser>
        <c:dLbls>
          <c:showLegendKey val="0"/>
          <c:showVal val="0"/>
          <c:showCatName val="0"/>
          <c:showSerName val="0"/>
          <c:showPercent val="0"/>
          <c:showBubbleSize val="0"/>
        </c:dLbls>
        <c:marker val="1"/>
        <c:smooth val="0"/>
        <c:axId val="662998016"/>
        <c:axId val="663020672"/>
        <c:extLst>
          <c:ext xmlns:c15="http://schemas.microsoft.com/office/drawing/2012/chart" uri="{02D57815-91ED-43cb-92C2-25804820EDAC}">
            <c15:filteredLineSeries>
              <c15:ser>
                <c:idx val="14"/>
                <c:order val="23"/>
                <c:tx>
                  <c:strRef>
                    <c:extLst>
                      <c:ext uri="{02D57815-91ED-43cb-92C2-25804820EDAC}">
                        <c15:formulaRef>
                          <c15:sqref>EHE_CME!$AK$64</c15:sqref>
                        </c15:formulaRef>
                      </c:ext>
                    </c:extLst>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extLst>
                      <c:ext uri="{02D57815-91ED-43cb-92C2-25804820EDAC}">
                        <c15:formulaRef>
                          <c15:sqref>EHE_CME!$Y$2:$AC$3</c15:sqref>
                        </c15:formulaRef>
                      </c:ext>
                    </c:extLst>
                    <c:strCache>
                      <c:ptCount val="5"/>
                      <c:pt idx="0">
                        <c:v>2015-16</c:v>
                      </c:pt>
                      <c:pt idx="1">
                        <c:v>2016-17</c:v>
                      </c:pt>
                      <c:pt idx="2">
                        <c:v>2017-18</c:v>
                      </c:pt>
                      <c:pt idx="3">
                        <c:v>2018-19</c:v>
                      </c:pt>
                      <c:pt idx="4">
                        <c:v>2019-20</c:v>
                      </c:pt>
                    </c:strCache>
                  </c:strRef>
                </c:cat>
                <c:val>
                  <c:numRef>
                    <c:extLst>
                      <c:ext uri="{02D57815-91ED-43cb-92C2-25804820EDAC}">
                        <c15:formulaRef>
                          <c15:sqref>EHE_CME!$AL$64:$AP$64</c15:sqref>
                        </c15:formulaRef>
                      </c:ext>
                    </c:extLst>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91F8-4B95-BF9C-0FF8B0FCE301}"/>
                  </c:ext>
                </c:extLst>
              </c15:ser>
            </c15:filteredLineSeries>
          </c:ext>
        </c:extLst>
      </c:lineChart>
      <c:catAx>
        <c:axId val="662998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020672"/>
        <c:crosses val="autoZero"/>
        <c:auto val="1"/>
        <c:lblAlgn val="ctr"/>
        <c:lblOffset val="100"/>
        <c:tickLblSkip val="1"/>
        <c:tickMarkSkip val="1"/>
        <c:noMultiLvlLbl val="0"/>
      </c:catAx>
      <c:valAx>
        <c:axId val="66302067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299801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Missing Education </a:t>
            </a:r>
            <a:endParaRPr lang="en-GB" sz="1000" b="1" i="0" u="none" strike="noStrike" baseline="0">
              <a:effectLst/>
            </a:endParaRP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9147321024527109"/>
          <c:y val="3.8613923259592552E-3"/>
        </c:manualLayout>
      </c:layout>
      <c:overlay val="0"/>
      <c:spPr>
        <a:noFill/>
        <a:ln w="25400">
          <a:noFill/>
        </a:ln>
      </c:spPr>
    </c:title>
    <c:autoTitleDeleted val="0"/>
    <c:plotArea>
      <c:layout>
        <c:manualLayout>
          <c:layoutTarget val="inner"/>
          <c:xMode val="edge"/>
          <c:yMode val="edge"/>
          <c:x val="9.6909984154078643E-2"/>
          <c:y val="0.20946631671041119"/>
          <c:w val="0.65146216862752293"/>
          <c:h val="0.5601899762529684"/>
        </c:manualLayout>
      </c:layout>
      <c:barChart>
        <c:barDir val="col"/>
        <c:grouping val="clustered"/>
        <c:varyColors val="0"/>
        <c:ser>
          <c:idx val="6"/>
          <c:order val="0"/>
          <c:tx>
            <c:strRef>
              <c:f>EHE_CME!$Z$4</c:f>
              <c:strCache>
                <c:ptCount val="1"/>
                <c:pt idx="0">
                  <c:v>Selected LA- (none)</c:v>
                </c:pt>
              </c:strCache>
            </c:strRef>
          </c:tx>
          <c:spPr>
            <a:solidFill>
              <a:srgbClr val="66FF99"/>
            </a:solidFill>
            <a:ln>
              <a:solidFill>
                <a:schemeClr val="tx1">
                  <a:lumMod val="75000"/>
                  <a:lumOff val="25000"/>
                </a:schemeClr>
              </a:solidFill>
            </a:ln>
          </c:spPr>
          <c:invertIfNegative val="0"/>
          <c:cat>
            <c:strRef>
              <c:f>EHE_CME!$Y$2:$AC$3</c:f>
              <c:strCache>
                <c:ptCount val="5"/>
                <c:pt idx="0">
                  <c:v>2015-16</c:v>
                </c:pt>
                <c:pt idx="1">
                  <c:v>2016-17</c:v>
                </c:pt>
                <c:pt idx="2">
                  <c:v>2017-18</c:v>
                </c:pt>
                <c:pt idx="3">
                  <c:v>2018-19</c:v>
                </c:pt>
                <c:pt idx="4">
                  <c:v>2019-20</c:v>
                </c:pt>
              </c:strCache>
            </c:strRef>
          </c:cat>
          <c:val>
            <c:numRef>
              <c:f>EHE_CME!$AL$65:$AP$65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FF9-4987-B7A7-080104A06CCA}"/>
            </c:ext>
          </c:extLst>
        </c:ser>
        <c:ser>
          <c:idx val="4"/>
          <c:order val="1"/>
          <c:tx>
            <c:strRef>
              <c:f>EHE_CME!$B$32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EHE_CME!$Y$2:$AC$3</c:f>
              <c:strCache>
                <c:ptCount val="5"/>
                <c:pt idx="0">
                  <c:v>2015-16</c:v>
                </c:pt>
                <c:pt idx="1">
                  <c:v>2016-17</c:v>
                </c:pt>
                <c:pt idx="2">
                  <c:v>2017-18</c:v>
                </c:pt>
                <c:pt idx="3">
                  <c:v>2018-19</c:v>
                </c:pt>
                <c:pt idx="4">
                  <c:v>2019-20</c:v>
                </c:pt>
              </c:strCache>
            </c:strRef>
          </c:cat>
          <c:val>
            <c:numRef>
              <c:f>EHE_CME!$L$32:$P$32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BFF9-4987-B7A7-080104A06CCA}"/>
            </c:ext>
          </c:extLst>
        </c:ser>
        <c:dLbls>
          <c:showLegendKey val="0"/>
          <c:showVal val="0"/>
          <c:showCatName val="0"/>
          <c:showSerName val="0"/>
          <c:showPercent val="0"/>
          <c:showBubbleSize val="0"/>
        </c:dLbls>
        <c:gapWidth val="100"/>
        <c:axId val="419333632"/>
        <c:axId val="419335168"/>
      </c:barChart>
      <c:catAx>
        <c:axId val="419333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335168"/>
        <c:crosses val="autoZero"/>
        <c:auto val="1"/>
        <c:lblAlgn val="ctr"/>
        <c:lblOffset val="100"/>
        <c:noMultiLvlLbl val="0"/>
      </c:catAx>
      <c:valAx>
        <c:axId val="4193351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333632"/>
        <c:crosses val="autoZero"/>
        <c:crossBetween val="between"/>
      </c:valAx>
      <c:spPr>
        <a:noFill/>
        <a:ln w="3175">
          <a:solidFill>
            <a:srgbClr val="000000"/>
          </a:solidFill>
          <a:prstDash val="solid"/>
        </a:ln>
      </c:spPr>
    </c:plotArea>
    <c:legend>
      <c:legendPos val="r"/>
      <c:layout>
        <c:manualLayout>
          <c:xMode val="edge"/>
          <c:yMode val="edge"/>
          <c:x val="0.75128224273689925"/>
          <c:y val="0.17953653819588342"/>
          <c:w val="0.24871775726310072"/>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effectLst/>
              </a:rPr>
              <a:t>Early Help Assessments resulting in Step-up to Social Care</a:t>
            </a:r>
            <a:endParaRPr lang="en-GB"/>
          </a:p>
        </c:rich>
      </c:tx>
      <c:layout>
        <c:manualLayout>
          <c:xMode val="edge"/>
          <c:yMode val="edge"/>
          <c:x val="9.1046667946994439E-2"/>
          <c:y val="1.8762029746281716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519636434334601"/>
        </c:manualLayout>
      </c:layout>
      <c:lineChart>
        <c:grouping val="standard"/>
        <c:varyColors val="0"/>
        <c:ser>
          <c:idx val="0"/>
          <c:order val="0"/>
          <c:tx>
            <c:strRef>
              <c:f>EH_Assessments!$AK$40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347F-4A73-A731-F2FB6D4B612D}"/>
              </c:ext>
            </c:extLst>
          </c:dPt>
          <c:cat>
            <c:strRef>
              <c:f>EH_Assessments!$Z$2:$AD$3</c:f>
              <c:strCache>
                <c:ptCount val="5"/>
                <c:pt idx="0">
                  <c:v>2015-16</c:v>
                </c:pt>
                <c:pt idx="1">
                  <c:v>2016-17</c:v>
                </c:pt>
                <c:pt idx="2">
                  <c:v>2017-18</c:v>
                </c:pt>
                <c:pt idx="3">
                  <c:v>2018-19</c:v>
                </c:pt>
                <c:pt idx="4">
                  <c:v>2019-20</c:v>
                </c:pt>
              </c:strCache>
            </c:strRef>
          </c:cat>
          <c:val>
            <c:numRef>
              <c:f>EH_Assessments!$AS$40:$AW$40</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47F-4A73-A731-F2FB6D4B612D}"/>
            </c:ext>
          </c:extLst>
        </c:ser>
        <c:ser>
          <c:idx val="1"/>
          <c:order val="1"/>
          <c:tx>
            <c:strRef>
              <c:f>EH_Assessments!$AK$41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EH_Assessments!$AS$41:$AW$41</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347F-4A73-A731-F2FB6D4B612D}"/>
            </c:ext>
          </c:extLst>
        </c:ser>
        <c:ser>
          <c:idx val="2"/>
          <c:order val="2"/>
          <c:tx>
            <c:strRef>
              <c:f>EH_Assessments!$AK$42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EH_Assessments!$AS$42:$AW$42</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347F-4A73-A731-F2FB6D4B612D}"/>
            </c:ext>
          </c:extLst>
        </c:ser>
        <c:ser>
          <c:idx val="5"/>
          <c:order val="3"/>
          <c:tx>
            <c:strRef>
              <c:f>EH_Assessments!$AK$43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EH_Assessments!$AS$43:$AW$43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347F-4A73-A731-F2FB6D4B612D}"/>
            </c:ext>
          </c:extLst>
        </c:ser>
        <c:ser>
          <c:idx val="9"/>
          <c:order val="4"/>
          <c:tx>
            <c:strRef>
              <c:f>EH_Assessments!$AK$44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EH_Assessments!$AS$44:$AW$44</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347F-4A73-A731-F2FB6D4B612D}"/>
            </c:ext>
          </c:extLst>
        </c:ser>
        <c:ser>
          <c:idx val="10"/>
          <c:order val="5"/>
          <c:tx>
            <c:strRef>
              <c:f>EH_Assessments!$AK$45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EH_Assessments!$AS$45:$AW$45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347F-4A73-A731-F2FB6D4B612D}"/>
            </c:ext>
          </c:extLst>
        </c:ser>
        <c:ser>
          <c:idx val="11"/>
          <c:order val="6"/>
          <c:tx>
            <c:strRef>
              <c:f>EH_Assessments!$AK$46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EH_Assessments!$AS$46:$AW$46</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347F-4A73-A731-F2FB6D4B612D}"/>
            </c:ext>
          </c:extLst>
        </c:ser>
        <c:ser>
          <c:idx val="12"/>
          <c:order val="7"/>
          <c:tx>
            <c:strRef>
              <c:f>EH_Assessments!$AK$47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EH_Assessments!$AS$47:$AW$47</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347F-4A73-A731-F2FB6D4B612D}"/>
            </c:ext>
          </c:extLst>
        </c:ser>
        <c:ser>
          <c:idx val="13"/>
          <c:order val="8"/>
          <c:tx>
            <c:strRef>
              <c:f>EH_Assessments!$AK$48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EH_Assessments!$AS$48:$AW$48</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347F-4A73-A731-F2FB6D4B612D}"/>
            </c:ext>
          </c:extLst>
        </c:ser>
        <c:ser>
          <c:idx val="15"/>
          <c:order val="9"/>
          <c:tx>
            <c:strRef>
              <c:f>EH_Assessments!$AK$49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EH_Assessments!$AS$49:$AW$49</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347F-4A73-A731-F2FB6D4B612D}"/>
            </c:ext>
          </c:extLst>
        </c:ser>
        <c:ser>
          <c:idx val="16"/>
          <c:order val="10"/>
          <c:tx>
            <c:strRef>
              <c:f>EH_Assessments!$AK$50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EH_Assessments!$AS$50:$AW$50</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347F-4A73-A731-F2FB6D4B612D}"/>
            </c:ext>
          </c:extLst>
        </c:ser>
        <c:ser>
          <c:idx val="17"/>
          <c:order val="11"/>
          <c:tx>
            <c:strRef>
              <c:f>EH_Assessments!$AK$51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EH_Assessments!$AS$51:$AW$51</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347F-4A73-A731-F2FB6D4B612D}"/>
            </c:ext>
          </c:extLst>
        </c:ser>
        <c:ser>
          <c:idx val="19"/>
          <c:order val="12"/>
          <c:tx>
            <c:strRef>
              <c:f>EH_Assessments!$AK$52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EH_Assessments!$AS$52:$AW$52</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347F-4A73-A731-F2FB6D4B612D}"/>
            </c:ext>
          </c:extLst>
        </c:ser>
        <c:ser>
          <c:idx val="3"/>
          <c:order val="13"/>
          <c:tx>
            <c:strRef>
              <c:f>EH_Assessments!$AK$53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EH_Assessments!$AS$53:$AW$53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347F-4A73-A731-F2FB6D4B612D}"/>
            </c:ext>
          </c:extLst>
        </c:ser>
        <c:ser>
          <c:idx val="20"/>
          <c:order val="14"/>
          <c:tx>
            <c:strRef>
              <c:f>EH_Assessments!$AK$54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EH_Assessments!$AS$54:$AW$54</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347F-4A73-A731-F2FB6D4B612D}"/>
            </c:ext>
          </c:extLst>
        </c:ser>
        <c:ser>
          <c:idx val="22"/>
          <c:order val="15"/>
          <c:tx>
            <c:strRef>
              <c:f>EH_Assessments!$AK$55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EH_Assessments!$AS$55:$AW$55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347F-4A73-A731-F2FB6D4B612D}"/>
            </c:ext>
          </c:extLst>
        </c:ser>
        <c:ser>
          <c:idx val="7"/>
          <c:order val="16"/>
          <c:tx>
            <c:strRef>
              <c:f>EH_Assessments!$AK$56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EH_Assessments!$Z$2:$AD$3</c:f>
              <c:strCache>
                <c:ptCount val="5"/>
                <c:pt idx="0">
                  <c:v>2015-16</c:v>
                </c:pt>
                <c:pt idx="1">
                  <c:v>2016-17</c:v>
                </c:pt>
                <c:pt idx="2">
                  <c:v>2017-18</c:v>
                </c:pt>
                <c:pt idx="3">
                  <c:v>2018-19</c:v>
                </c:pt>
                <c:pt idx="4">
                  <c:v>2019-20</c:v>
                </c:pt>
              </c:strCache>
            </c:strRef>
          </c:cat>
          <c:val>
            <c:numRef>
              <c:f>EH_Assessments!$AS$56:$AW$56</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347F-4A73-A731-F2FB6D4B612D}"/>
            </c:ext>
          </c:extLst>
        </c:ser>
        <c:ser>
          <c:idx val="8"/>
          <c:order val="17"/>
          <c:tx>
            <c:strRef>
              <c:f>EH_Assessments!$AK$57</c:f>
              <c:strCache>
                <c:ptCount val="1"/>
                <c:pt idx="0">
                  <c:v>Torbay</c:v>
                </c:pt>
              </c:strCache>
            </c:strRef>
          </c:tx>
          <c:spPr>
            <a:ln w="12700"/>
          </c:spPr>
          <c:marker>
            <c:symbol val="circle"/>
            <c:size val="5"/>
            <c:spPr>
              <a:solidFill>
                <a:schemeClr val="accent3">
                  <a:lumMod val="20000"/>
                  <a:lumOff val="80000"/>
                </a:schemeClr>
              </a:solidFill>
            </c:spPr>
          </c:marker>
          <c:cat>
            <c:strRef>
              <c:f>EH_Assessments!$Z$2:$AD$3</c:f>
              <c:strCache>
                <c:ptCount val="5"/>
                <c:pt idx="0">
                  <c:v>2015-16</c:v>
                </c:pt>
                <c:pt idx="1">
                  <c:v>2016-17</c:v>
                </c:pt>
                <c:pt idx="2">
                  <c:v>2017-18</c:v>
                </c:pt>
                <c:pt idx="3">
                  <c:v>2018-19</c:v>
                </c:pt>
                <c:pt idx="4">
                  <c:v>2019-20</c:v>
                </c:pt>
              </c:strCache>
            </c:strRef>
          </c:cat>
          <c:val>
            <c:numRef>
              <c:f>EH_Assessments!$AS$57:$AW$57</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347F-4A73-A731-F2FB6D4B612D}"/>
            </c:ext>
          </c:extLst>
        </c:ser>
        <c:ser>
          <c:idx val="23"/>
          <c:order val="18"/>
          <c:tx>
            <c:strRef>
              <c:f>EH_Assessments!$AK$58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EH_Assessments!$AS$58:$AW$58</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347F-4A73-A731-F2FB6D4B612D}"/>
            </c:ext>
          </c:extLst>
        </c:ser>
        <c:ser>
          <c:idx val="24"/>
          <c:order val="19"/>
          <c:tx>
            <c:strRef>
              <c:f>EH_Assessments!$AK$59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EH_Assessments!$AS$59:$AW$59</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347F-4A73-A731-F2FB6D4B612D}"/>
            </c:ext>
          </c:extLst>
        </c:ser>
        <c:ser>
          <c:idx val="25"/>
          <c:order val="20"/>
          <c:tx>
            <c:strRef>
              <c:f>EH_Assessments!$AK$60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EH_Assessments!$AS$60:$AW$60</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347F-4A73-A731-F2FB6D4B612D}"/>
            </c:ext>
          </c:extLst>
        </c:ser>
        <c:ser>
          <c:idx val="26"/>
          <c:order val="21"/>
          <c:tx>
            <c:strRef>
              <c:f>EH_Assessments!$AK$61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EH_Assessments!$AS$61:$AW$61</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347F-4A73-A731-F2FB6D4B612D}"/>
            </c:ext>
          </c:extLst>
        </c:ser>
        <c:ser>
          <c:idx val="4"/>
          <c:order val="22"/>
          <c:tx>
            <c:strRef>
              <c:f>EH_Assessments!$AK$62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EH_Assessments!$Z$2:$AD$3</c:f>
              <c:strCache>
                <c:ptCount val="5"/>
                <c:pt idx="0">
                  <c:v>2015-16</c:v>
                </c:pt>
                <c:pt idx="1">
                  <c:v>2016-17</c:v>
                </c:pt>
                <c:pt idx="2">
                  <c:v>2017-18</c:v>
                </c:pt>
                <c:pt idx="3">
                  <c:v>2018-19</c:v>
                </c:pt>
                <c:pt idx="4">
                  <c:v>2019-20</c:v>
                </c:pt>
              </c:strCache>
            </c:strRef>
          </c:cat>
          <c:val>
            <c:numRef>
              <c:f>EH_Assessments!$AS$62:$AW$62</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347F-4A73-A731-F2FB6D4B612D}"/>
            </c:ext>
          </c:extLst>
        </c:ser>
        <c:ser>
          <c:idx val="14"/>
          <c:order val="23"/>
          <c:tx>
            <c:strRef>
              <c:f>EH_Assessments!$AK$63</c:f>
              <c:strCache>
                <c:ptCount val="1"/>
                <c:pt idx="0">
                  <c:v>Selected LA- (none)</c:v>
                </c:pt>
              </c:strCache>
            </c:strRef>
          </c:tx>
          <c:spPr>
            <a:ln w="19050">
              <a:solidFill>
                <a:schemeClr val="tx1">
                  <a:lumMod val="75000"/>
                  <a:lumOff val="25000"/>
                </a:schemeClr>
              </a:solidFill>
            </a:ln>
          </c:spPr>
          <c:marker>
            <c:symbol val="circle"/>
            <c:size val="6"/>
            <c:spPr>
              <a:solidFill>
                <a:srgbClr val="66FF99"/>
              </a:solidFill>
              <a:ln w="12700">
                <a:solidFill>
                  <a:schemeClr val="tx1">
                    <a:lumMod val="75000"/>
                    <a:lumOff val="25000"/>
                  </a:schemeClr>
                </a:solidFill>
              </a:ln>
            </c:spPr>
          </c:marker>
          <c:cat>
            <c:strRef>
              <c:f>EH_Assessments!$Z$2:$AD$3</c:f>
              <c:strCache>
                <c:ptCount val="5"/>
                <c:pt idx="0">
                  <c:v>2015-16</c:v>
                </c:pt>
                <c:pt idx="1">
                  <c:v>2016-17</c:v>
                </c:pt>
                <c:pt idx="2">
                  <c:v>2017-18</c:v>
                </c:pt>
                <c:pt idx="3">
                  <c:v>2018-19</c:v>
                </c:pt>
                <c:pt idx="4">
                  <c:v>2019-20</c:v>
                </c:pt>
              </c:strCache>
            </c:strRef>
          </c:cat>
          <c:val>
            <c:numRef>
              <c:f>EH_Assessments!$AS$63:$AW$63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347F-4A73-A731-F2FB6D4B612D}"/>
            </c:ext>
          </c:extLst>
        </c:ser>
        <c:dLbls>
          <c:showLegendKey val="0"/>
          <c:showVal val="0"/>
          <c:showCatName val="0"/>
          <c:showSerName val="0"/>
          <c:showPercent val="0"/>
          <c:showBubbleSize val="0"/>
        </c:dLbls>
        <c:marker val="1"/>
        <c:smooth val="0"/>
        <c:axId val="488023168"/>
        <c:axId val="488024704"/>
      </c:lineChart>
      <c:catAx>
        <c:axId val="488023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88024704"/>
        <c:crosses val="autoZero"/>
        <c:auto val="1"/>
        <c:lblAlgn val="ctr"/>
        <c:lblOffset val="100"/>
        <c:tickLblSkip val="1"/>
        <c:tickMarkSkip val="1"/>
        <c:noMultiLvlLbl val="0"/>
      </c:catAx>
      <c:valAx>
        <c:axId val="48802470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8802316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29470123851706037"/>
          <c:h val="0.8922121771815559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Electively Home</a:t>
            </a:r>
            <a:r>
              <a:rPr lang="en-GB" baseline="0"/>
              <a:t> Educated Children</a:t>
            </a:r>
            <a:r>
              <a:rPr lang="en-GB"/>
              <a:t>, per 10,000 </a:t>
            </a:r>
          </a:p>
          <a:p>
            <a:pPr>
              <a:defRPr sz="1000" b="1" i="0" u="none" strike="noStrike" baseline="0">
                <a:solidFill>
                  <a:srgbClr val="000000"/>
                </a:solidFill>
                <a:latin typeface="Arial"/>
                <a:ea typeface="Arial"/>
                <a:cs typeface="Arial"/>
              </a:defRPr>
            </a:pPr>
            <a:r>
              <a:rPr lang="en-GB"/>
              <a:t>5-15 year olds</a:t>
            </a:r>
          </a:p>
        </c:rich>
      </c:tx>
      <c:layout>
        <c:manualLayout>
          <c:xMode val="edge"/>
          <c:yMode val="edge"/>
          <c:x val="0.15042497812773403"/>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EHE_CME!$AK$112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C556-44D7-BF44-D8660CD55C4F}"/>
              </c:ext>
            </c:extLst>
          </c:dPt>
          <c:cat>
            <c:strRef>
              <c:f>EHE_CME!$Y$2:$AC$3</c:f>
              <c:strCache>
                <c:ptCount val="5"/>
                <c:pt idx="0">
                  <c:v>2015-16</c:v>
                </c:pt>
                <c:pt idx="1">
                  <c:v>2016-17</c:v>
                </c:pt>
                <c:pt idx="2">
                  <c:v>2017-18</c:v>
                </c:pt>
                <c:pt idx="3">
                  <c:v>2018-19</c:v>
                </c:pt>
                <c:pt idx="4">
                  <c:v>2019-20</c:v>
                </c:pt>
              </c:strCache>
            </c:strRef>
          </c:cat>
          <c:val>
            <c:numRef>
              <c:f>EHE_CME!$AL$112:$AP$112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556-44D7-BF44-D8660CD55C4F}"/>
            </c:ext>
          </c:extLst>
        </c:ser>
        <c:ser>
          <c:idx val="1"/>
          <c:order val="1"/>
          <c:tx>
            <c:strRef>
              <c:f>EHE_CME!$AK$113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EHE_CME!$Y$2:$AC$3</c:f>
              <c:strCache>
                <c:ptCount val="5"/>
                <c:pt idx="0">
                  <c:v>2015-16</c:v>
                </c:pt>
                <c:pt idx="1">
                  <c:v>2016-17</c:v>
                </c:pt>
                <c:pt idx="2">
                  <c:v>2017-18</c:v>
                </c:pt>
                <c:pt idx="3">
                  <c:v>2018-19</c:v>
                </c:pt>
                <c:pt idx="4">
                  <c:v>2019-20</c:v>
                </c:pt>
              </c:strCache>
            </c:strRef>
          </c:cat>
          <c:val>
            <c:numRef>
              <c:f>EHE_CME!$AL$113:$AP$113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C556-44D7-BF44-D8660CD55C4F}"/>
            </c:ext>
          </c:extLst>
        </c:ser>
        <c:ser>
          <c:idx val="2"/>
          <c:order val="2"/>
          <c:tx>
            <c:strRef>
              <c:f>EHE_CME!$AK$114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EHE_CME!$Y$2:$AC$3</c:f>
              <c:strCache>
                <c:ptCount val="5"/>
                <c:pt idx="0">
                  <c:v>2015-16</c:v>
                </c:pt>
                <c:pt idx="1">
                  <c:v>2016-17</c:v>
                </c:pt>
                <c:pt idx="2">
                  <c:v>2017-18</c:v>
                </c:pt>
                <c:pt idx="3">
                  <c:v>2018-19</c:v>
                </c:pt>
                <c:pt idx="4">
                  <c:v>2019-20</c:v>
                </c:pt>
              </c:strCache>
            </c:strRef>
          </c:cat>
          <c:val>
            <c:numRef>
              <c:f>EHE_CME!$AL$114:$AP$114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C556-44D7-BF44-D8660CD55C4F}"/>
            </c:ext>
          </c:extLst>
        </c:ser>
        <c:ser>
          <c:idx val="5"/>
          <c:order val="3"/>
          <c:tx>
            <c:strRef>
              <c:f>EHE_CME!$AK$115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EHE_CME!$Y$2:$AC$3</c:f>
              <c:strCache>
                <c:ptCount val="5"/>
                <c:pt idx="0">
                  <c:v>2015-16</c:v>
                </c:pt>
                <c:pt idx="1">
                  <c:v>2016-17</c:v>
                </c:pt>
                <c:pt idx="2">
                  <c:v>2017-18</c:v>
                </c:pt>
                <c:pt idx="3">
                  <c:v>2018-19</c:v>
                </c:pt>
                <c:pt idx="4">
                  <c:v>2019-20</c:v>
                </c:pt>
              </c:strCache>
            </c:strRef>
          </c:cat>
          <c:val>
            <c:numRef>
              <c:f>EHE_CME!$AL$115:$AP$115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C556-44D7-BF44-D8660CD55C4F}"/>
            </c:ext>
          </c:extLst>
        </c:ser>
        <c:ser>
          <c:idx val="9"/>
          <c:order val="4"/>
          <c:tx>
            <c:strRef>
              <c:f>EHE_CME!$AK$116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EHE_CME!$Y$2:$AC$3</c:f>
              <c:strCache>
                <c:ptCount val="5"/>
                <c:pt idx="0">
                  <c:v>2015-16</c:v>
                </c:pt>
                <c:pt idx="1">
                  <c:v>2016-17</c:v>
                </c:pt>
                <c:pt idx="2">
                  <c:v>2017-18</c:v>
                </c:pt>
                <c:pt idx="3">
                  <c:v>2018-19</c:v>
                </c:pt>
                <c:pt idx="4">
                  <c:v>2019-20</c:v>
                </c:pt>
              </c:strCache>
            </c:strRef>
          </c:cat>
          <c:val>
            <c:numRef>
              <c:f>EHE_CME!$AL$116:$AP$116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C556-44D7-BF44-D8660CD55C4F}"/>
            </c:ext>
          </c:extLst>
        </c:ser>
        <c:ser>
          <c:idx val="10"/>
          <c:order val="5"/>
          <c:tx>
            <c:strRef>
              <c:f>EHE_CME!$AK$117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EHE_CME!$Y$2:$AC$3</c:f>
              <c:strCache>
                <c:ptCount val="5"/>
                <c:pt idx="0">
                  <c:v>2015-16</c:v>
                </c:pt>
                <c:pt idx="1">
                  <c:v>2016-17</c:v>
                </c:pt>
                <c:pt idx="2">
                  <c:v>2017-18</c:v>
                </c:pt>
                <c:pt idx="3">
                  <c:v>2018-19</c:v>
                </c:pt>
                <c:pt idx="4">
                  <c:v>2019-20</c:v>
                </c:pt>
              </c:strCache>
            </c:strRef>
          </c:cat>
          <c:val>
            <c:numRef>
              <c:f>EHE_CME!$AL$117:$AP$117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C556-44D7-BF44-D8660CD55C4F}"/>
            </c:ext>
          </c:extLst>
        </c:ser>
        <c:ser>
          <c:idx val="11"/>
          <c:order val="6"/>
          <c:tx>
            <c:strRef>
              <c:f>EHE_CME!$AK$118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EHE_CME!$Y$2:$AC$3</c:f>
              <c:strCache>
                <c:ptCount val="5"/>
                <c:pt idx="0">
                  <c:v>2015-16</c:v>
                </c:pt>
                <c:pt idx="1">
                  <c:v>2016-17</c:v>
                </c:pt>
                <c:pt idx="2">
                  <c:v>2017-18</c:v>
                </c:pt>
                <c:pt idx="3">
                  <c:v>2018-19</c:v>
                </c:pt>
                <c:pt idx="4">
                  <c:v>2019-20</c:v>
                </c:pt>
              </c:strCache>
            </c:strRef>
          </c:cat>
          <c:val>
            <c:numRef>
              <c:f>EHE_CME!$AL$118:$AP$118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C556-44D7-BF44-D8660CD55C4F}"/>
            </c:ext>
          </c:extLst>
        </c:ser>
        <c:ser>
          <c:idx val="12"/>
          <c:order val="7"/>
          <c:tx>
            <c:strRef>
              <c:f>EHE_CME!$AK$119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EHE_CME!$Y$2:$AC$3</c:f>
              <c:strCache>
                <c:ptCount val="5"/>
                <c:pt idx="0">
                  <c:v>2015-16</c:v>
                </c:pt>
                <c:pt idx="1">
                  <c:v>2016-17</c:v>
                </c:pt>
                <c:pt idx="2">
                  <c:v>2017-18</c:v>
                </c:pt>
                <c:pt idx="3">
                  <c:v>2018-19</c:v>
                </c:pt>
                <c:pt idx="4">
                  <c:v>2019-20</c:v>
                </c:pt>
              </c:strCache>
            </c:strRef>
          </c:cat>
          <c:val>
            <c:numRef>
              <c:f>EHE_CME!$AL$119:$AP$119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C556-44D7-BF44-D8660CD55C4F}"/>
            </c:ext>
          </c:extLst>
        </c:ser>
        <c:ser>
          <c:idx val="13"/>
          <c:order val="8"/>
          <c:tx>
            <c:strRef>
              <c:f>EHE_CME!$AK$120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EHE_CME!$Y$2:$AC$3</c:f>
              <c:strCache>
                <c:ptCount val="5"/>
                <c:pt idx="0">
                  <c:v>2015-16</c:v>
                </c:pt>
                <c:pt idx="1">
                  <c:v>2016-17</c:v>
                </c:pt>
                <c:pt idx="2">
                  <c:v>2017-18</c:v>
                </c:pt>
                <c:pt idx="3">
                  <c:v>2018-19</c:v>
                </c:pt>
                <c:pt idx="4">
                  <c:v>2019-20</c:v>
                </c:pt>
              </c:strCache>
            </c:strRef>
          </c:cat>
          <c:val>
            <c:numRef>
              <c:f>EHE_CME!$AL$120:$AP$120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C556-44D7-BF44-D8660CD55C4F}"/>
            </c:ext>
          </c:extLst>
        </c:ser>
        <c:ser>
          <c:idx val="15"/>
          <c:order val="9"/>
          <c:tx>
            <c:strRef>
              <c:f>EHE_CME!$AK$121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EHE_CME!$Y$2:$AC$3</c:f>
              <c:strCache>
                <c:ptCount val="5"/>
                <c:pt idx="0">
                  <c:v>2015-16</c:v>
                </c:pt>
                <c:pt idx="1">
                  <c:v>2016-17</c:v>
                </c:pt>
                <c:pt idx="2">
                  <c:v>2017-18</c:v>
                </c:pt>
                <c:pt idx="3">
                  <c:v>2018-19</c:v>
                </c:pt>
                <c:pt idx="4">
                  <c:v>2019-20</c:v>
                </c:pt>
              </c:strCache>
            </c:strRef>
          </c:cat>
          <c:val>
            <c:numRef>
              <c:f>EHE_CME!$AL$121:$AP$121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C556-44D7-BF44-D8660CD55C4F}"/>
            </c:ext>
          </c:extLst>
        </c:ser>
        <c:ser>
          <c:idx val="16"/>
          <c:order val="10"/>
          <c:tx>
            <c:strRef>
              <c:f>EHE_CME!$AK$122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EHE_CME!$Y$2:$AC$3</c:f>
              <c:strCache>
                <c:ptCount val="5"/>
                <c:pt idx="0">
                  <c:v>2015-16</c:v>
                </c:pt>
                <c:pt idx="1">
                  <c:v>2016-17</c:v>
                </c:pt>
                <c:pt idx="2">
                  <c:v>2017-18</c:v>
                </c:pt>
                <c:pt idx="3">
                  <c:v>2018-19</c:v>
                </c:pt>
                <c:pt idx="4">
                  <c:v>2019-20</c:v>
                </c:pt>
              </c:strCache>
            </c:strRef>
          </c:cat>
          <c:val>
            <c:numRef>
              <c:f>EHE_CME!$AL$122:$AP$122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C556-44D7-BF44-D8660CD55C4F}"/>
            </c:ext>
          </c:extLst>
        </c:ser>
        <c:ser>
          <c:idx val="17"/>
          <c:order val="11"/>
          <c:tx>
            <c:strRef>
              <c:f>EHE_CME!$AK$123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EHE_CME!$Y$2:$AC$3</c:f>
              <c:strCache>
                <c:ptCount val="5"/>
                <c:pt idx="0">
                  <c:v>2015-16</c:v>
                </c:pt>
                <c:pt idx="1">
                  <c:v>2016-17</c:v>
                </c:pt>
                <c:pt idx="2">
                  <c:v>2017-18</c:v>
                </c:pt>
                <c:pt idx="3">
                  <c:v>2018-19</c:v>
                </c:pt>
                <c:pt idx="4">
                  <c:v>2019-20</c:v>
                </c:pt>
              </c:strCache>
            </c:strRef>
          </c:cat>
          <c:val>
            <c:numRef>
              <c:f>EHE_CME!$AL$123:$AP$123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C556-44D7-BF44-D8660CD55C4F}"/>
            </c:ext>
          </c:extLst>
        </c:ser>
        <c:ser>
          <c:idx val="19"/>
          <c:order val="12"/>
          <c:tx>
            <c:strRef>
              <c:f>EHE_CME!$AK$124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EHE_CME!$Y$2:$AC$3</c:f>
              <c:strCache>
                <c:ptCount val="5"/>
                <c:pt idx="0">
                  <c:v>2015-16</c:v>
                </c:pt>
                <c:pt idx="1">
                  <c:v>2016-17</c:v>
                </c:pt>
                <c:pt idx="2">
                  <c:v>2017-18</c:v>
                </c:pt>
                <c:pt idx="3">
                  <c:v>2018-19</c:v>
                </c:pt>
                <c:pt idx="4">
                  <c:v>2019-20</c:v>
                </c:pt>
              </c:strCache>
            </c:strRef>
          </c:cat>
          <c:val>
            <c:numRef>
              <c:f>EHE_CME!$AL$124:$AP$124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C556-44D7-BF44-D8660CD55C4F}"/>
            </c:ext>
          </c:extLst>
        </c:ser>
        <c:ser>
          <c:idx val="3"/>
          <c:order val="13"/>
          <c:tx>
            <c:strRef>
              <c:f>EHE_CME!$AK$125</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EHE_CME!$Y$2:$AC$3</c:f>
              <c:strCache>
                <c:ptCount val="5"/>
                <c:pt idx="0">
                  <c:v>2015-16</c:v>
                </c:pt>
                <c:pt idx="1">
                  <c:v>2016-17</c:v>
                </c:pt>
                <c:pt idx="2">
                  <c:v>2017-18</c:v>
                </c:pt>
                <c:pt idx="3">
                  <c:v>2018-19</c:v>
                </c:pt>
                <c:pt idx="4">
                  <c:v>2019-20</c:v>
                </c:pt>
              </c:strCache>
            </c:strRef>
          </c:cat>
          <c:val>
            <c:numRef>
              <c:f>EHE_CME!$AL$125:$AP$125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C556-44D7-BF44-D8660CD55C4F}"/>
            </c:ext>
          </c:extLst>
        </c:ser>
        <c:ser>
          <c:idx val="20"/>
          <c:order val="14"/>
          <c:tx>
            <c:strRef>
              <c:f>EHE_CME!$AK$126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EHE_CME!$Y$2:$AC$3</c:f>
              <c:strCache>
                <c:ptCount val="5"/>
                <c:pt idx="0">
                  <c:v>2015-16</c:v>
                </c:pt>
                <c:pt idx="1">
                  <c:v>2016-17</c:v>
                </c:pt>
                <c:pt idx="2">
                  <c:v>2017-18</c:v>
                </c:pt>
                <c:pt idx="3">
                  <c:v>2018-19</c:v>
                </c:pt>
                <c:pt idx="4">
                  <c:v>2019-20</c:v>
                </c:pt>
              </c:strCache>
            </c:strRef>
          </c:cat>
          <c:val>
            <c:numRef>
              <c:f>EHE_CME!$AL$126:$AP$126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C556-44D7-BF44-D8660CD55C4F}"/>
            </c:ext>
          </c:extLst>
        </c:ser>
        <c:ser>
          <c:idx val="22"/>
          <c:order val="15"/>
          <c:tx>
            <c:strRef>
              <c:f>EHE_CME!$AK$127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EHE_CME!$Y$2:$AC$3</c:f>
              <c:strCache>
                <c:ptCount val="5"/>
                <c:pt idx="0">
                  <c:v>2015-16</c:v>
                </c:pt>
                <c:pt idx="1">
                  <c:v>2016-17</c:v>
                </c:pt>
                <c:pt idx="2">
                  <c:v>2017-18</c:v>
                </c:pt>
                <c:pt idx="3">
                  <c:v>2018-19</c:v>
                </c:pt>
                <c:pt idx="4">
                  <c:v>2019-20</c:v>
                </c:pt>
              </c:strCache>
            </c:strRef>
          </c:cat>
          <c:val>
            <c:numRef>
              <c:f>EHE_CME!$AL$127:$AP$127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C556-44D7-BF44-D8660CD55C4F}"/>
            </c:ext>
          </c:extLst>
        </c:ser>
        <c:ser>
          <c:idx val="7"/>
          <c:order val="16"/>
          <c:tx>
            <c:strRef>
              <c:f>EHE_CME!$AK$128</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EHE_CME!$Y$2:$AC$3</c:f>
              <c:strCache>
                <c:ptCount val="5"/>
                <c:pt idx="0">
                  <c:v>2015-16</c:v>
                </c:pt>
                <c:pt idx="1">
                  <c:v>2016-17</c:v>
                </c:pt>
                <c:pt idx="2">
                  <c:v>2017-18</c:v>
                </c:pt>
                <c:pt idx="3">
                  <c:v>2018-19</c:v>
                </c:pt>
                <c:pt idx="4">
                  <c:v>2019-20</c:v>
                </c:pt>
              </c:strCache>
            </c:strRef>
          </c:cat>
          <c:val>
            <c:numRef>
              <c:f>EHE_CME!$AL$128:$AP$128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C556-44D7-BF44-D8660CD55C4F}"/>
            </c:ext>
          </c:extLst>
        </c:ser>
        <c:ser>
          <c:idx val="8"/>
          <c:order val="17"/>
          <c:tx>
            <c:strRef>
              <c:f>EHE_CME!$AK$129</c:f>
              <c:strCache>
                <c:ptCount val="1"/>
                <c:pt idx="0">
                  <c:v>Torbay</c:v>
                </c:pt>
              </c:strCache>
            </c:strRef>
          </c:tx>
          <c:spPr>
            <a:ln w="12700"/>
          </c:spPr>
          <c:marker>
            <c:symbol val="circle"/>
            <c:size val="5"/>
            <c:spPr>
              <a:solidFill>
                <a:schemeClr val="accent3">
                  <a:lumMod val="20000"/>
                  <a:lumOff val="80000"/>
                </a:schemeClr>
              </a:solidFill>
            </c:spPr>
          </c:marker>
          <c:cat>
            <c:strRef>
              <c:f>EHE_CME!$Y$2:$AC$3</c:f>
              <c:strCache>
                <c:ptCount val="5"/>
                <c:pt idx="0">
                  <c:v>2015-16</c:v>
                </c:pt>
                <c:pt idx="1">
                  <c:v>2016-17</c:v>
                </c:pt>
                <c:pt idx="2">
                  <c:v>2017-18</c:v>
                </c:pt>
                <c:pt idx="3">
                  <c:v>2018-19</c:v>
                </c:pt>
                <c:pt idx="4">
                  <c:v>2019-20</c:v>
                </c:pt>
              </c:strCache>
            </c:strRef>
          </c:cat>
          <c:val>
            <c:numRef>
              <c:f>EHE_CME!$AL$129:$AP$129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C556-44D7-BF44-D8660CD55C4F}"/>
            </c:ext>
          </c:extLst>
        </c:ser>
        <c:ser>
          <c:idx val="23"/>
          <c:order val="18"/>
          <c:tx>
            <c:strRef>
              <c:f>EHE_CME!$AK$130</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EHE_CME!$Y$2:$AC$3</c:f>
              <c:strCache>
                <c:ptCount val="5"/>
                <c:pt idx="0">
                  <c:v>2015-16</c:v>
                </c:pt>
                <c:pt idx="1">
                  <c:v>2016-17</c:v>
                </c:pt>
                <c:pt idx="2">
                  <c:v>2017-18</c:v>
                </c:pt>
                <c:pt idx="3">
                  <c:v>2018-19</c:v>
                </c:pt>
                <c:pt idx="4">
                  <c:v>2019-20</c:v>
                </c:pt>
              </c:strCache>
            </c:strRef>
          </c:cat>
          <c:val>
            <c:numRef>
              <c:f>EHE_CME!$AL$130:$AP$130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C556-44D7-BF44-D8660CD55C4F}"/>
            </c:ext>
          </c:extLst>
        </c:ser>
        <c:ser>
          <c:idx val="24"/>
          <c:order val="19"/>
          <c:tx>
            <c:strRef>
              <c:f>EHE_CME!$AK$131</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EHE_CME!$Y$2:$AC$3</c:f>
              <c:strCache>
                <c:ptCount val="5"/>
                <c:pt idx="0">
                  <c:v>2015-16</c:v>
                </c:pt>
                <c:pt idx="1">
                  <c:v>2016-17</c:v>
                </c:pt>
                <c:pt idx="2">
                  <c:v>2017-18</c:v>
                </c:pt>
                <c:pt idx="3">
                  <c:v>2018-19</c:v>
                </c:pt>
                <c:pt idx="4">
                  <c:v>2019-20</c:v>
                </c:pt>
              </c:strCache>
            </c:strRef>
          </c:cat>
          <c:val>
            <c:numRef>
              <c:f>EHE_CME!$AL$131:$AP$131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C556-44D7-BF44-D8660CD55C4F}"/>
            </c:ext>
          </c:extLst>
        </c:ser>
        <c:ser>
          <c:idx val="25"/>
          <c:order val="20"/>
          <c:tx>
            <c:strRef>
              <c:f>EHE_CME!$AK$132</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EHE_CME!$Y$2:$AC$3</c:f>
              <c:strCache>
                <c:ptCount val="5"/>
                <c:pt idx="0">
                  <c:v>2015-16</c:v>
                </c:pt>
                <c:pt idx="1">
                  <c:v>2016-17</c:v>
                </c:pt>
                <c:pt idx="2">
                  <c:v>2017-18</c:v>
                </c:pt>
                <c:pt idx="3">
                  <c:v>2018-19</c:v>
                </c:pt>
                <c:pt idx="4">
                  <c:v>2019-20</c:v>
                </c:pt>
              </c:strCache>
            </c:strRef>
          </c:cat>
          <c:val>
            <c:numRef>
              <c:f>EHE_CME!$AL$132:$AP$132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C556-44D7-BF44-D8660CD55C4F}"/>
            </c:ext>
          </c:extLst>
        </c:ser>
        <c:ser>
          <c:idx val="26"/>
          <c:order val="21"/>
          <c:tx>
            <c:strRef>
              <c:f>EHE_CME!$AK$133</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EHE_CME!$Y$2:$AC$3</c:f>
              <c:strCache>
                <c:ptCount val="5"/>
                <c:pt idx="0">
                  <c:v>2015-16</c:v>
                </c:pt>
                <c:pt idx="1">
                  <c:v>2016-17</c:v>
                </c:pt>
                <c:pt idx="2">
                  <c:v>2017-18</c:v>
                </c:pt>
                <c:pt idx="3">
                  <c:v>2018-19</c:v>
                </c:pt>
                <c:pt idx="4">
                  <c:v>2019-20</c:v>
                </c:pt>
              </c:strCache>
            </c:strRef>
          </c:cat>
          <c:val>
            <c:numRef>
              <c:f>EHE_CME!$AL$133:$AP$133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C556-44D7-BF44-D8660CD55C4F}"/>
            </c:ext>
          </c:extLst>
        </c:ser>
        <c:ser>
          <c:idx val="4"/>
          <c:order val="22"/>
          <c:tx>
            <c:strRef>
              <c:f>EHE_CME!$AK$134</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EHE_CME!$Y$2:$AC$3</c:f>
              <c:strCache>
                <c:ptCount val="5"/>
                <c:pt idx="0">
                  <c:v>2015-16</c:v>
                </c:pt>
                <c:pt idx="1">
                  <c:v>2016-17</c:v>
                </c:pt>
                <c:pt idx="2">
                  <c:v>2017-18</c:v>
                </c:pt>
                <c:pt idx="3">
                  <c:v>2018-19</c:v>
                </c:pt>
                <c:pt idx="4">
                  <c:v>2019-20</c:v>
                </c:pt>
              </c:strCache>
            </c:strRef>
          </c:cat>
          <c:val>
            <c:numRef>
              <c:f>EHE_CME!$AL$134:$AP$134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C556-44D7-BF44-D8660CD55C4F}"/>
            </c:ext>
          </c:extLst>
        </c:ser>
        <c:ser>
          <c:idx val="6"/>
          <c:order val="24"/>
          <c:tx>
            <c:strRef>
              <c:f>EHE_CME!$AK$136</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EHE_CME!$Y$2:$AC$3</c:f>
              <c:strCache>
                <c:ptCount val="5"/>
                <c:pt idx="0">
                  <c:v>2015-16</c:v>
                </c:pt>
                <c:pt idx="1">
                  <c:v>2016-17</c:v>
                </c:pt>
                <c:pt idx="2">
                  <c:v>2017-18</c:v>
                </c:pt>
                <c:pt idx="3">
                  <c:v>2018-19</c:v>
                </c:pt>
                <c:pt idx="4">
                  <c:v>2019-20</c:v>
                </c:pt>
              </c:strCache>
            </c:strRef>
          </c:cat>
          <c:val>
            <c:numRef>
              <c:f>EHE_CME!$AL$136:$AP$136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C556-44D7-BF44-D8660CD55C4F}"/>
            </c:ext>
          </c:extLst>
        </c:ser>
        <c:dLbls>
          <c:showLegendKey val="0"/>
          <c:showVal val="0"/>
          <c:showCatName val="0"/>
          <c:showSerName val="0"/>
          <c:showPercent val="0"/>
          <c:showBubbleSize val="0"/>
        </c:dLbls>
        <c:marker val="1"/>
        <c:smooth val="0"/>
        <c:axId val="662710144"/>
        <c:axId val="662728704"/>
        <c:extLst>
          <c:ext xmlns:c15="http://schemas.microsoft.com/office/drawing/2012/chart" uri="{02D57815-91ED-43cb-92C2-25804820EDAC}">
            <c15:filteredLineSeries>
              <c15:ser>
                <c:idx val="14"/>
                <c:order val="23"/>
                <c:tx>
                  <c:strRef>
                    <c:extLst>
                      <c:ext uri="{02D57815-91ED-43cb-92C2-25804820EDAC}">
                        <c15:formulaRef>
                          <c15:sqref>EHE_CME!$AK$135</c15:sqref>
                        </c15:formulaRef>
                      </c:ext>
                    </c:extLst>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extLst>
                      <c:ext uri="{02D57815-91ED-43cb-92C2-25804820EDAC}">
                        <c15:formulaRef>
                          <c15:sqref>EHE_CME!$Y$2:$AC$3</c15:sqref>
                        </c15:formulaRef>
                      </c:ext>
                    </c:extLst>
                    <c:strCache>
                      <c:ptCount val="5"/>
                      <c:pt idx="0">
                        <c:v>2015-16</c:v>
                      </c:pt>
                      <c:pt idx="1">
                        <c:v>2016-17</c:v>
                      </c:pt>
                      <c:pt idx="2">
                        <c:v>2017-18</c:v>
                      </c:pt>
                      <c:pt idx="3">
                        <c:v>2018-19</c:v>
                      </c:pt>
                      <c:pt idx="4">
                        <c:v>2019-20</c:v>
                      </c:pt>
                    </c:strCache>
                  </c:strRef>
                </c:cat>
                <c:val>
                  <c:numRef>
                    <c:extLst>
                      <c:ext uri="{02D57815-91ED-43cb-92C2-25804820EDAC}">
                        <c15:formulaRef>
                          <c15:sqref>EHE_CME!$AL$135:$AP$135</c15:sqref>
                        </c15:formulaRef>
                      </c:ext>
                    </c:extLst>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C556-44D7-BF44-D8660CD55C4F}"/>
                  </c:ext>
                </c:extLst>
              </c15:ser>
            </c15:filteredLineSeries>
          </c:ext>
        </c:extLst>
      </c:lineChart>
      <c:catAx>
        <c:axId val="662710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2728704"/>
        <c:crosses val="autoZero"/>
        <c:auto val="1"/>
        <c:lblAlgn val="ctr"/>
        <c:lblOffset val="100"/>
        <c:tickLblSkip val="1"/>
        <c:tickMarkSkip val="1"/>
        <c:noMultiLvlLbl val="0"/>
      </c:catAx>
      <c:valAx>
        <c:axId val="66272870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271014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Electively Home</a:t>
            </a:r>
            <a:r>
              <a:rPr lang="en-GB" baseline="0"/>
              <a:t> Educated </a:t>
            </a:r>
            <a:r>
              <a:rPr lang="en-GB" sz="1000" b="1" i="0" u="none" strike="noStrike" baseline="0">
                <a:effectLst/>
              </a:rPr>
              <a:t>Children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808314729889533"/>
          <c:y val="3.8613923259592556E-3"/>
        </c:manualLayout>
      </c:layout>
      <c:overlay val="0"/>
      <c:spPr>
        <a:noFill/>
        <a:ln w="25400">
          <a:noFill/>
        </a:ln>
      </c:spPr>
    </c:title>
    <c:autoTitleDeleted val="0"/>
    <c:plotArea>
      <c:layout>
        <c:manualLayout>
          <c:layoutTarget val="inner"/>
          <c:xMode val="edge"/>
          <c:yMode val="edge"/>
          <c:x val="9.6909984154078643E-2"/>
          <c:y val="0.21898575178102736"/>
          <c:w val="0.65146216862752293"/>
          <c:h val="0.55067054118235226"/>
        </c:manualLayout>
      </c:layout>
      <c:barChart>
        <c:barDir val="col"/>
        <c:grouping val="clustered"/>
        <c:varyColors val="0"/>
        <c:ser>
          <c:idx val="6"/>
          <c:order val="0"/>
          <c:tx>
            <c:strRef>
              <c:f>EHE_CME!$Z$4</c:f>
              <c:strCache>
                <c:ptCount val="1"/>
                <c:pt idx="0">
                  <c:v>Selected LA- (none)</c:v>
                </c:pt>
              </c:strCache>
            </c:strRef>
          </c:tx>
          <c:spPr>
            <a:solidFill>
              <a:srgbClr val="66FF99"/>
            </a:solidFill>
            <a:ln>
              <a:solidFill>
                <a:schemeClr val="tx1">
                  <a:lumMod val="75000"/>
                  <a:lumOff val="25000"/>
                </a:schemeClr>
              </a:solidFill>
            </a:ln>
          </c:spPr>
          <c:invertIfNegative val="0"/>
          <c:cat>
            <c:strRef>
              <c:f>EHE_CME!$Y$2:$AC$3</c:f>
              <c:strCache>
                <c:ptCount val="5"/>
                <c:pt idx="0">
                  <c:v>2015-16</c:v>
                </c:pt>
                <c:pt idx="1">
                  <c:v>2016-17</c:v>
                </c:pt>
                <c:pt idx="2">
                  <c:v>2017-18</c:v>
                </c:pt>
                <c:pt idx="3">
                  <c:v>2018-19</c:v>
                </c:pt>
                <c:pt idx="4">
                  <c:v>2019-20</c:v>
                </c:pt>
              </c:strCache>
            </c:strRef>
          </c:cat>
          <c:val>
            <c:numRef>
              <c:f>EHE_CME!$AL$136:$AP$136</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8A56-4885-BC3D-ADF5357898BC}"/>
            </c:ext>
          </c:extLst>
        </c:ser>
        <c:ser>
          <c:idx val="4"/>
          <c:order val="1"/>
          <c:tx>
            <c:strRef>
              <c:f>EHE_CME!$B$32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EHE_CME!$Y$2:$AC$3</c:f>
              <c:strCache>
                <c:ptCount val="5"/>
                <c:pt idx="0">
                  <c:v>2015-16</c:v>
                </c:pt>
                <c:pt idx="1">
                  <c:v>2016-17</c:v>
                </c:pt>
                <c:pt idx="2">
                  <c:v>2017-18</c:v>
                </c:pt>
                <c:pt idx="3">
                  <c:v>2018-19</c:v>
                </c:pt>
                <c:pt idx="4">
                  <c:v>2019-20</c:v>
                </c:pt>
              </c:strCache>
            </c:strRef>
          </c:cat>
          <c:val>
            <c:numRef>
              <c:f>EHE_CME!$L$103:$P$103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8A56-4885-BC3D-ADF5357898BC}"/>
            </c:ext>
          </c:extLst>
        </c:ser>
        <c:dLbls>
          <c:showLegendKey val="0"/>
          <c:showVal val="0"/>
          <c:showCatName val="0"/>
          <c:showSerName val="0"/>
          <c:showPercent val="0"/>
          <c:showBubbleSize val="0"/>
        </c:dLbls>
        <c:gapWidth val="100"/>
        <c:axId val="662758144"/>
        <c:axId val="662759680"/>
      </c:barChart>
      <c:catAx>
        <c:axId val="662758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2759680"/>
        <c:crosses val="autoZero"/>
        <c:auto val="1"/>
        <c:lblAlgn val="ctr"/>
        <c:lblOffset val="100"/>
        <c:noMultiLvlLbl val="0"/>
      </c:catAx>
      <c:valAx>
        <c:axId val="6627596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275814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Missing Education vs. IDACI</a:t>
            </a:r>
          </a:p>
        </c:rich>
      </c:tx>
      <c:layout>
        <c:manualLayout>
          <c:xMode val="edge"/>
          <c:yMode val="edge"/>
          <c:x val="0.18216924939177123"/>
          <c:y val="3.011988366319074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2"/>
          <c:order val="4"/>
          <c:tx>
            <c:strRef>
              <c:f>EHE_CME!$X$41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EA99-42DE-B105-D2E2B17531A3}"/>
                </c:ext>
              </c:extLst>
            </c:dLbl>
            <c:dLbl>
              <c:idx val="1"/>
              <c:layout>
                <c:manualLayout>
                  <c:x val="-6.511627906976733E-2"/>
                  <c:y val="-2.4132730015082957E-2"/>
                </c:manualLayout>
              </c:layout>
              <c:tx>
                <c:strRef>
                  <c:f>EHE_CME!$AC$42</c:f>
                  <c:strCache>
                    <c:ptCount val="1"/>
                    <c:pt idx="0">
                      <c:v>#DIV/0!</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{6F8B1779-92C4-45EC-B300-0456899C4634}</c15:txfldGUID>
                      <c15:f>EHE_CME!$AC$42</c15:f>
                      <c15:dlblFieldTableCache>
                        <c:ptCount val="1"/>
                        <c:pt idx="0">
                          <c:v>#DIV/0!</c:v>
                        </c:pt>
                      </c15:dlblFieldTableCache>
                    </c15:dlblFTEntry>
                  </c15:dlblFieldTable>
                  <c15:showDataLabelsRange val="0"/>
                </c:ext>
                <c:ext xmlns:c16="http://schemas.microsoft.com/office/drawing/2014/chart" uri="{C3380CC4-5D6E-409C-BE32-E72D297353CC}">
                  <c16:uniqueId val="{00000001-EA99-42DE-B105-D2E2B17531A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EHE_CME!$AA$41:$AA$42</c:f>
              <c:numCache>
                <c:formatCode>General</c:formatCode>
                <c:ptCount val="2"/>
                <c:pt idx="0" formatCode="#,##0.0">
                  <c:v>8</c:v>
                </c:pt>
                <c:pt idx="1">
                  <c:v>30</c:v>
                </c:pt>
              </c:numCache>
            </c:numRef>
          </c:xVal>
          <c:yVal>
            <c:numRef>
              <c:f>EHE_CME!$AB$41:$AB$42</c:f>
              <c:numCache>
                <c:formatCode>0.0</c:formatCode>
                <c:ptCount val="2"/>
                <c:pt idx="0">
                  <c:v>0</c:v>
                </c:pt>
                <c:pt idx="1">
                  <c:v>0</c:v>
                </c:pt>
              </c:numCache>
            </c:numRef>
          </c:yVal>
          <c:smooth val="1"/>
          <c:extLst>
            <c:ext xmlns:c16="http://schemas.microsoft.com/office/drawing/2014/chart" uri="{C3380CC4-5D6E-409C-BE32-E72D297353CC}">
              <c16:uniqueId val="{00000002-EA99-42DE-B105-D2E2B17531A3}"/>
            </c:ext>
          </c:extLst>
        </c:ser>
        <c:dLbls>
          <c:showLegendKey val="0"/>
          <c:showVal val="0"/>
          <c:showCatName val="0"/>
          <c:showSerName val="0"/>
          <c:showPercent val="0"/>
          <c:showBubbleSize val="0"/>
        </c:dLbls>
        <c:axId val="663600128"/>
        <c:axId val="663655936"/>
      </c:scatterChart>
      <c:scatterChart>
        <c:scatterStyle val="lineMarker"/>
        <c:varyColors val="0"/>
        <c:ser>
          <c:idx val="0"/>
          <c:order val="0"/>
          <c:tx>
            <c:strRef>
              <c:f>EHE_CME!$AQ$38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EA99-42DE-B105-D2E2B17531A3}"/>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{283E00A0-8F69-40D6-8887-2B32D46E232F}</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EA99-42DE-B105-D2E2B17531A3}"/>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{783EB463-B109-41E0-9CB0-06DB53826131}</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EA99-42DE-B105-D2E2B17531A3}"/>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{C6C5BF12-DD5B-4E9E-BB32-BB4D1EF32F2D}</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EA99-42DE-B105-D2E2B17531A3}"/>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{332D425A-0785-499C-98AA-CB80E37C8277}</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EA99-42DE-B105-D2E2B17531A3}"/>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{5FEE09D5-83A3-4A7B-8DB2-127909327F43}</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EA99-42DE-B105-D2E2B17531A3}"/>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{6AD507CE-F94B-415E-99BC-203BDA8880B7}</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EA99-42DE-B105-D2E2B17531A3}"/>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{67A5F0F6-E63A-4A14-B133-A2597274E509}</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EA99-42DE-B105-D2E2B17531A3}"/>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{BE1BFBCF-99FE-41DD-BEE0-CF866143920D}</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EA99-42DE-B105-D2E2B17531A3}"/>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{D7AD0CFC-8A9E-45AF-9ABA-B68E0D69F314}</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EA99-42DE-B105-D2E2B17531A3}"/>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{DE913A34-254E-4279-B9A6-C7390DB740C4}</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EA99-42DE-B105-D2E2B17531A3}"/>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{25FCC1DB-5968-49AC-BE41-24DEE37F8AC0}</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EA99-42DE-B105-D2E2B17531A3}"/>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{1E71FC74-4927-429D-8366-A375C5836496}</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EA99-42DE-B105-D2E2B17531A3}"/>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{7C7B73E2-36A9-4EAC-8E99-70FEBCAFA9F9}</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EA99-42DE-B105-D2E2B17531A3}"/>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{E581ABB6-3EFE-4873-ABF1-121C03DC1690}</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EA99-42DE-B105-D2E2B17531A3}"/>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{028B9796-973E-4785-8351-0DF0BD6019D4}</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EA99-42DE-B105-D2E2B17531A3}"/>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{817992BD-1130-4F37-A8E2-9EC0E553F84D}</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EA99-42DE-B105-D2E2B17531A3}"/>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{4AD67C4F-F681-45BD-8FCC-9378CD5383A0}</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EA99-42DE-B105-D2E2B17531A3}"/>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{20525275-BF76-4F62-AADD-B13C3FF0AA74}</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EA99-42DE-B105-D2E2B17531A3}"/>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{B3707C5B-10B2-4337-BB30-7F36C918ED14}</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EA99-42DE-B105-D2E2B17531A3}"/>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(EHE_CME!$AQ$41:$AQ$53,EHE_CME!$AQ$55:$AQ$56,EHE_CME!$AQ$59:$AQ$62)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(EHE_CME!$AP$41:$AP$53,EHE_CME!$AP$55:$AP$56,EHE_CME!$AP$59:$AP$62)</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EA99-42DE-B105-D2E2B17531A3}"/>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EA99-42DE-B105-D2E2B17531A3}"/>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{0BF85A0E-9728-4887-BAC5-48218A0EE29D}</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EA99-42DE-B105-D2E2B17531A3}"/>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{B1D4BB53-1D84-42D2-8B24-799A478255F1}</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EA99-42DE-B105-D2E2B17531A3}"/>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{C41CEA54-6D2E-4B6F-A8FE-AD166FADA173}</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EA99-42DE-B105-D2E2B17531A3}"/>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(EHE_CME!$AQ$54,EHE_CME!$AQ$57:$AQ$58)</c:f>
              <c:numCache>
                <c:formatCode>0.0</c:formatCode>
                <c:ptCount val="3"/>
                <c:pt idx="0">
                  <c:v>13.600000000000001</c:v>
                </c:pt>
                <c:pt idx="1">
                  <c:v>14.899999999999999</c:v>
                </c:pt>
                <c:pt idx="2">
                  <c:v>21.9</c:v>
                </c:pt>
              </c:numCache>
            </c:numRef>
          </c:xVal>
          <c:yVal>
            <c:numRef>
              <c:f>(EHE_CME!$AP$54,EHE_CME!$AP$57:$AP$58)</c:f>
              <c:numCache>
                <c:formatCode>0.0</c:formatCode>
                <c:ptCount val="3"/>
                <c:pt idx="0">
                  <c:v>#N/A</c:v>
                </c:pt>
                <c:pt idx="1">
                  <c:v>#N/A</c:v>
                </c:pt>
                <c:pt idx="2">
                  <c:v>#N/A</c:v>
                </c:pt>
              </c:numCache>
            </c:numRef>
          </c:yVal>
          <c:smooth val="0"/>
          <c:extLst>
            <c:ext xmlns:c16="http://schemas.microsoft.com/office/drawing/2014/chart" uri="{C3380CC4-5D6E-409C-BE32-E72D297353CC}">
              <c16:uniqueId val="{0000001B-EA99-42DE-B105-D2E2B17531A3}"/>
            </c:ext>
          </c:extLst>
        </c:ser>
        <c:ser>
          <c:idx val="1"/>
          <c:order val="2"/>
          <c:tx>
            <c:strRef>
              <c:f>EHE_CME!$Z$4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EHE_CME!$AQ$65</c:f>
              <c:numCache>
                <c:formatCode>0.0</c:formatCode>
                <c:ptCount val="1"/>
                <c:pt idx="0">
                  <c:v>#N/A</c:v>
                </c:pt>
              </c:numCache>
            </c:numRef>
          </c:xVal>
          <c:yVal>
            <c:numRef>
              <c:f>EHE_CME!$AP$65</c:f>
              <c:numCache>
                <c:formatCode>0.0</c:formatCode>
                <c:ptCount val="1"/>
                <c:pt idx="0">
                  <c:v>#N/A</c:v>
                </c:pt>
              </c:numCache>
            </c:numRef>
          </c:yVal>
          <c:smooth val="0"/>
          <c:extLst>
            <c:ext xmlns:c16="http://schemas.microsoft.com/office/drawing/2014/chart" uri="{C3380CC4-5D6E-409C-BE32-E72D297353CC}">
              <c16:uniqueId val="{0000001C-EA99-42DE-B105-D2E2B17531A3}"/>
            </c:ext>
          </c:extLst>
        </c:ser>
        <c:ser>
          <c:idx val="4"/>
          <c:order val="3"/>
          <c:tx>
            <c:strRef>
              <c:f>EHE_CME!$B$32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EHE_CME!$T$32</c:f>
              <c:numCache>
                <c:formatCode>0.0</c:formatCode>
                <c:ptCount val="1"/>
                <c:pt idx="0">
                  <c:v>0</c:v>
                </c:pt>
              </c:numCache>
            </c:numRef>
          </c:xVal>
          <c:yVal>
            <c:numRef>
              <c:f>EHE_CME!$P$32</c:f>
              <c:numCache>
                <c:formatCode>0.0</c:formatCode>
                <c:ptCount val="1"/>
                <c:pt idx="0">
                  <c:v>#N/A</c:v>
                </c:pt>
              </c:numCache>
            </c:numRef>
          </c:yVal>
          <c:smooth val="0"/>
          <c:extLst>
            <c:ext xmlns:c16="http://schemas.microsoft.com/office/drawing/2014/chart" uri="{C3380CC4-5D6E-409C-BE32-E72D297353CC}">
              <c16:uniqueId val="{0000001D-EA99-42DE-B105-D2E2B17531A3}"/>
            </c:ext>
          </c:extLst>
        </c:ser>
        <c:dLbls>
          <c:showLegendKey val="0"/>
          <c:showVal val="0"/>
          <c:showCatName val="0"/>
          <c:showSerName val="0"/>
          <c:showPercent val="0"/>
          <c:showBubbleSize val="0"/>
        </c:dLbls>
        <c:axId val="663600128"/>
        <c:axId val="663655936"/>
      </c:scatterChart>
      <c:valAx>
        <c:axId val="663600128"/>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655936"/>
        <c:crosses val="autoZero"/>
        <c:crossBetween val="midCat"/>
        <c:majorUnit val="5"/>
      </c:valAx>
      <c:valAx>
        <c:axId val="66365593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Missing Education per</a:t>
                </a:r>
              </a:p>
              <a:p>
                <a:pPr>
                  <a:defRPr sz="800" b="1" i="0" u="none" strike="noStrike" baseline="0">
                    <a:solidFill>
                      <a:srgbClr val="000000"/>
                    </a:solidFill>
                    <a:latin typeface="Arial"/>
                    <a:ea typeface="Arial"/>
                    <a:cs typeface="Arial"/>
                  </a:defRPr>
                </a:pPr>
                <a:r>
                  <a:rPr lang="en-GB"/>
                  <a:t>10,000 5-15 year olds</a:t>
                </a:r>
              </a:p>
            </c:rich>
          </c:tx>
          <c:layout>
            <c:manualLayout>
              <c:xMode val="edge"/>
              <c:yMode val="edge"/>
              <c:x val="4.8947614424909212E-2"/>
              <c:y val="0.2512834882126220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60012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Electively Home</a:t>
            </a:r>
            <a:r>
              <a:rPr lang="en-GB" baseline="0"/>
              <a:t> Educated Children </a:t>
            </a:r>
            <a:r>
              <a:rPr lang="en-GB"/>
              <a:t>vs. IDACI</a:t>
            </a:r>
          </a:p>
        </c:rich>
      </c:tx>
      <c:layout>
        <c:manualLayout>
          <c:xMode val="edge"/>
          <c:yMode val="edge"/>
          <c:x val="0.11519816872206042"/>
          <c:y val="3.6125889669196755E-2"/>
        </c:manualLayout>
      </c:layout>
      <c:overlay val="0"/>
      <c:spPr>
        <a:noFill/>
        <a:ln w="25400">
          <a:noFill/>
        </a:ln>
      </c:spPr>
    </c:title>
    <c:autoTitleDeleted val="0"/>
    <c:plotArea>
      <c:layout>
        <c:manualLayout>
          <c:layoutTarget val="inner"/>
          <c:xMode val="edge"/>
          <c:yMode val="edge"/>
          <c:x val="0.17846642457364062"/>
          <c:y val="0.11580525407297061"/>
          <c:w val="0.71042412839987923"/>
          <c:h val="0.7425640385641078"/>
        </c:manualLayout>
      </c:layout>
      <c:scatterChart>
        <c:scatterStyle val="smoothMarker"/>
        <c:varyColors val="0"/>
        <c:ser>
          <c:idx val="2"/>
          <c:order val="4"/>
          <c:tx>
            <c:strRef>
              <c:f>EHE_CME!$X$112</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6370-4591-9D88-696FE2F5F1BE}"/>
                </c:ext>
              </c:extLst>
            </c:dLbl>
            <c:dLbl>
              <c:idx val="1"/>
              <c:layout>
                <c:manualLayout>
                  <c:x val="-6.8217054263565891E-2"/>
                  <c:y val="-2.7149321266968382E-2"/>
                </c:manualLayout>
              </c:layout>
              <c:tx>
                <c:strRef>
                  <c:f>EHE_CME!$AC$113</c:f>
                  <c:strCache>
                    <c:ptCount val="1"/>
                    <c:pt idx="0">
                      <c:v>#DIV/0!</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{A58FEC65-6CDE-4245-A06E-E63D04E5D811}</c15:txfldGUID>
                      <c15:f>EHE_CME!$AC$113</c15:f>
                      <c15:dlblFieldTableCache>
                        <c:ptCount val="1"/>
                        <c:pt idx="0">
                          <c:v>#DIV/0!</c:v>
                        </c:pt>
                      </c15:dlblFieldTableCache>
                    </c15:dlblFTEntry>
                  </c15:dlblFieldTable>
                  <c15:showDataLabelsRange val="0"/>
                </c:ext>
                <c:ext xmlns:c16="http://schemas.microsoft.com/office/drawing/2014/chart" uri="{C3380CC4-5D6E-409C-BE32-E72D297353CC}">
                  <c16:uniqueId val="{00000001-6370-4591-9D88-696FE2F5F1B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EHE_CME!$AA$112:$AA$113</c:f>
              <c:numCache>
                <c:formatCode>General</c:formatCode>
                <c:ptCount val="2"/>
                <c:pt idx="0" formatCode="#,##0.0">
                  <c:v>5</c:v>
                </c:pt>
                <c:pt idx="1">
                  <c:v>35</c:v>
                </c:pt>
              </c:numCache>
            </c:numRef>
          </c:xVal>
          <c:yVal>
            <c:numRef>
              <c:f>EHE_CME!$AB$112:$AB$113</c:f>
              <c:numCache>
                <c:formatCode>0.0</c:formatCode>
                <c:ptCount val="2"/>
                <c:pt idx="0">
                  <c:v>0</c:v>
                </c:pt>
                <c:pt idx="1">
                  <c:v>0</c:v>
                </c:pt>
              </c:numCache>
            </c:numRef>
          </c:yVal>
          <c:smooth val="1"/>
          <c:extLst>
            <c:ext xmlns:c16="http://schemas.microsoft.com/office/drawing/2014/chart" uri="{C3380CC4-5D6E-409C-BE32-E72D297353CC}">
              <c16:uniqueId val="{00000002-6370-4591-9D88-696FE2F5F1BE}"/>
            </c:ext>
          </c:extLst>
        </c:ser>
        <c:dLbls>
          <c:showLegendKey val="0"/>
          <c:showVal val="0"/>
          <c:showCatName val="0"/>
          <c:showSerName val="0"/>
          <c:showPercent val="0"/>
          <c:showBubbleSize val="0"/>
        </c:dLbls>
        <c:axId val="663702144"/>
        <c:axId val="663291008"/>
      </c:scatterChart>
      <c:scatterChart>
        <c:scatterStyle val="lineMarker"/>
        <c:varyColors val="0"/>
        <c:ser>
          <c:idx val="0"/>
          <c:order val="0"/>
          <c:tx>
            <c:strRef>
              <c:f>EHE_CME!$AQ$38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6370-4591-9D88-696FE2F5F1BE}"/>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{B345281B-D2D2-405F-8381-6864C2EB3FAD}</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6370-4591-9D88-696FE2F5F1BE}"/>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{1A0F8681-9A29-4737-88DD-B57462AF739A}</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6370-4591-9D88-696FE2F5F1BE}"/>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{194CEA56-F1B4-43B4-83D3-8846D38379AA}</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6370-4591-9D88-696FE2F5F1BE}"/>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{C5397C1B-7C2D-4B8C-B9DD-BC8F77235AA7}</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6370-4591-9D88-696FE2F5F1BE}"/>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{8C0E445A-773F-49DE-8F8F-FDA3EA9D693D}</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6370-4591-9D88-696FE2F5F1BE}"/>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{C0E6F8C7-833A-4666-8F20-82ABEE253BB5}</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6370-4591-9D88-696FE2F5F1BE}"/>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{351861A4-98E2-41FF-ADF4-2B740794CFB7}</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6370-4591-9D88-696FE2F5F1BE}"/>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{20AB5275-9E30-4258-84D1-060F608D9EAC}</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6370-4591-9D88-696FE2F5F1BE}"/>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{66BEF30B-7F75-4B85-A1C2-6B7AD00E1176}</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6370-4591-9D88-696FE2F5F1BE}"/>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{88668F45-D15F-4DCB-B78A-ED8866422BA7}</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6370-4591-9D88-696FE2F5F1BE}"/>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{3EFDD4DA-5BD4-4789-B515-83A7DC0CF812}</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6370-4591-9D88-696FE2F5F1BE}"/>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{8B45FDC3-3963-41A3-9673-046B34C2137B}</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6370-4591-9D88-696FE2F5F1BE}"/>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{B7775AE9-FC50-4B93-B47F-CD40079F2DA5}</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6370-4591-9D88-696FE2F5F1BE}"/>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{60BA2B54-35CA-4248-8FF5-A706465F10B7}</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6370-4591-9D88-696FE2F5F1BE}"/>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{3C50770B-A988-453C-8CF9-8227F8534385}</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6370-4591-9D88-696FE2F5F1BE}"/>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{9391B9EB-CA88-4A7E-851A-EC66DB5679CF}</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6370-4591-9D88-696FE2F5F1BE}"/>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{BE917255-FB33-412B-8F35-3C990F3732A3}</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6370-4591-9D88-696FE2F5F1BE}"/>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{139253D9-1623-448C-AC53-1C930E5D6B03}</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6370-4591-9D88-696FE2F5F1BE}"/>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{32CCAF7F-1C40-4A20-8BB4-F248588FD92A}</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6370-4591-9D88-696FE2F5F1BE}"/>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(EHE_CME!$AQ$112:$AQ$124,EHE_CME!$AQ$126:$AQ$127,EHE_CME!$AQ$130:$AQ$133)</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(EHE_CME!$AP$112:$AP$124,EHE_CME!$AP$126:$AP$127,EHE_CME!$AP$130:$AP$133)</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6370-4591-9D88-696FE2F5F1BE}"/>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6370-4591-9D88-696FE2F5F1BE}"/>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{A3F649A0-0E3C-4E7C-9E5B-39F09F113848}</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6370-4591-9D88-696FE2F5F1BE}"/>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{DB79316E-5B6C-4D69-986B-9DFE5FE9621C}</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6370-4591-9D88-696FE2F5F1BE}"/>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{176DD16F-515C-4C09-9657-3B947CC0D628}</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6370-4591-9D88-696FE2F5F1BE}"/>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(EHE_CME!$AQ$125,EHE_CME!$AQ$128:$AQ$129)</c:f>
              <c:numCache>
                <c:formatCode>0.0</c:formatCode>
                <c:ptCount val="3"/>
                <c:pt idx="0">
                  <c:v>13.600000000000001</c:v>
                </c:pt>
                <c:pt idx="1">
                  <c:v>14.899999999999999</c:v>
                </c:pt>
                <c:pt idx="2">
                  <c:v>21.9</c:v>
                </c:pt>
              </c:numCache>
            </c:numRef>
          </c:xVal>
          <c:yVal>
            <c:numRef>
              <c:f>(EHE_CME!$AP$125,EHE_CME!$AP$128:$AP$129)</c:f>
              <c:numCache>
                <c:formatCode>0.0</c:formatCode>
                <c:ptCount val="3"/>
                <c:pt idx="0">
                  <c:v>#N/A</c:v>
                </c:pt>
                <c:pt idx="1">
                  <c:v>#N/A</c:v>
                </c:pt>
                <c:pt idx="2">
                  <c:v>#N/A</c:v>
                </c:pt>
              </c:numCache>
            </c:numRef>
          </c:yVal>
          <c:smooth val="0"/>
          <c:extLst>
            <c:ext xmlns:c16="http://schemas.microsoft.com/office/drawing/2014/chart" uri="{C3380CC4-5D6E-409C-BE32-E72D297353CC}">
              <c16:uniqueId val="{0000001B-6370-4591-9D88-696FE2F5F1BE}"/>
            </c:ext>
          </c:extLst>
        </c:ser>
        <c:ser>
          <c:idx val="1"/>
          <c:order val="2"/>
          <c:tx>
            <c:strRef>
              <c:f>EHE_CME!$Z$4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EHE_CME!$AQ$136</c:f>
              <c:numCache>
                <c:formatCode>0.0</c:formatCode>
                <c:ptCount val="1"/>
                <c:pt idx="0">
                  <c:v>#N/A</c:v>
                </c:pt>
              </c:numCache>
            </c:numRef>
          </c:xVal>
          <c:yVal>
            <c:numRef>
              <c:f>EHE_CME!$AP$136</c:f>
              <c:numCache>
                <c:formatCode>0.0</c:formatCode>
                <c:ptCount val="1"/>
                <c:pt idx="0">
                  <c:v>#N/A</c:v>
                </c:pt>
              </c:numCache>
            </c:numRef>
          </c:yVal>
          <c:smooth val="0"/>
          <c:extLst>
            <c:ext xmlns:c16="http://schemas.microsoft.com/office/drawing/2014/chart" uri="{C3380CC4-5D6E-409C-BE32-E72D297353CC}">
              <c16:uniqueId val="{0000001C-6370-4591-9D88-696FE2F5F1BE}"/>
            </c:ext>
          </c:extLst>
        </c:ser>
        <c:ser>
          <c:idx val="4"/>
          <c:order val="3"/>
          <c:tx>
            <c:strRef>
              <c:f>EHE_CME!$B$103</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EHE_CME!$T$103</c:f>
              <c:numCache>
                <c:formatCode>0.0</c:formatCode>
                <c:ptCount val="1"/>
                <c:pt idx="0">
                  <c:v>0</c:v>
                </c:pt>
              </c:numCache>
            </c:numRef>
          </c:xVal>
          <c:yVal>
            <c:numRef>
              <c:f>EHE_CME!$P$103</c:f>
              <c:numCache>
                <c:formatCode>0.0</c:formatCode>
                <c:ptCount val="1"/>
                <c:pt idx="0">
                  <c:v>#N/A</c:v>
                </c:pt>
              </c:numCache>
            </c:numRef>
          </c:yVal>
          <c:smooth val="0"/>
          <c:extLst>
            <c:ext xmlns:c16="http://schemas.microsoft.com/office/drawing/2014/chart" uri="{C3380CC4-5D6E-409C-BE32-E72D297353CC}">
              <c16:uniqueId val="{0000001D-6370-4591-9D88-696FE2F5F1BE}"/>
            </c:ext>
          </c:extLst>
        </c:ser>
        <c:dLbls>
          <c:showLegendKey val="0"/>
          <c:showVal val="0"/>
          <c:showCatName val="0"/>
          <c:showSerName val="0"/>
          <c:showPercent val="0"/>
          <c:showBubbleSize val="0"/>
        </c:dLbls>
        <c:axId val="663702144"/>
        <c:axId val="663291008"/>
      </c:scatterChart>
      <c:valAx>
        <c:axId val="663702144"/>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291008"/>
        <c:crosses val="autoZero"/>
        <c:crossBetween val="midCat"/>
        <c:majorUnit val="5"/>
      </c:valAx>
      <c:valAx>
        <c:axId val="66329100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ofElectively</a:t>
                </a:r>
                <a:r>
                  <a:rPr lang="en-GB" baseline="0"/>
                  <a:t> Home Educated </a:t>
                </a:r>
                <a:r>
                  <a:rPr lang="en-GB"/>
                  <a:t>per</a:t>
                </a:r>
              </a:p>
              <a:p>
                <a:pPr>
                  <a:defRPr sz="800" b="1" i="0" u="none" strike="noStrike" baseline="0">
                    <a:solidFill>
                      <a:srgbClr val="000000"/>
                    </a:solidFill>
                    <a:latin typeface="Arial"/>
                    <a:ea typeface="Arial"/>
                    <a:cs typeface="Arial"/>
                  </a:defRPr>
                </a:pPr>
                <a:r>
                  <a:rPr lang="en-GB"/>
                  <a:t>10,000 5-15 year olds</a:t>
                </a:r>
              </a:p>
            </c:rich>
          </c:tx>
          <c:layout>
            <c:manualLayout>
              <c:xMode val="edge"/>
              <c:yMode val="edge"/>
              <c:x val="4.8947614424909212E-2"/>
              <c:y val="0.2422744792036130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70214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Young People aged 16-17 who are Participating in Education, Employment or Training (EET)</a:t>
            </a:r>
          </a:p>
        </c:rich>
      </c:tx>
      <c:layout>
        <c:manualLayout>
          <c:xMode val="edge"/>
          <c:yMode val="edge"/>
          <c:x val="0.12000784134348352"/>
          <c:y val="1.2589354296580521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NEET!$AL$41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8F80-40EE-ABE9-A4E01CE95B98}"/>
              </c:ext>
            </c:extLst>
          </c:dPt>
          <c:cat>
            <c:strRef>
              <c:f>NEET!$Z$2:$AD$3</c:f>
              <c:strCache>
                <c:ptCount val="5"/>
                <c:pt idx="0">
                  <c:v>2015-16</c:v>
                </c:pt>
                <c:pt idx="1">
                  <c:v>2016-17</c:v>
                </c:pt>
                <c:pt idx="2">
                  <c:v>2017-18</c:v>
                </c:pt>
                <c:pt idx="3">
                  <c:v>2018-19</c:v>
                </c:pt>
                <c:pt idx="4">
                  <c:v>2019-20</c:v>
                </c:pt>
              </c:strCache>
            </c:strRef>
          </c:cat>
          <c:val>
            <c:numRef>
              <c:f>NEET!$AM$41:$AQ$41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F80-40EE-ABE9-A4E01CE95B98}"/>
            </c:ext>
          </c:extLst>
        </c:ser>
        <c:ser>
          <c:idx val="1"/>
          <c:order val="1"/>
          <c:tx>
            <c:strRef>
              <c:f>NEET!$AL$42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NEET!$Z$2:$AD$3</c:f>
              <c:strCache>
                <c:ptCount val="5"/>
                <c:pt idx="0">
                  <c:v>2015-16</c:v>
                </c:pt>
                <c:pt idx="1">
                  <c:v>2016-17</c:v>
                </c:pt>
                <c:pt idx="2">
                  <c:v>2017-18</c:v>
                </c:pt>
                <c:pt idx="3">
                  <c:v>2018-19</c:v>
                </c:pt>
                <c:pt idx="4">
                  <c:v>2019-20</c:v>
                </c:pt>
              </c:strCache>
            </c:strRef>
          </c:cat>
          <c:val>
            <c:numRef>
              <c:f>NEET!$AM$42:$AQ$42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8F80-40EE-ABE9-A4E01CE95B98}"/>
            </c:ext>
          </c:extLst>
        </c:ser>
        <c:ser>
          <c:idx val="2"/>
          <c:order val="2"/>
          <c:tx>
            <c:strRef>
              <c:f>NEET!$AL$43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NEET!$Z$2:$AD$3</c:f>
              <c:strCache>
                <c:ptCount val="5"/>
                <c:pt idx="0">
                  <c:v>2015-16</c:v>
                </c:pt>
                <c:pt idx="1">
                  <c:v>2016-17</c:v>
                </c:pt>
                <c:pt idx="2">
                  <c:v>2017-18</c:v>
                </c:pt>
                <c:pt idx="3">
                  <c:v>2018-19</c:v>
                </c:pt>
                <c:pt idx="4">
                  <c:v>2019-20</c:v>
                </c:pt>
              </c:strCache>
            </c:strRef>
          </c:cat>
          <c:val>
            <c:numRef>
              <c:f>NEET!$AM$43:$AQ$43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8F80-40EE-ABE9-A4E01CE95B98}"/>
            </c:ext>
          </c:extLst>
        </c:ser>
        <c:ser>
          <c:idx val="5"/>
          <c:order val="3"/>
          <c:tx>
            <c:strRef>
              <c:f>NEET!$AL$44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NEET!$Z$2:$AD$3</c:f>
              <c:strCache>
                <c:ptCount val="5"/>
                <c:pt idx="0">
                  <c:v>2015-16</c:v>
                </c:pt>
                <c:pt idx="1">
                  <c:v>2016-17</c:v>
                </c:pt>
                <c:pt idx="2">
                  <c:v>2017-18</c:v>
                </c:pt>
                <c:pt idx="3">
                  <c:v>2018-19</c:v>
                </c:pt>
                <c:pt idx="4">
                  <c:v>2019-20</c:v>
                </c:pt>
              </c:strCache>
            </c:strRef>
          </c:cat>
          <c:val>
            <c:numRef>
              <c:f>NEET!$AM$44:$AQ$44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8F80-40EE-ABE9-A4E01CE95B98}"/>
            </c:ext>
          </c:extLst>
        </c:ser>
        <c:ser>
          <c:idx val="9"/>
          <c:order val="4"/>
          <c:tx>
            <c:strRef>
              <c:f>NEET!$AL$45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NEET!$Z$2:$AD$3</c:f>
              <c:strCache>
                <c:ptCount val="5"/>
                <c:pt idx="0">
                  <c:v>2015-16</c:v>
                </c:pt>
                <c:pt idx="1">
                  <c:v>2016-17</c:v>
                </c:pt>
                <c:pt idx="2">
                  <c:v>2017-18</c:v>
                </c:pt>
                <c:pt idx="3">
                  <c:v>2018-19</c:v>
                </c:pt>
                <c:pt idx="4">
                  <c:v>2019-20</c:v>
                </c:pt>
              </c:strCache>
            </c:strRef>
          </c:cat>
          <c:val>
            <c:numRef>
              <c:f>NEET!$AM$45:$AQ$45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8F80-40EE-ABE9-A4E01CE95B98}"/>
            </c:ext>
          </c:extLst>
        </c:ser>
        <c:ser>
          <c:idx val="10"/>
          <c:order val="5"/>
          <c:tx>
            <c:strRef>
              <c:f>NEET!$AL$46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NEET!$Z$2:$AD$3</c:f>
              <c:strCache>
                <c:ptCount val="5"/>
                <c:pt idx="0">
                  <c:v>2015-16</c:v>
                </c:pt>
                <c:pt idx="1">
                  <c:v>2016-17</c:v>
                </c:pt>
                <c:pt idx="2">
                  <c:v>2017-18</c:v>
                </c:pt>
                <c:pt idx="3">
                  <c:v>2018-19</c:v>
                </c:pt>
                <c:pt idx="4">
                  <c:v>2019-20</c:v>
                </c:pt>
              </c:strCache>
            </c:strRef>
          </c:cat>
          <c:val>
            <c:numRef>
              <c:f>NEET!$AM$46:$AQ$46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8F80-40EE-ABE9-A4E01CE95B98}"/>
            </c:ext>
          </c:extLst>
        </c:ser>
        <c:ser>
          <c:idx val="11"/>
          <c:order val="6"/>
          <c:tx>
            <c:strRef>
              <c:f>NEET!$AL$47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NEET!$Z$2:$AD$3</c:f>
              <c:strCache>
                <c:ptCount val="5"/>
                <c:pt idx="0">
                  <c:v>2015-16</c:v>
                </c:pt>
                <c:pt idx="1">
                  <c:v>2016-17</c:v>
                </c:pt>
                <c:pt idx="2">
                  <c:v>2017-18</c:v>
                </c:pt>
                <c:pt idx="3">
                  <c:v>2018-19</c:v>
                </c:pt>
                <c:pt idx="4">
                  <c:v>2019-20</c:v>
                </c:pt>
              </c:strCache>
            </c:strRef>
          </c:cat>
          <c:val>
            <c:numRef>
              <c:f>NEET!$AM$47:$AQ$47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8F80-40EE-ABE9-A4E01CE95B98}"/>
            </c:ext>
          </c:extLst>
        </c:ser>
        <c:ser>
          <c:idx val="12"/>
          <c:order val="7"/>
          <c:tx>
            <c:strRef>
              <c:f>NEET!$AL$48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NEET!$Z$2:$AD$3</c:f>
              <c:strCache>
                <c:ptCount val="5"/>
                <c:pt idx="0">
                  <c:v>2015-16</c:v>
                </c:pt>
                <c:pt idx="1">
                  <c:v>2016-17</c:v>
                </c:pt>
                <c:pt idx="2">
                  <c:v>2017-18</c:v>
                </c:pt>
                <c:pt idx="3">
                  <c:v>2018-19</c:v>
                </c:pt>
                <c:pt idx="4">
                  <c:v>2019-20</c:v>
                </c:pt>
              </c:strCache>
            </c:strRef>
          </c:cat>
          <c:val>
            <c:numRef>
              <c:f>NEET!$AM$48:$AQ$48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8F80-40EE-ABE9-A4E01CE95B98}"/>
            </c:ext>
          </c:extLst>
        </c:ser>
        <c:ser>
          <c:idx val="13"/>
          <c:order val="8"/>
          <c:tx>
            <c:strRef>
              <c:f>NEET!$AL$49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NEET!$Z$2:$AD$3</c:f>
              <c:strCache>
                <c:ptCount val="5"/>
                <c:pt idx="0">
                  <c:v>2015-16</c:v>
                </c:pt>
                <c:pt idx="1">
                  <c:v>2016-17</c:v>
                </c:pt>
                <c:pt idx="2">
                  <c:v>2017-18</c:v>
                </c:pt>
                <c:pt idx="3">
                  <c:v>2018-19</c:v>
                </c:pt>
                <c:pt idx="4">
                  <c:v>2019-20</c:v>
                </c:pt>
              </c:strCache>
            </c:strRef>
          </c:cat>
          <c:val>
            <c:numRef>
              <c:f>NEET!$AM$49:$AQ$49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8F80-40EE-ABE9-A4E01CE95B98}"/>
            </c:ext>
          </c:extLst>
        </c:ser>
        <c:ser>
          <c:idx val="15"/>
          <c:order val="9"/>
          <c:tx>
            <c:strRef>
              <c:f>NEET!$AL$50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NEET!$Z$2:$AD$3</c:f>
              <c:strCache>
                <c:ptCount val="5"/>
                <c:pt idx="0">
                  <c:v>2015-16</c:v>
                </c:pt>
                <c:pt idx="1">
                  <c:v>2016-17</c:v>
                </c:pt>
                <c:pt idx="2">
                  <c:v>2017-18</c:v>
                </c:pt>
                <c:pt idx="3">
                  <c:v>2018-19</c:v>
                </c:pt>
                <c:pt idx="4">
                  <c:v>2019-20</c:v>
                </c:pt>
              </c:strCache>
            </c:strRef>
          </c:cat>
          <c:val>
            <c:numRef>
              <c:f>NEET!$AM$50:$AQ$50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8F80-40EE-ABE9-A4E01CE95B98}"/>
            </c:ext>
          </c:extLst>
        </c:ser>
        <c:ser>
          <c:idx val="16"/>
          <c:order val="10"/>
          <c:tx>
            <c:strRef>
              <c:f>NEET!$AL$51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NEET!$Z$2:$AD$3</c:f>
              <c:strCache>
                <c:ptCount val="5"/>
                <c:pt idx="0">
                  <c:v>2015-16</c:v>
                </c:pt>
                <c:pt idx="1">
                  <c:v>2016-17</c:v>
                </c:pt>
                <c:pt idx="2">
                  <c:v>2017-18</c:v>
                </c:pt>
                <c:pt idx="3">
                  <c:v>2018-19</c:v>
                </c:pt>
                <c:pt idx="4">
                  <c:v>2019-20</c:v>
                </c:pt>
              </c:strCache>
            </c:strRef>
          </c:cat>
          <c:val>
            <c:numRef>
              <c:f>NEET!$AM$51:$AQ$51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8F80-40EE-ABE9-A4E01CE95B98}"/>
            </c:ext>
          </c:extLst>
        </c:ser>
        <c:ser>
          <c:idx val="17"/>
          <c:order val="11"/>
          <c:tx>
            <c:strRef>
              <c:f>NEET!$AL$52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NEET!$Z$2:$AD$3</c:f>
              <c:strCache>
                <c:ptCount val="5"/>
                <c:pt idx="0">
                  <c:v>2015-16</c:v>
                </c:pt>
                <c:pt idx="1">
                  <c:v>2016-17</c:v>
                </c:pt>
                <c:pt idx="2">
                  <c:v>2017-18</c:v>
                </c:pt>
                <c:pt idx="3">
                  <c:v>2018-19</c:v>
                </c:pt>
                <c:pt idx="4">
                  <c:v>2019-20</c:v>
                </c:pt>
              </c:strCache>
            </c:strRef>
          </c:cat>
          <c:val>
            <c:numRef>
              <c:f>NEET!$AM$52:$AQ$52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8F80-40EE-ABE9-A4E01CE95B98}"/>
            </c:ext>
          </c:extLst>
        </c:ser>
        <c:ser>
          <c:idx val="19"/>
          <c:order val="12"/>
          <c:tx>
            <c:strRef>
              <c:f>NEET!$AL$53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NEET!$Z$2:$AD$3</c:f>
              <c:strCache>
                <c:ptCount val="5"/>
                <c:pt idx="0">
                  <c:v>2015-16</c:v>
                </c:pt>
                <c:pt idx="1">
                  <c:v>2016-17</c:v>
                </c:pt>
                <c:pt idx="2">
                  <c:v>2017-18</c:v>
                </c:pt>
                <c:pt idx="3">
                  <c:v>2018-19</c:v>
                </c:pt>
                <c:pt idx="4">
                  <c:v>2019-20</c:v>
                </c:pt>
              </c:strCache>
            </c:strRef>
          </c:cat>
          <c:val>
            <c:numRef>
              <c:f>NEET!$AM$53:$AQ$53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8F80-40EE-ABE9-A4E01CE95B98}"/>
            </c:ext>
          </c:extLst>
        </c:ser>
        <c:ser>
          <c:idx val="3"/>
          <c:order val="13"/>
          <c:tx>
            <c:strRef>
              <c:f>NEET!$AL$54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NEET!$Z$2:$AD$3</c:f>
              <c:strCache>
                <c:ptCount val="5"/>
                <c:pt idx="0">
                  <c:v>2015-16</c:v>
                </c:pt>
                <c:pt idx="1">
                  <c:v>2016-17</c:v>
                </c:pt>
                <c:pt idx="2">
                  <c:v>2017-18</c:v>
                </c:pt>
                <c:pt idx="3">
                  <c:v>2018-19</c:v>
                </c:pt>
                <c:pt idx="4">
                  <c:v>2019-20</c:v>
                </c:pt>
              </c:strCache>
            </c:strRef>
          </c:cat>
          <c:val>
            <c:numRef>
              <c:f>NEET!$AM$54:$AQ$54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8F80-40EE-ABE9-A4E01CE95B98}"/>
            </c:ext>
          </c:extLst>
        </c:ser>
        <c:ser>
          <c:idx val="20"/>
          <c:order val="14"/>
          <c:tx>
            <c:strRef>
              <c:f>NEET!$AL$55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NEET!$Z$2:$AD$3</c:f>
              <c:strCache>
                <c:ptCount val="5"/>
                <c:pt idx="0">
                  <c:v>2015-16</c:v>
                </c:pt>
                <c:pt idx="1">
                  <c:v>2016-17</c:v>
                </c:pt>
                <c:pt idx="2">
                  <c:v>2017-18</c:v>
                </c:pt>
                <c:pt idx="3">
                  <c:v>2018-19</c:v>
                </c:pt>
                <c:pt idx="4">
                  <c:v>2019-20</c:v>
                </c:pt>
              </c:strCache>
            </c:strRef>
          </c:cat>
          <c:val>
            <c:numRef>
              <c:f>NEET!$AM$55:$AQ$55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8F80-40EE-ABE9-A4E01CE95B98}"/>
            </c:ext>
          </c:extLst>
        </c:ser>
        <c:ser>
          <c:idx val="22"/>
          <c:order val="15"/>
          <c:tx>
            <c:strRef>
              <c:f>NEET!$AL$56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NEET!$Z$2:$AD$3</c:f>
              <c:strCache>
                <c:ptCount val="5"/>
                <c:pt idx="0">
                  <c:v>2015-16</c:v>
                </c:pt>
                <c:pt idx="1">
                  <c:v>2016-17</c:v>
                </c:pt>
                <c:pt idx="2">
                  <c:v>2017-18</c:v>
                </c:pt>
                <c:pt idx="3">
                  <c:v>2018-19</c:v>
                </c:pt>
                <c:pt idx="4">
                  <c:v>2019-20</c:v>
                </c:pt>
              </c:strCache>
            </c:strRef>
          </c:cat>
          <c:val>
            <c:numRef>
              <c:f>NEET!$AM$56:$AQ$56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8F80-40EE-ABE9-A4E01CE95B98}"/>
            </c:ext>
          </c:extLst>
        </c:ser>
        <c:ser>
          <c:idx val="7"/>
          <c:order val="16"/>
          <c:tx>
            <c:strRef>
              <c:f>NEET!$AL$57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NEET!$Z$2:$AD$3</c:f>
              <c:strCache>
                <c:ptCount val="5"/>
                <c:pt idx="0">
                  <c:v>2015-16</c:v>
                </c:pt>
                <c:pt idx="1">
                  <c:v>2016-17</c:v>
                </c:pt>
                <c:pt idx="2">
                  <c:v>2017-18</c:v>
                </c:pt>
                <c:pt idx="3">
                  <c:v>2018-19</c:v>
                </c:pt>
                <c:pt idx="4">
                  <c:v>2019-20</c:v>
                </c:pt>
              </c:strCache>
            </c:strRef>
          </c:cat>
          <c:val>
            <c:numRef>
              <c:f>NEET!$AM$57:$AQ$57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8F80-40EE-ABE9-A4E01CE95B98}"/>
            </c:ext>
          </c:extLst>
        </c:ser>
        <c:ser>
          <c:idx val="8"/>
          <c:order val="17"/>
          <c:tx>
            <c:strRef>
              <c:f>NEET!$AL$58</c:f>
              <c:strCache>
                <c:ptCount val="1"/>
                <c:pt idx="0">
                  <c:v>Torbay</c:v>
                </c:pt>
              </c:strCache>
            </c:strRef>
          </c:tx>
          <c:spPr>
            <a:ln w="12700"/>
          </c:spPr>
          <c:marker>
            <c:symbol val="circle"/>
            <c:size val="5"/>
            <c:spPr>
              <a:solidFill>
                <a:schemeClr val="accent3">
                  <a:lumMod val="20000"/>
                  <a:lumOff val="80000"/>
                </a:schemeClr>
              </a:solidFill>
            </c:spPr>
          </c:marker>
          <c:cat>
            <c:strRef>
              <c:f>NEET!$Z$2:$AD$3</c:f>
              <c:strCache>
                <c:ptCount val="5"/>
                <c:pt idx="0">
                  <c:v>2015-16</c:v>
                </c:pt>
                <c:pt idx="1">
                  <c:v>2016-17</c:v>
                </c:pt>
                <c:pt idx="2">
                  <c:v>2017-18</c:v>
                </c:pt>
                <c:pt idx="3">
                  <c:v>2018-19</c:v>
                </c:pt>
                <c:pt idx="4">
                  <c:v>2019-20</c:v>
                </c:pt>
              </c:strCache>
            </c:strRef>
          </c:cat>
          <c:val>
            <c:numRef>
              <c:f>NEET!$AM$58:$AQ$58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8F80-40EE-ABE9-A4E01CE95B98}"/>
            </c:ext>
          </c:extLst>
        </c:ser>
        <c:ser>
          <c:idx val="23"/>
          <c:order val="18"/>
          <c:tx>
            <c:strRef>
              <c:f>NEET!$AL$59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NEET!$Z$2:$AD$3</c:f>
              <c:strCache>
                <c:ptCount val="5"/>
                <c:pt idx="0">
                  <c:v>2015-16</c:v>
                </c:pt>
                <c:pt idx="1">
                  <c:v>2016-17</c:v>
                </c:pt>
                <c:pt idx="2">
                  <c:v>2017-18</c:v>
                </c:pt>
                <c:pt idx="3">
                  <c:v>2018-19</c:v>
                </c:pt>
                <c:pt idx="4">
                  <c:v>2019-20</c:v>
                </c:pt>
              </c:strCache>
            </c:strRef>
          </c:cat>
          <c:val>
            <c:numRef>
              <c:f>NEET!$AM$59:$AQ$59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8F80-40EE-ABE9-A4E01CE95B98}"/>
            </c:ext>
          </c:extLst>
        </c:ser>
        <c:ser>
          <c:idx val="24"/>
          <c:order val="19"/>
          <c:tx>
            <c:strRef>
              <c:f>NEET!$AL$60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NEET!$Z$2:$AD$3</c:f>
              <c:strCache>
                <c:ptCount val="5"/>
                <c:pt idx="0">
                  <c:v>2015-16</c:v>
                </c:pt>
                <c:pt idx="1">
                  <c:v>2016-17</c:v>
                </c:pt>
                <c:pt idx="2">
                  <c:v>2017-18</c:v>
                </c:pt>
                <c:pt idx="3">
                  <c:v>2018-19</c:v>
                </c:pt>
                <c:pt idx="4">
                  <c:v>2019-20</c:v>
                </c:pt>
              </c:strCache>
            </c:strRef>
          </c:cat>
          <c:val>
            <c:numRef>
              <c:f>NEET!$AM$60:$AQ$60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8F80-40EE-ABE9-A4E01CE95B98}"/>
            </c:ext>
          </c:extLst>
        </c:ser>
        <c:ser>
          <c:idx val="25"/>
          <c:order val="20"/>
          <c:tx>
            <c:strRef>
              <c:f>NEET!$AL$61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NEET!$Z$2:$AD$3</c:f>
              <c:strCache>
                <c:ptCount val="5"/>
                <c:pt idx="0">
                  <c:v>2015-16</c:v>
                </c:pt>
                <c:pt idx="1">
                  <c:v>2016-17</c:v>
                </c:pt>
                <c:pt idx="2">
                  <c:v>2017-18</c:v>
                </c:pt>
                <c:pt idx="3">
                  <c:v>2018-19</c:v>
                </c:pt>
                <c:pt idx="4">
                  <c:v>2019-20</c:v>
                </c:pt>
              </c:strCache>
            </c:strRef>
          </c:cat>
          <c:val>
            <c:numRef>
              <c:f>NEET!$AM$61:$AQ$61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8F80-40EE-ABE9-A4E01CE95B98}"/>
            </c:ext>
          </c:extLst>
        </c:ser>
        <c:ser>
          <c:idx val="26"/>
          <c:order val="21"/>
          <c:tx>
            <c:strRef>
              <c:f>NEET!$AL$62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NEET!$Z$2:$AD$3</c:f>
              <c:strCache>
                <c:ptCount val="5"/>
                <c:pt idx="0">
                  <c:v>2015-16</c:v>
                </c:pt>
                <c:pt idx="1">
                  <c:v>2016-17</c:v>
                </c:pt>
                <c:pt idx="2">
                  <c:v>2017-18</c:v>
                </c:pt>
                <c:pt idx="3">
                  <c:v>2018-19</c:v>
                </c:pt>
                <c:pt idx="4">
                  <c:v>2019-20</c:v>
                </c:pt>
              </c:strCache>
            </c:strRef>
          </c:cat>
          <c:val>
            <c:numRef>
              <c:f>NEET!$AM$62:$AQ$62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8F80-40EE-ABE9-A4E01CE95B98}"/>
            </c:ext>
          </c:extLst>
        </c:ser>
        <c:ser>
          <c:idx val="4"/>
          <c:order val="22"/>
          <c:tx>
            <c:strRef>
              <c:f>NEET!$AL$63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NEET!$Z$2:$AD$3</c:f>
              <c:strCache>
                <c:ptCount val="5"/>
                <c:pt idx="0">
                  <c:v>2015-16</c:v>
                </c:pt>
                <c:pt idx="1">
                  <c:v>2016-17</c:v>
                </c:pt>
                <c:pt idx="2">
                  <c:v>2017-18</c:v>
                </c:pt>
                <c:pt idx="3">
                  <c:v>2018-19</c:v>
                </c:pt>
                <c:pt idx="4">
                  <c:v>2019-20</c:v>
                </c:pt>
              </c:strCache>
            </c:strRef>
          </c:cat>
          <c:val>
            <c:numRef>
              <c:f>NEET!$AM$63:$AQ$63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8F80-40EE-ABE9-A4E01CE95B98}"/>
            </c:ext>
          </c:extLst>
        </c:ser>
        <c:ser>
          <c:idx val="14"/>
          <c:order val="23"/>
          <c:tx>
            <c:strRef>
              <c:f>NEET!$AL$64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NEET!$Z$2:$AD$3</c:f>
              <c:strCache>
                <c:ptCount val="5"/>
                <c:pt idx="0">
                  <c:v>2015-16</c:v>
                </c:pt>
                <c:pt idx="1">
                  <c:v>2016-17</c:v>
                </c:pt>
                <c:pt idx="2">
                  <c:v>2017-18</c:v>
                </c:pt>
                <c:pt idx="3">
                  <c:v>2018-19</c:v>
                </c:pt>
                <c:pt idx="4">
                  <c:v>2019-20</c:v>
                </c:pt>
              </c:strCache>
            </c:strRef>
          </c:cat>
          <c:val>
            <c:numRef>
              <c:f>NEET!$AM$64:$AQ$64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8F80-40EE-ABE9-A4E01CE95B98}"/>
            </c:ext>
          </c:extLst>
        </c:ser>
        <c:ser>
          <c:idx val="6"/>
          <c:order val="24"/>
          <c:tx>
            <c:strRef>
              <c:f>NEET!$AL$65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NEET!$Z$2:$AD$3</c:f>
              <c:strCache>
                <c:ptCount val="5"/>
                <c:pt idx="0">
                  <c:v>2015-16</c:v>
                </c:pt>
                <c:pt idx="1">
                  <c:v>2016-17</c:v>
                </c:pt>
                <c:pt idx="2">
                  <c:v>2017-18</c:v>
                </c:pt>
                <c:pt idx="3">
                  <c:v>2018-19</c:v>
                </c:pt>
                <c:pt idx="4">
                  <c:v>2019-20</c:v>
                </c:pt>
              </c:strCache>
            </c:strRef>
          </c:cat>
          <c:val>
            <c:numRef>
              <c:f>NEET!$AM$65:$AQ$65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8F80-40EE-ABE9-A4E01CE95B98}"/>
            </c:ext>
          </c:extLst>
        </c:ser>
        <c:dLbls>
          <c:showLegendKey val="0"/>
          <c:showVal val="0"/>
          <c:showCatName val="0"/>
          <c:showSerName val="0"/>
          <c:showPercent val="0"/>
          <c:showBubbleSize val="0"/>
        </c:dLbls>
        <c:marker val="1"/>
        <c:smooth val="0"/>
        <c:axId val="673622272"/>
        <c:axId val="673636736"/>
      </c:lineChart>
      <c:catAx>
        <c:axId val="673622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636736"/>
        <c:crosses val="autoZero"/>
        <c:auto val="1"/>
        <c:lblAlgn val="ctr"/>
        <c:lblOffset val="100"/>
        <c:tickLblSkip val="1"/>
        <c:tickMarkSkip val="1"/>
        <c:noMultiLvlLbl val="0"/>
      </c:catAx>
      <c:valAx>
        <c:axId val="673636736"/>
        <c:scaling>
          <c:orientation val="minMax"/>
          <c:max val="1.02"/>
          <c:min val="0"/>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6222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9104275477832131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of Young People aged 16-17 who are EET </a:t>
            </a:r>
          </a:p>
          <a:p>
            <a:pPr>
              <a:defRPr sz="1000" b="1" i="0" u="none" strike="noStrike" baseline="0">
                <a:solidFill>
                  <a:srgbClr val="000000"/>
                </a:solidFill>
                <a:latin typeface="Arial"/>
                <a:ea typeface="Arial"/>
                <a:cs typeface="Arial"/>
              </a:defRPr>
            </a:pPr>
            <a:r>
              <a:rPr lang="en-GB" sz="1000" b="1" i="0" u="none" strike="noStrike" baseline="0">
                <a:effectLst/>
              </a:rPr>
              <a:t> </a:t>
            </a:r>
            <a:r>
              <a:rPr lang="en-GB"/>
              <a:t>(Selected LA</a:t>
            </a:r>
            <a:r>
              <a:rPr lang="en-GB" baseline="0"/>
              <a:t> vs. SE)</a:t>
            </a:r>
            <a:r>
              <a:rPr lang="en-GB"/>
              <a:t> </a:t>
            </a:r>
          </a:p>
        </c:rich>
      </c:tx>
      <c:layout>
        <c:manualLayout>
          <c:xMode val="edge"/>
          <c:yMode val="edge"/>
          <c:x val="0.20120297462817147"/>
          <c:y val="3.8613923259592556E-3"/>
        </c:manualLayout>
      </c:layout>
      <c:overlay val="0"/>
      <c:spPr>
        <a:noFill/>
        <a:ln w="25400">
          <a:noFill/>
        </a:ln>
      </c:spPr>
    </c:title>
    <c:autoTitleDeleted val="0"/>
    <c:plotArea>
      <c:layout>
        <c:manualLayout>
          <c:layoutTarget val="inner"/>
          <c:xMode val="edge"/>
          <c:yMode val="edge"/>
          <c:x val="9.6909984154078643E-2"/>
          <c:y val="0.21104924384451942"/>
          <c:w val="0.65146216862752293"/>
          <c:h val="0.55722847144106991"/>
        </c:manualLayout>
      </c:layout>
      <c:barChart>
        <c:barDir val="col"/>
        <c:grouping val="clustered"/>
        <c:varyColors val="0"/>
        <c:ser>
          <c:idx val="6"/>
          <c:order val="0"/>
          <c:tx>
            <c:strRef>
              <c:f>NEET!$AA$4</c:f>
              <c:strCache>
                <c:ptCount val="1"/>
                <c:pt idx="0">
                  <c:v>Selected LA- (none)</c:v>
                </c:pt>
              </c:strCache>
            </c:strRef>
          </c:tx>
          <c:spPr>
            <a:solidFill>
              <a:srgbClr val="66FF99"/>
            </a:solidFill>
            <a:ln>
              <a:solidFill>
                <a:schemeClr val="tx1">
                  <a:lumMod val="75000"/>
                  <a:lumOff val="25000"/>
                </a:schemeClr>
              </a:solidFill>
            </a:ln>
          </c:spPr>
          <c:invertIfNegative val="0"/>
          <c:cat>
            <c:strRef>
              <c:f>NEET!$Z$2:$AD$3</c:f>
              <c:strCache>
                <c:ptCount val="5"/>
                <c:pt idx="0">
                  <c:v>2015-16</c:v>
                </c:pt>
                <c:pt idx="1">
                  <c:v>2016-17</c:v>
                </c:pt>
                <c:pt idx="2">
                  <c:v>2017-18</c:v>
                </c:pt>
                <c:pt idx="3">
                  <c:v>2018-19</c:v>
                </c:pt>
                <c:pt idx="4">
                  <c:v>2019-20</c:v>
                </c:pt>
              </c:strCache>
            </c:strRef>
          </c:cat>
          <c:val>
            <c:numRef>
              <c:f>NEET!$AM$65:$AQ$65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C05C-4C16-8C23-BB33F835B540}"/>
            </c:ext>
          </c:extLst>
        </c:ser>
        <c:ser>
          <c:idx val="4"/>
          <c:order val="1"/>
          <c:tx>
            <c:strRef>
              <c:f>NEET!$B$32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NEET!$Z$2:$AD$3</c:f>
              <c:strCache>
                <c:ptCount val="5"/>
                <c:pt idx="0">
                  <c:v>2015-16</c:v>
                </c:pt>
                <c:pt idx="1">
                  <c:v>2016-17</c:v>
                </c:pt>
                <c:pt idx="2">
                  <c:v>2017-18</c:v>
                </c:pt>
                <c:pt idx="3">
                  <c:v>2018-19</c:v>
                </c:pt>
                <c:pt idx="4">
                  <c:v>2019-20</c:v>
                </c:pt>
              </c:strCache>
            </c:strRef>
          </c:cat>
          <c:val>
            <c:numRef>
              <c:f>NEET!$K$32:$O$32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C05C-4C16-8C23-BB33F835B540}"/>
            </c:ext>
          </c:extLst>
        </c:ser>
        <c:ser>
          <c:idx val="0"/>
          <c:order val="2"/>
          <c:tx>
            <c:strRef>
              <c:f>NEET!$B$33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NEET!$Z$2:$AD$3</c:f>
              <c:strCache>
                <c:ptCount val="5"/>
                <c:pt idx="0">
                  <c:v>2015-16</c:v>
                </c:pt>
                <c:pt idx="1">
                  <c:v>2016-17</c:v>
                </c:pt>
                <c:pt idx="2">
                  <c:v>2017-18</c:v>
                </c:pt>
                <c:pt idx="3">
                  <c:v>2018-19</c:v>
                </c:pt>
                <c:pt idx="4">
                  <c:v>2019-20</c:v>
                </c:pt>
              </c:strCache>
            </c:strRef>
          </c:cat>
          <c:val>
            <c:numRef>
              <c:f>NEET!$K$33:$O$33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2-C05C-4C16-8C23-BB33F835B540}"/>
            </c:ext>
          </c:extLst>
        </c:ser>
        <c:dLbls>
          <c:showLegendKey val="0"/>
          <c:showVal val="0"/>
          <c:showCatName val="0"/>
          <c:showSerName val="0"/>
          <c:showPercent val="0"/>
          <c:showBubbleSize val="0"/>
        </c:dLbls>
        <c:gapWidth val="100"/>
        <c:axId val="663800064"/>
        <c:axId val="663810048"/>
      </c:barChart>
      <c:catAx>
        <c:axId val="663800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810048"/>
        <c:crosses val="autoZero"/>
        <c:auto val="1"/>
        <c:lblAlgn val="ctr"/>
        <c:lblOffset val="100"/>
        <c:noMultiLvlLbl val="0"/>
      </c:catAx>
      <c:valAx>
        <c:axId val="6638100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80006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396498341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YP aged 16-17 whose current activity is Unknown (Selected LA</a:t>
            </a:r>
            <a:r>
              <a:rPr lang="en-GB" sz="900" baseline="0"/>
              <a:t> vs. SE &amp; National)</a:t>
            </a:r>
            <a:r>
              <a:rPr lang="en-GB" sz="900"/>
              <a:t> </a:t>
            </a:r>
          </a:p>
        </c:rich>
      </c:tx>
      <c:layout>
        <c:manualLayout>
          <c:xMode val="edge"/>
          <c:yMode val="edge"/>
          <c:x val="0.15254252677874724"/>
          <c:y val="3.8613355148788219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NEET!$AA$4</c:f>
              <c:strCache>
                <c:ptCount val="1"/>
                <c:pt idx="0">
                  <c:v>Selected LA- (none)</c:v>
                </c:pt>
              </c:strCache>
            </c:strRef>
          </c:tx>
          <c:spPr>
            <a:solidFill>
              <a:srgbClr val="66FF99"/>
            </a:solidFill>
            <a:ln>
              <a:solidFill>
                <a:schemeClr val="tx1">
                  <a:lumMod val="75000"/>
                  <a:lumOff val="25000"/>
                </a:schemeClr>
              </a:solidFill>
            </a:ln>
          </c:spPr>
          <c:invertIfNegative val="0"/>
          <c:cat>
            <c:strRef>
              <c:f>NEET!$Z$2:$AD$3</c:f>
              <c:strCache>
                <c:ptCount val="5"/>
                <c:pt idx="0">
                  <c:v>2015-16</c:v>
                </c:pt>
                <c:pt idx="1">
                  <c:v>2016-17</c:v>
                </c:pt>
                <c:pt idx="2">
                  <c:v>2017-18</c:v>
                </c:pt>
                <c:pt idx="3">
                  <c:v>2018-19</c:v>
                </c:pt>
                <c:pt idx="4">
                  <c:v>2019-20</c:v>
                </c:pt>
              </c:strCache>
            </c:strRef>
          </c:cat>
          <c:val>
            <c:numRef>
              <c:f>NEET!$AX$65:$BB$65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BAA9-403E-ABD7-6D3657C6447B}"/>
            </c:ext>
          </c:extLst>
        </c:ser>
        <c:ser>
          <c:idx val="4"/>
          <c:order val="1"/>
          <c:tx>
            <c:strRef>
              <c:f>NEET!$B$135</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NEET!$Z$2:$AD$3</c:f>
              <c:strCache>
                <c:ptCount val="5"/>
                <c:pt idx="0">
                  <c:v>2015-16</c:v>
                </c:pt>
                <c:pt idx="1">
                  <c:v>2016-17</c:v>
                </c:pt>
                <c:pt idx="2">
                  <c:v>2017-18</c:v>
                </c:pt>
                <c:pt idx="3">
                  <c:v>2018-19</c:v>
                </c:pt>
                <c:pt idx="4">
                  <c:v>2019-20</c:v>
                </c:pt>
              </c:strCache>
            </c:strRef>
          </c:cat>
          <c:val>
            <c:numRef>
              <c:f>NEET!$D$135:$H$135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BAA9-403E-ABD7-6D3657C6447B}"/>
            </c:ext>
          </c:extLst>
        </c:ser>
        <c:ser>
          <c:idx val="0"/>
          <c:order val="2"/>
          <c:tx>
            <c:strRef>
              <c:f>NEET!$B$136</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NEET!$Z$2:$AD$3</c:f>
              <c:strCache>
                <c:ptCount val="5"/>
                <c:pt idx="0">
                  <c:v>2015-16</c:v>
                </c:pt>
                <c:pt idx="1">
                  <c:v>2016-17</c:v>
                </c:pt>
                <c:pt idx="2">
                  <c:v>2017-18</c:v>
                </c:pt>
                <c:pt idx="3">
                  <c:v>2018-19</c:v>
                </c:pt>
                <c:pt idx="4">
                  <c:v>2019-20</c:v>
                </c:pt>
              </c:strCache>
            </c:strRef>
          </c:cat>
          <c:val>
            <c:numRef>
              <c:f>NEET!$D$136:$H$136</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BAA9-403E-ABD7-6D3657C6447B}"/>
            </c:ext>
          </c:extLst>
        </c:ser>
        <c:dLbls>
          <c:showLegendKey val="0"/>
          <c:showVal val="0"/>
          <c:showCatName val="0"/>
          <c:showSerName val="0"/>
          <c:showPercent val="0"/>
          <c:showBubbleSize val="0"/>
        </c:dLbls>
        <c:gapWidth val="100"/>
        <c:axId val="673392128"/>
        <c:axId val="673393664"/>
      </c:barChart>
      <c:catAx>
        <c:axId val="673392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393664"/>
        <c:crosses val="autoZero"/>
        <c:auto val="1"/>
        <c:lblAlgn val="ctr"/>
        <c:lblOffset val="100"/>
        <c:noMultiLvlLbl val="0"/>
      </c:catAx>
      <c:valAx>
        <c:axId val="67339366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39212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733108361454817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Young People aged 16-17 whose current activity is Unknown</a:t>
            </a:r>
          </a:p>
        </c:rich>
      </c:tx>
      <c:layout>
        <c:manualLayout>
          <c:xMode val="edge"/>
          <c:yMode val="edge"/>
          <c:x val="0.10820729280185006"/>
          <c:y val="1.86606798905174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NEET!$AL$41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0C8E-4510-BF08-1158411C38A9}"/>
              </c:ext>
            </c:extLst>
          </c:dPt>
          <c:cat>
            <c:strRef>
              <c:f>NEET!$Z$2:$AD$3</c:f>
              <c:strCache>
                <c:ptCount val="5"/>
                <c:pt idx="0">
                  <c:v>2015-16</c:v>
                </c:pt>
                <c:pt idx="1">
                  <c:v>2016-17</c:v>
                </c:pt>
                <c:pt idx="2">
                  <c:v>2017-18</c:v>
                </c:pt>
                <c:pt idx="3">
                  <c:v>2018-19</c:v>
                </c:pt>
                <c:pt idx="4">
                  <c:v>2019-20</c:v>
                </c:pt>
              </c:strCache>
            </c:strRef>
          </c:cat>
          <c:val>
            <c:numRef>
              <c:f>NEET!$AX$41:$BB$41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C8E-4510-BF08-1158411C38A9}"/>
            </c:ext>
          </c:extLst>
        </c:ser>
        <c:ser>
          <c:idx val="1"/>
          <c:order val="1"/>
          <c:tx>
            <c:strRef>
              <c:f>NEET!$AL$42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NEET!$Z$2:$AD$3</c:f>
              <c:strCache>
                <c:ptCount val="5"/>
                <c:pt idx="0">
                  <c:v>2015-16</c:v>
                </c:pt>
                <c:pt idx="1">
                  <c:v>2016-17</c:v>
                </c:pt>
                <c:pt idx="2">
                  <c:v>2017-18</c:v>
                </c:pt>
                <c:pt idx="3">
                  <c:v>2018-19</c:v>
                </c:pt>
                <c:pt idx="4">
                  <c:v>2019-20</c:v>
                </c:pt>
              </c:strCache>
            </c:strRef>
          </c:cat>
          <c:val>
            <c:numRef>
              <c:f>NEET!$AX$42:$BB$42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0C8E-4510-BF08-1158411C38A9}"/>
            </c:ext>
          </c:extLst>
        </c:ser>
        <c:ser>
          <c:idx val="2"/>
          <c:order val="2"/>
          <c:tx>
            <c:strRef>
              <c:f>NEET!$AL$43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NEET!$Z$2:$AD$3</c:f>
              <c:strCache>
                <c:ptCount val="5"/>
                <c:pt idx="0">
                  <c:v>2015-16</c:v>
                </c:pt>
                <c:pt idx="1">
                  <c:v>2016-17</c:v>
                </c:pt>
                <c:pt idx="2">
                  <c:v>2017-18</c:v>
                </c:pt>
                <c:pt idx="3">
                  <c:v>2018-19</c:v>
                </c:pt>
                <c:pt idx="4">
                  <c:v>2019-20</c:v>
                </c:pt>
              </c:strCache>
            </c:strRef>
          </c:cat>
          <c:val>
            <c:numRef>
              <c:f>NEET!$AX$43:$BB$43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0C8E-4510-BF08-1158411C38A9}"/>
            </c:ext>
          </c:extLst>
        </c:ser>
        <c:ser>
          <c:idx val="5"/>
          <c:order val="3"/>
          <c:tx>
            <c:strRef>
              <c:f>NEET!$AL$44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NEET!$Z$2:$AD$3</c:f>
              <c:strCache>
                <c:ptCount val="5"/>
                <c:pt idx="0">
                  <c:v>2015-16</c:v>
                </c:pt>
                <c:pt idx="1">
                  <c:v>2016-17</c:v>
                </c:pt>
                <c:pt idx="2">
                  <c:v>2017-18</c:v>
                </c:pt>
                <c:pt idx="3">
                  <c:v>2018-19</c:v>
                </c:pt>
                <c:pt idx="4">
                  <c:v>2019-20</c:v>
                </c:pt>
              </c:strCache>
            </c:strRef>
          </c:cat>
          <c:val>
            <c:numRef>
              <c:f>NEET!$AX$44:$BB$44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0C8E-4510-BF08-1158411C38A9}"/>
            </c:ext>
          </c:extLst>
        </c:ser>
        <c:ser>
          <c:idx val="9"/>
          <c:order val="4"/>
          <c:tx>
            <c:strRef>
              <c:f>NEET!$AL$45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NEET!$Z$2:$AD$3</c:f>
              <c:strCache>
                <c:ptCount val="5"/>
                <c:pt idx="0">
                  <c:v>2015-16</c:v>
                </c:pt>
                <c:pt idx="1">
                  <c:v>2016-17</c:v>
                </c:pt>
                <c:pt idx="2">
                  <c:v>2017-18</c:v>
                </c:pt>
                <c:pt idx="3">
                  <c:v>2018-19</c:v>
                </c:pt>
                <c:pt idx="4">
                  <c:v>2019-20</c:v>
                </c:pt>
              </c:strCache>
            </c:strRef>
          </c:cat>
          <c:val>
            <c:numRef>
              <c:f>NEET!$AX$45:$BB$45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0C8E-4510-BF08-1158411C38A9}"/>
            </c:ext>
          </c:extLst>
        </c:ser>
        <c:ser>
          <c:idx val="10"/>
          <c:order val="5"/>
          <c:tx>
            <c:strRef>
              <c:f>NEET!$AL$46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NEET!$Z$2:$AD$3</c:f>
              <c:strCache>
                <c:ptCount val="5"/>
                <c:pt idx="0">
                  <c:v>2015-16</c:v>
                </c:pt>
                <c:pt idx="1">
                  <c:v>2016-17</c:v>
                </c:pt>
                <c:pt idx="2">
                  <c:v>2017-18</c:v>
                </c:pt>
                <c:pt idx="3">
                  <c:v>2018-19</c:v>
                </c:pt>
                <c:pt idx="4">
                  <c:v>2019-20</c:v>
                </c:pt>
              </c:strCache>
            </c:strRef>
          </c:cat>
          <c:val>
            <c:numRef>
              <c:f>NEET!$AX$46:$BB$46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0C8E-4510-BF08-1158411C38A9}"/>
            </c:ext>
          </c:extLst>
        </c:ser>
        <c:ser>
          <c:idx val="11"/>
          <c:order val="6"/>
          <c:tx>
            <c:strRef>
              <c:f>NEET!$AL$47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NEET!$Z$2:$AD$3</c:f>
              <c:strCache>
                <c:ptCount val="5"/>
                <c:pt idx="0">
                  <c:v>2015-16</c:v>
                </c:pt>
                <c:pt idx="1">
                  <c:v>2016-17</c:v>
                </c:pt>
                <c:pt idx="2">
                  <c:v>2017-18</c:v>
                </c:pt>
                <c:pt idx="3">
                  <c:v>2018-19</c:v>
                </c:pt>
                <c:pt idx="4">
                  <c:v>2019-20</c:v>
                </c:pt>
              </c:strCache>
            </c:strRef>
          </c:cat>
          <c:val>
            <c:numRef>
              <c:f>NEET!$AX$47:$BB$47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0C8E-4510-BF08-1158411C38A9}"/>
            </c:ext>
          </c:extLst>
        </c:ser>
        <c:ser>
          <c:idx val="12"/>
          <c:order val="7"/>
          <c:tx>
            <c:strRef>
              <c:f>NEET!$AL$48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NEET!$Z$2:$AD$3</c:f>
              <c:strCache>
                <c:ptCount val="5"/>
                <c:pt idx="0">
                  <c:v>2015-16</c:v>
                </c:pt>
                <c:pt idx="1">
                  <c:v>2016-17</c:v>
                </c:pt>
                <c:pt idx="2">
                  <c:v>2017-18</c:v>
                </c:pt>
                <c:pt idx="3">
                  <c:v>2018-19</c:v>
                </c:pt>
                <c:pt idx="4">
                  <c:v>2019-20</c:v>
                </c:pt>
              </c:strCache>
            </c:strRef>
          </c:cat>
          <c:val>
            <c:numRef>
              <c:f>NEET!$AX$48:$BB$48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0C8E-4510-BF08-1158411C38A9}"/>
            </c:ext>
          </c:extLst>
        </c:ser>
        <c:ser>
          <c:idx val="13"/>
          <c:order val="8"/>
          <c:tx>
            <c:strRef>
              <c:f>NEET!$AL$49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NEET!$Z$2:$AD$3</c:f>
              <c:strCache>
                <c:ptCount val="5"/>
                <c:pt idx="0">
                  <c:v>2015-16</c:v>
                </c:pt>
                <c:pt idx="1">
                  <c:v>2016-17</c:v>
                </c:pt>
                <c:pt idx="2">
                  <c:v>2017-18</c:v>
                </c:pt>
                <c:pt idx="3">
                  <c:v>2018-19</c:v>
                </c:pt>
                <c:pt idx="4">
                  <c:v>2019-20</c:v>
                </c:pt>
              </c:strCache>
            </c:strRef>
          </c:cat>
          <c:val>
            <c:numRef>
              <c:f>NEET!$AX$49:$BB$49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0C8E-4510-BF08-1158411C38A9}"/>
            </c:ext>
          </c:extLst>
        </c:ser>
        <c:ser>
          <c:idx val="15"/>
          <c:order val="9"/>
          <c:tx>
            <c:strRef>
              <c:f>NEET!$AL$50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NEET!$Z$2:$AD$3</c:f>
              <c:strCache>
                <c:ptCount val="5"/>
                <c:pt idx="0">
                  <c:v>2015-16</c:v>
                </c:pt>
                <c:pt idx="1">
                  <c:v>2016-17</c:v>
                </c:pt>
                <c:pt idx="2">
                  <c:v>2017-18</c:v>
                </c:pt>
                <c:pt idx="3">
                  <c:v>2018-19</c:v>
                </c:pt>
                <c:pt idx="4">
                  <c:v>2019-20</c:v>
                </c:pt>
              </c:strCache>
            </c:strRef>
          </c:cat>
          <c:val>
            <c:numRef>
              <c:f>NEET!$AX$50:$BB$50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0C8E-4510-BF08-1158411C38A9}"/>
            </c:ext>
          </c:extLst>
        </c:ser>
        <c:ser>
          <c:idx val="16"/>
          <c:order val="10"/>
          <c:tx>
            <c:strRef>
              <c:f>NEET!$AL$51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NEET!$Z$2:$AD$3</c:f>
              <c:strCache>
                <c:ptCount val="5"/>
                <c:pt idx="0">
                  <c:v>2015-16</c:v>
                </c:pt>
                <c:pt idx="1">
                  <c:v>2016-17</c:v>
                </c:pt>
                <c:pt idx="2">
                  <c:v>2017-18</c:v>
                </c:pt>
                <c:pt idx="3">
                  <c:v>2018-19</c:v>
                </c:pt>
                <c:pt idx="4">
                  <c:v>2019-20</c:v>
                </c:pt>
              </c:strCache>
            </c:strRef>
          </c:cat>
          <c:val>
            <c:numRef>
              <c:f>NEET!$AX$51:$BB$51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0C8E-4510-BF08-1158411C38A9}"/>
            </c:ext>
          </c:extLst>
        </c:ser>
        <c:ser>
          <c:idx val="17"/>
          <c:order val="11"/>
          <c:tx>
            <c:strRef>
              <c:f>NEET!$AL$52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NEET!$Z$2:$AD$3</c:f>
              <c:strCache>
                <c:ptCount val="5"/>
                <c:pt idx="0">
                  <c:v>2015-16</c:v>
                </c:pt>
                <c:pt idx="1">
                  <c:v>2016-17</c:v>
                </c:pt>
                <c:pt idx="2">
                  <c:v>2017-18</c:v>
                </c:pt>
                <c:pt idx="3">
                  <c:v>2018-19</c:v>
                </c:pt>
                <c:pt idx="4">
                  <c:v>2019-20</c:v>
                </c:pt>
              </c:strCache>
            </c:strRef>
          </c:cat>
          <c:val>
            <c:numRef>
              <c:f>NEET!$AX$52:$BB$52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0C8E-4510-BF08-1158411C38A9}"/>
            </c:ext>
          </c:extLst>
        </c:ser>
        <c:ser>
          <c:idx val="19"/>
          <c:order val="12"/>
          <c:tx>
            <c:strRef>
              <c:f>NEET!$AL$53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NEET!$Z$2:$AD$3</c:f>
              <c:strCache>
                <c:ptCount val="5"/>
                <c:pt idx="0">
                  <c:v>2015-16</c:v>
                </c:pt>
                <c:pt idx="1">
                  <c:v>2016-17</c:v>
                </c:pt>
                <c:pt idx="2">
                  <c:v>2017-18</c:v>
                </c:pt>
                <c:pt idx="3">
                  <c:v>2018-19</c:v>
                </c:pt>
                <c:pt idx="4">
                  <c:v>2019-20</c:v>
                </c:pt>
              </c:strCache>
            </c:strRef>
          </c:cat>
          <c:val>
            <c:numRef>
              <c:f>NEET!$AX$53:$BB$53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0C8E-4510-BF08-1158411C38A9}"/>
            </c:ext>
          </c:extLst>
        </c:ser>
        <c:ser>
          <c:idx val="3"/>
          <c:order val="13"/>
          <c:tx>
            <c:strRef>
              <c:f>NEET!$AL$54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NEET!$Z$2:$AD$3</c:f>
              <c:strCache>
                <c:ptCount val="5"/>
                <c:pt idx="0">
                  <c:v>2015-16</c:v>
                </c:pt>
                <c:pt idx="1">
                  <c:v>2016-17</c:v>
                </c:pt>
                <c:pt idx="2">
                  <c:v>2017-18</c:v>
                </c:pt>
                <c:pt idx="3">
                  <c:v>2018-19</c:v>
                </c:pt>
                <c:pt idx="4">
                  <c:v>2019-20</c:v>
                </c:pt>
              </c:strCache>
            </c:strRef>
          </c:cat>
          <c:val>
            <c:numRef>
              <c:f>NEET!$AX$54:$BB$54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0C8E-4510-BF08-1158411C38A9}"/>
            </c:ext>
          </c:extLst>
        </c:ser>
        <c:ser>
          <c:idx val="20"/>
          <c:order val="14"/>
          <c:tx>
            <c:strRef>
              <c:f>NEET!$AL$55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NEET!$Z$2:$AD$3</c:f>
              <c:strCache>
                <c:ptCount val="5"/>
                <c:pt idx="0">
                  <c:v>2015-16</c:v>
                </c:pt>
                <c:pt idx="1">
                  <c:v>2016-17</c:v>
                </c:pt>
                <c:pt idx="2">
                  <c:v>2017-18</c:v>
                </c:pt>
                <c:pt idx="3">
                  <c:v>2018-19</c:v>
                </c:pt>
                <c:pt idx="4">
                  <c:v>2019-20</c:v>
                </c:pt>
              </c:strCache>
            </c:strRef>
          </c:cat>
          <c:val>
            <c:numRef>
              <c:f>NEET!$AX$55:$BB$55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0C8E-4510-BF08-1158411C38A9}"/>
            </c:ext>
          </c:extLst>
        </c:ser>
        <c:ser>
          <c:idx val="22"/>
          <c:order val="15"/>
          <c:tx>
            <c:strRef>
              <c:f>NEET!$AL$56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NEET!$Z$2:$AD$3</c:f>
              <c:strCache>
                <c:ptCount val="5"/>
                <c:pt idx="0">
                  <c:v>2015-16</c:v>
                </c:pt>
                <c:pt idx="1">
                  <c:v>2016-17</c:v>
                </c:pt>
                <c:pt idx="2">
                  <c:v>2017-18</c:v>
                </c:pt>
                <c:pt idx="3">
                  <c:v>2018-19</c:v>
                </c:pt>
                <c:pt idx="4">
                  <c:v>2019-20</c:v>
                </c:pt>
              </c:strCache>
            </c:strRef>
          </c:cat>
          <c:val>
            <c:numRef>
              <c:f>NEET!$AX$56:$BB$56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0C8E-4510-BF08-1158411C38A9}"/>
            </c:ext>
          </c:extLst>
        </c:ser>
        <c:ser>
          <c:idx val="7"/>
          <c:order val="16"/>
          <c:tx>
            <c:strRef>
              <c:f>NEET!$AL$57</c:f>
              <c:strCache>
                <c:ptCount val="1"/>
                <c:pt idx="0">
                  <c:v>Swindon</c:v>
                </c:pt>
              </c:strCache>
            </c:strRef>
          </c:tx>
          <c:spPr>
            <a:ln w="12700"/>
          </c:spPr>
          <c:marker>
            <c:symbol val="triangle"/>
            <c:size val="5"/>
            <c:spPr>
              <a:solidFill>
                <a:schemeClr val="accent2">
                  <a:lumMod val="20000"/>
                  <a:lumOff val="80000"/>
                </a:schemeClr>
              </a:solidFill>
            </c:spPr>
          </c:marker>
          <c:cat>
            <c:strRef>
              <c:f>NEET!$Z$2:$AD$3</c:f>
              <c:strCache>
                <c:ptCount val="5"/>
                <c:pt idx="0">
                  <c:v>2015-16</c:v>
                </c:pt>
                <c:pt idx="1">
                  <c:v>2016-17</c:v>
                </c:pt>
                <c:pt idx="2">
                  <c:v>2017-18</c:v>
                </c:pt>
                <c:pt idx="3">
                  <c:v>2018-19</c:v>
                </c:pt>
                <c:pt idx="4">
                  <c:v>2019-20</c:v>
                </c:pt>
              </c:strCache>
            </c:strRef>
          </c:cat>
          <c:val>
            <c:numRef>
              <c:f>NEET!$AX$57:$BB$57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0C8E-4510-BF08-1158411C38A9}"/>
            </c:ext>
          </c:extLst>
        </c:ser>
        <c:ser>
          <c:idx val="8"/>
          <c:order val="17"/>
          <c:tx>
            <c:strRef>
              <c:f>NEET!$AL$58</c:f>
              <c:strCache>
                <c:ptCount val="1"/>
                <c:pt idx="0">
                  <c:v>Torbay</c:v>
                </c:pt>
              </c:strCache>
            </c:strRef>
          </c:tx>
          <c:spPr>
            <a:ln w="12700"/>
          </c:spPr>
          <c:marker>
            <c:symbol val="circle"/>
            <c:size val="5"/>
            <c:spPr>
              <a:solidFill>
                <a:schemeClr val="accent3">
                  <a:lumMod val="20000"/>
                  <a:lumOff val="80000"/>
                </a:schemeClr>
              </a:solidFill>
            </c:spPr>
          </c:marker>
          <c:cat>
            <c:strRef>
              <c:f>NEET!$Z$2:$AD$3</c:f>
              <c:strCache>
                <c:ptCount val="5"/>
                <c:pt idx="0">
                  <c:v>2015-16</c:v>
                </c:pt>
                <c:pt idx="1">
                  <c:v>2016-17</c:v>
                </c:pt>
                <c:pt idx="2">
                  <c:v>2017-18</c:v>
                </c:pt>
                <c:pt idx="3">
                  <c:v>2018-19</c:v>
                </c:pt>
                <c:pt idx="4">
                  <c:v>2019-20</c:v>
                </c:pt>
              </c:strCache>
            </c:strRef>
          </c:cat>
          <c:val>
            <c:numRef>
              <c:f>NEET!$AX$58:$BB$58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0C8E-4510-BF08-1158411C38A9}"/>
            </c:ext>
          </c:extLst>
        </c:ser>
        <c:ser>
          <c:idx val="23"/>
          <c:order val="18"/>
          <c:tx>
            <c:strRef>
              <c:f>NEET!$AL$59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NEET!$Z$2:$AD$3</c:f>
              <c:strCache>
                <c:ptCount val="5"/>
                <c:pt idx="0">
                  <c:v>2015-16</c:v>
                </c:pt>
                <c:pt idx="1">
                  <c:v>2016-17</c:v>
                </c:pt>
                <c:pt idx="2">
                  <c:v>2017-18</c:v>
                </c:pt>
                <c:pt idx="3">
                  <c:v>2018-19</c:v>
                </c:pt>
                <c:pt idx="4">
                  <c:v>2019-20</c:v>
                </c:pt>
              </c:strCache>
            </c:strRef>
          </c:cat>
          <c:val>
            <c:numRef>
              <c:f>NEET!$AX$59:$BB$59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0C8E-4510-BF08-1158411C38A9}"/>
            </c:ext>
          </c:extLst>
        </c:ser>
        <c:ser>
          <c:idx val="24"/>
          <c:order val="19"/>
          <c:tx>
            <c:strRef>
              <c:f>NEET!$AL$60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NEET!$Z$2:$AD$3</c:f>
              <c:strCache>
                <c:ptCount val="5"/>
                <c:pt idx="0">
                  <c:v>2015-16</c:v>
                </c:pt>
                <c:pt idx="1">
                  <c:v>2016-17</c:v>
                </c:pt>
                <c:pt idx="2">
                  <c:v>2017-18</c:v>
                </c:pt>
                <c:pt idx="3">
                  <c:v>2018-19</c:v>
                </c:pt>
                <c:pt idx="4">
                  <c:v>2019-20</c:v>
                </c:pt>
              </c:strCache>
            </c:strRef>
          </c:cat>
          <c:val>
            <c:numRef>
              <c:f>NEET!$AX$60:$BB$60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0C8E-4510-BF08-1158411C38A9}"/>
            </c:ext>
          </c:extLst>
        </c:ser>
        <c:ser>
          <c:idx val="25"/>
          <c:order val="20"/>
          <c:tx>
            <c:strRef>
              <c:f>NEET!$AL$61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NEET!$Z$2:$AD$3</c:f>
              <c:strCache>
                <c:ptCount val="5"/>
                <c:pt idx="0">
                  <c:v>2015-16</c:v>
                </c:pt>
                <c:pt idx="1">
                  <c:v>2016-17</c:v>
                </c:pt>
                <c:pt idx="2">
                  <c:v>2017-18</c:v>
                </c:pt>
                <c:pt idx="3">
                  <c:v>2018-19</c:v>
                </c:pt>
                <c:pt idx="4">
                  <c:v>2019-20</c:v>
                </c:pt>
              </c:strCache>
            </c:strRef>
          </c:cat>
          <c:val>
            <c:numRef>
              <c:f>NEET!$AX$61:$BB$61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0C8E-4510-BF08-1158411C38A9}"/>
            </c:ext>
          </c:extLst>
        </c:ser>
        <c:ser>
          <c:idx val="26"/>
          <c:order val="21"/>
          <c:tx>
            <c:strRef>
              <c:f>NEET!$AL$62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NEET!$Z$2:$AD$3</c:f>
              <c:strCache>
                <c:ptCount val="5"/>
                <c:pt idx="0">
                  <c:v>2015-16</c:v>
                </c:pt>
                <c:pt idx="1">
                  <c:v>2016-17</c:v>
                </c:pt>
                <c:pt idx="2">
                  <c:v>2017-18</c:v>
                </c:pt>
                <c:pt idx="3">
                  <c:v>2018-19</c:v>
                </c:pt>
                <c:pt idx="4">
                  <c:v>2019-20</c:v>
                </c:pt>
              </c:strCache>
            </c:strRef>
          </c:cat>
          <c:val>
            <c:numRef>
              <c:f>NEET!$AX$62:$BB$62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0C8E-4510-BF08-1158411C38A9}"/>
            </c:ext>
          </c:extLst>
        </c:ser>
        <c:ser>
          <c:idx val="4"/>
          <c:order val="22"/>
          <c:tx>
            <c:strRef>
              <c:f>NEET!$AL$63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NEET!$Z$2:$AD$3</c:f>
              <c:strCache>
                <c:ptCount val="5"/>
                <c:pt idx="0">
                  <c:v>2015-16</c:v>
                </c:pt>
                <c:pt idx="1">
                  <c:v>2016-17</c:v>
                </c:pt>
                <c:pt idx="2">
                  <c:v>2017-18</c:v>
                </c:pt>
                <c:pt idx="3">
                  <c:v>2018-19</c:v>
                </c:pt>
                <c:pt idx="4">
                  <c:v>2019-20</c:v>
                </c:pt>
              </c:strCache>
            </c:strRef>
          </c:cat>
          <c:val>
            <c:numRef>
              <c:f>NEET!$AX$63:$BB$63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0C8E-4510-BF08-1158411C38A9}"/>
            </c:ext>
          </c:extLst>
        </c:ser>
        <c:ser>
          <c:idx val="14"/>
          <c:order val="23"/>
          <c:tx>
            <c:strRef>
              <c:f>NEET!$AL$64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NEET!$Z$2:$AD$3</c:f>
              <c:strCache>
                <c:ptCount val="5"/>
                <c:pt idx="0">
                  <c:v>2015-16</c:v>
                </c:pt>
                <c:pt idx="1">
                  <c:v>2016-17</c:v>
                </c:pt>
                <c:pt idx="2">
                  <c:v>2017-18</c:v>
                </c:pt>
                <c:pt idx="3">
                  <c:v>2018-19</c:v>
                </c:pt>
                <c:pt idx="4">
                  <c:v>2019-20</c:v>
                </c:pt>
              </c:strCache>
            </c:strRef>
          </c:cat>
          <c:val>
            <c:numRef>
              <c:f>NEET!$AX$64:$BB$64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0C8E-4510-BF08-1158411C38A9}"/>
            </c:ext>
          </c:extLst>
        </c:ser>
        <c:ser>
          <c:idx val="6"/>
          <c:order val="24"/>
          <c:tx>
            <c:strRef>
              <c:f>NEET!$AL$65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NEET!$Z$2:$AD$3</c:f>
              <c:strCache>
                <c:ptCount val="5"/>
                <c:pt idx="0">
                  <c:v>2015-16</c:v>
                </c:pt>
                <c:pt idx="1">
                  <c:v>2016-17</c:v>
                </c:pt>
                <c:pt idx="2">
                  <c:v>2017-18</c:v>
                </c:pt>
                <c:pt idx="3">
                  <c:v>2018-19</c:v>
                </c:pt>
                <c:pt idx="4">
                  <c:v>2019-20</c:v>
                </c:pt>
              </c:strCache>
            </c:strRef>
          </c:cat>
          <c:val>
            <c:numRef>
              <c:f>NEET!$AX$65:$BB$65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0C8E-4510-BF08-1158411C38A9}"/>
            </c:ext>
          </c:extLst>
        </c:ser>
        <c:dLbls>
          <c:showLegendKey val="0"/>
          <c:showVal val="0"/>
          <c:showCatName val="0"/>
          <c:showSerName val="0"/>
          <c:showPercent val="0"/>
          <c:showBubbleSize val="0"/>
        </c:dLbls>
        <c:marker val="1"/>
        <c:smooth val="0"/>
        <c:axId val="673945472"/>
        <c:axId val="673947648"/>
      </c:lineChart>
      <c:catAx>
        <c:axId val="673945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947648"/>
        <c:crosses val="autoZero"/>
        <c:auto val="1"/>
        <c:lblAlgn val="ctr"/>
        <c:lblOffset val="100"/>
        <c:tickLblSkip val="1"/>
        <c:tickMarkSkip val="1"/>
        <c:noMultiLvlLbl val="0"/>
      </c:catAx>
      <c:valAx>
        <c:axId val="6739476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9454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Young People aged 16-17 who are NEET</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4416826275093991"/>
          <c:y val="3.8616300816810812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4145868399038699"/>
        </c:manualLayout>
      </c:layout>
      <c:barChart>
        <c:barDir val="col"/>
        <c:grouping val="clustered"/>
        <c:varyColors val="0"/>
        <c:ser>
          <c:idx val="6"/>
          <c:order val="0"/>
          <c:tx>
            <c:strRef>
              <c:f>NEET!$AA$4</c:f>
              <c:strCache>
                <c:ptCount val="1"/>
                <c:pt idx="0">
                  <c:v>Selected LA- (none)</c:v>
                </c:pt>
              </c:strCache>
            </c:strRef>
          </c:tx>
          <c:spPr>
            <a:solidFill>
              <a:srgbClr val="66FF99"/>
            </a:solidFill>
            <a:ln>
              <a:solidFill>
                <a:schemeClr val="tx1">
                  <a:lumMod val="75000"/>
                  <a:lumOff val="25000"/>
                </a:schemeClr>
              </a:solidFill>
            </a:ln>
          </c:spPr>
          <c:invertIfNegative val="0"/>
          <c:cat>
            <c:strRef>
              <c:f>NEET!$Z$2:$AD$3</c:f>
              <c:strCache>
                <c:ptCount val="5"/>
                <c:pt idx="0">
                  <c:v>2015-16</c:v>
                </c:pt>
                <c:pt idx="1">
                  <c:v>2016-17</c:v>
                </c:pt>
                <c:pt idx="2">
                  <c:v>2017-18</c:v>
                </c:pt>
                <c:pt idx="3">
                  <c:v>2018-19</c:v>
                </c:pt>
                <c:pt idx="4">
                  <c:v>2019-20</c:v>
                </c:pt>
              </c:strCache>
            </c:strRef>
          </c:cat>
          <c:val>
            <c:numRef>
              <c:f>NEET!$AS$65:$AW$65</c:f>
              <c:numCache>
                <c:formatCode>0.0%</c:formatCode>
                <c:ptCount val="5"/>
                <c:pt idx="0">
                  <c:v>#N/A</c:v>
                </c:pt>
                <c:pt idx="1">
                  <c:v>#N/A</c:v>
                </c:pt>
                <c:pt idx="2">
                  <c:v>#N/A</c:v>
                </c:pt>
                <c:pt idx="3">
                  <c:v>#N/A</c:v>
                </c:pt>
                <c:pt idx="4" formatCode="0%">
                  <c:v>#N/A</c:v>
                </c:pt>
              </c:numCache>
            </c:numRef>
          </c:val>
          <c:extLst>
            <c:ext xmlns:c16="http://schemas.microsoft.com/office/drawing/2014/chart" uri="{C3380CC4-5D6E-409C-BE32-E72D297353CC}">
              <c16:uniqueId val="{00000000-7EBD-4301-BB66-B5191CEFD500}"/>
            </c:ext>
          </c:extLst>
        </c:ser>
        <c:ser>
          <c:idx val="4"/>
          <c:order val="1"/>
          <c:tx>
            <c:strRef>
              <c:f>NEET!$B$135</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NEET!$Z$2:$AD$3</c:f>
              <c:strCache>
                <c:ptCount val="5"/>
                <c:pt idx="0">
                  <c:v>2015-16</c:v>
                </c:pt>
                <c:pt idx="1">
                  <c:v>2016-17</c:v>
                </c:pt>
                <c:pt idx="2">
                  <c:v>2017-18</c:v>
                </c:pt>
                <c:pt idx="3">
                  <c:v>2018-19</c:v>
                </c:pt>
                <c:pt idx="4">
                  <c:v>2019-20</c:v>
                </c:pt>
              </c:strCache>
            </c:strRef>
          </c:cat>
          <c:val>
            <c:numRef>
              <c:f>NEET!$D$99:$H$99</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7EBD-4301-BB66-B5191CEFD500}"/>
            </c:ext>
          </c:extLst>
        </c:ser>
        <c:ser>
          <c:idx val="0"/>
          <c:order val="2"/>
          <c:tx>
            <c:strRef>
              <c:f>NEET!$B$136</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NEET!$Z$2:$AD$3</c:f>
              <c:strCache>
                <c:ptCount val="5"/>
                <c:pt idx="0">
                  <c:v>2015-16</c:v>
                </c:pt>
                <c:pt idx="1">
                  <c:v>2016-17</c:v>
                </c:pt>
                <c:pt idx="2">
                  <c:v>2017-18</c:v>
                </c:pt>
                <c:pt idx="3">
                  <c:v>2018-19</c:v>
                </c:pt>
                <c:pt idx="4">
                  <c:v>2019-20</c:v>
                </c:pt>
              </c:strCache>
            </c:strRef>
          </c:cat>
          <c:val>
            <c:numRef>
              <c:f>NEET!$D$100:$H$100</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2-7EBD-4301-BB66-B5191CEFD500}"/>
            </c:ext>
          </c:extLst>
        </c:ser>
        <c:dLbls>
          <c:showLegendKey val="0"/>
          <c:showVal val="0"/>
          <c:showCatName val="0"/>
          <c:showSerName val="0"/>
          <c:showPercent val="0"/>
          <c:showBubbleSize val="0"/>
        </c:dLbls>
        <c:gapWidth val="100"/>
        <c:axId val="674321536"/>
        <c:axId val="674323072"/>
      </c:barChart>
      <c:catAx>
        <c:axId val="67432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323072"/>
        <c:crosses val="autoZero"/>
        <c:auto val="1"/>
        <c:lblAlgn val="ctr"/>
        <c:lblOffset val="100"/>
        <c:noMultiLvlLbl val="0"/>
      </c:catAx>
      <c:valAx>
        <c:axId val="67432307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321536"/>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Young People aged 16-17 who are NEET</a:t>
            </a:r>
          </a:p>
        </c:rich>
      </c:tx>
      <c:layout>
        <c:manualLayout>
          <c:xMode val="edge"/>
          <c:yMode val="edge"/>
          <c:x val="0.19463904079199876"/>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NEET!$AL$41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5A0A-4278-998D-09E5854F2EAD}"/>
              </c:ext>
            </c:extLst>
          </c:dPt>
          <c:cat>
            <c:strRef>
              <c:f>NEET!$Z$2:$AD$3</c:f>
              <c:strCache>
                <c:ptCount val="5"/>
                <c:pt idx="0">
                  <c:v>2015-16</c:v>
                </c:pt>
                <c:pt idx="1">
                  <c:v>2016-17</c:v>
                </c:pt>
                <c:pt idx="2">
                  <c:v>2017-18</c:v>
                </c:pt>
                <c:pt idx="3">
                  <c:v>2018-19</c:v>
                </c:pt>
                <c:pt idx="4">
                  <c:v>2019-20</c:v>
                </c:pt>
              </c:strCache>
            </c:strRef>
          </c:cat>
          <c:val>
            <c:numRef>
              <c:f>NEET!$AS$41:$AW$41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A0A-4278-998D-09E5854F2EAD}"/>
            </c:ext>
          </c:extLst>
        </c:ser>
        <c:ser>
          <c:idx val="1"/>
          <c:order val="1"/>
          <c:tx>
            <c:strRef>
              <c:f>NEET!$AL$42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NEET!$Z$2:$AD$3</c:f>
              <c:strCache>
                <c:ptCount val="5"/>
                <c:pt idx="0">
                  <c:v>2015-16</c:v>
                </c:pt>
                <c:pt idx="1">
                  <c:v>2016-17</c:v>
                </c:pt>
                <c:pt idx="2">
                  <c:v>2017-18</c:v>
                </c:pt>
                <c:pt idx="3">
                  <c:v>2018-19</c:v>
                </c:pt>
                <c:pt idx="4">
                  <c:v>2019-20</c:v>
                </c:pt>
              </c:strCache>
            </c:strRef>
          </c:cat>
          <c:val>
            <c:numRef>
              <c:f>NEET!$AS$42:$AW$42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5A0A-4278-998D-09E5854F2EAD}"/>
            </c:ext>
          </c:extLst>
        </c:ser>
        <c:ser>
          <c:idx val="2"/>
          <c:order val="2"/>
          <c:tx>
            <c:strRef>
              <c:f>NEET!$AL$43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NEET!$Z$2:$AD$3</c:f>
              <c:strCache>
                <c:ptCount val="5"/>
                <c:pt idx="0">
                  <c:v>2015-16</c:v>
                </c:pt>
                <c:pt idx="1">
                  <c:v>2016-17</c:v>
                </c:pt>
                <c:pt idx="2">
                  <c:v>2017-18</c:v>
                </c:pt>
                <c:pt idx="3">
                  <c:v>2018-19</c:v>
                </c:pt>
                <c:pt idx="4">
                  <c:v>2019-20</c:v>
                </c:pt>
              </c:strCache>
            </c:strRef>
          </c:cat>
          <c:val>
            <c:numRef>
              <c:f>NEET!$AS$43:$AW$43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5A0A-4278-998D-09E5854F2EAD}"/>
            </c:ext>
          </c:extLst>
        </c:ser>
        <c:ser>
          <c:idx val="5"/>
          <c:order val="3"/>
          <c:tx>
            <c:strRef>
              <c:f>NEET!$AL$44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NEET!$Z$2:$AD$3</c:f>
              <c:strCache>
                <c:ptCount val="5"/>
                <c:pt idx="0">
                  <c:v>2015-16</c:v>
                </c:pt>
                <c:pt idx="1">
                  <c:v>2016-17</c:v>
                </c:pt>
                <c:pt idx="2">
                  <c:v>2017-18</c:v>
                </c:pt>
                <c:pt idx="3">
                  <c:v>2018-19</c:v>
                </c:pt>
                <c:pt idx="4">
                  <c:v>2019-20</c:v>
                </c:pt>
              </c:strCache>
            </c:strRef>
          </c:cat>
          <c:val>
            <c:numRef>
              <c:f>NEET!$AS$44:$AW$44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5A0A-4278-998D-09E5854F2EAD}"/>
            </c:ext>
          </c:extLst>
        </c:ser>
        <c:ser>
          <c:idx val="9"/>
          <c:order val="4"/>
          <c:tx>
            <c:strRef>
              <c:f>NEET!$AL$45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NEET!$Z$2:$AD$3</c:f>
              <c:strCache>
                <c:ptCount val="5"/>
                <c:pt idx="0">
                  <c:v>2015-16</c:v>
                </c:pt>
                <c:pt idx="1">
                  <c:v>2016-17</c:v>
                </c:pt>
                <c:pt idx="2">
                  <c:v>2017-18</c:v>
                </c:pt>
                <c:pt idx="3">
                  <c:v>2018-19</c:v>
                </c:pt>
                <c:pt idx="4">
                  <c:v>2019-20</c:v>
                </c:pt>
              </c:strCache>
            </c:strRef>
          </c:cat>
          <c:val>
            <c:numRef>
              <c:f>NEET!$AS$45:$AW$45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5A0A-4278-998D-09E5854F2EAD}"/>
            </c:ext>
          </c:extLst>
        </c:ser>
        <c:ser>
          <c:idx val="10"/>
          <c:order val="5"/>
          <c:tx>
            <c:strRef>
              <c:f>NEET!$AL$46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NEET!$Z$2:$AD$3</c:f>
              <c:strCache>
                <c:ptCount val="5"/>
                <c:pt idx="0">
                  <c:v>2015-16</c:v>
                </c:pt>
                <c:pt idx="1">
                  <c:v>2016-17</c:v>
                </c:pt>
                <c:pt idx="2">
                  <c:v>2017-18</c:v>
                </c:pt>
                <c:pt idx="3">
                  <c:v>2018-19</c:v>
                </c:pt>
                <c:pt idx="4">
                  <c:v>2019-20</c:v>
                </c:pt>
              </c:strCache>
            </c:strRef>
          </c:cat>
          <c:val>
            <c:numRef>
              <c:f>NEET!$AS$46:$AW$46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5A0A-4278-998D-09E5854F2EAD}"/>
            </c:ext>
          </c:extLst>
        </c:ser>
        <c:ser>
          <c:idx val="11"/>
          <c:order val="6"/>
          <c:tx>
            <c:strRef>
              <c:f>NEET!$AL$47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NEET!$Z$2:$AD$3</c:f>
              <c:strCache>
                <c:ptCount val="5"/>
                <c:pt idx="0">
                  <c:v>2015-16</c:v>
                </c:pt>
                <c:pt idx="1">
                  <c:v>2016-17</c:v>
                </c:pt>
                <c:pt idx="2">
                  <c:v>2017-18</c:v>
                </c:pt>
                <c:pt idx="3">
                  <c:v>2018-19</c:v>
                </c:pt>
                <c:pt idx="4">
                  <c:v>2019-20</c:v>
                </c:pt>
              </c:strCache>
            </c:strRef>
          </c:cat>
          <c:val>
            <c:numRef>
              <c:f>NEET!$AS$47:$AW$47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5A0A-4278-998D-09E5854F2EAD}"/>
            </c:ext>
          </c:extLst>
        </c:ser>
        <c:ser>
          <c:idx val="12"/>
          <c:order val="7"/>
          <c:tx>
            <c:strRef>
              <c:f>NEET!$AL$48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NEET!$Z$2:$AD$3</c:f>
              <c:strCache>
                <c:ptCount val="5"/>
                <c:pt idx="0">
                  <c:v>2015-16</c:v>
                </c:pt>
                <c:pt idx="1">
                  <c:v>2016-17</c:v>
                </c:pt>
                <c:pt idx="2">
                  <c:v>2017-18</c:v>
                </c:pt>
                <c:pt idx="3">
                  <c:v>2018-19</c:v>
                </c:pt>
                <c:pt idx="4">
                  <c:v>2019-20</c:v>
                </c:pt>
              </c:strCache>
            </c:strRef>
          </c:cat>
          <c:val>
            <c:numRef>
              <c:f>NEET!$AS$48:$AW$48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5A0A-4278-998D-09E5854F2EAD}"/>
            </c:ext>
          </c:extLst>
        </c:ser>
        <c:ser>
          <c:idx val="13"/>
          <c:order val="8"/>
          <c:tx>
            <c:strRef>
              <c:f>NEET!$AL$49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NEET!$Z$2:$AD$3</c:f>
              <c:strCache>
                <c:ptCount val="5"/>
                <c:pt idx="0">
                  <c:v>2015-16</c:v>
                </c:pt>
                <c:pt idx="1">
                  <c:v>2016-17</c:v>
                </c:pt>
                <c:pt idx="2">
                  <c:v>2017-18</c:v>
                </c:pt>
                <c:pt idx="3">
                  <c:v>2018-19</c:v>
                </c:pt>
                <c:pt idx="4">
                  <c:v>2019-20</c:v>
                </c:pt>
              </c:strCache>
            </c:strRef>
          </c:cat>
          <c:val>
            <c:numRef>
              <c:f>NEET!$AS$49:$AW$49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5A0A-4278-998D-09E5854F2EAD}"/>
            </c:ext>
          </c:extLst>
        </c:ser>
        <c:ser>
          <c:idx val="15"/>
          <c:order val="9"/>
          <c:tx>
            <c:strRef>
              <c:f>NEET!$AL$50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NEET!$Z$2:$AD$3</c:f>
              <c:strCache>
                <c:ptCount val="5"/>
                <c:pt idx="0">
                  <c:v>2015-16</c:v>
                </c:pt>
                <c:pt idx="1">
                  <c:v>2016-17</c:v>
                </c:pt>
                <c:pt idx="2">
                  <c:v>2017-18</c:v>
                </c:pt>
                <c:pt idx="3">
                  <c:v>2018-19</c:v>
                </c:pt>
                <c:pt idx="4">
                  <c:v>2019-20</c:v>
                </c:pt>
              </c:strCache>
            </c:strRef>
          </c:cat>
          <c:val>
            <c:numRef>
              <c:f>NEET!$AS$50:$AW$50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5A0A-4278-998D-09E5854F2EAD}"/>
            </c:ext>
          </c:extLst>
        </c:ser>
        <c:ser>
          <c:idx val="16"/>
          <c:order val="10"/>
          <c:tx>
            <c:strRef>
              <c:f>NEET!$AL$51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NEET!$Z$2:$AD$3</c:f>
              <c:strCache>
                <c:ptCount val="5"/>
                <c:pt idx="0">
                  <c:v>2015-16</c:v>
                </c:pt>
                <c:pt idx="1">
                  <c:v>2016-17</c:v>
                </c:pt>
                <c:pt idx="2">
                  <c:v>2017-18</c:v>
                </c:pt>
                <c:pt idx="3">
                  <c:v>2018-19</c:v>
                </c:pt>
                <c:pt idx="4">
                  <c:v>2019-20</c:v>
                </c:pt>
              </c:strCache>
            </c:strRef>
          </c:cat>
          <c:val>
            <c:numRef>
              <c:f>NEET!$AS$51:$AW$51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5A0A-4278-998D-09E5854F2EAD}"/>
            </c:ext>
          </c:extLst>
        </c:ser>
        <c:ser>
          <c:idx val="17"/>
          <c:order val="11"/>
          <c:tx>
            <c:strRef>
              <c:f>NEET!$AL$52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NEET!$Z$2:$AD$3</c:f>
              <c:strCache>
                <c:ptCount val="5"/>
                <c:pt idx="0">
                  <c:v>2015-16</c:v>
                </c:pt>
                <c:pt idx="1">
                  <c:v>2016-17</c:v>
                </c:pt>
                <c:pt idx="2">
                  <c:v>2017-18</c:v>
                </c:pt>
                <c:pt idx="3">
                  <c:v>2018-19</c:v>
                </c:pt>
                <c:pt idx="4">
                  <c:v>2019-20</c:v>
                </c:pt>
              </c:strCache>
            </c:strRef>
          </c:cat>
          <c:val>
            <c:numRef>
              <c:f>NEET!$AS$52:$AW$52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5A0A-4278-998D-09E5854F2EAD}"/>
            </c:ext>
          </c:extLst>
        </c:ser>
        <c:ser>
          <c:idx val="19"/>
          <c:order val="12"/>
          <c:tx>
            <c:strRef>
              <c:f>NEET!$AL$53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NEET!$Z$2:$AD$3</c:f>
              <c:strCache>
                <c:ptCount val="5"/>
                <c:pt idx="0">
                  <c:v>2015-16</c:v>
                </c:pt>
                <c:pt idx="1">
                  <c:v>2016-17</c:v>
                </c:pt>
                <c:pt idx="2">
                  <c:v>2017-18</c:v>
                </c:pt>
                <c:pt idx="3">
                  <c:v>2018-19</c:v>
                </c:pt>
                <c:pt idx="4">
                  <c:v>2019-20</c:v>
                </c:pt>
              </c:strCache>
            </c:strRef>
          </c:cat>
          <c:val>
            <c:numRef>
              <c:f>NEET!$AS$53:$AW$53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5A0A-4278-998D-09E5854F2EAD}"/>
            </c:ext>
          </c:extLst>
        </c:ser>
        <c:ser>
          <c:idx val="3"/>
          <c:order val="13"/>
          <c:tx>
            <c:strRef>
              <c:f>NEET!$AL$54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NEET!$Z$2:$AD$3</c:f>
              <c:strCache>
                <c:ptCount val="5"/>
                <c:pt idx="0">
                  <c:v>2015-16</c:v>
                </c:pt>
                <c:pt idx="1">
                  <c:v>2016-17</c:v>
                </c:pt>
                <c:pt idx="2">
                  <c:v>2017-18</c:v>
                </c:pt>
                <c:pt idx="3">
                  <c:v>2018-19</c:v>
                </c:pt>
                <c:pt idx="4">
                  <c:v>2019-20</c:v>
                </c:pt>
              </c:strCache>
            </c:strRef>
          </c:cat>
          <c:val>
            <c:numRef>
              <c:f>NEET!$AS$54:$AW$54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5A0A-4278-998D-09E5854F2EAD}"/>
            </c:ext>
          </c:extLst>
        </c:ser>
        <c:ser>
          <c:idx val="20"/>
          <c:order val="14"/>
          <c:tx>
            <c:strRef>
              <c:f>NEET!$AL$55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NEET!$Z$2:$AD$3</c:f>
              <c:strCache>
                <c:ptCount val="5"/>
                <c:pt idx="0">
                  <c:v>2015-16</c:v>
                </c:pt>
                <c:pt idx="1">
                  <c:v>2016-17</c:v>
                </c:pt>
                <c:pt idx="2">
                  <c:v>2017-18</c:v>
                </c:pt>
                <c:pt idx="3">
                  <c:v>2018-19</c:v>
                </c:pt>
                <c:pt idx="4">
                  <c:v>2019-20</c:v>
                </c:pt>
              </c:strCache>
            </c:strRef>
          </c:cat>
          <c:val>
            <c:numRef>
              <c:f>NEET!$AS$55:$AW$55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5A0A-4278-998D-09E5854F2EAD}"/>
            </c:ext>
          </c:extLst>
        </c:ser>
        <c:ser>
          <c:idx val="22"/>
          <c:order val="15"/>
          <c:tx>
            <c:strRef>
              <c:f>NEET!$AL$56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NEET!$Z$2:$AD$3</c:f>
              <c:strCache>
                <c:ptCount val="5"/>
                <c:pt idx="0">
                  <c:v>2015-16</c:v>
                </c:pt>
                <c:pt idx="1">
                  <c:v>2016-17</c:v>
                </c:pt>
                <c:pt idx="2">
                  <c:v>2017-18</c:v>
                </c:pt>
                <c:pt idx="3">
                  <c:v>2018-19</c:v>
                </c:pt>
                <c:pt idx="4">
                  <c:v>2019-20</c:v>
                </c:pt>
              </c:strCache>
            </c:strRef>
          </c:cat>
          <c:val>
            <c:numRef>
              <c:f>NEET!$AS$56:$AW$56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5A0A-4278-998D-09E5854F2EAD}"/>
            </c:ext>
          </c:extLst>
        </c:ser>
        <c:ser>
          <c:idx val="7"/>
          <c:order val="16"/>
          <c:tx>
            <c:strRef>
              <c:f>NEET!$AL$57</c:f>
              <c:strCache>
                <c:ptCount val="1"/>
                <c:pt idx="0">
                  <c:v>Swindon</c:v>
                </c:pt>
              </c:strCache>
            </c:strRef>
          </c:tx>
          <c:spPr>
            <a:ln w="12700"/>
          </c:spPr>
          <c:marker>
            <c:symbol val="triangle"/>
            <c:size val="5"/>
            <c:spPr>
              <a:solidFill>
                <a:schemeClr val="accent2">
                  <a:lumMod val="20000"/>
                  <a:lumOff val="80000"/>
                </a:schemeClr>
              </a:solidFill>
            </c:spPr>
          </c:marker>
          <c:cat>
            <c:strRef>
              <c:f>NEET!$Z$2:$AD$3</c:f>
              <c:strCache>
                <c:ptCount val="5"/>
                <c:pt idx="0">
                  <c:v>2015-16</c:v>
                </c:pt>
                <c:pt idx="1">
                  <c:v>2016-17</c:v>
                </c:pt>
                <c:pt idx="2">
                  <c:v>2017-18</c:v>
                </c:pt>
                <c:pt idx="3">
                  <c:v>2018-19</c:v>
                </c:pt>
                <c:pt idx="4">
                  <c:v>2019-20</c:v>
                </c:pt>
              </c:strCache>
            </c:strRef>
          </c:cat>
          <c:val>
            <c:numRef>
              <c:f>NEET!$AS$57:$AW$57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5A0A-4278-998D-09E5854F2EAD}"/>
            </c:ext>
          </c:extLst>
        </c:ser>
        <c:ser>
          <c:idx val="8"/>
          <c:order val="17"/>
          <c:tx>
            <c:strRef>
              <c:f>NEET!$AL$58</c:f>
              <c:strCache>
                <c:ptCount val="1"/>
                <c:pt idx="0">
                  <c:v>Torbay</c:v>
                </c:pt>
              </c:strCache>
            </c:strRef>
          </c:tx>
          <c:spPr>
            <a:ln w="12700"/>
          </c:spPr>
          <c:marker>
            <c:symbol val="circle"/>
            <c:size val="5"/>
            <c:spPr>
              <a:solidFill>
                <a:schemeClr val="accent3">
                  <a:lumMod val="20000"/>
                  <a:lumOff val="80000"/>
                </a:schemeClr>
              </a:solidFill>
            </c:spPr>
          </c:marker>
          <c:cat>
            <c:strRef>
              <c:f>NEET!$Z$2:$AD$3</c:f>
              <c:strCache>
                <c:ptCount val="5"/>
                <c:pt idx="0">
                  <c:v>2015-16</c:v>
                </c:pt>
                <c:pt idx="1">
                  <c:v>2016-17</c:v>
                </c:pt>
                <c:pt idx="2">
                  <c:v>2017-18</c:v>
                </c:pt>
                <c:pt idx="3">
                  <c:v>2018-19</c:v>
                </c:pt>
                <c:pt idx="4">
                  <c:v>2019-20</c:v>
                </c:pt>
              </c:strCache>
            </c:strRef>
          </c:cat>
          <c:val>
            <c:numRef>
              <c:f>NEET!$AS$58:$AW$58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5A0A-4278-998D-09E5854F2EAD}"/>
            </c:ext>
          </c:extLst>
        </c:ser>
        <c:ser>
          <c:idx val="23"/>
          <c:order val="18"/>
          <c:tx>
            <c:strRef>
              <c:f>NEET!$AL$59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NEET!$Z$2:$AD$3</c:f>
              <c:strCache>
                <c:ptCount val="5"/>
                <c:pt idx="0">
                  <c:v>2015-16</c:v>
                </c:pt>
                <c:pt idx="1">
                  <c:v>2016-17</c:v>
                </c:pt>
                <c:pt idx="2">
                  <c:v>2017-18</c:v>
                </c:pt>
                <c:pt idx="3">
                  <c:v>2018-19</c:v>
                </c:pt>
                <c:pt idx="4">
                  <c:v>2019-20</c:v>
                </c:pt>
              </c:strCache>
            </c:strRef>
          </c:cat>
          <c:val>
            <c:numRef>
              <c:f>NEET!$AS$59:$AW$59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5A0A-4278-998D-09E5854F2EAD}"/>
            </c:ext>
          </c:extLst>
        </c:ser>
        <c:ser>
          <c:idx val="24"/>
          <c:order val="19"/>
          <c:tx>
            <c:strRef>
              <c:f>NEET!$AL$60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NEET!$Z$2:$AD$3</c:f>
              <c:strCache>
                <c:ptCount val="5"/>
                <c:pt idx="0">
                  <c:v>2015-16</c:v>
                </c:pt>
                <c:pt idx="1">
                  <c:v>2016-17</c:v>
                </c:pt>
                <c:pt idx="2">
                  <c:v>2017-18</c:v>
                </c:pt>
                <c:pt idx="3">
                  <c:v>2018-19</c:v>
                </c:pt>
                <c:pt idx="4">
                  <c:v>2019-20</c:v>
                </c:pt>
              </c:strCache>
            </c:strRef>
          </c:cat>
          <c:val>
            <c:numRef>
              <c:f>NEET!$AS$60:$AW$60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5A0A-4278-998D-09E5854F2EAD}"/>
            </c:ext>
          </c:extLst>
        </c:ser>
        <c:ser>
          <c:idx val="25"/>
          <c:order val="20"/>
          <c:tx>
            <c:strRef>
              <c:f>NEET!$AL$61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NEET!$Z$2:$AD$3</c:f>
              <c:strCache>
                <c:ptCount val="5"/>
                <c:pt idx="0">
                  <c:v>2015-16</c:v>
                </c:pt>
                <c:pt idx="1">
                  <c:v>2016-17</c:v>
                </c:pt>
                <c:pt idx="2">
                  <c:v>2017-18</c:v>
                </c:pt>
                <c:pt idx="3">
                  <c:v>2018-19</c:v>
                </c:pt>
                <c:pt idx="4">
                  <c:v>2019-20</c:v>
                </c:pt>
              </c:strCache>
            </c:strRef>
          </c:cat>
          <c:val>
            <c:numRef>
              <c:f>NEET!$AS$61:$AW$61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5A0A-4278-998D-09E5854F2EAD}"/>
            </c:ext>
          </c:extLst>
        </c:ser>
        <c:ser>
          <c:idx val="26"/>
          <c:order val="21"/>
          <c:tx>
            <c:strRef>
              <c:f>NEET!$AL$62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NEET!$Z$2:$AD$3</c:f>
              <c:strCache>
                <c:ptCount val="5"/>
                <c:pt idx="0">
                  <c:v>2015-16</c:v>
                </c:pt>
                <c:pt idx="1">
                  <c:v>2016-17</c:v>
                </c:pt>
                <c:pt idx="2">
                  <c:v>2017-18</c:v>
                </c:pt>
                <c:pt idx="3">
                  <c:v>2018-19</c:v>
                </c:pt>
                <c:pt idx="4">
                  <c:v>2019-20</c:v>
                </c:pt>
              </c:strCache>
            </c:strRef>
          </c:cat>
          <c:val>
            <c:numRef>
              <c:f>NEET!$AS$62:$AW$62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5A0A-4278-998D-09E5854F2EAD}"/>
            </c:ext>
          </c:extLst>
        </c:ser>
        <c:ser>
          <c:idx val="4"/>
          <c:order val="22"/>
          <c:tx>
            <c:strRef>
              <c:f>NEET!$AL$63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NEET!$Z$2:$AD$3</c:f>
              <c:strCache>
                <c:ptCount val="5"/>
                <c:pt idx="0">
                  <c:v>2015-16</c:v>
                </c:pt>
                <c:pt idx="1">
                  <c:v>2016-17</c:v>
                </c:pt>
                <c:pt idx="2">
                  <c:v>2017-18</c:v>
                </c:pt>
                <c:pt idx="3">
                  <c:v>2018-19</c:v>
                </c:pt>
                <c:pt idx="4">
                  <c:v>2019-20</c:v>
                </c:pt>
              </c:strCache>
            </c:strRef>
          </c:cat>
          <c:val>
            <c:numRef>
              <c:f>NEET!$AS$63:$AW$63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5A0A-4278-998D-09E5854F2EAD}"/>
            </c:ext>
          </c:extLst>
        </c:ser>
        <c:ser>
          <c:idx val="14"/>
          <c:order val="23"/>
          <c:tx>
            <c:strRef>
              <c:f>NEET!$AL$64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NEET!$Z$2:$AD$3</c:f>
              <c:strCache>
                <c:ptCount val="5"/>
                <c:pt idx="0">
                  <c:v>2015-16</c:v>
                </c:pt>
                <c:pt idx="1">
                  <c:v>2016-17</c:v>
                </c:pt>
                <c:pt idx="2">
                  <c:v>2017-18</c:v>
                </c:pt>
                <c:pt idx="3">
                  <c:v>2018-19</c:v>
                </c:pt>
                <c:pt idx="4">
                  <c:v>2019-20</c:v>
                </c:pt>
              </c:strCache>
            </c:strRef>
          </c:cat>
          <c:val>
            <c:numRef>
              <c:f>NEET!$AS$64:$AW$64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5A0A-4278-998D-09E5854F2EAD}"/>
            </c:ext>
          </c:extLst>
        </c:ser>
        <c:ser>
          <c:idx val="6"/>
          <c:order val="24"/>
          <c:tx>
            <c:strRef>
              <c:f>NEET!$AL$65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NEET!$Z$2:$AD$3</c:f>
              <c:strCache>
                <c:ptCount val="5"/>
                <c:pt idx="0">
                  <c:v>2015-16</c:v>
                </c:pt>
                <c:pt idx="1">
                  <c:v>2016-17</c:v>
                </c:pt>
                <c:pt idx="2">
                  <c:v>2017-18</c:v>
                </c:pt>
                <c:pt idx="3">
                  <c:v>2018-19</c:v>
                </c:pt>
                <c:pt idx="4">
                  <c:v>2019-20</c:v>
                </c:pt>
              </c:strCache>
            </c:strRef>
          </c:cat>
          <c:val>
            <c:numRef>
              <c:f>NEET!$AS$65:$AW$65</c:f>
              <c:numCache>
                <c:formatCode>0.0%</c:formatCode>
                <c:ptCount val="5"/>
                <c:pt idx="0">
                  <c:v>#N/A</c:v>
                </c:pt>
                <c:pt idx="1">
                  <c:v>#N/A</c:v>
                </c:pt>
                <c:pt idx="2">
                  <c:v>#N/A</c:v>
                </c:pt>
                <c:pt idx="3">
                  <c:v>#N/A</c:v>
                </c:pt>
                <c:pt idx="4" formatCode="0%">
                  <c:v>#N/A</c:v>
                </c:pt>
              </c:numCache>
            </c:numRef>
          </c:val>
          <c:smooth val="0"/>
          <c:extLst>
            <c:ext xmlns:c16="http://schemas.microsoft.com/office/drawing/2014/chart" uri="{C3380CC4-5D6E-409C-BE32-E72D297353CC}">
              <c16:uniqueId val="{00000019-5A0A-4278-998D-09E5854F2EAD}"/>
            </c:ext>
          </c:extLst>
        </c:ser>
        <c:dLbls>
          <c:showLegendKey val="0"/>
          <c:showVal val="0"/>
          <c:showCatName val="0"/>
          <c:showSerName val="0"/>
          <c:showPercent val="0"/>
          <c:showBubbleSize val="0"/>
        </c:dLbls>
        <c:marker val="1"/>
        <c:smooth val="0"/>
        <c:axId val="674006912"/>
        <c:axId val="674008448"/>
      </c:lineChart>
      <c:catAx>
        <c:axId val="674006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008448"/>
        <c:crosses val="autoZero"/>
        <c:auto val="1"/>
        <c:lblAlgn val="ctr"/>
        <c:lblOffset val="100"/>
        <c:tickLblSkip val="1"/>
        <c:tickMarkSkip val="1"/>
        <c:noMultiLvlLbl val="0"/>
      </c:catAx>
      <c:valAx>
        <c:axId val="674008448"/>
        <c:scaling>
          <c:orientation val="minMax"/>
        </c:scaling>
        <c:delete val="0"/>
        <c:axPos val="l"/>
        <c:majorGridlines>
          <c:spPr>
            <a:ln w="12700">
              <a:solidFill>
                <a:schemeClr val="bg1">
                  <a:lumMod val="7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006912"/>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1248848723265574"/>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Early Help</a:t>
            </a:r>
            <a:r>
              <a:rPr lang="en-GB" baseline="0"/>
              <a:t> Assessments </a:t>
            </a:r>
            <a:r>
              <a:rPr lang="en-GB"/>
              <a:t>vs. IDACI</a:t>
            </a:r>
          </a:p>
        </c:rich>
      </c:tx>
      <c:layout>
        <c:manualLayout>
          <c:xMode val="edge"/>
          <c:yMode val="edge"/>
          <c:x val="0.22857418040073482"/>
          <c:y val="3.612578830947967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4"/>
          <c:tx>
            <c:strRef>
              <c:f>EH_Assessments!$X$40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14B2-4D16-B2E3-CE5376140DCA}"/>
                </c:ext>
              </c:extLst>
            </c:dLbl>
            <c:dLbl>
              <c:idx val="1"/>
              <c:layout>
                <c:manualLayout>
                  <c:x val="-0.32595812732710738"/>
                  <c:y val="-0.37675054292691473"/>
                </c:manualLayout>
              </c:layout>
              <c:tx>
                <c:strRef>
                  <c:f>EH_Assessments!$AC$42</c:f>
                  <c:strCache>
                    <c:ptCount val="1"/>
                    <c:pt idx="0">
                      <c:v>#DIV/0!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{04201538-FEBC-4AF8-BBC2-2D2F31D89FAB}</c15:txfldGUID>
                      <c15:f>EH_Assessments!$AC$42</c15:f>
                      <c15:dlblFieldTableCache>
                        <c:ptCount val="1"/>
                        <c:pt idx="0">
                          <c:v>#DIV/0!</c:v>
                        </c:pt>
                      </c15:dlblFieldTableCache>
                    </c15:dlblFTEntry>
                  </c15:dlblFieldTable>
                  <c15:showDataLabelsRange val="0"/>
                </c:ext>
                <c:ext xmlns:c16="http://schemas.microsoft.com/office/drawing/2014/chart" uri="{C3380CC4-5D6E-409C-BE32-E72D297353CC}">
                  <c16:uniqueId val="{00000001-14B2-4D16-B2E3-CE5376140DCA}"/>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EH_Assessments!$AA$40:$AA$41</c:f>
              <c:numCache>
                <c:formatCode>General</c:formatCode>
                <c:ptCount val="2"/>
                <c:pt idx="0" formatCode="#,##0.0">
                  <c:v>5</c:v>
                </c:pt>
                <c:pt idx="1">
                  <c:v>18</c:v>
                </c:pt>
              </c:numCache>
            </c:numRef>
          </c:xVal>
          <c:yVal>
            <c:numRef>
              <c:f>EH_Assessments!$AB$40:$AB$41</c:f>
              <c:numCache>
                <c:formatCode>0.0</c:formatCode>
                <c:ptCount val="2"/>
                <c:pt idx="0">
                  <c:v>0</c:v>
                </c:pt>
                <c:pt idx="1">
                  <c:v>0</c:v>
                </c:pt>
              </c:numCache>
            </c:numRef>
          </c:yVal>
          <c:smooth val="1"/>
          <c:extLst>
            <c:ext xmlns:c16="http://schemas.microsoft.com/office/drawing/2014/chart" uri="{C3380CC4-5D6E-409C-BE32-E72D297353CC}">
              <c16:uniqueId val="{00000002-14B2-4D16-B2E3-CE5376140DCA}"/>
            </c:ext>
          </c:extLst>
        </c:ser>
        <c:dLbls>
          <c:showLegendKey val="0"/>
          <c:showVal val="0"/>
          <c:showCatName val="0"/>
          <c:showSerName val="0"/>
          <c:showPercent val="0"/>
          <c:showBubbleSize val="0"/>
        </c:dLbls>
        <c:axId val="488054784"/>
        <c:axId val="488056704"/>
      </c:scatterChart>
      <c:scatterChart>
        <c:scatterStyle val="lineMarker"/>
        <c:varyColors val="0"/>
        <c:ser>
          <c:idx val="0"/>
          <c:order val="0"/>
          <c:tx>
            <c:strRef>
              <c:f>EH_Assessments!$AR$37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14B2-4D16-B2E3-CE5376140DCA}"/>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{48EEFE90-EE42-4EBB-9B07-38E03D53BDA9}</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14B2-4D16-B2E3-CE5376140DCA}"/>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{CCC40FAF-9502-4E15-BAE5-45B94F4003EE}</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14B2-4D16-B2E3-CE5376140DCA}"/>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{F4E65EDF-BE97-472D-82B9-0A285801104E}</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14B2-4D16-B2E3-CE5376140DCA}"/>
                </c:ext>
              </c:extLst>
            </c:dLbl>
            <c:dLbl>
              <c:idx val="3"/>
              <c:tx>
                <c:strRef>
                  <c:f>Sheet1!$K$7</c:f>
                  <c:strCache>
                    <c:ptCount val="1"/>
                    <c:pt idx="0">
                      <c:v>East Sussex</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{3B850B8D-B363-4FA2-A665-D0F19CC47240}</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14B2-4D16-B2E3-CE5376140DCA}"/>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{7C18D638-2F3D-4074-A1D6-0BD0AFEBCE77}</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14B2-4D16-B2E3-CE5376140DCA}"/>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{2A4DED48-0D38-42F9-91A2-656A0DC72CA1}</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14B2-4D16-B2E3-CE5376140DCA}"/>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{8A01E992-6CDE-4E8F-9B24-A67DC8FDEC95}</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14B2-4D16-B2E3-CE5376140DCA}"/>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{17403886-A08E-4B8D-839D-D8EC5C5E91DE}</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14B2-4D16-B2E3-CE5376140DCA}"/>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{2BA9115F-2B16-4767-8858-3213FE735C34}</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14B2-4D16-B2E3-CE5376140DCA}"/>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{71B70350-C445-4D10-A80B-6E554D6674B2}</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14B2-4D16-B2E3-CE5376140DCA}"/>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{5E9AEB4F-94AD-4457-858A-982369F4CD52}</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14B2-4D16-B2E3-CE5376140DCA}"/>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{E35751BB-2B4D-4EF1-9D81-D85B9E664DE4}</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14B2-4D16-B2E3-CE5376140DCA}"/>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{7A372B0B-933A-4784-B6CE-F2BFB59099E6}</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14B2-4D16-B2E3-CE5376140DCA}"/>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{FD155C43-5608-430E-8787-4D61540DA5C2}</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14B2-4D16-B2E3-CE5376140DCA}"/>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{2064E63D-89FD-4136-9A7D-AE44F28A342E}</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14B2-4D16-B2E3-CE5376140DCA}"/>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{F72841B9-07ED-4682-8DEF-A63A24DD1D95}</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14B2-4D16-B2E3-CE5376140DCA}"/>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{06C0A895-D252-4EF1-B7D0-A4063639378D}</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14B2-4D16-B2E3-CE5376140DCA}"/>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{0C527449-896E-4086-B468-C5E8F5193019}</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14B2-4D16-B2E3-CE5376140DCA}"/>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{4B6C0C33-4EE6-47B4-99DC-E60046D7FB01}</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14B2-4D16-B2E3-CE5376140DCA}"/>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(EH_Assessments!$AR$40:$AR$52,EH_Assessments!$AR$54:$AR$55,EH_Assessments!$AR$58:$AR$61)</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(EH_Assessments!$AP$40:$AP$52,EH_Assessments!$AP$54:$AP$55,EH_Assessments!$AP$58:$AP$61)</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14B2-4D16-B2E3-CE5376140DCA}"/>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14B2-4D16-B2E3-CE5376140DCA}"/>
              </c:ext>
            </c:extLst>
          </c:dPt>
          <c:dLbls>
            <c:dLbl>
              <c:idx val="0"/>
              <c:tx>
                <c:strRef>
                  <c:f>Sheet1!$K$17</c:f>
                  <c:strCache>
                    <c:ptCount val="1"/>
                    <c:pt idx="0">
                      <c:v>Somerset</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{8EFAFD23-D3D3-41CC-B10F-43CA0D036396}</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14B2-4D16-B2E3-CE5376140DCA}"/>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{46CB2B3E-63C5-4B9A-967B-6EF90CF3203E}</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14B2-4D16-B2E3-CE5376140DCA}"/>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{74022ECA-E80C-4BAA-89E8-B44AB757612E}</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14B2-4D16-B2E3-CE5376140DCA}"/>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(EH_Assessments!$AR$53,EH_Assessments!$AR$56:$AR$57)</c:f>
              <c:numCache>
                <c:formatCode>0.0</c:formatCode>
                <c:ptCount val="3"/>
                <c:pt idx="0">
                  <c:v>13.600000000000001</c:v>
                </c:pt>
                <c:pt idx="1">
                  <c:v>14.899999999999999</c:v>
                </c:pt>
                <c:pt idx="2">
                  <c:v>21.9</c:v>
                </c:pt>
              </c:numCache>
            </c:numRef>
          </c:xVal>
          <c:yVal>
            <c:numRef>
              <c:f>(EH_Assessments!$AP$53,EH_Assessments!$AP$56:$AP$57)</c:f>
              <c:numCache>
                <c:formatCode>0.0</c:formatCode>
                <c:ptCount val="3"/>
                <c:pt idx="0">
                  <c:v>#N/A</c:v>
                </c:pt>
                <c:pt idx="1">
                  <c:v>#N/A</c:v>
                </c:pt>
                <c:pt idx="2">
                  <c:v>#N/A</c:v>
                </c:pt>
              </c:numCache>
            </c:numRef>
          </c:yVal>
          <c:smooth val="0"/>
          <c:extLst>
            <c:ext xmlns:c16="http://schemas.microsoft.com/office/drawing/2014/chart" uri="{C3380CC4-5D6E-409C-BE32-E72D297353CC}">
              <c16:uniqueId val="{0000001B-14B2-4D16-B2E3-CE5376140DCA}"/>
            </c:ext>
          </c:extLst>
        </c:ser>
        <c:ser>
          <c:idx val="1"/>
          <c:order val="2"/>
          <c:tx>
            <c:strRef>
              <c:f>EH_Assessments!$Z$4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EH_Assessments!$AR$63</c:f>
              <c:numCache>
                <c:formatCode>0.0</c:formatCode>
                <c:ptCount val="1"/>
                <c:pt idx="0">
                  <c:v>#N/A</c:v>
                </c:pt>
              </c:numCache>
            </c:numRef>
          </c:xVal>
          <c:yVal>
            <c:numRef>
              <c:f>EH_Assessments!$AP$63</c:f>
              <c:numCache>
                <c:formatCode>0.0</c:formatCode>
                <c:ptCount val="1"/>
                <c:pt idx="0">
                  <c:v>#N/A</c:v>
                </c:pt>
              </c:numCache>
            </c:numRef>
          </c:yVal>
          <c:smooth val="0"/>
          <c:extLst>
            <c:ext xmlns:c16="http://schemas.microsoft.com/office/drawing/2014/chart" uri="{C3380CC4-5D6E-409C-BE32-E72D297353CC}">
              <c16:uniqueId val="{0000001C-14B2-4D16-B2E3-CE5376140DCA}"/>
            </c:ext>
          </c:extLst>
        </c:ser>
        <c:ser>
          <c:idx val="4"/>
          <c:order val="3"/>
          <c:tx>
            <c:strRef>
              <c:f>EH_Assessments!$B$32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EH_Assessments!$T$32</c:f>
              <c:numCache>
                <c:formatCode>0.0</c:formatCode>
                <c:ptCount val="1"/>
                <c:pt idx="0">
                  <c:v>0</c:v>
                </c:pt>
              </c:numCache>
            </c:numRef>
          </c:xVal>
          <c:yVal>
            <c:numRef>
              <c:f>EH_Assessments!$P$32</c:f>
              <c:numCache>
                <c:formatCode>0.0</c:formatCode>
                <c:ptCount val="1"/>
                <c:pt idx="0">
                  <c:v>#N/A</c:v>
                </c:pt>
              </c:numCache>
            </c:numRef>
          </c:yVal>
          <c:smooth val="0"/>
          <c:extLst>
            <c:ext xmlns:c16="http://schemas.microsoft.com/office/drawing/2014/chart" uri="{C3380CC4-5D6E-409C-BE32-E72D297353CC}">
              <c16:uniqueId val="{0000001D-14B2-4D16-B2E3-CE5376140DCA}"/>
            </c:ext>
          </c:extLst>
        </c:ser>
        <c:dLbls>
          <c:showLegendKey val="0"/>
          <c:showVal val="0"/>
          <c:showCatName val="0"/>
          <c:showSerName val="0"/>
          <c:showPercent val="0"/>
          <c:showBubbleSize val="0"/>
        </c:dLbls>
        <c:axId val="488054784"/>
        <c:axId val="488056704"/>
      </c:scatterChart>
      <c:valAx>
        <c:axId val="488054784"/>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88056704"/>
        <c:crosses val="autoZero"/>
        <c:crossBetween val="midCat"/>
        <c:majorUnit val="5"/>
      </c:valAx>
      <c:valAx>
        <c:axId val="48805670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Early Help Assessments per 10,000 0-17 year olds</a:t>
                </a:r>
              </a:p>
            </c:rich>
          </c:tx>
          <c:layout>
            <c:manualLayout>
              <c:xMode val="edge"/>
              <c:yMode val="edge"/>
              <c:x val="5.1878138520356179E-2"/>
              <c:y val="0.1530921557245604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8805478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Young People aged 16-17 who are EET </a:t>
            </a:r>
          </a:p>
          <a:p>
            <a:pPr>
              <a:defRPr sz="1000" b="1" i="0" u="none" strike="noStrike" baseline="0">
                <a:solidFill>
                  <a:srgbClr val="000000"/>
                </a:solidFill>
                <a:latin typeface="Arial"/>
                <a:ea typeface="Arial"/>
                <a:cs typeface="Arial"/>
              </a:defRPr>
            </a:pPr>
            <a:r>
              <a:rPr lang="en-GB"/>
              <a:t>vs. IDACI</a:t>
            </a:r>
          </a:p>
        </c:rich>
      </c:tx>
      <c:layout>
        <c:manualLayout>
          <c:xMode val="edge"/>
          <c:yMode val="edge"/>
          <c:x val="0.11969414782056352"/>
          <c:y val="1.810787165117873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NEET!$Y$41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9107-4EFD-A48E-DA2424BF7B7B}"/>
                </c:ext>
              </c:extLst>
            </c:dLbl>
            <c:dLbl>
              <c:idx val="1"/>
              <c:layout>
                <c:manualLayout>
                  <c:x val="-5.8479532163742583E-2"/>
                  <c:y val="-2.7149321266968326E-2"/>
                </c:manualLayout>
              </c:layout>
              <c:tx>
                <c:strRef>
                  <c:f>NEET!$AD$42</c:f>
                  <c:strCache>
                    <c:ptCount val="1"/>
                    <c:pt idx="0">
                      <c:v>#DIV/0!</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{C974151B-212E-46A2-AA93-2C7E1D164360}</c15:txfldGUID>
                      <c15:f>NEET!$AD$42</c15:f>
                      <c15:dlblFieldTableCache>
                        <c:ptCount val="1"/>
                        <c:pt idx="0">
                          <c:v>#DIV/0!</c:v>
                        </c:pt>
                      </c15:dlblFieldTableCache>
                    </c15:dlblFTEntry>
                  </c15:dlblFieldTable>
                  <c15:showDataLabelsRange val="0"/>
                </c:ext>
                <c:ext xmlns:c16="http://schemas.microsoft.com/office/drawing/2014/chart" uri="{C3380CC4-5D6E-409C-BE32-E72D297353CC}">
                  <c16:uniqueId val="{00000001-9107-4EFD-A48E-DA2424BF7B7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NEET!$AB$41:$AB$42</c:f>
              <c:numCache>
                <c:formatCode>General</c:formatCode>
                <c:ptCount val="2"/>
                <c:pt idx="0" formatCode="#,##0.0">
                  <c:v>5</c:v>
                </c:pt>
                <c:pt idx="1">
                  <c:v>35</c:v>
                </c:pt>
              </c:numCache>
            </c:numRef>
          </c:xVal>
          <c:yVal>
            <c:numRef>
              <c:f>NEET!$AC$41:$AC$42</c:f>
              <c:numCache>
                <c:formatCode>0.0</c:formatCode>
                <c:ptCount val="2"/>
                <c:pt idx="0">
                  <c:v>0</c:v>
                </c:pt>
                <c:pt idx="1">
                  <c:v>0</c:v>
                </c:pt>
              </c:numCache>
            </c:numRef>
          </c:yVal>
          <c:smooth val="1"/>
          <c:extLst>
            <c:ext xmlns:c16="http://schemas.microsoft.com/office/drawing/2014/chart" uri="{C3380CC4-5D6E-409C-BE32-E72D297353CC}">
              <c16:uniqueId val="{00000002-9107-4EFD-A48E-DA2424BF7B7B}"/>
            </c:ext>
          </c:extLst>
        </c:ser>
        <c:dLbls>
          <c:showLegendKey val="0"/>
          <c:showVal val="0"/>
          <c:showCatName val="0"/>
          <c:showSerName val="0"/>
          <c:showPercent val="0"/>
          <c:showBubbleSize val="0"/>
        </c:dLbls>
        <c:axId val="674138368"/>
        <c:axId val="674189696"/>
      </c:scatterChart>
      <c:scatterChart>
        <c:scatterStyle val="lineMarker"/>
        <c:varyColors val="0"/>
        <c:ser>
          <c:idx val="0"/>
          <c:order val="0"/>
          <c:tx>
            <c:strRef>
              <c:f>NEET!$AR$38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9107-4EFD-A48E-DA2424BF7B7B}"/>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{A636C67E-C9ED-48B1-90EC-E4CC3E07D81B}</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9107-4EFD-A48E-DA2424BF7B7B}"/>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{C24B3780-D470-48E0-9A72-1487601624EA}</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9107-4EFD-A48E-DA2424BF7B7B}"/>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{D51E5A3C-05A9-46BB-8AA2-42D72D496C0C}</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9107-4EFD-A48E-DA2424BF7B7B}"/>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{43176AA4-BFAE-4278-8398-D2D5B395BA39}</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9107-4EFD-A48E-DA2424BF7B7B}"/>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{8D99BBDC-E0A9-44BA-8ACF-303470EF1CBB}</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9107-4EFD-A48E-DA2424BF7B7B}"/>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{2623534B-3EC4-40F7-A39C-FA69E541FEA8}</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9107-4EFD-A48E-DA2424BF7B7B}"/>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{D1322AB1-AB54-489B-AE37-7D3240D12F5C}</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9107-4EFD-A48E-DA2424BF7B7B}"/>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{0E42A889-699D-4346-A494-F8E2874600A9}</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9107-4EFD-A48E-DA2424BF7B7B}"/>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{136B3EDE-D11F-4DC1-832C-9FB9CA3B8375}</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9107-4EFD-A48E-DA2424BF7B7B}"/>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{F1608A5D-60E9-4A1F-A55F-9EB729E435FE}</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9107-4EFD-A48E-DA2424BF7B7B}"/>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{D6B569F9-1660-4813-8404-133501842569}</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9107-4EFD-A48E-DA2424BF7B7B}"/>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{AA630E23-E97F-4AFF-B4A3-BD300D94DB50}</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9107-4EFD-A48E-DA2424BF7B7B}"/>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{6DA68879-C9A3-437A-9502-6E52A5843C37}</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9107-4EFD-A48E-DA2424BF7B7B}"/>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{F0BE5763-1D03-4E3C-9645-7AE06C2B1855}</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9107-4EFD-A48E-DA2424BF7B7B}"/>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{852C6607-1BDB-46B8-8CBA-8BC5A71E1FF8}</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9107-4EFD-A48E-DA2424BF7B7B}"/>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{0026BA3D-C17B-4DCE-840E-AC7C222A0D13}</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9107-4EFD-A48E-DA2424BF7B7B}"/>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{7F0D4216-1FE7-4CE4-9BF2-801458067DFF}</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9107-4EFD-A48E-DA2424BF7B7B}"/>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{E01520B1-6C22-4267-AA72-5209BEC7FE61}</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9107-4EFD-A48E-DA2424BF7B7B}"/>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{DCBCEDF0-E4AA-47B6-80DB-D4EBCC14DD9E}</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9107-4EFD-A48E-DA2424BF7B7B}"/>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(NEET!$AR$41:$AR$53,NEET!$AR$55:$AR$56,NEET!$AR$59:$AR$62)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(NEET!$AQ$41:$AQ$53,NEET!$AQ$55:$AQ$56,NEET!$AQ$59:$AQ$62)</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9107-4EFD-A48E-DA2424BF7B7B}"/>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9107-4EFD-A48E-DA2424BF7B7B}"/>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{DBE188EC-AF3F-4642-8E2C-0826377899F1}</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9107-4EFD-A48E-DA2424BF7B7B}"/>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{8AFD5344-8273-468E-B091-98D387531A73}</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9107-4EFD-A48E-DA2424BF7B7B}"/>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{B9B6A79B-56EA-497E-8926-57252B949BF8}</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9107-4EFD-A48E-DA2424BF7B7B}"/>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(NEET!$AR$54,NEET!$AR$57:$AR$58)</c:f>
              <c:numCache>
                <c:formatCode>0.0</c:formatCode>
                <c:ptCount val="3"/>
                <c:pt idx="0">
                  <c:v>13.600000000000001</c:v>
                </c:pt>
                <c:pt idx="1">
                  <c:v>14.899999999999999</c:v>
                </c:pt>
                <c:pt idx="2">
                  <c:v>21.9</c:v>
                </c:pt>
              </c:numCache>
            </c:numRef>
          </c:xVal>
          <c:yVal>
            <c:numRef>
              <c:f>(NEET!$AQ$54,NEET!$AQ$57:$AQ$58)</c:f>
              <c:numCache>
                <c:formatCode>0.0</c:formatCode>
                <c:ptCount val="3"/>
                <c:pt idx="0">
                  <c:v>#N/A</c:v>
                </c:pt>
                <c:pt idx="1">
                  <c:v>#N/A</c:v>
                </c:pt>
                <c:pt idx="2">
                  <c:v>#N/A</c:v>
                </c:pt>
              </c:numCache>
            </c:numRef>
          </c:yVal>
          <c:smooth val="0"/>
          <c:extLst>
            <c:ext xmlns:c16="http://schemas.microsoft.com/office/drawing/2014/chart" uri="{C3380CC4-5D6E-409C-BE32-E72D297353CC}">
              <c16:uniqueId val="{0000001B-9107-4EFD-A48E-DA2424BF7B7B}"/>
            </c:ext>
          </c:extLst>
        </c:ser>
        <c:ser>
          <c:idx val="1"/>
          <c:order val="2"/>
          <c:tx>
            <c:strRef>
              <c:f>NEET!$Z$4</c:f>
              <c:strCache>
                <c:ptCount val="1"/>
                <c:pt idx="0">
                  <c:v>(none)</c:v>
                </c:pt>
              </c:strCache>
            </c:strRef>
          </c:tx>
          <c:spPr>
            <a:ln w="28575">
              <a:noFill/>
            </a:ln>
          </c:spPr>
          <c:marker>
            <c:symbol val="circle"/>
            <c:size val="7"/>
            <c:spPr>
              <a:solidFill>
                <a:srgbClr val="66FF99"/>
              </a:solidFill>
              <a:ln>
                <a:solidFill>
                  <a:prstClr val="black"/>
                </a:solidFill>
              </a:ln>
            </c:spPr>
          </c:marker>
          <c:xVal>
            <c:numRef>
              <c:f>NEET!$AR$65</c:f>
              <c:numCache>
                <c:formatCode>0.0</c:formatCode>
                <c:ptCount val="1"/>
                <c:pt idx="0">
                  <c:v>#N/A</c:v>
                </c:pt>
              </c:numCache>
            </c:numRef>
          </c:xVal>
          <c:yVal>
            <c:numRef>
              <c:f>NEET!$AQ$65</c:f>
              <c:numCache>
                <c:formatCode>0.0</c:formatCode>
                <c:ptCount val="1"/>
                <c:pt idx="0">
                  <c:v>#N/A</c:v>
                </c:pt>
              </c:numCache>
            </c:numRef>
          </c:yVal>
          <c:smooth val="0"/>
          <c:extLst>
            <c:ext xmlns:c16="http://schemas.microsoft.com/office/drawing/2014/chart" uri="{C3380CC4-5D6E-409C-BE32-E72D297353CC}">
              <c16:uniqueId val="{0000001C-9107-4EFD-A48E-DA2424BF7B7B}"/>
            </c:ext>
          </c:extLst>
        </c:ser>
        <c:ser>
          <c:idx val="4"/>
          <c:order val="3"/>
          <c:tx>
            <c:strRef>
              <c:f>NEET!$B$32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NEET!$S$32</c:f>
              <c:numCache>
                <c:formatCode>0.0</c:formatCode>
                <c:ptCount val="1"/>
                <c:pt idx="0">
                  <c:v>0</c:v>
                </c:pt>
              </c:numCache>
            </c:numRef>
          </c:xVal>
          <c:yVal>
            <c:numRef>
              <c:f>NEET!$O$32</c:f>
              <c:numCache>
                <c:formatCode>0.0%</c:formatCode>
                <c:ptCount val="1"/>
                <c:pt idx="0">
                  <c:v>#N/A</c:v>
                </c:pt>
              </c:numCache>
            </c:numRef>
          </c:yVal>
          <c:smooth val="0"/>
          <c:extLst>
            <c:ext xmlns:c16="http://schemas.microsoft.com/office/drawing/2014/chart" uri="{C3380CC4-5D6E-409C-BE32-E72D297353CC}">
              <c16:uniqueId val="{0000001D-9107-4EFD-A48E-DA2424BF7B7B}"/>
            </c:ext>
          </c:extLst>
        </c:ser>
        <c:ser>
          <c:idx val="2"/>
          <c:order val="4"/>
          <c:tx>
            <c:strRef>
              <c:f>NEET!$Y$43</c:f>
              <c:strCache>
                <c:ptCount val="1"/>
                <c:pt idx="0">
                  <c:v>National Trend 2020</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9107-4EFD-A48E-DA2424BF7B7B}"/>
                </c:ext>
              </c:extLst>
            </c:dLbl>
            <c:dLbl>
              <c:idx val="1"/>
              <c:layout>
                <c:manualLayout>
                  <c:x val="-6.9574526868351985E-2"/>
                  <c:y val="2.1116138763197588E-2"/>
                </c:manualLayout>
              </c:layout>
              <c:tx>
                <c:strRef>
                  <c:f>NEET!$AD$43</c:f>
                  <c:strCache>
                    <c:ptCount val="1"/>
                    <c:pt idx="0">
                      <c:v>r² = 0.0224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{89EA6319-4430-4FFC-9C44-05001894CA04}</c15:txfldGUID>
                      <c15:f>NEET!$AD$43</c15:f>
                      <c15:dlblFieldTableCache>
                        <c:ptCount val="1"/>
                        <c:pt idx="0">
                          <c:v>r² = 0.0224</c:v>
                        </c:pt>
                      </c15:dlblFieldTableCache>
                    </c15:dlblFTEntry>
                  </c15:dlblFieldTable>
                  <c15:showDataLabelsRange val="0"/>
                </c:ext>
                <c:ext xmlns:c16="http://schemas.microsoft.com/office/drawing/2014/chart" uri="{C3380CC4-5D6E-409C-BE32-E72D297353CC}">
                  <c16:uniqueId val="{0000001F-9107-4EFD-A48E-DA2424BF7B7B}"/>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NEET!$AB$43:$AB$44</c:f>
              <c:numCache>
                <c:formatCode>General</c:formatCode>
                <c:ptCount val="2"/>
                <c:pt idx="0" formatCode="#,##0.0">
                  <c:v>5</c:v>
                </c:pt>
                <c:pt idx="1">
                  <c:v>35</c:v>
                </c:pt>
              </c:numCache>
            </c:numRef>
          </c:xVal>
          <c:yVal>
            <c:numRef>
              <c:f>NEET!$AC$43:$AC$44</c:f>
              <c:numCache>
                <c:formatCode>0.0%</c:formatCode>
                <c:ptCount val="2"/>
                <c:pt idx="0">
                  <c:v>0.95585445846898043</c:v>
                </c:pt>
                <c:pt idx="1">
                  <c:v>0.93436837958875829</c:v>
                </c:pt>
              </c:numCache>
            </c:numRef>
          </c:yVal>
          <c:smooth val="0"/>
          <c:extLst>
            <c:ext xmlns:c16="http://schemas.microsoft.com/office/drawing/2014/chart" uri="{C3380CC4-5D6E-409C-BE32-E72D297353CC}">
              <c16:uniqueId val="{00000020-9107-4EFD-A48E-DA2424BF7B7B}"/>
            </c:ext>
          </c:extLst>
        </c:ser>
        <c:dLbls>
          <c:showLegendKey val="0"/>
          <c:showVal val="0"/>
          <c:showCatName val="0"/>
          <c:showSerName val="0"/>
          <c:showPercent val="0"/>
          <c:showBubbleSize val="0"/>
        </c:dLbls>
        <c:axId val="674138368"/>
        <c:axId val="674189696"/>
      </c:scatterChart>
      <c:valAx>
        <c:axId val="674138368"/>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189696"/>
        <c:crosses val="autoZero"/>
        <c:crossBetween val="midCat"/>
        <c:majorUnit val="5"/>
      </c:valAx>
      <c:valAx>
        <c:axId val="67418969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Proportion of Young People aged 16-17 who are EET </a:t>
                </a:r>
              </a:p>
              <a:p>
                <a:pPr>
                  <a:defRPr sz="800" b="1" i="0" u="none" strike="noStrike" baseline="0">
                    <a:solidFill>
                      <a:srgbClr val="000000"/>
                    </a:solidFill>
                    <a:latin typeface="Arial"/>
                    <a:ea typeface="Arial"/>
                    <a:cs typeface="Arial"/>
                  </a:defRPr>
                </a:pPr>
                <a:r>
                  <a:rPr lang="en-GB" sz="800" b="1" i="0" u="none" strike="noStrike" baseline="0">
                    <a:effectLst/>
                  </a:rPr>
                  <a:t>per 10,000 0-17 year olds</a:t>
                </a:r>
              </a:p>
            </c:rich>
          </c:tx>
          <c:layout>
            <c:manualLayout>
              <c:xMode val="edge"/>
              <c:yMode val="edge"/>
              <c:x val="3.6771054303143612E-2"/>
              <c:y val="0.1521843891135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13836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Juvenile Offenders who are Re-offenders</a:t>
            </a:r>
          </a:p>
        </c:rich>
      </c:tx>
      <c:layout>
        <c:manualLayout>
          <c:xMode val="edge"/>
          <c:yMode val="edge"/>
          <c:x val="0.10092501950769667"/>
          <c:y val="3.8618662324468814E-3"/>
        </c:manualLayout>
      </c:layout>
      <c:overlay val="0"/>
      <c:spPr>
        <a:noFill/>
        <a:ln w="25400">
          <a:noFill/>
        </a:ln>
      </c:spPr>
    </c:title>
    <c:autoTitleDeleted val="0"/>
    <c:plotArea>
      <c:layout>
        <c:manualLayout>
          <c:layoutTarget val="inner"/>
          <c:xMode val="edge"/>
          <c:yMode val="edge"/>
          <c:x val="9.8666564984461691E-2"/>
          <c:y val="0.21047931508561429"/>
          <c:w val="0.55238050649074266"/>
          <c:h val="0.5900225515696037"/>
        </c:manualLayout>
      </c:layout>
      <c:barChart>
        <c:barDir val="col"/>
        <c:grouping val="clustered"/>
        <c:varyColors val="0"/>
        <c:ser>
          <c:idx val="6"/>
          <c:order val="0"/>
          <c:tx>
            <c:strRef>
              <c:f>Offending!$AA$4</c:f>
              <c:strCache>
                <c:ptCount val="1"/>
                <c:pt idx="0">
                  <c:v>Selected LA- (none)</c:v>
                </c:pt>
              </c:strCache>
            </c:strRef>
          </c:tx>
          <c:spPr>
            <a:solidFill>
              <a:srgbClr val="66FF99"/>
            </a:solidFill>
            <a:ln>
              <a:solidFill>
                <a:schemeClr val="tx1">
                  <a:lumMod val="75000"/>
                  <a:lumOff val="25000"/>
                </a:schemeClr>
              </a:solidFill>
            </a:ln>
          </c:spPr>
          <c:invertIfNegative val="0"/>
          <c:cat>
            <c:strRef>
              <c:f>Offending!$Z$2:$AD$3</c:f>
              <c:strCache>
                <c:ptCount val="5"/>
                <c:pt idx="0">
                  <c:v>2015-16</c:v>
                </c:pt>
                <c:pt idx="1">
                  <c:v>2016-17</c:v>
                </c:pt>
                <c:pt idx="2">
                  <c:v>2017-18</c:v>
                </c:pt>
                <c:pt idx="3">
                  <c:v>2018-19</c:v>
                </c:pt>
                <c:pt idx="4">
                  <c:v>2019-20</c:v>
                </c:pt>
              </c:strCache>
            </c:strRef>
          </c:cat>
          <c:val>
            <c:numRef>
              <c:f>Offending!$AZ$33:$BD$33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D73D-4E72-B64C-A719218BAC07}"/>
            </c:ext>
          </c:extLst>
        </c:ser>
        <c:ser>
          <c:idx val="4"/>
          <c:order val="1"/>
          <c:tx>
            <c:strRef>
              <c:f>Offending!$B$31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Offending!$Z$2:$AD$3</c:f>
              <c:strCache>
                <c:ptCount val="5"/>
                <c:pt idx="0">
                  <c:v>2015-16</c:v>
                </c:pt>
                <c:pt idx="1">
                  <c:v>2016-17</c:v>
                </c:pt>
                <c:pt idx="2">
                  <c:v>2017-18</c:v>
                </c:pt>
                <c:pt idx="3">
                  <c:v>2018-19</c:v>
                </c:pt>
                <c:pt idx="4">
                  <c:v>2019-20</c:v>
                </c:pt>
              </c:strCache>
            </c:strRef>
          </c:cat>
          <c:val>
            <c:numRef>
              <c:f>Offending!$D$31:$H$31</c:f>
              <c:numCache>
                <c:formatCode>0%</c:formatCode>
                <c:ptCount val="5"/>
                <c:pt idx="0">
                  <c:v>0.43262987012987014</c:v>
                </c:pt>
                <c:pt idx="1">
                  <c:v>0.40192180251822401</c:v>
                </c:pt>
                <c:pt idx="2">
                  <c:v>0.39244247413975092</c:v>
                </c:pt>
                <c:pt idx="3">
                  <c:v>0.36968228325255786</c:v>
                </c:pt>
                <c:pt idx="4">
                  <c:v>0.36812499999999998</c:v>
                </c:pt>
              </c:numCache>
            </c:numRef>
          </c:val>
          <c:extLst>
            <c:ext xmlns:c16="http://schemas.microsoft.com/office/drawing/2014/chart" uri="{C3380CC4-5D6E-409C-BE32-E72D297353CC}">
              <c16:uniqueId val="{00000001-D73D-4E72-B64C-A719218BAC07}"/>
            </c:ext>
          </c:extLst>
        </c:ser>
        <c:ser>
          <c:idx val="0"/>
          <c:order val="2"/>
          <c:tx>
            <c:strRef>
              <c:f>Offending!$B$32</c:f>
              <c:strCache>
                <c:ptCount val="1"/>
                <c:pt idx="0">
                  <c:v>England and Wales</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Offending!$Z$2:$AD$3</c:f>
              <c:strCache>
                <c:ptCount val="5"/>
                <c:pt idx="0">
                  <c:v>2015-16</c:v>
                </c:pt>
                <c:pt idx="1">
                  <c:v>2016-17</c:v>
                </c:pt>
                <c:pt idx="2">
                  <c:v>2017-18</c:v>
                </c:pt>
                <c:pt idx="3">
                  <c:v>2018-19</c:v>
                </c:pt>
                <c:pt idx="4">
                  <c:v>2019-20</c:v>
                </c:pt>
              </c:strCache>
            </c:strRef>
          </c:cat>
          <c:val>
            <c:numRef>
              <c:f>Offending!$D$32:$H$32</c:f>
              <c:numCache>
                <c:formatCode>0%</c:formatCode>
                <c:ptCount val="5"/>
                <c:pt idx="0">
                  <c:v>0.42916372112573797</c:v>
                </c:pt>
                <c:pt idx="1">
                  <c:v>0.42595799476044582</c:v>
                </c:pt>
                <c:pt idx="2">
                  <c:v>0.42229412378666109</c:v>
                </c:pt>
                <c:pt idx="3">
                  <c:v>0.40944717003709463</c:v>
                </c:pt>
                <c:pt idx="4">
                  <c:v>0.38410875920121157</c:v>
                </c:pt>
              </c:numCache>
            </c:numRef>
          </c:val>
          <c:extLst>
            <c:ext xmlns:c16="http://schemas.microsoft.com/office/drawing/2014/chart" uri="{C3380CC4-5D6E-409C-BE32-E72D297353CC}">
              <c16:uniqueId val="{00000002-D73D-4E72-B64C-A719218BAC07}"/>
            </c:ext>
          </c:extLst>
        </c:ser>
        <c:dLbls>
          <c:showLegendKey val="0"/>
          <c:showVal val="0"/>
          <c:showCatName val="0"/>
          <c:showSerName val="0"/>
          <c:showPercent val="0"/>
          <c:showBubbleSize val="0"/>
        </c:dLbls>
        <c:gapWidth val="100"/>
        <c:axId val="674496512"/>
        <c:axId val="674498048"/>
      </c:barChart>
      <c:catAx>
        <c:axId val="674496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498048"/>
        <c:crosses val="autoZero"/>
        <c:auto val="1"/>
        <c:lblAlgn val="ctr"/>
        <c:lblOffset val="100"/>
        <c:noMultiLvlLbl val="0"/>
      </c:catAx>
      <c:valAx>
        <c:axId val="67449804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496512"/>
        <c:crosses val="autoZero"/>
        <c:crossBetween val="between"/>
      </c:valAx>
      <c:spPr>
        <a:noFill/>
        <a:ln w="3175">
          <a:solidFill>
            <a:srgbClr val="000000"/>
          </a:solidFill>
          <a:prstDash val="solid"/>
        </a:ln>
      </c:spPr>
    </c:plotArea>
    <c:legend>
      <c:legendPos val="r"/>
      <c:layout>
        <c:manualLayout>
          <c:xMode val="edge"/>
          <c:yMode val="edge"/>
          <c:x val="0.66195757962687096"/>
          <c:y val="0.13285149209871638"/>
          <c:w val="0.33804242037312904"/>
          <c:h val="0.8671485079012835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Juvenile</a:t>
            </a:r>
            <a:r>
              <a:rPr lang="en-GB" baseline="0"/>
              <a:t> Offenders who Re-offend*</a:t>
            </a:r>
            <a:endParaRPr lang="en-GB"/>
          </a:p>
        </c:rich>
      </c:tx>
      <c:layout>
        <c:manualLayout>
          <c:xMode val="edge"/>
          <c:yMode val="edge"/>
          <c:x val="0.26732402551314477"/>
          <c:y val="1.8660586976836556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411825331631042"/>
        </c:manualLayout>
      </c:layout>
      <c:lineChart>
        <c:grouping val="standard"/>
        <c:varyColors val="0"/>
        <c:ser>
          <c:idx val="0"/>
          <c:order val="0"/>
          <c:tx>
            <c:strRef>
              <c:f>Offending!$AS$9</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9BD-4389-8B19-BAA22E51B036}"/>
              </c:ext>
            </c:extLst>
          </c:dPt>
          <c:cat>
            <c:numRef>
              <c:f>Offending!$D$8:$H$8</c:f>
              <c:numCache>
                <c:formatCode>mmm\-yy</c:formatCode>
                <c:ptCount val="5"/>
                <c:pt idx="0">
                  <c:v>41699</c:v>
                </c:pt>
                <c:pt idx="1">
                  <c:v>42064</c:v>
                </c:pt>
                <c:pt idx="2">
                  <c:v>42430</c:v>
                </c:pt>
                <c:pt idx="3">
                  <c:v>42795</c:v>
                </c:pt>
                <c:pt idx="4">
                  <c:v>43160</c:v>
                </c:pt>
              </c:numCache>
            </c:numRef>
          </c:cat>
          <c:val>
            <c:numRef>
              <c:f>Offending!$AZ$9:$BD$9</c:f>
              <c:numCache>
                <c:formatCode>0.0%</c:formatCode>
                <c:ptCount val="5"/>
                <c:pt idx="0">
                  <c:v>0.40277777777777779</c:v>
                </c:pt>
                <c:pt idx="1">
                  <c:v>0.31147540983606559</c:v>
                </c:pt>
                <c:pt idx="2">
                  <c:v>0.2857142857142857</c:v>
                </c:pt>
                <c:pt idx="3">
                  <c:v>0.21276595744680851</c:v>
                </c:pt>
                <c:pt idx="4">
                  <c:v>0.2</c:v>
                </c:pt>
              </c:numCache>
            </c:numRef>
          </c:val>
          <c:smooth val="0"/>
          <c:extLst>
            <c:ext xmlns:c16="http://schemas.microsoft.com/office/drawing/2014/chart" uri="{C3380CC4-5D6E-409C-BE32-E72D297353CC}">
              <c16:uniqueId val="{00000001-F9BD-4389-8B19-BAA22E51B036}"/>
            </c:ext>
          </c:extLst>
        </c:ser>
        <c:ser>
          <c:idx val="1"/>
          <c:order val="1"/>
          <c:tx>
            <c:strRef>
              <c:f>Offending!$AS$10</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Offending!$AZ$10:$BD$10</c:f>
              <c:numCache>
                <c:formatCode>0.0%</c:formatCode>
                <c:ptCount val="5"/>
                <c:pt idx="0">
                  <c:v>0.53629032258064513</c:v>
                </c:pt>
                <c:pt idx="1">
                  <c:v>0.48888888888888887</c:v>
                </c:pt>
                <c:pt idx="2">
                  <c:v>0.46875</c:v>
                </c:pt>
                <c:pt idx="3">
                  <c:v>0.5847457627118644</c:v>
                </c:pt>
                <c:pt idx="4">
                  <c:v>0.44262295081967212</c:v>
                </c:pt>
              </c:numCache>
            </c:numRef>
          </c:val>
          <c:smooth val="0"/>
          <c:extLst>
            <c:ext xmlns:c16="http://schemas.microsoft.com/office/drawing/2014/chart" uri="{C3380CC4-5D6E-409C-BE32-E72D297353CC}">
              <c16:uniqueId val="{00000002-F9BD-4389-8B19-BAA22E51B036}"/>
            </c:ext>
          </c:extLst>
        </c:ser>
        <c:ser>
          <c:idx val="2"/>
          <c:order val="2"/>
          <c:tx>
            <c:strRef>
              <c:f>Offending!$AS$11</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Offending!$AZ$11:$BD$11</c:f>
              <c:numCache>
                <c:formatCode>0.0%</c:formatCode>
                <c:ptCount val="5"/>
                <c:pt idx="0">
                  <c:v>0.40433212996389889</c:v>
                </c:pt>
                <c:pt idx="1">
                  <c:v>0.35680751173708919</c:v>
                </c:pt>
                <c:pt idx="2">
                  <c:v>0.42738589211618255</c:v>
                </c:pt>
                <c:pt idx="3">
                  <c:v>0.35537190082644626</c:v>
                </c:pt>
                <c:pt idx="4">
                  <c:v>0.28767123287671231</c:v>
                </c:pt>
              </c:numCache>
            </c:numRef>
          </c:val>
          <c:smooth val="0"/>
          <c:extLst>
            <c:ext xmlns:c16="http://schemas.microsoft.com/office/drawing/2014/chart" uri="{C3380CC4-5D6E-409C-BE32-E72D297353CC}">
              <c16:uniqueId val="{00000003-F9BD-4389-8B19-BAA22E51B036}"/>
            </c:ext>
          </c:extLst>
        </c:ser>
        <c:ser>
          <c:idx val="5"/>
          <c:order val="3"/>
          <c:tx>
            <c:strRef>
              <c:f>Offending!$AS$12</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Offending!$AZ$12:$BD$12</c:f>
              <c:numCache>
                <c:formatCode>0.0%</c:formatCode>
                <c:ptCount val="5"/>
                <c:pt idx="0">
                  <c:v>0.41037735849056606</c:v>
                </c:pt>
                <c:pt idx="1">
                  <c:v>0.44289693593314761</c:v>
                </c:pt>
                <c:pt idx="2">
                  <c:v>0.48172757475083056</c:v>
                </c:pt>
                <c:pt idx="3">
                  <c:v>0.38775510204081631</c:v>
                </c:pt>
                <c:pt idx="4">
                  <c:v>0.28169014084507044</c:v>
                </c:pt>
              </c:numCache>
            </c:numRef>
          </c:val>
          <c:smooth val="0"/>
          <c:extLst>
            <c:ext xmlns:c16="http://schemas.microsoft.com/office/drawing/2014/chart" uri="{C3380CC4-5D6E-409C-BE32-E72D297353CC}">
              <c16:uniqueId val="{00000004-F9BD-4389-8B19-BAA22E51B036}"/>
            </c:ext>
          </c:extLst>
        </c:ser>
        <c:ser>
          <c:idx val="9"/>
          <c:order val="4"/>
          <c:tx>
            <c:strRef>
              <c:f>Offending!$AS$13</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Offending!$AZ$13:$BD$13</c:f>
              <c:numCache>
                <c:formatCode>0.0%</c:formatCode>
                <c:ptCount val="5"/>
                <c:pt idx="0">
                  <c:v>0.42898272552783112</c:v>
                </c:pt>
                <c:pt idx="1">
                  <c:v>0.42129105322763305</c:v>
                </c:pt>
                <c:pt idx="2">
                  <c:v>0.39912280701754388</c:v>
                </c:pt>
                <c:pt idx="3">
                  <c:v>0.45824847250509165</c:v>
                </c:pt>
                <c:pt idx="4">
                  <c:v>0.34468085106382979</c:v>
                </c:pt>
              </c:numCache>
            </c:numRef>
          </c:val>
          <c:smooth val="0"/>
          <c:extLst>
            <c:ext xmlns:c16="http://schemas.microsoft.com/office/drawing/2014/chart" uri="{C3380CC4-5D6E-409C-BE32-E72D297353CC}">
              <c16:uniqueId val="{00000005-F9BD-4389-8B19-BAA22E51B036}"/>
            </c:ext>
          </c:extLst>
        </c:ser>
        <c:ser>
          <c:idx val="10"/>
          <c:order val="5"/>
          <c:tx>
            <c:strRef>
              <c:f>Offending!$AS$14</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Offending!$AZ$14:$BD$14</c:f>
              <c:numCache>
                <c:formatCode>0.0%</c:formatCode>
                <c:ptCount val="5"/>
                <c:pt idx="0">
                  <c:v>0.52736318407960203</c:v>
                </c:pt>
                <c:pt idx="1">
                  <c:v>0.64</c:v>
                </c:pt>
                <c:pt idx="2">
                  <c:v>0.5546875</c:v>
                </c:pt>
                <c:pt idx="3">
                  <c:v>0.5</c:v>
                </c:pt>
                <c:pt idx="4">
                  <c:v>0.45544554455445546</c:v>
                </c:pt>
              </c:numCache>
            </c:numRef>
          </c:val>
          <c:smooth val="0"/>
          <c:extLst>
            <c:ext xmlns:c16="http://schemas.microsoft.com/office/drawing/2014/chart" uri="{C3380CC4-5D6E-409C-BE32-E72D297353CC}">
              <c16:uniqueId val="{00000006-F9BD-4389-8B19-BAA22E51B036}"/>
            </c:ext>
          </c:extLst>
        </c:ser>
        <c:ser>
          <c:idx val="11"/>
          <c:order val="6"/>
          <c:tx>
            <c:strRef>
              <c:f>Offending!$AS$15</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Offending!$AZ$15:$BD$15</c:f>
              <c:numCache>
                <c:formatCode>0.0%</c:formatCode>
                <c:ptCount val="5"/>
                <c:pt idx="0">
                  <c:v>0.42661336379211878</c:v>
                </c:pt>
                <c:pt idx="1">
                  <c:v>0.36714610143830434</c:v>
                </c:pt>
                <c:pt idx="2">
                  <c:v>0.34428086070215175</c:v>
                </c:pt>
                <c:pt idx="3">
                  <c:v>0.35500878734622143</c:v>
                </c:pt>
                <c:pt idx="4">
                  <c:v>0.34817813765182187</c:v>
                </c:pt>
              </c:numCache>
            </c:numRef>
          </c:val>
          <c:smooth val="0"/>
          <c:extLst>
            <c:ext xmlns:c16="http://schemas.microsoft.com/office/drawing/2014/chart" uri="{C3380CC4-5D6E-409C-BE32-E72D297353CC}">
              <c16:uniqueId val="{00000007-F9BD-4389-8B19-BAA22E51B036}"/>
            </c:ext>
          </c:extLst>
        </c:ser>
        <c:ser>
          <c:idx val="12"/>
          <c:order val="7"/>
          <c:tx>
            <c:strRef>
              <c:f>Offending!$AS$16</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Offending!$AZ$16:$BD$16</c:f>
              <c:numCache>
                <c:formatCode>0.0%</c:formatCode>
                <c:ptCount val="5"/>
                <c:pt idx="0">
                  <c:v>0.40569395017793597</c:v>
                </c:pt>
                <c:pt idx="1">
                  <c:v>0.40799999999999997</c:v>
                </c:pt>
                <c:pt idx="2">
                  <c:v>0.42346938775510207</c:v>
                </c:pt>
                <c:pt idx="3">
                  <c:v>0.46794871794871795</c:v>
                </c:pt>
                <c:pt idx="4">
                  <c:v>0.35862068965517241</c:v>
                </c:pt>
              </c:numCache>
            </c:numRef>
          </c:val>
          <c:smooth val="0"/>
          <c:extLst>
            <c:ext xmlns:c16="http://schemas.microsoft.com/office/drawing/2014/chart" uri="{C3380CC4-5D6E-409C-BE32-E72D297353CC}">
              <c16:uniqueId val="{00000008-F9BD-4389-8B19-BAA22E51B036}"/>
            </c:ext>
          </c:extLst>
        </c:ser>
        <c:ser>
          <c:idx val="13"/>
          <c:order val="8"/>
          <c:tx>
            <c:strRef>
              <c:f>Offending!$AS$17</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Offending!$AZ$17:$BD$17</c:f>
              <c:numCache>
                <c:formatCode>0.0%</c:formatCode>
                <c:ptCount val="5"/>
                <c:pt idx="0">
                  <c:v>0.30735930735930733</c:v>
                </c:pt>
                <c:pt idx="1">
                  <c:v>0.34358974358974359</c:v>
                </c:pt>
                <c:pt idx="2">
                  <c:v>0.24875621890547264</c:v>
                </c:pt>
                <c:pt idx="3">
                  <c:v>0.35911602209944754</c:v>
                </c:pt>
                <c:pt idx="4">
                  <c:v>0.40939597315436244</c:v>
                </c:pt>
              </c:numCache>
            </c:numRef>
          </c:val>
          <c:smooth val="0"/>
          <c:extLst>
            <c:ext xmlns:c16="http://schemas.microsoft.com/office/drawing/2014/chart" uri="{C3380CC4-5D6E-409C-BE32-E72D297353CC}">
              <c16:uniqueId val="{00000009-F9BD-4389-8B19-BAA22E51B036}"/>
            </c:ext>
          </c:extLst>
        </c:ser>
        <c:ser>
          <c:idx val="15"/>
          <c:order val="9"/>
          <c:tx>
            <c:strRef>
              <c:f>Offending!$AS$18</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Offending!$AZ$18:$BD$18</c:f>
              <c:numCache>
                <c:formatCode>0.0%</c:formatCode>
                <c:ptCount val="5"/>
                <c:pt idx="0">
                  <c:v>0.3316831683168317</c:v>
                </c:pt>
                <c:pt idx="1">
                  <c:v>0.34188034188034189</c:v>
                </c:pt>
                <c:pt idx="2">
                  <c:v>0.36842105263157893</c:v>
                </c:pt>
                <c:pt idx="3">
                  <c:v>0.36879432624113473</c:v>
                </c:pt>
                <c:pt idx="4">
                  <c:v>0.29914529914529914</c:v>
                </c:pt>
              </c:numCache>
            </c:numRef>
          </c:val>
          <c:smooth val="0"/>
          <c:extLst>
            <c:ext xmlns:c16="http://schemas.microsoft.com/office/drawing/2014/chart" uri="{C3380CC4-5D6E-409C-BE32-E72D297353CC}">
              <c16:uniqueId val="{0000000A-F9BD-4389-8B19-BAA22E51B036}"/>
            </c:ext>
          </c:extLst>
        </c:ser>
        <c:ser>
          <c:idx val="16"/>
          <c:order val="10"/>
          <c:tx>
            <c:strRef>
              <c:f>Offending!$AS$19</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Offending!$AZ$19:$BD$19</c:f>
              <c:numCache>
                <c:formatCode>0.0%</c:formatCode>
                <c:ptCount val="5"/>
                <c:pt idx="0">
                  <c:v>0.54333333333333333</c:v>
                </c:pt>
                <c:pt idx="1">
                  <c:v>0.47583643122676578</c:v>
                </c:pt>
                <c:pt idx="2">
                  <c:v>0.51428571428571423</c:v>
                </c:pt>
                <c:pt idx="3">
                  <c:v>0.56830601092896171</c:v>
                </c:pt>
                <c:pt idx="4">
                  <c:v>0.59624413145539901</c:v>
                </c:pt>
              </c:numCache>
            </c:numRef>
          </c:val>
          <c:smooth val="0"/>
          <c:extLst>
            <c:ext xmlns:c16="http://schemas.microsoft.com/office/drawing/2014/chart" uri="{C3380CC4-5D6E-409C-BE32-E72D297353CC}">
              <c16:uniqueId val="{0000000B-F9BD-4389-8B19-BAA22E51B036}"/>
            </c:ext>
          </c:extLst>
        </c:ser>
        <c:ser>
          <c:idx val="17"/>
          <c:order val="11"/>
          <c:tx>
            <c:strRef>
              <c:f>Offending!$AS$20</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Offending!$AZ$20:$BD$20</c:f>
              <c:numCache>
                <c:formatCode>0.0%</c:formatCode>
                <c:ptCount val="5"/>
                <c:pt idx="0">
                  <c:v>0.52755905511811019</c:v>
                </c:pt>
                <c:pt idx="1">
                  <c:v>0.43801652892561982</c:v>
                </c:pt>
                <c:pt idx="2">
                  <c:v>0.32258064516129031</c:v>
                </c:pt>
                <c:pt idx="3">
                  <c:v>0.32173913043478258</c:v>
                </c:pt>
                <c:pt idx="4">
                  <c:v>0.30864197530864196</c:v>
                </c:pt>
              </c:numCache>
            </c:numRef>
          </c:val>
          <c:smooth val="0"/>
          <c:extLst>
            <c:ext xmlns:c16="http://schemas.microsoft.com/office/drawing/2014/chart" uri="{C3380CC4-5D6E-409C-BE32-E72D297353CC}">
              <c16:uniqueId val="{0000000C-F9BD-4389-8B19-BAA22E51B036}"/>
            </c:ext>
          </c:extLst>
        </c:ser>
        <c:ser>
          <c:idx val="19"/>
          <c:order val="12"/>
          <c:tx>
            <c:strRef>
              <c:f>Offending!$AS$21</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Offending!$AZ$21:$BD$21</c:f>
              <c:numCache>
                <c:formatCode>0.0%</c:formatCode>
                <c:ptCount val="5"/>
                <c:pt idx="0">
                  <c:v>0.41025641025641024</c:v>
                </c:pt>
                <c:pt idx="1">
                  <c:v>0.44715447154471544</c:v>
                </c:pt>
                <c:pt idx="2">
                  <c:v>0.42758620689655175</c:v>
                </c:pt>
                <c:pt idx="3">
                  <c:v>0.41346153846153844</c:v>
                </c:pt>
                <c:pt idx="4">
                  <c:v>0.51020408163265307</c:v>
                </c:pt>
              </c:numCache>
            </c:numRef>
          </c:val>
          <c:smooth val="0"/>
          <c:extLst>
            <c:ext xmlns:c16="http://schemas.microsoft.com/office/drawing/2014/chart" uri="{C3380CC4-5D6E-409C-BE32-E72D297353CC}">
              <c16:uniqueId val="{0000000D-F9BD-4389-8B19-BAA22E51B036}"/>
            </c:ext>
          </c:extLst>
        </c:ser>
        <c:ser>
          <c:idx val="3"/>
          <c:order val="13"/>
          <c:tx>
            <c:strRef>
              <c:f>Offending!$AS$22</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Offending!$AZ$22:$BD$22</c:f>
              <c:numCache>
                <c:formatCode>0.0%</c:formatCode>
                <c:ptCount val="5"/>
                <c:pt idx="0">
                  <c:v>0.36952380952380953</c:v>
                </c:pt>
                <c:pt idx="1">
                  <c:v>0.35980148883374691</c:v>
                </c:pt>
                <c:pt idx="2">
                  <c:v>0.34876543209876543</c:v>
                </c:pt>
                <c:pt idx="3">
                  <c:v>0.38970588235294118</c:v>
                </c:pt>
                <c:pt idx="4">
                  <c:v>0.36138613861386137</c:v>
                </c:pt>
              </c:numCache>
            </c:numRef>
          </c:val>
          <c:smooth val="0"/>
          <c:extLst>
            <c:ext xmlns:c16="http://schemas.microsoft.com/office/drawing/2014/chart" uri="{C3380CC4-5D6E-409C-BE32-E72D297353CC}">
              <c16:uniqueId val="{0000000E-F9BD-4389-8B19-BAA22E51B036}"/>
            </c:ext>
          </c:extLst>
        </c:ser>
        <c:ser>
          <c:idx val="20"/>
          <c:order val="14"/>
          <c:tx>
            <c:strRef>
              <c:f>Offending!$AS$23</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Offending!$AZ$23:$BD$23</c:f>
              <c:numCache>
                <c:formatCode>0.0%</c:formatCode>
                <c:ptCount val="5"/>
                <c:pt idx="0">
                  <c:v>0.42280285035629456</c:v>
                </c:pt>
                <c:pt idx="1">
                  <c:v>0.42153846153846153</c:v>
                </c:pt>
                <c:pt idx="2">
                  <c:v>0.46586345381526106</c:v>
                </c:pt>
                <c:pt idx="3">
                  <c:v>0.4157303370786517</c:v>
                </c:pt>
                <c:pt idx="4">
                  <c:v>0.38372093023255816</c:v>
                </c:pt>
              </c:numCache>
            </c:numRef>
          </c:val>
          <c:smooth val="0"/>
          <c:extLst>
            <c:ext xmlns:c16="http://schemas.microsoft.com/office/drawing/2014/chart" uri="{C3380CC4-5D6E-409C-BE32-E72D297353CC}">
              <c16:uniqueId val="{0000000F-F9BD-4389-8B19-BAA22E51B036}"/>
            </c:ext>
          </c:extLst>
        </c:ser>
        <c:ser>
          <c:idx val="22"/>
          <c:order val="15"/>
          <c:tx>
            <c:strRef>
              <c:f>Offending!$AS$24</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Offending!$AZ$24:$BD$24</c:f>
              <c:numCache>
                <c:formatCode>0.0%</c:formatCode>
                <c:ptCount val="5"/>
                <c:pt idx="0">
                  <c:v>0.47482014388489208</c:v>
                </c:pt>
                <c:pt idx="1">
                  <c:v>0.42024539877300615</c:v>
                </c:pt>
                <c:pt idx="2">
                  <c:v>0.39743589743589741</c:v>
                </c:pt>
                <c:pt idx="3">
                  <c:v>0.40211640211640209</c:v>
                </c:pt>
                <c:pt idx="4">
                  <c:v>0.37128712871287128</c:v>
                </c:pt>
              </c:numCache>
            </c:numRef>
          </c:val>
          <c:smooth val="0"/>
          <c:extLst>
            <c:ext xmlns:c16="http://schemas.microsoft.com/office/drawing/2014/chart" uri="{C3380CC4-5D6E-409C-BE32-E72D297353CC}">
              <c16:uniqueId val="{00000010-F9BD-4389-8B19-BAA22E51B036}"/>
            </c:ext>
          </c:extLst>
        </c:ser>
        <c:ser>
          <c:idx val="7"/>
          <c:order val="16"/>
          <c:tx>
            <c:strRef>
              <c:f>Offending!$AS$25</c:f>
              <c:strCache>
                <c:ptCount val="1"/>
                <c:pt idx="0">
                  <c:v>Swindon</c:v>
                </c:pt>
              </c:strCache>
            </c:strRef>
          </c:tx>
          <c:spPr>
            <a:ln w="12700"/>
          </c:spPr>
          <c:marker>
            <c:symbol val="triangle"/>
            <c:size val="5"/>
            <c:spPr>
              <a:solidFill>
                <a:schemeClr val="accent2">
                  <a:lumMod val="20000"/>
                  <a:lumOff val="80000"/>
                </a:schemeClr>
              </a:solidFill>
            </c:spPr>
          </c:marker>
          <c:cat>
            <c:numRef>
              <c:f>Offending!$D$8:$H$8</c:f>
              <c:numCache>
                <c:formatCode>mmm\-yy</c:formatCode>
                <c:ptCount val="5"/>
                <c:pt idx="0">
                  <c:v>41699</c:v>
                </c:pt>
                <c:pt idx="1">
                  <c:v>42064</c:v>
                </c:pt>
                <c:pt idx="2">
                  <c:v>42430</c:v>
                </c:pt>
                <c:pt idx="3">
                  <c:v>42795</c:v>
                </c:pt>
                <c:pt idx="4">
                  <c:v>43160</c:v>
                </c:pt>
              </c:numCache>
            </c:numRef>
          </c:cat>
          <c:val>
            <c:numRef>
              <c:f>Offending!$AZ$25:$BD$25</c:f>
              <c:numCache>
                <c:formatCode>0.0%</c:formatCode>
                <c:ptCount val="5"/>
                <c:pt idx="0">
                  <c:v>0.44884488448844884</c:v>
                </c:pt>
                <c:pt idx="1">
                  <c:v>0.42293906810035842</c:v>
                </c:pt>
                <c:pt idx="2">
                  <c:v>0.40282685512367489</c:v>
                </c:pt>
                <c:pt idx="3">
                  <c:v>0.4220532319391635</c:v>
                </c:pt>
                <c:pt idx="4">
                  <c:v>0.43162393162393164</c:v>
                </c:pt>
              </c:numCache>
            </c:numRef>
          </c:val>
          <c:smooth val="0"/>
          <c:extLst>
            <c:ext xmlns:c16="http://schemas.microsoft.com/office/drawing/2014/chart" uri="{C3380CC4-5D6E-409C-BE32-E72D297353CC}">
              <c16:uniqueId val="{00000011-F9BD-4389-8B19-BAA22E51B036}"/>
            </c:ext>
          </c:extLst>
        </c:ser>
        <c:ser>
          <c:idx val="8"/>
          <c:order val="17"/>
          <c:tx>
            <c:strRef>
              <c:f>Offending!$AS$26</c:f>
              <c:strCache>
                <c:ptCount val="1"/>
                <c:pt idx="0">
                  <c:v>Torbay</c:v>
                </c:pt>
              </c:strCache>
            </c:strRef>
          </c:tx>
          <c:spPr>
            <a:ln w="12700"/>
          </c:spPr>
          <c:marker>
            <c:symbol val="circle"/>
            <c:size val="5"/>
            <c:spPr>
              <a:solidFill>
                <a:schemeClr val="accent3">
                  <a:lumMod val="20000"/>
                  <a:lumOff val="80000"/>
                </a:schemeClr>
              </a:solidFill>
            </c:spPr>
          </c:marker>
          <c:cat>
            <c:numRef>
              <c:f>Offending!$D$8:$H$8</c:f>
              <c:numCache>
                <c:formatCode>mmm\-yy</c:formatCode>
                <c:ptCount val="5"/>
                <c:pt idx="0">
                  <c:v>41699</c:v>
                </c:pt>
                <c:pt idx="1">
                  <c:v>42064</c:v>
                </c:pt>
                <c:pt idx="2">
                  <c:v>42430</c:v>
                </c:pt>
                <c:pt idx="3">
                  <c:v>42795</c:v>
                </c:pt>
                <c:pt idx="4">
                  <c:v>43160</c:v>
                </c:pt>
              </c:numCache>
            </c:numRef>
          </c:cat>
          <c:val>
            <c:numRef>
              <c:f>Offending!$AZ$26:$BD$26</c:f>
              <c:numCache>
                <c:formatCode>0.0%</c:formatCode>
                <c:ptCount val="5"/>
                <c:pt idx="0">
                  <c:v>0.33898305084745761</c:v>
                </c:pt>
                <c:pt idx="1">
                  <c:v>0.27551020408163263</c:v>
                </c:pt>
                <c:pt idx="2">
                  <c:v>0.39325842696629215</c:v>
                </c:pt>
                <c:pt idx="3">
                  <c:v>0.31521739130434784</c:v>
                </c:pt>
                <c:pt idx="4">
                  <c:v>0.26</c:v>
                </c:pt>
              </c:numCache>
            </c:numRef>
          </c:val>
          <c:smooth val="0"/>
          <c:extLst>
            <c:ext xmlns:c16="http://schemas.microsoft.com/office/drawing/2014/chart" uri="{C3380CC4-5D6E-409C-BE32-E72D297353CC}">
              <c16:uniqueId val="{00000012-F9BD-4389-8B19-BAA22E51B036}"/>
            </c:ext>
          </c:extLst>
        </c:ser>
        <c:ser>
          <c:idx val="23"/>
          <c:order val="18"/>
          <c:tx>
            <c:strRef>
              <c:f>Offending!$AS$27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Offending!$AZ$27:$BD$27</c:f>
              <c:numCache>
                <c:formatCode>0.0%</c:formatCode>
                <c:ptCount val="5"/>
                <c:pt idx="0">
                  <c:v>0.43333333333333335</c:v>
                </c:pt>
                <c:pt idx="1">
                  <c:v>0.4107142857142857</c:v>
                </c:pt>
                <c:pt idx="2">
                  <c:v>0.37349397590361444</c:v>
                </c:pt>
                <c:pt idx="3">
                  <c:v>0.44047619047619047</c:v>
                </c:pt>
                <c:pt idx="4">
                  <c:v>0.32894736842105265</c:v>
                </c:pt>
              </c:numCache>
            </c:numRef>
          </c:val>
          <c:smooth val="0"/>
          <c:extLst>
            <c:ext xmlns:c16="http://schemas.microsoft.com/office/drawing/2014/chart" uri="{C3380CC4-5D6E-409C-BE32-E72D297353CC}">
              <c16:uniqueId val="{00000013-F9BD-4389-8B19-BAA22E51B036}"/>
            </c:ext>
          </c:extLst>
        </c:ser>
        <c:ser>
          <c:idx val="24"/>
          <c:order val="19"/>
          <c:tx>
            <c:strRef>
              <c:f>Offending!$AS$28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Offending!$AZ$28:$BD$28</c:f>
              <c:numCache>
                <c:formatCode>0.0%</c:formatCode>
                <c:ptCount val="5"/>
                <c:pt idx="0">
                  <c:v>0.45945945945945948</c:v>
                </c:pt>
                <c:pt idx="1">
                  <c:v>0.34668721109399075</c:v>
                </c:pt>
                <c:pt idx="2">
                  <c:v>0.37881873727087578</c:v>
                </c:pt>
                <c:pt idx="3">
                  <c:v>0.37223974763406942</c:v>
                </c:pt>
                <c:pt idx="4">
                  <c:v>0.38388625592417064</c:v>
                </c:pt>
              </c:numCache>
            </c:numRef>
          </c:val>
          <c:smooth val="0"/>
          <c:extLst>
            <c:ext xmlns:c16="http://schemas.microsoft.com/office/drawing/2014/chart" uri="{C3380CC4-5D6E-409C-BE32-E72D297353CC}">
              <c16:uniqueId val="{00000014-F9BD-4389-8B19-BAA22E51B036}"/>
            </c:ext>
          </c:extLst>
        </c:ser>
        <c:ser>
          <c:idx val="25"/>
          <c:order val="20"/>
          <c:tx>
            <c:strRef>
              <c:f>Offending!$AS$29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Offending!$AZ$29:$BD$29</c:f>
              <c:numCache>
                <c:formatCode>0.0%</c:formatCode>
                <c:ptCount val="5"/>
                <c:pt idx="0">
                  <c:v>0.41666666666666669</c:v>
                </c:pt>
                <c:pt idx="1">
                  <c:v>0.31506849315068491</c:v>
                </c:pt>
                <c:pt idx="2">
                  <c:v>0.2711864406779661</c:v>
                </c:pt>
                <c:pt idx="3">
                  <c:v>0.27500000000000002</c:v>
                </c:pt>
                <c:pt idx="4">
                  <c:v>0.29545454545454547</c:v>
                </c:pt>
              </c:numCache>
            </c:numRef>
          </c:val>
          <c:smooth val="0"/>
          <c:extLst>
            <c:ext xmlns:c16="http://schemas.microsoft.com/office/drawing/2014/chart" uri="{C3380CC4-5D6E-409C-BE32-E72D297353CC}">
              <c16:uniqueId val="{00000015-F9BD-4389-8B19-BAA22E51B036}"/>
            </c:ext>
          </c:extLst>
        </c:ser>
        <c:ser>
          <c:idx val="26"/>
          <c:order val="21"/>
          <c:tx>
            <c:strRef>
              <c:f>Offending!$AS$30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Offending!$AZ$30:$BD$30</c:f>
              <c:numCache>
                <c:formatCode>0.0%</c:formatCode>
                <c:ptCount val="5"/>
                <c:pt idx="0">
                  <c:v>0.30985915492957744</c:v>
                </c:pt>
                <c:pt idx="1">
                  <c:v>0.44</c:v>
                </c:pt>
                <c:pt idx="2">
                  <c:v>0.2</c:v>
                </c:pt>
                <c:pt idx="3">
                  <c:v>0.33333333333333331</c:v>
                </c:pt>
                <c:pt idx="4">
                  <c:v>0.30188679245283018</c:v>
                </c:pt>
              </c:numCache>
            </c:numRef>
          </c:val>
          <c:smooth val="0"/>
          <c:extLst>
            <c:ext xmlns:c16="http://schemas.microsoft.com/office/drawing/2014/chart" uri="{C3380CC4-5D6E-409C-BE32-E72D297353CC}">
              <c16:uniqueId val="{00000016-F9BD-4389-8B19-BAA22E51B036}"/>
            </c:ext>
          </c:extLst>
        </c:ser>
        <c:ser>
          <c:idx val="4"/>
          <c:order val="22"/>
          <c:tx>
            <c:strRef>
              <c:f>Offending!$AS$31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Offending!$D$8:$H$8</c:f>
              <c:numCache>
                <c:formatCode>mmm\-yy</c:formatCode>
                <c:ptCount val="5"/>
                <c:pt idx="0">
                  <c:v>41699</c:v>
                </c:pt>
                <c:pt idx="1">
                  <c:v>42064</c:v>
                </c:pt>
                <c:pt idx="2">
                  <c:v>42430</c:v>
                </c:pt>
                <c:pt idx="3">
                  <c:v>42795</c:v>
                </c:pt>
                <c:pt idx="4">
                  <c:v>43160</c:v>
                </c:pt>
              </c:numCache>
            </c:numRef>
          </c:cat>
          <c:val>
            <c:numRef>
              <c:f>Offending!$AZ$31:$BD$31</c:f>
              <c:numCache>
                <c:formatCode>0.0%</c:formatCode>
                <c:ptCount val="5"/>
                <c:pt idx="0">
                  <c:v>0.43262987012987014</c:v>
                </c:pt>
                <c:pt idx="1">
                  <c:v>0.40192180251822401</c:v>
                </c:pt>
                <c:pt idx="2">
                  <c:v>0.39244247413975092</c:v>
                </c:pt>
                <c:pt idx="3">
                  <c:v>0.36968228325255786</c:v>
                </c:pt>
                <c:pt idx="4">
                  <c:v>0.36812499999999998</c:v>
                </c:pt>
              </c:numCache>
            </c:numRef>
          </c:val>
          <c:smooth val="0"/>
          <c:extLst>
            <c:ext xmlns:c16="http://schemas.microsoft.com/office/drawing/2014/chart" uri="{C3380CC4-5D6E-409C-BE32-E72D297353CC}">
              <c16:uniqueId val="{00000017-F9BD-4389-8B19-BAA22E51B036}"/>
            </c:ext>
          </c:extLst>
        </c:ser>
        <c:ser>
          <c:idx val="14"/>
          <c:order val="23"/>
          <c:tx>
            <c:strRef>
              <c:f>Offending!$AS$32</c:f>
              <c:strCache>
                <c:ptCount val="1"/>
                <c:pt idx="0">
                  <c:v>England and Wales</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Offending!$D$8:$H$8</c:f>
              <c:numCache>
                <c:formatCode>mmm\-yy</c:formatCode>
                <c:ptCount val="5"/>
                <c:pt idx="0">
                  <c:v>41699</c:v>
                </c:pt>
                <c:pt idx="1">
                  <c:v>42064</c:v>
                </c:pt>
                <c:pt idx="2">
                  <c:v>42430</c:v>
                </c:pt>
                <c:pt idx="3">
                  <c:v>42795</c:v>
                </c:pt>
                <c:pt idx="4">
                  <c:v>43160</c:v>
                </c:pt>
              </c:numCache>
            </c:numRef>
          </c:cat>
          <c:val>
            <c:numRef>
              <c:f>Offending!$AZ$32:$BD$32</c:f>
              <c:numCache>
                <c:formatCode>0.0%</c:formatCode>
                <c:ptCount val="5"/>
                <c:pt idx="0">
                  <c:v>0.42916372112573797</c:v>
                </c:pt>
                <c:pt idx="1">
                  <c:v>0.42595799476044582</c:v>
                </c:pt>
                <c:pt idx="2">
                  <c:v>0.42229412378666109</c:v>
                </c:pt>
                <c:pt idx="3">
                  <c:v>0.40944717003709463</c:v>
                </c:pt>
                <c:pt idx="4">
                  <c:v>0.38410875920121157</c:v>
                </c:pt>
              </c:numCache>
            </c:numRef>
          </c:val>
          <c:smooth val="0"/>
          <c:extLst>
            <c:ext xmlns:c16="http://schemas.microsoft.com/office/drawing/2014/chart" uri="{C3380CC4-5D6E-409C-BE32-E72D297353CC}">
              <c16:uniqueId val="{00000018-F9BD-4389-8B19-BAA22E51B036}"/>
            </c:ext>
          </c:extLst>
        </c:ser>
        <c:ser>
          <c:idx val="6"/>
          <c:order val="24"/>
          <c:tx>
            <c:strRef>
              <c:f>Offending!$AS$33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Offending!$D$8:$H$8</c:f>
              <c:numCache>
                <c:formatCode>mmm\-yy</c:formatCode>
                <c:ptCount val="5"/>
                <c:pt idx="0">
                  <c:v>41699</c:v>
                </c:pt>
                <c:pt idx="1">
                  <c:v>42064</c:v>
                </c:pt>
                <c:pt idx="2">
                  <c:v>42430</c:v>
                </c:pt>
                <c:pt idx="3">
                  <c:v>42795</c:v>
                </c:pt>
                <c:pt idx="4">
                  <c:v>43160</c:v>
                </c:pt>
              </c:numCache>
            </c:numRef>
          </c:cat>
          <c:val>
            <c:numRef>
              <c:f>Offending!$AZ$33:$BD$33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F9BD-4389-8B19-BAA22E51B036}"/>
            </c:ext>
          </c:extLst>
        </c:ser>
        <c:dLbls>
          <c:showLegendKey val="0"/>
          <c:showVal val="0"/>
          <c:showCatName val="0"/>
          <c:showSerName val="0"/>
          <c:showPercent val="0"/>
          <c:showBubbleSize val="0"/>
        </c:dLbls>
        <c:marker val="1"/>
        <c:smooth val="0"/>
        <c:axId val="684351872"/>
        <c:axId val="684353792"/>
      </c:lineChart>
      <c:catAx>
        <c:axId val="684351872"/>
        <c:scaling>
          <c:orientation val="minMax"/>
        </c:scaling>
        <c:delete val="0"/>
        <c:axPos val="b"/>
        <c:numFmt formatCode="mmm\-yy"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4353792"/>
        <c:crosses val="autoZero"/>
        <c:auto val="0"/>
        <c:lblAlgn val="ctr"/>
        <c:lblOffset val="100"/>
        <c:tickLblSkip val="1"/>
        <c:tickMarkSkip val="1"/>
        <c:noMultiLvlLbl val="0"/>
      </c:catAx>
      <c:valAx>
        <c:axId val="684353792"/>
        <c:scaling>
          <c:orientation val="minMax"/>
          <c:min val="0.1"/>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4351872"/>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776772738124E-2"/>
          <c:w val="0.31566325129860862"/>
          <c:h val="0.9125834580594780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Childen receiving Early Help</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5092258379207022"/>
          <c:y val="3.9088863892013511E-3"/>
        </c:manualLayout>
      </c:layout>
      <c:overlay val="0"/>
      <c:spPr>
        <a:noFill/>
        <a:ln w="25400">
          <a:noFill/>
        </a:ln>
      </c:spPr>
    </c:title>
    <c:autoTitleDeleted val="0"/>
    <c:plotArea>
      <c:layout>
        <c:manualLayout>
          <c:layoutTarget val="inner"/>
          <c:xMode val="edge"/>
          <c:yMode val="edge"/>
          <c:x val="8.6719856920539795E-2"/>
          <c:y val="0.22533393516893191"/>
          <c:w val="0.65767821057766007"/>
          <c:h val="0.52818362672818764"/>
        </c:manualLayout>
      </c:layout>
      <c:barChart>
        <c:barDir val="col"/>
        <c:grouping val="clustered"/>
        <c:varyColors val="0"/>
        <c:ser>
          <c:idx val="4"/>
          <c:order val="0"/>
          <c:tx>
            <c:strRef>
              <c:f>EH_Clients!$B$32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EH_Clients!$Z$2:$AD$3</c:f>
              <c:strCache>
                <c:ptCount val="5"/>
                <c:pt idx="0">
                  <c:v>2015-16</c:v>
                </c:pt>
                <c:pt idx="1">
                  <c:v>2016-17</c:v>
                </c:pt>
                <c:pt idx="2">
                  <c:v>2017-18</c:v>
                </c:pt>
                <c:pt idx="3">
                  <c:v>2018-19</c:v>
                </c:pt>
                <c:pt idx="4">
                  <c:v>2019-20</c:v>
                </c:pt>
              </c:strCache>
            </c:strRef>
          </c:cat>
          <c:val>
            <c:numRef>
              <c:f>EH_Clients!$L$32:$P$32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331-40FB-8CA4-96D9E93A590F}"/>
            </c:ext>
          </c:extLst>
        </c:ser>
        <c:ser>
          <c:idx val="6"/>
          <c:order val="1"/>
          <c:tx>
            <c:strRef>
              <c:f>EH_Clients!$Z$4</c:f>
              <c:strCache>
                <c:ptCount val="1"/>
                <c:pt idx="0">
                  <c:v>Selected LA- (none)</c:v>
                </c:pt>
              </c:strCache>
            </c:strRef>
          </c:tx>
          <c:spPr>
            <a:solidFill>
              <a:srgbClr val="66FF99"/>
            </a:solidFill>
            <a:ln>
              <a:solidFill>
                <a:schemeClr val="tx1">
                  <a:lumMod val="75000"/>
                  <a:lumOff val="25000"/>
                </a:schemeClr>
              </a:solidFill>
            </a:ln>
          </c:spPr>
          <c:invertIfNegative val="0"/>
          <c:cat>
            <c:strRef>
              <c:f>EH_Clients!$Z$2:$AD$3</c:f>
              <c:strCache>
                <c:ptCount val="5"/>
                <c:pt idx="0">
                  <c:v>2015-16</c:v>
                </c:pt>
                <c:pt idx="1">
                  <c:v>2016-17</c:v>
                </c:pt>
                <c:pt idx="2">
                  <c:v>2017-18</c:v>
                </c:pt>
                <c:pt idx="3">
                  <c:v>2018-19</c:v>
                </c:pt>
                <c:pt idx="4">
                  <c:v>2019-20</c:v>
                </c:pt>
              </c:strCache>
            </c:strRef>
          </c:cat>
          <c:val>
            <c:numRef>
              <c:f>EH_Clients!$AL$63:$AP$63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B331-40FB-8CA4-96D9E93A590F}"/>
            </c:ext>
          </c:extLst>
        </c:ser>
        <c:dLbls>
          <c:showLegendKey val="0"/>
          <c:showVal val="0"/>
          <c:showCatName val="0"/>
          <c:showSerName val="0"/>
          <c:showPercent val="0"/>
          <c:showBubbleSize val="0"/>
        </c:dLbls>
        <c:gapWidth val="150"/>
        <c:axId val="488107392"/>
        <c:axId val="517850240"/>
      </c:barChart>
      <c:catAx>
        <c:axId val="488107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7850240"/>
        <c:crosses val="autoZero"/>
        <c:auto val="1"/>
        <c:lblAlgn val="ctr"/>
        <c:lblOffset val="100"/>
        <c:noMultiLvlLbl val="0"/>
      </c:catAx>
      <c:valAx>
        <c:axId val="5178502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88107392"/>
        <c:crosses val="autoZero"/>
        <c:crossBetween val="between"/>
      </c:valAx>
      <c:spPr>
        <a:noFill/>
        <a:ln w="3175">
          <a:solidFill>
            <a:srgbClr val="000000"/>
          </a:solidFill>
          <a:prstDash val="solid"/>
        </a:ln>
      </c:spPr>
    </c:plotArea>
    <c:legend>
      <c:legendPos val="r"/>
      <c:layout>
        <c:manualLayout>
          <c:xMode val="edge"/>
          <c:yMode val="edge"/>
          <c:x val="0.77994497952526176"/>
          <c:y val="0.22715535558055244"/>
          <c:w val="0.20287921340248224"/>
          <c:h val="0.5451681039870016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Contacts vs. IDACI</a:t>
            </a:r>
          </a:p>
        </c:rich>
      </c:tx>
      <c:layout>
        <c:manualLayout>
          <c:xMode val="edge"/>
          <c:yMode val="edge"/>
          <c:x val="0.30103802290200449"/>
          <c:y val="3.6125774697765456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Contacts!$X$42</c:f>
              <c:strCache>
                <c:ptCount val="1"/>
              </c:strCache>
            </c:strRef>
          </c:tx>
          <c:spPr>
            <a:ln w="15875">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5097-47A3-87A8-82AA64F5DC6A}"/>
                </c:ext>
              </c:extLst>
            </c:dLbl>
            <c:dLbl>
              <c:idx val="1"/>
              <c:layout>
                <c:manualLayout>
                  <c:x val="-8.0996884735202487E-2"/>
                  <c:y val="-2.3809518229865431E-2"/>
                </c:manualLayout>
              </c:layout>
              <c:tx>
                <c:strRef>
                  <c:f>Contacts!$AC$42</c:f>
                  <c:strCache>
                    <c:ptCount val="1"/>
                    <c:pt idx="0">
                      <c:v>#DIV/0!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{5470AF43-C3D0-4E8A-9979-B0729C2A5DC7}</c15:txfldGUID>
                      <c15:f>Contacts!$AC$42</c15:f>
                      <c15:dlblFieldTableCache>
                        <c:ptCount val="1"/>
                        <c:pt idx="0">
                          <c:v>#DIV/0!</c:v>
                        </c:pt>
                      </c15:dlblFieldTableCache>
                    </c15:dlblFTEntry>
                  </c15:dlblFieldTable>
                  <c15:showDataLabelsRange val="0"/>
                </c:ext>
                <c:ext xmlns:c16="http://schemas.microsoft.com/office/drawing/2014/chart" uri="{C3380CC4-5D6E-409C-BE32-E72D297353CC}">
                  <c16:uniqueId val="{00000001-5097-47A3-87A8-82AA64F5DC6A}"/>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Contacts!$AA$42:$AA$43</c:f>
              <c:numCache>
                <c:formatCode>General</c:formatCode>
                <c:ptCount val="2"/>
              </c:numCache>
            </c:numRef>
          </c:xVal>
          <c:yVal>
            <c:numRef>
              <c:f>Contacts!$AB$42:$AB$43</c:f>
              <c:numCache>
                <c:formatCode>0.0</c:formatCode>
                <c:ptCount val="2"/>
              </c:numCache>
            </c:numRef>
          </c:yVal>
          <c:smooth val="1"/>
          <c:extLst>
            <c:ext xmlns:c16="http://schemas.microsoft.com/office/drawing/2014/chart" uri="{C3380CC4-5D6E-409C-BE32-E72D297353CC}">
              <c16:uniqueId val="{00000002-5097-47A3-87A8-82AA64F5DC6A}"/>
            </c:ext>
          </c:extLst>
        </c:ser>
        <c:dLbls>
          <c:showLegendKey val="0"/>
          <c:showVal val="0"/>
          <c:showCatName val="0"/>
          <c:showSerName val="0"/>
          <c:showPercent val="0"/>
          <c:showBubbleSize val="0"/>
        </c:dLbls>
        <c:axId val="499821952"/>
        <c:axId val="499996544"/>
      </c:scatterChart>
      <c:scatterChart>
        <c:scatterStyle val="lineMarker"/>
        <c:varyColors val="0"/>
        <c:ser>
          <c:idx val="0"/>
          <c:order val="0"/>
          <c:tx>
            <c:strRef>
              <c:f>Contacts!$AQ$37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5097-47A3-87A8-82AA64F5DC6A}"/>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{5D138B60-BC8E-42E8-936C-7B3B280BB01A}</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5097-47A3-87A8-82AA64F5DC6A}"/>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{C6A6AD1D-E0F8-4349-8359-07D7A3231875}</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5097-47A3-87A8-82AA64F5DC6A}"/>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{9F5E4955-2FD9-4F29-9996-14B7A4E83E0F}</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5097-47A3-87A8-82AA64F5DC6A}"/>
                </c:ext>
              </c:extLst>
            </c:dLbl>
            <c:dLbl>
              <c:idx val="3"/>
              <c:tx>
                <c:strRef>
                  <c:f>Sheet1!$K$7</c:f>
                  <c:strCache>
                    <c:ptCount val="1"/>
                    <c:pt idx="0">
                      <c:v>East Sussex</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{B9EA0AA4-F5AD-4C5D-93BE-F5120260001E}</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5097-47A3-87A8-82AA64F5DC6A}"/>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{CC730DA1-37AA-4094-8F9D-F3F368A08577}</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5097-47A3-87A8-82AA64F5DC6A}"/>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{8BC5AFC0-DED1-42AD-A52E-F7AA7A96A8E9}</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5097-47A3-87A8-82AA64F5DC6A}"/>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{AEA7136B-448B-4ADB-A515-998B24FA7D89}</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5097-47A3-87A8-82AA64F5DC6A}"/>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{678B3F4A-78BB-4B4D-A4B7-FD4D4007C88A}</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5097-47A3-87A8-82AA64F5DC6A}"/>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{0941348B-80AD-45C9-A46B-82DCEEC0EE31}</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5097-47A3-87A8-82AA64F5DC6A}"/>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{BCE3E257-27F5-4FE7-94F9-7B369521202F}</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5097-47A3-87A8-82AA64F5DC6A}"/>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{78F1E5B2-275E-4F6E-93A8-E2A2032E5996}</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5097-47A3-87A8-82AA64F5DC6A}"/>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{BA8D9EA4-B94D-4777-8AFD-328390A179D1}</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5097-47A3-87A8-82AA64F5DC6A}"/>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{D8D61A71-720F-4AC3-A5BA-DE515D827EB8}</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5097-47A3-87A8-82AA64F5DC6A}"/>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{C90A46A9-8B63-41C9-8DCD-7C660D5FE720}</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5097-47A3-87A8-82AA64F5DC6A}"/>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{EC2E10F4-9CB8-4604-8E68-A610353914CA}</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5097-47A3-87A8-82AA64F5DC6A}"/>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{58B3BBBF-8D41-4D46-B945-111689C6C54F}</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5097-47A3-87A8-82AA64F5DC6A}"/>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{17469E5F-7611-48A7-A239-EAF2BA926786}</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5097-47A3-87A8-82AA64F5DC6A}"/>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{BCD1CE48-7C76-48C8-BDA4-E788A8A98CEB}</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5097-47A3-87A8-82AA64F5DC6A}"/>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{7478EFEC-034B-4EBD-87B8-D40EF221C1EC}</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5097-47A3-87A8-82AA64F5DC6A}"/>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(Contacts!$AQ$40:$AQ$52,Contacts!$AQ$54:$AQ$55,Contacts!$AQ$58:$AQ$61)</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(Contacts!$AP$40:$AP$52,Contacts!$AP$54:$AP$55,Contacts!$AP$58:$AP$61)</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5097-47A3-87A8-82AA64F5DC6A}"/>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5097-47A3-87A8-82AA64F5DC6A}"/>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{DABC74B3-3E82-472A-9770-A6E809AE7920}</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5097-47A3-87A8-82AA64F5DC6A}"/>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{E9C824C6-C413-4C10-8DAC-AC6758E91AB5}</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5097-47A3-87A8-82AA64F5DC6A}"/>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{1704D4C1-3E05-4CB2-A12B-0F5AEAE4E48E}</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5097-47A3-87A8-82AA64F5DC6A}"/>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(Contacts!$AQ$53,Contacts!$AQ$56,Contacts!$AQ$57)</c:f>
              <c:numCache>
                <c:formatCode>0.0</c:formatCode>
                <c:ptCount val="3"/>
                <c:pt idx="0">
                  <c:v>13.600000000000001</c:v>
                </c:pt>
                <c:pt idx="1">
                  <c:v>14.899999999999999</c:v>
                </c:pt>
                <c:pt idx="2">
                  <c:v>21.9</c:v>
                </c:pt>
              </c:numCache>
            </c:numRef>
          </c:xVal>
          <c:yVal>
            <c:numRef>
              <c:f>(Contacts!$AP$53,Contacts!$AP$56,Contacts!$AP$57)</c:f>
              <c:numCache>
                <c:formatCode>0.0</c:formatCode>
                <c:ptCount val="3"/>
                <c:pt idx="0">
                  <c:v>#N/A</c:v>
                </c:pt>
                <c:pt idx="1">
                  <c:v>#N/A</c:v>
                </c:pt>
                <c:pt idx="2">
                  <c:v>#N/A</c:v>
                </c:pt>
              </c:numCache>
            </c:numRef>
          </c:yVal>
          <c:smooth val="0"/>
          <c:extLst>
            <c:ext xmlns:c16="http://schemas.microsoft.com/office/drawing/2014/chart" uri="{C3380CC4-5D6E-409C-BE32-E72D297353CC}">
              <c16:uniqueId val="{0000001B-5097-47A3-87A8-82AA64F5DC6A}"/>
            </c:ext>
          </c:extLst>
        </c:ser>
        <c:ser>
          <c:idx val="1"/>
          <c:order val="2"/>
          <c:tx>
            <c:strRef>
              <c:f>Contacts!$Z$4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Contacts!$AQ$64</c:f>
              <c:numCache>
                <c:formatCode>0.0</c:formatCode>
                <c:ptCount val="1"/>
                <c:pt idx="0">
                  <c:v>#N/A</c:v>
                </c:pt>
              </c:numCache>
            </c:numRef>
          </c:xVal>
          <c:yVal>
            <c:numRef>
              <c:f>Contacts!$AP$64</c:f>
              <c:numCache>
                <c:formatCode>0.0</c:formatCode>
                <c:ptCount val="1"/>
                <c:pt idx="0">
                  <c:v>#N/A</c:v>
                </c:pt>
              </c:numCache>
            </c:numRef>
          </c:yVal>
          <c:smooth val="0"/>
          <c:extLst>
            <c:ext xmlns:c16="http://schemas.microsoft.com/office/drawing/2014/chart" uri="{C3380CC4-5D6E-409C-BE32-E72D297353CC}">
              <c16:uniqueId val="{0000001C-5097-47A3-87A8-82AA64F5DC6A}"/>
            </c:ext>
          </c:extLst>
        </c:ser>
        <c:ser>
          <c:idx val="2"/>
          <c:order val="3"/>
          <c:tx>
            <c:strRef>
              <c:f>Contacts!$X$40</c:f>
              <c:strCache>
                <c:ptCount val="1"/>
                <c:pt idx="0">
                  <c:v>South East LA Trend</c:v>
                </c:pt>
              </c:strCache>
            </c:strRef>
          </c:tx>
          <c:spPr>
            <a:ln w="12700">
              <a:solidFill>
                <a:srgbClr val="C00000"/>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D-5097-47A3-87A8-82AA64F5DC6A}"/>
                </c:ext>
              </c:extLst>
            </c:dLbl>
            <c:dLbl>
              <c:idx val="1"/>
              <c:layout>
                <c:manualLayout>
                  <c:x val="-7.2877233015385942E-2"/>
                  <c:y val="-3.1855671107072096E-2"/>
                </c:manualLayout>
              </c:layout>
              <c:tx>
                <c:strRef>
                  <c:f>Contacts!$AC$42</c:f>
                  <c:strCache>
                    <c:ptCount val="1"/>
                    <c:pt idx="0">
                      <c:v>#DIV/0!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{C21214C5-DA35-4225-91BB-14C8C35145BE}</c15:txfldGUID>
                      <c15:f>Contacts!$AC$42</c15:f>
                      <c15:dlblFieldTableCache>
                        <c:ptCount val="1"/>
                        <c:pt idx="0">
                          <c:v>#DIV/0!</c:v>
                        </c:pt>
                      </c15:dlblFieldTableCache>
                    </c15:dlblFTEntry>
                  </c15:dlblFieldTable>
                  <c15:showDataLabelsRange val="0"/>
                </c:ext>
                <c:ext xmlns:c16="http://schemas.microsoft.com/office/drawing/2014/chart" uri="{C3380CC4-5D6E-409C-BE32-E72D297353CC}">
                  <c16:uniqueId val="{0000001E-5097-47A3-87A8-82AA64F5DC6A}"/>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Contacts!$AA$40:$AA$41</c:f>
              <c:numCache>
                <c:formatCode>General</c:formatCode>
                <c:ptCount val="2"/>
                <c:pt idx="0" formatCode="#,##0.0">
                  <c:v>5</c:v>
                </c:pt>
                <c:pt idx="1">
                  <c:v>35</c:v>
                </c:pt>
              </c:numCache>
            </c:numRef>
          </c:xVal>
          <c:yVal>
            <c:numRef>
              <c:f>Contacts!$AB$40:$AB$41</c:f>
              <c:numCache>
                <c:formatCode>0.0</c:formatCode>
                <c:ptCount val="2"/>
                <c:pt idx="0">
                  <c:v>0</c:v>
                </c:pt>
                <c:pt idx="1">
                  <c:v>0</c:v>
                </c:pt>
              </c:numCache>
            </c:numRef>
          </c:yVal>
          <c:smooth val="0"/>
          <c:extLst>
            <c:ext xmlns:c16="http://schemas.microsoft.com/office/drawing/2014/chart" uri="{C3380CC4-5D6E-409C-BE32-E72D297353CC}">
              <c16:uniqueId val="{0000001F-5097-47A3-87A8-82AA64F5DC6A}"/>
            </c:ext>
          </c:extLst>
        </c:ser>
        <c:ser>
          <c:idx val="4"/>
          <c:order val="4"/>
          <c:tx>
            <c:strRef>
              <c:f>Contacts!$B$32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Contacts!$T$32</c:f>
              <c:numCache>
                <c:formatCode>0.0</c:formatCode>
                <c:ptCount val="1"/>
                <c:pt idx="0">
                  <c:v>0</c:v>
                </c:pt>
              </c:numCache>
            </c:numRef>
          </c:xVal>
          <c:yVal>
            <c:numRef>
              <c:f>Contacts!$P$32</c:f>
              <c:numCache>
                <c:formatCode>0.0</c:formatCode>
                <c:ptCount val="1"/>
                <c:pt idx="0">
                  <c:v>#N/A</c:v>
                </c:pt>
              </c:numCache>
            </c:numRef>
          </c:yVal>
          <c:smooth val="0"/>
          <c:extLst>
            <c:ext xmlns:c16="http://schemas.microsoft.com/office/drawing/2014/chart" uri="{C3380CC4-5D6E-409C-BE32-E72D297353CC}">
              <c16:uniqueId val="{00000020-5097-47A3-87A8-82AA64F5DC6A}"/>
            </c:ext>
          </c:extLst>
        </c:ser>
        <c:dLbls>
          <c:showLegendKey val="0"/>
          <c:showVal val="0"/>
          <c:showCatName val="0"/>
          <c:showSerName val="0"/>
          <c:showPercent val="0"/>
          <c:showBubbleSize val="0"/>
        </c:dLbls>
        <c:axId val="499821952"/>
        <c:axId val="499996544"/>
      </c:scatterChart>
      <c:valAx>
        <c:axId val="499821952"/>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957517478456784"/>
              <c:y val="0.9192922109775711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99996544"/>
        <c:crosses val="autoZero"/>
        <c:crossBetween val="midCat"/>
      </c:valAx>
      <c:valAx>
        <c:axId val="49999654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Contacts per 10,000 0-17 year olds</a:t>
                </a:r>
              </a:p>
            </c:rich>
          </c:tx>
          <c:layout>
            <c:manualLayout>
              <c:xMode val="edge"/>
              <c:yMode val="edge"/>
              <c:x val="6.0573711471906717E-2"/>
              <c:y val="0.2334493123019540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9982195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receiving Early Help, per 10,000 0-17 year olds</a:t>
            </a:r>
          </a:p>
        </c:rich>
      </c:tx>
      <c:layout>
        <c:manualLayout>
          <c:xMode val="edge"/>
          <c:yMode val="edge"/>
          <c:x val="0.10697466793923487"/>
          <c:y val="1.6704416577557436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314128316378036"/>
        </c:manualLayout>
      </c:layout>
      <c:lineChart>
        <c:grouping val="standard"/>
        <c:varyColors val="0"/>
        <c:ser>
          <c:idx val="0"/>
          <c:order val="0"/>
          <c:tx>
            <c:strRef>
              <c:f>EH_Clients!$AK$40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BD42-45E9-9E61-1CA7FB86A7C0}"/>
              </c:ext>
            </c:extLst>
          </c:dPt>
          <c:cat>
            <c:strRef>
              <c:f>EH_Clients!$Z$2:$AD$3</c:f>
              <c:strCache>
                <c:ptCount val="5"/>
                <c:pt idx="0">
                  <c:v>2015-16</c:v>
                </c:pt>
                <c:pt idx="1">
                  <c:v>2016-17</c:v>
                </c:pt>
                <c:pt idx="2">
                  <c:v>2017-18</c:v>
                </c:pt>
                <c:pt idx="3">
                  <c:v>2018-19</c:v>
                </c:pt>
                <c:pt idx="4">
                  <c:v>2019-20</c:v>
                </c:pt>
              </c:strCache>
            </c:strRef>
          </c:cat>
          <c:val>
            <c:numRef>
              <c:f>EH_Clients!$AL$40:$AP$40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D42-45E9-9E61-1CA7FB86A7C0}"/>
            </c:ext>
          </c:extLst>
        </c:ser>
        <c:ser>
          <c:idx val="1"/>
          <c:order val="1"/>
          <c:tx>
            <c:strRef>
              <c:f>EH_Clients!$AK$41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EH_Clients!$Z$2:$AD$3</c:f>
              <c:strCache>
                <c:ptCount val="5"/>
                <c:pt idx="0">
                  <c:v>2015-16</c:v>
                </c:pt>
                <c:pt idx="1">
                  <c:v>2016-17</c:v>
                </c:pt>
                <c:pt idx="2">
                  <c:v>2017-18</c:v>
                </c:pt>
                <c:pt idx="3">
                  <c:v>2018-19</c:v>
                </c:pt>
                <c:pt idx="4">
                  <c:v>2019-20</c:v>
                </c:pt>
              </c:strCache>
            </c:strRef>
          </c:cat>
          <c:val>
            <c:numRef>
              <c:f>EH_Clients!$AL$41:$AP$41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BD42-45E9-9E61-1CA7FB86A7C0}"/>
            </c:ext>
          </c:extLst>
        </c:ser>
        <c:ser>
          <c:idx val="2"/>
          <c:order val="2"/>
          <c:tx>
            <c:strRef>
              <c:f>EH_Clients!$AK$42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EH_Clients!$Z$2:$AD$3</c:f>
              <c:strCache>
                <c:ptCount val="5"/>
                <c:pt idx="0">
                  <c:v>2015-16</c:v>
                </c:pt>
                <c:pt idx="1">
                  <c:v>2016-17</c:v>
                </c:pt>
                <c:pt idx="2">
                  <c:v>2017-18</c:v>
                </c:pt>
                <c:pt idx="3">
                  <c:v>2018-19</c:v>
                </c:pt>
                <c:pt idx="4">
                  <c:v>2019-20</c:v>
                </c:pt>
              </c:strCache>
            </c:strRef>
          </c:cat>
          <c:val>
            <c:numRef>
              <c:f>EH_Clients!$AL$42:$AP$42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BD42-45E9-9E61-1CA7FB86A7C0}"/>
            </c:ext>
          </c:extLst>
        </c:ser>
        <c:ser>
          <c:idx val="5"/>
          <c:order val="3"/>
          <c:tx>
            <c:strRef>
              <c:f>EH_Clients!$AK$43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EH_Clients!$Z$2:$AD$3</c:f>
              <c:strCache>
                <c:ptCount val="5"/>
                <c:pt idx="0">
                  <c:v>2015-16</c:v>
                </c:pt>
                <c:pt idx="1">
                  <c:v>2016-17</c:v>
                </c:pt>
                <c:pt idx="2">
                  <c:v>2017-18</c:v>
                </c:pt>
                <c:pt idx="3">
                  <c:v>2018-19</c:v>
                </c:pt>
                <c:pt idx="4">
                  <c:v>2019-20</c:v>
                </c:pt>
              </c:strCache>
            </c:strRef>
          </c:cat>
          <c:val>
            <c:numRef>
              <c:f>EH_Clients!$AL$43:$AP$43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BD42-45E9-9E61-1CA7FB86A7C0}"/>
            </c:ext>
          </c:extLst>
        </c:ser>
        <c:ser>
          <c:idx val="9"/>
          <c:order val="4"/>
          <c:tx>
            <c:strRef>
              <c:f>EH_Clients!$AK$44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EH_Clients!$Z$2:$AD$3</c:f>
              <c:strCache>
                <c:ptCount val="5"/>
                <c:pt idx="0">
                  <c:v>2015-16</c:v>
                </c:pt>
                <c:pt idx="1">
                  <c:v>2016-17</c:v>
                </c:pt>
                <c:pt idx="2">
                  <c:v>2017-18</c:v>
                </c:pt>
                <c:pt idx="3">
                  <c:v>2018-19</c:v>
                </c:pt>
                <c:pt idx="4">
                  <c:v>2019-20</c:v>
                </c:pt>
              </c:strCache>
            </c:strRef>
          </c:cat>
          <c:val>
            <c:numRef>
              <c:f>EH_Clients!$AL$44:$AP$44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BD42-45E9-9E61-1CA7FB86A7C0}"/>
            </c:ext>
          </c:extLst>
        </c:ser>
        <c:ser>
          <c:idx val="10"/>
          <c:order val="5"/>
          <c:tx>
            <c:strRef>
              <c:f>EH_Clients!$AK$45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EH_Clients!$Z$2:$AD$3</c:f>
              <c:strCache>
                <c:ptCount val="5"/>
                <c:pt idx="0">
                  <c:v>2015-16</c:v>
                </c:pt>
                <c:pt idx="1">
                  <c:v>2016-17</c:v>
                </c:pt>
                <c:pt idx="2">
                  <c:v>2017-18</c:v>
                </c:pt>
                <c:pt idx="3">
                  <c:v>2018-19</c:v>
                </c:pt>
                <c:pt idx="4">
                  <c:v>2019-20</c:v>
                </c:pt>
              </c:strCache>
            </c:strRef>
          </c:cat>
          <c:val>
            <c:numRef>
              <c:f>EH_Clients!$AL$45:$AP$45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BD42-45E9-9E61-1CA7FB86A7C0}"/>
            </c:ext>
          </c:extLst>
        </c:ser>
        <c:ser>
          <c:idx val="11"/>
          <c:order val="6"/>
          <c:tx>
            <c:strRef>
              <c:f>EH_Clients!$AK$46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EH_Clients!$Z$2:$AD$3</c:f>
              <c:strCache>
                <c:ptCount val="5"/>
                <c:pt idx="0">
                  <c:v>2015-16</c:v>
                </c:pt>
                <c:pt idx="1">
                  <c:v>2016-17</c:v>
                </c:pt>
                <c:pt idx="2">
                  <c:v>2017-18</c:v>
                </c:pt>
                <c:pt idx="3">
                  <c:v>2018-19</c:v>
                </c:pt>
                <c:pt idx="4">
                  <c:v>2019-20</c:v>
                </c:pt>
              </c:strCache>
            </c:strRef>
          </c:cat>
          <c:val>
            <c:numRef>
              <c:f>EH_Clients!$AL$46:$AP$46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BD42-45E9-9E61-1CA7FB86A7C0}"/>
            </c:ext>
          </c:extLst>
        </c:ser>
        <c:ser>
          <c:idx val="12"/>
          <c:order val="7"/>
          <c:tx>
            <c:strRef>
              <c:f>EH_Clients!$AK$47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EH_Clients!$Z$2:$AD$3</c:f>
              <c:strCache>
                <c:ptCount val="5"/>
                <c:pt idx="0">
                  <c:v>2015-16</c:v>
                </c:pt>
                <c:pt idx="1">
                  <c:v>2016-17</c:v>
                </c:pt>
                <c:pt idx="2">
                  <c:v>2017-18</c:v>
                </c:pt>
                <c:pt idx="3">
                  <c:v>2018-19</c:v>
                </c:pt>
                <c:pt idx="4">
                  <c:v>2019-20</c:v>
                </c:pt>
              </c:strCache>
            </c:strRef>
          </c:cat>
          <c:val>
            <c:numRef>
              <c:f>EH_Clients!$AL$47:$AP$47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BD42-45E9-9E61-1CA7FB86A7C0}"/>
            </c:ext>
          </c:extLst>
        </c:ser>
        <c:ser>
          <c:idx val="13"/>
          <c:order val="8"/>
          <c:tx>
            <c:strRef>
              <c:f>EH_Clients!$AK$48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EH_Clients!$Z$2:$AD$3</c:f>
              <c:strCache>
                <c:ptCount val="5"/>
                <c:pt idx="0">
                  <c:v>2015-16</c:v>
                </c:pt>
                <c:pt idx="1">
                  <c:v>2016-17</c:v>
                </c:pt>
                <c:pt idx="2">
                  <c:v>2017-18</c:v>
                </c:pt>
                <c:pt idx="3">
                  <c:v>2018-19</c:v>
                </c:pt>
                <c:pt idx="4">
                  <c:v>2019-20</c:v>
                </c:pt>
              </c:strCache>
            </c:strRef>
          </c:cat>
          <c:val>
            <c:numRef>
              <c:f>EH_Clients!$AL$48:$AP$48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BD42-45E9-9E61-1CA7FB86A7C0}"/>
            </c:ext>
          </c:extLst>
        </c:ser>
        <c:ser>
          <c:idx val="15"/>
          <c:order val="9"/>
          <c:tx>
            <c:strRef>
              <c:f>EH_Clients!$AK$49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EH_Clients!$Z$2:$AD$3</c:f>
              <c:strCache>
                <c:ptCount val="5"/>
                <c:pt idx="0">
                  <c:v>2015-16</c:v>
                </c:pt>
                <c:pt idx="1">
                  <c:v>2016-17</c:v>
                </c:pt>
                <c:pt idx="2">
                  <c:v>2017-18</c:v>
                </c:pt>
                <c:pt idx="3">
                  <c:v>2018-19</c:v>
                </c:pt>
                <c:pt idx="4">
                  <c:v>2019-20</c:v>
                </c:pt>
              </c:strCache>
            </c:strRef>
          </c:cat>
          <c:val>
            <c:numRef>
              <c:f>EH_Clients!$AL$49:$AP$49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BD42-45E9-9E61-1CA7FB86A7C0}"/>
            </c:ext>
          </c:extLst>
        </c:ser>
        <c:ser>
          <c:idx val="16"/>
          <c:order val="10"/>
          <c:tx>
            <c:strRef>
              <c:f>EH_Clients!$AK$50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EH_Clients!$Z$2:$AD$3</c:f>
              <c:strCache>
                <c:ptCount val="5"/>
                <c:pt idx="0">
                  <c:v>2015-16</c:v>
                </c:pt>
                <c:pt idx="1">
                  <c:v>2016-17</c:v>
                </c:pt>
                <c:pt idx="2">
                  <c:v>2017-18</c:v>
                </c:pt>
                <c:pt idx="3">
                  <c:v>2018-19</c:v>
                </c:pt>
                <c:pt idx="4">
                  <c:v>2019-20</c:v>
                </c:pt>
              </c:strCache>
            </c:strRef>
          </c:cat>
          <c:val>
            <c:numRef>
              <c:f>EH_Clients!$AL$50:$AP$50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BD42-45E9-9E61-1CA7FB86A7C0}"/>
            </c:ext>
          </c:extLst>
        </c:ser>
        <c:ser>
          <c:idx val="17"/>
          <c:order val="11"/>
          <c:tx>
            <c:strRef>
              <c:f>EH_Clients!$AK$51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EH_Clients!$Z$2:$AD$3</c:f>
              <c:strCache>
                <c:ptCount val="5"/>
                <c:pt idx="0">
                  <c:v>2015-16</c:v>
                </c:pt>
                <c:pt idx="1">
                  <c:v>2016-17</c:v>
                </c:pt>
                <c:pt idx="2">
                  <c:v>2017-18</c:v>
                </c:pt>
                <c:pt idx="3">
                  <c:v>2018-19</c:v>
                </c:pt>
                <c:pt idx="4">
                  <c:v>2019-20</c:v>
                </c:pt>
              </c:strCache>
            </c:strRef>
          </c:cat>
          <c:val>
            <c:numRef>
              <c:f>EH_Clients!$AL$51:$AP$51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BD42-45E9-9E61-1CA7FB86A7C0}"/>
            </c:ext>
          </c:extLst>
        </c:ser>
        <c:ser>
          <c:idx val="19"/>
          <c:order val="12"/>
          <c:tx>
            <c:strRef>
              <c:f>EH_Clients!$AK$52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EH_Clients!$Z$2:$AD$3</c:f>
              <c:strCache>
                <c:ptCount val="5"/>
                <c:pt idx="0">
                  <c:v>2015-16</c:v>
                </c:pt>
                <c:pt idx="1">
                  <c:v>2016-17</c:v>
                </c:pt>
                <c:pt idx="2">
                  <c:v>2017-18</c:v>
                </c:pt>
                <c:pt idx="3">
                  <c:v>2018-19</c:v>
                </c:pt>
                <c:pt idx="4">
                  <c:v>2019-20</c:v>
                </c:pt>
              </c:strCache>
            </c:strRef>
          </c:cat>
          <c:val>
            <c:numRef>
              <c:f>EH_Clients!$AL$52:$AP$52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BD42-45E9-9E61-1CA7FB86A7C0}"/>
            </c:ext>
          </c:extLst>
        </c:ser>
        <c:ser>
          <c:idx val="3"/>
          <c:order val="13"/>
          <c:tx>
            <c:strRef>
              <c:f>EH_Clients!$AK$53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EH_Clients!$Z$2:$AD$3</c:f>
              <c:strCache>
                <c:ptCount val="5"/>
                <c:pt idx="0">
                  <c:v>2015-16</c:v>
                </c:pt>
                <c:pt idx="1">
                  <c:v>2016-17</c:v>
                </c:pt>
                <c:pt idx="2">
                  <c:v>2017-18</c:v>
                </c:pt>
                <c:pt idx="3">
                  <c:v>2018-19</c:v>
                </c:pt>
                <c:pt idx="4">
                  <c:v>2019-20</c:v>
                </c:pt>
              </c:strCache>
            </c:strRef>
          </c:cat>
          <c:val>
            <c:numRef>
              <c:f>EH_Clients!$AL$53:$AP$53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BD42-45E9-9E61-1CA7FB86A7C0}"/>
            </c:ext>
          </c:extLst>
        </c:ser>
        <c:ser>
          <c:idx val="20"/>
          <c:order val="14"/>
          <c:tx>
            <c:strRef>
              <c:f>EH_Clients!$AK$54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EH_Clients!$Z$2:$AD$3</c:f>
              <c:strCache>
                <c:ptCount val="5"/>
                <c:pt idx="0">
                  <c:v>2015-16</c:v>
                </c:pt>
                <c:pt idx="1">
                  <c:v>2016-17</c:v>
                </c:pt>
                <c:pt idx="2">
                  <c:v>2017-18</c:v>
                </c:pt>
                <c:pt idx="3">
                  <c:v>2018-19</c:v>
                </c:pt>
                <c:pt idx="4">
                  <c:v>2019-20</c:v>
                </c:pt>
              </c:strCache>
            </c:strRef>
          </c:cat>
          <c:val>
            <c:numRef>
              <c:f>EH_Clients!$AL$54:$AP$54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BD42-45E9-9E61-1CA7FB86A7C0}"/>
            </c:ext>
          </c:extLst>
        </c:ser>
        <c:ser>
          <c:idx val="22"/>
          <c:order val="15"/>
          <c:tx>
            <c:strRef>
              <c:f>EH_Clients!$AK$55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EH_Clients!$Z$2:$AD$3</c:f>
              <c:strCache>
                <c:ptCount val="5"/>
                <c:pt idx="0">
                  <c:v>2015-16</c:v>
                </c:pt>
                <c:pt idx="1">
                  <c:v>2016-17</c:v>
                </c:pt>
                <c:pt idx="2">
                  <c:v>2017-18</c:v>
                </c:pt>
                <c:pt idx="3">
                  <c:v>2018-19</c:v>
                </c:pt>
                <c:pt idx="4">
                  <c:v>2019-20</c:v>
                </c:pt>
              </c:strCache>
            </c:strRef>
          </c:cat>
          <c:val>
            <c:numRef>
              <c:f>EH_Clients!$AL$55:$AP$55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BD42-45E9-9E61-1CA7FB86A7C0}"/>
            </c:ext>
          </c:extLst>
        </c:ser>
        <c:ser>
          <c:idx val="7"/>
          <c:order val="16"/>
          <c:tx>
            <c:strRef>
              <c:f>EH_Clients!$AK$56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EH_Clients!$Z$2:$AD$3</c:f>
              <c:strCache>
                <c:ptCount val="5"/>
                <c:pt idx="0">
                  <c:v>2015-16</c:v>
                </c:pt>
                <c:pt idx="1">
                  <c:v>2016-17</c:v>
                </c:pt>
                <c:pt idx="2">
                  <c:v>2017-18</c:v>
                </c:pt>
                <c:pt idx="3">
                  <c:v>2018-19</c:v>
                </c:pt>
                <c:pt idx="4">
                  <c:v>2019-20</c:v>
                </c:pt>
              </c:strCache>
            </c:strRef>
          </c:cat>
          <c:val>
            <c:numRef>
              <c:f>EH_Clients!$AL$56:$AP$56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BD42-45E9-9E61-1CA7FB86A7C0}"/>
            </c:ext>
          </c:extLst>
        </c:ser>
        <c:ser>
          <c:idx val="8"/>
          <c:order val="17"/>
          <c:tx>
            <c:strRef>
              <c:f>EH_Clients!$AK$57</c:f>
              <c:strCache>
                <c:ptCount val="1"/>
                <c:pt idx="0">
                  <c:v>Torbay</c:v>
                </c:pt>
              </c:strCache>
            </c:strRef>
          </c:tx>
          <c:spPr>
            <a:ln w="12700"/>
          </c:spPr>
          <c:marker>
            <c:symbol val="circle"/>
            <c:size val="5"/>
            <c:spPr>
              <a:solidFill>
                <a:schemeClr val="accent3">
                  <a:lumMod val="20000"/>
                  <a:lumOff val="80000"/>
                </a:schemeClr>
              </a:solidFill>
            </c:spPr>
          </c:marker>
          <c:cat>
            <c:strRef>
              <c:f>EH_Clients!$Z$2:$AD$3</c:f>
              <c:strCache>
                <c:ptCount val="5"/>
                <c:pt idx="0">
                  <c:v>2015-16</c:v>
                </c:pt>
                <c:pt idx="1">
                  <c:v>2016-17</c:v>
                </c:pt>
                <c:pt idx="2">
                  <c:v>2017-18</c:v>
                </c:pt>
                <c:pt idx="3">
                  <c:v>2018-19</c:v>
                </c:pt>
                <c:pt idx="4">
                  <c:v>2019-20</c:v>
                </c:pt>
              </c:strCache>
            </c:strRef>
          </c:cat>
          <c:val>
            <c:numRef>
              <c:f>EH_Clients!$AL$57:$AP$57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BD42-45E9-9E61-1CA7FB86A7C0}"/>
            </c:ext>
          </c:extLst>
        </c:ser>
        <c:ser>
          <c:idx val="23"/>
          <c:order val="18"/>
          <c:tx>
            <c:strRef>
              <c:f>EH_Clients!$AK$58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EH_Clients!$Z$2:$AD$3</c:f>
              <c:strCache>
                <c:ptCount val="5"/>
                <c:pt idx="0">
                  <c:v>2015-16</c:v>
                </c:pt>
                <c:pt idx="1">
                  <c:v>2016-17</c:v>
                </c:pt>
                <c:pt idx="2">
                  <c:v>2017-18</c:v>
                </c:pt>
                <c:pt idx="3">
                  <c:v>2018-19</c:v>
                </c:pt>
                <c:pt idx="4">
                  <c:v>2019-20</c:v>
                </c:pt>
              </c:strCache>
            </c:strRef>
          </c:cat>
          <c:val>
            <c:numRef>
              <c:f>EH_Clients!$AL$58:$AP$58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BD42-45E9-9E61-1CA7FB86A7C0}"/>
            </c:ext>
          </c:extLst>
        </c:ser>
        <c:ser>
          <c:idx val="24"/>
          <c:order val="19"/>
          <c:tx>
            <c:strRef>
              <c:f>EH_Clients!$AK$59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EH_Clients!$Z$2:$AD$3</c:f>
              <c:strCache>
                <c:ptCount val="5"/>
                <c:pt idx="0">
                  <c:v>2015-16</c:v>
                </c:pt>
                <c:pt idx="1">
                  <c:v>2016-17</c:v>
                </c:pt>
                <c:pt idx="2">
                  <c:v>2017-18</c:v>
                </c:pt>
                <c:pt idx="3">
                  <c:v>2018-19</c:v>
                </c:pt>
                <c:pt idx="4">
                  <c:v>2019-20</c:v>
                </c:pt>
              </c:strCache>
            </c:strRef>
          </c:cat>
          <c:val>
            <c:numRef>
              <c:f>EH_Clients!$AL$59:$AP$59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BD42-45E9-9E61-1CA7FB86A7C0}"/>
            </c:ext>
          </c:extLst>
        </c:ser>
        <c:ser>
          <c:idx val="25"/>
          <c:order val="20"/>
          <c:tx>
            <c:strRef>
              <c:f>EH_Clients!$AK$60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EH_Clients!$Z$2:$AD$3</c:f>
              <c:strCache>
                <c:ptCount val="5"/>
                <c:pt idx="0">
                  <c:v>2015-16</c:v>
                </c:pt>
                <c:pt idx="1">
                  <c:v>2016-17</c:v>
                </c:pt>
                <c:pt idx="2">
                  <c:v>2017-18</c:v>
                </c:pt>
                <c:pt idx="3">
                  <c:v>2018-19</c:v>
                </c:pt>
                <c:pt idx="4">
                  <c:v>2019-20</c:v>
                </c:pt>
              </c:strCache>
            </c:strRef>
          </c:cat>
          <c:val>
            <c:numRef>
              <c:f>EH_Clients!$AL$60:$AP$60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BD42-45E9-9E61-1CA7FB86A7C0}"/>
            </c:ext>
          </c:extLst>
        </c:ser>
        <c:ser>
          <c:idx val="26"/>
          <c:order val="21"/>
          <c:tx>
            <c:strRef>
              <c:f>EH_Clients!$AK$61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EH_Clients!$Z$2:$AD$3</c:f>
              <c:strCache>
                <c:ptCount val="5"/>
                <c:pt idx="0">
                  <c:v>2015-16</c:v>
                </c:pt>
                <c:pt idx="1">
                  <c:v>2016-17</c:v>
                </c:pt>
                <c:pt idx="2">
                  <c:v>2017-18</c:v>
                </c:pt>
                <c:pt idx="3">
                  <c:v>2018-19</c:v>
                </c:pt>
                <c:pt idx="4">
                  <c:v>2019-20</c:v>
                </c:pt>
              </c:strCache>
            </c:strRef>
          </c:cat>
          <c:val>
            <c:numRef>
              <c:f>EH_Clients!$AL$61:$AP$61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BD42-45E9-9E61-1CA7FB86A7C0}"/>
            </c:ext>
          </c:extLst>
        </c:ser>
        <c:ser>
          <c:idx val="4"/>
          <c:order val="22"/>
          <c:tx>
            <c:strRef>
              <c:f>EH_Clients!$AK$62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EH_Clients!$Z$2:$AD$3</c:f>
              <c:strCache>
                <c:ptCount val="5"/>
                <c:pt idx="0">
                  <c:v>2015-16</c:v>
                </c:pt>
                <c:pt idx="1">
                  <c:v>2016-17</c:v>
                </c:pt>
                <c:pt idx="2">
                  <c:v>2017-18</c:v>
                </c:pt>
                <c:pt idx="3">
                  <c:v>2018-19</c:v>
                </c:pt>
                <c:pt idx="4">
                  <c:v>2019-20</c:v>
                </c:pt>
              </c:strCache>
            </c:strRef>
          </c:cat>
          <c:val>
            <c:numRef>
              <c:f>EH_Clients!$AL$62:$AP$62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BD42-45E9-9E61-1CA7FB86A7C0}"/>
            </c:ext>
          </c:extLst>
        </c:ser>
        <c:ser>
          <c:idx val="14"/>
          <c:order val="23"/>
          <c:tx>
            <c:strRef>
              <c:f>EH_Clients!$AK$63</c:f>
              <c:strCache>
                <c:ptCount val="1"/>
                <c:pt idx="0">
                  <c:v>Selected LA- (none)</c:v>
                </c:pt>
              </c:strCache>
            </c:strRef>
          </c:tx>
          <c:spPr>
            <a:ln w="19050">
              <a:solidFill>
                <a:schemeClr val="tx1">
                  <a:lumMod val="75000"/>
                  <a:lumOff val="25000"/>
                </a:schemeClr>
              </a:solidFill>
            </a:ln>
          </c:spPr>
          <c:marker>
            <c:symbol val="circle"/>
            <c:size val="6"/>
            <c:spPr>
              <a:solidFill>
                <a:srgbClr val="66FF99"/>
              </a:solidFill>
              <a:ln w="12700">
                <a:solidFill>
                  <a:schemeClr val="tx1">
                    <a:lumMod val="75000"/>
                    <a:lumOff val="25000"/>
                  </a:schemeClr>
                </a:solidFill>
              </a:ln>
            </c:spPr>
          </c:marker>
          <c:cat>
            <c:strRef>
              <c:f>EH_Clients!$Z$2:$AD$3</c:f>
              <c:strCache>
                <c:ptCount val="5"/>
                <c:pt idx="0">
                  <c:v>2015-16</c:v>
                </c:pt>
                <c:pt idx="1">
                  <c:v>2016-17</c:v>
                </c:pt>
                <c:pt idx="2">
                  <c:v>2017-18</c:v>
                </c:pt>
                <c:pt idx="3">
                  <c:v>2018-19</c:v>
                </c:pt>
                <c:pt idx="4">
                  <c:v>2019-20</c:v>
                </c:pt>
              </c:strCache>
            </c:strRef>
          </c:cat>
          <c:val>
            <c:numRef>
              <c:f>EH_Clients!$AL$63:$AP$63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BD42-45E9-9E61-1CA7FB86A7C0}"/>
            </c:ext>
          </c:extLst>
        </c:ser>
        <c:dLbls>
          <c:showLegendKey val="0"/>
          <c:showVal val="0"/>
          <c:showCatName val="0"/>
          <c:showSerName val="0"/>
          <c:showPercent val="0"/>
          <c:showBubbleSize val="0"/>
        </c:dLbls>
        <c:marker val="1"/>
        <c:smooth val="0"/>
        <c:axId val="518122880"/>
        <c:axId val="488375040"/>
      </c:lineChart>
      <c:catAx>
        <c:axId val="518122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88375040"/>
        <c:crosses val="autoZero"/>
        <c:auto val="1"/>
        <c:lblAlgn val="ctr"/>
        <c:lblOffset val="100"/>
        <c:tickLblSkip val="1"/>
        <c:tickMarkSkip val="1"/>
        <c:noMultiLvlLbl val="0"/>
      </c:catAx>
      <c:valAx>
        <c:axId val="4883750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812288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836785911020381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Early Clients</a:t>
            </a:r>
            <a:r>
              <a:rPr lang="en-GB" baseline="0"/>
              <a:t> </a:t>
            </a:r>
            <a:r>
              <a:rPr lang="en-GB"/>
              <a:t>vs. IDACI</a:t>
            </a:r>
          </a:p>
        </c:rich>
      </c:tx>
      <c:layout>
        <c:manualLayout>
          <c:xMode val="edge"/>
          <c:yMode val="edge"/>
          <c:x val="0.28336868850297825"/>
          <c:y val="3.612578830947967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4"/>
          <c:tx>
            <c:strRef>
              <c:f>EH_Clients!$X$40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6976-4F67-9C6D-0BA006BF03FE}"/>
                </c:ext>
              </c:extLst>
            </c:dLbl>
            <c:dLbl>
              <c:idx val="1"/>
              <c:layout>
                <c:manualLayout>
                  <c:x val="-8.0996884735202487E-2"/>
                  <c:y val="-2.3809518229865431E-2"/>
                </c:manualLayout>
              </c:layout>
              <c:tx>
                <c:strRef>
                  <c:f>EH_Clients!$AC$42</c:f>
                  <c:strCache>
                    <c:ptCount val="1"/>
                    <c:pt idx="0">
                      <c:v>#DIV/0!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{DC83A2F8-F5F9-417B-B8AA-FFFD7F51D645}</c15:txfldGUID>
                      <c15:f>EH_Clients!$AC$42</c15:f>
                      <c15:dlblFieldTableCache>
                        <c:ptCount val="1"/>
                        <c:pt idx="0">
                          <c:v>#DIV/0!</c:v>
                        </c:pt>
                      </c15:dlblFieldTableCache>
                    </c15:dlblFTEntry>
                  </c15:dlblFieldTable>
                  <c15:showDataLabelsRange val="0"/>
                </c:ext>
                <c:ext xmlns:c16="http://schemas.microsoft.com/office/drawing/2014/chart" uri="{C3380CC4-5D6E-409C-BE32-E72D297353CC}">
                  <c16:uniqueId val="{00000001-6976-4F67-9C6D-0BA006BF03FE}"/>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EH_Clients!$AA$40:$AA$41</c:f>
              <c:numCache>
                <c:formatCode>General</c:formatCode>
                <c:ptCount val="2"/>
                <c:pt idx="0" formatCode="#,##0.0">
                  <c:v>5</c:v>
                </c:pt>
                <c:pt idx="1">
                  <c:v>35</c:v>
                </c:pt>
              </c:numCache>
            </c:numRef>
          </c:xVal>
          <c:yVal>
            <c:numRef>
              <c:f>EH_Clients!$AB$40:$AB$41</c:f>
              <c:numCache>
                <c:formatCode>0.0</c:formatCode>
                <c:ptCount val="2"/>
                <c:pt idx="0">
                  <c:v>0</c:v>
                </c:pt>
                <c:pt idx="1">
                  <c:v>0</c:v>
                </c:pt>
              </c:numCache>
            </c:numRef>
          </c:yVal>
          <c:smooth val="1"/>
          <c:extLst>
            <c:ext xmlns:c16="http://schemas.microsoft.com/office/drawing/2014/chart" uri="{C3380CC4-5D6E-409C-BE32-E72D297353CC}">
              <c16:uniqueId val="{00000002-6976-4F67-9C6D-0BA006BF03FE}"/>
            </c:ext>
          </c:extLst>
        </c:ser>
        <c:dLbls>
          <c:showLegendKey val="0"/>
          <c:showVal val="0"/>
          <c:showCatName val="0"/>
          <c:showSerName val="0"/>
          <c:showPercent val="0"/>
          <c:showBubbleSize val="0"/>
        </c:dLbls>
        <c:axId val="488524416"/>
        <c:axId val="488522496"/>
      </c:scatterChart>
      <c:scatterChart>
        <c:scatterStyle val="lineMarker"/>
        <c:varyColors val="0"/>
        <c:ser>
          <c:idx val="0"/>
          <c:order val="0"/>
          <c:tx>
            <c:strRef>
              <c:f>EH_Clients!$AR$37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6976-4F67-9C6D-0BA006BF03FE}"/>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{AC6D29EF-95B2-4B86-97EC-7E6109323F58}</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6976-4F67-9C6D-0BA006BF03FE}"/>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{A9C461CC-CE95-4BD1-9387-9A8956FAA299}</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6976-4F67-9C6D-0BA006BF03FE}"/>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{4EBEFAD2-C0AA-41DB-8BA4-6C895028FCB8}</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6976-4F67-9C6D-0BA006BF03FE}"/>
                </c:ext>
              </c:extLst>
            </c:dLbl>
            <c:dLbl>
              <c:idx val="3"/>
              <c:tx>
                <c:strRef>
                  <c:f>Sheet1!$K$7</c:f>
                  <c:strCache>
                    <c:ptCount val="1"/>
                    <c:pt idx="0">
                      <c:v>East Sussex</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{5C6A65AE-B6B6-4381-9764-C4DBF6F72DBF}</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6976-4F67-9C6D-0BA006BF03FE}"/>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{C974EAE6-F9B2-4B07-AAF0-2D2C0BBAAA99}</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6976-4F67-9C6D-0BA006BF03FE}"/>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{4FF73DB9-75FE-43B2-AEC2-DC226B1B356E}</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6976-4F67-9C6D-0BA006BF03FE}"/>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{1F93BAF9-82D9-4D38-B05E-E8FF4BE571E0}</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6976-4F67-9C6D-0BA006BF03FE}"/>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{284E85A0-6289-4F82-99C6-8098641DF91F}</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6976-4F67-9C6D-0BA006BF03FE}"/>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{F394BA19-6E6D-43F8-A16F-B0BF2A5B2C3A}</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6976-4F67-9C6D-0BA006BF03FE}"/>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{639D0D13-09CA-4443-8055-93C5E0EAE6AD}</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6976-4F67-9C6D-0BA006BF03FE}"/>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{EE79D086-EB55-4185-AA0C-C3F4515BAB6D}</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6976-4F67-9C6D-0BA006BF03FE}"/>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{5C67B9D9-DAF5-485F-AD88-982122320103}</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6976-4F67-9C6D-0BA006BF03FE}"/>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{AC25795C-303D-43BA-9E2D-D262C7CF5533}</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6976-4F67-9C6D-0BA006BF03FE}"/>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{54F687BA-2A55-4296-A2EF-1EC8F889EAE5}</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6976-4F67-9C6D-0BA006BF03FE}"/>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{FC15E84B-D0D4-46A9-B3B2-16695C5513C7}</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6976-4F67-9C6D-0BA006BF03FE}"/>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{4554FC5D-5107-44B5-8DE1-F52FF7B36076}</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6976-4F67-9C6D-0BA006BF03FE}"/>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{515A9A65-8FAB-4FA6-AAE7-64D2FD64CED7}</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6976-4F67-9C6D-0BA006BF03FE}"/>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{6E005CBB-C68B-4BF1-84F8-E976705B494D}</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6976-4F67-9C6D-0BA006BF03FE}"/>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{2D7FB4E2-7D7C-429E-A838-E7B74F54A968}</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6976-4F67-9C6D-0BA006BF03FE}"/>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(EH_Clients!$AR$40:$AR$52,EH_Clients!$AR$54:$AR$55,EH_Clients!$AR$58:$AR$61)</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(EH_Clients!$AP$40:$AP$52,EH_Clients!$AP$54:$AP$55,EH_Clients!$AP$58:$AP$61)</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6976-4F67-9C6D-0BA006BF03FE}"/>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6976-4F67-9C6D-0BA006BF03FE}"/>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{18A21587-AECB-42F8-A90E-846E9A9947B6}</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6976-4F67-9C6D-0BA006BF03FE}"/>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{0E7E9F00-D617-4B9D-B632-ED05499EE109}</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6976-4F67-9C6D-0BA006BF03FE}"/>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{72D049E2-8DCC-430F-9197-0C18CE1CD932}</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6976-4F67-9C6D-0BA006BF03FE}"/>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(EH_Clients!$AR$53,EH_Clients!$AR$56:$AR$57)</c:f>
              <c:numCache>
                <c:formatCode>0.0</c:formatCode>
                <c:ptCount val="3"/>
                <c:pt idx="0">
                  <c:v>13.600000000000001</c:v>
                </c:pt>
                <c:pt idx="1">
                  <c:v>14.899999999999999</c:v>
                </c:pt>
                <c:pt idx="2">
                  <c:v>21.9</c:v>
                </c:pt>
              </c:numCache>
            </c:numRef>
          </c:xVal>
          <c:yVal>
            <c:numRef>
              <c:f>(EH_Clients!$AP$53,EH_Clients!$AP$56:$AP$57)</c:f>
              <c:numCache>
                <c:formatCode>0.0</c:formatCode>
                <c:ptCount val="3"/>
                <c:pt idx="0">
                  <c:v>#N/A</c:v>
                </c:pt>
                <c:pt idx="1">
                  <c:v>#N/A</c:v>
                </c:pt>
                <c:pt idx="2">
                  <c:v>#N/A</c:v>
                </c:pt>
              </c:numCache>
            </c:numRef>
          </c:yVal>
          <c:smooth val="0"/>
          <c:extLst>
            <c:ext xmlns:c16="http://schemas.microsoft.com/office/drawing/2014/chart" uri="{C3380CC4-5D6E-409C-BE32-E72D297353CC}">
              <c16:uniqueId val="{0000001B-6976-4F67-9C6D-0BA006BF03FE}"/>
            </c:ext>
          </c:extLst>
        </c:ser>
        <c:ser>
          <c:idx val="1"/>
          <c:order val="2"/>
          <c:tx>
            <c:strRef>
              <c:f>EH_Clients!$Z$4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EH_Clients!$AR$63</c:f>
              <c:numCache>
                <c:formatCode>0.0</c:formatCode>
                <c:ptCount val="1"/>
                <c:pt idx="0">
                  <c:v>#N/A</c:v>
                </c:pt>
              </c:numCache>
            </c:numRef>
          </c:xVal>
          <c:yVal>
            <c:numRef>
              <c:f>EH_Clients!$AP$63</c:f>
              <c:numCache>
                <c:formatCode>0.0</c:formatCode>
                <c:ptCount val="1"/>
                <c:pt idx="0">
                  <c:v>#N/A</c:v>
                </c:pt>
              </c:numCache>
            </c:numRef>
          </c:yVal>
          <c:smooth val="0"/>
          <c:extLst>
            <c:ext xmlns:c16="http://schemas.microsoft.com/office/drawing/2014/chart" uri="{C3380CC4-5D6E-409C-BE32-E72D297353CC}">
              <c16:uniqueId val="{0000001C-6976-4F67-9C6D-0BA006BF03FE}"/>
            </c:ext>
          </c:extLst>
        </c:ser>
        <c:ser>
          <c:idx val="4"/>
          <c:order val="3"/>
          <c:tx>
            <c:strRef>
              <c:f>EH_Clients!$B$32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EH_Clients!$T$32</c:f>
              <c:numCache>
                <c:formatCode>0.0</c:formatCode>
                <c:ptCount val="1"/>
                <c:pt idx="0">
                  <c:v>0</c:v>
                </c:pt>
              </c:numCache>
            </c:numRef>
          </c:xVal>
          <c:yVal>
            <c:numRef>
              <c:f>EH_Clients!$P$32</c:f>
              <c:numCache>
                <c:formatCode>0.0</c:formatCode>
                <c:ptCount val="1"/>
                <c:pt idx="0">
                  <c:v>#N/A</c:v>
                </c:pt>
              </c:numCache>
            </c:numRef>
          </c:yVal>
          <c:smooth val="0"/>
          <c:extLst>
            <c:ext xmlns:c16="http://schemas.microsoft.com/office/drawing/2014/chart" uri="{C3380CC4-5D6E-409C-BE32-E72D297353CC}">
              <c16:uniqueId val="{0000001D-6976-4F67-9C6D-0BA006BF03FE}"/>
            </c:ext>
          </c:extLst>
        </c:ser>
        <c:dLbls>
          <c:showLegendKey val="0"/>
          <c:showVal val="0"/>
          <c:showCatName val="0"/>
          <c:showSerName val="0"/>
          <c:showPercent val="0"/>
          <c:showBubbleSize val="0"/>
        </c:dLbls>
        <c:axId val="488524416"/>
        <c:axId val="488522496"/>
      </c:scatterChart>
      <c:valAx>
        <c:axId val="488524416"/>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88522496"/>
        <c:crosses val="autoZero"/>
        <c:crossBetween val="midCat"/>
        <c:majorUnit val="5"/>
      </c:valAx>
      <c:valAx>
        <c:axId val="48852249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Early Help Clients</a:t>
                </a:r>
                <a:r>
                  <a:rPr lang="en-GB" baseline="0"/>
                  <a:t> </a:t>
                </a:r>
                <a:r>
                  <a:rPr lang="en-GB"/>
                  <a:t>per 10,000 0-17 year olds</a:t>
                </a:r>
              </a:p>
            </c:rich>
          </c:tx>
          <c:layout>
            <c:manualLayout>
              <c:xMode val="edge"/>
              <c:yMode val="edge"/>
              <c:x val="5.1878138520356179E-2"/>
              <c:y val="0.1530921557245604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8852441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per 10,000 0-17 year olds</a:t>
            </a:r>
          </a:p>
        </c:rich>
      </c:tx>
      <c:layout>
        <c:manualLayout>
          <c:xMode val="edge"/>
          <c:yMode val="edge"/>
          <c:x val="0.21074562554680665"/>
          <c:y val="2.0819646288138149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25716613838097"/>
        </c:manualLayout>
      </c:layout>
      <c:lineChart>
        <c:grouping val="standard"/>
        <c:varyColors val="0"/>
        <c:ser>
          <c:idx val="0"/>
          <c:order val="0"/>
          <c:tx>
            <c:strRef>
              <c:f>Referrals!$AL$41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E996-4146-BFCA-DBEE1A840DF5}"/>
              </c:ext>
            </c:extLst>
          </c:dPt>
          <c:cat>
            <c:strRef>
              <c:f>Referrals!$Z$2:$AD$3</c:f>
              <c:strCache>
                <c:ptCount val="5"/>
                <c:pt idx="0">
                  <c:v>2015-16</c:v>
                </c:pt>
                <c:pt idx="1">
                  <c:v>2016-17</c:v>
                </c:pt>
                <c:pt idx="2">
                  <c:v>2017-18</c:v>
                </c:pt>
                <c:pt idx="3">
                  <c:v>2018-19</c:v>
                </c:pt>
                <c:pt idx="4">
                  <c:v>2019-20</c:v>
                </c:pt>
              </c:strCache>
            </c:strRef>
          </c:cat>
          <c:val>
            <c:numRef>
              <c:f>Referrals!$AM$41:$AQ$41</c:f>
              <c:numCache>
                <c:formatCode>0.0</c:formatCode>
                <c:ptCount val="5"/>
                <c:pt idx="0">
                  <c:v>463.12056737588654</c:v>
                </c:pt>
                <c:pt idx="1">
                  <c:v>582.97872340425533</c:v>
                </c:pt>
                <c:pt idx="2">
                  <c:v>647.3309608540925</c:v>
                </c:pt>
                <c:pt idx="3">
                  <c:v>791.51943462897532</c:v>
                </c:pt>
                <c:pt idx="4">
                  <c:v>598.23943661971828</c:v>
                </c:pt>
              </c:numCache>
            </c:numRef>
          </c:val>
          <c:smooth val="0"/>
          <c:extLst>
            <c:ext xmlns:c16="http://schemas.microsoft.com/office/drawing/2014/chart" uri="{C3380CC4-5D6E-409C-BE32-E72D297353CC}">
              <c16:uniqueId val="{00000001-E996-4146-BFCA-DBEE1A840DF5}"/>
            </c:ext>
          </c:extLst>
        </c:ser>
        <c:ser>
          <c:idx val="1"/>
          <c:order val="1"/>
          <c:tx>
            <c:strRef>
              <c:f>Referrals!$AL$42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Referrals!$Z$2:$AD$3</c:f>
              <c:strCache>
                <c:ptCount val="5"/>
                <c:pt idx="0">
                  <c:v>2015-16</c:v>
                </c:pt>
                <c:pt idx="1">
                  <c:v>2016-17</c:v>
                </c:pt>
                <c:pt idx="2">
                  <c:v>2017-18</c:v>
                </c:pt>
                <c:pt idx="3">
                  <c:v>2018-19</c:v>
                </c:pt>
                <c:pt idx="4">
                  <c:v>2019-20</c:v>
                </c:pt>
              </c:strCache>
            </c:strRef>
          </c:cat>
          <c:val>
            <c:numRef>
              <c:f>Referrals!$AM$42:$AQ$42</c:f>
              <c:numCache>
                <c:formatCode>0.0</c:formatCode>
                <c:ptCount val="5"/>
                <c:pt idx="0">
                  <c:v>669.140625</c:v>
                </c:pt>
                <c:pt idx="1">
                  <c:v>663.74269005847941</c:v>
                </c:pt>
                <c:pt idx="2">
                  <c:v>655.68627450980398</c:v>
                </c:pt>
                <c:pt idx="3">
                  <c:v>635.0980392156863</c:v>
                </c:pt>
                <c:pt idx="4">
                  <c:v>709.94035785288281</c:v>
                </c:pt>
              </c:numCache>
            </c:numRef>
          </c:val>
          <c:smooth val="0"/>
          <c:extLst>
            <c:ext xmlns:c16="http://schemas.microsoft.com/office/drawing/2014/chart" uri="{C3380CC4-5D6E-409C-BE32-E72D297353CC}">
              <c16:uniqueId val="{00000002-E996-4146-BFCA-DBEE1A840DF5}"/>
            </c:ext>
          </c:extLst>
        </c:ser>
        <c:ser>
          <c:idx val="2"/>
          <c:order val="2"/>
          <c:tx>
            <c:strRef>
              <c:f>Referrals!$AL$43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Referrals!$Z$2:$AD$3</c:f>
              <c:strCache>
                <c:ptCount val="5"/>
                <c:pt idx="0">
                  <c:v>2015-16</c:v>
                </c:pt>
                <c:pt idx="1">
                  <c:v>2016-17</c:v>
                </c:pt>
                <c:pt idx="2">
                  <c:v>2017-18</c:v>
                </c:pt>
                <c:pt idx="3">
                  <c:v>2018-19</c:v>
                </c:pt>
                <c:pt idx="4">
                  <c:v>2019-20</c:v>
                </c:pt>
              </c:strCache>
            </c:strRef>
          </c:cat>
          <c:val>
            <c:numRef>
              <c:f>Referrals!$AM$43:$AQ$43</c:f>
              <c:numCache>
                <c:formatCode>0.0</c:formatCode>
                <c:ptCount val="5"/>
                <c:pt idx="0">
                  <c:v>576.94859038142624</c:v>
                </c:pt>
                <c:pt idx="1">
                  <c:v>753.19148936170211</c:v>
                </c:pt>
                <c:pt idx="2">
                  <c:v>839.7238017871648</c:v>
                </c:pt>
                <c:pt idx="3">
                  <c:v>614.64199517296868</c:v>
                </c:pt>
                <c:pt idx="4">
                  <c:v>665.63245823389013</c:v>
                </c:pt>
              </c:numCache>
            </c:numRef>
          </c:val>
          <c:smooth val="0"/>
          <c:extLst>
            <c:ext xmlns:c16="http://schemas.microsoft.com/office/drawing/2014/chart" uri="{C3380CC4-5D6E-409C-BE32-E72D297353CC}">
              <c16:uniqueId val="{00000003-E996-4146-BFCA-DBEE1A840DF5}"/>
            </c:ext>
          </c:extLst>
        </c:ser>
        <c:ser>
          <c:idx val="5"/>
          <c:order val="3"/>
          <c:tx>
            <c:strRef>
              <c:f>Referrals!$AL$44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Referrals!$Z$2:$AD$3</c:f>
              <c:strCache>
                <c:ptCount val="5"/>
                <c:pt idx="0">
                  <c:v>2015-16</c:v>
                </c:pt>
                <c:pt idx="1">
                  <c:v>2016-17</c:v>
                </c:pt>
                <c:pt idx="2">
                  <c:v>2017-18</c:v>
                </c:pt>
                <c:pt idx="3">
                  <c:v>2018-19</c:v>
                </c:pt>
                <c:pt idx="4">
                  <c:v>2019-20</c:v>
                </c:pt>
              </c:strCache>
            </c:strRef>
          </c:cat>
          <c:val>
            <c:numRef>
              <c:f>Referrals!$AM$44:$AQ$44</c:f>
              <c:numCache>
                <c:formatCode>0.0</c:formatCode>
                <c:ptCount val="5"/>
                <c:pt idx="0">
                  <c:v>301.98300283286119</c:v>
                </c:pt>
                <c:pt idx="1">
                  <c:v>347.11992445703493</c:v>
                </c:pt>
                <c:pt idx="2">
                  <c:v>411.98113207547169</c:v>
                </c:pt>
                <c:pt idx="3">
                  <c:v>405.54511278195491</c:v>
                </c:pt>
                <c:pt idx="4">
                  <c:v>392.00376293508936</c:v>
                </c:pt>
              </c:numCache>
            </c:numRef>
          </c:val>
          <c:smooth val="0"/>
          <c:extLst>
            <c:ext xmlns:c16="http://schemas.microsoft.com/office/drawing/2014/chart" uri="{C3380CC4-5D6E-409C-BE32-E72D297353CC}">
              <c16:uniqueId val="{00000004-E996-4146-BFCA-DBEE1A840DF5}"/>
            </c:ext>
          </c:extLst>
        </c:ser>
        <c:ser>
          <c:idx val="9"/>
          <c:order val="4"/>
          <c:tx>
            <c:strRef>
              <c:f>Referrals!$AL$45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Referrals!$Z$2:$AD$3</c:f>
              <c:strCache>
                <c:ptCount val="5"/>
                <c:pt idx="0">
                  <c:v>2015-16</c:v>
                </c:pt>
                <c:pt idx="1">
                  <c:v>2016-17</c:v>
                </c:pt>
                <c:pt idx="2">
                  <c:v>2017-18</c:v>
                </c:pt>
                <c:pt idx="3">
                  <c:v>2018-19</c:v>
                </c:pt>
                <c:pt idx="4">
                  <c:v>2019-20</c:v>
                </c:pt>
              </c:strCache>
            </c:strRef>
          </c:cat>
          <c:val>
            <c:numRef>
              <c:f>Referrals!$AM$45:$AQ$45</c:f>
              <c:numCache>
                <c:formatCode>0.0</c:formatCode>
                <c:ptCount val="5"/>
                <c:pt idx="0">
                  <c:v>591.20255409719766</c:v>
                </c:pt>
                <c:pt idx="1">
                  <c:v>687.23479490806221</c:v>
                </c:pt>
                <c:pt idx="2">
                  <c:v>568.83162725026466</c:v>
                </c:pt>
                <c:pt idx="3">
                  <c:v>648.16901408450701</c:v>
                </c:pt>
                <c:pt idx="4">
                  <c:v>711.22054168132252</c:v>
                </c:pt>
              </c:numCache>
            </c:numRef>
          </c:val>
          <c:smooth val="0"/>
          <c:extLst>
            <c:ext xmlns:c16="http://schemas.microsoft.com/office/drawing/2014/chart" uri="{C3380CC4-5D6E-409C-BE32-E72D297353CC}">
              <c16:uniqueId val="{00000005-E996-4146-BFCA-DBEE1A840DF5}"/>
            </c:ext>
          </c:extLst>
        </c:ser>
        <c:ser>
          <c:idx val="10"/>
          <c:order val="5"/>
          <c:tx>
            <c:strRef>
              <c:f>Referrals!$AL$46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Referrals!$Z$2:$AD$3</c:f>
              <c:strCache>
                <c:ptCount val="5"/>
                <c:pt idx="0">
                  <c:v>2015-16</c:v>
                </c:pt>
                <c:pt idx="1">
                  <c:v>2016-17</c:v>
                </c:pt>
                <c:pt idx="2">
                  <c:v>2017-18</c:v>
                </c:pt>
                <c:pt idx="3">
                  <c:v>2018-19</c:v>
                </c:pt>
                <c:pt idx="4">
                  <c:v>2019-20</c:v>
                </c:pt>
              </c:strCache>
            </c:strRef>
          </c:cat>
          <c:val>
            <c:numRef>
              <c:f>Referrals!$AM$46:$AQ$46</c:f>
              <c:numCache>
                <c:formatCode>0.0</c:formatCode>
                <c:ptCount val="5"/>
                <c:pt idx="0">
                  <c:v>944.26877470355737</c:v>
                </c:pt>
                <c:pt idx="1">
                  <c:v>1036.9047619047619</c:v>
                </c:pt>
                <c:pt idx="2">
                  <c:v>881.27490039840632</c:v>
                </c:pt>
                <c:pt idx="3">
                  <c:v>973.49397590361446</c:v>
                </c:pt>
                <c:pt idx="4">
                  <c:v>1080.9716599190283</c:v>
                </c:pt>
              </c:numCache>
            </c:numRef>
          </c:val>
          <c:smooth val="0"/>
          <c:extLst>
            <c:ext xmlns:c16="http://schemas.microsoft.com/office/drawing/2014/chart" uri="{C3380CC4-5D6E-409C-BE32-E72D297353CC}">
              <c16:uniqueId val="{00000006-E996-4146-BFCA-DBEE1A840DF5}"/>
            </c:ext>
          </c:extLst>
        </c:ser>
        <c:ser>
          <c:idx val="11"/>
          <c:order val="6"/>
          <c:tx>
            <c:strRef>
              <c:f>Referrals!$AL$47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Referrals!$Z$2:$AD$3</c:f>
              <c:strCache>
                <c:ptCount val="5"/>
                <c:pt idx="0">
                  <c:v>2015-16</c:v>
                </c:pt>
                <c:pt idx="1">
                  <c:v>2016-17</c:v>
                </c:pt>
                <c:pt idx="2">
                  <c:v>2017-18</c:v>
                </c:pt>
                <c:pt idx="3">
                  <c:v>2018-19</c:v>
                </c:pt>
                <c:pt idx="4">
                  <c:v>2019-20</c:v>
                </c:pt>
              </c:strCache>
            </c:strRef>
          </c:cat>
          <c:val>
            <c:numRef>
              <c:f>Referrals!$AM$47:$AQ$47</c:f>
              <c:numCache>
                <c:formatCode>0.0</c:formatCode>
                <c:ptCount val="5"/>
                <c:pt idx="0">
                  <c:v>464.34624697336562</c:v>
                </c:pt>
                <c:pt idx="1">
                  <c:v>474.62462462462463</c:v>
                </c:pt>
                <c:pt idx="2">
                  <c:v>576.40583159773882</c:v>
                </c:pt>
                <c:pt idx="3">
                  <c:v>537.57718318141724</c:v>
                </c:pt>
                <c:pt idx="4">
                  <c:v>650.05817335660277</c:v>
                </c:pt>
              </c:numCache>
            </c:numRef>
          </c:val>
          <c:smooth val="0"/>
          <c:extLst>
            <c:ext xmlns:c16="http://schemas.microsoft.com/office/drawing/2014/chart" uri="{C3380CC4-5D6E-409C-BE32-E72D297353CC}">
              <c16:uniqueId val="{00000007-E996-4146-BFCA-DBEE1A840DF5}"/>
            </c:ext>
          </c:extLst>
        </c:ser>
        <c:ser>
          <c:idx val="12"/>
          <c:order val="7"/>
          <c:tx>
            <c:strRef>
              <c:f>Referrals!$AL$48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Referrals!$Z$2:$AD$3</c:f>
              <c:strCache>
                <c:ptCount val="5"/>
                <c:pt idx="0">
                  <c:v>2015-16</c:v>
                </c:pt>
                <c:pt idx="1">
                  <c:v>2016-17</c:v>
                </c:pt>
                <c:pt idx="2">
                  <c:v>2017-18</c:v>
                </c:pt>
                <c:pt idx="3">
                  <c:v>2018-19</c:v>
                </c:pt>
                <c:pt idx="4">
                  <c:v>2019-20</c:v>
                </c:pt>
              </c:strCache>
            </c:strRef>
          </c:cat>
          <c:val>
            <c:numRef>
              <c:f>Referrals!$AM$48:$AQ$48</c:f>
              <c:numCache>
                <c:formatCode>0.0</c:formatCode>
                <c:ptCount val="5"/>
                <c:pt idx="0">
                  <c:v>532.91139240506334</c:v>
                </c:pt>
                <c:pt idx="1">
                  <c:v>428.88540031397173</c:v>
                </c:pt>
                <c:pt idx="2">
                  <c:v>408.76369327073553</c:v>
                </c:pt>
                <c:pt idx="3">
                  <c:v>625</c:v>
                </c:pt>
                <c:pt idx="4">
                  <c:v>754.46153846153845</c:v>
                </c:pt>
              </c:numCache>
            </c:numRef>
          </c:val>
          <c:smooth val="0"/>
          <c:extLst>
            <c:ext xmlns:c16="http://schemas.microsoft.com/office/drawing/2014/chart" uri="{C3380CC4-5D6E-409C-BE32-E72D297353CC}">
              <c16:uniqueId val="{00000008-E996-4146-BFCA-DBEE1A840DF5}"/>
            </c:ext>
          </c:extLst>
        </c:ser>
        <c:ser>
          <c:idx val="13"/>
          <c:order val="8"/>
          <c:tx>
            <c:strRef>
              <c:f>Referrals!$AL$49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Referrals!$Z$2:$AD$3</c:f>
              <c:strCache>
                <c:ptCount val="5"/>
                <c:pt idx="0">
                  <c:v>2015-16</c:v>
                </c:pt>
                <c:pt idx="1">
                  <c:v>2016-17</c:v>
                </c:pt>
                <c:pt idx="2">
                  <c:v>2017-18</c:v>
                </c:pt>
                <c:pt idx="3">
                  <c:v>2018-19</c:v>
                </c:pt>
                <c:pt idx="4">
                  <c:v>2019-20</c:v>
                </c:pt>
              </c:strCache>
            </c:strRef>
          </c:cat>
          <c:val>
            <c:numRef>
              <c:f>Referrals!$AM$49:$AQ$49</c:f>
              <c:numCache>
                <c:formatCode>0.0</c:formatCode>
                <c:ptCount val="5"/>
                <c:pt idx="0">
                  <c:v>418.91074130105898</c:v>
                </c:pt>
                <c:pt idx="1">
                  <c:v>459.46348733233981</c:v>
                </c:pt>
                <c:pt idx="2">
                  <c:v>348.96449704142009</c:v>
                </c:pt>
                <c:pt idx="3">
                  <c:v>397.80380673499269</c:v>
                </c:pt>
                <c:pt idx="4">
                  <c:v>449.12790697674421</c:v>
                </c:pt>
              </c:numCache>
            </c:numRef>
          </c:val>
          <c:smooth val="0"/>
          <c:extLst>
            <c:ext xmlns:c16="http://schemas.microsoft.com/office/drawing/2014/chart" uri="{C3380CC4-5D6E-409C-BE32-E72D297353CC}">
              <c16:uniqueId val="{00000009-E996-4146-BFCA-DBEE1A840DF5}"/>
            </c:ext>
          </c:extLst>
        </c:ser>
        <c:ser>
          <c:idx val="15"/>
          <c:order val="9"/>
          <c:tx>
            <c:strRef>
              <c:f>Referrals!$AL$50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Referrals!$Z$2:$AD$3</c:f>
              <c:strCache>
                <c:ptCount val="5"/>
                <c:pt idx="0">
                  <c:v>2015-16</c:v>
                </c:pt>
                <c:pt idx="1">
                  <c:v>2016-17</c:v>
                </c:pt>
                <c:pt idx="2">
                  <c:v>2017-18</c:v>
                </c:pt>
                <c:pt idx="3">
                  <c:v>2018-19</c:v>
                </c:pt>
                <c:pt idx="4">
                  <c:v>2019-20</c:v>
                </c:pt>
              </c:strCache>
            </c:strRef>
          </c:cat>
          <c:val>
            <c:numRef>
              <c:f>Referrals!$AM$50:$AQ$50</c:f>
              <c:numCache>
                <c:formatCode>0.0</c:formatCode>
                <c:ptCount val="5"/>
                <c:pt idx="0">
                  <c:v>476.02256699576873</c:v>
                </c:pt>
                <c:pt idx="1">
                  <c:v>494.47165850244926</c:v>
                </c:pt>
                <c:pt idx="2">
                  <c:v>475.17433751743374</c:v>
                </c:pt>
                <c:pt idx="3">
                  <c:v>468.16298342541438</c:v>
                </c:pt>
                <c:pt idx="4">
                  <c:v>513.48391512662556</c:v>
                </c:pt>
              </c:numCache>
            </c:numRef>
          </c:val>
          <c:smooth val="0"/>
          <c:extLst>
            <c:ext xmlns:c16="http://schemas.microsoft.com/office/drawing/2014/chart" uri="{C3380CC4-5D6E-409C-BE32-E72D297353CC}">
              <c16:uniqueId val="{0000000A-E996-4146-BFCA-DBEE1A840DF5}"/>
            </c:ext>
          </c:extLst>
        </c:ser>
        <c:ser>
          <c:idx val="16"/>
          <c:order val="10"/>
          <c:tx>
            <c:strRef>
              <c:f>Referrals!$AL$51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Referrals!$Z$2:$AD$3</c:f>
              <c:strCache>
                <c:ptCount val="5"/>
                <c:pt idx="0">
                  <c:v>2015-16</c:v>
                </c:pt>
                <c:pt idx="1">
                  <c:v>2016-17</c:v>
                </c:pt>
                <c:pt idx="2">
                  <c:v>2017-18</c:v>
                </c:pt>
                <c:pt idx="3">
                  <c:v>2018-19</c:v>
                </c:pt>
                <c:pt idx="4">
                  <c:v>2019-20</c:v>
                </c:pt>
              </c:strCache>
            </c:strRef>
          </c:cat>
          <c:val>
            <c:numRef>
              <c:f>Referrals!$AM$51:$AQ$51</c:f>
              <c:numCache>
                <c:formatCode>0.0</c:formatCode>
                <c:ptCount val="5"/>
                <c:pt idx="0">
                  <c:v>477.85388127853878</c:v>
                </c:pt>
                <c:pt idx="1">
                  <c:v>565.22727272727275</c:v>
                </c:pt>
                <c:pt idx="2">
                  <c:v>643.66515837104066</c:v>
                </c:pt>
                <c:pt idx="3">
                  <c:v>646.36363636363626</c:v>
                </c:pt>
                <c:pt idx="4">
                  <c:v>608.21917808219177</c:v>
                </c:pt>
              </c:numCache>
            </c:numRef>
          </c:val>
          <c:smooth val="0"/>
          <c:extLst>
            <c:ext xmlns:c16="http://schemas.microsoft.com/office/drawing/2014/chart" uri="{C3380CC4-5D6E-409C-BE32-E72D297353CC}">
              <c16:uniqueId val="{0000000B-E996-4146-BFCA-DBEE1A840DF5}"/>
            </c:ext>
          </c:extLst>
        </c:ser>
        <c:ser>
          <c:idx val="17"/>
          <c:order val="11"/>
          <c:tx>
            <c:strRef>
              <c:f>Referrals!$AL$52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Referrals!$Z$2:$AD$3</c:f>
              <c:strCache>
                <c:ptCount val="5"/>
                <c:pt idx="0">
                  <c:v>2015-16</c:v>
                </c:pt>
                <c:pt idx="1">
                  <c:v>2016-17</c:v>
                </c:pt>
                <c:pt idx="2">
                  <c:v>2017-18</c:v>
                </c:pt>
                <c:pt idx="3">
                  <c:v>2018-19</c:v>
                </c:pt>
                <c:pt idx="4">
                  <c:v>2019-20</c:v>
                </c:pt>
              </c:strCache>
            </c:strRef>
          </c:cat>
          <c:val>
            <c:numRef>
              <c:f>Referrals!$AM$52:$AQ$52</c:f>
              <c:numCache>
                <c:formatCode>0.0</c:formatCode>
                <c:ptCount val="5"/>
                <c:pt idx="0">
                  <c:v>845.60439560439556</c:v>
                </c:pt>
                <c:pt idx="1">
                  <c:v>892.62295081967216</c:v>
                </c:pt>
                <c:pt idx="2">
                  <c:v>708.35579514824803</c:v>
                </c:pt>
                <c:pt idx="3">
                  <c:v>738.27493261455527</c:v>
                </c:pt>
                <c:pt idx="4">
                  <c:v>692.97297297297291</c:v>
                </c:pt>
              </c:numCache>
            </c:numRef>
          </c:val>
          <c:smooth val="0"/>
          <c:extLst>
            <c:ext xmlns:c16="http://schemas.microsoft.com/office/drawing/2014/chart" uri="{C3380CC4-5D6E-409C-BE32-E72D297353CC}">
              <c16:uniqueId val="{0000000C-E996-4146-BFCA-DBEE1A840DF5}"/>
            </c:ext>
          </c:extLst>
        </c:ser>
        <c:ser>
          <c:idx val="19"/>
          <c:order val="12"/>
          <c:tx>
            <c:strRef>
              <c:f>Referrals!$AL$53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Referrals!$Z$2:$AD$3</c:f>
              <c:strCache>
                <c:ptCount val="5"/>
                <c:pt idx="0">
                  <c:v>2015-16</c:v>
                </c:pt>
                <c:pt idx="1">
                  <c:v>2016-17</c:v>
                </c:pt>
                <c:pt idx="2">
                  <c:v>2017-18</c:v>
                </c:pt>
                <c:pt idx="3">
                  <c:v>2018-19</c:v>
                </c:pt>
                <c:pt idx="4">
                  <c:v>2019-20</c:v>
                </c:pt>
              </c:strCache>
            </c:strRef>
          </c:cat>
          <c:val>
            <c:numRef>
              <c:f>Referrals!$AM$53:$AQ$53</c:f>
              <c:numCache>
                <c:formatCode>0.0</c:formatCode>
                <c:ptCount val="5"/>
                <c:pt idx="0">
                  <c:v>683.25123152709364</c:v>
                </c:pt>
                <c:pt idx="1">
                  <c:v>1373.913043478261</c:v>
                </c:pt>
                <c:pt idx="2">
                  <c:v>377.01421800947867</c:v>
                </c:pt>
                <c:pt idx="3">
                  <c:v>464.87119437939111</c:v>
                </c:pt>
                <c:pt idx="4">
                  <c:v>589.3271461716937</c:v>
                </c:pt>
              </c:numCache>
            </c:numRef>
          </c:val>
          <c:smooth val="0"/>
          <c:extLst>
            <c:ext xmlns:c16="http://schemas.microsoft.com/office/drawing/2014/chart" uri="{C3380CC4-5D6E-409C-BE32-E72D297353CC}">
              <c16:uniqueId val="{0000000D-E996-4146-BFCA-DBEE1A840DF5}"/>
            </c:ext>
          </c:extLst>
        </c:ser>
        <c:ser>
          <c:idx val="3"/>
          <c:order val="13"/>
          <c:tx>
            <c:strRef>
              <c:f>Referrals!$AL$54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Referrals!$Z$2:$AD$3</c:f>
              <c:strCache>
                <c:ptCount val="5"/>
                <c:pt idx="0">
                  <c:v>2015-16</c:v>
                </c:pt>
                <c:pt idx="1">
                  <c:v>2016-17</c:v>
                </c:pt>
                <c:pt idx="2">
                  <c:v>2017-18</c:v>
                </c:pt>
                <c:pt idx="3">
                  <c:v>2018-19</c:v>
                </c:pt>
                <c:pt idx="4">
                  <c:v>2019-20</c:v>
                </c:pt>
              </c:strCache>
            </c:strRef>
          </c:cat>
          <c:val>
            <c:numRef>
              <c:f>Referrals!$AM$54:$AQ$54</c:f>
              <c:numCache>
                <c:formatCode>0.0</c:formatCode>
                <c:ptCount val="5"/>
                <c:pt idx="0">
                  <c:v>378.47985347985349</c:v>
                </c:pt>
                <c:pt idx="1">
                  <c:v>435.46034639927075</c:v>
                </c:pt>
                <c:pt idx="2">
                  <c:v>469.11898274296095</c:v>
                </c:pt>
                <c:pt idx="3">
                  <c:v>345.98012646793137</c:v>
                </c:pt>
                <c:pt idx="4">
                  <c:v>325.44964028776974</c:v>
                </c:pt>
              </c:numCache>
            </c:numRef>
          </c:val>
          <c:smooth val="0"/>
          <c:extLst>
            <c:ext xmlns:c16="http://schemas.microsoft.com/office/drawing/2014/chart" uri="{C3380CC4-5D6E-409C-BE32-E72D297353CC}">
              <c16:uniqueId val="{0000000E-E996-4146-BFCA-DBEE1A840DF5}"/>
            </c:ext>
          </c:extLst>
        </c:ser>
        <c:ser>
          <c:idx val="20"/>
          <c:order val="14"/>
          <c:tx>
            <c:strRef>
              <c:f>Referrals!$AL$55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Referrals!$Z$2:$AD$3</c:f>
              <c:strCache>
                <c:ptCount val="5"/>
                <c:pt idx="0">
                  <c:v>2015-16</c:v>
                </c:pt>
                <c:pt idx="1">
                  <c:v>2016-17</c:v>
                </c:pt>
                <c:pt idx="2">
                  <c:v>2017-18</c:v>
                </c:pt>
                <c:pt idx="3">
                  <c:v>2018-19</c:v>
                </c:pt>
                <c:pt idx="4">
                  <c:v>2019-20</c:v>
                </c:pt>
              </c:strCache>
            </c:strRef>
          </c:cat>
          <c:val>
            <c:numRef>
              <c:f>Referrals!$AM$55:$AQ$55</c:f>
              <c:numCache>
                <c:formatCode>0.0</c:formatCode>
                <c:ptCount val="5"/>
                <c:pt idx="0">
                  <c:v>836.58536585365857</c:v>
                </c:pt>
                <c:pt idx="1">
                  <c:v>610.02004008016036</c:v>
                </c:pt>
                <c:pt idx="2">
                  <c:v>519.48310139165005</c:v>
                </c:pt>
                <c:pt idx="3">
                  <c:v>511.41732283464569</c:v>
                </c:pt>
                <c:pt idx="4">
                  <c:v>943.46978557504872</c:v>
                </c:pt>
              </c:numCache>
            </c:numRef>
          </c:val>
          <c:smooth val="0"/>
          <c:extLst>
            <c:ext xmlns:c16="http://schemas.microsoft.com/office/drawing/2014/chart" uri="{C3380CC4-5D6E-409C-BE32-E72D297353CC}">
              <c16:uniqueId val="{0000000F-E996-4146-BFCA-DBEE1A840DF5}"/>
            </c:ext>
          </c:extLst>
        </c:ser>
        <c:ser>
          <c:idx val="22"/>
          <c:order val="15"/>
          <c:tx>
            <c:strRef>
              <c:f>Referrals!$AL$56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Referrals!$Z$2:$AD$3</c:f>
              <c:strCache>
                <c:ptCount val="5"/>
                <c:pt idx="0">
                  <c:v>2015-16</c:v>
                </c:pt>
                <c:pt idx="1">
                  <c:v>2016-17</c:v>
                </c:pt>
                <c:pt idx="2">
                  <c:v>2017-18</c:v>
                </c:pt>
                <c:pt idx="3">
                  <c:v>2018-19</c:v>
                </c:pt>
                <c:pt idx="4">
                  <c:v>2019-20</c:v>
                </c:pt>
              </c:strCache>
            </c:strRef>
          </c:cat>
          <c:val>
            <c:numRef>
              <c:f>Referrals!$AM$56:$AQ$56</c:f>
              <c:numCache>
                <c:formatCode>0.0</c:formatCode>
                <c:ptCount val="5"/>
                <c:pt idx="0">
                  <c:v>458.97035881435261</c:v>
                </c:pt>
                <c:pt idx="1">
                  <c:v>450.92664092664091</c:v>
                </c:pt>
                <c:pt idx="2">
                  <c:v>523.47291586630809</c:v>
                </c:pt>
                <c:pt idx="3">
                  <c:v>406.07101947308132</c:v>
                </c:pt>
                <c:pt idx="4">
                  <c:v>322.93404094010617</c:v>
                </c:pt>
              </c:numCache>
            </c:numRef>
          </c:val>
          <c:smooth val="0"/>
          <c:extLst>
            <c:ext xmlns:c16="http://schemas.microsoft.com/office/drawing/2014/chart" uri="{C3380CC4-5D6E-409C-BE32-E72D297353CC}">
              <c16:uniqueId val="{00000010-E996-4146-BFCA-DBEE1A840DF5}"/>
            </c:ext>
          </c:extLst>
        </c:ser>
        <c:ser>
          <c:idx val="7"/>
          <c:order val="16"/>
          <c:tx>
            <c:strRef>
              <c:f>Referrals!$AL$57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Referrals!$Z$2:$AD$3</c:f>
              <c:strCache>
                <c:ptCount val="5"/>
                <c:pt idx="0">
                  <c:v>2015-16</c:v>
                </c:pt>
                <c:pt idx="1">
                  <c:v>2016-17</c:v>
                </c:pt>
                <c:pt idx="2">
                  <c:v>2017-18</c:v>
                </c:pt>
                <c:pt idx="3">
                  <c:v>2018-19</c:v>
                </c:pt>
                <c:pt idx="4">
                  <c:v>2019-20</c:v>
                </c:pt>
              </c:strCache>
            </c:strRef>
          </c:cat>
          <c:val>
            <c:numRef>
              <c:f>Referrals!$AM$57:$AQ$57</c:f>
              <c:numCache>
                <c:formatCode>0.0</c:formatCode>
                <c:ptCount val="5"/>
                <c:pt idx="0">
                  <c:v>694.89795918367349</c:v>
                </c:pt>
                <c:pt idx="1">
                  <c:v>610.30303030303037</c:v>
                </c:pt>
                <c:pt idx="2">
                  <c:v>726.85370741482973</c:v>
                </c:pt>
                <c:pt idx="3">
                  <c:v>645.81673306772905</c:v>
                </c:pt>
                <c:pt idx="4">
                  <c:v>600.39682539682542</c:v>
                </c:pt>
              </c:numCache>
            </c:numRef>
          </c:val>
          <c:smooth val="0"/>
          <c:extLst>
            <c:ext xmlns:c16="http://schemas.microsoft.com/office/drawing/2014/chart" uri="{C3380CC4-5D6E-409C-BE32-E72D297353CC}">
              <c16:uniqueId val="{00000011-E996-4146-BFCA-DBEE1A840DF5}"/>
            </c:ext>
          </c:extLst>
        </c:ser>
        <c:ser>
          <c:idx val="8"/>
          <c:order val="17"/>
          <c:tx>
            <c:strRef>
              <c:f>Referrals!$AL$58</c:f>
              <c:strCache>
                <c:ptCount val="1"/>
                <c:pt idx="0">
                  <c:v>Torbay</c:v>
                </c:pt>
              </c:strCache>
            </c:strRef>
          </c:tx>
          <c:spPr>
            <a:ln w="12700"/>
          </c:spPr>
          <c:marker>
            <c:symbol val="circle"/>
            <c:size val="5"/>
            <c:spPr>
              <a:solidFill>
                <a:schemeClr val="accent3">
                  <a:lumMod val="20000"/>
                  <a:lumOff val="80000"/>
                </a:schemeClr>
              </a:solidFill>
            </c:spPr>
          </c:marker>
          <c:cat>
            <c:strRef>
              <c:f>Referrals!$Z$2:$AD$3</c:f>
              <c:strCache>
                <c:ptCount val="5"/>
                <c:pt idx="0">
                  <c:v>2015-16</c:v>
                </c:pt>
                <c:pt idx="1">
                  <c:v>2016-17</c:v>
                </c:pt>
                <c:pt idx="2">
                  <c:v>2017-18</c:v>
                </c:pt>
                <c:pt idx="3">
                  <c:v>2018-19</c:v>
                </c:pt>
                <c:pt idx="4">
                  <c:v>2019-20</c:v>
                </c:pt>
              </c:strCache>
            </c:strRef>
          </c:cat>
          <c:val>
            <c:numRef>
              <c:f>Referrals!$AM$58:$AQ$58</c:f>
              <c:numCache>
                <c:formatCode>0.0</c:formatCode>
                <c:ptCount val="5"/>
                <c:pt idx="0">
                  <c:v>788.8888888888888</c:v>
                </c:pt>
                <c:pt idx="1">
                  <c:v>636.22047244094483</c:v>
                </c:pt>
                <c:pt idx="2">
                  <c:v>710.6299212598426</c:v>
                </c:pt>
                <c:pt idx="3">
                  <c:v>695.27559055118104</c:v>
                </c:pt>
                <c:pt idx="4">
                  <c:v>730.078125</c:v>
                </c:pt>
              </c:numCache>
            </c:numRef>
          </c:val>
          <c:smooth val="0"/>
          <c:extLst>
            <c:ext xmlns:c16="http://schemas.microsoft.com/office/drawing/2014/chart" uri="{C3380CC4-5D6E-409C-BE32-E72D297353CC}">
              <c16:uniqueId val="{00000012-E996-4146-BFCA-DBEE1A840DF5}"/>
            </c:ext>
          </c:extLst>
        </c:ser>
        <c:ser>
          <c:idx val="23"/>
          <c:order val="18"/>
          <c:tx>
            <c:strRef>
              <c:f>Referrals!$AL$59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Referrals!$Z$2:$AD$3</c:f>
              <c:strCache>
                <c:ptCount val="5"/>
                <c:pt idx="0">
                  <c:v>2015-16</c:v>
                </c:pt>
                <c:pt idx="1">
                  <c:v>2016-17</c:v>
                </c:pt>
                <c:pt idx="2">
                  <c:v>2017-18</c:v>
                </c:pt>
                <c:pt idx="3">
                  <c:v>2018-19</c:v>
                </c:pt>
                <c:pt idx="4">
                  <c:v>2019-20</c:v>
                </c:pt>
              </c:strCache>
            </c:strRef>
          </c:cat>
          <c:val>
            <c:numRef>
              <c:f>Referrals!$AM$59:$AQ$59</c:f>
              <c:numCache>
                <c:formatCode>0.0</c:formatCode>
                <c:ptCount val="5"/>
                <c:pt idx="0">
                  <c:v>382.35294117647061</c:v>
                </c:pt>
                <c:pt idx="1">
                  <c:v>460.16713091922003</c:v>
                </c:pt>
                <c:pt idx="2">
                  <c:v>422.34636871508377</c:v>
                </c:pt>
                <c:pt idx="3">
                  <c:v>473.59550561797755</c:v>
                </c:pt>
                <c:pt idx="4">
                  <c:v>464.60674157303373</c:v>
                </c:pt>
              </c:numCache>
            </c:numRef>
          </c:val>
          <c:smooth val="0"/>
          <c:extLst>
            <c:ext xmlns:c16="http://schemas.microsoft.com/office/drawing/2014/chart" uri="{C3380CC4-5D6E-409C-BE32-E72D297353CC}">
              <c16:uniqueId val="{00000013-E996-4146-BFCA-DBEE1A840DF5}"/>
            </c:ext>
          </c:extLst>
        </c:ser>
        <c:ser>
          <c:idx val="24"/>
          <c:order val="19"/>
          <c:tx>
            <c:strRef>
              <c:f>Referrals!$AL$60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Referrals!$Z$2:$AD$3</c:f>
              <c:strCache>
                <c:ptCount val="5"/>
                <c:pt idx="0">
                  <c:v>2015-16</c:v>
                </c:pt>
                <c:pt idx="1">
                  <c:v>2016-17</c:v>
                </c:pt>
                <c:pt idx="2">
                  <c:v>2017-18</c:v>
                </c:pt>
                <c:pt idx="3">
                  <c:v>2018-19</c:v>
                </c:pt>
                <c:pt idx="4">
                  <c:v>2019-20</c:v>
                </c:pt>
              </c:strCache>
            </c:strRef>
          </c:cat>
          <c:val>
            <c:numRef>
              <c:f>Referrals!$AM$60:$AQ$60</c:f>
              <c:numCache>
                <c:formatCode>0.0</c:formatCode>
                <c:ptCount val="5"/>
                <c:pt idx="0">
                  <c:v>478.11032863849766</c:v>
                </c:pt>
                <c:pt idx="1">
                  <c:v>508.78928987194411</c:v>
                </c:pt>
                <c:pt idx="2">
                  <c:v>576.74552798615116</c:v>
                </c:pt>
                <c:pt idx="3">
                  <c:v>543.21694333142534</c:v>
                </c:pt>
                <c:pt idx="4">
                  <c:v>567.4616695059625</c:v>
                </c:pt>
              </c:numCache>
            </c:numRef>
          </c:val>
          <c:smooth val="0"/>
          <c:extLst>
            <c:ext xmlns:c16="http://schemas.microsoft.com/office/drawing/2014/chart" uri="{C3380CC4-5D6E-409C-BE32-E72D297353CC}">
              <c16:uniqueId val="{00000014-E996-4146-BFCA-DBEE1A840DF5}"/>
            </c:ext>
          </c:extLst>
        </c:ser>
        <c:ser>
          <c:idx val="25"/>
          <c:order val="20"/>
          <c:tx>
            <c:strRef>
              <c:f>Referrals!$AL$61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Referrals!$Z$2:$AD$3</c:f>
              <c:strCache>
                <c:ptCount val="5"/>
                <c:pt idx="0">
                  <c:v>2015-16</c:v>
                </c:pt>
                <c:pt idx="1">
                  <c:v>2016-17</c:v>
                </c:pt>
                <c:pt idx="2">
                  <c:v>2017-18</c:v>
                </c:pt>
                <c:pt idx="3">
                  <c:v>2018-19</c:v>
                </c:pt>
                <c:pt idx="4">
                  <c:v>2019-20</c:v>
                </c:pt>
              </c:strCache>
            </c:strRef>
          </c:cat>
          <c:val>
            <c:numRef>
              <c:f>Referrals!$AM$61:$AQ$61</c:f>
              <c:numCache>
                <c:formatCode>0.0</c:formatCode>
                <c:ptCount val="5"/>
                <c:pt idx="0">
                  <c:v>330.86053412462905</c:v>
                </c:pt>
                <c:pt idx="1">
                  <c:v>290.05847953216374</c:v>
                </c:pt>
                <c:pt idx="2">
                  <c:v>308.43023255813955</c:v>
                </c:pt>
                <c:pt idx="3">
                  <c:v>328.03468208092482</c:v>
                </c:pt>
                <c:pt idx="4">
                  <c:v>390.77809798270891</c:v>
                </c:pt>
              </c:numCache>
            </c:numRef>
          </c:val>
          <c:smooth val="0"/>
          <c:extLst>
            <c:ext xmlns:c16="http://schemas.microsoft.com/office/drawing/2014/chart" uri="{C3380CC4-5D6E-409C-BE32-E72D297353CC}">
              <c16:uniqueId val="{00000015-E996-4146-BFCA-DBEE1A840DF5}"/>
            </c:ext>
          </c:extLst>
        </c:ser>
        <c:ser>
          <c:idx val="26"/>
          <c:order val="21"/>
          <c:tx>
            <c:strRef>
              <c:f>Referrals!$AL$62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Referrals!$Z$2:$AD$3</c:f>
              <c:strCache>
                <c:ptCount val="5"/>
                <c:pt idx="0">
                  <c:v>2015-16</c:v>
                </c:pt>
                <c:pt idx="1">
                  <c:v>2016-17</c:v>
                </c:pt>
                <c:pt idx="2">
                  <c:v>2017-18</c:v>
                </c:pt>
                <c:pt idx="3">
                  <c:v>2018-19</c:v>
                </c:pt>
                <c:pt idx="4">
                  <c:v>2019-20</c:v>
                </c:pt>
              </c:strCache>
            </c:strRef>
          </c:cat>
          <c:val>
            <c:numRef>
              <c:f>Referrals!$AM$62:$AQ$62</c:f>
              <c:numCache>
                <c:formatCode>0.0</c:formatCode>
                <c:ptCount val="5"/>
                <c:pt idx="0">
                  <c:v>303.21715817694371</c:v>
                </c:pt>
                <c:pt idx="1">
                  <c:v>238.68421052631581</c:v>
                </c:pt>
                <c:pt idx="2">
                  <c:v>354.26356589147287</c:v>
                </c:pt>
                <c:pt idx="3">
                  <c:v>431.64556962025313</c:v>
                </c:pt>
                <c:pt idx="4">
                  <c:v>439.10891089108907</c:v>
                </c:pt>
              </c:numCache>
            </c:numRef>
          </c:val>
          <c:smooth val="0"/>
          <c:extLst>
            <c:ext xmlns:c16="http://schemas.microsoft.com/office/drawing/2014/chart" uri="{C3380CC4-5D6E-409C-BE32-E72D297353CC}">
              <c16:uniqueId val="{00000016-E996-4146-BFCA-DBEE1A840DF5}"/>
            </c:ext>
          </c:extLst>
        </c:ser>
        <c:ser>
          <c:idx val="4"/>
          <c:order val="22"/>
          <c:tx>
            <c:strRef>
              <c:f>Referrals!$AL$63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Referrals!$Z$2:$AD$3</c:f>
              <c:strCache>
                <c:ptCount val="5"/>
                <c:pt idx="0">
                  <c:v>2015-16</c:v>
                </c:pt>
                <c:pt idx="1">
                  <c:v>2016-17</c:v>
                </c:pt>
                <c:pt idx="2">
                  <c:v>2017-18</c:v>
                </c:pt>
                <c:pt idx="3">
                  <c:v>2018-19</c:v>
                </c:pt>
                <c:pt idx="4">
                  <c:v>2019-20</c:v>
                </c:pt>
              </c:strCache>
            </c:strRef>
          </c:cat>
          <c:val>
            <c:numRef>
              <c:f>Referrals!$AM$63:$AQ$63</c:f>
              <c:numCache>
                <c:formatCode>0.0</c:formatCode>
                <c:ptCount val="5"/>
                <c:pt idx="0">
                  <c:v>509.67102862207395</c:v>
                </c:pt>
                <c:pt idx="1">
                  <c:v>554.13584398117018</c:v>
                </c:pt>
                <c:pt idx="2">
                  <c:v>548.33067544626783</c:v>
                </c:pt>
                <c:pt idx="3">
                  <c:v>535.86390109328704</c:v>
                </c:pt>
                <c:pt idx="4">
                  <c:v>581.14970546414793</c:v>
                </c:pt>
              </c:numCache>
            </c:numRef>
          </c:val>
          <c:smooth val="0"/>
          <c:extLst>
            <c:ext xmlns:c16="http://schemas.microsoft.com/office/drawing/2014/chart" uri="{C3380CC4-5D6E-409C-BE32-E72D297353CC}">
              <c16:uniqueId val="{00000017-E996-4146-BFCA-DBEE1A840DF5}"/>
            </c:ext>
          </c:extLst>
        </c:ser>
        <c:ser>
          <c:idx val="14"/>
          <c:order val="23"/>
          <c:tx>
            <c:strRef>
              <c:f>Referrals!$AL$64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Referrals!$Z$2:$AD$3</c:f>
              <c:strCache>
                <c:ptCount val="5"/>
                <c:pt idx="0">
                  <c:v>2015-16</c:v>
                </c:pt>
                <c:pt idx="1">
                  <c:v>2016-17</c:v>
                </c:pt>
                <c:pt idx="2">
                  <c:v>2017-18</c:v>
                </c:pt>
                <c:pt idx="3">
                  <c:v>2018-19</c:v>
                </c:pt>
                <c:pt idx="4">
                  <c:v>2019-20</c:v>
                </c:pt>
              </c:strCache>
            </c:strRef>
          </c:cat>
          <c:val>
            <c:numRef>
              <c:f>Referrals!$AM$64:$AQ$64</c:f>
              <c:numCache>
                <c:formatCode>0.0</c:formatCode>
                <c:ptCount val="5"/>
                <c:pt idx="0">
                  <c:v>532.17616180991445</c:v>
                </c:pt>
                <c:pt idx="1">
                  <c:v>548.24230185061049</c:v>
                </c:pt>
                <c:pt idx="2">
                  <c:v>552.48167186314993</c:v>
                </c:pt>
                <c:pt idx="3">
                  <c:v>544.50169809111139</c:v>
                </c:pt>
                <c:pt idx="4">
                  <c:v>534.76496224092614</c:v>
                </c:pt>
              </c:numCache>
            </c:numRef>
          </c:val>
          <c:smooth val="0"/>
          <c:extLst>
            <c:ext xmlns:c16="http://schemas.microsoft.com/office/drawing/2014/chart" uri="{C3380CC4-5D6E-409C-BE32-E72D297353CC}">
              <c16:uniqueId val="{00000018-E996-4146-BFCA-DBEE1A840DF5}"/>
            </c:ext>
          </c:extLst>
        </c:ser>
        <c:ser>
          <c:idx val="6"/>
          <c:order val="24"/>
          <c:tx>
            <c:strRef>
              <c:f>Referrals!$AL$65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Referrals!$Z$2:$AD$3</c:f>
              <c:strCache>
                <c:ptCount val="5"/>
                <c:pt idx="0">
                  <c:v>2015-16</c:v>
                </c:pt>
                <c:pt idx="1">
                  <c:v>2016-17</c:v>
                </c:pt>
                <c:pt idx="2">
                  <c:v>2017-18</c:v>
                </c:pt>
                <c:pt idx="3">
                  <c:v>2018-19</c:v>
                </c:pt>
                <c:pt idx="4">
                  <c:v>2019-20</c:v>
                </c:pt>
              </c:strCache>
            </c:strRef>
          </c:cat>
          <c:val>
            <c:numRef>
              <c:f>Referrals!$AM$65:$AQ$65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E996-4146-BFCA-DBEE1A840DF5}"/>
            </c:ext>
          </c:extLst>
        </c:ser>
        <c:dLbls>
          <c:showLegendKey val="0"/>
          <c:showVal val="0"/>
          <c:showCatName val="0"/>
          <c:showSerName val="0"/>
          <c:showPercent val="0"/>
          <c:showBubbleSize val="0"/>
        </c:dLbls>
        <c:marker val="1"/>
        <c:smooth val="0"/>
        <c:axId val="528362496"/>
        <c:axId val="528368768"/>
      </c:lineChart>
      <c:catAx>
        <c:axId val="528362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368768"/>
        <c:crosses val="autoZero"/>
        <c:auto val="1"/>
        <c:lblAlgn val="ctr"/>
        <c:lblOffset val="100"/>
        <c:tickLblSkip val="1"/>
        <c:tickMarkSkip val="1"/>
        <c:noMultiLvlLbl val="0"/>
      </c:catAx>
      <c:valAx>
        <c:axId val="5283687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36249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5438153033418595"/>
          <c:w val="0.65146216862752293"/>
          <c:h val="0.5991360315629336"/>
        </c:manualLayout>
      </c:layout>
      <c:barChart>
        <c:barDir val="col"/>
        <c:grouping val="clustered"/>
        <c:varyColors val="0"/>
        <c:ser>
          <c:idx val="6"/>
          <c:order val="0"/>
          <c:tx>
            <c:strRef>
              <c:f>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Referrals!$Z$2:$AD$3</c:f>
              <c:strCache>
                <c:ptCount val="5"/>
                <c:pt idx="0">
                  <c:v>2015-16</c:v>
                </c:pt>
                <c:pt idx="1">
                  <c:v>2016-17</c:v>
                </c:pt>
                <c:pt idx="2">
                  <c:v>2017-18</c:v>
                </c:pt>
                <c:pt idx="3">
                  <c:v>2018-19</c:v>
                </c:pt>
                <c:pt idx="4">
                  <c:v>2019-20</c:v>
                </c:pt>
              </c:strCache>
            </c:strRef>
          </c:cat>
          <c:val>
            <c:numRef>
              <c:f>Referrals!$AM$65:$AQ$65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5461-492B-BEEC-AC6A6265DE12}"/>
            </c:ext>
          </c:extLst>
        </c:ser>
        <c:ser>
          <c:idx val="4"/>
          <c:order val="1"/>
          <c:tx>
            <c:strRef>
              <c:f>Referrals!$B$32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Referrals!$Z$2:$AD$3</c:f>
              <c:strCache>
                <c:ptCount val="5"/>
                <c:pt idx="0">
                  <c:v>2015-16</c:v>
                </c:pt>
                <c:pt idx="1">
                  <c:v>2016-17</c:v>
                </c:pt>
                <c:pt idx="2">
                  <c:v>2017-18</c:v>
                </c:pt>
                <c:pt idx="3">
                  <c:v>2018-19</c:v>
                </c:pt>
                <c:pt idx="4">
                  <c:v>2019-20</c:v>
                </c:pt>
              </c:strCache>
            </c:strRef>
          </c:cat>
          <c:val>
            <c:numRef>
              <c:f>Referrals!$K$32:$O$32</c:f>
              <c:numCache>
                <c:formatCode>0.0</c:formatCode>
                <c:ptCount val="5"/>
                <c:pt idx="0">
                  <c:v>509.67102862207395</c:v>
                </c:pt>
                <c:pt idx="1">
                  <c:v>554.13584398117018</c:v>
                </c:pt>
                <c:pt idx="2">
                  <c:v>548.33067544626783</c:v>
                </c:pt>
                <c:pt idx="3">
                  <c:v>535.86390109328704</c:v>
                </c:pt>
                <c:pt idx="4">
                  <c:v>581.14970546414793</c:v>
                </c:pt>
              </c:numCache>
            </c:numRef>
          </c:val>
          <c:extLst>
            <c:ext xmlns:c16="http://schemas.microsoft.com/office/drawing/2014/chart" uri="{C3380CC4-5D6E-409C-BE32-E72D297353CC}">
              <c16:uniqueId val="{00000001-5461-492B-BEEC-AC6A6265DE12}"/>
            </c:ext>
          </c:extLst>
        </c:ser>
        <c:ser>
          <c:idx val="0"/>
          <c:order val="2"/>
          <c:tx>
            <c:strRef>
              <c:f>Referrals!$B$33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Referrals!$Z$2:$AD$3</c:f>
              <c:strCache>
                <c:ptCount val="5"/>
                <c:pt idx="0">
                  <c:v>2015-16</c:v>
                </c:pt>
                <c:pt idx="1">
                  <c:v>2016-17</c:v>
                </c:pt>
                <c:pt idx="2">
                  <c:v>2017-18</c:v>
                </c:pt>
                <c:pt idx="3">
                  <c:v>2018-19</c:v>
                </c:pt>
                <c:pt idx="4">
                  <c:v>2019-20</c:v>
                </c:pt>
              </c:strCache>
            </c:strRef>
          </c:cat>
          <c:val>
            <c:numRef>
              <c:f>Referrals!$K$33:$O$33</c:f>
              <c:numCache>
                <c:formatCode>0.0</c:formatCode>
                <c:ptCount val="5"/>
                <c:pt idx="0">
                  <c:v>532.17616180991445</c:v>
                </c:pt>
                <c:pt idx="1">
                  <c:v>548.24230185061049</c:v>
                </c:pt>
                <c:pt idx="2">
                  <c:v>552.48167186314993</c:v>
                </c:pt>
                <c:pt idx="3">
                  <c:v>544.50169809111139</c:v>
                </c:pt>
                <c:pt idx="4">
                  <c:v>534.76496224092614</c:v>
                </c:pt>
              </c:numCache>
            </c:numRef>
          </c:val>
          <c:extLst>
            <c:ext xmlns:c16="http://schemas.microsoft.com/office/drawing/2014/chart" uri="{C3380CC4-5D6E-409C-BE32-E72D297353CC}">
              <c16:uniqueId val="{00000002-5461-492B-BEEC-AC6A6265DE12}"/>
            </c:ext>
          </c:extLst>
        </c:ser>
        <c:dLbls>
          <c:showLegendKey val="0"/>
          <c:showVal val="0"/>
          <c:showCatName val="0"/>
          <c:showSerName val="0"/>
          <c:showPercent val="0"/>
          <c:showBubbleSize val="0"/>
        </c:dLbls>
        <c:gapWidth val="100"/>
        <c:axId val="528410880"/>
        <c:axId val="528412672"/>
      </c:barChart>
      <c:catAx>
        <c:axId val="528410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412672"/>
        <c:crosses val="autoZero"/>
        <c:auto val="1"/>
        <c:lblAlgn val="ctr"/>
        <c:lblOffset val="100"/>
        <c:noMultiLvlLbl val="0"/>
      </c:catAx>
      <c:valAx>
        <c:axId val="52841267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410880"/>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Referral</a:t>
            </a:r>
            <a:r>
              <a:rPr lang="en-GB" baseline="0"/>
              <a:t> to Assessment</a:t>
            </a:r>
            <a:r>
              <a:rPr lang="en-GB"/>
              <a:t> (Selected LA</a:t>
            </a:r>
            <a:r>
              <a:rPr lang="en-GB" baseline="0"/>
              <a:t> vs. SE &amp; National)</a:t>
            </a:r>
            <a:r>
              <a:rPr lang="en-GB"/>
              <a:t> </a:t>
            </a:r>
          </a:p>
        </c:rich>
      </c:tx>
      <c:layout>
        <c:manualLayout>
          <c:xMode val="edge"/>
          <c:yMode val="edge"/>
          <c:x val="0.11958981871452115"/>
          <c:y val="3.8611840186643337E-3"/>
        </c:manualLayout>
      </c:layout>
      <c:overlay val="0"/>
      <c:spPr>
        <a:noFill/>
        <a:ln w="25400">
          <a:noFill/>
        </a:ln>
      </c:spPr>
    </c:title>
    <c:autoTitleDeleted val="0"/>
    <c:plotArea>
      <c:layout>
        <c:manualLayout>
          <c:layoutTarget val="inner"/>
          <c:xMode val="edge"/>
          <c:yMode val="edge"/>
          <c:x val="9.8666564984461691E-2"/>
          <c:y val="0.23890930300379118"/>
          <c:w val="0.64607416380644722"/>
          <c:h val="0.49235637212015154"/>
        </c:manualLayout>
      </c:layout>
      <c:barChart>
        <c:barDir val="col"/>
        <c:grouping val="clustered"/>
        <c:varyColors val="0"/>
        <c:ser>
          <c:idx val="6"/>
          <c:order val="0"/>
          <c:tx>
            <c:strRef>
              <c:f>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Referrals!$Z$2:$AD$3</c:f>
              <c:strCache>
                <c:ptCount val="5"/>
                <c:pt idx="0">
                  <c:v>2015-16</c:v>
                </c:pt>
                <c:pt idx="1">
                  <c:v>2016-17</c:v>
                </c:pt>
                <c:pt idx="2">
                  <c:v>2017-18</c:v>
                </c:pt>
                <c:pt idx="3">
                  <c:v>2018-19</c:v>
                </c:pt>
                <c:pt idx="4">
                  <c:v>2019-20</c:v>
                </c:pt>
              </c:strCache>
            </c:strRef>
          </c:cat>
          <c:val>
            <c:numRef>
              <c:f>Referrals!$AS$65:$AW$65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E8F6-4023-919D-FD9A89F827BC}"/>
            </c:ext>
          </c:extLst>
        </c:ser>
        <c:ser>
          <c:idx val="4"/>
          <c:order val="1"/>
          <c:tx>
            <c:strRef>
              <c:f>Referrals!$B$170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Referrals!$Z$2:$AD$3</c:f>
              <c:strCache>
                <c:ptCount val="5"/>
                <c:pt idx="0">
                  <c:v>2015-16</c:v>
                </c:pt>
                <c:pt idx="1">
                  <c:v>2016-17</c:v>
                </c:pt>
                <c:pt idx="2">
                  <c:v>2017-18</c:v>
                </c:pt>
                <c:pt idx="3">
                  <c:v>2018-19</c:v>
                </c:pt>
                <c:pt idx="4">
                  <c:v>2019-20</c:v>
                </c:pt>
              </c:strCache>
            </c:strRef>
          </c:cat>
          <c:val>
            <c:numRef>
              <c:f>Referrals!$D$170:$H$170</c:f>
              <c:numCache>
                <c:formatCode>0%</c:formatCode>
                <c:ptCount val="5"/>
                <c:pt idx="0">
                  <c:v>0.92645253682487727</c:v>
                </c:pt>
                <c:pt idx="1">
                  <c:v>0.88974981329350267</c:v>
                </c:pt>
                <c:pt idx="2">
                  <c:v>0.91697157331832257</c:v>
                </c:pt>
                <c:pt idx="3">
                  <c:v>0.9144818381161216</c:v>
                </c:pt>
                <c:pt idx="4">
                  <c:v>0.93184201328206917</c:v>
                </c:pt>
              </c:numCache>
            </c:numRef>
          </c:val>
          <c:extLst>
            <c:ext xmlns:c16="http://schemas.microsoft.com/office/drawing/2014/chart" uri="{C3380CC4-5D6E-409C-BE32-E72D297353CC}">
              <c16:uniqueId val="{00000001-E8F6-4023-919D-FD9A89F827BC}"/>
            </c:ext>
          </c:extLst>
        </c:ser>
        <c:ser>
          <c:idx val="0"/>
          <c:order val="2"/>
          <c:tx>
            <c:strRef>
              <c:f>Referrals!$B$171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Referrals!$Z$2:$AD$3</c:f>
              <c:strCache>
                <c:ptCount val="5"/>
                <c:pt idx="0">
                  <c:v>2015-16</c:v>
                </c:pt>
                <c:pt idx="1">
                  <c:v>2016-17</c:v>
                </c:pt>
                <c:pt idx="2">
                  <c:v>2017-18</c:v>
                </c:pt>
                <c:pt idx="3">
                  <c:v>2018-19</c:v>
                </c:pt>
                <c:pt idx="4">
                  <c:v>2019-20</c:v>
                </c:pt>
              </c:strCache>
            </c:strRef>
          </c:cat>
          <c:val>
            <c:numRef>
              <c:f>Referrals!$D$171:$H$171</c:f>
              <c:numCache>
                <c:formatCode>0%</c:formatCode>
                <c:ptCount val="5"/>
                <c:pt idx="0">
                  <c:v>0.90055835358102565</c:v>
                </c:pt>
                <c:pt idx="1">
                  <c:v>0.89778988423203121</c:v>
                </c:pt>
                <c:pt idx="2">
                  <c:v>0.90590729527324865</c:v>
                </c:pt>
                <c:pt idx="3">
                  <c:v>0.91917717726944526</c:v>
                </c:pt>
                <c:pt idx="4">
                  <c:v>0.93716756353230268</c:v>
                </c:pt>
              </c:numCache>
            </c:numRef>
          </c:val>
          <c:extLst>
            <c:ext xmlns:c16="http://schemas.microsoft.com/office/drawing/2014/chart" uri="{C3380CC4-5D6E-409C-BE32-E72D297353CC}">
              <c16:uniqueId val="{00000002-E8F6-4023-919D-FD9A89F827BC}"/>
            </c:ext>
          </c:extLst>
        </c:ser>
        <c:dLbls>
          <c:showLegendKey val="0"/>
          <c:showVal val="0"/>
          <c:showCatName val="0"/>
          <c:showSerName val="0"/>
          <c:showPercent val="0"/>
          <c:showBubbleSize val="0"/>
        </c:dLbls>
        <c:gapWidth val="100"/>
        <c:axId val="528078336"/>
        <c:axId val="528079872"/>
      </c:barChart>
      <c:catAx>
        <c:axId val="528078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079872"/>
        <c:crosses val="autoZero"/>
        <c:auto val="1"/>
        <c:lblAlgn val="ctr"/>
        <c:lblOffset val="100"/>
        <c:noMultiLvlLbl val="0"/>
      </c:catAx>
      <c:valAx>
        <c:axId val="528079872"/>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078336"/>
        <c:crosses val="autoZero"/>
        <c:crossBetween val="between"/>
      </c:valAx>
      <c:spPr>
        <a:noFill/>
        <a:ln w="3175">
          <a:solidFill>
            <a:srgbClr val="000000"/>
          </a:solidFill>
          <a:prstDash val="solid"/>
        </a:ln>
      </c:spPr>
    </c:plotArea>
    <c:legend>
      <c:legendPos val="r"/>
      <c:layout>
        <c:manualLayout>
          <c:xMode val="edge"/>
          <c:yMode val="edge"/>
          <c:x val="0.77006568773497908"/>
          <c:y val="0.24591471520605379"/>
          <c:w val="0.22993431226502092"/>
          <c:h val="0.74672729289120554"/>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going on to Assessment</a:t>
            </a:r>
          </a:p>
        </c:rich>
      </c:tx>
      <c:layout>
        <c:manualLayout>
          <c:xMode val="edge"/>
          <c:yMode val="edge"/>
          <c:x val="0.18642605388612135"/>
          <c:y val="2.0819658022471477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Referrals!$AL$41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8ADA-4329-BD34-A67E8DD0B589}"/>
              </c:ext>
            </c:extLst>
          </c:dPt>
          <c:cat>
            <c:strRef>
              <c:f>Referrals!$Z$2:$AD$3</c:f>
              <c:strCache>
                <c:ptCount val="5"/>
                <c:pt idx="0">
                  <c:v>2015-16</c:v>
                </c:pt>
                <c:pt idx="1">
                  <c:v>2016-17</c:v>
                </c:pt>
                <c:pt idx="2">
                  <c:v>2017-18</c:v>
                </c:pt>
                <c:pt idx="3">
                  <c:v>2018-19</c:v>
                </c:pt>
                <c:pt idx="4">
                  <c:v>2019-20</c:v>
                </c:pt>
              </c:strCache>
            </c:strRef>
          </c:cat>
          <c:val>
            <c:numRef>
              <c:f>Referrals!$AS$41:$AW$41</c:f>
              <c:numCache>
                <c:formatCode>0.0%</c:formatCode>
                <c:ptCount val="5"/>
                <c:pt idx="0">
                  <c:v>0.82695252679938747</c:v>
                </c:pt>
                <c:pt idx="1">
                  <c:v>0.87591240875912413</c:v>
                </c:pt>
                <c:pt idx="2">
                  <c:v>0.9279824079164376</c:v>
                </c:pt>
                <c:pt idx="3">
                  <c:v>0.71875</c:v>
                </c:pt>
                <c:pt idx="4">
                  <c:v>0.81871689228958211</c:v>
                </c:pt>
              </c:numCache>
            </c:numRef>
          </c:val>
          <c:smooth val="0"/>
          <c:extLst>
            <c:ext xmlns:c16="http://schemas.microsoft.com/office/drawing/2014/chart" uri="{C3380CC4-5D6E-409C-BE32-E72D297353CC}">
              <c16:uniqueId val="{00000001-8ADA-4329-BD34-A67E8DD0B589}"/>
            </c:ext>
          </c:extLst>
        </c:ser>
        <c:ser>
          <c:idx val="1"/>
          <c:order val="1"/>
          <c:tx>
            <c:strRef>
              <c:f>Referrals!$AL$42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Referrals!$Z$2:$AD$3</c:f>
              <c:strCache>
                <c:ptCount val="5"/>
                <c:pt idx="0">
                  <c:v>2015-16</c:v>
                </c:pt>
                <c:pt idx="1">
                  <c:v>2016-17</c:v>
                </c:pt>
                <c:pt idx="2">
                  <c:v>2017-18</c:v>
                </c:pt>
                <c:pt idx="3">
                  <c:v>2018-19</c:v>
                </c:pt>
                <c:pt idx="4">
                  <c:v>2019-20</c:v>
                </c:pt>
              </c:strCache>
            </c:strRef>
          </c:cat>
          <c:val>
            <c:numRef>
              <c:f>Referrals!$AS$42:$AW$42</c:f>
              <c:numCache>
                <c:formatCode>0.0%</c:formatCode>
                <c:ptCount val="5"/>
                <c:pt idx="0">
                  <c:v>0.90455341506129594</c:v>
                </c:pt>
                <c:pt idx="1">
                  <c:v>0.90249632892804699</c:v>
                </c:pt>
                <c:pt idx="2">
                  <c:v>0.9087918660287081</c:v>
                </c:pt>
                <c:pt idx="3">
                  <c:v>0.92466810744056804</c:v>
                </c:pt>
                <c:pt idx="4">
                  <c:v>0.86782413889666765</c:v>
                </c:pt>
              </c:numCache>
            </c:numRef>
          </c:val>
          <c:smooth val="0"/>
          <c:extLst>
            <c:ext xmlns:c16="http://schemas.microsoft.com/office/drawing/2014/chart" uri="{C3380CC4-5D6E-409C-BE32-E72D297353CC}">
              <c16:uniqueId val="{00000002-8ADA-4329-BD34-A67E8DD0B589}"/>
            </c:ext>
          </c:extLst>
        </c:ser>
        <c:ser>
          <c:idx val="2"/>
          <c:order val="2"/>
          <c:tx>
            <c:strRef>
              <c:f>Referrals!$AL$43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Referrals!$Z$2:$AD$3</c:f>
              <c:strCache>
                <c:ptCount val="5"/>
                <c:pt idx="0">
                  <c:v>2015-16</c:v>
                </c:pt>
                <c:pt idx="1">
                  <c:v>2016-17</c:v>
                </c:pt>
                <c:pt idx="2">
                  <c:v>2017-18</c:v>
                </c:pt>
                <c:pt idx="3">
                  <c:v>2018-19</c:v>
                </c:pt>
                <c:pt idx="4">
                  <c:v>2019-20</c:v>
                </c:pt>
              </c:strCache>
            </c:strRef>
          </c:cat>
          <c:val>
            <c:numRef>
              <c:f>Referrals!$AS$43:$AW$43</c:f>
              <c:numCache>
                <c:formatCode>0.0%</c:formatCode>
                <c:ptCount val="5"/>
                <c:pt idx="0">
                  <c:v>0.83702213279678073</c:v>
                </c:pt>
                <c:pt idx="1">
                  <c:v>0.89710995219469791</c:v>
                </c:pt>
                <c:pt idx="2">
                  <c:v>0.74102737738221924</c:v>
                </c:pt>
                <c:pt idx="3">
                  <c:v>0.73390052356020941</c:v>
                </c:pt>
                <c:pt idx="4">
                  <c:v>0.85502569618740287</c:v>
                </c:pt>
              </c:numCache>
            </c:numRef>
          </c:val>
          <c:smooth val="0"/>
          <c:extLst>
            <c:ext xmlns:c16="http://schemas.microsoft.com/office/drawing/2014/chart" uri="{C3380CC4-5D6E-409C-BE32-E72D297353CC}">
              <c16:uniqueId val="{00000003-8ADA-4329-BD34-A67E8DD0B589}"/>
            </c:ext>
          </c:extLst>
        </c:ser>
        <c:ser>
          <c:idx val="5"/>
          <c:order val="3"/>
          <c:tx>
            <c:strRef>
              <c:f>Referrals!$AL$44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Referrals!$Z$2:$AD$3</c:f>
              <c:strCache>
                <c:ptCount val="5"/>
                <c:pt idx="0">
                  <c:v>2015-16</c:v>
                </c:pt>
                <c:pt idx="1">
                  <c:v>2016-17</c:v>
                </c:pt>
                <c:pt idx="2">
                  <c:v>2017-18</c:v>
                </c:pt>
                <c:pt idx="3">
                  <c:v>2018-19</c:v>
                </c:pt>
                <c:pt idx="4">
                  <c:v>2019-20</c:v>
                </c:pt>
              </c:strCache>
            </c:strRef>
          </c:cat>
          <c:val>
            <c:numRef>
              <c:f>Referrals!$AS$44:$AW$44</c:f>
              <c:numCache>
                <c:formatCode>0.0%</c:formatCode>
                <c:ptCount val="5"/>
                <c:pt idx="0">
                  <c:v>0.97467166979362097</c:v>
                </c:pt>
                <c:pt idx="1">
                  <c:v>0.98150163220892273</c:v>
                </c:pt>
                <c:pt idx="2">
                  <c:v>0.9814517975727044</c:v>
                </c:pt>
                <c:pt idx="3">
                  <c:v>0.98146002317497105</c:v>
                </c:pt>
                <c:pt idx="4">
                  <c:v>0.98656107511399083</c:v>
                </c:pt>
              </c:numCache>
            </c:numRef>
          </c:val>
          <c:smooth val="0"/>
          <c:extLst>
            <c:ext xmlns:c16="http://schemas.microsoft.com/office/drawing/2014/chart" uri="{C3380CC4-5D6E-409C-BE32-E72D297353CC}">
              <c16:uniqueId val="{00000004-8ADA-4329-BD34-A67E8DD0B589}"/>
            </c:ext>
          </c:extLst>
        </c:ser>
        <c:ser>
          <c:idx val="9"/>
          <c:order val="4"/>
          <c:tx>
            <c:strRef>
              <c:f>Referrals!$AL$45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Referrals!$Z$2:$AD$3</c:f>
              <c:strCache>
                <c:ptCount val="5"/>
                <c:pt idx="0">
                  <c:v>2015-16</c:v>
                </c:pt>
                <c:pt idx="1">
                  <c:v>2016-17</c:v>
                </c:pt>
                <c:pt idx="2">
                  <c:v>2017-18</c:v>
                </c:pt>
                <c:pt idx="3">
                  <c:v>2018-19</c:v>
                </c:pt>
                <c:pt idx="4">
                  <c:v>2019-20</c:v>
                </c:pt>
              </c:strCache>
            </c:strRef>
          </c:cat>
          <c:val>
            <c:numRef>
              <c:f>Referrals!$AS$45:$AW$45</c:f>
              <c:numCache>
                <c:formatCode>0.0%</c:formatCode>
                <c:ptCount val="5"/>
                <c:pt idx="0">
                  <c:v>0.89961598463938552</c:v>
                </c:pt>
                <c:pt idx="1">
                  <c:v>0.82588114226910214</c:v>
                </c:pt>
                <c:pt idx="2">
                  <c:v>0.83599131244182434</c:v>
                </c:pt>
                <c:pt idx="3">
                  <c:v>0.85495436766623212</c:v>
                </c:pt>
                <c:pt idx="4">
                  <c:v>0.86641938674579622</c:v>
                </c:pt>
              </c:numCache>
            </c:numRef>
          </c:val>
          <c:smooth val="0"/>
          <c:extLst>
            <c:ext xmlns:c16="http://schemas.microsoft.com/office/drawing/2014/chart" uri="{C3380CC4-5D6E-409C-BE32-E72D297353CC}">
              <c16:uniqueId val="{00000005-8ADA-4329-BD34-A67E8DD0B589}"/>
            </c:ext>
          </c:extLst>
        </c:ser>
        <c:ser>
          <c:idx val="10"/>
          <c:order val="5"/>
          <c:tx>
            <c:strRef>
              <c:f>Referrals!$AL$46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Referrals!$Z$2:$AD$3</c:f>
              <c:strCache>
                <c:ptCount val="5"/>
                <c:pt idx="0">
                  <c:v>2015-16</c:v>
                </c:pt>
                <c:pt idx="1">
                  <c:v>2016-17</c:v>
                </c:pt>
                <c:pt idx="2">
                  <c:v>2017-18</c:v>
                </c:pt>
                <c:pt idx="3">
                  <c:v>2018-19</c:v>
                </c:pt>
                <c:pt idx="4">
                  <c:v>2019-20</c:v>
                </c:pt>
              </c:strCache>
            </c:strRef>
          </c:cat>
          <c:val>
            <c:numRef>
              <c:f>Referrals!$AS$46:$AW$46</c:f>
              <c:numCache>
                <c:formatCode>0.0%</c:formatCode>
                <c:ptCount val="5"/>
                <c:pt idx="0">
                  <c:v>0.89284219338635418</c:v>
                </c:pt>
                <c:pt idx="1">
                  <c:v>0.83773440489858397</c:v>
                </c:pt>
                <c:pt idx="2">
                  <c:v>0.80605786618444841</c:v>
                </c:pt>
                <c:pt idx="3">
                  <c:v>0.77846534653465349</c:v>
                </c:pt>
                <c:pt idx="4">
                  <c:v>0.82958801498127344</c:v>
                </c:pt>
              </c:numCache>
            </c:numRef>
          </c:val>
          <c:smooth val="0"/>
          <c:extLst>
            <c:ext xmlns:c16="http://schemas.microsoft.com/office/drawing/2014/chart" uri="{C3380CC4-5D6E-409C-BE32-E72D297353CC}">
              <c16:uniqueId val="{00000006-8ADA-4329-BD34-A67E8DD0B589}"/>
            </c:ext>
          </c:extLst>
        </c:ser>
        <c:ser>
          <c:idx val="11"/>
          <c:order val="6"/>
          <c:tx>
            <c:strRef>
              <c:f>Referrals!$AL$47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Referrals!$Z$2:$AD$3</c:f>
              <c:strCache>
                <c:ptCount val="5"/>
                <c:pt idx="0">
                  <c:v>2015-16</c:v>
                </c:pt>
                <c:pt idx="1">
                  <c:v>2016-17</c:v>
                </c:pt>
                <c:pt idx="2">
                  <c:v>2017-18</c:v>
                </c:pt>
                <c:pt idx="3">
                  <c:v>2018-19</c:v>
                </c:pt>
                <c:pt idx="4">
                  <c:v>2019-20</c:v>
                </c:pt>
              </c:strCache>
            </c:strRef>
          </c:cat>
          <c:val>
            <c:numRef>
              <c:f>Referrals!$AS$47:$AW$47</c:f>
              <c:numCache>
                <c:formatCode>0.0%</c:formatCode>
                <c:ptCount val="5"/>
                <c:pt idx="0">
                  <c:v>0.99302568113674883</c:v>
                </c:pt>
                <c:pt idx="1">
                  <c:v>0.99462195507750717</c:v>
                </c:pt>
                <c:pt idx="2">
                  <c:v>0.99236050172921075</c:v>
                </c:pt>
                <c:pt idx="3">
                  <c:v>0.99431165563638357</c:v>
                </c:pt>
                <c:pt idx="4">
                  <c:v>0.99525705848136381</c:v>
                </c:pt>
              </c:numCache>
            </c:numRef>
          </c:val>
          <c:smooth val="0"/>
          <c:extLst>
            <c:ext xmlns:c16="http://schemas.microsoft.com/office/drawing/2014/chart" uri="{C3380CC4-5D6E-409C-BE32-E72D297353CC}">
              <c16:uniqueId val="{00000007-8ADA-4329-BD34-A67E8DD0B589}"/>
            </c:ext>
          </c:extLst>
        </c:ser>
        <c:ser>
          <c:idx val="12"/>
          <c:order val="7"/>
          <c:tx>
            <c:strRef>
              <c:f>Referrals!$AL$48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Referrals!$Z$2:$AD$3</c:f>
              <c:strCache>
                <c:ptCount val="5"/>
                <c:pt idx="0">
                  <c:v>2015-16</c:v>
                </c:pt>
                <c:pt idx="1">
                  <c:v>2016-17</c:v>
                </c:pt>
                <c:pt idx="2">
                  <c:v>2017-18</c:v>
                </c:pt>
                <c:pt idx="3">
                  <c:v>2018-19</c:v>
                </c:pt>
                <c:pt idx="4">
                  <c:v>2019-20</c:v>
                </c:pt>
              </c:strCache>
            </c:strRef>
          </c:cat>
          <c:val>
            <c:numRef>
              <c:f>Referrals!$AS$48:$AW$48</c:f>
              <c:numCache>
                <c:formatCode>0.0%</c:formatCode>
                <c:ptCount val="5"/>
                <c:pt idx="0">
                  <c:v>0.88004750593824232</c:v>
                </c:pt>
                <c:pt idx="1">
                  <c:v>0.91617862371888725</c:v>
                </c:pt>
                <c:pt idx="2">
                  <c:v>0.92534456355283312</c:v>
                </c:pt>
                <c:pt idx="3">
                  <c:v>0.92670807453416149</c:v>
                </c:pt>
                <c:pt idx="4">
                  <c:v>0.95207993474714514</c:v>
                </c:pt>
              </c:numCache>
            </c:numRef>
          </c:val>
          <c:smooth val="0"/>
          <c:extLst>
            <c:ext xmlns:c16="http://schemas.microsoft.com/office/drawing/2014/chart" uri="{C3380CC4-5D6E-409C-BE32-E72D297353CC}">
              <c16:uniqueId val="{00000008-8ADA-4329-BD34-A67E8DD0B589}"/>
            </c:ext>
          </c:extLst>
        </c:ser>
        <c:ser>
          <c:idx val="13"/>
          <c:order val="8"/>
          <c:tx>
            <c:strRef>
              <c:f>Referrals!$AL$49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Referrals!$Z$2:$AD$3</c:f>
              <c:strCache>
                <c:ptCount val="5"/>
                <c:pt idx="0">
                  <c:v>2015-16</c:v>
                </c:pt>
                <c:pt idx="1">
                  <c:v>2016-17</c:v>
                </c:pt>
                <c:pt idx="2">
                  <c:v>2017-18</c:v>
                </c:pt>
                <c:pt idx="3">
                  <c:v>2018-19</c:v>
                </c:pt>
                <c:pt idx="4">
                  <c:v>2019-20</c:v>
                </c:pt>
              </c:strCache>
            </c:strRef>
          </c:cat>
          <c:val>
            <c:numRef>
              <c:f>Referrals!$AS$49:$AW$49</c:f>
              <c:numCache>
                <c:formatCode>0.0%</c:formatCode>
                <c:ptCount val="5"/>
                <c:pt idx="0">
                  <c:v>0.76778620440592271</c:v>
                </c:pt>
                <c:pt idx="1">
                  <c:v>0.81673694453454426</c:v>
                </c:pt>
                <c:pt idx="2">
                  <c:v>0.81644764730818142</c:v>
                </c:pt>
                <c:pt idx="3">
                  <c:v>0.83216783216783219</c:v>
                </c:pt>
                <c:pt idx="4">
                  <c:v>0.90647249190938506</c:v>
                </c:pt>
              </c:numCache>
            </c:numRef>
          </c:val>
          <c:smooth val="0"/>
          <c:extLst>
            <c:ext xmlns:c16="http://schemas.microsoft.com/office/drawing/2014/chart" uri="{C3380CC4-5D6E-409C-BE32-E72D297353CC}">
              <c16:uniqueId val="{00000009-8ADA-4329-BD34-A67E8DD0B589}"/>
            </c:ext>
          </c:extLst>
        </c:ser>
        <c:ser>
          <c:idx val="15"/>
          <c:order val="9"/>
          <c:tx>
            <c:strRef>
              <c:f>Referrals!$AL$50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Referrals!$Z$2:$AD$3</c:f>
              <c:strCache>
                <c:ptCount val="5"/>
                <c:pt idx="0">
                  <c:v>2015-16</c:v>
                </c:pt>
                <c:pt idx="1">
                  <c:v>2016-17</c:v>
                </c:pt>
                <c:pt idx="2">
                  <c:v>2017-18</c:v>
                </c:pt>
                <c:pt idx="3">
                  <c:v>2018-19</c:v>
                </c:pt>
                <c:pt idx="4">
                  <c:v>2019-20</c:v>
                </c:pt>
              </c:strCache>
            </c:strRef>
          </c:cat>
          <c:val>
            <c:numRef>
              <c:f>Referrals!$AS$50:$AW$50</c:f>
              <c:numCache>
                <c:formatCode>0.0%</c:formatCode>
                <c:ptCount val="5"/>
                <c:pt idx="0">
                  <c:v>0.91629629629629628</c:v>
                </c:pt>
                <c:pt idx="1">
                  <c:v>0.93362581375601472</c:v>
                </c:pt>
                <c:pt idx="2">
                  <c:v>0.79439389492221901</c:v>
                </c:pt>
                <c:pt idx="3">
                  <c:v>0.82873580174066974</c:v>
                </c:pt>
                <c:pt idx="4">
                  <c:v>0.92948547054118902</c:v>
                </c:pt>
              </c:numCache>
            </c:numRef>
          </c:val>
          <c:smooth val="0"/>
          <c:extLst>
            <c:ext xmlns:c16="http://schemas.microsoft.com/office/drawing/2014/chart" uri="{C3380CC4-5D6E-409C-BE32-E72D297353CC}">
              <c16:uniqueId val="{0000000A-8ADA-4329-BD34-A67E8DD0B589}"/>
            </c:ext>
          </c:extLst>
        </c:ser>
        <c:ser>
          <c:idx val="16"/>
          <c:order val="10"/>
          <c:tx>
            <c:strRef>
              <c:f>Referrals!$AL$51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Referrals!$Z$2:$AD$3</c:f>
              <c:strCache>
                <c:ptCount val="5"/>
                <c:pt idx="0">
                  <c:v>2015-16</c:v>
                </c:pt>
                <c:pt idx="1">
                  <c:v>2016-17</c:v>
                </c:pt>
                <c:pt idx="2">
                  <c:v>2017-18</c:v>
                </c:pt>
                <c:pt idx="3">
                  <c:v>2018-19</c:v>
                </c:pt>
                <c:pt idx="4">
                  <c:v>2019-20</c:v>
                </c:pt>
              </c:strCache>
            </c:strRef>
          </c:cat>
          <c:val>
            <c:numRef>
              <c:f>Referrals!$AS$51:$AW$51</c:f>
              <c:numCache>
                <c:formatCode>0.0%</c:formatCode>
                <c:ptCount val="5"/>
                <c:pt idx="0">
                  <c:v>0.97515527950310554</c:v>
                </c:pt>
                <c:pt idx="1">
                  <c:v>0.9545637314032972</c:v>
                </c:pt>
                <c:pt idx="2">
                  <c:v>0.98137082601054482</c:v>
                </c:pt>
                <c:pt idx="3">
                  <c:v>0.9743319268635724</c:v>
                </c:pt>
                <c:pt idx="4">
                  <c:v>0.97822822822822819</c:v>
                </c:pt>
              </c:numCache>
            </c:numRef>
          </c:val>
          <c:smooth val="0"/>
          <c:extLst>
            <c:ext xmlns:c16="http://schemas.microsoft.com/office/drawing/2014/chart" uri="{C3380CC4-5D6E-409C-BE32-E72D297353CC}">
              <c16:uniqueId val="{0000000B-8ADA-4329-BD34-A67E8DD0B589}"/>
            </c:ext>
          </c:extLst>
        </c:ser>
        <c:ser>
          <c:idx val="17"/>
          <c:order val="11"/>
          <c:tx>
            <c:strRef>
              <c:f>Referrals!$AL$52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Referrals!$Z$2:$AD$3</c:f>
              <c:strCache>
                <c:ptCount val="5"/>
                <c:pt idx="0">
                  <c:v>2015-16</c:v>
                </c:pt>
                <c:pt idx="1">
                  <c:v>2016-17</c:v>
                </c:pt>
                <c:pt idx="2">
                  <c:v>2017-18</c:v>
                </c:pt>
                <c:pt idx="3">
                  <c:v>2018-19</c:v>
                </c:pt>
                <c:pt idx="4">
                  <c:v>2019-20</c:v>
                </c:pt>
              </c:strCache>
            </c:strRef>
          </c:cat>
          <c:val>
            <c:numRef>
              <c:f>Referrals!$AS$52:$AW$52</c:f>
              <c:numCache>
                <c:formatCode>0.0%</c:formatCode>
                <c:ptCount val="5"/>
                <c:pt idx="0">
                  <c:v>0.89993502274204029</c:v>
                </c:pt>
                <c:pt idx="1">
                  <c:v>0.95102540557086013</c:v>
                </c:pt>
                <c:pt idx="2">
                  <c:v>0.98820395738203959</c:v>
                </c:pt>
                <c:pt idx="3">
                  <c:v>0.98612632347572104</c:v>
                </c:pt>
                <c:pt idx="4">
                  <c:v>0.99063962558502339</c:v>
                </c:pt>
              </c:numCache>
            </c:numRef>
          </c:val>
          <c:smooth val="0"/>
          <c:extLst>
            <c:ext xmlns:c16="http://schemas.microsoft.com/office/drawing/2014/chart" uri="{C3380CC4-5D6E-409C-BE32-E72D297353CC}">
              <c16:uniqueId val="{0000000C-8ADA-4329-BD34-A67E8DD0B589}"/>
            </c:ext>
          </c:extLst>
        </c:ser>
        <c:ser>
          <c:idx val="19"/>
          <c:order val="12"/>
          <c:tx>
            <c:strRef>
              <c:f>Referrals!$AL$53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Referrals!$Z$2:$AD$3</c:f>
              <c:strCache>
                <c:ptCount val="5"/>
                <c:pt idx="0">
                  <c:v>2015-16</c:v>
                </c:pt>
                <c:pt idx="1">
                  <c:v>2016-17</c:v>
                </c:pt>
                <c:pt idx="2">
                  <c:v>2017-18</c:v>
                </c:pt>
                <c:pt idx="3">
                  <c:v>2018-19</c:v>
                </c:pt>
                <c:pt idx="4">
                  <c:v>2019-20</c:v>
                </c:pt>
              </c:strCache>
            </c:strRef>
          </c:cat>
          <c:val>
            <c:numRef>
              <c:f>Referrals!$AS$53:$AW$53</c:f>
              <c:numCache>
                <c:formatCode>0.0%</c:formatCode>
                <c:ptCount val="5"/>
                <c:pt idx="0">
                  <c:v>0.9895457822638789</c:v>
                </c:pt>
                <c:pt idx="1">
                  <c:v>0.39170182841068918</c:v>
                </c:pt>
                <c:pt idx="2">
                  <c:v>0.99245757385292266</c:v>
                </c:pt>
                <c:pt idx="3">
                  <c:v>0.95516372795969773</c:v>
                </c:pt>
                <c:pt idx="4">
                  <c:v>0.971259842519685</c:v>
                </c:pt>
              </c:numCache>
            </c:numRef>
          </c:val>
          <c:smooth val="0"/>
          <c:extLst>
            <c:ext xmlns:c16="http://schemas.microsoft.com/office/drawing/2014/chart" uri="{C3380CC4-5D6E-409C-BE32-E72D297353CC}">
              <c16:uniqueId val="{0000000D-8ADA-4329-BD34-A67E8DD0B589}"/>
            </c:ext>
          </c:extLst>
        </c:ser>
        <c:ser>
          <c:idx val="3"/>
          <c:order val="13"/>
          <c:tx>
            <c:strRef>
              <c:f>Referrals!$AL$54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Referrals!$Z$2:$AD$3</c:f>
              <c:strCache>
                <c:ptCount val="5"/>
                <c:pt idx="0">
                  <c:v>2015-16</c:v>
                </c:pt>
                <c:pt idx="1">
                  <c:v>2016-17</c:v>
                </c:pt>
                <c:pt idx="2">
                  <c:v>2017-18</c:v>
                </c:pt>
                <c:pt idx="3">
                  <c:v>2018-19</c:v>
                </c:pt>
                <c:pt idx="4">
                  <c:v>2019-20</c:v>
                </c:pt>
              </c:strCache>
            </c:strRef>
          </c:cat>
          <c:val>
            <c:numRef>
              <c:f>Referrals!$AS$54:$AW$54</c:f>
              <c:numCache>
                <c:formatCode>0.0%</c:formatCode>
                <c:ptCount val="5"/>
                <c:pt idx="0">
                  <c:v>0.99395112509073313</c:v>
                </c:pt>
                <c:pt idx="1">
                  <c:v>0.99267322587397944</c:v>
                </c:pt>
                <c:pt idx="2">
                  <c:v>0.97715392061955475</c:v>
                </c:pt>
                <c:pt idx="3">
                  <c:v>0.94908616187989558</c:v>
                </c:pt>
                <c:pt idx="4">
                  <c:v>0.93699917104172425</c:v>
                </c:pt>
              </c:numCache>
            </c:numRef>
          </c:val>
          <c:smooth val="0"/>
          <c:extLst>
            <c:ext xmlns:c16="http://schemas.microsoft.com/office/drawing/2014/chart" uri="{C3380CC4-5D6E-409C-BE32-E72D297353CC}">
              <c16:uniqueId val="{0000000E-8ADA-4329-BD34-A67E8DD0B589}"/>
            </c:ext>
          </c:extLst>
        </c:ser>
        <c:ser>
          <c:idx val="20"/>
          <c:order val="14"/>
          <c:tx>
            <c:strRef>
              <c:f>Referrals!$AL$55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Referrals!$Z$2:$AD$3</c:f>
              <c:strCache>
                <c:ptCount val="5"/>
                <c:pt idx="0">
                  <c:v>2015-16</c:v>
                </c:pt>
                <c:pt idx="1">
                  <c:v>2016-17</c:v>
                </c:pt>
                <c:pt idx="2">
                  <c:v>2017-18</c:v>
                </c:pt>
                <c:pt idx="3">
                  <c:v>2018-19</c:v>
                </c:pt>
                <c:pt idx="4">
                  <c:v>2019-20</c:v>
                </c:pt>
              </c:strCache>
            </c:strRef>
          </c:cat>
          <c:val>
            <c:numRef>
              <c:f>Referrals!$AS$55:$AW$55</c:f>
              <c:numCache>
                <c:formatCode>0.0%</c:formatCode>
                <c:ptCount val="5"/>
                <c:pt idx="0">
                  <c:v>1</c:v>
                </c:pt>
                <c:pt idx="1">
                  <c:v>0.99737187910643887</c:v>
                </c:pt>
                <c:pt idx="2">
                  <c:v>0.99540757749712971</c:v>
                </c:pt>
                <c:pt idx="3">
                  <c:v>0.87336412625096227</c:v>
                </c:pt>
                <c:pt idx="4">
                  <c:v>0.81714876033057848</c:v>
                </c:pt>
              </c:numCache>
            </c:numRef>
          </c:val>
          <c:smooth val="0"/>
          <c:extLst>
            <c:ext xmlns:c16="http://schemas.microsoft.com/office/drawing/2014/chart" uri="{C3380CC4-5D6E-409C-BE32-E72D297353CC}">
              <c16:uniqueId val="{0000000F-8ADA-4329-BD34-A67E8DD0B589}"/>
            </c:ext>
          </c:extLst>
        </c:ser>
        <c:ser>
          <c:idx val="22"/>
          <c:order val="15"/>
          <c:tx>
            <c:strRef>
              <c:f>Referrals!$AL$56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Referrals!$Z$2:$AD$3</c:f>
              <c:strCache>
                <c:ptCount val="5"/>
                <c:pt idx="0">
                  <c:v>2015-16</c:v>
                </c:pt>
                <c:pt idx="1">
                  <c:v>2016-17</c:v>
                </c:pt>
                <c:pt idx="2">
                  <c:v>2017-18</c:v>
                </c:pt>
                <c:pt idx="3">
                  <c:v>2018-19</c:v>
                </c:pt>
                <c:pt idx="4">
                  <c:v>2019-20</c:v>
                </c:pt>
              </c:strCache>
            </c:strRef>
          </c:cat>
          <c:val>
            <c:numRef>
              <c:f>Referrals!$AS$56:$AW$56</c:f>
              <c:numCache>
                <c:formatCode>0.0%</c:formatCode>
                <c:ptCount val="5"/>
                <c:pt idx="0">
                  <c:v>0.9845343303874915</c:v>
                </c:pt>
                <c:pt idx="1">
                  <c:v>0.99075263293090166</c:v>
                </c:pt>
                <c:pt idx="2">
                  <c:v>0.99288125642154701</c:v>
                </c:pt>
                <c:pt idx="3">
                  <c:v>0.98627174424071462</c:v>
                </c:pt>
                <c:pt idx="4">
                  <c:v>0.96818875454865594</c:v>
                </c:pt>
              </c:numCache>
            </c:numRef>
          </c:val>
          <c:smooth val="0"/>
          <c:extLst>
            <c:ext xmlns:c16="http://schemas.microsoft.com/office/drawing/2014/chart" uri="{C3380CC4-5D6E-409C-BE32-E72D297353CC}">
              <c16:uniqueId val="{00000010-8ADA-4329-BD34-A67E8DD0B589}"/>
            </c:ext>
          </c:extLst>
        </c:ser>
        <c:ser>
          <c:idx val="7"/>
          <c:order val="16"/>
          <c:tx>
            <c:strRef>
              <c:f>Referrals!$AL$57</c:f>
              <c:strCache>
                <c:ptCount val="1"/>
                <c:pt idx="0">
                  <c:v>Swindon</c:v>
                </c:pt>
              </c:strCache>
            </c:strRef>
          </c:tx>
          <c:spPr>
            <a:ln w="15875"/>
          </c:spPr>
          <c:marker>
            <c:symbol val="triangle"/>
            <c:size val="5"/>
            <c:spPr>
              <a:solidFill>
                <a:schemeClr val="accent2">
                  <a:lumMod val="20000"/>
                  <a:lumOff val="80000"/>
                </a:schemeClr>
              </a:solidFill>
            </c:spPr>
          </c:marker>
          <c:cat>
            <c:strRef>
              <c:f>Referrals!$Z$2:$AD$3</c:f>
              <c:strCache>
                <c:ptCount val="5"/>
                <c:pt idx="0">
                  <c:v>2015-16</c:v>
                </c:pt>
                <c:pt idx="1">
                  <c:v>2016-17</c:v>
                </c:pt>
                <c:pt idx="2">
                  <c:v>2017-18</c:v>
                </c:pt>
                <c:pt idx="3">
                  <c:v>2018-19</c:v>
                </c:pt>
                <c:pt idx="4">
                  <c:v>2019-20</c:v>
                </c:pt>
              </c:strCache>
            </c:strRef>
          </c:cat>
          <c:val>
            <c:numRef>
              <c:f>Referrals!$AS$57:$AW$57</c:f>
              <c:numCache>
                <c:formatCode>0.0%</c:formatCode>
                <c:ptCount val="5"/>
                <c:pt idx="0">
                  <c:v>0.87900146842878124</c:v>
                </c:pt>
                <c:pt idx="1">
                  <c:v>0.96722939424031773</c:v>
                </c:pt>
                <c:pt idx="2">
                  <c:v>0.92390405293631095</c:v>
                </c:pt>
                <c:pt idx="3">
                  <c:v>0.93522516964836522</c:v>
                </c:pt>
                <c:pt idx="4">
                  <c:v>0.87144745538664903</c:v>
                </c:pt>
              </c:numCache>
            </c:numRef>
          </c:val>
          <c:smooth val="0"/>
          <c:extLst>
            <c:ext xmlns:c16="http://schemas.microsoft.com/office/drawing/2014/chart" uri="{C3380CC4-5D6E-409C-BE32-E72D297353CC}">
              <c16:uniqueId val="{00000011-8ADA-4329-BD34-A67E8DD0B589}"/>
            </c:ext>
          </c:extLst>
        </c:ser>
        <c:ser>
          <c:idx val="8"/>
          <c:order val="17"/>
          <c:tx>
            <c:strRef>
              <c:f>Referrals!$AL$58</c:f>
              <c:strCache>
                <c:ptCount val="1"/>
                <c:pt idx="0">
                  <c:v>Torbay</c:v>
                </c:pt>
              </c:strCache>
            </c:strRef>
          </c:tx>
          <c:spPr>
            <a:ln w="15875"/>
          </c:spPr>
          <c:marker>
            <c:symbol val="circle"/>
            <c:size val="5"/>
            <c:spPr>
              <a:solidFill>
                <a:schemeClr val="accent3">
                  <a:lumMod val="20000"/>
                  <a:lumOff val="80000"/>
                </a:schemeClr>
              </a:solidFill>
            </c:spPr>
          </c:marker>
          <c:cat>
            <c:strRef>
              <c:f>Referrals!$Z$2:$AD$3</c:f>
              <c:strCache>
                <c:ptCount val="5"/>
                <c:pt idx="0">
                  <c:v>2015-16</c:v>
                </c:pt>
                <c:pt idx="1">
                  <c:v>2016-17</c:v>
                </c:pt>
                <c:pt idx="2">
                  <c:v>2017-18</c:v>
                </c:pt>
                <c:pt idx="3">
                  <c:v>2018-19</c:v>
                </c:pt>
                <c:pt idx="4">
                  <c:v>2019-20</c:v>
                </c:pt>
              </c:strCache>
            </c:strRef>
          </c:cat>
          <c:val>
            <c:numRef>
              <c:f>Referrals!$AS$58:$AW$58</c:f>
              <c:numCache>
                <c:formatCode>0.0%</c:formatCode>
                <c:ptCount val="5"/>
                <c:pt idx="0">
                  <c:v>0.85412474849094566</c:v>
                </c:pt>
                <c:pt idx="1">
                  <c:v>0.85767326732673266</c:v>
                </c:pt>
                <c:pt idx="2">
                  <c:v>0.87922437673130194</c:v>
                </c:pt>
                <c:pt idx="3">
                  <c:v>0.87146092865232161</c:v>
                </c:pt>
                <c:pt idx="4">
                  <c:v>0.8715890850722311</c:v>
                </c:pt>
              </c:numCache>
            </c:numRef>
          </c:val>
          <c:smooth val="0"/>
          <c:extLst>
            <c:ext xmlns:c16="http://schemas.microsoft.com/office/drawing/2014/chart" uri="{C3380CC4-5D6E-409C-BE32-E72D297353CC}">
              <c16:uniqueId val="{00000012-8ADA-4329-BD34-A67E8DD0B589}"/>
            </c:ext>
          </c:extLst>
        </c:ser>
        <c:ser>
          <c:idx val="23"/>
          <c:order val="18"/>
          <c:tx>
            <c:strRef>
              <c:f>Referrals!$AL$59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Referrals!$Z$2:$AD$3</c:f>
              <c:strCache>
                <c:ptCount val="5"/>
                <c:pt idx="0">
                  <c:v>2015-16</c:v>
                </c:pt>
                <c:pt idx="1">
                  <c:v>2016-17</c:v>
                </c:pt>
                <c:pt idx="2">
                  <c:v>2017-18</c:v>
                </c:pt>
                <c:pt idx="3">
                  <c:v>2018-19</c:v>
                </c:pt>
                <c:pt idx="4">
                  <c:v>2019-20</c:v>
                </c:pt>
              </c:strCache>
            </c:strRef>
          </c:cat>
          <c:val>
            <c:numRef>
              <c:f>Referrals!$AS$59:$AW$59</c:f>
              <c:numCache>
                <c:formatCode>0.0%</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13-8ADA-4329-BD34-A67E8DD0B589}"/>
            </c:ext>
          </c:extLst>
        </c:ser>
        <c:ser>
          <c:idx val="24"/>
          <c:order val="19"/>
          <c:tx>
            <c:strRef>
              <c:f>Referrals!$AL$60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Referrals!$Z$2:$AD$3</c:f>
              <c:strCache>
                <c:ptCount val="5"/>
                <c:pt idx="0">
                  <c:v>2015-16</c:v>
                </c:pt>
                <c:pt idx="1">
                  <c:v>2016-17</c:v>
                </c:pt>
                <c:pt idx="2">
                  <c:v>2017-18</c:v>
                </c:pt>
                <c:pt idx="3">
                  <c:v>2018-19</c:v>
                </c:pt>
                <c:pt idx="4">
                  <c:v>2019-20</c:v>
                </c:pt>
              </c:strCache>
            </c:strRef>
          </c:cat>
          <c:val>
            <c:numRef>
              <c:f>Referrals!$AS$60:$AW$60</c:f>
              <c:numCache>
                <c:formatCode>0.0%</c:formatCode>
                <c:ptCount val="5"/>
                <c:pt idx="0">
                  <c:v>0.87786915428992263</c:v>
                </c:pt>
                <c:pt idx="1">
                  <c:v>0.87106738359455438</c:v>
                </c:pt>
                <c:pt idx="2">
                  <c:v>1</c:v>
                </c:pt>
                <c:pt idx="3">
                  <c:v>1</c:v>
                </c:pt>
                <c:pt idx="4">
                  <c:v>1</c:v>
                </c:pt>
              </c:numCache>
            </c:numRef>
          </c:val>
          <c:smooth val="0"/>
          <c:extLst>
            <c:ext xmlns:c16="http://schemas.microsoft.com/office/drawing/2014/chart" uri="{C3380CC4-5D6E-409C-BE32-E72D297353CC}">
              <c16:uniqueId val="{00000014-8ADA-4329-BD34-A67E8DD0B589}"/>
            </c:ext>
          </c:extLst>
        </c:ser>
        <c:ser>
          <c:idx val="25"/>
          <c:order val="20"/>
          <c:tx>
            <c:strRef>
              <c:f>Referrals!$AL$61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Referrals!$Z$2:$AD$3</c:f>
              <c:strCache>
                <c:ptCount val="5"/>
                <c:pt idx="0">
                  <c:v>2015-16</c:v>
                </c:pt>
                <c:pt idx="1">
                  <c:v>2016-17</c:v>
                </c:pt>
                <c:pt idx="2">
                  <c:v>2017-18</c:v>
                </c:pt>
                <c:pt idx="3">
                  <c:v>2018-19</c:v>
                </c:pt>
                <c:pt idx="4">
                  <c:v>2019-20</c:v>
                </c:pt>
              </c:strCache>
            </c:strRef>
          </c:cat>
          <c:val>
            <c:numRef>
              <c:f>Referrals!$AS$61:$AW$61</c:f>
              <c:numCache>
                <c:formatCode>0.0%</c:formatCode>
                <c:ptCount val="5"/>
                <c:pt idx="0">
                  <c:v>0.81434977578475332</c:v>
                </c:pt>
                <c:pt idx="1">
                  <c:v>0.88306451612903225</c:v>
                </c:pt>
                <c:pt idx="2">
                  <c:v>0.85768143261074459</c:v>
                </c:pt>
                <c:pt idx="3">
                  <c:v>0.945374449339207</c:v>
                </c:pt>
                <c:pt idx="4">
                  <c:v>0.94321533923303835</c:v>
                </c:pt>
              </c:numCache>
            </c:numRef>
          </c:val>
          <c:smooth val="0"/>
          <c:extLst>
            <c:ext xmlns:c16="http://schemas.microsoft.com/office/drawing/2014/chart" uri="{C3380CC4-5D6E-409C-BE32-E72D297353CC}">
              <c16:uniqueId val="{00000015-8ADA-4329-BD34-A67E8DD0B589}"/>
            </c:ext>
          </c:extLst>
        </c:ser>
        <c:ser>
          <c:idx val="26"/>
          <c:order val="21"/>
          <c:tx>
            <c:strRef>
              <c:f>Referrals!$AL$62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Referrals!$Z$2:$AD$3</c:f>
              <c:strCache>
                <c:ptCount val="5"/>
                <c:pt idx="0">
                  <c:v>2015-16</c:v>
                </c:pt>
                <c:pt idx="1">
                  <c:v>2016-17</c:v>
                </c:pt>
                <c:pt idx="2">
                  <c:v>2017-18</c:v>
                </c:pt>
                <c:pt idx="3">
                  <c:v>2018-19</c:v>
                </c:pt>
                <c:pt idx="4">
                  <c:v>2019-20</c:v>
                </c:pt>
              </c:strCache>
            </c:strRef>
          </c:cat>
          <c:val>
            <c:numRef>
              <c:f>Referrals!$AS$62:$AW$62</c:f>
              <c:numCache>
                <c:formatCode>0.0%</c:formatCode>
                <c:ptCount val="5"/>
                <c:pt idx="0">
                  <c:v>1</c:v>
                </c:pt>
                <c:pt idx="1">
                  <c:v>0.99228224917309815</c:v>
                </c:pt>
                <c:pt idx="2">
                  <c:v>0.96425966447848288</c:v>
                </c:pt>
                <c:pt idx="3">
                  <c:v>0.98768328445747799</c:v>
                </c:pt>
                <c:pt idx="4">
                  <c:v>0.9751972942502819</c:v>
                </c:pt>
              </c:numCache>
            </c:numRef>
          </c:val>
          <c:smooth val="0"/>
          <c:extLst>
            <c:ext xmlns:c16="http://schemas.microsoft.com/office/drawing/2014/chart" uri="{C3380CC4-5D6E-409C-BE32-E72D297353CC}">
              <c16:uniqueId val="{00000016-8ADA-4329-BD34-A67E8DD0B589}"/>
            </c:ext>
          </c:extLst>
        </c:ser>
        <c:ser>
          <c:idx val="4"/>
          <c:order val="22"/>
          <c:tx>
            <c:strRef>
              <c:f>Referrals!$AL$63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Referrals!$Z$2:$AD$3</c:f>
              <c:strCache>
                <c:ptCount val="5"/>
                <c:pt idx="0">
                  <c:v>2015-16</c:v>
                </c:pt>
                <c:pt idx="1">
                  <c:v>2016-17</c:v>
                </c:pt>
                <c:pt idx="2">
                  <c:v>2017-18</c:v>
                </c:pt>
                <c:pt idx="3">
                  <c:v>2018-19</c:v>
                </c:pt>
                <c:pt idx="4">
                  <c:v>2019-20</c:v>
                </c:pt>
              </c:strCache>
            </c:strRef>
          </c:cat>
          <c:val>
            <c:numRef>
              <c:f>Referrals!$AS$63:$AW$63</c:f>
              <c:numCache>
                <c:formatCode>0.0%</c:formatCode>
                <c:ptCount val="5"/>
                <c:pt idx="0">
                  <c:v>0.92645253682487727</c:v>
                </c:pt>
                <c:pt idx="1">
                  <c:v>0.88974981329350267</c:v>
                </c:pt>
                <c:pt idx="2">
                  <c:v>0.91697157331832257</c:v>
                </c:pt>
                <c:pt idx="3">
                  <c:v>0.9144818381161216</c:v>
                </c:pt>
                <c:pt idx="4">
                  <c:v>0.93184201328206917</c:v>
                </c:pt>
              </c:numCache>
            </c:numRef>
          </c:val>
          <c:smooth val="0"/>
          <c:extLst>
            <c:ext xmlns:c16="http://schemas.microsoft.com/office/drawing/2014/chart" uri="{C3380CC4-5D6E-409C-BE32-E72D297353CC}">
              <c16:uniqueId val="{00000017-8ADA-4329-BD34-A67E8DD0B589}"/>
            </c:ext>
          </c:extLst>
        </c:ser>
        <c:ser>
          <c:idx val="14"/>
          <c:order val="23"/>
          <c:tx>
            <c:strRef>
              <c:f>Referrals!$AL$64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Referrals!$Z$2:$AD$3</c:f>
              <c:strCache>
                <c:ptCount val="5"/>
                <c:pt idx="0">
                  <c:v>2015-16</c:v>
                </c:pt>
                <c:pt idx="1">
                  <c:v>2016-17</c:v>
                </c:pt>
                <c:pt idx="2">
                  <c:v>2017-18</c:v>
                </c:pt>
                <c:pt idx="3">
                  <c:v>2018-19</c:v>
                </c:pt>
                <c:pt idx="4">
                  <c:v>2019-20</c:v>
                </c:pt>
              </c:strCache>
            </c:strRef>
          </c:cat>
          <c:val>
            <c:numRef>
              <c:f>Referrals!$AS$64:$AW$64</c:f>
              <c:numCache>
                <c:formatCode>0.0%</c:formatCode>
                <c:ptCount val="5"/>
                <c:pt idx="0">
                  <c:v>0.90055835358102565</c:v>
                </c:pt>
                <c:pt idx="1">
                  <c:v>0.89778988423203121</c:v>
                </c:pt>
                <c:pt idx="2">
                  <c:v>0.90590729527324865</c:v>
                </c:pt>
                <c:pt idx="3">
                  <c:v>0.91917717726944526</c:v>
                </c:pt>
                <c:pt idx="4">
                  <c:v>0.93716756353230268</c:v>
                </c:pt>
              </c:numCache>
            </c:numRef>
          </c:val>
          <c:smooth val="0"/>
          <c:extLst>
            <c:ext xmlns:c16="http://schemas.microsoft.com/office/drawing/2014/chart" uri="{C3380CC4-5D6E-409C-BE32-E72D297353CC}">
              <c16:uniqueId val="{00000018-8ADA-4329-BD34-A67E8DD0B589}"/>
            </c:ext>
          </c:extLst>
        </c:ser>
        <c:ser>
          <c:idx val="6"/>
          <c:order val="24"/>
          <c:tx>
            <c:strRef>
              <c:f>Referrals!$AL$65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Referrals!$Z$2:$AD$3</c:f>
              <c:strCache>
                <c:ptCount val="5"/>
                <c:pt idx="0">
                  <c:v>2015-16</c:v>
                </c:pt>
                <c:pt idx="1">
                  <c:v>2016-17</c:v>
                </c:pt>
                <c:pt idx="2">
                  <c:v>2017-18</c:v>
                </c:pt>
                <c:pt idx="3">
                  <c:v>2018-19</c:v>
                </c:pt>
                <c:pt idx="4">
                  <c:v>2019-20</c:v>
                </c:pt>
              </c:strCache>
            </c:strRef>
          </c:cat>
          <c:val>
            <c:numRef>
              <c:f>Referrals!$AS$65:$AW$65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8ADA-4329-BD34-A67E8DD0B589}"/>
            </c:ext>
          </c:extLst>
        </c:ser>
        <c:dLbls>
          <c:showLegendKey val="0"/>
          <c:showVal val="0"/>
          <c:showCatName val="0"/>
          <c:showSerName val="0"/>
          <c:showPercent val="0"/>
          <c:showBubbleSize val="0"/>
        </c:dLbls>
        <c:marker val="1"/>
        <c:smooth val="0"/>
        <c:axId val="528291712"/>
        <c:axId val="528302080"/>
      </c:lineChart>
      <c:catAx>
        <c:axId val="528291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302080"/>
        <c:crosses val="autoZero"/>
        <c:auto val="1"/>
        <c:lblAlgn val="ctr"/>
        <c:lblOffset val="100"/>
        <c:tickLblSkip val="1"/>
        <c:tickMarkSkip val="1"/>
        <c:noMultiLvlLbl val="0"/>
      </c:catAx>
      <c:valAx>
        <c:axId val="528302080"/>
        <c:scaling>
          <c:orientation val="minMax"/>
          <c:max val="1.02"/>
          <c:min val="0"/>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29171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9.4376073361200227E-2"/>
          <c:w val="0.6965077344055397"/>
          <c:h val="0.84800411522633745"/>
        </c:manualLayout>
      </c:layout>
      <c:barChart>
        <c:barDir val="bar"/>
        <c:grouping val="clustered"/>
        <c:varyColors val="0"/>
        <c:ser>
          <c:idx val="2"/>
          <c:order val="0"/>
          <c:tx>
            <c:strRef>
              <c:f>Referrals!$S$7</c:f>
              <c:strCache>
                <c:ptCount val="1"/>
                <c:pt idx="0">
                  <c:v>Distance from Expected 2020</c:v>
                </c:pt>
              </c:strCache>
            </c:strRef>
          </c:tx>
          <c:spPr>
            <a:solidFill>
              <a:srgbClr val="FB994F"/>
            </a:solidFill>
            <a:ln w="25400">
              <a:noFill/>
            </a:ln>
          </c:spPr>
          <c:invertIfNegative val="0"/>
          <c:cat>
            <c:strRef>
              <c:f>Referrals!$B$10:$B$33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Referrals!$U$10:$U$33</c:f>
              <c:numCache>
                <c:formatCode>0.0</c:formatCode>
                <c:ptCount val="24"/>
                <c:pt idx="0">
                  <c:v>174.02146559944748</c:v>
                </c:pt>
                <c:pt idx="1">
                  <c:v>184.03282678506355</c:v>
                </c:pt>
                <c:pt idx="2">
                  <c:v>247.7700847165911</c:v>
                </c:pt>
                <c:pt idx="3">
                  <c:v>-146.61496313867355</c:v>
                </c:pt>
                <c:pt idx="4">
                  <c:v>267.93577815213632</c:v>
                </c:pt>
                <c:pt idx="5">
                  <c:v>512.16384570614946</c:v>
                </c:pt>
                <c:pt idx="6">
                  <c:v>116.20614541006876</c:v>
                </c:pt>
                <c:pt idx="7">
                  <c:v>171.35362986697317</c:v>
                </c:pt>
                <c:pt idx="8">
                  <c:v>-72.012925963846271</c:v>
                </c:pt>
                <c:pt idx="9">
                  <c:v>70.199151597439368</c:v>
                </c:pt>
                <c:pt idx="10">
                  <c:v>4.4555776029681056</c:v>
                </c:pt>
                <c:pt idx="11">
                  <c:v>155.94314627495305</c:v>
                </c:pt>
                <c:pt idx="12">
                  <c:v>72.953011358332105</c:v>
                </c:pt>
                <c:pt idx="13">
                  <c:v>-173.44660139241955</c:v>
                </c:pt>
                <c:pt idx="14">
                  <c:v>334.93948696859627</c:v>
                </c:pt>
                <c:pt idx="15">
                  <c:v>-91.750533825706952</c:v>
                </c:pt>
                <c:pt idx="16">
                  <c:v>80.844891831977861</c:v>
                </c:pt>
                <c:pt idx="17">
                  <c:v>99.303235133146245</c:v>
                </c:pt>
                <c:pt idx="18">
                  <c:v>43.566569304248844</c:v>
                </c:pt>
                <c:pt idx="19">
                  <c:v>109.87681159508986</c:v>
                </c:pt>
                <c:pt idx="20">
                  <c:v>1.5159132287828925</c:v>
                </c:pt>
                <c:pt idx="21">
                  <c:v>67.324619270335461</c:v>
                </c:pt>
                <c:pt idx="22">
                  <c:v>101.77677487387336</c:v>
                </c:pt>
                <c:pt idx="23">
                  <c:v>-19.495102280078299</c:v>
                </c:pt>
              </c:numCache>
            </c:numRef>
          </c:val>
          <c:extLst>
            <c:ext xmlns:c16="http://schemas.microsoft.com/office/drawing/2014/chart" uri="{C3380CC4-5D6E-409C-BE32-E72D297353CC}">
              <c16:uniqueId val="{00000000-26D8-42DA-B351-A9780EF0D568}"/>
            </c:ext>
          </c:extLst>
        </c:ser>
        <c:ser>
          <c:idx val="0"/>
          <c:order val="1"/>
          <c:tx>
            <c:strRef>
              <c:f>Referrals!$AA$4</c:f>
              <c:strCache>
                <c:ptCount val="1"/>
                <c:pt idx="0">
                  <c:v>Selected LA- (none)</c:v>
                </c:pt>
              </c:strCache>
            </c:strRef>
          </c:tx>
          <c:spPr>
            <a:solidFill>
              <a:srgbClr val="66FF99"/>
            </a:solidFill>
            <a:ln>
              <a:solidFill>
                <a:srgbClr val="000000"/>
              </a:solidFill>
            </a:ln>
          </c:spPr>
          <c:invertIfNegative val="0"/>
          <c:val>
            <c:numRef>
              <c:f>Referrals!$AA$77:$AA$100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26D8-42DA-B351-A9780EF0D568}"/>
            </c:ext>
          </c:extLst>
        </c:ser>
        <c:dLbls>
          <c:showLegendKey val="0"/>
          <c:showVal val="0"/>
          <c:showCatName val="0"/>
          <c:showSerName val="0"/>
          <c:showPercent val="0"/>
          <c:showBubbleSize val="0"/>
        </c:dLbls>
        <c:gapWidth val="40"/>
        <c:overlap val="100"/>
        <c:axId val="528340480"/>
        <c:axId val="528342016"/>
      </c:barChart>
      <c:catAx>
        <c:axId val="52834048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342016"/>
        <c:crossesAt val="0"/>
        <c:auto val="1"/>
        <c:lblAlgn val="ctr"/>
        <c:lblOffset val="100"/>
        <c:noMultiLvlLbl val="0"/>
      </c:catAx>
      <c:valAx>
        <c:axId val="528342016"/>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340480"/>
        <c:crosses val="max"/>
        <c:crossBetween val="between"/>
      </c:valAx>
      <c:spPr>
        <a:noFill/>
        <a:ln w="12700">
          <a:solidFill>
            <a:srgbClr val="000000"/>
          </a:solidFill>
          <a:prstDash val="solid"/>
        </a:ln>
      </c:spPr>
    </c:plotArea>
    <c:legend>
      <c:legendPos val="t"/>
      <c:layout>
        <c:manualLayout>
          <c:xMode val="edge"/>
          <c:yMode val="edge"/>
          <c:x val="0.25749145299145298"/>
          <c:y val="5.191471436440815E-2"/>
          <c:w val="0.73798291412277583"/>
          <c:h val="3.0546482615598974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Referrals!$AL$5</c:f>
          <c:strCache>
            <c:ptCount val="1"/>
            <c:pt idx="0">
              <c:v>Average Annual Change in Number of Referrals</c:v>
            </c:pt>
          </c:strCache>
        </c:strRef>
      </c:tx>
      <c:layout>
        <c:manualLayout>
          <c:xMode val="edge"/>
          <c:yMode val="edge"/>
          <c:x val="9.5785619809663491E-3"/>
          <c:y val="1.1152426478663088E-2"/>
        </c:manualLayout>
      </c:layout>
      <c:overlay val="0"/>
      <c:spPr>
        <a:noFill/>
        <a:ln w="25400">
          <a:noFill/>
        </a:ln>
      </c:spPr>
      <c:txPr>
        <a:bodyPr/>
        <a:lstStyle/>
        <a:p>
          <a:pPr>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8.8163863776287224E-2"/>
          <c:w val="0.68840427716091512"/>
          <c:h val="0.85421616279446555"/>
        </c:manualLayout>
      </c:layout>
      <c:barChart>
        <c:barDir val="bar"/>
        <c:grouping val="clustered"/>
        <c:varyColors val="0"/>
        <c:ser>
          <c:idx val="0"/>
          <c:order val="0"/>
          <c:tx>
            <c:strRef>
              <c:f>Referrals!$I$7</c:f>
              <c:strCache>
                <c:ptCount val="1"/>
                <c:pt idx="0">
                  <c:v>Average Annual Change </c:v>
                </c:pt>
              </c:strCache>
            </c:strRef>
          </c:tx>
          <c:spPr>
            <a:solidFill>
              <a:srgbClr val="FB994F"/>
            </a:solidFill>
            <a:ln w="25400">
              <a:noFill/>
            </a:ln>
          </c:spPr>
          <c:invertIfNegative val="0"/>
          <c:cat>
            <c:strRef>
              <c:f>Referrals!$B$10:$B$33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Referrals!$I$10:$I$33</c:f>
              <c:numCache>
                <c:formatCode>0.0%</c:formatCode>
                <c:ptCount val="24"/>
                <c:pt idx="0">
                  <c:v>8.8795298451562421E-2</c:v>
                </c:pt>
                <c:pt idx="1">
                  <c:v>1.1764205495868103E-2</c:v>
                </c:pt>
                <c:pt idx="2">
                  <c:v>7.0035551792412193E-2</c:v>
                </c:pt>
                <c:pt idx="3">
                  <c:v>7.280950839814497E-2</c:v>
                </c:pt>
                <c:pt idx="4">
                  <c:v>5.9011517784628716E-2</c:v>
                </c:pt>
                <c:pt idx="5">
                  <c:v>3.4406411330910922E-2</c:v>
                </c:pt>
                <c:pt idx="6">
                  <c:v>0.10551461329717254</c:v>
                </c:pt>
                <c:pt idx="7">
                  <c:v>0.13164747532560597</c:v>
                </c:pt>
                <c:pt idx="8">
                  <c:v>4.1901282278424754E-2</c:v>
                </c:pt>
                <c:pt idx="9">
                  <c:v>2.8166871974996319E-2</c:v>
                </c:pt>
                <c:pt idx="10">
                  <c:v>6.7138108837893576E-2</c:v>
                </c:pt>
                <c:pt idx="11">
                  <c:v>-3.8960816542221013E-2</c:v>
                </c:pt>
                <c:pt idx="12">
                  <c:v>0.2143550700512051</c:v>
                </c:pt>
                <c:pt idx="13">
                  <c:v>-1.913007897470792E-2</c:v>
                </c:pt>
                <c:pt idx="14">
                  <c:v>0.11379848483119021</c:v>
                </c:pt>
                <c:pt idx="15">
                  <c:v>-6.4831477097357038E-2</c:v>
                </c:pt>
                <c:pt idx="16">
                  <c:v>-2.1238343236470419E-2</c:v>
                </c:pt>
                <c:pt idx="17">
                  <c:v>-8.3625108159157656E-3</c:v>
                </c:pt>
                <c:pt idx="18">
                  <c:v>5.5402544674364451E-2</c:v>
                </c:pt>
                <c:pt idx="19">
                  <c:v>5.4712504695516764E-2</c:v>
                </c:pt>
                <c:pt idx="20">
                  <c:v>5.5925432436675027E-2</c:v>
                </c:pt>
                <c:pt idx="21">
                  <c:v>0.1494022032338308</c:v>
                </c:pt>
                <c:pt idx="22">
                  <c:v>3.4635035764155629E-2</c:v>
                </c:pt>
                <c:pt idx="23">
                  <c:v>8.7501695593805509E-3</c:v>
                </c:pt>
              </c:numCache>
            </c:numRef>
          </c:val>
          <c:extLst>
            <c:ext xmlns:c16="http://schemas.microsoft.com/office/drawing/2014/chart" uri="{C3380CC4-5D6E-409C-BE32-E72D297353CC}">
              <c16:uniqueId val="{00000000-BA9F-43A8-990F-C873CB67CBCB}"/>
            </c:ext>
          </c:extLst>
        </c:ser>
        <c:ser>
          <c:idx val="1"/>
          <c:order val="1"/>
          <c:tx>
            <c:strRef>
              <c:f>Referrals!$AA$4</c:f>
              <c:strCache>
                <c:ptCount val="1"/>
                <c:pt idx="0">
                  <c:v>Selected LA- (none)</c:v>
                </c:pt>
              </c:strCache>
            </c:strRef>
          </c:tx>
          <c:spPr>
            <a:solidFill>
              <a:srgbClr val="66FF99"/>
            </a:solidFill>
            <a:ln w="12700">
              <a:solidFill>
                <a:srgbClr val="000000"/>
              </a:solidFill>
              <a:prstDash val="solid"/>
            </a:ln>
          </c:spPr>
          <c:invertIfNegative val="0"/>
          <c:cat>
            <c:strRef>
              <c:f>Referrals!$B$10:$B$33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Referrals!$Z$77:$Z$100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BA9F-43A8-990F-C873CB67CBCB}"/>
            </c:ext>
          </c:extLst>
        </c:ser>
        <c:dLbls>
          <c:showLegendKey val="0"/>
          <c:showVal val="0"/>
          <c:showCatName val="0"/>
          <c:showSerName val="0"/>
          <c:showPercent val="0"/>
          <c:showBubbleSize val="0"/>
        </c:dLbls>
        <c:gapWidth val="40"/>
        <c:overlap val="100"/>
        <c:axId val="528965632"/>
        <c:axId val="528967168"/>
      </c:barChart>
      <c:catAx>
        <c:axId val="52896563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967168"/>
        <c:crosses val="autoZero"/>
        <c:auto val="1"/>
        <c:lblAlgn val="ctr"/>
        <c:lblOffset val="100"/>
        <c:noMultiLvlLbl val="0"/>
      </c:catAx>
      <c:valAx>
        <c:axId val="528967168"/>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965632"/>
        <c:crosses val="max"/>
        <c:crossBetween val="between"/>
      </c:valAx>
      <c:spPr>
        <a:noFill/>
        <a:ln w="3175">
          <a:solidFill>
            <a:srgbClr val="000000"/>
          </a:solidFill>
          <a:prstDash val="solid"/>
        </a:ln>
      </c:spPr>
    </c:plotArea>
    <c:legend>
      <c:legendPos val="t"/>
      <c:layout>
        <c:manualLayout>
          <c:xMode val="edge"/>
          <c:yMode val="edge"/>
          <c:x val="0.25317633828160147"/>
          <c:y val="4.510676906127474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Referrals with prior Early Help Intervention</a:t>
            </a:r>
          </a:p>
          <a:p>
            <a:pPr>
              <a:defRPr sz="1000" b="1" i="0" u="none" strike="noStrike" baseline="0">
                <a:solidFill>
                  <a:srgbClr val="000000"/>
                </a:solidFill>
                <a:latin typeface="Arial"/>
                <a:ea typeface="Arial"/>
                <a:cs typeface="Arial"/>
              </a:defRPr>
            </a:pPr>
            <a:r>
              <a:rPr lang="en-GB"/>
              <a:t>(Selected LA</a:t>
            </a:r>
            <a:r>
              <a:rPr lang="en-GB" baseline="0"/>
              <a:t> vs. SE &amp; National)</a:t>
            </a:r>
            <a:r>
              <a:rPr lang="en-GB"/>
              <a:t> </a:t>
            </a:r>
          </a:p>
        </c:rich>
      </c:tx>
      <c:layout>
        <c:manualLayout>
          <c:xMode val="edge"/>
          <c:yMode val="edge"/>
          <c:x val="0.1195897435897436"/>
          <c:y val="3.8613923259592556E-3"/>
        </c:manualLayout>
      </c:layout>
      <c:overlay val="0"/>
      <c:spPr>
        <a:noFill/>
        <a:ln w="25400">
          <a:noFill/>
        </a:ln>
      </c:spPr>
    </c:title>
    <c:autoTitleDeleted val="0"/>
    <c:plotArea>
      <c:layout>
        <c:manualLayout>
          <c:layoutTarget val="inner"/>
          <c:xMode val="edge"/>
          <c:yMode val="edge"/>
          <c:x val="9.8666564984461691E-2"/>
          <c:y val="0.23145379554828374"/>
          <c:w val="0.64607416380644722"/>
          <c:h val="0.50793825596975206"/>
        </c:manualLayout>
      </c:layout>
      <c:barChart>
        <c:barDir val="col"/>
        <c:grouping val="clustered"/>
        <c:varyColors val="0"/>
        <c:ser>
          <c:idx val="6"/>
          <c:order val="0"/>
          <c:tx>
            <c:strRef>
              <c:f>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Referrals!$Z$2:$AD$3</c:f>
              <c:strCache>
                <c:ptCount val="5"/>
                <c:pt idx="0">
                  <c:v>2015-16</c:v>
                </c:pt>
                <c:pt idx="1">
                  <c:v>2016-17</c:v>
                </c:pt>
                <c:pt idx="2">
                  <c:v>2017-18</c:v>
                </c:pt>
                <c:pt idx="3">
                  <c:v>2018-19</c:v>
                </c:pt>
                <c:pt idx="4">
                  <c:v>2019-20</c:v>
                </c:pt>
              </c:strCache>
            </c:strRef>
          </c:cat>
          <c:val>
            <c:numRef>
              <c:f>Referrals!$AX$65:$BB$65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E310-4E7A-BF43-DCBBEF5359D8}"/>
            </c:ext>
          </c:extLst>
        </c:ser>
        <c:ser>
          <c:idx val="4"/>
          <c:order val="1"/>
          <c:tx>
            <c:strRef>
              <c:f>Referrals!$B$170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Referrals!$Z$2:$AD$3</c:f>
              <c:strCache>
                <c:ptCount val="5"/>
                <c:pt idx="0">
                  <c:v>2015-16</c:v>
                </c:pt>
                <c:pt idx="1">
                  <c:v>2016-17</c:v>
                </c:pt>
                <c:pt idx="2">
                  <c:v>2017-18</c:v>
                </c:pt>
                <c:pt idx="3">
                  <c:v>2018-19</c:v>
                </c:pt>
                <c:pt idx="4">
                  <c:v>2019-20</c:v>
                </c:pt>
              </c:strCache>
            </c:strRef>
          </c:cat>
          <c:val>
            <c:numRef>
              <c:f>Referrals!$D$134:$H$134</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E310-4E7A-BF43-DCBBEF5359D8}"/>
            </c:ext>
          </c:extLst>
        </c:ser>
        <c:ser>
          <c:idx val="0"/>
          <c:order val="2"/>
          <c:tx>
            <c:strRef>
              <c:f>Referrals!$B$171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Referrals!$Z$2:$AD$3</c:f>
              <c:strCache>
                <c:ptCount val="5"/>
                <c:pt idx="0">
                  <c:v>2015-16</c:v>
                </c:pt>
                <c:pt idx="1">
                  <c:v>2016-17</c:v>
                </c:pt>
                <c:pt idx="2">
                  <c:v>2017-18</c:v>
                </c:pt>
                <c:pt idx="3">
                  <c:v>2018-19</c:v>
                </c:pt>
                <c:pt idx="4">
                  <c:v>2019-20</c:v>
                </c:pt>
              </c:strCache>
            </c:strRef>
          </c:cat>
          <c:val>
            <c:numRef>
              <c:f>Referrals!$D$135:$H$135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E310-4E7A-BF43-DCBBEF5359D8}"/>
            </c:ext>
          </c:extLst>
        </c:ser>
        <c:dLbls>
          <c:showLegendKey val="0"/>
          <c:showVal val="0"/>
          <c:showCatName val="0"/>
          <c:showSerName val="0"/>
          <c:showPercent val="0"/>
          <c:showBubbleSize val="0"/>
        </c:dLbls>
        <c:gapWidth val="100"/>
        <c:axId val="529074816"/>
        <c:axId val="529084800"/>
      </c:barChart>
      <c:catAx>
        <c:axId val="529074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9084800"/>
        <c:crosses val="autoZero"/>
        <c:auto val="1"/>
        <c:lblAlgn val="ctr"/>
        <c:lblOffset val="100"/>
        <c:noMultiLvlLbl val="0"/>
      </c:catAx>
      <c:valAx>
        <c:axId val="52908480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9074816"/>
        <c:crosses val="autoZero"/>
        <c:crossBetween val="between"/>
      </c:valAx>
      <c:spPr>
        <a:noFill/>
        <a:ln w="3175">
          <a:solidFill>
            <a:srgbClr val="000000"/>
          </a:solidFill>
          <a:prstDash val="solid"/>
        </a:ln>
      </c:spPr>
    </c:plotArea>
    <c:legend>
      <c:legendPos val="r"/>
      <c:layout>
        <c:manualLayout>
          <c:xMode val="edge"/>
          <c:yMode val="edge"/>
          <c:x val="0.77006568773497908"/>
          <c:y val="0.26323073252207113"/>
          <c:w val="0.22993431226502092"/>
          <c:h val="0.72941132358455196"/>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with prior Early Help Intervention</a:t>
            </a:r>
          </a:p>
        </c:rich>
      </c:tx>
      <c:layout>
        <c:manualLayout>
          <c:xMode val="edge"/>
          <c:yMode val="edge"/>
          <c:x val="0.11295666613101933"/>
          <c:y val="1.8729793519741571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Referrals!$AL$41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B85-4100-AC78-383088F79047}"/>
              </c:ext>
            </c:extLst>
          </c:dPt>
          <c:cat>
            <c:strRef>
              <c:f>Referrals!$Z$2:$AD$3</c:f>
              <c:strCache>
                <c:ptCount val="5"/>
                <c:pt idx="0">
                  <c:v>2015-16</c:v>
                </c:pt>
                <c:pt idx="1">
                  <c:v>2016-17</c:v>
                </c:pt>
                <c:pt idx="2">
                  <c:v>2017-18</c:v>
                </c:pt>
                <c:pt idx="3">
                  <c:v>2018-19</c:v>
                </c:pt>
                <c:pt idx="4">
                  <c:v>2019-20</c:v>
                </c:pt>
              </c:strCache>
            </c:strRef>
          </c:cat>
          <c:val>
            <c:numRef>
              <c:f>Referrals!$AX$41:$BB$41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B85-4100-AC78-383088F79047}"/>
            </c:ext>
          </c:extLst>
        </c:ser>
        <c:ser>
          <c:idx val="1"/>
          <c:order val="1"/>
          <c:tx>
            <c:strRef>
              <c:f>Referrals!$AL$42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Referrals!$Z$2:$AD$3</c:f>
              <c:strCache>
                <c:ptCount val="5"/>
                <c:pt idx="0">
                  <c:v>2015-16</c:v>
                </c:pt>
                <c:pt idx="1">
                  <c:v>2016-17</c:v>
                </c:pt>
                <c:pt idx="2">
                  <c:v>2017-18</c:v>
                </c:pt>
                <c:pt idx="3">
                  <c:v>2018-19</c:v>
                </c:pt>
                <c:pt idx="4">
                  <c:v>2019-20</c:v>
                </c:pt>
              </c:strCache>
            </c:strRef>
          </c:cat>
          <c:val>
            <c:numRef>
              <c:f>Referrals!$AX$42:$BB$42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2B85-4100-AC78-383088F79047}"/>
            </c:ext>
          </c:extLst>
        </c:ser>
        <c:ser>
          <c:idx val="2"/>
          <c:order val="2"/>
          <c:tx>
            <c:strRef>
              <c:f>Referrals!$AL$43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Referrals!$Z$2:$AD$3</c:f>
              <c:strCache>
                <c:ptCount val="5"/>
                <c:pt idx="0">
                  <c:v>2015-16</c:v>
                </c:pt>
                <c:pt idx="1">
                  <c:v>2016-17</c:v>
                </c:pt>
                <c:pt idx="2">
                  <c:v>2017-18</c:v>
                </c:pt>
                <c:pt idx="3">
                  <c:v>2018-19</c:v>
                </c:pt>
                <c:pt idx="4">
                  <c:v>2019-20</c:v>
                </c:pt>
              </c:strCache>
            </c:strRef>
          </c:cat>
          <c:val>
            <c:numRef>
              <c:f>Referrals!$AX$43:$BB$43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2B85-4100-AC78-383088F79047}"/>
            </c:ext>
          </c:extLst>
        </c:ser>
        <c:ser>
          <c:idx val="5"/>
          <c:order val="3"/>
          <c:tx>
            <c:strRef>
              <c:f>Referrals!$AL$44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Referrals!$Z$2:$AD$3</c:f>
              <c:strCache>
                <c:ptCount val="5"/>
                <c:pt idx="0">
                  <c:v>2015-16</c:v>
                </c:pt>
                <c:pt idx="1">
                  <c:v>2016-17</c:v>
                </c:pt>
                <c:pt idx="2">
                  <c:v>2017-18</c:v>
                </c:pt>
                <c:pt idx="3">
                  <c:v>2018-19</c:v>
                </c:pt>
                <c:pt idx="4">
                  <c:v>2019-20</c:v>
                </c:pt>
              </c:strCache>
            </c:strRef>
          </c:cat>
          <c:val>
            <c:numRef>
              <c:f>Referrals!$AX$44:$BB$44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2B85-4100-AC78-383088F79047}"/>
            </c:ext>
          </c:extLst>
        </c:ser>
        <c:ser>
          <c:idx val="9"/>
          <c:order val="4"/>
          <c:tx>
            <c:strRef>
              <c:f>Referrals!$AL$45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Referrals!$Z$2:$AD$3</c:f>
              <c:strCache>
                <c:ptCount val="5"/>
                <c:pt idx="0">
                  <c:v>2015-16</c:v>
                </c:pt>
                <c:pt idx="1">
                  <c:v>2016-17</c:v>
                </c:pt>
                <c:pt idx="2">
                  <c:v>2017-18</c:v>
                </c:pt>
                <c:pt idx="3">
                  <c:v>2018-19</c:v>
                </c:pt>
                <c:pt idx="4">
                  <c:v>2019-20</c:v>
                </c:pt>
              </c:strCache>
            </c:strRef>
          </c:cat>
          <c:val>
            <c:numRef>
              <c:f>Referrals!$AX$45:$BB$45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2B85-4100-AC78-383088F79047}"/>
            </c:ext>
          </c:extLst>
        </c:ser>
        <c:ser>
          <c:idx val="10"/>
          <c:order val="5"/>
          <c:tx>
            <c:strRef>
              <c:f>Referrals!$AL$46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Referrals!$Z$2:$AD$3</c:f>
              <c:strCache>
                <c:ptCount val="5"/>
                <c:pt idx="0">
                  <c:v>2015-16</c:v>
                </c:pt>
                <c:pt idx="1">
                  <c:v>2016-17</c:v>
                </c:pt>
                <c:pt idx="2">
                  <c:v>2017-18</c:v>
                </c:pt>
                <c:pt idx="3">
                  <c:v>2018-19</c:v>
                </c:pt>
                <c:pt idx="4">
                  <c:v>2019-20</c:v>
                </c:pt>
              </c:strCache>
            </c:strRef>
          </c:cat>
          <c:val>
            <c:numRef>
              <c:f>Referrals!$AX$46:$BB$46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2B85-4100-AC78-383088F79047}"/>
            </c:ext>
          </c:extLst>
        </c:ser>
        <c:ser>
          <c:idx val="11"/>
          <c:order val="6"/>
          <c:tx>
            <c:strRef>
              <c:f>Referrals!$AL$47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Referrals!$Z$2:$AD$3</c:f>
              <c:strCache>
                <c:ptCount val="5"/>
                <c:pt idx="0">
                  <c:v>2015-16</c:v>
                </c:pt>
                <c:pt idx="1">
                  <c:v>2016-17</c:v>
                </c:pt>
                <c:pt idx="2">
                  <c:v>2017-18</c:v>
                </c:pt>
                <c:pt idx="3">
                  <c:v>2018-19</c:v>
                </c:pt>
                <c:pt idx="4">
                  <c:v>2019-20</c:v>
                </c:pt>
              </c:strCache>
            </c:strRef>
          </c:cat>
          <c:val>
            <c:numRef>
              <c:f>Referrals!$AX$47:$BB$47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2B85-4100-AC78-383088F79047}"/>
            </c:ext>
          </c:extLst>
        </c:ser>
        <c:ser>
          <c:idx val="12"/>
          <c:order val="7"/>
          <c:tx>
            <c:strRef>
              <c:f>Referrals!$AL$48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Referrals!$Z$2:$AD$3</c:f>
              <c:strCache>
                <c:ptCount val="5"/>
                <c:pt idx="0">
                  <c:v>2015-16</c:v>
                </c:pt>
                <c:pt idx="1">
                  <c:v>2016-17</c:v>
                </c:pt>
                <c:pt idx="2">
                  <c:v>2017-18</c:v>
                </c:pt>
                <c:pt idx="3">
                  <c:v>2018-19</c:v>
                </c:pt>
                <c:pt idx="4">
                  <c:v>2019-20</c:v>
                </c:pt>
              </c:strCache>
            </c:strRef>
          </c:cat>
          <c:val>
            <c:numRef>
              <c:f>Referrals!$AX$48:$BB$48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2B85-4100-AC78-383088F79047}"/>
            </c:ext>
          </c:extLst>
        </c:ser>
        <c:ser>
          <c:idx val="13"/>
          <c:order val="8"/>
          <c:tx>
            <c:strRef>
              <c:f>Referrals!$AL$49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Referrals!$Z$2:$AD$3</c:f>
              <c:strCache>
                <c:ptCount val="5"/>
                <c:pt idx="0">
                  <c:v>2015-16</c:v>
                </c:pt>
                <c:pt idx="1">
                  <c:v>2016-17</c:v>
                </c:pt>
                <c:pt idx="2">
                  <c:v>2017-18</c:v>
                </c:pt>
                <c:pt idx="3">
                  <c:v>2018-19</c:v>
                </c:pt>
                <c:pt idx="4">
                  <c:v>2019-20</c:v>
                </c:pt>
              </c:strCache>
            </c:strRef>
          </c:cat>
          <c:val>
            <c:numRef>
              <c:f>Referrals!$AX$49:$BB$49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2B85-4100-AC78-383088F79047}"/>
            </c:ext>
          </c:extLst>
        </c:ser>
        <c:ser>
          <c:idx val="15"/>
          <c:order val="9"/>
          <c:tx>
            <c:strRef>
              <c:f>Referrals!$AL$50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Referrals!$Z$2:$AD$3</c:f>
              <c:strCache>
                <c:ptCount val="5"/>
                <c:pt idx="0">
                  <c:v>2015-16</c:v>
                </c:pt>
                <c:pt idx="1">
                  <c:v>2016-17</c:v>
                </c:pt>
                <c:pt idx="2">
                  <c:v>2017-18</c:v>
                </c:pt>
                <c:pt idx="3">
                  <c:v>2018-19</c:v>
                </c:pt>
                <c:pt idx="4">
                  <c:v>2019-20</c:v>
                </c:pt>
              </c:strCache>
            </c:strRef>
          </c:cat>
          <c:val>
            <c:numRef>
              <c:f>Referrals!$AX$50:$BB$50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2B85-4100-AC78-383088F79047}"/>
            </c:ext>
          </c:extLst>
        </c:ser>
        <c:ser>
          <c:idx val="16"/>
          <c:order val="10"/>
          <c:tx>
            <c:strRef>
              <c:f>Referrals!$AL$51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Referrals!$Z$2:$AD$3</c:f>
              <c:strCache>
                <c:ptCount val="5"/>
                <c:pt idx="0">
                  <c:v>2015-16</c:v>
                </c:pt>
                <c:pt idx="1">
                  <c:v>2016-17</c:v>
                </c:pt>
                <c:pt idx="2">
                  <c:v>2017-18</c:v>
                </c:pt>
                <c:pt idx="3">
                  <c:v>2018-19</c:v>
                </c:pt>
                <c:pt idx="4">
                  <c:v>2019-20</c:v>
                </c:pt>
              </c:strCache>
            </c:strRef>
          </c:cat>
          <c:val>
            <c:numRef>
              <c:f>Referrals!$AX$51:$BB$51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2B85-4100-AC78-383088F79047}"/>
            </c:ext>
          </c:extLst>
        </c:ser>
        <c:ser>
          <c:idx val="17"/>
          <c:order val="11"/>
          <c:tx>
            <c:strRef>
              <c:f>Referrals!$AL$52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Referrals!$Z$2:$AD$3</c:f>
              <c:strCache>
                <c:ptCount val="5"/>
                <c:pt idx="0">
                  <c:v>2015-16</c:v>
                </c:pt>
                <c:pt idx="1">
                  <c:v>2016-17</c:v>
                </c:pt>
                <c:pt idx="2">
                  <c:v>2017-18</c:v>
                </c:pt>
                <c:pt idx="3">
                  <c:v>2018-19</c:v>
                </c:pt>
                <c:pt idx="4">
                  <c:v>2019-20</c:v>
                </c:pt>
              </c:strCache>
            </c:strRef>
          </c:cat>
          <c:val>
            <c:numRef>
              <c:f>Referrals!$AX$52:$BB$52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2B85-4100-AC78-383088F79047}"/>
            </c:ext>
          </c:extLst>
        </c:ser>
        <c:ser>
          <c:idx val="19"/>
          <c:order val="12"/>
          <c:tx>
            <c:strRef>
              <c:f>Referrals!$AL$53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Referrals!$Z$2:$AD$3</c:f>
              <c:strCache>
                <c:ptCount val="5"/>
                <c:pt idx="0">
                  <c:v>2015-16</c:v>
                </c:pt>
                <c:pt idx="1">
                  <c:v>2016-17</c:v>
                </c:pt>
                <c:pt idx="2">
                  <c:v>2017-18</c:v>
                </c:pt>
                <c:pt idx="3">
                  <c:v>2018-19</c:v>
                </c:pt>
                <c:pt idx="4">
                  <c:v>2019-20</c:v>
                </c:pt>
              </c:strCache>
            </c:strRef>
          </c:cat>
          <c:val>
            <c:numRef>
              <c:f>Referrals!$AX$53:$BB$53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2B85-4100-AC78-383088F79047}"/>
            </c:ext>
          </c:extLst>
        </c:ser>
        <c:ser>
          <c:idx val="3"/>
          <c:order val="13"/>
          <c:tx>
            <c:strRef>
              <c:f>Referrals!$AL$54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Referrals!$Z$2:$AD$3</c:f>
              <c:strCache>
                <c:ptCount val="5"/>
                <c:pt idx="0">
                  <c:v>2015-16</c:v>
                </c:pt>
                <c:pt idx="1">
                  <c:v>2016-17</c:v>
                </c:pt>
                <c:pt idx="2">
                  <c:v>2017-18</c:v>
                </c:pt>
                <c:pt idx="3">
                  <c:v>2018-19</c:v>
                </c:pt>
                <c:pt idx="4">
                  <c:v>2019-20</c:v>
                </c:pt>
              </c:strCache>
            </c:strRef>
          </c:cat>
          <c:val>
            <c:numRef>
              <c:f>Referrals!$AX$54:$BB$54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2B85-4100-AC78-383088F79047}"/>
            </c:ext>
          </c:extLst>
        </c:ser>
        <c:ser>
          <c:idx val="20"/>
          <c:order val="14"/>
          <c:tx>
            <c:strRef>
              <c:f>Referrals!$AL$55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Referrals!$Z$2:$AD$3</c:f>
              <c:strCache>
                <c:ptCount val="5"/>
                <c:pt idx="0">
                  <c:v>2015-16</c:v>
                </c:pt>
                <c:pt idx="1">
                  <c:v>2016-17</c:v>
                </c:pt>
                <c:pt idx="2">
                  <c:v>2017-18</c:v>
                </c:pt>
                <c:pt idx="3">
                  <c:v>2018-19</c:v>
                </c:pt>
                <c:pt idx="4">
                  <c:v>2019-20</c:v>
                </c:pt>
              </c:strCache>
            </c:strRef>
          </c:cat>
          <c:val>
            <c:numRef>
              <c:f>Referrals!$AX$55:$BB$55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2B85-4100-AC78-383088F79047}"/>
            </c:ext>
          </c:extLst>
        </c:ser>
        <c:ser>
          <c:idx val="22"/>
          <c:order val="15"/>
          <c:tx>
            <c:strRef>
              <c:f>Referrals!$AL$56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Referrals!$Z$2:$AD$3</c:f>
              <c:strCache>
                <c:ptCount val="5"/>
                <c:pt idx="0">
                  <c:v>2015-16</c:v>
                </c:pt>
                <c:pt idx="1">
                  <c:v>2016-17</c:v>
                </c:pt>
                <c:pt idx="2">
                  <c:v>2017-18</c:v>
                </c:pt>
                <c:pt idx="3">
                  <c:v>2018-19</c:v>
                </c:pt>
                <c:pt idx="4">
                  <c:v>2019-20</c:v>
                </c:pt>
              </c:strCache>
            </c:strRef>
          </c:cat>
          <c:val>
            <c:numRef>
              <c:f>Referrals!$AX$56:$BB$56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2B85-4100-AC78-383088F79047}"/>
            </c:ext>
          </c:extLst>
        </c:ser>
        <c:ser>
          <c:idx val="7"/>
          <c:order val="16"/>
          <c:tx>
            <c:strRef>
              <c:f>Referrals!$AL$57</c:f>
              <c:strCache>
                <c:ptCount val="1"/>
                <c:pt idx="0">
                  <c:v>Swindon</c:v>
                </c:pt>
              </c:strCache>
            </c:strRef>
          </c:tx>
          <c:spPr>
            <a:ln w="15875"/>
          </c:spPr>
          <c:marker>
            <c:symbol val="triangle"/>
            <c:size val="5"/>
            <c:spPr>
              <a:solidFill>
                <a:schemeClr val="accent2">
                  <a:lumMod val="20000"/>
                  <a:lumOff val="80000"/>
                </a:schemeClr>
              </a:solidFill>
            </c:spPr>
          </c:marker>
          <c:cat>
            <c:strRef>
              <c:f>Referrals!$Z$2:$AD$3</c:f>
              <c:strCache>
                <c:ptCount val="5"/>
                <c:pt idx="0">
                  <c:v>2015-16</c:v>
                </c:pt>
                <c:pt idx="1">
                  <c:v>2016-17</c:v>
                </c:pt>
                <c:pt idx="2">
                  <c:v>2017-18</c:v>
                </c:pt>
                <c:pt idx="3">
                  <c:v>2018-19</c:v>
                </c:pt>
                <c:pt idx="4">
                  <c:v>2019-20</c:v>
                </c:pt>
              </c:strCache>
            </c:strRef>
          </c:cat>
          <c:val>
            <c:numRef>
              <c:f>Referrals!$AX$57:$BB$57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2B85-4100-AC78-383088F79047}"/>
            </c:ext>
          </c:extLst>
        </c:ser>
        <c:ser>
          <c:idx val="8"/>
          <c:order val="17"/>
          <c:tx>
            <c:strRef>
              <c:f>Referrals!$AL$58</c:f>
              <c:strCache>
                <c:ptCount val="1"/>
                <c:pt idx="0">
                  <c:v>Torbay</c:v>
                </c:pt>
              </c:strCache>
            </c:strRef>
          </c:tx>
          <c:spPr>
            <a:ln w="15875"/>
          </c:spPr>
          <c:marker>
            <c:symbol val="circle"/>
            <c:size val="5"/>
            <c:spPr>
              <a:solidFill>
                <a:schemeClr val="accent3">
                  <a:lumMod val="20000"/>
                  <a:lumOff val="80000"/>
                </a:schemeClr>
              </a:solidFill>
            </c:spPr>
          </c:marker>
          <c:cat>
            <c:strRef>
              <c:f>Referrals!$Z$2:$AD$3</c:f>
              <c:strCache>
                <c:ptCount val="5"/>
                <c:pt idx="0">
                  <c:v>2015-16</c:v>
                </c:pt>
                <c:pt idx="1">
                  <c:v>2016-17</c:v>
                </c:pt>
                <c:pt idx="2">
                  <c:v>2017-18</c:v>
                </c:pt>
                <c:pt idx="3">
                  <c:v>2018-19</c:v>
                </c:pt>
                <c:pt idx="4">
                  <c:v>2019-20</c:v>
                </c:pt>
              </c:strCache>
            </c:strRef>
          </c:cat>
          <c:val>
            <c:numRef>
              <c:f>Referrals!$AX$58:$BB$58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2B85-4100-AC78-383088F79047}"/>
            </c:ext>
          </c:extLst>
        </c:ser>
        <c:ser>
          <c:idx val="23"/>
          <c:order val="18"/>
          <c:tx>
            <c:strRef>
              <c:f>Referrals!$AL$59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Referrals!$Z$2:$AD$3</c:f>
              <c:strCache>
                <c:ptCount val="5"/>
                <c:pt idx="0">
                  <c:v>2015-16</c:v>
                </c:pt>
                <c:pt idx="1">
                  <c:v>2016-17</c:v>
                </c:pt>
                <c:pt idx="2">
                  <c:v>2017-18</c:v>
                </c:pt>
                <c:pt idx="3">
                  <c:v>2018-19</c:v>
                </c:pt>
                <c:pt idx="4">
                  <c:v>2019-20</c:v>
                </c:pt>
              </c:strCache>
            </c:strRef>
          </c:cat>
          <c:val>
            <c:numRef>
              <c:f>Referrals!$AX$59:$BB$59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2B85-4100-AC78-383088F79047}"/>
            </c:ext>
          </c:extLst>
        </c:ser>
        <c:ser>
          <c:idx val="24"/>
          <c:order val="19"/>
          <c:tx>
            <c:strRef>
              <c:f>Referrals!$AL$60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Referrals!$Z$2:$AD$3</c:f>
              <c:strCache>
                <c:ptCount val="5"/>
                <c:pt idx="0">
                  <c:v>2015-16</c:v>
                </c:pt>
                <c:pt idx="1">
                  <c:v>2016-17</c:v>
                </c:pt>
                <c:pt idx="2">
                  <c:v>2017-18</c:v>
                </c:pt>
                <c:pt idx="3">
                  <c:v>2018-19</c:v>
                </c:pt>
                <c:pt idx="4">
                  <c:v>2019-20</c:v>
                </c:pt>
              </c:strCache>
            </c:strRef>
          </c:cat>
          <c:val>
            <c:numRef>
              <c:f>Referrals!$AX$60:$BB$60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2B85-4100-AC78-383088F79047}"/>
            </c:ext>
          </c:extLst>
        </c:ser>
        <c:ser>
          <c:idx val="25"/>
          <c:order val="20"/>
          <c:tx>
            <c:strRef>
              <c:f>Referrals!$AL$61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Referrals!$Z$2:$AD$3</c:f>
              <c:strCache>
                <c:ptCount val="5"/>
                <c:pt idx="0">
                  <c:v>2015-16</c:v>
                </c:pt>
                <c:pt idx="1">
                  <c:v>2016-17</c:v>
                </c:pt>
                <c:pt idx="2">
                  <c:v>2017-18</c:v>
                </c:pt>
                <c:pt idx="3">
                  <c:v>2018-19</c:v>
                </c:pt>
                <c:pt idx="4">
                  <c:v>2019-20</c:v>
                </c:pt>
              </c:strCache>
            </c:strRef>
          </c:cat>
          <c:val>
            <c:numRef>
              <c:f>Referrals!$AX$61:$BB$61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2B85-4100-AC78-383088F79047}"/>
            </c:ext>
          </c:extLst>
        </c:ser>
        <c:ser>
          <c:idx val="26"/>
          <c:order val="21"/>
          <c:tx>
            <c:strRef>
              <c:f>Referrals!$AL$62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Referrals!$Z$2:$AD$3</c:f>
              <c:strCache>
                <c:ptCount val="5"/>
                <c:pt idx="0">
                  <c:v>2015-16</c:v>
                </c:pt>
                <c:pt idx="1">
                  <c:v>2016-17</c:v>
                </c:pt>
                <c:pt idx="2">
                  <c:v>2017-18</c:v>
                </c:pt>
                <c:pt idx="3">
                  <c:v>2018-19</c:v>
                </c:pt>
                <c:pt idx="4">
                  <c:v>2019-20</c:v>
                </c:pt>
              </c:strCache>
            </c:strRef>
          </c:cat>
          <c:val>
            <c:numRef>
              <c:f>Referrals!$AX$62:$BB$62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2B85-4100-AC78-383088F79047}"/>
            </c:ext>
          </c:extLst>
        </c:ser>
        <c:ser>
          <c:idx val="4"/>
          <c:order val="22"/>
          <c:tx>
            <c:strRef>
              <c:f>Referrals!$AL$63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Referrals!$Z$2:$AD$3</c:f>
              <c:strCache>
                <c:ptCount val="5"/>
                <c:pt idx="0">
                  <c:v>2015-16</c:v>
                </c:pt>
                <c:pt idx="1">
                  <c:v>2016-17</c:v>
                </c:pt>
                <c:pt idx="2">
                  <c:v>2017-18</c:v>
                </c:pt>
                <c:pt idx="3">
                  <c:v>2018-19</c:v>
                </c:pt>
                <c:pt idx="4">
                  <c:v>2019-20</c:v>
                </c:pt>
              </c:strCache>
            </c:strRef>
          </c:cat>
          <c:val>
            <c:numRef>
              <c:f>Referrals!$AX$63:$BB$63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2B85-4100-AC78-383088F79047}"/>
            </c:ext>
          </c:extLst>
        </c:ser>
        <c:ser>
          <c:idx val="14"/>
          <c:order val="23"/>
          <c:tx>
            <c:strRef>
              <c:f>Referrals!$AL$64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Referrals!$Z$2:$AD$3</c:f>
              <c:strCache>
                <c:ptCount val="5"/>
                <c:pt idx="0">
                  <c:v>2015-16</c:v>
                </c:pt>
                <c:pt idx="1">
                  <c:v>2016-17</c:v>
                </c:pt>
                <c:pt idx="2">
                  <c:v>2017-18</c:v>
                </c:pt>
                <c:pt idx="3">
                  <c:v>2018-19</c:v>
                </c:pt>
                <c:pt idx="4">
                  <c:v>2019-20</c:v>
                </c:pt>
              </c:strCache>
            </c:strRef>
          </c:cat>
          <c:val>
            <c:numRef>
              <c:f>Referrals!$AX$64:$BB$64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2B85-4100-AC78-383088F79047}"/>
            </c:ext>
          </c:extLst>
        </c:ser>
        <c:ser>
          <c:idx val="6"/>
          <c:order val="24"/>
          <c:tx>
            <c:strRef>
              <c:f>Referrals!$AL$65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Referrals!$Z$2:$AD$3</c:f>
              <c:strCache>
                <c:ptCount val="5"/>
                <c:pt idx="0">
                  <c:v>2015-16</c:v>
                </c:pt>
                <c:pt idx="1">
                  <c:v>2016-17</c:v>
                </c:pt>
                <c:pt idx="2">
                  <c:v>2017-18</c:v>
                </c:pt>
                <c:pt idx="3">
                  <c:v>2018-19</c:v>
                </c:pt>
                <c:pt idx="4">
                  <c:v>2019-20</c:v>
                </c:pt>
              </c:strCache>
            </c:strRef>
          </c:cat>
          <c:val>
            <c:numRef>
              <c:f>Referrals!$AX$65:$BB$65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B85-4100-AC78-383088F79047}"/>
            </c:ext>
          </c:extLst>
        </c:ser>
        <c:dLbls>
          <c:showLegendKey val="0"/>
          <c:showVal val="0"/>
          <c:showCatName val="0"/>
          <c:showSerName val="0"/>
          <c:showPercent val="0"/>
          <c:showBubbleSize val="0"/>
        </c:dLbls>
        <c:marker val="1"/>
        <c:smooth val="0"/>
        <c:axId val="528702848"/>
        <c:axId val="528716928"/>
      </c:lineChart>
      <c:catAx>
        <c:axId val="528702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716928"/>
        <c:crosses val="autoZero"/>
        <c:auto val="1"/>
        <c:lblAlgn val="ctr"/>
        <c:lblOffset val="100"/>
        <c:tickLblSkip val="1"/>
        <c:tickMarkSkip val="1"/>
        <c:noMultiLvlLbl val="0"/>
      </c:catAx>
      <c:valAx>
        <c:axId val="52871692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70284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9187580807408454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Contacts, per 10,000 0-17 year olds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108111549870636"/>
        </c:manualLayout>
      </c:layout>
      <c:lineChart>
        <c:grouping val="standard"/>
        <c:varyColors val="0"/>
        <c:ser>
          <c:idx val="0"/>
          <c:order val="0"/>
          <c:tx>
            <c:strRef>
              <c:f>Contacts!$AK$40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9053-4366-BC40-1012E80C4609}"/>
              </c:ext>
            </c:extLst>
          </c:dPt>
          <c:cat>
            <c:strRef>
              <c:f>Contacts!$X$2:$AB$3</c:f>
              <c:strCache>
                <c:ptCount val="5"/>
                <c:pt idx="0">
                  <c:v>2015-16</c:v>
                </c:pt>
                <c:pt idx="1">
                  <c:v>2016-17</c:v>
                </c:pt>
                <c:pt idx="2">
                  <c:v>2017-18</c:v>
                </c:pt>
                <c:pt idx="3">
                  <c:v>2018-19</c:v>
                </c:pt>
                <c:pt idx="4">
                  <c:v>2019-20</c:v>
                </c:pt>
              </c:strCache>
            </c:strRef>
          </c:cat>
          <c:val>
            <c:numRef>
              <c:f>Contacts!$AL$40:$AP$40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053-4366-BC40-1012E80C4609}"/>
            </c:ext>
          </c:extLst>
        </c:ser>
        <c:ser>
          <c:idx val="1"/>
          <c:order val="1"/>
          <c:tx>
            <c:strRef>
              <c:f>Contacts!$AK$41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Contacts!$X$2:$AB$3</c:f>
              <c:strCache>
                <c:ptCount val="5"/>
                <c:pt idx="0">
                  <c:v>2015-16</c:v>
                </c:pt>
                <c:pt idx="1">
                  <c:v>2016-17</c:v>
                </c:pt>
                <c:pt idx="2">
                  <c:v>2017-18</c:v>
                </c:pt>
                <c:pt idx="3">
                  <c:v>2018-19</c:v>
                </c:pt>
                <c:pt idx="4">
                  <c:v>2019-20</c:v>
                </c:pt>
              </c:strCache>
            </c:strRef>
          </c:cat>
          <c:val>
            <c:numRef>
              <c:f>Contacts!$AL$41:$AP$41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9053-4366-BC40-1012E80C4609}"/>
            </c:ext>
          </c:extLst>
        </c:ser>
        <c:ser>
          <c:idx val="2"/>
          <c:order val="2"/>
          <c:tx>
            <c:strRef>
              <c:f>Contacts!$AK$42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Contacts!$X$2:$AB$3</c:f>
              <c:strCache>
                <c:ptCount val="5"/>
                <c:pt idx="0">
                  <c:v>2015-16</c:v>
                </c:pt>
                <c:pt idx="1">
                  <c:v>2016-17</c:v>
                </c:pt>
                <c:pt idx="2">
                  <c:v>2017-18</c:v>
                </c:pt>
                <c:pt idx="3">
                  <c:v>2018-19</c:v>
                </c:pt>
                <c:pt idx="4">
                  <c:v>2019-20</c:v>
                </c:pt>
              </c:strCache>
            </c:strRef>
          </c:cat>
          <c:val>
            <c:numRef>
              <c:f>Contacts!$AL$42:$AP$42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9053-4366-BC40-1012E80C4609}"/>
            </c:ext>
          </c:extLst>
        </c:ser>
        <c:ser>
          <c:idx val="5"/>
          <c:order val="3"/>
          <c:tx>
            <c:strRef>
              <c:f>Contacts!$AK$43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Contacts!$X$2:$AB$3</c:f>
              <c:strCache>
                <c:ptCount val="5"/>
                <c:pt idx="0">
                  <c:v>2015-16</c:v>
                </c:pt>
                <c:pt idx="1">
                  <c:v>2016-17</c:v>
                </c:pt>
                <c:pt idx="2">
                  <c:v>2017-18</c:v>
                </c:pt>
                <c:pt idx="3">
                  <c:v>2018-19</c:v>
                </c:pt>
                <c:pt idx="4">
                  <c:v>2019-20</c:v>
                </c:pt>
              </c:strCache>
            </c:strRef>
          </c:cat>
          <c:val>
            <c:numRef>
              <c:f>Contacts!$AL$43:$AP$43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9053-4366-BC40-1012E80C4609}"/>
            </c:ext>
          </c:extLst>
        </c:ser>
        <c:ser>
          <c:idx val="9"/>
          <c:order val="4"/>
          <c:tx>
            <c:strRef>
              <c:f>Contacts!$AK$44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Contacts!$X$2:$AB$3</c:f>
              <c:strCache>
                <c:ptCount val="5"/>
                <c:pt idx="0">
                  <c:v>2015-16</c:v>
                </c:pt>
                <c:pt idx="1">
                  <c:v>2016-17</c:v>
                </c:pt>
                <c:pt idx="2">
                  <c:v>2017-18</c:v>
                </c:pt>
                <c:pt idx="3">
                  <c:v>2018-19</c:v>
                </c:pt>
                <c:pt idx="4">
                  <c:v>2019-20</c:v>
                </c:pt>
              </c:strCache>
            </c:strRef>
          </c:cat>
          <c:val>
            <c:numRef>
              <c:f>Contacts!$AL$44:$AP$44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9053-4366-BC40-1012E80C4609}"/>
            </c:ext>
          </c:extLst>
        </c:ser>
        <c:ser>
          <c:idx val="10"/>
          <c:order val="5"/>
          <c:tx>
            <c:strRef>
              <c:f>Contacts!$AK$45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Contacts!$X$2:$AB$3</c:f>
              <c:strCache>
                <c:ptCount val="5"/>
                <c:pt idx="0">
                  <c:v>2015-16</c:v>
                </c:pt>
                <c:pt idx="1">
                  <c:v>2016-17</c:v>
                </c:pt>
                <c:pt idx="2">
                  <c:v>2017-18</c:v>
                </c:pt>
                <c:pt idx="3">
                  <c:v>2018-19</c:v>
                </c:pt>
                <c:pt idx="4">
                  <c:v>2019-20</c:v>
                </c:pt>
              </c:strCache>
            </c:strRef>
          </c:cat>
          <c:val>
            <c:numRef>
              <c:f>Contacts!$AL$45:$AP$45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9053-4366-BC40-1012E80C4609}"/>
            </c:ext>
          </c:extLst>
        </c:ser>
        <c:ser>
          <c:idx val="11"/>
          <c:order val="6"/>
          <c:tx>
            <c:strRef>
              <c:f>Contacts!$AK$46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Contacts!$X$2:$AB$3</c:f>
              <c:strCache>
                <c:ptCount val="5"/>
                <c:pt idx="0">
                  <c:v>2015-16</c:v>
                </c:pt>
                <c:pt idx="1">
                  <c:v>2016-17</c:v>
                </c:pt>
                <c:pt idx="2">
                  <c:v>2017-18</c:v>
                </c:pt>
                <c:pt idx="3">
                  <c:v>2018-19</c:v>
                </c:pt>
                <c:pt idx="4">
                  <c:v>2019-20</c:v>
                </c:pt>
              </c:strCache>
            </c:strRef>
          </c:cat>
          <c:val>
            <c:numRef>
              <c:f>Contacts!$AL$46:$AP$46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9053-4366-BC40-1012E80C4609}"/>
            </c:ext>
          </c:extLst>
        </c:ser>
        <c:ser>
          <c:idx val="12"/>
          <c:order val="7"/>
          <c:tx>
            <c:strRef>
              <c:f>Contacts!$AK$47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Contacts!$X$2:$AB$3</c:f>
              <c:strCache>
                <c:ptCount val="5"/>
                <c:pt idx="0">
                  <c:v>2015-16</c:v>
                </c:pt>
                <c:pt idx="1">
                  <c:v>2016-17</c:v>
                </c:pt>
                <c:pt idx="2">
                  <c:v>2017-18</c:v>
                </c:pt>
                <c:pt idx="3">
                  <c:v>2018-19</c:v>
                </c:pt>
                <c:pt idx="4">
                  <c:v>2019-20</c:v>
                </c:pt>
              </c:strCache>
            </c:strRef>
          </c:cat>
          <c:val>
            <c:numRef>
              <c:f>Contacts!$AL$47:$AP$47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9053-4366-BC40-1012E80C4609}"/>
            </c:ext>
          </c:extLst>
        </c:ser>
        <c:ser>
          <c:idx val="13"/>
          <c:order val="8"/>
          <c:tx>
            <c:strRef>
              <c:f>Contacts!$AK$48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Contacts!$X$2:$AB$3</c:f>
              <c:strCache>
                <c:ptCount val="5"/>
                <c:pt idx="0">
                  <c:v>2015-16</c:v>
                </c:pt>
                <c:pt idx="1">
                  <c:v>2016-17</c:v>
                </c:pt>
                <c:pt idx="2">
                  <c:v>2017-18</c:v>
                </c:pt>
                <c:pt idx="3">
                  <c:v>2018-19</c:v>
                </c:pt>
                <c:pt idx="4">
                  <c:v>2019-20</c:v>
                </c:pt>
              </c:strCache>
            </c:strRef>
          </c:cat>
          <c:val>
            <c:numRef>
              <c:f>Contacts!$AL$48:$AP$48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9053-4366-BC40-1012E80C4609}"/>
            </c:ext>
          </c:extLst>
        </c:ser>
        <c:ser>
          <c:idx val="15"/>
          <c:order val="9"/>
          <c:tx>
            <c:strRef>
              <c:f>Contacts!$AK$49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Contacts!$X$2:$AB$3</c:f>
              <c:strCache>
                <c:ptCount val="5"/>
                <c:pt idx="0">
                  <c:v>2015-16</c:v>
                </c:pt>
                <c:pt idx="1">
                  <c:v>2016-17</c:v>
                </c:pt>
                <c:pt idx="2">
                  <c:v>2017-18</c:v>
                </c:pt>
                <c:pt idx="3">
                  <c:v>2018-19</c:v>
                </c:pt>
                <c:pt idx="4">
                  <c:v>2019-20</c:v>
                </c:pt>
              </c:strCache>
            </c:strRef>
          </c:cat>
          <c:val>
            <c:numRef>
              <c:f>Contacts!$AL$49:$AP$49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9053-4366-BC40-1012E80C4609}"/>
            </c:ext>
          </c:extLst>
        </c:ser>
        <c:ser>
          <c:idx val="16"/>
          <c:order val="10"/>
          <c:tx>
            <c:strRef>
              <c:f>Contacts!$AK$50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Contacts!$X$2:$AB$3</c:f>
              <c:strCache>
                <c:ptCount val="5"/>
                <c:pt idx="0">
                  <c:v>2015-16</c:v>
                </c:pt>
                <c:pt idx="1">
                  <c:v>2016-17</c:v>
                </c:pt>
                <c:pt idx="2">
                  <c:v>2017-18</c:v>
                </c:pt>
                <c:pt idx="3">
                  <c:v>2018-19</c:v>
                </c:pt>
                <c:pt idx="4">
                  <c:v>2019-20</c:v>
                </c:pt>
              </c:strCache>
            </c:strRef>
          </c:cat>
          <c:val>
            <c:numRef>
              <c:f>Contacts!$AL$50:$AP$50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9053-4366-BC40-1012E80C4609}"/>
            </c:ext>
          </c:extLst>
        </c:ser>
        <c:ser>
          <c:idx val="17"/>
          <c:order val="11"/>
          <c:tx>
            <c:strRef>
              <c:f>Contacts!$AK$51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Contacts!$X$2:$AB$3</c:f>
              <c:strCache>
                <c:ptCount val="5"/>
                <c:pt idx="0">
                  <c:v>2015-16</c:v>
                </c:pt>
                <c:pt idx="1">
                  <c:v>2016-17</c:v>
                </c:pt>
                <c:pt idx="2">
                  <c:v>2017-18</c:v>
                </c:pt>
                <c:pt idx="3">
                  <c:v>2018-19</c:v>
                </c:pt>
                <c:pt idx="4">
                  <c:v>2019-20</c:v>
                </c:pt>
              </c:strCache>
            </c:strRef>
          </c:cat>
          <c:val>
            <c:numRef>
              <c:f>Contacts!$AL$51:$AP$51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9053-4366-BC40-1012E80C4609}"/>
            </c:ext>
          </c:extLst>
        </c:ser>
        <c:ser>
          <c:idx val="19"/>
          <c:order val="12"/>
          <c:tx>
            <c:strRef>
              <c:f>Contacts!$AK$52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Contacts!$X$2:$AB$3</c:f>
              <c:strCache>
                <c:ptCount val="5"/>
                <c:pt idx="0">
                  <c:v>2015-16</c:v>
                </c:pt>
                <c:pt idx="1">
                  <c:v>2016-17</c:v>
                </c:pt>
                <c:pt idx="2">
                  <c:v>2017-18</c:v>
                </c:pt>
                <c:pt idx="3">
                  <c:v>2018-19</c:v>
                </c:pt>
                <c:pt idx="4">
                  <c:v>2019-20</c:v>
                </c:pt>
              </c:strCache>
            </c:strRef>
          </c:cat>
          <c:val>
            <c:numRef>
              <c:f>Contacts!$AL$52:$AP$52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9053-4366-BC40-1012E80C4609}"/>
            </c:ext>
          </c:extLst>
        </c:ser>
        <c:ser>
          <c:idx val="3"/>
          <c:order val="13"/>
          <c:tx>
            <c:strRef>
              <c:f>Contacts!$AK$53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Contacts!$X$2:$AB$3</c:f>
              <c:strCache>
                <c:ptCount val="5"/>
                <c:pt idx="0">
                  <c:v>2015-16</c:v>
                </c:pt>
                <c:pt idx="1">
                  <c:v>2016-17</c:v>
                </c:pt>
                <c:pt idx="2">
                  <c:v>2017-18</c:v>
                </c:pt>
                <c:pt idx="3">
                  <c:v>2018-19</c:v>
                </c:pt>
                <c:pt idx="4">
                  <c:v>2019-20</c:v>
                </c:pt>
              </c:strCache>
            </c:strRef>
          </c:cat>
          <c:val>
            <c:numRef>
              <c:f>Contacts!$AL$53:$AP$53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9053-4366-BC40-1012E80C4609}"/>
            </c:ext>
          </c:extLst>
        </c:ser>
        <c:ser>
          <c:idx val="20"/>
          <c:order val="14"/>
          <c:tx>
            <c:strRef>
              <c:f>Contacts!$AK$54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Contacts!$X$2:$AB$3</c:f>
              <c:strCache>
                <c:ptCount val="5"/>
                <c:pt idx="0">
                  <c:v>2015-16</c:v>
                </c:pt>
                <c:pt idx="1">
                  <c:v>2016-17</c:v>
                </c:pt>
                <c:pt idx="2">
                  <c:v>2017-18</c:v>
                </c:pt>
                <c:pt idx="3">
                  <c:v>2018-19</c:v>
                </c:pt>
                <c:pt idx="4">
                  <c:v>2019-20</c:v>
                </c:pt>
              </c:strCache>
            </c:strRef>
          </c:cat>
          <c:val>
            <c:numRef>
              <c:f>Contacts!$AL$54:$AP$54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9053-4366-BC40-1012E80C4609}"/>
            </c:ext>
          </c:extLst>
        </c:ser>
        <c:ser>
          <c:idx val="22"/>
          <c:order val="15"/>
          <c:tx>
            <c:strRef>
              <c:f>Contacts!$AK$55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Contacts!$X$2:$AB$3</c:f>
              <c:strCache>
                <c:ptCount val="5"/>
                <c:pt idx="0">
                  <c:v>2015-16</c:v>
                </c:pt>
                <c:pt idx="1">
                  <c:v>2016-17</c:v>
                </c:pt>
                <c:pt idx="2">
                  <c:v>2017-18</c:v>
                </c:pt>
                <c:pt idx="3">
                  <c:v>2018-19</c:v>
                </c:pt>
                <c:pt idx="4">
                  <c:v>2019-20</c:v>
                </c:pt>
              </c:strCache>
            </c:strRef>
          </c:cat>
          <c:val>
            <c:numRef>
              <c:f>Contacts!$AL$55:$AP$55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9053-4366-BC40-1012E80C4609}"/>
            </c:ext>
          </c:extLst>
        </c:ser>
        <c:ser>
          <c:idx val="7"/>
          <c:order val="16"/>
          <c:tx>
            <c:strRef>
              <c:f>Contacts!$AK$56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Contacts!$X$2:$AB$3</c:f>
              <c:strCache>
                <c:ptCount val="5"/>
                <c:pt idx="0">
                  <c:v>2015-16</c:v>
                </c:pt>
                <c:pt idx="1">
                  <c:v>2016-17</c:v>
                </c:pt>
                <c:pt idx="2">
                  <c:v>2017-18</c:v>
                </c:pt>
                <c:pt idx="3">
                  <c:v>2018-19</c:v>
                </c:pt>
                <c:pt idx="4">
                  <c:v>2019-20</c:v>
                </c:pt>
              </c:strCache>
            </c:strRef>
          </c:cat>
          <c:val>
            <c:numRef>
              <c:f>Contacts!$AL$56:$AP$56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9053-4366-BC40-1012E80C4609}"/>
            </c:ext>
          </c:extLst>
        </c:ser>
        <c:ser>
          <c:idx val="8"/>
          <c:order val="17"/>
          <c:tx>
            <c:strRef>
              <c:f>Contacts!$AK$57</c:f>
              <c:strCache>
                <c:ptCount val="1"/>
                <c:pt idx="0">
                  <c:v>Torbay</c:v>
                </c:pt>
              </c:strCache>
            </c:strRef>
          </c:tx>
          <c:spPr>
            <a:ln w="12700"/>
          </c:spPr>
          <c:marker>
            <c:symbol val="circle"/>
            <c:size val="5"/>
            <c:spPr>
              <a:solidFill>
                <a:schemeClr val="accent3">
                  <a:lumMod val="20000"/>
                  <a:lumOff val="80000"/>
                </a:schemeClr>
              </a:solidFill>
            </c:spPr>
          </c:marker>
          <c:cat>
            <c:strRef>
              <c:f>Contacts!$X$2:$AB$3</c:f>
              <c:strCache>
                <c:ptCount val="5"/>
                <c:pt idx="0">
                  <c:v>2015-16</c:v>
                </c:pt>
                <c:pt idx="1">
                  <c:v>2016-17</c:v>
                </c:pt>
                <c:pt idx="2">
                  <c:v>2017-18</c:v>
                </c:pt>
                <c:pt idx="3">
                  <c:v>2018-19</c:v>
                </c:pt>
                <c:pt idx="4">
                  <c:v>2019-20</c:v>
                </c:pt>
              </c:strCache>
            </c:strRef>
          </c:cat>
          <c:val>
            <c:numRef>
              <c:f>Contacts!$AL$57:$AP$57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9053-4366-BC40-1012E80C4609}"/>
            </c:ext>
          </c:extLst>
        </c:ser>
        <c:ser>
          <c:idx val="23"/>
          <c:order val="18"/>
          <c:tx>
            <c:strRef>
              <c:f>Contacts!$AK$58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Contacts!$X$2:$AB$3</c:f>
              <c:strCache>
                <c:ptCount val="5"/>
                <c:pt idx="0">
                  <c:v>2015-16</c:v>
                </c:pt>
                <c:pt idx="1">
                  <c:v>2016-17</c:v>
                </c:pt>
                <c:pt idx="2">
                  <c:v>2017-18</c:v>
                </c:pt>
                <c:pt idx="3">
                  <c:v>2018-19</c:v>
                </c:pt>
                <c:pt idx="4">
                  <c:v>2019-20</c:v>
                </c:pt>
              </c:strCache>
            </c:strRef>
          </c:cat>
          <c:val>
            <c:numRef>
              <c:f>Contacts!$AL$58:$AP$58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9053-4366-BC40-1012E80C4609}"/>
            </c:ext>
          </c:extLst>
        </c:ser>
        <c:ser>
          <c:idx val="24"/>
          <c:order val="19"/>
          <c:tx>
            <c:strRef>
              <c:f>Contacts!$AK$59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Contacts!$X$2:$AB$3</c:f>
              <c:strCache>
                <c:ptCount val="5"/>
                <c:pt idx="0">
                  <c:v>2015-16</c:v>
                </c:pt>
                <c:pt idx="1">
                  <c:v>2016-17</c:v>
                </c:pt>
                <c:pt idx="2">
                  <c:v>2017-18</c:v>
                </c:pt>
                <c:pt idx="3">
                  <c:v>2018-19</c:v>
                </c:pt>
                <c:pt idx="4">
                  <c:v>2019-20</c:v>
                </c:pt>
              </c:strCache>
            </c:strRef>
          </c:cat>
          <c:val>
            <c:numRef>
              <c:f>Contacts!$AL$59:$AP$59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9053-4366-BC40-1012E80C4609}"/>
            </c:ext>
          </c:extLst>
        </c:ser>
        <c:ser>
          <c:idx val="25"/>
          <c:order val="20"/>
          <c:tx>
            <c:strRef>
              <c:f>Contacts!$AK$60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Contacts!$X$2:$AB$3</c:f>
              <c:strCache>
                <c:ptCount val="5"/>
                <c:pt idx="0">
                  <c:v>2015-16</c:v>
                </c:pt>
                <c:pt idx="1">
                  <c:v>2016-17</c:v>
                </c:pt>
                <c:pt idx="2">
                  <c:v>2017-18</c:v>
                </c:pt>
                <c:pt idx="3">
                  <c:v>2018-19</c:v>
                </c:pt>
                <c:pt idx="4">
                  <c:v>2019-20</c:v>
                </c:pt>
              </c:strCache>
            </c:strRef>
          </c:cat>
          <c:val>
            <c:numRef>
              <c:f>Contacts!$AL$60:$AP$60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9053-4366-BC40-1012E80C4609}"/>
            </c:ext>
          </c:extLst>
        </c:ser>
        <c:ser>
          <c:idx val="26"/>
          <c:order val="21"/>
          <c:tx>
            <c:strRef>
              <c:f>Contacts!$AK$61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Contacts!$X$2:$AB$3</c:f>
              <c:strCache>
                <c:ptCount val="5"/>
                <c:pt idx="0">
                  <c:v>2015-16</c:v>
                </c:pt>
                <c:pt idx="1">
                  <c:v>2016-17</c:v>
                </c:pt>
                <c:pt idx="2">
                  <c:v>2017-18</c:v>
                </c:pt>
                <c:pt idx="3">
                  <c:v>2018-19</c:v>
                </c:pt>
                <c:pt idx="4">
                  <c:v>2019-20</c:v>
                </c:pt>
              </c:strCache>
            </c:strRef>
          </c:cat>
          <c:val>
            <c:numRef>
              <c:f>Contacts!$AL$61:$AP$61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9053-4366-BC40-1012E80C4609}"/>
            </c:ext>
          </c:extLst>
        </c:ser>
        <c:ser>
          <c:idx val="4"/>
          <c:order val="22"/>
          <c:tx>
            <c:strRef>
              <c:f>Contacts!$AK$62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Contacts!$X$2:$AB$3</c:f>
              <c:strCache>
                <c:ptCount val="5"/>
                <c:pt idx="0">
                  <c:v>2015-16</c:v>
                </c:pt>
                <c:pt idx="1">
                  <c:v>2016-17</c:v>
                </c:pt>
                <c:pt idx="2">
                  <c:v>2017-18</c:v>
                </c:pt>
                <c:pt idx="3">
                  <c:v>2018-19</c:v>
                </c:pt>
                <c:pt idx="4">
                  <c:v>2019-20</c:v>
                </c:pt>
              </c:strCache>
            </c:strRef>
          </c:cat>
          <c:val>
            <c:numRef>
              <c:f>Contacts!$AL$62:$AP$62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9053-4366-BC40-1012E80C4609}"/>
            </c:ext>
          </c:extLst>
        </c:ser>
        <c:ser>
          <c:idx val="6"/>
          <c:order val="23"/>
          <c:tx>
            <c:strRef>
              <c:f>Contacts!$AK$64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Contacts!$X$2:$AB$3</c:f>
              <c:strCache>
                <c:ptCount val="5"/>
                <c:pt idx="0">
                  <c:v>2015-16</c:v>
                </c:pt>
                <c:pt idx="1">
                  <c:v>2016-17</c:v>
                </c:pt>
                <c:pt idx="2">
                  <c:v>2017-18</c:v>
                </c:pt>
                <c:pt idx="3">
                  <c:v>2018-19</c:v>
                </c:pt>
                <c:pt idx="4">
                  <c:v>2019-20</c:v>
                </c:pt>
              </c:strCache>
            </c:strRef>
          </c:cat>
          <c:val>
            <c:numRef>
              <c:f>Contacts!$AL$64:$AP$64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9053-4366-BC40-1012E80C4609}"/>
            </c:ext>
          </c:extLst>
        </c:ser>
        <c:dLbls>
          <c:showLegendKey val="0"/>
          <c:showVal val="0"/>
          <c:showCatName val="0"/>
          <c:showSerName val="0"/>
          <c:showPercent val="0"/>
          <c:showBubbleSize val="0"/>
        </c:dLbls>
        <c:marker val="1"/>
        <c:smooth val="0"/>
        <c:axId val="500412800"/>
        <c:axId val="500414720"/>
      </c:lineChart>
      <c:catAx>
        <c:axId val="5004128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00414720"/>
        <c:crosses val="autoZero"/>
        <c:auto val="1"/>
        <c:lblAlgn val="ctr"/>
        <c:lblOffset val="100"/>
        <c:tickLblSkip val="1"/>
        <c:tickMarkSkip val="1"/>
        <c:noMultiLvlLbl val="0"/>
      </c:catAx>
      <c:valAx>
        <c:axId val="50041472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0041280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vs. IDACI</a:t>
            </a:r>
          </a:p>
        </c:rich>
      </c:tx>
      <c:layout>
        <c:manualLayout>
          <c:xMode val="edge"/>
          <c:yMode val="edge"/>
          <c:x val="0.30681180237085748"/>
          <c:y val="3.6125690638901996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4"/>
          <c:tx>
            <c:strRef>
              <c:f>Referrals!$Y$41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A45C-4FD0-9720-108774E44B9D}"/>
                </c:ext>
              </c:extLst>
            </c:dLbl>
            <c:dLbl>
              <c:idx val="1"/>
              <c:layout>
                <c:manualLayout>
                  <c:x val="-8.0996884735202487E-2"/>
                  <c:y val="-2.3809518229865431E-2"/>
                </c:manualLayout>
              </c:layout>
              <c:tx>
                <c:strRef>
                  <c:f>Referrals!$AD$42</c:f>
                  <c:strCache>
                    <c:ptCount val="1"/>
                    <c:pt idx="0">
                      <c:v>r² = 0.365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{F855FDE4-8DF9-468E-BBA9-EAF6A537B162}</c15:txfldGUID>
                      <c15:f>Referrals!$AD$42</c15:f>
                      <c15:dlblFieldTableCache>
                        <c:ptCount val="1"/>
                        <c:pt idx="0">
                          <c:v>r² = 0.365</c:v>
                        </c:pt>
                      </c15:dlblFieldTableCache>
                    </c15:dlblFTEntry>
                  </c15:dlblFieldTable>
                  <c15:showDataLabelsRange val="0"/>
                </c:ext>
                <c:ext xmlns:c16="http://schemas.microsoft.com/office/drawing/2014/chart" uri="{C3380CC4-5D6E-409C-BE32-E72D297353CC}">
                  <c16:uniqueId val="{00000001-A45C-4FD0-9720-108774E44B9D}"/>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Referrals!$AB$41:$AB$42</c:f>
              <c:numCache>
                <c:formatCode>General</c:formatCode>
                <c:ptCount val="2"/>
                <c:pt idx="0" formatCode="#,##0.0">
                  <c:v>5</c:v>
                </c:pt>
                <c:pt idx="1">
                  <c:v>35</c:v>
                </c:pt>
              </c:numCache>
            </c:numRef>
          </c:xVal>
          <c:yVal>
            <c:numRef>
              <c:f>Referrals!$AC$41:$AC$42</c:f>
              <c:numCache>
                <c:formatCode>0.0</c:formatCode>
                <c:ptCount val="2"/>
                <c:pt idx="0">
                  <c:v>410.52905863993249</c:v>
                </c:pt>
                <c:pt idx="1">
                  <c:v>1142.7258345264131</c:v>
                </c:pt>
              </c:numCache>
            </c:numRef>
          </c:yVal>
          <c:smooth val="1"/>
          <c:extLst>
            <c:ext xmlns:c16="http://schemas.microsoft.com/office/drawing/2014/chart" uri="{C3380CC4-5D6E-409C-BE32-E72D297353CC}">
              <c16:uniqueId val="{00000002-A45C-4FD0-9720-108774E44B9D}"/>
            </c:ext>
          </c:extLst>
        </c:ser>
        <c:dLbls>
          <c:showLegendKey val="0"/>
          <c:showVal val="0"/>
          <c:showCatName val="0"/>
          <c:showSerName val="0"/>
          <c:showPercent val="0"/>
          <c:showBubbleSize val="0"/>
        </c:dLbls>
        <c:axId val="528842112"/>
        <c:axId val="528872960"/>
      </c:scatterChart>
      <c:scatterChart>
        <c:scatterStyle val="lineMarker"/>
        <c:varyColors val="0"/>
        <c:ser>
          <c:idx val="0"/>
          <c:order val="0"/>
          <c:tx>
            <c:strRef>
              <c:f>Referrals!$AR$38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A45C-4FD0-9720-108774E44B9D}"/>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{D9930DE6-8A91-4774-954B-D92FA4CD7780}</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A45C-4FD0-9720-108774E44B9D}"/>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{AAC33288-16CB-4763-B29D-48AAEFC76851}</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A45C-4FD0-9720-108774E44B9D}"/>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{EF91166E-C34A-49ED-9258-946EC058CAD5}</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A45C-4FD0-9720-108774E44B9D}"/>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{1259A480-A3D6-40ED-80C6-AC634FA81CED}</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A45C-4FD0-9720-108774E44B9D}"/>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{648056B1-67A0-4AC9-A17C-94046F783FFE}</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A45C-4FD0-9720-108774E44B9D}"/>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{25A31C0B-18FC-4986-9E11-8D95F945ADCB}</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A45C-4FD0-9720-108774E44B9D}"/>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{93E98AE1-E861-4BCF-BDC8-E616E79BA1DE}</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A45C-4FD0-9720-108774E44B9D}"/>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{A8EC54B3-39F6-4882-BF51-848287662252}</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A45C-4FD0-9720-108774E44B9D}"/>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{E7A20652-657F-496B-9F0F-2F400A89FA70}</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A45C-4FD0-9720-108774E44B9D}"/>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{5D3744F8-F5FB-49C5-ADFF-6DC64A955CA7}</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A45C-4FD0-9720-108774E44B9D}"/>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{6EC92EC6-C20A-46B3-8AD2-53AE017B6A42}</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A45C-4FD0-9720-108774E44B9D}"/>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{AF426810-7598-4BD9-A6FB-6A8F93B136AD}</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A45C-4FD0-9720-108774E44B9D}"/>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{A4C135B7-81DC-4895-93A1-5F0A817B4708}</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A45C-4FD0-9720-108774E44B9D}"/>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{29C9B281-19AE-4E9F-B35F-634CF14C41E8}</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A45C-4FD0-9720-108774E44B9D}"/>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{A6B51A03-9D84-4992-9215-A75FDD12E2CF}</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A45C-4FD0-9720-108774E44B9D}"/>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{2F36AFA1-94C0-4D38-8637-BD2645D3FF70}</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A45C-4FD0-9720-108774E44B9D}"/>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{30F2494C-45BB-4EFC-98C8-63A169E04399}</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A45C-4FD0-9720-108774E44B9D}"/>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{649229E0-1A30-4BF4-81DB-DFD36D147AB3}</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A45C-4FD0-9720-108774E44B9D}"/>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{9E4273B3-B31B-4CC0-A1BB-6008055CA64F}</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A45C-4FD0-9720-108774E44B9D}"/>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(Referrals!$AR$41:$AR$53,Referrals!$AR$55:$AR$56,Referrals!$AR$59:$AR$62)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(Referrals!$AQ$41:$AQ$53,Referrals!$AQ$55:$AQ$56,Referrals!$AQ$59:$AQ$62)</c:f>
              <c:numCache>
                <c:formatCode>0.0</c:formatCode>
                <c:ptCount val="19"/>
                <c:pt idx="0">
                  <c:v>598.23943661971828</c:v>
                </c:pt>
                <c:pt idx="1">
                  <c:v>709.94035785288281</c:v>
                </c:pt>
                <c:pt idx="2">
                  <c:v>665.63245823389013</c:v>
                </c:pt>
                <c:pt idx="3">
                  <c:v>392.00376293508936</c:v>
                </c:pt>
                <c:pt idx="4">
                  <c:v>711.22054168132252</c:v>
                </c:pt>
                <c:pt idx="5">
                  <c:v>1080.9716599190283</c:v>
                </c:pt>
                <c:pt idx="6">
                  <c:v>650.05817335660277</c:v>
                </c:pt>
                <c:pt idx="7">
                  <c:v>754.46153846153845</c:v>
                </c:pt>
                <c:pt idx="8">
                  <c:v>449.12790697674421</c:v>
                </c:pt>
                <c:pt idx="9">
                  <c:v>513.48391512662556</c:v>
                </c:pt>
                <c:pt idx="10">
                  <c:v>608.21917808219177</c:v>
                </c:pt>
                <c:pt idx="11">
                  <c:v>692.97297297297291</c:v>
                </c:pt>
                <c:pt idx="12">
                  <c:v>589.3271461716937</c:v>
                </c:pt>
                <c:pt idx="13">
                  <c:v>943.46978557504872</c:v>
                </c:pt>
                <c:pt idx="14">
                  <c:v>322.93404094010617</c:v>
                </c:pt>
                <c:pt idx="15">
                  <c:v>464.60674157303373</c:v>
                </c:pt>
                <c:pt idx="16">
                  <c:v>567.4616695059625</c:v>
                </c:pt>
                <c:pt idx="17">
                  <c:v>390.77809798270891</c:v>
                </c:pt>
                <c:pt idx="18">
                  <c:v>439.10891089108907</c:v>
                </c:pt>
              </c:numCache>
            </c:numRef>
          </c:yVal>
          <c:smooth val="0"/>
          <c:extLst>
            <c:ext xmlns:c16="http://schemas.microsoft.com/office/drawing/2014/chart" uri="{C3380CC4-5D6E-409C-BE32-E72D297353CC}">
              <c16:uniqueId val="{00000017-A45C-4FD0-9720-108774E44B9D}"/>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A45C-4FD0-9720-108774E44B9D}"/>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{18921455-451B-4C70-94AD-783A3BC2724F}</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A45C-4FD0-9720-108774E44B9D}"/>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{8D7C300C-43D6-4E22-97C9-259794AFE22F}</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A45C-4FD0-9720-108774E44B9D}"/>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{BE8B8B86-F891-4415-A3CF-720149B15A02}</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A45C-4FD0-9720-108774E44B9D}"/>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(Referrals!$AR$54,Referrals!$AR$57:$AR$58)</c:f>
              <c:numCache>
                <c:formatCode>0.0</c:formatCode>
                <c:ptCount val="3"/>
                <c:pt idx="0">
                  <c:v>13.600000000000001</c:v>
                </c:pt>
                <c:pt idx="1">
                  <c:v>14.899999999999999</c:v>
                </c:pt>
                <c:pt idx="2">
                  <c:v>21.9</c:v>
                </c:pt>
              </c:numCache>
            </c:numRef>
          </c:xVal>
          <c:yVal>
            <c:numRef>
              <c:f>(Referrals!$AQ$54,Referrals!$AQ$57:$AQ$58)</c:f>
              <c:numCache>
                <c:formatCode>0.0</c:formatCode>
                <c:ptCount val="3"/>
                <c:pt idx="0">
                  <c:v>325.44964028776974</c:v>
                </c:pt>
                <c:pt idx="1">
                  <c:v>600.39682539682542</c:v>
                </c:pt>
                <c:pt idx="2">
                  <c:v>730.078125</c:v>
                </c:pt>
              </c:numCache>
            </c:numRef>
          </c:yVal>
          <c:smooth val="0"/>
          <c:extLst>
            <c:ext xmlns:c16="http://schemas.microsoft.com/office/drawing/2014/chart" uri="{C3380CC4-5D6E-409C-BE32-E72D297353CC}">
              <c16:uniqueId val="{0000001B-A45C-4FD0-9720-108774E44B9D}"/>
            </c:ext>
          </c:extLst>
        </c:ser>
        <c:ser>
          <c:idx val="1"/>
          <c:order val="2"/>
          <c:tx>
            <c:strRef>
              <c:f>Referrals!$AA$4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Referrals!$AR$65</c:f>
              <c:numCache>
                <c:formatCode>0.0</c:formatCode>
                <c:ptCount val="1"/>
                <c:pt idx="0">
                  <c:v>#N/A</c:v>
                </c:pt>
              </c:numCache>
            </c:numRef>
          </c:xVal>
          <c:yVal>
            <c:numRef>
              <c:f>Referrals!$AQ$65</c:f>
              <c:numCache>
                <c:formatCode>0.0</c:formatCode>
                <c:ptCount val="1"/>
                <c:pt idx="0">
                  <c:v>#N/A</c:v>
                </c:pt>
              </c:numCache>
            </c:numRef>
          </c:yVal>
          <c:smooth val="0"/>
          <c:extLst>
            <c:ext xmlns:c16="http://schemas.microsoft.com/office/drawing/2014/chart" uri="{C3380CC4-5D6E-409C-BE32-E72D297353CC}">
              <c16:uniqueId val="{0000001C-A45C-4FD0-9720-108774E44B9D}"/>
            </c:ext>
          </c:extLst>
        </c:ser>
        <c:ser>
          <c:idx val="4"/>
          <c:order val="3"/>
          <c:tx>
            <c:strRef>
              <c:f>Referrals!$B$32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Referrals!$S$32</c:f>
              <c:numCache>
                <c:formatCode>0.0</c:formatCode>
                <c:ptCount val="1"/>
                <c:pt idx="0">
                  <c:v>12.371268250968637</c:v>
                </c:pt>
              </c:numCache>
            </c:numRef>
          </c:xVal>
          <c:yVal>
            <c:numRef>
              <c:f>Referrals!$O$32</c:f>
              <c:numCache>
                <c:formatCode>0.0</c:formatCode>
                <c:ptCount val="1"/>
                <c:pt idx="0">
                  <c:v>581.14970546414793</c:v>
                </c:pt>
              </c:numCache>
            </c:numRef>
          </c:yVal>
          <c:smooth val="0"/>
          <c:extLst>
            <c:ext xmlns:c16="http://schemas.microsoft.com/office/drawing/2014/chart" uri="{C3380CC4-5D6E-409C-BE32-E72D297353CC}">
              <c16:uniqueId val="{0000001D-A45C-4FD0-9720-108774E44B9D}"/>
            </c:ext>
          </c:extLst>
        </c:ser>
        <c:ser>
          <c:idx val="2"/>
          <c:order val="5"/>
          <c:tx>
            <c:strRef>
              <c:f>Referrals!$Y$43</c:f>
              <c:strCache>
                <c:ptCount val="1"/>
                <c:pt idx="0">
                  <c:v>National Trend 2020</c:v>
                </c:pt>
              </c:strCache>
            </c:strRef>
          </c:tx>
          <c:spPr>
            <a:ln w="12700">
              <a:solidFill>
                <a:schemeClr val="tx1">
                  <a:lumMod val="75000"/>
                  <a:lumOff val="25000"/>
                </a:schemeClr>
              </a:solidFill>
            </a:ln>
          </c:spPr>
          <c:marker>
            <c:symbol val="none"/>
          </c:marker>
          <c:dLbls>
            <c:dLbl>
              <c:idx val="1"/>
              <c:layout>
                <c:manualLayout>
                  <c:x val="-5.8479532163742583E-2"/>
                  <c:y val="5.1282039101189038E-2"/>
                </c:manualLayout>
              </c:layout>
              <c:tx>
                <c:strRef>
                  <c:f>Referrals!$AD$43</c:f>
                  <c:strCache>
                    <c:ptCount val="1"/>
                    <c:pt idx="0">
                      <c:v>r² = 0.257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{4C9FC195-CEA4-43E4-8665-661A461F3C19}</c15:txfldGUID>
                      <c15:f>Referrals!$AD$43</c15:f>
                      <c15:dlblFieldTableCache>
                        <c:ptCount val="1"/>
                        <c:pt idx="0">
                          <c:v>r² = 0.257</c:v>
                        </c:pt>
                      </c15:dlblFieldTableCache>
                    </c15:dlblFTEntry>
                  </c15:dlblFieldTable>
                  <c15:showDataLabelsRange val="0"/>
                </c:ext>
                <c:ext xmlns:c16="http://schemas.microsoft.com/office/drawing/2014/chart" uri="{C3380CC4-5D6E-409C-BE32-E72D297353CC}">
                  <c16:uniqueId val="{0000001E-A45C-4FD0-9720-108774E44B9D}"/>
                </c:ext>
              </c:extLst>
            </c:dLbl>
            <c:spPr>
              <a:noFill/>
              <a:ln>
                <a:noFill/>
              </a:ln>
              <a:effectLst/>
            </c:spPr>
            <c:txPr>
              <a:bodyPr/>
              <a:lstStyle/>
              <a:p>
                <a:pPr>
                  <a:defRPr sz="9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xVal>
            <c:numRef>
              <c:f>Referrals!$AB$43:$AB$44</c:f>
              <c:numCache>
                <c:formatCode>General</c:formatCode>
                <c:ptCount val="2"/>
                <c:pt idx="0" formatCode="#,##0.0">
                  <c:v>5</c:v>
                </c:pt>
                <c:pt idx="1">
                  <c:v>35</c:v>
                </c:pt>
              </c:numCache>
            </c:numRef>
          </c:xVal>
          <c:yVal>
            <c:numRef>
              <c:f>Referrals!$AC$43:$AC$44</c:f>
              <c:numCache>
                <c:formatCode>0.0</c:formatCode>
                <c:ptCount val="2"/>
                <c:pt idx="0">
                  <c:v>362.25089536629594</c:v>
                </c:pt>
                <c:pt idx="1">
                  <c:v>838.92070808917947</c:v>
                </c:pt>
              </c:numCache>
            </c:numRef>
          </c:yVal>
          <c:smooth val="0"/>
          <c:extLst>
            <c:ext xmlns:c16="http://schemas.microsoft.com/office/drawing/2014/chart" uri="{C3380CC4-5D6E-409C-BE32-E72D297353CC}">
              <c16:uniqueId val="{0000001F-A45C-4FD0-9720-108774E44B9D}"/>
            </c:ext>
          </c:extLst>
        </c:ser>
        <c:dLbls>
          <c:showLegendKey val="0"/>
          <c:showVal val="0"/>
          <c:showCatName val="0"/>
          <c:showSerName val="0"/>
          <c:showPercent val="0"/>
          <c:showBubbleSize val="0"/>
        </c:dLbls>
        <c:axId val="528842112"/>
        <c:axId val="528872960"/>
      </c:scatterChart>
      <c:valAx>
        <c:axId val="528842112"/>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872960"/>
        <c:crosses val="autoZero"/>
        <c:crossBetween val="midCat"/>
        <c:majorUnit val="5"/>
      </c:valAx>
      <c:valAx>
        <c:axId val="528872960"/>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Referrals per 10,000 0-17 year olds</a:t>
                </a:r>
              </a:p>
            </c:rich>
          </c:tx>
          <c:layout>
            <c:manualLayout>
              <c:xMode val="edge"/>
              <c:yMode val="edge"/>
              <c:x val="5.1878053704825358E-2"/>
              <c:y val="0.233449279750356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84211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DA8426"/>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Referral_Source!$D$41:$D$64</c:f>
              <c:numCache>
                <c:formatCode>0.0</c:formatCode>
                <c:ptCount val="24"/>
                <c:pt idx="0">
                  <c:v>6.650971159505592</c:v>
                </c:pt>
                <c:pt idx="1">
                  <c:v>2.9403528423410807</c:v>
                </c:pt>
                <c:pt idx="2">
                  <c:v>7.5896078903055084</c:v>
                </c:pt>
                <c:pt idx="3">
                  <c:v>9.3112550995920316</c:v>
                </c:pt>
                <c:pt idx="4">
                  <c:v>11.389713155291791</c:v>
                </c:pt>
                <c:pt idx="5">
                  <c:v>11.535580524344569</c:v>
                </c:pt>
                <c:pt idx="6">
                  <c:v>7.5350127522484227</c:v>
                </c:pt>
                <c:pt idx="7">
                  <c:v>9.0538336052202286</c:v>
                </c:pt>
                <c:pt idx="8">
                  <c:v>8.9967637540453076</c:v>
                </c:pt>
                <c:pt idx="9">
                  <c:v>7.2647294054918685</c:v>
                </c:pt>
                <c:pt idx="10">
                  <c:v>5.818318318318318</c:v>
                </c:pt>
                <c:pt idx="11">
                  <c:v>7.48829953198128</c:v>
                </c:pt>
                <c:pt idx="12">
                  <c:v>4.0944881889763778</c:v>
                </c:pt>
                <c:pt idx="13">
                  <c:v>8.6764299530256981</c:v>
                </c:pt>
                <c:pt idx="14">
                  <c:v>4.5661157024793386</c:v>
                </c:pt>
                <c:pt idx="15">
                  <c:v>7.1956802441601129</c:v>
                </c:pt>
                <c:pt idx="16">
                  <c:v>5.9484467944481167</c:v>
                </c:pt>
                <c:pt idx="17">
                  <c:v>7.4731182795698929</c:v>
                </c:pt>
                <c:pt idx="18">
                  <c:v>13.663845223700122</c:v>
                </c:pt>
                <c:pt idx="19">
                  <c:v>8.8061643150205153</c:v>
                </c:pt>
                <c:pt idx="20">
                  <c:v>7.1533923303834808</c:v>
                </c:pt>
                <c:pt idx="21">
                  <c:v>8.4090909090909083</c:v>
                </c:pt>
                <c:pt idx="22">
                  <c:v>8.2491082045184303</c:v>
                </c:pt>
                <c:pt idx="23">
                  <c:v>8.1324457992472556</c:v>
                </c:pt>
              </c:numCache>
            </c:numRef>
          </c:val>
          <c:extLst>
            <c:ext xmlns:c16="http://schemas.microsoft.com/office/drawing/2014/chart" uri="{C3380CC4-5D6E-409C-BE32-E72D297353CC}">
              <c16:uniqueId val="{00000000-F694-46B9-8E18-E248F6F091E1}"/>
            </c:ext>
          </c:extLst>
        </c:ser>
        <c:dLbls>
          <c:showLegendKey val="0"/>
          <c:showVal val="0"/>
          <c:showCatName val="0"/>
          <c:showSerName val="0"/>
          <c:showPercent val="0"/>
          <c:showBubbleSize val="0"/>
        </c:dLbls>
        <c:gapWidth val="40"/>
        <c:axId val="539607808"/>
        <c:axId val="539609344"/>
      </c:barChart>
      <c:catAx>
        <c:axId val="539607808"/>
        <c:scaling>
          <c:orientation val="maxMin"/>
        </c:scaling>
        <c:delete val="1"/>
        <c:axPos val="l"/>
        <c:numFmt formatCode="General" sourceLinked="0"/>
        <c:majorTickMark val="out"/>
        <c:minorTickMark val="none"/>
        <c:tickLblPos val="nextTo"/>
        <c:crossAx val="539609344"/>
        <c:crosses val="autoZero"/>
        <c:auto val="1"/>
        <c:lblAlgn val="ctr"/>
        <c:lblOffset val="100"/>
        <c:noMultiLvlLbl val="0"/>
      </c:catAx>
      <c:valAx>
        <c:axId val="539609344"/>
        <c:scaling>
          <c:orientation val="minMax"/>
        </c:scaling>
        <c:delete val="1"/>
        <c:axPos val="b"/>
        <c:majorGridlines/>
        <c:numFmt formatCode="0.0" sourceLinked="1"/>
        <c:majorTickMark val="out"/>
        <c:minorTickMark val="none"/>
        <c:tickLblPos val="nextTo"/>
        <c:crossAx val="539607808"/>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C8C300"/>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Referral_Source!$F$41:$F$64</c:f>
              <c:numCache>
                <c:formatCode>0.0</c:formatCode>
                <c:ptCount val="24"/>
                <c:pt idx="0">
                  <c:v>29.075927015891704</c:v>
                </c:pt>
                <c:pt idx="1">
                  <c:v>18.818258190982917</c:v>
                </c:pt>
                <c:pt idx="2">
                  <c:v>#N/A</c:v>
                </c:pt>
                <c:pt idx="3">
                  <c:v>16.798656107511398</c:v>
                </c:pt>
                <c:pt idx="4">
                  <c:v>24.762611275964392</c:v>
                </c:pt>
                <c:pt idx="5">
                  <c:v>26.891385767790261</c:v>
                </c:pt>
                <c:pt idx="6">
                  <c:v>19.589243366593582</c:v>
                </c:pt>
                <c:pt idx="7">
                  <c:v>24.123164763458401</c:v>
                </c:pt>
                <c:pt idx="8">
                  <c:v>21.715210355987054</c:v>
                </c:pt>
                <c:pt idx="9">
                  <c:v>22.034124233537725</c:v>
                </c:pt>
                <c:pt idx="10">
                  <c:v>22.222222222222221</c:v>
                </c:pt>
                <c:pt idx="11">
                  <c:v>20.787831513260535</c:v>
                </c:pt>
                <c:pt idx="12">
                  <c:v>24.960629921259841</c:v>
                </c:pt>
                <c:pt idx="13">
                  <c:v>13.567283780049737</c:v>
                </c:pt>
                <c:pt idx="14">
                  <c:v>19.669421487603309</c:v>
                </c:pt>
                <c:pt idx="15">
                  <c:v>19.19239347341237</c:v>
                </c:pt>
                <c:pt idx="16">
                  <c:v>18.175809649702579</c:v>
                </c:pt>
                <c:pt idx="17">
                  <c:v>#N/A</c:v>
                </c:pt>
                <c:pt idx="18">
                  <c:v>24.24425634824668</c:v>
                </c:pt>
                <c:pt idx="19">
                  <c:v>20.294205944160911</c:v>
                </c:pt>
                <c:pt idx="20">
                  <c:v>20.943952802359885</c:v>
                </c:pt>
                <c:pt idx="21">
                  <c:v>#N/A</c:v>
                </c:pt>
                <c:pt idx="22">
                  <c:v>21.431069455130448</c:v>
                </c:pt>
                <c:pt idx="23">
                  <c:v>20.317894802326666</c:v>
                </c:pt>
              </c:numCache>
            </c:numRef>
          </c:val>
          <c:extLst>
            <c:ext xmlns:c16="http://schemas.microsoft.com/office/drawing/2014/chart" uri="{C3380CC4-5D6E-409C-BE32-E72D297353CC}">
              <c16:uniqueId val="{00000000-1A13-420F-A22D-2B8FEBC9BE60}"/>
            </c:ext>
          </c:extLst>
        </c:ser>
        <c:dLbls>
          <c:showLegendKey val="0"/>
          <c:showVal val="0"/>
          <c:showCatName val="0"/>
          <c:showSerName val="0"/>
          <c:showPercent val="0"/>
          <c:showBubbleSize val="0"/>
        </c:dLbls>
        <c:gapWidth val="40"/>
        <c:axId val="539952640"/>
        <c:axId val="539954176"/>
      </c:barChart>
      <c:catAx>
        <c:axId val="539952640"/>
        <c:scaling>
          <c:orientation val="maxMin"/>
        </c:scaling>
        <c:delete val="1"/>
        <c:axPos val="l"/>
        <c:numFmt formatCode="General" sourceLinked="0"/>
        <c:majorTickMark val="out"/>
        <c:minorTickMark val="none"/>
        <c:tickLblPos val="nextTo"/>
        <c:crossAx val="539954176"/>
        <c:crosses val="autoZero"/>
        <c:auto val="1"/>
        <c:lblAlgn val="ctr"/>
        <c:lblOffset val="100"/>
        <c:noMultiLvlLbl val="0"/>
      </c:catAx>
      <c:valAx>
        <c:axId val="539954176"/>
        <c:scaling>
          <c:orientation val="minMax"/>
        </c:scaling>
        <c:delete val="1"/>
        <c:axPos val="b"/>
        <c:majorGridlines/>
        <c:numFmt formatCode="0.0" sourceLinked="1"/>
        <c:majorTickMark val="out"/>
        <c:minorTickMark val="none"/>
        <c:tickLblPos val="nextTo"/>
        <c:crossAx val="539952640"/>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62A73B"/>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Referral_Source!$H$41:$H$64</c:f>
              <c:numCache>
                <c:formatCode>0.0</c:formatCode>
                <c:ptCount val="24"/>
                <c:pt idx="0">
                  <c:v>10.417892878163626</c:v>
                </c:pt>
                <c:pt idx="1">
                  <c:v>12.629515541865025</c:v>
                </c:pt>
                <c:pt idx="2">
                  <c:v>15.479913399085879</c:v>
                </c:pt>
                <c:pt idx="3">
                  <c:v>11.159107271418286</c:v>
                </c:pt>
                <c:pt idx="4">
                  <c:v>18.081107814045499</c:v>
                </c:pt>
                <c:pt idx="5">
                  <c:v>13.745318352059927</c:v>
                </c:pt>
                <c:pt idx="6">
                  <c:v>13.21759362835026</c:v>
                </c:pt>
                <c:pt idx="7">
                  <c:v>9.2577487765089721</c:v>
                </c:pt>
                <c:pt idx="8">
                  <c:v>15.275080906148867</c:v>
                </c:pt>
                <c:pt idx="9">
                  <c:v>13.129832044788056</c:v>
                </c:pt>
                <c:pt idx="10">
                  <c:v>14.114114114114114</c:v>
                </c:pt>
                <c:pt idx="11">
                  <c:v>14.508580343213728</c:v>
                </c:pt>
                <c:pt idx="12">
                  <c:v>13.543307086614172</c:v>
                </c:pt>
                <c:pt idx="13">
                  <c:v>14.368610113290964</c:v>
                </c:pt>
                <c:pt idx="14">
                  <c:v>15.723140495867769</c:v>
                </c:pt>
                <c:pt idx="15">
                  <c:v>15.776499589153655</c:v>
                </c:pt>
                <c:pt idx="16">
                  <c:v>14.937210839391938</c:v>
                </c:pt>
                <c:pt idx="17">
                  <c:v>10.698924731182796</c:v>
                </c:pt>
                <c:pt idx="18">
                  <c:v>11.910519951632406</c:v>
                </c:pt>
                <c:pt idx="19">
                  <c:v>13.169218452917042</c:v>
                </c:pt>
                <c:pt idx="20">
                  <c:v>12.094395280235988</c:v>
                </c:pt>
                <c:pt idx="21">
                  <c:v>12.556818181818183</c:v>
                </c:pt>
                <c:pt idx="22">
                  <c:v>14.306323004826188</c:v>
                </c:pt>
                <c:pt idx="23">
                  <c:v>14.977137702572396</c:v>
                </c:pt>
              </c:numCache>
            </c:numRef>
          </c:val>
          <c:extLst>
            <c:ext xmlns:c16="http://schemas.microsoft.com/office/drawing/2014/chart" uri="{C3380CC4-5D6E-409C-BE32-E72D297353CC}">
              <c16:uniqueId val="{00000000-3ED6-4434-AF4B-863065C1D6DE}"/>
            </c:ext>
          </c:extLst>
        </c:ser>
        <c:dLbls>
          <c:showLegendKey val="0"/>
          <c:showVal val="0"/>
          <c:showCatName val="0"/>
          <c:showSerName val="0"/>
          <c:showPercent val="0"/>
          <c:showBubbleSize val="0"/>
        </c:dLbls>
        <c:gapWidth val="40"/>
        <c:axId val="539986176"/>
        <c:axId val="539987968"/>
      </c:barChart>
      <c:catAx>
        <c:axId val="539986176"/>
        <c:scaling>
          <c:orientation val="maxMin"/>
        </c:scaling>
        <c:delete val="1"/>
        <c:axPos val="l"/>
        <c:numFmt formatCode="General" sourceLinked="0"/>
        <c:majorTickMark val="out"/>
        <c:minorTickMark val="none"/>
        <c:tickLblPos val="nextTo"/>
        <c:crossAx val="539987968"/>
        <c:crosses val="autoZero"/>
        <c:auto val="1"/>
        <c:lblAlgn val="ctr"/>
        <c:lblOffset val="100"/>
        <c:noMultiLvlLbl val="0"/>
      </c:catAx>
      <c:valAx>
        <c:axId val="539987968"/>
        <c:scaling>
          <c:orientation val="minMax"/>
        </c:scaling>
        <c:delete val="1"/>
        <c:axPos val="b"/>
        <c:majorGridlines/>
        <c:numFmt formatCode="0.0" sourceLinked="1"/>
        <c:majorTickMark val="out"/>
        <c:minorTickMark val="none"/>
        <c:tickLblPos val="nextTo"/>
        <c:crossAx val="539986176"/>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E090A9"/>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Referral_Source!$J$41:$J$64</c:f>
              <c:numCache>
                <c:formatCode>0.0</c:formatCode>
                <c:ptCount val="24"/>
                <c:pt idx="0">
                  <c:v>1.0594467333725721</c:v>
                </c:pt>
                <c:pt idx="1">
                  <c:v>1.792215065807897</c:v>
                </c:pt>
                <c:pt idx="2">
                  <c:v>1.491460187635314</c:v>
                </c:pt>
                <c:pt idx="3">
                  <c:v>1.3678905687544995</c:v>
                </c:pt>
                <c:pt idx="4">
                  <c:v>1.2265084075173096</c:v>
                </c:pt>
                <c:pt idx="5">
                  <c:v>1.5355805243445693</c:v>
                </c:pt>
                <c:pt idx="6">
                  <c:v>2.0090384357241935</c:v>
                </c:pt>
                <c:pt idx="7">
                  <c:v>1.5293637846655792</c:v>
                </c:pt>
                <c:pt idx="8">
                  <c:v>1.1326860841423949</c:v>
                </c:pt>
                <c:pt idx="9">
                  <c:v>0.46654225539856037</c:v>
                </c:pt>
                <c:pt idx="10">
                  <c:v>2.3648648648648649</c:v>
                </c:pt>
                <c:pt idx="11">
                  <c:v>2.4960998439937598</c:v>
                </c:pt>
                <c:pt idx="12">
                  <c:v>0</c:v>
                </c:pt>
                <c:pt idx="13">
                  <c:v>0.41447913788339324</c:v>
                </c:pt>
                <c:pt idx="14">
                  <c:v>0.57851239669421484</c:v>
                </c:pt>
                <c:pt idx="15">
                  <c:v>1.1855851625777674</c:v>
                </c:pt>
                <c:pt idx="16">
                  <c:v>1.0905485789821545</c:v>
                </c:pt>
                <c:pt idx="17">
                  <c:v>#N/A</c:v>
                </c:pt>
                <c:pt idx="18">
                  <c:v>1.3301088270858523</c:v>
                </c:pt>
                <c:pt idx="19">
                  <c:v>2.0614430101070749</c:v>
                </c:pt>
                <c:pt idx="20">
                  <c:v>1.1061946902654867</c:v>
                </c:pt>
                <c:pt idx="21">
                  <c:v>0.625</c:v>
                </c:pt>
                <c:pt idx="22">
                  <c:v>1.4478561936070504</c:v>
                </c:pt>
                <c:pt idx="23">
                  <c:v>1.2908644125789295</c:v>
                </c:pt>
              </c:numCache>
            </c:numRef>
          </c:val>
          <c:extLst>
            <c:ext xmlns:c16="http://schemas.microsoft.com/office/drawing/2014/chart" uri="{C3380CC4-5D6E-409C-BE32-E72D297353CC}">
              <c16:uniqueId val="{00000000-C5D3-455C-AAE2-9E91CD26EC09}"/>
            </c:ext>
          </c:extLst>
        </c:ser>
        <c:dLbls>
          <c:showLegendKey val="0"/>
          <c:showVal val="0"/>
          <c:showCatName val="0"/>
          <c:showSerName val="0"/>
          <c:showPercent val="0"/>
          <c:showBubbleSize val="0"/>
        </c:dLbls>
        <c:gapWidth val="40"/>
        <c:axId val="539999232"/>
        <c:axId val="540021504"/>
      </c:barChart>
      <c:catAx>
        <c:axId val="539999232"/>
        <c:scaling>
          <c:orientation val="maxMin"/>
        </c:scaling>
        <c:delete val="1"/>
        <c:axPos val="l"/>
        <c:numFmt formatCode="General" sourceLinked="0"/>
        <c:majorTickMark val="out"/>
        <c:minorTickMark val="none"/>
        <c:tickLblPos val="nextTo"/>
        <c:crossAx val="540021504"/>
        <c:crosses val="autoZero"/>
        <c:auto val="1"/>
        <c:lblAlgn val="ctr"/>
        <c:lblOffset val="100"/>
        <c:noMultiLvlLbl val="0"/>
      </c:catAx>
      <c:valAx>
        <c:axId val="540021504"/>
        <c:scaling>
          <c:orientation val="minMax"/>
        </c:scaling>
        <c:delete val="1"/>
        <c:axPos val="b"/>
        <c:majorGridlines/>
        <c:numFmt formatCode="0.0" sourceLinked="1"/>
        <c:majorTickMark val="out"/>
        <c:minorTickMark val="none"/>
        <c:tickLblPos val="nextTo"/>
        <c:crossAx val="539999232"/>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8F77AD"/>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Referral_Source!$L$41:$L$64</c:f>
              <c:numCache>
                <c:formatCode>0.0</c:formatCode>
                <c:ptCount val="24"/>
                <c:pt idx="0">
                  <c:v>22.189523248969984</c:v>
                </c:pt>
                <c:pt idx="1">
                  <c:v>13.917670120414449</c:v>
                </c:pt>
                <c:pt idx="2">
                  <c:v>11.655039692085639</c:v>
                </c:pt>
                <c:pt idx="3">
                  <c:v>19.462443004559635</c:v>
                </c:pt>
                <c:pt idx="4">
                  <c:v>7.9129574678536096</c:v>
                </c:pt>
                <c:pt idx="5">
                  <c:v>9.4756554307116101</c:v>
                </c:pt>
                <c:pt idx="6">
                  <c:v>12.107924291914628</c:v>
                </c:pt>
                <c:pt idx="7">
                  <c:v>12.663132137030994</c:v>
                </c:pt>
                <c:pt idx="8">
                  <c:v>12.686084142394821</c:v>
                </c:pt>
                <c:pt idx="9">
                  <c:v>18.515062649960008</c:v>
                </c:pt>
                <c:pt idx="10">
                  <c:v>16.92942942942943</c:v>
                </c:pt>
                <c:pt idx="11">
                  <c:v>10.257410296411857</c:v>
                </c:pt>
                <c:pt idx="12">
                  <c:v>15.393700787401574</c:v>
                </c:pt>
                <c:pt idx="13">
                  <c:v>14.865985078751038</c:v>
                </c:pt>
                <c:pt idx="14">
                  <c:v>20.24793388429752</c:v>
                </c:pt>
                <c:pt idx="15">
                  <c:v>12.513205775325742</c:v>
                </c:pt>
                <c:pt idx="16">
                  <c:v>8.9226701916721751</c:v>
                </c:pt>
                <c:pt idx="17">
                  <c:v>23.387096774193548</c:v>
                </c:pt>
                <c:pt idx="18">
                  <c:v>16.807738814993954</c:v>
                </c:pt>
                <c:pt idx="19">
                  <c:v>17.562293605523866</c:v>
                </c:pt>
                <c:pt idx="20">
                  <c:v>11.725663716814159</c:v>
                </c:pt>
                <c:pt idx="21">
                  <c:v>13.693181818181818</c:v>
                </c:pt>
                <c:pt idx="22">
                  <c:v>13.2886269846821</c:v>
                </c:pt>
                <c:pt idx="23">
                  <c:v>14.123300880276213</c:v>
                </c:pt>
              </c:numCache>
            </c:numRef>
          </c:val>
          <c:extLst>
            <c:ext xmlns:c16="http://schemas.microsoft.com/office/drawing/2014/chart" uri="{C3380CC4-5D6E-409C-BE32-E72D297353CC}">
              <c16:uniqueId val="{00000000-B17A-4924-923F-B75E4FA774F7}"/>
            </c:ext>
          </c:extLst>
        </c:ser>
        <c:dLbls>
          <c:showLegendKey val="0"/>
          <c:showVal val="0"/>
          <c:showCatName val="0"/>
          <c:showSerName val="0"/>
          <c:showPercent val="0"/>
          <c:showBubbleSize val="0"/>
        </c:dLbls>
        <c:gapWidth val="40"/>
        <c:axId val="540045312"/>
        <c:axId val="540046848"/>
      </c:barChart>
      <c:catAx>
        <c:axId val="540045312"/>
        <c:scaling>
          <c:orientation val="maxMin"/>
        </c:scaling>
        <c:delete val="1"/>
        <c:axPos val="l"/>
        <c:numFmt formatCode="General" sourceLinked="0"/>
        <c:majorTickMark val="out"/>
        <c:minorTickMark val="none"/>
        <c:tickLblPos val="nextTo"/>
        <c:crossAx val="540046848"/>
        <c:crosses val="autoZero"/>
        <c:auto val="1"/>
        <c:lblAlgn val="ctr"/>
        <c:lblOffset val="100"/>
        <c:noMultiLvlLbl val="0"/>
      </c:catAx>
      <c:valAx>
        <c:axId val="540046848"/>
        <c:scaling>
          <c:orientation val="minMax"/>
        </c:scaling>
        <c:delete val="1"/>
        <c:axPos val="b"/>
        <c:majorGridlines/>
        <c:numFmt formatCode="0.0" sourceLinked="1"/>
        <c:majorTickMark val="out"/>
        <c:minorTickMark val="none"/>
        <c:tickLblPos val="nextTo"/>
        <c:crossAx val="540045312"/>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009BD2"/>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Referral_Source!$N$41:$N$64</c:f>
              <c:numCache>
                <c:formatCode>0.0</c:formatCode>
                <c:ptCount val="24"/>
                <c:pt idx="0">
                  <c:v>22.778104767510303</c:v>
                </c:pt>
                <c:pt idx="1">
                  <c:v>28.591430971716608</c:v>
                </c:pt>
                <c:pt idx="2">
                  <c:v>35.001202790473904</c:v>
                </c:pt>
                <c:pt idx="3">
                  <c:v>26.661867050635951</c:v>
                </c:pt>
                <c:pt idx="4">
                  <c:v>22.675568743818005</c:v>
                </c:pt>
                <c:pt idx="5">
                  <c:v>19.438202247191011</c:v>
                </c:pt>
                <c:pt idx="6">
                  <c:v>33.24533536176115</c:v>
                </c:pt>
                <c:pt idx="7">
                  <c:v>34.665579119086459</c:v>
                </c:pt>
                <c:pt idx="8">
                  <c:v>30.776699029126213</c:v>
                </c:pt>
                <c:pt idx="9">
                  <c:v>29.845374566782191</c:v>
                </c:pt>
                <c:pt idx="10">
                  <c:v>27.214714714714717</c:v>
                </c:pt>
                <c:pt idx="11">
                  <c:v>36.271450858034321</c:v>
                </c:pt>
                <c:pt idx="12">
                  <c:v>32.480314960629919</c:v>
                </c:pt>
                <c:pt idx="13">
                  <c:v>32.053053329649074</c:v>
                </c:pt>
                <c:pt idx="14">
                  <c:v>28.285123966942148</c:v>
                </c:pt>
                <c:pt idx="15">
                  <c:v>33.384200023476936</c:v>
                </c:pt>
                <c:pt idx="16">
                  <c:v>37.739590218109711</c:v>
                </c:pt>
                <c:pt idx="17">
                  <c:v>27.956989247311824</c:v>
                </c:pt>
                <c:pt idx="18">
                  <c:v>24.365175332527205</c:v>
                </c:pt>
                <c:pt idx="19">
                  <c:v>27.979585709996996</c:v>
                </c:pt>
                <c:pt idx="20">
                  <c:v>37.315634218289084</c:v>
                </c:pt>
                <c:pt idx="21">
                  <c:v>36.420454545454547</c:v>
                </c:pt>
                <c:pt idx="22">
                  <c:v>29.63209064838777</c:v>
                </c:pt>
                <c:pt idx="23">
                  <c:v>28.734952875672647</c:v>
                </c:pt>
              </c:numCache>
            </c:numRef>
          </c:val>
          <c:extLst>
            <c:ext xmlns:c16="http://schemas.microsoft.com/office/drawing/2014/chart" uri="{C3380CC4-5D6E-409C-BE32-E72D297353CC}">
              <c16:uniqueId val="{00000000-1DE2-4CAD-BEE9-04530F0C36F6}"/>
            </c:ext>
          </c:extLst>
        </c:ser>
        <c:dLbls>
          <c:showLegendKey val="0"/>
          <c:showVal val="0"/>
          <c:showCatName val="0"/>
          <c:showSerName val="0"/>
          <c:showPercent val="0"/>
          <c:showBubbleSize val="0"/>
        </c:dLbls>
        <c:gapWidth val="40"/>
        <c:axId val="540058368"/>
        <c:axId val="540059904"/>
      </c:barChart>
      <c:catAx>
        <c:axId val="540058368"/>
        <c:scaling>
          <c:orientation val="maxMin"/>
        </c:scaling>
        <c:delete val="1"/>
        <c:axPos val="l"/>
        <c:numFmt formatCode="General" sourceLinked="0"/>
        <c:majorTickMark val="out"/>
        <c:minorTickMark val="none"/>
        <c:tickLblPos val="nextTo"/>
        <c:crossAx val="540059904"/>
        <c:crosses val="autoZero"/>
        <c:auto val="1"/>
        <c:lblAlgn val="ctr"/>
        <c:lblOffset val="100"/>
        <c:noMultiLvlLbl val="0"/>
      </c:catAx>
      <c:valAx>
        <c:axId val="540059904"/>
        <c:scaling>
          <c:orientation val="minMax"/>
        </c:scaling>
        <c:delete val="1"/>
        <c:axPos val="b"/>
        <c:majorGridlines/>
        <c:numFmt formatCode="0.0" sourceLinked="1"/>
        <c:majorTickMark val="out"/>
        <c:minorTickMark val="none"/>
        <c:tickLblPos val="nextTo"/>
        <c:crossAx val="540058368"/>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4D7FBB"/>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Referral_Source!$P$41:$P$64</c:f>
              <c:numCache>
                <c:formatCode>0.0</c:formatCode>
                <c:ptCount val="24"/>
                <c:pt idx="0">
                  <c:v>2.4720423778693346</c:v>
                </c:pt>
                <c:pt idx="1">
                  <c:v>2.6323158779053486</c:v>
                </c:pt>
                <c:pt idx="2">
                  <c:v>2.6701948520567718</c:v>
                </c:pt>
                <c:pt idx="3">
                  <c:v>4.6556275497960158</c:v>
                </c:pt>
                <c:pt idx="4">
                  <c:v>3.4421364985163203</c:v>
                </c:pt>
                <c:pt idx="5">
                  <c:v>2.6217228464419478</c:v>
                </c:pt>
                <c:pt idx="6">
                  <c:v>5.4946530046087076</c:v>
                </c:pt>
                <c:pt idx="7">
                  <c:v>2.6508972267536701</c:v>
                </c:pt>
                <c:pt idx="8">
                  <c:v>3.5922330097087376</c:v>
                </c:pt>
                <c:pt idx="9">
                  <c:v>2.7859237536656889</c:v>
                </c:pt>
                <c:pt idx="10">
                  <c:v>4.6546546546546548</c:v>
                </c:pt>
                <c:pt idx="11">
                  <c:v>2.1450858034321372</c:v>
                </c:pt>
                <c:pt idx="12">
                  <c:v>3.582677165354331</c:v>
                </c:pt>
                <c:pt idx="13">
                  <c:v>5.5540204476374688</c:v>
                </c:pt>
                <c:pt idx="14">
                  <c:v>1.115702479338843</c:v>
                </c:pt>
                <c:pt idx="15">
                  <c:v>3.5215400868646549</c:v>
                </c:pt>
                <c:pt idx="16">
                  <c:v>4.7257105089226705</c:v>
                </c:pt>
                <c:pt idx="17">
                  <c:v>1.5591397849462365</c:v>
                </c:pt>
                <c:pt idx="18">
                  <c:v>1.9951632406287789</c:v>
                </c:pt>
                <c:pt idx="19">
                  <c:v>3.4223956769738813</c:v>
                </c:pt>
                <c:pt idx="20">
                  <c:v>1.3274336283185841</c:v>
                </c:pt>
                <c:pt idx="21">
                  <c:v>2.5</c:v>
                </c:pt>
                <c:pt idx="22">
                  <c:v>3.5470728124781421</c:v>
                </c:pt>
                <c:pt idx="23">
                  <c:v>3.9161404709322216</c:v>
                </c:pt>
              </c:numCache>
            </c:numRef>
          </c:val>
          <c:extLst>
            <c:ext xmlns:c16="http://schemas.microsoft.com/office/drawing/2014/chart" uri="{C3380CC4-5D6E-409C-BE32-E72D297353CC}">
              <c16:uniqueId val="{00000000-18A9-48A2-86B5-8983692DC4B9}"/>
            </c:ext>
          </c:extLst>
        </c:ser>
        <c:dLbls>
          <c:showLegendKey val="0"/>
          <c:showVal val="0"/>
          <c:showCatName val="0"/>
          <c:showSerName val="0"/>
          <c:showPercent val="0"/>
          <c:showBubbleSize val="0"/>
        </c:dLbls>
        <c:gapWidth val="40"/>
        <c:axId val="540104192"/>
        <c:axId val="540105728"/>
      </c:barChart>
      <c:catAx>
        <c:axId val="540104192"/>
        <c:scaling>
          <c:orientation val="maxMin"/>
        </c:scaling>
        <c:delete val="1"/>
        <c:axPos val="l"/>
        <c:numFmt formatCode="General" sourceLinked="0"/>
        <c:majorTickMark val="out"/>
        <c:minorTickMark val="none"/>
        <c:tickLblPos val="nextTo"/>
        <c:crossAx val="540105728"/>
        <c:crosses val="autoZero"/>
        <c:auto val="1"/>
        <c:lblAlgn val="ctr"/>
        <c:lblOffset val="100"/>
        <c:noMultiLvlLbl val="0"/>
      </c:catAx>
      <c:valAx>
        <c:axId val="540105728"/>
        <c:scaling>
          <c:orientation val="minMax"/>
        </c:scaling>
        <c:delete val="1"/>
        <c:axPos val="b"/>
        <c:majorGridlines/>
        <c:numFmt formatCode="0.0" sourceLinked="1"/>
        <c:majorTickMark val="out"/>
        <c:minorTickMark val="none"/>
        <c:tickLblPos val="nextTo"/>
        <c:crossAx val="540104192"/>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214F87"/>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Referral_Source!$R$41:$R$64</c:f>
              <c:numCache>
                <c:formatCode>0.0</c:formatCode>
                <c:ptCount val="24"/>
                <c:pt idx="0">
                  <c:v>4.002354326074161</c:v>
                </c:pt>
                <c:pt idx="1">
                  <c:v>3.2763931671800619</c:v>
                </c:pt>
                <c:pt idx="2">
                  <c:v>4.7991339908587918</c:v>
                </c:pt>
                <c:pt idx="3">
                  <c:v>6.5754739620830343</c:v>
                </c:pt>
                <c:pt idx="4">
                  <c:v>6.2413452027695353</c:v>
                </c:pt>
                <c:pt idx="5">
                  <c:v>12.95880149812734</c:v>
                </c:pt>
                <c:pt idx="6">
                  <c:v>3.1902993422524499</c:v>
                </c:pt>
                <c:pt idx="7">
                  <c:v>4.0579119086460027</c:v>
                </c:pt>
                <c:pt idx="8">
                  <c:v>3.6569579288025893</c:v>
                </c:pt>
                <c:pt idx="9">
                  <c:v>4.3055185283924287</c:v>
                </c:pt>
                <c:pt idx="10">
                  <c:v>5.1426426426426426</c:v>
                </c:pt>
                <c:pt idx="11">
                  <c:v>4.9921996879875197</c:v>
                </c:pt>
                <c:pt idx="12">
                  <c:v>4.2125984251968509</c:v>
                </c:pt>
                <c:pt idx="13">
                  <c:v>6.2448190107764576</c:v>
                </c:pt>
                <c:pt idx="14">
                  <c:v>6.1983471074380168</c:v>
                </c:pt>
                <c:pt idx="15">
                  <c:v>4.484094377274328</c:v>
                </c:pt>
                <c:pt idx="16">
                  <c:v>3.2716457369464638</c:v>
                </c:pt>
                <c:pt idx="17">
                  <c:v>8.172043010752688</c:v>
                </c:pt>
                <c:pt idx="18">
                  <c:v>3.2043530834340994</c:v>
                </c:pt>
                <c:pt idx="19">
                  <c:v>6.2343640548383874</c:v>
                </c:pt>
                <c:pt idx="20">
                  <c:v>5.2359882005899712</c:v>
                </c:pt>
                <c:pt idx="21">
                  <c:v>3.9772727272727271</c:v>
                </c:pt>
                <c:pt idx="22">
                  <c:v>4.9704483458068127</c:v>
                </c:pt>
                <c:pt idx="23">
                  <c:v>4.9192820927556067</c:v>
                </c:pt>
              </c:numCache>
            </c:numRef>
          </c:val>
          <c:extLst>
            <c:ext xmlns:c16="http://schemas.microsoft.com/office/drawing/2014/chart" uri="{C3380CC4-5D6E-409C-BE32-E72D297353CC}">
              <c16:uniqueId val="{00000000-E3A3-4845-A4AC-02202D7092CA}"/>
            </c:ext>
          </c:extLst>
        </c:ser>
        <c:dLbls>
          <c:showLegendKey val="0"/>
          <c:showVal val="0"/>
          <c:showCatName val="0"/>
          <c:showSerName val="0"/>
          <c:showPercent val="0"/>
          <c:showBubbleSize val="0"/>
        </c:dLbls>
        <c:gapWidth val="40"/>
        <c:axId val="540117248"/>
        <c:axId val="540139520"/>
      </c:barChart>
      <c:catAx>
        <c:axId val="540117248"/>
        <c:scaling>
          <c:orientation val="maxMin"/>
        </c:scaling>
        <c:delete val="1"/>
        <c:axPos val="l"/>
        <c:numFmt formatCode="General" sourceLinked="0"/>
        <c:majorTickMark val="out"/>
        <c:minorTickMark val="none"/>
        <c:tickLblPos val="nextTo"/>
        <c:crossAx val="540139520"/>
        <c:crosses val="autoZero"/>
        <c:auto val="1"/>
        <c:lblAlgn val="ctr"/>
        <c:lblOffset val="100"/>
        <c:noMultiLvlLbl val="0"/>
      </c:catAx>
      <c:valAx>
        <c:axId val="540139520"/>
        <c:scaling>
          <c:orientation val="minMax"/>
        </c:scaling>
        <c:delete val="1"/>
        <c:axPos val="b"/>
        <c:majorGridlines/>
        <c:numFmt formatCode="0.0" sourceLinked="1"/>
        <c:majorTickMark val="out"/>
        <c:minorTickMark val="none"/>
        <c:tickLblPos val="nextTo"/>
        <c:crossAx val="540117248"/>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3C8AA6"/>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Referral_Source!$T$41:$T$64</c:f>
              <c:numCache>
                <c:formatCode>0.0</c:formatCode>
                <c:ptCount val="24"/>
                <c:pt idx="0">
                  <c:v>1.353737492642731</c:v>
                </c:pt>
                <c:pt idx="1">
                  <c:v>1.3161579389526743</c:v>
                </c:pt>
                <c:pt idx="2">
                  <c:v>1.8522973298051482</c:v>
                </c:pt>
                <c:pt idx="3">
                  <c:v>2.2798176145908329</c:v>
                </c:pt>
                <c:pt idx="4">
                  <c:v>2.6261127596439167</c:v>
                </c:pt>
                <c:pt idx="5">
                  <c:v>0</c:v>
                </c:pt>
                <c:pt idx="6">
                  <c:v>1.4094590361984878</c:v>
                </c:pt>
                <c:pt idx="7">
                  <c:v>1.7740619902120718</c:v>
                </c:pt>
                <c:pt idx="8">
                  <c:v>1.9093851132686084</c:v>
                </c:pt>
                <c:pt idx="9">
                  <c:v>1.1996800853105838</c:v>
                </c:pt>
                <c:pt idx="10">
                  <c:v>1.3138138138138138</c:v>
                </c:pt>
                <c:pt idx="11">
                  <c:v>0.7410296411856474</c:v>
                </c:pt>
                <c:pt idx="12">
                  <c:v>1.7322834645669292</c:v>
                </c:pt>
                <c:pt idx="13">
                  <c:v>3.757944183476098</c:v>
                </c:pt>
                <c:pt idx="14">
                  <c:v>3.3677685950413228</c:v>
                </c:pt>
                <c:pt idx="15">
                  <c:v>2.7468012677544311</c:v>
                </c:pt>
                <c:pt idx="16">
                  <c:v>2.5115664243225382</c:v>
                </c:pt>
                <c:pt idx="17">
                  <c:v>3.6021505376344085</c:v>
                </c:pt>
                <c:pt idx="18">
                  <c:v>1.9951632406287789</c:v>
                </c:pt>
                <c:pt idx="19">
                  <c:v>0</c:v>
                </c:pt>
                <c:pt idx="20">
                  <c:v>3.0973451327433628</c:v>
                </c:pt>
                <c:pt idx="21">
                  <c:v>1.4204545454545454</c:v>
                </c:pt>
                <c:pt idx="22">
                  <c:v>1.7451213541302371</c:v>
                </c:pt>
                <c:pt idx="23">
                  <c:v>2.1415907182182963</c:v>
                </c:pt>
              </c:numCache>
            </c:numRef>
          </c:val>
          <c:extLst>
            <c:ext xmlns:c16="http://schemas.microsoft.com/office/drawing/2014/chart" uri="{C3380CC4-5D6E-409C-BE32-E72D297353CC}">
              <c16:uniqueId val="{00000000-EE4C-448A-A219-CA0805209810}"/>
            </c:ext>
          </c:extLst>
        </c:ser>
        <c:dLbls>
          <c:showLegendKey val="0"/>
          <c:showVal val="0"/>
          <c:showCatName val="0"/>
          <c:showSerName val="0"/>
          <c:showPercent val="0"/>
          <c:showBubbleSize val="0"/>
        </c:dLbls>
        <c:gapWidth val="40"/>
        <c:axId val="540150784"/>
        <c:axId val="540156672"/>
      </c:barChart>
      <c:catAx>
        <c:axId val="540150784"/>
        <c:scaling>
          <c:orientation val="maxMin"/>
        </c:scaling>
        <c:delete val="1"/>
        <c:axPos val="l"/>
        <c:numFmt formatCode="General" sourceLinked="0"/>
        <c:majorTickMark val="out"/>
        <c:minorTickMark val="none"/>
        <c:tickLblPos val="nextTo"/>
        <c:crossAx val="540156672"/>
        <c:crosses val="autoZero"/>
        <c:auto val="1"/>
        <c:lblAlgn val="ctr"/>
        <c:lblOffset val="100"/>
        <c:noMultiLvlLbl val="0"/>
      </c:catAx>
      <c:valAx>
        <c:axId val="540156672"/>
        <c:scaling>
          <c:orientation val="minMax"/>
        </c:scaling>
        <c:delete val="1"/>
        <c:axPos val="b"/>
        <c:majorGridlines/>
        <c:numFmt formatCode="0.0" sourceLinked="1"/>
        <c:majorTickMark val="out"/>
        <c:minorTickMark val="none"/>
        <c:tickLblPos val="nextTo"/>
        <c:crossAx val="540150784"/>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Contacts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8225721784776896"/>
        </c:manualLayout>
      </c:layout>
      <c:barChart>
        <c:barDir val="col"/>
        <c:grouping val="clustered"/>
        <c:varyColors val="0"/>
        <c:ser>
          <c:idx val="6"/>
          <c:order val="0"/>
          <c:tx>
            <c:strRef>
              <c:f>Contacts!$Z$4</c:f>
              <c:strCache>
                <c:ptCount val="1"/>
                <c:pt idx="0">
                  <c:v>Selected LA- (none)</c:v>
                </c:pt>
              </c:strCache>
            </c:strRef>
          </c:tx>
          <c:spPr>
            <a:solidFill>
              <a:srgbClr val="66FF99"/>
            </a:solidFill>
            <a:ln>
              <a:solidFill>
                <a:schemeClr val="tx1">
                  <a:lumMod val="75000"/>
                  <a:lumOff val="25000"/>
                </a:schemeClr>
              </a:solidFill>
            </a:ln>
          </c:spPr>
          <c:invertIfNegative val="0"/>
          <c:cat>
            <c:strRef>
              <c:f>Contacts!$X$2:$AB$3</c:f>
              <c:strCache>
                <c:ptCount val="5"/>
                <c:pt idx="0">
                  <c:v>2015-16</c:v>
                </c:pt>
                <c:pt idx="1">
                  <c:v>2016-17</c:v>
                </c:pt>
                <c:pt idx="2">
                  <c:v>2017-18</c:v>
                </c:pt>
                <c:pt idx="3">
                  <c:v>2018-19</c:v>
                </c:pt>
                <c:pt idx="4">
                  <c:v>2019-20</c:v>
                </c:pt>
              </c:strCache>
            </c:strRef>
          </c:cat>
          <c:val>
            <c:numRef>
              <c:f>Contacts!$AL$64:$AP$64</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D8C6-4608-991A-A44ADC53474C}"/>
            </c:ext>
          </c:extLst>
        </c:ser>
        <c:ser>
          <c:idx val="4"/>
          <c:order val="1"/>
          <c:tx>
            <c:strRef>
              <c:f>Contacts!$B$32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Contacts!$X$2:$AB$3</c:f>
              <c:strCache>
                <c:ptCount val="5"/>
                <c:pt idx="0">
                  <c:v>2015-16</c:v>
                </c:pt>
                <c:pt idx="1">
                  <c:v>2016-17</c:v>
                </c:pt>
                <c:pt idx="2">
                  <c:v>2017-18</c:v>
                </c:pt>
                <c:pt idx="3">
                  <c:v>2018-19</c:v>
                </c:pt>
                <c:pt idx="4">
                  <c:v>2019-20</c:v>
                </c:pt>
              </c:strCache>
            </c:strRef>
          </c:cat>
          <c:val>
            <c:numRef>
              <c:f>Contacts!$L$32:$P$32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D8C6-4608-991A-A44ADC53474C}"/>
            </c:ext>
          </c:extLst>
        </c:ser>
        <c:dLbls>
          <c:showLegendKey val="0"/>
          <c:showVal val="0"/>
          <c:showCatName val="0"/>
          <c:showSerName val="0"/>
          <c:showPercent val="0"/>
          <c:showBubbleSize val="0"/>
        </c:dLbls>
        <c:gapWidth val="100"/>
        <c:axId val="500124672"/>
        <c:axId val="500130560"/>
      </c:barChart>
      <c:catAx>
        <c:axId val="500124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00130560"/>
        <c:crosses val="autoZero"/>
        <c:auto val="1"/>
        <c:lblAlgn val="ctr"/>
        <c:lblOffset val="100"/>
        <c:noMultiLvlLbl val="0"/>
      </c:catAx>
      <c:valAx>
        <c:axId val="50013056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00124672"/>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4786505344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chemeClr val="bg1">
                <a:lumMod val="65000"/>
              </a:schemeClr>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Referral_Source!$V$41:$V$64</c:f>
              <c:numCache>
                <c:formatCode>0.0</c:formatCode>
                <c:ptCount val="24"/>
                <c:pt idx="0">
                  <c:v>0</c:v>
                </c:pt>
                <c:pt idx="1">
                  <c:v>14.085690282833941</c:v>
                </c:pt>
                <c:pt idx="2">
                  <c:v>#N/A</c:v>
                </c:pt>
                <c:pt idx="3">
                  <c:v>1.7278617710583155</c:v>
                </c:pt>
                <c:pt idx="4">
                  <c:v>1.6419386745796243</c:v>
                </c:pt>
                <c:pt idx="5">
                  <c:v>1.7977528089887642</c:v>
                </c:pt>
                <c:pt idx="6">
                  <c:v>2.201440780348114</c:v>
                </c:pt>
                <c:pt idx="7">
                  <c:v>0.22430668841761825</c:v>
                </c:pt>
                <c:pt idx="8">
                  <c:v>0.25889967637540451</c:v>
                </c:pt>
                <c:pt idx="9">
                  <c:v>0.45321247667288722</c:v>
                </c:pt>
                <c:pt idx="10">
                  <c:v>0.22522522522522523</c:v>
                </c:pt>
                <c:pt idx="11">
                  <c:v>0.31201248049921998</c:v>
                </c:pt>
                <c:pt idx="12">
                  <c:v>0</c:v>
                </c:pt>
                <c:pt idx="13">
                  <c:v>0.49737496546007187</c:v>
                </c:pt>
                <c:pt idx="14">
                  <c:v>0.24793388429752067</c:v>
                </c:pt>
                <c:pt idx="15">
                  <c:v>0</c:v>
                </c:pt>
                <c:pt idx="16">
                  <c:v>2.6768010575016521</c:v>
                </c:pt>
                <c:pt idx="17">
                  <c:v>1.129032258064516</c:v>
                </c:pt>
                <c:pt idx="18">
                  <c:v>0.48367593712212814</c:v>
                </c:pt>
                <c:pt idx="19">
                  <c:v>0.47032923046132291</c:v>
                </c:pt>
                <c:pt idx="20">
                  <c:v>0</c:v>
                </c:pt>
                <c:pt idx="21">
                  <c:v>#N/A</c:v>
                </c:pt>
                <c:pt idx="22">
                  <c:v>1.382282996432818</c:v>
                </c:pt>
                <c:pt idx="23">
                  <c:v>1.4463902454197641</c:v>
                </c:pt>
              </c:numCache>
            </c:numRef>
          </c:val>
          <c:extLst>
            <c:ext xmlns:c16="http://schemas.microsoft.com/office/drawing/2014/chart" uri="{C3380CC4-5D6E-409C-BE32-E72D297353CC}">
              <c16:uniqueId val="{00000000-8959-4AA8-BC80-2A1B2D431AB4}"/>
            </c:ext>
          </c:extLst>
        </c:ser>
        <c:dLbls>
          <c:showLegendKey val="0"/>
          <c:showVal val="0"/>
          <c:showCatName val="0"/>
          <c:showSerName val="0"/>
          <c:showPercent val="0"/>
          <c:showBubbleSize val="0"/>
        </c:dLbls>
        <c:gapWidth val="40"/>
        <c:axId val="540200960"/>
        <c:axId val="540202496"/>
      </c:barChart>
      <c:catAx>
        <c:axId val="540200960"/>
        <c:scaling>
          <c:orientation val="maxMin"/>
        </c:scaling>
        <c:delete val="1"/>
        <c:axPos val="l"/>
        <c:numFmt formatCode="General" sourceLinked="0"/>
        <c:majorTickMark val="out"/>
        <c:minorTickMark val="none"/>
        <c:tickLblPos val="nextTo"/>
        <c:crossAx val="540202496"/>
        <c:crosses val="autoZero"/>
        <c:auto val="1"/>
        <c:lblAlgn val="ctr"/>
        <c:lblOffset val="100"/>
        <c:noMultiLvlLbl val="0"/>
      </c:catAx>
      <c:valAx>
        <c:axId val="540202496"/>
        <c:scaling>
          <c:orientation val="minMax"/>
        </c:scaling>
        <c:delete val="1"/>
        <c:axPos val="b"/>
        <c:majorGridlines/>
        <c:numFmt formatCode="0.0" sourceLinked="1"/>
        <c:majorTickMark val="out"/>
        <c:minorTickMark val="none"/>
        <c:tickLblPos val="nextTo"/>
        <c:crossAx val="540200960"/>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per 10,000 0-17 year olds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25716613838097"/>
        </c:manualLayout>
      </c:layout>
      <c:lineChart>
        <c:grouping val="standard"/>
        <c:varyColors val="0"/>
        <c:ser>
          <c:idx val="0"/>
          <c:order val="0"/>
          <c:tx>
            <c:strRef>
              <c:f>'Re-referrals'!$AL$41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0F04-4E8D-BFC9-D8425A8AF1EA}"/>
              </c:ext>
            </c:extLst>
          </c:dPt>
          <c:cat>
            <c:strRef>
              <c:f>'Re-referrals'!$Z$2:$AD$3</c:f>
              <c:strCache>
                <c:ptCount val="5"/>
                <c:pt idx="0">
                  <c:v>2015-16</c:v>
                </c:pt>
                <c:pt idx="1">
                  <c:v>2016-17</c:v>
                </c:pt>
                <c:pt idx="2">
                  <c:v>2017-18</c:v>
                </c:pt>
                <c:pt idx="3">
                  <c:v>2018-19</c:v>
                </c:pt>
                <c:pt idx="4">
                  <c:v>2019-20</c:v>
                </c:pt>
              </c:strCache>
            </c:strRef>
          </c:cat>
          <c:val>
            <c:numRef>
              <c:f>'Re-referrals'!$AM$41:$AQ$41</c:f>
              <c:numCache>
                <c:formatCode>0.0</c:formatCode>
                <c:ptCount val="5"/>
                <c:pt idx="0">
                  <c:v>79.787234042553166</c:v>
                </c:pt>
                <c:pt idx="1">
                  <c:v>137.2340425531915</c:v>
                </c:pt>
                <c:pt idx="2">
                  <c:v>152.31316725978647</c:v>
                </c:pt>
                <c:pt idx="3">
                  <c:v>217.66784452296818</c:v>
                </c:pt>
                <c:pt idx="4">
                  <c:v>152.81690140845072</c:v>
                </c:pt>
              </c:numCache>
            </c:numRef>
          </c:val>
          <c:smooth val="0"/>
          <c:extLst>
            <c:ext xmlns:c16="http://schemas.microsoft.com/office/drawing/2014/chart" uri="{C3380CC4-5D6E-409C-BE32-E72D297353CC}">
              <c16:uniqueId val="{00000001-0F04-4E8D-BFC9-D8425A8AF1EA}"/>
            </c:ext>
          </c:extLst>
        </c:ser>
        <c:ser>
          <c:idx val="1"/>
          <c:order val="1"/>
          <c:tx>
            <c:strRef>
              <c:f>'Re-referrals'!$AL$42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'Re-referrals'!$Z$2:$AD$3</c:f>
              <c:strCache>
                <c:ptCount val="5"/>
                <c:pt idx="0">
                  <c:v>2015-16</c:v>
                </c:pt>
                <c:pt idx="1">
                  <c:v>2016-17</c:v>
                </c:pt>
                <c:pt idx="2">
                  <c:v>2017-18</c:v>
                </c:pt>
                <c:pt idx="3">
                  <c:v>2018-19</c:v>
                </c:pt>
                <c:pt idx="4">
                  <c:v>2019-20</c:v>
                </c:pt>
              </c:strCache>
            </c:strRef>
          </c:cat>
          <c:val>
            <c:numRef>
              <c:f>'Re-referrals'!$AM$42:$AQ$42</c:f>
              <c:numCache>
                <c:formatCode>0.0</c:formatCode>
                <c:ptCount val="5"/>
                <c:pt idx="0">
                  <c:v>215.03906250000014</c:v>
                </c:pt>
                <c:pt idx="1">
                  <c:v>163.93762183235867</c:v>
                </c:pt>
                <c:pt idx="2">
                  <c:v>185.68627450980392</c:v>
                </c:pt>
                <c:pt idx="3">
                  <c:v>155.88235294117646</c:v>
                </c:pt>
                <c:pt idx="4">
                  <c:v>217.49502982107353</c:v>
                </c:pt>
              </c:numCache>
            </c:numRef>
          </c:val>
          <c:smooth val="0"/>
          <c:extLst>
            <c:ext xmlns:c16="http://schemas.microsoft.com/office/drawing/2014/chart" uri="{C3380CC4-5D6E-409C-BE32-E72D297353CC}">
              <c16:uniqueId val="{00000002-0F04-4E8D-BFC9-D8425A8AF1EA}"/>
            </c:ext>
          </c:extLst>
        </c:ser>
        <c:ser>
          <c:idx val="2"/>
          <c:order val="2"/>
          <c:tx>
            <c:strRef>
              <c:f>'Re-referrals'!$AL$43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'Re-referrals'!$Z$2:$AD$3</c:f>
              <c:strCache>
                <c:ptCount val="5"/>
                <c:pt idx="0">
                  <c:v>2015-16</c:v>
                </c:pt>
                <c:pt idx="1">
                  <c:v>2016-17</c:v>
                </c:pt>
                <c:pt idx="2">
                  <c:v>2017-18</c:v>
                </c:pt>
                <c:pt idx="3">
                  <c:v>2018-19</c:v>
                </c:pt>
                <c:pt idx="4">
                  <c:v>2019-20</c:v>
                </c:pt>
              </c:strCache>
            </c:strRef>
          </c:cat>
          <c:val>
            <c:numRef>
              <c:f>'Re-referrals'!$AM$43:$AQ$43</c:f>
              <c:numCache>
                <c:formatCode>0.0</c:formatCode>
                <c:ptCount val="5"/>
                <c:pt idx="0">
                  <c:v>152.65339966832482</c:v>
                </c:pt>
                <c:pt idx="1">
                  <c:v>247.87234042553192</c:v>
                </c:pt>
                <c:pt idx="2">
                  <c:v>261.33225020308691</c:v>
                </c:pt>
                <c:pt idx="3">
                  <c:v>195.01206757843926</c:v>
                </c:pt>
                <c:pt idx="4">
                  <c:v>173.42879872712805</c:v>
                </c:pt>
              </c:numCache>
            </c:numRef>
          </c:val>
          <c:smooth val="0"/>
          <c:extLst>
            <c:ext xmlns:c16="http://schemas.microsoft.com/office/drawing/2014/chart" uri="{C3380CC4-5D6E-409C-BE32-E72D297353CC}">
              <c16:uniqueId val="{00000003-0F04-4E8D-BFC9-D8425A8AF1EA}"/>
            </c:ext>
          </c:extLst>
        </c:ser>
        <c:ser>
          <c:idx val="5"/>
          <c:order val="3"/>
          <c:tx>
            <c:strRef>
              <c:f>'Re-referrals'!$AL$44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'Re-referrals'!$Z$2:$AD$3</c:f>
              <c:strCache>
                <c:ptCount val="5"/>
                <c:pt idx="0">
                  <c:v>2015-16</c:v>
                </c:pt>
                <c:pt idx="1">
                  <c:v>2016-17</c:v>
                </c:pt>
                <c:pt idx="2">
                  <c:v>2017-18</c:v>
                </c:pt>
                <c:pt idx="3">
                  <c:v>2018-19</c:v>
                </c:pt>
                <c:pt idx="4">
                  <c:v>2019-20</c:v>
                </c:pt>
              </c:strCache>
            </c:strRef>
          </c:cat>
          <c:val>
            <c:numRef>
              <c:f>'Re-referrals'!$AM$44:$AQ$44</c:f>
              <c:numCache>
                <c:formatCode>0.0</c:formatCode>
                <c:ptCount val="5"/>
                <c:pt idx="0">
                  <c:v>43.909348441926362</c:v>
                </c:pt>
                <c:pt idx="1">
                  <c:v>51.652502360717662</c:v>
                </c:pt>
                <c:pt idx="2">
                  <c:v>72.830188679245282</c:v>
                </c:pt>
                <c:pt idx="3">
                  <c:v>76.597744360902254</c:v>
                </c:pt>
                <c:pt idx="4">
                  <c:v>71.589840075258692</c:v>
                </c:pt>
              </c:numCache>
            </c:numRef>
          </c:val>
          <c:smooth val="0"/>
          <c:extLst>
            <c:ext xmlns:c16="http://schemas.microsoft.com/office/drawing/2014/chart" uri="{C3380CC4-5D6E-409C-BE32-E72D297353CC}">
              <c16:uniqueId val="{00000004-0F04-4E8D-BFC9-D8425A8AF1EA}"/>
            </c:ext>
          </c:extLst>
        </c:ser>
        <c:ser>
          <c:idx val="9"/>
          <c:order val="4"/>
          <c:tx>
            <c:strRef>
              <c:f>'Re-referrals'!$AL$45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'Re-referrals'!$Z$2:$AD$3</c:f>
              <c:strCache>
                <c:ptCount val="5"/>
                <c:pt idx="0">
                  <c:v>2015-16</c:v>
                </c:pt>
                <c:pt idx="1">
                  <c:v>2016-17</c:v>
                </c:pt>
                <c:pt idx="2">
                  <c:v>2017-18</c:v>
                </c:pt>
                <c:pt idx="3">
                  <c:v>2018-19</c:v>
                </c:pt>
                <c:pt idx="4">
                  <c:v>2019-20</c:v>
                </c:pt>
              </c:strCache>
            </c:strRef>
          </c:cat>
          <c:val>
            <c:numRef>
              <c:f>'Re-referrals'!$AM$45:$AQ$45</c:f>
              <c:numCache>
                <c:formatCode>0.0</c:formatCode>
                <c:ptCount val="5"/>
                <c:pt idx="0">
                  <c:v>166.54842142603761</c:v>
                </c:pt>
                <c:pt idx="1">
                  <c:v>210.96181046676097</c:v>
                </c:pt>
                <c:pt idx="2">
                  <c:v>168.44334627603246</c:v>
                </c:pt>
                <c:pt idx="3">
                  <c:v>188.69718309859155</c:v>
                </c:pt>
                <c:pt idx="4">
                  <c:v>229.89799507562435</c:v>
                </c:pt>
              </c:numCache>
            </c:numRef>
          </c:val>
          <c:smooth val="0"/>
          <c:extLst>
            <c:ext xmlns:c16="http://schemas.microsoft.com/office/drawing/2014/chart" uri="{C3380CC4-5D6E-409C-BE32-E72D297353CC}">
              <c16:uniqueId val="{00000005-0F04-4E8D-BFC9-D8425A8AF1EA}"/>
            </c:ext>
          </c:extLst>
        </c:ser>
        <c:ser>
          <c:idx val="10"/>
          <c:order val="5"/>
          <c:tx>
            <c:strRef>
              <c:f>'Re-referrals'!$AL$46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'Re-referrals'!$Z$2:$AD$3</c:f>
              <c:strCache>
                <c:ptCount val="5"/>
                <c:pt idx="0">
                  <c:v>2015-16</c:v>
                </c:pt>
                <c:pt idx="1">
                  <c:v>2016-17</c:v>
                </c:pt>
                <c:pt idx="2">
                  <c:v>2017-18</c:v>
                </c:pt>
                <c:pt idx="3">
                  <c:v>2018-19</c:v>
                </c:pt>
                <c:pt idx="4">
                  <c:v>2019-20</c:v>
                </c:pt>
              </c:strCache>
            </c:strRef>
          </c:cat>
          <c:val>
            <c:numRef>
              <c:f>'Re-referrals'!$AM$46:$AQ$46</c:f>
              <c:numCache>
                <c:formatCode>0.0</c:formatCode>
                <c:ptCount val="5"/>
                <c:pt idx="0">
                  <c:v>310.67193675889325</c:v>
                </c:pt>
                <c:pt idx="1">
                  <c:v>314.28571428571433</c:v>
                </c:pt>
                <c:pt idx="2">
                  <c:v>270.51792828685257</c:v>
                </c:pt>
                <c:pt idx="3">
                  <c:v>332.1285140562249</c:v>
                </c:pt>
                <c:pt idx="4">
                  <c:v>382.99595141700405</c:v>
                </c:pt>
              </c:numCache>
            </c:numRef>
          </c:val>
          <c:smooth val="0"/>
          <c:extLst>
            <c:ext xmlns:c16="http://schemas.microsoft.com/office/drawing/2014/chart" uri="{C3380CC4-5D6E-409C-BE32-E72D297353CC}">
              <c16:uniqueId val="{00000006-0F04-4E8D-BFC9-D8425A8AF1EA}"/>
            </c:ext>
          </c:extLst>
        </c:ser>
        <c:ser>
          <c:idx val="11"/>
          <c:order val="6"/>
          <c:tx>
            <c:strRef>
              <c:f>'Re-referrals'!$AL$47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'Re-referrals'!$Z$2:$AD$3</c:f>
              <c:strCache>
                <c:ptCount val="5"/>
                <c:pt idx="0">
                  <c:v>2015-16</c:v>
                </c:pt>
                <c:pt idx="1">
                  <c:v>2016-17</c:v>
                </c:pt>
                <c:pt idx="2">
                  <c:v>2017-18</c:v>
                </c:pt>
                <c:pt idx="3">
                  <c:v>2018-19</c:v>
                </c:pt>
                <c:pt idx="4">
                  <c:v>2019-20</c:v>
                </c:pt>
              </c:strCache>
            </c:strRef>
          </c:cat>
          <c:val>
            <c:numRef>
              <c:f>'Re-referrals'!$AM$47:$AQ$47</c:f>
              <c:numCache>
                <c:formatCode>0.0</c:formatCode>
                <c:ptCount val="5"/>
                <c:pt idx="0">
                  <c:v>96.761501210653833</c:v>
                </c:pt>
                <c:pt idx="1">
                  <c:v>109.18918918918918</c:v>
                </c:pt>
                <c:pt idx="2">
                  <c:v>133.05563820291582</c:v>
                </c:pt>
                <c:pt idx="3">
                  <c:v>140.31167303734196</c:v>
                </c:pt>
                <c:pt idx="4">
                  <c:v>185.04944735311227</c:v>
                </c:pt>
              </c:numCache>
            </c:numRef>
          </c:val>
          <c:smooth val="0"/>
          <c:extLst>
            <c:ext xmlns:c16="http://schemas.microsoft.com/office/drawing/2014/chart" uri="{C3380CC4-5D6E-409C-BE32-E72D297353CC}">
              <c16:uniqueId val="{00000007-0F04-4E8D-BFC9-D8425A8AF1EA}"/>
            </c:ext>
          </c:extLst>
        </c:ser>
        <c:ser>
          <c:idx val="12"/>
          <c:order val="7"/>
          <c:tx>
            <c:strRef>
              <c:f>'Re-referrals'!$AL$48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'Re-referrals'!$Z$2:$AD$3</c:f>
              <c:strCache>
                <c:ptCount val="5"/>
                <c:pt idx="0">
                  <c:v>2015-16</c:v>
                </c:pt>
                <c:pt idx="1">
                  <c:v>2016-17</c:v>
                </c:pt>
                <c:pt idx="2">
                  <c:v>2017-18</c:v>
                </c:pt>
                <c:pt idx="3">
                  <c:v>2018-19</c:v>
                </c:pt>
                <c:pt idx="4">
                  <c:v>2019-20</c:v>
                </c:pt>
              </c:strCache>
            </c:strRef>
          </c:cat>
          <c:val>
            <c:numRef>
              <c:f>'Re-referrals'!$AM$48:$AQ$48</c:f>
              <c:numCache>
                <c:formatCode>0.0</c:formatCode>
                <c:ptCount val="5"/>
                <c:pt idx="0">
                  <c:v>87.974683544303801</c:v>
                </c:pt>
                <c:pt idx="1">
                  <c:v>75.510204081632651</c:v>
                </c:pt>
                <c:pt idx="2">
                  <c:v>69.483568075117375</c:v>
                </c:pt>
                <c:pt idx="3">
                  <c:v>89.440993788819867</c:v>
                </c:pt>
                <c:pt idx="4">
                  <c:v>187.69230769230771</c:v>
                </c:pt>
              </c:numCache>
            </c:numRef>
          </c:val>
          <c:smooth val="0"/>
          <c:extLst>
            <c:ext xmlns:c16="http://schemas.microsoft.com/office/drawing/2014/chart" uri="{C3380CC4-5D6E-409C-BE32-E72D297353CC}">
              <c16:uniqueId val="{00000008-0F04-4E8D-BFC9-D8425A8AF1EA}"/>
            </c:ext>
          </c:extLst>
        </c:ser>
        <c:ser>
          <c:idx val="13"/>
          <c:order val="8"/>
          <c:tx>
            <c:strRef>
              <c:f>'Re-referrals'!$AL$49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'Re-referrals'!$Z$2:$AD$3</c:f>
              <c:strCache>
                <c:ptCount val="5"/>
                <c:pt idx="0">
                  <c:v>2015-16</c:v>
                </c:pt>
                <c:pt idx="1">
                  <c:v>2016-17</c:v>
                </c:pt>
                <c:pt idx="2">
                  <c:v>2017-18</c:v>
                </c:pt>
                <c:pt idx="3">
                  <c:v>2018-19</c:v>
                </c:pt>
                <c:pt idx="4">
                  <c:v>2019-20</c:v>
                </c:pt>
              </c:strCache>
            </c:strRef>
          </c:cat>
          <c:val>
            <c:numRef>
              <c:f>'Re-referrals'!$AM$49:$AQ$49</c:f>
              <c:numCache>
                <c:formatCode>0.0</c:formatCode>
                <c:ptCount val="5"/>
                <c:pt idx="0">
                  <c:v>87.745839636913772</c:v>
                </c:pt>
                <c:pt idx="1">
                  <c:v>87.630402384500755</c:v>
                </c:pt>
                <c:pt idx="2">
                  <c:v>71.745562130177518</c:v>
                </c:pt>
                <c:pt idx="3">
                  <c:v>78.916544655929712</c:v>
                </c:pt>
                <c:pt idx="4">
                  <c:v>75.726744186046517</c:v>
                </c:pt>
              </c:numCache>
            </c:numRef>
          </c:val>
          <c:smooth val="0"/>
          <c:extLst>
            <c:ext xmlns:c16="http://schemas.microsoft.com/office/drawing/2014/chart" uri="{C3380CC4-5D6E-409C-BE32-E72D297353CC}">
              <c16:uniqueId val="{00000009-0F04-4E8D-BFC9-D8425A8AF1EA}"/>
            </c:ext>
          </c:extLst>
        </c:ser>
        <c:ser>
          <c:idx val="15"/>
          <c:order val="9"/>
          <c:tx>
            <c:strRef>
              <c:f>'Re-referrals'!$AL$50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'Re-referrals'!$Z$2:$AD$3</c:f>
              <c:strCache>
                <c:ptCount val="5"/>
                <c:pt idx="0">
                  <c:v>2015-16</c:v>
                </c:pt>
                <c:pt idx="1">
                  <c:v>2016-17</c:v>
                </c:pt>
                <c:pt idx="2">
                  <c:v>2017-18</c:v>
                </c:pt>
                <c:pt idx="3">
                  <c:v>2018-19</c:v>
                </c:pt>
                <c:pt idx="4">
                  <c:v>2019-20</c:v>
                </c:pt>
              </c:strCache>
            </c:strRef>
          </c:cat>
          <c:val>
            <c:numRef>
              <c:f>'Re-referrals'!$AM$50:$AQ$50</c:f>
              <c:numCache>
                <c:formatCode>0.0</c:formatCode>
                <c:ptCount val="5"/>
                <c:pt idx="0">
                  <c:v>120.73342736248237</c:v>
                </c:pt>
                <c:pt idx="1">
                  <c:v>98.320503848845348</c:v>
                </c:pt>
                <c:pt idx="2">
                  <c:v>88.423988842398899</c:v>
                </c:pt>
                <c:pt idx="3">
                  <c:v>85.635359116022087</c:v>
                </c:pt>
                <c:pt idx="4">
                  <c:v>90.691307323750863</c:v>
                </c:pt>
              </c:numCache>
            </c:numRef>
          </c:val>
          <c:smooth val="0"/>
          <c:extLst>
            <c:ext xmlns:c16="http://schemas.microsoft.com/office/drawing/2014/chart" uri="{C3380CC4-5D6E-409C-BE32-E72D297353CC}">
              <c16:uniqueId val="{0000000A-0F04-4E8D-BFC9-D8425A8AF1EA}"/>
            </c:ext>
          </c:extLst>
        </c:ser>
        <c:ser>
          <c:idx val="16"/>
          <c:order val="10"/>
          <c:tx>
            <c:strRef>
              <c:f>'Re-referrals'!$AL$51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'Re-referrals'!$Z$2:$AD$3</c:f>
              <c:strCache>
                <c:ptCount val="5"/>
                <c:pt idx="0">
                  <c:v>2015-16</c:v>
                </c:pt>
                <c:pt idx="1">
                  <c:v>2016-17</c:v>
                </c:pt>
                <c:pt idx="2">
                  <c:v>2017-18</c:v>
                </c:pt>
                <c:pt idx="3">
                  <c:v>2018-19</c:v>
                </c:pt>
                <c:pt idx="4">
                  <c:v>2019-20</c:v>
                </c:pt>
              </c:strCache>
            </c:strRef>
          </c:cat>
          <c:val>
            <c:numRef>
              <c:f>'Re-referrals'!$AM$51:$AQ$51</c:f>
              <c:numCache>
                <c:formatCode>0.0</c:formatCode>
                <c:ptCount val="5"/>
                <c:pt idx="0">
                  <c:v>92.922374429223723</c:v>
                </c:pt>
                <c:pt idx="1">
                  <c:v>146.59090909090909</c:v>
                </c:pt>
                <c:pt idx="2">
                  <c:v>146.38009049773754</c:v>
                </c:pt>
                <c:pt idx="3">
                  <c:v>165.68181818181819</c:v>
                </c:pt>
                <c:pt idx="4">
                  <c:v>144.06392694063928</c:v>
                </c:pt>
              </c:numCache>
            </c:numRef>
          </c:val>
          <c:smooth val="0"/>
          <c:extLst>
            <c:ext xmlns:c16="http://schemas.microsoft.com/office/drawing/2014/chart" uri="{C3380CC4-5D6E-409C-BE32-E72D297353CC}">
              <c16:uniqueId val="{0000000B-0F04-4E8D-BFC9-D8425A8AF1EA}"/>
            </c:ext>
          </c:extLst>
        </c:ser>
        <c:ser>
          <c:idx val="17"/>
          <c:order val="11"/>
          <c:tx>
            <c:strRef>
              <c:f>'Re-referrals'!$AL$52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'Re-referrals'!$Z$2:$AD$3</c:f>
              <c:strCache>
                <c:ptCount val="5"/>
                <c:pt idx="0">
                  <c:v>2015-16</c:v>
                </c:pt>
                <c:pt idx="1">
                  <c:v>2016-17</c:v>
                </c:pt>
                <c:pt idx="2">
                  <c:v>2017-18</c:v>
                </c:pt>
                <c:pt idx="3">
                  <c:v>2018-19</c:v>
                </c:pt>
                <c:pt idx="4">
                  <c:v>2019-20</c:v>
                </c:pt>
              </c:strCache>
            </c:strRef>
          </c:cat>
          <c:val>
            <c:numRef>
              <c:f>'Re-referrals'!$AM$52:$AQ$52</c:f>
              <c:numCache>
                <c:formatCode>0.0</c:formatCode>
                <c:ptCount val="5"/>
                <c:pt idx="0">
                  <c:v>177.47252747252747</c:v>
                </c:pt>
                <c:pt idx="1">
                  <c:v>254.09836065573771</c:v>
                </c:pt>
                <c:pt idx="2">
                  <c:v>158.49056603773585</c:v>
                </c:pt>
                <c:pt idx="3">
                  <c:v>201.07816711590297</c:v>
                </c:pt>
                <c:pt idx="4">
                  <c:v>182.70270270270271</c:v>
                </c:pt>
              </c:numCache>
            </c:numRef>
          </c:val>
          <c:smooth val="0"/>
          <c:extLst>
            <c:ext xmlns:c16="http://schemas.microsoft.com/office/drawing/2014/chart" uri="{C3380CC4-5D6E-409C-BE32-E72D297353CC}">
              <c16:uniqueId val="{0000000C-0F04-4E8D-BFC9-D8425A8AF1EA}"/>
            </c:ext>
          </c:extLst>
        </c:ser>
        <c:ser>
          <c:idx val="19"/>
          <c:order val="12"/>
          <c:tx>
            <c:strRef>
              <c:f>'Re-referrals'!$AL$53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'Re-referrals'!$Z$2:$AD$3</c:f>
              <c:strCache>
                <c:ptCount val="5"/>
                <c:pt idx="0">
                  <c:v>2015-16</c:v>
                </c:pt>
                <c:pt idx="1">
                  <c:v>2016-17</c:v>
                </c:pt>
                <c:pt idx="2">
                  <c:v>2017-18</c:v>
                </c:pt>
                <c:pt idx="3">
                  <c:v>2018-19</c:v>
                </c:pt>
                <c:pt idx="4">
                  <c:v>2019-20</c:v>
                </c:pt>
              </c:strCache>
            </c:strRef>
          </c:cat>
          <c:val>
            <c:numRef>
              <c:f>'Re-referrals'!$AM$53:$AQ$53</c:f>
              <c:numCache>
                <c:formatCode>0.0</c:formatCode>
                <c:ptCount val="5"/>
                <c:pt idx="0">
                  <c:v>128.57142857142861</c:v>
                </c:pt>
                <c:pt idx="1">
                  <c:v>399.03381642512079</c:v>
                </c:pt>
                <c:pt idx="2">
                  <c:v>92.417061611374407</c:v>
                </c:pt>
                <c:pt idx="3">
                  <c:v>68.618266978922719</c:v>
                </c:pt>
                <c:pt idx="4">
                  <c:v>99.535962877030158</c:v>
                </c:pt>
              </c:numCache>
            </c:numRef>
          </c:val>
          <c:smooth val="0"/>
          <c:extLst>
            <c:ext xmlns:c16="http://schemas.microsoft.com/office/drawing/2014/chart" uri="{C3380CC4-5D6E-409C-BE32-E72D297353CC}">
              <c16:uniqueId val="{0000000D-0F04-4E8D-BFC9-D8425A8AF1EA}"/>
            </c:ext>
          </c:extLst>
        </c:ser>
        <c:ser>
          <c:idx val="3"/>
          <c:order val="13"/>
          <c:tx>
            <c:strRef>
              <c:f>'Re-referrals'!$AL$54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'Re-referrals'!$Z$2:$AD$3</c:f>
              <c:strCache>
                <c:ptCount val="5"/>
                <c:pt idx="0">
                  <c:v>2015-16</c:v>
                </c:pt>
                <c:pt idx="1">
                  <c:v>2016-17</c:v>
                </c:pt>
                <c:pt idx="2">
                  <c:v>2017-18</c:v>
                </c:pt>
                <c:pt idx="3">
                  <c:v>2018-19</c:v>
                </c:pt>
                <c:pt idx="4">
                  <c:v>2019-20</c:v>
                </c:pt>
              </c:strCache>
            </c:strRef>
          </c:cat>
          <c:val>
            <c:numRef>
              <c:f>'Re-referrals'!$AM$54:$AQ$54</c:f>
              <c:numCache>
                <c:formatCode>0.0</c:formatCode>
                <c:ptCount val="5"/>
                <c:pt idx="0">
                  <c:v>90.201465201465197</c:v>
                </c:pt>
                <c:pt idx="1">
                  <c:v>86.599817684594356</c:v>
                </c:pt>
                <c:pt idx="2">
                  <c:v>100.27247956403271</c:v>
                </c:pt>
                <c:pt idx="3">
                  <c:v>82.565492321589886</c:v>
                </c:pt>
                <c:pt idx="4">
                  <c:v>64.568345323740999</c:v>
                </c:pt>
              </c:numCache>
            </c:numRef>
          </c:val>
          <c:smooth val="0"/>
          <c:extLst>
            <c:ext xmlns:c16="http://schemas.microsoft.com/office/drawing/2014/chart" uri="{C3380CC4-5D6E-409C-BE32-E72D297353CC}">
              <c16:uniqueId val="{0000000E-0F04-4E8D-BFC9-D8425A8AF1EA}"/>
            </c:ext>
          </c:extLst>
        </c:ser>
        <c:ser>
          <c:idx val="20"/>
          <c:order val="14"/>
          <c:tx>
            <c:strRef>
              <c:f>'Re-referrals'!$AL$55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'Re-referrals'!$Z$2:$AD$3</c:f>
              <c:strCache>
                <c:ptCount val="5"/>
                <c:pt idx="0">
                  <c:v>2015-16</c:v>
                </c:pt>
                <c:pt idx="1">
                  <c:v>2016-17</c:v>
                </c:pt>
                <c:pt idx="2">
                  <c:v>2017-18</c:v>
                </c:pt>
                <c:pt idx="3">
                  <c:v>2018-19</c:v>
                </c:pt>
                <c:pt idx="4">
                  <c:v>2019-20</c:v>
                </c:pt>
              </c:strCache>
            </c:strRef>
          </c:cat>
          <c:val>
            <c:numRef>
              <c:f>'Re-referrals'!$AM$55:$AQ$55</c:f>
              <c:numCache>
                <c:formatCode>0.0</c:formatCode>
                <c:ptCount val="5"/>
                <c:pt idx="0">
                  <c:v>160.5691056910569</c:v>
                </c:pt>
                <c:pt idx="1">
                  <c:v>162.32464929859719</c:v>
                </c:pt>
                <c:pt idx="2">
                  <c:v>105.36779324055665</c:v>
                </c:pt>
                <c:pt idx="3">
                  <c:v>86.811023622047244</c:v>
                </c:pt>
                <c:pt idx="4">
                  <c:v>216.17933723196879</c:v>
                </c:pt>
              </c:numCache>
            </c:numRef>
          </c:val>
          <c:smooth val="0"/>
          <c:extLst>
            <c:ext xmlns:c16="http://schemas.microsoft.com/office/drawing/2014/chart" uri="{C3380CC4-5D6E-409C-BE32-E72D297353CC}">
              <c16:uniqueId val="{0000000F-0F04-4E8D-BFC9-D8425A8AF1EA}"/>
            </c:ext>
          </c:extLst>
        </c:ser>
        <c:ser>
          <c:idx val="22"/>
          <c:order val="15"/>
          <c:tx>
            <c:strRef>
              <c:f>'Re-referrals'!$AL$56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'Re-referrals'!$Z$2:$AD$3</c:f>
              <c:strCache>
                <c:ptCount val="5"/>
                <c:pt idx="0">
                  <c:v>2015-16</c:v>
                </c:pt>
                <c:pt idx="1">
                  <c:v>2016-17</c:v>
                </c:pt>
                <c:pt idx="2">
                  <c:v>2017-18</c:v>
                </c:pt>
                <c:pt idx="3">
                  <c:v>2018-19</c:v>
                </c:pt>
                <c:pt idx="4">
                  <c:v>2019-20</c:v>
                </c:pt>
              </c:strCache>
            </c:strRef>
          </c:cat>
          <c:val>
            <c:numRef>
              <c:f>'Re-referrals'!$AM$56:$AQ$56</c:f>
              <c:numCache>
                <c:formatCode>0.0</c:formatCode>
                <c:ptCount val="5"/>
                <c:pt idx="0">
                  <c:v>110.7644305772231</c:v>
                </c:pt>
                <c:pt idx="1">
                  <c:v>111.81467181467183</c:v>
                </c:pt>
                <c:pt idx="2">
                  <c:v>143.06569343065695</c:v>
                </c:pt>
                <c:pt idx="3">
                  <c:v>103.66552119129439</c:v>
                </c:pt>
                <c:pt idx="4">
                  <c:v>69.446550416982561</c:v>
                </c:pt>
              </c:numCache>
            </c:numRef>
          </c:val>
          <c:smooth val="0"/>
          <c:extLst>
            <c:ext xmlns:c16="http://schemas.microsoft.com/office/drawing/2014/chart" uri="{C3380CC4-5D6E-409C-BE32-E72D297353CC}">
              <c16:uniqueId val="{00000010-0F04-4E8D-BFC9-D8425A8AF1EA}"/>
            </c:ext>
          </c:extLst>
        </c:ser>
        <c:ser>
          <c:idx val="7"/>
          <c:order val="16"/>
          <c:tx>
            <c:strRef>
              <c:f>'Re-referrals'!$AL$57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'Re-referrals'!$Z$2:$AD$3</c:f>
              <c:strCache>
                <c:ptCount val="5"/>
                <c:pt idx="0">
                  <c:v>2015-16</c:v>
                </c:pt>
                <c:pt idx="1">
                  <c:v>2016-17</c:v>
                </c:pt>
                <c:pt idx="2">
                  <c:v>2017-18</c:v>
                </c:pt>
                <c:pt idx="3">
                  <c:v>2018-19</c:v>
                </c:pt>
                <c:pt idx="4">
                  <c:v>2019-20</c:v>
                </c:pt>
              </c:strCache>
            </c:strRef>
          </c:cat>
          <c:val>
            <c:numRef>
              <c:f>'Re-referrals'!$AM$57:$AQ$57</c:f>
              <c:numCache>
                <c:formatCode>0.0</c:formatCode>
                <c:ptCount val="5"/>
                <c:pt idx="0">
                  <c:v>193.67346938775509</c:v>
                </c:pt>
                <c:pt idx="1">
                  <c:v>162.42424242424244</c:v>
                </c:pt>
                <c:pt idx="2">
                  <c:v>175.751503006012</c:v>
                </c:pt>
                <c:pt idx="3">
                  <c:v>115.93625498007968</c:v>
                </c:pt>
                <c:pt idx="4">
                  <c:v>177.1825396825397</c:v>
                </c:pt>
              </c:numCache>
            </c:numRef>
          </c:val>
          <c:smooth val="0"/>
          <c:extLst>
            <c:ext xmlns:c16="http://schemas.microsoft.com/office/drawing/2014/chart" uri="{C3380CC4-5D6E-409C-BE32-E72D297353CC}">
              <c16:uniqueId val="{00000011-0F04-4E8D-BFC9-D8425A8AF1EA}"/>
            </c:ext>
          </c:extLst>
        </c:ser>
        <c:ser>
          <c:idx val="8"/>
          <c:order val="17"/>
          <c:tx>
            <c:strRef>
              <c:f>'Re-referrals'!$AL$58</c:f>
              <c:strCache>
                <c:ptCount val="1"/>
                <c:pt idx="0">
                  <c:v>Torbay</c:v>
                </c:pt>
              </c:strCache>
            </c:strRef>
          </c:tx>
          <c:spPr>
            <a:ln w="12700"/>
          </c:spPr>
          <c:marker>
            <c:symbol val="circle"/>
            <c:size val="5"/>
            <c:spPr>
              <a:solidFill>
                <a:schemeClr val="accent3">
                  <a:lumMod val="20000"/>
                  <a:lumOff val="80000"/>
                </a:schemeClr>
              </a:solidFill>
            </c:spPr>
          </c:marker>
          <c:cat>
            <c:strRef>
              <c:f>'Re-referrals'!$Z$2:$AD$3</c:f>
              <c:strCache>
                <c:ptCount val="5"/>
                <c:pt idx="0">
                  <c:v>2015-16</c:v>
                </c:pt>
                <c:pt idx="1">
                  <c:v>2016-17</c:v>
                </c:pt>
                <c:pt idx="2">
                  <c:v>2017-18</c:v>
                </c:pt>
                <c:pt idx="3">
                  <c:v>2018-19</c:v>
                </c:pt>
                <c:pt idx="4">
                  <c:v>2019-20</c:v>
                </c:pt>
              </c:strCache>
            </c:strRef>
          </c:cat>
          <c:val>
            <c:numRef>
              <c:f>'Re-referrals'!$AM$58:$AQ$58</c:f>
              <c:numCache>
                <c:formatCode>0.0</c:formatCode>
                <c:ptCount val="5"/>
                <c:pt idx="0">
                  <c:v>227.77777777777783</c:v>
                </c:pt>
                <c:pt idx="1">
                  <c:v>172.04724409448821</c:v>
                </c:pt>
                <c:pt idx="2">
                  <c:v>174.8031496062992</c:v>
                </c:pt>
                <c:pt idx="3">
                  <c:v>183.46456692913387</c:v>
                </c:pt>
                <c:pt idx="4">
                  <c:v>161.71875</c:v>
                </c:pt>
              </c:numCache>
            </c:numRef>
          </c:val>
          <c:smooth val="0"/>
          <c:extLst>
            <c:ext xmlns:c16="http://schemas.microsoft.com/office/drawing/2014/chart" uri="{C3380CC4-5D6E-409C-BE32-E72D297353CC}">
              <c16:uniqueId val="{00000012-0F04-4E8D-BFC9-D8425A8AF1EA}"/>
            </c:ext>
          </c:extLst>
        </c:ser>
        <c:ser>
          <c:idx val="23"/>
          <c:order val="18"/>
          <c:tx>
            <c:strRef>
              <c:f>'Re-referrals'!$AL$59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'Re-referrals'!$Z$2:$AD$3</c:f>
              <c:strCache>
                <c:ptCount val="5"/>
                <c:pt idx="0">
                  <c:v>2015-16</c:v>
                </c:pt>
                <c:pt idx="1">
                  <c:v>2016-17</c:v>
                </c:pt>
                <c:pt idx="2">
                  <c:v>2017-18</c:v>
                </c:pt>
                <c:pt idx="3">
                  <c:v>2018-19</c:v>
                </c:pt>
                <c:pt idx="4">
                  <c:v>2019-20</c:v>
                </c:pt>
              </c:strCache>
            </c:strRef>
          </c:cat>
          <c:val>
            <c:numRef>
              <c:f>'Re-referrals'!$AM$59:$AQ$59</c:f>
              <c:numCache>
                <c:formatCode>0.0</c:formatCode>
                <c:ptCount val="5"/>
                <c:pt idx="0">
                  <c:v>61.344537815126053</c:v>
                </c:pt>
                <c:pt idx="1">
                  <c:v>108.63509749303621</c:v>
                </c:pt>
                <c:pt idx="2">
                  <c:v>113.68715083798882</c:v>
                </c:pt>
                <c:pt idx="3">
                  <c:v>123.87640449438202</c:v>
                </c:pt>
                <c:pt idx="4">
                  <c:v>124.438202247191</c:v>
                </c:pt>
              </c:numCache>
            </c:numRef>
          </c:val>
          <c:smooth val="0"/>
          <c:extLst>
            <c:ext xmlns:c16="http://schemas.microsoft.com/office/drawing/2014/chart" uri="{C3380CC4-5D6E-409C-BE32-E72D297353CC}">
              <c16:uniqueId val="{00000013-0F04-4E8D-BFC9-D8425A8AF1EA}"/>
            </c:ext>
          </c:extLst>
        </c:ser>
        <c:ser>
          <c:idx val="24"/>
          <c:order val="19"/>
          <c:tx>
            <c:strRef>
              <c:f>'Re-referrals'!$AL$60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'Re-referrals'!$Z$2:$AD$3</c:f>
              <c:strCache>
                <c:ptCount val="5"/>
                <c:pt idx="0">
                  <c:v>2015-16</c:v>
                </c:pt>
                <c:pt idx="1">
                  <c:v>2016-17</c:v>
                </c:pt>
                <c:pt idx="2">
                  <c:v>2017-18</c:v>
                </c:pt>
                <c:pt idx="3">
                  <c:v>2018-19</c:v>
                </c:pt>
                <c:pt idx="4">
                  <c:v>2019-20</c:v>
                </c:pt>
              </c:strCache>
            </c:strRef>
          </c:cat>
          <c:val>
            <c:numRef>
              <c:f>'Re-referrals'!$AM$60:$AQ$60</c:f>
              <c:numCache>
                <c:formatCode>0.0</c:formatCode>
                <c:ptCount val="5"/>
                <c:pt idx="0">
                  <c:v>116.60798122065709</c:v>
                </c:pt>
                <c:pt idx="1">
                  <c:v>128.57974388824215</c:v>
                </c:pt>
                <c:pt idx="2">
                  <c:v>154.5874206578188</c:v>
                </c:pt>
                <c:pt idx="3">
                  <c:v>140.01144819690899</c:v>
                </c:pt>
                <c:pt idx="4">
                  <c:v>150.70982396365702</c:v>
                </c:pt>
              </c:numCache>
            </c:numRef>
          </c:val>
          <c:smooth val="0"/>
          <c:extLst>
            <c:ext xmlns:c16="http://schemas.microsoft.com/office/drawing/2014/chart" uri="{C3380CC4-5D6E-409C-BE32-E72D297353CC}">
              <c16:uniqueId val="{00000014-0F04-4E8D-BFC9-D8425A8AF1EA}"/>
            </c:ext>
          </c:extLst>
        </c:ser>
        <c:ser>
          <c:idx val="25"/>
          <c:order val="20"/>
          <c:tx>
            <c:strRef>
              <c:f>'Re-referrals'!$AL$61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'Re-referrals'!$Z$2:$AD$3</c:f>
              <c:strCache>
                <c:ptCount val="5"/>
                <c:pt idx="0">
                  <c:v>2015-16</c:v>
                </c:pt>
                <c:pt idx="1">
                  <c:v>2016-17</c:v>
                </c:pt>
                <c:pt idx="2">
                  <c:v>2017-18</c:v>
                </c:pt>
                <c:pt idx="3">
                  <c:v>2018-19</c:v>
                </c:pt>
                <c:pt idx="4">
                  <c:v>2019-20</c:v>
                </c:pt>
              </c:strCache>
            </c:strRef>
          </c:cat>
          <c:val>
            <c:numRef>
              <c:f>'Re-referrals'!$AM$61:$AQ$61</c:f>
              <c:numCache>
                <c:formatCode>0.0</c:formatCode>
                <c:ptCount val="5"/>
                <c:pt idx="0">
                  <c:v>57.270029673590507</c:v>
                </c:pt>
                <c:pt idx="1">
                  <c:v>34.210526315789473</c:v>
                </c:pt>
                <c:pt idx="2">
                  <c:v>48.255813953488371</c:v>
                </c:pt>
                <c:pt idx="3">
                  <c:v>68.786127167630056</c:v>
                </c:pt>
                <c:pt idx="4">
                  <c:v>61.671469740634002</c:v>
                </c:pt>
              </c:numCache>
            </c:numRef>
          </c:val>
          <c:smooth val="0"/>
          <c:extLst>
            <c:ext xmlns:c16="http://schemas.microsoft.com/office/drawing/2014/chart" uri="{C3380CC4-5D6E-409C-BE32-E72D297353CC}">
              <c16:uniqueId val="{00000015-0F04-4E8D-BFC9-D8425A8AF1EA}"/>
            </c:ext>
          </c:extLst>
        </c:ser>
        <c:ser>
          <c:idx val="26"/>
          <c:order val="21"/>
          <c:tx>
            <c:strRef>
              <c:f>'Re-referrals'!$AL$62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'Re-referrals'!$Z$2:$AD$3</c:f>
              <c:strCache>
                <c:ptCount val="5"/>
                <c:pt idx="0">
                  <c:v>2015-16</c:v>
                </c:pt>
                <c:pt idx="1">
                  <c:v>2016-17</c:v>
                </c:pt>
                <c:pt idx="2">
                  <c:v>2017-18</c:v>
                </c:pt>
                <c:pt idx="3">
                  <c:v>2018-19</c:v>
                </c:pt>
                <c:pt idx="4">
                  <c:v>2019-20</c:v>
                </c:pt>
              </c:strCache>
            </c:strRef>
          </c:cat>
          <c:val>
            <c:numRef>
              <c:f>'Re-referrals'!$AM$62:$AQ$62</c:f>
              <c:numCache>
                <c:formatCode>0.0</c:formatCode>
                <c:ptCount val="5"/>
                <c:pt idx="0">
                  <c:v>52.278820375335123</c:v>
                </c:pt>
                <c:pt idx="1">
                  <c:v>44.736842105263158</c:v>
                </c:pt>
                <c:pt idx="2">
                  <c:v>58.656330749354005</c:v>
                </c:pt>
                <c:pt idx="3">
                  <c:v>90.886075949367097</c:v>
                </c:pt>
                <c:pt idx="4">
                  <c:v>107.92079207920791</c:v>
                </c:pt>
              </c:numCache>
            </c:numRef>
          </c:val>
          <c:smooth val="0"/>
          <c:extLst>
            <c:ext xmlns:c16="http://schemas.microsoft.com/office/drawing/2014/chart" uri="{C3380CC4-5D6E-409C-BE32-E72D297353CC}">
              <c16:uniqueId val="{00000016-0F04-4E8D-BFC9-D8425A8AF1EA}"/>
            </c:ext>
          </c:extLst>
        </c:ser>
        <c:ser>
          <c:idx val="4"/>
          <c:order val="22"/>
          <c:tx>
            <c:strRef>
              <c:f>'Re-referrals'!$AL$63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'Re-referrals'!$Z$2:$AD$3</c:f>
              <c:strCache>
                <c:ptCount val="5"/>
                <c:pt idx="0">
                  <c:v>2015-16</c:v>
                </c:pt>
                <c:pt idx="1">
                  <c:v>2016-17</c:v>
                </c:pt>
                <c:pt idx="2">
                  <c:v>2017-18</c:v>
                </c:pt>
                <c:pt idx="3">
                  <c:v>2018-19</c:v>
                </c:pt>
                <c:pt idx="4">
                  <c:v>2019-20</c:v>
                </c:pt>
              </c:strCache>
            </c:strRef>
          </c:cat>
          <c:val>
            <c:numRef>
              <c:f>'Re-referrals'!$AM$63:$AQ$63</c:f>
              <c:numCache>
                <c:formatCode>0.0</c:formatCode>
                <c:ptCount val="5"/>
                <c:pt idx="0">
                  <c:v>119.70178822793389</c:v>
                </c:pt>
                <c:pt idx="1">
                  <c:v>142.20681806424915</c:v>
                </c:pt>
                <c:pt idx="2">
                  <c:v>138.0729461392047</c:v>
                </c:pt>
                <c:pt idx="3">
                  <c:v>137.12067027689793</c:v>
                </c:pt>
                <c:pt idx="4">
                  <c:v>151.33048953889903</c:v>
                </c:pt>
              </c:numCache>
            </c:numRef>
          </c:val>
          <c:smooth val="0"/>
          <c:extLst>
            <c:ext xmlns:c16="http://schemas.microsoft.com/office/drawing/2014/chart" uri="{C3380CC4-5D6E-409C-BE32-E72D297353CC}">
              <c16:uniqueId val="{00000017-0F04-4E8D-BFC9-D8425A8AF1EA}"/>
            </c:ext>
          </c:extLst>
        </c:ser>
        <c:ser>
          <c:idx val="14"/>
          <c:order val="23"/>
          <c:tx>
            <c:strRef>
              <c:f>'Re-referrals'!$AL$64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'Re-referrals'!$Z$2:$AD$3</c:f>
              <c:strCache>
                <c:ptCount val="5"/>
                <c:pt idx="0">
                  <c:v>2015-16</c:v>
                </c:pt>
                <c:pt idx="1">
                  <c:v>2016-17</c:v>
                </c:pt>
                <c:pt idx="2">
                  <c:v>2017-18</c:v>
                </c:pt>
                <c:pt idx="3">
                  <c:v>2018-19</c:v>
                </c:pt>
                <c:pt idx="4">
                  <c:v>2019-20</c:v>
                </c:pt>
              </c:strCache>
            </c:strRef>
          </c:cat>
          <c:val>
            <c:numRef>
              <c:f>'Re-referrals'!$AM$64:$AQ$64</c:f>
              <c:numCache>
                <c:formatCode>0.0</c:formatCode>
                <c:ptCount val="5"/>
                <c:pt idx="0">
                  <c:v>118.77135443872615</c:v>
                </c:pt>
                <c:pt idx="1">
                  <c:v>120.11573740167836</c:v>
                </c:pt>
                <c:pt idx="2">
                  <c:v>121.18479817982642</c:v>
                </c:pt>
                <c:pt idx="3">
                  <c:v>123.09069312231274</c:v>
                </c:pt>
                <c:pt idx="4">
                  <c:v>120.9205229714894</c:v>
                </c:pt>
              </c:numCache>
            </c:numRef>
          </c:val>
          <c:smooth val="0"/>
          <c:extLst>
            <c:ext xmlns:c16="http://schemas.microsoft.com/office/drawing/2014/chart" uri="{C3380CC4-5D6E-409C-BE32-E72D297353CC}">
              <c16:uniqueId val="{00000018-0F04-4E8D-BFC9-D8425A8AF1EA}"/>
            </c:ext>
          </c:extLst>
        </c:ser>
        <c:ser>
          <c:idx val="6"/>
          <c:order val="24"/>
          <c:tx>
            <c:strRef>
              <c:f>'Re-referrals'!$AL$65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'Re-referrals'!$Z$2:$AD$3</c:f>
              <c:strCache>
                <c:ptCount val="5"/>
                <c:pt idx="0">
                  <c:v>2015-16</c:v>
                </c:pt>
                <c:pt idx="1">
                  <c:v>2016-17</c:v>
                </c:pt>
                <c:pt idx="2">
                  <c:v>2017-18</c:v>
                </c:pt>
                <c:pt idx="3">
                  <c:v>2018-19</c:v>
                </c:pt>
                <c:pt idx="4">
                  <c:v>2019-20</c:v>
                </c:pt>
              </c:strCache>
            </c:strRef>
          </c:cat>
          <c:val>
            <c:numRef>
              <c:f>'Re-referrals'!$AM$65:$AQ$65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0F04-4E8D-BFC9-D8425A8AF1EA}"/>
            </c:ext>
          </c:extLst>
        </c:ser>
        <c:dLbls>
          <c:showLegendKey val="0"/>
          <c:showVal val="0"/>
          <c:showCatName val="0"/>
          <c:showSerName val="0"/>
          <c:showPercent val="0"/>
          <c:showBubbleSize val="0"/>
        </c:dLbls>
        <c:marker val="1"/>
        <c:smooth val="0"/>
        <c:axId val="549825152"/>
        <c:axId val="549839616"/>
      </c:lineChart>
      <c:catAx>
        <c:axId val="549825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9839616"/>
        <c:crosses val="autoZero"/>
        <c:auto val="1"/>
        <c:lblAlgn val="ctr"/>
        <c:lblOffset val="100"/>
        <c:tickLblSkip val="1"/>
        <c:tickMarkSkip val="1"/>
        <c:noMultiLvlLbl val="0"/>
      </c:catAx>
      <c:valAx>
        <c:axId val="54983961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982515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8255479211595373"/>
        </c:manualLayout>
      </c:layout>
      <c:barChart>
        <c:barDir val="col"/>
        <c:grouping val="clustered"/>
        <c:varyColors val="0"/>
        <c:ser>
          <c:idx val="6"/>
          <c:order val="0"/>
          <c:tx>
            <c:strRef>
              <c:f>'Re-referrals'!$AA$4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'Re-referrals'!$Z$2:$AD$3</c:f>
              <c:strCache>
                <c:ptCount val="5"/>
                <c:pt idx="0">
                  <c:v>2015-16</c:v>
                </c:pt>
                <c:pt idx="1">
                  <c:v>2016-17</c:v>
                </c:pt>
                <c:pt idx="2">
                  <c:v>2017-18</c:v>
                </c:pt>
                <c:pt idx="3">
                  <c:v>2018-19</c:v>
                </c:pt>
                <c:pt idx="4">
                  <c:v>2019-20</c:v>
                </c:pt>
              </c:strCache>
            </c:strRef>
          </c:cat>
          <c:val>
            <c:numRef>
              <c:f>'Re-referrals'!$AM$65:$AQ$65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F93-4711-AC4C-990570CB4159}"/>
            </c:ext>
          </c:extLst>
        </c:ser>
        <c:ser>
          <c:idx val="4"/>
          <c:order val="1"/>
          <c:tx>
            <c:strRef>
              <c:f>'Re-referrals'!$B$32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'Re-referrals'!$Z$2:$AD$3</c:f>
              <c:strCache>
                <c:ptCount val="5"/>
                <c:pt idx="0">
                  <c:v>2015-16</c:v>
                </c:pt>
                <c:pt idx="1">
                  <c:v>2016-17</c:v>
                </c:pt>
                <c:pt idx="2">
                  <c:v>2017-18</c:v>
                </c:pt>
                <c:pt idx="3">
                  <c:v>2018-19</c:v>
                </c:pt>
                <c:pt idx="4">
                  <c:v>2019-20</c:v>
                </c:pt>
              </c:strCache>
            </c:strRef>
          </c:cat>
          <c:val>
            <c:numRef>
              <c:f>'Re-referrals'!$K$32:$O$32</c:f>
              <c:numCache>
                <c:formatCode>0.0</c:formatCode>
                <c:ptCount val="5"/>
                <c:pt idx="0">
                  <c:v>119.70178822793389</c:v>
                </c:pt>
                <c:pt idx="1">
                  <c:v>142.20681806424915</c:v>
                </c:pt>
                <c:pt idx="2">
                  <c:v>138.0729461392047</c:v>
                </c:pt>
                <c:pt idx="3">
                  <c:v>137.12067027689793</c:v>
                </c:pt>
                <c:pt idx="4">
                  <c:v>151.33048953889903</c:v>
                </c:pt>
              </c:numCache>
            </c:numRef>
          </c:val>
          <c:extLst>
            <c:ext xmlns:c16="http://schemas.microsoft.com/office/drawing/2014/chart" uri="{C3380CC4-5D6E-409C-BE32-E72D297353CC}">
              <c16:uniqueId val="{00000001-BF93-4711-AC4C-990570CB4159}"/>
            </c:ext>
          </c:extLst>
        </c:ser>
        <c:ser>
          <c:idx val="0"/>
          <c:order val="2"/>
          <c:tx>
            <c:strRef>
              <c:f>'Re-referrals'!$B$33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'Re-referrals'!$Z$2:$AD$3</c:f>
              <c:strCache>
                <c:ptCount val="5"/>
                <c:pt idx="0">
                  <c:v>2015-16</c:v>
                </c:pt>
                <c:pt idx="1">
                  <c:v>2016-17</c:v>
                </c:pt>
                <c:pt idx="2">
                  <c:v>2017-18</c:v>
                </c:pt>
                <c:pt idx="3">
                  <c:v>2018-19</c:v>
                </c:pt>
                <c:pt idx="4">
                  <c:v>2019-20</c:v>
                </c:pt>
              </c:strCache>
            </c:strRef>
          </c:cat>
          <c:val>
            <c:numRef>
              <c:f>'Re-referrals'!$K$33:$O$33</c:f>
              <c:numCache>
                <c:formatCode>0.0</c:formatCode>
                <c:ptCount val="5"/>
                <c:pt idx="0">
                  <c:v>118.77135443872615</c:v>
                </c:pt>
                <c:pt idx="1">
                  <c:v>120.11573740167836</c:v>
                </c:pt>
                <c:pt idx="2">
                  <c:v>121.18479817982642</c:v>
                </c:pt>
                <c:pt idx="3">
                  <c:v>123.09069312231274</c:v>
                </c:pt>
                <c:pt idx="4">
                  <c:v>120.9205229714894</c:v>
                </c:pt>
              </c:numCache>
            </c:numRef>
          </c:val>
          <c:extLst>
            <c:ext xmlns:c16="http://schemas.microsoft.com/office/drawing/2014/chart" uri="{C3380CC4-5D6E-409C-BE32-E72D297353CC}">
              <c16:uniqueId val="{00000002-BF93-4711-AC4C-990570CB4159}"/>
            </c:ext>
          </c:extLst>
        </c:ser>
        <c:dLbls>
          <c:showLegendKey val="0"/>
          <c:showVal val="0"/>
          <c:showCatName val="0"/>
          <c:showSerName val="0"/>
          <c:showPercent val="0"/>
          <c:showBubbleSize val="0"/>
        </c:dLbls>
        <c:gapWidth val="100"/>
        <c:axId val="540277376"/>
        <c:axId val="550064512"/>
      </c:barChart>
      <c:catAx>
        <c:axId val="540277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064512"/>
        <c:crosses val="autoZero"/>
        <c:auto val="1"/>
        <c:lblAlgn val="ctr"/>
        <c:lblOffset val="100"/>
        <c:noMultiLvlLbl val="0"/>
      </c:catAx>
      <c:valAx>
        <c:axId val="55006451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027737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Re-referrals</a:t>
            </a:r>
            <a:r>
              <a:rPr lang="en-GB" baseline="0"/>
              <a:t> </a:t>
            </a:r>
            <a:r>
              <a:rPr lang="en-GB"/>
              <a:t>(Selected LA</a:t>
            </a:r>
            <a:r>
              <a:rPr lang="en-GB" baseline="0"/>
              <a:t> vs. SE &amp; National)</a:t>
            </a:r>
            <a:r>
              <a:rPr lang="en-GB"/>
              <a:t> </a:t>
            </a:r>
          </a:p>
        </c:rich>
      </c:tx>
      <c:layout>
        <c:manualLayout>
          <c:xMode val="edge"/>
          <c:yMode val="edge"/>
          <c:x val="0.16985543023338298"/>
          <c:y val="2.5360466305348196E-4"/>
        </c:manualLayout>
      </c:layout>
      <c:overlay val="0"/>
      <c:spPr>
        <a:noFill/>
        <a:ln w="25400">
          <a:noFill/>
        </a:ln>
      </c:spPr>
    </c:title>
    <c:autoTitleDeleted val="0"/>
    <c:plotArea>
      <c:layout>
        <c:manualLayout>
          <c:layoutTarget val="inner"/>
          <c:xMode val="edge"/>
          <c:yMode val="edge"/>
          <c:x val="9.8666564984461691E-2"/>
          <c:y val="0.21047931508561429"/>
          <c:w val="0.64607416380644722"/>
          <c:h val="0.54654211573086697"/>
        </c:manualLayout>
      </c:layout>
      <c:barChart>
        <c:barDir val="col"/>
        <c:grouping val="clustered"/>
        <c:varyColors val="0"/>
        <c:ser>
          <c:idx val="6"/>
          <c:order val="0"/>
          <c:tx>
            <c:strRef>
              <c:f>'Re-referrals'!$AA$4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'Re-referrals'!$Z$2:$AD$3</c:f>
              <c:strCache>
                <c:ptCount val="5"/>
                <c:pt idx="0">
                  <c:v>2015-16</c:v>
                </c:pt>
                <c:pt idx="1">
                  <c:v>2016-17</c:v>
                </c:pt>
                <c:pt idx="2">
                  <c:v>2017-18</c:v>
                </c:pt>
                <c:pt idx="3">
                  <c:v>2018-19</c:v>
                </c:pt>
                <c:pt idx="4">
                  <c:v>2019-20</c:v>
                </c:pt>
              </c:strCache>
            </c:strRef>
          </c:cat>
          <c:val>
            <c:numRef>
              <c:f>'Re-referrals'!$AS$65:$AW$65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A310-4E0F-ADD3-9D74DDBE2BBE}"/>
            </c:ext>
          </c:extLst>
        </c:ser>
        <c:ser>
          <c:idx val="4"/>
          <c:order val="1"/>
          <c:tx>
            <c:strRef>
              <c:f>'Re-referrals'!$B$134</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'Re-referrals'!$Z$2:$AD$3</c:f>
              <c:strCache>
                <c:ptCount val="5"/>
                <c:pt idx="0">
                  <c:v>2015-16</c:v>
                </c:pt>
                <c:pt idx="1">
                  <c:v>2016-17</c:v>
                </c:pt>
                <c:pt idx="2">
                  <c:v>2017-18</c:v>
                </c:pt>
                <c:pt idx="3">
                  <c:v>2018-19</c:v>
                </c:pt>
                <c:pt idx="4">
                  <c:v>2019-20</c:v>
                </c:pt>
              </c:strCache>
            </c:strRef>
          </c:cat>
          <c:val>
            <c:numRef>
              <c:f>'Re-referrals'!$D$134:$H$134</c:f>
              <c:numCache>
                <c:formatCode>0%</c:formatCode>
                <c:ptCount val="5"/>
                <c:pt idx="0">
                  <c:v>0.234860883797054</c:v>
                </c:pt>
                <c:pt idx="1">
                  <c:v>0.25662808065720688</c:v>
                </c:pt>
                <c:pt idx="2">
                  <c:v>0.25180598555211559</c:v>
                </c:pt>
                <c:pt idx="3">
                  <c:v>0.2558871198398322</c:v>
                </c:pt>
                <c:pt idx="4">
                  <c:v>0.26039846207619716</c:v>
                </c:pt>
              </c:numCache>
            </c:numRef>
          </c:val>
          <c:extLst>
            <c:ext xmlns:c16="http://schemas.microsoft.com/office/drawing/2014/chart" uri="{C3380CC4-5D6E-409C-BE32-E72D297353CC}">
              <c16:uniqueId val="{00000001-A310-4E0F-ADD3-9D74DDBE2BBE}"/>
            </c:ext>
          </c:extLst>
        </c:ser>
        <c:ser>
          <c:idx val="0"/>
          <c:order val="2"/>
          <c:tx>
            <c:strRef>
              <c:f>'Re-referrals'!$B$135</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'Re-referrals'!$Z$2:$AD$3</c:f>
              <c:strCache>
                <c:ptCount val="5"/>
                <c:pt idx="0">
                  <c:v>2015-16</c:v>
                </c:pt>
                <c:pt idx="1">
                  <c:v>2016-17</c:v>
                </c:pt>
                <c:pt idx="2">
                  <c:v>2017-18</c:v>
                </c:pt>
                <c:pt idx="3">
                  <c:v>2018-19</c:v>
                </c:pt>
                <c:pt idx="4">
                  <c:v>2019-20</c:v>
                </c:pt>
              </c:strCache>
            </c:strRef>
          </c:cat>
          <c:val>
            <c:numRef>
              <c:f>'Re-referrals'!$D$135:$H$135</c:f>
              <c:numCache>
                <c:formatCode>0%</c:formatCode>
                <c:ptCount val="5"/>
                <c:pt idx="0">
                  <c:v>0.22318052359727741</c:v>
                </c:pt>
                <c:pt idx="1">
                  <c:v>0.21909242865102457</c:v>
                </c:pt>
                <c:pt idx="2">
                  <c:v>0.21934627762610009</c:v>
                </c:pt>
                <c:pt idx="3">
                  <c:v>0.22606117401256665</c:v>
                </c:pt>
                <c:pt idx="4">
                  <c:v>0.22611900836728982</c:v>
                </c:pt>
              </c:numCache>
            </c:numRef>
          </c:val>
          <c:extLst>
            <c:ext xmlns:c16="http://schemas.microsoft.com/office/drawing/2014/chart" uri="{C3380CC4-5D6E-409C-BE32-E72D297353CC}">
              <c16:uniqueId val="{00000002-A310-4E0F-ADD3-9D74DDBE2BBE}"/>
            </c:ext>
          </c:extLst>
        </c:ser>
        <c:dLbls>
          <c:showLegendKey val="0"/>
          <c:showVal val="0"/>
          <c:showCatName val="0"/>
          <c:showSerName val="0"/>
          <c:showPercent val="0"/>
          <c:showBubbleSize val="0"/>
        </c:dLbls>
        <c:gapWidth val="100"/>
        <c:axId val="540460928"/>
        <c:axId val="540462464"/>
      </c:barChart>
      <c:catAx>
        <c:axId val="540460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0462464"/>
        <c:crosses val="autoZero"/>
        <c:auto val="1"/>
        <c:lblAlgn val="ctr"/>
        <c:lblOffset val="100"/>
        <c:noMultiLvlLbl val="0"/>
      </c:catAx>
      <c:valAx>
        <c:axId val="54046246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046092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646528274874732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which were Re-referrals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'Re-referrals'!$AL$41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4A0-45EC-9AE4-F4E70F8F1710}"/>
              </c:ext>
            </c:extLst>
          </c:dPt>
          <c:cat>
            <c:strRef>
              <c:f>'Re-referrals'!$Z$2:$AD$3</c:f>
              <c:strCache>
                <c:ptCount val="5"/>
                <c:pt idx="0">
                  <c:v>2015-16</c:v>
                </c:pt>
                <c:pt idx="1">
                  <c:v>2016-17</c:v>
                </c:pt>
                <c:pt idx="2">
                  <c:v>2017-18</c:v>
                </c:pt>
                <c:pt idx="3">
                  <c:v>2018-19</c:v>
                </c:pt>
                <c:pt idx="4">
                  <c:v>2019-20</c:v>
                </c:pt>
              </c:strCache>
            </c:strRef>
          </c:cat>
          <c:val>
            <c:numRef>
              <c:f>'Re-referrals'!$AS$41:$AW$41</c:f>
              <c:numCache>
                <c:formatCode>0.0%</c:formatCode>
                <c:ptCount val="5"/>
                <c:pt idx="0">
                  <c:v>0.172281776416539</c:v>
                </c:pt>
                <c:pt idx="1">
                  <c:v>0.23540145985401459</c:v>
                </c:pt>
                <c:pt idx="2">
                  <c:v>0.23529411764705882</c:v>
                </c:pt>
                <c:pt idx="3">
                  <c:v>0.27500000000000002</c:v>
                </c:pt>
                <c:pt idx="4">
                  <c:v>0.25544437904649792</c:v>
                </c:pt>
              </c:numCache>
            </c:numRef>
          </c:val>
          <c:smooth val="0"/>
          <c:extLst>
            <c:ext xmlns:c16="http://schemas.microsoft.com/office/drawing/2014/chart" uri="{C3380CC4-5D6E-409C-BE32-E72D297353CC}">
              <c16:uniqueId val="{00000001-24A0-45EC-9AE4-F4E70F8F1710}"/>
            </c:ext>
          </c:extLst>
        </c:ser>
        <c:ser>
          <c:idx val="1"/>
          <c:order val="1"/>
          <c:tx>
            <c:strRef>
              <c:f>'Re-referrals'!$AL$42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'Re-referrals'!$Z$2:$AD$3</c:f>
              <c:strCache>
                <c:ptCount val="5"/>
                <c:pt idx="0">
                  <c:v>2015-16</c:v>
                </c:pt>
                <c:pt idx="1">
                  <c:v>2016-17</c:v>
                </c:pt>
                <c:pt idx="2">
                  <c:v>2017-18</c:v>
                </c:pt>
                <c:pt idx="3">
                  <c:v>2018-19</c:v>
                </c:pt>
                <c:pt idx="4">
                  <c:v>2019-20</c:v>
                </c:pt>
              </c:strCache>
            </c:strRef>
          </c:cat>
          <c:val>
            <c:numRef>
              <c:f>'Re-referrals'!$AS$42:$AW$42</c:f>
              <c:numCache>
                <c:formatCode>0.0%</c:formatCode>
                <c:ptCount val="5"/>
                <c:pt idx="0">
                  <c:v>0.32136602451838897</c:v>
                </c:pt>
                <c:pt idx="1">
                  <c:v>0.24698972099853156</c:v>
                </c:pt>
                <c:pt idx="2">
                  <c:v>0.28319377990430622</c:v>
                </c:pt>
                <c:pt idx="3">
                  <c:v>0.24544612534732943</c:v>
                </c:pt>
                <c:pt idx="4">
                  <c:v>0.3063567628115374</c:v>
                </c:pt>
              </c:numCache>
            </c:numRef>
          </c:val>
          <c:smooth val="0"/>
          <c:extLst>
            <c:ext xmlns:c16="http://schemas.microsoft.com/office/drawing/2014/chart" uri="{C3380CC4-5D6E-409C-BE32-E72D297353CC}">
              <c16:uniqueId val="{00000002-24A0-45EC-9AE4-F4E70F8F1710}"/>
            </c:ext>
          </c:extLst>
        </c:ser>
        <c:ser>
          <c:idx val="2"/>
          <c:order val="2"/>
          <c:tx>
            <c:strRef>
              <c:f>'Re-referrals'!$AL$43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'Re-referrals'!$Z$2:$AD$3</c:f>
              <c:strCache>
                <c:ptCount val="5"/>
                <c:pt idx="0">
                  <c:v>2015-16</c:v>
                </c:pt>
                <c:pt idx="1">
                  <c:v>2016-17</c:v>
                </c:pt>
                <c:pt idx="2">
                  <c:v>2017-18</c:v>
                </c:pt>
                <c:pt idx="3">
                  <c:v>2018-19</c:v>
                </c:pt>
                <c:pt idx="4">
                  <c:v>2019-20</c:v>
                </c:pt>
              </c:strCache>
            </c:strRef>
          </c:cat>
          <c:val>
            <c:numRef>
              <c:f>'Re-referrals'!$AS$43:$AW$43</c:f>
              <c:numCache>
                <c:formatCode>0.0%</c:formatCode>
                <c:ptCount val="5"/>
                <c:pt idx="0">
                  <c:v>0.26458752515090506</c:v>
                </c:pt>
                <c:pt idx="1">
                  <c:v>0.32909604519774011</c:v>
                </c:pt>
                <c:pt idx="2">
                  <c:v>0.31121215052723228</c:v>
                </c:pt>
                <c:pt idx="3">
                  <c:v>0.31727748691099478</c:v>
                </c:pt>
                <c:pt idx="4">
                  <c:v>0.26054738855025694</c:v>
                </c:pt>
              </c:numCache>
            </c:numRef>
          </c:val>
          <c:smooth val="0"/>
          <c:extLst>
            <c:ext xmlns:c16="http://schemas.microsoft.com/office/drawing/2014/chart" uri="{C3380CC4-5D6E-409C-BE32-E72D297353CC}">
              <c16:uniqueId val="{00000003-24A0-45EC-9AE4-F4E70F8F1710}"/>
            </c:ext>
          </c:extLst>
        </c:ser>
        <c:ser>
          <c:idx val="5"/>
          <c:order val="3"/>
          <c:tx>
            <c:strRef>
              <c:f>'Re-referrals'!$AL$44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'Re-referrals'!$Z$2:$AD$3</c:f>
              <c:strCache>
                <c:ptCount val="5"/>
                <c:pt idx="0">
                  <c:v>2015-16</c:v>
                </c:pt>
                <c:pt idx="1">
                  <c:v>2016-17</c:v>
                </c:pt>
                <c:pt idx="2">
                  <c:v>2017-18</c:v>
                </c:pt>
                <c:pt idx="3">
                  <c:v>2018-19</c:v>
                </c:pt>
                <c:pt idx="4">
                  <c:v>2019-20</c:v>
                </c:pt>
              </c:strCache>
            </c:strRef>
          </c:cat>
          <c:val>
            <c:numRef>
              <c:f>'Re-referrals'!$AS$44:$AW$44</c:f>
              <c:numCache>
                <c:formatCode>0.0%</c:formatCode>
                <c:ptCount val="5"/>
                <c:pt idx="0">
                  <c:v>0.14540337711069423</c:v>
                </c:pt>
                <c:pt idx="1">
                  <c:v>0.14880304678998912</c:v>
                </c:pt>
                <c:pt idx="2">
                  <c:v>0.17678039844286697</c:v>
                </c:pt>
                <c:pt idx="3">
                  <c:v>0.18887601390498263</c:v>
                </c:pt>
                <c:pt idx="4">
                  <c:v>0.18262538996880251</c:v>
                </c:pt>
              </c:numCache>
            </c:numRef>
          </c:val>
          <c:smooth val="0"/>
          <c:extLst>
            <c:ext xmlns:c16="http://schemas.microsoft.com/office/drawing/2014/chart" uri="{C3380CC4-5D6E-409C-BE32-E72D297353CC}">
              <c16:uniqueId val="{00000004-24A0-45EC-9AE4-F4E70F8F1710}"/>
            </c:ext>
          </c:extLst>
        </c:ser>
        <c:ser>
          <c:idx val="9"/>
          <c:order val="4"/>
          <c:tx>
            <c:strRef>
              <c:f>'Re-referrals'!$AL$45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'Re-referrals'!$Z$2:$AD$3</c:f>
              <c:strCache>
                <c:ptCount val="5"/>
                <c:pt idx="0">
                  <c:v>2015-16</c:v>
                </c:pt>
                <c:pt idx="1">
                  <c:v>2016-17</c:v>
                </c:pt>
                <c:pt idx="2">
                  <c:v>2017-18</c:v>
                </c:pt>
                <c:pt idx="3">
                  <c:v>2018-19</c:v>
                </c:pt>
                <c:pt idx="4">
                  <c:v>2019-20</c:v>
                </c:pt>
              </c:strCache>
            </c:strRef>
          </c:cat>
          <c:val>
            <c:numRef>
              <c:f>'Re-referrals'!$AS$45:$AW$45</c:f>
              <c:numCache>
                <c:formatCode>0.0%</c:formatCode>
                <c:ptCount val="5"/>
                <c:pt idx="0">
                  <c:v>0.28171126845073802</c:v>
                </c:pt>
                <c:pt idx="1">
                  <c:v>0.30697195780807823</c:v>
                </c:pt>
                <c:pt idx="2">
                  <c:v>0.29612162581445856</c:v>
                </c:pt>
                <c:pt idx="3">
                  <c:v>0.29112342459800089</c:v>
                </c:pt>
                <c:pt idx="4">
                  <c:v>0.32324431256181996</c:v>
                </c:pt>
              </c:numCache>
            </c:numRef>
          </c:val>
          <c:smooth val="0"/>
          <c:extLst>
            <c:ext xmlns:c16="http://schemas.microsoft.com/office/drawing/2014/chart" uri="{C3380CC4-5D6E-409C-BE32-E72D297353CC}">
              <c16:uniqueId val="{00000005-24A0-45EC-9AE4-F4E70F8F1710}"/>
            </c:ext>
          </c:extLst>
        </c:ser>
        <c:ser>
          <c:idx val="10"/>
          <c:order val="5"/>
          <c:tx>
            <c:strRef>
              <c:f>'Re-referrals'!$AL$46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'Re-referrals'!$Z$2:$AD$3</c:f>
              <c:strCache>
                <c:ptCount val="5"/>
                <c:pt idx="0">
                  <c:v>2015-16</c:v>
                </c:pt>
                <c:pt idx="1">
                  <c:v>2016-17</c:v>
                </c:pt>
                <c:pt idx="2">
                  <c:v>2017-18</c:v>
                </c:pt>
                <c:pt idx="3">
                  <c:v>2018-19</c:v>
                </c:pt>
                <c:pt idx="4">
                  <c:v>2019-20</c:v>
                </c:pt>
              </c:strCache>
            </c:strRef>
          </c:cat>
          <c:val>
            <c:numRef>
              <c:f>'Re-referrals'!$AS$46:$AW$46</c:f>
              <c:numCache>
                <c:formatCode>0.0%</c:formatCode>
                <c:ptCount val="5"/>
                <c:pt idx="0">
                  <c:v>0.3290079531184596</c:v>
                </c:pt>
                <c:pt idx="1">
                  <c:v>0.30309988518943742</c:v>
                </c:pt>
                <c:pt idx="2">
                  <c:v>0.30696202531645572</c:v>
                </c:pt>
                <c:pt idx="3">
                  <c:v>0.34117161716171618</c:v>
                </c:pt>
                <c:pt idx="4">
                  <c:v>0.35430711610486892</c:v>
                </c:pt>
              </c:numCache>
            </c:numRef>
          </c:val>
          <c:smooth val="0"/>
          <c:extLst>
            <c:ext xmlns:c16="http://schemas.microsoft.com/office/drawing/2014/chart" uri="{C3380CC4-5D6E-409C-BE32-E72D297353CC}">
              <c16:uniqueId val="{00000006-24A0-45EC-9AE4-F4E70F8F1710}"/>
            </c:ext>
          </c:extLst>
        </c:ser>
        <c:ser>
          <c:idx val="11"/>
          <c:order val="6"/>
          <c:tx>
            <c:strRef>
              <c:f>'Re-referrals'!$AL$47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'Re-referrals'!$Z$2:$AD$3</c:f>
              <c:strCache>
                <c:ptCount val="5"/>
                <c:pt idx="0">
                  <c:v>2015-16</c:v>
                </c:pt>
                <c:pt idx="1">
                  <c:v>2016-17</c:v>
                </c:pt>
                <c:pt idx="2">
                  <c:v>2017-18</c:v>
                </c:pt>
                <c:pt idx="3">
                  <c:v>2018-19</c:v>
                </c:pt>
                <c:pt idx="4">
                  <c:v>2019-20</c:v>
                </c:pt>
              </c:strCache>
            </c:strRef>
          </c:cat>
          <c:val>
            <c:numRef>
              <c:f>'Re-referrals'!$AS$47:$AW$47</c:f>
              <c:numCache>
                <c:formatCode>0.0%</c:formatCode>
                <c:ptCount val="5"/>
                <c:pt idx="0">
                  <c:v>0.20838221874592638</c:v>
                </c:pt>
                <c:pt idx="1">
                  <c:v>0.23005378044922492</c:v>
                </c:pt>
                <c:pt idx="2">
                  <c:v>0.23083673153357767</c:v>
                </c:pt>
                <c:pt idx="3">
                  <c:v>0.26100749329978667</c:v>
                </c:pt>
                <c:pt idx="4">
                  <c:v>0.28466598058078663</c:v>
                </c:pt>
              </c:numCache>
            </c:numRef>
          </c:val>
          <c:smooth val="0"/>
          <c:extLst>
            <c:ext xmlns:c16="http://schemas.microsoft.com/office/drawing/2014/chart" uri="{C3380CC4-5D6E-409C-BE32-E72D297353CC}">
              <c16:uniqueId val="{00000007-24A0-45EC-9AE4-F4E70F8F1710}"/>
            </c:ext>
          </c:extLst>
        </c:ser>
        <c:ser>
          <c:idx val="12"/>
          <c:order val="7"/>
          <c:tx>
            <c:strRef>
              <c:f>'Re-referrals'!$AL$48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'Re-referrals'!$Z$2:$AD$3</c:f>
              <c:strCache>
                <c:ptCount val="5"/>
                <c:pt idx="0">
                  <c:v>2015-16</c:v>
                </c:pt>
                <c:pt idx="1">
                  <c:v>2016-17</c:v>
                </c:pt>
                <c:pt idx="2">
                  <c:v>2017-18</c:v>
                </c:pt>
                <c:pt idx="3">
                  <c:v>2018-19</c:v>
                </c:pt>
                <c:pt idx="4">
                  <c:v>2019-20</c:v>
                </c:pt>
              </c:strCache>
            </c:strRef>
          </c:cat>
          <c:val>
            <c:numRef>
              <c:f>'Re-referrals'!$AS$48:$AW$48</c:f>
              <c:numCache>
                <c:formatCode>0.0%</c:formatCode>
                <c:ptCount val="5"/>
                <c:pt idx="0">
                  <c:v>0.16508313539192399</c:v>
                </c:pt>
                <c:pt idx="1">
                  <c:v>0.17606149341142022</c:v>
                </c:pt>
                <c:pt idx="2">
                  <c:v>0.16998468606431852</c:v>
                </c:pt>
                <c:pt idx="3">
                  <c:v>0.14310559006211179</c:v>
                </c:pt>
                <c:pt idx="4">
                  <c:v>0.24877650897226752</c:v>
                </c:pt>
              </c:numCache>
            </c:numRef>
          </c:val>
          <c:smooth val="0"/>
          <c:extLst>
            <c:ext xmlns:c16="http://schemas.microsoft.com/office/drawing/2014/chart" uri="{C3380CC4-5D6E-409C-BE32-E72D297353CC}">
              <c16:uniqueId val="{00000008-24A0-45EC-9AE4-F4E70F8F1710}"/>
            </c:ext>
          </c:extLst>
        </c:ser>
        <c:ser>
          <c:idx val="13"/>
          <c:order val="8"/>
          <c:tx>
            <c:strRef>
              <c:f>'Re-referrals'!$AL$49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'Re-referrals'!$Z$2:$AD$3</c:f>
              <c:strCache>
                <c:ptCount val="5"/>
                <c:pt idx="0">
                  <c:v>2015-16</c:v>
                </c:pt>
                <c:pt idx="1">
                  <c:v>2016-17</c:v>
                </c:pt>
                <c:pt idx="2">
                  <c:v>2017-18</c:v>
                </c:pt>
                <c:pt idx="3">
                  <c:v>2018-19</c:v>
                </c:pt>
                <c:pt idx="4">
                  <c:v>2019-20</c:v>
                </c:pt>
              </c:strCache>
            </c:strRef>
          </c:cat>
          <c:val>
            <c:numRef>
              <c:f>'Re-referrals'!$AS$49:$AW$49</c:f>
              <c:numCache>
                <c:formatCode>0.0%</c:formatCode>
                <c:ptCount val="5"/>
                <c:pt idx="0">
                  <c:v>0.20946189960274467</c:v>
                </c:pt>
                <c:pt idx="1">
                  <c:v>0.19072332144015569</c:v>
                </c:pt>
                <c:pt idx="2">
                  <c:v>0.2055955913522679</c:v>
                </c:pt>
                <c:pt idx="3">
                  <c:v>0.19838056680161945</c:v>
                </c:pt>
                <c:pt idx="4">
                  <c:v>0.1686084142394822</c:v>
                </c:pt>
              </c:numCache>
            </c:numRef>
          </c:val>
          <c:smooth val="0"/>
          <c:extLst>
            <c:ext xmlns:c16="http://schemas.microsoft.com/office/drawing/2014/chart" uri="{C3380CC4-5D6E-409C-BE32-E72D297353CC}">
              <c16:uniqueId val="{00000009-24A0-45EC-9AE4-F4E70F8F1710}"/>
            </c:ext>
          </c:extLst>
        </c:ser>
        <c:ser>
          <c:idx val="15"/>
          <c:order val="9"/>
          <c:tx>
            <c:strRef>
              <c:f>'Re-referrals'!$AL$50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'Re-referrals'!$Z$2:$AD$3</c:f>
              <c:strCache>
                <c:ptCount val="5"/>
                <c:pt idx="0">
                  <c:v>2015-16</c:v>
                </c:pt>
                <c:pt idx="1">
                  <c:v>2016-17</c:v>
                </c:pt>
                <c:pt idx="2">
                  <c:v>2017-18</c:v>
                </c:pt>
                <c:pt idx="3">
                  <c:v>2018-19</c:v>
                </c:pt>
                <c:pt idx="4">
                  <c:v>2019-20</c:v>
                </c:pt>
              </c:strCache>
            </c:strRef>
          </c:cat>
          <c:val>
            <c:numRef>
              <c:f>'Re-referrals'!$AS$50:$AW$50</c:f>
              <c:numCache>
                <c:formatCode>0.0%</c:formatCode>
                <c:ptCount val="5"/>
                <c:pt idx="0">
                  <c:v>0.25362962962962965</c:v>
                </c:pt>
                <c:pt idx="1">
                  <c:v>0.19883951316161902</c:v>
                </c:pt>
                <c:pt idx="2">
                  <c:v>0.18608746697974757</c:v>
                </c:pt>
                <c:pt idx="3">
                  <c:v>0.18291783448886267</c:v>
                </c:pt>
                <c:pt idx="4">
                  <c:v>0.1766195681151693</c:v>
                </c:pt>
              </c:numCache>
            </c:numRef>
          </c:val>
          <c:smooth val="0"/>
          <c:extLst>
            <c:ext xmlns:c16="http://schemas.microsoft.com/office/drawing/2014/chart" uri="{C3380CC4-5D6E-409C-BE32-E72D297353CC}">
              <c16:uniqueId val="{0000000A-24A0-45EC-9AE4-F4E70F8F1710}"/>
            </c:ext>
          </c:extLst>
        </c:ser>
        <c:ser>
          <c:idx val="16"/>
          <c:order val="10"/>
          <c:tx>
            <c:strRef>
              <c:f>'Re-referrals'!$AL$51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'Re-referrals'!$Z$2:$AD$3</c:f>
              <c:strCache>
                <c:ptCount val="5"/>
                <c:pt idx="0">
                  <c:v>2015-16</c:v>
                </c:pt>
                <c:pt idx="1">
                  <c:v>2016-17</c:v>
                </c:pt>
                <c:pt idx="2">
                  <c:v>2017-18</c:v>
                </c:pt>
                <c:pt idx="3">
                  <c:v>2018-19</c:v>
                </c:pt>
                <c:pt idx="4">
                  <c:v>2019-20</c:v>
                </c:pt>
              </c:strCache>
            </c:strRef>
          </c:cat>
          <c:val>
            <c:numRef>
              <c:f>'Re-referrals'!$AS$51:$AW$51</c:f>
              <c:numCache>
                <c:formatCode>0.0%</c:formatCode>
                <c:ptCount val="5"/>
                <c:pt idx="0">
                  <c:v>0.19445771619684657</c:v>
                </c:pt>
                <c:pt idx="1">
                  <c:v>0.25934861278648974</c:v>
                </c:pt>
                <c:pt idx="2">
                  <c:v>0.22741652021089631</c:v>
                </c:pt>
                <c:pt idx="3">
                  <c:v>0.25632911392405061</c:v>
                </c:pt>
                <c:pt idx="4">
                  <c:v>0.23686186186186187</c:v>
                </c:pt>
              </c:numCache>
            </c:numRef>
          </c:val>
          <c:smooth val="0"/>
          <c:extLst>
            <c:ext xmlns:c16="http://schemas.microsoft.com/office/drawing/2014/chart" uri="{C3380CC4-5D6E-409C-BE32-E72D297353CC}">
              <c16:uniqueId val="{0000000B-24A0-45EC-9AE4-F4E70F8F1710}"/>
            </c:ext>
          </c:extLst>
        </c:ser>
        <c:ser>
          <c:idx val="17"/>
          <c:order val="11"/>
          <c:tx>
            <c:strRef>
              <c:f>'Re-referrals'!$AL$52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'Re-referrals'!$Z$2:$AD$3</c:f>
              <c:strCache>
                <c:ptCount val="5"/>
                <c:pt idx="0">
                  <c:v>2015-16</c:v>
                </c:pt>
                <c:pt idx="1">
                  <c:v>2016-17</c:v>
                </c:pt>
                <c:pt idx="2">
                  <c:v>2017-18</c:v>
                </c:pt>
                <c:pt idx="3">
                  <c:v>2018-19</c:v>
                </c:pt>
                <c:pt idx="4">
                  <c:v>2019-20</c:v>
                </c:pt>
              </c:strCache>
            </c:strRef>
          </c:cat>
          <c:val>
            <c:numRef>
              <c:f>'Re-referrals'!$AS$52:$AW$52</c:f>
              <c:numCache>
                <c:formatCode>0.0%</c:formatCode>
                <c:ptCount val="5"/>
                <c:pt idx="0">
                  <c:v>0.20987654320987653</c:v>
                </c:pt>
                <c:pt idx="1">
                  <c:v>0.2846648301193756</c:v>
                </c:pt>
                <c:pt idx="2">
                  <c:v>0.22374429223744291</c:v>
                </c:pt>
                <c:pt idx="3">
                  <c:v>0.27236217597663381</c:v>
                </c:pt>
                <c:pt idx="4">
                  <c:v>0.26365054602184085</c:v>
                </c:pt>
              </c:numCache>
            </c:numRef>
          </c:val>
          <c:smooth val="0"/>
          <c:extLst>
            <c:ext xmlns:c16="http://schemas.microsoft.com/office/drawing/2014/chart" uri="{C3380CC4-5D6E-409C-BE32-E72D297353CC}">
              <c16:uniqueId val="{0000000C-24A0-45EC-9AE4-F4E70F8F1710}"/>
            </c:ext>
          </c:extLst>
        </c:ser>
        <c:ser>
          <c:idx val="19"/>
          <c:order val="12"/>
          <c:tx>
            <c:strRef>
              <c:f>'Re-referrals'!$AL$53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'Re-referrals'!$Z$2:$AD$3</c:f>
              <c:strCache>
                <c:ptCount val="5"/>
                <c:pt idx="0">
                  <c:v>2015-16</c:v>
                </c:pt>
                <c:pt idx="1">
                  <c:v>2016-17</c:v>
                </c:pt>
                <c:pt idx="2">
                  <c:v>2017-18</c:v>
                </c:pt>
                <c:pt idx="3">
                  <c:v>2018-19</c:v>
                </c:pt>
                <c:pt idx="4">
                  <c:v>2019-20</c:v>
                </c:pt>
              </c:strCache>
            </c:strRef>
          </c:cat>
          <c:val>
            <c:numRef>
              <c:f>'Re-referrals'!$AS$53:$AW$53</c:f>
              <c:numCache>
                <c:formatCode>0.0%</c:formatCode>
                <c:ptCount val="5"/>
                <c:pt idx="0">
                  <c:v>0.18817591925018029</c:v>
                </c:pt>
                <c:pt idx="1">
                  <c:v>0.29043600562587907</c:v>
                </c:pt>
                <c:pt idx="2">
                  <c:v>0.24512884978001256</c:v>
                </c:pt>
                <c:pt idx="3">
                  <c:v>0.14760705289672543</c:v>
                </c:pt>
                <c:pt idx="4">
                  <c:v>0.16889763779527558</c:v>
                </c:pt>
              </c:numCache>
            </c:numRef>
          </c:val>
          <c:smooth val="0"/>
          <c:extLst>
            <c:ext xmlns:c16="http://schemas.microsoft.com/office/drawing/2014/chart" uri="{C3380CC4-5D6E-409C-BE32-E72D297353CC}">
              <c16:uniqueId val="{0000000D-24A0-45EC-9AE4-F4E70F8F1710}"/>
            </c:ext>
          </c:extLst>
        </c:ser>
        <c:ser>
          <c:idx val="3"/>
          <c:order val="13"/>
          <c:tx>
            <c:strRef>
              <c:f>'Re-referrals'!$AL$54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'Re-referrals'!$Z$2:$AD$3</c:f>
              <c:strCache>
                <c:ptCount val="5"/>
                <c:pt idx="0">
                  <c:v>2015-16</c:v>
                </c:pt>
                <c:pt idx="1">
                  <c:v>2016-17</c:v>
                </c:pt>
                <c:pt idx="2">
                  <c:v>2017-18</c:v>
                </c:pt>
                <c:pt idx="3">
                  <c:v>2018-19</c:v>
                </c:pt>
                <c:pt idx="4">
                  <c:v>2019-20</c:v>
                </c:pt>
              </c:strCache>
            </c:strRef>
          </c:cat>
          <c:val>
            <c:numRef>
              <c:f>'Re-referrals'!$AS$54:$AW$54</c:f>
              <c:numCache>
                <c:formatCode>0.0%</c:formatCode>
                <c:ptCount val="5"/>
                <c:pt idx="0">
                  <c:v>0.23832567142511493</c:v>
                </c:pt>
                <c:pt idx="1">
                  <c:v>0.19886958342055683</c:v>
                </c:pt>
                <c:pt idx="2">
                  <c:v>0.21374636979670861</c:v>
                </c:pt>
                <c:pt idx="3">
                  <c:v>0.23864229765013054</c:v>
                </c:pt>
                <c:pt idx="4">
                  <c:v>0.19839734733351755</c:v>
                </c:pt>
              </c:numCache>
            </c:numRef>
          </c:val>
          <c:smooth val="0"/>
          <c:extLst>
            <c:ext xmlns:c16="http://schemas.microsoft.com/office/drawing/2014/chart" uri="{C3380CC4-5D6E-409C-BE32-E72D297353CC}">
              <c16:uniqueId val="{0000000E-24A0-45EC-9AE4-F4E70F8F1710}"/>
            </c:ext>
          </c:extLst>
        </c:ser>
        <c:ser>
          <c:idx val="20"/>
          <c:order val="14"/>
          <c:tx>
            <c:strRef>
              <c:f>'Re-referrals'!$AL$55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'Re-referrals'!$Z$2:$AD$3</c:f>
              <c:strCache>
                <c:ptCount val="5"/>
                <c:pt idx="0">
                  <c:v>2015-16</c:v>
                </c:pt>
                <c:pt idx="1">
                  <c:v>2016-17</c:v>
                </c:pt>
                <c:pt idx="2">
                  <c:v>2017-18</c:v>
                </c:pt>
                <c:pt idx="3">
                  <c:v>2018-19</c:v>
                </c:pt>
                <c:pt idx="4">
                  <c:v>2019-20</c:v>
                </c:pt>
              </c:strCache>
            </c:strRef>
          </c:cat>
          <c:val>
            <c:numRef>
              <c:f>'Re-referrals'!$AS$55:$AW$55</c:f>
              <c:numCache>
                <c:formatCode>0.0%</c:formatCode>
                <c:ptCount val="5"/>
                <c:pt idx="0">
                  <c:v>0.19193391642371235</c:v>
                </c:pt>
                <c:pt idx="1">
                  <c:v>0.26609724047306177</c:v>
                </c:pt>
                <c:pt idx="2">
                  <c:v>0.20283199387677001</c:v>
                </c:pt>
                <c:pt idx="3">
                  <c:v>0.16974595842956119</c:v>
                </c:pt>
                <c:pt idx="4">
                  <c:v>0.22913223140495867</c:v>
                </c:pt>
              </c:numCache>
            </c:numRef>
          </c:val>
          <c:smooth val="0"/>
          <c:extLst>
            <c:ext xmlns:c16="http://schemas.microsoft.com/office/drawing/2014/chart" uri="{C3380CC4-5D6E-409C-BE32-E72D297353CC}">
              <c16:uniqueId val="{0000000F-24A0-45EC-9AE4-F4E70F8F1710}"/>
            </c:ext>
          </c:extLst>
        </c:ser>
        <c:ser>
          <c:idx val="22"/>
          <c:order val="15"/>
          <c:tx>
            <c:strRef>
              <c:f>'Re-referrals'!$AL$56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'Re-referrals'!$Z$2:$AD$3</c:f>
              <c:strCache>
                <c:ptCount val="5"/>
                <c:pt idx="0">
                  <c:v>2015-16</c:v>
                </c:pt>
                <c:pt idx="1">
                  <c:v>2016-17</c:v>
                </c:pt>
                <c:pt idx="2">
                  <c:v>2017-18</c:v>
                </c:pt>
                <c:pt idx="3">
                  <c:v>2018-19</c:v>
                </c:pt>
                <c:pt idx="4">
                  <c:v>2019-20</c:v>
                </c:pt>
              </c:strCache>
            </c:strRef>
          </c:cat>
          <c:val>
            <c:numRef>
              <c:f>'Re-referrals'!$AS$56:$AW$56</c:f>
              <c:numCache>
                <c:formatCode>0.0%</c:formatCode>
                <c:ptCount val="5"/>
                <c:pt idx="0">
                  <c:v>0.24133242692046228</c:v>
                </c:pt>
                <c:pt idx="1">
                  <c:v>0.24796643548248995</c:v>
                </c:pt>
                <c:pt idx="2">
                  <c:v>0.27330104212534861</c:v>
                </c:pt>
                <c:pt idx="3">
                  <c:v>0.25528913963328631</c:v>
                </c:pt>
                <c:pt idx="4">
                  <c:v>0.21504871463786829</c:v>
                </c:pt>
              </c:numCache>
            </c:numRef>
          </c:val>
          <c:smooth val="0"/>
          <c:extLst>
            <c:ext xmlns:c16="http://schemas.microsoft.com/office/drawing/2014/chart" uri="{C3380CC4-5D6E-409C-BE32-E72D297353CC}">
              <c16:uniqueId val="{00000010-24A0-45EC-9AE4-F4E70F8F1710}"/>
            </c:ext>
          </c:extLst>
        </c:ser>
        <c:ser>
          <c:idx val="7"/>
          <c:order val="16"/>
          <c:tx>
            <c:strRef>
              <c:f>'Re-referrals'!$AL$57</c:f>
              <c:strCache>
                <c:ptCount val="1"/>
                <c:pt idx="0">
                  <c:v>Swindon</c:v>
                </c:pt>
              </c:strCache>
            </c:strRef>
          </c:tx>
          <c:spPr>
            <a:ln w="12700"/>
          </c:spPr>
          <c:marker>
            <c:symbol val="triangle"/>
            <c:size val="5"/>
            <c:spPr>
              <a:solidFill>
                <a:schemeClr val="accent2">
                  <a:lumMod val="20000"/>
                  <a:lumOff val="80000"/>
                </a:schemeClr>
              </a:solidFill>
            </c:spPr>
          </c:marker>
          <c:cat>
            <c:strRef>
              <c:f>'Re-referrals'!$Z$2:$AD$3</c:f>
              <c:strCache>
                <c:ptCount val="5"/>
                <c:pt idx="0">
                  <c:v>2015-16</c:v>
                </c:pt>
                <c:pt idx="1">
                  <c:v>2016-17</c:v>
                </c:pt>
                <c:pt idx="2">
                  <c:v>2017-18</c:v>
                </c:pt>
                <c:pt idx="3">
                  <c:v>2018-19</c:v>
                </c:pt>
                <c:pt idx="4">
                  <c:v>2019-20</c:v>
                </c:pt>
              </c:strCache>
            </c:strRef>
          </c:cat>
          <c:val>
            <c:numRef>
              <c:f>'Re-referrals'!$AS$57:$AW$57</c:f>
              <c:numCache>
                <c:formatCode>0.0%</c:formatCode>
                <c:ptCount val="5"/>
                <c:pt idx="0">
                  <c:v>0.27870778267254037</c:v>
                </c:pt>
                <c:pt idx="1">
                  <c:v>0.26613704071499505</c:v>
                </c:pt>
                <c:pt idx="2">
                  <c:v>0.24179762889440309</c:v>
                </c:pt>
                <c:pt idx="3">
                  <c:v>0.17951881554595928</c:v>
                </c:pt>
                <c:pt idx="4">
                  <c:v>0.29510905485789823</c:v>
                </c:pt>
              </c:numCache>
            </c:numRef>
          </c:val>
          <c:smooth val="0"/>
          <c:extLst>
            <c:ext xmlns:c16="http://schemas.microsoft.com/office/drawing/2014/chart" uri="{C3380CC4-5D6E-409C-BE32-E72D297353CC}">
              <c16:uniqueId val="{00000011-24A0-45EC-9AE4-F4E70F8F1710}"/>
            </c:ext>
          </c:extLst>
        </c:ser>
        <c:ser>
          <c:idx val="8"/>
          <c:order val="17"/>
          <c:tx>
            <c:strRef>
              <c:f>'Re-referrals'!$AL$58</c:f>
              <c:strCache>
                <c:ptCount val="1"/>
                <c:pt idx="0">
                  <c:v>Torbay</c:v>
                </c:pt>
              </c:strCache>
            </c:strRef>
          </c:tx>
          <c:spPr>
            <a:ln w="12700"/>
          </c:spPr>
          <c:marker>
            <c:symbol val="circle"/>
            <c:size val="5"/>
            <c:spPr>
              <a:solidFill>
                <a:schemeClr val="accent3">
                  <a:lumMod val="20000"/>
                  <a:lumOff val="80000"/>
                </a:schemeClr>
              </a:solidFill>
            </c:spPr>
          </c:marker>
          <c:cat>
            <c:strRef>
              <c:f>'Re-referrals'!$Z$2:$AD$3</c:f>
              <c:strCache>
                <c:ptCount val="5"/>
                <c:pt idx="0">
                  <c:v>2015-16</c:v>
                </c:pt>
                <c:pt idx="1">
                  <c:v>2016-17</c:v>
                </c:pt>
                <c:pt idx="2">
                  <c:v>2017-18</c:v>
                </c:pt>
                <c:pt idx="3">
                  <c:v>2018-19</c:v>
                </c:pt>
                <c:pt idx="4">
                  <c:v>2019-20</c:v>
                </c:pt>
              </c:strCache>
            </c:strRef>
          </c:cat>
          <c:val>
            <c:numRef>
              <c:f>'Re-referrals'!$AS$58:$AW$58</c:f>
              <c:numCache>
                <c:formatCode>0.0%</c:formatCode>
                <c:ptCount val="5"/>
                <c:pt idx="0">
                  <c:v>0.28873239436619724</c:v>
                </c:pt>
                <c:pt idx="1">
                  <c:v>0.27042079207920794</c:v>
                </c:pt>
                <c:pt idx="2">
                  <c:v>0.24598337950138505</c:v>
                </c:pt>
                <c:pt idx="3">
                  <c:v>0.26387315968289921</c:v>
                </c:pt>
                <c:pt idx="4">
                  <c:v>0.22150882825040127</c:v>
                </c:pt>
              </c:numCache>
            </c:numRef>
          </c:val>
          <c:smooth val="0"/>
          <c:extLst>
            <c:ext xmlns:c16="http://schemas.microsoft.com/office/drawing/2014/chart" uri="{C3380CC4-5D6E-409C-BE32-E72D297353CC}">
              <c16:uniqueId val="{00000012-24A0-45EC-9AE4-F4E70F8F1710}"/>
            </c:ext>
          </c:extLst>
        </c:ser>
        <c:ser>
          <c:idx val="23"/>
          <c:order val="18"/>
          <c:tx>
            <c:strRef>
              <c:f>'Re-referrals'!$AL$59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'Re-referrals'!$Z$2:$AD$3</c:f>
              <c:strCache>
                <c:ptCount val="5"/>
                <c:pt idx="0">
                  <c:v>2015-16</c:v>
                </c:pt>
                <c:pt idx="1">
                  <c:v>2016-17</c:v>
                </c:pt>
                <c:pt idx="2">
                  <c:v>2017-18</c:v>
                </c:pt>
                <c:pt idx="3">
                  <c:v>2018-19</c:v>
                </c:pt>
                <c:pt idx="4">
                  <c:v>2019-20</c:v>
                </c:pt>
              </c:strCache>
            </c:strRef>
          </c:cat>
          <c:val>
            <c:numRef>
              <c:f>'Re-referrals'!$AS$59:$AW$59</c:f>
              <c:numCache>
                <c:formatCode>0.0%</c:formatCode>
                <c:ptCount val="5"/>
                <c:pt idx="0">
                  <c:v>0.16043956043956045</c:v>
                </c:pt>
                <c:pt idx="1">
                  <c:v>0.2360774818401937</c:v>
                </c:pt>
                <c:pt idx="2">
                  <c:v>0.26917989417989419</c:v>
                </c:pt>
                <c:pt idx="3">
                  <c:v>0.26156583629893237</c:v>
                </c:pt>
                <c:pt idx="4">
                  <c:v>0.2678355501813785</c:v>
                </c:pt>
              </c:numCache>
            </c:numRef>
          </c:val>
          <c:smooth val="0"/>
          <c:extLst>
            <c:ext xmlns:c16="http://schemas.microsoft.com/office/drawing/2014/chart" uri="{C3380CC4-5D6E-409C-BE32-E72D297353CC}">
              <c16:uniqueId val="{00000013-24A0-45EC-9AE4-F4E70F8F1710}"/>
            </c:ext>
          </c:extLst>
        </c:ser>
        <c:ser>
          <c:idx val="24"/>
          <c:order val="19"/>
          <c:tx>
            <c:strRef>
              <c:f>'Re-referrals'!$AL$60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'Re-referrals'!$Z$2:$AD$3</c:f>
              <c:strCache>
                <c:ptCount val="5"/>
                <c:pt idx="0">
                  <c:v>2015-16</c:v>
                </c:pt>
                <c:pt idx="1">
                  <c:v>2016-17</c:v>
                </c:pt>
                <c:pt idx="2">
                  <c:v>2017-18</c:v>
                </c:pt>
                <c:pt idx="3">
                  <c:v>2018-19</c:v>
                </c:pt>
                <c:pt idx="4">
                  <c:v>2019-20</c:v>
                </c:pt>
              </c:strCache>
            </c:strRef>
          </c:cat>
          <c:val>
            <c:numRef>
              <c:f>'Re-referrals'!$AS$60:$AW$60</c:f>
              <c:numCache>
                <c:formatCode>0.0%</c:formatCode>
                <c:ptCount val="5"/>
                <c:pt idx="0">
                  <c:v>0.24389345771449578</c:v>
                </c:pt>
                <c:pt idx="1">
                  <c:v>0.25271708042558061</c:v>
                </c:pt>
                <c:pt idx="2">
                  <c:v>0.26803401700850427</c:v>
                </c:pt>
                <c:pt idx="3">
                  <c:v>0.25774499473129608</c:v>
                </c:pt>
                <c:pt idx="4">
                  <c:v>0.26558591013709598</c:v>
                </c:pt>
              </c:numCache>
            </c:numRef>
          </c:val>
          <c:smooth val="0"/>
          <c:extLst>
            <c:ext xmlns:c16="http://schemas.microsoft.com/office/drawing/2014/chart" uri="{C3380CC4-5D6E-409C-BE32-E72D297353CC}">
              <c16:uniqueId val="{00000014-24A0-45EC-9AE4-F4E70F8F1710}"/>
            </c:ext>
          </c:extLst>
        </c:ser>
        <c:ser>
          <c:idx val="25"/>
          <c:order val="20"/>
          <c:tx>
            <c:strRef>
              <c:f>'Re-referrals'!$AL$61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'Re-referrals'!$Z$2:$AD$3</c:f>
              <c:strCache>
                <c:ptCount val="5"/>
                <c:pt idx="0">
                  <c:v>2015-16</c:v>
                </c:pt>
                <c:pt idx="1">
                  <c:v>2016-17</c:v>
                </c:pt>
                <c:pt idx="2">
                  <c:v>2017-18</c:v>
                </c:pt>
                <c:pt idx="3">
                  <c:v>2018-19</c:v>
                </c:pt>
                <c:pt idx="4">
                  <c:v>2019-20</c:v>
                </c:pt>
              </c:strCache>
            </c:strRef>
          </c:cat>
          <c:val>
            <c:numRef>
              <c:f>'Re-referrals'!$AS$61:$AW$61</c:f>
              <c:numCache>
                <c:formatCode>0.0%</c:formatCode>
                <c:ptCount val="5"/>
                <c:pt idx="0">
                  <c:v>0.17309417040358743</c:v>
                </c:pt>
                <c:pt idx="1">
                  <c:v>0.11794354838709678</c:v>
                </c:pt>
                <c:pt idx="2">
                  <c:v>0.15645617342130066</c:v>
                </c:pt>
                <c:pt idx="3">
                  <c:v>0.20969162995594715</c:v>
                </c:pt>
                <c:pt idx="4">
                  <c:v>0.15781710914454278</c:v>
                </c:pt>
              </c:numCache>
            </c:numRef>
          </c:val>
          <c:smooth val="0"/>
          <c:extLst>
            <c:ext xmlns:c16="http://schemas.microsoft.com/office/drawing/2014/chart" uri="{C3380CC4-5D6E-409C-BE32-E72D297353CC}">
              <c16:uniqueId val="{00000015-24A0-45EC-9AE4-F4E70F8F1710}"/>
            </c:ext>
          </c:extLst>
        </c:ser>
        <c:ser>
          <c:idx val="26"/>
          <c:order val="21"/>
          <c:tx>
            <c:strRef>
              <c:f>'Re-referrals'!$AL$62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'Re-referrals'!$Z$2:$AD$3</c:f>
              <c:strCache>
                <c:ptCount val="5"/>
                <c:pt idx="0">
                  <c:v>2015-16</c:v>
                </c:pt>
                <c:pt idx="1">
                  <c:v>2016-17</c:v>
                </c:pt>
                <c:pt idx="2">
                  <c:v>2017-18</c:v>
                </c:pt>
                <c:pt idx="3">
                  <c:v>2018-19</c:v>
                </c:pt>
                <c:pt idx="4">
                  <c:v>2019-20</c:v>
                </c:pt>
              </c:strCache>
            </c:strRef>
          </c:cat>
          <c:val>
            <c:numRef>
              <c:f>'Re-referrals'!$AS$62:$AW$62</c:f>
              <c:numCache>
                <c:formatCode>0.0%</c:formatCode>
                <c:ptCount val="5"/>
                <c:pt idx="0">
                  <c:v>0.17241379310344829</c:v>
                </c:pt>
                <c:pt idx="1">
                  <c:v>0.1874310915104741</c:v>
                </c:pt>
                <c:pt idx="2">
                  <c:v>0.16557257476294676</c:v>
                </c:pt>
                <c:pt idx="3">
                  <c:v>0.21055718475073315</c:v>
                </c:pt>
                <c:pt idx="4">
                  <c:v>0.24577226606538896</c:v>
                </c:pt>
              </c:numCache>
            </c:numRef>
          </c:val>
          <c:smooth val="0"/>
          <c:extLst>
            <c:ext xmlns:c16="http://schemas.microsoft.com/office/drawing/2014/chart" uri="{C3380CC4-5D6E-409C-BE32-E72D297353CC}">
              <c16:uniqueId val="{00000016-24A0-45EC-9AE4-F4E70F8F1710}"/>
            </c:ext>
          </c:extLst>
        </c:ser>
        <c:ser>
          <c:idx val="4"/>
          <c:order val="22"/>
          <c:tx>
            <c:strRef>
              <c:f>'Re-referrals'!$AL$63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'Re-referrals'!$Z$2:$AD$3</c:f>
              <c:strCache>
                <c:ptCount val="5"/>
                <c:pt idx="0">
                  <c:v>2015-16</c:v>
                </c:pt>
                <c:pt idx="1">
                  <c:v>2016-17</c:v>
                </c:pt>
                <c:pt idx="2">
                  <c:v>2017-18</c:v>
                </c:pt>
                <c:pt idx="3">
                  <c:v>2018-19</c:v>
                </c:pt>
                <c:pt idx="4">
                  <c:v>2019-20</c:v>
                </c:pt>
              </c:strCache>
            </c:strRef>
          </c:cat>
          <c:val>
            <c:numRef>
              <c:f>'Re-referrals'!$AS$63:$AW$63</c:f>
              <c:numCache>
                <c:formatCode>0.0%</c:formatCode>
                <c:ptCount val="5"/>
                <c:pt idx="0">
                  <c:v>0.234860883797054</c:v>
                </c:pt>
                <c:pt idx="1">
                  <c:v>0.25662808065720688</c:v>
                </c:pt>
                <c:pt idx="2">
                  <c:v>0.25180598555211559</c:v>
                </c:pt>
                <c:pt idx="3">
                  <c:v>0.2558871198398322</c:v>
                </c:pt>
                <c:pt idx="4">
                  <c:v>0.26039846207619716</c:v>
                </c:pt>
              </c:numCache>
            </c:numRef>
          </c:val>
          <c:smooth val="0"/>
          <c:extLst>
            <c:ext xmlns:c16="http://schemas.microsoft.com/office/drawing/2014/chart" uri="{C3380CC4-5D6E-409C-BE32-E72D297353CC}">
              <c16:uniqueId val="{00000017-24A0-45EC-9AE4-F4E70F8F1710}"/>
            </c:ext>
          </c:extLst>
        </c:ser>
        <c:ser>
          <c:idx val="14"/>
          <c:order val="23"/>
          <c:tx>
            <c:strRef>
              <c:f>'Re-referrals'!$AL$64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'Re-referrals'!$Z$2:$AD$3</c:f>
              <c:strCache>
                <c:ptCount val="5"/>
                <c:pt idx="0">
                  <c:v>2015-16</c:v>
                </c:pt>
                <c:pt idx="1">
                  <c:v>2016-17</c:v>
                </c:pt>
                <c:pt idx="2">
                  <c:v>2017-18</c:v>
                </c:pt>
                <c:pt idx="3">
                  <c:v>2018-19</c:v>
                </c:pt>
                <c:pt idx="4">
                  <c:v>2019-20</c:v>
                </c:pt>
              </c:strCache>
            </c:strRef>
          </c:cat>
          <c:val>
            <c:numRef>
              <c:f>'Re-referrals'!$AS$64:$AW$64</c:f>
              <c:numCache>
                <c:formatCode>0.0%</c:formatCode>
                <c:ptCount val="5"/>
                <c:pt idx="0">
                  <c:v>0.22318052359727741</c:v>
                </c:pt>
                <c:pt idx="1">
                  <c:v>0.21909242865102457</c:v>
                </c:pt>
                <c:pt idx="2">
                  <c:v>0.21934627762610009</c:v>
                </c:pt>
                <c:pt idx="3">
                  <c:v>0.22606117401256665</c:v>
                </c:pt>
                <c:pt idx="4">
                  <c:v>0.22611900836728982</c:v>
                </c:pt>
              </c:numCache>
            </c:numRef>
          </c:val>
          <c:smooth val="0"/>
          <c:extLst>
            <c:ext xmlns:c16="http://schemas.microsoft.com/office/drawing/2014/chart" uri="{C3380CC4-5D6E-409C-BE32-E72D297353CC}">
              <c16:uniqueId val="{00000018-24A0-45EC-9AE4-F4E70F8F1710}"/>
            </c:ext>
          </c:extLst>
        </c:ser>
        <c:ser>
          <c:idx val="6"/>
          <c:order val="24"/>
          <c:tx>
            <c:strRef>
              <c:f>'Re-referrals'!$AL$65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'Re-referrals'!$Z$2:$AD$3</c:f>
              <c:strCache>
                <c:ptCount val="5"/>
                <c:pt idx="0">
                  <c:v>2015-16</c:v>
                </c:pt>
                <c:pt idx="1">
                  <c:v>2016-17</c:v>
                </c:pt>
                <c:pt idx="2">
                  <c:v>2017-18</c:v>
                </c:pt>
                <c:pt idx="3">
                  <c:v>2018-19</c:v>
                </c:pt>
                <c:pt idx="4">
                  <c:v>2019-20</c:v>
                </c:pt>
              </c:strCache>
            </c:strRef>
          </c:cat>
          <c:val>
            <c:numRef>
              <c:f>'Re-referrals'!$AS$65:$AW$65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4A0-45EC-9AE4-F4E70F8F1710}"/>
            </c:ext>
          </c:extLst>
        </c:ser>
        <c:dLbls>
          <c:showLegendKey val="0"/>
          <c:showVal val="0"/>
          <c:showCatName val="0"/>
          <c:showSerName val="0"/>
          <c:showPercent val="0"/>
          <c:showBubbleSize val="0"/>
        </c:dLbls>
        <c:marker val="1"/>
        <c:smooth val="0"/>
        <c:axId val="550374400"/>
        <c:axId val="550384384"/>
      </c:lineChart>
      <c:catAx>
        <c:axId val="550374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384384"/>
        <c:crosses val="autoZero"/>
        <c:auto val="1"/>
        <c:lblAlgn val="ctr"/>
        <c:lblOffset val="100"/>
        <c:tickLblSkip val="1"/>
        <c:tickMarkSkip val="1"/>
        <c:noMultiLvlLbl val="0"/>
      </c:catAx>
      <c:valAx>
        <c:axId val="55038438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37440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92088853016509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'Re-referrals'!$S$7</c:f>
              <c:strCache>
                <c:ptCount val="1"/>
                <c:pt idx="0">
                  <c:v>Distance from Expected 2020</c:v>
                </c:pt>
              </c:strCache>
            </c:strRef>
          </c:tx>
          <c:spPr>
            <a:solidFill>
              <a:srgbClr val="FB994F"/>
            </a:solidFill>
            <a:ln w="25400">
              <a:noFill/>
            </a:ln>
          </c:spPr>
          <c:invertIfNegative val="0"/>
          <c:cat>
            <c:strRef>
              <c:f>'Re-referrals'!$Y$77:$Y$100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'Re-referrals'!$U$10:$U$33</c:f>
              <c:numCache>
                <c:formatCode>0.0</c:formatCode>
                <c:ptCount val="24"/>
                <c:pt idx="0">
                  <c:v>60.733715384934484</c:v>
                </c:pt>
                <c:pt idx="1">
                  <c:v>101.76219542820806</c:v>
                </c:pt>
                <c:pt idx="2">
                  <c:v>82.82371572669615</c:v>
                </c:pt>
                <c:pt idx="3">
                  <c:v>-47.099200363775438</c:v>
                </c:pt>
                <c:pt idx="4">
                  <c:v>133.38049998285513</c:v>
                </c:pt>
                <c:pt idx="5">
                  <c:v>257.28592161831938</c:v>
                </c:pt>
                <c:pt idx="6">
                  <c:v>67.468984181391377</c:v>
                </c:pt>
                <c:pt idx="7">
                  <c:v>58.656546091683282</c:v>
                </c:pt>
                <c:pt idx="8">
                  <c:v>-38.897512939505717</c:v>
                </c:pt>
                <c:pt idx="9">
                  <c:v>-5.826187769018361</c:v>
                </c:pt>
                <c:pt idx="10">
                  <c:v>10.224330514990783</c:v>
                </c:pt>
                <c:pt idx="11">
                  <c:v>64.383188019439658</c:v>
                </c:pt>
                <c:pt idx="12">
                  <c:v>-13.979716981208824</c:v>
                </c:pt>
                <c:pt idx="13">
                  <c:v>-44.882551221016087</c:v>
                </c:pt>
                <c:pt idx="14">
                  <c:v>81.231163539007042</c:v>
                </c:pt>
                <c:pt idx="15">
                  <c:v>-20.419481071907185</c:v>
                </c:pt>
                <c:pt idx="16">
                  <c:v>62.927808312758543</c:v>
                </c:pt>
                <c:pt idx="17">
                  <c:v>21.597215726243121</c:v>
                </c:pt>
                <c:pt idx="18">
                  <c:v>33.094067735216939</c:v>
                </c:pt>
                <c:pt idx="19">
                  <c:v>50.866597068948067</c:v>
                </c:pt>
                <c:pt idx="20">
                  <c:v>-22.282149655918424</c:v>
                </c:pt>
                <c:pt idx="21">
                  <c:v>28.031955996137384</c:v>
                </c:pt>
                <c:pt idx="22">
                  <c:v>46.420073276149324</c:v>
                </c:pt>
                <c:pt idx="23">
                  <c:v>-1.4061785423913591</c:v>
                </c:pt>
              </c:numCache>
            </c:numRef>
          </c:val>
          <c:extLst>
            <c:ext xmlns:c16="http://schemas.microsoft.com/office/drawing/2014/chart" uri="{C3380CC4-5D6E-409C-BE32-E72D297353CC}">
              <c16:uniqueId val="{00000000-EF58-473D-87C1-6A2F70302A46}"/>
            </c:ext>
          </c:extLst>
        </c:ser>
        <c:ser>
          <c:idx val="0"/>
          <c:order val="1"/>
          <c:tx>
            <c:strRef>
              <c:f>'Re-referrals'!$AA$4</c:f>
              <c:strCache>
                <c:ptCount val="1"/>
                <c:pt idx="0">
                  <c:v>Selected LA- (none)</c:v>
                </c:pt>
              </c:strCache>
            </c:strRef>
          </c:tx>
          <c:spPr>
            <a:solidFill>
              <a:srgbClr val="66FF99"/>
            </a:solidFill>
            <a:ln w="12700">
              <a:solidFill>
                <a:srgbClr val="000000"/>
              </a:solidFill>
              <a:prstDash val="solid"/>
            </a:ln>
          </c:spPr>
          <c:invertIfNegative val="0"/>
          <c:cat>
            <c:strRef>
              <c:f>'Re-referrals'!$Y$77:$Y$100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EF58-473D-87C1-6A2F70302A46}"/>
            </c:ext>
          </c:extLst>
        </c:ser>
        <c:dLbls>
          <c:showLegendKey val="0"/>
          <c:showVal val="0"/>
          <c:showCatName val="0"/>
          <c:showSerName val="0"/>
          <c:showPercent val="0"/>
          <c:showBubbleSize val="0"/>
        </c:dLbls>
        <c:gapWidth val="40"/>
        <c:overlap val="100"/>
        <c:axId val="550413824"/>
        <c:axId val="550415360"/>
      </c:barChart>
      <c:catAx>
        <c:axId val="55041382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415360"/>
        <c:crossesAt val="0"/>
        <c:auto val="1"/>
        <c:lblAlgn val="ctr"/>
        <c:lblOffset val="100"/>
        <c:noMultiLvlLbl val="0"/>
      </c:catAx>
      <c:valAx>
        <c:axId val="550415360"/>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413824"/>
        <c:crosses val="max"/>
        <c:crossBetween val="between"/>
      </c:valAx>
      <c:spPr>
        <a:noFill/>
        <a:ln w="12700">
          <a:solidFill>
            <a:srgbClr val="000000"/>
          </a:solidFill>
          <a:prstDash val="solid"/>
        </a:ln>
      </c:spPr>
    </c:plotArea>
    <c:legend>
      <c:legendPos val="t"/>
      <c:layout>
        <c:manualLayout>
          <c:xMode val="edge"/>
          <c:yMode val="edge"/>
          <c:x val="0.19701637727249535"/>
          <c:y val="7.2490772111310081E-2"/>
          <c:w val="0.72758490501862216"/>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'Re-referrals'!$AL$5</c:f>
          <c:strCache>
            <c:ptCount val="1"/>
            <c:pt idx="0">
              <c:v>Average Annual Change in Number of Re-referrals</c:v>
            </c:pt>
          </c:strCache>
        </c:strRef>
      </c:tx>
      <c:layout>
        <c:manualLayout>
          <c:xMode val="edge"/>
          <c:yMode val="edge"/>
          <c:x val="9.5785619809663491E-3"/>
          <c:y val="1.1152426478663088E-2"/>
        </c:manualLayout>
      </c:layout>
      <c:overlay val="0"/>
      <c:spPr>
        <a:noFill/>
        <a:ln w="25400">
          <a:noFill/>
        </a:ln>
      </c:spPr>
      <c:txPr>
        <a:bodyPr/>
        <a:lstStyle/>
        <a:p>
          <a:pPr>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'Re-referrals'!$I$7</c:f>
              <c:strCache>
                <c:ptCount val="1"/>
                <c:pt idx="0">
                  <c:v>Average Annual Change </c:v>
                </c:pt>
              </c:strCache>
            </c:strRef>
          </c:tx>
          <c:spPr>
            <a:solidFill>
              <a:srgbClr val="FB994F"/>
            </a:solidFill>
            <a:ln w="25400">
              <a:noFill/>
            </a:ln>
          </c:spPr>
          <c:invertIfNegative val="0"/>
          <c:cat>
            <c:strRef>
              <c:f>'Re-referrals'!$B$10:$B$33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'Re-referrals'!$I$10:$I$33</c:f>
              <c:numCache>
                <c:formatCode>0.0%</c:formatCode>
                <c:ptCount val="24"/>
                <c:pt idx="0">
                  <c:v>0.24243523586220844</c:v>
                </c:pt>
                <c:pt idx="1">
                  <c:v>2.6371309429321199E-2</c:v>
                </c:pt>
                <c:pt idx="2">
                  <c:v>9.0051284050478977E-2</c:v>
                </c:pt>
                <c:pt idx="3">
                  <c:v>0.14428011281937753</c:v>
                </c:pt>
                <c:pt idx="4">
                  <c:v>0.10330479509202295</c:v>
                </c:pt>
                <c:pt idx="5">
                  <c:v>5.6704502703555849E-2</c:v>
                </c:pt>
                <c:pt idx="6">
                  <c:v>0.19187923362150233</c:v>
                </c:pt>
                <c:pt idx="7">
                  <c:v>0.30088442239971019</c:v>
                </c:pt>
                <c:pt idx="8">
                  <c:v>-2.0857983661421779E-2</c:v>
                </c:pt>
                <c:pt idx="9">
                  <c:v>-5.7591239633591432E-2</c:v>
                </c:pt>
                <c:pt idx="10">
                  <c:v>0.14504385684323046</c:v>
                </c:pt>
                <c:pt idx="11">
                  <c:v>6.1690062580151167E-2</c:v>
                </c:pt>
                <c:pt idx="12">
                  <c:v>0.40406857837556204</c:v>
                </c:pt>
                <c:pt idx="13">
                  <c:v>-6.4992798542607075E-2</c:v>
                </c:pt>
                <c:pt idx="14">
                  <c:v>0.25661303601839502</c:v>
                </c:pt>
                <c:pt idx="15">
                  <c:v>-7.2636377675627417E-2</c:v>
                </c:pt>
                <c:pt idx="16">
                  <c:v>3.399846643049878E-2</c:v>
                </c:pt>
                <c:pt idx="17">
                  <c:v>-7.1174021208766591E-2</c:v>
                </c:pt>
                <c:pt idx="18">
                  <c:v>0.22812122308208413</c:v>
                </c:pt>
                <c:pt idx="19">
                  <c:v>8.0639055405021878E-2</c:v>
                </c:pt>
                <c:pt idx="20">
                  <c:v>8.9478909752078006E-2</c:v>
                </c:pt>
                <c:pt idx="21">
                  <c:v>0.25076786661612427</c:v>
                </c:pt>
                <c:pt idx="22">
                  <c:v>6.3918206883802231E-2</c:v>
                </c:pt>
                <c:pt idx="23">
                  <c:v>1.1944716977332509E-2</c:v>
                </c:pt>
              </c:numCache>
            </c:numRef>
          </c:val>
          <c:extLst>
            <c:ext xmlns:c16="http://schemas.microsoft.com/office/drawing/2014/chart" uri="{C3380CC4-5D6E-409C-BE32-E72D297353CC}">
              <c16:uniqueId val="{00000000-5F2C-420C-A064-A376EA6D6BA1}"/>
            </c:ext>
          </c:extLst>
        </c:ser>
        <c:ser>
          <c:idx val="1"/>
          <c:order val="1"/>
          <c:tx>
            <c:strRef>
              <c:f>'Re-referrals'!$AA$4</c:f>
              <c:strCache>
                <c:ptCount val="1"/>
                <c:pt idx="0">
                  <c:v>Selected LA- (none)</c:v>
                </c:pt>
              </c:strCache>
            </c:strRef>
          </c:tx>
          <c:spPr>
            <a:solidFill>
              <a:srgbClr val="66FF99"/>
            </a:solidFill>
            <a:ln w="12700">
              <a:solidFill>
                <a:srgbClr val="000000"/>
              </a:solidFill>
              <a:prstDash val="solid"/>
            </a:ln>
          </c:spPr>
          <c:invertIfNegative val="0"/>
          <c:cat>
            <c:strRef>
              <c:f>'Re-referrals'!$B$10:$B$33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5F2C-420C-A064-A376EA6D6BA1}"/>
            </c:ext>
          </c:extLst>
        </c:ser>
        <c:dLbls>
          <c:showLegendKey val="0"/>
          <c:showVal val="0"/>
          <c:showCatName val="0"/>
          <c:showSerName val="0"/>
          <c:showPercent val="0"/>
          <c:showBubbleSize val="0"/>
        </c:dLbls>
        <c:gapWidth val="40"/>
        <c:overlap val="100"/>
        <c:axId val="550584320"/>
        <c:axId val="550585856"/>
      </c:barChart>
      <c:catAx>
        <c:axId val="55058432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585856"/>
        <c:crosses val="autoZero"/>
        <c:auto val="1"/>
        <c:lblAlgn val="ctr"/>
        <c:lblOffset val="100"/>
        <c:noMultiLvlLbl val="0"/>
      </c:catAx>
      <c:valAx>
        <c:axId val="55058585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584320"/>
        <c:crosses val="max"/>
        <c:crossBetween val="between"/>
      </c:valAx>
      <c:spPr>
        <a:noFill/>
        <a:ln w="3175">
          <a:solidFill>
            <a:srgbClr val="000000"/>
          </a:solidFill>
          <a:prstDash val="solid"/>
        </a:ln>
      </c:spPr>
    </c:plotArea>
    <c:legend>
      <c:legendPos val="t"/>
      <c:layout>
        <c:manualLayout>
          <c:xMode val="edge"/>
          <c:yMode val="edge"/>
          <c:x val="0.25031989591044707"/>
          <c:y val="6.7778911895272353E-2"/>
          <c:w val="0.69938219261053902"/>
          <c:h val="5.1180292278280033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vs. IDACI</a:t>
            </a:r>
          </a:p>
        </c:rich>
      </c:tx>
      <c:layout>
        <c:manualLayout>
          <c:xMode val="edge"/>
          <c:yMode val="edge"/>
          <c:x val="0.28336868850297825"/>
          <c:y val="3.612578830947967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4"/>
          <c:tx>
            <c:strRef>
              <c:f>'Re-referrals'!$Y$41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4ABA-44ED-8FED-6882F716E087}"/>
                </c:ext>
              </c:extLst>
            </c:dLbl>
            <c:dLbl>
              <c:idx val="1"/>
              <c:layout>
                <c:manualLayout>
                  <c:x val="-6.6377031818391233E-2"/>
                  <c:y val="2.7356777079024053E-2"/>
                </c:manualLayout>
              </c:layout>
              <c:tx>
                <c:strRef>
                  <c:f>'Re-referrals'!$AD$42</c:f>
                  <c:strCache>
                    <c:ptCount val="1"/>
                    <c:pt idx="0">
                      <c:v>r² = 0.193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{216B5EE3-A3D4-4817-9EDE-9753CCBD5474}</c15:txfldGUID>
                      <c15:f>'Re-referrals'!$AD$42</c15:f>
                      <c15:dlblFieldTableCache>
                        <c:ptCount val="1"/>
                        <c:pt idx="0">
                          <c:v>r² = 0.193</c:v>
                        </c:pt>
                      </c15:dlblFieldTableCache>
                    </c15:dlblFTEntry>
                  </c15:dlblFieldTable>
                  <c15:showDataLabelsRange val="0"/>
                </c:ext>
                <c:ext xmlns:c16="http://schemas.microsoft.com/office/drawing/2014/chart" uri="{C3380CC4-5D6E-409C-BE32-E72D297353CC}">
                  <c16:uniqueId val="{00000001-4ABA-44ED-8FED-6882F716E087}"/>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'Re-referrals'!$AB$41:$AB$42</c:f>
              <c:numCache>
                <c:formatCode>General</c:formatCode>
                <c:ptCount val="2"/>
                <c:pt idx="0" formatCode="#,##0.0">
                  <c:v>5</c:v>
                </c:pt>
                <c:pt idx="1">
                  <c:v>35</c:v>
                </c:pt>
              </c:numCache>
            </c:numRef>
          </c:xVal>
          <c:yVal>
            <c:numRef>
              <c:f>'Re-referrals'!$AC$41:$AC$42</c:f>
              <c:numCache>
                <c:formatCode>0.0</c:formatCode>
                <c:ptCount val="2"/>
                <c:pt idx="0">
                  <c:v>95.511625860810199</c:v>
                </c:pt>
                <c:pt idx="1">
                  <c:v>312.46055674562967</c:v>
                </c:pt>
              </c:numCache>
            </c:numRef>
          </c:yVal>
          <c:smooth val="1"/>
          <c:extLst>
            <c:ext xmlns:c16="http://schemas.microsoft.com/office/drawing/2014/chart" uri="{C3380CC4-5D6E-409C-BE32-E72D297353CC}">
              <c16:uniqueId val="{00000002-4ABA-44ED-8FED-6882F716E087}"/>
            </c:ext>
          </c:extLst>
        </c:ser>
        <c:dLbls>
          <c:showLegendKey val="0"/>
          <c:showVal val="0"/>
          <c:showCatName val="0"/>
          <c:showSerName val="0"/>
          <c:showPercent val="0"/>
          <c:showBubbleSize val="0"/>
        </c:dLbls>
        <c:axId val="550521856"/>
        <c:axId val="550704256"/>
      </c:scatterChart>
      <c:scatterChart>
        <c:scatterStyle val="lineMarker"/>
        <c:varyColors val="0"/>
        <c:ser>
          <c:idx val="0"/>
          <c:order val="0"/>
          <c:tx>
            <c:strRef>
              <c:f>'Re-referrals'!$AR$38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4ABA-44ED-8FED-6882F716E087}"/>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{42161A46-AC0C-4ED9-971D-2DCD5A614977}</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4ABA-44ED-8FED-6882F716E087}"/>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{CC69A389-DAAA-4AC5-BC2B-A0094AAE40CA}</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4ABA-44ED-8FED-6882F716E087}"/>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{A3DDE9C6-9631-42F9-A1EF-5794CF8B57E2}</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4ABA-44ED-8FED-6882F716E087}"/>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{AA5E9362-6DE4-48A1-B780-EC4AE3BBE489}</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4ABA-44ED-8FED-6882F716E087}"/>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{5194AC7C-A88A-46F6-ABA7-B8F75F912F1F}</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4ABA-44ED-8FED-6882F716E087}"/>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{4E4B7B42-56B7-4F21-B588-CFD9FC6FFFB4}</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4ABA-44ED-8FED-6882F716E087}"/>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{94337479-8024-43DA-8C6F-59A74944B784}</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4ABA-44ED-8FED-6882F716E087}"/>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{4F744ABA-DDAE-4EA5-9EC8-F10149C36865}</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4ABA-44ED-8FED-6882F716E087}"/>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{6EB0F80F-F62D-43F5-9052-A4644F71CC91}</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4ABA-44ED-8FED-6882F716E087}"/>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{E13B38ED-E562-4919-A3E7-0D8E48DC443F}</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4ABA-44ED-8FED-6882F716E087}"/>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{F7B62DBB-3434-43A4-ACE1-6959EFA52372}</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4ABA-44ED-8FED-6882F716E087}"/>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{DF858E19-8A21-4523-821F-1988747D5016}</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4ABA-44ED-8FED-6882F716E087}"/>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{5B888D83-B2E8-470C-B0BB-DDFC02FB4516}</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4ABA-44ED-8FED-6882F716E087}"/>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{E9B4B3DE-3B44-4307-AAC8-5DEF4832D3F2}</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4ABA-44ED-8FED-6882F716E087}"/>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{6DBA5277-3D91-4F73-9EA7-14FF51A5690D}</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4ABA-44ED-8FED-6882F716E087}"/>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{A4C1A77B-A102-4065-9972-8AB850788B3E}</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4ABA-44ED-8FED-6882F716E087}"/>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{3ECE43C7-5862-4923-94BC-CF9E098BED89}</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4ABA-44ED-8FED-6882F716E087}"/>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{D280A22C-C037-4AE0-941A-658D75DE3022}</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4ABA-44ED-8FED-6882F716E087}"/>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{D32528FF-0775-4CB0-B995-DEF8A789C8D3}</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4ABA-44ED-8FED-6882F716E087}"/>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('Re-referrals'!$AR$41:$AR$53,'Re-referrals'!$AR$55:$AR$56,'Re-referrals'!$AR$59:$AR$62)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('Re-referrals'!$AQ$41:$AQ$53,'Re-referrals'!$AQ$55:$AQ$56,'Re-referrals'!$AQ$59:$AQ$62)</c:f>
              <c:numCache>
                <c:formatCode>0.0</c:formatCode>
                <c:ptCount val="19"/>
                <c:pt idx="0">
                  <c:v>152.81690140845072</c:v>
                </c:pt>
                <c:pt idx="1">
                  <c:v>217.49502982107353</c:v>
                </c:pt>
                <c:pt idx="2">
                  <c:v>173.42879872712805</c:v>
                </c:pt>
                <c:pt idx="3">
                  <c:v>71.589840075258692</c:v>
                </c:pt>
                <c:pt idx="4">
                  <c:v>229.89799507562435</c:v>
                </c:pt>
                <c:pt idx="5">
                  <c:v>382.99595141700405</c:v>
                </c:pt>
                <c:pt idx="6">
                  <c:v>185.04944735311227</c:v>
                </c:pt>
                <c:pt idx="7">
                  <c:v>187.69230769230771</c:v>
                </c:pt>
                <c:pt idx="8">
                  <c:v>75.726744186046517</c:v>
                </c:pt>
                <c:pt idx="9">
                  <c:v>90.691307323750863</c:v>
                </c:pt>
                <c:pt idx="10">
                  <c:v>144.06392694063928</c:v>
                </c:pt>
                <c:pt idx="11">
                  <c:v>182.70270270270271</c:v>
                </c:pt>
                <c:pt idx="12">
                  <c:v>99.535962877030158</c:v>
                </c:pt>
                <c:pt idx="13">
                  <c:v>216.17933723196879</c:v>
                </c:pt>
                <c:pt idx="14">
                  <c:v>69.446550416982561</c:v>
                </c:pt>
                <c:pt idx="15">
                  <c:v>124.438202247191</c:v>
                </c:pt>
                <c:pt idx="16">
                  <c:v>150.70982396365702</c:v>
                </c:pt>
                <c:pt idx="17">
                  <c:v>61.671469740634002</c:v>
                </c:pt>
                <c:pt idx="18">
                  <c:v>107.92079207920791</c:v>
                </c:pt>
              </c:numCache>
            </c:numRef>
          </c:yVal>
          <c:smooth val="0"/>
          <c:extLst>
            <c:ext xmlns:c16="http://schemas.microsoft.com/office/drawing/2014/chart" uri="{C3380CC4-5D6E-409C-BE32-E72D297353CC}">
              <c16:uniqueId val="{00000017-4ABA-44ED-8FED-6882F716E087}"/>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4ABA-44ED-8FED-6882F716E087}"/>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{F20B31A5-3B66-402B-ACB3-6A4FFC72518B}</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4ABA-44ED-8FED-6882F716E087}"/>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{E4CFEB06-3903-4052-A8E4-5EF17239517E}</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4ABA-44ED-8FED-6882F716E087}"/>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{95E1E194-AB9C-4616-A413-2C7531A83302}</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4ABA-44ED-8FED-6882F716E087}"/>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('Re-referrals'!$AR$54,'Re-referrals'!$AR$57:$AR$58)</c:f>
              <c:numCache>
                <c:formatCode>0.0</c:formatCode>
                <c:ptCount val="3"/>
                <c:pt idx="0">
                  <c:v>13.600000000000001</c:v>
                </c:pt>
                <c:pt idx="1">
                  <c:v>14.899999999999999</c:v>
                </c:pt>
                <c:pt idx="2">
                  <c:v>21.9</c:v>
                </c:pt>
              </c:numCache>
            </c:numRef>
          </c:xVal>
          <c:yVal>
            <c:numRef>
              <c:f>('Re-referrals'!$AQ$54,'Re-referrals'!$AQ$57:$AQ$58)</c:f>
              <c:numCache>
                <c:formatCode>0.0</c:formatCode>
                <c:ptCount val="3"/>
                <c:pt idx="0">
                  <c:v>64.568345323740999</c:v>
                </c:pt>
                <c:pt idx="1">
                  <c:v>177.1825396825397</c:v>
                </c:pt>
                <c:pt idx="2">
                  <c:v>161.71875</c:v>
                </c:pt>
              </c:numCache>
            </c:numRef>
          </c:yVal>
          <c:smooth val="0"/>
          <c:extLst>
            <c:ext xmlns:c16="http://schemas.microsoft.com/office/drawing/2014/chart" uri="{C3380CC4-5D6E-409C-BE32-E72D297353CC}">
              <c16:uniqueId val="{0000001B-4ABA-44ED-8FED-6882F716E087}"/>
            </c:ext>
          </c:extLst>
        </c:ser>
        <c:ser>
          <c:idx val="1"/>
          <c:order val="2"/>
          <c:tx>
            <c:strRef>
              <c:f>'Re-referrals'!$AA$4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'Re-referrals'!$AR$65</c:f>
              <c:numCache>
                <c:formatCode>0.0</c:formatCode>
                <c:ptCount val="1"/>
                <c:pt idx="0">
                  <c:v>#N/A</c:v>
                </c:pt>
              </c:numCache>
            </c:numRef>
          </c:xVal>
          <c:yVal>
            <c:numRef>
              <c:f>'Re-referrals'!$AQ$65</c:f>
              <c:numCache>
                <c:formatCode>0.0</c:formatCode>
                <c:ptCount val="1"/>
                <c:pt idx="0">
                  <c:v>#N/A</c:v>
                </c:pt>
              </c:numCache>
            </c:numRef>
          </c:yVal>
          <c:smooth val="0"/>
          <c:extLst>
            <c:ext xmlns:c16="http://schemas.microsoft.com/office/drawing/2014/chart" uri="{C3380CC4-5D6E-409C-BE32-E72D297353CC}">
              <c16:uniqueId val="{0000001C-4ABA-44ED-8FED-6882F716E087}"/>
            </c:ext>
          </c:extLst>
        </c:ser>
        <c:ser>
          <c:idx val="4"/>
          <c:order val="3"/>
          <c:tx>
            <c:strRef>
              <c:f>'Re-referrals'!$B$32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'Re-referrals'!$S$32</c:f>
              <c:numCache>
                <c:formatCode>0.0</c:formatCode>
                <c:ptCount val="1"/>
                <c:pt idx="0">
                  <c:v>12.371268250968637</c:v>
                </c:pt>
              </c:numCache>
            </c:numRef>
          </c:xVal>
          <c:yVal>
            <c:numRef>
              <c:f>'Re-referrals'!$O$32</c:f>
              <c:numCache>
                <c:formatCode>0.0</c:formatCode>
                <c:ptCount val="1"/>
                <c:pt idx="0">
                  <c:v>151.33048953889903</c:v>
                </c:pt>
              </c:numCache>
            </c:numRef>
          </c:yVal>
          <c:smooth val="0"/>
          <c:extLst>
            <c:ext xmlns:c16="http://schemas.microsoft.com/office/drawing/2014/chart" uri="{C3380CC4-5D6E-409C-BE32-E72D297353CC}">
              <c16:uniqueId val="{0000001D-4ABA-44ED-8FED-6882F716E087}"/>
            </c:ext>
          </c:extLst>
        </c:ser>
        <c:ser>
          <c:idx val="2"/>
          <c:order val="5"/>
          <c:tx>
            <c:strRef>
              <c:f>'Re-referrals'!$Y$43</c:f>
              <c:strCache>
                <c:ptCount val="1"/>
                <c:pt idx="0">
                  <c:v>National Trend 2020</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4ABA-44ED-8FED-6882F716E087}"/>
                </c:ext>
              </c:extLst>
            </c:dLbl>
            <c:dLbl>
              <c:idx val="1"/>
              <c:layout>
                <c:manualLayout>
                  <c:x val="-5.8479532163742583E-2"/>
                  <c:y val="-5.1166278318011099E-2"/>
                </c:manualLayout>
              </c:layout>
              <c:tx>
                <c:strRef>
                  <c:f>'Re-referrals'!$AD$43</c:f>
                  <c:strCache>
                    <c:ptCount val="1"/>
                    <c:pt idx="0">
                      <c:v>r² = 0.113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{CEF318FF-4398-4CF0-9E17-86C59D3B087B}</c15:txfldGUID>
                      <c15:f>'Re-referrals'!$AD$43</c15:f>
                      <c15:dlblFieldTableCache>
                        <c:ptCount val="1"/>
                        <c:pt idx="0">
                          <c:v>r² = 0.113</c:v>
                        </c:pt>
                      </c15:dlblFieldTableCache>
                    </c15:dlblFTEntry>
                  </c15:dlblFieldTable>
                  <c15:showDataLabelsRange val="0"/>
                </c:ext>
                <c:ext xmlns:c16="http://schemas.microsoft.com/office/drawing/2014/chart" uri="{C3380CC4-5D6E-409C-BE32-E72D297353CC}">
                  <c16:uniqueId val="{0000001F-4ABA-44ED-8FED-6882F716E087}"/>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'Re-referrals'!$AB$43:$AB$44</c:f>
              <c:numCache>
                <c:formatCode>General</c:formatCode>
                <c:ptCount val="2"/>
                <c:pt idx="0" formatCode="#,##0.0">
                  <c:v>5</c:v>
                </c:pt>
                <c:pt idx="1">
                  <c:v>35</c:v>
                </c:pt>
              </c:numCache>
            </c:numRef>
          </c:xVal>
          <c:yVal>
            <c:numRef>
              <c:f>'Re-referrals'!$AC$43:$AC$44</c:f>
              <c:numCache>
                <c:formatCode>0.0</c:formatCode>
                <c:ptCount val="2"/>
                <c:pt idx="0">
                  <c:v>77.671681548444042</c:v>
                </c:pt>
                <c:pt idx="1">
                  <c:v>188.52940827976863</c:v>
                </c:pt>
              </c:numCache>
            </c:numRef>
          </c:yVal>
          <c:smooth val="0"/>
          <c:extLst>
            <c:ext xmlns:c16="http://schemas.microsoft.com/office/drawing/2014/chart" uri="{C3380CC4-5D6E-409C-BE32-E72D297353CC}">
              <c16:uniqueId val="{00000020-4ABA-44ED-8FED-6882F716E087}"/>
            </c:ext>
          </c:extLst>
        </c:ser>
        <c:dLbls>
          <c:showLegendKey val="0"/>
          <c:showVal val="0"/>
          <c:showCatName val="0"/>
          <c:showSerName val="0"/>
          <c:showPercent val="0"/>
          <c:showBubbleSize val="0"/>
        </c:dLbls>
        <c:axId val="550521856"/>
        <c:axId val="550704256"/>
      </c:scatterChart>
      <c:valAx>
        <c:axId val="550521856"/>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704256"/>
        <c:crosses val="autoZero"/>
        <c:crossBetween val="midCat"/>
        <c:majorUnit val="5"/>
      </c:valAx>
      <c:valAx>
        <c:axId val="55070425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Re-referrals per 10,000 0-17 year olds</a:t>
                </a:r>
              </a:p>
            </c:rich>
          </c:tx>
          <c:layout>
            <c:manualLayout>
              <c:xMode val="edge"/>
              <c:yMode val="edge"/>
              <c:x val="5.1878053704825358E-2"/>
              <c:y val="0.233449279750356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52185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per 10,000 0-17 year olds</a:t>
            </a:r>
          </a:p>
        </c:rich>
      </c:tx>
      <c:layout>
        <c:manualLayout>
          <c:xMode val="edge"/>
          <c:yMode val="edge"/>
          <c:x val="0.18218833317772035"/>
          <c:y val="2.0819646288138149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Assessments!$AL$41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3667-45C5-A8E6-DD784362BF53}"/>
              </c:ext>
            </c:extLst>
          </c:dPt>
          <c:cat>
            <c:strRef>
              <c:f>Assessments!$Z$2:$AD$3</c:f>
              <c:strCache>
                <c:ptCount val="5"/>
                <c:pt idx="0">
                  <c:v>2015-16</c:v>
                </c:pt>
                <c:pt idx="1">
                  <c:v>2016-17</c:v>
                </c:pt>
                <c:pt idx="2">
                  <c:v>2017-18</c:v>
                </c:pt>
                <c:pt idx="3">
                  <c:v>2018-19</c:v>
                </c:pt>
                <c:pt idx="4">
                  <c:v>2019-20</c:v>
                </c:pt>
              </c:strCache>
            </c:strRef>
          </c:cat>
          <c:val>
            <c:numRef>
              <c:f>Assessments!$AM$41:$AQ$41</c:f>
              <c:numCache>
                <c:formatCode>0.0</c:formatCode>
                <c:ptCount val="5"/>
                <c:pt idx="0">
                  <c:v>389.71631205673754</c:v>
                </c:pt>
                <c:pt idx="1">
                  <c:v>493.97163120567376</c:v>
                </c:pt>
                <c:pt idx="2">
                  <c:v>594.3060498220641</c:v>
                </c:pt>
                <c:pt idx="3">
                  <c:v>601.76678445229686</c:v>
                </c:pt>
                <c:pt idx="4">
                  <c:v>539.08450704225356</c:v>
                </c:pt>
              </c:numCache>
            </c:numRef>
          </c:val>
          <c:smooth val="0"/>
          <c:extLst>
            <c:ext xmlns:c16="http://schemas.microsoft.com/office/drawing/2014/chart" uri="{C3380CC4-5D6E-409C-BE32-E72D297353CC}">
              <c16:uniqueId val="{00000001-3667-45C5-A8E6-DD784362BF53}"/>
            </c:ext>
          </c:extLst>
        </c:ser>
        <c:ser>
          <c:idx val="1"/>
          <c:order val="1"/>
          <c:tx>
            <c:strRef>
              <c:f>Assessments!$AL$42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Assessments!$Z$2:$AD$3</c:f>
              <c:strCache>
                <c:ptCount val="5"/>
                <c:pt idx="0">
                  <c:v>2015-16</c:v>
                </c:pt>
                <c:pt idx="1">
                  <c:v>2016-17</c:v>
                </c:pt>
                <c:pt idx="2">
                  <c:v>2017-18</c:v>
                </c:pt>
                <c:pt idx="3">
                  <c:v>2018-19</c:v>
                </c:pt>
                <c:pt idx="4">
                  <c:v>2019-20</c:v>
                </c:pt>
              </c:strCache>
            </c:strRef>
          </c:cat>
          <c:val>
            <c:numRef>
              <c:f>Assessments!$AM$42:$AQ$42</c:f>
              <c:numCache>
                <c:formatCode>0.0</c:formatCode>
                <c:ptCount val="5"/>
                <c:pt idx="0">
                  <c:v>560.15625</c:v>
                </c:pt>
                <c:pt idx="1">
                  <c:v>588.69395711500977</c:v>
                </c:pt>
                <c:pt idx="2">
                  <c:v>529.60784313725492</c:v>
                </c:pt>
                <c:pt idx="3">
                  <c:v>484.31372549019608</c:v>
                </c:pt>
                <c:pt idx="4">
                  <c:v>547.51491053677933</c:v>
                </c:pt>
              </c:numCache>
            </c:numRef>
          </c:val>
          <c:smooth val="0"/>
          <c:extLst>
            <c:ext xmlns:c16="http://schemas.microsoft.com/office/drawing/2014/chart" uri="{C3380CC4-5D6E-409C-BE32-E72D297353CC}">
              <c16:uniqueId val="{00000002-3667-45C5-A8E6-DD784362BF53}"/>
            </c:ext>
          </c:extLst>
        </c:ser>
        <c:ser>
          <c:idx val="2"/>
          <c:order val="2"/>
          <c:tx>
            <c:strRef>
              <c:f>Assessments!$AL$43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Assessments!$Z$2:$AD$3</c:f>
              <c:strCache>
                <c:ptCount val="5"/>
                <c:pt idx="0">
                  <c:v>2015-16</c:v>
                </c:pt>
                <c:pt idx="1">
                  <c:v>2016-17</c:v>
                </c:pt>
                <c:pt idx="2">
                  <c:v>2017-18</c:v>
                </c:pt>
                <c:pt idx="3">
                  <c:v>2018-19</c:v>
                </c:pt>
                <c:pt idx="4">
                  <c:v>2019-20</c:v>
                </c:pt>
              </c:strCache>
            </c:strRef>
          </c:cat>
          <c:val>
            <c:numRef>
              <c:f>Assessments!$AM$43:$AQ$43</c:f>
              <c:numCache>
                <c:formatCode>0.0</c:formatCode>
                <c:ptCount val="5"/>
                <c:pt idx="0">
                  <c:v>464.09618573797678</c:v>
                </c:pt>
                <c:pt idx="1">
                  <c:v>546.64484451718499</c:v>
                </c:pt>
                <c:pt idx="2">
                  <c:v>679.61007311129163</c:v>
                </c:pt>
                <c:pt idx="3">
                  <c:v>629.04263877715209</c:v>
                </c:pt>
                <c:pt idx="4">
                  <c:v>646.14160700079549</c:v>
                </c:pt>
              </c:numCache>
            </c:numRef>
          </c:val>
          <c:smooth val="0"/>
          <c:extLst>
            <c:ext xmlns:c16="http://schemas.microsoft.com/office/drawing/2014/chart" uri="{C3380CC4-5D6E-409C-BE32-E72D297353CC}">
              <c16:uniqueId val="{00000003-3667-45C5-A8E6-DD784362BF53}"/>
            </c:ext>
          </c:extLst>
        </c:ser>
        <c:ser>
          <c:idx val="5"/>
          <c:order val="3"/>
          <c:tx>
            <c:strRef>
              <c:f>Assessments!$AL$44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Assessments!$Z$2:$AD$3</c:f>
              <c:strCache>
                <c:ptCount val="5"/>
                <c:pt idx="0">
                  <c:v>2015-16</c:v>
                </c:pt>
                <c:pt idx="1">
                  <c:v>2016-17</c:v>
                </c:pt>
                <c:pt idx="2">
                  <c:v>2017-18</c:v>
                </c:pt>
                <c:pt idx="3">
                  <c:v>2018-19</c:v>
                </c:pt>
                <c:pt idx="4">
                  <c:v>2019-20</c:v>
                </c:pt>
              </c:strCache>
            </c:strRef>
          </c:cat>
          <c:val>
            <c:numRef>
              <c:f>Assessments!$AM$44:$AQ$44</c:f>
              <c:numCache>
                <c:formatCode>0.0</c:formatCode>
                <c:ptCount val="5"/>
                <c:pt idx="0">
                  <c:v>234.65533522190745</c:v>
                </c:pt>
                <c:pt idx="1">
                  <c:v>296.78942398489141</c:v>
                </c:pt>
                <c:pt idx="2">
                  <c:v>337.73584905660374</c:v>
                </c:pt>
                <c:pt idx="3">
                  <c:v>338.15789473684208</c:v>
                </c:pt>
                <c:pt idx="4">
                  <c:v>326.43461900282222</c:v>
                </c:pt>
              </c:numCache>
            </c:numRef>
          </c:val>
          <c:smooth val="0"/>
          <c:extLst>
            <c:ext xmlns:c16="http://schemas.microsoft.com/office/drawing/2014/chart" uri="{C3380CC4-5D6E-409C-BE32-E72D297353CC}">
              <c16:uniqueId val="{00000004-3667-45C5-A8E6-DD784362BF53}"/>
            </c:ext>
          </c:extLst>
        </c:ser>
        <c:ser>
          <c:idx val="9"/>
          <c:order val="4"/>
          <c:tx>
            <c:strRef>
              <c:f>Assessments!$AL$45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Assessments!$Z$2:$AD$3</c:f>
              <c:strCache>
                <c:ptCount val="5"/>
                <c:pt idx="0">
                  <c:v>2015-16</c:v>
                </c:pt>
                <c:pt idx="1">
                  <c:v>2016-17</c:v>
                </c:pt>
                <c:pt idx="2">
                  <c:v>2017-18</c:v>
                </c:pt>
                <c:pt idx="3">
                  <c:v>2018-19</c:v>
                </c:pt>
                <c:pt idx="4">
                  <c:v>2019-20</c:v>
                </c:pt>
              </c:strCache>
            </c:strRef>
          </c:cat>
          <c:val>
            <c:numRef>
              <c:f>Assessments!$AM$45:$AQ$45</c:f>
              <c:numCache>
                <c:formatCode>0.0</c:formatCode>
                <c:ptCount val="5"/>
                <c:pt idx="0">
                  <c:v>600.60305072720826</c:v>
                </c:pt>
                <c:pt idx="1">
                  <c:v>701.59123055162661</c:v>
                </c:pt>
                <c:pt idx="2">
                  <c:v>623.36745499470521</c:v>
                </c:pt>
                <c:pt idx="3">
                  <c:v>633.90845070422529</c:v>
                </c:pt>
                <c:pt idx="4">
                  <c:v>693.35209285965527</c:v>
                </c:pt>
              </c:numCache>
            </c:numRef>
          </c:val>
          <c:smooth val="0"/>
          <c:extLst>
            <c:ext xmlns:c16="http://schemas.microsoft.com/office/drawing/2014/chart" uri="{C3380CC4-5D6E-409C-BE32-E72D297353CC}">
              <c16:uniqueId val="{00000005-3667-45C5-A8E6-DD784362BF53}"/>
            </c:ext>
          </c:extLst>
        </c:ser>
        <c:ser>
          <c:idx val="10"/>
          <c:order val="5"/>
          <c:tx>
            <c:strRef>
              <c:f>Assessments!$AL$46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Assessments!$Z$2:$AD$3</c:f>
              <c:strCache>
                <c:ptCount val="5"/>
                <c:pt idx="0">
                  <c:v>2015-16</c:v>
                </c:pt>
                <c:pt idx="1">
                  <c:v>2016-17</c:v>
                </c:pt>
                <c:pt idx="2">
                  <c:v>2017-18</c:v>
                </c:pt>
                <c:pt idx="3">
                  <c:v>2018-19</c:v>
                </c:pt>
                <c:pt idx="4">
                  <c:v>2019-20</c:v>
                </c:pt>
              </c:strCache>
            </c:strRef>
          </c:cat>
          <c:val>
            <c:numRef>
              <c:f>Assessments!$AM$46:$AQ$46</c:f>
              <c:numCache>
                <c:formatCode>0.0</c:formatCode>
                <c:ptCount val="5"/>
                <c:pt idx="0">
                  <c:v>946.64031620553351</c:v>
                </c:pt>
                <c:pt idx="1">
                  <c:v>1067.8571428571429</c:v>
                </c:pt>
                <c:pt idx="2">
                  <c:v>1067.3306772908368</c:v>
                </c:pt>
                <c:pt idx="3">
                  <c:v>789.15662650602405</c:v>
                </c:pt>
                <c:pt idx="4">
                  <c:v>1274.8987854251013</c:v>
                </c:pt>
              </c:numCache>
            </c:numRef>
          </c:val>
          <c:smooth val="0"/>
          <c:extLst>
            <c:ext xmlns:c16="http://schemas.microsoft.com/office/drawing/2014/chart" uri="{C3380CC4-5D6E-409C-BE32-E72D297353CC}">
              <c16:uniqueId val="{00000006-3667-45C5-A8E6-DD784362BF53}"/>
            </c:ext>
          </c:extLst>
        </c:ser>
        <c:ser>
          <c:idx val="11"/>
          <c:order val="6"/>
          <c:tx>
            <c:strRef>
              <c:f>Assessments!$AL$47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Assessments!$Z$2:$AD$3</c:f>
              <c:strCache>
                <c:ptCount val="5"/>
                <c:pt idx="0">
                  <c:v>2015-16</c:v>
                </c:pt>
                <c:pt idx="1">
                  <c:v>2016-17</c:v>
                </c:pt>
                <c:pt idx="2">
                  <c:v>2017-18</c:v>
                </c:pt>
                <c:pt idx="3">
                  <c:v>2018-19</c:v>
                </c:pt>
                <c:pt idx="4">
                  <c:v>2019-20</c:v>
                </c:pt>
              </c:strCache>
            </c:strRef>
          </c:cat>
          <c:val>
            <c:numRef>
              <c:f>Assessments!$AM$47:$AQ$47</c:f>
              <c:numCache>
                <c:formatCode>0.0</c:formatCode>
                <c:ptCount val="5"/>
                <c:pt idx="0">
                  <c:v>497.57869249394673</c:v>
                </c:pt>
                <c:pt idx="1">
                  <c:v>491.47147147147143</c:v>
                </c:pt>
                <c:pt idx="2">
                  <c:v>560.16066646831302</c:v>
                </c:pt>
                <c:pt idx="3">
                  <c:v>520.52337547780064</c:v>
                </c:pt>
                <c:pt idx="4">
                  <c:v>601.68702734147757</c:v>
                </c:pt>
              </c:numCache>
            </c:numRef>
          </c:val>
          <c:smooth val="0"/>
          <c:extLst>
            <c:ext xmlns:c16="http://schemas.microsoft.com/office/drawing/2014/chart" uri="{C3380CC4-5D6E-409C-BE32-E72D297353CC}">
              <c16:uniqueId val="{00000007-3667-45C5-A8E6-DD784362BF53}"/>
            </c:ext>
          </c:extLst>
        </c:ser>
        <c:ser>
          <c:idx val="12"/>
          <c:order val="7"/>
          <c:tx>
            <c:strRef>
              <c:f>Assessments!$AL$48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Assessments!$Z$2:$AD$3</c:f>
              <c:strCache>
                <c:ptCount val="5"/>
                <c:pt idx="0">
                  <c:v>2015-16</c:v>
                </c:pt>
                <c:pt idx="1">
                  <c:v>2016-17</c:v>
                </c:pt>
                <c:pt idx="2">
                  <c:v>2017-18</c:v>
                </c:pt>
                <c:pt idx="3">
                  <c:v>2018-19</c:v>
                </c:pt>
                <c:pt idx="4">
                  <c:v>2019-20</c:v>
                </c:pt>
              </c:strCache>
            </c:strRef>
          </c:cat>
          <c:val>
            <c:numRef>
              <c:f>Assessments!$AM$48:$AQ$48</c:f>
              <c:numCache>
                <c:formatCode>0.0</c:formatCode>
                <c:ptCount val="5"/>
                <c:pt idx="0">
                  <c:v>492.72151898734177</c:v>
                </c:pt>
                <c:pt idx="1">
                  <c:v>442.38618524332804</c:v>
                </c:pt>
                <c:pt idx="2">
                  <c:v>392.64475743348981</c:v>
                </c:pt>
                <c:pt idx="3">
                  <c:v>531.05590062111798</c:v>
                </c:pt>
                <c:pt idx="4">
                  <c:v>733.69230769230774</c:v>
                </c:pt>
              </c:numCache>
            </c:numRef>
          </c:val>
          <c:smooth val="0"/>
          <c:extLst>
            <c:ext xmlns:c16="http://schemas.microsoft.com/office/drawing/2014/chart" uri="{C3380CC4-5D6E-409C-BE32-E72D297353CC}">
              <c16:uniqueId val="{00000008-3667-45C5-A8E6-DD784362BF53}"/>
            </c:ext>
          </c:extLst>
        </c:ser>
        <c:ser>
          <c:idx val="13"/>
          <c:order val="8"/>
          <c:tx>
            <c:strRef>
              <c:f>Assessments!$AL$49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Assessments!$Z$2:$AD$3</c:f>
              <c:strCache>
                <c:ptCount val="5"/>
                <c:pt idx="0">
                  <c:v>2015-16</c:v>
                </c:pt>
                <c:pt idx="1">
                  <c:v>2016-17</c:v>
                </c:pt>
                <c:pt idx="2">
                  <c:v>2017-18</c:v>
                </c:pt>
                <c:pt idx="3">
                  <c:v>2018-19</c:v>
                </c:pt>
                <c:pt idx="4">
                  <c:v>2019-20</c:v>
                </c:pt>
              </c:strCache>
            </c:strRef>
          </c:cat>
          <c:val>
            <c:numRef>
              <c:f>Assessments!$AM$49:$AQ$49</c:f>
              <c:numCache>
                <c:formatCode>0.0</c:formatCode>
                <c:ptCount val="5"/>
                <c:pt idx="0">
                  <c:v>315.7337367624811</c:v>
                </c:pt>
                <c:pt idx="1">
                  <c:v>375.11177347242921</c:v>
                </c:pt>
                <c:pt idx="2">
                  <c:v>327.36686390532543</c:v>
                </c:pt>
                <c:pt idx="3">
                  <c:v>329.28257686676426</c:v>
                </c:pt>
                <c:pt idx="4">
                  <c:v>443.60465116279073</c:v>
                </c:pt>
              </c:numCache>
            </c:numRef>
          </c:val>
          <c:smooth val="0"/>
          <c:extLst>
            <c:ext xmlns:c16="http://schemas.microsoft.com/office/drawing/2014/chart" uri="{C3380CC4-5D6E-409C-BE32-E72D297353CC}">
              <c16:uniqueId val="{00000009-3667-45C5-A8E6-DD784362BF53}"/>
            </c:ext>
          </c:extLst>
        </c:ser>
        <c:ser>
          <c:idx val="15"/>
          <c:order val="9"/>
          <c:tx>
            <c:strRef>
              <c:f>Assessments!$AL$50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Assessments!$Z$2:$AD$3</c:f>
              <c:strCache>
                <c:ptCount val="5"/>
                <c:pt idx="0">
                  <c:v>2015-16</c:v>
                </c:pt>
                <c:pt idx="1">
                  <c:v>2016-17</c:v>
                </c:pt>
                <c:pt idx="2">
                  <c:v>2017-18</c:v>
                </c:pt>
                <c:pt idx="3">
                  <c:v>2018-19</c:v>
                </c:pt>
                <c:pt idx="4">
                  <c:v>2019-20</c:v>
                </c:pt>
              </c:strCache>
            </c:strRef>
          </c:cat>
          <c:val>
            <c:numRef>
              <c:f>Assessments!$AM$50:$AQ$50</c:f>
              <c:numCache>
                <c:formatCode>0.0</c:formatCode>
                <c:ptCount val="5"/>
                <c:pt idx="0">
                  <c:v>388.99858956276444</c:v>
                </c:pt>
                <c:pt idx="1">
                  <c:v>470.25892232330301</c:v>
                </c:pt>
                <c:pt idx="2">
                  <c:v>403.76569037656907</c:v>
                </c:pt>
                <c:pt idx="3">
                  <c:v>373.20441988950279</c:v>
                </c:pt>
                <c:pt idx="4">
                  <c:v>480.56125941136207</c:v>
                </c:pt>
              </c:numCache>
            </c:numRef>
          </c:val>
          <c:smooth val="0"/>
          <c:extLst>
            <c:ext xmlns:c16="http://schemas.microsoft.com/office/drawing/2014/chart" uri="{C3380CC4-5D6E-409C-BE32-E72D297353CC}">
              <c16:uniqueId val="{0000000A-3667-45C5-A8E6-DD784362BF53}"/>
            </c:ext>
          </c:extLst>
        </c:ser>
        <c:ser>
          <c:idx val="16"/>
          <c:order val="10"/>
          <c:tx>
            <c:strRef>
              <c:f>Assessments!$AL$51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Assessments!$Z$2:$AD$3</c:f>
              <c:strCache>
                <c:ptCount val="5"/>
                <c:pt idx="0">
                  <c:v>2015-16</c:v>
                </c:pt>
                <c:pt idx="1">
                  <c:v>2016-17</c:v>
                </c:pt>
                <c:pt idx="2">
                  <c:v>2017-18</c:v>
                </c:pt>
                <c:pt idx="3">
                  <c:v>2018-19</c:v>
                </c:pt>
                <c:pt idx="4">
                  <c:v>2019-20</c:v>
                </c:pt>
              </c:strCache>
            </c:strRef>
          </c:cat>
          <c:val>
            <c:numRef>
              <c:f>Assessments!$AM$51:$AQ$51</c:f>
              <c:numCache>
                <c:formatCode>0.0</c:formatCode>
                <c:ptCount val="5"/>
                <c:pt idx="0">
                  <c:v>425.79908675799089</c:v>
                </c:pt>
                <c:pt idx="1">
                  <c:v>670.4545454545455</c:v>
                </c:pt>
                <c:pt idx="2">
                  <c:v>721.71945701357458</c:v>
                </c:pt>
                <c:pt idx="3">
                  <c:v>849.31818181818176</c:v>
                </c:pt>
                <c:pt idx="4">
                  <c:v>591.32420091324207</c:v>
                </c:pt>
              </c:numCache>
            </c:numRef>
          </c:val>
          <c:smooth val="0"/>
          <c:extLst>
            <c:ext xmlns:c16="http://schemas.microsoft.com/office/drawing/2014/chart" uri="{C3380CC4-5D6E-409C-BE32-E72D297353CC}">
              <c16:uniqueId val="{0000000B-3667-45C5-A8E6-DD784362BF53}"/>
            </c:ext>
          </c:extLst>
        </c:ser>
        <c:ser>
          <c:idx val="17"/>
          <c:order val="11"/>
          <c:tx>
            <c:strRef>
              <c:f>Assessments!$AL$52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Assessments!$Z$2:$AD$3</c:f>
              <c:strCache>
                <c:ptCount val="5"/>
                <c:pt idx="0">
                  <c:v>2015-16</c:v>
                </c:pt>
                <c:pt idx="1">
                  <c:v>2016-17</c:v>
                </c:pt>
                <c:pt idx="2">
                  <c:v>2017-18</c:v>
                </c:pt>
                <c:pt idx="3">
                  <c:v>2018-19</c:v>
                </c:pt>
                <c:pt idx="4">
                  <c:v>2019-20</c:v>
                </c:pt>
              </c:strCache>
            </c:strRef>
          </c:cat>
          <c:val>
            <c:numRef>
              <c:f>Assessments!$AM$52:$AQ$52</c:f>
              <c:numCache>
                <c:formatCode>0.0</c:formatCode>
                <c:ptCount val="5"/>
                <c:pt idx="0">
                  <c:v>596.42857142857144</c:v>
                </c:pt>
                <c:pt idx="1">
                  <c:v>804.64480874316939</c:v>
                </c:pt>
                <c:pt idx="2">
                  <c:v>752.29110512129387</c:v>
                </c:pt>
                <c:pt idx="3">
                  <c:v>721.29380053908358</c:v>
                </c:pt>
                <c:pt idx="4">
                  <c:v>726.75675675675677</c:v>
                </c:pt>
              </c:numCache>
            </c:numRef>
          </c:val>
          <c:smooth val="0"/>
          <c:extLst>
            <c:ext xmlns:c16="http://schemas.microsoft.com/office/drawing/2014/chart" uri="{C3380CC4-5D6E-409C-BE32-E72D297353CC}">
              <c16:uniqueId val="{0000000C-3667-45C5-A8E6-DD784362BF53}"/>
            </c:ext>
          </c:extLst>
        </c:ser>
        <c:ser>
          <c:idx val="19"/>
          <c:order val="12"/>
          <c:tx>
            <c:strRef>
              <c:f>Assessments!$AL$53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Assessments!$Z$2:$AD$3</c:f>
              <c:strCache>
                <c:ptCount val="5"/>
                <c:pt idx="0">
                  <c:v>2015-16</c:v>
                </c:pt>
                <c:pt idx="1">
                  <c:v>2016-17</c:v>
                </c:pt>
                <c:pt idx="2">
                  <c:v>2017-18</c:v>
                </c:pt>
                <c:pt idx="3">
                  <c:v>2018-19</c:v>
                </c:pt>
                <c:pt idx="4">
                  <c:v>2019-20</c:v>
                </c:pt>
              </c:strCache>
            </c:strRef>
          </c:cat>
          <c:val>
            <c:numRef>
              <c:f>Assessments!$AM$53:$AQ$53</c:f>
              <c:numCache>
                <c:formatCode>0.0</c:formatCode>
                <c:ptCount val="5"/>
                <c:pt idx="0">
                  <c:v>637.4384236453202</c:v>
                </c:pt>
                <c:pt idx="1">
                  <c:v>564.97584541062804</c:v>
                </c:pt>
                <c:pt idx="2">
                  <c:v>365.16587677725113</c:v>
                </c:pt>
                <c:pt idx="3">
                  <c:v>433.95784543325533</c:v>
                </c:pt>
                <c:pt idx="4">
                  <c:v>576.33410672853836</c:v>
                </c:pt>
              </c:numCache>
            </c:numRef>
          </c:val>
          <c:smooth val="0"/>
          <c:extLst>
            <c:ext xmlns:c16="http://schemas.microsoft.com/office/drawing/2014/chart" uri="{C3380CC4-5D6E-409C-BE32-E72D297353CC}">
              <c16:uniqueId val="{0000000D-3667-45C5-A8E6-DD784362BF53}"/>
            </c:ext>
          </c:extLst>
        </c:ser>
        <c:ser>
          <c:idx val="3"/>
          <c:order val="13"/>
          <c:tx>
            <c:strRef>
              <c:f>Assessments!$AL$54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Assessments!$Z$2:$AD$3</c:f>
              <c:strCache>
                <c:ptCount val="5"/>
                <c:pt idx="0">
                  <c:v>2015-16</c:v>
                </c:pt>
                <c:pt idx="1">
                  <c:v>2016-17</c:v>
                </c:pt>
                <c:pt idx="2">
                  <c:v>2017-18</c:v>
                </c:pt>
                <c:pt idx="3">
                  <c:v>2018-19</c:v>
                </c:pt>
                <c:pt idx="4">
                  <c:v>2019-20</c:v>
                </c:pt>
              </c:strCache>
            </c:strRef>
          </c:cat>
          <c:val>
            <c:numRef>
              <c:f>Assessments!$AM$54:$AQ$54</c:f>
              <c:numCache>
                <c:formatCode>0.0</c:formatCode>
                <c:ptCount val="5"/>
                <c:pt idx="0">
                  <c:v>404.12087912087912</c:v>
                </c:pt>
                <c:pt idx="1">
                  <c:v>450.68368277119413</c:v>
                </c:pt>
                <c:pt idx="2">
                  <c:v>507.26612170753862</c:v>
                </c:pt>
                <c:pt idx="3">
                  <c:v>371.45438121047874</c:v>
                </c:pt>
                <c:pt idx="4">
                  <c:v>298.11151079136692</c:v>
                </c:pt>
              </c:numCache>
            </c:numRef>
          </c:val>
          <c:smooth val="0"/>
          <c:extLst>
            <c:ext xmlns:c16="http://schemas.microsoft.com/office/drawing/2014/chart" uri="{C3380CC4-5D6E-409C-BE32-E72D297353CC}">
              <c16:uniqueId val="{0000000E-3667-45C5-A8E6-DD784362BF53}"/>
            </c:ext>
          </c:extLst>
        </c:ser>
        <c:ser>
          <c:idx val="20"/>
          <c:order val="14"/>
          <c:tx>
            <c:strRef>
              <c:f>Assessments!$AL$55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Assessments!$Z$2:$AD$3</c:f>
              <c:strCache>
                <c:ptCount val="5"/>
                <c:pt idx="0">
                  <c:v>2015-16</c:v>
                </c:pt>
                <c:pt idx="1">
                  <c:v>2016-17</c:v>
                </c:pt>
                <c:pt idx="2">
                  <c:v>2017-18</c:v>
                </c:pt>
                <c:pt idx="3">
                  <c:v>2018-19</c:v>
                </c:pt>
                <c:pt idx="4">
                  <c:v>2019-20</c:v>
                </c:pt>
              </c:strCache>
            </c:strRef>
          </c:cat>
          <c:val>
            <c:numRef>
              <c:f>Assessments!$AM$55:$AQ$55</c:f>
              <c:numCache>
                <c:formatCode>0.0</c:formatCode>
                <c:ptCount val="5"/>
                <c:pt idx="0">
                  <c:v>616.869918699187</c:v>
                </c:pt>
                <c:pt idx="1">
                  <c:v>532.06412825651307</c:v>
                </c:pt>
                <c:pt idx="2">
                  <c:v>460.83499005964217</c:v>
                </c:pt>
                <c:pt idx="3">
                  <c:v>481.88976377952753</c:v>
                </c:pt>
                <c:pt idx="4">
                  <c:v>897.0760233918129</c:v>
                </c:pt>
              </c:numCache>
            </c:numRef>
          </c:val>
          <c:smooth val="0"/>
          <c:extLst>
            <c:ext xmlns:c16="http://schemas.microsoft.com/office/drawing/2014/chart" uri="{C3380CC4-5D6E-409C-BE32-E72D297353CC}">
              <c16:uniqueId val="{0000000F-3667-45C5-A8E6-DD784362BF53}"/>
            </c:ext>
          </c:extLst>
        </c:ser>
        <c:ser>
          <c:idx val="22"/>
          <c:order val="15"/>
          <c:tx>
            <c:strRef>
              <c:f>Assessments!$AL$56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Assessments!$Z$2:$AD$3</c:f>
              <c:strCache>
                <c:ptCount val="5"/>
                <c:pt idx="0">
                  <c:v>2015-16</c:v>
                </c:pt>
                <c:pt idx="1">
                  <c:v>2016-17</c:v>
                </c:pt>
                <c:pt idx="2">
                  <c:v>2017-18</c:v>
                </c:pt>
                <c:pt idx="3">
                  <c:v>2018-19</c:v>
                </c:pt>
                <c:pt idx="4">
                  <c:v>2019-20</c:v>
                </c:pt>
              </c:strCache>
            </c:strRef>
          </c:cat>
          <c:val>
            <c:numRef>
              <c:f>Assessments!$AM$56:$AQ$56</c:f>
              <c:numCache>
                <c:formatCode>0.0</c:formatCode>
                <c:ptCount val="5"/>
                <c:pt idx="0">
                  <c:v>474.80499219968794</c:v>
                </c:pt>
                <c:pt idx="1">
                  <c:v>464.16988416988414</c:v>
                </c:pt>
                <c:pt idx="2">
                  <c:v>483.25009604302727</c:v>
                </c:pt>
                <c:pt idx="3">
                  <c:v>452.15731195112636</c:v>
                </c:pt>
                <c:pt idx="4">
                  <c:v>330.70507960576197</c:v>
                </c:pt>
              </c:numCache>
            </c:numRef>
          </c:val>
          <c:smooth val="0"/>
          <c:extLst>
            <c:ext xmlns:c16="http://schemas.microsoft.com/office/drawing/2014/chart" uri="{C3380CC4-5D6E-409C-BE32-E72D297353CC}">
              <c16:uniqueId val="{00000010-3667-45C5-A8E6-DD784362BF53}"/>
            </c:ext>
          </c:extLst>
        </c:ser>
        <c:ser>
          <c:idx val="7"/>
          <c:order val="16"/>
          <c:tx>
            <c:strRef>
              <c:f>Assessments!$AL$57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Assessments!$Z$2:$AD$3</c:f>
              <c:strCache>
                <c:ptCount val="5"/>
                <c:pt idx="0">
                  <c:v>2015-16</c:v>
                </c:pt>
                <c:pt idx="1">
                  <c:v>2016-17</c:v>
                </c:pt>
                <c:pt idx="2">
                  <c:v>2017-18</c:v>
                </c:pt>
                <c:pt idx="3">
                  <c:v>2018-19</c:v>
                </c:pt>
                <c:pt idx="4">
                  <c:v>2019-20</c:v>
                </c:pt>
              </c:strCache>
            </c:strRef>
          </c:cat>
          <c:val>
            <c:numRef>
              <c:f>Assessments!$AM$57:$AQ$57</c:f>
              <c:numCache>
                <c:formatCode>0.0</c:formatCode>
                <c:ptCount val="5"/>
                <c:pt idx="0">
                  <c:v>640.61224489795916</c:v>
                </c:pt>
                <c:pt idx="1">
                  <c:v>604.84848484848487</c:v>
                </c:pt>
                <c:pt idx="2">
                  <c:v>631.4629258517034</c:v>
                </c:pt>
                <c:pt idx="3">
                  <c:v>837.45019920318725</c:v>
                </c:pt>
                <c:pt idx="4">
                  <c:v>853.96825396825398</c:v>
                </c:pt>
              </c:numCache>
            </c:numRef>
          </c:val>
          <c:smooth val="0"/>
          <c:extLst>
            <c:ext xmlns:c16="http://schemas.microsoft.com/office/drawing/2014/chart" uri="{C3380CC4-5D6E-409C-BE32-E72D297353CC}">
              <c16:uniqueId val="{00000011-3667-45C5-A8E6-DD784362BF53}"/>
            </c:ext>
          </c:extLst>
        </c:ser>
        <c:ser>
          <c:idx val="8"/>
          <c:order val="17"/>
          <c:tx>
            <c:strRef>
              <c:f>Assessments!$AL$58</c:f>
              <c:strCache>
                <c:ptCount val="1"/>
                <c:pt idx="0">
                  <c:v>Torbay</c:v>
                </c:pt>
              </c:strCache>
            </c:strRef>
          </c:tx>
          <c:spPr>
            <a:ln w="12700"/>
          </c:spPr>
          <c:marker>
            <c:symbol val="circle"/>
            <c:size val="5"/>
            <c:spPr>
              <a:solidFill>
                <a:schemeClr val="accent3">
                  <a:lumMod val="20000"/>
                  <a:lumOff val="80000"/>
                </a:schemeClr>
              </a:solidFill>
            </c:spPr>
          </c:marker>
          <c:cat>
            <c:strRef>
              <c:f>Assessments!$Z$2:$AD$3</c:f>
              <c:strCache>
                <c:ptCount val="5"/>
                <c:pt idx="0">
                  <c:v>2015-16</c:v>
                </c:pt>
                <c:pt idx="1">
                  <c:v>2016-17</c:v>
                </c:pt>
                <c:pt idx="2">
                  <c:v>2017-18</c:v>
                </c:pt>
                <c:pt idx="3">
                  <c:v>2018-19</c:v>
                </c:pt>
                <c:pt idx="4">
                  <c:v>2019-20</c:v>
                </c:pt>
              </c:strCache>
            </c:strRef>
          </c:cat>
          <c:val>
            <c:numRef>
              <c:f>Assessments!$AM$58:$AQ$58</c:f>
              <c:numCache>
                <c:formatCode>0.0</c:formatCode>
                <c:ptCount val="5"/>
                <c:pt idx="0">
                  <c:v>618.2539682539682</c:v>
                </c:pt>
                <c:pt idx="1">
                  <c:v>398.42519685039372</c:v>
                </c:pt>
                <c:pt idx="2">
                  <c:v>742.12598425196859</c:v>
                </c:pt>
                <c:pt idx="3">
                  <c:v>738.9763779527558</c:v>
                </c:pt>
                <c:pt idx="4">
                  <c:v>650</c:v>
                </c:pt>
              </c:numCache>
            </c:numRef>
          </c:val>
          <c:smooth val="0"/>
          <c:extLst>
            <c:ext xmlns:c16="http://schemas.microsoft.com/office/drawing/2014/chart" uri="{C3380CC4-5D6E-409C-BE32-E72D297353CC}">
              <c16:uniqueId val="{00000012-3667-45C5-A8E6-DD784362BF53}"/>
            </c:ext>
          </c:extLst>
        </c:ser>
        <c:ser>
          <c:idx val="23"/>
          <c:order val="18"/>
          <c:tx>
            <c:strRef>
              <c:f>Assessments!$AL$59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Assessments!$Z$2:$AD$3</c:f>
              <c:strCache>
                <c:ptCount val="5"/>
                <c:pt idx="0">
                  <c:v>2015-16</c:v>
                </c:pt>
                <c:pt idx="1">
                  <c:v>2016-17</c:v>
                </c:pt>
                <c:pt idx="2">
                  <c:v>2017-18</c:v>
                </c:pt>
                <c:pt idx="3">
                  <c:v>2018-19</c:v>
                </c:pt>
                <c:pt idx="4">
                  <c:v>2019-20</c:v>
                </c:pt>
              </c:strCache>
            </c:strRef>
          </c:cat>
          <c:val>
            <c:numRef>
              <c:f>Assessments!$AM$59:$AQ$59</c:f>
              <c:numCache>
                <c:formatCode>0.0</c:formatCode>
                <c:ptCount val="5"/>
                <c:pt idx="0">
                  <c:v>401.68067226890759</c:v>
                </c:pt>
                <c:pt idx="1">
                  <c:v>418.66295264623955</c:v>
                </c:pt>
                <c:pt idx="2">
                  <c:v>497.20670391061458</c:v>
                </c:pt>
                <c:pt idx="3">
                  <c:v>581.17977528089887</c:v>
                </c:pt>
                <c:pt idx="4">
                  <c:v>527.52808988764048</c:v>
                </c:pt>
              </c:numCache>
            </c:numRef>
          </c:val>
          <c:smooth val="0"/>
          <c:extLst>
            <c:ext xmlns:c16="http://schemas.microsoft.com/office/drawing/2014/chart" uri="{C3380CC4-5D6E-409C-BE32-E72D297353CC}">
              <c16:uniqueId val="{00000013-3667-45C5-A8E6-DD784362BF53}"/>
            </c:ext>
          </c:extLst>
        </c:ser>
        <c:ser>
          <c:idx val="24"/>
          <c:order val="19"/>
          <c:tx>
            <c:strRef>
              <c:f>Assessments!$AL$60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Assessments!$Z$2:$AD$3</c:f>
              <c:strCache>
                <c:ptCount val="5"/>
                <c:pt idx="0">
                  <c:v>2015-16</c:v>
                </c:pt>
                <c:pt idx="1">
                  <c:v>2016-17</c:v>
                </c:pt>
                <c:pt idx="2">
                  <c:v>2017-18</c:v>
                </c:pt>
                <c:pt idx="3">
                  <c:v>2018-19</c:v>
                </c:pt>
                <c:pt idx="4">
                  <c:v>2019-20</c:v>
                </c:pt>
              </c:strCache>
            </c:strRef>
          </c:cat>
          <c:val>
            <c:numRef>
              <c:f>Assessments!$AM$60:$AQ$60</c:f>
              <c:numCache>
                <c:formatCode>0.0</c:formatCode>
                <c:ptCount val="5"/>
                <c:pt idx="0">
                  <c:v>438.08685446009389</c:v>
                </c:pt>
                <c:pt idx="1">
                  <c:v>444.29569266589061</c:v>
                </c:pt>
                <c:pt idx="2">
                  <c:v>577.26485862665902</c:v>
                </c:pt>
                <c:pt idx="3">
                  <c:v>595.99313108185459</c:v>
                </c:pt>
                <c:pt idx="4">
                  <c:v>593.86712095400344</c:v>
                </c:pt>
              </c:numCache>
            </c:numRef>
          </c:val>
          <c:smooth val="0"/>
          <c:extLst>
            <c:ext xmlns:c16="http://schemas.microsoft.com/office/drawing/2014/chart" uri="{C3380CC4-5D6E-409C-BE32-E72D297353CC}">
              <c16:uniqueId val="{00000014-3667-45C5-A8E6-DD784362BF53}"/>
            </c:ext>
          </c:extLst>
        </c:ser>
        <c:ser>
          <c:idx val="25"/>
          <c:order val="20"/>
          <c:tx>
            <c:strRef>
              <c:f>Assessments!$AL$61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Assessments!$Z$2:$AD$3</c:f>
              <c:strCache>
                <c:ptCount val="5"/>
                <c:pt idx="0">
                  <c:v>2015-16</c:v>
                </c:pt>
                <c:pt idx="1">
                  <c:v>2016-17</c:v>
                </c:pt>
                <c:pt idx="2">
                  <c:v>2017-18</c:v>
                </c:pt>
                <c:pt idx="3">
                  <c:v>2018-19</c:v>
                </c:pt>
                <c:pt idx="4">
                  <c:v>2019-20</c:v>
                </c:pt>
              </c:strCache>
            </c:strRef>
          </c:cat>
          <c:val>
            <c:numRef>
              <c:f>Assessments!$AM$61:$AQ$61</c:f>
              <c:numCache>
                <c:formatCode>0.0</c:formatCode>
                <c:ptCount val="5"/>
                <c:pt idx="0">
                  <c:v>274.18397626112761</c:v>
                </c:pt>
                <c:pt idx="1">
                  <c:v>195.32163742690057</c:v>
                </c:pt>
                <c:pt idx="2">
                  <c:v>269.47674418604652</c:v>
                </c:pt>
                <c:pt idx="3">
                  <c:v>248.84393063583818</c:v>
                </c:pt>
                <c:pt idx="4">
                  <c:v>348.99135446685881</c:v>
                </c:pt>
              </c:numCache>
            </c:numRef>
          </c:val>
          <c:smooth val="0"/>
          <c:extLst>
            <c:ext xmlns:c16="http://schemas.microsoft.com/office/drawing/2014/chart" uri="{C3380CC4-5D6E-409C-BE32-E72D297353CC}">
              <c16:uniqueId val="{00000015-3667-45C5-A8E6-DD784362BF53}"/>
            </c:ext>
          </c:extLst>
        </c:ser>
        <c:ser>
          <c:idx val="26"/>
          <c:order val="21"/>
          <c:tx>
            <c:strRef>
              <c:f>Assessments!$AL$62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Assessments!$Z$2:$AD$3</c:f>
              <c:strCache>
                <c:ptCount val="5"/>
                <c:pt idx="0">
                  <c:v>2015-16</c:v>
                </c:pt>
                <c:pt idx="1">
                  <c:v>2016-17</c:v>
                </c:pt>
                <c:pt idx="2">
                  <c:v>2017-18</c:v>
                </c:pt>
                <c:pt idx="3">
                  <c:v>2018-19</c:v>
                </c:pt>
                <c:pt idx="4">
                  <c:v>2019-20</c:v>
                </c:pt>
              </c:strCache>
            </c:strRef>
          </c:cat>
          <c:val>
            <c:numRef>
              <c:f>Assessments!$AM$62:$AQ$62</c:f>
              <c:numCache>
                <c:formatCode>0.0</c:formatCode>
                <c:ptCount val="5"/>
                <c:pt idx="0">
                  <c:v>302.41286863270778</c:v>
                </c:pt>
                <c:pt idx="1">
                  <c:v>230.26315789473682</c:v>
                </c:pt>
                <c:pt idx="2">
                  <c:v>283.20413436692508</c:v>
                </c:pt>
                <c:pt idx="3">
                  <c:v>438.7341772151899</c:v>
                </c:pt>
                <c:pt idx="4">
                  <c:v>391.83168316831683</c:v>
                </c:pt>
              </c:numCache>
            </c:numRef>
          </c:val>
          <c:smooth val="0"/>
          <c:extLst>
            <c:ext xmlns:c16="http://schemas.microsoft.com/office/drawing/2014/chart" uri="{C3380CC4-5D6E-409C-BE32-E72D297353CC}">
              <c16:uniqueId val="{00000016-3667-45C5-A8E6-DD784362BF53}"/>
            </c:ext>
          </c:extLst>
        </c:ser>
        <c:ser>
          <c:idx val="4"/>
          <c:order val="22"/>
          <c:tx>
            <c:strRef>
              <c:f>Assessments!$AL$63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Assessments!$Z$2:$AD$3</c:f>
              <c:strCache>
                <c:ptCount val="5"/>
                <c:pt idx="0">
                  <c:v>2015-16</c:v>
                </c:pt>
                <c:pt idx="1">
                  <c:v>2016-17</c:v>
                </c:pt>
                <c:pt idx="2">
                  <c:v>2017-18</c:v>
                </c:pt>
                <c:pt idx="3">
                  <c:v>2018-19</c:v>
                </c:pt>
                <c:pt idx="4">
                  <c:v>2019-20</c:v>
                </c:pt>
              </c:strCache>
            </c:strRef>
          </c:cat>
          <c:val>
            <c:numRef>
              <c:f>Assessments!$AM$63:$AQ$63</c:f>
              <c:numCache>
                <c:formatCode>0.0</c:formatCode>
                <c:ptCount val="5"/>
                <c:pt idx="0">
                  <c:v>476.09613680204365</c:v>
                </c:pt>
                <c:pt idx="1">
                  <c:v>510.99270601624335</c:v>
                </c:pt>
                <c:pt idx="2">
                  <c:v>525.85009516950458</c:v>
                </c:pt>
                <c:pt idx="3">
                  <c:v>522.22335751507103</c:v>
                </c:pt>
                <c:pt idx="4">
                  <c:v>561.09079829372331</c:v>
                </c:pt>
              </c:numCache>
            </c:numRef>
          </c:val>
          <c:smooth val="0"/>
          <c:extLst>
            <c:ext xmlns:c16="http://schemas.microsoft.com/office/drawing/2014/chart" uri="{C3380CC4-5D6E-409C-BE32-E72D297353CC}">
              <c16:uniqueId val="{00000017-3667-45C5-A8E6-DD784362BF53}"/>
            </c:ext>
          </c:extLst>
        </c:ser>
        <c:ser>
          <c:idx val="14"/>
          <c:order val="23"/>
          <c:tx>
            <c:strRef>
              <c:f>Assessments!$AL$64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Assessments!$Z$2:$AD$3</c:f>
              <c:strCache>
                <c:ptCount val="5"/>
                <c:pt idx="0">
                  <c:v>2015-16</c:v>
                </c:pt>
                <c:pt idx="1">
                  <c:v>2016-17</c:v>
                </c:pt>
                <c:pt idx="2">
                  <c:v>2017-18</c:v>
                </c:pt>
                <c:pt idx="3">
                  <c:v>2018-19</c:v>
                </c:pt>
                <c:pt idx="4">
                  <c:v>2019-20</c:v>
                </c:pt>
              </c:strCache>
            </c:strRef>
          </c:cat>
          <c:val>
            <c:numRef>
              <c:f>Assessments!$AM$64:$AQ$64</c:f>
              <c:numCache>
                <c:formatCode>0.0</c:formatCode>
                <c:ptCount val="5"/>
                <c:pt idx="0">
                  <c:v>489.50581868315362</c:v>
                </c:pt>
                <c:pt idx="1">
                  <c:v>514.98052658820734</c:v>
                </c:pt>
                <c:pt idx="2">
                  <c:v>531.80247745849829</c:v>
                </c:pt>
                <c:pt idx="3">
                  <c:v>527.90557609623079</c:v>
                </c:pt>
                <c:pt idx="4">
                  <c:v>553.62786519844303</c:v>
                </c:pt>
              </c:numCache>
            </c:numRef>
          </c:val>
          <c:smooth val="0"/>
          <c:extLst>
            <c:ext xmlns:c16="http://schemas.microsoft.com/office/drawing/2014/chart" uri="{C3380CC4-5D6E-409C-BE32-E72D297353CC}">
              <c16:uniqueId val="{00000018-3667-45C5-A8E6-DD784362BF53}"/>
            </c:ext>
          </c:extLst>
        </c:ser>
        <c:ser>
          <c:idx val="6"/>
          <c:order val="24"/>
          <c:tx>
            <c:strRef>
              <c:f>Assessments!$AL$65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Assessments!$Z$2:$AD$3</c:f>
              <c:strCache>
                <c:ptCount val="5"/>
                <c:pt idx="0">
                  <c:v>2015-16</c:v>
                </c:pt>
                <c:pt idx="1">
                  <c:v>2016-17</c:v>
                </c:pt>
                <c:pt idx="2">
                  <c:v>2017-18</c:v>
                </c:pt>
                <c:pt idx="3">
                  <c:v>2018-19</c:v>
                </c:pt>
                <c:pt idx="4">
                  <c:v>2019-20</c:v>
                </c:pt>
              </c:strCache>
            </c:strRef>
          </c:cat>
          <c:val>
            <c:numRef>
              <c:f>Assessments!$AM$65:$AQ$65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3667-45C5-A8E6-DD784362BF53}"/>
            </c:ext>
          </c:extLst>
        </c:ser>
        <c:dLbls>
          <c:showLegendKey val="0"/>
          <c:showVal val="0"/>
          <c:showCatName val="0"/>
          <c:showSerName val="0"/>
          <c:showPercent val="0"/>
          <c:showBubbleSize val="0"/>
        </c:dLbls>
        <c:marker val="1"/>
        <c:smooth val="0"/>
        <c:axId val="550959744"/>
        <c:axId val="550958976"/>
      </c:lineChart>
      <c:catAx>
        <c:axId val="550959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958976"/>
        <c:crosses val="autoZero"/>
        <c:auto val="1"/>
        <c:lblAlgn val="ctr"/>
        <c:lblOffset val="100"/>
        <c:tickLblSkip val="1"/>
        <c:tickMarkSkip val="1"/>
        <c:noMultiLvlLbl val="0"/>
      </c:catAx>
      <c:valAx>
        <c:axId val="55095897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95974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69107454382574"/>
        </c:manualLayout>
      </c:layout>
      <c:barChart>
        <c:barDir val="col"/>
        <c:grouping val="clustered"/>
        <c:varyColors val="0"/>
        <c:ser>
          <c:idx val="6"/>
          <c:order val="0"/>
          <c:tx>
            <c:strRef>
              <c:f>Assessments!$AA$4</c:f>
              <c:strCache>
                <c:ptCount val="1"/>
                <c:pt idx="0">
                  <c:v>Selected LA- (none)</c:v>
                </c:pt>
              </c:strCache>
            </c:strRef>
          </c:tx>
          <c:spPr>
            <a:solidFill>
              <a:srgbClr val="66FF99"/>
            </a:solidFill>
            <a:ln>
              <a:solidFill>
                <a:schemeClr val="tx1">
                  <a:lumMod val="75000"/>
                  <a:lumOff val="25000"/>
                </a:schemeClr>
              </a:solidFill>
            </a:ln>
          </c:spPr>
          <c:invertIfNegative val="0"/>
          <c:cat>
            <c:strRef>
              <c:f>Assessments!$Z$2:$AD$3</c:f>
              <c:strCache>
                <c:ptCount val="5"/>
                <c:pt idx="0">
                  <c:v>2015-16</c:v>
                </c:pt>
                <c:pt idx="1">
                  <c:v>2016-17</c:v>
                </c:pt>
                <c:pt idx="2">
                  <c:v>2017-18</c:v>
                </c:pt>
                <c:pt idx="3">
                  <c:v>2018-19</c:v>
                </c:pt>
                <c:pt idx="4">
                  <c:v>2019-20</c:v>
                </c:pt>
              </c:strCache>
            </c:strRef>
          </c:cat>
          <c:val>
            <c:numRef>
              <c:f>Assessments!$AM$65:$AQ$65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4B8E-48C6-96B1-C351593434BB}"/>
            </c:ext>
          </c:extLst>
        </c:ser>
        <c:ser>
          <c:idx val="4"/>
          <c:order val="1"/>
          <c:tx>
            <c:strRef>
              <c:f>Assessments!$B$32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Assessments!$Z$2:$AD$3</c:f>
              <c:strCache>
                <c:ptCount val="5"/>
                <c:pt idx="0">
                  <c:v>2015-16</c:v>
                </c:pt>
                <c:pt idx="1">
                  <c:v>2016-17</c:v>
                </c:pt>
                <c:pt idx="2">
                  <c:v>2017-18</c:v>
                </c:pt>
                <c:pt idx="3">
                  <c:v>2018-19</c:v>
                </c:pt>
                <c:pt idx="4">
                  <c:v>2019-20</c:v>
                </c:pt>
              </c:strCache>
            </c:strRef>
          </c:cat>
          <c:val>
            <c:numRef>
              <c:f>Assessments!$K$32:$O$32</c:f>
              <c:numCache>
                <c:formatCode>0.0</c:formatCode>
                <c:ptCount val="5"/>
                <c:pt idx="0">
                  <c:v>476.09613680204365</c:v>
                </c:pt>
                <c:pt idx="1">
                  <c:v>510.99270601624335</c:v>
                </c:pt>
                <c:pt idx="2">
                  <c:v>525.85009516950458</c:v>
                </c:pt>
                <c:pt idx="3">
                  <c:v>522.22335751507103</c:v>
                </c:pt>
                <c:pt idx="4">
                  <c:v>561.09079829372331</c:v>
                </c:pt>
              </c:numCache>
            </c:numRef>
          </c:val>
          <c:extLst>
            <c:ext xmlns:c16="http://schemas.microsoft.com/office/drawing/2014/chart" uri="{C3380CC4-5D6E-409C-BE32-E72D297353CC}">
              <c16:uniqueId val="{00000001-4B8E-48C6-96B1-C351593434BB}"/>
            </c:ext>
          </c:extLst>
        </c:ser>
        <c:ser>
          <c:idx val="0"/>
          <c:order val="2"/>
          <c:tx>
            <c:strRef>
              <c:f>Assessments!$B$33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Assessments!$Z$2:$AD$3</c:f>
              <c:strCache>
                <c:ptCount val="5"/>
                <c:pt idx="0">
                  <c:v>2015-16</c:v>
                </c:pt>
                <c:pt idx="1">
                  <c:v>2016-17</c:v>
                </c:pt>
                <c:pt idx="2">
                  <c:v>2017-18</c:v>
                </c:pt>
                <c:pt idx="3">
                  <c:v>2018-19</c:v>
                </c:pt>
                <c:pt idx="4">
                  <c:v>2019-20</c:v>
                </c:pt>
              </c:strCache>
            </c:strRef>
          </c:cat>
          <c:val>
            <c:numRef>
              <c:f>Assessments!$K$33:$O$33</c:f>
              <c:numCache>
                <c:formatCode>0.0</c:formatCode>
                <c:ptCount val="5"/>
                <c:pt idx="0">
                  <c:v>489.50581868315362</c:v>
                </c:pt>
                <c:pt idx="1">
                  <c:v>514.98052658820734</c:v>
                </c:pt>
                <c:pt idx="2">
                  <c:v>531.80247745849829</c:v>
                </c:pt>
                <c:pt idx="3">
                  <c:v>527.90557609623079</c:v>
                </c:pt>
                <c:pt idx="4">
                  <c:v>553.62786519844303</c:v>
                </c:pt>
              </c:numCache>
            </c:numRef>
          </c:val>
          <c:extLst>
            <c:ext xmlns:c16="http://schemas.microsoft.com/office/drawing/2014/chart" uri="{C3380CC4-5D6E-409C-BE32-E72D297353CC}">
              <c16:uniqueId val="{00000002-4B8E-48C6-96B1-C351593434BB}"/>
            </c:ext>
          </c:extLst>
        </c:ser>
        <c:dLbls>
          <c:showLegendKey val="0"/>
          <c:showVal val="0"/>
          <c:showCatName val="0"/>
          <c:showSerName val="0"/>
          <c:showPercent val="0"/>
          <c:showBubbleSize val="0"/>
        </c:dLbls>
        <c:gapWidth val="100"/>
        <c:axId val="550782080"/>
        <c:axId val="550783616"/>
      </c:barChart>
      <c:catAx>
        <c:axId val="550782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783616"/>
        <c:crosses val="autoZero"/>
        <c:auto val="1"/>
        <c:lblAlgn val="ctr"/>
        <c:lblOffset val="100"/>
        <c:noMultiLvlLbl val="0"/>
      </c:catAx>
      <c:valAx>
        <c:axId val="55078361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782080"/>
        <c:crosses val="autoZero"/>
        <c:crossBetween val="between"/>
      </c:valAx>
      <c:spPr>
        <a:noFill/>
        <a:ln w="3175">
          <a:solidFill>
            <a:srgbClr val="000000"/>
          </a:solidFill>
          <a:prstDash val="solid"/>
        </a:ln>
      </c:spPr>
    </c:plotArea>
    <c:legend>
      <c:legendPos val="r"/>
      <c:layout>
        <c:manualLayout>
          <c:xMode val="edge"/>
          <c:yMode val="edge"/>
          <c:x val="0.75990284431229316"/>
          <c:y val="0.1236481367972716"/>
          <c:w val="0.24009715568770687"/>
          <c:h val="0.8124796077137064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Contacts</a:t>
            </a:r>
            <a:r>
              <a:rPr lang="en-GB" baseline="0"/>
              <a:t> </a:t>
            </a:r>
            <a:r>
              <a:rPr lang="en-GB"/>
              <a:t>to Social Care Referral</a:t>
            </a:r>
          </a:p>
          <a:p>
            <a:pPr>
              <a:defRPr sz="1000" b="1" i="0" u="none" strike="noStrike" baseline="0">
                <a:solidFill>
                  <a:srgbClr val="000000"/>
                </a:solidFill>
                <a:latin typeface="Arial"/>
                <a:ea typeface="Arial"/>
                <a:cs typeface="Arial"/>
              </a:defRPr>
            </a:pPr>
            <a:r>
              <a:rPr lang="en-GB"/>
              <a:t>(Selected LA</a:t>
            </a:r>
            <a:r>
              <a:rPr lang="en-GB" baseline="0"/>
              <a:t> vs. SE &amp; National)</a:t>
            </a:r>
            <a:r>
              <a:rPr lang="en-GB"/>
              <a:t> </a:t>
            </a:r>
          </a:p>
        </c:rich>
      </c:tx>
      <c:layout>
        <c:manualLayout>
          <c:xMode val="edge"/>
          <c:yMode val="edge"/>
          <c:x val="0.19526086511913285"/>
          <c:y val="3.8613355148788219E-3"/>
        </c:manualLayout>
      </c:layout>
      <c:overlay val="0"/>
      <c:spPr>
        <a:noFill/>
        <a:ln w="25400">
          <a:noFill/>
        </a:ln>
      </c:spPr>
    </c:title>
    <c:autoTitleDeleted val="0"/>
    <c:plotArea>
      <c:layout>
        <c:manualLayout>
          <c:layoutTarget val="inner"/>
          <c:xMode val="edge"/>
          <c:yMode val="edge"/>
          <c:x val="9.8666564984461691E-2"/>
          <c:y val="0.23145379554828374"/>
          <c:w val="0.64607416380644722"/>
          <c:h val="0.51269045914715206"/>
        </c:manualLayout>
      </c:layout>
      <c:barChart>
        <c:barDir val="col"/>
        <c:grouping val="clustered"/>
        <c:varyColors val="0"/>
        <c:ser>
          <c:idx val="6"/>
          <c:order val="0"/>
          <c:tx>
            <c:strRef>
              <c:f>Contacts!$Z$4</c:f>
              <c:strCache>
                <c:ptCount val="1"/>
                <c:pt idx="0">
                  <c:v>Selected LA- (none)</c:v>
                </c:pt>
              </c:strCache>
            </c:strRef>
          </c:tx>
          <c:spPr>
            <a:solidFill>
              <a:srgbClr val="66FF99"/>
            </a:solidFill>
            <a:ln>
              <a:solidFill>
                <a:schemeClr val="tx1">
                  <a:lumMod val="75000"/>
                  <a:lumOff val="25000"/>
                </a:schemeClr>
              </a:solidFill>
            </a:ln>
          </c:spPr>
          <c:invertIfNegative val="0"/>
          <c:cat>
            <c:strRef>
              <c:f>Contacts!$X$2:$AB$3</c:f>
              <c:strCache>
                <c:ptCount val="5"/>
                <c:pt idx="0">
                  <c:v>2015-16</c:v>
                </c:pt>
                <c:pt idx="1">
                  <c:v>2016-17</c:v>
                </c:pt>
                <c:pt idx="2">
                  <c:v>2017-18</c:v>
                </c:pt>
                <c:pt idx="3">
                  <c:v>2018-19</c:v>
                </c:pt>
                <c:pt idx="4">
                  <c:v>2019-20</c:v>
                </c:pt>
              </c:strCache>
            </c:strRef>
          </c:cat>
          <c:val>
            <c:numRef>
              <c:f>Contacts!$AR$64:$AV$64</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06AB-4D90-B052-7EA369438E08}"/>
            </c:ext>
          </c:extLst>
        </c:ser>
        <c:ser>
          <c:idx val="4"/>
          <c:order val="1"/>
          <c:tx>
            <c:strRef>
              <c:f>Contacts!$B$98</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Contacts!$X$2:$AB$3</c:f>
              <c:strCache>
                <c:ptCount val="5"/>
                <c:pt idx="0">
                  <c:v>2015-16</c:v>
                </c:pt>
                <c:pt idx="1">
                  <c:v>2016-17</c:v>
                </c:pt>
                <c:pt idx="2">
                  <c:v>2017-18</c:v>
                </c:pt>
                <c:pt idx="3">
                  <c:v>2018-19</c:v>
                </c:pt>
                <c:pt idx="4">
                  <c:v>2019-20</c:v>
                </c:pt>
              </c:strCache>
            </c:strRef>
          </c:cat>
          <c:val>
            <c:numRef>
              <c:f>Contacts!$D$98:$H$98</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06AB-4D90-B052-7EA369438E08}"/>
            </c:ext>
          </c:extLst>
        </c:ser>
        <c:dLbls>
          <c:showLegendKey val="0"/>
          <c:showVal val="0"/>
          <c:showCatName val="0"/>
          <c:showSerName val="0"/>
          <c:showPercent val="0"/>
          <c:showBubbleSize val="0"/>
        </c:dLbls>
        <c:gapWidth val="100"/>
        <c:axId val="500241920"/>
        <c:axId val="500243456"/>
      </c:barChart>
      <c:catAx>
        <c:axId val="500241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00243456"/>
        <c:crosses val="autoZero"/>
        <c:auto val="1"/>
        <c:lblAlgn val="ctr"/>
        <c:lblOffset val="100"/>
        <c:noMultiLvlLbl val="0"/>
      </c:catAx>
      <c:valAx>
        <c:axId val="50024345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0024192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048240805342373"/>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Single Assessments completed within 45 Days</a:t>
            </a:r>
          </a:p>
        </c:rich>
      </c:tx>
      <c:layout>
        <c:manualLayout>
          <c:xMode val="edge"/>
          <c:yMode val="edge"/>
          <c:x val="0.13744646204938665"/>
          <c:y val="8.280471006092037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28239525614858"/>
        </c:manualLayout>
      </c:layout>
      <c:lineChart>
        <c:grouping val="standard"/>
        <c:varyColors val="0"/>
        <c:ser>
          <c:idx val="0"/>
          <c:order val="0"/>
          <c:tx>
            <c:strRef>
              <c:f>Assessments!$AL$41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5341-4DCA-9C6E-9E4DD0D6BB4B}"/>
              </c:ext>
            </c:extLst>
          </c:dPt>
          <c:cat>
            <c:strRef>
              <c:f>Assessments!$Z$2:$AD$3</c:f>
              <c:strCache>
                <c:ptCount val="5"/>
                <c:pt idx="0">
                  <c:v>2015-16</c:v>
                </c:pt>
                <c:pt idx="1">
                  <c:v>2016-17</c:v>
                </c:pt>
                <c:pt idx="2">
                  <c:v>2017-18</c:v>
                </c:pt>
                <c:pt idx="3">
                  <c:v>2018-19</c:v>
                </c:pt>
                <c:pt idx="4">
                  <c:v>2019-20</c:v>
                </c:pt>
              </c:strCache>
            </c:strRef>
          </c:cat>
          <c:val>
            <c:numRef>
              <c:f>Assessments!$AX$41:$BB$41</c:f>
              <c:numCache>
                <c:formatCode>0.0%</c:formatCode>
                <c:ptCount val="5"/>
                <c:pt idx="0">
                  <c:v>0.96542311191992725</c:v>
                </c:pt>
                <c:pt idx="1">
                  <c:v>0.89727011494252873</c:v>
                </c:pt>
                <c:pt idx="2">
                  <c:v>0.90479041916167668</c:v>
                </c:pt>
                <c:pt idx="3">
                  <c:v>0.93540810334703461</c:v>
                </c:pt>
                <c:pt idx="4">
                  <c:v>0.93729588504245587</c:v>
                </c:pt>
              </c:numCache>
            </c:numRef>
          </c:val>
          <c:smooth val="0"/>
          <c:extLst>
            <c:ext xmlns:c16="http://schemas.microsoft.com/office/drawing/2014/chart" uri="{C3380CC4-5D6E-409C-BE32-E72D297353CC}">
              <c16:uniqueId val="{00000001-5341-4DCA-9C6E-9E4DD0D6BB4B}"/>
            </c:ext>
          </c:extLst>
        </c:ser>
        <c:ser>
          <c:idx val="1"/>
          <c:order val="1"/>
          <c:tx>
            <c:strRef>
              <c:f>Assessments!$AL$42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Assessments!$Z$2:$AD$3</c:f>
              <c:strCache>
                <c:ptCount val="5"/>
                <c:pt idx="0">
                  <c:v>2015-16</c:v>
                </c:pt>
                <c:pt idx="1">
                  <c:v>2016-17</c:v>
                </c:pt>
                <c:pt idx="2">
                  <c:v>2017-18</c:v>
                </c:pt>
                <c:pt idx="3">
                  <c:v>2018-19</c:v>
                </c:pt>
                <c:pt idx="4">
                  <c:v>2019-20</c:v>
                </c:pt>
              </c:strCache>
            </c:strRef>
          </c:cat>
          <c:val>
            <c:numRef>
              <c:f>Assessments!$AX$42:$BB$42</c:f>
              <c:numCache>
                <c:formatCode>0.0%</c:formatCode>
                <c:ptCount val="5"/>
                <c:pt idx="0">
                  <c:v>0.48814504881450488</c:v>
                </c:pt>
                <c:pt idx="1">
                  <c:v>0.70331125827814567</c:v>
                </c:pt>
                <c:pt idx="2">
                  <c:v>0.88855979266938168</c:v>
                </c:pt>
                <c:pt idx="3">
                  <c:v>0.88097165991902837</c:v>
                </c:pt>
                <c:pt idx="4">
                  <c:v>0.90014524328249823</c:v>
                </c:pt>
              </c:numCache>
            </c:numRef>
          </c:val>
          <c:smooth val="0"/>
          <c:extLst>
            <c:ext xmlns:c16="http://schemas.microsoft.com/office/drawing/2014/chart" uri="{C3380CC4-5D6E-409C-BE32-E72D297353CC}">
              <c16:uniqueId val="{00000002-5341-4DCA-9C6E-9E4DD0D6BB4B}"/>
            </c:ext>
          </c:extLst>
        </c:ser>
        <c:ser>
          <c:idx val="2"/>
          <c:order val="2"/>
          <c:tx>
            <c:strRef>
              <c:f>Assessments!$AL$43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Assessments!$Z$2:$AD$3</c:f>
              <c:strCache>
                <c:ptCount val="5"/>
                <c:pt idx="0">
                  <c:v>2015-16</c:v>
                </c:pt>
                <c:pt idx="1">
                  <c:v>2016-17</c:v>
                </c:pt>
                <c:pt idx="2">
                  <c:v>2017-18</c:v>
                </c:pt>
                <c:pt idx="3">
                  <c:v>2018-19</c:v>
                </c:pt>
                <c:pt idx="4">
                  <c:v>2019-20</c:v>
                </c:pt>
              </c:strCache>
            </c:strRef>
          </c:cat>
          <c:val>
            <c:numRef>
              <c:f>Assessments!$AX$43:$BB$43</c:f>
              <c:numCache>
                <c:formatCode>0.0%</c:formatCode>
                <c:ptCount val="5"/>
                <c:pt idx="0">
                  <c:v>0.54216867469879515</c:v>
                </c:pt>
                <c:pt idx="1">
                  <c:v>0.92904191616766463</c:v>
                </c:pt>
                <c:pt idx="2">
                  <c:v>0.84317475496055461</c:v>
                </c:pt>
                <c:pt idx="3">
                  <c:v>0.73449290190561456</c:v>
                </c:pt>
                <c:pt idx="4">
                  <c:v>0.87958630879093824</c:v>
                </c:pt>
              </c:numCache>
            </c:numRef>
          </c:val>
          <c:smooth val="0"/>
          <c:extLst>
            <c:ext xmlns:c16="http://schemas.microsoft.com/office/drawing/2014/chart" uri="{C3380CC4-5D6E-409C-BE32-E72D297353CC}">
              <c16:uniqueId val="{00000003-5341-4DCA-9C6E-9E4DD0D6BB4B}"/>
            </c:ext>
          </c:extLst>
        </c:ser>
        <c:ser>
          <c:idx val="5"/>
          <c:order val="3"/>
          <c:tx>
            <c:strRef>
              <c:f>Assessments!$AL$44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Assessments!$Z$2:$AD$3</c:f>
              <c:strCache>
                <c:ptCount val="5"/>
                <c:pt idx="0">
                  <c:v>2015-16</c:v>
                </c:pt>
                <c:pt idx="1">
                  <c:v>2016-17</c:v>
                </c:pt>
                <c:pt idx="2">
                  <c:v>2017-18</c:v>
                </c:pt>
                <c:pt idx="3">
                  <c:v>2018-19</c:v>
                </c:pt>
                <c:pt idx="4">
                  <c:v>2019-20</c:v>
                </c:pt>
              </c:strCache>
            </c:strRef>
          </c:cat>
          <c:val>
            <c:numRef>
              <c:f>Assessments!$AX$44:$BB$44</c:f>
              <c:numCache>
                <c:formatCode>0.0%</c:formatCode>
                <c:ptCount val="5"/>
                <c:pt idx="0">
                  <c:v>0.53883299798792761</c:v>
                </c:pt>
                <c:pt idx="1">
                  <c:v>0.65892459433662109</c:v>
                </c:pt>
                <c:pt idx="2">
                  <c:v>0.6064245810055866</c:v>
                </c:pt>
                <c:pt idx="3">
                  <c:v>0.57921067259588666</c:v>
                </c:pt>
                <c:pt idx="4">
                  <c:v>0.61008645533141215</c:v>
                </c:pt>
              </c:numCache>
            </c:numRef>
          </c:val>
          <c:smooth val="0"/>
          <c:extLst>
            <c:ext xmlns:c16="http://schemas.microsoft.com/office/drawing/2014/chart" uri="{C3380CC4-5D6E-409C-BE32-E72D297353CC}">
              <c16:uniqueId val="{00000004-5341-4DCA-9C6E-9E4DD0D6BB4B}"/>
            </c:ext>
          </c:extLst>
        </c:ser>
        <c:ser>
          <c:idx val="9"/>
          <c:order val="4"/>
          <c:tx>
            <c:strRef>
              <c:f>Assessments!$AL$45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Assessments!$Z$2:$AD$3</c:f>
              <c:strCache>
                <c:ptCount val="5"/>
                <c:pt idx="0">
                  <c:v>2015-16</c:v>
                </c:pt>
                <c:pt idx="1">
                  <c:v>2016-17</c:v>
                </c:pt>
                <c:pt idx="2">
                  <c:v>2017-18</c:v>
                </c:pt>
                <c:pt idx="3">
                  <c:v>2018-19</c:v>
                </c:pt>
                <c:pt idx="4">
                  <c:v>2019-20</c:v>
                </c:pt>
              </c:strCache>
            </c:strRef>
          </c:cat>
          <c:val>
            <c:numRef>
              <c:f>Assessments!$AX$45:$BB$45</c:f>
              <c:numCache>
                <c:formatCode>0.0%</c:formatCode>
                <c:ptCount val="5"/>
                <c:pt idx="0">
                  <c:v>0.88252318232827354</c:v>
                </c:pt>
                <c:pt idx="1">
                  <c:v>0.89637619071619379</c:v>
                </c:pt>
                <c:pt idx="2">
                  <c:v>0.91200453001132498</c:v>
                </c:pt>
                <c:pt idx="3">
                  <c:v>0.90851524745875689</c:v>
                </c:pt>
                <c:pt idx="4">
                  <c:v>0.92608563311688308</c:v>
                </c:pt>
              </c:numCache>
            </c:numRef>
          </c:val>
          <c:smooth val="0"/>
          <c:extLst>
            <c:ext xmlns:c16="http://schemas.microsoft.com/office/drawing/2014/chart" uri="{C3380CC4-5D6E-409C-BE32-E72D297353CC}">
              <c16:uniqueId val="{00000005-5341-4DCA-9C6E-9E4DD0D6BB4B}"/>
            </c:ext>
          </c:extLst>
        </c:ser>
        <c:ser>
          <c:idx val="10"/>
          <c:order val="5"/>
          <c:tx>
            <c:strRef>
              <c:f>Assessments!$AL$46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Assessments!$Z$2:$AD$3</c:f>
              <c:strCache>
                <c:ptCount val="5"/>
                <c:pt idx="0">
                  <c:v>2015-16</c:v>
                </c:pt>
                <c:pt idx="1">
                  <c:v>2016-17</c:v>
                </c:pt>
                <c:pt idx="2">
                  <c:v>2017-18</c:v>
                </c:pt>
                <c:pt idx="3">
                  <c:v>2018-19</c:v>
                </c:pt>
                <c:pt idx="4">
                  <c:v>2019-20</c:v>
                </c:pt>
              </c:strCache>
            </c:strRef>
          </c:cat>
          <c:val>
            <c:numRef>
              <c:f>Assessments!$AX$46:$BB$46</c:f>
              <c:numCache>
                <c:formatCode>0.0%</c:formatCode>
                <c:ptCount val="5"/>
                <c:pt idx="0">
                  <c:v>0.86304801670146136</c:v>
                </c:pt>
                <c:pt idx="1">
                  <c:v>0.79189892233370496</c:v>
                </c:pt>
                <c:pt idx="2">
                  <c:v>0.86114221724524076</c:v>
                </c:pt>
                <c:pt idx="3">
                  <c:v>0.95776081424936388</c:v>
                </c:pt>
                <c:pt idx="4">
                  <c:v>0.94474436328993328</c:v>
                </c:pt>
              </c:numCache>
            </c:numRef>
          </c:val>
          <c:smooth val="0"/>
          <c:extLst>
            <c:ext xmlns:c16="http://schemas.microsoft.com/office/drawing/2014/chart" uri="{C3380CC4-5D6E-409C-BE32-E72D297353CC}">
              <c16:uniqueId val="{00000006-5341-4DCA-9C6E-9E4DD0D6BB4B}"/>
            </c:ext>
          </c:extLst>
        </c:ser>
        <c:ser>
          <c:idx val="11"/>
          <c:order val="6"/>
          <c:tx>
            <c:strRef>
              <c:f>Assessments!$AL$47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Assessments!$Z$2:$AD$3</c:f>
              <c:strCache>
                <c:ptCount val="5"/>
                <c:pt idx="0">
                  <c:v>2015-16</c:v>
                </c:pt>
                <c:pt idx="1">
                  <c:v>2016-17</c:v>
                </c:pt>
                <c:pt idx="2">
                  <c:v>2017-18</c:v>
                </c:pt>
                <c:pt idx="3">
                  <c:v>2018-19</c:v>
                </c:pt>
                <c:pt idx="4">
                  <c:v>2019-20</c:v>
                </c:pt>
              </c:strCache>
            </c:strRef>
          </c:cat>
          <c:val>
            <c:numRef>
              <c:f>Assessments!$AX$47:$BB$47</c:f>
              <c:numCache>
                <c:formatCode>0.0%</c:formatCode>
                <c:ptCount val="5"/>
                <c:pt idx="0">
                  <c:v>0.91204379562043791</c:v>
                </c:pt>
                <c:pt idx="1">
                  <c:v>0.92209458633752905</c:v>
                </c:pt>
                <c:pt idx="2">
                  <c:v>0.86859297816964998</c:v>
                </c:pt>
                <c:pt idx="3">
                  <c:v>0.92114330904366493</c:v>
                </c:pt>
                <c:pt idx="4">
                  <c:v>0.88020883689451801</c:v>
                </c:pt>
              </c:numCache>
            </c:numRef>
          </c:val>
          <c:smooth val="0"/>
          <c:extLst>
            <c:ext xmlns:c16="http://schemas.microsoft.com/office/drawing/2014/chart" uri="{C3380CC4-5D6E-409C-BE32-E72D297353CC}">
              <c16:uniqueId val="{00000007-5341-4DCA-9C6E-9E4DD0D6BB4B}"/>
            </c:ext>
          </c:extLst>
        </c:ser>
        <c:ser>
          <c:idx val="12"/>
          <c:order val="7"/>
          <c:tx>
            <c:strRef>
              <c:f>Assessments!$AL$48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Assessments!$Z$2:$AD$3</c:f>
              <c:strCache>
                <c:ptCount val="5"/>
                <c:pt idx="0">
                  <c:v>2015-16</c:v>
                </c:pt>
                <c:pt idx="1">
                  <c:v>2016-17</c:v>
                </c:pt>
                <c:pt idx="2">
                  <c:v>2017-18</c:v>
                </c:pt>
                <c:pt idx="3">
                  <c:v>2018-19</c:v>
                </c:pt>
                <c:pt idx="4">
                  <c:v>2019-20</c:v>
                </c:pt>
              </c:strCache>
            </c:strRef>
          </c:cat>
          <c:val>
            <c:numRef>
              <c:f>Assessments!$AX$48:$BB$48</c:f>
              <c:numCache>
                <c:formatCode>0.0%</c:formatCode>
                <c:ptCount val="5"/>
                <c:pt idx="0">
                  <c:v>0.83365446371226715</c:v>
                </c:pt>
                <c:pt idx="1">
                  <c:v>0.95848119233498941</c:v>
                </c:pt>
                <c:pt idx="2">
                  <c:v>0.85930649661219605</c:v>
                </c:pt>
                <c:pt idx="3">
                  <c:v>0.63128654970760234</c:v>
                </c:pt>
                <c:pt idx="4">
                  <c:v>0.95097623089983019</c:v>
                </c:pt>
              </c:numCache>
            </c:numRef>
          </c:val>
          <c:smooth val="0"/>
          <c:extLst>
            <c:ext xmlns:c16="http://schemas.microsoft.com/office/drawing/2014/chart" uri="{C3380CC4-5D6E-409C-BE32-E72D297353CC}">
              <c16:uniqueId val="{00000008-5341-4DCA-9C6E-9E4DD0D6BB4B}"/>
            </c:ext>
          </c:extLst>
        </c:ser>
        <c:ser>
          <c:idx val="13"/>
          <c:order val="8"/>
          <c:tx>
            <c:strRef>
              <c:f>Assessments!$AL$49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Assessments!$Z$2:$AD$3</c:f>
              <c:strCache>
                <c:ptCount val="5"/>
                <c:pt idx="0">
                  <c:v>2015-16</c:v>
                </c:pt>
                <c:pt idx="1">
                  <c:v>2016-17</c:v>
                </c:pt>
                <c:pt idx="2">
                  <c:v>2017-18</c:v>
                </c:pt>
                <c:pt idx="3">
                  <c:v>2018-19</c:v>
                </c:pt>
                <c:pt idx="4">
                  <c:v>2019-20</c:v>
                </c:pt>
              </c:strCache>
            </c:strRef>
          </c:cat>
          <c:val>
            <c:numRef>
              <c:f>Assessments!$AX$49:$BB$49</c:f>
              <c:numCache>
                <c:formatCode>0.0%</c:formatCode>
                <c:ptCount val="5"/>
                <c:pt idx="0">
                  <c:v>0.93291806420699563</c:v>
                </c:pt>
                <c:pt idx="1">
                  <c:v>0.90186730234406043</c:v>
                </c:pt>
                <c:pt idx="2">
                  <c:v>0.87754179846362401</c:v>
                </c:pt>
                <c:pt idx="3">
                  <c:v>0.93863939528679408</c:v>
                </c:pt>
                <c:pt idx="4">
                  <c:v>0.82929226736566186</c:v>
                </c:pt>
              </c:numCache>
            </c:numRef>
          </c:val>
          <c:smooth val="0"/>
          <c:extLst>
            <c:ext xmlns:c16="http://schemas.microsoft.com/office/drawing/2014/chart" uri="{C3380CC4-5D6E-409C-BE32-E72D297353CC}">
              <c16:uniqueId val="{00000009-5341-4DCA-9C6E-9E4DD0D6BB4B}"/>
            </c:ext>
          </c:extLst>
        </c:ser>
        <c:ser>
          <c:idx val="15"/>
          <c:order val="9"/>
          <c:tx>
            <c:strRef>
              <c:f>Assessments!$AL$50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Assessments!$Z$2:$AD$3</c:f>
              <c:strCache>
                <c:ptCount val="5"/>
                <c:pt idx="0">
                  <c:v>2015-16</c:v>
                </c:pt>
                <c:pt idx="1">
                  <c:v>2016-17</c:v>
                </c:pt>
                <c:pt idx="2">
                  <c:v>2017-18</c:v>
                </c:pt>
                <c:pt idx="3">
                  <c:v>2018-19</c:v>
                </c:pt>
                <c:pt idx="4">
                  <c:v>2019-20</c:v>
                </c:pt>
              </c:strCache>
            </c:strRef>
          </c:cat>
          <c:val>
            <c:numRef>
              <c:f>Assessments!$AX$50:$BB$50</c:f>
              <c:numCache>
                <c:formatCode>0.0%</c:formatCode>
                <c:ptCount val="5"/>
                <c:pt idx="0">
                  <c:v>0.6292603335750544</c:v>
                </c:pt>
                <c:pt idx="1">
                  <c:v>0.5178571428571429</c:v>
                </c:pt>
                <c:pt idx="2">
                  <c:v>0.51692573402417963</c:v>
                </c:pt>
                <c:pt idx="3">
                  <c:v>0.58327165062916353</c:v>
                </c:pt>
                <c:pt idx="4">
                  <c:v>0.63010967098703885</c:v>
                </c:pt>
              </c:numCache>
            </c:numRef>
          </c:val>
          <c:smooth val="0"/>
          <c:extLst>
            <c:ext xmlns:c16="http://schemas.microsoft.com/office/drawing/2014/chart" uri="{C3380CC4-5D6E-409C-BE32-E72D297353CC}">
              <c16:uniqueId val="{0000000A-5341-4DCA-9C6E-9E4DD0D6BB4B}"/>
            </c:ext>
          </c:extLst>
        </c:ser>
        <c:ser>
          <c:idx val="16"/>
          <c:order val="10"/>
          <c:tx>
            <c:strRef>
              <c:f>Assessments!$AL$51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Assessments!$Z$2:$AD$3</c:f>
              <c:strCache>
                <c:ptCount val="5"/>
                <c:pt idx="0">
                  <c:v>2015-16</c:v>
                </c:pt>
                <c:pt idx="1">
                  <c:v>2016-17</c:v>
                </c:pt>
                <c:pt idx="2">
                  <c:v>2017-18</c:v>
                </c:pt>
                <c:pt idx="3">
                  <c:v>2018-19</c:v>
                </c:pt>
                <c:pt idx="4">
                  <c:v>2019-20</c:v>
                </c:pt>
              </c:strCache>
            </c:strRef>
          </c:cat>
          <c:val>
            <c:numRef>
              <c:f>Assessments!$AX$51:$BB$51</c:f>
              <c:numCache>
                <c:formatCode>0.0%</c:formatCode>
                <c:ptCount val="5"/>
                <c:pt idx="0">
                  <c:v>0.99516908212560384</c:v>
                </c:pt>
                <c:pt idx="1">
                  <c:v>0.94135593220338987</c:v>
                </c:pt>
                <c:pt idx="2">
                  <c:v>0.93573667711598751</c:v>
                </c:pt>
                <c:pt idx="3">
                  <c:v>0.95210061546695213</c:v>
                </c:pt>
                <c:pt idx="4">
                  <c:v>0.97992277992277987</c:v>
                </c:pt>
              </c:numCache>
            </c:numRef>
          </c:val>
          <c:smooth val="0"/>
          <c:extLst>
            <c:ext xmlns:c16="http://schemas.microsoft.com/office/drawing/2014/chart" uri="{C3380CC4-5D6E-409C-BE32-E72D297353CC}">
              <c16:uniqueId val="{0000000B-5341-4DCA-9C6E-9E4DD0D6BB4B}"/>
            </c:ext>
          </c:extLst>
        </c:ser>
        <c:ser>
          <c:idx val="17"/>
          <c:order val="11"/>
          <c:tx>
            <c:strRef>
              <c:f>Assessments!$AL$52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Assessments!$Z$2:$AD$3</c:f>
              <c:strCache>
                <c:ptCount val="5"/>
                <c:pt idx="0">
                  <c:v>2015-16</c:v>
                </c:pt>
                <c:pt idx="1">
                  <c:v>2016-17</c:v>
                </c:pt>
                <c:pt idx="2">
                  <c:v>2017-18</c:v>
                </c:pt>
                <c:pt idx="3">
                  <c:v>2018-19</c:v>
                </c:pt>
                <c:pt idx="4">
                  <c:v>2019-20</c:v>
                </c:pt>
              </c:strCache>
            </c:strRef>
          </c:cat>
          <c:val>
            <c:numRef>
              <c:f>Assessments!$AX$52:$BB$52</c:f>
              <c:numCache>
                <c:formatCode>0.0%</c:formatCode>
                <c:ptCount val="5"/>
                <c:pt idx="0">
                  <c:v>0.8337171810225702</c:v>
                </c:pt>
                <c:pt idx="1">
                  <c:v>0.69847198641765706</c:v>
                </c:pt>
                <c:pt idx="2">
                  <c:v>0.86205661053385885</c:v>
                </c:pt>
                <c:pt idx="3">
                  <c:v>0.88191330343796714</c:v>
                </c:pt>
                <c:pt idx="4">
                  <c:v>0.79992562290814428</c:v>
                </c:pt>
              </c:numCache>
            </c:numRef>
          </c:val>
          <c:smooth val="0"/>
          <c:extLst>
            <c:ext xmlns:c16="http://schemas.microsoft.com/office/drawing/2014/chart" uri="{C3380CC4-5D6E-409C-BE32-E72D297353CC}">
              <c16:uniqueId val="{0000000C-5341-4DCA-9C6E-9E4DD0D6BB4B}"/>
            </c:ext>
          </c:extLst>
        </c:ser>
        <c:ser>
          <c:idx val="19"/>
          <c:order val="12"/>
          <c:tx>
            <c:strRef>
              <c:f>Assessments!$AL$53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Assessments!$Z$2:$AD$3</c:f>
              <c:strCache>
                <c:ptCount val="5"/>
                <c:pt idx="0">
                  <c:v>2015-16</c:v>
                </c:pt>
                <c:pt idx="1">
                  <c:v>2016-17</c:v>
                </c:pt>
                <c:pt idx="2">
                  <c:v>2017-18</c:v>
                </c:pt>
                <c:pt idx="3">
                  <c:v>2018-19</c:v>
                </c:pt>
                <c:pt idx="4">
                  <c:v>2019-20</c:v>
                </c:pt>
              </c:strCache>
            </c:strRef>
          </c:cat>
          <c:val>
            <c:numRef>
              <c:f>Assessments!$AX$53:$BB$53</c:f>
              <c:numCache>
                <c:formatCode>0.0%</c:formatCode>
                <c:ptCount val="5"/>
                <c:pt idx="0">
                  <c:v>0.92851622874806805</c:v>
                </c:pt>
                <c:pt idx="1">
                  <c:v>0.85763146643864896</c:v>
                </c:pt>
                <c:pt idx="2">
                  <c:v>0.56594885598923284</c:v>
                </c:pt>
                <c:pt idx="3">
                  <c:v>0.79708580679978414</c:v>
                </c:pt>
                <c:pt idx="4">
                  <c:v>0.73904052936311004</c:v>
                </c:pt>
              </c:numCache>
            </c:numRef>
          </c:val>
          <c:smooth val="0"/>
          <c:extLst>
            <c:ext xmlns:c16="http://schemas.microsoft.com/office/drawing/2014/chart" uri="{C3380CC4-5D6E-409C-BE32-E72D297353CC}">
              <c16:uniqueId val="{0000000D-5341-4DCA-9C6E-9E4DD0D6BB4B}"/>
            </c:ext>
          </c:extLst>
        </c:ser>
        <c:ser>
          <c:idx val="3"/>
          <c:order val="13"/>
          <c:tx>
            <c:strRef>
              <c:f>Assessments!$AL$54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Assessments!$Z$2:$AD$3</c:f>
              <c:strCache>
                <c:ptCount val="5"/>
                <c:pt idx="0">
                  <c:v>2015-16</c:v>
                </c:pt>
                <c:pt idx="1">
                  <c:v>2016-17</c:v>
                </c:pt>
                <c:pt idx="2">
                  <c:v>2017-18</c:v>
                </c:pt>
                <c:pt idx="3">
                  <c:v>2018-19</c:v>
                </c:pt>
                <c:pt idx="4">
                  <c:v>2019-20</c:v>
                </c:pt>
              </c:strCache>
            </c:strRef>
          </c:cat>
          <c:val>
            <c:numRef>
              <c:f>Assessments!$AX$54:$BB$54</c:f>
              <c:numCache>
                <c:formatCode>0.0%</c:formatCode>
                <c:ptCount val="5"/>
                <c:pt idx="0">
                  <c:v>0.68116927260367099</c:v>
                </c:pt>
                <c:pt idx="1">
                  <c:v>0.89199029126213591</c:v>
                </c:pt>
                <c:pt idx="2">
                  <c:v>0.80662488809310651</c:v>
                </c:pt>
                <c:pt idx="3">
                  <c:v>0.76045719844357973</c:v>
                </c:pt>
                <c:pt idx="4">
                  <c:v>0.82956259426847667</c:v>
                </c:pt>
              </c:numCache>
            </c:numRef>
          </c:val>
          <c:smooth val="0"/>
          <c:extLst>
            <c:ext xmlns:c16="http://schemas.microsoft.com/office/drawing/2014/chart" uri="{C3380CC4-5D6E-409C-BE32-E72D297353CC}">
              <c16:uniqueId val="{0000000E-5341-4DCA-9C6E-9E4DD0D6BB4B}"/>
            </c:ext>
          </c:extLst>
        </c:ser>
        <c:ser>
          <c:idx val="20"/>
          <c:order val="14"/>
          <c:tx>
            <c:strRef>
              <c:f>Assessments!$AL$55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Assessments!$Z$2:$AD$3</c:f>
              <c:strCache>
                <c:ptCount val="5"/>
                <c:pt idx="0">
                  <c:v>2015-16</c:v>
                </c:pt>
                <c:pt idx="1">
                  <c:v>2016-17</c:v>
                </c:pt>
                <c:pt idx="2">
                  <c:v>2017-18</c:v>
                </c:pt>
                <c:pt idx="3">
                  <c:v>2018-19</c:v>
                </c:pt>
                <c:pt idx="4">
                  <c:v>2019-20</c:v>
                </c:pt>
              </c:strCache>
            </c:strRef>
          </c:cat>
          <c:val>
            <c:numRef>
              <c:f>Assessments!$AX$55:$BB$55</c:f>
              <c:numCache>
                <c:formatCode>0.0%</c:formatCode>
                <c:ptCount val="5"/>
                <c:pt idx="0">
                  <c:v>0.84843492586490943</c:v>
                </c:pt>
                <c:pt idx="1">
                  <c:v>0.67984934086629001</c:v>
                </c:pt>
                <c:pt idx="2">
                  <c:v>0.82916307161345992</c:v>
                </c:pt>
                <c:pt idx="3">
                  <c:v>0.66094771241830064</c:v>
                </c:pt>
                <c:pt idx="4">
                  <c:v>0.65254237288135597</c:v>
                </c:pt>
              </c:numCache>
            </c:numRef>
          </c:val>
          <c:smooth val="0"/>
          <c:extLst>
            <c:ext xmlns:c16="http://schemas.microsoft.com/office/drawing/2014/chart" uri="{C3380CC4-5D6E-409C-BE32-E72D297353CC}">
              <c16:uniqueId val="{0000000F-5341-4DCA-9C6E-9E4DD0D6BB4B}"/>
            </c:ext>
          </c:extLst>
        </c:ser>
        <c:ser>
          <c:idx val="22"/>
          <c:order val="15"/>
          <c:tx>
            <c:strRef>
              <c:f>Assessments!$AL$56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Assessments!$Z$2:$AD$3</c:f>
              <c:strCache>
                <c:ptCount val="5"/>
                <c:pt idx="0">
                  <c:v>2015-16</c:v>
                </c:pt>
                <c:pt idx="1">
                  <c:v>2016-17</c:v>
                </c:pt>
                <c:pt idx="2">
                  <c:v>2017-18</c:v>
                </c:pt>
                <c:pt idx="3">
                  <c:v>2018-19</c:v>
                </c:pt>
                <c:pt idx="4">
                  <c:v>2019-20</c:v>
                </c:pt>
              </c:strCache>
            </c:strRef>
          </c:cat>
          <c:val>
            <c:numRef>
              <c:f>Assessments!$AX$56:$BB$56</c:f>
              <c:numCache>
                <c:formatCode>0.0%</c:formatCode>
                <c:ptCount val="5"/>
                <c:pt idx="0">
                  <c:v>0.6516346311812059</c:v>
                </c:pt>
                <c:pt idx="1">
                  <c:v>0.75511562136083843</c:v>
                </c:pt>
                <c:pt idx="2">
                  <c:v>0.75856586374115587</c:v>
                </c:pt>
                <c:pt idx="3">
                  <c:v>0.73061982773180201</c:v>
                </c:pt>
                <c:pt idx="4">
                  <c:v>0.81808803301237965</c:v>
                </c:pt>
              </c:numCache>
            </c:numRef>
          </c:val>
          <c:smooth val="0"/>
          <c:extLst>
            <c:ext xmlns:c16="http://schemas.microsoft.com/office/drawing/2014/chart" uri="{C3380CC4-5D6E-409C-BE32-E72D297353CC}">
              <c16:uniqueId val="{00000010-5341-4DCA-9C6E-9E4DD0D6BB4B}"/>
            </c:ext>
          </c:extLst>
        </c:ser>
        <c:ser>
          <c:idx val="7"/>
          <c:order val="16"/>
          <c:tx>
            <c:strRef>
              <c:f>Assessments!$AL$57</c:f>
              <c:strCache>
                <c:ptCount val="1"/>
                <c:pt idx="0">
                  <c:v>Swindon</c:v>
                </c:pt>
              </c:strCache>
            </c:strRef>
          </c:tx>
          <c:spPr>
            <a:ln w="12700"/>
          </c:spPr>
          <c:marker>
            <c:symbol val="triangle"/>
            <c:size val="5"/>
            <c:spPr>
              <a:solidFill>
                <a:schemeClr val="accent2">
                  <a:lumMod val="20000"/>
                  <a:lumOff val="80000"/>
                </a:schemeClr>
              </a:solidFill>
            </c:spPr>
          </c:marker>
          <c:cat>
            <c:strRef>
              <c:f>Assessments!$Z$2:$AD$3</c:f>
              <c:strCache>
                <c:ptCount val="5"/>
                <c:pt idx="0">
                  <c:v>2015-16</c:v>
                </c:pt>
                <c:pt idx="1">
                  <c:v>2016-17</c:v>
                </c:pt>
                <c:pt idx="2">
                  <c:v>2017-18</c:v>
                </c:pt>
                <c:pt idx="3">
                  <c:v>2018-19</c:v>
                </c:pt>
                <c:pt idx="4">
                  <c:v>2019-20</c:v>
                </c:pt>
              </c:strCache>
            </c:strRef>
          </c:cat>
          <c:val>
            <c:numRef>
              <c:f>Assessments!$AX$57:$BB$57</c:f>
              <c:numCache>
                <c:formatCode>0.0%</c:formatCode>
                <c:ptCount val="5"/>
                <c:pt idx="0">
                  <c:v>0.60688117234788153</c:v>
                </c:pt>
                <c:pt idx="1">
                  <c:v>0.59084836339345359</c:v>
                </c:pt>
                <c:pt idx="2">
                  <c:v>0.71691526499523961</c:v>
                </c:pt>
                <c:pt idx="3">
                  <c:v>0.79471931493815418</c:v>
                </c:pt>
                <c:pt idx="4">
                  <c:v>0.93099442379182151</c:v>
                </c:pt>
              </c:numCache>
            </c:numRef>
          </c:val>
          <c:smooth val="0"/>
          <c:extLst>
            <c:ext xmlns:c16="http://schemas.microsoft.com/office/drawing/2014/chart" uri="{C3380CC4-5D6E-409C-BE32-E72D297353CC}">
              <c16:uniqueId val="{00000011-5341-4DCA-9C6E-9E4DD0D6BB4B}"/>
            </c:ext>
          </c:extLst>
        </c:ser>
        <c:ser>
          <c:idx val="8"/>
          <c:order val="17"/>
          <c:tx>
            <c:strRef>
              <c:f>Assessments!$AL$58</c:f>
              <c:strCache>
                <c:ptCount val="1"/>
                <c:pt idx="0">
                  <c:v>Torbay</c:v>
                </c:pt>
              </c:strCache>
            </c:strRef>
          </c:tx>
          <c:spPr>
            <a:ln w="12700"/>
          </c:spPr>
          <c:marker>
            <c:symbol val="circle"/>
            <c:size val="5"/>
            <c:spPr>
              <a:solidFill>
                <a:schemeClr val="accent3">
                  <a:lumMod val="20000"/>
                  <a:lumOff val="80000"/>
                </a:schemeClr>
              </a:solidFill>
            </c:spPr>
          </c:marker>
          <c:cat>
            <c:strRef>
              <c:f>Assessments!$Z$2:$AD$3</c:f>
              <c:strCache>
                <c:ptCount val="5"/>
                <c:pt idx="0">
                  <c:v>2015-16</c:v>
                </c:pt>
                <c:pt idx="1">
                  <c:v>2016-17</c:v>
                </c:pt>
                <c:pt idx="2">
                  <c:v>2017-18</c:v>
                </c:pt>
                <c:pt idx="3">
                  <c:v>2018-19</c:v>
                </c:pt>
                <c:pt idx="4">
                  <c:v>2019-20</c:v>
                </c:pt>
              </c:strCache>
            </c:strRef>
          </c:cat>
          <c:val>
            <c:numRef>
              <c:f>Assessments!$AX$58:$BB$58</c:f>
              <c:numCache>
                <c:formatCode>0.0%</c:formatCode>
                <c:ptCount val="5"/>
                <c:pt idx="0">
                  <c:v>0.90115532734274706</c:v>
                </c:pt>
                <c:pt idx="1">
                  <c:v>0.81576253838280455</c:v>
                </c:pt>
                <c:pt idx="2">
                  <c:v>0.72042440318302392</c:v>
                </c:pt>
                <c:pt idx="3">
                  <c:v>0.74375000000000002</c:v>
                </c:pt>
                <c:pt idx="4">
                  <c:v>0.80328905755850732</c:v>
                </c:pt>
              </c:numCache>
            </c:numRef>
          </c:val>
          <c:smooth val="0"/>
          <c:extLst>
            <c:ext xmlns:c16="http://schemas.microsoft.com/office/drawing/2014/chart" uri="{C3380CC4-5D6E-409C-BE32-E72D297353CC}">
              <c16:uniqueId val="{00000012-5341-4DCA-9C6E-9E4DD0D6BB4B}"/>
            </c:ext>
          </c:extLst>
        </c:ser>
        <c:ser>
          <c:idx val="23"/>
          <c:order val="18"/>
          <c:tx>
            <c:strRef>
              <c:f>Assessments!$AL$59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Assessments!$Z$2:$AD$3</c:f>
              <c:strCache>
                <c:ptCount val="5"/>
                <c:pt idx="0">
                  <c:v>2015-16</c:v>
                </c:pt>
                <c:pt idx="1">
                  <c:v>2016-17</c:v>
                </c:pt>
                <c:pt idx="2">
                  <c:v>2017-18</c:v>
                </c:pt>
                <c:pt idx="3">
                  <c:v>2018-19</c:v>
                </c:pt>
                <c:pt idx="4">
                  <c:v>2019-20</c:v>
                </c:pt>
              </c:strCache>
            </c:strRef>
          </c:cat>
          <c:val>
            <c:numRef>
              <c:f>Assessments!$AX$59:$BB$59</c:f>
              <c:numCache>
                <c:formatCode>0.0%</c:formatCode>
                <c:ptCount val="5"/>
                <c:pt idx="0">
                  <c:v>0.86052998605299857</c:v>
                </c:pt>
                <c:pt idx="1">
                  <c:v>0.96673320026613441</c:v>
                </c:pt>
                <c:pt idx="2">
                  <c:v>0.98258426966292134</c:v>
                </c:pt>
                <c:pt idx="3">
                  <c:v>0.96980029225523623</c:v>
                </c:pt>
                <c:pt idx="4">
                  <c:v>0.99090422685928303</c:v>
                </c:pt>
              </c:numCache>
            </c:numRef>
          </c:val>
          <c:smooth val="0"/>
          <c:extLst>
            <c:ext xmlns:c16="http://schemas.microsoft.com/office/drawing/2014/chart" uri="{C3380CC4-5D6E-409C-BE32-E72D297353CC}">
              <c16:uniqueId val="{00000013-5341-4DCA-9C6E-9E4DD0D6BB4B}"/>
            </c:ext>
          </c:extLst>
        </c:ser>
        <c:ser>
          <c:idx val="24"/>
          <c:order val="19"/>
          <c:tx>
            <c:strRef>
              <c:f>Assessments!$AL$60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Assessments!$Z$2:$AD$3</c:f>
              <c:strCache>
                <c:ptCount val="5"/>
                <c:pt idx="0">
                  <c:v>2015-16</c:v>
                </c:pt>
                <c:pt idx="1">
                  <c:v>2016-17</c:v>
                </c:pt>
                <c:pt idx="2">
                  <c:v>2017-18</c:v>
                </c:pt>
                <c:pt idx="3">
                  <c:v>2018-19</c:v>
                </c:pt>
                <c:pt idx="4">
                  <c:v>2019-20</c:v>
                </c:pt>
              </c:strCache>
            </c:strRef>
          </c:cat>
          <c:val>
            <c:numRef>
              <c:f>Assessments!$AX$60:$BB$60</c:f>
              <c:numCache>
                <c:formatCode>0.0%</c:formatCode>
                <c:ptCount val="5"/>
                <c:pt idx="0">
                  <c:v>0.96490288010716674</c:v>
                </c:pt>
                <c:pt idx="1">
                  <c:v>0.96934363946023849</c:v>
                </c:pt>
                <c:pt idx="2">
                  <c:v>0.97780887644942027</c:v>
                </c:pt>
                <c:pt idx="3">
                  <c:v>0.85417867435158501</c:v>
                </c:pt>
                <c:pt idx="4">
                  <c:v>0.87779690189328741</c:v>
                </c:pt>
              </c:numCache>
            </c:numRef>
          </c:val>
          <c:smooth val="0"/>
          <c:extLst>
            <c:ext xmlns:c16="http://schemas.microsoft.com/office/drawing/2014/chart" uri="{C3380CC4-5D6E-409C-BE32-E72D297353CC}">
              <c16:uniqueId val="{00000014-5341-4DCA-9C6E-9E4DD0D6BB4B}"/>
            </c:ext>
          </c:extLst>
        </c:ser>
        <c:ser>
          <c:idx val="25"/>
          <c:order val="20"/>
          <c:tx>
            <c:strRef>
              <c:f>Assessments!$AL$61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Assessments!$Z$2:$AD$3</c:f>
              <c:strCache>
                <c:ptCount val="5"/>
                <c:pt idx="0">
                  <c:v>2015-16</c:v>
                </c:pt>
                <c:pt idx="1">
                  <c:v>2016-17</c:v>
                </c:pt>
                <c:pt idx="2">
                  <c:v>2017-18</c:v>
                </c:pt>
                <c:pt idx="3">
                  <c:v>2018-19</c:v>
                </c:pt>
                <c:pt idx="4">
                  <c:v>2019-20</c:v>
                </c:pt>
              </c:strCache>
            </c:strRef>
          </c:cat>
          <c:val>
            <c:numRef>
              <c:f>Assessments!$AX$61:$BB$61</c:f>
              <c:numCache>
                <c:formatCode>0.0%</c:formatCode>
                <c:ptCount val="5"/>
                <c:pt idx="0">
                  <c:v>0.81060606060606055</c:v>
                </c:pt>
                <c:pt idx="1">
                  <c:v>0.57485029940119758</c:v>
                </c:pt>
                <c:pt idx="2">
                  <c:v>0.57126696832579182</c:v>
                </c:pt>
                <c:pt idx="3">
                  <c:v>0.61585365853658536</c:v>
                </c:pt>
                <c:pt idx="4">
                  <c:v>0.93063583815028905</c:v>
                </c:pt>
              </c:numCache>
            </c:numRef>
          </c:val>
          <c:smooth val="0"/>
          <c:extLst>
            <c:ext xmlns:c16="http://schemas.microsoft.com/office/drawing/2014/chart" uri="{C3380CC4-5D6E-409C-BE32-E72D297353CC}">
              <c16:uniqueId val="{00000015-5341-4DCA-9C6E-9E4DD0D6BB4B}"/>
            </c:ext>
          </c:extLst>
        </c:ser>
        <c:ser>
          <c:idx val="26"/>
          <c:order val="21"/>
          <c:tx>
            <c:strRef>
              <c:f>Assessments!$AL$62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Assessments!$Z$2:$AD$3</c:f>
              <c:strCache>
                <c:ptCount val="5"/>
                <c:pt idx="0">
                  <c:v>2015-16</c:v>
                </c:pt>
                <c:pt idx="1">
                  <c:v>2016-17</c:v>
                </c:pt>
                <c:pt idx="2">
                  <c:v>2017-18</c:v>
                </c:pt>
                <c:pt idx="3">
                  <c:v>2018-19</c:v>
                </c:pt>
                <c:pt idx="4">
                  <c:v>2019-20</c:v>
                </c:pt>
              </c:strCache>
            </c:strRef>
          </c:cat>
          <c:val>
            <c:numRef>
              <c:f>Assessments!$AX$62:$BB$62</c:f>
              <c:numCache>
                <c:formatCode>0.0%</c:formatCode>
                <c:ptCount val="5"/>
                <c:pt idx="0">
                  <c:v>0.9521276595744681</c:v>
                </c:pt>
                <c:pt idx="1">
                  <c:v>0.85599999999999998</c:v>
                </c:pt>
                <c:pt idx="2">
                  <c:v>0.7308394160583942</c:v>
                </c:pt>
                <c:pt idx="3">
                  <c:v>0.7541834968263128</c:v>
                </c:pt>
                <c:pt idx="4">
                  <c:v>0.78744939271255066</c:v>
                </c:pt>
              </c:numCache>
            </c:numRef>
          </c:val>
          <c:smooth val="0"/>
          <c:extLst>
            <c:ext xmlns:c16="http://schemas.microsoft.com/office/drawing/2014/chart" uri="{C3380CC4-5D6E-409C-BE32-E72D297353CC}">
              <c16:uniqueId val="{00000016-5341-4DCA-9C6E-9E4DD0D6BB4B}"/>
            </c:ext>
          </c:extLst>
        </c:ser>
        <c:ser>
          <c:idx val="4"/>
          <c:order val="22"/>
          <c:tx>
            <c:strRef>
              <c:f>Assessments!$AL$63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Assessments!$Z$2:$AD$3</c:f>
              <c:strCache>
                <c:ptCount val="5"/>
                <c:pt idx="0">
                  <c:v>2015-16</c:v>
                </c:pt>
                <c:pt idx="1">
                  <c:v>2016-17</c:v>
                </c:pt>
                <c:pt idx="2">
                  <c:v>2017-18</c:v>
                </c:pt>
                <c:pt idx="3">
                  <c:v>2018-19</c:v>
                </c:pt>
                <c:pt idx="4">
                  <c:v>2019-20</c:v>
                </c:pt>
              </c:strCache>
            </c:strRef>
          </c:cat>
          <c:val>
            <c:numRef>
              <c:f>Assessments!$AX$63:$BB$63</c:f>
              <c:numCache>
                <c:formatCode>0.0%</c:formatCode>
                <c:ptCount val="5"/>
                <c:pt idx="0">
                  <c:v>0.82711047848461627</c:v>
                </c:pt>
                <c:pt idx="1">
                  <c:v>0.83836032388663972</c:v>
                </c:pt>
                <c:pt idx="2">
                  <c:v>0.83770299354333788</c:v>
                </c:pt>
                <c:pt idx="3">
                  <c:v>0.82349480290252985</c:v>
                </c:pt>
                <c:pt idx="4">
                  <c:v>0.85129876006878447</c:v>
                </c:pt>
              </c:numCache>
            </c:numRef>
          </c:val>
          <c:smooth val="0"/>
          <c:extLst>
            <c:ext xmlns:c16="http://schemas.microsoft.com/office/drawing/2014/chart" uri="{C3380CC4-5D6E-409C-BE32-E72D297353CC}">
              <c16:uniqueId val="{00000017-5341-4DCA-9C6E-9E4DD0D6BB4B}"/>
            </c:ext>
          </c:extLst>
        </c:ser>
        <c:ser>
          <c:idx val="14"/>
          <c:order val="23"/>
          <c:tx>
            <c:strRef>
              <c:f>Assessments!$AL$64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Assessments!$Z$2:$AD$3</c:f>
              <c:strCache>
                <c:ptCount val="5"/>
                <c:pt idx="0">
                  <c:v>2015-16</c:v>
                </c:pt>
                <c:pt idx="1">
                  <c:v>2016-17</c:v>
                </c:pt>
                <c:pt idx="2">
                  <c:v>2017-18</c:v>
                </c:pt>
                <c:pt idx="3">
                  <c:v>2018-19</c:v>
                </c:pt>
                <c:pt idx="4">
                  <c:v>2019-20</c:v>
                </c:pt>
              </c:strCache>
            </c:strRef>
          </c:cat>
          <c:val>
            <c:numRef>
              <c:f>Assessments!$AX$64:$BB$64</c:f>
              <c:numCache>
                <c:formatCode>0.0%</c:formatCode>
                <c:ptCount val="5"/>
                <c:pt idx="0">
                  <c:v>0.8343537890980337</c:v>
                </c:pt>
                <c:pt idx="1">
                  <c:v>0.82934023200632745</c:v>
                </c:pt>
                <c:pt idx="2">
                  <c:v>0.82698676808493776</c:v>
                </c:pt>
                <c:pt idx="3">
                  <c:v>0.83147723042561117</c:v>
                </c:pt>
                <c:pt idx="4">
                  <c:v>0.83848095180867688</c:v>
                </c:pt>
              </c:numCache>
            </c:numRef>
          </c:val>
          <c:smooth val="0"/>
          <c:extLst>
            <c:ext xmlns:c16="http://schemas.microsoft.com/office/drawing/2014/chart" uri="{C3380CC4-5D6E-409C-BE32-E72D297353CC}">
              <c16:uniqueId val="{00000018-5341-4DCA-9C6E-9E4DD0D6BB4B}"/>
            </c:ext>
          </c:extLst>
        </c:ser>
        <c:ser>
          <c:idx val="6"/>
          <c:order val="24"/>
          <c:tx>
            <c:strRef>
              <c:f>Assessments!$AL$65</c:f>
              <c:strCache>
                <c:ptCount val="1"/>
                <c:pt idx="0">
                  <c:v>Selected LA- (none)</c:v>
                </c:pt>
              </c:strCache>
            </c:strRef>
          </c:tx>
          <c:spPr>
            <a:ln>
              <a:solidFill>
                <a:schemeClr val="tx1">
                  <a:lumMod val="75000"/>
                  <a:lumOff val="25000"/>
                </a:schemeClr>
              </a:solidFill>
            </a:ln>
          </c:spPr>
          <c:marker>
            <c:symbol val="circle"/>
            <c:size val="6"/>
            <c:spPr>
              <a:solidFill>
                <a:srgbClr val="66FF99"/>
              </a:solidFill>
              <a:ln>
                <a:solidFill>
                  <a:schemeClr val="tx1">
                    <a:lumMod val="75000"/>
                    <a:lumOff val="25000"/>
                  </a:schemeClr>
                </a:solidFill>
              </a:ln>
            </c:spPr>
          </c:marker>
          <c:cat>
            <c:strRef>
              <c:f>Assessments!$Z$2:$AD$3</c:f>
              <c:strCache>
                <c:ptCount val="5"/>
                <c:pt idx="0">
                  <c:v>2015-16</c:v>
                </c:pt>
                <c:pt idx="1">
                  <c:v>2016-17</c:v>
                </c:pt>
                <c:pt idx="2">
                  <c:v>2017-18</c:v>
                </c:pt>
                <c:pt idx="3">
                  <c:v>2018-19</c:v>
                </c:pt>
                <c:pt idx="4">
                  <c:v>2019-20</c:v>
                </c:pt>
              </c:strCache>
            </c:strRef>
          </c:cat>
          <c:val>
            <c:numRef>
              <c:f>Assessments!$AX$65:$BB$65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5341-4DCA-9C6E-9E4DD0D6BB4B}"/>
            </c:ext>
          </c:extLst>
        </c:ser>
        <c:dLbls>
          <c:showLegendKey val="0"/>
          <c:showVal val="0"/>
          <c:showCatName val="0"/>
          <c:showSerName val="0"/>
          <c:showPercent val="0"/>
          <c:showBubbleSize val="0"/>
        </c:dLbls>
        <c:marker val="1"/>
        <c:smooth val="0"/>
        <c:axId val="561498368"/>
        <c:axId val="561193344"/>
      </c:lineChart>
      <c:catAx>
        <c:axId val="561498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193344"/>
        <c:crosses val="autoZero"/>
        <c:auto val="1"/>
        <c:lblAlgn val="ctr"/>
        <c:lblOffset val="100"/>
        <c:tickLblSkip val="1"/>
        <c:tickMarkSkip val="1"/>
        <c:noMultiLvlLbl val="0"/>
      </c:catAx>
      <c:valAx>
        <c:axId val="561193344"/>
        <c:scaling>
          <c:orientation val="minMax"/>
          <c:max val="1"/>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498368"/>
        <c:crosses val="autoZero"/>
        <c:crossBetween val="between"/>
      </c:valAx>
      <c:spPr>
        <a:noFill/>
        <a:ln w="3175">
          <a:solidFill>
            <a:srgbClr val="000000"/>
          </a:solidFill>
          <a:prstDash val="solid"/>
        </a:ln>
      </c:spPr>
    </c:plotArea>
    <c:legend>
      <c:legendPos val="r"/>
      <c:layout>
        <c:manualLayout>
          <c:xMode val="edge"/>
          <c:yMode val="edge"/>
          <c:x val="0.67109092691214423"/>
          <c:y val="5.3754631153420933E-2"/>
          <c:w val="0.30793272269537736"/>
          <c:h val="0.9462453688465790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Assessments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Assessments!$S$7</c:f>
              <c:strCache>
                <c:ptCount val="1"/>
                <c:pt idx="0">
                  <c:v>Distance from Expected 2020</c:v>
                </c:pt>
              </c:strCache>
            </c:strRef>
          </c:tx>
          <c:spPr>
            <a:solidFill>
              <a:srgbClr val="FB994F"/>
            </a:solidFill>
            <a:ln w="25400">
              <a:noFill/>
            </a:ln>
          </c:spPr>
          <c:invertIfNegative val="0"/>
          <c:cat>
            <c:strRef>
              <c:f>Assessments!$Y$77:$Y$100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Assessments!$U$10:$U$33</c:f>
              <c:numCache>
                <c:formatCode>0.0</c:formatCode>
                <c:ptCount val="24"/>
                <c:pt idx="0">
                  <c:v>121.06294490519531</c:v>
                </c:pt>
                <c:pt idx="1">
                  <c:v>6.3718926964888851</c:v>
                </c:pt>
                <c:pt idx="2">
                  <c:v>235.81513584518922</c:v>
                </c:pt>
                <c:pt idx="3">
                  <c:v>-230.0985808003723</c:v>
                </c:pt>
                <c:pt idx="4">
                  <c:v>252.2452577782409</c:v>
                </c:pt>
                <c:pt idx="5">
                  <c:v>681.81390346000967</c:v>
                </c:pt>
                <c:pt idx="6">
                  <c:v>50.925145774372027</c:v>
                </c:pt>
                <c:pt idx="7">
                  <c:v>123.29347101894916</c:v>
                </c:pt>
                <c:pt idx="8">
                  <c:v>-91.767048441410736</c:v>
                </c:pt>
                <c:pt idx="9">
                  <c:v>39.454424329947699</c:v>
                </c:pt>
                <c:pt idx="10">
                  <c:v>-44.083681449835694</c:v>
                </c:pt>
                <c:pt idx="11">
                  <c:v>172.1473296989252</c:v>
                </c:pt>
                <c:pt idx="12">
                  <c:v>46.733725360425865</c:v>
                </c:pt>
                <c:pt idx="13">
                  <c:v>-210.32737037775257</c:v>
                </c:pt>
                <c:pt idx="14">
                  <c:v>255.89682279264616</c:v>
                </c:pt>
                <c:pt idx="15">
                  <c:v>-75.773846059118341</c:v>
                </c:pt>
                <c:pt idx="16">
                  <c:v>320.52032710941546</c:v>
                </c:pt>
                <c:pt idx="17">
                  <c:v>-18.11201903424876</c:v>
                </c:pt>
                <c:pt idx="18">
                  <c:v>113.35407324130824</c:v>
                </c:pt>
                <c:pt idx="19">
                  <c:v>135.44633116432203</c:v>
                </c:pt>
                <c:pt idx="20">
                  <c:v>-26.707207272213395</c:v>
                </c:pt>
                <c:pt idx="21">
                  <c:v>37.294621628237678</c:v>
                </c:pt>
                <c:pt idx="22">
                  <c:v>76.289923626091365</c:v>
                </c:pt>
                <c:pt idx="23">
                  <c:v>-21.843211392406602</c:v>
                </c:pt>
              </c:numCache>
            </c:numRef>
          </c:val>
          <c:extLst>
            <c:ext xmlns:c16="http://schemas.microsoft.com/office/drawing/2014/chart" uri="{C3380CC4-5D6E-409C-BE32-E72D297353CC}">
              <c16:uniqueId val="{00000000-1623-4054-A155-1A7A3677B123}"/>
            </c:ext>
          </c:extLst>
        </c:ser>
        <c:ser>
          <c:idx val="0"/>
          <c:order val="1"/>
          <c:tx>
            <c:strRef>
              <c:f>Assessments!$AA$4</c:f>
              <c:strCache>
                <c:ptCount val="1"/>
                <c:pt idx="0">
                  <c:v>Selected LA- (none)</c:v>
                </c:pt>
              </c:strCache>
            </c:strRef>
          </c:tx>
          <c:spPr>
            <a:solidFill>
              <a:srgbClr val="66FF99"/>
            </a:solidFill>
            <a:ln w="12700">
              <a:solidFill>
                <a:srgbClr val="000000"/>
              </a:solidFill>
              <a:prstDash val="solid"/>
            </a:ln>
          </c:spPr>
          <c:invertIfNegative val="0"/>
          <c:cat>
            <c:strRef>
              <c:f>Assessments!$Y$77:$Y$100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1623-4054-A155-1A7A3677B123}"/>
            </c:ext>
          </c:extLst>
        </c:ser>
        <c:dLbls>
          <c:showLegendKey val="0"/>
          <c:showVal val="0"/>
          <c:showCatName val="0"/>
          <c:showSerName val="0"/>
          <c:showPercent val="0"/>
          <c:showBubbleSize val="0"/>
        </c:dLbls>
        <c:gapWidth val="40"/>
        <c:overlap val="100"/>
        <c:axId val="561223552"/>
        <c:axId val="561225088"/>
      </c:barChart>
      <c:catAx>
        <c:axId val="56122355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225088"/>
        <c:crossesAt val="0"/>
        <c:auto val="1"/>
        <c:lblAlgn val="ctr"/>
        <c:lblOffset val="100"/>
        <c:noMultiLvlLbl val="0"/>
      </c:catAx>
      <c:valAx>
        <c:axId val="56122508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223552"/>
        <c:crosses val="max"/>
        <c:crossBetween val="between"/>
      </c:valAx>
      <c:spPr>
        <a:noFill/>
        <a:ln w="12700">
          <a:solidFill>
            <a:srgbClr val="000000"/>
          </a:solidFill>
          <a:prstDash val="solid"/>
        </a:ln>
      </c:spPr>
    </c:plotArea>
    <c:legend>
      <c:legendPos val="t"/>
      <c:layout>
        <c:manualLayout>
          <c:xMode val="edge"/>
          <c:yMode val="edge"/>
          <c:x val="0.19701637727249535"/>
          <c:y val="7.2490772111310081E-2"/>
          <c:w val="0.72758490501862216"/>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Assessments!$AL$5</c:f>
          <c:strCache>
            <c:ptCount val="1"/>
            <c:pt idx="0">
              <c:v>Average Annual Change in Number of Assessments</c:v>
            </c:pt>
          </c:strCache>
        </c:strRef>
      </c:tx>
      <c:layout>
        <c:manualLayout>
          <c:xMode val="edge"/>
          <c:yMode val="edge"/>
          <c:x val="2.6894592721364376E-2"/>
          <c:y val="1.1152425391270536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Assessments!$I$7</c:f>
              <c:strCache>
                <c:ptCount val="1"/>
                <c:pt idx="0">
                  <c:v>Average Annual Change </c:v>
                </c:pt>
              </c:strCache>
            </c:strRef>
          </c:tx>
          <c:spPr>
            <a:solidFill>
              <a:srgbClr val="FB994F"/>
            </a:solidFill>
            <a:ln w="25400">
              <a:noFill/>
            </a:ln>
          </c:spPr>
          <c:invertIfNegative val="0"/>
          <c:cat>
            <c:strRef>
              <c:f>Assessments!$B$10:$B$33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Assessments!$I$10:$I$33</c:f>
              <c:numCache>
                <c:formatCode>0.0%</c:formatCode>
                <c:ptCount val="24"/>
                <c:pt idx="0">
                  <c:v>9.6282391015600391E-2</c:v>
                </c:pt>
                <c:pt idx="1">
                  <c:v>-5.7936641830987241E-3</c:v>
                </c:pt>
                <c:pt idx="2">
                  <c:v>0.10481494704910502</c:v>
                </c:pt>
                <c:pt idx="3">
                  <c:v>9.3320120079509863E-2</c:v>
                </c:pt>
                <c:pt idx="4">
                  <c:v>4.4075307183744313E-2</c:v>
                </c:pt>
                <c:pt idx="5">
                  <c:v>0.11378966935708734</c:v>
                </c:pt>
                <c:pt idx="6">
                  <c:v>6.3668132138948244E-2</c:v>
                </c:pt>
                <c:pt idx="7">
                  <c:v>0.13820762058386499</c:v>
                </c:pt>
                <c:pt idx="8">
                  <c:v>0.11464343907050245</c:v>
                </c:pt>
                <c:pt idx="9">
                  <c:v>7.8109346448266059E-2</c:v>
                </c:pt>
                <c:pt idx="10">
                  <c:v>0.13191700759084424</c:v>
                </c:pt>
                <c:pt idx="11">
                  <c:v>6.6969960204849063E-2</c:v>
                </c:pt>
                <c:pt idx="12">
                  <c:v>2.6402517602167504E-2</c:v>
                </c:pt>
                <c:pt idx="13">
                  <c:v>-5.1896677880611974E-2</c:v>
                </c:pt>
                <c:pt idx="14">
                  <c:v>0.17096213496307255</c:v>
                </c:pt>
                <c:pt idx="15">
                  <c:v>-7.2010932792295826E-2</c:v>
                </c:pt>
                <c:pt idx="16">
                  <c:v>9.1052912450852327E-2</c:v>
                </c:pt>
                <c:pt idx="17">
                  <c:v>9.8618984941627519E-2</c:v>
                </c:pt>
                <c:pt idx="18">
                  <c:v>7.5614911954482514E-2</c:v>
                </c:pt>
                <c:pt idx="19">
                  <c:v>9.4582901835380956E-2</c:v>
                </c:pt>
                <c:pt idx="20">
                  <c:v>0.11149373196983517</c:v>
                </c:pt>
                <c:pt idx="21">
                  <c:v>0.13073248031008253</c:v>
                </c:pt>
                <c:pt idx="22">
                  <c:v>4.2475701361636781E-2</c:v>
                </c:pt>
                <c:pt idx="23">
                  <c:v>3.9079858749161929E-2</c:v>
                </c:pt>
              </c:numCache>
            </c:numRef>
          </c:val>
          <c:extLst>
            <c:ext xmlns:c16="http://schemas.microsoft.com/office/drawing/2014/chart" uri="{C3380CC4-5D6E-409C-BE32-E72D297353CC}">
              <c16:uniqueId val="{00000000-8E2A-4B50-9ECC-B5D736486C41}"/>
            </c:ext>
          </c:extLst>
        </c:ser>
        <c:ser>
          <c:idx val="1"/>
          <c:order val="1"/>
          <c:tx>
            <c:strRef>
              <c:f>Assessments!$AA$4</c:f>
              <c:strCache>
                <c:ptCount val="1"/>
                <c:pt idx="0">
                  <c:v>Selected LA- (none)</c:v>
                </c:pt>
              </c:strCache>
            </c:strRef>
          </c:tx>
          <c:spPr>
            <a:solidFill>
              <a:srgbClr val="66FF99"/>
            </a:solidFill>
            <a:ln w="12700">
              <a:solidFill>
                <a:srgbClr val="000000"/>
              </a:solidFill>
              <a:prstDash val="solid"/>
            </a:ln>
          </c:spPr>
          <c:invertIfNegative val="0"/>
          <c:cat>
            <c:strRef>
              <c:f>Assessments!$B$10:$B$33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8E2A-4B50-9ECC-B5D736486C41}"/>
            </c:ext>
          </c:extLst>
        </c:ser>
        <c:dLbls>
          <c:showLegendKey val="0"/>
          <c:showVal val="0"/>
          <c:showCatName val="0"/>
          <c:showSerName val="0"/>
          <c:showPercent val="0"/>
          <c:showBubbleSize val="0"/>
        </c:dLbls>
        <c:gapWidth val="40"/>
        <c:overlap val="100"/>
        <c:axId val="561336704"/>
        <c:axId val="561338240"/>
      </c:barChart>
      <c:catAx>
        <c:axId val="56133670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338240"/>
        <c:crosses val="autoZero"/>
        <c:auto val="1"/>
        <c:lblAlgn val="ctr"/>
        <c:lblOffset val="100"/>
        <c:noMultiLvlLbl val="0"/>
      </c:catAx>
      <c:valAx>
        <c:axId val="56133824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336704"/>
        <c:crosses val="max"/>
        <c:crossBetween val="between"/>
      </c:valAx>
      <c:spPr>
        <a:noFill/>
        <a:ln w="3175">
          <a:solidFill>
            <a:srgbClr val="000000"/>
          </a:solidFill>
          <a:prstDash val="solid"/>
        </a:ln>
      </c:spPr>
    </c:plotArea>
    <c:legend>
      <c:legendPos val="t"/>
      <c:layout>
        <c:manualLayout>
          <c:xMode val="edge"/>
          <c:yMode val="edge"/>
          <c:x val="0.2503198463828385"/>
          <c:y val="7.189413823272090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Assessments completed in 45 Days</a:t>
            </a:r>
            <a:r>
              <a:rPr lang="en-GB" baseline="0"/>
              <a:t> </a:t>
            </a:r>
            <a:r>
              <a:rPr lang="en-GB"/>
              <a:t>(Selected LA</a:t>
            </a:r>
            <a:r>
              <a:rPr lang="en-GB" baseline="0"/>
              <a:t> vs. SE &amp; National)</a:t>
            </a:r>
            <a:r>
              <a:rPr lang="en-GB"/>
              <a:t> </a:t>
            </a:r>
          </a:p>
        </c:rich>
      </c:tx>
      <c:layout>
        <c:manualLayout>
          <c:xMode val="edge"/>
          <c:yMode val="edge"/>
          <c:x val="0.15377777777777779"/>
          <c:y val="2.5360466305348196E-4"/>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924123120973511"/>
        </c:manualLayout>
      </c:layout>
      <c:barChart>
        <c:barDir val="col"/>
        <c:grouping val="clustered"/>
        <c:varyColors val="0"/>
        <c:ser>
          <c:idx val="6"/>
          <c:order val="0"/>
          <c:tx>
            <c:strRef>
              <c:f>Assessments!$AA$4</c:f>
              <c:strCache>
                <c:ptCount val="1"/>
                <c:pt idx="0">
                  <c:v>Selected LA- (none)</c:v>
                </c:pt>
              </c:strCache>
            </c:strRef>
          </c:tx>
          <c:spPr>
            <a:solidFill>
              <a:srgbClr val="66FF99"/>
            </a:solidFill>
            <a:ln>
              <a:solidFill>
                <a:schemeClr val="tx1">
                  <a:lumMod val="75000"/>
                  <a:lumOff val="25000"/>
                </a:schemeClr>
              </a:solidFill>
            </a:ln>
          </c:spPr>
          <c:invertIfNegative val="0"/>
          <c:cat>
            <c:strRef>
              <c:f>Assessments!$Z$2:$AD$3</c:f>
              <c:strCache>
                <c:ptCount val="5"/>
                <c:pt idx="0">
                  <c:v>2015-16</c:v>
                </c:pt>
                <c:pt idx="1">
                  <c:v>2016-17</c:v>
                </c:pt>
                <c:pt idx="2">
                  <c:v>2017-18</c:v>
                </c:pt>
                <c:pt idx="3">
                  <c:v>2018-19</c:v>
                </c:pt>
                <c:pt idx="4">
                  <c:v>2019-20</c:v>
                </c:pt>
              </c:strCache>
            </c:strRef>
          </c:cat>
          <c:val>
            <c:numRef>
              <c:f>Assessments!$AX$65:$BB$65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AF6E-47AA-BCBE-2179D04A2CDD}"/>
            </c:ext>
          </c:extLst>
        </c:ser>
        <c:ser>
          <c:idx val="4"/>
          <c:order val="1"/>
          <c:tx>
            <c:strRef>
              <c:f>Assessments!$B$134</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Assessments!$Z$2:$AD$3</c:f>
              <c:strCache>
                <c:ptCount val="5"/>
                <c:pt idx="0">
                  <c:v>2015-16</c:v>
                </c:pt>
                <c:pt idx="1">
                  <c:v>2016-17</c:v>
                </c:pt>
                <c:pt idx="2">
                  <c:v>2017-18</c:v>
                </c:pt>
                <c:pt idx="3">
                  <c:v>2018-19</c:v>
                </c:pt>
                <c:pt idx="4">
                  <c:v>2019-20</c:v>
                </c:pt>
              </c:strCache>
            </c:strRef>
          </c:cat>
          <c:val>
            <c:numRef>
              <c:f>Assessments!$D$134:$H$134</c:f>
              <c:numCache>
                <c:formatCode>0%</c:formatCode>
                <c:ptCount val="5"/>
                <c:pt idx="0">
                  <c:v>0.82711047848461627</c:v>
                </c:pt>
                <c:pt idx="1">
                  <c:v>0.83836032388663972</c:v>
                </c:pt>
                <c:pt idx="2">
                  <c:v>0.83770299354333788</c:v>
                </c:pt>
                <c:pt idx="3">
                  <c:v>0.82349480290252985</c:v>
                </c:pt>
                <c:pt idx="4">
                  <c:v>0.85129876006878447</c:v>
                </c:pt>
              </c:numCache>
            </c:numRef>
          </c:val>
          <c:extLst>
            <c:ext xmlns:c16="http://schemas.microsoft.com/office/drawing/2014/chart" uri="{C3380CC4-5D6E-409C-BE32-E72D297353CC}">
              <c16:uniqueId val="{00000001-AF6E-47AA-BCBE-2179D04A2CDD}"/>
            </c:ext>
          </c:extLst>
        </c:ser>
        <c:ser>
          <c:idx val="0"/>
          <c:order val="2"/>
          <c:tx>
            <c:strRef>
              <c:f>Assessments!$B$135</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Assessments!$Z$2:$AD$3</c:f>
              <c:strCache>
                <c:ptCount val="5"/>
                <c:pt idx="0">
                  <c:v>2015-16</c:v>
                </c:pt>
                <c:pt idx="1">
                  <c:v>2016-17</c:v>
                </c:pt>
                <c:pt idx="2">
                  <c:v>2017-18</c:v>
                </c:pt>
                <c:pt idx="3">
                  <c:v>2018-19</c:v>
                </c:pt>
                <c:pt idx="4">
                  <c:v>2019-20</c:v>
                </c:pt>
              </c:strCache>
            </c:strRef>
          </c:cat>
          <c:val>
            <c:numRef>
              <c:f>Assessments!$D$135:$H$135</c:f>
              <c:numCache>
                <c:formatCode>0%</c:formatCode>
                <c:ptCount val="5"/>
                <c:pt idx="0">
                  <c:v>0.8343537890980337</c:v>
                </c:pt>
                <c:pt idx="1">
                  <c:v>0.82934023200632745</c:v>
                </c:pt>
                <c:pt idx="2">
                  <c:v>0.82698676808493776</c:v>
                </c:pt>
                <c:pt idx="3">
                  <c:v>0.83147723042561117</c:v>
                </c:pt>
                <c:pt idx="4">
                  <c:v>0.83848095180867688</c:v>
                </c:pt>
              </c:numCache>
            </c:numRef>
          </c:val>
          <c:extLst>
            <c:ext xmlns:c16="http://schemas.microsoft.com/office/drawing/2014/chart" uri="{C3380CC4-5D6E-409C-BE32-E72D297353CC}">
              <c16:uniqueId val="{00000002-AF6E-47AA-BCBE-2179D04A2CDD}"/>
            </c:ext>
          </c:extLst>
        </c:ser>
        <c:dLbls>
          <c:showLegendKey val="0"/>
          <c:showVal val="0"/>
          <c:showCatName val="0"/>
          <c:showSerName val="0"/>
          <c:showPercent val="0"/>
          <c:showBubbleSize val="0"/>
        </c:dLbls>
        <c:gapWidth val="100"/>
        <c:axId val="561379968"/>
        <c:axId val="561385856"/>
      </c:barChart>
      <c:catAx>
        <c:axId val="561379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385856"/>
        <c:crosses val="autoZero"/>
        <c:auto val="1"/>
        <c:lblAlgn val="ctr"/>
        <c:lblOffset val="100"/>
        <c:noMultiLvlLbl val="0"/>
      </c:catAx>
      <c:valAx>
        <c:axId val="56138585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37996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Single Assessments</a:t>
            </a:r>
            <a:r>
              <a:rPr lang="en-GB" baseline="0"/>
              <a:t> </a:t>
            </a:r>
            <a:r>
              <a:rPr lang="en-GB"/>
              <a:t>completed within each time band </a:t>
            </a:r>
          </a:p>
        </c:rich>
      </c:tx>
      <c:layout>
        <c:manualLayout>
          <c:xMode val="edge"/>
          <c:yMode val="edge"/>
          <c:x val="0.12231399646472763"/>
          <c:y val="8.7452255281276654E-3"/>
        </c:manualLayout>
      </c:layout>
      <c:overlay val="0"/>
      <c:spPr>
        <a:noFill/>
        <a:ln w="25400">
          <a:noFill/>
        </a:ln>
      </c:spPr>
    </c:title>
    <c:autoTitleDeleted val="0"/>
    <c:plotArea>
      <c:layout>
        <c:manualLayout>
          <c:layoutTarget val="inner"/>
          <c:xMode val="edge"/>
          <c:yMode val="edge"/>
          <c:x val="0.28766189940543146"/>
          <c:y val="9.8031702081195882E-2"/>
          <c:w val="0.59469859124752267"/>
          <c:h val="0.8593736222532623"/>
        </c:manualLayout>
      </c:layout>
      <c:barChart>
        <c:barDir val="bar"/>
        <c:grouping val="percentStacked"/>
        <c:varyColors val="0"/>
        <c:ser>
          <c:idx val="0"/>
          <c:order val="0"/>
          <c:tx>
            <c:strRef>
              <c:f>Assessments!$D$146</c:f>
              <c:strCache>
                <c:ptCount val="1"/>
                <c:pt idx="0">
                  <c:v>Within 10 Days</c:v>
                </c:pt>
              </c:strCache>
            </c:strRef>
          </c:tx>
          <c:spPr>
            <a:solidFill>
              <a:srgbClr val="92D050"/>
            </a:solidFill>
            <a:ln>
              <a:solidFill>
                <a:schemeClr val="tx1"/>
              </a:solidFill>
            </a:ln>
          </c:spPr>
          <c:invertIfNegative val="0"/>
          <c:cat>
            <c:strRef>
              <c:f>Assessments!$B$147:$B$170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Assessments!$D$147:$D$170</c:f>
              <c:numCache>
                <c:formatCode>0%</c:formatCode>
                <c:ptCount val="24"/>
                <c:pt idx="0">
                  <c:v>0.18158066623122143</c:v>
                </c:pt>
                <c:pt idx="1">
                  <c:v>0.14633260711692084</c:v>
                </c:pt>
                <c:pt idx="2">
                  <c:v>0.24267421817286383</c:v>
                </c:pt>
                <c:pt idx="3">
                  <c:v>6.8011527377521613E-2</c:v>
                </c:pt>
                <c:pt idx="4">
                  <c:v>0.23549107142857142</c:v>
                </c:pt>
                <c:pt idx="5">
                  <c:v>0.32232454747538902</c:v>
                </c:pt>
                <c:pt idx="6">
                  <c:v>6.8355409455670507E-2</c:v>
                </c:pt>
                <c:pt idx="7">
                  <c:v>2.3132427843803056E-2</c:v>
                </c:pt>
                <c:pt idx="8">
                  <c:v>0.15432503276539974</c:v>
                </c:pt>
                <c:pt idx="9">
                  <c:v>6.0532687651331719E-2</c:v>
                </c:pt>
                <c:pt idx="10">
                  <c:v>0.26833976833976836</c:v>
                </c:pt>
                <c:pt idx="11">
                  <c:v>7.9955373744886579E-2</c:v>
                </c:pt>
                <c:pt idx="12">
                  <c:v>0</c:v>
                </c:pt>
                <c:pt idx="13">
                  <c:v>0.11131221719457013</c:v>
                </c:pt>
                <c:pt idx="14">
                  <c:v>9.1481964363320289E-2</c:v>
                </c:pt>
                <c:pt idx="15">
                  <c:v>4.745529573590096E-2</c:v>
                </c:pt>
                <c:pt idx="16">
                  <c:v>0.40566914498141265</c:v>
                </c:pt>
                <c:pt idx="17">
                  <c:v>0.1157495256166983</c:v>
                </c:pt>
                <c:pt idx="18">
                  <c:v>0.2231139646869984</c:v>
                </c:pt>
                <c:pt idx="19">
                  <c:v>0.24153757888697647</c:v>
                </c:pt>
                <c:pt idx="20">
                  <c:v>6.9364161849710976E-2</c:v>
                </c:pt>
                <c:pt idx="21">
                  <c:v>8.5020242914979755E-2</c:v>
                </c:pt>
                <c:pt idx="22">
                  <c:v>0.14417594352430085</c:v>
                </c:pt>
                <c:pt idx="23">
                  <c:v>0.13856507631294315</c:v>
                </c:pt>
              </c:numCache>
            </c:numRef>
          </c:val>
          <c:extLst>
            <c:ext xmlns:c16="http://schemas.microsoft.com/office/drawing/2014/chart" uri="{C3380CC4-5D6E-409C-BE32-E72D297353CC}">
              <c16:uniqueId val="{00000000-0ADC-40EB-8DE4-EC74B68A0F60}"/>
            </c:ext>
          </c:extLst>
        </c:ser>
        <c:ser>
          <c:idx val="1"/>
          <c:order val="1"/>
          <c:tx>
            <c:strRef>
              <c:f>Assessments!$E$146</c:f>
              <c:strCache>
                <c:ptCount val="1"/>
                <c:pt idx="0">
                  <c:v>11-20 Days</c:v>
                </c:pt>
              </c:strCache>
            </c:strRef>
          </c:tx>
          <c:spPr>
            <a:solidFill>
              <a:schemeClr val="accent3">
                <a:lumMod val="75000"/>
              </a:schemeClr>
            </a:solidFill>
            <a:ln>
              <a:solidFill>
                <a:srgbClr val="000000"/>
              </a:solidFill>
            </a:ln>
          </c:spPr>
          <c:invertIfNegative val="0"/>
          <c:cat>
            <c:strRef>
              <c:f>Assessments!$B$147:$B$170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Assessments!$E$147:$E$170</c:f>
              <c:numCache>
                <c:formatCode>0%</c:formatCode>
                <c:ptCount val="24"/>
                <c:pt idx="0">
                  <c:v>0.36903984323971262</c:v>
                </c:pt>
                <c:pt idx="1">
                  <c:v>0.11510530137981119</c:v>
                </c:pt>
                <c:pt idx="2">
                  <c:v>0.12989411475006157</c:v>
                </c:pt>
                <c:pt idx="3">
                  <c:v>0.13342939481268012</c:v>
                </c:pt>
                <c:pt idx="4">
                  <c:v>0.47940340909090912</c:v>
                </c:pt>
                <c:pt idx="5">
                  <c:v>0.36392505557319782</c:v>
                </c:pt>
                <c:pt idx="6">
                  <c:v>0.12907280286183892</c:v>
                </c:pt>
                <c:pt idx="7">
                  <c:v>0.13667232597623091</c:v>
                </c:pt>
                <c:pt idx="8">
                  <c:v>0.19692005242463959</c:v>
                </c:pt>
                <c:pt idx="9">
                  <c:v>0.10254949437402079</c:v>
                </c:pt>
                <c:pt idx="10">
                  <c:v>0.24362934362934363</c:v>
                </c:pt>
                <c:pt idx="11">
                  <c:v>0.1647452584603942</c:v>
                </c:pt>
                <c:pt idx="12">
                  <c:v>0.11414392059553349</c:v>
                </c:pt>
                <c:pt idx="13">
                  <c:v>0.11282051282051282</c:v>
                </c:pt>
                <c:pt idx="14">
                  <c:v>0.16492829204693613</c:v>
                </c:pt>
                <c:pt idx="15">
                  <c:v>0.16758367721228795</c:v>
                </c:pt>
                <c:pt idx="16">
                  <c:v>0.32086431226765799</c:v>
                </c:pt>
                <c:pt idx="17">
                  <c:v>0.22580645161290322</c:v>
                </c:pt>
                <c:pt idx="18">
                  <c:v>0.17174959871589085</c:v>
                </c:pt>
                <c:pt idx="19">
                  <c:v>0.10795563205201759</c:v>
                </c:pt>
                <c:pt idx="20">
                  <c:v>0.19900908340214699</c:v>
                </c:pt>
                <c:pt idx="21">
                  <c:v>0.16599190283400811</c:v>
                </c:pt>
                <c:pt idx="22">
                  <c:v>0.20943071771201013</c:v>
                </c:pt>
                <c:pt idx="23">
                  <c:v>0.16839923086167527</c:v>
                </c:pt>
              </c:numCache>
            </c:numRef>
          </c:val>
          <c:extLst>
            <c:ext xmlns:c16="http://schemas.microsoft.com/office/drawing/2014/chart" uri="{C3380CC4-5D6E-409C-BE32-E72D297353CC}">
              <c16:uniqueId val="{00000001-0ADC-40EB-8DE4-EC74B68A0F60}"/>
            </c:ext>
          </c:extLst>
        </c:ser>
        <c:ser>
          <c:idx val="2"/>
          <c:order val="2"/>
          <c:tx>
            <c:strRef>
              <c:f>Assessments!$F$146</c:f>
              <c:strCache>
                <c:ptCount val="1"/>
                <c:pt idx="0">
                  <c:v>21-30 Days</c:v>
                </c:pt>
              </c:strCache>
            </c:strRef>
          </c:tx>
          <c:spPr>
            <a:solidFill>
              <a:srgbClr val="FFC000"/>
            </a:solidFill>
            <a:ln>
              <a:solidFill>
                <a:srgbClr val="000000"/>
              </a:solidFill>
            </a:ln>
          </c:spPr>
          <c:invertIfNegative val="0"/>
          <c:cat>
            <c:strRef>
              <c:f>Assessments!$B$147:$B$170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Assessments!$F$147:$F$170</c:f>
              <c:numCache>
                <c:formatCode>0%</c:formatCode>
                <c:ptCount val="24"/>
                <c:pt idx="0">
                  <c:v>0.18680600914435011</c:v>
                </c:pt>
                <c:pt idx="1">
                  <c:v>0.24146695715323166</c:v>
                </c:pt>
                <c:pt idx="2">
                  <c:v>0.20068948534843634</c:v>
                </c:pt>
                <c:pt idx="3">
                  <c:v>0.13227665706051872</c:v>
                </c:pt>
                <c:pt idx="4">
                  <c:v>0.10907061688311688</c:v>
                </c:pt>
                <c:pt idx="5">
                  <c:v>9.6221022546840271E-2</c:v>
                </c:pt>
                <c:pt idx="6">
                  <c:v>0.24659189790196268</c:v>
                </c:pt>
                <c:pt idx="7">
                  <c:v>0.20606960950764006</c:v>
                </c:pt>
                <c:pt idx="8">
                  <c:v>0.20740498034076016</c:v>
                </c:pt>
                <c:pt idx="9">
                  <c:v>0.10895883777239709</c:v>
                </c:pt>
                <c:pt idx="10">
                  <c:v>0.2413127413127413</c:v>
                </c:pt>
                <c:pt idx="11">
                  <c:v>0.14652287095574562</c:v>
                </c:pt>
                <c:pt idx="12">
                  <c:v>0.22249793217535152</c:v>
                </c:pt>
                <c:pt idx="13">
                  <c:v>0.18401206636500755</c:v>
                </c:pt>
                <c:pt idx="14">
                  <c:v>0.15015210777922641</c:v>
                </c:pt>
                <c:pt idx="15">
                  <c:v>0.21240256762952775</c:v>
                </c:pt>
                <c:pt idx="16">
                  <c:v>0.12197955390334572</c:v>
                </c:pt>
                <c:pt idx="17">
                  <c:v>0.22896900695762176</c:v>
                </c:pt>
                <c:pt idx="18">
                  <c:v>0.11289459604066346</c:v>
                </c:pt>
                <c:pt idx="19">
                  <c:v>0.14601262191623637</c:v>
                </c:pt>
                <c:pt idx="20">
                  <c:v>0.22708505367464904</c:v>
                </c:pt>
                <c:pt idx="21">
                  <c:v>0.21929824561403508</c:v>
                </c:pt>
                <c:pt idx="22">
                  <c:v>0.17558150058828853</c:v>
                </c:pt>
                <c:pt idx="23">
                  <c:v>0.16851940872491286</c:v>
                </c:pt>
              </c:numCache>
            </c:numRef>
          </c:val>
          <c:extLst>
            <c:ext xmlns:c16="http://schemas.microsoft.com/office/drawing/2014/chart" uri="{C3380CC4-5D6E-409C-BE32-E72D297353CC}">
              <c16:uniqueId val="{00000002-0ADC-40EB-8DE4-EC74B68A0F60}"/>
            </c:ext>
          </c:extLst>
        </c:ser>
        <c:ser>
          <c:idx val="3"/>
          <c:order val="3"/>
          <c:tx>
            <c:strRef>
              <c:f>Assessments!$G$146</c:f>
              <c:strCache>
                <c:ptCount val="1"/>
                <c:pt idx="0">
                  <c:v>31-45 Days</c:v>
                </c:pt>
              </c:strCache>
            </c:strRef>
          </c:tx>
          <c:spPr>
            <a:solidFill>
              <a:schemeClr val="accent6"/>
            </a:solidFill>
            <a:ln>
              <a:solidFill>
                <a:srgbClr val="000000"/>
              </a:solidFill>
            </a:ln>
          </c:spPr>
          <c:invertIfNegative val="0"/>
          <c:cat>
            <c:strRef>
              <c:f>Assessments!$B$147:$B$170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Assessments!$G$147:$G$170</c:f>
              <c:numCache>
                <c:formatCode>0%</c:formatCode>
                <c:ptCount val="24"/>
                <c:pt idx="0">
                  <c:v>0.19986936642717179</c:v>
                </c:pt>
                <c:pt idx="1">
                  <c:v>0.3972403776325345</c:v>
                </c:pt>
                <c:pt idx="2">
                  <c:v>0.30632849051957645</c:v>
                </c:pt>
                <c:pt idx="3">
                  <c:v>0.27636887608069166</c:v>
                </c:pt>
                <c:pt idx="4">
                  <c:v>0.10212053571428571</c:v>
                </c:pt>
                <c:pt idx="5">
                  <c:v>0.1622737376945062</c:v>
                </c:pt>
                <c:pt idx="6">
                  <c:v>0.43618872667504593</c:v>
                </c:pt>
                <c:pt idx="7">
                  <c:v>0.58510186757215621</c:v>
                </c:pt>
                <c:pt idx="8">
                  <c:v>0.27064220183486237</c:v>
                </c:pt>
                <c:pt idx="9">
                  <c:v>0.35806865118928927</c:v>
                </c:pt>
                <c:pt idx="10">
                  <c:v>0.22664092664092664</c:v>
                </c:pt>
                <c:pt idx="11">
                  <c:v>0.4087021197471179</c:v>
                </c:pt>
                <c:pt idx="12">
                  <c:v>0.402398676592225</c:v>
                </c:pt>
                <c:pt idx="13">
                  <c:v>0.42141779788838613</c:v>
                </c:pt>
                <c:pt idx="14">
                  <c:v>0.24598000869187309</c:v>
                </c:pt>
                <c:pt idx="15">
                  <c:v>0.39064649243466298</c:v>
                </c:pt>
                <c:pt idx="16">
                  <c:v>8.2481412639405199E-2</c:v>
                </c:pt>
                <c:pt idx="17">
                  <c:v>0.23276407337128399</c:v>
                </c:pt>
                <c:pt idx="18">
                  <c:v>0.48314606741573035</c:v>
                </c:pt>
                <c:pt idx="19">
                  <c:v>0.38229106903805699</c:v>
                </c:pt>
                <c:pt idx="20">
                  <c:v>0.435177539223782</c:v>
                </c:pt>
                <c:pt idx="21">
                  <c:v>0.31713900134952766</c:v>
                </c:pt>
                <c:pt idx="22">
                  <c:v>0.32211059824418498</c:v>
                </c:pt>
                <c:pt idx="23">
                  <c:v>0.36299723590914551</c:v>
                </c:pt>
              </c:numCache>
            </c:numRef>
          </c:val>
          <c:extLst>
            <c:ext xmlns:c16="http://schemas.microsoft.com/office/drawing/2014/chart" uri="{C3380CC4-5D6E-409C-BE32-E72D297353CC}">
              <c16:uniqueId val="{00000003-0ADC-40EB-8DE4-EC74B68A0F60}"/>
            </c:ext>
          </c:extLst>
        </c:ser>
        <c:ser>
          <c:idx val="4"/>
          <c:order val="4"/>
          <c:tx>
            <c:strRef>
              <c:f>Assessments!$H$146</c:f>
              <c:strCache>
                <c:ptCount val="1"/>
                <c:pt idx="0">
                  <c:v>Over 45 Days</c:v>
                </c:pt>
              </c:strCache>
            </c:strRef>
          </c:tx>
          <c:spPr>
            <a:solidFill>
              <a:srgbClr val="CB9763"/>
            </a:solidFill>
            <a:ln>
              <a:solidFill>
                <a:srgbClr val="000000"/>
              </a:solidFill>
            </a:ln>
          </c:spPr>
          <c:invertIfNegative val="0"/>
          <c:cat>
            <c:strRef>
              <c:f>Assessments!$B$147:$B$170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Assessments!$H$147:$H$170</c:f>
              <c:numCache>
                <c:formatCode>0%</c:formatCode>
                <c:ptCount val="24"/>
                <c:pt idx="0">
                  <c:v>6.2704114957544091E-2</c:v>
                </c:pt>
                <c:pt idx="1">
                  <c:v>9.9854756717501811E-2</c:v>
                </c:pt>
                <c:pt idx="2">
                  <c:v>0.12041369120906181</c:v>
                </c:pt>
                <c:pt idx="3">
                  <c:v>0.38991354466858791</c:v>
                </c:pt>
                <c:pt idx="4">
                  <c:v>7.391436688311688E-2</c:v>
                </c:pt>
                <c:pt idx="5">
                  <c:v>5.525563671006669E-2</c:v>
                </c:pt>
                <c:pt idx="6">
                  <c:v>0.11979116310548196</c:v>
                </c:pt>
                <c:pt idx="7">
                  <c:v>4.9023769100169777E-2</c:v>
                </c:pt>
                <c:pt idx="8">
                  <c:v>0.17070773263433814</c:v>
                </c:pt>
                <c:pt idx="9">
                  <c:v>0.36989032901296109</c:v>
                </c:pt>
                <c:pt idx="10">
                  <c:v>2.0077220077220077E-2</c:v>
                </c:pt>
                <c:pt idx="11">
                  <c:v>0.20007437709185572</c:v>
                </c:pt>
                <c:pt idx="12">
                  <c:v>0.26095947063689001</c:v>
                </c:pt>
                <c:pt idx="13">
                  <c:v>0.17043740573152338</c:v>
                </c:pt>
                <c:pt idx="14">
                  <c:v>0.34745762711864409</c:v>
                </c:pt>
                <c:pt idx="15">
                  <c:v>0.18191196698762035</c:v>
                </c:pt>
                <c:pt idx="16">
                  <c:v>6.9005576208178432E-2</c:v>
                </c:pt>
                <c:pt idx="17">
                  <c:v>0.19671094244149273</c:v>
                </c:pt>
                <c:pt idx="18">
                  <c:v>9.0957731407169604E-3</c:v>
                </c:pt>
                <c:pt idx="19">
                  <c:v>0.12220309810671257</c:v>
                </c:pt>
                <c:pt idx="20">
                  <c:v>6.9364161849710976E-2</c:v>
                </c:pt>
                <c:pt idx="21">
                  <c:v>0.2125506072874494</c:v>
                </c:pt>
                <c:pt idx="22">
                  <c:v>0.14870123993121551</c:v>
                </c:pt>
                <c:pt idx="23">
                  <c:v>0.16151904819132315</c:v>
                </c:pt>
              </c:numCache>
            </c:numRef>
          </c:val>
          <c:extLst>
            <c:ext xmlns:c16="http://schemas.microsoft.com/office/drawing/2014/chart" uri="{C3380CC4-5D6E-409C-BE32-E72D297353CC}">
              <c16:uniqueId val="{00000004-0ADC-40EB-8DE4-EC74B68A0F60}"/>
            </c:ext>
          </c:extLst>
        </c:ser>
        <c:dLbls>
          <c:showLegendKey val="0"/>
          <c:showVal val="0"/>
          <c:showCatName val="0"/>
          <c:showSerName val="0"/>
          <c:showPercent val="0"/>
          <c:showBubbleSize val="0"/>
        </c:dLbls>
        <c:gapWidth val="50"/>
        <c:overlap val="100"/>
        <c:axId val="561731072"/>
        <c:axId val="561732608"/>
      </c:barChart>
      <c:catAx>
        <c:axId val="561731072"/>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732608"/>
        <c:crosses val="autoZero"/>
        <c:auto val="1"/>
        <c:lblAlgn val="ctr"/>
        <c:lblOffset val="100"/>
        <c:noMultiLvlLbl val="0"/>
      </c:catAx>
      <c:valAx>
        <c:axId val="561732608"/>
        <c:scaling>
          <c:orientation val="minMax"/>
        </c:scaling>
        <c:delete val="0"/>
        <c:axPos val="b"/>
        <c:majorGridlines>
          <c:spPr>
            <a:ln w="12700">
              <a:solidFill>
                <a:schemeClr val="bg1">
                  <a:lumMod val="75000"/>
                </a:schemeClr>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731072"/>
        <c:crosses val="max"/>
        <c:crossBetween val="between"/>
      </c:valAx>
      <c:spPr>
        <a:noFill/>
        <a:ln w="3175">
          <a:solidFill>
            <a:srgbClr val="000000"/>
          </a:solidFill>
          <a:prstDash val="solid"/>
        </a:ln>
      </c:spPr>
    </c:plotArea>
    <c:legend>
      <c:legendPos val="r"/>
      <c:layout>
        <c:manualLayout>
          <c:xMode val="edge"/>
          <c:yMode val="edge"/>
          <c:x val="2.1225561090577962E-2"/>
          <c:y val="6.1796890773268727E-2"/>
          <c:w val="0.95332754834217148"/>
          <c:h val="3.519318326967371E-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vs. IDACI</a:t>
            </a:r>
          </a:p>
        </c:rich>
      </c:tx>
      <c:layout>
        <c:manualLayout>
          <c:xMode val="edge"/>
          <c:yMode val="edge"/>
          <c:x val="0.28336868850297825"/>
          <c:y val="3.612578830947967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Assessments!$AR$38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3158-4086-A780-411D2103D6AC}"/>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{CED8D4AD-643D-4C09-AD11-D21A9BB817FE}</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3158-4086-A780-411D2103D6AC}"/>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{281A8ED6-05E1-4C09-B229-68FDF8526645}</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3158-4086-A780-411D2103D6AC}"/>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{37C2D548-1F98-49B3-87DD-3CB6AA7DB4E6}</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3158-4086-A780-411D2103D6AC}"/>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{0B0A3360-90DE-469F-A3AD-072A254CDBF4}</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3158-4086-A780-411D2103D6AC}"/>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{3E50D38B-0545-4E96-8286-189599EBC299}</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3158-4086-A780-411D2103D6AC}"/>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{16196489-E3F0-4CA8-8615-91EB3C28BCE3}</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3158-4086-A780-411D2103D6AC}"/>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{9057C47B-09D5-4830-965A-132D29B58143}</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3158-4086-A780-411D2103D6AC}"/>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{A26F3123-5603-4BC8-AEB5-6B5209218587}</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3158-4086-A780-411D2103D6AC}"/>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{6BA02C88-8F73-4610-98B6-355B35BD9D1C}</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3158-4086-A780-411D2103D6AC}"/>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{E37732EC-C77A-4FE0-9CF5-8845299344BC}</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3158-4086-A780-411D2103D6AC}"/>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{BC3D6769-D44A-4D38-A3DE-98D9F7A98400}</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3158-4086-A780-411D2103D6AC}"/>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{AAB53E65-56DC-4671-80F6-D39E88E6BE04}</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3158-4086-A780-411D2103D6AC}"/>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{7ADC4C45-DC1F-4765-A83F-AA19A4BE12CE}</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3158-4086-A780-411D2103D6AC}"/>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{B47BD924-573B-4B39-BA1C-CBFB2296F688}</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3158-4086-A780-411D2103D6AC}"/>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{34F03DDB-0A85-408E-BF8A-5E11E3CBD909}</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3158-4086-A780-411D2103D6AC}"/>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{D22C7300-F4E8-4C40-A624-E6117B25BDC7}</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3158-4086-A780-411D2103D6AC}"/>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{867934EA-2FEA-4A49-8EA2-34E17A2EFFE1}</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3158-4086-A780-411D2103D6AC}"/>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{36089B1C-2686-40BA-925A-F8E8E079E322}</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3158-4086-A780-411D2103D6AC}"/>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{604764B3-B00B-4F2F-B0B9-66878B41A75C}</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3158-4086-A780-411D2103D6AC}"/>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(Assessments!$AR$41:$AR$53,Assessments!$AR$55:$AR$56,Assessments!$AR$59:$AR$62)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(Assessments!$AQ$41:$AQ$53,Assessments!$AQ$55:$AQ$56,Assessments!$AQ$59:$AQ$62)</c:f>
              <c:numCache>
                <c:formatCode>0.0</c:formatCode>
                <c:ptCount val="19"/>
                <c:pt idx="0">
                  <c:v>539.08450704225356</c:v>
                </c:pt>
                <c:pt idx="1">
                  <c:v>547.51491053677933</c:v>
                </c:pt>
                <c:pt idx="2">
                  <c:v>646.14160700079549</c:v>
                </c:pt>
                <c:pt idx="3">
                  <c:v>326.43461900282222</c:v>
                </c:pt>
                <c:pt idx="4">
                  <c:v>693.35209285965527</c:v>
                </c:pt>
                <c:pt idx="5">
                  <c:v>1274.8987854251013</c:v>
                </c:pt>
                <c:pt idx="6">
                  <c:v>601.68702734147757</c:v>
                </c:pt>
                <c:pt idx="7">
                  <c:v>733.69230769230774</c:v>
                </c:pt>
                <c:pt idx="8">
                  <c:v>443.60465116279073</c:v>
                </c:pt>
                <c:pt idx="9">
                  <c:v>480.56125941136207</c:v>
                </c:pt>
                <c:pt idx="10">
                  <c:v>591.32420091324207</c:v>
                </c:pt>
                <c:pt idx="11">
                  <c:v>726.75675675675677</c:v>
                </c:pt>
                <c:pt idx="12">
                  <c:v>576.33410672853836</c:v>
                </c:pt>
                <c:pt idx="13">
                  <c:v>897.0760233918129</c:v>
                </c:pt>
                <c:pt idx="14">
                  <c:v>330.70507960576197</c:v>
                </c:pt>
                <c:pt idx="15">
                  <c:v>527.52808988764048</c:v>
                </c:pt>
                <c:pt idx="16">
                  <c:v>593.86712095400344</c:v>
                </c:pt>
                <c:pt idx="17">
                  <c:v>348.99135446685881</c:v>
                </c:pt>
                <c:pt idx="18">
                  <c:v>391.83168316831683</c:v>
                </c:pt>
              </c:numCache>
            </c:numRef>
          </c:yVal>
          <c:smooth val="0"/>
          <c:extLst>
            <c:ext xmlns:c16="http://schemas.microsoft.com/office/drawing/2014/chart" uri="{C3380CC4-5D6E-409C-BE32-E72D297353CC}">
              <c16:uniqueId val="{00000014-3158-4086-A780-411D2103D6AC}"/>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3158-4086-A780-411D2103D6AC}"/>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{17E0B7F4-71FD-451C-9EE8-65E0152C2301}</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3158-4086-A780-411D2103D6AC}"/>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{BE1DC8D4-05F2-4E49-A3AF-B1135980E8BE}</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3158-4086-A780-411D2103D6AC}"/>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{4BE6544D-F7A6-427E-929B-C9FFB29A411B}</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7-3158-4086-A780-411D2103D6AC}"/>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(Assessments!$AR$54,Assessments!$AR$57:$AR$58)</c:f>
              <c:numCache>
                <c:formatCode>0.0</c:formatCode>
                <c:ptCount val="3"/>
                <c:pt idx="0">
                  <c:v>13.600000000000001</c:v>
                </c:pt>
                <c:pt idx="1">
                  <c:v>14.899999999999999</c:v>
                </c:pt>
                <c:pt idx="2">
                  <c:v>21.9</c:v>
                </c:pt>
              </c:numCache>
            </c:numRef>
          </c:xVal>
          <c:yVal>
            <c:numRef>
              <c:f>(Assessments!$AQ$54,Assessments!$AQ$57:$AQ$58)</c:f>
              <c:numCache>
                <c:formatCode>0.0</c:formatCode>
                <c:ptCount val="3"/>
                <c:pt idx="0">
                  <c:v>298.11151079136692</c:v>
                </c:pt>
                <c:pt idx="1">
                  <c:v>853.96825396825398</c:v>
                </c:pt>
                <c:pt idx="2">
                  <c:v>650</c:v>
                </c:pt>
              </c:numCache>
            </c:numRef>
          </c:yVal>
          <c:smooth val="0"/>
          <c:extLst>
            <c:ext xmlns:c16="http://schemas.microsoft.com/office/drawing/2014/chart" uri="{C3380CC4-5D6E-409C-BE32-E72D297353CC}">
              <c16:uniqueId val="{00000018-3158-4086-A780-411D2103D6AC}"/>
            </c:ext>
          </c:extLst>
        </c:ser>
        <c:ser>
          <c:idx val="1"/>
          <c:order val="2"/>
          <c:tx>
            <c:strRef>
              <c:f>Assessments!$AA$4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Assessments!$AR$65</c:f>
              <c:numCache>
                <c:formatCode>0.0</c:formatCode>
                <c:ptCount val="1"/>
                <c:pt idx="0">
                  <c:v>#N/A</c:v>
                </c:pt>
              </c:numCache>
            </c:numRef>
          </c:xVal>
          <c:yVal>
            <c:numRef>
              <c:f>Assessments!$AQ$65</c:f>
              <c:numCache>
                <c:formatCode>0.0</c:formatCode>
                <c:ptCount val="1"/>
                <c:pt idx="0">
                  <c:v>#N/A</c:v>
                </c:pt>
              </c:numCache>
            </c:numRef>
          </c:yVal>
          <c:smooth val="0"/>
          <c:extLst>
            <c:ext xmlns:c16="http://schemas.microsoft.com/office/drawing/2014/chart" uri="{C3380CC4-5D6E-409C-BE32-E72D297353CC}">
              <c16:uniqueId val="{00000019-3158-4086-A780-411D2103D6AC}"/>
            </c:ext>
          </c:extLst>
        </c:ser>
        <c:ser>
          <c:idx val="4"/>
          <c:order val="3"/>
          <c:tx>
            <c:strRef>
              <c:f>Assessments!$B$32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Assessments!$S$32</c:f>
              <c:numCache>
                <c:formatCode>0.0</c:formatCode>
                <c:ptCount val="1"/>
                <c:pt idx="0">
                  <c:v>12.371268250968637</c:v>
                </c:pt>
              </c:numCache>
            </c:numRef>
          </c:xVal>
          <c:yVal>
            <c:numRef>
              <c:f>Assessments!$O$32</c:f>
              <c:numCache>
                <c:formatCode>0.0</c:formatCode>
                <c:ptCount val="1"/>
                <c:pt idx="0">
                  <c:v>561.09079829372331</c:v>
                </c:pt>
              </c:numCache>
            </c:numRef>
          </c:yVal>
          <c:smooth val="0"/>
          <c:extLst>
            <c:ext xmlns:c16="http://schemas.microsoft.com/office/drawing/2014/chart" uri="{C3380CC4-5D6E-409C-BE32-E72D297353CC}">
              <c16:uniqueId val="{0000001A-3158-4086-A780-411D2103D6AC}"/>
            </c:ext>
          </c:extLst>
        </c:ser>
        <c:ser>
          <c:idx val="2"/>
          <c:order val="4"/>
          <c:tx>
            <c:strRef>
              <c:f>Assessments!$Y$43</c:f>
              <c:strCache>
                <c:ptCount val="1"/>
                <c:pt idx="0">
                  <c:v>National Trend 2020</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3158-4086-A780-411D2103D6AC}"/>
                </c:ext>
              </c:extLst>
            </c:dLbl>
            <c:dLbl>
              <c:idx val="1"/>
              <c:layout>
                <c:manualLayout>
                  <c:x val="-5.2631578947368314E-2"/>
                  <c:y val="3.9215676959732736E-2"/>
                </c:manualLayout>
              </c:layout>
              <c:tx>
                <c:strRef>
                  <c:f>Assessments!$AD$43</c:f>
                  <c:strCache>
                    <c:ptCount val="1"/>
                    <c:pt idx="0">
                      <c:v>r² = 0.287</c:v>
                    </c:pt>
                  </c:strCache>
                </c:strRef>
              </c:tx>
              <c:showLegendKey val="0"/>
              <c:showVal val="0"/>
              <c:showCatName val="1"/>
              <c:showSerName val="0"/>
              <c:showPercent val="0"/>
              <c:showBubbleSize val="0"/>
              <c:extLst>
                <c:ext xmlns:c15="http://schemas.microsoft.com/office/drawing/2012/chart" uri="{CE6537A1-D6FC-4f65-9D91-7224C49458BB}">
                  <c15:dlblFieldTable>
                    <c15:dlblFTEntry>
                      <c15:txfldGUID>{FBAF8BA5-1B63-469F-A384-A156C9F582B2}</c15:txfldGUID>
                      <c15:f>Assessments!$AD$43</c15:f>
                      <c15:dlblFieldTableCache>
                        <c:ptCount val="1"/>
                        <c:pt idx="0">
                          <c:v>r² = 0.287</c:v>
                        </c:pt>
                      </c15:dlblFieldTableCache>
                    </c15:dlblFTEntry>
                  </c15:dlblFieldTable>
                  <c15:showDataLabelsRange val="0"/>
                </c:ext>
                <c:ext xmlns:c16="http://schemas.microsoft.com/office/drawing/2014/chart" uri="{C3380CC4-5D6E-409C-BE32-E72D297353CC}">
                  <c16:uniqueId val="{0000001C-3158-4086-A780-411D2103D6AC}"/>
                </c:ext>
              </c:extLst>
            </c:dLbl>
            <c:spPr>
              <a:noFill/>
              <a:ln>
                <a:noFill/>
              </a:ln>
              <a:effectLst/>
            </c:spPr>
            <c:txPr>
              <a:bodyPr/>
              <a:lstStyle/>
              <a:p>
                <a:pPr>
                  <a:defRPr sz="900"/>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Assessments!$AB$43:$AB$44</c:f>
              <c:numCache>
                <c:formatCode>General</c:formatCode>
                <c:ptCount val="2"/>
                <c:pt idx="0" formatCode="#,##0.0">
                  <c:v>5</c:v>
                </c:pt>
                <c:pt idx="1">
                  <c:v>35</c:v>
                </c:pt>
              </c:numCache>
            </c:numRef>
          </c:xVal>
          <c:yVal>
            <c:numRef>
              <c:f>Assessments!$AC$43:$AC$44</c:f>
              <c:numCache>
                <c:formatCode>0.0</c:formatCode>
                <c:ptCount val="2"/>
                <c:pt idx="0">
                  <c:v>342.99442506790115</c:v>
                </c:pt>
                <c:pt idx="1">
                  <c:v>920.12624867680233</c:v>
                </c:pt>
              </c:numCache>
            </c:numRef>
          </c:yVal>
          <c:smooth val="0"/>
          <c:extLst>
            <c:ext xmlns:c16="http://schemas.microsoft.com/office/drawing/2014/chart" uri="{C3380CC4-5D6E-409C-BE32-E72D297353CC}">
              <c16:uniqueId val="{0000001D-3158-4086-A780-411D2103D6AC}"/>
            </c:ext>
          </c:extLst>
        </c:ser>
        <c:ser>
          <c:idx val="5"/>
          <c:order val="5"/>
          <c:tx>
            <c:strRef>
              <c:f>Assessments!$Y$41</c:f>
              <c:strCache>
                <c:ptCount val="1"/>
                <c:pt idx="0">
                  <c:v>South East LA Trend</c:v>
                </c:pt>
              </c:strCache>
            </c:strRef>
          </c:tx>
          <c:spPr>
            <a:ln w="9525">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3158-4086-A780-411D2103D6AC}"/>
                </c:ext>
              </c:extLst>
            </c:dLbl>
            <c:dLbl>
              <c:idx val="1"/>
              <c:layout>
                <c:manualLayout>
                  <c:x val="-6.7251461988303993E-2"/>
                  <c:y val="-3.3182495889004668E-2"/>
                </c:manualLayout>
              </c:layout>
              <c:tx>
                <c:strRef>
                  <c:f>Assessments!$AD$42</c:f>
                  <c:strCache>
                    <c:ptCount val="1"/>
                    <c:pt idx="0">
                      <c:v>r² = 0.294</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{6F4B8D45-0A2B-476E-BF60-A21E425ADBBA}</c15:txfldGUID>
                      <c15:f>Assessments!$AD$42</c15:f>
                      <c15:dlblFieldTableCache>
                        <c:ptCount val="1"/>
                        <c:pt idx="0">
                          <c:v>r² = 0.294</c:v>
                        </c:pt>
                      </c15:dlblFieldTableCache>
                    </c15:dlblFTEntry>
                  </c15:dlblFieldTable>
                  <c15:showDataLabelsRange val="0"/>
                </c:ext>
                <c:ext xmlns:c16="http://schemas.microsoft.com/office/drawing/2014/chart" uri="{C3380CC4-5D6E-409C-BE32-E72D297353CC}">
                  <c16:uniqueId val="{0000001F-3158-4086-A780-411D2103D6A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Assessments!$AB$41:$AB$42</c:f>
              <c:numCache>
                <c:formatCode>General</c:formatCode>
                <c:ptCount val="2"/>
                <c:pt idx="0" formatCode="#,##0.0">
                  <c:v>5</c:v>
                </c:pt>
                <c:pt idx="1">
                  <c:v>35</c:v>
                </c:pt>
              </c:numCache>
            </c:numRef>
          </c:xVal>
          <c:yVal>
            <c:numRef>
              <c:f>Assessments!$AC$41:$AC$42</c:f>
              <c:numCache>
                <c:formatCode>0.0</c:formatCode>
                <c:ptCount val="2"/>
                <c:pt idx="0">
                  <c:v>386.38909933708612</c:v>
                </c:pt>
                <c:pt idx="1">
                  <c:v>1154.9666669922963</c:v>
                </c:pt>
              </c:numCache>
            </c:numRef>
          </c:yVal>
          <c:smooth val="0"/>
          <c:extLst>
            <c:ext xmlns:c16="http://schemas.microsoft.com/office/drawing/2014/chart" uri="{C3380CC4-5D6E-409C-BE32-E72D297353CC}">
              <c16:uniqueId val="{00000020-3158-4086-A780-411D2103D6AC}"/>
            </c:ext>
          </c:extLst>
        </c:ser>
        <c:dLbls>
          <c:showLegendKey val="0"/>
          <c:showVal val="0"/>
          <c:showCatName val="0"/>
          <c:showSerName val="0"/>
          <c:showPercent val="0"/>
          <c:showBubbleSize val="0"/>
        </c:dLbls>
        <c:axId val="562223744"/>
        <c:axId val="562004736"/>
      </c:scatterChart>
      <c:valAx>
        <c:axId val="562223744"/>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004736"/>
        <c:crosses val="autoZero"/>
        <c:crossBetween val="midCat"/>
        <c:majorUnit val="5"/>
      </c:valAx>
      <c:valAx>
        <c:axId val="56200473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Assessmen ts per 10,000 0-17 year olds</a:t>
                </a:r>
              </a:p>
            </c:rich>
          </c:tx>
          <c:layout>
            <c:manualLayout>
              <c:xMode val="edge"/>
              <c:yMode val="edge"/>
              <c:x val="5.1878053704825358E-2"/>
              <c:y val="0.233449279750356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22374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in Need, per 10,000 0-17 year olds</a:t>
            </a:r>
          </a:p>
        </c:rich>
      </c:tx>
      <c:layout>
        <c:manualLayout>
          <c:xMode val="edge"/>
          <c:yMode val="edge"/>
          <c:x val="0.17164814872449241"/>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313872900079858"/>
        </c:manualLayout>
      </c:layout>
      <c:lineChart>
        <c:grouping val="standard"/>
        <c:varyColors val="0"/>
        <c:ser>
          <c:idx val="0"/>
          <c:order val="0"/>
          <c:tx>
            <c:strRef>
              <c:f>'Children in Need'!$AL$41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1C0-4ACF-9C77-D16E586B654F}"/>
              </c:ext>
            </c:extLst>
          </c:dPt>
          <c:cat>
            <c:strRef>
              <c:f>'Children in Need'!$Z$2:$AD$3</c:f>
              <c:strCache>
                <c:ptCount val="5"/>
                <c:pt idx="0">
                  <c:v>2015-16</c:v>
                </c:pt>
                <c:pt idx="1">
                  <c:v>2016-17</c:v>
                </c:pt>
                <c:pt idx="2">
                  <c:v>2017-18</c:v>
                </c:pt>
                <c:pt idx="3">
                  <c:v>2018-19</c:v>
                </c:pt>
                <c:pt idx="4">
                  <c:v>2019-20</c:v>
                </c:pt>
              </c:strCache>
            </c:strRef>
          </c:cat>
          <c:val>
            <c:numRef>
              <c:f>'Children in Need'!$AM$41:$AQ$41</c:f>
              <c:numCache>
                <c:formatCode>0.0</c:formatCode>
                <c:ptCount val="5"/>
                <c:pt idx="0">
                  <c:v>297.51773049645391</c:v>
                </c:pt>
                <c:pt idx="1">
                  <c:v>347.87234042553189</c:v>
                </c:pt>
                <c:pt idx="2">
                  <c:v>353.38078291814946</c:v>
                </c:pt>
                <c:pt idx="3">
                  <c:v>368.55123674911658</c:v>
                </c:pt>
                <c:pt idx="4">
                  <c:v>309.50704225352109</c:v>
                </c:pt>
              </c:numCache>
            </c:numRef>
          </c:val>
          <c:smooth val="0"/>
          <c:extLst>
            <c:ext xmlns:c16="http://schemas.microsoft.com/office/drawing/2014/chart" uri="{C3380CC4-5D6E-409C-BE32-E72D297353CC}">
              <c16:uniqueId val="{00000001-F1C0-4ACF-9C77-D16E586B654F}"/>
            </c:ext>
          </c:extLst>
        </c:ser>
        <c:ser>
          <c:idx val="1"/>
          <c:order val="1"/>
          <c:tx>
            <c:strRef>
              <c:f>'Children in Need'!$AL$42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Need'!$AM$42:$AQ$42</c:f>
              <c:numCache>
                <c:formatCode>0.0</c:formatCode>
                <c:ptCount val="5"/>
                <c:pt idx="0">
                  <c:v>458.3984375</c:v>
                </c:pt>
                <c:pt idx="1">
                  <c:v>422.22222222222223</c:v>
                </c:pt>
                <c:pt idx="2">
                  <c:v>426.47058823529414</c:v>
                </c:pt>
                <c:pt idx="3">
                  <c:v>399.80392156862746</c:v>
                </c:pt>
                <c:pt idx="4">
                  <c:v>360.83499005964211</c:v>
                </c:pt>
              </c:numCache>
            </c:numRef>
          </c:val>
          <c:smooth val="0"/>
          <c:extLst>
            <c:ext xmlns:c16="http://schemas.microsoft.com/office/drawing/2014/chart" uri="{C3380CC4-5D6E-409C-BE32-E72D297353CC}">
              <c16:uniqueId val="{00000002-F1C0-4ACF-9C77-D16E586B654F}"/>
            </c:ext>
          </c:extLst>
        </c:ser>
        <c:ser>
          <c:idx val="2"/>
          <c:order val="2"/>
          <c:tx>
            <c:strRef>
              <c:f>'Children in Need'!$AL$43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Need'!$AM$43:$AQ$43</c:f>
              <c:numCache>
                <c:formatCode>0.0</c:formatCode>
                <c:ptCount val="5"/>
                <c:pt idx="0">
                  <c:v>218.49087893864015</c:v>
                </c:pt>
                <c:pt idx="1">
                  <c:v>275.20458265139115</c:v>
                </c:pt>
                <c:pt idx="2">
                  <c:v>301.70593013809912</c:v>
                </c:pt>
                <c:pt idx="3">
                  <c:v>268.54384553499597</c:v>
                </c:pt>
                <c:pt idx="4">
                  <c:v>264.75735879077166</c:v>
                </c:pt>
              </c:numCache>
            </c:numRef>
          </c:val>
          <c:smooth val="0"/>
          <c:extLst>
            <c:ext xmlns:c16="http://schemas.microsoft.com/office/drawing/2014/chart" uri="{C3380CC4-5D6E-409C-BE32-E72D297353CC}">
              <c16:uniqueId val="{00000003-F1C0-4ACF-9C77-D16E586B654F}"/>
            </c:ext>
          </c:extLst>
        </c:ser>
        <c:ser>
          <c:idx val="5"/>
          <c:order val="3"/>
          <c:tx>
            <c:strRef>
              <c:f>'Children in Need'!$AL$44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Need'!$AM$44:$AQ$44</c:f>
              <c:numCache>
                <c:formatCode>0.0</c:formatCode>
                <c:ptCount val="5"/>
                <c:pt idx="0">
                  <c:v>283.19169027384328</c:v>
                </c:pt>
                <c:pt idx="1">
                  <c:v>296.50613786591123</c:v>
                </c:pt>
                <c:pt idx="2">
                  <c:v>295.66037735849056</c:v>
                </c:pt>
                <c:pt idx="3">
                  <c:v>294.64285714285711</c:v>
                </c:pt>
                <c:pt idx="4">
                  <c:v>308.18438381937909</c:v>
                </c:pt>
              </c:numCache>
            </c:numRef>
          </c:val>
          <c:smooth val="0"/>
          <c:extLst>
            <c:ext xmlns:c16="http://schemas.microsoft.com/office/drawing/2014/chart" uri="{C3380CC4-5D6E-409C-BE32-E72D297353CC}">
              <c16:uniqueId val="{00000004-F1C0-4ACF-9C77-D16E586B654F}"/>
            </c:ext>
          </c:extLst>
        </c:ser>
        <c:ser>
          <c:idx val="9"/>
          <c:order val="4"/>
          <c:tx>
            <c:strRef>
              <c:f>'Children in Need'!$AL$45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Need'!$AM$45:$AQ$45</c:f>
              <c:numCache>
                <c:formatCode>0.0</c:formatCode>
                <c:ptCount val="5"/>
                <c:pt idx="0">
                  <c:v>309.7552323518978</c:v>
                </c:pt>
                <c:pt idx="1">
                  <c:v>308.09759547383311</c:v>
                </c:pt>
                <c:pt idx="2">
                  <c:v>292.44617013766327</c:v>
                </c:pt>
                <c:pt idx="3">
                  <c:v>302.28873239436621</c:v>
                </c:pt>
                <c:pt idx="4">
                  <c:v>291.69890960253252</c:v>
                </c:pt>
              </c:numCache>
            </c:numRef>
          </c:val>
          <c:smooth val="0"/>
          <c:extLst>
            <c:ext xmlns:c16="http://schemas.microsoft.com/office/drawing/2014/chart" uri="{C3380CC4-5D6E-409C-BE32-E72D297353CC}">
              <c16:uniqueId val="{00000005-F1C0-4ACF-9C77-D16E586B654F}"/>
            </c:ext>
          </c:extLst>
        </c:ser>
        <c:ser>
          <c:idx val="10"/>
          <c:order val="5"/>
          <c:tx>
            <c:strRef>
              <c:f>'Children in Need'!$AL$46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Need'!$AM$46:$AQ$46</c:f>
              <c:numCache>
                <c:formatCode>0.0</c:formatCode>
                <c:ptCount val="5"/>
                <c:pt idx="0">
                  <c:v>514.62450592885375</c:v>
                </c:pt>
                <c:pt idx="1">
                  <c:v>494.84126984126982</c:v>
                </c:pt>
                <c:pt idx="2">
                  <c:v>490.03984063745014</c:v>
                </c:pt>
                <c:pt idx="3">
                  <c:v>473.09236947791163</c:v>
                </c:pt>
                <c:pt idx="4">
                  <c:v>472.87449392712551</c:v>
                </c:pt>
              </c:numCache>
            </c:numRef>
          </c:val>
          <c:smooth val="0"/>
          <c:extLst>
            <c:ext xmlns:c16="http://schemas.microsoft.com/office/drawing/2014/chart" uri="{C3380CC4-5D6E-409C-BE32-E72D297353CC}">
              <c16:uniqueId val="{00000006-F1C0-4ACF-9C77-D16E586B654F}"/>
            </c:ext>
          </c:extLst>
        </c:ser>
        <c:ser>
          <c:idx val="11"/>
          <c:order val="6"/>
          <c:tx>
            <c:strRef>
              <c:f>'Children in Need'!$AL$47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Need'!$AM$47:$AQ$47</c:f>
              <c:numCache>
                <c:formatCode>0.0</c:formatCode>
                <c:ptCount val="5"/>
                <c:pt idx="0">
                  <c:v>281.17433414043586</c:v>
                </c:pt>
                <c:pt idx="1">
                  <c:v>300.45045045045043</c:v>
                </c:pt>
                <c:pt idx="2">
                  <c:v>298.09580481999404</c:v>
                </c:pt>
                <c:pt idx="3">
                  <c:v>304.91032049397239</c:v>
                </c:pt>
                <c:pt idx="4">
                  <c:v>306.10820244328096</c:v>
                </c:pt>
              </c:numCache>
            </c:numRef>
          </c:val>
          <c:smooth val="0"/>
          <c:extLst>
            <c:ext xmlns:c16="http://schemas.microsoft.com/office/drawing/2014/chart" uri="{C3380CC4-5D6E-409C-BE32-E72D297353CC}">
              <c16:uniqueId val="{00000007-F1C0-4ACF-9C77-D16E586B654F}"/>
            </c:ext>
          </c:extLst>
        </c:ser>
        <c:ser>
          <c:idx val="12"/>
          <c:order val="7"/>
          <c:tx>
            <c:strRef>
              <c:f>'Children in Need'!$AL$48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Need'!$AM$48:$AQ$48</c:f>
              <c:numCache>
                <c:formatCode>0.0</c:formatCode>
                <c:ptCount val="5"/>
                <c:pt idx="0">
                  <c:v>414.24050632911394</c:v>
                </c:pt>
                <c:pt idx="1">
                  <c:v>278.80690737833595</c:v>
                </c:pt>
                <c:pt idx="2">
                  <c:v>304.38184663536776</c:v>
                </c:pt>
                <c:pt idx="3">
                  <c:v>375.31055900621118</c:v>
                </c:pt>
                <c:pt idx="4">
                  <c:v>354.30769230769232</c:v>
                </c:pt>
              </c:numCache>
            </c:numRef>
          </c:val>
          <c:smooth val="0"/>
          <c:extLst>
            <c:ext xmlns:c16="http://schemas.microsoft.com/office/drawing/2014/chart" uri="{C3380CC4-5D6E-409C-BE32-E72D297353CC}">
              <c16:uniqueId val="{00000008-F1C0-4ACF-9C77-D16E586B654F}"/>
            </c:ext>
          </c:extLst>
        </c:ser>
        <c:ser>
          <c:idx val="13"/>
          <c:order val="8"/>
          <c:tx>
            <c:strRef>
              <c:f>'Children in Need'!$AL$49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Need'!$AM$49:$AQ$49</c:f>
              <c:numCache>
                <c:formatCode>0.0</c:formatCode>
                <c:ptCount val="5"/>
                <c:pt idx="0">
                  <c:v>261.72465960665659</c:v>
                </c:pt>
                <c:pt idx="1">
                  <c:v>301.78837555886736</c:v>
                </c:pt>
                <c:pt idx="2">
                  <c:v>277.21893491124263</c:v>
                </c:pt>
                <c:pt idx="3">
                  <c:v>315.66617862371885</c:v>
                </c:pt>
                <c:pt idx="4">
                  <c:v>343.75</c:v>
                </c:pt>
              </c:numCache>
            </c:numRef>
          </c:val>
          <c:smooth val="0"/>
          <c:extLst>
            <c:ext xmlns:c16="http://schemas.microsoft.com/office/drawing/2014/chart" uri="{C3380CC4-5D6E-409C-BE32-E72D297353CC}">
              <c16:uniqueId val="{00000009-F1C0-4ACF-9C77-D16E586B654F}"/>
            </c:ext>
          </c:extLst>
        </c:ser>
        <c:ser>
          <c:idx val="15"/>
          <c:order val="9"/>
          <c:tx>
            <c:strRef>
              <c:f>'Children in Need'!$AL$50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Need'!$AM$50:$AQ$50</c:f>
              <c:numCache>
                <c:formatCode>0.0</c:formatCode>
                <c:ptCount val="5"/>
                <c:pt idx="0">
                  <c:v>326.93935119887163</c:v>
                </c:pt>
                <c:pt idx="1">
                  <c:v>336.4590622813156</c:v>
                </c:pt>
                <c:pt idx="2">
                  <c:v>299.37238493723851</c:v>
                </c:pt>
                <c:pt idx="3">
                  <c:v>311.53314917127068</c:v>
                </c:pt>
                <c:pt idx="4">
                  <c:v>325.11978097193702</c:v>
                </c:pt>
              </c:numCache>
            </c:numRef>
          </c:val>
          <c:smooth val="0"/>
          <c:extLst>
            <c:ext xmlns:c16="http://schemas.microsoft.com/office/drawing/2014/chart" uri="{C3380CC4-5D6E-409C-BE32-E72D297353CC}">
              <c16:uniqueId val="{0000000A-F1C0-4ACF-9C77-D16E586B654F}"/>
            </c:ext>
          </c:extLst>
        </c:ser>
        <c:ser>
          <c:idx val="16"/>
          <c:order val="10"/>
          <c:tx>
            <c:strRef>
              <c:f>'Children in Need'!$AL$51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Need'!$AM$51:$AQ$51</c:f>
              <c:numCache>
                <c:formatCode>0.0</c:formatCode>
                <c:ptCount val="5"/>
                <c:pt idx="0">
                  <c:v>303.88127853881281</c:v>
                </c:pt>
                <c:pt idx="1">
                  <c:v>325.45454545454544</c:v>
                </c:pt>
                <c:pt idx="2">
                  <c:v>395.47511312217199</c:v>
                </c:pt>
                <c:pt idx="3">
                  <c:v>373.86363636363632</c:v>
                </c:pt>
                <c:pt idx="4">
                  <c:v>379.22374429223743</c:v>
                </c:pt>
              </c:numCache>
            </c:numRef>
          </c:val>
          <c:smooth val="0"/>
          <c:extLst>
            <c:ext xmlns:c16="http://schemas.microsoft.com/office/drawing/2014/chart" uri="{C3380CC4-5D6E-409C-BE32-E72D297353CC}">
              <c16:uniqueId val="{0000000B-F1C0-4ACF-9C77-D16E586B654F}"/>
            </c:ext>
          </c:extLst>
        </c:ser>
        <c:ser>
          <c:idx val="17"/>
          <c:order val="11"/>
          <c:tx>
            <c:strRef>
              <c:f>'Children in Need'!$AL$52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Need'!$AM$52:$AQ$52</c:f>
              <c:numCache>
                <c:formatCode>0.0</c:formatCode>
                <c:ptCount val="5"/>
                <c:pt idx="0">
                  <c:v>513.46153846153845</c:v>
                </c:pt>
                <c:pt idx="1">
                  <c:v>486.61202185792348</c:v>
                </c:pt>
                <c:pt idx="2">
                  <c:v>453.63881401617249</c:v>
                </c:pt>
                <c:pt idx="3">
                  <c:v>440.70080862533695</c:v>
                </c:pt>
                <c:pt idx="4">
                  <c:v>392.16216216216219</c:v>
                </c:pt>
              </c:numCache>
            </c:numRef>
          </c:val>
          <c:smooth val="0"/>
          <c:extLst>
            <c:ext xmlns:c16="http://schemas.microsoft.com/office/drawing/2014/chart" uri="{C3380CC4-5D6E-409C-BE32-E72D297353CC}">
              <c16:uniqueId val="{0000000C-F1C0-4ACF-9C77-D16E586B654F}"/>
            </c:ext>
          </c:extLst>
        </c:ser>
        <c:ser>
          <c:idx val="19"/>
          <c:order val="12"/>
          <c:tx>
            <c:strRef>
              <c:f>'Children in Need'!$AL$53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Need'!$AM$53:$AQ$53</c:f>
              <c:numCache>
                <c:formatCode>0.0</c:formatCode>
                <c:ptCount val="5"/>
                <c:pt idx="0">
                  <c:v>394.33497536945811</c:v>
                </c:pt>
                <c:pt idx="1">
                  <c:v>292.75362318840575</c:v>
                </c:pt>
                <c:pt idx="2">
                  <c:v>289.81042654028437</c:v>
                </c:pt>
                <c:pt idx="3">
                  <c:v>333.95784543325527</c:v>
                </c:pt>
                <c:pt idx="4">
                  <c:v>368.677494199536</c:v>
                </c:pt>
              </c:numCache>
            </c:numRef>
          </c:val>
          <c:smooth val="0"/>
          <c:extLst>
            <c:ext xmlns:c16="http://schemas.microsoft.com/office/drawing/2014/chart" uri="{C3380CC4-5D6E-409C-BE32-E72D297353CC}">
              <c16:uniqueId val="{0000000D-F1C0-4ACF-9C77-D16E586B654F}"/>
            </c:ext>
          </c:extLst>
        </c:ser>
        <c:ser>
          <c:idx val="3"/>
          <c:order val="13"/>
          <c:tx>
            <c:strRef>
              <c:f>'Children in Need'!$AL$54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Need'!$AM$54:$AQ$54</c:f>
              <c:numCache>
                <c:formatCode>0.0</c:formatCode>
                <c:ptCount val="5"/>
                <c:pt idx="0">
                  <c:v>265.84249084249086</c:v>
                </c:pt>
                <c:pt idx="1">
                  <c:v>283.40929808568825</c:v>
                </c:pt>
                <c:pt idx="2">
                  <c:v>290.00908265213445</c:v>
                </c:pt>
                <c:pt idx="3">
                  <c:v>235.59168925022584</c:v>
                </c:pt>
                <c:pt idx="4">
                  <c:v>219.87410071942446</c:v>
                </c:pt>
              </c:numCache>
            </c:numRef>
          </c:val>
          <c:smooth val="0"/>
          <c:extLst>
            <c:ext xmlns:c16="http://schemas.microsoft.com/office/drawing/2014/chart" uri="{C3380CC4-5D6E-409C-BE32-E72D297353CC}">
              <c16:uniqueId val="{0000000E-F1C0-4ACF-9C77-D16E586B654F}"/>
            </c:ext>
          </c:extLst>
        </c:ser>
        <c:ser>
          <c:idx val="20"/>
          <c:order val="14"/>
          <c:tx>
            <c:strRef>
              <c:f>'Children in Need'!$AL$55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Need'!$AM$55:$AQ$55</c:f>
              <c:numCache>
                <c:formatCode>0.0</c:formatCode>
                <c:ptCount val="5"/>
                <c:pt idx="0">
                  <c:v>700.00000000000011</c:v>
                </c:pt>
                <c:pt idx="1">
                  <c:v>458.31663326653302</c:v>
                </c:pt>
                <c:pt idx="2">
                  <c:v>475.94433399602383</c:v>
                </c:pt>
                <c:pt idx="3">
                  <c:v>523.03149606299212</c:v>
                </c:pt>
                <c:pt idx="4">
                  <c:v>469.00584795321635</c:v>
                </c:pt>
              </c:numCache>
            </c:numRef>
          </c:val>
          <c:smooth val="0"/>
          <c:extLst>
            <c:ext xmlns:c16="http://schemas.microsoft.com/office/drawing/2014/chart" uri="{C3380CC4-5D6E-409C-BE32-E72D297353CC}">
              <c16:uniqueId val="{0000000F-F1C0-4ACF-9C77-D16E586B654F}"/>
            </c:ext>
          </c:extLst>
        </c:ser>
        <c:ser>
          <c:idx val="22"/>
          <c:order val="15"/>
          <c:tx>
            <c:strRef>
              <c:f>'Children in Need'!$AL$56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Need'!$AM$56:$AQ$56</c:f>
              <c:numCache>
                <c:formatCode>0.0</c:formatCode>
                <c:ptCount val="5"/>
                <c:pt idx="0">
                  <c:v>242.86271450858032</c:v>
                </c:pt>
                <c:pt idx="1">
                  <c:v>236.48648648648651</c:v>
                </c:pt>
                <c:pt idx="2">
                  <c:v>269.65040338071458</c:v>
                </c:pt>
                <c:pt idx="3">
                  <c:v>226.49866361206566</c:v>
                </c:pt>
                <c:pt idx="4">
                  <c:v>218.00606520090977</c:v>
                </c:pt>
              </c:numCache>
            </c:numRef>
          </c:val>
          <c:smooth val="0"/>
          <c:extLst>
            <c:ext xmlns:c16="http://schemas.microsoft.com/office/drawing/2014/chart" uri="{C3380CC4-5D6E-409C-BE32-E72D297353CC}">
              <c16:uniqueId val="{00000010-F1C0-4ACF-9C77-D16E586B654F}"/>
            </c:ext>
          </c:extLst>
        </c:ser>
        <c:ser>
          <c:idx val="7"/>
          <c:order val="16"/>
          <c:tx>
            <c:strRef>
              <c:f>'Children in Need'!$AL$57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'Children in Need'!$Z$2:$AD$3</c:f>
              <c:strCache>
                <c:ptCount val="5"/>
                <c:pt idx="0">
                  <c:v>2015-16</c:v>
                </c:pt>
                <c:pt idx="1">
                  <c:v>2016-17</c:v>
                </c:pt>
                <c:pt idx="2">
                  <c:v>2017-18</c:v>
                </c:pt>
                <c:pt idx="3">
                  <c:v>2018-19</c:v>
                </c:pt>
                <c:pt idx="4">
                  <c:v>2019-20</c:v>
                </c:pt>
              </c:strCache>
            </c:strRef>
          </c:cat>
          <c:val>
            <c:numRef>
              <c:f>'Children in Need'!$AM$57:$AQ$57</c:f>
              <c:numCache>
                <c:formatCode>0.0</c:formatCode>
                <c:ptCount val="5"/>
                <c:pt idx="0">
                  <c:v>401.63265306122452</c:v>
                </c:pt>
                <c:pt idx="1">
                  <c:v>387.67676767676772</c:v>
                </c:pt>
                <c:pt idx="2">
                  <c:v>543.68737474949899</c:v>
                </c:pt>
                <c:pt idx="3">
                  <c:v>453.58565737051794</c:v>
                </c:pt>
                <c:pt idx="4">
                  <c:v>289.08730158730157</c:v>
                </c:pt>
              </c:numCache>
            </c:numRef>
          </c:val>
          <c:smooth val="0"/>
          <c:extLst>
            <c:ext xmlns:c16="http://schemas.microsoft.com/office/drawing/2014/chart" uri="{C3380CC4-5D6E-409C-BE32-E72D297353CC}">
              <c16:uniqueId val="{00000011-F1C0-4ACF-9C77-D16E586B654F}"/>
            </c:ext>
          </c:extLst>
        </c:ser>
        <c:ser>
          <c:idx val="8"/>
          <c:order val="17"/>
          <c:tx>
            <c:strRef>
              <c:f>'Children in Need'!$AL$58</c:f>
              <c:strCache>
                <c:ptCount val="1"/>
                <c:pt idx="0">
                  <c:v>Torbay</c:v>
                </c:pt>
              </c:strCache>
            </c:strRef>
          </c:tx>
          <c:spPr>
            <a:ln w="12700"/>
          </c:spPr>
          <c:marker>
            <c:symbol val="circle"/>
            <c:size val="5"/>
            <c:spPr>
              <a:solidFill>
                <a:schemeClr val="accent3">
                  <a:lumMod val="20000"/>
                  <a:lumOff val="80000"/>
                </a:schemeClr>
              </a:solidFill>
            </c:spPr>
          </c:marker>
          <c:cat>
            <c:strRef>
              <c:f>'Children in Need'!$Z$2:$AD$3</c:f>
              <c:strCache>
                <c:ptCount val="5"/>
                <c:pt idx="0">
                  <c:v>2015-16</c:v>
                </c:pt>
                <c:pt idx="1">
                  <c:v>2016-17</c:v>
                </c:pt>
                <c:pt idx="2">
                  <c:v>2017-18</c:v>
                </c:pt>
                <c:pt idx="3">
                  <c:v>2018-19</c:v>
                </c:pt>
                <c:pt idx="4">
                  <c:v>2019-20</c:v>
                </c:pt>
              </c:strCache>
            </c:strRef>
          </c:cat>
          <c:val>
            <c:numRef>
              <c:f>'Children in Need'!$AM$58:$AQ$58</c:f>
              <c:numCache>
                <c:formatCode>0.0</c:formatCode>
                <c:ptCount val="5"/>
                <c:pt idx="0">
                  <c:v>468.25396825396825</c:v>
                </c:pt>
                <c:pt idx="1">
                  <c:v>470.8661417322835</c:v>
                </c:pt>
                <c:pt idx="2">
                  <c:v>456.29921259842519</c:v>
                </c:pt>
                <c:pt idx="3">
                  <c:v>420.0787401574803</c:v>
                </c:pt>
                <c:pt idx="4">
                  <c:v>503.12500000000006</c:v>
                </c:pt>
              </c:numCache>
            </c:numRef>
          </c:val>
          <c:smooth val="0"/>
          <c:extLst>
            <c:ext xmlns:c16="http://schemas.microsoft.com/office/drawing/2014/chart" uri="{C3380CC4-5D6E-409C-BE32-E72D297353CC}">
              <c16:uniqueId val="{00000012-F1C0-4ACF-9C77-D16E586B654F}"/>
            </c:ext>
          </c:extLst>
        </c:ser>
        <c:ser>
          <c:idx val="23"/>
          <c:order val="18"/>
          <c:tx>
            <c:strRef>
              <c:f>'Children in Need'!$AL$59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Need'!$AM$59:$AQ$59</c:f>
              <c:numCache>
                <c:formatCode>0.0</c:formatCode>
                <c:ptCount val="5"/>
                <c:pt idx="0">
                  <c:v>295.23809523809524</c:v>
                </c:pt>
                <c:pt idx="1">
                  <c:v>274.09470752089135</c:v>
                </c:pt>
                <c:pt idx="2">
                  <c:v>285.19553072625695</c:v>
                </c:pt>
                <c:pt idx="3">
                  <c:v>299.15730337078651</c:v>
                </c:pt>
                <c:pt idx="4">
                  <c:v>261.23595505617976</c:v>
                </c:pt>
              </c:numCache>
            </c:numRef>
          </c:val>
          <c:smooth val="0"/>
          <c:extLst>
            <c:ext xmlns:c16="http://schemas.microsoft.com/office/drawing/2014/chart" uri="{C3380CC4-5D6E-409C-BE32-E72D297353CC}">
              <c16:uniqueId val="{00000013-F1C0-4ACF-9C77-D16E586B654F}"/>
            </c:ext>
          </c:extLst>
        </c:ser>
        <c:ser>
          <c:idx val="24"/>
          <c:order val="19"/>
          <c:tx>
            <c:strRef>
              <c:f>'Children in Need'!$AL$60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Need'!$AM$60:$AQ$60</c:f>
              <c:numCache>
                <c:formatCode>0.0</c:formatCode>
                <c:ptCount val="5"/>
                <c:pt idx="0">
                  <c:v>227.52347417840377</c:v>
                </c:pt>
                <c:pt idx="1">
                  <c:v>279.51105937136208</c:v>
                </c:pt>
                <c:pt idx="2">
                  <c:v>417.36872475476054</c:v>
                </c:pt>
                <c:pt idx="3">
                  <c:v>268.9753863766457</c:v>
                </c:pt>
                <c:pt idx="4">
                  <c:v>314.36683702441792</c:v>
                </c:pt>
              </c:numCache>
            </c:numRef>
          </c:val>
          <c:smooth val="0"/>
          <c:extLst>
            <c:ext xmlns:c16="http://schemas.microsoft.com/office/drawing/2014/chart" uri="{C3380CC4-5D6E-409C-BE32-E72D297353CC}">
              <c16:uniqueId val="{00000014-F1C0-4ACF-9C77-D16E586B654F}"/>
            </c:ext>
          </c:extLst>
        </c:ser>
        <c:ser>
          <c:idx val="25"/>
          <c:order val="20"/>
          <c:tx>
            <c:strRef>
              <c:f>'Children in Need'!$AL$61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Need'!$AM$61:$AQ$61</c:f>
              <c:numCache>
                <c:formatCode>0.0</c:formatCode>
                <c:ptCount val="5"/>
                <c:pt idx="0">
                  <c:v>300.593471810089</c:v>
                </c:pt>
                <c:pt idx="1">
                  <c:v>280.40935672514621</c:v>
                </c:pt>
                <c:pt idx="2">
                  <c:v>222.96511627906978</c:v>
                </c:pt>
                <c:pt idx="3">
                  <c:v>213.00578034682081</c:v>
                </c:pt>
                <c:pt idx="4">
                  <c:v>254.46685878962535</c:v>
                </c:pt>
              </c:numCache>
            </c:numRef>
          </c:val>
          <c:smooth val="0"/>
          <c:extLst>
            <c:ext xmlns:c16="http://schemas.microsoft.com/office/drawing/2014/chart" uri="{C3380CC4-5D6E-409C-BE32-E72D297353CC}">
              <c16:uniqueId val="{00000015-F1C0-4ACF-9C77-D16E586B654F}"/>
            </c:ext>
          </c:extLst>
        </c:ser>
        <c:ser>
          <c:idx val="26"/>
          <c:order val="21"/>
          <c:tx>
            <c:strRef>
              <c:f>'Children in Need'!$AL$62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Need'!$AM$62:$AQ$62</c:f>
              <c:numCache>
                <c:formatCode>0.0</c:formatCode>
                <c:ptCount val="5"/>
                <c:pt idx="0">
                  <c:v>150.93833780160858</c:v>
                </c:pt>
                <c:pt idx="1">
                  <c:v>175.52631578947367</c:v>
                </c:pt>
                <c:pt idx="2">
                  <c:v>250.3875968992248</c:v>
                </c:pt>
                <c:pt idx="3">
                  <c:v>227.34177215189874</c:v>
                </c:pt>
                <c:pt idx="4">
                  <c:v>257.17821782178214</c:v>
                </c:pt>
              </c:numCache>
            </c:numRef>
          </c:val>
          <c:smooth val="0"/>
          <c:extLst>
            <c:ext xmlns:c16="http://schemas.microsoft.com/office/drawing/2014/chart" uri="{C3380CC4-5D6E-409C-BE32-E72D297353CC}">
              <c16:uniqueId val="{00000016-F1C0-4ACF-9C77-D16E586B654F}"/>
            </c:ext>
          </c:extLst>
        </c:ser>
        <c:ser>
          <c:idx val="4"/>
          <c:order val="22"/>
          <c:tx>
            <c:strRef>
              <c:f>'Children in Need'!$AL$63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'Children in Need'!$Z$2:$AD$3</c:f>
              <c:strCache>
                <c:ptCount val="5"/>
                <c:pt idx="0">
                  <c:v>2015-16</c:v>
                </c:pt>
                <c:pt idx="1">
                  <c:v>2016-17</c:v>
                </c:pt>
                <c:pt idx="2">
                  <c:v>2017-18</c:v>
                </c:pt>
                <c:pt idx="3">
                  <c:v>2018-19</c:v>
                </c:pt>
                <c:pt idx="4">
                  <c:v>2019-20</c:v>
                </c:pt>
              </c:strCache>
            </c:strRef>
          </c:cat>
          <c:val>
            <c:numRef>
              <c:f>'Children in Need'!$AM$63:$AQ$63</c:f>
              <c:numCache>
                <c:formatCode>0.0</c:formatCode>
                <c:ptCount val="5"/>
                <c:pt idx="0">
                  <c:v>302.95605025806788</c:v>
                </c:pt>
                <c:pt idx="1">
                  <c:v>302.46753918576377</c:v>
                </c:pt>
                <c:pt idx="2">
                  <c:v>317.50604454961672</c:v>
                </c:pt>
                <c:pt idx="3">
                  <c:v>303.82139572902832</c:v>
                </c:pt>
                <c:pt idx="4">
                  <c:v>304.4383505992281</c:v>
                </c:pt>
              </c:numCache>
            </c:numRef>
          </c:val>
          <c:smooth val="0"/>
          <c:extLst>
            <c:ext xmlns:c16="http://schemas.microsoft.com/office/drawing/2014/chart" uri="{C3380CC4-5D6E-409C-BE32-E72D297353CC}">
              <c16:uniqueId val="{00000017-F1C0-4ACF-9C77-D16E586B654F}"/>
            </c:ext>
          </c:extLst>
        </c:ser>
        <c:ser>
          <c:idx val="14"/>
          <c:order val="23"/>
          <c:tx>
            <c:strRef>
              <c:f>'Children in Need'!$AL$64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'Children in Need'!$Z$2:$AD$3</c:f>
              <c:strCache>
                <c:ptCount val="5"/>
                <c:pt idx="0">
                  <c:v>2015-16</c:v>
                </c:pt>
                <c:pt idx="1">
                  <c:v>2016-17</c:v>
                </c:pt>
                <c:pt idx="2">
                  <c:v>2017-18</c:v>
                </c:pt>
                <c:pt idx="3">
                  <c:v>2018-19</c:v>
                </c:pt>
                <c:pt idx="4">
                  <c:v>2019-20</c:v>
                </c:pt>
              </c:strCache>
            </c:strRef>
          </c:cat>
          <c:val>
            <c:numRef>
              <c:f>'Children in Need'!$AM$64:$AQ$64</c:f>
              <c:numCache>
                <c:formatCode>0.0</c:formatCode>
                <c:ptCount val="5"/>
                <c:pt idx="0">
                  <c:v>337.73195523167698</c:v>
                </c:pt>
                <c:pt idx="1">
                  <c:v>330.43706990912409</c:v>
                </c:pt>
                <c:pt idx="2">
                  <c:v>341.03817308502573</c:v>
                </c:pt>
                <c:pt idx="3">
                  <c:v>334.18934970638912</c:v>
                </c:pt>
                <c:pt idx="4">
                  <c:v>323.74663162447183</c:v>
                </c:pt>
              </c:numCache>
            </c:numRef>
          </c:val>
          <c:smooth val="0"/>
          <c:extLst>
            <c:ext xmlns:c16="http://schemas.microsoft.com/office/drawing/2014/chart" uri="{C3380CC4-5D6E-409C-BE32-E72D297353CC}">
              <c16:uniqueId val="{00000018-F1C0-4ACF-9C77-D16E586B654F}"/>
            </c:ext>
          </c:extLst>
        </c:ser>
        <c:ser>
          <c:idx val="6"/>
          <c:order val="24"/>
          <c:tx>
            <c:strRef>
              <c:f>'Children in Need'!$AL$65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'Children in Need'!$Z$2:$AD$3</c:f>
              <c:strCache>
                <c:ptCount val="5"/>
                <c:pt idx="0">
                  <c:v>2015-16</c:v>
                </c:pt>
                <c:pt idx="1">
                  <c:v>2016-17</c:v>
                </c:pt>
                <c:pt idx="2">
                  <c:v>2017-18</c:v>
                </c:pt>
                <c:pt idx="3">
                  <c:v>2018-19</c:v>
                </c:pt>
                <c:pt idx="4">
                  <c:v>2019-20</c:v>
                </c:pt>
              </c:strCache>
            </c:strRef>
          </c:cat>
          <c:val>
            <c:numRef>
              <c:f>'Children in Need'!$AM$65:$AQ$65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F1C0-4ACF-9C77-D16E586B654F}"/>
            </c:ext>
          </c:extLst>
        </c:ser>
        <c:dLbls>
          <c:showLegendKey val="0"/>
          <c:showVal val="0"/>
          <c:showCatName val="0"/>
          <c:showSerName val="0"/>
          <c:showPercent val="0"/>
          <c:showBubbleSize val="0"/>
        </c:dLbls>
        <c:marker val="1"/>
        <c:smooth val="0"/>
        <c:axId val="562112384"/>
        <c:axId val="562126848"/>
      </c:lineChart>
      <c:catAx>
        <c:axId val="562112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126848"/>
        <c:crosses val="autoZero"/>
        <c:auto val="1"/>
        <c:lblAlgn val="ctr"/>
        <c:lblOffset val="100"/>
        <c:tickLblSkip val="1"/>
        <c:tickMarkSkip val="1"/>
        <c:noMultiLvlLbl val="0"/>
      </c:catAx>
      <c:valAx>
        <c:axId val="5621268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11238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a:t>
            </a:r>
            <a:r>
              <a:rPr lang="en-GB" baseline="0"/>
              <a:t> in Need </a:t>
            </a:r>
            <a:r>
              <a:rPr lang="en-GB"/>
              <a:t>(Selected LA</a:t>
            </a:r>
            <a:r>
              <a:rPr lang="en-GB" baseline="0"/>
              <a:t> vs. SE)</a:t>
            </a:r>
            <a:r>
              <a:rPr lang="en-GB"/>
              <a:t> </a:t>
            </a:r>
          </a:p>
        </c:rich>
      </c:tx>
      <c:layout>
        <c:manualLayout>
          <c:xMode val="edge"/>
          <c:yMode val="edge"/>
          <c:x val="0.15863149973386192"/>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155578606566395"/>
        </c:manualLayout>
      </c:layout>
      <c:barChart>
        <c:barDir val="col"/>
        <c:grouping val="clustered"/>
        <c:varyColors val="0"/>
        <c:ser>
          <c:idx val="6"/>
          <c:order val="0"/>
          <c:tx>
            <c:strRef>
              <c:f>'Children in Need'!$AA$4</c:f>
              <c:strCache>
                <c:ptCount val="1"/>
                <c:pt idx="0">
                  <c:v>Selected LA- (none)</c:v>
                </c:pt>
              </c:strCache>
            </c:strRef>
          </c:tx>
          <c:spPr>
            <a:solidFill>
              <a:srgbClr val="66FF99"/>
            </a:solidFill>
            <a:ln>
              <a:solidFill>
                <a:schemeClr val="tx1">
                  <a:lumMod val="75000"/>
                  <a:lumOff val="25000"/>
                </a:schemeClr>
              </a:solidFill>
            </a:ln>
          </c:spPr>
          <c:invertIfNegative val="0"/>
          <c:cat>
            <c:strRef>
              <c:f>'Children in Need'!$Z$2:$AD$3</c:f>
              <c:strCache>
                <c:ptCount val="5"/>
                <c:pt idx="0">
                  <c:v>2015-16</c:v>
                </c:pt>
                <c:pt idx="1">
                  <c:v>2016-17</c:v>
                </c:pt>
                <c:pt idx="2">
                  <c:v>2017-18</c:v>
                </c:pt>
                <c:pt idx="3">
                  <c:v>2018-19</c:v>
                </c:pt>
                <c:pt idx="4">
                  <c:v>2019-20</c:v>
                </c:pt>
              </c:strCache>
            </c:strRef>
          </c:cat>
          <c:val>
            <c:numRef>
              <c:f>'Children in Need'!$AM$65:$AQ$65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65B5-4B4C-AB44-C5862771E03F}"/>
            </c:ext>
          </c:extLst>
        </c:ser>
        <c:ser>
          <c:idx val="4"/>
          <c:order val="1"/>
          <c:tx>
            <c:strRef>
              <c:f>'Children in Need'!$B$32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'Children in Need'!$Z$2:$AD$3</c:f>
              <c:strCache>
                <c:ptCount val="5"/>
                <c:pt idx="0">
                  <c:v>2015-16</c:v>
                </c:pt>
                <c:pt idx="1">
                  <c:v>2016-17</c:v>
                </c:pt>
                <c:pt idx="2">
                  <c:v>2017-18</c:v>
                </c:pt>
                <c:pt idx="3">
                  <c:v>2018-19</c:v>
                </c:pt>
                <c:pt idx="4">
                  <c:v>2019-20</c:v>
                </c:pt>
              </c:strCache>
            </c:strRef>
          </c:cat>
          <c:val>
            <c:numRef>
              <c:f>'Children in Need'!$K$32:$O$32</c:f>
              <c:numCache>
                <c:formatCode>0.0</c:formatCode>
                <c:ptCount val="5"/>
                <c:pt idx="0">
                  <c:v>302.95605025806788</c:v>
                </c:pt>
                <c:pt idx="1">
                  <c:v>302.46753918576377</c:v>
                </c:pt>
                <c:pt idx="2">
                  <c:v>317.50604454961672</c:v>
                </c:pt>
                <c:pt idx="3">
                  <c:v>303.82139572902832</c:v>
                </c:pt>
                <c:pt idx="4">
                  <c:v>304.4383505992281</c:v>
                </c:pt>
              </c:numCache>
            </c:numRef>
          </c:val>
          <c:extLst>
            <c:ext xmlns:c16="http://schemas.microsoft.com/office/drawing/2014/chart" uri="{C3380CC4-5D6E-409C-BE32-E72D297353CC}">
              <c16:uniqueId val="{00000001-65B5-4B4C-AB44-C5862771E03F}"/>
            </c:ext>
          </c:extLst>
        </c:ser>
        <c:ser>
          <c:idx val="0"/>
          <c:order val="2"/>
          <c:tx>
            <c:strRef>
              <c:f>'Children in Need'!$B$33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'Children in Need'!$Z$2:$AD$3</c:f>
              <c:strCache>
                <c:ptCount val="5"/>
                <c:pt idx="0">
                  <c:v>2015-16</c:v>
                </c:pt>
                <c:pt idx="1">
                  <c:v>2016-17</c:v>
                </c:pt>
                <c:pt idx="2">
                  <c:v>2017-18</c:v>
                </c:pt>
                <c:pt idx="3">
                  <c:v>2018-19</c:v>
                </c:pt>
                <c:pt idx="4">
                  <c:v>2019-20</c:v>
                </c:pt>
              </c:strCache>
            </c:strRef>
          </c:cat>
          <c:val>
            <c:numRef>
              <c:f>'Children in Need'!$K$33:$O$33</c:f>
              <c:numCache>
                <c:formatCode>0.0</c:formatCode>
                <c:ptCount val="5"/>
                <c:pt idx="0">
                  <c:v>337.73195523167698</c:v>
                </c:pt>
                <c:pt idx="1">
                  <c:v>330.43706990912409</c:v>
                </c:pt>
                <c:pt idx="2">
                  <c:v>341.03817308502573</c:v>
                </c:pt>
                <c:pt idx="3">
                  <c:v>334.18934970638912</c:v>
                </c:pt>
                <c:pt idx="4">
                  <c:v>323.74663162447183</c:v>
                </c:pt>
              </c:numCache>
            </c:numRef>
          </c:val>
          <c:extLst>
            <c:ext xmlns:c16="http://schemas.microsoft.com/office/drawing/2014/chart" uri="{C3380CC4-5D6E-409C-BE32-E72D297353CC}">
              <c16:uniqueId val="{00000002-65B5-4B4C-AB44-C5862771E03F}"/>
            </c:ext>
          </c:extLst>
        </c:ser>
        <c:dLbls>
          <c:showLegendKey val="0"/>
          <c:showVal val="0"/>
          <c:showCatName val="0"/>
          <c:showSerName val="0"/>
          <c:showPercent val="0"/>
          <c:showBubbleSize val="0"/>
        </c:dLbls>
        <c:gapWidth val="100"/>
        <c:axId val="562161536"/>
        <c:axId val="562163072"/>
      </c:barChart>
      <c:catAx>
        <c:axId val="56216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163072"/>
        <c:crosses val="autoZero"/>
        <c:auto val="1"/>
        <c:lblAlgn val="ctr"/>
        <c:lblOffset val="100"/>
        <c:noMultiLvlLbl val="0"/>
      </c:catAx>
      <c:valAx>
        <c:axId val="56216307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16153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Children in Need</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'Children in Need'!$U$9</c:f>
              <c:strCache>
                <c:ptCount val="1"/>
                <c:pt idx="0">
                  <c:v>Distance</c:v>
                </c:pt>
              </c:strCache>
            </c:strRef>
          </c:tx>
          <c:spPr>
            <a:solidFill>
              <a:srgbClr val="FB994F"/>
            </a:solidFill>
            <a:ln w="25400">
              <a:noFill/>
            </a:ln>
          </c:spPr>
          <c:invertIfNegative val="0"/>
          <c:cat>
            <c:strRef>
              <c:f>'Children in Need'!$Y$77:$Y$100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Need'!$U$10:$U$33</c:f>
              <c:numCache>
                <c:formatCode>0.0</c:formatCode>
                <c:ptCount val="24"/>
                <c:pt idx="0">
                  <c:v>45.757864380249373</c:v>
                </c:pt>
                <c:pt idx="1">
                  <c:v>30.469005310860439</c:v>
                </c:pt>
                <c:pt idx="2">
                  <c:v>5.1717313472192927</c:v>
                </c:pt>
                <c:pt idx="3">
                  <c:v>-30.508701788841336</c:v>
                </c:pt>
                <c:pt idx="4">
                  <c:v>15.459080440102696</c:v>
                </c:pt>
                <c:pt idx="5">
                  <c:v>114.40454377773807</c:v>
                </c:pt>
                <c:pt idx="6">
                  <c:v>-29.462220342649914</c:v>
                </c:pt>
                <c:pt idx="7">
                  <c:v>-13.530246308563676</c:v>
                </c:pt>
                <c:pt idx="8">
                  <c:v>16.506678073507828</c:v>
                </c:pt>
                <c:pt idx="9">
                  <c:v>48.87995180950719</c:v>
                </c:pt>
                <c:pt idx="10">
                  <c:v>-2.1457332206065871</c:v>
                </c:pt>
                <c:pt idx="11">
                  <c:v>54.509964161371613</c:v>
                </c:pt>
                <c:pt idx="12">
                  <c:v>44.556835095333383</c:v>
                </c:pt>
                <c:pt idx="13">
                  <c:v>-92.796794703049898</c:v>
                </c:pt>
                <c:pt idx="14">
                  <c:v>84.513707618082833</c:v>
                </c:pt>
                <c:pt idx="15">
                  <c:v>-39.497787027782891</c:v>
                </c:pt>
                <c:pt idx="16">
                  <c:v>-37.115132731760696</c:v>
                </c:pt>
                <c:pt idx="17">
                  <c:v>104.06043316084873</c:v>
                </c:pt>
                <c:pt idx="18">
                  <c:v>-0.43144760223225376</c:v>
                </c:pt>
                <c:pt idx="19">
                  <c:v>28.759019395119481</c:v>
                </c:pt>
                <c:pt idx="20">
                  <c:v>13.617208279810171</c:v>
                </c:pt>
                <c:pt idx="21">
                  <c:v>27.778330993695221</c:v>
                </c:pt>
                <c:pt idx="22">
                  <c:v>4.5571716809771488</c:v>
                </c:pt>
                <c:pt idx="23">
                  <c:v>-25.193091122577471</c:v>
                </c:pt>
              </c:numCache>
            </c:numRef>
          </c:val>
          <c:extLst>
            <c:ext xmlns:c16="http://schemas.microsoft.com/office/drawing/2014/chart" uri="{C3380CC4-5D6E-409C-BE32-E72D297353CC}">
              <c16:uniqueId val="{00000000-71A1-4D34-9B41-FBBD74E0A63D}"/>
            </c:ext>
          </c:extLst>
        </c:ser>
        <c:ser>
          <c:idx val="0"/>
          <c:order val="1"/>
          <c:tx>
            <c:strRef>
              <c:f>'Children in Need'!$AA$4</c:f>
              <c:strCache>
                <c:ptCount val="1"/>
                <c:pt idx="0">
                  <c:v>Selected LA- (none)</c:v>
                </c:pt>
              </c:strCache>
            </c:strRef>
          </c:tx>
          <c:spPr>
            <a:solidFill>
              <a:srgbClr val="66FF99"/>
            </a:solidFill>
            <a:ln w="12700">
              <a:solidFill>
                <a:srgbClr val="000000"/>
              </a:solidFill>
              <a:prstDash val="solid"/>
            </a:ln>
          </c:spPr>
          <c:invertIfNegative val="0"/>
          <c:cat>
            <c:strRef>
              <c:f>'Children in Need'!$Y$77:$Y$100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71A1-4D34-9B41-FBBD74E0A63D}"/>
            </c:ext>
          </c:extLst>
        </c:ser>
        <c:dLbls>
          <c:showLegendKey val="0"/>
          <c:showVal val="0"/>
          <c:showCatName val="0"/>
          <c:showSerName val="0"/>
          <c:showPercent val="0"/>
          <c:showBubbleSize val="0"/>
        </c:dLbls>
        <c:gapWidth val="40"/>
        <c:overlap val="100"/>
        <c:axId val="562881664"/>
        <c:axId val="562883200"/>
      </c:barChart>
      <c:catAx>
        <c:axId val="56288166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883200"/>
        <c:crossesAt val="0"/>
        <c:auto val="1"/>
        <c:lblAlgn val="ctr"/>
        <c:lblOffset val="100"/>
        <c:noMultiLvlLbl val="0"/>
      </c:catAx>
      <c:valAx>
        <c:axId val="562883200"/>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881664"/>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'Children in Need'!$AL$5</c:f>
          <c:strCache>
            <c:ptCount val="1"/>
            <c:pt idx="0">
              <c:v>Average Annual Change in Number of Children in Need</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'Children in Need'!$I$7</c:f>
              <c:strCache>
                <c:ptCount val="1"/>
                <c:pt idx="0">
                  <c:v>Average Annual Change </c:v>
                </c:pt>
              </c:strCache>
            </c:strRef>
          </c:tx>
          <c:spPr>
            <a:solidFill>
              <a:srgbClr val="FB994F"/>
            </a:solidFill>
            <a:ln w="25400">
              <a:noFill/>
            </a:ln>
          </c:spPr>
          <c:invertIfNegative val="0"/>
          <c:cat>
            <c:strRef>
              <c:f>'Children in Need'!$B$10:$B$33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Need'!$I$10:$I$33</c:f>
              <c:numCache>
                <c:formatCode>0.0%</c:formatCode>
                <c:ptCount val="24"/>
                <c:pt idx="0">
                  <c:v>1.8648813707939887E-2</c:v>
                </c:pt>
                <c:pt idx="1">
                  <c:v>-6.1337777927062014E-2</c:v>
                </c:pt>
                <c:pt idx="2">
                  <c:v>6.910439236634526E-2</c:v>
                </c:pt>
                <c:pt idx="3">
                  <c:v>2.2600000366690565E-2</c:v>
                </c:pt>
                <c:pt idx="4">
                  <c:v>-1.2275175316518368E-2</c:v>
                </c:pt>
                <c:pt idx="5">
                  <c:v>-2.6660202292015552E-2</c:v>
                </c:pt>
                <c:pt idx="6">
                  <c:v>3.2061936282469297E-2</c:v>
                </c:pt>
                <c:pt idx="7">
                  <c:v>-7.7385713889292669E-3</c:v>
                </c:pt>
                <c:pt idx="8">
                  <c:v>8.58428404065288E-2</c:v>
                </c:pt>
                <c:pt idx="9">
                  <c:v>8.4374362389650348E-3</c:v>
                </c:pt>
                <c:pt idx="10">
                  <c:v>6.1838786148912667E-2</c:v>
                </c:pt>
                <c:pt idx="11">
                  <c:v>-6.0791998563177324E-2</c:v>
                </c:pt>
                <c:pt idx="12">
                  <c:v>1.1598449562055028E-2</c:v>
                </c:pt>
                <c:pt idx="13">
                  <c:v>-3.6933467607061898E-2</c:v>
                </c:pt>
                <c:pt idx="14">
                  <c:v>-6.8442464296623234E-2</c:v>
                </c:pt>
                <c:pt idx="15">
                  <c:v>-1.3949733976229345E-2</c:v>
                </c:pt>
                <c:pt idx="16">
                  <c:v>-3.299297031531364E-2</c:v>
                </c:pt>
                <c:pt idx="17">
                  <c:v>2.7591716627904068E-2</c:v>
                </c:pt>
                <c:pt idx="18">
                  <c:v>-2.8119398676487765E-2</c:v>
                </c:pt>
                <c:pt idx="19">
                  <c:v>0.14315455312678965</c:v>
                </c:pt>
                <c:pt idx="20">
                  <c:v>-2.3632145336580521E-2</c:v>
                </c:pt>
                <c:pt idx="21">
                  <c:v>0.18031061968258646</c:v>
                </c:pt>
                <c:pt idx="22">
                  <c:v>1.7592838103906452E-3</c:v>
                </c:pt>
                <c:pt idx="23">
                  <c:v>-2.9674305411662772E-3</c:v>
                </c:pt>
              </c:numCache>
            </c:numRef>
          </c:val>
          <c:extLst>
            <c:ext xmlns:c16="http://schemas.microsoft.com/office/drawing/2014/chart" uri="{C3380CC4-5D6E-409C-BE32-E72D297353CC}">
              <c16:uniqueId val="{00000000-8D0D-4D39-80C9-D852DC277618}"/>
            </c:ext>
          </c:extLst>
        </c:ser>
        <c:ser>
          <c:idx val="1"/>
          <c:order val="1"/>
          <c:tx>
            <c:strRef>
              <c:f>'Children in Need'!$AA$4</c:f>
              <c:strCache>
                <c:ptCount val="1"/>
                <c:pt idx="0">
                  <c:v>Selected LA- (none)</c:v>
                </c:pt>
              </c:strCache>
            </c:strRef>
          </c:tx>
          <c:spPr>
            <a:solidFill>
              <a:srgbClr val="66FF99"/>
            </a:solidFill>
            <a:ln w="12700">
              <a:solidFill>
                <a:srgbClr val="000000"/>
              </a:solidFill>
              <a:prstDash val="solid"/>
            </a:ln>
          </c:spPr>
          <c:invertIfNegative val="0"/>
          <c:cat>
            <c:strRef>
              <c:f>'Children in Need'!$B$10:$B$33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8D0D-4D39-80C9-D852DC277618}"/>
            </c:ext>
          </c:extLst>
        </c:ser>
        <c:dLbls>
          <c:showLegendKey val="0"/>
          <c:showVal val="0"/>
          <c:showCatName val="0"/>
          <c:showSerName val="0"/>
          <c:showPercent val="0"/>
          <c:showBubbleSize val="0"/>
        </c:dLbls>
        <c:gapWidth val="40"/>
        <c:overlap val="100"/>
        <c:axId val="562920832"/>
        <c:axId val="562922624"/>
      </c:barChart>
      <c:catAx>
        <c:axId val="56292083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922624"/>
        <c:crosses val="autoZero"/>
        <c:auto val="1"/>
        <c:lblAlgn val="ctr"/>
        <c:lblOffset val="100"/>
        <c:noMultiLvlLbl val="0"/>
      </c:catAx>
      <c:valAx>
        <c:axId val="562922624"/>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920832"/>
        <c:crosses val="max"/>
        <c:crossBetween val="between"/>
      </c:valAx>
      <c:spPr>
        <a:noFill/>
        <a:ln w="3175">
          <a:solidFill>
            <a:srgbClr val="000000"/>
          </a:solidFill>
          <a:prstDash val="solid"/>
        </a:ln>
      </c:spPr>
    </c:plotArea>
    <c:legend>
      <c:legendPos val="t"/>
      <c:layout>
        <c:manualLayout>
          <c:xMode val="edge"/>
          <c:yMode val="edge"/>
          <c:x val="0.2203420316538611"/>
          <c:y val="7.8066985350641618E-2"/>
          <c:w val="0.72936019544665931"/>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Contacts progressing to Social Care Referral</a:t>
            </a:r>
          </a:p>
        </c:rich>
      </c:tx>
      <c:layout>
        <c:manualLayout>
          <c:xMode val="edge"/>
          <c:yMode val="edge"/>
          <c:x val="0.10184555952634307"/>
          <c:y val="1.8729793519741571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32892920444124"/>
        </c:manualLayout>
      </c:layout>
      <c:lineChart>
        <c:grouping val="standard"/>
        <c:varyColors val="0"/>
        <c:ser>
          <c:idx val="0"/>
          <c:order val="0"/>
          <c:tx>
            <c:strRef>
              <c:f>Contacts!$AK$40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4CA2-4C2E-AD98-59B7BF1CA856}"/>
              </c:ext>
            </c:extLst>
          </c:dPt>
          <c:cat>
            <c:strRef>
              <c:f>Contacts!$X$2:$AB$3</c:f>
              <c:strCache>
                <c:ptCount val="5"/>
                <c:pt idx="0">
                  <c:v>2015-16</c:v>
                </c:pt>
                <c:pt idx="1">
                  <c:v>2016-17</c:v>
                </c:pt>
                <c:pt idx="2">
                  <c:v>2017-18</c:v>
                </c:pt>
                <c:pt idx="3">
                  <c:v>2018-19</c:v>
                </c:pt>
                <c:pt idx="4">
                  <c:v>2019-20</c:v>
                </c:pt>
              </c:strCache>
            </c:strRef>
          </c:cat>
          <c:val>
            <c:numRef>
              <c:f>Contacts!$AW$40:$BA$40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CA2-4C2E-AD98-59B7BF1CA856}"/>
            </c:ext>
          </c:extLst>
        </c:ser>
        <c:ser>
          <c:idx val="1"/>
          <c:order val="1"/>
          <c:tx>
            <c:strRef>
              <c:f>Contacts!$AK$41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Contacts!$X$2:$AB$3</c:f>
              <c:strCache>
                <c:ptCount val="5"/>
                <c:pt idx="0">
                  <c:v>2015-16</c:v>
                </c:pt>
                <c:pt idx="1">
                  <c:v>2016-17</c:v>
                </c:pt>
                <c:pt idx="2">
                  <c:v>2017-18</c:v>
                </c:pt>
                <c:pt idx="3">
                  <c:v>2018-19</c:v>
                </c:pt>
                <c:pt idx="4">
                  <c:v>2019-20</c:v>
                </c:pt>
              </c:strCache>
            </c:strRef>
          </c:cat>
          <c:val>
            <c:numRef>
              <c:f>Contacts!$AW$41:$BA$41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4CA2-4C2E-AD98-59B7BF1CA856}"/>
            </c:ext>
          </c:extLst>
        </c:ser>
        <c:ser>
          <c:idx val="2"/>
          <c:order val="2"/>
          <c:tx>
            <c:strRef>
              <c:f>Contacts!$AK$42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Contacts!$X$2:$AB$3</c:f>
              <c:strCache>
                <c:ptCount val="5"/>
                <c:pt idx="0">
                  <c:v>2015-16</c:v>
                </c:pt>
                <c:pt idx="1">
                  <c:v>2016-17</c:v>
                </c:pt>
                <c:pt idx="2">
                  <c:v>2017-18</c:v>
                </c:pt>
                <c:pt idx="3">
                  <c:v>2018-19</c:v>
                </c:pt>
                <c:pt idx="4">
                  <c:v>2019-20</c:v>
                </c:pt>
              </c:strCache>
            </c:strRef>
          </c:cat>
          <c:val>
            <c:numRef>
              <c:f>Contacts!$AW$42:$BA$42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4CA2-4C2E-AD98-59B7BF1CA856}"/>
            </c:ext>
          </c:extLst>
        </c:ser>
        <c:ser>
          <c:idx val="5"/>
          <c:order val="3"/>
          <c:tx>
            <c:strRef>
              <c:f>Contacts!$AK$43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Contacts!$X$2:$AB$3</c:f>
              <c:strCache>
                <c:ptCount val="5"/>
                <c:pt idx="0">
                  <c:v>2015-16</c:v>
                </c:pt>
                <c:pt idx="1">
                  <c:v>2016-17</c:v>
                </c:pt>
                <c:pt idx="2">
                  <c:v>2017-18</c:v>
                </c:pt>
                <c:pt idx="3">
                  <c:v>2018-19</c:v>
                </c:pt>
                <c:pt idx="4">
                  <c:v>2019-20</c:v>
                </c:pt>
              </c:strCache>
            </c:strRef>
          </c:cat>
          <c:val>
            <c:numRef>
              <c:f>Contacts!$AW$43:$BA$43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4CA2-4C2E-AD98-59B7BF1CA856}"/>
            </c:ext>
          </c:extLst>
        </c:ser>
        <c:ser>
          <c:idx val="9"/>
          <c:order val="4"/>
          <c:tx>
            <c:strRef>
              <c:f>Contacts!$AK$44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Contacts!$X$2:$AB$3</c:f>
              <c:strCache>
                <c:ptCount val="5"/>
                <c:pt idx="0">
                  <c:v>2015-16</c:v>
                </c:pt>
                <c:pt idx="1">
                  <c:v>2016-17</c:v>
                </c:pt>
                <c:pt idx="2">
                  <c:v>2017-18</c:v>
                </c:pt>
                <c:pt idx="3">
                  <c:v>2018-19</c:v>
                </c:pt>
                <c:pt idx="4">
                  <c:v>2019-20</c:v>
                </c:pt>
              </c:strCache>
            </c:strRef>
          </c:cat>
          <c:val>
            <c:numRef>
              <c:f>Contacts!$AW$44:$BA$44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4CA2-4C2E-AD98-59B7BF1CA856}"/>
            </c:ext>
          </c:extLst>
        </c:ser>
        <c:ser>
          <c:idx val="10"/>
          <c:order val="5"/>
          <c:tx>
            <c:strRef>
              <c:f>Contacts!$AK$45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Contacts!$X$2:$AB$3</c:f>
              <c:strCache>
                <c:ptCount val="5"/>
                <c:pt idx="0">
                  <c:v>2015-16</c:v>
                </c:pt>
                <c:pt idx="1">
                  <c:v>2016-17</c:v>
                </c:pt>
                <c:pt idx="2">
                  <c:v>2017-18</c:v>
                </c:pt>
                <c:pt idx="3">
                  <c:v>2018-19</c:v>
                </c:pt>
                <c:pt idx="4">
                  <c:v>2019-20</c:v>
                </c:pt>
              </c:strCache>
            </c:strRef>
          </c:cat>
          <c:val>
            <c:numRef>
              <c:f>Contacts!$AW$45:$BA$45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4CA2-4C2E-AD98-59B7BF1CA856}"/>
            </c:ext>
          </c:extLst>
        </c:ser>
        <c:ser>
          <c:idx val="11"/>
          <c:order val="6"/>
          <c:tx>
            <c:strRef>
              <c:f>Contacts!$AK$46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Contacts!$X$2:$AB$3</c:f>
              <c:strCache>
                <c:ptCount val="5"/>
                <c:pt idx="0">
                  <c:v>2015-16</c:v>
                </c:pt>
                <c:pt idx="1">
                  <c:v>2016-17</c:v>
                </c:pt>
                <c:pt idx="2">
                  <c:v>2017-18</c:v>
                </c:pt>
                <c:pt idx="3">
                  <c:v>2018-19</c:v>
                </c:pt>
                <c:pt idx="4">
                  <c:v>2019-20</c:v>
                </c:pt>
              </c:strCache>
            </c:strRef>
          </c:cat>
          <c:val>
            <c:numRef>
              <c:f>Contacts!$AW$46:$BA$46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4CA2-4C2E-AD98-59B7BF1CA856}"/>
            </c:ext>
          </c:extLst>
        </c:ser>
        <c:ser>
          <c:idx val="12"/>
          <c:order val="7"/>
          <c:tx>
            <c:strRef>
              <c:f>Contacts!$AK$47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Contacts!$X$2:$AB$3</c:f>
              <c:strCache>
                <c:ptCount val="5"/>
                <c:pt idx="0">
                  <c:v>2015-16</c:v>
                </c:pt>
                <c:pt idx="1">
                  <c:v>2016-17</c:v>
                </c:pt>
                <c:pt idx="2">
                  <c:v>2017-18</c:v>
                </c:pt>
                <c:pt idx="3">
                  <c:v>2018-19</c:v>
                </c:pt>
                <c:pt idx="4">
                  <c:v>2019-20</c:v>
                </c:pt>
              </c:strCache>
            </c:strRef>
          </c:cat>
          <c:val>
            <c:numRef>
              <c:f>Contacts!$AW$47:$BA$47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4CA2-4C2E-AD98-59B7BF1CA856}"/>
            </c:ext>
          </c:extLst>
        </c:ser>
        <c:ser>
          <c:idx val="13"/>
          <c:order val="8"/>
          <c:tx>
            <c:strRef>
              <c:f>Contacts!$AK$48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Contacts!$X$2:$AB$3</c:f>
              <c:strCache>
                <c:ptCount val="5"/>
                <c:pt idx="0">
                  <c:v>2015-16</c:v>
                </c:pt>
                <c:pt idx="1">
                  <c:v>2016-17</c:v>
                </c:pt>
                <c:pt idx="2">
                  <c:v>2017-18</c:v>
                </c:pt>
                <c:pt idx="3">
                  <c:v>2018-19</c:v>
                </c:pt>
                <c:pt idx="4">
                  <c:v>2019-20</c:v>
                </c:pt>
              </c:strCache>
            </c:strRef>
          </c:cat>
          <c:val>
            <c:numRef>
              <c:f>Contacts!$AW$48:$BA$48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4CA2-4C2E-AD98-59B7BF1CA856}"/>
            </c:ext>
          </c:extLst>
        </c:ser>
        <c:ser>
          <c:idx val="15"/>
          <c:order val="9"/>
          <c:tx>
            <c:strRef>
              <c:f>Contacts!$AK$49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Contacts!$X$2:$AB$3</c:f>
              <c:strCache>
                <c:ptCount val="5"/>
                <c:pt idx="0">
                  <c:v>2015-16</c:v>
                </c:pt>
                <c:pt idx="1">
                  <c:v>2016-17</c:v>
                </c:pt>
                <c:pt idx="2">
                  <c:v>2017-18</c:v>
                </c:pt>
                <c:pt idx="3">
                  <c:v>2018-19</c:v>
                </c:pt>
                <c:pt idx="4">
                  <c:v>2019-20</c:v>
                </c:pt>
              </c:strCache>
            </c:strRef>
          </c:cat>
          <c:val>
            <c:numRef>
              <c:f>Contacts!$AW$49:$BA$49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4CA2-4C2E-AD98-59B7BF1CA856}"/>
            </c:ext>
          </c:extLst>
        </c:ser>
        <c:ser>
          <c:idx val="16"/>
          <c:order val="10"/>
          <c:tx>
            <c:strRef>
              <c:f>Contacts!$AK$50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Contacts!$X$2:$AB$3</c:f>
              <c:strCache>
                <c:ptCount val="5"/>
                <c:pt idx="0">
                  <c:v>2015-16</c:v>
                </c:pt>
                <c:pt idx="1">
                  <c:v>2016-17</c:v>
                </c:pt>
                <c:pt idx="2">
                  <c:v>2017-18</c:v>
                </c:pt>
                <c:pt idx="3">
                  <c:v>2018-19</c:v>
                </c:pt>
                <c:pt idx="4">
                  <c:v>2019-20</c:v>
                </c:pt>
              </c:strCache>
            </c:strRef>
          </c:cat>
          <c:val>
            <c:numRef>
              <c:f>Contacts!$AW$50:$BA$50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4CA2-4C2E-AD98-59B7BF1CA856}"/>
            </c:ext>
          </c:extLst>
        </c:ser>
        <c:ser>
          <c:idx val="17"/>
          <c:order val="11"/>
          <c:tx>
            <c:strRef>
              <c:f>Contacts!$AK$51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Contacts!$X$2:$AB$3</c:f>
              <c:strCache>
                <c:ptCount val="5"/>
                <c:pt idx="0">
                  <c:v>2015-16</c:v>
                </c:pt>
                <c:pt idx="1">
                  <c:v>2016-17</c:v>
                </c:pt>
                <c:pt idx="2">
                  <c:v>2017-18</c:v>
                </c:pt>
                <c:pt idx="3">
                  <c:v>2018-19</c:v>
                </c:pt>
                <c:pt idx="4">
                  <c:v>2019-20</c:v>
                </c:pt>
              </c:strCache>
            </c:strRef>
          </c:cat>
          <c:val>
            <c:numRef>
              <c:f>Contacts!$AW$51:$BA$51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4CA2-4C2E-AD98-59B7BF1CA856}"/>
            </c:ext>
          </c:extLst>
        </c:ser>
        <c:ser>
          <c:idx val="19"/>
          <c:order val="12"/>
          <c:tx>
            <c:strRef>
              <c:f>Contacts!$AK$52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Contacts!$X$2:$AB$3</c:f>
              <c:strCache>
                <c:ptCount val="5"/>
                <c:pt idx="0">
                  <c:v>2015-16</c:v>
                </c:pt>
                <c:pt idx="1">
                  <c:v>2016-17</c:v>
                </c:pt>
                <c:pt idx="2">
                  <c:v>2017-18</c:v>
                </c:pt>
                <c:pt idx="3">
                  <c:v>2018-19</c:v>
                </c:pt>
                <c:pt idx="4">
                  <c:v>2019-20</c:v>
                </c:pt>
              </c:strCache>
            </c:strRef>
          </c:cat>
          <c:val>
            <c:numRef>
              <c:f>Contacts!$AW$52:$BA$52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4CA2-4C2E-AD98-59B7BF1CA856}"/>
            </c:ext>
          </c:extLst>
        </c:ser>
        <c:ser>
          <c:idx val="3"/>
          <c:order val="13"/>
          <c:tx>
            <c:strRef>
              <c:f>Contacts!$AK$53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Contacts!$X$2:$AB$3</c:f>
              <c:strCache>
                <c:ptCount val="5"/>
                <c:pt idx="0">
                  <c:v>2015-16</c:v>
                </c:pt>
                <c:pt idx="1">
                  <c:v>2016-17</c:v>
                </c:pt>
                <c:pt idx="2">
                  <c:v>2017-18</c:v>
                </c:pt>
                <c:pt idx="3">
                  <c:v>2018-19</c:v>
                </c:pt>
                <c:pt idx="4">
                  <c:v>2019-20</c:v>
                </c:pt>
              </c:strCache>
            </c:strRef>
          </c:cat>
          <c:val>
            <c:numRef>
              <c:f>Contacts!$AW$53:$BA$53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4CA2-4C2E-AD98-59B7BF1CA856}"/>
            </c:ext>
          </c:extLst>
        </c:ser>
        <c:ser>
          <c:idx val="20"/>
          <c:order val="14"/>
          <c:tx>
            <c:strRef>
              <c:f>Contacts!$AK$54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Contacts!$X$2:$AB$3</c:f>
              <c:strCache>
                <c:ptCount val="5"/>
                <c:pt idx="0">
                  <c:v>2015-16</c:v>
                </c:pt>
                <c:pt idx="1">
                  <c:v>2016-17</c:v>
                </c:pt>
                <c:pt idx="2">
                  <c:v>2017-18</c:v>
                </c:pt>
                <c:pt idx="3">
                  <c:v>2018-19</c:v>
                </c:pt>
                <c:pt idx="4">
                  <c:v>2019-20</c:v>
                </c:pt>
              </c:strCache>
            </c:strRef>
          </c:cat>
          <c:val>
            <c:numRef>
              <c:f>Contacts!$AW$54:$BA$54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4CA2-4C2E-AD98-59B7BF1CA856}"/>
            </c:ext>
          </c:extLst>
        </c:ser>
        <c:ser>
          <c:idx val="22"/>
          <c:order val="15"/>
          <c:tx>
            <c:strRef>
              <c:f>Contacts!$AK$55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Contacts!$X$2:$AB$3</c:f>
              <c:strCache>
                <c:ptCount val="5"/>
                <c:pt idx="0">
                  <c:v>2015-16</c:v>
                </c:pt>
                <c:pt idx="1">
                  <c:v>2016-17</c:v>
                </c:pt>
                <c:pt idx="2">
                  <c:v>2017-18</c:v>
                </c:pt>
                <c:pt idx="3">
                  <c:v>2018-19</c:v>
                </c:pt>
                <c:pt idx="4">
                  <c:v>2019-20</c:v>
                </c:pt>
              </c:strCache>
            </c:strRef>
          </c:cat>
          <c:val>
            <c:numRef>
              <c:f>Contacts!$AW$55:$BA$55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4CA2-4C2E-AD98-59B7BF1CA856}"/>
            </c:ext>
          </c:extLst>
        </c:ser>
        <c:ser>
          <c:idx val="7"/>
          <c:order val="16"/>
          <c:tx>
            <c:strRef>
              <c:f>Contacts!$AK$56</c:f>
              <c:strCache>
                <c:ptCount val="1"/>
                <c:pt idx="0">
                  <c:v>Swindon</c:v>
                </c:pt>
              </c:strCache>
            </c:strRef>
          </c:tx>
          <c:spPr>
            <a:ln w="12700"/>
          </c:spPr>
          <c:marker>
            <c:symbol val="triangle"/>
            <c:size val="5"/>
            <c:spPr>
              <a:solidFill>
                <a:schemeClr val="accent2">
                  <a:lumMod val="20000"/>
                  <a:lumOff val="80000"/>
                </a:schemeClr>
              </a:solidFill>
            </c:spPr>
          </c:marker>
          <c:cat>
            <c:strRef>
              <c:f>Contacts!$X$2:$AB$3</c:f>
              <c:strCache>
                <c:ptCount val="5"/>
                <c:pt idx="0">
                  <c:v>2015-16</c:v>
                </c:pt>
                <c:pt idx="1">
                  <c:v>2016-17</c:v>
                </c:pt>
                <c:pt idx="2">
                  <c:v>2017-18</c:v>
                </c:pt>
                <c:pt idx="3">
                  <c:v>2018-19</c:v>
                </c:pt>
                <c:pt idx="4">
                  <c:v>2019-20</c:v>
                </c:pt>
              </c:strCache>
            </c:strRef>
          </c:cat>
          <c:val>
            <c:numRef>
              <c:f>Contacts!$AW$56:$BA$56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4CA2-4C2E-AD98-59B7BF1CA856}"/>
            </c:ext>
          </c:extLst>
        </c:ser>
        <c:ser>
          <c:idx val="8"/>
          <c:order val="17"/>
          <c:tx>
            <c:strRef>
              <c:f>Contacts!$AK$57</c:f>
              <c:strCache>
                <c:ptCount val="1"/>
                <c:pt idx="0">
                  <c:v>Torbay</c:v>
                </c:pt>
              </c:strCache>
            </c:strRef>
          </c:tx>
          <c:spPr>
            <a:ln w="12700"/>
          </c:spPr>
          <c:marker>
            <c:symbol val="circle"/>
            <c:size val="5"/>
            <c:spPr>
              <a:solidFill>
                <a:schemeClr val="accent3">
                  <a:lumMod val="20000"/>
                  <a:lumOff val="80000"/>
                </a:schemeClr>
              </a:solidFill>
            </c:spPr>
          </c:marker>
          <c:cat>
            <c:strRef>
              <c:f>Contacts!$X$2:$AB$3</c:f>
              <c:strCache>
                <c:ptCount val="5"/>
                <c:pt idx="0">
                  <c:v>2015-16</c:v>
                </c:pt>
                <c:pt idx="1">
                  <c:v>2016-17</c:v>
                </c:pt>
                <c:pt idx="2">
                  <c:v>2017-18</c:v>
                </c:pt>
                <c:pt idx="3">
                  <c:v>2018-19</c:v>
                </c:pt>
                <c:pt idx="4">
                  <c:v>2019-20</c:v>
                </c:pt>
              </c:strCache>
            </c:strRef>
          </c:cat>
          <c:val>
            <c:numRef>
              <c:f>Contacts!$AW$57:$BA$57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4CA2-4C2E-AD98-59B7BF1CA856}"/>
            </c:ext>
          </c:extLst>
        </c:ser>
        <c:ser>
          <c:idx val="23"/>
          <c:order val="18"/>
          <c:tx>
            <c:strRef>
              <c:f>Contacts!$AK$58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Contacts!$X$2:$AB$3</c:f>
              <c:strCache>
                <c:ptCount val="5"/>
                <c:pt idx="0">
                  <c:v>2015-16</c:v>
                </c:pt>
                <c:pt idx="1">
                  <c:v>2016-17</c:v>
                </c:pt>
                <c:pt idx="2">
                  <c:v>2017-18</c:v>
                </c:pt>
                <c:pt idx="3">
                  <c:v>2018-19</c:v>
                </c:pt>
                <c:pt idx="4">
                  <c:v>2019-20</c:v>
                </c:pt>
              </c:strCache>
            </c:strRef>
          </c:cat>
          <c:val>
            <c:numRef>
              <c:f>Contacts!$AW$58:$BA$58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4CA2-4C2E-AD98-59B7BF1CA856}"/>
            </c:ext>
          </c:extLst>
        </c:ser>
        <c:ser>
          <c:idx val="24"/>
          <c:order val="19"/>
          <c:tx>
            <c:strRef>
              <c:f>Contacts!$AK$59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Contacts!$X$2:$AB$3</c:f>
              <c:strCache>
                <c:ptCount val="5"/>
                <c:pt idx="0">
                  <c:v>2015-16</c:v>
                </c:pt>
                <c:pt idx="1">
                  <c:v>2016-17</c:v>
                </c:pt>
                <c:pt idx="2">
                  <c:v>2017-18</c:v>
                </c:pt>
                <c:pt idx="3">
                  <c:v>2018-19</c:v>
                </c:pt>
                <c:pt idx="4">
                  <c:v>2019-20</c:v>
                </c:pt>
              </c:strCache>
            </c:strRef>
          </c:cat>
          <c:val>
            <c:numRef>
              <c:f>Contacts!$AW$59:$BA$59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4CA2-4C2E-AD98-59B7BF1CA856}"/>
            </c:ext>
          </c:extLst>
        </c:ser>
        <c:ser>
          <c:idx val="25"/>
          <c:order val="20"/>
          <c:tx>
            <c:strRef>
              <c:f>Contacts!$AK$60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Contacts!$X$2:$AB$3</c:f>
              <c:strCache>
                <c:ptCount val="5"/>
                <c:pt idx="0">
                  <c:v>2015-16</c:v>
                </c:pt>
                <c:pt idx="1">
                  <c:v>2016-17</c:v>
                </c:pt>
                <c:pt idx="2">
                  <c:v>2017-18</c:v>
                </c:pt>
                <c:pt idx="3">
                  <c:v>2018-19</c:v>
                </c:pt>
                <c:pt idx="4">
                  <c:v>2019-20</c:v>
                </c:pt>
              </c:strCache>
            </c:strRef>
          </c:cat>
          <c:val>
            <c:numRef>
              <c:f>Contacts!$AW$60:$BA$60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4CA2-4C2E-AD98-59B7BF1CA856}"/>
            </c:ext>
          </c:extLst>
        </c:ser>
        <c:ser>
          <c:idx val="26"/>
          <c:order val="21"/>
          <c:tx>
            <c:strRef>
              <c:f>Contacts!$AK$61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Contacts!$X$2:$AB$3</c:f>
              <c:strCache>
                <c:ptCount val="5"/>
                <c:pt idx="0">
                  <c:v>2015-16</c:v>
                </c:pt>
                <c:pt idx="1">
                  <c:v>2016-17</c:v>
                </c:pt>
                <c:pt idx="2">
                  <c:v>2017-18</c:v>
                </c:pt>
                <c:pt idx="3">
                  <c:v>2018-19</c:v>
                </c:pt>
                <c:pt idx="4">
                  <c:v>2019-20</c:v>
                </c:pt>
              </c:strCache>
            </c:strRef>
          </c:cat>
          <c:val>
            <c:numRef>
              <c:f>Contacts!$AW$61:$BA$61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4CA2-4C2E-AD98-59B7BF1CA856}"/>
            </c:ext>
          </c:extLst>
        </c:ser>
        <c:ser>
          <c:idx val="4"/>
          <c:order val="22"/>
          <c:tx>
            <c:strRef>
              <c:f>Contacts!$AK$62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Contacts!$X$2:$AB$3</c:f>
              <c:strCache>
                <c:ptCount val="5"/>
                <c:pt idx="0">
                  <c:v>2015-16</c:v>
                </c:pt>
                <c:pt idx="1">
                  <c:v>2016-17</c:v>
                </c:pt>
                <c:pt idx="2">
                  <c:v>2017-18</c:v>
                </c:pt>
                <c:pt idx="3">
                  <c:v>2018-19</c:v>
                </c:pt>
                <c:pt idx="4">
                  <c:v>2019-20</c:v>
                </c:pt>
              </c:strCache>
            </c:strRef>
          </c:cat>
          <c:val>
            <c:numRef>
              <c:f>Contacts!$AW$62:$BA$62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4CA2-4C2E-AD98-59B7BF1CA856}"/>
            </c:ext>
          </c:extLst>
        </c:ser>
        <c:ser>
          <c:idx val="6"/>
          <c:order val="23"/>
          <c:tx>
            <c:strRef>
              <c:f>Contacts!$AK$64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Contacts!$X$2:$AB$3</c:f>
              <c:strCache>
                <c:ptCount val="5"/>
                <c:pt idx="0">
                  <c:v>2015-16</c:v>
                </c:pt>
                <c:pt idx="1">
                  <c:v>2016-17</c:v>
                </c:pt>
                <c:pt idx="2">
                  <c:v>2017-18</c:v>
                </c:pt>
                <c:pt idx="3">
                  <c:v>2018-19</c:v>
                </c:pt>
                <c:pt idx="4">
                  <c:v>2019-20</c:v>
                </c:pt>
              </c:strCache>
            </c:strRef>
          </c:cat>
          <c:val>
            <c:numRef>
              <c:f>Contacts!$AW$64:$BA$64</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4CA2-4C2E-AD98-59B7BF1CA856}"/>
            </c:ext>
          </c:extLst>
        </c:ser>
        <c:dLbls>
          <c:showLegendKey val="0"/>
          <c:showVal val="0"/>
          <c:showCatName val="0"/>
          <c:showSerName val="0"/>
          <c:showPercent val="0"/>
          <c:showBubbleSize val="0"/>
        </c:dLbls>
        <c:marker val="1"/>
        <c:smooth val="0"/>
        <c:axId val="500798208"/>
        <c:axId val="500800128"/>
      </c:lineChart>
      <c:catAx>
        <c:axId val="500798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00800128"/>
        <c:crosses val="autoZero"/>
        <c:auto val="1"/>
        <c:lblAlgn val="ctr"/>
        <c:lblOffset val="100"/>
        <c:tickLblSkip val="1"/>
        <c:tickMarkSkip val="1"/>
        <c:noMultiLvlLbl val="0"/>
      </c:catAx>
      <c:valAx>
        <c:axId val="50080012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0079820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914578351735385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in Need vs. IDACI</a:t>
            </a:r>
          </a:p>
        </c:rich>
      </c:tx>
      <c:layout>
        <c:manualLayout>
          <c:xMode val="edge"/>
          <c:yMode val="edge"/>
          <c:x val="0.28336868850297825"/>
          <c:y val="3.612578830947967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'Children in Need'!$AR$38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1711-4A2B-AA94-EB50FB6C94C1}"/>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{E9B24EDF-A04F-4EBF-A9EF-08E2DEF0BD86}</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1711-4A2B-AA94-EB50FB6C94C1}"/>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{9E7DF933-A4C8-47BC-8627-536707227C5F}</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1711-4A2B-AA94-EB50FB6C94C1}"/>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{B8F241E5-BCFE-4B5A-BEC9-985CCE595469}</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1711-4A2B-AA94-EB50FB6C94C1}"/>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{E48C8DB5-580A-4EF9-B7AC-1324EA3669A1}</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1711-4A2B-AA94-EB50FB6C94C1}"/>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{C7B3070E-1704-46C9-8D0C-73731D3E5D85}</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1711-4A2B-AA94-EB50FB6C94C1}"/>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{92B87B43-D330-4562-A5A1-261828099A83}</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1711-4A2B-AA94-EB50FB6C94C1}"/>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{F5B408A5-CE5F-4842-AD2F-6A45A5AC7934}</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1711-4A2B-AA94-EB50FB6C94C1}"/>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{DE869AD2-2A43-470E-A7E7-BF32FE96A7E1}</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1711-4A2B-AA94-EB50FB6C94C1}"/>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{B6F607AD-938B-4CEA-ABD2-219A839F76F9}</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1711-4A2B-AA94-EB50FB6C94C1}"/>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{354504AA-8AB5-4544-91E2-6974E4076AF8}</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1711-4A2B-AA94-EB50FB6C94C1}"/>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{577FDEAF-7134-4E52-8123-FDB12F23E874}</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1711-4A2B-AA94-EB50FB6C94C1}"/>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{B3708BC7-30E5-4C67-BFBD-3836627E383F}</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1711-4A2B-AA94-EB50FB6C94C1}"/>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{17D46826-7FCB-492F-9D5C-27FF1C18E3AB}</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1711-4A2B-AA94-EB50FB6C94C1}"/>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{F59A5CB6-4C66-4FFC-8BDE-CB10422D4F94}</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1711-4A2B-AA94-EB50FB6C94C1}"/>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{C50C0337-0317-4FF7-9027-641240832BCD}</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1711-4A2B-AA94-EB50FB6C94C1}"/>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{1943B316-11DC-4454-9F37-25661EEC425C}</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1711-4A2B-AA94-EB50FB6C94C1}"/>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{486F0E5F-ED8B-4019-87D2-BAF36BB20F6F}</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1711-4A2B-AA94-EB50FB6C94C1}"/>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{31C078C5-EC37-47A2-9F75-D6C2A33DD513}</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1711-4A2B-AA94-EB50FB6C94C1}"/>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{32E4259D-E5E7-48C6-B190-B448F2FC3FA7}</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1711-4A2B-AA94-EB50FB6C94C1}"/>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('Children in Need'!$AR$41:$AR$53,'Children in Need'!$AR$55:$AR$56,'Children in Need'!$AR$59:$AR$62)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('Children in Need'!$AQ$41:$AQ$53,'Children in Need'!$AQ$55:$AQ$56,'Children in Need'!$AQ$59:$AQ$62)</c:f>
              <c:numCache>
                <c:formatCode>0.0</c:formatCode>
                <c:ptCount val="19"/>
                <c:pt idx="0">
                  <c:v>309.50704225352109</c:v>
                </c:pt>
                <c:pt idx="1">
                  <c:v>360.83499005964211</c:v>
                </c:pt>
                <c:pt idx="2">
                  <c:v>264.75735879077166</c:v>
                </c:pt>
                <c:pt idx="3">
                  <c:v>308.18438381937909</c:v>
                </c:pt>
                <c:pt idx="4">
                  <c:v>291.69890960253252</c:v>
                </c:pt>
                <c:pt idx="5">
                  <c:v>472.87449392712551</c:v>
                </c:pt>
                <c:pt idx="6">
                  <c:v>306.10820244328096</c:v>
                </c:pt>
                <c:pt idx="7">
                  <c:v>354.30769230769232</c:v>
                </c:pt>
                <c:pt idx="8">
                  <c:v>343.75</c:v>
                </c:pt>
                <c:pt idx="9">
                  <c:v>325.11978097193702</c:v>
                </c:pt>
                <c:pt idx="10">
                  <c:v>379.22374429223743</c:v>
                </c:pt>
                <c:pt idx="11">
                  <c:v>392.16216216216219</c:v>
                </c:pt>
                <c:pt idx="12">
                  <c:v>368.677494199536</c:v>
                </c:pt>
                <c:pt idx="13">
                  <c:v>469.00584795321635</c:v>
                </c:pt>
                <c:pt idx="14">
                  <c:v>218.00606520090977</c:v>
                </c:pt>
                <c:pt idx="15">
                  <c:v>261.23595505617976</c:v>
                </c:pt>
                <c:pt idx="16">
                  <c:v>314.36683702441792</c:v>
                </c:pt>
                <c:pt idx="17">
                  <c:v>254.46685878962535</c:v>
                </c:pt>
                <c:pt idx="18">
                  <c:v>257.17821782178214</c:v>
                </c:pt>
              </c:numCache>
            </c:numRef>
          </c:yVal>
          <c:smooth val="0"/>
          <c:extLst>
            <c:ext xmlns:c16="http://schemas.microsoft.com/office/drawing/2014/chart" uri="{C3380CC4-5D6E-409C-BE32-E72D297353CC}">
              <c16:uniqueId val="{00000014-1711-4A2B-AA94-EB50FB6C94C1}"/>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1711-4A2B-AA94-EB50FB6C94C1}"/>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{3F3CAB2A-F643-457D-9BA2-8609143DDAA2}</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1711-4A2B-AA94-EB50FB6C94C1}"/>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{0A28F0D6-B19F-4DF2-85B5-827754CEE8B1}</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1711-4A2B-AA94-EB50FB6C94C1}"/>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{92816DC1-81EE-46F8-90DD-4BA9AB13F5B8}</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7-1711-4A2B-AA94-EB50FB6C94C1}"/>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('Children in Need'!$AR$54,'Children in Need'!$AR$57:$AR$58)</c:f>
              <c:numCache>
                <c:formatCode>0.0</c:formatCode>
                <c:ptCount val="3"/>
                <c:pt idx="0">
                  <c:v>13.600000000000001</c:v>
                </c:pt>
                <c:pt idx="1">
                  <c:v>14.899999999999999</c:v>
                </c:pt>
                <c:pt idx="2">
                  <c:v>21.9</c:v>
                </c:pt>
              </c:numCache>
            </c:numRef>
          </c:xVal>
          <c:yVal>
            <c:numRef>
              <c:f>('Children in Need'!$AQ$54,'Children in Need'!$AQ$57:$AQ$58)</c:f>
              <c:numCache>
                <c:formatCode>0.0</c:formatCode>
                <c:ptCount val="3"/>
                <c:pt idx="0">
                  <c:v>219.87410071942446</c:v>
                </c:pt>
                <c:pt idx="1">
                  <c:v>289.08730158730157</c:v>
                </c:pt>
                <c:pt idx="2">
                  <c:v>503.12500000000006</c:v>
                </c:pt>
              </c:numCache>
            </c:numRef>
          </c:yVal>
          <c:smooth val="0"/>
          <c:extLst>
            <c:ext xmlns:c16="http://schemas.microsoft.com/office/drawing/2014/chart" uri="{C3380CC4-5D6E-409C-BE32-E72D297353CC}">
              <c16:uniqueId val="{00000018-1711-4A2B-AA94-EB50FB6C94C1}"/>
            </c:ext>
          </c:extLst>
        </c:ser>
        <c:ser>
          <c:idx val="1"/>
          <c:order val="2"/>
          <c:tx>
            <c:strRef>
              <c:f>'Children in Need'!$AA$4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'Children in Need'!$AR$65</c:f>
              <c:numCache>
                <c:formatCode>0.0</c:formatCode>
                <c:ptCount val="1"/>
                <c:pt idx="0">
                  <c:v>#N/A</c:v>
                </c:pt>
              </c:numCache>
            </c:numRef>
          </c:xVal>
          <c:yVal>
            <c:numRef>
              <c:f>'Children in Need'!$AQ$65</c:f>
              <c:numCache>
                <c:formatCode>0.0</c:formatCode>
                <c:ptCount val="1"/>
                <c:pt idx="0">
                  <c:v>#N/A</c:v>
                </c:pt>
              </c:numCache>
            </c:numRef>
          </c:yVal>
          <c:smooth val="0"/>
          <c:extLst>
            <c:ext xmlns:c16="http://schemas.microsoft.com/office/drawing/2014/chart" uri="{C3380CC4-5D6E-409C-BE32-E72D297353CC}">
              <c16:uniqueId val="{00000019-1711-4A2B-AA94-EB50FB6C94C1}"/>
            </c:ext>
          </c:extLst>
        </c:ser>
        <c:ser>
          <c:idx val="4"/>
          <c:order val="3"/>
          <c:tx>
            <c:strRef>
              <c:f>'Children in Need'!$B$32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'Children in Need'!$S$32</c:f>
              <c:numCache>
                <c:formatCode>0.0</c:formatCode>
                <c:ptCount val="1"/>
                <c:pt idx="0">
                  <c:v>12.371268250968637</c:v>
                </c:pt>
              </c:numCache>
            </c:numRef>
          </c:xVal>
          <c:yVal>
            <c:numRef>
              <c:f>'Children in Need'!$O$32</c:f>
              <c:numCache>
                <c:formatCode>0.0</c:formatCode>
                <c:ptCount val="1"/>
                <c:pt idx="0">
                  <c:v>304.4383505992281</c:v>
                </c:pt>
              </c:numCache>
            </c:numRef>
          </c:yVal>
          <c:smooth val="0"/>
          <c:extLst>
            <c:ext xmlns:c16="http://schemas.microsoft.com/office/drawing/2014/chart" uri="{C3380CC4-5D6E-409C-BE32-E72D297353CC}">
              <c16:uniqueId val="{0000001A-1711-4A2B-AA94-EB50FB6C94C1}"/>
            </c:ext>
          </c:extLst>
        </c:ser>
        <c:ser>
          <c:idx val="2"/>
          <c:order val="4"/>
          <c:tx>
            <c:strRef>
              <c:f>'Children in Need'!$Y$43</c:f>
              <c:strCache>
                <c:ptCount val="1"/>
                <c:pt idx="0">
                  <c:v>National Trend 2020</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1711-4A2B-AA94-EB50FB6C94C1}"/>
                </c:ext>
              </c:extLst>
            </c:dLbl>
            <c:dLbl>
              <c:idx val="1"/>
              <c:layout>
                <c:manualLayout>
                  <c:x val="-6.1403508771929717E-2"/>
                  <c:y val="-3.3182503770739065E-2"/>
                </c:manualLayout>
              </c:layout>
              <c:tx>
                <c:strRef>
                  <c:f>'Children in Need'!$AD$43</c:f>
                  <c:strCache>
                    <c:ptCount val="1"/>
                    <c:pt idx="0">
                      <c:v>r² = 0.29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{6D0C9D61-6B45-43E9-9328-A32560CA7550}</c15:txfldGUID>
                      <c15:f>'Children in Need'!$AD$43</c15:f>
                      <c15:dlblFieldTableCache>
                        <c:ptCount val="1"/>
                        <c:pt idx="0">
                          <c:v>r² = 0.29</c:v>
                        </c:pt>
                      </c15:dlblFieldTableCache>
                    </c15:dlblFTEntry>
                  </c15:dlblFieldTable>
                  <c15:showDataLabelsRange val="0"/>
                </c:ext>
                <c:ext xmlns:c16="http://schemas.microsoft.com/office/drawing/2014/chart" uri="{C3380CC4-5D6E-409C-BE32-E72D297353CC}">
                  <c16:uniqueId val="{0000001C-1711-4A2B-AA94-EB50FB6C94C1}"/>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'Children in Need'!$AB$43:$AB$44</c:f>
              <c:numCache>
                <c:formatCode>General</c:formatCode>
                <c:ptCount val="2"/>
                <c:pt idx="0" formatCode="#,##0.0">
                  <c:v>5</c:v>
                </c:pt>
                <c:pt idx="1">
                  <c:v>35</c:v>
                </c:pt>
              </c:numCache>
            </c:numRef>
          </c:xVal>
          <c:yVal>
            <c:numRef>
              <c:f>'Children in Need'!$AC$43:$AC$44</c:f>
              <c:numCache>
                <c:formatCode>0.0</c:formatCode>
                <c:ptCount val="2"/>
                <c:pt idx="0">
                  <c:v>223.15456118350784</c:v>
                </c:pt>
                <c:pt idx="1">
                  <c:v>535.42084341246073</c:v>
                </c:pt>
              </c:numCache>
            </c:numRef>
          </c:yVal>
          <c:smooth val="0"/>
          <c:extLst>
            <c:ext xmlns:c16="http://schemas.microsoft.com/office/drawing/2014/chart" uri="{C3380CC4-5D6E-409C-BE32-E72D297353CC}">
              <c16:uniqueId val="{0000001D-1711-4A2B-AA94-EB50FB6C94C1}"/>
            </c:ext>
          </c:extLst>
        </c:ser>
        <c:ser>
          <c:idx val="5"/>
          <c:order val="5"/>
          <c:tx>
            <c:strRef>
              <c:f>'Children in Need'!$Y$41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1711-4A2B-AA94-EB50FB6C94C1}"/>
                </c:ext>
              </c:extLst>
            </c:dLbl>
            <c:dLbl>
              <c:idx val="1"/>
              <c:layout>
                <c:manualLayout>
                  <c:x val="-4.3859649122806911E-2"/>
                  <c:y val="5.128205128205128E-2"/>
                </c:manualLayout>
              </c:layout>
              <c:tx>
                <c:strRef>
                  <c:f>'Children in Need'!$AD$42</c:f>
                  <c:strCache>
                    <c:ptCount val="1"/>
                    <c:pt idx="0">
                      <c:v>r² = 0.691</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{2EA408F5-E4FA-4E32-AA79-1EBB03AF6CD1}</c15:txfldGUID>
                      <c15:f>'Children in Need'!$AD$42</c15:f>
                      <c15:dlblFieldTableCache>
                        <c:ptCount val="1"/>
                        <c:pt idx="0">
                          <c:v>r² = 0.691</c:v>
                        </c:pt>
                      </c15:dlblFieldTableCache>
                    </c15:dlblFTEntry>
                  </c15:dlblFieldTable>
                  <c15:showDataLabelsRange val="0"/>
                </c:ext>
                <c:ext xmlns:c16="http://schemas.microsoft.com/office/drawing/2014/chart" uri="{C3380CC4-5D6E-409C-BE32-E72D297353CC}">
                  <c16:uniqueId val="{0000001F-1711-4A2B-AA94-EB50FB6C94C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'Children in Need'!$AB$41:$AB$42</c:f>
              <c:numCache>
                <c:formatCode>General</c:formatCode>
                <c:ptCount val="2"/>
                <c:pt idx="0" formatCode="#,##0.0">
                  <c:v>5</c:v>
                </c:pt>
                <c:pt idx="1">
                  <c:v>35</c:v>
                </c:pt>
              </c:numCache>
            </c:numRef>
          </c:xVal>
          <c:yVal>
            <c:numRef>
              <c:f>'Children in Need'!$AC$41:$AC$42</c:f>
              <c:numCache>
                <c:formatCode>0.0</c:formatCode>
                <c:ptCount val="2"/>
                <c:pt idx="0">
                  <c:v>231.10716165396747</c:v>
                </c:pt>
                <c:pt idx="1">
                  <c:v>594.94613790896778</c:v>
                </c:pt>
              </c:numCache>
            </c:numRef>
          </c:yVal>
          <c:smooth val="0"/>
          <c:extLst>
            <c:ext xmlns:c16="http://schemas.microsoft.com/office/drawing/2014/chart" uri="{C3380CC4-5D6E-409C-BE32-E72D297353CC}">
              <c16:uniqueId val="{00000020-1711-4A2B-AA94-EB50FB6C94C1}"/>
            </c:ext>
          </c:extLst>
        </c:ser>
        <c:dLbls>
          <c:showLegendKey val="0"/>
          <c:showVal val="0"/>
          <c:showCatName val="0"/>
          <c:showSerName val="0"/>
          <c:showPercent val="0"/>
          <c:showBubbleSize val="0"/>
        </c:dLbls>
        <c:axId val="563121152"/>
        <c:axId val="562983296"/>
      </c:scatterChart>
      <c:valAx>
        <c:axId val="563121152"/>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983296"/>
        <c:crosses val="autoZero"/>
        <c:crossBetween val="midCat"/>
        <c:majorUnit val="5"/>
      </c:valAx>
      <c:valAx>
        <c:axId val="56298329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in Need per 10,000 0-17 year olds</a:t>
                </a:r>
              </a:p>
            </c:rich>
          </c:tx>
          <c:layout>
            <c:manualLayout>
              <c:xMode val="edge"/>
              <c:yMode val="edge"/>
              <c:x val="5.1877989550371623E-2"/>
              <c:y val="0.17325366340125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12115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per 10,000 0-17 year olds</a:t>
            </a:r>
          </a:p>
        </c:rich>
      </c:tx>
      <c:layout>
        <c:manualLayout>
          <c:xMode val="edge"/>
          <c:yMode val="edge"/>
          <c:x val="0.18296784776902889"/>
          <c:y val="1.8762032786045945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313872900079858"/>
        </c:manualLayout>
      </c:layout>
      <c:lineChart>
        <c:grouping val="standard"/>
        <c:varyColors val="0"/>
        <c:ser>
          <c:idx val="0"/>
          <c:order val="0"/>
          <c:tx>
            <c:strRef>
              <c:f>'Section 47 Enquiries'!$AL$41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55FF-4596-B567-8BEB7429C37C}"/>
              </c:ext>
            </c:extLst>
          </c:dPt>
          <c:cat>
            <c:strRef>
              <c:f>'Section 47 Enquiries'!$Z$2:$AD$3</c:f>
              <c:strCache>
                <c:ptCount val="5"/>
                <c:pt idx="0">
                  <c:v>2015-16</c:v>
                </c:pt>
                <c:pt idx="1">
                  <c:v>2016-17</c:v>
                </c:pt>
                <c:pt idx="2">
                  <c:v>2017-18</c:v>
                </c:pt>
                <c:pt idx="3">
                  <c:v>2018-19</c:v>
                </c:pt>
                <c:pt idx="4">
                  <c:v>2019-20</c:v>
                </c:pt>
              </c:strCache>
            </c:strRef>
          </c:cat>
          <c:val>
            <c:numRef>
              <c:f>'Section 47 Enquiries'!$AM$41:$AQ$41</c:f>
              <c:numCache>
                <c:formatCode>0.0</c:formatCode>
                <c:ptCount val="5"/>
                <c:pt idx="0">
                  <c:v>139.71631205673759</c:v>
                </c:pt>
                <c:pt idx="1">
                  <c:v>198.58156028368796</c:v>
                </c:pt>
                <c:pt idx="2">
                  <c:v>224.91103202846975</c:v>
                </c:pt>
                <c:pt idx="3">
                  <c:v>248.0565371024735</c:v>
                </c:pt>
                <c:pt idx="4">
                  <c:v>288.02816901408448</c:v>
                </c:pt>
              </c:numCache>
            </c:numRef>
          </c:val>
          <c:smooth val="0"/>
          <c:extLst>
            <c:ext xmlns:c16="http://schemas.microsoft.com/office/drawing/2014/chart" uri="{C3380CC4-5D6E-409C-BE32-E72D297353CC}">
              <c16:uniqueId val="{00000001-55FF-4596-B567-8BEB7429C37C}"/>
            </c:ext>
          </c:extLst>
        </c:ser>
        <c:ser>
          <c:idx val="1"/>
          <c:order val="1"/>
          <c:tx>
            <c:strRef>
              <c:f>'Section 47 Enquiries'!$AL$42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Enquiries'!$AM$42:$AQ$42</c:f>
              <c:numCache>
                <c:formatCode>0.0</c:formatCode>
                <c:ptCount val="5"/>
                <c:pt idx="0">
                  <c:v>223.2421875</c:v>
                </c:pt>
                <c:pt idx="1">
                  <c:v>168.22612085769981</c:v>
                </c:pt>
                <c:pt idx="2">
                  <c:v>172.35294117647061</c:v>
                </c:pt>
                <c:pt idx="3">
                  <c:v>152.54901960784315</c:v>
                </c:pt>
                <c:pt idx="4">
                  <c:v>167.79324055666004</c:v>
                </c:pt>
              </c:numCache>
            </c:numRef>
          </c:val>
          <c:smooth val="0"/>
          <c:extLst>
            <c:ext xmlns:c16="http://schemas.microsoft.com/office/drawing/2014/chart" uri="{C3380CC4-5D6E-409C-BE32-E72D297353CC}">
              <c16:uniqueId val="{00000002-55FF-4596-B567-8BEB7429C37C}"/>
            </c:ext>
          </c:extLst>
        </c:ser>
        <c:ser>
          <c:idx val="2"/>
          <c:order val="2"/>
          <c:tx>
            <c:strRef>
              <c:f>'Section 47 Enquiries'!$AL$43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Enquiries'!$AM$43:$AQ$43</c:f>
              <c:numCache>
                <c:formatCode>0.0</c:formatCode>
                <c:ptCount val="5"/>
                <c:pt idx="0">
                  <c:v>159.53565505804312</c:v>
                </c:pt>
                <c:pt idx="1">
                  <c:v>210.80196399345337</c:v>
                </c:pt>
                <c:pt idx="2">
                  <c:v>200.81234768480911</c:v>
                </c:pt>
                <c:pt idx="3">
                  <c:v>174.89943684633951</c:v>
                </c:pt>
                <c:pt idx="4">
                  <c:v>192.04455051710423</c:v>
                </c:pt>
              </c:numCache>
            </c:numRef>
          </c:val>
          <c:smooth val="0"/>
          <c:extLst>
            <c:ext xmlns:c16="http://schemas.microsoft.com/office/drawing/2014/chart" uri="{C3380CC4-5D6E-409C-BE32-E72D297353CC}">
              <c16:uniqueId val="{00000003-55FF-4596-B567-8BEB7429C37C}"/>
            </c:ext>
          </c:extLst>
        </c:ser>
        <c:ser>
          <c:idx val="5"/>
          <c:order val="3"/>
          <c:tx>
            <c:strRef>
              <c:f>'Section 47 Enquiries'!$AL$44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Enquiries'!$AM$44:$AQ$44</c:f>
              <c:numCache>
                <c:formatCode>0.0</c:formatCode>
                <c:ptCount val="5"/>
                <c:pt idx="0">
                  <c:v>81.964117091595838</c:v>
                </c:pt>
                <c:pt idx="1">
                  <c:v>106.42115203021719</c:v>
                </c:pt>
                <c:pt idx="2">
                  <c:v>125.84905660377359</c:v>
                </c:pt>
                <c:pt idx="3">
                  <c:v>124.90601503759399</c:v>
                </c:pt>
                <c:pt idx="4">
                  <c:v>125.21166509877705</c:v>
                </c:pt>
              </c:numCache>
            </c:numRef>
          </c:val>
          <c:smooth val="0"/>
          <c:extLst>
            <c:ext xmlns:c16="http://schemas.microsoft.com/office/drawing/2014/chart" uri="{C3380CC4-5D6E-409C-BE32-E72D297353CC}">
              <c16:uniqueId val="{00000004-55FF-4596-B567-8BEB7429C37C}"/>
            </c:ext>
          </c:extLst>
        </c:ser>
        <c:ser>
          <c:idx val="9"/>
          <c:order val="4"/>
          <c:tx>
            <c:strRef>
              <c:f>'Section 47 Enquiries'!$AL$45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Enquiries'!$AM$45:$AQ$45</c:f>
              <c:numCache>
                <c:formatCode>0.0</c:formatCode>
                <c:ptCount val="5"/>
                <c:pt idx="0">
                  <c:v>148.35047889322453</c:v>
                </c:pt>
                <c:pt idx="1">
                  <c:v>148.90381895332391</c:v>
                </c:pt>
                <c:pt idx="2">
                  <c:v>135.68655135898342</c:v>
                </c:pt>
                <c:pt idx="3">
                  <c:v>152.00704225352112</c:v>
                </c:pt>
                <c:pt idx="4">
                  <c:v>177.10165318325713</c:v>
                </c:pt>
              </c:numCache>
            </c:numRef>
          </c:val>
          <c:smooth val="0"/>
          <c:extLst>
            <c:ext xmlns:c16="http://schemas.microsoft.com/office/drawing/2014/chart" uri="{C3380CC4-5D6E-409C-BE32-E72D297353CC}">
              <c16:uniqueId val="{00000005-55FF-4596-B567-8BEB7429C37C}"/>
            </c:ext>
          </c:extLst>
        </c:ser>
        <c:ser>
          <c:idx val="10"/>
          <c:order val="5"/>
          <c:tx>
            <c:strRef>
              <c:f>'Section 47 Enquiries'!$AL$46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Enquiries'!$AM$46:$AQ$46</c:f>
              <c:numCache>
                <c:formatCode>0.0</c:formatCode>
                <c:ptCount val="5"/>
                <c:pt idx="0">
                  <c:v>267.19367588932806</c:v>
                </c:pt>
                <c:pt idx="1">
                  <c:v>217.85714285714286</c:v>
                </c:pt>
                <c:pt idx="2">
                  <c:v>221.91235059760956</c:v>
                </c:pt>
                <c:pt idx="3">
                  <c:v>201.20481927710844</c:v>
                </c:pt>
                <c:pt idx="4">
                  <c:v>259.51417004048579</c:v>
                </c:pt>
              </c:numCache>
            </c:numRef>
          </c:val>
          <c:smooth val="0"/>
          <c:extLst>
            <c:ext xmlns:c16="http://schemas.microsoft.com/office/drawing/2014/chart" uri="{C3380CC4-5D6E-409C-BE32-E72D297353CC}">
              <c16:uniqueId val="{00000006-55FF-4596-B567-8BEB7429C37C}"/>
            </c:ext>
          </c:extLst>
        </c:ser>
        <c:ser>
          <c:idx val="11"/>
          <c:order val="6"/>
          <c:tx>
            <c:strRef>
              <c:f>'Section 47 Enquiries'!$AL$47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Enquiries'!$AM$47:$AQ$47</c:f>
              <c:numCache>
                <c:formatCode>0.0</c:formatCode>
                <c:ptCount val="5"/>
                <c:pt idx="0">
                  <c:v>144.06779661016949</c:v>
                </c:pt>
                <c:pt idx="1">
                  <c:v>146.93693693693695</c:v>
                </c:pt>
                <c:pt idx="2">
                  <c:v>186.22433799464446</c:v>
                </c:pt>
                <c:pt idx="3">
                  <c:v>176.85974713319612</c:v>
                </c:pt>
                <c:pt idx="4">
                  <c:v>192.37929028504945</c:v>
                </c:pt>
              </c:numCache>
            </c:numRef>
          </c:val>
          <c:smooth val="0"/>
          <c:extLst>
            <c:ext xmlns:c16="http://schemas.microsoft.com/office/drawing/2014/chart" uri="{C3380CC4-5D6E-409C-BE32-E72D297353CC}">
              <c16:uniqueId val="{00000007-55FF-4596-B567-8BEB7429C37C}"/>
            </c:ext>
          </c:extLst>
        </c:ser>
        <c:ser>
          <c:idx val="12"/>
          <c:order val="7"/>
          <c:tx>
            <c:strRef>
              <c:f>'Section 47 Enquiries'!$AL$48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Enquiries'!$AM$48:$AQ$48</c:f>
              <c:numCache>
                <c:formatCode>0.0</c:formatCode>
                <c:ptCount val="5"/>
                <c:pt idx="0">
                  <c:v>258.06962025316454</c:v>
                </c:pt>
                <c:pt idx="1">
                  <c:v>168.2888540031397</c:v>
                </c:pt>
                <c:pt idx="2">
                  <c:v>184.82003129890452</c:v>
                </c:pt>
                <c:pt idx="3">
                  <c:v>234.31677018633542</c:v>
                </c:pt>
                <c:pt idx="4">
                  <c:v>272.76923076923077</c:v>
                </c:pt>
              </c:numCache>
            </c:numRef>
          </c:val>
          <c:smooth val="0"/>
          <c:extLst>
            <c:ext xmlns:c16="http://schemas.microsoft.com/office/drawing/2014/chart" uri="{C3380CC4-5D6E-409C-BE32-E72D297353CC}">
              <c16:uniqueId val="{00000008-55FF-4596-B567-8BEB7429C37C}"/>
            </c:ext>
          </c:extLst>
        </c:ser>
        <c:ser>
          <c:idx val="13"/>
          <c:order val="8"/>
          <c:tx>
            <c:strRef>
              <c:f>'Section 47 Enquiries'!$AL$49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Enquiries'!$AM$49:$AQ$49</c:f>
              <c:numCache>
                <c:formatCode>0.0</c:formatCode>
                <c:ptCount val="5"/>
                <c:pt idx="0">
                  <c:v>86.081694402420567</c:v>
                </c:pt>
                <c:pt idx="1">
                  <c:v>115.64828614008943</c:v>
                </c:pt>
                <c:pt idx="2">
                  <c:v>82.544378698224847</c:v>
                </c:pt>
                <c:pt idx="3">
                  <c:v>88.286969253294288</c:v>
                </c:pt>
                <c:pt idx="4">
                  <c:v>118.75</c:v>
                </c:pt>
              </c:numCache>
            </c:numRef>
          </c:val>
          <c:smooth val="0"/>
          <c:extLst>
            <c:ext xmlns:c16="http://schemas.microsoft.com/office/drawing/2014/chart" uri="{C3380CC4-5D6E-409C-BE32-E72D297353CC}">
              <c16:uniqueId val="{00000009-55FF-4596-B567-8BEB7429C37C}"/>
            </c:ext>
          </c:extLst>
        </c:ser>
        <c:ser>
          <c:idx val="15"/>
          <c:order val="9"/>
          <c:tx>
            <c:strRef>
              <c:f>'Section 47 Enquiries'!$AL$50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Enquiries'!$AM$50:$AQ$50</c:f>
              <c:numCache>
                <c:formatCode>0.0</c:formatCode>
                <c:ptCount val="5"/>
                <c:pt idx="0">
                  <c:v>131.45275035260931</c:v>
                </c:pt>
                <c:pt idx="1">
                  <c:v>134.77956613016096</c:v>
                </c:pt>
                <c:pt idx="2">
                  <c:v>125.87168758716875</c:v>
                </c:pt>
                <c:pt idx="3">
                  <c:v>129.35082872928177</c:v>
                </c:pt>
                <c:pt idx="4">
                  <c:v>130.39014373716631</c:v>
                </c:pt>
              </c:numCache>
            </c:numRef>
          </c:val>
          <c:smooth val="0"/>
          <c:extLst>
            <c:ext xmlns:c16="http://schemas.microsoft.com/office/drawing/2014/chart" uri="{C3380CC4-5D6E-409C-BE32-E72D297353CC}">
              <c16:uniqueId val="{0000000A-55FF-4596-B567-8BEB7429C37C}"/>
            </c:ext>
          </c:extLst>
        </c:ser>
        <c:ser>
          <c:idx val="16"/>
          <c:order val="10"/>
          <c:tx>
            <c:strRef>
              <c:f>'Section 47 Enquiries'!$AL$51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Enquiries'!$AM$51:$AQ$51</c:f>
              <c:numCache>
                <c:formatCode>0.0</c:formatCode>
                <c:ptCount val="5"/>
                <c:pt idx="0">
                  <c:v>262.10045662100458</c:v>
                </c:pt>
                <c:pt idx="1">
                  <c:v>281.81818181818181</c:v>
                </c:pt>
                <c:pt idx="2">
                  <c:v>231.90045248868779</c:v>
                </c:pt>
                <c:pt idx="3">
                  <c:v>298.40909090909093</c:v>
                </c:pt>
                <c:pt idx="4">
                  <c:v>295.4337899543379</c:v>
                </c:pt>
              </c:numCache>
            </c:numRef>
          </c:val>
          <c:smooth val="0"/>
          <c:extLst>
            <c:ext xmlns:c16="http://schemas.microsoft.com/office/drawing/2014/chart" uri="{C3380CC4-5D6E-409C-BE32-E72D297353CC}">
              <c16:uniqueId val="{0000000B-55FF-4596-B567-8BEB7429C37C}"/>
            </c:ext>
          </c:extLst>
        </c:ser>
        <c:ser>
          <c:idx val="17"/>
          <c:order val="11"/>
          <c:tx>
            <c:strRef>
              <c:f>'Section 47 Enquiries'!$AL$52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Enquiries'!$AM$52:$AQ$52</c:f>
              <c:numCache>
                <c:formatCode>0.0</c:formatCode>
                <c:ptCount val="5"/>
                <c:pt idx="0">
                  <c:v>267.30769230769232</c:v>
                </c:pt>
                <c:pt idx="1">
                  <c:v>297.8142076502732</c:v>
                </c:pt>
                <c:pt idx="2">
                  <c:v>226.41509433962261</c:v>
                </c:pt>
                <c:pt idx="3">
                  <c:v>277.89757412398922</c:v>
                </c:pt>
                <c:pt idx="4">
                  <c:v>233.7837837837838</c:v>
                </c:pt>
              </c:numCache>
            </c:numRef>
          </c:val>
          <c:smooth val="0"/>
          <c:extLst>
            <c:ext xmlns:c16="http://schemas.microsoft.com/office/drawing/2014/chart" uri="{C3380CC4-5D6E-409C-BE32-E72D297353CC}">
              <c16:uniqueId val="{0000000C-55FF-4596-B567-8BEB7429C37C}"/>
            </c:ext>
          </c:extLst>
        </c:ser>
        <c:ser>
          <c:idx val="19"/>
          <c:order val="12"/>
          <c:tx>
            <c:strRef>
              <c:f>'Section 47 Enquiries'!$AL$53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Enquiries'!$AM$53:$AQ$53</c:f>
              <c:numCache>
                <c:formatCode>0.0</c:formatCode>
                <c:ptCount val="5"/>
                <c:pt idx="0">
                  <c:v>221.67487684729065</c:v>
                </c:pt>
                <c:pt idx="1">
                  <c:v>211.59420289855072</c:v>
                </c:pt>
                <c:pt idx="2">
                  <c:v>167.77251184834122</c:v>
                </c:pt>
                <c:pt idx="3">
                  <c:v>249.18032786885249</c:v>
                </c:pt>
                <c:pt idx="4">
                  <c:v>300.46403712296984</c:v>
                </c:pt>
              </c:numCache>
            </c:numRef>
          </c:val>
          <c:smooth val="0"/>
          <c:extLst>
            <c:ext xmlns:c16="http://schemas.microsoft.com/office/drawing/2014/chart" uri="{C3380CC4-5D6E-409C-BE32-E72D297353CC}">
              <c16:uniqueId val="{0000000D-55FF-4596-B567-8BEB7429C37C}"/>
            </c:ext>
          </c:extLst>
        </c:ser>
        <c:ser>
          <c:idx val="3"/>
          <c:order val="13"/>
          <c:tx>
            <c:strRef>
              <c:f>'Section 47 Enquiries'!$AL$54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Enquiries'!$AM$54:$AQ$54</c:f>
              <c:numCache>
                <c:formatCode>0.0</c:formatCode>
                <c:ptCount val="5"/>
                <c:pt idx="0">
                  <c:v>118.77289377289378</c:v>
                </c:pt>
                <c:pt idx="1">
                  <c:v>143.75569735642662</c:v>
                </c:pt>
                <c:pt idx="2">
                  <c:v>138.87375113533153</c:v>
                </c:pt>
                <c:pt idx="3">
                  <c:v>110.29810298102981</c:v>
                </c:pt>
                <c:pt idx="4">
                  <c:v>83.003597122302153</c:v>
                </c:pt>
              </c:numCache>
            </c:numRef>
          </c:val>
          <c:smooth val="0"/>
          <c:extLst>
            <c:ext xmlns:c16="http://schemas.microsoft.com/office/drawing/2014/chart" uri="{C3380CC4-5D6E-409C-BE32-E72D297353CC}">
              <c16:uniqueId val="{0000000E-55FF-4596-B567-8BEB7429C37C}"/>
            </c:ext>
          </c:extLst>
        </c:ser>
        <c:ser>
          <c:idx val="20"/>
          <c:order val="14"/>
          <c:tx>
            <c:strRef>
              <c:f>'Section 47 Enquiries'!$AL$55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Enquiries'!$AM$55:$AQ$55</c:f>
              <c:numCache>
                <c:formatCode>0.0</c:formatCode>
                <c:ptCount val="5"/>
                <c:pt idx="0">
                  <c:v>383.73983739837399</c:v>
                </c:pt>
                <c:pt idx="1">
                  <c:v>270.9418837675351</c:v>
                </c:pt>
                <c:pt idx="2">
                  <c:v>336.38170974155071</c:v>
                </c:pt>
                <c:pt idx="3">
                  <c:v>337.20472440944877</c:v>
                </c:pt>
                <c:pt idx="4">
                  <c:v>412.47563352826512</c:v>
                </c:pt>
              </c:numCache>
            </c:numRef>
          </c:val>
          <c:smooth val="0"/>
          <c:extLst>
            <c:ext xmlns:c16="http://schemas.microsoft.com/office/drawing/2014/chart" uri="{C3380CC4-5D6E-409C-BE32-E72D297353CC}">
              <c16:uniqueId val="{0000000F-55FF-4596-B567-8BEB7429C37C}"/>
            </c:ext>
          </c:extLst>
        </c:ser>
        <c:ser>
          <c:idx val="22"/>
          <c:order val="15"/>
          <c:tx>
            <c:strRef>
              <c:f>'Section 47 Enquiries'!$AL$56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Enquiries'!$AM$56:$AQ$56</c:f>
              <c:numCache>
                <c:formatCode>0.0</c:formatCode>
                <c:ptCount val="5"/>
                <c:pt idx="0">
                  <c:v>175.07800312012478</c:v>
                </c:pt>
                <c:pt idx="1">
                  <c:v>164.78764478764478</c:v>
                </c:pt>
                <c:pt idx="2">
                  <c:v>160.00768344218207</c:v>
                </c:pt>
                <c:pt idx="3">
                  <c:v>158.03741886216113</c:v>
                </c:pt>
                <c:pt idx="4">
                  <c:v>100.75815011372252</c:v>
                </c:pt>
              </c:numCache>
            </c:numRef>
          </c:val>
          <c:smooth val="0"/>
          <c:extLst>
            <c:ext xmlns:c16="http://schemas.microsoft.com/office/drawing/2014/chart" uri="{C3380CC4-5D6E-409C-BE32-E72D297353CC}">
              <c16:uniqueId val="{00000010-55FF-4596-B567-8BEB7429C37C}"/>
            </c:ext>
          </c:extLst>
        </c:ser>
        <c:ser>
          <c:idx val="7"/>
          <c:order val="16"/>
          <c:tx>
            <c:strRef>
              <c:f>'Section 47 Enquiries'!$AL$57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'Section 47 Enquiries'!$Z$2:$AD$3</c:f>
              <c:strCache>
                <c:ptCount val="5"/>
                <c:pt idx="0">
                  <c:v>2015-16</c:v>
                </c:pt>
                <c:pt idx="1">
                  <c:v>2016-17</c:v>
                </c:pt>
                <c:pt idx="2">
                  <c:v>2017-18</c:v>
                </c:pt>
                <c:pt idx="3">
                  <c:v>2018-19</c:v>
                </c:pt>
                <c:pt idx="4">
                  <c:v>2019-20</c:v>
                </c:pt>
              </c:strCache>
            </c:strRef>
          </c:cat>
          <c:val>
            <c:numRef>
              <c:f>'Section 47 Enquiries'!$AM$57:$AQ$57</c:f>
              <c:numCache>
                <c:formatCode>0.0</c:formatCode>
                <c:ptCount val="5"/>
                <c:pt idx="0">
                  <c:v>156.32653061224491</c:v>
                </c:pt>
                <c:pt idx="1">
                  <c:v>185.45454545454547</c:v>
                </c:pt>
                <c:pt idx="2">
                  <c:v>203.20641282565131</c:v>
                </c:pt>
                <c:pt idx="3">
                  <c:v>210.75697211155378</c:v>
                </c:pt>
                <c:pt idx="4">
                  <c:v>207.93650793650795</c:v>
                </c:pt>
              </c:numCache>
            </c:numRef>
          </c:val>
          <c:smooth val="0"/>
          <c:extLst>
            <c:ext xmlns:c16="http://schemas.microsoft.com/office/drawing/2014/chart" uri="{C3380CC4-5D6E-409C-BE32-E72D297353CC}">
              <c16:uniqueId val="{00000011-55FF-4596-B567-8BEB7429C37C}"/>
            </c:ext>
          </c:extLst>
        </c:ser>
        <c:ser>
          <c:idx val="8"/>
          <c:order val="17"/>
          <c:tx>
            <c:strRef>
              <c:f>'Section 47 Enquiries'!$AL$58</c:f>
              <c:strCache>
                <c:ptCount val="1"/>
                <c:pt idx="0">
                  <c:v>Torbay</c:v>
                </c:pt>
              </c:strCache>
            </c:strRef>
          </c:tx>
          <c:spPr>
            <a:ln w="12700"/>
          </c:spPr>
          <c:marker>
            <c:symbol val="circle"/>
            <c:size val="5"/>
            <c:spPr>
              <a:solidFill>
                <a:schemeClr val="accent3">
                  <a:lumMod val="20000"/>
                  <a:lumOff val="80000"/>
                </a:schemeClr>
              </a:solidFill>
            </c:spPr>
          </c:marker>
          <c:cat>
            <c:strRef>
              <c:f>'Section 47 Enquiries'!$Z$2:$AD$3</c:f>
              <c:strCache>
                <c:ptCount val="5"/>
                <c:pt idx="0">
                  <c:v>2015-16</c:v>
                </c:pt>
                <c:pt idx="1">
                  <c:v>2016-17</c:v>
                </c:pt>
                <c:pt idx="2">
                  <c:v>2017-18</c:v>
                </c:pt>
                <c:pt idx="3">
                  <c:v>2018-19</c:v>
                </c:pt>
                <c:pt idx="4">
                  <c:v>2019-20</c:v>
                </c:pt>
              </c:strCache>
            </c:strRef>
          </c:cat>
          <c:val>
            <c:numRef>
              <c:f>'Section 47 Enquiries'!$AM$58:$AQ$58</c:f>
              <c:numCache>
                <c:formatCode>0.0</c:formatCode>
                <c:ptCount val="5"/>
                <c:pt idx="0">
                  <c:v>313.09523809523807</c:v>
                </c:pt>
                <c:pt idx="1">
                  <c:v>299.21259842519686</c:v>
                </c:pt>
                <c:pt idx="2">
                  <c:v>272.44094488188978</c:v>
                </c:pt>
                <c:pt idx="3">
                  <c:v>305.51181102362204</c:v>
                </c:pt>
                <c:pt idx="4">
                  <c:v>315.234375</c:v>
                </c:pt>
              </c:numCache>
            </c:numRef>
          </c:val>
          <c:smooth val="0"/>
          <c:extLst>
            <c:ext xmlns:c16="http://schemas.microsoft.com/office/drawing/2014/chart" uri="{C3380CC4-5D6E-409C-BE32-E72D297353CC}">
              <c16:uniqueId val="{00000012-55FF-4596-B567-8BEB7429C37C}"/>
            </c:ext>
          </c:extLst>
        </c:ser>
        <c:ser>
          <c:idx val="23"/>
          <c:order val="18"/>
          <c:tx>
            <c:strRef>
              <c:f>'Section 47 Enquiries'!$AL$59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Enquiries'!$AM$59:$AQ$59</c:f>
              <c:numCache>
                <c:formatCode>0.0</c:formatCode>
                <c:ptCount val="5"/>
                <c:pt idx="0">
                  <c:v>180.39215686274511</c:v>
                </c:pt>
                <c:pt idx="1">
                  <c:v>154.03899721448468</c:v>
                </c:pt>
                <c:pt idx="2">
                  <c:v>173.46368715083798</c:v>
                </c:pt>
                <c:pt idx="3">
                  <c:v>156.17977528089887</c:v>
                </c:pt>
                <c:pt idx="4">
                  <c:v>145.22471910112358</c:v>
                </c:pt>
              </c:numCache>
            </c:numRef>
          </c:val>
          <c:smooth val="0"/>
          <c:extLst>
            <c:ext xmlns:c16="http://schemas.microsoft.com/office/drawing/2014/chart" uri="{C3380CC4-5D6E-409C-BE32-E72D297353CC}">
              <c16:uniqueId val="{00000013-55FF-4596-B567-8BEB7429C37C}"/>
            </c:ext>
          </c:extLst>
        </c:ser>
        <c:ser>
          <c:idx val="24"/>
          <c:order val="19"/>
          <c:tx>
            <c:strRef>
              <c:f>'Section 47 Enquiries'!$AL$60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Enquiries'!$AM$60:$AQ$60</c:f>
              <c:numCache>
                <c:formatCode>0.0</c:formatCode>
                <c:ptCount val="5"/>
                <c:pt idx="0">
                  <c:v>105.92723004694835</c:v>
                </c:pt>
                <c:pt idx="1">
                  <c:v>126.25145518044236</c:v>
                </c:pt>
                <c:pt idx="2">
                  <c:v>173.28332371609926</c:v>
                </c:pt>
                <c:pt idx="3">
                  <c:v>165.65540927303948</c:v>
                </c:pt>
                <c:pt idx="4">
                  <c:v>174.90062464508802</c:v>
                </c:pt>
              </c:numCache>
            </c:numRef>
          </c:val>
          <c:smooth val="0"/>
          <c:extLst>
            <c:ext xmlns:c16="http://schemas.microsoft.com/office/drawing/2014/chart" uri="{C3380CC4-5D6E-409C-BE32-E72D297353CC}">
              <c16:uniqueId val="{00000014-55FF-4596-B567-8BEB7429C37C}"/>
            </c:ext>
          </c:extLst>
        </c:ser>
        <c:ser>
          <c:idx val="25"/>
          <c:order val="20"/>
          <c:tx>
            <c:strRef>
              <c:f>'Section 47 Enquiries'!$AL$61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Enquiries'!$AM$61:$AQ$61</c:f>
              <c:numCache>
                <c:formatCode>0.0</c:formatCode>
                <c:ptCount val="5"/>
                <c:pt idx="0">
                  <c:v>129.67359050445106</c:v>
                </c:pt>
                <c:pt idx="1">
                  <c:v>133.62573099415204</c:v>
                </c:pt>
                <c:pt idx="2">
                  <c:v>101.74418604651163</c:v>
                </c:pt>
                <c:pt idx="3">
                  <c:v>150.86705202312137</c:v>
                </c:pt>
                <c:pt idx="4">
                  <c:v>172.04610951008647</c:v>
                </c:pt>
              </c:numCache>
            </c:numRef>
          </c:val>
          <c:smooth val="0"/>
          <c:extLst>
            <c:ext xmlns:c16="http://schemas.microsoft.com/office/drawing/2014/chart" uri="{C3380CC4-5D6E-409C-BE32-E72D297353CC}">
              <c16:uniqueId val="{00000015-55FF-4596-B567-8BEB7429C37C}"/>
            </c:ext>
          </c:extLst>
        </c:ser>
        <c:ser>
          <c:idx val="26"/>
          <c:order val="21"/>
          <c:tx>
            <c:strRef>
              <c:f>'Section 47 Enquiries'!$AL$62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Enquiries'!$AM$62:$AQ$62</c:f>
              <c:numCache>
                <c:formatCode>0.0</c:formatCode>
                <c:ptCount val="5"/>
                <c:pt idx="0">
                  <c:v>92.761394101876675</c:v>
                </c:pt>
                <c:pt idx="1">
                  <c:v>69.21052631578948</c:v>
                </c:pt>
                <c:pt idx="2">
                  <c:v>121.70542635658914</c:v>
                </c:pt>
                <c:pt idx="3">
                  <c:v>165.82278481012659</c:v>
                </c:pt>
                <c:pt idx="4">
                  <c:v>160.8910891089109</c:v>
                </c:pt>
              </c:numCache>
            </c:numRef>
          </c:val>
          <c:smooth val="0"/>
          <c:extLst>
            <c:ext xmlns:c16="http://schemas.microsoft.com/office/drawing/2014/chart" uri="{C3380CC4-5D6E-409C-BE32-E72D297353CC}">
              <c16:uniqueId val="{00000016-55FF-4596-B567-8BEB7429C37C}"/>
            </c:ext>
          </c:extLst>
        </c:ser>
        <c:ser>
          <c:idx val="4"/>
          <c:order val="22"/>
          <c:tx>
            <c:strRef>
              <c:f>'Section 47 Enquiries'!$AL$63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'Section 47 Enquiries'!$Z$2:$AD$3</c:f>
              <c:strCache>
                <c:ptCount val="5"/>
                <c:pt idx="0">
                  <c:v>2015-16</c:v>
                </c:pt>
                <c:pt idx="1">
                  <c:v>2016-17</c:v>
                </c:pt>
                <c:pt idx="2">
                  <c:v>2017-18</c:v>
                </c:pt>
                <c:pt idx="3">
                  <c:v>2018-19</c:v>
                </c:pt>
                <c:pt idx="4">
                  <c:v>2019-20</c:v>
                </c:pt>
              </c:strCache>
            </c:strRef>
          </c:cat>
          <c:val>
            <c:numRef>
              <c:f>'Section 47 Enquiries'!$AM$63:$AQ$63</c:f>
              <c:numCache>
                <c:formatCode>0.0</c:formatCode>
                <c:ptCount val="5"/>
                <c:pt idx="0">
                  <c:v>159.74141077107555</c:v>
                </c:pt>
                <c:pt idx="1">
                  <c:v>159.4330350214681</c:v>
                </c:pt>
                <c:pt idx="2">
                  <c:v>166.67524049591029</c:v>
                </c:pt>
                <c:pt idx="3">
                  <c:v>172.11607234086031</c:v>
                </c:pt>
                <c:pt idx="4">
                  <c:v>179.05748527320739</c:v>
                </c:pt>
              </c:numCache>
            </c:numRef>
          </c:val>
          <c:smooth val="0"/>
          <c:extLst>
            <c:ext xmlns:c16="http://schemas.microsoft.com/office/drawing/2014/chart" uri="{C3380CC4-5D6E-409C-BE32-E72D297353CC}">
              <c16:uniqueId val="{00000017-55FF-4596-B567-8BEB7429C37C}"/>
            </c:ext>
          </c:extLst>
        </c:ser>
        <c:ser>
          <c:idx val="14"/>
          <c:order val="23"/>
          <c:tx>
            <c:strRef>
              <c:f>'Section 47 Enquiries'!$AL$64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'Section 47 Enquiries'!$Z$2:$AD$3</c:f>
              <c:strCache>
                <c:ptCount val="5"/>
                <c:pt idx="0">
                  <c:v>2015-16</c:v>
                </c:pt>
                <c:pt idx="1">
                  <c:v>2016-17</c:v>
                </c:pt>
                <c:pt idx="2">
                  <c:v>2017-18</c:v>
                </c:pt>
                <c:pt idx="3">
                  <c:v>2018-19</c:v>
                </c:pt>
                <c:pt idx="4">
                  <c:v>2019-20</c:v>
                </c:pt>
              </c:strCache>
            </c:strRef>
          </c:cat>
          <c:val>
            <c:numRef>
              <c:f>'Section 47 Enquiries'!$AM$64:$AQ$64</c:f>
              <c:numCache>
                <c:formatCode>0.0</c:formatCode>
                <c:ptCount val="5"/>
                <c:pt idx="0">
                  <c:v>147.5350876441826</c:v>
                </c:pt>
                <c:pt idx="1">
                  <c:v>157.35704649011907</c:v>
                </c:pt>
                <c:pt idx="2">
                  <c:v>166.92508637397827</c:v>
                </c:pt>
                <c:pt idx="3">
                  <c:v>168.278319642648</c:v>
                </c:pt>
                <c:pt idx="4">
                  <c:v>167.17122991450148</c:v>
                </c:pt>
              </c:numCache>
            </c:numRef>
          </c:val>
          <c:smooth val="0"/>
          <c:extLst>
            <c:ext xmlns:c16="http://schemas.microsoft.com/office/drawing/2014/chart" uri="{C3380CC4-5D6E-409C-BE32-E72D297353CC}">
              <c16:uniqueId val="{00000018-55FF-4596-B567-8BEB7429C37C}"/>
            </c:ext>
          </c:extLst>
        </c:ser>
        <c:ser>
          <c:idx val="6"/>
          <c:order val="24"/>
          <c:tx>
            <c:strRef>
              <c:f>'Section 47 Enquiries'!$AL$65</c:f>
              <c:strCache>
                <c:ptCount val="1"/>
                <c:pt idx="0">
                  <c:v>Selected LA- (none)</c:v>
                </c:pt>
              </c:strCache>
            </c:strRef>
          </c:tx>
          <c:spPr>
            <a:ln w="28575">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'Section 47 Enquiries'!$Z$2:$AD$3</c:f>
              <c:strCache>
                <c:ptCount val="5"/>
                <c:pt idx="0">
                  <c:v>2015-16</c:v>
                </c:pt>
                <c:pt idx="1">
                  <c:v>2016-17</c:v>
                </c:pt>
                <c:pt idx="2">
                  <c:v>2017-18</c:v>
                </c:pt>
                <c:pt idx="3">
                  <c:v>2018-19</c:v>
                </c:pt>
                <c:pt idx="4">
                  <c:v>2019-20</c:v>
                </c:pt>
              </c:strCache>
            </c:strRef>
          </c:cat>
          <c:val>
            <c:numRef>
              <c:f>'Section 47 Enquiries'!$AM$65:$AQ$65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55FF-4596-B567-8BEB7429C37C}"/>
            </c:ext>
          </c:extLst>
        </c:ser>
        <c:dLbls>
          <c:showLegendKey val="0"/>
          <c:showVal val="0"/>
          <c:showCatName val="0"/>
          <c:showSerName val="0"/>
          <c:showPercent val="0"/>
          <c:showBubbleSize val="0"/>
        </c:dLbls>
        <c:marker val="1"/>
        <c:smooth val="0"/>
        <c:axId val="562733440"/>
        <c:axId val="562735360"/>
      </c:lineChart>
      <c:catAx>
        <c:axId val="562733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735360"/>
        <c:crosses val="autoZero"/>
        <c:auto val="1"/>
        <c:lblAlgn val="ctr"/>
        <c:lblOffset val="100"/>
        <c:tickLblSkip val="1"/>
        <c:tickMarkSkip val="1"/>
        <c:noMultiLvlLbl val="0"/>
      </c:catAx>
      <c:valAx>
        <c:axId val="56273536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73344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155578606566395"/>
        </c:manualLayout>
      </c:layout>
      <c:barChart>
        <c:barDir val="col"/>
        <c:grouping val="clustered"/>
        <c:varyColors val="0"/>
        <c:ser>
          <c:idx val="6"/>
          <c:order val="0"/>
          <c:tx>
            <c:strRef>
              <c:f>'Section 47 Enquiries'!$AA$4</c:f>
              <c:strCache>
                <c:ptCount val="1"/>
                <c:pt idx="0">
                  <c:v>Selected LA- (none)</c:v>
                </c:pt>
              </c:strCache>
            </c:strRef>
          </c:tx>
          <c:spPr>
            <a:solidFill>
              <a:srgbClr val="66FF99"/>
            </a:solidFill>
            <a:ln>
              <a:solidFill>
                <a:schemeClr val="tx1">
                  <a:lumMod val="75000"/>
                  <a:lumOff val="25000"/>
                </a:schemeClr>
              </a:solidFill>
            </a:ln>
          </c:spPr>
          <c:invertIfNegative val="0"/>
          <c:cat>
            <c:strRef>
              <c:f>'Section 47 Enquiries'!$Z$2:$AD$3</c:f>
              <c:strCache>
                <c:ptCount val="5"/>
                <c:pt idx="0">
                  <c:v>2015-16</c:v>
                </c:pt>
                <c:pt idx="1">
                  <c:v>2016-17</c:v>
                </c:pt>
                <c:pt idx="2">
                  <c:v>2017-18</c:v>
                </c:pt>
                <c:pt idx="3">
                  <c:v>2018-19</c:v>
                </c:pt>
                <c:pt idx="4">
                  <c:v>2019-20</c:v>
                </c:pt>
              </c:strCache>
            </c:strRef>
          </c:cat>
          <c:val>
            <c:numRef>
              <c:f>'Section 47 Enquiries'!$AM$65:$AQ$65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9BD5-4461-862B-AFB2F4D4D1BE}"/>
            </c:ext>
          </c:extLst>
        </c:ser>
        <c:ser>
          <c:idx val="4"/>
          <c:order val="1"/>
          <c:tx>
            <c:strRef>
              <c:f>'Section 47 Enquiries'!$B$32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'Section 47 Enquiries'!$Z$2:$AD$3</c:f>
              <c:strCache>
                <c:ptCount val="5"/>
                <c:pt idx="0">
                  <c:v>2015-16</c:v>
                </c:pt>
                <c:pt idx="1">
                  <c:v>2016-17</c:v>
                </c:pt>
                <c:pt idx="2">
                  <c:v>2017-18</c:v>
                </c:pt>
                <c:pt idx="3">
                  <c:v>2018-19</c:v>
                </c:pt>
                <c:pt idx="4">
                  <c:v>2019-20</c:v>
                </c:pt>
              </c:strCache>
            </c:strRef>
          </c:cat>
          <c:val>
            <c:numRef>
              <c:f>'Section 47 Enquiries'!$K$32:$O$32</c:f>
              <c:numCache>
                <c:formatCode>0.0</c:formatCode>
                <c:ptCount val="5"/>
                <c:pt idx="0">
                  <c:v>159.74141077107555</c:v>
                </c:pt>
                <c:pt idx="1">
                  <c:v>159.4330350214681</c:v>
                </c:pt>
                <c:pt idx="2">
                  <c:v>166.67524049591029</c:v>
                </c:pt>
                <c:pt idx="3">
                  <c:v>172.11607234086031</c:v>
                </c:pt>
                <c:pt idx="4">
                  <c:v>179.05748527320739</c:v>
                </c:pt>
              </c:numCache>
            </c:numRef>
          </c:val>
          <c:extLst>
            <c:ext xmlns:c16="http://schemas.microsoft.com/office/drawing/2014/chart" uri="{C3380CC4-5D6E-409C-BE32-E72D297353CC}">
              <c16:uniqueId val="{00000001-9BD5-4461-862B-AFB2F4D4D1BE}"/>
            </c:ext>
          </c:extLst>
        </c:ser>
        <c:ser>
          <c:idx val="0"/>
          <c:order val="2"/>
          <c:tx>
            <c:strRef>
              <c:f>'Section 47 Enquiries'!$B$33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'Section 47 Enquiries'!$Z$2:$AD$3</c:f>
              <c:strCache>
                <c:ptCount val="5"/>
                <c:pt idx="0">
                  <c:v>2015-16</c:v>
                </c:pt>
                <c:pt idx="1">
                  <c:v>2016-17</c:v>
                </c:pt>
                <c:pt idx="2">
                  <c:v>2017-18</c:v>
                </c:pt>
                <c:pt idx="3">
                  <c:v>2018-19</c:v>
                </c:pt>
                <c:pt idx="4">
                  <c:v>2019-20</c:v>
                </c:pt>
              </c:strCache>
            </c:strRef>
          </c:cat>
          <c:val>
            <c:numRef>
              <c:f>'Section 47 Enquiries'!$K$33:$O$33</c:f>
              <c:numCache>
                <c:formatCode>0.0</c:formatCode>
                <c:ptCount val="5"/>
                <c:pt idx="0">
                  <c:v>147.5350876441826</c:v>
                </c:pt>
                <c:pt idx="1">
                  <c:v>157.35704649011907</c:v>
                </c:pt>
                <c:pt idx="2">
                  <c:v>166.92508637397827</c:v>
                </c:pt>
                <c:pt idx="3">
                  <c:v>168.278319642648</c:v>
                </c:pt>
                <c:pt idx="4">
                  <c:v>167.17122991450148</c:v>
                </c:pt>
              </c:numCache>
            </c:numRef>
          </c:val>
          <c:extLst>
            <c:ext xmlns:c16="http://schemas.microsoft.com/office/drawing/2014/chart" uri="{C3380CC4-5D6E-409C-BE32-E72D297353CC}">
              <c16:uniqueId val="{00000002-9BD5-4461-862B-AFB2F4D4D1BE}"/>
            </c:ext>
          </c:extLst>
        </c:ser>
        <c:dLbls>
          <c:showLegendKey val="0"/>
          <c:showVal val="0"/>
          <c:showCatName val="0"/>
          <c:showSerName val="0"/>
          <c:showPercent val="0"/>
          <c:showBubbleSize val="0"/>
        </c:dLbls>
        <c:gapWidth val="100"/>
        <c:axId val="562512256"/>
        <c:axId val="562513792"/>
      </c:barChart>
      <c:catAx>
        <c:axId val="562512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513792"/>
        <c:crosses val="autoZero"/>
        <c:auto val="1"/>
        <c:lblAlgn val="ctr"/>
        <c:lblOffset val="100"/>
        <c:noMultiLvlLbl val="0"/>
      </c:catAx>
      <c:valAx>
        <c:axId val="56251379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51225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396498341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Section 47 Enquiries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'Section 47 Enquiries'!$S$7:$U$7</c:f>
              <c:strCache>
                <c:ptCount val="1"/>
                <c:pt idx="0">
                  <c:v>Distance from Expected 2020</c:v>
                </c:pt>
              </c:strCache>
            </c:strRef>
          </c:tx>
          <c:spPr>
            <a:solidFill>
              <a:srgbClr val="FB994F"/>
            </a:solidFill>
            <a:ln w="25400">
              <a:noFill/>
            </a:ln>
          </c:spPr>
          <c:invertIfNegative val="0"/>
          <c:cat>
            <c:strRef>
              <c:f>'Section 47 Enquiries'!$Y$77:$Y$100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Enquiries'!$U$10:$U$33</c:f>
              <c:numCache>
                <c:formatCode>0.0</c:formatCode>
                <c:ptCount val="24"/>
                <c:pt idx="0">
                  <c:v>169.59572785842522</c:v>
                </c:pt>
                <c:pt idx="1">
                  <c:v>1.7273683468197873</c:v>
                </c:pt>
                <c:pt idx="2">
                  <c:v>76.589198802331282</c:v>
                </c:pt>
                <c:pt idx="3">
                  <c:v>-46.808385992835838</c:v>
                </c:pt>
                <c:pt idx="4">
                  <c:v>49.737943704938928</c:v>
                </c:pt>
                <c:pt idx="5">
                  <c:v>73.352944104662924</c:v>
                </c:pt>
                <c:pt idx="6">
                  <c:v>22.592056274101282</c:v>
                </c:pt>
                <c:pt idx="7">
                  <c:v>79.909553591413726</c:v>
                </c:pt>
                <c:pt idx="8">
                  <c:v>-45.083055129175534</c:v>
                </c:pt>
                <c:pt idx="9">
                  <c:v>3.0264342588481128</c:v>
                </c:pt>
                <c:pt idx="10">
                  <c:v>92.898572093640297</c:v>
                </c:pt>
                <c:pt idx="11">
                  <c:v>62.508005052392491</c:v>
                </c:pt>
                <c:pt idx="12">
                  <c:v>138.86379907445905</c:v>
                </c:pt>
                <c:pt idx="13">
                  <c:v>-70.409644963771285</c:v>
                </c:pt>
                <c:pt idx="14">
                  <c:v>207.7075985869028</c:v>
                </c:pt>
                <c:pt idx="15">
                  <c:v>-13.208656880607265</c:v>
                </c:pt>
                <c:pt idx="16">
                  <c:v>44.847725167554017</c:v>
                </c:pt>
                <c:pt idx="17">
                  <c:v>100.04652701553562</c:v>
                </c:pt>
                <c:pt idx="18">
                  <c:v>28.280822665907493</c:v>
                </c:pt>
                <c:pt idx="19">
                  <c:v>40.838463924775624</c:v>
                </c:pt>
                <c:pt idx="20">
                  <c:v>69.987660279301934</c:v>
                </c:pt>
                <c:pt idx="21">
                  <c:v>67.019635840563723</c:v>
                </c:pt>
                <c:pt idx="22">
                  <c:v>34.789353976441561</c:v>
                </c:pt>
                <c:pt idx="23">
                  <c:v>-12.175538061061133</c:v>
                </c:pt>
              </c:numCache>
            </c:numRef>
          </c:val>
          <c:extLst>
            <c:ext xmlns:c16="http://schemas.microsoft.com/office/drawing/2014/chart" uri="{C3380CC4-5D6E-409C-BE32-E72D297353CC}">
              <c16:uniqueId val="{00000000-0A75-415B-A25B-E1403135069F}"/>
            </c:ext>
          </c:extLst>
        </c:ser>
        <c:ser>
          <c:idx val="0"/>
          <c:order val="1"/>
          <c:tx>
            <c:strRef>
              <c:f>'Section 47 Enquiries'!$AA$4</c:f>
              <c:strCache>
                <c:ptCount val="1"/>
                <c:pt idx="0">
                  <c:v>Selected LA- (none)</c:v>
                </c:pt>
              </c:strCache>
            </c:strRef>
          </c:tx>
          <c:spPr>
            <a:solidFill>
              <a:srgbClr val="66FF99"/>
            </a:solidFill>
            <a:ln w="12700">
              <a:solidFill>
                <a:srgbClr val="000000"/>
              </a:solidFill>
              <a:prstDash val="solid"/>
            </a:ln>
          </c:spPr>
          <c:invertIfNegative val="0"/>
          <c:cat>
            <c:strRef>
              <c:f>'Section 47 Enquiries'!$Y$77:$Y$100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0A75-415B-A25B-E1403135069F}"/>
            </c:ext>
          </c:extLst>
        </c:ser>
        <c:dLbls>
          <c:showLegendKey val="0"/>
          <c:showVal val="0"/>
          <c:showCatName val="0"/>
          <c:showSerName val="0"/>
          <c:showPercent val="0"/>
          <c:showBubbleSize val="0"/>
        </c:dLbls>
        <c:gapWidth val="40"/>
        <c:overlap val="100"/>
        <c:axId val="562560384"/>
        <c:axId val="562369664"/>
      </c:barChart>
      <c:catAx>
        <c:axId val="5625603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369664"/>
        <c:crossesAt val="0"/>
        <c:auto val="1"/>
        <c:lblAlgn val="ctr"/>
        <c:lblOffset val="100"/>
        <c:noMultiLvlLbl val="0"/>
      </c:catAx>
      <c:valAx>
        <c:axId val="56236966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560384"/>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'Section 47 Enquiries'!$AL$5</c:f>
          <c:strCache>
            <c:ptCount val="1"/>
            <c:pt idx="0">
              <c:v>Average Annual Change in Number of Section 47 Enquiries</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'Section 47 Enquiries'!$I$7</c:f>
              <c:strCache>
                <c:ptCount val="1"/>
                <c:pt idx="0">
                  <c:v>Average Annual Change </c:v>
                </c:pt>
              </c:strCache>
            </c:strRef>
          </c:tx>
          <c:spPr>
            <a:solidFill>
              <a:srgbClr val="FB994F"/>
            </a:solidFill>
            <a:ln w="25400">
              <a:noFill/>
            </a:ln>
          </c:spPr>
          <c:invertIfNegative val="0"/>
          <c:cat>
            <c:strRef>
              <c:f>'Section 47 Enquiries'!$B$10:$B$33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Enquiries'!$I$10:$I$33</c:f>
              <c:numCache>
                <c:formatCode>0.0%</c:formatCode>
                <c:ptCount val="24"/>
                <c:pt idx="0">
                  <c:v>0.20647322110969868</c:v>
                </c:pt>
                <c:pt idx="1">
                  <c:v>-6.4124949080484828E-2</c:v>
                </c:pt>
                <c:pt idx="2">
                  <c:v>7.2087522608555166E-2</c:v>
                </c:pt>
                <c:pt idx="3">
                  <c:v>0.11995433278008182</c:v>
                </c:pt>
                <c:pt idx="4">
                  <c:v>5.2287474081553473E-2</c:v>
                </c:pt>
                <c:pt idx="5">
                  <c:v>1.4011611591272233E-3</c:v>
                </c:pt>
                <c:pt idx="6">
                  <c:v>9.1929004078113385E-2</c:v>
                </c:pt>
                <c:pt idx="7">
                  <c:v>5.2906405163001942E-2</c:v>
                </c:pt>
                <c:pt idx="8">
                  <c:v>0.12960141636122824</c:v>
                </c:pt>
                <c:pt idx="9">
                  <c:v>6.2988291422981565E-3</c:v>
                </c:pt>
                <c:pt idx="10">
                  <c:v>4.3314301991797304E-2</c:v>
                </c:pt>
                <c:pt idx="11">
                  <c:v>-1.0684728839530724E-2</c:v>
                </c:pt>
                <c:pt idx="12">
                  <c:v>0.12537065833262051</c:v>
                </c:pt>
                <c:pt idx="13">
                  <c:v>-6.5013956534709066E-2</c:v>
                </c:pt>
                <c:pt idx="14">
                  <c:v>5.3813027635192918E-2</c:v>
                </c:pt>
                <c:pt idx="15">
                  <c:v>-0.10935573315924854</c:v>
                </c:pt>
                <c:pt idx="16">
                  <c:v>8.4237323213496182E-2</c:v>
                </c:pt>
                <c:pt idx="17">
                  <c:v>8.7766665173607053E-3</c:v>
                </c:pt>
                <c:pt idx="18">
                  <c:v>-4.8288119510943125E-2</c:v>
                </c:pt>
                <c:pt idx="19">
                  <c:v>0.15353622730098326</c:v>
                </c:pt>
                <c:pt idx="20">
                  <c:v>0.1116844138352666</c:v>
                </c:pt>
                <c:pt idx="21">
                  <c:v>0.23350367949066253</c:v>
                </c:pt>
                <c:pt idx="22">
                  <c:v>2.9116856844613612E-2</c:v>
                </c:pt>
                <c:pt idx="23">
                  <c:v>3.9811201954903119E-2</c:v>
                </c:pt>
              </c:numCache>
            </c:numRef>
          </c:val>
          <c:extLst>
            <c:ext xmlns:c16="http://schemas.microsoft.com/office/drawing/2014/chart" uri="{C3380CC4-5D6E-409C-BE32-E72D297353CC}">
              <c16:uniqueId val="{00000000-D36C-4B24-AE14-9A28096C264A}"/>
            </c:ext>
          </c:extLst>
        </c:ser>
        <c:ser>
          <c:idx val="1"/>
          <c:order val="1"/>
          <c:tx>
            <c:strRef>
              <c:f>'Section 47 Enquiries'!$AA$4</c:f>
              <c:strCache>
                <c:ptCount val="1"/>
                <c:pt idx="0">
                  <c:v>Selected LA- (none)</c:v>
                </c:pt>
              </c:strCache>
            </c:strRef>
          </c:tx>
          <c:spPr>
            <a:solidFill>
              <a:srgbClr val="66FF99"/>
            </a:solidFill>
            <a:ln w="12700">
              <a:solidFill>
                <a:srgbClr val="000000"/>
              </a:solidFill>
              <a:prstDash val="solid"/>
            </a:ln>
          </c:spPr>
          <c:invertIfNegative val="0"/>
          <c:cat>
            <c:strRef>
              <c:f>'Section 47 Enquiries'!$B$10:$B$33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D36C-4B24-AE14-9A28096C264A}"/>
            </c:ext>
          </c:extLst>
        </c:ser>
        <c:dLbls>
          <c:showLegendKey val="0"/>
          <c:showVal val="0"/>
          <c:showCatName val="0"/>
          <c:showSerName val="0"/>
          <c:showPercent val="0"/>
          <c:showBubbleSize val="0"/>
        </c:dLbls>
        <c:gapWidth val="40"/>
        <c:overlap val="100"/>
        <c:axId val="562403200"/>
        <c:axId val="562404736"/>
      </c:barChart>
      <c:catAx>
        <c:axId val="56240320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404736"/>
        <c:crosses val="autoZero"/>
        <c:auto val="1"/>
        <c:lblAlgn val="ctr"/>
        <c:lblOffset val="100"/>
        <c:noMultiLvlLbl val="0"/>
      </c:catAx>
      <c:valAx>
        <c:axId val="56240473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403200"/>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vs. IDACI</a:t>
            </a:r>
          </a:p>
        </c:rich>
      </c:tx>
      <c:layout>
        <c:manualLayout>
          <c:xMode val="edge"/>
          <c:yMode val="edge"/>
          <c:x val="0.25699495255400767"/>
          <c:y val="3.612586628918576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'Section 47 Enquiries'!$AR$38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30DD-495A-A357-0CD61094E186}"/>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{1D56BDC5-D7BD-43EA-9FD3-DAF2B0174407}</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30DD-495A-A357-0CD61094E186}"/>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{A4BAD36A-DF0D-408D-AC4C-5DDCFA148286}</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30DD-495A-A357-0CD61094E186}"/>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{5153AA2A-B98B-406A-A29D-A7EB64E0D98D}</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30DD-495A-A357-0CD61094E186}"/>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{B7233AEB-DB44-44E5-8DBF-CF8E1D6C3025}</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30DD-495A-A357-0CD61094E186}"/>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{61B8D7D1-EC79-43E0-B816-816181E1EA4E}</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30DD-495A-A357-0CD61094E186}"/>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{B2BFF51B-A326-4E52-AB43-23B6378F12E8}</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30DD-495A-A357-0CD61094E186}"/>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{9B58D97A-2405-4B52-912F-F7F284343291}</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30DD-495A-A357-0CD61094E186}"/>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{C802F521-7A9F-41BD-A322-4E21D251ED87}</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30DD-495A-A357-0CD61094E186}"/>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{33E5F8D4-C491-45E1-9679-66932EAFA899}</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30DD-495A-A357-0CD61094E186}"/>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{E5696436-5ABE-4356-AEC1-E8916E531520}</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30DD-495A-A357-0CD61094E186}"/>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{A135151F-E76C-4FB2-B88F-E96C7A436B56}</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30DD-495A-A357-0CD61094E186}"/>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{5E9451D6-0FC6-42BB-9178-104A3F78C908}</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30DD-495A-A357-0CD61094E186}"/>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{F2B8F083-D580-49CF-B8F3-B162BBA0CBA2}</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30DD-495A-A357-0CD61094E186}"/>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{5EABCD2D-2608-4154-9BD4-50923A46CEC8}</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30DD-495A-A357-0CD61094E186}"/>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{658655C3-952E-4EA0-A198-80D03B61ADFD}</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30DD-495A-A357-0CD61094E186}"/>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{4246E0F3-FB19-4564-A508-FE78EB47D167}</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30DD-495A-A357-0CD61094E186}"/>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{FB8F0BE9-E3A0-4279-B925-996FF4D7A51F}</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30DD-495A-A357-0CD61094E186}"/>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{02BDEB67-E236-413C-AA43-522A4725CA75}</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30DD-495A-A357-0CD61094E186}"/>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{C6169FC7-2126-43DB-B974-241864FFE080}</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30DD-495A-A357-0CD61094E186}"/>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trendline>
            <c:spPr>
              <a:ln>
                <a:solidFill>
                  <a:srgbClr val="C00000"/>
                </a:solidFill>
              </a:ln>
            </c:spPr>
            <c:trendlineType val="linear"/>
            <c:dispRSqr val="0"/>
            <c:dispEq val="0"/>
          </c:trendline>
          <c:xVal>
            <c:numRef>
              <c:f>('Section 47 Enquiries'!$AR$41:$AR$53,'Section 47 Enquiries'!$AR$55:$AR$56,'Section 47 Enquiries'!$AR$59:$AR$62)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('Section 47 Enquiries'!$AQ$41:$AQ$53,'Section 47 Enquiries'!$AQ$55:$AQ$56,'Section 47 Enquiries'!$AQ$59:$AQ$62)</c:f>
              <c:numCache>
                <c:formatCode>0.0</c:formatCode>
                <c:ptCount val="19"/>
                <c:pt idx="0">
                  <c:v>288.02816901408448</c:v>
                </c:pt>
                <c:pt idx="1">
                  <c:v>167.79324055666004</c:v>
                </c:pt>
                <c:pt idx="2">
                  <c:v>192.04455051710423</c:v>
                </c:pt>
                <c:pt idx="3">
                  <c:v>125.21166509877705</c:v>
                </c:pt>
                <c:pt idx="4">
                  <c:v>177.10165318325713</c:v>
                </c:pt>
                <c:pt idx="5">
                  <c:v>259.51417004048579</c:v>
                </c:pt>
                <c:pt idx="6">
                  <c:v>192.37929028504945</c:v>
                </c:pt>
                <c:pt idx="7">
                  <c:v>272.76923076923077</c:v>
                </c:pt>
                <c:pt idx="8">
                  <c:v>118.75</c:v>
                </c:pt>
                <c:pt idx="9">
                  <c:v>130.39014373716631</c:v>
                </c:pt>
                <c:pt idx="10">
                  <c:v>295.4337899543379</c:v>
                </c:pt>
                <c:pt idx="11">
                  <c:v>233.7837837837838</c:v>
                </c:pt>
                <c:pt idx="12">
                  <c:v>300.46403712296984</c:v>
                </c:pt>
                <c:pt idx="13">
                  <c:v>412.47563352826512</c:v>
                </c:pt>
                <c:pt idx="14">
                  <c:v>100.75815011372252</c:v>
                </c:pt>
                <c:pt idx="15">
                  <c:v>145.22471910112358</c:v>
                </c:pt>
                <c:pt idx="16">
                  <c:v>174.90062464508802</c:v>
                </c:pt>
                <c:pt idx="17">
                  <c:v>172.04610951008647</c:v>
                </c:pt>
                <c:pt idx="18">
                  <c:v>160.8910891089109</c:v>
                </c:pt>
              </c:numCache>
            </c:numRef>
          </c:yVal>
          <c:smooth val="0"/>
          <c:extLst>
            <c:ext xmlns:c16="http://schemas.microsoft.com/office/drawing/2014/chart" uri="{C3380CC4-5D6E-409C-BE32-E72D297353CC}">
              <c16:uniqueId val="{00000015-30DD-495A-A357-0CD61094E186}"/>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6-30DD-495A-A357-0CD61094E186}"/>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{6E0F0194-B9AF-49F3-BC4F-6FC2D7E322C2}</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6-30DD-495A-A357-0CD61094E186}"/>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{DE21363F-F57C-4A7A-9C7C-2CAACA826393}</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7-30DD-495A-A357-0CD61094E186}"/>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{11C2201A-253D-4C84-84FF-D3FDFCC039F3}</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8-30DD-495A-A357-0CD61094E186}"/>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('Section 47 Enquiries'!$AR$54,'Section 47 Enquiries'!$AR$57:$AR$58)</c:f>
              <c:numCache>
                <c:formatCode>0.0</c:formatCode>
                <c:ptCount val="3"/>
                <c:pt idx="0">
                  <c:v>13.600000000000001</c:v>
                </c:pt>
                <c:pt idx="1">
                  <c:v>14.899999999999999</c:v>
                </c:pt>
                <c:pt idx="2">
                  <c:v>21.9</c:v>
                </c:pt>
              </c:numCache>
            </c:numRef>
          </c:xVal>
          <c:yVal>
            <c:numRef>
              <c:f>('Section 47 Enquiries'!$AQ$54,'Section 47 Enquiries'!$AQ$57:$AQ$58)</c:f>
              <c:numCache>
                <c:formatCode>0.0</c:formatCode>
                <c:ptCount val="3"/>
                <c:pt idx="0">
                  <c:v>83.003597122302153</c:v>
                </c:pt>
                <c:pt idx="1">
                  <c:v>207.93650793650795</c:v>
                </c:pt>
                <c:pt idx="2">
                  <c:v>315.234375</c:v>
                </c:pt>
              </c:numCache>
            </c:numRef>
          </c:yVal>
          <c:smooth val="0"/>
          <c:extLst>
            <c:ext xmlns:c16="http://schemas.microsoft.com/office/drawing/2014/chart" uri="{C3380CC4-5D6E-409C-BE32-E72D297353CC}">
              <c16:uniqueId val="{00000019-30DD-495A-A357-0CD61094E186}"/>
            </c:ext>
          </c:extLst>
        </c:ser>
        <c:ser>
          <c:idx val="1"/>
          <c:order val="2"/>
          <c:tx>
            <c:strRef>
              <c:f>'Section 47 Enquiries'!$AA$4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'Section 47 Enquiries'!$AR$65</c:f>
              <c:numCache>
                <c:formatCode>0.0</c:formatCode>
                <c:ptCount val="1"/>
                <c:pt idx="0">
                  <c:v>#N/A</c:v>
                </c:pt>
              </c:numCache>
            </c:numRef>
          </c:xVal>
          <c:yVal>
            <c:numRef>
              <c:f>'Section 47 Enquiries'!$AQ$65</c:f>
              <c:numCache>
                <c:formatCode>0.0</c:formatCode>
                <c:ptCount val="1"/>
                <c:pt idx="0">
                  <c:v>#N/A</c:v>
                </c:pt>
              </c:numCache>
            </c:numRef>
          </c:yVal>
          <c:smooth val="0"/>
          <c:extLst>
            <c:ext xmlns:c16="http://schemas.microsoft.com/office/drawing/2014/chart" uri="{C3380CC4-5D6E-409C-BE32-E72D297353CC}">
              <c16:uniqueId val="{0000001A-30DD-495A-A357-0CD61094E186}"/>
            </c:ext>
          </c:extLst>
        </c:ser>
        <c:ser>
          <c:idx val="4"/>
          <c:order val="3"/>
          <c:tx>
            <c:strRef>
              <c:f>'Section 47 Enquiries'!$B$32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'Section 47 Enquiries'!$S$32</c:f>
              <c:numCache>
                <c:formatCode>0.0</c:formatCode>
                <c:ptCount val="1"/>
                <c:pt idx="0">
                  <c:v>12.371268250968637</c:v>
                </c:pt>
              </c:numCache>
            </c:numRef>
          </c:xVal>
          <c:yVal>
            <c:numRef>
              <c:f>'Section 47 Enquiries'!$O$32</c:f>
              <c:numCache>
                <c:formatCode>0.0</c:formatCode>
                <c:ptCount val="1"/>
                <c:pt idx="0">
                  <c:v>179.05748527320739</c:v>
                </c:pt>
              </c:numCache>
            </c:numRef>
          </c:yVal>
          <c:smooth val="0"/>
          <c:extLst>
            <c:ext xmlns:c16="http://schemas.microsoft.com/office/drawing/2014/chart" uri="{C3380CC4-5D6E-409C-BE32-E72D297353CC}">
              <c16:uniqueId val="{0000001B-30DD-495A-A357-0CD61094E186}"/>
            </c:ext>
          </c:extLst>
        </c:ser>
        <c:ser>
          <c:idx val="2"/>
          <c:order val="4"/>
          <c:tx>
            <c:strRef>
              <c:f>'Section 47 Enquiries'!$Y$43</c:f>
              <c:strCache>
                <c:ptCount val="1"/>
                <c:pt idx="0">
                  <c:v>National Trend 2020</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C-30DD-495A-A357-0CD61094E186}"/>
                </c:ext>
              </c:extLst>
            </c:dLbl>
            <c:dLbl>
              <c:idx val="1"/>
              <c:layout>
                <c:manualLayout>
                  <c:x val="-5.2631578947368314E-2"/>
                  <c:y val="4.2232277526395176E-2"/>
                </c:manualLayout>
              </c:layout>
              <c:tx>
                <c:strRef>
                  <c:f>'Section 47 Enquiries'!$AD$43</c:f>
                  <c:strCache>
                    <c:ptCount val="1"/>
                    <c:pt idx="0">
                      <c:v>r² = 0.299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{DC5FABAB-754A-401B-8FB8-66539205CC07}</c15:txfldGUID>
                      <c15:f>'Section 47 Enquiries'!$AD$43</c15:f>
                      <c15:dlblFieldTableCache>
                        <c:ptCount val="1"/>
                        <c:pt idx="0">
                          <c:v>r² = 0.299</c:v>
                        </c:pt>
                      </c15:dlblFieldTableCache>
                    </c15:dlblFTEntry>
                  </c15:dlblFieldTable>
                  <c15:showDataLabelsRange val="0"/>
                </c:ext>
                <c:ext xmlns:c16="http://schemas.microsoft.com/office/drawing/2014/chart" uri="{C3380CC4-5D6E-409C-BE32-E72D297353CC}">
                  <c16:uniqueId val="{0000001D-30DD-495A-A357-0CD61094E186}"/>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'Section 47 Enquiries'!$AB$43:$AB$44</c:f>
              <c:numCache>
                <c:formatCode>General</c:formatCode>
                <c:ptCount val="2"/>
                <c:pt idx="0" formatCode="#,##0.0">
                  <c:v>5</c:v>
                </c:pt>
                <c:pt idx="1">
                  <c:v>35</c:v>
                </c:pt>
              </c:numCache>
            </c:numRef>
          </c:xVal>
          <c:yVal>
            <c:numRef>
              <c:f>'Section 47 Enquiries'!$AC$43:$AC$44</c:f>
              <c:numCache>
                <c:formatCode>0.0</c:formatCode>
                <c:ptCount val="2"/>
                <c:pt idx="0">
                  <c:v>89.405819107017706</c:v>
                </c:pt>
                <c:pt idx="1">
                  <c:v>312.68752717349116</c:v>
                </c:pt>
              </c:numCache>
            </c:numRef>
          </c:yVal>
          <c:smooth val="0"/>
          <c:extLst>
            <c:ext xmlns:c16="http://schemas.microsoft.com/office/drawing/2014/chart" uri="{C3380CC4-5D6E-409C-BE32-E72D297353CC}">
              <c16:uniqueId val="{0000001E-30DD-495A-A357-0CD61094E186}"/>
            </c:ext>
          </c:extLst>
        </c:ser>
        <c:ser>
          <c:idx val="5"/>
          <c:order val="5"/>
          <c:tx>
            <c:strRef>
              <c:f>'Section 47 Enquiries'!$Y$41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F-30DD-495A-A357-0CD61094E186}"/>
                </c:ext>
              </c:extLst>
            </c:dLbl>
            <c:dLbl>
              <c:idx val="1"/>
              <c:layout>
                <c:manualLayout>
                  <c:x val="-5.8339059392106256E-2"/>
                  <c:y val="-2.5641025641025696E-2"/>
                </c:manualLayout>
              </c:layout>
              <c:tx>
                <c:strRef>
                  <c:f>'Section 47 Enquiries'!$AD$42</c:f>
                  <c:strCache>
                    <c:ptCount val="1"/>
                    <c:pt idx="0">
                      <c:v>r² = 0.336</c:v>
                    </c:pt>
                  </c:strCache>
                </c:strRef>
              </c:tx>
              <c:showLegendKey val="0"/>
              <c:showVal val="1"/>
              <c:showCatName val="0"/>
              <c:showSerName val="0"/>
              <c:showPercent val="0"/>
              <c:showBubbleSize val="0"/>
              <c:extLst>
                <c:ext xmlns:c15="http://schemas.microsoft.com/office/drawing/2012/chart" uri="{CE6537A1-D6FC-4f65-9D91-7224C49458BB}">
                  <c15:layout>
                    <c:manualLayout>
                      <c:w val="0.11067501739735559"/>
                      <c:h val="4.9306302775501479E-2"/>
                    </c:manualLayout>
                  </c15:layout>
                  <c15:dlblFieldTable>
                    <c15:dlblFTEntry>
                      <c15:txfldGUID>{EFBF2208-6B29-4B38-8434-DA43A0A30874}</c15:txfldGUID>
                      <c15:f>'Section 47 Enquiries'!$AD$42</c15:f>
                      <c15:dlblFieldTableCache>
                        <c:ptCount val="1"/>
                        <c:pt idx="0">
                          <c:v>r² = 0.336</c:v>
                        </c:pt>
                      </c15:dlblFieldTableCache>
                    </c15:dlblFTEntry>
                  </c15:dlblFieldTable>
                  <c15:showDataLabelsRange val="0"/>
                </c:ext>
                <c:ext xmlns:c16="http://schemas.microsoft.com/office/drawing/2014/chart" uri="{C3380CC4-5D6E-409C-BE32-E72D297353CC}">
                  <c16:uniqueId val="{00000020-30DD-495A-A357-0CD61094E186}"/>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'Section 47 Enquiries'!$AB$41:$AB$42</c:f>
              <c:numCache>
                <c:formatCode>General</c:formatCode>
                <c:ptCount val="2"/>
                <c:pt idx="0" formatCode="#,##0.0">
                  <c:v>5</c:v>
                </c:pt>
                <c:pt idx="1">
                  <c:v>35</c:v>
                </c:pt>
              </c:numCache>
            </c:numRef>
          </c:xVal>
          <c:yVal>
            <c:numRef>
              <c:f>'Section 47 Enquiries'!$AC$41:$AC$42</c:f>
              <c:numCache>
                <c:formatCode>0.0</c:formatCode>
                <c:ptCount val="2"/>
                <c:pt idx="0">
                  <c:v>126.61568155492756</c:v>
                </c:pt>
                <c:pt idx="1">
                  <c:v>422.75559691212698</c:v>
                </c:pt>
              </c:numCache>
            </c:numRef>
          </c:yVal>
          <c:smooth val="0"/>
          <c:extLst>
            <c:ext xmlns:c16="http://schemas.microsoft.com/office/drawing/2014/chart" uri="{C3380CC4-5D6E-409C-BE32-E72D297353CC}">
              <c16:uniqueId val="{00000021-30DD-495A-A357-0CD61094E186}"/>
            </c:ext>
          </c:extLst>
        </c:ser>
        <c:dLbls>
          <c:showLegendKey val="0"/>
          <c:showVal val="0"/>
          <c:showCatName val="0"/>
          <c:showSerName val="0"/>
          <c:showPercent val="0"/>
          <c:showBubbleSize val="0"/>
        </c:dLbls>
        <c:axId val="563577984"/>
        <c:axId val="563579904"/>
      </c:scatterChart>
      <c:valAx>
        <c:axId val="563577984"/>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579904"/>
        <c:crosses val="autoZero"/>
        <c:crossBetween val="midCat"/>
        <c:majorUnit val="5"/>
      </c:valAx>
      <c:valAx>
        <c:axId val="56357990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Section 47 Enquiries per 10,000 0-17 year olds</a:t>
                </a:r>
              </a:p>
            </c:rich>
          </c:tx>
          <c:layout>
            <c:manualLayout>
              <c:xMode val="edge"/>
              <c:yMode val="edge"/>
              <c:x val="5.1877989550371623E-2"/>
              <c:y val="0.17325366340125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57798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313872900079858"/>
        </c:manualLayout>
      </c:layout>
      <c:lineChart>
        <c:grouping val="standard"/>
        <c:varyColors val="0"/>
        <c:ser>
          <c:idx val="0"/>
          <c:order val="0"/>
          <c:tx>
            <c:strRef>
              <c:f>'Initial CP Conferences'!$AL$41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8F3F-4911-8295-9917833EA440}"/>
              </c:ext>
            </c:extLst>
          </c:dPt>
          <c:cat>
            <c:strRef>
              <c:f>'Initial CP Conferences'!$Z$2:$AD$3</c:f>
              <c:strCache>
                <c:ptCount val="5"/>
                <c:pt idx="0">
                  <c:v>2015-16</c:v>
                </c:pt>
                <c:pt idx="1">
                  <c:v>2016-17</c:v>
                </c:pt>
                <c:pt idx="2">
                  <c:v>2017-18</c:v>
                </c:pt>
                <c:pt idx="3">
                  <c:v>2018-19</c:v>
                </c:pt>
                <c:pt idx="4">
                  <c:v>2019-20</c:v>
                </c:pt>
              </c:strCache>
            </c:strRef>
          </c:cat>
          <c:val>
            <c:numRef>
              <c:f>'Initial CP Conferences'!$AM$41:$AQ$41</c:f>
              <c:numCache>
                <c:formatCode>0.0</c:formatCode>
                <c:ptCount val="5"/>
                <c:pt idx="0">
                  <c:v>56.028368794326241</c:v>
                </c:pt>
                <c:pt idx="1">
                  <c:v>92.553191489361708</c:v>
                </c:pt>
                <c:pt idx="2">
                  <c:v>83.629893238434164</c:v>
                </c:pt>
                <c:pt idx="3">
                  <c:v>89.399293286219091</c:v>
                </c:pt>
                <c:pt idx="4">
                  <c:v>90.492957746478879</c:v>
                </c:pt>
              </c:numCache>
            </c:numRef>
          </c:val>
          <c:smooth val="0"/>
          <c:extLst>
            <c:ext xmlns:c16="http://schemas.microsoft.com/office/drawing/2014/chart" uri="{C3380CC4-5D6E-409C-BE32-E72D297353CC}">
              <c16:uniqueId val="{00000001-8F3F-4911-8295-9917833EA440}"/>
            </c:ext>
          </c:extLst>
        </c:ser>
        <c:ser>
          <c:idx val="1"/>
          <c:order val="1"/>
          <c:tx>
            <c:strRef>
              <c:f>'Initial CP Conferences'!$AL$42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Conferences'!$AM$42:$AQ$42</c:f>
              <c:numCache>
                <c:formatCode>0.0</c:formatCode>
                <c:ptCount val="5"/>
                <c:pt idx="0">
                  <c:v>106.25000000000001</c:v>
                </c:pt>
                <c:pt idx="1">
                  <c:v>91.812865497076032</c:v>
                </c:pt>
                <c:pt idx="2">
                  <c:v>94.313725490196077</c:v>
                </c:pt>
                <c:pt idx="3">
                  <c:v>76.666666666666657</c:v>
                </c:pt>
                <c:pt idx="4">
                  <c:v>92.644135188866798</c:v>
                </c:pt>
              </c:numCache>
            </c:numRef>
          </c:val>
          <c:smooth val="0"/>
          <c:extLst>
            <c:ext xmlns:c16="http://schemas.microsoft.com/office/drawing/2014/chart" uri="{C3380CC4-5D6E-409C-BE32-E72D297353CC}">
              <c16:uniqueId val="{00000002-8F3F-4911-8295-9917833EA440}"/>
            </c:ext>
          </c:extLst>
        </c:ser>
        <c:ser>
          <c:idx val="2"/>
          <c:order val="2"/>
          <c:tx>
            <c:strRef>
              <c:f>'Initial CP Conferences'!$AL$43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Conferences'!$AM$43:$AQ$43</c:f>
              <c:numCache>
                <c:formatCode>0.0</c:formatCode>
                <c:ptCount val="5"/>
                <c:pt idx="0">
                  <c:v>62.106135986733001</c:v>
                </c:pt>
                <c:pt idx="1">
                  <c:v>70.86743044189852</c:v>
                </c:pt>
                <c:pt idx="2">
                  <c:v>70.02437043054428</c:v>
                </c:pt>
                <c:pt idx="3">
                  <c:v>64.119066773934023</c:v>
                </c:pt>
                <c:pt idx="4">
                  <c:v>68.178202068416866</c:v>
                </c:pt>
              </c:numCache>
            </c:numRef>
          </c:val>
          <c:smooth val="0"/>
          <c:extLst>
            <c:ext xmlns:c16="http://schemas.microsoft.com/office/drawing/2014/chart" uri="{C3380CC4-5D6E-409C-BE32-E72D297353CC}">
              <c16:uniqueId val="{00000003-8F3F-4911-8295-9917833EA440}"/>
            </c:ext>
          </c:extLst>
        </c:ser>
        <c:ser>
          <c:idx val="5"/>
          <c:order val="3"/>
          <c:tx>
            <c:strRef>
              <c:f>'Initial CP Conferences'!$AL$44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Conferences'!$AM$44:$AQ$44</c:f>
              <c:numCache>
                <c:formatCode>0.0</c:formatCode>
                <c:ptCount val="5"/>
                <c:pt idx="0">
                  <c:v>45.609065155807372</c:v>
                </c:pt>
                <c:pt idx="1">
                  <c:v>59.206798866855522</c:v>
                </c:pt>
                <c:pt idx="2">
                  <c:v>67.075471698113205</c:v>
                </c:pt>
                <c:pt idx="3">
                  <c:v>67.387218045112789</c:v>
                </c:pt>
                <c:pt idx="4">
                  <c:v>64.628410159924741</c:v>
                </c:pt>
              </c:numCache>
            </c:numRef>
          </c:val>
          <c:smooth val="0"/>
          <c:extLst>
            <c:ext xmlns:c16="http://schemas.microsoft.com/office/drawing/2014/chart" uri="{C3380CC4-5D6E-409C-BE32-E72D297353CC}">
              <c16:uniqueId val="{00000004-8F3F-4911-8295-9917833EA440}"/>
            </c:ext>
          </c:extLst>
        </c:ser>
        <c:ser>
          <c:idx val="9"/>
          <c:order val="4"/>
          <c:tx>
            <c:strRef>
              <c:f>'Initial CP Conferences'!$AL$45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Conferences'!$AM$45:$AQ$45</c:f>
              <c:numCache>
                <c:formatCode>0.0</c:formatCode>
                <c:ptCount val="5"/>
                <c:pt idx="0">
                  <c:v>67.399787158566866</c:v>
                </c:pt>
                <c:pt idx="1">
                  <c:v>66.089108910891085</c:v>
                </c:pt>
                <c:pt idx="2">
                  <c:v>62.972114366396042</c:v>
                </c:pt>
                <c:pt idx="3">
                  <c:v>62.04225352112676</c:v>
                </c:pt>
                <c:pt idx="4">
                  <c:v>55.750967288075977</c:v>
                </c:pt>
              </c:numCache>
            </c:numRef>
          </c:val>
          <c:smooth val="0"/>
          <c:extLst>
            <c:ext xmlns:c16="http://schemas.microsoft.com/office/drawing/2014/chart" uri="{C3380CC4-5D6E-409C-BE32-E72D297353CC}">
              <c16:uniqueId val="{00000005-8F3F-4911-8295-9917833EA440}"/>
            </c:ext>
          </c:extLst>
        </c:ser>
        <c:ser>
          <c:idx val="10"/>
          <c:order val="5"/>
          <c:tx>
            <c:strRef>
              <c:f>'Initial CP Conferences'!$AL$46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Conferences'!$AM$46:$AQ$46</c:f>
              <c:numCache>
                <c:formatCode>0.0</c:formatCode>
                <c:ptCount val="5"/>
                <c:pt idx="0">
                  <c:v>148.22134387351778</c:v>
                </c:pt>
                <c:pt idx="1">
                  <c:v>114.28571428571429</c:v>
                </c:pt>
                <c:pt idx="2">
                  <c:v>107.96812749003983</c:v>
                </c:pt>
                <c:pt idx="3">
                  <c:v>92.771084337349393</c:v>
                </c:pt>
                <c:pt idx="4">
                  <c:v>62.348178137651821</c:v>
                </c:pt>
              </c:numCache>
            </c:numRef>
          </c:val>
          <c:smooth val="0"/>
          <c:extLst>
            <c:ext xmlns:c16="http://schemas.microsoft.com/office/drawing/2014/chart" uri="{C3380CC4-5D6E-409C-BE32-E72D297353CC}">
              <c16:uniqueId val="{00000006-8F3F-4911-8295-9917833EA440}"/>
            </c:ext>
          </c:extLst>
        </c:ser>
        <c:ser>
          <c:idx val="11"/>
          <c:order val="6"/>
          <c:tx>
            <c:strRef>
              <c:f>'Initial CP Conferences'!$AL$47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Conferences'!$AM$47:$AQ$47</c:f>
              <c:numCache>
                <c:formatCode>0.0</c:formatCode>
                <c:ptCount val="5"/>
                <c:pt idx="0">
                  <c:v>46.882566585956418</c:v>
                </c:pt>
                <c:pt idx="1">
                  <c:v>44.864864864864863</c:v>
                </c:pt>
                <c:pt idx="2">
                  <c:v>52.42487354953883</c:v>
                </c:pt>
                <c:pt idx="3">
                  <c:v>46.25110261687739</c:v>
                </c:pt>
                <c:pt idx="4">
                  <c:v>49.592786503781262</c:v>
                </c:pt>
              </c:numCache>
            </c:numRef>
          </c:val>
          <c:smooth val="0"/>
          <c:extLst>
            <c:ext xmlns:c16="http://schemas.microsoft.com/office/drawing/2014/chart" uri="{C3380CC4-5D6E-409C-BE32-E72D297353CC}">
              <c16:uniqueId val="{00000007-8F3F-4911-8295-9917833EA440}"/>
            </c:ext>
          </c:extLst>
        </c:ser>
        <c:ser>
          <c:idx val="12"/>
          <c:order val="7"/>
          <c:tx>
            <c:strRef>
              <c:f>'Initial CP Conferences'!$AL$48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Conferences'!$AM$48:$AQ$48</c:f>
              <c:numCache>
                <c:formatCode>0.0</c:formatCode>
                <c:ptCount val="5"/>
                <c:pt idx="0">
                  <c:v>96.044303797468359</c:v>
                </c:pt>
                <c:pt idx="1">
                  <c:v>55.102040816326529</c:v>
                </c:pt>
                <c:pt idx="2">
                  <c:v>63.06729264475743</c:v>
                </c:pt>
                <c:pt idx="3">
                  <c:v>86.024844720496901</c:v>
                </c:pt>
                <c:pt idx="4">
                  <c:v>102.61538461538461</c:v>
                </c:pt>
              </c:numCache>
            </c:numRef>
          </c:val>
          <c:smooth val="0"/>
          <c:extLst>
            <c:ext xmlns:c16="http://schemas.microsoft.com/office/drawing/2014/chart" uri="{C3380CC4-5D6E-409C-BE32-E72D297353CC}">
              <c16:uniqueId val="{00000008-8F3F-4911-8295-9917833EA440}"/>
            </c:ext>
          </c:extLst>
        </c:ser>
        <c:ser>
          <c:idx val="13"/>
          <c:order val="8"/>
          <c:tx>
            <c:strRef>
              <c:f>'Initial CP Conferences'!$AL$49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Conferences'!$AM$49:$AQ$49</c:f>
              <c:numCache>
                <c:formatCode>0.0</c:formatCode>
                <c:ptCount val="5"/>
                <c:pt idx="0">
                  <c:v>18.154311649016641</c:v>
                </c:pt>
                <c:pt idx="1">
                  <c:v>21.907600596125189</c:v>
                </c:pt>
                <c:pt idx="2">
                  <c:v>25.887573964497044</c:v>
                </c:pt>
                <c:pt idx="3">
                  <c:v>32.503660322108345</c:v>
                </c:pt>
                <c:pt idx="4">
                  <c:v>38.22674418604651</c:v>
                </c:pt>
              </c:numCache>
            </c:numRef>
          </c:val>
          <c:smooth val="0"/>
          <c:extLst>
            <c:ext xmlns:c16="http://schemas.microsoft.com/office/drawing/2014/chart" uri="{C3380CC4-5D6E-409C-BE32-E72D297353CC}">
              <c16:uniqueId val="{00000009-8F3F-4911-8295-9917833EA440}"/>
            </c:ext>
          </c:extLst>
        </c:ser>
        <c:ser>
          <c:idx val="15"/>
          <c:order val="9"/>
          <c:tx>
            <c:strRef>
              <c:f>'Initial CP Conferences'!$AL$50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Conferences'!$AM$50:$AQ$50</c:f>
              <c:numCache>
                <c:formatCode>0.0</c:formatCode>
                <c:ptCount val="5"/>
                <c:pt idx="0">
                  <c:v>54.866008462623412</c:v>
                </c:pt>
                <c:pt idx="1">
                  <c:v>64.380685794261723</c:v>
                </c:pt>
                <c:pt idx="2">
                  <c:v>61.227336122733611</c:v>
                </c:pt>
                <c:pt idx="3">
                  <c:v>58.356353591160222</c:v>
                </c:pt>
                <c:pt idx="4">
                  <c:v>59.274469541409992</c:v>
                </c:pt>
              </c:numCache>
            </c:numRef>
          </c:val>
          <c:smooth val="0"/>
          <c:extLst>
            <c:ext xmlns:c16="http://schemas.microsoft.com/office/drawing/2014/chart" uri="{C3380CC4-5D6E-409C-BE32-E72D297353CC}">
              <c16:uniqueId val="{0000000A-8F3F-4911-8295-9917833EA440}"/>
            </c:ext>
          </c:extLst>
        </c:ser>
        <c:ser>
          <c:idx val="16"/>
          <c:order val="10"/>
          <c:tx>
            <c:strRef>
              <c:f>'Initial CP Conferences'!$AL$51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Conferences'!$AM$51:$AQ$51</c:f>
              <c:numCache>
                <c:formatCode>0.0</c:formatCode>
                <c:ptCount val="5"/>
                <c:pt idx="0">
                  <c:v>76.712328767123282</c:v>
                </c:pt>
                <c:pt idx="1">
                  <c:v>67.954545454545453</c:v>
                </c:pt>
                <c:pt idx="2">
                  <c:v>69.909502262443439</c:v>
                </c:pt>
                <c:pt idx="3">
                  <c:v>65.909090909090907</c:v>
                </c:pt>
                <c:pt idx="4">
                  <c:v>77.168949771689498</c:v>
                </c:pt>
              </c:numCache>
            </c:numRef>
          </c:val>
          <c:smooth val="0"/>
          <c:extLst>
            <c:ext xmlns:c16="http://schemas.microsoft.com/office/drawing/2014/chart" uri="{C3380CC4-5D6E-409C-BE32-E72D297353CC}">
              <c16:uniqueId val="{0000000B-8F3F-4911-8295-9917833EA440}"/>
            </c:ext>
          </c:extLst>
        </c:ser>
        <c:ser>
          <c:idx val="17"/>
          <c:order val="11"/>
          <c:tx>
            <c:strRef>
              <c:f>'Initial CP Conferences'!$AL$52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Conferences'!$AM$52:$AQ$52</c:f>
              <c:numCache>
                <c:formatCode>0.0</c:formatCode>
                <c:ptCount val="5"/>
                <c:pt idx="0">
                  <c:v>118.13186813186813</c:v>
                </c:pt>
                <c:pt idx="1">
                  <c:v>144.26229508196721</c:v>
                </c:pt>
                <c:pt idx="2">
                  <c:v>111.85983827493261</c:v>
                </c:pt>
                <c:pt idx="3">
                  <c:v>114.28571428571429</c:v>
                </c:pt>
                <c:pt idx="4">
                  <c:v>86.756756756756758</c:v>
                </c:pt>
              </c:numCache>
            </c:numRef>
          </c:val>
          <c:smooth val="0"/>
          <c:extLst>
            <c:ext xmlns:c16="http://schemas.microsoft.com/office/drawing/2014/chart" uri="{C3380CC4-5D6E-409C-BE32-E72D297353CC}">
              <c16:uniqueId val="{0000000C-8F3F-4911-8295-9917833EA440}"/>
            </c:ext>
          </c:extLst>
        </c:ser>
        <c:ser>
          <c:idx val="19"/>
          <c:order val="12"/>
          <c:tx>
            <c:strRef>
              <c:f>'Initial CP Conferences'!$AL$53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Conferences'!$AM$53:$AQ$53</c:f>
              <c:numCache>
                <c:formatCode>0.0</c:formatCode>
                <c:ptCount val="5"/>
                <c:pt idx="0">
                  <c:v>86.453201970443359</c:v>
                </c:pt>
                <c:pt idx="1">
                  <c:v>81.642512077294683</c:v>
                </c:pt>
                <c:pt idx="2">
                  <c:v>64.928909952606631</c:v>
                </c:pt>
                <c:pt idx="3">
                  <c:v>80.327868852459005</c:v>
                </c:pt>
                <c:pt idx="4">
                  <c:v>90.023201856148489</c:v>
                </c:pt>
              </c:numCache>
            </c:numRef>
          </c:val>
          <c:smooth val="0"/>
          <c:extLst>
            <c:ext xmlns:c16="http://schemas.microsoft.com/office/drawing/2014/chart" uri="{C3380CC4-5D6E-409C-BE32-E72D297353CC}">
              <c16:uniqueId val="{0000000D-8F3F-4911-8295-9917833EA440}"/>
            </c:ext>
          </c:extLst>
        </c:ser>
        <c:ser>
          <c:idx val="3"/>
          <c:order val="13"/>
          <c:tx>
            <c:strRef>
              <c:f>'Initial CP Conferences'!$AL$54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Conferences'!$AM$54:$AQ$54</c:f>
              <c:numCache>
                <c:formatCode>0.0</c:formatCode>
                <c:ptCount val="5"/>
                <c:pt idx="0">
                  <c:v>43.772893772893774</c:v>
                </c:pt>
                <c:pt idx="1">
                  <c:v>60.255241567912492</c:v>
                </c:pt>
                <c:pt idx="2">
                  <c:v>53.224341507720254</c:v>
                </c:pt>
                <c:pt idx="3">
                  <c:v>46.522131887985545</c:v>
                </c:pt>
                <c:pt idx="4">
                  <c:v>27.158273381294961</c:v>
                </c:pt>
              </c:numCache>
            </c:numRef>
          </c:val>
          <c:smooth val="0"/>
          <c:extLst>
            <c:ext xmlns:c16="http://schemas.microsoft.com/office/drawing/2014/chart" uri="{C3380CC4-5D6E-409C-BE32-E72D297353CC}">
              <c16:uniqueId val="{0000000E-8F3F-4911-8295-9917833EA440}"/>
            </c:ext>
          </c:extLst>
        </c:ser>
        <c:ser>
          <c:idx val="20"/>
          <c:order val="14"/>
          <c:tx>
            <c:strRef>
              <c:f>'Initial CP Conferences'!$AL$55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Conferences'!$AM$55:$AQ$55</c:f>
              <c:numCache>
                <c:formatCode>0.0</c:formatCode>
                <c:ptCount val="5"/>
                <c:pt idx="0">
                  <c:v>112.80487804878048</c:v>
                </c:pt>
                <c:pt idx="1">
                  <c:v>92.785571142284567</c:v>
                </c:pt>
                <c:pt idx="2">
                  <c:v>102.18687872763419</c:v>
                </c:pt>
                <c:pt idx="3">
                  <c:v>94.29133858267717</c:v>
                </c:pt>
                <c:pt idx="4">
                  <c:v>137.03703703703704</c:v>
                </c:pt>
              </c:numCache>
            </c:numRef>
          </c:val>
          <c:smooth val="0"/>
          <c:extLst>
            <c:ext xmlns:c16="http://schemas.microsoft.com/office/drawing/2014/chart" uri="{C3380CC4-5D6E-409C-BE32-E72D297353CC}">
              <c16:uniqueId val="{0000000F-8F3F-4911-8295-9917833EA440}"/>
            </c:ext>
          </c:extLst>
        </c:ser>
        <c:ser>
          <c:idx val="22"/>
          <c:order val="15"/>
          <c:tx>
            <c:strRef>
              <c:f>'Initial CP Conferences'!$AL$56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Conferences'!$AM$56:$AQ$56</c:f>
              <c:numCache>
                <c:formatCode>0.0</c:formatCode>
                <c:ptCount val="5"/>
                <c:pt idx="0">
                  <c:v>47.581903276131051</c:v>
                </c:pt>
                <c:pt idx="1">
                  <c:v>52.200772200772207</c:v>
                </c:pt>
                <c:pt idx="2">
                  <c:v>57.049558202074529</c:v>
                </c:pt>
                <c:pt idx="3">
                  <c:v>57.541046200840022</c:v>
                </c:pt>
                <c:pt idx="4">
                  <c:v>32.448824867323729</c:v>
                </c:pt>
              </c:numCache>
            </c:numRef>
          </c:val>
          <c:smooth val="0"/>
          <c:extLst>
            <c:ext xmlns:c16="http://schemas.microsoft.com/office/drawing/2014/chart" uri="{C3380CC4-5D6E-409C-BE32-E72D297353CC}">
              <c16:uniqueId val="{00000010-8F3F-4911-8295-9917833EA440}"/>
            </c:ext>
          </c:extLst>
        </c:ser>
        <c:ser>
          <c:idx val="7"/>
          <c:order val="16"/>
          <c:tx>
            <c:strRef>
              <c:f>'Initial CP Conferences'!$AL$57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'Initial CP Conferences'!$Z$2:$AD$3</c:f>
              <c:strCache>
                <c:ptCount val="5"/>
                <c:pt idx="0">
                  <c:v>2015-16</c:v>
                </c:pt>
                <c:pt idx="1">
                  <c:v>2016-17</c:v>
                </c:pt>
                <c:pt idx="2">
                  <c:v>2017-18</c:v>
                </c:pt>
                <c:pt idx="3">
                  <c:v>2018-19</c:v>
                </c:pt>
                <c:pt idx="4">
                  <c:v>2019-20</c:v>
                </c:pt>
              </c:strCache>
            </c:strRef>
          </c:cat>
          <c:val>
            <c:numRef>
              <c:f>'Initial CP Conferences'!$AM$57:$AQ$57</c:f>
              <c:numCache>
                <c:formatCode>0.0</c:formatCode>
                <c:ptCount val="5"/>
                <c:pt idx="0">
                  <c:v>70.612244897959187</c:v>
                </c:pt>
                <c:pt idx="1">
                  <c:v>78.181818181818173</c:v>
                </c:pt>
                <c:pt idx="2">
                  <c:v>115.03006012024048</c:v>
                </c:pt>
                <c:pt idx="3">
                  <c:v>98.605577689243034</c:v>
                </c:pt>
                <c:pt idx="4">
                  <c:v>55.158730158730158</c:v>
                </c:pt>
              </c:numCache>
            </c:numRef>
          </c:val>
          <c:smooth val="0"/>
          <c:extLst>
            <c:ext xmlns:c16="http://schemas.microsoft.com/office/drawing/2014/chart" uri="{C3380CC4-5D6E-409C-BE32-E72D297353CC}">
              <c16:uniqueId val="{00000011-8F3F-4911-8295-9917833EA440}"/>
            </c:ext>
          </c:extLst>
        </c:ser>
        <c:ser>
          <c:idx val="8"/>
          <c:order val="17"/>
          <c:tx>
            <c:strRef>
              <c:f>'Initial CP Conferences'!$AL$58</c:f>
              <c:strCache>
                <c:ptCount val="1"/>
                <c:pt idx="0">
                  <c:v>Torbay</c:v>
                </c:pt>
              </c:strCache>
            </c:strRef>
          </c:tx>
          <c:spPr>
            <a:ln w="12700"/>
          </c:spPr>
          <c:marker>
            <c:symbol val="circle"/>
            <c:size val="5"/>
            <c:spPr>
              <a:solidFill>
                <a:schemeClr val="accent3">
                  <a:lumMod val="20000"/>
                  <a:lumOff val="80000"/>
                </a:schemeClr>
              </a:solidFill>
            </c:spPr>
          </c:marker>
          <c:cat>
            <c:strRef>
              <c:f>'Initial CP Conferences'!$Z$2:$AD$3</c:f>
              <c:strCache>
                <c:ptCount val="5"/>
                <c:pt idx="0">
                  <c:v>2015-16</c:v>
                </c:pt>
                <c:pt idx="1">
                  <c:v>2016-17</c:v>
                </c:pt>
                <c:pt idx="2">
                  <c:v>2017-18</c:v>
                </c:pt>
                <c:pt idx="3">
                  <c:v>2018-19</c:v>
                </c:pt>
                <c:pt idx="4">
                  <c:v>2019-20</c:v>
                </c:pt>
              </c:strCache>
            </c:strRef>
          </c:cat>
          <c:val>
            <c:numRef>
              <c:f>'Initial CP Conferences'!$AM$58:$AQ$58</c:f>
              <c:numCache>
                <c:formatCode>0.0</c:formatCode>
                <c:ptCount val="5"/>
                <c:pt idx="0">
                  <c:v>128.96825396825395</c:v>
                </c:pt>
                <c:pt idx="1">
                  <c:v>142.51968503937007</c:v>
                </c:pt>
                <c:pt idx="2">
                  <c:v>142.51968503937007</c:v>
                </c:pt>
                <c:pt idx="3">
                  <c:v>120.86614173228345</c:v>
                </c:pt>
                <c:pt idx="4">
                  <c:v>121.484375</c:v>
                </c:pt>
              </c:numCache>
            </c:numRef>
          </c:val>
          <c:smooth val="0"/>
          <c:extLst>
            <c:ext xmlns:c16="http://schemas.microsoft.com/office/drawing/2014/chart" uri="{C3380CC4-5D6E-409C-BE32-E72D297353CC}">
              <c16:uniqueId val="{00000012-8F3F-4911-8295-9917833EA440}"/>
            </c:ext>
          </c:extLst>
        </c:ser>
        <c:ser>
          <c:idx val="23"/>
          <c:order val="18"/>
          <c:tx>
            <c:strRef>
              <c:f>'Initial CP Conferences'!$AL$59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Conferences'!$AM$59:$AQ$59</c:f>
              <c:numCache>
                <c:formatCode>0.0</c:formatCode>
                <c:ptCount val="5"/>
                <c:pt idx="0">
                  <c:v>67.226890756302524</c:v>
                </c:pt>
                <c:pt idx="1">
                  <c:v>69.080779944289688</c:v>
                </c:pt>
                <c:pt idx="2">
                  <c:v>76.815642458100555</c:v>
                </c:pt>
                <c:pt idx="3">
                  <c:v>72.752808988764045</c:v>
                </c:pt>
                <c:pt idx="4">
                  <c:v>60.112359550561798</c:v>
                </c:pt>
              </c:numCache>
            </c:numRef>
          </c:val>
          <c:smooth val="0"/>
          <c:extLst>
            <c:ext xmlns:c16="http://schemas.microsoft.com/office/drawing/2014/chart" uri="{C3380CC4-5D6E-409C-BE32-E72D297353CC}">
              <c16:uniqueId val="{00000013-8F3F-4911-8295-9917833EA440}"/>
            </c:ext>
          </c:extLst>
        </c:ser>
        <c:ser>
          <c:idx val="24"/>
          <c:order val="19"/>
          <c:tx>
            <c:strRef>
              <c:f>'Initial CP Conferences'!$AL$60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Conferences'!$AM$60:$AQ$60</c:f>
              <c:numCache>
                <c:formatCode>0.0</c:formatCode>
                <c:ptCount val="5"/>
                <c:pt idx="0">
                  <c:v>39.377934272300465</c:v>
                </c:pt>
                <c:pt idx="1">
                  <c:v>39.580908032596035</c:v>
                </c:pt>
                <c:pt idx="2">
                  <c:v>62.261973456433928</c:v>
                </c:pt>
                <c:pt idx="3">
                  <c:v>50.028620492272466</c:v>
                </c:pt>
                <c:pt idx="4">
                  <c:v>76.093128904031801</c:v>
                </c:pt>
              </c:numCache>
            </c:numRef>
          </c:val>
          <c:smooth val="0"/>
          <c:extLst>
            <c:ext xmlns:c16="http://schemas.microsoft.com/office/drawing/2014/chart" uri="{C3380CC4-5D6E-409C-BE32-E72D297353CC}">
              <c16:uniqueId val="{00000014-8F3F-4911-8295-9917833EA440}"/>
            </c:ext>
          </c:extLst>
        </c:ser>
        <c:ser>
          <c:idx val="25"/>
          <c:order val="20"/>
          <c:tx>
            <c:strRef>
              <c:f>'Initial CP Conferences'!$AL$61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Conferences'!$AM$61:$AQ$61</c:f>
              <c:numCache>
                <c:formatCode>0.0</c:formatCode>
                <c:ptCount val="5"/>
                <c:pt idx="0">
                  <c:v>59.347181008902076</c:v>
                </c:pt>
                <c:pt idx="1">
                  <c:v>56.725146198830409</c:v>
                </c:pt>
                <c:pt idx="2">
                  <c:v>39.825581395348834</c:v>
                </c:pt>
                <c:pt idx="3">
                  <c:v>34.971098265895954</c:v>
                </c:pt>
                <c:pt idx="4">
                  <c:v>74.639769452449571</c:v>
                </c:pt>
              </c:numCache>
            </c:numRef>
          </c:val>
          <c:smooth val="0"/>
          <c:extLst>
            <c:ext xmlns:c16="http://schemas.microsoft.com/office/drawing/2014/chart" uri="{C3380CC4-5D6E-409C-BE32-E72D297353CC}">
              <c16:uniqueId val="{00000015-8F3F-4911-8295-9917833EA440}"/>
            </c:ext>
          </c:extLst>
        </c:ser>
        <c:ser>
          <c:idx val="26"/>
          <c:order val="21"/>
          <c:tx>
            <c:strRef>
              <c:f>'Initial CP Conferences'!$AL$62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Conferences'!$AM$62:$AQ$62</c:f>
              <c:numCache>
                <c:formatCode>0.0</c:formatCode>
                <c:ptCount val="5"/>
                <c:pt idx="0">
                  <c:v>38.873994638069703</c:v>
                </c:pt>
                <c:pt idx="1">
                  <c:v>23.421052631578949</c:v>
                </c:pt>
                <c:pt idx="2">
                  <c:v>46.770025839793277</c:v>
                </c:pt>
                <c:pt idx="3">
                  <c:v>64.810126582278485</c:v>
                </c:pt>
                <c:pt idx="4">
                  <c:v>50.990099009900995</c:v>
                </c:pt>
              </c:numCache>
            </c:numRef>
          </c:val>
          <c:smooth val="0"/>
          <c:extLst>
            <c:ext xmlns:c16="http://schemas.microsoft.com/office/drawing/2014/chart" uri="{C3380CC4-5D6E-409C-BE32-E72D297353CC}">
              <c16:uniqueId val="{00000016-8F3F-4911-8295-9917833EA440}"/>
            </c:ext>
          </c:extLst>
        </c:ser>
        <c:ser>
          <c:idx val="4"/>
          <c:order val="22"/>
          <c:tx>
            <c:strRef>
              <c:f>'Initial CP Conferences'!$AL$63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Conferences'!$AM$63:$AQ$63</c:f>
              <c:numCache>
                <c:formatCode>0.0</c:formatCode>
                <c:ptCount val="5"/>
                <c:pt idx="0">
                  <c:v>59.485949637662273</c:v>
                </c:pt>
                <c:pt idx="1">
                  <c:v>59.4382080595934</c:v>
                </c:pt>
                <c:pt idx="2">
                  <c:v>62.914758989659965</c:v>
                </c:pt>
                <c:pt idx="3">
                  <c:v>60.794932052722999</c:v>
                </c:pt>
                <c:pt idx="4">
                  <c:v>61.598618728417634</c:v>
                </c:pt>
              </c:numCache>
            </c:numRef>
          </c:val>
          <c:smooth val="0"/>
          <c:extLst>
            <c:ext xmlns:c16="http://schemas.microsoft.com/office/drawing/2014/chart" uri="{C3380CC4-5D6E-409C-BE32-E72D297353CC}">
              <c16:uniqueId val="{00000017-8F3F-4911-8295-9917833EA440}"/>
            </c:ext>
          </c:extLst>
        </c:ser>
        <c:ser>
          <c:idx val="14"/>
          <c:order val="23"/>
          <c:tx>
            <c:strRef>
              <c:f>'Initial CP Conferences'!$AL$64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'Initial CP Conferences'!$Z$2:$AD$3</c:f>
              <c:strCache>
                <c:ptCount val="5"/>
                <c:pt idx="0">
                  <c:v>2015-16</c:v>
                </c:pt>
                <c:pt idx="1">
                  <c:v>2016-17</c:v>
                </c:pt>
                <c:pt idx="2">
                  <c:v>2017-18</c:v>
                </c:pt>
                <c:pt idx="3">
                  <c:v>2018-19</c:v>
                </c:pt>
                <c:pt idx="4">
                  <c:v>2019-20</c:v>
                </c:pt>
              </c:strCache>
            </c:strRef>
          </c:cat>
          <c:val>
            <c:numRef>
              <c:f>'Initial CP Conferences'!$AM$64:$AQ$64</c:f>
              <c:numCache>
                <c:formatCode>0.0</c:formatCode>
                <c:ptCount val="5"/>
                <c:pt idx="0">
                  <c:v>62.554055095522315</c:v>
                </c:pt>
                <c:pt idx="1">
                  <c:v>65.276233952466214</c:v>
                </c:pt>
                <c:pt idx="2">
                  <c:v>66.967220021909498</c:v>
                </c:pt>
                <c:pt idx="3">
                  <c:v>64.778411657437303</c:v>
                </c:pt>
                <c:pt idx="4">
                  <c:v>64.43161781829069</c:v>
                </c:pt>
              </c:numCache>
            </c:numRef>
          </c:val>
          <c:smooth val="0"/>
          <c:extLst>
            <c:ext xmlns:c16="http://schemas.microsoft.com/office/drawing/2014/chart" uri="{C3380CC4-5D6E-409C-BE32-E72D297353CC}">
              <c16:uniqueId val="{00000018-8F3F-4911-8295-9917833EA440}"/>
            </c:ext>
          </c:extLst>
        </c:ser>
        <c:ser>
          <c:idx val="6"/>
          <c:order val="24"/>
          <c:tx>
            <c:strRef>
              <c:f>'Initial CP Conferences'!$AL$65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'Initial CP Conferences'!$Z$2:$AD$3</c:f>
              <c:strCache>
                <c:ptCount val="5"/>
                <c:pt idx="0">
                  <c:v>2015-16</c:v>
                </c:pt>
                <c:pt idx="1">
                  <c:v>2016-17</c:v>
                </c:pt>
                <c:pt idx="2">
                  <c:v>2017-18</c:v>
                </c:pt>
                <c:pt idx="3">
                  <c:v>2018-19</c:v>
                </c:pt>
                <c:pt idx="4">
                  <c:v>2019-20</c:v>
                </c:pt>
              </c:strCache>
            </c:strRef>
          </c:cat>
          <c:val>
            <c:numRef>
              <c:f>'Initial CP Conferences'!$AM$65:$AQ$65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8F3F-4911-8295-9917833EA440}"/>
            </c:ext>
          </c:extLst>
        </c:ser>
        <c:dLbls>
          <c:showLegendKey val="0"/>
          <c:showVal val="0"/>
          <c:showCatName val="0"/>
          <c:showSerName val="0"/>
          <c:showPercent val="0"/>
          <c:showBubbleSize val="0"/>
        </c:dLbls>
        <c:marker val="1"/>
        <c:smooth val="0"/>
        <c:axId val="573836672"/>
        <c:axId val="573847040"/>
      </c:lineChart>
      <c:catAx>
        <c:axId val="573836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3847040"/>
        <c:crosses val="autoZero"/>
        <c:auto val="1"/>
        <c:lblAlgn val="ctr"/>
        <c:lblOffset val="100"/>
        <c:tickLblSkip val="1"/>
        <c:tickMarkSkip val="1"/>
        <c:noMultiLvlLbl val="0"/>
      </c:catAx>
      <c:valAx>
        <c:axId val="5738470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38366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 (Selected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7406620946575215"/>
        </c:manualLayout>
      </c:layout>
      <c:barChart>
        <c:barDir val="col"/>
        <c:grouping val="clustered"/>
        <c:varyColors val="0"/>
        <c:ser>
          <c:idx val="6"/>
          <c:order val="0"/>
          <c:tx>
            <c:strRef>
              <c:f>'Initial CP Conferences'!$AA$4</c:f>
              <c:strCache>
                <c:ptCount val="1"/>
                <c:pt idx="0">
                  <c:v>Selected LA- (none)</c:v>
                </c:pt>
              </c:strCache>
            </c:strRef>
          </c:tx>
          <c:spPr>
            <a:solidFill>
              <a:srgbClr val="66FF99"/>
            </a:solidFill>
            <a:ln>
              <a:solidFill>
                <a:schemeClr val="tx1">
                  <a:lumMod val="75000"/>
                  <a:lumOff val="25000"/>
                </a:schemeClr>
              </a:solidFill>
            </a:ln>
          </c:spPr>
          <c:invertIfNegative val="0"/>
          <c:cat>
            <c:strRef>
              <c:f>'Initial CP Conferences'!$Z$2:$AD$3</c:f>
              <c:strCache>
                <c:ptCount val="5"/>
                <c:pt idx="0">
                  <c:v>2015-16</c:v>
                </c:pt>
                <c:pt idx="1">
                  <c:v>2016-17</c:v>
                </c:pt>
                <c:pt idx="2">
                  <c:v>2017-18</c:v>
                </c:pt>
                <c:pt idx="3">
                  <c:v>2018-19</c:v>
                </c:pt>
                <c:pt idx="4">
                  <c:v>2019-20</c:v>
                </c:pt>
              </c:strCache>
            </c:strRef>
          </c:cat>
          <c:val>
            <c:numRef>
              <c:f>'Initial CP Conferences'!$AM$65:$AQ$65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D6C8-497D-A7EC-FEB8E55043E5}"/>
            </c:ext>
          </c:extLst>
        </c:ser>
        <c:ser>
          <c:idx val="4"/>
          <c:order val="1"/>
          <c:tx>
            <c:strRef>
              <c:f>'Initial CP Conferences'!$B$32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'Initial CP Conferences'!$Z$2:$AD$3</c:f>
              <c:strCache>
                <c:ptCount val="5"/>
                <c:pt idx="0">
                  <c:v>2015-16</c:v>
                </c:pt>
                <c:pt idx="1">
                  <c:v>2016-17</c:v>
                </c:pt>
                <c:pt idx="2">
                  <c:v>2017-18</c:v>
                </c:pt>
                <c:pt idx="3">
                  <c:v>2018-19</c:v>
                </c:pt>
                <c:pt idx="4">
                  <c:v>2019-20</c:v>
                </c:pt>
              </c:strCache>
            </c:strRef>
          </c:cat>
          <c:val>
            <c:numRef>
              <c:f>'Initial CP Conferences'!$K$32:$O$32</c:f>
              <c:numCache>
                <c:formatCode>0.0</c:formatCode>
                <c:ptCount val="5"/>
                <c:pt idx="0">
                  <c:v>59.485949637662273</c:v>
                </c:pt>
                <c:pt idx="1">
                  <c:v>59.4382080595934</c:v>
                </c:pt>
                <c:pt idx="2">
                  <c:v>62.914758989659965</c:v>
                </c:pt>
                <c:pt idx="3">
                  <c:v>60.794932052722999</c:v>
                </c:pt>
                <c:pt idx="4">
                  <c:v>61.598618728417634</c:v>
                </c:pt>
              </c:numCache>
            </c:numRef>
          </c:val>
          <c:extLst>
            <c:ext xmlns:c16="http://schemas.microsoft.com/office/drawing/2014/chart" uri="{C3380CC4-5D6E-409C-BE32-E72D297353CC}">
              <c16:uniqueId val="{00000001-D6C8-497D-A7EC-FEB8E55043E5}"/>
            </c:ext>
          </c:extLst>
        </c:ser>
        <c:ser>
          <c:idx val="0"/>
          <c:order val="2"/>
          <c:tx>
            <c:strRef>
              <c:f>'Initial CP Conferences'!$B$33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'Initial CP Conferences'!$Z$2:$AD$3</c:f>
              <c:strCache>
                <c:ptCount val="5"/>
                <c:pt idx="0">
                  <c:v>2015-16</c:v>
                </c:pt>
                <c:pt idx="1">
                  <c:v>2016-17</c:v>
                </c:pt>
                <c:pt idx="2">
                  <c:v>2017-18</c:v>
                </c:pt>
                <c:pt idx="3">
                  <c:v>2018-19</c:v>
                </c:pt>
                <c:pt idx="4">
                  <c:v>2019-20</c:v>
                </c:pt>
              </c:strCache>
            </c:strRef>
          </c:cat>
          <c:val>
            <c:numRef>
              <c:f>'Initial CP Conferences'!$K$33:$O$33</c:f>
              <c:numCache>
                <c:formatCode>0.0</c:formatCode>
                <c:ptCount val="5"/>
                <c:pt idx="0">
                  <c:v>62.554055095522315</c:v>
                </c:pt>
                <c:pt idx="1">
                  <c:v>65.276233952466214</c:v>
                </c:pt>
                <c:pt idx="2">
                  <c:v>66.967220021909498</c:v>
                </c:pt>
                <c:pt idx="3">
                  <c:v>64.778411657437303</c:v>
                </c:pt>
                <c:pt idx="4">
                  <c:v>64.43161781829069</c:v>
                </c:pt>
              </c:numCache>
            </c:numRef>
          </c:val>
          <c:extLst>
            <c:ext xmlns:c16="http://schemas.microsoft.com/office/drawing/2014/chart" uri="{C3380CC4-5D6E-409C-BE32-E72D297353CC}">
              <c16:uniqueId val="{00000002-D6C8-497D-A7EC-FEB8E55043E5}"/>
            </c:ext>
          </c:extLst>
        </c:ser>
        <c:dLbls>
          <c:showLegendKey val="0"/>
          <c:showVal val="0"/>
          <c:showCatName val="0"/>
          <c:showSerName val="0"/>
          <c:showPercent val="0"/>
          <c:showBubbleSize val="0"/>
        </c:dLbls>
        <c:gapWidth val="100"/>
        <c:axId val="573876864"/>
        <c:axId val="573886848"/>
      </c:barChart>
      <c:catAx>
        <c:axId val="573876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3886848"/>
        <c:crosses val="autoZero"/>
        <c:auto val="1"/>
        <c:lblAlgn val="ctr"/>
        <c:lblOffset val="100"/>
        <c:noMultiLvlLbl val="0"/>
      </c:catAx>
      <c:valAx>
        <c:axId val="5738868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387686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ICPC held within 15 Days of S47 </a:t>
            </a:r>
          </a:p>
          <a:p>
            <a:pPr>
              <a:defRPr sz="1000" b="1" i="0" u="none" strike="noStrike" baseline="0">
                <a:solidFill>
                  <a:srgbClr val="000000"/>
                </a:solidFill>
                <a:latin typeface="Arial"/>
                <a:ea typeface="Arial"/>
                <a:cs typeface="Arial"/>
              </a:defRPr>
            </a:pPr>
            <a:r>
              <a:rPr lang="en-GB"/>
              <a:t>(Selected LA</a:t>
            </a:r>
            <a:r>
              <a:rPr lang="en-GB" baseline="0"/>
              <a:t> vs. SE &amp; National)</a:t>
            </a:r>
            <a:r>
              <a:rPr lang="en-GB"/>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'Initial CP Conferences'!$AA$4</c:f>
              <c:strCache>
                <c:ptCount val="1"/>
                <c:pt idx="0">
                  <c:v>Selected LA- (none)</c:v>
                </c:pt>
              </c:strCache>
            </c:strRef>
          </c:tx>
          <c:spPr>
            <a:solidFill>
              <a:srgbClr val="66FF99"/>
            </a:solidFill>
            <a:ln>
              <a:solidFill>
                <a:schemeClr val="tx1">
                  <a:lumMod val="75000"/>
                  <a:lumOff val="25000"/>
                </a:schemeClr>
              </a:solidFill>
            </a:ln>
          </c:spPr>
          <c:invertIfNegative val="0"/>
          <c:cat>
            <c:strRef>
              <c:f>'Initial CP Conferences'!$Z$2:$AD$3</c:f>
              <c:strCache>
                <c:ptCount val="5"/>
                <c:pt idx="0">
                  <c:v>2015-16</c:v>
                </c:pt>
                <c:pt idx="1">
                  <c:v>2016-17</c:v>
                </c:pt>
                <c:pt idx="2">
                  <c:v>2017-18</c:v>
                </c:pt>
                <c:pt idx="3">
                  <c:v>2018-19</c:v>
                </c:pt>
                <c:pt idx="4">
                  <c:v>2019-20</c:v>
                </c:pt>
              </c:strCache>
            </c:strRef>
          </c:cat>
          <c:val>
            <c:numRef>
              <c:f>'Initial CP Conferences'!$AX$65:$BB$65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0285-43C9-A85A-48C51020495B}"/>
            </c:ext>
          </c:extLst>
        </c:ser>
        <c:ser>
          <c:idx val="4"/>
          <c:order val="1"/>
          <c:tx>
            <c:strRef>
              <c:f>'Initial CP Conferences'!$B$170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'Initial CP Conferences'!$Z$2:$AD$3</c:f>
              <c:strCache>
                <c:ptCount val="5"/>
                <c:pt idx="0">
                  <c:v>2015-16</c:v>
                </c:pt>
                <c:pt idx="1">
                  <c:v>2016-17</c:v>
                </c:pt>
                <c:pt idx="2">
                  <c:v>2017-18</c:v>
                </c:pt>
                <c:pt idx="3">
                  <c:v>2018-19</c:v>
                </c:pt>
                <c:pt idx="4">
                  <c:v>2019-20</c:v>
                </c:pt>
              </c:strCache>
            </c:strRef>
          </c:cat>
          <c:val>
            <c:numRef>
              <c:f>'Initial CP Conferences'!$D$170:$H$170</c:f>
              <c:numCache>
                <c:formatCode>0%</c:formatCode>
                <c:ptCount val="5"/>
                <c:pt idx="0">
                  <c:v>0.72217353198948286</c:v>
                </c:pt>
                <c:pt idx="1">
                  <c:v>0.75021758050478682</c:v>
                </c:pt>
                <c:pt idx="2">
                  <c:v>0.74979558462796403</c:v>
                </c:pt>
                <c:pt idx="3">
                  <c:v>0.77226890756302524</c:v>
                </c:pt>
                <c:pt idx="4">
                  <c:v>0.75927452596867273</c:v>
                </c:pt>
              </c:numCache>
            </c:numRef>
          </c:val>
          <c:extLst>
            <c:ext xmlns:c16="http://schemas.microsoft.com/office/drawing/2014/chart" uri="{C3380CC4-5D6E-409C-BE32-E72D297353CC}">
              <c16:uniqueId val="{00000001-0285-43C9-A85A-48C51020495B}"/>
            </c:ext>
          </c:extLst>
        </c:ser>
        <c:ser>
          <c:idx val="0"/>
          <c:order val="2"/>
          <c:tx>
            <c:strRef>
              <c:f>'Initial CP Conferences'!$B$171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'Initial CP Conferences'!$Z$2:$AD$3</c:f>
              <c:strCache>
                <c:ptCount val="5"/>
                <c:pt idx="0">
                  <c:v>2015-16</c:v>
                </c:pt>
                <c:pt idx="1">
                  <c:v>2016-17</c:v>
                </c:pt>
                <c:pt idx="2">
                  <c:v>2017-18</c:v>
                </c:pt>
                <c:pt idx="3">
                  <c:v>2018-19</c:v>
                </c:pt>
                <c:pt idx="4">
                  <c:v>2019-20</c:v>
                </c:pt>
              </c:strCache>
            </c:strRef>
          </c:cat>
          <c:val>
            <c:numRef>
              <c:f>'Initial CP Conferences'!$D$171:$H$171</c:f>
              <c:numCache>
                <c:formatCode>0%</c:formatCode>
                <c:ptCount val="5"/>
                <c:pt idx="0">
                  <c:v>0.76659822039698833</c:v>
                </c:pt>
                <c:pt idx="1">
                  <c:v>0.77226049655531004</c:v>
                </c:pt>
                <c:pt idx="2">
                  <c:v>0.76947275701522588</c:v>
                </c:pt>
                <c:pt idx="3">
                  <c:v>0.7870609504132231</c:v>
                </c:pt>
                <c:pt idx="4">
                  <c:v>0.77655866787143413</c:v>
                </c:pt>
              </c:numCache>
            </c:numRef>
          </c:val>
          <c:extLst>
            <c:ext xmlns:c16="http://schemas.microsoft.com/office/drawing/2014/chart" uri="{C3380CC4-5D6E-409C-BE32-E72D297353CC}">
              <c16:uniqueId val="{00000002-0285-43C9-A85A-48C51020495B}"/>
            </c:ext>
          </c:extLst>
        </c:ser>
        <c:dLbls>
          <c:showLegendKey val="0"/>
          <c:showVal val="0"/>
          <c:showCatName val="0"/>
          <c:showSerName val="0"/>
          <c:showPercent val="0"/>
          <c:showBubbleSize val="0"/>
        </c:dLbls>
        <c:gapWidth val="100"/>
        <c:axId val="563914624"/>
        <c:axId val="563916160"/>
      </c:barChart>
      <c:catAx>
        <c:axId val="563914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916160"/>
        <c:crosses val="autoZero"/>
        <c:auto val="1"/>
        <c:lblAlgn val="ctr"/>
        <c:lblOffset val="100"/>
        <c:noMultiLvlLbl val="0"/>
      </c:catAx>
      <c:valAx>
        <c:axId val="56391616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914624"/>
        <c:crosses val="autoZero"/>
        <c:crossBetween val="between"/>
      </c:valAx>
      <c:spPr>
        <a:noFill/>
        <a:ln w="3175">
          <a:solidFill>
            <a:srgbClr val="000000"/>
          </a:solidFill>
          <a:prstDash val="solid"/>
        </a:ln>
      </c:spPr>
    </c:plotArea>
    <c:legend>
      <c:legendPos val="r"/>
      <c:layout>
        <c:manualLayout>
          <c:xMode val="edge"/>
          <c:yMode val="edge"/>
          <c:x val="0.76285848052777183"/>
          <c:y val="0.21128233970753657"/>
          <c:w val="0.23714151947222814"/>
          <c:h val="0.64344081989751278"/>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Initial CP Conferences held within 15 days of the Section 47 Enquiry which led to the Conference</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'Initial CP Conferences'!$AL$41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6EFE-4180-9347-D63D94A5CEEA}"/>
              </c:ext>
            </c:extLst>
          </c:dPt>
          <c:cat>
            <c:strRef>
              <c:f>'Initial CP Conferences'!$Z$2:$AD$3</c:f>
              <c:strCache>
                <c:ptCount val="5"/>
                <c:pt idx="0">
                  <c:v>2015-16</c:v>
                </c:pt>
                <c:pt idx="1">
                  <c:v>2016-17</c:v>
                </c:pt>
                <c:pt idx="2">
                  <c:v>2017-18</c:v>
                </c:pt>
                <c:pt idx="3">
                  <c:v>2018-19</c:v>
                </c:pt>
                <c:pt idx="4">
                  <c:v>2019-20</c:v>
                </c:pt>
              </c:strCache>
            </c:strRef>
          </c:cat>
          <c:val>
            <c:numRef>
              <c:f>'Initial CP Conferences'!$AX$41:$BB$41</c:f>
              <c:numCache>
                <c:formatCode>0.0%</c:formatCode>
                <c:ptCount val="5"/>
                <c:pt idx="0">
                  <c:v>0.66455696202531644</c:v>
                </c:pt>
                <c:pt idx="1">
                  <c:v>0.73946360153256707</c:v>
                </c:pt>
                <c:pt idx="2">
                  <c:v>0.82553191489361699</c:v>
                </c:pt>
                <c:pt idx="3">
                  <c:v>0.7865612648221344</c:v>
                </c:pt>
                <c:pt idx="4">
                  <c:v>0.77431906614785995</c:v>
                </c:pt>
              </c:numCache>
            </c:numRef>
          </c:val>
          <c:smooth val="0"/>
          <c:extLst>
            <c:ext xmlns:c16="http://schemas.microsoft.com/office/drawing/2014/chart" uri="{C3380CC4-5D6E-409C-BE32-E72D297353CC}">
              <c16:uniqueId val="{00000001-6EFE-4180-9347-D63D94A5CEEA}"/>
            </c:ext>
          </c:extLst>
        </c:ser>
        <c:ser>
          <c:idx val="1"/>
          <c:order val="1"/>
          <c:tx>
            <c:strRef>
              <c:f>'Initial CP Conferences'!$AL$42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Conferences'!$AX$42:$BB$42</c:f>
              <c:numCache>
                <c:formatCode>0.0%</c:formatCode>
                <c:ptCount val="5"/>
                <c:pt idx="0">
                  <c:v>0.63602941176470584</c:v>
                </c:pt>
                <c:pt idx="1">
                  <c:v>0.66029723991507427</c:v>
                </c:pt>
                <c:pt idx="2">
                  <c:v>0.87318087318087323</c:v>
                </c:pt>
                <c:pt idx="3">
                  <c:v>0.82864450127877243</c:v>
                </c:pt>
                <c:pt idx="4">
                  <c:v>0.89699570815450647</c:v>
                </c:pt>
              </c:numCache>
            </c:numRef>
          </c:val>
          <c:smooth val="0"/>
          <c:extLst>
            <c:ext xmlns:c16="http://schemas.microsoft.com/office/drawing/2014/chart" uri="{C3380CC4-5D6E-409C-BE32-E72D297353CC}">
              <c16:uniqueId val="{00000002-6EFE-4180-9347-D63D94A5CEEA}"/>
            </c:ext>
          </c:extLst>
        </c:ser>
        <c:ser>
          <c:idx val="2"/>
          <c:order val="2"/>
          <c:tx>
            <c:strRef>
              <c:f>'Initial CP Conferences'!$AL$43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Conferences'!$AX$43:$BB$43</c:f>
              <c:numCache>
                <c:formatCode>0.0%</c:formatCode>
                <c:ptCount val="5"/>
                <c:pt idx="0">
                  <c:v>0.68891855807743663</c:v>
                </c:pt>
                <c:pt idx="1">
                  <c:v>0.69630484988452657</c:v>
                </c:pt>
                <c:pt idx="2">
                  <c:v>0.73201856148491884</c:v>
                </c:pt>
                <c:pt idx="3">
                  <c:v>0.73525721455457971</c:v>
                </c:pt>
                <c:pt idx="4">
                  <c:v>0.7537922987164527</c:v>
                </c:pt>
              </c:numCache>
            </c:numRef>
          </c:val>
          <c:smooth val="0"/>
          <c:extLst>
            <c:ext xmlns:c16="http://schemas.microsoft.com/office/drawing/2014/chart" uri="{C3380CC4-5D6E-409C-BE32-E72D297353CC}">
              <c16:uniqueId val="{00000003-6EFE-4180-9347-D63D94A5CEEA}"/>
            </c:ext>
          </c:extLst>
        </c:ser>
        <c:ser>
          <c:idx val="5"/>
          <c:order val="3"/>
          <c:tx>
            <c:strRef>
              <c:f>'Initial CP Conferences'!$AL$44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Conferences'!$AX$44:$BB$44</c:f>
              <c:numCache>
                <c:formatCode>0.0%</c:formatCode>
                <c:ptCount val="5"/>
                <c:pt idx="0">
                  <c:v>0.6045548654244306</c:v>
                </c:pt>
                <c:pt idx="1">
                  <c:v>0.59808612440191389</c:v>
                </c:pt>
                <c:pt idx="2">
                  <c:v>0.57665260196905765</c:v>
                </c:pt>
                <c:pt idx="3">
                  <c:v>0.75174337517433754</c:v>
                </c:pt>
                <c:pt idx="4">
                  <c:v>0.81368267831149932</c:v>
                </c:pt>
              </c:numCache>
            </c:numRef>
          </c:val>
          <c:smooth val="0"/>
          <c:extLst>
            <c:ext xmlns:c16="http://schemas.microsoft.com/office/drawing/2014/chart" uri="{C3380CC4-5D6E-409C-BE32-E72D297353CC}">
              <c16:uniqueId val="{00000004-6EFE-4180-9347-D63D94A5CEEA}"/>
            </c:ext>
          </c:extLst>
        </c:ser>
        <c:ser>
          <c:idx val="9"/>
          <c:order val="4"/>
          <c:tx>
            <c:strRef>
              <c:f>'Initial CP Conferences'!$AL$45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Conferences'!$AX$45:$BB$45</c:f>
              <c:numCache>
                <c:formatCode>0.0%</c:formatCode>
                <c:ptCount val="5"/>
                <c:pt idx="0">
                  <c:v>0.70842105263157895</c:v>
                </c:pt>
                <c:pt idx="1">
                  <c:v>0.76779026217228463</c:v>
                </c:pt>
                <c:pt idx="2">
                  <c:v>0.77073991031390132</c:v>
                </c:pt>
                <c:pt idx="3">
                  <c:v>0.7531214528944381</c:v>
                </c:pt>
                <c:pt idx="4">
                  <c:v>0.77097791798107251</c:v>
                </c:pt>
              </c:numCache>
            </c:numRef>
          </c:val>
          <c:smooth val="0"/>
          <c:extLst>
            <c:ext xmlns:c16="http://schemas.microsoft.com/office/drawing/2014/chart" uri="{C3380CC4-5D6E-409C-BE32-E72D297353CC}">
              <c16:uniqueId val="{00000005-6EFE-4180-9347-D63D94A5CEEA}"/>
            </c:ext>
          </c:extLst>
        </c:ser>
        <c:ser>
          <c:idx val="10"/>
          <c:order val="5"/>
          <c:tx>
            <c:strRef>
              <c:f>'Initial CP Conferences'!$AL$46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Conferences'!$AX$46:$BB$46</c:f>
              <c:numCache>
                <c:formatCode>0.0%</c:formatCode>
                <c:ptCount val="5"/>
                <c:pt idx="0">
                  <c:v>0.57066666666666666</c:v>
                </c:pt>
                <c:pt idx="1">
                  <c:v>0.75694444444444442</c:v>
                </c:pt>
                <c:pt idx="2">
                  <c:v>0.8487084870848709</c:v>
                </c:pt>
                <c:pt idx="3">
                  <c:v>0.80952380952380953</c:v>
                </c:pt>
                <c:pt idx="4">
                  <c:v>0.83116883116883122</c:v>
                </c:pt>
              </c:numCache>
            </c:numRef>
          </c:val>
          <c:smooth val="0"/>
          <c:extLst>
            <c:ext xmlns:c16="http://schemas.microsoft.com/office/drawing/2014/chart" uri="{C3380CC4-5D6E-409C-BE32-E72D297353CC}">
              <c16:uniqueId val="{00000006-6EFE-4180-9347-D63D94A5CEEA}"/>
            </c:ext>
          </c:extLst>
        </c:ser>
        <c:ser>
          <c:idx val="11"/>
          <c:order val="6"/>
          <c:tx>
            <c:strRef>
              <c:f>'Initial CP Conferences'!$AL$47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Conferences'!$AX$47:$BB$47</c:f>
              <c:numCache>
                <c:formatCode>0.0%</c:formatCode>
                <c:ptCount val="5"/>
                <c:pt idx="0">
                  <c:v>0.82956746287927696</c:v>
                </c:pt>
                <c:pt idx="1">
                  <c:v>0.84337349397590367</c:v>
                </c:pt>
                <c:pt idx="2">
                  <c:v>0.74914869466515321</c:v>
                </c:pt>
                <c:pt idx="3">
                  <c:v>0.87539732994278452</c:v>
                </c:pt>
                <c:pt idx="4">
                  <c:v>0.86744868035190614</c:v>
                </c:pt>
              </c:numCache>
            </c:numRef>
          </c:val>
          <c:smooth val="0"/>
          <c:extLst>
            <c:ext xmlns:c16="http://schemas.microsoft.com/office/drawing/2014/chart" uri="{C3380CC4-5D6E-409C-BE32-E72D297353CC}">
              <c16:uniqueId val="{00000007-6EFE-4180-9347-D63D94A5CEEA}"/>
            </c:ext>
          </c:extLst>
        </c:ser>
        <c:ser>
          <c:idx val="12"/>
          <c:order val="7"/>
          <c:tx>
            <c:strRef>
              <c:f>'Initial CP Conferences'!$AL$48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Conferences'!$AX$48:$BB$48</c:f>
              <c:numCache>
                <c:formatCode>0.0%</c:formatCode>
                <c:ptCount val="5"/>
                <c:pt idx="0">
                  <c:v>0.88797364085667219</c:v>
                </c:pt>
                <c:pt idx="1">
                  <c:v>0.88319088319088324</c:v>
                </c:pt>
                <c:pt idx="2">
                  <c:v>0.87593052109181146</c:v>
                </c:pt>
                <c:pt idx="3">
                  <c:v>0.74909747292418771</c:v>
                </c:pt>
                <c:pt idx="4">
                  <c:v>0.73913043478260865</c:v>
                </c:pt>
              </c:numCache>
            </c:numRef>
          </c:val>
          <c:smooth val="0"/>
          <c:extLst>
            <c:ext xmlns:c16="http://schemas.microsoft.com/office/drawing/2014/chart" uri="{C3380CC4-5D6E-409C-BE32-E72D297353CC}">
              <c16:uniqueId val="{00000008-6EFE-4180-9347-D63D94A5CEEA}"/>
            </c:ext>
          </c:extLst>
        </c:ser>
        <c:ser>
          <c:idx val="13"/>
          <c:order val="8"/>
          <c:tx>
            <c:strRef>
              <c:f>'Initial CP Conferences'!$AL$49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Conferences'!$AX$49:$BB$49</c:f>
              <c:numCache>
                <c:formatCode>0.0%</c:formatCode>
                <c:ptCount val="5"/>
                <c:pt idx="0">
                  <c:v>0.93333333333333335</c:v>
                </c:pt>
                <c:pt idx="1">
                  <c:v>0.87074829931972786</c:v>
                </c:pt>
                <c:pt idx="2">
                  <c:v>0.94857142857142862</c:v>
                </c:pt>
                <c:pt idx="3">
                  <c:v>0.87387387387387383</c:v>
                </c:pt>
                <c:pt idx="4">
                  <c:v>0.90874524714828897</c:v>
                </c:pt>
              </c:numCache>
            </c:numRef>
          </c:val>
          <c:smooth val="0"/>
          <c:extLst>
            <c:ext xmlns:c16="http://schemas.microsoft.com/office/drawing/2014/chart" uri="{C3380CC4-5D6E-409C-BE32-E72D297353CC}">
              <c16:uniqueId val="{00000009-6EFE-4180-9347-D63D94A5CEEA}"/>
            </c:ext>
          </c:extLst>
        </c:ser>
        <c:ser>
          <c:idx val="15"/>
          <c:order val="9"/>
          <c:tx>
            <c:strRef>
              <c:f>'Initial CP Conferences'!$AL$50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Conferences'!$AX$50:$BB$50</c:f>
              <c:numCache>
                <c:formatCode>0.0%</c:formatCode>
                <c:ptCount val="5"/>
                <c:pt idx="0">
                  <c:v>0.81876606683804631</c:v>
                </c:pt>
                <c:pt idx="1">
                  <c:v>0.89347826086956517</c:v>
                </c:pt>
                <c:pt idx="2">
                  <c:v>0.88952164009111623</c:v>
                </c:pt>
                <c:pt idx="3">
                  <c:v>0.81656804733727806</c:v>
                </c:pt>
                <c:pt idx="4">
                  <c:v>0.78060046189376442</c:v>
                </c:pt>
              </c:numCache>
            </c:numRef>
          </c:val>
          <c:smooth val="0"/>
          <c:extLst>
            <c:ext xmlns:c16="http://schemas.microsoft.com/office/drawing/2014/chart" uri="{C3380CC4-5D6E-409C-BE32-E72D297353CC}">
              <c16:uniqueId val="{0000000A-6EFE-4180-9347-D63D94A5CEEA}"/>
            </c:ext>
          </c:extLst>
        </c:ser>
        <c:ser>
          <c:idx val="16"/>
          <c:order val="10"/>
          <c:tx>
            <c:strRef>
              <c:f>'Initial CP Conferences'!$AL$51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Conferences'!$AX$51:$BB$51</c:f>
              <c:numCache>
                <c:formatCode>0.0%</c:formatCode>
                <c:ptCount val="5"/>
                <c:pt idx="0">
                  <c:v>0.67261904761904767</c:v>
                </c:pt>
                <c:pt idx="1">
                  <c:v>0.77591973244147161</c:v>
                </c:pt>
                <c:pt idx="2">
                  <c:v>0.71844660194174759</c:v>
                </c:pt>
                <c:pt idx="3">
                  <c:v>0.8172413793103448</c:v>
                </c:pt>
                <c:pt idx="4">
                  <c:v>0.86094674556213013</c:v>
                </c:pt>
              </c:numCache>
            </c:numRef>
          </c:val>
          <c:smooth val="0"/>
          <c:extLst>
            <c:ext xmlns:c16="http://schemas.microsoft.com/office/drawing/2014/chart" uri="{C3380CC4-5D6E-409C-BE32-E72D297353CC}">
              <c16:uniqueId val="{0000000B-6EFE-4180-9347-D63D94A5CEEA}"/>
            </c:ext>
          </c:extLst>
        </c:ser>
        <c:ser>
          <c:idx val="17"/>
          <c:order val="11"/>
          <c:tx>
            <c:strRef>
              <c:f>'Initial CP Conferences'!$AL$52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Conferences'!$AX$52:$BB$52</c:f>
              <c:numCache>
                <c:formatCode>0.0%</c:formatCode>
                <c:ptCount val="5"/>
                <c:pt idx="0">
                  <c:v>0.67441860465116277</c:v>
                </c:pt>
                <c:pt idx="1">
                  <c:v>0.84659090909090906</c:v>
                </c:pt>
                <c:pt idx="2">
                  <c:v>0.75421686746987948</c:v>
                </c:pt>
                <c:pt idx="3">
                  <c:v>0.60377358490566035</c:v>
                </c:pt>
                <c:pt idx="4">
                  <c:v>0.78504672897196259</c:v>
                </c:pt>
              </c:numCache>
            </c:numRef>
          </c:val>
          <c:smooth val="0"/>
          <c:extLst>
            <c:ext xmlns:c16="http://schemas.microsoft.com/office/drawing/2014/chart" uri="{C3380CC4-5D6E-409C-BE32-E72D297353CC}">
              <c16:uniqueId val="{0000000C-6EFE-4180-9347-D63D94A5CEEA}"/>
            </c:ext>
          </c:extLst>
        </c:ser>
        <c:ser>
          <c:idx val="19"/>
          <c:order val="12"/>
          <c:tx>
            <c:strRef>
              <c:f>'Initial CP Conferences'!$AL$53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Conferences'!$AX$53:$BB$53</c:f>
              <c:numCache>
                <c:formatCode>0.0%</c:formatCode>
                <c:ptCount val="5"/>
                <c:pt idx="0">
                  <c:v>0.81481481481481477</c:v>
                </c:pt>
                <c:pt idx="1">
                  <c:v>0.81656804733727806</c:v>
                </c:pt>
                <c:pt idx="2">
                  <c:v>0.75547445255474455</c:v>
                </c:pt>
                <c:pt idx="3">
                  <c:v>0.68804664723032072</c:v>
                </c:pt>
                <c:pt idx="4">
                  <c:v>0.40206185567010311</c:v>
                </c:pt>
              </c:numCache>
            </c:numRef>
          </c:val>
          <c:smooth val="0"/>
          <c:extLst>
            <c:ext xmlns:c16="http://schemas.microsoft.com/office/drawing/2014/chart" uri="{C3380CC4-5D6E-409C-BE32-E72D297353CC}">
              <c16:uniqueId val="{0000000D-6EFE-4180-9347-D63D94A5CEEA}"/>
            </c:ext>
          </c:extLst>
        </c:ser>
        <c:ser>
          <c:idx val="3"/>
          <c:order val="13"/>
          <c:tx>
            <c:strRef>
              <c:f>'Initial CP Conferences'!$AL$54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Conferences'!$AX$54:$BB$54</c:f>
              <c:numCache>
                <c:formatCode>0.0%</c:formatCode>
                <c:ptCount val="5"/>
                <c:pt idx="0">
                  <c:v>0.96443514644351469</c:v>
                </c:pt>
                <c:pt idx="1">
                  <c:v>0.94099848714069589</c:v>
                </c:pt>
                <c:pt idx="2">
                  <c:v>0.93344709897610922</c:v>
                </c:pt>
                <c:pt idx="3">
                  <c:v>0.92427184466019419</c:v>
                </c:pt>
                <c:pt idx="4">
                  <c:v>0.9072847682119205</c:v>
                </c:pt>
              </c:numCache>
            </c:numRef>
          </c:val>
          <c:smooth val="0"/>
          <c:extLst>
            <c:ext xmlns:c16="http://schemas.microsoft.com/office/drawing/2014/chart" uri="{C3380CC4-5D6E-409C-BE32-E72D297353CC}">
              <c16:uniqueId val="{0000000E-6EFE-4180-9347-D63D94A5CEEA}"/>
            </c:ext>
          </c:extLst>
        </c:ser>
        <c:ser>
          <c:idx val="20"/>
          <c:order val="14"/>
          <c:tx>
            <c:strRef>
              <c:f>'Initial CP Conferences'!$AL$55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Conferences'!$AX$55:$BB$55</c:f>
              <c:numCache>
                <c:formatCode>0.0%</c:formatCode>
                <c:ptCount val="5"/>
                <c:pt idx="0">
                  <c:v>0.61801801801801803</c:v>
                </c:pt>
                <c:pt idx="1">
                  <c:v>0.68034557235421167</c:v>
                </c:pt>
                <c:pt idx="2">
                  <c:v>0.73929961089494167</c:v>
                </c:pt>
                <c:pt idx="3">
                  <c:v>0.71189979123173275</c:v>
                </c:pt>
                <c:pt idx="4">
                  <c:v>0.55476529160739685</c:v>
                </c:pt>
              </c:numCache>
            </c:numRef>
          </c:val>
          <c:smooth val="0"/>
          <c:extLst>
            <c:ext xmlns:c16="http://schemas.microsoft.com/office/drawing/2014/chart" uri="{C3380CC4-5D6E-409C-BE32-E72D297353CC}">
              <c16:uniqueId val="{0000000F-6EFE-4180-9347-D63D94A5CEEA}"/>
            </c:ext>
          </c:extLst>
        </c:ser>
        <c:ser>
          <c:idx val="22"/>
          <c:order val="15"/>
          <c:tx>
            <c:strRef>
              <c:f>'Initial CP Conferences'!$AL$56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Conferences'!$AX$56:$BB$56</c:f>
              <c:numCache>
                <c:formatCode>0.0%</c:formatCode>
                <c:ptCount val="5"/>
                <c:pt idx="0">
                  <c:v>0.66393442622950816</c:v>
                </c:pt>
                <c:pt idx="1">
                  <c:v>0.68417159763313606</c:v>
                </c:pt>
                <c:pt idx="2">
                  <c:v>0.51447811447811442</c:v>
                </c:pt>
                <c:pt idx="3">
                  <c:v>0.77903118779031189</c:v>
                </c:pt>
                <c:pt idx="4">
                  <c:v>0.82242990654205606</c:v>
                </c:pt>
              </c:numCache>
            </c:numRef>
          </c:val>
          <c:smooth val="0"/>
          <c:extLst>
            <c:ext xmlns:c16="http://schemas.microsoft.com/office/drawing/2014/chart" uri="{C3380CC4-5D6E-409C-BE32-E72D297353CC}">
              <c16:uniqueId val="{00000010-6EFE-4180-9347-D63D94A5CEEA}"/>
            </c:ext>
          </c:extLst>
        </c:ser>
        <c:ser>
          <c:idx val="7"/>
          <c:order val="16"/>
          <c:tx>
            <c:strRef>
              <c:f>'Initial CP Conferences'!$AL$57</c:f>
              <c:strCache>
                <c:ptCount val="1"/>
                <c:pt idx="0">
                  <c:v>Swindon</c:v>
                </c:pt>
              </c:strCache>
            </c:strRef>
          </c:tx>
          <c:spPr>
            <a:ln w="12700"/>
          </c:spPr>
          <c:marker>
            <c:symbol val="triangle"/>
            <c:size val="5"/>
            <c:spPr>
              <a:solidFill>
                <a:schemeClr val="accent2">
                  <a:lumMod val="20000"/>
                  <a:lumOff val="80000"/>
                </a:schemeClr>
              </a:solidFill>
            </c:spPr>
          </c:marker>
          <c:cat>
            <c:strRef>
              <c:f>'Initial CP Conferences'!$Z$2:$AD$3</c:f>
              <c:strCache>
                <c:ptCount val="5"/>
                <c:pt idx="0">
                  <c:v>2015-16</c:v>
                </c:pt>
                <c:pt idx="1">
                  <c:v>2016-17</c:v>
                </c:pt>
                <c:pt idx="2">
                  <c:v>2017-18</c:v>
                </c:pt>
                <c:pt idx="3">
                  <c:v>2018-19</c:v>
                </c:pt>
                <c:pt idx="4">
                  <c:v>2019-20</c:v>
                </c:pt>
              </c:strCache>
            </c:strRef>
          </c:cat>
          <c:val>
            <c:numRef>
              <c:f>'Initial CP Conferences'!$AX$57:$BB$57</c:f>
              <c:numCache>
                <c:formatCode>0.0%</c:formatCode>
                <c:ptCount val="5"/>
                <c:pt idx="0">
                  <c:v>0.78034682080924855</c:v>
                </c:pt>
                <c:pt idx="1">
                  <c:v>0.65374677002583981</c:v>
                </c:pt>
                <c:pt idx="2">
                  <c:v>0.84668989547038331</c:v>
                </c:pt>
                <c:pt idx="3">
                  <c:v>0.68484848484848482</c:v>
                </c:pt>
                <c:pt idx="4">
                  <c:v>0.93525179856115104</c:v>
                </c:pt>
              </c:numCache>
            </c:numRef>
          </c:val>
          <c:smooth val="0"/>
          <c:extLst>
            <c:ext xmlns:c16="http://schemas.microsoft.com/office/drawing/2014/chart" uri="{C3380CC4-5D6E-409C-BE32-E72D297353CC}">
              <c16:uniqueId val="{00000011-6EFE-4180-9347-D63D94A5CEEA}"/>
            </c:ext>
          </c:extLst>
        </c:ser>
        <c:ser>
          <c:idx val="8"/>
          <c:order val="17"/>
          <c:tx>
            <c:strRef>
              <c:f>'Initial CP Conferences'!$AL$58</c:f>
              <c:strCache>
                <c:ptCount val="1"/>
                <c:pt idx="0">
                  <c:v>Torbay</c:v>
                </c:pt>
              </c:strCache>
            </c:strRef>
          </c:tx>
          <c:spPr>
            <a:ln w="12700"/>
          </c:spPr>
          <c:marker>
            <c:symbol val="circle"/>
            <c:size val="5"/>
            <c:spPr>
              <a:solidFill>
                <a:schemeClr val="accent3">
                  <a:lumMod val="20000"/>
                  <a:lumOff val="80000"/>
                </a:schemeClr>
              </a:solidFill>
            </c:spPr>
          </c:marker>
          <c:cat>
            <c:strRef>
              <c:f>'Initial CP Conferences'!$Z$2:$AD$3</c:f>
              <c:strCache>
                <c:ptCount val="5"/>
                <c:pt idx="0">
                  <c:v>2015-16</c:v>
                </c:pt>
                <c:pt idx="1">
                  <c:v>2016-17</c:v>
                </c:pt>
                <c:pt idx="2">
                  <c:v>2017-18</c:v>
                </c:pt>
                <c:pt idx="3">
                  <c:v>2018-19</c:v>
                </c:pt>
                <c:pt idx="4">
                  <c:v>2019-20</c:v>
                </c:pt>
              </c:strCache>
            </c:strRef>
          </c:cat>
          <c:val>
            <c:numRef>
              <c:f>'Initial CP Conferences'!$AX$58:$BB$58</c:f>
              <c:numCache>
                <c:formatCode>0.0%</c:formatCode>
                <c:ptCount val="5"/>
                <c:pt idx="0">
                  <c:v>0.80615384615384611</c:v>
                </c:pt>
                <c:pt idx="1">
                  <c:v>0.90055248618784534</c:v>
                </c:pt>
                <c:pt idx="2">
                  <c:v>0.66850828729281764</c:v>
                </c:pt>
                <c:pt idx="3">
                  <c:v>0.73289902280130292</c:v>
                </c:pt>
                <c:pt idx="4">
                  <c:v>0.71061093247588425</c:v>
                </c:pt>
              </c:numCache>
            </c:numRef>
          </c:val>
          <c:smooth val="0"/>
          <c:extLst>
            <c:ext xmlns:c16="http://schemas.microsoft.com/office/drawing/2014/chart" uri="{C3380CC4-5D6E-409C-BE32-E72D297353CC}">
              <c16:uniqueId val="{00000012-6EFE-4180-9347-D63D94A5CEEA}"/>
            </c:ext>
          </c:extLst>
        </c:ser>
        <c:ser>
          <c:idx val="23"/>
          <c:order val="18"/>
          <c:tx>
            <c:strRef>
              <c:f>'Initial CP Conferences'!$AL$59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Conferences'!$AX$59:$BB$59</c:f>
              <c:numCache>
                <c:formatCode>0.0%</c:formatCode>
                <c:ptCount val="5"/>
                <c:pt idx="0">
                  <c:v>0.94166666666666665</c:v>
                </c:pt>
                <c:pt idx="1">
                  <c:v>0.967741935483871</c:v>
                </c:pt>
                <c:pt idx="2">
                  <c:v>0.96363636363636362</c:v>
                </c:pt>
                <c:pt idx="3">
                  <c:v>0.96138996138996136</c:v>
                </c:pt>
                <c:pt idx="4">
                  <c:v>0.84579439252336452</c:v>
                </c:pt>
              </c:numCache>
            </c:numRef>
          </c:val>
          <c:smooth val="0"/>
          <c:extLst>
            <c:ext xmlns:c16="http://schemas.microsoft.com/office/drawing/2014/chart" uri="{C3380CC4-5D6E-409C-BE32-E72D297353CC}">
              <c16:uniqueId val="{00000013-6EFE-4180-9347-D63D94A5CEEA}"/>
            </c:ext>
          </c:extLst>
        </c:ser>
        <c:ser>
          <c:idx val="24"/>
          <c:order val="19"/>
          <c:tx>
            <c:strRef>
              <c:f>'Initial CP Conferences'!$AL$60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Conferences'!$AX$60:$BB$60</c:f>
              <c:numCache>
                <c:formatCode>0.0%</c:formatCode>
                <c:ptCount val="5"/>
                <c:pt idx="0">
                  <c:v>0.52906110283159469</c:v>
                </c:pt>
                <c:pt idx="1">
                  <c:v>0.42794117647058821</c:v>
                </c:pt>
                <c:pt idx="2">
                  <c:v>0.85078776645041709</c:v>
                </c:pt>
                <c:pt idx="3">
                  <c:v>0.69450800915331812</c:v>
                </c:pt>
                <c:pt idx="4">
                  <c:v>0.60970149253731343</c:v>
                </c:pt>
              </c:numCache>
            </c:numRef>
          </c:val>
          <c:smooth val="0"/>
          <c:extLst>
            <c:ext xmlns:c16="http://schemas.microsoft.com/office/drawing/2014/chart" uri="{C3380CC4-5D6E-409C-BE32-E72D297353CC}">
              <c16:uniqueId val="{00000014-6EFE-4180-9347-D63D94A5CEEA}"/>
            </c:ext>
          </c:extLst>
        </c:ser>
        <c:ser>
          <c:idx val="25"/>
          <c:order val="20"/>
          <c:tx>
            <c:strRef>
              <c:f>'Initial CP Conferences'!$AL$61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Conferences'!$AX$61:$BB$61</c:f>
              <c:numCache>
                <c:formatCode>0.0%</c:formatCode>
                <c:ptCount val="5"/>
                <c:pt idx="0">
                  <c:v>0.86</c:v>
                </c:pt>
                <c:pt idx="1">
                  <c:v>0.82989690721649489</c:v>
                </c:pt>
                <c:pt idx="2">
                  <c:v>0.53284671532846717</c:v>
                </c:pt>
                <c:pt idx="3">
                  <c:v>0.64462809917355368</c:v>
                </c:pt>
                <c:pt idx="4">
                  <c:v>0.5791505791505791</c:v>
                </c:pt>
              </c:numCache>
            </c:numRef>
          </c:val>
          <c:smooth val="0"/>
          <c:extLst>
            <c:ext xmlns:c16="http://schemas.microsoft.com/office/drawing/2014/chart" uri="{C3380CC4-5D6E-409C-BE32-E72D297353CC}">
              <c16:uniqueId val="{00000015-6EFE-4180-9347-D63D94A5CEEA}"/>
            </c:ext>
          </c:extLst>
        </c:ser>
        <c:ser>
          <c:idx val="26"/>
          <c:order val="21"/>
          <c:tx>
            <c:strRef>
              <c:f>'Initial CP Conferences'!$AL$62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Conferences'!$AX$62:$BB$62</c:f>
              <c:numCache>
                <c:formatCode>0.0%</c:formatCode>
                <c:ptCount val="5"/>
                <c:pt idx="0">
                  <c:v>0.96551724137931039</c:v>
                </c:pt>
                <c:pt idx="1">
                  <c:v>0.797752808988764</c:v>
                </c:pt>
                <c:pt idx="2">
                  <c:v>0.82320441988950277</c:v>
                </c:pt>
                <c:pt idx="3">
                  <c:v>0.65625</c:v>
                </c:pt>
                <c:pt idx="4">
                  <c:v>0.87378640776699024</c:v>
                </c:pt>
              </c:numCache>
            </c:numRef>
          </c:val>
          <c:smooth val="0"/>
          <c:extLst>
            <c:ext xmlns:c16="http://schemas.microsoft.com/office/drawing/2014/chart" uri="{C3380CC4-5D6E-409C-BE32-E72D297353CC}">
              <c16:uniqueId val="{00000016-6EFE-4180-9347-D63D94A5CEEA}"/>
            </c:ext>
          </c:extLst>
        </c:ser>
        <c:ser>
          <c:idx val="4"/>
          <c:order val="22"/>
          <c:tx>
            <c:strRef>
              <c:f>'Initial CP Conferences'!$AL$63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Conferences'!$AX$63:$BB$63</c:f>
              <c:numCache>
                <c:formatCode>0.0%</c:formatCode>
                <c:ptCount val="5"/>
                <c:pt idx="0">
                  <c:v>0.72217353198948286</c:v>
                </c:pt>
                <c:pt idx="1">
                  <c:v>0.75021758050478682</c:v>
                </c:pt>
                <c:pt idx="2">
                  <c:v>0.74979558462796403</c:v>
                </c:pt>
                <c:pt idx="3">
                  <c:v>0.77226890756302524</c:v>
                </c:pt>
                <c:pt idx="4">
                  <c:v>0.75927452596867273</c:v>
                </c:pt>
              </c:numCache>
            </c:numRef>
          </c:val>
          <c:smooth val="0"/>
          <c:extLst>
            <c:ext xmlns:c16="http://schemas.microsoft.com/office/drawing/2014/chart" uri="{C3380CC4-5D6E-409C-BE32-E72D297353CC}">
              <c16:uniqueId val="{00000017-6EFE-4180-9347-D63D94A5CEEA}"/>
            </c:ext>
          </c:extLst>
        </c:ser>
        <c:ser>
          <c:idx val="14"/>
          <c:order val="23"/>
          <c:tx>
            <c:strRef>
              <c:f>'Initial CP Conferences'!$AL$64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'Initial CP Conferences'!$Z$2:$AD$3</c:f>
              <c:strCache>
                <c:ptCount val="5"/>
                <c:pt idx="0">
                  <c:v>2015-16</c:v>
                </c:pt>
                <c:pt idx="1">
                  <c:v>2016-17</c:v>
                </c:pt>
                <c:pt idx="2">
                  <c:v>2017-18</c:v>
                </c:pt>
                <c:pt idx="3">
                  <c:v>2018-19</c:v>
                </c:pt>
                <c:pt idx="4">
                  <c:v>2019-20</c:v>
                </c:pt>
              </c:strCache>
            </c:strRef>
          </c:cat>
          <c:val>
            <c:numRef>
              <c:f>'Initial CP Conferences'!$AX$64:$BB$64</c:f>
              <c:numCache>
                <c:formatCode>0.0%</c:formatCode>
                <c:ptCount val="5"/>
                <c:pt idx="0">
                  <c:v>0.76659822039698833</c:v>
                </c:pt>
                <c:pt idx="1">
                  <c:v>0.77226049655531004</c:v>
                </c:pt>
                <c:pt idx="2">
                  <c:v>0.76947275701522588</c:v>
                </c:pt>
                <c:pt idx="3">
                  <c:v>0.7870609504132231</c:v>
                </c:pt>
                <c:pt idx="4">
                  <c:v>0.77655866787143413</c:v>
                </c:pt>
              </c:numCache>
            </c:numRef>
          </c:val>
          <c:smooth val="0"/>
          <c:extLst>
            <c:ext xmlns:c16="http://schemas.microsoft.com/office/drawing/2014/chart" uri="{C3380CC4-5D6E-409C-BE32-E72D297353CC}">
              <c16:uniqueId val="{00000018-6EFE-4180-9347-D63D94A5CEEA}"/>
            </c:ext>
          </c:extLst>
        </c:ser>
        <c:ser>
          <c:idx val="6"/>
          <c:order val="24"/>
          <c:tx>
            <c:strRef>
              <c:f>'Initial CP Conferences'!$AL$65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'Initial CP Conferences'!$Z$2:$AD$3</c:f>
              <c:strCache>
                <c:ptCount val="5"/>
                <c:pt idx="0">
                  <c:v>2015-16</c:v>
                </c:pt>
                <c:pt idx="1">
                  <c:v>2016-17</c:v>
                </c:pt>
                <c:pt idx="2">
                  <c:v>2017-18</c:v>
                </c:pt>
                <c:pt idx="3">
                  <c:v>2018-19</c:v>
                </c:pt>
                <c:pt idx="4">
                  <c:v>2019-20</c:v>
                </c:pt>
              </c:strCache>
            </c:strRef>
          </c:cat>
          <c:val>
            <c:numRef>
              <c:f>'Initial CP Conferences'!$AX$65:$BB$65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6EFE-4180-9347-D63D94A5CEEA}"/>
            </c:ext>
          </c:extLst>
        </c:ser>
        <c:dLbls>
          <c:showLegendKey val="0"/>
          <c:showVal val="0"/>
          <c:showCatName val="0"/>
          <c:showSerName val="0"/>
          <c:showPercent val="0"/>
          <c:showBubbleSize val="0"/>
        </c:dLbls>
        <c:marker val="1"/>
        <c:smooth val="0"/>
        <c:axId val="574200064"/>
        <c:axId val="574206336"/>
      </c:lineChart>
      <c:catAx>
        <c:axId val="574200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206336"/>
        <c:crosses val="autoZero"/>
        <c:auto val="1"/>
        <c:lblAlgn val="ctr"/>
        <c:lblOffset val="100"/>
        <c:tickLblSkip val="1"/>
        <c:tickMarkSkip val="1"/>
        <c:noMultiLvlLbl val="0"/>
      </c:catAx>
      <c:valAx>
        <c:axId val="574206336"/>
        <c:scaling>
          <c:orientation val="minMax"/>
          <c:max val="1"/>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20006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to Early Help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8195087211472747"/>
          <c:y val="3.9088863892013511E-3"/>
        </c:manualLayout>
      </c:layout>
      <c:overlay val="0"/>
      <c:spPr>
        <a:noFill/>
        <a:ln w="25400">
          <a:noFill/>
        </a:ln>
      </c:spPr>
    </c:title>
    <c:autoTitleDeleted val="0"/>
    <c:plotArea>
      <c:layout>
        <c:manualLayout>
          <c:layoutTarget val="inner"/>
          <c:xMode val="edge"/>
          <c:yMode val="edge"/>
          <c:x val="8.9669709427914426E-2"/>
          <c:y val="0.22644606924134483"/>
          <c:w val="0.6458788005481616"/>
          <c:h val="0.51767800301558053"/>
        </c:manualLayout>
      </c:layout>
      <c:barChart>
        <c:barDir val="col"/>
        <c:grouping val="clustered"/>
        <c:varyColors val="0"/>
        <c:ser>
          <c:idx val="4"/>
          <c:order val="0"/>
          <c:tx>
            <c:strRef>
              <c:f>EH_Referrals!$B$32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EH_Referrals!$Z$2:$AD$3</c:f>
              <c:strCache>
                <c:ptCount val="5"/>
                <c:pt idx="0">
                  <c:v>2015-16</c:v>
                </c:pt>
                <c:pt idx="1">
                  <c:v>2016-17</c:v>
                </c:pt>
                <c:pt idx="2">
                  <c:v>2017-18</c:v>
                </c:pt>
                <c:pt idx="3">
                  <c:v>2018-19</c:v>
                </c:pt>
                <c:pt idx="4">
                  <c:v>2019-20</c:v>
                </c:pt>
              </c:strCache>
            </c:strRef>
          </c:cat>
          <c:val>
            <c:numRef>
              <c:f>EH_Referrals!$L$32:$P$32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2601-40AB-AA9E-1E3BFD689636}"/>
            </c:ext>
          </c:extLst>
        </c:ser>
        <c:ser>
          <c:idx val="6"/>
          <c:order val="1"/>
          <c:tx>
            <c:strRef>
              <c:f>EH_Referrals!$Z$4</c:f>
              <c:strCache>
                <c:ptCount val="1"/>
                <c:pt idx="0">
                  <c:v>Selected LA- (none)</c:v>
                </c:pt>
              </c:strCache>
            </c:strRef>
          </c:tx>
          <c:spPr>
            <a:solidFill>
              <a:srgbClr val="66FF99"/>
            </a:solidFill>
            <a:ln>
              <a:solidFill>
                <a:schemeClr val="tx1">
                  <a:lumMod val="75000"/>
                  <a:lumOff val="25000"/>
                </a:schemeClr>
              </a:solidFill>
            </a:ln>
          </c:spPr>
          <c:invertIfNegative val="0"/>
          <c:cat>
            <c:strRef>
              <c:f>EH_Referrals!$Z$2:$AD$3</c:f>
              <c:strCache>
                <c:ptCount val="5"/>
                <c:pt idx="0">
                  <c:v>2015-16</c:v>
                </c:pt>
                <c:pt idx="1">
                  <c:v>2016-17</c:v>
                </c:pt>
                <c:pt idx="2">
                  <c:v>2017-18</c:v>
                </c:pt>
                <c:pt idx="3">
                  <c:v>2018-19</c:v>
                </c:pt>
                <c:pt idx="4">
                  <c:v>2019-20</c:v>
                </c:pt>
              </c:strCache>
            </c:strRef>
          </c:cat>
          <c:val>
            <c:numRef>
              <c:f>EH_Referrals!$AL$63:$AP$63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2601-40AB-AA9E-1E3BFD689636}"/>
            </c:ext>
          </c:extLst>
        </c:ser>
        <c:dLbls>
          <c:showLegendKey val="0"/>
          <c:showVal val="0"/>
          <c:showCatName val="0"/>
          <c:showSerName val="0"/>
          <c:showPercent val="0"/>
          <c:showBubbleSize val="0"/>
        </c:dLbls>
        <c:gapWidth val="150"/>
        <c:axId val="500503680"/>
        <c:axId val="500505216"/>
      </c:barChart>
      <c:catAx>
        <c:axId val="50050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00505216"/>
        <c:crosses val="autoZero"/>
        <c:auto val="1"/>
        <c:lblAlgn val="ctr"/>
        <c:lblOffset val="100"/>
        <c:noMultiLvlLbl val="0"/>
      </c:catAx>
      <c:valAx>
        <c:axId val="50050521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00503680"/>
        <c:crosses val="autoZero"/>
        <c:crossBetween val="between"/>
      </c:valAx>
      <c:spPr>
        <a:noFill/>
        <a:ln w="3175">
          <a:solidFill>
            <a:srgbClr val="000000"/>
          </a:solidFill>
          <a:prstDash val="solid"/>
        </a:ln>
      </c:spPr>
    </c:plotArea>
    <c:legend>
      <c:legendPos val="r"/>
      <c:layout>
        <c:manualLayout>
          <c:xMode val="edge"/>
          <c:yMode val="edge"/>
          <c:x val="0.76538947948793057"/>
          <c:y val="0.2668378952630921"/>
          <c:w val="0.21163194863224155"/>
          <c:h val="0.52135858017747783"/>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Initial CP Conferences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'Initial CP Conferences'!$S$7:$U$7</c:f>
              <c:strCache>
                <c:ptCount val="1"/>
                <c:pt idx="0">
                  <c:v>Distance from Expected 2020</c:v>
                </c:pt>
              </c:strCache>
            </c:strRef>
          </c:tx>
          <c:spPr>
            <a:solidFill>
              <a:srgbClr val="FB994F"/>
            </a:solidFill>
            <a:ln w="25400">
              <a:noFill/>
            </a:ln>
          </c:spPr>
          <c:invertIfNegative val="0"/>
          <c:cat>
            <c:strRef>
              <c:f>'Initial CP Conferences'!$Y$77:$Y$100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Conferences'!$U$10:$U$33</c:f>
              <c:numCache>
                <c:formatCode>0.0</c:formatCode>
                <c:ptCount val="24"/>
                <c:pt idx="0">
                  <c:v>44.247073970789415</c:v>
                </c:pt>
                <c:pt idx="1">
                  <c:v>29.087084558133917</c:v>
                </c:pt>
                <c:pt idx="2">
                  <c:v>23.014266221167617</c:v>
                </c:pt>
                <c:pt idx="3">
                  <c:v>-1.0925363276885776</c:v>
                </c:pt>
                <c:pt idx="4">
                  <c:v>6.259239727065868</c:v>
                </c:pt>
                <c:pt idx="5">
                  <c:v>-8.5120210100525</c:v>
                </c:pt>
                <c:pt idx="6">
                  <c:v>-15.316699037501884</c:v>
                </c:pt>
                <c:pt idx="7">
                  <c:v>29.320802628689805</c:v>
                </c:pt>
                <c:pt idx="8">
                  <c:v>-24.518845498356214</c:v>
                </c:pt>
                <c:pt idx="9">
                  <c:v>9.7827419803998836</c:v>
                </c:pt>
                <c:pt idx="10">
                  <c:v>0.35803701756397288</c:v>
                </c:pt>
                <c:pt idx="11">
                  <c:v>21.306297251253497</c:v>
                </c:pt>
                <c:pt idx="12">
                  <c:v>28.089073118075923</c:v>
                </c:pt>
                <c:pt idx="13">
                  <c:v>-31.800498553567017</c:v>
                </c:pt>
                <c:pt idx="14">
                  <c:v>59.41466333658137</c:v>
                </c:pt>
                <c:pt idx="15">
                  <c:v>-12.174137015705419</c:v>
                </c:pt>
                <c:pt idx="16">
                  <c:v>-7.3163725435625082</c:v>
                </c:pt>
                <c:pt idx="17">
                  <c:v>40.075183550003587</c:v>
                </c:pt>
                <c:pt idx="18">
                  <c:v>14.407449739092442</c:v>
                </c:pt>
                <c:pt idx="19">
                  <c:v>24.167018504031212</c:v>
                </c:pt>
                <c:pt idx="20">
                  <c:v>34.344599283181282</c:v>
                </c:pt>
                <c:pt idx="21">
                  <c:v>13.670285643843293</c:v>
                </c:pt>
                <c:pt idx="22">
                  <c:v>5.9634062197386655</c:v>
                </c:pt>
                <c:pt idx="23">
                  <c:v>-3.9520387800733943</c:v>
                </c:pt>
              </c:numCache>
            </c:numRef>
          </c:val>
          <c:extLst>
            <c:ext xmlns:c16="http://schemas.microsoft.com/office/drawing/2014/chart" uri="{C3380CC4-5D6E-409C-BE32-E72D297353CC}">
              <c16:uniqueId val="{00000000-637B-4265-8BE8-4321B043ABA3}"/>
            </c:ext>
          </c:extLst>
        </c:ser>
        <c:ser>
          <c:idx val="0"/>
          <c:order val="1"/>
          <c:tx>
            <c:strRef>
              <c:f>'Initial CP Conferences'!$AA$4</c:f>
              <c:strCache>
                <c:ptCount val="1"/>
                <c:pt idx="0">
                  <c:v>Selected LA- (none)</c:v>
                </c:pt>
              </c:strCache>
            </c:strRef>
          </c:tx>
          <c:spPr>
            <a:solidFill>
              <a:srgbClr val="66FF99"/>
            </a:solidFill>
            <a:ln w="12700">
              <a:solidFill>
                <a:srgbClr val="000000"/>
              </a:solidFill>
              <a:prstDash val="solid"/>
            </a:ln>
          </c:spPr>
          <c:invertIfNegative val="0"/>
          <c:cat>
            <c:strRef>
              <c:f>'Initial CP Conferences'!$Y$77:$Y$100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637B-4265-8BE8-4321B043ABA3}"/>
            </c:ext>
          </c:extLst>
        </c:ser>
        <c:dLbls>
          <c:showLegendKey val="0"/>
          <c:showVal val="0"/>
          <c:showCatName val="0"/>
          <c:showSerName val="0"/>
          <c:showPercent val="0"/>
          <c:showBubbleSize val="0"/>
        </c:dLbls>
        <c:gapWidth val="40"/>
        <c:overlap val="100"/>
        <c:axId val="563931008"/>
        <c:axId val="563932544"/>
      </c:barChart>
      <c:catAx>
        <c:axId val="56393100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932544"/>
        <c:crossesAt val="0"/>
        <c:auto val="1"/>
        <c:lblAlgn val="ctr"/>
        <c:lblOffset val="100"/>
        <c:noMultiLvlLbl val="0"/>
      </c:catAx>
      <c:valAx>
        <c:axId val="56393254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931008"/>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7065065940831471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'Initial CP Conferences'!$AL$5</c:f>
          <c:strCache>
            <c:ptCount val="1"/>
            <c:pt idx="0">
              <c:v>Average Annual Change in Number of Initial CP Conferences</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'Initial CP Conferences'!$I$7</c:f>
              <c:strCache>
                <c:ptCount val="1"/>
                <c:pt idx="0">
                  <c:v>Average Annual Change </c:v>
                </c:pt>
              </c:strCache>
            </c:strRef>
          </c:tx>
          <c:spPr>
            <a:solidFill>
              <a:srgbClr val="FB994F"/>
            </a:solidFill>
            <a:ln w="25400">
              <a:noFill/>
            </a:ln>
          </c:spPr>
          <c:invertIfNegative val="0"/>
          <c:cat>
            <c:strRef>
              <c:f>'Initial CP Conferences'!$B$10:$B$33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Conferences'!$I$10:$I$33</c:f>
              <c:numCache>
                <c:formatCode>0.0%</c:formatCode>
                <c:ptCount val="24"/>
                <c:pt idx="0">
                  <c:v>0.16117197432509009</c:v>
                </c:pt>
                <c:pt idx="1">
                  <c:v>-2.7063521074493467E-2</c:v>
                </c:pt>
                <c:pt idx="2">
                  <c:v>3.7866404058532477E-2</c:v>
                </c:pt>
                <c:pt idx="3">
                  <c:v>9.9676438052515526E-2</c:v>
                </c:pt>
                <c:pt idx="4">
                  <c:v>-4.3645130813552424E-2</c:v>
                </c:pt>
                <c:pt idx="5">
                  <c:v>-0.19299064678146782</c:v>
                </c:pt>
                <c:pt idx="6">
                  <c:v>3.0132259159790814E-2</c:v>
                </c:pt>
                <c:pt idx="7">
                  <c:v>7.6265700084745536E-2</c:v>
                </c:pt>
                <c:pt idx="8">
                  <c:v>0.21718307593307593</c:v>
                </c:pt>
                <c:pt idx="9">
                  <c:v>3.1033438971557137E-2</c:v>
                </c:pt>
                <c:pt idx="10">
                  <c:v>6.8385841686539675E-3</c:v>
                </c:pt>
                <c:pt idx="11">
                  <c:v>-5.1836489021225111E-2</c:v>
                </c:pt>
                <c:pt idx="12">
                  <c:v>3.9158500833035896E-2</c:v>
                </c:pt>
                <c:pt idx="13">
                  <c:v>-6.634297552196447E-2</c:v>
                </c:pt>
                <c:pt idx="14">
                  <c:v>8.5983238876392448E-2</c:v>
                </c:pt>
                <c:pt idx="15">
                  <c:v>-5.2649939282115442E-2</c:v>
                </c:pt>
                <c:pt idx="16">
                  <c:v>6.4216859471925986E-3</c:v>
                </c:pt>
                <c:pt idx="17">
                  <c:v>-6.2645579625981666E-3</c:v>
                </c:pt>
                <c:pt idx="18">
                  <c:v>-2.2430672712930779E-2</c:v>
                </c:pt>
                <c:pt idx="19">
                  <c:v>0.23584189211162196</c:v>
                </c:pt>
                <c:pt idx="20">
                  <c:v>0.17497327840275528</c:v>
                </c:pt>
                <c:pt idx="21">
                  <c:v>0.21663827737519831</c:v>
                </c:pt>
                <c:pt idx="22">
                  <c:v>9.3033998022916849E-3</c:v>
                </c:pt>
                <c:pt idx="23">
                  <c:v>1.5243624976193148E-2</c:v>
                </c:pt>
              </c:numCache>
            </c:numRef>
          </c:val>
          <c:extLst>
            <c:ext xmlns:c16="http://schemas.microsoft.com/office/drawing/2014/chart" uri="{C3380CC4-5D6E-409C-BE32-E72D297353CC}">
              <c16:uniqueId val="{00000000-D39F-4117-88EF-841DC5674BF1}"/>
            </c:ext>
          </c:extLst>
        </c:ser>
        <c:ser>
          <c:idx val="1"/>
          <c:order val="1"/>
          <c:tx>
            <c:strRef>
              <c:f>'Initial CP Conferences'!$AA$4</c:f>
              <c:strCache>
                <c:ptCount val="1"/>
                <c:pt idx="0">
                  <c:v>Selected LA- (none)</c:v>
                </c:pt>
              </c:strCache>
            </c:strRef>
          </c:tx>
          <c:spPr>
            <a:solidFill>
              <a:srgbClr val="66FF99"/>
            </a:solidFill>
            <a:ln w="12700">
              <a:solidFill>
                <a:srgbClr val="000000"/>
              </a:solidFill>
              <a:prstDash val="solid"/>
            </a:ln>
          </c:spPr>
          <c:invertIfNegative val="0"/>
          <c:cat>
            <c:strRef>
              <c:f>'Initial CP Conferences'!$B$10:$B$33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D39F-4117-88EF-841DC5674BF1}"/>
            </c:ext>
          </c:extLst>
        </c:ser>
        <c:dLbls>
          <c:showLegendKey val="0"/>
          <c:showVal val="0"/>
          <c:showCatName val="0"/>
          <c:showSerName val="0"/>
          <c:showPercent val="0"/>
          <c:showBubbleSize val="0"/>
        </c:dLbls>
        <c:gapWidth val="40"/>
        <c:overlap val="100"/>
        <c:axId val="574263680"/>
        <c:axId val="574265216"/>
      </c:barChart>
      <c:catAx>
        <c:axId val="57426368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265216"/>
        <c:crosses val="autoZero"/>
        <c:auto val="1"/>
        <c:lblAlgn val="ctr"/>
        <c:lblOffset val="100"/>
        <c:noMultiLvlLbl val="0"/>
      </c:catAx>
      <c:valAx>
        <c:axId val="57426521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263680"/>
        <c:crosses val="max"/>
        <c:crossBetween val="between"/>
      </c:valAx>
      <c:spPr>
        <a:noFill/>
        <a:ln w="3175">
          <a:solidFill>
            <a:srgbClr val="000000"/>
          </a:solidFill>
          <a:prstDash val="solid"/>
        </a:ln>
      </c:spPr>
    </c:plotArea>
    <c:legend>
      <c:legendPos val="t"/>
      <c:layout>
        <c:manualLayout>
          <c:xMode val="edge"/>
          <c:yMode val="edge"/>
          <c:x val="0.25031989591044707"/>
          <c:y val="6.5721298726548069E-2"/>
          <c:w val="0.69938219261053902"/>
          <c:h val="5.3237905447004311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ICPC as % of S47 (Selected LA</a:t>
            </a:r>
            <a:r>
              <a:rPr lang="en-GB" baseline="0"/>
              <a:t> vs. SE &amp; National)</a:t>
            </a:r>
            <a:r>
              <a:rPr lang="en-GB"/>
              <a:t> </a:t>
            </a:r>
          </a:p>
        </c:rich>
      </c:tx>
      <c:layout>
        <c:manualLayout>
          <c:xMode val="edge"/>
          <c:yMode val="edge"/>
          <c:x val="0.17770940170940172"/>
          <c:y val="3.8613355148788219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'Initial CP Conferences'!$AA$4</c:f>
              <c:strCache>
                <c:ptCount val="1"/>
                <c:pt idx="0">
                  <c:v>Selected LA- (none)</c:v>
                </c:pt>
              </c:strCache>
            </c:strRef>
          </c:tx>
          <c:spPr>
            <a:solidFill>
              <a:srgbClr val="66FF99"/>
            </a:solidFill>
            <a:ln>
              <a:solidFill>
                <a:schemeClr val="tx1">
                  <a:lumMod val="75000"/>
                  <a:lumOff val="25000"/>
                </a:schemeClr>
              </a:solidFill>
            </a:ln>
          </c:spPr>
          <c:invertIfNegative val="0"/>
          <c:cat>
            <c:strRef>
              <c:f>'Initial CP Conferences'!$Z$2:$AD$3</c:f>
              <c:strCache>
                <c:ptCount val="5"/>
                <c:pt idx="0">
                  <c:v>2015-16</c:v>
                </c:pt>
                <c:pt idx="1">
                  <c:v>2016-17</c:v>
                </c:pt>
                <c:pt idx="2">
                  <c:v>2017-18</c:v>
                </c:pt>
                <c:pt idx="3">
                  <c:v>2018-19</c:v>
                </c:pt>
                <c:pt idx="4">
                  <c:v>2019-20</c:v>
                </c:pt>
              </c:strCache>
            </c:strRef>
          </c:cat>
          <c:val>
            <c:numRef>
              <c:f>'Initial CP Conferences'!$AS$65:$AW$65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E3F4-4C63-9DC7-60922BA98C80}"/>
            </c:ext>
          </c:extLst>
        </c:ser>
        <c:ser>
          <c:idx val="4"/>
          <c:order val="1"/>
          <c:tx>
            <c:strRef>
              <c:f>'Initial CP Conferences'!$B$170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'Initial CP Conferences'!$Z$2:$AD$3</c:f>
              <c:strCache>
                <c:ptCount val="5"/>
                <c:pt idx="0">
                  <c:v>2015-16</c:v>
                </c:pt>
                <c:pt idx="1">
                  <c:v>2016-17</c:v>
                </c:pt>
                <c:pt idx="2">
                  <c:v>2017-18</c:v>
                </c:pt>
                <c:pt idx="3">
                  <c:v>2018-19</c:v>
                </c:pt>
                <c:pt idx="4">
                  <c:v>2019-20</c:v>
                </c:pt>
              </c:strCache>
            </c:strRef>
          </c:cat>
          <c:val>
            <c:numRef>
              <c:f>'Initial CP Conferences'!$D$134:$H$134</c:f>
              <c:numCache>
                <c:formatCode>0%</c:formatCode>
                <c:ptCount val="5"/>
                <c:pt idx="0">
                  <c:v>0.37238903394255873</c:v>
                </c:pt>
                <c:pt idx="1">
                  <c:v>0.37280986372485397</c:v>
                </c:pt>
                <c:pt idx="2">
                  <c:v>0.37746913580246916</c:v>
                </c:pt>
                <c:pt idx="3">
                  <c:v>0.35322054021964977</c:v>
                </c:pt>
                <c:pt idx="4">
                  <c:v>0.34401588201928529</c:v>
                </c:pt>
              </c:numCache>
            </c:numRef>
          </c:val>
          <c:extLst>
            <c:ext xmlns:c16="http://schemas.microsoft.com/office/drawing/2014/chart" uri="{C3380CC4-5D6E-409C-BE32-E72D297353CC}">
              <c16:uniqueId val="{00000001-E3F4-4C63-9DC7-60922BA98C80}"/>
            </c:ext>
          </c:extLst>
        </c:ser>
        <c:ser>
          <c:idx val="0"/>
          <c:order val="2"/>
          <c:tx>
            <c:strRef>
              <c:f>'Initial CP Conferences'!$B$171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'Initial CP Conferences'!$Z$2:$AD$3</c:f>
              <c:strCache>
                <c:ptCount val="5"/>
                <c:pt idx="0">
                  <c:v>2015-16</c:v>
                </c:pt>
                <c:pt idx="1">
                  <c:v>2016-17</c:v>
                </c:pt>
                <c:pt idx="2">
                  <c:v>2017-18</c:v>
                </c:pt>
                <c:pt idx="3">
                  <c:v>2018-19</c:v>
                </c:pt>
                <c:pt idx="4">
                  <c:v>2019-20</c:v>
                </c:pt>
              </c:strCache>
            </c:strRef>
          </c:cat>
          <c:val>
            <c:numRef>
              <c:f>'Initial CP Conferences'!$D$135:$H$135</c:f>
              <c:numCache>
                <c:formatCode>0%</c:formatCode>
                <c:ptCount val="5"/>
                <c:pt idx="0">
                  <c:v>0.42399442799930348</c:v>
                </c:pt>
                <c:pt idx="1">
                  <c:v>0.41482879482340251</c:v>
                </c:pt>
                <c:pt idx="2">
                  <c:v>0.40118128123580193</c:v>
                </c:pt>
                <c:pt idx="3">
                  <c:v>0.38494805388477404</c:v>
                </c:pt>
                <c:pt idx="4">
                  <c:v>0.38542288557213933</c:v>
                </c:pt>
              </c:numCache>
            </c:numRef>
          </c:val>
          <c:extLst>
            <c:ext xmlns:c16="http://schemas.microsoft.com/office/drawing/2014/chart" uri="{C3380CC4-5D6E-409C-BE32-E72D297353CC}">
              <c16:uniqueId val="{00000002-E3F4-4C63-9DC7-60922BA98C80}"/>
            </c:ext>
          </c:extLst>
        </c:ser>
        <c:dLbls>
          <c:showLegendKey val="0"/>
          <c:showVal val="0"/>
          <c:showCatName val="0"/>
          <c:showSerName val="0"/>
          <c:showPercent val="0"/>
          <c:showBubbleSize val="0"/>
        </c:dLbls>
        <c:gapWidth val="100"/>
        <c:axId val="574635008"/>
        <c:axId val="574640896"/>
      </c:barChart>
      <c:catAx>
        <c:axId val="574635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640896"/>
        <c:crosses val="autoZero"/>
        <c:auto val="1"/>
        <c:lblAlgn val="ctr"/>
        <c:lblOffset val="100"/>
        <c:noMultiLvlLbl val="0"/>
      </c:catAx>
      <c:valAx>
        <c:axId val="57464089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63500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Number of Initial CP Conferences as a percentage of Section 47 Enquiries</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'Initial CP Conferences'!$AL$41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750B-4F42-9FA7-B6CC88779032}"/>
              </c:ext>
            </c:extLst>
          </c:dPt>
          <c:cat>
            <c:strRef>
              <c:f>'Initial CP Conferences'!$Z$2:$AD$3</c:f>
              <c:strCache>
                <c:ptCount val="5"/>
                <c:pt idx="0">
                  <c:v>2015-16</c:v>
                </c:pt>
                <c:pt idx="1">
                  <c:v>2016-17</c:v>
                </c:pt>
                <c:pt idx="2">
                  <c:v>2017-18</c:v>
                </c:pt>
                <c:pt idx="3">
                  <c:v>2018-19</c:v>
                </c:pt>
                <c:pt idx="4">
                  <c:v>2019-20</c:v>
                </c:pt>
              </c:strCache>
            </c:strRef>
          </c:cat>
          <c:val>
            <c:numRef>
              <c:f>'Initial CP Conferences'!$AS$41:$AW$41</c:f>
              <c:numCache>
                <c:formatCode>0.0%</c:formatCode>
                <c:ptCount val="5"/>
                <c:pt idx="0">
                  <c:v>0.40101522842639592</c:v>
                </c:pt>
                <c:pt idx="1">
                  <c:v>0.46607142857142858</c:v>
                </c:pt>
                <c:pt idx="2">
                  <c:v>0.37183544303797467</c:v>
                </c:pt>
                <c:pt idx="3">
                  <c:v>0.36039886039886038</c:v>
                </c:pt>
                <c:pt idx="4">
                  <c:v>0.3141809290953545</c:v>
                </c:pt>
              </c:numCache>
            </c:numRef>
          </c:val>
          <c:smooth val="0"/>
          <c:extLst>
            <c:ext xmlns:c16="http://schemas.microsoft.com/office/drawing/2014/chart" uri="{C3380CC4-5D6E-409C-BE32-E72D297353CC}">
              <c16:uniqueId val="{00000001-750B-4F42-9FA7-B6CC88779032}"/>
            </c:ext>
          </c:extLst>
        </c:ser>
        <c:ser>
          <c:idx val="1"/>
          <c:order val="1"/>
          <c:tx>
            <c:strRef>
              <c:f>'Initial CP Conferences'!$AL$42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Conferences'!$AS$42:$AW$42</c:f>
              <c:numCache>
                <c:formatCode>0.0%</c:formatCode>
                <c:ptCount val="5"/>
                <c:pt idx="0">
                  <c:v>0.4759405074365704</c:v>
                </c:pt>
                <c:pt idx="1">
                  <c:v>0.54577056778679023</c:v>
                </c:pt>
                <c:pt idx="2">
                  <c:v>0.54721274175199086</c:v>
                </c:pt>
                <c:pt idx="3">
                  <c:v>0.50257069408740362</c:v>
                </c:pt>
                <c:pt idx="4">
                  <c:v>0.55213270142180093</c:v>
                </c:pt>
              </c:numCache>
            </c:numRef>
          </c:val>
          <c:smooth val="0"/>
          <c:extLst>
            <c:ext xmlns:c16="http://schemas.microsoft.com/office/drawing/2014/chart" uri="{C3380CC4-5D6E-409C-BE32-E72D297353CC}">
              <c16:uniqueId val="{00000002-750B-4F42-9FA7-B6CC88779032}"/>
            </c:ext>
          </c:extLst>
        </c:ser>
        <c:ser>
          <c:idx val="2"/>
          <c:order val="2"/>
          <c:tx>
            <c:strRef>
              <c:f>'Initial CP Conferences'!$AL$43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Conferences'!$AS$43:$AW$43</c:f>
              <c:numCache>
                <c:formatCode>0.0%</c:formatCode>
                <c:ptCount val="5"/>
                <c:pt idx="0">
                  <c:v>0.3892931392931393</c:v>
                </c:pt>
                <c:pt idx="1">
                  <c:v>0.33618012422360249</c:v>
                </c:pt>
                <c:pt idx="2">
                  <c:v>0.34870550161812297</c:v>
                </c:pt>
                <c:pt idx="3">
                  <c:v>0.36660533578656856</c:v>
                </c:pt>
                <c:pt idx="4">
                  <c:v>0.35501242750621376</c:v>
                </c:pt>
              </c:numCache>
            </c:numRef>
          </c:val>
          <c:smooth val="0"/>
          <c:extLst>
            <c:ext xmlns:c16="http://schemas.microsoft.com/office/drawing/2014/chart" uri="{C3380CC4-5D6E-409C-BE32-E72D297353CC}">
              <c16:uniqueId val="{00000003-750B-4F42-9FA7-B6CC88779032}"/>
            </c:ext>
          </c:extLst>
        </c:ser>
        <c:ser>
          <c:idx val="5"/>
          <c:order val="3"/>
          <c:tx>
            <c:strRef>
              <c:f>'Initial CP Conferences'!$AL$44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Conferences'!$AS$44:$AW$44</c:f>
              <c:numCache>
                <c:formatCode>0.0%</c:formatCode>
                <c:ptCount val="5"/>
                <c:pt idx="0">
                  <c:v>0.55645161290322576</c:v>
                </c:pt>
                <c:pt idx="1">
                  <c:v>0.55634427684117127</c:v>
                </c:pt>
                <c:pt idx="2">
                  <c:v>0.53298350824587704</c:v>
                </c:pt>
                <c:pt idx="3">
                  <c:v>0.53950338600451464</c:v>
                </c:pt>
                <c:pt idx="4">
                  <c:v>0.5161532682193839</c:v>
                </c:pt>
              </c:numCache>
            </c:numRef>
          </c:val>
          <c:smooth val="0"/>
          <c:extLst>
            <c:ext xmlns:c16="http://schemas.microsoft.com/office/drawing/2014/chart" uri="{C3380CC4-5D6E-409C-BE32-E72D297353CC}">
              <c16:uniqueId val="{00000004-750B-4F42-9FA7-B6CC88779032}"/>
            </c:ext>
          </c:extLst>
        </c:ser>
        <c:ser>
          <c:idx val="9"/>
          <c:order val="4"/>
          <c:tx>
            <c:strRef>
              <c:f>'Initial CP Conferences'!$AL$45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Conferences'!$AS$45:$AW$45</c:f>
              <c:numCache>
                <c:formatCode>0.0%</c:formatCode>
                <c:ptCount val="5"/>
                <c:pt idx="0">
                  <c:v>0.45432807269249165</c:v>
                </c:pt>
                <c:pt idx="1">
                  <c:v>0.44383756827356924</c:v>
                </c:pt>
                <c:pt idx="2">
                  <c:v>0.46409989594172735</c:v>
                </c:pt>
                <c:pt idx="3">
                  <c:v>0.40815381051656241</c:v>
                </c:pt>
                <c:pt idx="4">
                  <c:v>0.31479642502482624</c:v>
                </c:pt>
              </c:numCache>
            </c:numRef>
          </c:val>
          <c:smooth val="0"/>
          <c:extLst>
            <c:ext xmlns:c16="http://schemas.microsoft.com/office/drawing/2014/chart" uri="{C3380CC4-5D6E-409C-BE32-E72D297353CC}">
              <c16:uniqueId val="{00000005-750B-4F42-9FA7-B6CC88779032}"/>
            </c:ext>
          </c:extLst>
        </c:ser>
        <c:ser>
          <c:idx val="10"/>
          <c:order val="5"/>
          <c:tx>
            <c:strRef>
              <c:f>'Initial CP Conferences'!$AL$46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Conferences'!$AS$46:$AW$46</c:f>
              <c:numCache>
                <c:formatCode>0.0%</c:formatCode>
                <c:ptCount val="5"/>
                <c:pt idx="0">
                  <c:v>0.55473372781065089</c:v>
                </c:pt>
                <c:pt idx="1">
                  <c:v>0.52459016393442626</c:v>
                </c:pt>
                <c:pt idx="2">
                  <c:v>0.48653500897666069</c:v>
                </c:pt>
                <c:pt idx="3">
                  <c:v>0.46107784431137727</c:v>
                </c:pt>
                <c:pt idx="4">
                  <c:v>0.24024960998439937</c:v>
                </c:pt>
              </c:numCache>
            </c:numRef>
          </c:val>
          <c:smooth val="0"/>
          <c:extLst>
            <c:ext xmlns:c16="http://schemas.microsoft.com/office/drawing/2014/chart" uri="{C3380CC4-5D6E-409C-BE32-E72D297353CC}">
              <c16:uniqueId val="{00000006-750B-4F42-9FA7-B6CC88779032}"/>
            </c:ext>
          </c:extLst>
        </c:ser>
        <c:ser>
          <c:idx val="11"/>
          <c:order val="6"/>
          <c:tx>
            <c:strRef>
              <c:f>'Initial CP Conferences'!$AL$47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Conferences'!$AS$47:$AW$47</c:f>
              <c:numCache>
                <c:formatCode>0.0%</c:formatCode>
                <c:ptCount val="5"/>
                <c:pt idx="0">
                  <c:v>0.3254201680672269</c:v>
                </c:pt>
                <c:pt idx="1">
                  <c:v>0.30533415082771304</c:v>
                </c:pt>
                <c:pt idx="2">
                  <c:v>0.28151461894871388</c:v>
                </c:pt>
                <c:pt idx="3">
                  <c:v>0.26151288445552784</c:v>
                </c:pt>
                <c:pt idx="4">
                  <c:v>0.25778651345630482</c:v>
                </c:pt>
              </c:numCache>
            </c:numRef>
          </c:val>
          <c:smooth val="0"/>
          <c:extLst>
            <c:ext xmlns:c16="http://schemas.microsoft.com/office/drawing/2014/chart" uri="{C3380CC4-5D6E-409C-BE32-E72D297353CC}">
              <c16:uniqueId val="{00000007-750B-4F42-9FA7-B6CC88779032}"/>
            </c:ext>
          </c:extLst>
        </c:ser>
        <c:ser>
          <c:idx val="12"/>
          <c:order val="7"/>
          <c:tx>
            <c:strRef>
              <c:f>'Initial CP Conferences'!$AL$48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Conferences'!$AS$48:$AW$48</c:f>
              <c:numCache>
                <c:formatCode>0.0%</c:formatCode>
                <c:ptCount val="5"/>
                <c:pt idx="0">
                  <c:v>0.37216431637032493</c:v>
                </c:pt>
                <c:pt idx="1">
                  <c:v>0.32742537313432835</c:v>
                </c:pt>
                <c:pt idx="2">
                  <c:v>0.34123624047417445</c:v>
                </c:pt>
                <c:pt idx="3">
                  <c:v>0.36713055003313455</c:v>
                </c:pt>
                <c:pt idx="4">
                  <c:v>0.37619853355893967</c:v>
                </c:pt>
              </c:numCache>
            </c:numRef>
          </c:val>
          <c:smooth val="0"/>
          <c:extLst>
            <c:ext xmlns:c16="http://schemas.microsoft.com/office/drawing/2014/chart" uri="{C3380CC4-5D6E-409C-BE32-E72D297353CC}">
              <c16:uniqueId val="{00000008-750B-4F42-9FA7-B6CC88779032}"/>
            </c:ext>
          </c:extLst>
        </c:ser>
        <c:ser>
          <c:idx val="13"/>
          <c:order val="8"/>
          <c:tx>
            <c:strRef>
              <c:f>'Initial CP Conferences'!$AL$49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Conferences'!$AS$49:$AW$49</c:f>
              <c:numCache>
                <c:formatCode>0.0%</c:formatCode>
                <c:ptCount val="5"/>
                <c:pt idx="0">
                  <c:v>0.210896309314587</c:v>
                </c:pt>
                <c:pt idx="1">
                  <c:v>0.18943298969072164</c:v>
                </c:pt>
                <c:pt idx="2">
                  <c:v>0.31362007168458783</c:v>
                </c:pt>
                <c:pt idx="3">
                  <c:v>0.36815920398009949</c:v>
                </c:pt>
                <c:pt idx="4">
                  <c:v>0.32190942472460221</c:v>
                </c:pt>
              </c:numCache>
            </c:numRef>
          </c:val>
          <c:smooth val="0"/>
          <c:extLst>
            <c:ext xmlns:c16="http://schemas.microsoft.com/office/drawing/2014/chart" uri="{C3380CC4-5D6E-409C-BE32-E72D297353CC}">
              <c16:uniqueId val="{00000009-750B-4F42-9FA7-B6CC88779032}"/>
            </c:ext>
          </c:extLst>
        </c:ser>
        <c:ser>
          <c:idx val="15"/>
          <c:order val="9"/>
          <c:tx>
            <c:strRef>
              <c:f>'Initial CP Conferences'!$AL$50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Conferences'!$AS$50:$AW$50</c:f>
              <c:numCache>
                <c:formatCode>0.0%</c:formatCode>
                <c:ptCount val="5"/>
                <c:pt idx="0">
                  <c:v>0.41738197424892703</c:v>
                </c:pt>
                <c:pt idx="1">
                  <c:v>0.47767393561786087</c:v>
                </c:pt>
                <c:pt idx="2">
                  <c:v>0.48642659279778394</c:v>
                </c:pt>
                <c:pt idx="3">
                  <c:v>0.45114789108382275</c:v>
                </c:pt>
                <c:pt idx="4">
                  <c:v>0.45459317585301839</c:v>
                </c:pt>
              </c:numCache>
            </c:numRef>
          </c:val>
          <c:smooth val="0"/>
          <c:extLst>
            <c:ext xmlns:c16="http://schemas.microsoft.com/office/drawing/2014/chart" uri="{C3380CC4-5D6E-409C-BE32-E72D297353CC}">
              <c16:uniqueId val="{0000000A-750B-4F42-9FA7-B6CC88779032}"/>
            </c:ext>
          </c:extLst>
        </c:ser>
        <c:ser>
          <c:idx val="16"/>
          <c:order val="10"/>
          <c:tx>
            <c:strRef>
              <c:f>'Initial CP Conferences'!$AL$51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Conferences'!$AS$51:$AW$51</c:f>
              <c:numCache>
                <c:formatCode>0.0%</c:formatCode>
                <c:ptCount val="5"/>
                <c:pt idx="0">
                  <c:v>0.29268292682926828</c:v>
                </c:pt>
                <c:pt idx="1">
                  <c:v>0.24112903225806451</c:v>
                </c:pt>
                <c:pt idx="2">
                  <c:v>0.30146341463414633</c:v>
                </c:pt>
                <c:pt idx="3">
                  <c:v>0.22086824067022087</c:v>
                </c:pt>
                <c:pt idx="4">
                  <c:v>0.26120556414219476</c:v>
                </c:pt>
              </c:numCache>
            </c:numRef>
          </c:val>
          <c:smooth val="0"/>
          <c:extLst>
            <c:ext xmlns:c16="http://schemas.microsoft.com/office/drawing/2014/chart" uri="{C3380CC4-5D6E-409C-BE32-E72D297353CC}">
              <c16:uniqueId val="{0000000B-750B-4F42-9FA7-B6CC88779032}"/>
            </c:ext>
          </c:extLst>
        </c:ser>
        <c:ser>
          <c:idx val="17"/>
          <c:order val="11"/>
          <c:tx>
            <c:strRef>
              <c:f>'Initial CP Conferences'!$AL$52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Conferences'!$AS$52:$AW$52</c:f>
              <c:numCache>
                <c:formatCode>0.0%</c:formatCode>
                <c:ptCount val="5"/>
                <c:pt idx="0">
                  <c:v>0.44193216855087358</c:v>
                </c:pt>
                <c:pt idx="1">
                  <c:v>0.48440366972477067</c:v>
                </c:pt>
                <c:pt idx="2">
                  <c:v>0.49404761904761907</c:v>
                </c:pt>
                <c:pt idx="3">
                  <c:v>0.41125121241513096</c:v>
                </c:pt>
                <c:pt idx="4">
                  <c:v>0.37109826589595374</c:v>
                </c:pt>
              </c:numCache>
            </c:numRef>
          </c:val>
          <c:smooth val="0"/>
          <c:extLst>
            <c:ext xmlns:c16="http://schemas.microsoft.com/office/drawing/2014/chart" uri="{C3380CC4-5D6E-409C-BE32-E72D297353CC}">
              <c16:uniqueId val="{0000000C-750B-4F42-9FA7-B6CC88779032}"/>
            </c:ext>
          </c:extLst>
        </c:ser>
        <c:ser>
          <c:idx val="19"/>
          <c:order val="12"/>
          <c:tx>
            <c:strRef>
              <c:f>'Initial CP Conferences'!$AL$53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Conferences'!$AS$53:$AW$53</c:f>
              <c:numCache>
                <c:formatCode>0.0%</c:formatCode>
                <c:ptCount val="5"/>
                <c:pt idx="0">
                  <c:v>0.39</c:v>
                </c:pt>
                <c:pt idx="1">
                  <c:v>0.38584474885844749</c:v>
                </c:pt>
                <c:pt idx="2">
                  <c:v>0.38700564971751411</c:v>
                </c:pt>
                <c:pt idx="3">
                  <c:v>0.32236842105263158</c:v>
                </c:pt>
                <c:pt idx="4">
                  <c:v>0.29961389961389961</c:v>
                </c:pt>
              </c:numCache>
            </c:numRef>
          </c:val>
          <c:smooth val="0"/>
          <c:extLst>
            <c:ext xmlns:c16="http://schemas.microsoft.com/office/drawing/2014/chart" uri="{C3380CC4-5D6E-409C-BE32-E72D297353CC}">
              <c16:uniqueId val="{0000000D-750B-4F42-9FA7-B6CC88779032}"/>
            </c:ext>
          </c:extLst>
        </c:ser>
        <c:ser>
          <c:idx val="3"/>
          <c:order val="13"/>
          <c:tx>
            <c:strRef>
              <c:f>'Initial CP Conferences'!$AL$54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Conferences'!$AS$54:$AW$54</c:f>
              <c:numCache>
                <c:formatCode>0.0%</c:formatCode>
                <c:ptCount val="5"/>
                <c:pt idx="0">
                  <c:v>0.36854279105628374</c:v>
                </c:pt>
                <c:pt idx="1">
                  <c:v>0.41915028535193405</c:v>
                </c:pt>
                <c:pt idx="2">
                  <c:v>0.3832570307390451</c:v>
                </c:pt>
                <c:pt idx="3">
                  <c:v>0.42178542178542178</c:v>
                </c:pt>
                <c:pt idx="4">
                  <c:v>0.32719393282773562</c:v>
                </c:pt>
              </c:numCache>
            </c:numRef>
          </c:val>
          <c:smooth val="0"/>
          <c:extLst>
            <c:ext xmlns:c16="http://schemas.microsoft.com/office/drawing/2014/chart" uri="{C3380CC4-5D6E-409C-BE32-E72D297353CC}">
              <c16:uniqueId val="{0000000E-750B-4F42-9FA7-B6CC88779032}"/>
            </c:ext>
          </c:extLst>
        </c:ser>
        <c:ser>
          <c:idx val="20"/>
          <c:order val="14"/>
          <c:tx>
            <c:strRef>
              <c:f>'Initial CP Conferences'!$AL$55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Conferences'!$AS$55:$AW$55</c:f>
              <c:numCache>
                <c:formatCode>0.0%</c:formatCode>
                <c:ptCount val="5"/>
                <c:pt idx="0">
                  <c:v>0.29396186440677968</c:v>
                </c:pt>
                <c:pt idx="1">
                  <c:v>0.34245562130177515</c:v>
                </c:pt>
                <c:pt idx="2">
                  <c:v>0.30378250591016548</c:v>
                </c:pt>
                <c:pt idx="3">
                  <c:v>0.27962638645650906</c:v>
                </c:pt>
                <c:pt idx="4">
                  <c:v>0.33223062381852553</c:v>
                </c:pt>
              </c:numCache>
            </c:numRef>
          </c:val>
          <c:smooth val="0"/>
          <c:extLst>
            <c:ext xmlns:c16="http://schemas.microsoft.com/office/drawing/2014/chart" uri="{C3380CC4-5D6E-409C-BE32-E72D297353CC}">
              <c16:uniqueId val="{0000000F-750B-4F42-9FA7-B6CC88779032}"/>
            </c:ext>
          </c:extLst>
        </c:ser>
        <c:ser>
          <c:idx val="22"/>
          <c:order val="15"/>
          <c:tx>
            <c:strRef>
              <c:f>'Initial CP Conferences'!$AL$56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Conferences'!$AS$56:$AW$56</c:f>
              <c:numCache>
                <c:formatCode>0.0%</c:formatCode>
                <c:ptCount val="5"/>
                <c:pt idx="0">
                  <c:v>0.27177545110269546</c:v>
                </c:pt>
                <c:pt idx="1">
                  <c:v>0.316776007497657</c:v>
                </c:pt>
                <c:pt idx="2">
                  <c:v>0.35654261704681872</c:v>
                </c:pt>
                <c:pt idx="3">
                  <c:v>0.36409760811790287</c:v>
                </c:pt>
                <c:pt idx="4">
                  <c:v>0.3220466516177577</c:v>
                </c:pt>
              </c:numCache>
            </c:numRef>
          </c:val>
          <c:smooth val="0"/>
          <c:extLst>
            <c:ext xmlns:c16="http://schemas.microsoft.com/office/drawing/2014/chart" uri="{C3380CC4-5D6E-409C-BE32-E72D297353CC}">
              <c16:uniqueId val="{00000010-750B-4F42-9FA7-B6CC88779032}"/>
            </c:ext>
          </c:extLst>
        </c:ser>
        <c:ser>
          <c:idx val="7"/>
          <c:order val="16"/>
          <c:tx>
            <c:strRef>
              <c:f>'Initial CP Conferences'!$AL$57</c:f>
              <c:strCache>
                <c:ptCount val="1"/>
                <c:pt idx="0">
                  <c:v>Swindon</c:v>
                </c:pt>
              </c:strCache>
            </c:strRef>
          </c:tx>
          <c:spPr>
            <a:ln w="12700"/>
          </c:spPr>
          <c:marker>
            <c:symbol val="triangle"/>
            <c:size val="5"/>
            <c:spPr>
              <a:solidFill>
                <a:schemeClr val="accent2">
                  <a:lumMod val="20000"/>
                  <a:lumOff val="80000"/>
                </a:schemeClr>
              </a:solidFill>
            </c:spPr>
          </c:marker>
          <c:cat>
            <c:strRef>
              <c:f>'Initial CP Conferences'!$Z$2:$AD$3</c:f>
              <c:strCache>
                <c:ptCount val="5"/>
                <c:pt idx="0">
                  <c:v>2015-16</c:v>
                </c:pt>
                <c:pt idx="1">
                  <c:v>2016-17</c:v>
                </c:pt>
                <c:pt idx="2">
                  <c:v>2017-18</c:v>
                </c:pt>
                <c:pt idx="3">
                  <c:v>2018-19</c:v>
                </c:pt>
                <c:pt idx="4">
                  <c:v>2019-20</c:v>
                </c:pt>
              </c:strCache>
            </c:strRef>
          </c:cat>
          <c:val>
            <c:numRef>
              <c:f>'Initial CP Conferences'!$AS$57:$AW$57</c:f>
              <c:numCache>
                <c:formatCode>0.0%</c:formatCode>
                <c:ptCount val="5"/>
                <c:pt idx="0">
                  <c:v>0.4516971279373368</c:v>
                </c:pt>
                <c:pt idx="1">
                  <c:v>0.42156862745098039</c:v>
                </c:pt>
                <c:pt idx="2">
                  <c:v>0.56607495069033531</c:v>
                </c:pt>
                <c:pt idx="3">
                  <c:v>0.4678638941398866</c:v>
                </c:pt>
                <c:pt idx="4">
                  <c:v>0.26526717557251911</c:v>
                </c:pt>
              </c:numCache>
            </c:numRef>
          </c:val>
          <c:smooth val="0"/>
          <c:extLst>
            <c:ext xmlns:c16="http://schemas.microsoft.com/office/drawing/2014/chart" uri="{C3380CC4-5D6E-409C-BE32-E72D297353CC}">
              <c16:uniqueId val="{00000011-750B-4F42-9FA7-B6CC88779032}"/>
            </c:ext>
          </c:extLst>
        </c:ser>
        <c:ser>
          <c:idx val="8"/>
          <c:order val="17"/>
          <c:tx>
            <c:strRef>
              <c:f>'Initial CP Conferences'!$AL$58</c:f>
              <c:strCache>
                <c:ptCount val="1"/>
                <c:pt idx="0">
                  <c:v>Torbay</c:v>
                </c:pt>
              </c:strCache>
            </c:strRef>
          </c:tx>
          <c:spPr>
            <a:ln w="12700"/>
          </c:spPr>
          <c:marker>
            <c:symbol val="circle"/>
            <c:size val="5"/>
            <c:spPr>
              <a:solidFill>
                <a:schemeClr val="accent3">
                  <a:lumMod val="20000"/>
                  <a:lumOff val="80000"/>
                </a:schemeClr>
              </a:solidFill>
            </c:spPr>
          </c:marker>
          <c:cat>
            <c:strRef>
              <c:f>'Initial CP Conferences'!$Z$2:$AD$3</c:f>
              <c:strCache>
                <c:ptCount val="5"/>
                <c:pt idx="0">
                  <c:v>2015-16</c:v>
                </c:pt>
                <c:pt idx="1">
                  <c:v>2016-17</c:v>
                </c:pt>
                <c:pt idx="2">
                  <c:v>2017-18</c:v>
                </c:pt>
                <c:pt idx="3">
                  <c:v>2018-19</c:v>
                </c:pt>
                <c:pt idx="4">
                  <c:v>2019-20</c:v>
                </c:pt>
              </c:strCache>
            </c:strRef>
          </c:cat>
          <c:val>
            <c:numRef>
              <c:f>'Initial CP Conferences'!$AS$58:$AW$58</c:f>
              <c:numCache>
                <c:formatCode>0.0%</c:formatCode>
                <c:ptCount val="5"/>
                <c:pt idx="0">
                  <c:v>0.41191381495564006</c:v>
                </c:pt>
                <c:pt idx="1">
                  <c:v>0.47631578947368419</c:v>
                </c:pt>
                <c:pt idx="2">
                  <c:v>0.52312138728323698</c:v>
                </c:pt>
                <c:pt idx="3">
                  <c:v>0.39561855670103091</c:v>
                </c:pt>
                <c:pt idx="4">
                  <c:v>0.38537794299876083</c:v>
                </c:pt>
              </c:numCache>
            </c:numRef>
          </c:val>
          <c:smooth val="0"/>
          <c:extLst>
            <c:ext xmlns:c16="http://schemas.microsoft.com/office/drawing/2014/chart" uri="{C3380CC4-5D6E-409C-BE32-E72D297353CC}">
              <c16:uniqueId val="{00000012-750B-4F42-9FA7-B6CC88779032}"/>
            </c:ext>
          </c:extLst>
        </c:ser>
        <c:ser>
          <c:idx val="23"/>
          <c:order val="18"/>
          <c:tx>
            <c:strRef>
              <c:f>'Initial CP Conferences'!$AL$59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Conferences'!$AS$59:$AW$59</c:f>
              <c:numCache>
                <c:formatCode>0.0%</c:formatCode>
                <c:ptCount val="5"/>
                <c:pt idx="0">
                  <c:v>0.37267080745341613</c:v>
                </c:pt>
                <c:pt idx="1">
                  <c:v>0.44846292947558769</c:v>
                </c:pt>
                <c:pt idx="2">
                  <c:v>0.44283413848631242</c:v>
                </c:pt>
                <c:pt idx="3">
                  <c:v>0.46582733812949639</c:v>
                </c:pt>
                <c:pt idx="4">
                  <c:v>0.41392649903288203</c:v>
                </c:pt>
              </c:numCache>
            </c:numRef>
          </c:val>
          <c:smooth val="0"/>
          <c:extLst>
            <c:ext xmlns:c16="http://schemas.microsoft.com/office/drawing/2014/chart" uri="{C3380CC4-5D6E-409C-BE32-E72D297353CC}">
              <c16:uniqueId val="{00000013-750B-4F42-9FA7-B6CC88779032}"/>
            </c:ext>
          </c:extLst>
        </c:ser>
        <c:ser>
          <c:idx val="24"/>
          <c:order val="19"/>
          <c:tx>
            <c:strRef>
              <c:f>'Initial CP Conferences'!$AL$60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Conferences'!$AS$60:$AW$60</c:f>
              <c:numCache>
                <c:formatCode>0.0%</c:formatCode>
                <c:ptCount val="5"/>
                <c:pt idx="0">
                  <c:v>0.37174515235457062</c:v>
                </c:pt>
                <c:pt idx="1">
                  <c:v>0.31350852927616413</c:v>
                </c:pt>
                <c:pt idx="2">
                  <c:v>0.3593073593073593</c:v>
                </c:pt>
                <c:pt idx="3">
                  <c:v>0.30200414651002072</c:v>
                </c:pt>
                <c:pt idx="4">
                  <c:v>0.43506493506493504</c:v>
                </c:pt>
              </c:numCache>
            </c:numRef>
          </c:val>
          <c:smooth val="0"/>
          <c:extLst>
            <c:ext xmlns:c16="http://schemas.microsoft.com/office/drawing/2014/chart" uri="{C3380CC4-5D6E-409C-BE32-E72D297353CC}">
              <c16:uniqueId val="{00000014-750B-4F42-9FA7-B6CC88779032}"/>
            </c:ext>
          </c:extLst>
        </c:ser>
        <c:ser>
          <c:idx val="25"/>
          <c:order val="20"/>
          <c:tx>
            <c:strRef>
              <c:f>'Initial CP Conferences'!$AL$61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Conferences'!$AS$61:$AW$61</c:f>
              <c:numCache>
                <c:formatCode>0.0%</c:formatCode>
                <c:ptCount val="5"/>
                <c:pt idx="0">
                  <c:v>0.45766590389016021</c:v>
                </c:pt>
                <c:pt idx="1">
                  <c:v>0.42450765864332601</c:v>
                </c:pt>
                <c:pt idx="2">
                  <c:v>0.3914285714285714</c:v>
                </c:pt>
                <c:pt idx="3">
                  <c:v>0.23180076628352492</c:v>
                </c:pt>
                <c:pt idx="4">
                  <c:v>0.43383584589614738</c:v>
                </c:pt>
              </c:numCache>
            </c:numRef>
          </c:val>
          <c:smooth val="0"/>
          <c:extLst>
            <c:ext xmlns:c16="http://schemas.microsoft.com/office/drawing/2014/chart" uri="{C3380CC4-5D6E-409C-BE32-E72D297353CC}">
              <c16:uniqueId val="{00000015-750B-4F42-9FA7-B6CC88779032}"/>
            </c:ext>
          </c:extLst>
        </c:ser>
        <c:ser>
          <c:idx val="26"/>
          <c:order val="21"/>
          <c:tx>
            <c:strRef>
              <c:f>'Initial CP Conferences'!$AL$62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Conferences'!$AS$62:$AW$62</c:f>
              <c:numCache>
                <c:formatCode>0.0%</c:formatCode>
                <c:ptCount val="5"/>
                <c:pt idx="0">
                  <c:v>0.41907514450867051</c:v>
                </c:pt>
                <c:pt idx="1">
                  <c:v>0.33840304182509506</c:v>
                </c:pt>
                <c:pt idx="2">
                  <c:v>0.38428874734607221</c:v>
                </c:pt>
                <c:pt idx="3">
                  <c:v>0.39083969465648855</c:v>
                </c:pt>
                <c:pt idx="4">
                  <c:v>0.31692307692307692</c:v>
                </c:pt>
              </c:numCache>
            </c:numRef>
          </c:val>
          <c:smooth val="0"/>
          <c:extLst>
            <c:ext xmlns:c16="http://schemas.microsoft.com/office/drawing/2014/chart" uri="{C3380CC4-5D6E-409C-BE32-E72D297353CC}">
              <c16:uniqueId val="{00000016-750B-4F42-9FA7-B6CC88779032}"/>
            </c:ext>
          </c:extLst>
        </c:ser>
        <c:ser>
          <c:idx val="4"/>
          <c:order val="22"/>
          <c:tx>
            <c:strRef>
              <c:f>'Initial CP Conferences'!$AL$63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'Initial CP Conferences'!$Z$2:$AD$3</c:f>
              <c:strCache>
                <c:ptCount val="5"/>
                <c:pt idx="0">
                  <c:v>2015-16</c:v>
                </c:pt>
                <c:pt idx="1">
                  <c:v>2016-17</c:v>
                </c:pt>
                <c:pt idx="2">
                  <c:v>2017-18</c:v>
                </c:pt>
                <c:pt idx="3">
                  <c:v>2018-19</c:v>
                </c:pt>
                <c:pt idx="4">
                  <c:v>2019-20</c:v>
                </c:pt>
              </c:strCache>
            </c:strRef>
          </c:cat>
          <c:val>
            <c:numRef>
              <c:f>'Initial CP Conferences'!$AS$63:$AW$63</c:f>
              <c:numCache>
                <c:formatCode>0.0%</c:formatCode>
                <c:ptCount val="5"/>
                <c:pt idx="0">
                  <c:v>0.37238903394255873</c:v>
                </c:pt>
                <c:pt idx="1">
                  <c:v>0.37280986372485397</c:v>
                </c:pt>
                <c:pt idx="2">
                  <c:v>0.37746913580246916</c:v>
                </c:pt>
                <c:pt idx="3">
                  <c:v>0.35322054021964977</c:v>
                </c:pt>
                <c:pt idx="4">
                  <c:v>0.34401588201928529</c:v>
                </c:pt>
              </c:numCache>
            </c:numRef>
          </c:val>
          <c:smooth val="0"/>
          <c:extLst>
            <c:ext xmlns:c16="http://schemas.microsoft.com/office/drawing/2014/chart" uri="{C3380CC4-5D6E-409C-BE32-E72D297353CC}">
              <c16:uniqueId val="{00000017-750B-4F42-9FA7-B6CC88779032}"/>
            </c:ext>
          </c:extLst>
        </c:ser>
        <c:ser>
          <c:idx val="14"/>
          <c:order val="23"/>
          <c:tx>
            <c:strRef>
              <c:f>'Initial CP Conferences'!$AL$64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'Initial CP Conferences'!$Z$2:$AD$3</c:f>
              <c:strCache>
                <c:ptCount val="5"/>
                <c:pt idx="0">
                  <c:v>2015-16</c:v>
                </c:pt>
                <c:pt idx="1">
                  <c:v>2016-17</c:v>
                </c:pt>
                <c:pt idx="2">
                  <c:v>2017-18</c:v>
                </c:pt>
                <c:pt idx="3">
                  <c:v>2018-19</c:v>
                </c:pt>
                <c:pt idx="4">
                  <c:v>2019-20</c:v>
                </c:pt>
              </c:strCache>
            </c:strRef>
          </c:cat>
          <c:val>
            <c:numRef>
              <c:f>'Initial CP Conferences'!$AS$64:$AW$64</c:f>
              <c:numCache>
                <c:formatCode>0.0%</c:formatCode>
                <c:ptCount val="5"/>
                <c:pt idx="0">
                  <c:v>0.42399442799930348</c:v>
                </c:pt>
                <c:pt idx="1">
                  <c:v>0.41482879482340251</c:v>
                </c:pt>
                <c:pt idx="2">
                  <c:v>0.40118128123580193</c:v>
                </c:pt>
                <c:pt idx="3">
                  <c:v>0.38494805388477404</c:v>
                </c:pt>
                <c:pt idx="4">
                  <c:v>0.38542288557213933</c:v>
                </c:pt>
              </c:numCache>
            </c:numRef>
          </c:val>
          <c:smooth val="0"/>
          <c:extLst>
            <c:ext xmlns:c16="http://schemas.microsoft.com/office/drawing/2014/chart" uri="{C3380CC4-5D6E-409C-BE32-E72D297353CC}">
              <c16:uniqueId val="{00000018-750B-4F42-9FA7-B6CC88779032}"/>
            </c:ext>
          </c:extLst>
        </c:ser>
        <c:ser>
          <c:idx val="6"/>
          <c:order val="24"/>
          <c:tx>
            <c:strRef>
              <c:f>'Initial CP Conferences'!$AL$65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'Initial CP Conferences'!$Z$2:$AD$3</c:f>
              <c:strCache>
                <c:ptCount val="5"/>
                <c:pt idx="0">
                  <c:v>2015-16</c:v>
                </c:pt>
                <c:pt idx="1">
                  <c:v>2016-17</c:v>
                </c:pt>
                <c:pt idx="2">
                  <c:v>2017-18</c:v>
                </c:pt>
                <c:pt idx="3">
                  <c:v>2018-19</c:v>
                </c:pt>
                <c:pt idx="4">
                  <c:v>2019-20</c:v>
                </c:pt>
              </c:strCache>
            </c:strRef>
          </c:cat>
          <c:val>
            <c:numRef>
              <c:f>'Initial CP Conferences'!$AS$65:$AW$65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750B-4F42-9FA7-B6CC88779032}"/>
            </c:ext>
          </c:extLst>
        </c:ser>
        <c:dLbls>
          <c:showLegendKey val="0"/>
          <c:showVal val="0"/>
          <c:showCatName val="0"/>
          <c:showSerName val="0"/>
          <c:showPercent val="0"/>
          <c:showBubbleSize val="0"/>
        </c:dLbls>
        <c:marker val="1"/>
        <c:smooth val="0"/>
        <c:axId val="574348672"/>
        <c:axId val="574350848"/>
      </c:lineChart>
      <c:catAx>
        <c:axId val="574348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350848"/>
        <c:crosses val="autoZero"/>
        <c:auto val="1"/>
        <c:lblAlgn val="ctr"/>
        <c:lblOffset val="100"/>
        <c:tickLblSkip val="1"/>
        <c:tickMarkSkip val="1"/>
        <c:noMultiLvlLbl val="0"/>
      </c:catAx>
      <c:valAx>
        <c:axId val="5743508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348672"/>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187580807408454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a:t>
            </a:r>
            <a:r>
              <a:rPr lang="en-GB" baseline="0"/>
              <a:t> </a:t>
            </a:r>
            <a:r>
              <a:rPr lang="en-GB"/>
              <a:t>vs. IDACI</a:t>
            </a:r>
          </a:p>
        </c:rich>
      </c:tx>
      <c:layout>
        <c:manualLayout>
          <c:xMode val="edge"/>
          <c:yMode val="edge"/>
          <c:x val="0.2335517291107842"/>
          <c:y val="3.612586628918576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'Initial CP Conferences'!$AR$38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7E64-4E5D-AD68-05FF360E618C}"/>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{EDD4471E-5053-4C7F-B62F-578599D8796B}</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7E64-4E5D-AD68-05FF360E618C}"/>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{3D49A191-B61E-4DF3-A7CF-6C04F116340C}</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7E64-4E5D-AD68-05FF360E618C}"/>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{45409B1E-5101-4B0D-ABFF-780C300A208B}</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7E64-4E5D-AD68-05FF360E618C}"/>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{4F58FEDC-E1FA-4203-B622-AA37F0159A96}</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7E64-4E5D-AD68-05FF360E618C}"/>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{D16AA5B7-C984-4E8B-BB7A-9B083D91C45B}</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7E64-4E5D-AD68-05FF360E618C}"/>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{25D950A6-FC4B-4C43-994F-9160AD499FF6}</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7E64-4E5D-AD68-05FF360E618C}"/>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{E453EBD4-1EA4-48C9-9FA5-BB5CFC6341D7}</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7E64-4E5D-AD68-05FF360E618C}"/>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{864CD67D-C419-44DF-8E56-F306ABB09ADA}</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7E64-4E5D-AD68-05FF360E618C}"/>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{99C65AA6-46FB-4EE3-9639-8C5678710F93}</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7E64-4E5D-AD68-05FF360E618C}"/>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{C599C8AB-C587-4E11-B924-376406C1BCDB}</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7E64-4E5D-AD68-05FF360E618C}"/>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{46E1E8B8-8F64-484D-96B7-640E86D17F5F}</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7E64-4E5D-AD68-05FF360E618C}"/>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{C39D871C-E7DE-4C84-B60D-C863147FCBA5}</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7E64-4E5D-AD68-05FF360E618C}"/>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{9CC0197D-73E4-481D-BDF0-A57138E6BE21}</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7E64-4E5D-AD68-05FF360E618C}"/>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{23EC444E-04C5-42B6-BE0F-D8FEA69E6253}</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7E64-4E5D-AD68-05FF360E618C}"/>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{40576BC4-8532-468F-B36E-0E3D66C02855}</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7E64-4E5D-AD68-05FF360E618C}"/>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{D4C9EA20-E51A-4518-AEEB-0AB14B1E7347}</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7E64-4E5D-AD68-05FF360E618C}"/>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{E9FF2DD1-9AED-4FC8-87C5-3C901A3AFDE2}</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7E64-4E5D-AD68-05FF360E618C}"/>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{24BF2BA6-CA34-450E-9F05-48BDF0E4E0C2}</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7E64-4E5D-AD68-05FF360E618C}"/>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{A959460F-EDBF-4715-9C55-9B4B153F3A9D}</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7E64-4E5D-AD68-05FF360E618C}"/>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('Initial CP Conferences'!$AR$41:$AR$53,'Initial CP Conferences'!$AR$55:$AR$56,'Initial CP Conferences'!$AR$59:$AR$62)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('Initial CP Conferences'!$AQ$41:$AQ$53,'Initial CP Conferences'!$AQ$55:$AQ$56,'Initial CP Conferences'!$AQ$59:$AQ$62)</c:f>
              <c:numCache>
                <c:formatCode>0.0</c:formatCode>
                <c:ptCount val="19"/>
                <c:pt idx="0">
                  <c:v>90.492957746478879</c:v>
                </c:pt>
                <c:pt idx="1">
                  <c:v>92.644135188866798</c:v>
                </c:pt>
                <c:pt idx="2">
                  <c:v>68.178202068416866</c:v>
                </c:pt>
                <c:pt idx="3">
                  <c:v>64.628410159924741</c:v>
                </c:pt>
                <c:pt idx="4">
                  <c:v>55.750967288075977</c:v>
                </c:pt>
                <c:pt idx="5">
                  <c:v>62.348178137651821</c:v>
                </c:pt>
                <c:pt idx="6">
                  <c:v>49.592786503781262</c:v>
                </c:pt>
                <c:pt idx="7">
                  <c:v>102.61538461538461</c:v>
                </c:pt>
                <c:pt idx="8">
                  <c:v>38.22674418604651</c:v>
                </c:pt>
                <c:pt idx="9">
                  <c:v>59.274469541409992</c:v>
                </c:pt>
                <c:pt idx="10">
                  <c:v>77.168949771689498</c:v>
                </c:pt>
                <c:pt idx="11">
                  <c:v>86.756756756756758</c:v>
                </c:pt>
                <c:pt idx="12">
                  <c:v>90.023201856148489</c:v>
                </c:pt>
                <c:pt idx="13">
                  <c:v>137.03703703703704</c:v>
                </c:pt>
                <c:pt idx="14">
                  <c:v>32.448824867323729</c:v>
                </c:pt>
                <c:pt idx="15">
                  <c:v>60.112359550561798</c:v>
                </c:pt>
                <c:pt idx="16">
                  <c:v>76.093128904031801</c:v>
                </c:pt>
                <c:pt idx="17">
                  <c:v>74.639769452449571</c:v>
                </c:pt>
                <c:pt idx="18">
                  <c:v>50.990099009900995</c:v>
                </c:pt>
              </c:numCache>
            </c:numRef>
          </c:yVal>
          <c:smooth val="0"/>
          <c:extLst>
            <c:ext xmlns:c16="http://schemas.microsoft.com/office/drawing/2014/chart" uri="{C3380CC4-5D6E-409C-BE32-E72D297353CC}">
              <c16:uniqueId val="{00000014-7E64-4E5D-AD68-05FF360E618C}"/>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7E64-4E5D-AD68-05FF360E618C}"/>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{CCDC49C0-630F-4090-86D5-7059074985B2}</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7E64-4E5D-AD68-05FF360E618C}"/>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{87F5ADF3-A0FC-4BB2-A92C-D036CBF711AA}</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7E64-4E5D-AD68-05FF360E618C}"/>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{7AE4395F-54A9-4D9C-96FD-AC60511F5FB1}</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7-7E64-4E5D-AD68-05FF360E618C}"/>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('Initial CP Conferences'!$AR$54,'Initial CP Conferences'!$AR$57:$AR$58)</c:f>
              <c:numCache>
                <c:formatCode>0.0</c:formatCode>
                <c:ptCount val="3"/>
                <c:pt idx="0">
                  <c:v>13.600000000000001</c:v>
                </c:pt>
                <c:pt idx="1">
                  <c:v>14.899999999999999</c:v>
                </c:pt>
                <c:pt idx="2">
                  <c:v>21.9</c:v>
                </c:pt>
              </c:numCache>
            </c:numRef>
          </c:xVal>
          <c:yVal>
            <c:numRef>
              <c:f>('Initial CP Conferences'!$AQ$54,'Initial CP Conferences'!$AQ$57:$AQ$58)</c:f>
              <c:numCache>
                <c:formatCode>0.0</c:formatCode>
                <c:ptCount val="3"/>
                <c:pt idx="0">
                  <c:v>27.158273381294961</c:v>
                </c:pt>
                <c:pt idx="1">
                  <c:v>55.158730158730158</c:v>
                </c:pt>
                <c:pt idx="2">
                  <c:v>121.484375</c:v>
                </c:pt>
              </c:numCache>
            </c:numRef>
          </c:yVal>
          <c:smooth val="0"/>
          <c:extLst>
            <c:ext xmlns:c16="http://schemas.microsoft.com/office/drawing/2014/chart" uri="{C3380CC4-5D6E-409C-BE32-E72D297353CC}">
              <c16:uniqueId val="{00000018-7E64-4E5D-AD68-05FF360E618C}"/>
            </c:ext>
          </c:extLst>
        </c:ser>
        <c:ser>
          <c:idx val="1"/>
          <c:order val="2"/>
          <c:tx>
            <c:strRef>
              <c:f>'Initial CP Conferences'!$AA$4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'Initial CP Conferences'!$AR$65</c:f>
              <c:numCache>
                <c:formatCode>0.0</c:formatCode>
                <c:ptCount val="1"/>
                <c:pt idx="0">
                  <c:v>#N/A</c:v>
                </c:pt>
              </c:numCache>
            </c:numRef>
          </c:xVal>
          <c:yVal>
            <c:numRef>
              <c:f>'Initial CP Conferences'!$AQ$65</c:f>
              <c:numCache>
                <c:formatCode>0.0</c:formatCode>
                <c:ptCount val="1"/>
                <c:pt idx="0">
                  <c:v>#N/A</c:v>
                </c:pt>
              </c:numCache>
            </c:numRef>
          </c:yVal>
          <c:smooth val="0"/>
          <c:extLst>
            <c:ext xmlns:c16="http://schemas.microsoft.com/office/drawing/2014/chart" uri="{C3380CC4-5D6E-409C-BE32-E72D297353CC}">
              <c16:uniqueId val="{00000019-7E64-4E5D-AD68-05FF360E618C}"/>
            </c:ext>
          </c:extLst>
        </c:ser>
        <c:ser>
          <c:idx val="4"/>
          <c:order val="3"/>
          <c:tx>
            <c:strRef>
              <c:f>'Initial CP Conferences'!$B$32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'Initial CP Conferences'!$S$32</c:f>
              <c:numCache>
                <c:formatCode>0.0</c:formatCode>
                <c:ptCount val="1"/>
                <c:pt idx="0">
                  <c:v>12.371268250968637</c:v>
                </c:pt>
              </c:numCache>
            </c:numRef>
          </c:xVal>
          <c:yVal>
            <c:numRef>
              <c:f>'Initial CP Conferences'!$O$32</c:f>
              <c:numCache>
                <c:formatCode>0.0</c:formatCode>
                <c:ptCount val="1"/>
                <c:pt idx="0">
                  <c:v>61.598618728417634</c:v>
                </c:pt>
              </c:numCache>
            </c:numRef>
          </c:yVal>
          <c:smooth val="0"/>
          <c:extLst>
            <c:ext xmlns:c16="http://schemas.microsoft.com/office/drawing/2014/chart" uri="{C3380CC4-5D6E-409C-BE32-E72D297353CC}">
              <c16:uniqueId val="{0000001A-7E64-4E5D-AD68-05FF360E618C}"/>
            </c:ext>
          </c:extLst>
        </c:ser>
        <c:ser>
          <c:idx val="2"/>
          <c:order val="4"/>
          <c:tx>
            <c:strRef>
              <c:f>'Initial CP Conferences'!$Y$43</c:f>
              <c:strCache>
                <c:ptCount val="1"/>
                <c:pt idx="0">
                  <c:v>National Trend 2020</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7E64-4E5D-AD68-05FF360E618C}"/>
                </c:ext>
              </c:extLst>
            </c:dLbl>
            <c:dLbl>
              <c:idx val="1"/>
              <c:layout>
                <c:manualLayout>
                  <c:x val="-5.2631578947368314E-2"/>
                  <c:y val="-2.7088036117381489E-2"/>
                </c:manualLayout>
              </c:layout>
              <c:tx>
                <c:strRef>
                  <c:f>'Initial CP Conferences'!$AD$43</c:f>
                  <c:strCache>
                    <c:ptCount val="1"/>
                    <c:pt idx="0">
                      <c:v>r² = 0.287</c:v>
                    </c:pt>
                  </c:strCache>
                </c:strRef>
              </c:tx>
              <c:spPr/>
              <c:txPr>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{4862C671-ADE8-432D-8B69-AEE705F335EC}</c15:txfldGUID>
                      <c15:f>'Initial CP Conferences'!$AD$43</c15:f>
                      <c15:dlblFieldTableCache>
                        <c:ptCount val="1"/>
                        <c:pt idx="0">
                          <c:v>r² = 0.287</c:v>
                        </c:pt>
                      </c15:dlblFieldTableCache>
                    </c15:dlblFTEntry>
                  </c15:dlblFieldTable>
                  <c15:showDataLabelsRange val="0"/>
                </c:ext>
                <c:ext xmlns:c16="http://schemas.microsoft.com/office/drawing/2014/chart" uri="{C3380CC4-5D6E-409C-BE32-E72D297353CC}">
                  <c16:uniqueId val="{0000001C-7E64-4E5D-AD68-05FF360E618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'Initial CP Conferences'!$AB$43:$AB$44</c:f>
              <c:numCache>
                <c:formatCode>General</c:formatCode>
                <c:ptCount val="2"/>
                <c:pt idx="0" formatCode="#,##0.0">
                  <c:v>5</c:v>
                </c:pt>
                <c:pt idx="1">
                  <c:v>35</c:v>
                </c:pt>
              </c:numCache>
            </c:numRef>
          </c:xVal>
          <c:yVal>
            <c:numRef>
              <c:f>'Initial CP Conferences'!$AC$43:$AC$44</c:f>
              <c:numCache>
                <c:formatCode>0.0</c:formatCode>
                <c:ptCount val="2"/>
                <c:pt idx="0">
                  <c:v>35.696891473397379</c:v>
                </c:pt>
                <c:pt idx="1">
                  <c:v>116.84298610641342</c:v>
                </c:pt>
              </c:numCache>
            </c:numRef>
          </c:yVal>
          <c:smooth val="0"/>
          <c:extLst>
            <c:ext xmlns:c16="http://schemas.microsoft.com/office/drawing/2014/chart" uri="{C3380CC4-5D6E-409C-BE32-E72D297353CC}">
              <c16:uniqueId val="{0000001D-7E64-4E5D-AD68-05FF360E618C}"/>
            </c:ext>
          </c:extLst>
        </c:ser>
        <c:ser>
          <c:idx val="5"/>
          <c:order val="5"/>
          <c:tx>
            <c:strRef>
              <c:f>'Initial CP Conferences'!$Y$41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7E64-4E5D-AD68-05FF360E618C}"/>
                </c:ext>
              </c:extLst>
            </c:dLbl>
            <c:dLbl>
              <c:idx val="1"/>
              <c:layout>
                <c:manualLayout>
                  <c:x val="-5.5555555555555448E-2"/>
                  <c:y val="-3.3107599699021821E-2"/>
                </c:manualLayout>
              </c:layout>
              <c:tx>
                <c:strRef>
                  <c:f>'Initial CP Conferences'!$AD$42</c:f>
                  <c:strCache>
                    <c:ptCount val="1"/>
                    <c:pt idx="0">
                      <c:v>r² = 0.239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{B6F8342E-BAD3-46A4-8652-9505D2A959FF}</c15:txfldGUID>
                      <c15:f>'Initial CP Conferences'!$AD$42</c15:f>
                      <c15:dlblFieldTableCache>
                        <c:ptCount val="1"/>
                        <c:pt idx="0">
                          <c:v>r² = 0.239</c:v>
                        </c:pt>
                      </c15:dlblFieldTableCache>
                    </c15:dlblFTEntry>
                  </c15:dlblFieldTable>
                  <c15:showDataLabelsRange val="0"/>
                </c:ext>
                <c:ext xmlns:c16="http://schemas.microsoft.com/office/drawing/2014/chart" uri="{C3380CC4-5D6E-409C-BE32-E72D297353CC}">
                  <c16:uniqueId val="{0000001F-7E64-4E5D-AD68-05FF360E618C}"/>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'Initial CP Conferences'!$AB$41:$AB$42</c:f>
              <c:numCache>
                <c:formatCode>General</c:formatCode>
                <c:ptCount val="2"/>
                <c:pt idx="0" formatCode="#,##0.0">
                  <c:v>5</c:v>
                </c:pt>
                <c:pt idx="1">
                  <c:v>35</c:v>
                </c:pt>
              </c:numCache>
            </c:numRef>
          </c:xVal>
          <c:yVal>
            <c:numRef>
              <c:f>'Initial CP Conferences'!$AC$41:$AC$42</c:f>
              <c:numCache>
                <c:formatCode>0.0</c:formatCode>
                <c:ptCount val="2"/>
                <c:pt idx="0">
                  <c:v>51.439606123784792</c:v>
                </c:pt>
                <c:pt idx="1">
                  <c:v>128.03735963552401</c:v>
                </c:pt>
              </c:numCache>
            </c:numRef>
          </c:yVal>
          <c:smooth val="0"/>
          <c:extLst>
            <c:ext xmlns:c16="http://schemas.microsoft.com/office/drawing/2014/chart" uri="{C3380CC4-5D6E-409C-BE32-E72D297353CC}">
              <c16:uniqueId val="{00000020-7E64-4E5D-AD68-05FF360E618C}"/>
            </c:ext>
          </c:extLst>
        </c:ser>
        <c:dLbls>
          <c:showLegendKey val="0"/>
          <c:showVal val="0"/>
          <c:showCatName val="0"/>
          <c:showSerName val="0"/>
          <c:showPercent val="0"/>
          <c:showBubbleSize val="0"/>
        </c:dLbls>
        <c:axId val="574496128"/>
        <c:axId val="574518784"/>
      </c:scatterChart>
      <c:valAx>
        <c:axId val="574496128"/>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518784"/>
        <c:crosses val="autoZero"/>
        <c:crossBetween val="midCat"/>
        <c:majorUnit val="5"/>
      </c:valAx>
      <c:valAx>
        <c:axId val="57451878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Initial CP Conferences per 10,000 0-17 year olds</a:t>
                </a:r>
              </a:p>
            </c:rich>
          </c:tx>
          <c:layout>
            <c:manualLayout>
              <c:xMode val="edge"/>
              <c:yMode val="edge"/>
              <c:x val="5.1878053704825358E-2"/>
              <c:y val="0.1402947889940723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49612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 Protection</a:t>
            </a:r>
            <a:r>
              <a:rPr lang="en-GB" baseline="0"/>
              <a:t> Plans</a:t>
            </a:r>
            <a:r>
              <a:rPr lang="en-GB"/>
              <a:t>,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'Child Protection Plans'!$AL$41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C265-44B3-B6A4-287E342E3588}"/>
              </c:ext>
            </c:extLst>
          </c:dPt>
          <c:cat>
            <c:strRef>
              <c:f>'Child Protection Plans'!$Z$2:$AD$3</c:f>
              <c:strCache>
                <c:ptCount val="5"/>
                <c:pt idx="0">
                  <c:v>2015-16</c:v>
                </c:pt>
                <c:pt idx="1">
                  <c:v>2016-17</c:v>
                </c:pt>
                <c:pt idx="2">
                  <c:v>2017-18</c:v>
                </c:pt>
                <c:pt idx="3">
                  <c:v>2018-19</c:v>
                </c:pt>
                <c:pt idx="4">
                  <c:v>2019-20</c:v>
                </c:pt>
              </c:strCache>
            </c:strRef>
          </c:cat>
          <c:val>
            <c:numRef>
              <c:f>'Child Protection Plans'!$AM$41:$AQ$41</c:f>
              <c:numCache>
                <c:formatCode>0.0</c:formatCode>
                <c:ptCount val="5"/>
                <c:pt idx="0">
                  <c:v>40.780141843971627</c:v>
                </c:pt>
                <c:pt idx="1">
                  <c:v>62.411347517730498</c:v>
                </c:pt>
                <c:pt idx="2">
                  <c:v>37.366548042704629</c:v>
                </c:pt>
                <c:pt idx="3">
                  <c:v>45.936395759717314</c:v>
                </c:pt>
                <c:pt idx="4">
                  <c:v>42.95774647887324</c:v>
                </c:pt>
              </c:numCache>
            </c:numRef>
          </c:val>
          <c:smooth val="0"/>
          <c:extLst>
            <c:ext xmlns:c16="http://schemas.microsoft.com/office/drawing/2014/chart" uri="{C3380CC4-5D6E-409C-BE32-E72D297353CC}">
              <c16:uniqueId val="{00000001-C265-44B3-B6A4-287E342E3588}"/>
            </c:ext>
          </c:extLst>
        </c:ser>
        <c:ser>
          <c:idx val="1"/>
          <c:order val="1"/>
          <c:tx>
            <c:strRef>
              <c:f>'Child Protection Plans'!$AL$42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Plans'!$AM$42:$AQ$42</c:f>
              <c:numCache>
                <c:formatCode>0.0</c:formatCode>
                <c:ptCount val="5"/>
                <c:pt idx="0">
                  <c:v>76.5625</c:v>
                </c:pt>
                <c:pt idx="1">
                  <c:v>71.539961013645225</c:v>
                </c:pt>
                <c:pt idx="2">
                  <c:v>77.450980392156865</c:v>
                </c:pt>
                <c:pt idx="3">
                  <c:v>61.960784313725483</c:v>
                </c:pt>
                <c:pt idx="4">
                  <c:v>66.600397614314119</c:v>
                </c:pt>
              </c:numCache>
            </c:numRef>
          </c:val>
          <c:smooth val="0"/>
          <c:extLst>
            <c:ext xmlns:c16="http://schemas.microsoft.com/office/drawing/2014/chart" uri="{C3380CC4-5D6E-409C-BE32-E72D297353CC}">
              <c16:uniqueId val="{00000002-C265-44B3-B6A4-287E342E3588}"/>
            </c:ext>
          </c:extLst>
        </c:ser>
        <c:ser>
          <c:idx val="2"/>
          <c:order val="2"/>
          <c:tx>
            <c:strRef>
              <c:f>'Child Protection Plans'!$AL$43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Plans'!$AM$43:$AQ$43</c:f>
              <c:numCache>
                <c:formatCode>0.0</c:formatCode>
                <c:ptCount val="5"/>
                <c:pt idx="0">
                  <c:v>37.645107794361529</c:v>
                </c:pt>
                <c:pt idx="1">
                  <c:v>45.253682487725044</c:v>
                </c:pt>
                <c:pt idx="2">
                  <c:v>51.827782290820473</c:v>
                </c:pt>
                <c:pt idx="3">
                  <c:v>45.213193885760255</c:v>
                </c:pt>
                <c:pt idx="4">
                  <c:v>45.743834526650758</c:v>
                </c:pt>
              </c:numCache>
            </c:numRef>
          </c:val>
          <c:smooth val="0"/>
          <c:extLst>
            <c:ext xmlns:c16="http://schemas.microsoft.com/office/drawing/2014/chart" uri="{C3380CC4-5D6E-409C-BE32-E72D297353CC}">
              <c16:uniqueId val="{00000003-C265-44B3-B6A4-287E342E3588}"/>
            </c:ext>
          </c:extLst>
        </c:ser>
        <c:ser>
          <c:idx val="5"/>
          <c:order val="3"/>
          <c:tx>
            <c:strRef>
              <c:f>'Child Protection Plans'!$AL$44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Plans'!$AM$44:$AQ$44</c:f>
              <c:numCache>
                <c:formatCode>0.0</c:formatCode>
                <c:ptCount val="5"/>
                <c:pt idx="0">
                  <c:v>43.059490084985839</c:v>
                </c:pt>
                <c:pt idx="1">
                  <c:v>44.853635505193573</c:v>
                </c:pt>
                <c:pt idx="2">
                  <c:v>52.830188679245289</c:v>
                </c:pt>
                <c:pt idx="3">
                  <c:v>53.477443609022558</c:v>
                </c:pt>
                <c:pt idx="4">
                  <c:v>50.423330197554094</c:v>
                </c:pt>
              </c:numCache>
            </c:numRef>
          </c:val>
          <c:smooth val="0"/>
          <c:extLst>
            <c:ext xmlns:c16="http://schemas.microsoft.com/office/drawing/2014/chart" uri="{C3380CC4-5D6E-409C-BE32-E72D297353CC}">
              <c16:uniqueId val="{00000004-C265-44B3-B6A4-287E342E3588}"/>
            </c:ext>
          </c:extLst>
        </c:ser>
        <c:ser>
          <c:idx val="9"/>
          <c:order val="4"/>
          <c:tx>
            <c:strRef>
              <c:f>'Child Protection Plans'!$AL$45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Plans'!$AM$45:$AQ$45</c:f>
              <c:numCache>
                <c:formatCode>0.0</c:formatCode>
                <c:ptCount val="5"/>
                <c:pt idx="0">
                  <c:v>51.117417523944667</c:v>
                </c:pt>
                <c:pt idx="1">
                  <c:v>44.660537482319661</c:v>
                </c:pt>
                <c:pt idx="2">
                  <c:v>45.675961877867984</c:v>
                </c:pt>
                <c:pt idx="3">
                  <c:v>38.62676056338028</c:v>
                </c:pt>
                <c:pt idx="4">
                  <c:v>32.993316918747801</c:v>
                </c:pt>
              </c:numCache>
            </c:numRef>
          </c:val>
          <c:smooth val="0"/>
          <c:extLst>
            <c:ext xmlns:c16="http://schemas.microsoft.com/office/drawing/2014/chart" uri="{C3380CC4-5D6E-409C-BE32-E72D297353CC}">
              <c16:uniqueId val="{00000005-C265-44B3-B6A4-287E342E3588}"/>
            </c:ext>
          </c:extLst>
        </c:ser>
        <c:ser>
          <c:idx val="10"/>
          <c:order val="5"/>
          <c:tx>
            <c:strRef>
              <c:f>'Child Protection Plans'!$AL$46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Plans'!$AM$46:$AQ$46</c:f>
              <c:numCache>
                <c:formatCode>0.0</c:formatCode>
                <c:ptCount val="5"/>
                <c:pt idx="0">
                  <c:v>84.584980237154156</c:v>
                </c:pt>
                <c:pt idx="1">
                  <c:v>78.968253968253975</c:v>
                </c:pt>
                <c:pt idx="2">
                  <c:v>76.892430278884461</c:v>
                </c:pt>
                <c:pt idx="3">
                  <c:v>66.265060240963848</c:v>
                </c:pt>
                <c:pt idx="4">
                  <c:v>51.012145748987855</c:v>
                </c:pt>
              </c:numCache>
            </c:numRef>
          </c:val>
          <c:smooth val="0"/>
          <c:extLst>
            <c:ext xmlns:c16="http://schemas.microsoft.com/office/drawing/2014/chart" uri="{C3380CC4-5D6E-409C-BE32-E72D297353CC}">
              <c16:uniqueId val="{00000006-C265-44B3-B6A4-287E342E3588}"/>
            </c:ext>
          </c:extLst>
        </c:ser>
        <c:ser>
          <c:idx val="11"/>
          <c:order val="6"/>
          <c:tx>
            <c:strRef>
              <c:f>'Child Protection Plans'!$AL$47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Plans'!$AM$47:$AQ$47</c:f>
              <c:numCache>
                <c:formatCode>0.0</c:formatCode>
                <c:ptCount val="5"/>
                <c:pt idx="0">
                  <c:v>31.74939467312349</c:v>
                </c:pt>
                <c:pt idx="1">
                  <c:v>35.585585585585584</c:v>
                </c:pt>
                <c:pt idx="2">
                  <c:v>43.498958643260934</c:v>
                </c:pt>
                <c:pt idx="3">
                  <c:v>38.312261099676569</c:v>
                </c:pt>
                <c:pt idx="4">
                  <c:v>38.7434554973822</c:v>
                </c:pt>
              </c:numCache>
            </c:numRef>
          </c:val>
          <c:smooth val="0"/>
          <c:extLst>
            <c:ext xmlns:c16="http://schemas.microsoft.com/office/drawing/2014/chart" uri="{C3380CC4-5D6E-409C-BE32-E72D297353CC}">
              <c16:uniqueId val="{00000007-C265-44B3-B6A4-287E342E3588}"/>
            </c:ext>
          </c:extLst>
        </c:ser>
        <c:ser>
          <c:idx val="12"/>
          <c:order val="7"/>
          <c:tx>
            <c:strRef>
              <c:f>'Child Protection Plans'!$AL$48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Plans'!$AM$48:$AQ$48</c:f>
              <c:numCache>
                <c:formatCode>0.0</c:formatCode>
                <c:ptCount val="5"/>
                <c:pt idx="0">
                  <c:v>85.284810126582272</c:v>
                </c:pt>
                <c:pt idx="1">
                  <c:v>49.136577708006286</c:v>
                </c:pt>
                <c:pt idx="2">
                  <c:v>53.834115805946794</c:v>
                </c:pt>
                <c:pt idx="3">
                  <c:v>55.12422360248447</c:v>
                </c:pt>
                <c:pt idx="4">
                  <c:v>71.230769230769226</c:v>
                </c:pt>
              </c:numCache>
            </c:numRef>
          </c:val>
          <c:smooth val="0"/>
          <c:extLst>
            <c:ext xmlns:c16="http://schemas.microsoft.com/office/drawing/2014/chart" uri="{C3380CC4-5D6E-409C-BE32-E72D297353CC}">
              <c16:uniqueId val="{00000008-C265-44B3-B6A4-287E342E3588}"/>
            </c:ext>
          </c:extLst>
        </c:ser>
        <c:ser>
          <c:idx val="13"/>
          <c:order val="8"/>
          <c:tx>
            <c:strRef>
              <c:f>'Child Protection Plans'!$AL$49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Plans'!$AM$49:$AQ$49</c:f>
              <c:numCache>
                <c:formatCode>0.0</c:formatCode>
                <c:ptCount val="5"/>
                <c:pt idx="0">
                  <c:v>13.918305597579424</c:v>
                </c:pt>
                <c:pt idx="1">
                  <c:v>13.412816691505217</c:v>
                </c:pt>
                <c:pt idx="2">
                  <c:v>15.384615384615385</c:v>
                </c:pt>
                <c:pt idx="3">
                  <c:v>19.912152269399709</c:v>
                </c:pt>
                <c:pt idx="4">
                  <c:v>19.186046511627907</c:v>
                </c:pt>
              </c:numCache>
            </c:numRef>
          </c:val>
          <c:smooth val="0"/>
          <c:extLst>
            <c:ext xmlns:c16="http://schemas.microsoft.com/office/drawing/2014/chart" uri="{C3380CC4-5D6E-409C-BE32-E72D297353CC}">
              <c16:uniqueId val="{00000009-C265-44B3-B6A4-287E342E3588}"/>
            </c:ext>
          </c:extLst>
        </c:ser>
        <c:ser>
          <c:idx val="15"/>
          <c:order val="9"/>
          <c:tx>
            <c:strRef>
              <c:f>'Child Protection Plans'!$AL$50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Plans'!$AM$50:$AQ$50</c:f>
              <c:numCache>
                <c:formatCode>0.0</c:formatCode>
                <c:ptCount val="5"/>
                <c:pt idx="0">
                  <c:v>40.267983074753175</c:v>
                </c:pt>
                <c:pt idx="1">
                  <c:v>42.617214835549333</c:v>
                </c:pt>
                <c:pt idx="2">
                  <c:v>47.90794979079498</c:v>
                </c:pt>
                <c:pt idx="3">
                  <c:v>40.88397790055248</c:v>
                </c:pt>
                <c:pt idx="4">
                  <c:v>37.166324435318273</c:v>
                </c:pt>
              </c:numCache>
            </c:numRef>
          </c:val>
          <c:smooth val="0"/>
          <c:extLst>
            <c:ext xmlns:c16="http://schemas.microsoft.com/office/drawing/2014/chart" uri="{C3380CC4-5D6E-409C-BE32-E72D297353CC}">
              <c16:uniqueId val="{0000000A-C265-44B3-B6A4-287E342E3588}"/>
            </c:ext>
          </c:extLst>
        </c:ser>
        <c:ser>
          <c:idx val="16"/>
          <c:order val="10"/>
          <c:tx>
            <c:strRef>
              <c:f>'Child Protection Plans'!$AL$51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Plans'!$AM$51:$AQ$51</c:f>
              <c:numCache>
                <c:formatCode>0.0</c:formatCode>
                <c:ptCount val="5"/>
                <c:pt idx="0">
                  <c:v>62.785388127853878</c:v>
                </c:pt>
                <c:pt idx="1">
                  <c:v>55</c:v>
                </c:pt>
                <c:pt idx="2">
                  <c:v>64.705882352941174</c:v>
                </c:pt>
                <c:pt idx="3">
                  <c:v>44.31818181818182</c:v>
                </c:pt>
                <c:pt idx="4">
                  <c:v>46.347031963470322</c:v>
                </c:pt>
              </c:numCache>
            </c:numRef>
          </c:val>
          <c:smooth val="0"/>
          <c:extLst>
            <c:ext xmlns:c16="http://schemas.microsoft.com/office/drawing/2014/chart" uri="{C3380CC4-5D6E-409C-BE32-E72D297353CC}">
              <c16:uniqueId val="{0000000B-C265-44B3-B6A4-287E342E3588}"/>
            </c:ext>
          </c:extLst>
        </c:ser>
        <c:ser>
          <c:idx val="17"/>
          <c:order val="11"/>
          <c:tx>
            <c:strRef>
              <c:f>'Child Protection Plans'!$AL$52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Plans'!$AM$52:$AQ$52</c:f>
              <c:numCache>
                <c:formatCode>0.0</c:formatCode>
                <c:ptCount val="5"/>
                <c:pt idx="0">
                  <c:v>69.230769230769226</c:v>
                </c:pt>
                <c:pt idx="1">
                  <c:v>95.355191256830608</c:v>
                </c:pt>
                <c:pt idx="2">
                  <c:v>78.167115902964966</c:v>
                </c:pt>
                <c:pt idx="3">
                  <c:v>68.733153638814017</c:v>
                </c:pt>
                <c:pt idx="4">
                  <c:v>60.54054054054054</c:v>
                </c:pt>
              </c:numCache>
            </c:numRef>
          </c:val>
          <c:smooth val="0"/>
          <c:extLst>
            <c:ext xmlns:c16="http://schemas.microsoft.com/office/drawing/2014/chart" uri="{C3380CC4-5D6E-409C-BE32-E72D297353CC}">
              <c16:uniqueId val="{0000000C-C265-44B3-B6A4-287E342E3588}"/>
            </c:ext>
          </c:extLst>
        </c:ser>
        <c:ser>
          <c:idx val="19"/>
          <c:order val="12"/>
          <c:tx>
            <c:strRef>
              <c:f>'Child Protection Plans'!$AL$53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Plans'!$AM$53:$AQ$53</c:f>
              <c:numCache>
                <c:formatCode>0.0</c:formatCode>
                <c:ptCount val="5"/>
                <c:pt idx="0">
                  <c:v>56.650246305418719</c:v>
                </c:pt>
                <c:pt idx="1">
                  <c:v>36.956521739130437</c:v>
                </c:pt>
                <c:pt idx="2">
                  <c:v>38.15165876777251</c:v>
                </c:pt>
                <c:pt idx="3">
                  <c:v>51.053864168618269</c:v>
                </c:pt>
                <c:pt idx="4">
                  <c:v>69.837587006960561</c:v>
                </c:pt>
              </c:numCache>
            </c:numRef>
          </c:val>
          <c:smooth val="0"/>
          <c:extLst>
            <c:ext xmlns:c16="http://schemas.microsoft.com/office/drawing/2014/chart" uri="{C3380CC4-5D6E-409C-BE32-E72D297353CC}">
              <c16:uniqueId val="{0000000D-C265-44B3-B6A4-287E342E3588}"/>
            </c:ext>
          </c:extLst>
        </c:ser>
        <c:ser>
          <c:idx val="3"/>
          <c:order val="13"/>
          <c:tx>
            <c:strRef>
              <c:f>'Child Protection Plans'!$AL$54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Plans'!$AM$54:$AQ$54</c:f>
              <c:numCache>
                <c:formatCode>0.0</c:formatCode>
                <c:ptCount val="5"/>
                <c:pt idx="0">
                  <c:v>25.641025641025642</c:v>
                </c:pt>
                <c:pt idx="1">
                  <c:v>37.648131267092069</c:v>
                </c:pt>
                <c:pt idx="2">
                  <c:v>38.873751135331517</c:v>
                </c:pt>
                <c:pt idx="3">
                  <c:v>36.314363143631439</c:v>
                </c:pt>
                <c:pt idx="4">
                  <c:v>25</c:v>
                </c:pt>
              </c:numCache>
            </c:numRef>
          </c:val>
          <c:smooth val="0"/>
          <c:extLst>
            <c:ext xmlns:c16="http://schemas.microsoft.com/office/drawing/2014/chart" uri="{C3380CC4-5D6E-409C-BE32-E72D297353CC}">
              <c16:uniqueId val="{0000000E-C265-44B3-B6A4-287E342E3588}"/>
            </c:ext>
          </c:extLst>
        </c:ser>
        <c:ser>
          <c:idx val="20"/>
          <c:order val="14"/>
          <c:tx>
            <c:strRef>
              <c:f>'Child Protection Plans'!$AL$55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Plans'!$AM$55:$AQ$55</c:f>
              <c:numCache>
                <c:formatCode>0.0</c:formatCode>
                <c:ptCount val="5"/>
                <c:pt idx="0">
                  <c:v>67.682926829268297</c:v>
                </c:pt>
                <c:pt idx="1">
                  <c:v>55.31062124248497</c:v>
                </c:pt>
                <c:pt idx="2">
                  <c:v>64.413518886679924</c:v>
                </c:pt>
                <c:pt idx="3">
                  <c:v>60.039370078740156</c:v>
                </c:pt>
                <c:pt idx="4">
                  <c:v>77.192982456140356</c:v>
                </c:pt>
              </c:numCache>
            </c:numRef>
          </c:val>
          <c:smooth val="0"/>
          <c:extLst>
            <c:ext xmlns:c16="http://schemas.microsoft.com/office/drawing/2014/chart" uri="{C3380CC4-5D6E-409C-BE32-E72D297353CC}">
              <c16:uniqueId val="{0000000F-C265-44B3-B6A4-287E342E3588}"/>
            </c:ext>
          </c:extLst>
        </c:ser>
        <c:ser>
          <c:idx val="22"/>
          <c:order val="15"/>
          <c:tx>
            <c:strRef>
              <c:f>'Child Protection Plans'!$AL$56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Plans'!$AM$56:$AQ$56</c:f>
              <c:numCache>
                <c:formatCode>0.0</c:formatCode>
                <c:ptCount val="5"/>
                <c:pt idx="0">
                  <c:v>34.360374414976597</c:v>
                </c:pt>
                <c:pt idx="1">
                  <c:v>32.548262548262549</c:v>
                </c:pt>
                <c:pt idx="2">
                  <c:v>38.26354206684595</c:v>
                </c:pt>
                <c:pt idx="3">
                  <c:v>36.617029400534555</c:v>
                </c:pt>
                <c:pt idx="4">
                  <c:v>25.966641394996209</c:v>
                </c:pt>
              </c:numCache>
            </c:numRef>
          </c:val>
          <c:smooth val="0"/>
          <c:extLst>
            <c:ext xmlns:c16="http://schemas.microsoft.com/office/drawing/2014/chart" uri="{C3380CC4-5D6E-409C-BE32-E72D297353CC}">
              <c16:uniqueId val="{00000010-C265-44B3-B6A4-287E342E3588}"/>
            </c:ext>
          </c:extLst>
        </c:ser>
        <c:ser>
          <c:idx val="7"/>
          <c:order val="16"/>
          <c:tx>
            <c:strRef>
              <c:f>'Child Protection Plans'!$AL$57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'Child Protection Plans'!$Z$2:$AD$3</c:f>
              <c:strCache>
                <c:ptCount val="5"/>
                <c:pt idx="0">
                  <c:v>2015-16</c:v>
                </c:pt>
                <c:pt idx="1">
                  <c:v>2016-17</c:v>
                </c:pt>
                <c:pt idx="2">
                  <c:v>2017-18</c:v>
                </c:pt>
                <c:pt idx="3">
                  <c:v>2018-19</c:v>
                </c:pt>
                <c:pt idx="4">
                  <c:v>2019-20</c:v>
                </c:pt>
              </c:strCache>
            </c:strRef>
          </c:cat>
          <c:val>
            <c:numRef>
              <c:f>'Child Protection Plans'!$AM$57:$AQ$57</c:f>
              <c:numCache>
                <c:formatCode>0.0</c:formatCode>
                <c:ptCount val="5"/>
                <c:pt idx="0">
                  <c:v>48.571428571428569</c:v>
                </c:pt>
                <c:pt idx="1">
                  <c:v>49.292929292929294</c:v>
                </c:pt>
                <c:pt idx="2">
                  <c:v>72.545090180360717</c:v>
                </c:pt>
                <c:pt idx="3">
                  <c:v>66.334661354581669</c:v>
                </c:pt>
                <c:pt idx="4">
                  <c:v>33.531746031746032</c:v>
                </c:pt>
              </c:numCache>
            </c:numRef>
          </c:val>
          <c:smooth val="0"/>
          <c:extLst>
            <c:ext xmlns:c16="http://schemas.microsoft.com/office/drawing/2014/chart" uri="{C3380CC4-5D6E-409C-BE32-E72D297353CC}">
              <c16:uniqueId val="{00000011-C265-44B3-B6A4-287E342E3588}"/>
            </c:ext>
          </c:extLst>
        </c:ser>
        <c:ser>
          <c:idx val="8"/>
          <c:order val="17"/>
          <c:tx>
            <c:strRef>
              <c:f>'Child Protection Plans'!$AL$58</c:f>
              <c:strCache>
                <c:ptCount val="1"/>
                <c:pt idx="0">
                  <c:v>Torbay</c:v>
                </c:pt>
              </c:strCache>
            </c:strRef>
          </c:tx>
          <c:spPr>
            <a:ln w="12700"/>
          </c:spPr>
          <c:marker>
            <c:symbol val="circle"/>
            <c:size val="5"/>
            <c:spPr>
              <a:solidFill>
                <a:schemeClr val="accent3">
                  <a:lumMod val="20000"/>
                  <a:lumOff val="80000"/>
                </a:schemeClr>
              </a:solidFill>
            </c:spPr>
          </c:marker>
          <c:cat>
            <c:strRef>
              <c:f>'Child Protection Plans'!$Z$2:$AD$3</c:f>
              <c:strCache>
                <c:ptCount val="5"/>
                <c:pt idx="0">
                  <c:v>2015-16</c:v>
                </c:pt>
                <c:pt idx="1">
                  <c:v>2016-17</c:v>
                </c:pt>
                <c:pt idx="2">
                  <c:v>2017-18</c:v>
                </c:pt>
                <c:pt idx="3">
                  <c:v>2018-19</c:v>
                </c:pt>
                <c:pt idx="4">
                  <c:v>2019-20</c:v>
                </c:pt>
              </c:strCache>
            </c:strRef>
          </c:cat>
          <c:val>
            <c:numRef>
              <c:f>'Child Protection Plans'!$AM$58:$AQ$58</c:f>
              <c:numCache>
                <c:formatCode>0.0</c:formatCode>
                <c:ptCount val="5"/>
                <c:pt idx="0">
                  <c:v>51.587301587301589</c:v>
                </c:pt>
                <c:pt idx="1">
                  <c:v>83.464566929133852</c:v>
                </c:pt>
                <c:pt idx="2">
                  <c:v>55.511811023622045</c:v>
                </c:pt>
                <c:pt idx="3">
                  <c:v>70.472440944881896</c:v>
                </c:pt>
                <c:pt idx="4">
                  <c:v>75</c:v>
                </c:pt>
              </c:numCache>
            </c:numRef>
          </c:val>
          <c:smooth val="0"/>
          <c:extLst>
            <c:ext xmlns:c16="http://schemas.microsoft.com/office/drawing/2014/chart" uri="{C3380CC4-5D6E-409C-BE32-E72D297353CC}">
              <c16:uniqueId val="{00000012-C265-44B3-B6A4-287E342E3588}"/>
            </c:ext>
          </c:extLst>
        </c:ser>
        <c:ser>
          <c:idx val="23"/>
          <c:order val="18"/>
          <c:tx>
            <c:strRef>
              <c:f>'Child Protection Plans'!$AL$59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Plans'!$AM$59:$AQ$59</c:f>
              <c:numCache>
                <c:formatCode>0.0</c:formatCode>
                <c:ptCount val="5"/>
                <c:pt idx="0">
                  <c:v>40.616246498599445</c:v>
                </c:pt>
                <c:pt idx="1">
                  <c:v>43.175487465181064</c:v>
                </c:pt>
                <c:pt idx="2">
                  <c:v>46.927374301675975</c:v>
                </c:pt>
                <c:pt idx="3">
                  <c:v>33.146067415730336</c:v>
                </c:pt>
                <c:pt idx="4">
                  <c:v>29.775280898876403</c:v>
                </c:pt>
              </c:numCache>
            </c:numRef>
          </c:val>
          <c:smooth val="0"/>
          <c:extLst>
            <c:ext xmlns:c16="http://schemas.microsoft.com/office/drawing/2014/chart" uri="{C3380CC4-5D6E-409C-BE32-E72D297353CC}">
              <c16:uniqueId val="{00000013-C265-44B3-B6A4-287E342E3588}"/>
            </c:ext>
          </c:extLst>
        </c:ser>
        <c:ser>
          <c:idx val="24"/>
          <c:order val="19"/>
          <c:tx>
            <c:strRef>
              <c:f>'Child Protection Plans'!$AL$60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Plans'!$AM$60:$AQ$60</c:f>
              <c:numCache>
                <c:formatCode>0.0</c:formatCode>
                <c:ptCount val="5"/>
                <c:pt idx="0">
                  <c:v>24.471830985915492</c:v>
                </c:pt>
                <c:pt idx="1">
                  <c:v>31.955762514551804</c:v>
                </c:pt>
                <c:pt idx="2">
                  <c:v>44.720138488170804</c:v>
                </c:pt>
                <c:pt idx="3">
                  <c:v>35.546651402404123</c:v>
                </c:pt>
                <c:pt idx="4">
                  <c:v>46.337308347529813</c:v>
                </c:pt>
              </c:numCache>
            </c:numRef>
          </c:val>
          <c:smooth val="0"/>
          <c:extLst>
            <c:ext xmlns:c16="http://schemas.microsoft.com/office/drawing/2014/chart" uri="{C3380CC4-5D6E-409C-BE32-E72D297353CC}">
              <c16:uniqueId val="{00000014-C265-44B3-B6A4-287E342E3588}"/>
            </c:ext>
          </c:extLst>
        </c:ser>
        <c:ser>
          <c:idx val="25"/>
          <c:order val="20"/>
          <c:tx>
            <c:strRef>
              <c:f>'Child Protection Plans'!$AL$61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Plans'!$AM$61:$AQ$61</c:f>
              <c:numCache>
                <c:formatCode>0.0</c:formatCode>
                <c:ptCount val="5"/>
                <c:pt idx="0">
                  <c:v>43.026706231454007</c:v>
                </c:pt>
                <c:pt idx="1">
                  <c:v>41.228070175438596</c:v>
                </c:pt>
                <c:pt idx="2">
                  <c:v>21.511627906976742</c:v>
                </c:pt>
                <c:pt idx="3">
                  <c:v>26.01156069364162</c:v>
                </c:pt>
                <c:pt idx="4">
                  <c:v>37.752161383285298</c:v>
                </c:pt>
              </c:numCache>
            </c:numRef>
          </c:val>
          <c:smooth val="0"/>
          <c:extLst>
            <c:ext xmlns:c16="http://schemas.microsoft.com/office/drawing/2014/chart" uri="{C3380CC4-5D6E-409C-BE32-E72D297353CC}">
              <c16:uniqueId val="{00000015-C265-44B3-B6A4-287E342E3588}"/>
            </c:ext>
          </c:extLst>
        </c:ser>
        <c:ser>
          <c:idx val="26"/>
          <c:order val="21"/>
          <c:tx>
            <c:strRef>
              <c:f>'Child Protection Plans'!$AL$62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Plans'!$AM$62:$AQ$62</c:f>
              <c:numCache>
                <c:formatCode>0.0</c:formatCode>
                <c:ptCount val="5"/>
                <c:pt idx="0">
                  <c:v>17.426273458445039</c:v>
                </c:pt>
                <c:pt idx="1">
                  <c:v>12.105263157894738</c:v>
                </c:pt>
                <c:pt idx="2">
                  <c:v>32.558139534883722</c:v>
                </c:pt>
                <c:pt idx="3">
                  <c:v>32.151898734177216</c:v>
                </c:pt>
                <c:pt idx="4">
                  <c:v>35.148514851485146</c:v>
                </c:pt>
              </c:numCache>
            </c:numRef>
          </c:val>
          <c:smooth val="0"/>
          <c:extLst>
            <c:ext xmlns:c16="http://schemas.microsoft.com/office/drawing/2014/chart" uri="{C3380CC4-5D6E-409C-BE32-E72D297353CC}">
              <c16:uniqueId val="{00000016-C265-44B3-B6A4-287E342E3588}"/>
            </c:ext>
          </c:extLst>
        </c:ser>
        <c:ser>
          <c:idx val="4"/>
          <c:order val="22"/>
          <c:tx>
            <c:strRef>
              <c:f>'Child Protection Plans'!$AL$63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Plans'!$AM$63:$AQ$63</c:f>
              <c:numCache>
                <c:formatCode>0.0</c:formatCode>
                <c:ptCount val="5"/>
                <c:pt idx="0">
                  <c:v>42.072884625410566</c:v>
                </c:pt>
                <c:pt idx="1">
                  <c:v>41.280844239822052</c:v>
                </c:pt>
                <c:pt idx="2">
                  <c:v>46.195791964607231</c:v>
                </c:pt>
                <c:pt idx="3">
                  <c:v>41.432512516603659</c:v>
                </c:pt>
                <c:pt idx="4">
                  <c:v>41.184237253707089</c:v>
                </c:pt>
              </c:numCache>
            </c:numRef>
          </c:val>
          <c:smooth val="0"/>
          <c:extLst>
            <c:ext xmlns:c16="http://schemas.microsoft.com/office/drawing/2014/chart" uri="{C3380CC4-5D6E-409C-BE32-E72D297353CC}">
              <c16:uniqueId val="{00000017-C265-44B3-B6A4-287E342E3588}"/>
            </c:ext>
          </c:extLst>
        </c:ser>
        <c:ser>
          <c:idx val="14"/>
          <c:order val="23"/>
          <c:tx>
            <c:strRef>
              <c:f>'Child Protection Plans'!$AL$64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'Child Protection Plans'!$Z$2:$AD$3</c:f>
              <c:strCache>
                <c:ptCount val="5"/>
                <c:pt idx="0">
                  <c:v>2015-16</c:v>
                </c:pt>
                <c:pt idx="1">
                  <c:v>2016-17</c:v>
                </c:pt>
                <c:pt idx="2">
                  <c:v>2017-18</c:v>
                </c:pt>
                <c:pt idx="3">
                  <c:v>2018-19</c:v>
                </c:pt>
                <c:pt idx="4">
                  <c:v>2019-20</c:v>
                </c:pt>
              </c:strCache>
            </c:strRef>
          </c:cat>
          <c:val>
            <c:numRef>
              <c:f>'Child Protection Plans'!$AM$64:$AQ$64</c:f>
              <c:numCache>
                <c:formatCode>0.0</c:formatCode>
                <c:ptCount val="5"/>
                <c:pt idx="0">
                  <c:v>43.081375932316604</c:v>
                </c:pt>
                <c:pt idx="1">
                  <c:v>43.342129602131465</c:v>
                </c:pt>
                <c:pt idx="2">
                  <c:v>45.327378444425719</c:v>
                </c:pt>
                <c:pt idx="3">
                  <c:v>43.715389891757148</c:v>
                </c:pt>
                <c:pt idx="4">
                  <c:v>42.840746531820749</c:v>
                </c:pt>
              </c:numCache>
            </c:numRef>
          </c:val>
          <c:smooth val="0"/>
          <c:extLst>
            <c:ext xmlns:c16="http://schemas.microsoft.com/office/drawing/2014/chart" uri="{C3380CC4-5D6E-409C-BE32-E72D297353CC}">
              <c16:uniqueId val="{00000018-C265-44B3-B6A4-287E342E3588}"/>
            </c:ext>
          </c:extLst>
        </c:ser>
        <c:ser>
          <c:idx val="6"/>
          <c:order val="24"/>
          <c:tx>
            <c:strRef>
              <c:f>'Child Protection Plans'!$AL$65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2015-16</c:v>
                </c:pt>
                <c:pt idx="1">
                  <c:v>2016-17</c:v>
                </c:pt>
                <c:pt idx="2">
                  <c:v>2017-18</c:v>
                </c:pt>
                <c:pt idx="3">
                  <c:v>2018-19</c:v>
                </c:pt>
                <c:pt idx="4">
                  <c:v>2019-20</c:v>
                </c:pt>
              </c:strCache>
            </c:strRef>
          </c:cat>
          <c:val>
            <c:numRef>
              <c:f>'Child Protection Plans'!$AM$65:$AQ$65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C265-44B3-B6A4-287E342E3588}"/>
            </c:ext>
          </c:extLst>
        </c:ser>
        <c:dLbls>
          <c:showLegendKey val="0"/>
          <c:showVal val="0"/>
          <c:showCatName val="0"/>
          <c:showSerName val="0"/>
          <c:showPercent val="0"/>
          <c:showBubbleSize val="0"/>
        </c:dLbls>
        <c:marker val="1"/>
        <c:smooth val="0"/>
        <c:axId val="585075328"/>
        <c:axId val="585093888"/>
      </c:lineChart>
      <c:catAx>
        <c:axId val="585075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093888"/>
        <c:crosses val="autoZero"/>
        <c:auto val="1"/>
        <c:lblAlgn val="ctr"/>
        <c:lblOffset val="100"/>
        <c:tickLblSkip val="1"/>
        <c:tickMarkSkip val="1"/>
        <c:noMultiLvlLbl val="0"/>
      </c:catAx>
      <c:valAx>
        <c:axId val="58509388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07532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 Protection Plans </a:t>
            </a:r>
            <a:r>
              <a:rPr lang="en-GB"/>
              <a:t>(Selected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7976191685716694"/>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239B-410F-84E7-C9257F49D292}"/>
            </c:ext>
          </c:extLst>
        </c:ser>
        <c:ser>
          <c:idx val="4"/>
          <c:order val="1"/>
          <c:tx>
            <c:strRef>
              <c:f>'Child Protection Plans'!$B$32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Plans'!$K$32:$O$32</c:f>
              <c:numCache>
                <c:formatCode>0.0</c:formatCode>
                <c:ptCount val="5"/>
                <c:pt idx="0">
                  <c:v>42.072884625410566</c:v>
                </c:pt>
                <c:pt idx="1">
                  <c:v>41.280844239822052</c:v>
                </c:pt>
                <c:pt idx="2">
                  <c:v>46.195791964607231</c:v>
                </c:pt>
                <c:pt idx="3">
                  <c:v>41.432512516603659</c:v>
                </c:pt>
                <c:pt idx="4">
                  <c:v>41.184237253707089</c:v>
                </c:pt>
              </c:numCache>
            </c:numRef>
          </c:val>
          <c:extLst>
            <c:ext xmlns:c16="http://schemas.microsoft.com/office/drawing/2014/chart" uri="{C3380CC4-5D6E-409C-BE32-E72D297353CC}">
              <c16:uniqueId val="{00000001-239B-410F-84E7-C9257F49D292}"/>
            </c:ext>
          </c:extLst>
        </c:ser>
        <c:ser>
          <c:idx val="0"/>
          <c:order val="2"/>
          <c:tx>
            <c:strRef>
              <c:f>'Child Protection Plans'!$B$33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Plans'!$K$33:$O$33</c:f>
              <c:numCache>
                <c:formatCode>0.0</c:formatCode>
                <c:ptCount val="5"/>
                <c:pt idx="0">
                  <c:v>43.081375932316604</c:v>
                </c:pt>
                <c:pt idx="1">
                  <c:v>43.342129602131465</c:v>
                </c:pt>
                <c:pt idx="2">
                  <c:v>45.327378444425719</c:v>
                </c:pt>
                <c:pt idx="3">
                  <c:v>43.715389891757148</c:v>
                </c:pt>
                <c:pt idx="4">
                  <c:v>42.840746531820749</c:v>
                </c:pt>
              </c:numCache>
            </c:numRef>
          </c:val>
          <c:extLst>
            <c:ext xmlns:c16="http://schemas.microsoft.com/office/drawing/2014/chart" uri="{C3380CC4-5D6E-409C-BE32-E72D297353CC}">
              <c16:uniqueId val="{00000002-239B-410F-84E7-C9257F49D292}"/>
            </c:ext>
          </c:extLst>
        </c:ser>
        <c:dLbls>
          <c:showLegendKey val="0"/>
          <c:showVal val="0"/>
          <c:showCatName val="0"/>
          <c:showSerName val="0"/>
          <c:showPercent val="0"/>
          <c:showBubbleSize val="0"/>
        </c:dLbls>
        <c:gapWidth val="100"/>
        <c:axId val="574904576"/>
        <c:axId val="574906368"/>
      </c:barChart>
      <c:catAx>
        <c:axId val="574904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906368"/>
        <c:crosses val="autoZero"/>
        <c:auto val="1"/>
        <c:lblAlgn val="ctr"/>
        <c:lblOffset val="100"/>
        <c:noMultiLvlLbl val="0"/>
      </c:catAx>
      <c:valAx>
        <c:axId val="5749063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90457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New CPP</a:t>
            </a:r>
            <a:r>
              <a:rPr lang="en-GB" sz="900" baseline="0"/>
              <a:t> 2nd/ Subsequent</a:t>
            </a:r>
            <a:endParaRPr lang="en-GB" sz="900"/>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2557264957264955"/>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Plans'!$BH$65:$BL$65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0A9A-422B-AACF-49011B0A9F2A}"/>
            </c:ext>
          </c:extLst>
        </c:ser>
        <c:ser>
          <c:idx val="4"/>
          <c:order val="1"/>
          <c:tx>
            <c:strRef>
              <c:f>'Child Protection Plans'!$B$278</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Plans'!$D$278:$H$278</c:f>
              <c:numCache>
                <c:formatCode>0%</c:formatCode>
                <c:ptCount val="5"/>
                <c:pt idx="0">
                  <c:v>0.20675537359263049</c:v>
                </c:pt>
                <c:pt idx="1">
                  <c:v>0.2223360655737705</c:v>
                </c:pt>
                <c:pt idx="2">
                  <c:v>0.22592945662535749</c:v>
                </c:pt>
                <c:pt idx="3">
                  <c:v>0.21078921078921078</c:v>
                </c:pt>
                <c:pt idx="4">
                  <c:v>0.23443579766536965</c:v>
                </c:pt>
              </c:numCache>
            </c:numRef>
          </c:val>
          <c:extLst>
            <c:ext xmlns:c16="http://schemas.microsoft.com/office/drawing/2014/chart" uri="{C3380CC4-5D6E-409C-BE32-E72D297353CC}">
              <c16:uniqueId val="{00000001-0A9A-422B-AACF-49011B0A9F2A}"/>
            </c:ext>
          </c:extLst>
        </c:ser>
        <c:ser>
          <c:idx val="0"/>
          <c:order val="2"/>
          <c:tx>
            <c:strRef>
              <c:f>'Child Protection Plans'!$B$279</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Plans'!$D$279:$H$279</c:f>
              <c:numCache>
                <c:formatCode>0%</c:formatCode>
                <c:ptCount val="5"/>
                <c:pt idx="0">
                  <c:v>0.17927657558047702</c:v>
                </c:pt>
                <c:pt idx="1">
                  <c:v>0.18702002710435175</c:v>
                </c:pt>
                <c:pt idx="2">
                  <c:v>0.20212301875817945</c:v>
                </c:pt>
                <c:pt idx="3">
                  <c:v>0.20785842831433712</c:v>
                </c:pt>
                <c:pt idx="4">
                  <c:v>0.21904188008436276</c:v>
                </c:pt>
              </c:numCache>
            </c:numRef>
          </c:val>
          <c:extLst>
            <c:ext xmlns:c16="http://schemas.microsoft.com/office/drawing/2014/chart" uri="{C3380CC4-5D6E-409C-BE32-E72D297353CC}">
              <c16:uniqueId val="{00000002-0A9A-422B-AACF-49011B0A9F2A}"/>
            </c:ext>
          </c:extLst>
        </c:ser>
        <c:dLbls>
          <c:showLegendKey val="0"/>
          <c:showVal val="0"/>
          <c:showCatName val="0"/>
          <c:showSerName val="0"/>
          <c:showPercent val="0"/>
          <c:showBubbleSize val="0"/>
        </c:dLbls>
        <c:gapWidth val="100"/>
        <c:axId val="584848896"/>
        <c:axId val="584850432"/>
      </c:barChart>
      <c:catAx>
        <c:axId val="584848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4850432"/>
        <c:crosses val="autoZero"/>
        <c:auto val="1"/>
        <c:lblAlgn val="ctr"/>
        <c:lblOffset val="100"/>
        <c:noMultiLvlLbl val="0"/>
      </c:catAx>
      <c:valAx>
        <c:axId val="58485043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4848896"/>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effectLst/>
              </a:rPr>
              <a:t>% Children who became the subject of a CP Plan for a second or subsequent time</a:t>
            </a:r>
            <a:endParaRPr lang="en-GB"/>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6B2-46AF-B19B-4CE56C2B6E28}"/>
              </c:ext>
            </c:extLst>
          </c:dPt>
          <c:cat>
            <c:strRef>
              <c:f>'Child Protection Plans'!$Z$2:$AD$3</c:f>
              <c:strCache>
                <c:ptCount val="5"/>
                <c:pt idx="0">
                  <c:v>2015-16</c:v>
                </c:pt>
                <c:pt idx="1">
                  <c:v>2016-17</c:v>
                </c:pt>
                <c:pt idx="2">
                  <c:v>2017-18</c:v>
                </c:pt>
                <c:pt idx="3">
                  <c:v>2018-19</c:v>
                </c:pt>
                <c:pt idx="4">
                  <c:v>2019-20</c:v>
                </c:pt>
              </c:strCache>
            </c:strRef>
          </c:cat>
          <c:val>
            <c:numRef>
              <c:f>'Child Protection Plans'!$BH$41:$BL$41</c:f>
              <c:numCache>
                <c:formatCode>0.0%</c:formatCode>
                <c:ptCount val="5"/>
                <c:pt idx="0">
                  <c:v>0.24822695035460993</c:v>
                </c:pt>
                <c:pt idx="1">
                  <c:v>0.26146788990825687</c:v>
                </c:pt>
                <c:pt idx="2">
                  <c:v>0.17751479289940827</c:v>
                </c:pt>
                <c:pt idx="3">
                  <c:v>0.23529411764705882</c:v>
                </c:pt>
                <c:pt idx="4">
                  <c:v>0.2391304347826087</c:v>
                </c:pt>
              </c:numCache>
            </c:numRef>
          </c:val>
          <c:smooth val="0"/>
          <c:extLst>
            <c:ext xmlns:c16="http://schemas.microsoft.com/office/drawing/2014/chart" uri="{C3380CC4-5D6E-409C-BE32-E72D297353CC}">
              <c16:uniqueId val="{00000001-26B2-46AF-B19B-4CE56C2B6E28}"/>
            </c:ext>
          </c:extLst>
        </c:ser>
        <c:ser>
          <c:idx val="1"/>
          <c:order val="1"/>
          <c:tx>
            <c:strRef>
              <c:f>'Child Protection Plans'!$AL$42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Plans'!$BH$42:$BL$42</c:f>
              <c:numCache>
                <c:formatCode>0.0%</c:formatCode>
                <c:ptCount val="5"/>
                <c:pt idx="0">
                  <c:v>0.25517241379310346</c:v>
                </c:pt>
                <c:pt idx="1">
                  <c:v>0.21897810218978103</c:v>
                </c:pt>
                <c:pt idx="2">
                  <c:v>0.23820754716981132</c:v>
                </c:pt>
                <c:pt idx="3">
                  <c:v>0.27692307692307694</c:v>
                </c:pt>
                <c:pt idx="4">
                  <c:v>0.26785714285714285</c:v>
                </c:pt>
              </c:numCache>
            </c:numRef>
          </c:val>
          <c:smooth val="0"/>
          <c:extLst>
            <c:ext xmlns:c16="http://schemas.microsoft.com/office/drawing/2014/chart" uri="{C3380CC4-5D6E-409C-BE32-E72D297353CC}">
              <c16:uniqueId val="{00000002-26B2-46AF-B19B-4CE56C2B6E28}"/>
            </c:ext>
          </c:extLst>
        </c:ser>
        <c:ser>
          <c:idx val="2"/>
          <c:order val="2"/>
          <c:tx>
            <c:strRef>
              <c:f>'Child Protection Plans'!$AL$43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Plans'!$BH$43:$BL$43</c:f>
              <c:numCache>
                <c:formatCode>0.0%</c:formatCode>
                <c:ptCount val="5"/>
                <c:pt idx="0">
                  <c:v>0.19281045751633988</c:v>
                </c:pt>
                <c:pt idx="1">
                  <c:v>0.14344827586206896</c:v>
                </c:pt>
                <c:pt idx="2">
                  <c:v>0.18784530386740331</c:v>
                </c:pt>
                <c:pt idx="3">
                  <c:v>0.20114942528735633</c:v>
                </c:pt>
                <c:pt idx="4">
                  <c:v>0.24523160762942781</c:v>
                </c:pt>
              </c:numCache>
            </c:numRef>
          </c:val>
          <c:smooth val="0"/>
          <c:extLst>
            <c:ext xmlns:c16="http://schemas.microsoft.com/office/drawing/2014/chart" uri="{C3380CC4-5D6E-409C-BE32-E72D297353CC}">
              <c16:uniqueId val="{00000003-26B2-46AF-B19B-4CE56C2B6E28}"/>
            </c:ext>
          </c:extLst>
        </c:ser>
        <c:ser>
          <c:idx val="5"/>
          <c:order val="3"/>
          <c:tx>
            <c:strRef>
              <c:f>'Child Protection Plans'!$AL$44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Plans'!$BH$44:$BL$44</c:f>
              <c:numCache>
                <c:formatCode>0.0%</c:formatCode>
                <c:ptCount val="5"/>
                <c:pt idx="0">
                  <c:v>0.24943820224719102</c:v>
                </c:pt>
                <c:pt idx="1">
                  <c:v>0.28298279158699807</c:v>
                </c:pt>
                <c:pt idx="2">
                  <c:v>0.25</c:v>
                </c:pt>
                <c:pt idx="3">
                  <c:v>0.21870047543581617</c:v>
                </c:pt>
                <c:pt idx="4">
                  <c:v>0.25042301184433163</c:v>
                </c:pt>
              </c:numCache>
            </c:numRef>
          </c:val>
          <c:smooth val="0"/>
          <c:extLst>
            <c:ext xmlns:c16="http://schemas.microsoft.com/office/drawing/2014/chart" uri="{C3380CC4-5D6E-409C-BE32-E72D297353CC}">
              <c16:uniqueId val="{00000004-26B2-46AF-B19B-4CE56C2B6E28}"/>
            </c:ext>
          </c:extLst>
        </c:ser>
        <c:ser>
          <c:idx val="9"/>
          <c:order val="4"/>
          <c:tx>
            <c:strRef>
              <c:f>'Child Protection Plans'!$AL$45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Plans'!$BH$45:$BL$45</c:f>
              <c:numCache>
                <c:formatCode>0.0%</c:formatCode>
                <c:ptCount val="5"/>
                <c:pt idx="0">
                  <c:v>0.20095693779904306</c:v>
                </c:pt>
                <c:pt idx="1">
                  <c:v>0.24273072060682679</c:v>
                </c:pt>
                <c:pt idx="2">
                  <c:v>0.23046875</c:v>
                </c:pt>
                <c:pt idx="3">
                  <c:v>0.21476964769647697</c:v>
                </c:pt>
                <c:pt idx="4">
                  <c:v>0.23901712583767684</c:v>
                </c:pt>
              </c:numCache>
            </c:numRef>
          </c:val>
          <c:smooth val="0"/>
          <c:extLst>
            <c:ext xmlns:c16="http://schemas.microsoft.com/office/drawing/2014/chart" uri="{C3380CC4-5D6E-409C-BE32-E72D297353CC}">
              <c16:uniqueId val="{00000005-26B2-46AF-B19B-4CE56C2B6E28}"/>
            </c:ext>
          </c:extLst>
        </c:ser>
        <c:ser>
          <c:idx val="10"/>
          <c:order val="5"/>
          <c:tx>
            <c:strRef>
              <c:f>'Child Protection Plans'!$AL$46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Plans'!$BH$46:$BL$46</c:f>
              <c:numCache>
                <c:formatCode>0.0%</c:formatCode>
                <c:ptCount val="5"/>
                <c:pt idx="0">
                  <c:v>0.14726027397260275</c:v>
                </c:pt>
                <c:pt idx="1">
                  <c:v>0.20779220779220781</c:v>
                </c:pt>
                <c:pt idx="2">
                  <c:v>0.23287671232876711</c:v>
                </c:pt>
                <c:pt idx="3">
                  <c:v>0.21782178217821782</c:v>
                </c:pt>
                <c:pt idx="4">
                  <c:v>0.17687074829931973</c:v>
                </c:pt>
              </c:numCache>
            </c:numRef>
          </c:val>
          <c:smooth val="0"/>
          <c:extLst>
            <c:ext xmlns:c16="http://schemas.microsoft.com/office/drawing/2014/chart" uri="{C3380CC4-5D6E-409C-BE32-E72D297353CC}">
              <c16:uniqueId val="{00000006-26B2-46AF-B19B-4CE56C2B6E28}"/>
            </c:ext>
          </c:extLst>
        </c:ser>
        <c:ser>
          <c:idx val="11"/>
          <c:order val="6"/>
          <c:tx>
            <c:strRef>
              <c:f>'Child Protection Plans'!$AL$47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Plans'!$BH$47:$BL$47</c:f>
              <c:numCache>
                <c:formatCode>0.0%</c:formatCode>
                <c:ptCount val="5"/>
                <c:pt idx="0">
                  <c:v>0.20090978013646701</c:v>
                </c:pt>
                <c:pt idx="1">
                  <c:v>0.19384615384615383</c:v>
                </c:pt>
                <c:pt idx="2">
                  <c:v>0.20397690827453496</c:v>
                </c:pt>
                <c:pt idx="3">
                  <c:v>0.19088319088319089</c:v>
                </c:pt>
                <c:pt idx="4">
                  <c:v>0.22631578947368422</c:v>
                </c:pt>
              </c:numCache>
            </c:numRef>
          </c:val>
          <c:smooth val="0"/>
          <c:extLst>
            <c:ext xmlns:c16="http://schemas.microsoft.com/office/drawing/2014/chart" uri="{C3380CC4-5D6E-409C-BE32-E72D297353CC}">
              <c16:uniqueId val="{00000007-26B2-46AF-B19B-4CE56C2B6E28}"/>
            </c:ext>
          </c:extLst>
        </c:ser>
        <c:ser>
          <c:idx val="12"/>
          <c:order val="7"/>
          <c:tx>
            <c:strRef>
              <c:f>'Child Protection Plans'!$AL$48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Plans'!$BH$48:$BL$48</c:f>
              <c:numCache>
                <c:formatCode>0.0%</c:formatCode>
                <c:ptCount val="5"/>
                <c:pt idx="0">
                  <c:v>0.18165467625899281</c:v>
                </c:pt>
                <c:pt idx="1">
                  <c:v>0.2073170731707317</c:v>
                </c:pt>
                <c:pt idx="2">
                  <c:v>0.22465753424657534</c:v>
                </c:pt>
                <c:pt idx="3">
                  <c:v>0.17484008528784648</c:v>
                </c:pt>
                <c:pt idx="4">
                  <c:v>0.21783876500857632</c:v>
                </c:pt>
              </c:numCache>
            </c:numRef>
          </c:val>
          <c:smooth val="0"/>
          <c:extLst>
            <c:ext xmlns:c16="http://schemas.microsoft.com/office/drawing/2014/chart" uri="{C3380CC4-5D6E-409C-BE32-E72D297353CC}">
              <c16:uniqueId val="{00000008-26B2-46AF-B19B-4CE56C2B6E28}"/>
            </c:ext>
          </c:extLst>
        </c:ser>
        <c:ser>
          <c:idx val="13"/>
          <c:order val="8"/>
          <c:tx>
            <c:strRef>
              <c:f>'Child Protection Plans'!$AL$49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Plans'!$BH$49:$BL$49</c:f>
              <c:numCache>
                <c:formatCode>0.0%</c:formatCode>
                <c:ptCount val="5"/>
                <c:pt idx="0">
                  <c:v>#N/A</c:v>
                </c:pt>
                <c:pt idx="1">
                  <c:v>8.6956521739130432E-2</c:v>
                </c:pt>
                <c:pt idx="2">
                  <c:v>8.0246913580246909E-2</c:v>
                </c:pt>
                <c:pt idx="3">
                  <c:v>0.13861386138613863</c:v>
                </c:pt>
                <c:pt idx="4">
                  <c:v>0.11160714285714286</c:v>
                </c:pt>
              </c:numCache>
            </c:numRef>
          </c:val>
          <c:smooth val="0"/>
          <c:extLst>
            <c:ext xmlns:c16="http://schemas.microsoft.com/office/drawing/2014/chart" uri="{C3380CC4-5D6E-409C-BE32-E72D297353CC}">
              <c16:uniqueId val="{00000009-26B2-46AF-B19B-4CE56C2B6E28}"/>
            </c:ext>
          </c:extLst>
        </c:ser>
        <c:ser>
          <c:idx val="15"/>
          <c:order val="9"/>
          <c:tx>
            <c:strRef>
              <c:f>'Child Protection Plans'!$AL$50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Plans'!$BH$50:$BL$50</c:f>
              <c:numCache>
                <c:formatCode>0.0%</c:formatCode>
                <c:ptCount val="5"/>
                <c:pt idx="0">
                  <c:v>0.2132768361581921</c:v>
                </c:pt>
                <c:pt idx="1">
                  <c:v>0.18375</c:v>
                </c:pt>
                <c:pt idx="2">
                  <c:v>0.23415265200517466</c:v>
                </c:pt>
                <c:pt idx="3">
                  <c:v>0.21908602150537634</c:v>
                </c:pt>
                <c:pt idx="4">
                  <c:v>0.24765729585006693</c:v>
                </c:pt>
              </c:numCache>
            </c:numRef>
          </c:val>
          <c:smooth val="0"/>
          <c:extLst>
            <c:ext xmlns:c16="http://schemas.microsoft.com/office/drawing/2014/chart" uri="{C3380CC4-5D6E-409C-BE32-E72D297353CC}">
              <c16:uniqueId val="{0000000A-26B2-46AF-B19B-4CE56C2B6E28}"/>
            </c:ext>
          </c:extLst>
        </c:ser>
        <c:ser>
          <c:idx val="16"/>
          <c:order val="10"/>
          <c:tx>
            <c:strRef>
              <c:f>'Child Protection Plans'!$AL$51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Plans'!$BH$51:$BL$51</c:f>
              <c:numCache>
                <c:formatCode>0.0%</c:formatCode>
                <c:ptCount val="5"/>
                <c:pt idx="0">
                  <c:v>0.20202020202020202</c:v>
                </c:pt>
                <c:pt idx="1">
                  <c:v>0.2029520295202952</c:v>
                </c:pt>
                <c:pt idx="2">
                  <c:v>0.25964912280701752</c:v>
                </c:pt>
                <c:pt idx="3">
                  <c:v>0.19762845849802371</c:v>
                </c:pt>
                <c:pt idx="4">
                  <c:v>0.19732441471571907</c:v>
                </c:pt>
              </c:numCache>
            </c:numRef>
          </c:val>
          <c:smooth val="0"/>
          <c:extLst>
            <c:ext xmlns:c16="http://schemas.microsoft.com/office/drawing/2014/chart" uri="{C3380CC4-5D6E-409C-BE32-E72D297353CC}">
              <c16:uniqueId val="{0000000B-26B2-46AF-B19B-4CE56C2B6E28}"/>
            </c:ext>
          </c:extLst>
        </c:ser>
        <c:ser>
          <c:idx val="17"/>
          <c:order val="11"/>
          <c:tx>
            <c:strRef>
              <c:f>'Child Protection Plans'!$AL$52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Plans'!$BH$52:$BL$52</c:f>
              <c:numCache>
                <c:formatCode>0.0%</c:formatCode>
                <c:ptCount val="5"/>
                <c:pt idx="0">
                  <c:v>0.21791044776119403</c:v>
                </c:pt>
                <c:pt idx="1">
                  <c:v>0.28878281622911695</c:v>
                </c:pt>
                <c:pt idx="2">
                  <c:v>0.17714285714285713</c:v>
                </c:pt>
                <c:pt idx="3">
                  <c:v>0.28700906344410876</c:v>
                </c:pt>
                <c:pt idx="4">
                  <c:v>0.25</c:v>
                </c:pt>
              </c:numCache>
            </c:numRef>
          </c:val>
          <c:smooth val="0"/>
          <c:extLst>
            <c:ext xmlns:c16="http://schemas.microsoft.com/office/drawing/2014/chart" uri="{C3380CC4-5D6E-409C-BE32-E72D297353CC}">
              <c16:uniqueId val="{0000000C-26B2-46AF-B19B-4CE56C2B6E28}"/>
            </c:ext>
          </c:extLst>
        </c:ser>
        <c:ser>
          <c:idx val="19"/>
          <c:order val="12"/>
          <c:tx>
            <c:strRef>
              <c:f>'Child Protection Plans'!$AL$53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Plans'!$BH$53:$BL$53</c:f>
              <c:numCache>
                <c:formatCode>0.0%</c:formatCode>
                <c:ptCount val="5"/>
                <c:pt idx="0">
                  <c:v>0.16772151898734178</c:v>
                </c:pt>
                <c:pt idx="1">
                  <c:v>0.22602739726027396</c:v>
                </c:pt>
                <c:pt idx="2">
                  <c:v>0.23333333333333334</c:v>
                </c:pt>
                <c:pt idx="3">
                  <c:v>0.20532319391634982</c:v>
                </c:pt>
                <c:pt idx="4">
                  <c:v>0.18296529968454259</c:v>
                </c:pt>
              </c:numCache>
            </c:numRef>
          </c:val>
          <c:smooth val="0"/>
          <c:extLst>
            <c:ext xmlns:c16="http://schemas.microsoft.com/office/drawing/2014/chart" uri="{C3380CC4-5D6E-409C-BE32-E72D297353CC}">
              <c16:uniqueId val="{0000000D-26B2-46AF-B19B-4CE56C2B6E28}"/>
            </c:ext>
          </c:extLst>
        </c:ser>
        <c:ser>
          <c:idx val="3"/>
          <c:order val="13"/>
          <c:tx>
            <c:strRef>
              <c:f>'Child Protection Plans'!$AL$54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Plans'!$BH$54:$BL$54</c:f>
              <c:numCache>
                <c:formatCode>0.0%</c:formatCode>
                <c:ptCount val="5"/>
                <c:pt idx="0">
                  <c:v>0.25304136253041365</c:v>
                </c:pt>
                <c:pt idx="1">
                  <c:v>0.1934931506849315</c:v>
                </c:pt>
                <c:pt idx="2">
                  <c:v>0.21132075471698114</c:v>
                </c:pt>
                <c:pt idx="3">
                  <c:v>0.20289855072463769</c:v>
                </c:pt>
                <c:pt idx="4">
                  <c:v>0.27037037037037037</c:v>
                </c:pt>
              </c:numCache>
            </c:numRef>
          </c:val>
          <c:smooth val="0"/>
          <c:extLst>
            <c:ext xmlns:c16="http://schemas.microsoft.com/office/drawing/2014/chart" uri="{C3380CC4-5D6E-409C-BE32-E72D297353CC}">
              <c16:uniqueId val="{0000000E-26B2-46AF-B19B-4CE56C2B6E28}"/>
            </c:ext>
          </c:extLst>
        </c:ser>
        <c:ser>
          <c:idx val="20"/>
          <c:order val="14"/>
          <c:tx>
            <c:strRef>
              <c:f>'Child Protection Plans'!$AL$55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Plans'!$BH$55:$BL$55</c:f>
              <c:numCache>
                <c:formatCode>0.0%</c:formatCode>
                <c:ptCount val="5"/>
                <c:pt idx="0">
                  <c:v>0.29591836734693877</c:v>
                </c:pt>
                <c:pt idx="1">
                  <c:v>0.28496042216358841</c:v>
                </c:pt>
                <c:pt idx="2">
                  <c:v>0.30626450116009279</c:v>
                </c:pt>
                <c:pt idx="3">
                  <c:v>0.20104438642297651</c:v>
                </c:pt>
                <c:pt idx="4">
                  <c:v>0.24377224199288255</c:v>
                </c:pt>
              </c:numCache>
            </c:numRef>
          </c:val>
          <c:smooth val="0"/>
          <c:extLst>
            <c:ext xmlns:c16="http://schemas.microsoft.com/office/drawing/2014/chart" uri="{C3380CC4-5D6E-409C-BE32-E72D297353CC}">
              <c16:uniqueId val="{0000000F-26B2-46AF-B19B-4CE56C2B6E28}"/>
            </c:ext>
          </c:extLst>
        </c:ser>
        <c:ser>
          <c:idx val="22"/>
          <c:order val="15"/>
          <c:tx>
            <c:strRef>
              <c:f>'Child Protection Plans'!$AL$56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Plans'!$BH$56:$BL$56</c:f>
              <c:numCache>
                <c:formatCode>0.0%</c:formatCode>
                <c:ptCount val="5"/>
                <c:pt idx="0">
                  <c:v>0.23084577114427859</c:v>
                </c:pt>
                <c:pt idx="1">
                  <c:v>0.22447013487475914</c:v>
                </c:pt>
                <c:pt idx="2">
                  <c:v>0.24413553431798435</c:v>
                </c:pt>
                <c:pt idx="3">
                  <c:v>0.21919014084507044</c:v>
                </c:pt>
                <c:pt idx="4">
                  <c:v>0.26398852223816355</c:v>
                </c:pt>
              </c:numCache>
            </c:numRef>
          </c:val>
          <c:smooth val="0"/>
          <c:extLst>
            <c:ext xmlns:c16="http://schemas.microsoft.com/office/drawing/2014/chart" uri="{C3380CC4-5D6E-409C-BE32-E72D297353CC}">
              <c16:uniqueId val="{00000010-26B2-46AF-B19B-4CE56C2B6E28}"/>
            </c:ext>
          </c:extLst>
        </c:ser>
        <c:ser>
          <c:idx val="7"/>
          <c:order val="16"/>
          <c:tx>
            <c:strRef>
              <c:f>'Child Protection Plans'!$AL$57</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2015-16</c:v>
                </c:pt>
                <c:pt idx="1">
                  <c:v>2016-17</c:v>
                </c:pt>
                <c:pt idx="2">
                  <c:v>2017-18</c:v>
                </c:pt>
                <c:pt idx="3">
                  <c:v>2018-19</c:v>
                </c:pt>
                <c:pt idx="4">
                  <c:v>2019-20</c:v>
                </c:pt>
              </c:strCache>
            </c:strRef>
          </c:cat>
          <c:val>
            <c:numRef>
              <c:f>'Child Protection Plans'!$BH$57:$BL$57</c:f>
              <c:numCache>
                <c:formatCode>0.0%</c:formatCode>
                <c:ptCount val="5"/>
                <c:pt idx="0">
                  <c:v>0.19031141868512111</c:v>
                </c:pt>
                <c:pt idx="1">
                  <c:v>0.20170454545454544</c:v>
                </c:pt>
                <c:pt idx="2">
                  <c:v>0.19755600814663951</c:v>
                </c:pt>
                <c:pt idx="3">
                  <c:v>0.12142857142857143</c:v>
                </c:pt>
                <c:pt idx="4">
                  <c:v>0.12875536480686695</c:v>
                </c:pt>
              </c:numCache>
            </c:numRef>
          </c:val>
          <c:smooth val="0"/>
          <c:extLst>
            <c:ext xmlns:c16="http://schemas.microsoft.com/office/drawing/2014/chart" uri="{C3380CC4-5D6E-409C-BE32-E72D297353CC}">
              <c16:uniqueId val="{00000011-26B2-46AF-B19B-4CE56C2B6E28}"/>
            </c:ext>
          </c:extLst>
        </c:ser>
        <c:ser>
          <c:idx val="8"/>
          <c:order val="17"/>
          <c:tx>
            <c:strRef>
              <c:f>'Child Protection Plans'!$AL$58</c:f>
              <c:strCache>
                <c:ptCount val="1"/>
                <c:pt idx="0">
                  <c:v>Torbay</c:v>
                </c:pt>
              </c:strCache>
            </c:strRef>
          </c:tx>
          <c:spPr>
            <a:ln w="12700"/>
          </c:spPr>
          <c:marker>
            <c:symbol val="circle"/>
            <c:size val="5"/>
            <c:spPr>
              <a:solidFill>
                <a:schemeClr val="accent3">
                  <a:lumMod val="20000"/>
                  <a:lumOff val="80000"/>
                </a:schemeClr>
              </a:solidFill>
            </c:spPr>
          </c:marker>
          <c:cat>
            <c:strRef>
              <c:f>'Child Protection Plans'!$Z$2:$AD$3</c:f>
              <c:strCache>
                <c:ptCount val="5"/>
                <c:pt idx="0">
                  <c:v>2015-16</c:v>
                </c:pt>
                <c:pt idx="1">
                  <c:v>2016-17</c:v>
                </c:pt>
                <c:pt idx="2">
                  <c:v>2017-18</c:v>
                </c:pt>
                <c:pt idx="3">
                  <c:v>2018-19</c:v>
                </c:pt>
                <c:pt idx="4">
                  <c:v>2019-20</c:v>
                </c:pt>
              </c:strCache>
            </c:strRef>
          </c:cat>
          <c:val>
            <c:numRef>
              <c:f>'Child Protection Plans'!$BH$58:$BL$58</c:f>
              <c:numCache>
                <c:formatCode>0.0%</c:formatCode>
                <c:ptCount val="5"/>
                <c:pt idx="0">
                  <c:v>0.23134328358208955</c:v>
                </c:pt>
                <c:pt idx="1">
                  <c:v>0.21212121212121213</c:v>
                </c:pt>
                <c:pt idx="2">
                  <c:v>0.26896551724137929</c:v>
                </c:pt>
                <c:pt idx="3">
                  <c:v>0.3155737704918033</c:v>
                </c:pt>
                <c:pt idx="4">
                  <c:v>0.2837370242214533</c:v>
                </c:pt>
              </c:numCache>
            </c:numRef>
          </c:val>
          <c:smooth val="0"/>
          <c:extLst>
            <c:ext xmlns:c16="http://schemas.microsoft.com/office/drawing/2014/chart" uri="{C3380CC4-5D6E-409C-BE32-E72D297353CC}">
              <c16:uniqueId val="{00000012-26B2-46AF-B19B-4CE56C2B6E28}"/>
            </c:ext>
          </c:extLst>
        </c:ser>
        <c:ser>
          <c:idx val="23"/>
          <c:order val="18"/>
          <c:tx>
            <c:strRef>
              <c:f>'Child Protection Plans'!$AL$59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Plans'!$BH$59:$BL$59</c:f>
              <c:numCache>
                <c:formatCode>0.0%</c:formatCode>
                <c:ptCount val="5"/>
                <c:pt idx="0">
                  <c:v>0.10784313725490197</c:v>
                </c:pt>
                <c:pt idx="1">
                  <c:v>0.22748815165876776</c:v>
                </c:pt>
                <c:pt idx="2">
                  <c:v>0.18181818181818182</c:v>
                </c:pt>
                <c:pt idx="3">
                  <c:v>0.24752475247524752</c:v>
                </c:pt>
                <c:pt idx="4">
                  <c:v>0.21764705882352942</c:v>
                </c:pt>
              </c:numCache>
            </c:numRef>
          </c:val>
          <c:smooth val="0"/>
          <c:extLst>
            <c:ext xmlns:c16="http://schemas.microsoft.com/office/drawing/2014/chart" uri="{C3380CC4-5D6E-409C-BE32-E72D297353CC}">
              <c16:uniqueId val="{00000013-26B2-46AF-B19B-4CE56C2B6E28}"/>
            </c:ext>
          </c:extLst>
        </c:ser>
        <c:ser>
          <c:idx val="24"/>
          <c:order val="19"/>
          <c:tx>
            <c:strRef>
              <c:f>'Child Protection Plans'!$AL$60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Plans'!$BH$60:$BL$60</c:f>
              <c:numCache>
                <c:formatCode>0.0%</c:formatCode>
                <c:ptCount val="5"/>
                <c:pt idx="0">
                  <c:v>0.22794117647058823</c:v>
                </c:pt>
                <c:pt idx="1">
                  <c:v>0.22748815165876776</c:v>
                </c:pt>
                <c:pt idx="2">
                  <c:v>0.2437759336099585</c:v>
                </c:pt>
                <c:pt idx="3">
                  <c:v>0.22481572481572482</c:v>
                </c:pt>
                <c:pt idx="4">
                  <c:v>0.2648888888888889</c:v>
                </c:pt>
              </c:numCache>
            </c:numRef>
          </c:val>
          <c:smooth val="0"/>
          <c:extLst>
            <c:ext xmlns:c16="http://schemas.microsoft.com/office/drawing/2014/chart" uri="{C3380CC4-5D6E-409C-BE32-E72D297353CC}">
              <c16:uniqueId val="{00000014-26B2-46AF-B19B-4CE56C2B6E28}"/>
            </c:ext>
          </c:extLst>
        </c:ser>
        <c:ser>
          <c:idx val="25"/>
          <c:order val="20"/>
          <c:tx>
            <c:strRef>
              <c:f>'Child Protection Plans'!$AL$61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Plans'!$BH$61:$BL$61</c:f>
              <c:numCache>
                <c:formatCode>0.0%</c:formatCode>
                <c:ptCount val="5"/>
                <c:pt idx="0">
                  <c:v>0.13714285714285715</c:v>
                </c:pt>
                <c:pt idx="1">
                  <c:v>0.30813953488372092</c:v>
                </c:pt>
                <c:pt idx="2">
                  <c:v>0.20634920634920634</c:v>
                </c:pt>
                <c:pt idx="3">
                  <c:v>0.11956521739130435</c:v>
                </c:pt>
                <c:pt idx="4">
                  <c:v>0.15023474178403756</c:v>
                </c:pt>
              </c:numCache>
            </c:numRef>
          </c:val>
          <c:smooth val="0"/>
          <c:extLst>
            <c:ext xmlns:c16="http://schemas.microsoft.com/office/drawing/2014/chart" uri="{C3380CC4-5D6E-409C-BE32-E72D297353CC}">
              <c16:uniqueId val="{00000015-26B2-46AF-B19B-4CE56C2B6E28}"/>
            </c:ext>
          </c:extLst>
        </c:ser>
        <c:ser>
          <c:idx val="26"/>
          <c:order val="21"/>
          <c:tx>
            <c:strRef>
              <c:f>'Child Protection Plans'!$AL$62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Plans'!$BH$62:$BL$62</c:f>
              <c:numCache>
                <c:formatCode>0.0%</c:formatCode>
                <c:ptCount val="5"/>
                <c:pt idx="0">
                  <c:v>0.14912280701754385</c:v>
                </c:pt>
                <c:pt idx="1">
                  <c:v>0.32558139534883723</c:v>
                </c:pt>
                <c:pt idx="2">
                  <c:v>0.24</c:v>
                </c:pt>
                <c:pt idx="3">
                  <c:v>0.14795918367346939</c:v>
                </c:pt>
                <c:pt idx="4">
                  <c:v>0.20224719101123595</c:v>
                </c:pt>
              </c:numCache>
            </c:numRef>
          </c:val>
          <c:smooth val="0"/>
          <c:extLst>
            <c:ext xmlns:c16="http://schemas.microsoft.com/office/drawing/2014/chart" uri="{C3380CC4-5D6E-409C-BE32-E72D297353CC}">
              <c16:uniqueId val="{00000016-26B2-46AF-B19B-4CE56C2B6E28}"/>
            </c:ext>
          </c:extLst>
        </c:ser>
        <c:ser>
          <c:idx val="4"/>
          <c:order val="22"/>
          <c:tx>
            <c:strRef>
              <c:f>'Child Protection Plans'!$AL$63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Plans'!$BH$63:$BL$63</c:f>
              <c:numCache>
                <c:formatCode>0.0%</c:formatCode>
                <c:ptCount val="5"/>
                <c:pt idx="0">
                  <c:v>0.20675537359263049</c:v>
                </c:pt>
                <c:pt idx="1">
                  <c:v>0.2223360655737705</c:v>
                </c:pt>
                <c:pt idx="2">
                  <c:v>0.22592945662535749</c:v>
                </c:pt>
                <c:pt idx="3">
                  <c:v>0.21078921078921078</c:v>
                </c:pt>
                <c:pt idx="4">
                  <c:v>0.23443579766536965</c:v>
                </c:pt>
              </c:numCache>
            </c:numRef>
          </c:val>
          <c:smooth val="0"/>
          <c:extLst>
            <c:ext xmlns:c16="http://schemas.microsoft.com/office/drawing/2014/chart" uri="{C3380CC4-5D6E-409C-BE32-E72D297353CC}">
              <c16:uniqueId val="{00000017-26B2-46AF-B19B-4CE56C2B6E28}"/>
            </c:ext>
          </c:extLst>
        </c:ser>
        <c:ser>
          <c:idx val="14"/>
          <c:order val="23"/>
          <c:tx>
            <c:strRef>
              <c:f>'Child Protection Plans'!$AL$64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2015-16</c:v>
                </c:pt>
                <c:pt idx="1">
                  <c:v>2016-17</c:v>
                </c:pt>
                <c:pt idx="2">
                  <c:v>2017-18</c:v>
                </c:pt>
                <c:pt idx="3">
                  <c:v>2018-19</c:v>
                </c:pt>
                <c:pt idx="4">
                  <c:v>2019-20</c:v>
                </c:pt>
              </c:strCache>
            </c:strRef>
          </c:cat>
          <c:val>
            <c:numRef>
              <c:f>'Child Protection Plans'!$BH$64:$BL$64</c:f>
              <c:numCache>
                <c:formatCode>0.0%</c:formatCode>
                <c:ptCount val="5"/>
                <c:pt idx="0">
                  <c:v>0.17927657558047702</c:v>
                </c:pt>
                <c:pt idx="1">
                  <c:v>0.18702002710435175</c:v>
                </c:pt>
                <c:pt idx="2">
                  <c:v>0.20212301875817945</c:v>
                </c:pt>
                <c:pt idx="3">
                  <c:v>0.20785842831433712</c:v>
                </c:pt>
                <c:pt idx="4">
                  <c:v>0.21904188008436276</c:v>
                </c:pt>
              </c:numCache>
            </c:numRef>
          </c:val>
          <c:smooth val="0"/>
          <c:extLst>
            <c:ext xmlns:c16="http://schemas.microsoft.com/office/drawing/2014/chart" uri="{C3380CC4-5D6E-409C-BE32-E72D297353CC}">
              <c16:uniqueId val="{00000018-26B2-46AF-B19B-4CE56C2B6E28}"/>
            </c:ext>
          </c:extLst>
        </c:ser>
        <c:ser>
          <c:idx val="6"/>
          <c:order val="24"/>
          <c:tx>
            <c:strRef>
              <c:f>'Child Protection Plans'!$AL$65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2015-16</c:v>
                </c:pt>
                <c:pt idx="1">
                  <c:v>2016-17</c:v>
                </c:pt>
                <c:pt idx="2">
                  <c:v>2017-18</c:v>
                </c:pt>
                <c:pt idx="3">
                  <c:v>2018-19</c:v>
                </c:pt>
                <c:pt idx="4">
                  <c:v>2019-20</c:v>
                </c:pt>
              </c:strCache>
            </c:strRef>
          </c:cat>
          <c:val>
            <c:numRef>
              <c:f>'Child Protection Plans'!$BH$65:$BL$65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6B2-46AF-B19B-4CE56C2B6E28}"/>
            </c:ext>
          </c:extLst>
        </c:ser>
        <c:dLbls>
          <c:showLegendKey val="0"/>
          <c:showVal val="0"/>
          <c:showCatName val="0"/>
          <c:showSerName val="0"/>
          <c:showPercent val="0"/>
          <c:showBubbleSize val="0"/>
        </c:dLbls>
        <c:marker val="1"/>
        <c:smooth val="0"/>
        <c:axId val="585389952"/>
        <c:axId val="585420800"/>
      </c:lineChart>
      <c:catAx>
        <c:axId val="58538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420800"/>
        <c:crosses val="autoZero"/>
        <c:auto val="1"/>
        <c:lblAlgn val="ctr"/>
        <c:lblOffset val="100"/>
        <c:tickLblSkip val="1"/>
        <c:tickMarkSkip val="1"/>
        <c:noMultiLvlLbl val="0"/>
      </c:catAx>
      <c:valAx>
        <c:axId val="58542080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38995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914578351735385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Child Protection Plans</a:t>
            </a:r>
            <a:endParaRPr lang="en-GB"/>
          </a:p>
        </c:rich>
      </c:tx>
      <c:layout>
        <c:manualLayout>
          <c:xMode val="edge"/>
          <c:yMode val="edge"/>
          <c:x val="6.8617635733538703E-3"/>
          <c:y val="1.5365235743636314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 Protection Plans'!$S$7:$U$7</c:f>
              <c:strCache>
                <c:ptCount val="1"/>
                <c:pt idx="0">
                  <c:v>Distance from Expected 2020</c:v>
                </c:pt>
              </c:strCache>
            </c:strRef>
          </c:tx>
          <c:spPr>
            <a:solidFill>
              <a:srgbClr val="FB994F"/>
            </a:solidFill>
            <a:ln w="25400">
              <a:noFill/>
            </a:ln>
          </c:spPr>
          <c:invertIfNegative val="0"/>
          <c:cat>
            <c:strRef>
              <c:f>'Child Protection Plans'!$Y$77:$Y$100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Plans'!$U$10:$U$33</c:f>
              <c:numCache>
                <c:formatCode>0.0</c:formatCode>
                <c:ptCount val="24"/>
                <c:pt idx="0">
                  <c:v>14.887633976846015</c:v>
                </c:pt>
                <c:pt idx="1">
                  <c:v>25.260012215271324</c:v>
                </c:pt>
                <c:pt idx="2">
                  <c:v>18.503114080687006</c:v>
                </c:pt>
                <c:pt idx="3">
                  <c:v>7.4241606863843472</c:v>
                </c:pt>
                <c:pt idx="4">
                  <c:v>2.4350282485301555</c:v>
                </c:pt>
                <c:pt idx="5">
                  <c:v>4.0733639715166134</c:v>
                </c:pt>
                <c:pt idx="6">
                  <c:v>-3.6336699717399412</c:v>
                </c:pt>
                <c:pt idx="7">
                  <c:v>22.425855327155169</c:v>
                </c:pt>
                <c:pt idx="8">
                  <c:v>-21.532294845367289</c:v>
                </c:pt>
                <c:pt idx="9">
                  <c:v>6.6080357651006274</c:v>
                </c:pt>
                <c:pt idx="10">
                  <c:v>-5.1534061223500274</c:v>
                </c:pt>
                <c:pt idx="11">
                  <c:v>17.748719043386664</c:v>
                </c:pt>
                <c:pt idx="12">
                  <c:v>29.74128969201297</c:v>
                </c:pt>
                <c:pt idx="13">
                  <c:v>-12.815469160773034</c:v>
                </c:pt>
                <c:pt idx="14">
                  <c:v>25.070500328272402</c:v>
                </c:pt>
                <c:pt idx="15">
                  <c:v>-0.85938302293580549</c:v>
                </c:pt>
                <c:pt idx="16">
                  <c:v>-6.9792473112332871</c:v>
                </c:pt>
                <c:pt idx="17">
                  <c:v>19.974645675909898</c:v>
                </c:pt>
                <c:pt idx="18">
                  <c:v>2.119864424880916</c:v>
                </c:pt>
                <c:pt idx="19">
                  <c:v>13.912887551169355</c:v>
                </c:pt>
                <c:pt idx="20">
                  <c:v>14.243705189607176</c:v>
                </c:pt>
                <c:pt idx="21">
                  <c:v>13.920886811981575</c:v>
                </c:pt>
                <c:pt idx="22">
                  <c:v>5.9165189721330265</c:v>
                </c:pt>
                <c:pt idx="23">
                  <c:v>-2.1995846243833839</c:v>
                </c:pt>
              </c:numCache>
            </c:numRef>
          </c:val>
          <c:extLst>
            <c:ext xmlns:c16="http://schemas.microsoft.com/office/drawing/2014/chart" uri="{C3380CC4-5D6E-409C-BE32-E72D297353CC}">
              <c16:uniqueId val="{00000000-D03A-4C19-98A2-9764078D9DE7}"/>
            </c:ext>
          </c:extLst>
        </c:ser>
        <c:ser>
          <c:idx val="0"/>
          <c:order val="1"/>
          <c:tx>
            <c:strRef>
              <c:f>'Child Protection Plans'!$AA$4</c:f>
              <c:strCache>
                <c:ptCount val="1"/>
                <c:pt idx="0">
                  <c:v>Selected LA- (none)</c:v>
                </c:pt>
              </c:strCache>
            </c:strRef>
          </c:tx>
          <c:spPr>
            <a:solidFill>
              <a:srgbClr val="66FF99"/>
            </a:solidFill>
            <a:ln w="12700">
              <a:solidFill>
                <a:srgbClr val="000000"/>
              </a:solidFill>
              <a:prstDash val="solid"/>
            </a:ln>
          </c:spPr>
          <c:invertIfNegative val="0"/>
          <c:cat>
            <c:strRef>
              <c:f>'Child Protection Plans'!$Y$77:$Y$100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D03A-4C19-98A2-9764078D9DE7}"/>
            </c:ext>
          </c:extLst>
        </c:ser>
        <c:dLbls>
          <c:showLegendKey val="0"/>
          <c:showVal val="0"/>
          <c:showCatName val="0"/>
          <c:showSerName val="0"/>
          <c:showPercent val="0"/>
          <c:showBubbleSize val="0"/>
        </c:dLbls>
        <c:gapWidth val="40"/>
        <c:overlap val="100"/>
        <c:axId val="585512448"/>
        <c:axId val="585513984"/>
      </c:barChart>
      <c:catAx>
        <c:axId val="58551244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513984"/>
        <c:crossesAt val="0"/>
        <c:auto val="1"/>
        <c:lblAlgn val="ctr"/>
        <c:lblOffset val="100"/>
        <c:noMultiLvlLbl val="0"/>
      </c:catAx>
      <c:valAx>
        <c:axId val="58551398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512448"/>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EH Referrals stepped-down from Social Care</a:t>
            </a:r>
            <a:endParaRPr lang="en-GB" baseline="0"/>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4605631923128254"/>
          <c:y val="3.8614041169382127E-3"/>
        </c:manualLayout>
      </c:layout>
      <c:overlay val="0"/>
      <c:spPr>
        <a:noFill/>
        <a:ln w="25400">
          <a:noFill/>
        </a:ln>
      </c:spPr>
    </c:title>
    <c:autoTitleDeleted val="0"/>
    <c:plotArea>
      <c:layout>
        <c:manualLayout>
          <c:layoutTarget val="inner"/>
          <c:xMode val="edge"/>
          <c:yMode val="edge"/>
          <c:x val="9.8666564984461691E-2"/>
          <c:y val="0.22770002806252992"/>
          <c:w val="0.63239900097233603"/>
          <c:h val="0.5298408153526265"/>
        </c:manualLayout>
      </c:layout>
      <c:barChart>
        <c:barDir val="col"/>
        <c:grouping val="clustered"/>
        <c:varyColors val="0"/>
        <c:ser>
          <c:idx val="4"/>
          <c:order val="0"/>
          <c:tx>
            <c:strRef>
              <c:f>EH_Referrals!$B$98</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EH_Referrals!$Z$2:$AD$3</c:f>
              <c:strCache>
                <c:ptCount val="5"/>
                <c:pt idx="0">
                  <c:v>2015-16</c:v>
                </c:pt>
                <c:pt idx="1">
                  <c:v>2016-17</c:v>
                </c:pt>
                <c:pt idx="2">
                  <c:v>2017-18</c:v>
                </c:pt>
                <c:pt idx="3">
                  <c:v>2018-19</c:v>
                </c:pt>
                <c:pt idx="4">
                  <c:v>2019-20</c:v>
                </c:pt>
              </c:strCache>
            </c:strRef>
          </c:cat>
          <c:val>
            <c:numRef>
              <c:f>EH_Referrals!$D$98:$H$98</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C3B7-48DF-8377-51AE8A430A94}"/>
            </c:ext>
          </c:extLst>
        </c:ser>
        <c:ser>
          <c:idx val="6"/>
          <c:order val="1"/>
          <c:tx>
            <c:strRef>
              <c:f>EH_Referrals!$Z$4</c:f>
              <c:strCache>
                <c:ptCount val="1"/>
                <c:pt idx="0">
                  <c:v>Selected LA- (none)</c:v>
                </c:pt>
              </c:strCache>
            </c:strRef>
          </c:tx>
          <c:spPr>
            <a:solidFill>
              <a:srgbClr val="66FF99"/>
            </a:solidFill>
            <a:ln>
              <a:solidFill>
                <a:schemeClr val="tx1">
                  <a:lumMod val="75000"/>
                  <a:lumOff val="25000"/>
                </a:schemeClr>
              </a:solidFill>
            </a:ln>
          </c:spPr>
          <c:invertIfNegative val="0"/>
          <c:cat>
            <c:strRef>
              <c:f>EH_Referrals!$Z$2:$AD$3</c:f>
              <c:strCache>
                <c:ptCount val="5"/>
                <c:pt idx="0">
                  <c:v>2015-16</c:v>
                </c:pt>
                <c:pt idx="1">
                  <c:v>2016-17</c:v>
                </c:pt>
                <c:pt idx="2">
                  <c:v>2017-18</c:v>
                </c:pt>
                <c:pt idx="3">
                  <c:v>2018-19</c:v>
                </c:pt>
                <c:pt idx="4">
                  <c:v>2019-20</c:v>
                </c:pt>
              </c:strCache>
            </c:strRef>
          </c:cat>
          <c:val>
            <c:numRef>
              <c:f>EH_Referrals!$AS$63:$AW$63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C3B7-48DF-8377-51AE8A430A94}"/>
            </c:ext>
          </c:extLst>
        </c:ser>
        <c:dLbls>
          <c:showLegendKey val="0"/>
          <c:showVal val="0"/>
          <c:showCatName val="0"/>
          <c:showSerName val="0"/>
          <c:showPercent val="0"/>
          <c:showBubbleSize val="0"/>
        </c:dLbls>
        <c:gapWidth val="150"/>
        <c:axId val="511008128"/>
        <c:axId val="511022208"/>
      </c:barChart>
      <c:catAx>
        <c:axId val="511008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1022208"/>
        <c:crosses val="autoZero"/>
        <c:auto val="1"/>
        <c:lblAlgn val="ctr"/>
        <c:lblOffset val="100"/>
        <c:noMultiLvlLbl val="0"/>
      </c:catAx>
      <c:valAx>
        <c:axId val="51102220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1008128"/>
        <c:crosses val="autoZero"/>
        <c:crossBetween val="between"/>
      </c:valAx>
      <c:spPr>
        <a:noFill/>
        <a:ln w="3175">
          <a:solidFill>
            <a:srgbClr val="000000"/>
          </a:solidFill>
          <a:prstDash val="solid"/>
        </a:ln>
      </c:spPr>
    </c:plotArea>
    <c:legend>
      <c:legendPos val="r"/>
      <c:layout>
        <c:manualLayout>
          <c:xMode val="edge"/>
          <c:yMode val="edge"/>
          <c:x val="0.76172097131926308"/>
          <c:y val="0.25294082514573274"/>
          <c:w val="0.23740710377304533"/>
          <c:h val="0.542204724409448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'Child Protection Plans'!$AL$5</c:f>
          <c:strCache>
            <c:ptCount val="1"/>
            <c:pt idx="0">
              <c:v>Average Annual Change in Number of Child Protection Plans</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'Child Protection Plans'!$I$7</c:f>
              <c:strCache>
                <c:ptCount val="1"/>
                <c:pt idx="0">
                  <c:v>Average Annual Change </c:v>
                </c:pt>
              </c:strCache>
            </c:strRef>
          </c:tx>
          <c:spPr>
            <a:solidFill>
              <a:srgbClr val="FB994F"/>
            </a:solidFill>
            <a:ln w="25400">
              <a:noFill/>
            </a:ln>
          </c:spPr>
          <c:invertIfNegative val="0"/>
          <c:cat>
            <c:strRef>
              <c:f>'Child Protection Plans'!$B$10:$B$33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Plans'!$I$10:$I$33</c:f>
              <c:numCache>
                <c:formatCode>0.0%</c:formatCode>
                <c:ptCount val="24"/>
                <c:pt idx="0">
                  <c:v>7.5895617064095339E-2</c:v>
                </c:pt>
                <c:pt idx="1">
                  <c:v>-3.1838662499111325E-2</c:v>
                </c:pt>
                <c:pt idx="2">
                  <c:v>6.8944535498653356E-2</c:v>
                </c:pt>
                <c:pt idx="3">
                  <c:v>4.467224464940911E-2</c:v>
                </c:pt>
                <c:pt idx="4">
                  <c:v>-9.9040613798822619E-2</c:v>
                </c:pt>
                <c:pt idx="5">
                  <c:v>-0.12042139207091493</c:v>
                </c:pt>
                <c:pt idx="6">
                  <c:v>6.9225939743006115E-2</c:v>
                </c:pt>
                <c:pt idx="7">
                  <c:v>3.9871597803715769E-3</c:v>
                </c:pt>
                <c:pt idx="8">
                  <c:v>0.10302424202679958</c:v>
                </c:pt>
                <c:pt idx="9">
                  <c:v>-6.6059818231596311E-3</c:v>
                </c:pt>
                <c:pt idx="10">
                  <c:v>-5.3834498834498833E-2</c:v>
                </c:pt>
                <c:pt idx="11">
                  <c:v>-6.5980222408760572E-3</c:v>
                </c:pt>
                <c:pt idx="12">
                  <c:v>0.11306904625964199</c:v>
                </c:pt>
                <c:pt idx="13">
                  <c:v>3.5528559399152781E-2</c:v>
                </c:pt>
                <c:pt idx="14">
                  <c:v>6.0615138184038159E-2</c:v>
                </c:pt>
                <c:pt idx="15">
                  <c:v>-4.612525545058091E-2</c:v>
                </c:pt>
                <c:pt idx="16">
                  <c:v>-1.5946587079849736E-2</c:v>
                </c:pt>
                <c:pt idx="17">
                  <c:v>0.15949820370379636</c:v>
                </c:pt>
                <c:pt idx="18">
                  <c:v>-6.1619369472492524E-2</c:v>
                </c:pt>
                <c:pt idx="19">
                  <c:v>0.21087607655121621</c:v>
                </c:pt>
                <c:pt idx="20">
                  <c:v>4.225206497767027E-2</c:v>
                </c:pt>
                <c:pt idx="21">
                  <c:v>0.39321737165797416</c:v>
                </c:pt>
                <c:pt idx="22">
                  <c:v>-2.2167935272731074E-3</c:v>
                </c:pt>
                <c:pt idx="23">
                  <c:v>6.3909680517830157E-3</c:v>
                </c:pt>
              </c:numCache>
            </c:numRef>
          </c:val>
          <c:extLst>
            <c:ext xmlns:c16="http://schemas.microsoft.com/office/drawing/2014/chart" uri="{C3380CC4-5D6E-409C-BE32-E72D297353CC}">
              <c16:uniqueId val="{00000000-169C-43C6-9175-75320E865166}"/>
            </c:ext>
          </c:extLst>
        </c:ser>
        <c:ser>
          <c:idx val="1"/>
          <c:order val="1"/>
          <c:tx>
            <c:strRef>
              <c:f>'Child Protection Plans'!$AA$4</c:f>
              <c:strCache>
                <c:ptCount val="1"/>
                <c:pt idx="0">
                  <c:v>Selected LA- (none)</c:v>
                </c:pt>
              </c:strCache>
            </c:strRef>
          </c:tx>
          <c:spPr>
            <a:solidFill>
              <a:srgbClr val="66FF99"/>
            </a:solidFill>
            <a:ln w="12700">
              <a:solidFill>
                <a:srgbClr val="000000"/>
              </a:solidFill>
              <a:prstDash val="solid"/>
            </a:ln>
          </c:spPr>
          <c:invertIfNegative val="0"/>
          <c:cat>
            <c:strRef>
              <c:f>'Child Protection Plans'!$B$10:$B$33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169C-43C6-9175-75320E865166}"/>
            </c:ext>
          </c:extLst>
        </c:ser>
        <c:dLbls>
          <c:showLegendKey val="0"/>
          <c:showVal val="0"/>
          <c:showCatName val="0"/>
          <c:showSerName val="0"/>
          <c:showPercent val="0"/>
          <c:showBubbleSize val="0"/>
        </c:dLbls>
        <c:gapWidth val="40"/>
        <c:overlap val="100"/>
        <c:axId val="585826304"/>
        <c:axId val="585827840"/>
      </c:barChart>
      <c:catAx>
        <c:axId val="58582630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27840"/>
        <c:crosses val="autoZero"/>
        <c:auto val="1"/>
        <c:lblAlgn val="ctr"/>
        <c:lblOffset val="100"/>
        <c:noMultiLvlLbl val="0"/>
      </c:catAx>
      <c:valAx>
        <c:axId val="58582784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2630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a:t>
            </a:r>
            <a:r>
              <a:rPr lang="en-GB" baseline="0"/>
              <a:t> Ceased CPP 2yrs+ </a:t>
            </a:r>
            <a:r>
              <a:rPr lang="en-GB"/>
              <a:t>(Selected LA</a:t>
            </a:r>
            <a:r>
              <a:rPr lang="en-GB" baseline="0"/>
              <a:t> vs. SE &amp; National)</a:t>
            </a:r>
            <a:r>
              <a:rPr lang="en-GB"/>
              <a:t> </a:t>
            </a:r>
          </a:p>
        </c:rich>
      </c:tx>
      <c:layout>
        <c:manualLayout>
          <c:xMode val="edge"/>
          <c:yMode val="edge"/>
          <c:x val="0.1606153846153846"/>
          <c:y val="3.8615036134181857E-3"/>
        </c:manualLayout>
      </c:layout>
      <c:overlay val="0"/>
      <c:spPr>
        <a:noFill/>
        <a:ln w="25400">
          <a:noFill/>
        </a:ln>
      </c:spPr>
    </c:title>
    <c:autoTitleDeleted val="0"/>
    <c:plotArea>
      <c:layout>
        <c:manualLayout>
          <c:layoutTarget val="inner"/>
          <c:xMode val="edge"/>
          <c:yMode val="edge"/>
          <c:x val="9.8666666666666666E-2"/>
          <c:y val="0.22874411246539389"/>
          <c:w val="0.64607416380644722"/>
          <c:h val="0.50620285478013882"/>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Plans'!$BC$65:$BG$65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7A40-4E24-8ECF-D644F35BA847}"/>
            </c:ext>
          </c:extLst>
        </c:ser>
        <c:ser>
          <c:idx val="4"/>
          <c:order val="1"/>
          <c:tx>
            <c:strRef>
              <c:f>'Child Protection Plans'!$B$278</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Plans'!$D$242:$H$242</c:f>
              <c:numCache>
                <c:formatCode>0%</c:formatCode>
                <c:ptCount val="5"/>
                <c:pt idx="0">
                  <c:v>4.5643153526970952E-2</c:v>
                </c:pt>
                <c:pt idx="1">
                  <c:v>4.4806517311608958E-2</c:v>
                </c:pt>
                <c:pt idx="2">
                  <c:v>4.8574445617740235E-2</c:v>
                </c:pt>
                <c:pt idx="3">
                  <c:v>4.6425255338904362E-2</c:v>
                </c:pt>
                <c:pt idx="4">
                  <c:v>5.0632911392405063E-2</c:v>
                </c:pt>
              </c:numCache>
            </c:numRef>
          </c:val>
          <c:extLst>
            <c:ext xmlns:c16="http://schemas.microsoft.com/office/drawing/2014/chart" uri="{C3380CC4-5D6E-409C-BE32-E72D297353CC}">
              <c16:uniqueId val="{00000001-7A40-4E24-8ECF-D644F35BA847}"/>
            </c:ext>
          </c:extLst>
        </c:ser>
        <c:ser>
          <c:idx val="0"/>
          <c:order val="2"/>
          <c:tx>
            <c:strRef>
              <c:f>'Child Protection Plans'!$B$279</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Plans'!$D$243:$H$243</c:f>
              <c:numCache>
                <c:formatCode>0%</c:formatCode>
                <c:ptCount val="5"/>
                <c:pt idx="0">
                  <c:v>3.8406374501992031E-2</c:v>
                </c:pt>
                <c:pt idx="1">
                  <c:v>3.4087435035157446E-2</c:v>
                </c:pt>
                <c:pt idx="2">
                  <c:v>3.4132281553398057E-2</c:v>
                </c:pt>
                <c:pt idx="3">
                  <c:v>3.3426594021499043E-2</c:v>
                </c:pt>
                <c:pt idx="4">
                  <c:v>3.5836941914289981E-2</c:v>
                </c:pt>
              </c:numCache>
            </c:numRef>
          </c:val>
          <c:extLst>
            <c:ext xmlns:c16="http://schemas.microsoft.com/office/drawing/2014/chart" uri="{C3380CC4-5D6E-409C-BE32-E72D297353CC}">
              <c16:uniqueId val="{00000002-7A40-4E24-8ECF-D644F35BA847}"/>
            </c:ext>
          </c:extLst>
        </c:ser>
        <c:dLbls>
          <c:showLegendKey val="0"/>
          <c:showVal val="0"/>
          <c:showCatName val="0"/>
          <c:showSerName val="0"/>
          <c:showPercent val="0"/>
          <c:showBubbleSize val="0"/>
        </c:dLbls>
        <c:gapWidth val="100"/>
        <c:axId val="585865856"/>
        <c:axId val="585884032"/>
      </c:barChart>
      <c:catAx>
        <c:axId val="585865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84032"/>
        <c:crosses val="autoZero"/>
        <c:auto val="1"/>
        <c:lblAlgn val="ctr"/>
        <c:lblOffset val="100"/>
        <c:noMultiLvlLbl val="0"/>
      </c:catAx>
      <c:valAx>
        <c:axId val="58588403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65856"/>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5062021356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for 2 Years or more (CP Plans ceasing during</a:t>
            </a:r>
            <a:r>
              <a:rPr lang="en-GB" baseline="0"/>
              <a:t> period</a:t>
            </a:r>
            <a:r>
              <a:rPr lang="en-GB"/>
              <a:t>)</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829-4544-A57D-8B5BEF6DBA9A}"/>
              </c:ext>
            </c:extLst>
          </c:dPt>
          <c:cat>
            <c:strRef>
              <c:f>'Child Protection Plans'!$Z$2:$AD$3</c:f>
              <c:strCache>
                <c:ptCount val="5"/>
                <c:pt idx="0">
                  <c:v>2015-16</c:v>
                </c:pt>
                <c:pt idx="1">
                  <c:v>2016-17</c:v>
                </c:pt>
                <c:pt idx="2">
                  <c:v>2017-18</c:v>
                </c:pt>
                <c:pt idx="3">
                  <c:v>2018-19</c:v>
                </c:pt>
                <c:pt idx="4">
                  <c:v>2019-20</c:v>
                </c:pt>
              </c:strCache>
            </c:strRef>
          </c:cat>
          <c:val>
            <c:numRef>
              <c:f>'Child Protection Plans'!$BC$41:$BG$41</c:f>
              <c:numCache>
                <c:formatCode>0.0%</c:formatCode>
                <c:ptCount val="5"/>
                <c:pt idx="0">
                  <c:v>0.12162162162162163</c:v>
                </c:pt>
                <c:pt idx="1">
                  <c:v>8.9171974522292988E-2</c:v>
                </c:pt>
                <c:pt idx="2">
                  <c:v>0</c:v>
                </c:pt>
                <c:pt idx="3">
                  <c:v>#N/A</c:v>
                </c:pt>
                <c:pt idx="4">
                  <c:v>0</c:v>
                </c:pt>
              </c:numCache>
            </c:numRef>
          </c:val>
          <c:smooth val="0"/>
          <c:extLst>
            <c:ext xmlns:c16="http://schemas.microsoft.com/office/drawing/2014/chart" uri="{C3380CC4-5D6E-409C-BE32-E72D297353CC}">
              <c16:uniqueId val="{00000001-D829-4544-A57D-8B5BEF6DBA9A}"/>
            </c:ext>
          </c:extLst>
        </c:ser>
        <c:ser>
          <c:idx val="1"/>
          <c:order val="1"/>
          <c:tx>
            <c:strRef>
              <c:f>'Child Protection Plans'!$AL$42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Plans'!$BC$42:$BG$42</c:f>
              <c:numCache>
                <c:formatCode>0.0%</c:formatCode>
                <c:ptCount val="5"/>
                <c:pt idx="0">
                  <c:v>7.6704545454545456E-2</c:v>
                </c:pt>
                <c:pt idx="1">
                  <c:v>3.2407407407407406E-2</c:v>
                </c:pt>
                <c:pt idx="2">
                  <c:v>7.575757575757576E-2</c:v>
                </c:pt>
                <c:pt idx="3">
                  <c:v>5.1980198019801978E-2</c:v>
                </c:pt>
                <c:pt idx="4">
                  <c:v>4.3010752688172046E-2</c:v>
                </c:pt>
              </c:numCache>
            </c:numRef>
          </c:val>
          <c:smooth val="0"/>
          <c:extLst>
            <c:ext xmlns:c16="http://schemas.microsoft.com/office/drawing/2014/chart" uri="{C3380CC4-5D6E-409C-BE32-E72D297353CC}">
              <c16:uniqueId val="{00000002-D829-4544-A57D-8B5BEF6DBA9A}"/>
            </c:ext>
          </c:extLst>
        </c:ser>
        <c:ser>
          <c:idx val="2"/>
          <c:order val="2"/>
          <c:tx>
            <c:strRef>
              <c:f>'Child Protection Plans'!$AL$43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Plans'!$BC$43:$BG$43</c:f>
              <c:numCache>
                <c:formatCode>0.0%</c:formatCode>
                <c:ptCount val="5"/>
                <c:pt idx="0">
                  <c:v>3.5490605427974949E-2</c:v>
                </c:pt>
                <c:pt idx="1">
                  <c:v>2.3961661341853034E-2</c:v>
                </c:pt>
                <c:pt idx="2">
                  <c:v>3.1645569620253167E-2</c:v>
                </c:pt>
                <c:pt idx="3">
                  <c:v>3.1088082901554404E-2</c:v>
                </c:pt>
                <c:pt idx="4">
                  <c:v>4.0221914008321778E-2</c:v>
                </c:pt>
              </c:numCache>
            </c:numRef>
          </c:val>
          <c:smooth val="0"/>
          <c:extLst>
            <c:ext xmlns:c16="http://schemas.microsoft.com/office/drawing/2014/chart" uri="{C3380CC4-5D6E-409C-BE32-E72D297353CC}">
              <c16:uniqueId val="{00000003-D829-4544-A57D-8B5BEF6DBA9A}"/>
            </c:ext>
          </c:extLst>
        </c:ser>
        <c:ser>
          <c:idx val="5"/>
          <c:order val="3"/>
          <c:tx>
            <c:strRef>
              <c:f>'Child Protection Plans'!$AL$44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Plans'!$BC$44:$BG$44</c:f>
              <c:numCache>
                <c:formatCode>0.0%</c:formatCode>
                <c:ptCount val="5"/>
                <c:pt idx="0">
                  <c:v>7.4626865671641784E-2</c:v>
                </c:pt>
                <c:pt idx="1">
                  <c:v>8.8709677419354843E-2</c:v>
                </c:pt>
                <c:pt idx="2">
                  <c:v>9.0740740740740747E-2</c:v>
                </c:pt>
                <c:pt idx="3">
                  <c:v>7.2580645161290328E-2</c:v>
                </c:pt>
                <c:pt idx="4">
                  <c:v>8.5346215780998394E-2</c:v>
                </c:pt>
              </c:numCache>
            </c:numRef>
          </c:val>
          <c:smooth val="0"/>
          <c:extLst>
            <c:ext xmlns:c16="http://schemas.microsoft.com/office/drawing/2014/chart" uri="{C3380CC4-5D6E-409C-BE32-E72D297353CC}">
              <c16:uniqueId val="{00000004-D829-4544-A57D-8B5BEF6DBA9A}"/>
            </c:ext>
          </c:extLst>
        </c:ser>
        <c:ser>
          <c:idx val="9"/>
          <c:order val="4"/>
          <c:tx>
            <c:strRef>
              <c:f>'Child Protection Plans'!$AL$45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Plans'!$BC$45:$BG$45</c:f>
              <c:numCache>
                <c:formatCode>0.0%</c:formatCode>
                <c:ptCount val="5"/>
                <c:pt idx="0">
                  <c:v>4.1009463722397478E-2</c:v>
                </c:pt>
                <c:pt idx="1">
                  <c:v>4.8891415577032402E-2</c:v>
                </c:pt>
                <c:pt idx="2">
                  <c:v>7.1952031978680886E-2</c:v>
                </c:pt>
                <c:pt idx="3">
                  <c:v>4.3738765727980827E-2</c:v>
                </c:pt>
                <c:pt idx="4">
                  <c:v>3.9307128580946038E-2</c:v>
                </c:pt>
              </c:numCache>
            </c:numRef>
          </c:val>
          <c:smooth val="0"/>
          <c:extLst>
            <c:ext xmlns:c16="http://schemas.microsoft.com/office/drawing/2014/chart" uri="{C3380CC4-5D6E-409C-BE32-E72D297353CC}">
              <c16:uniqueId val="{00000005-D829-4544-A57D-8B5BEF6DBA9A}"/>
            </c:ext>
          </c:extLst>
        </c:ser>
        <c:ser>
          <c:idx val="10"/>
          <c:order val="5"/>
          <c:tx>
            <c:strRef>
              <c:f>'Child Protection Plans'!$AL$46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Plans'!$BC$46:$BG$46</c:f>
              <c:numCache>
                <c:formatCode>0.0%</c:formatCode>
                <c:ptCount val="5"/>
                <c:pt idx="0">
                  <c:v>4.5180722891566265E-2</c:v>
                </c:pt>
                <c:pt idx="1">
                  <c:v>3.6885245901639344E-2</c:v>
                </c:pt>
                <c:pt idx="2">
                  <c:v>5.7777777777777775E-2</c:v>
                </c:pt>
                <c:pt idx="3">
                  <c:v>5.2401746724890827E-2</c:v>
                </c:pt>
                <c:pt idx="4">
                  <c:v>#N/A</c:v>
                </c:pt>
              </c:numCache>
            </c:numRef>
          </c:val>
          <c:smooth val="0"/>
          <c:extLst>
            <c:ext xmlns:c16="http://schemas.microsoft.com/office/drawing/2014/chart" uri="{C3380CC4-5D6E-409C-BE32-E72D297353CC}">
              <c16:uniqueId val="{00000006-D829-4544-A57D-8B5BEF6DBA9A}"/>
            </c:ext>
          </c:extLst>
        </c:ser>
        <c:ser>
          <c:idx val="11"/>
          <c:order val="6"/>
          <c:tx>
            <c:strRef>
              <c:f>'Child Protection Plans'!$AL$47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Plans'!$BC$47:$BG$47</c:f>
              <c:numCache>
                <c:formatCode>0.0%</c:formatCode>
                <c:ptCount val="5"/>
                <c:pt idx="0">
                  <c:v>2.911978821972204E-2</c:v>
                </c:pt>
                <c:pt idx="1">
                  <c:v>3.7800687285223365E-2</c:v>
                </c:pt>
                <c:pt idx="2">
                  <c:v>4.1309431021044424E-2</c:v>
                </c:pt>
                <c:pt idx="3">
                  <c:v>5.7124518613607192E-2</c:v>
                </c:pt>
                <c:pt idx="4">
                  <c:v>5.7200538358008077E-2</c:v>
                </c:pt>
              </c:numCache>
            </c:numRef>
          </c:val>
          <c:smooth val="0"/>
          <c:extLst>
            <c:ext xmlns:c16="http://schemas.microsoft.com/office/drawing/2014/chart" uri="{C3380CC4-5D6E-409C-BE32-E72D297353CC}">
              <c16:uniqueId val="{00000007-D829-4544-A57D-8B5BEF6DBA9A}"/>
            </c:ext>
          </c:extLst>
        </c:ser>
        <c:ser>
          <c:idx val="12"/>
          <c:order val="7"/>
          <c:tx>
            <c:strRef>
              <c:f>'Child Protection Plans'!$AL$48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Plans'!$BC$48:$BG$48</c:f>
              <c:numCache>
                <c:formatCode>0.0%</c:formatCode>
                <c:ptCount val="5"/>
                <c:pt idx="0">
                  <c:v>4.4715447154471545E-2</c:v>
                </c:pt>
                <c:pt idx="1">
                  <c:v>5.9782608695652176E-2</c:v>
                </c:pt>
                <c:pt idx="2">
                  <c:v>5.089820359281437E-2</c:v>
                </c:pt>
                <c:pt idx="3">
                  <c:v>7.2052401746724892E-2</c:v>
                </c:pt>
                <c:pt idx="4">
                  <c:v>4.6315789473684213E-2</c:v>
                </c:pt>
              </c:numCache>
            </c:numRef>
          </c:val>
          <c:smooth val="0"/>
          <c:extLst>
            <c:ext xmlns:c16="http://schemas.microsoft.com/office/drawing/2014/chart" uri="{C3380CC4-5D6E-409C-BE32-E72D297353CC}">
              <c16:uniqueId val="{00000008-D829-4544-A57D-8B5BEF6DBA9A}"/>
            </c:ext>
          </c:extLst>
        </c:ser>
        <c:ser>
          <c:idx val="13"/>
          <c:order val="8"/>
          <c:tx>
            <c:strRef>
              <c:f>'Child Protection Plans'!$AL$49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Plans'!$BC$49:$BG$49</c:f>
              <c:numCache>
                <c:formatCode>0.0%</c:formatCode>
                <c:ptCount val="5"/>
                <c:pt idx="0">
                  <c:v>#N/A</c:v>
                </c:pt>
                <c:pt idx="1">
                  <c:v>0</c:v>
                </c:pt>
                <c:pt idx="2">
                  <c:v>0</c:v>
                </c:pt>
                <c:pt idx="3">
                  <c:v>#N/A</c:v>
                </c:pt>
                <c:pt idx="4">
                  <c:v>#N/A</c:v>
                </c:pt>
              </c:numCache>
            </c:numRef>
          </c:val>
          <c:smooth val="0"/>
          <c:extLst>
            <c:ext xmlns:c16="http://schemas.microsoft.com/office/drawing/2014/chart" uri="{C3380CC4-5D6E-409C-BE32-E72D297353CC}">
              <c16:uniqueId val="{00000009-D829-4544-A57D-8B5BEF6DBA9A}"/>
            </c:ext>
          </c:extLst>
        </c:ser>
        <c:ser>
          <c:idx val="15"/>
          <c:order val="9"/>
          <c:tx>
            <c:strRef>
              <c:f>'Child Protection Plans'!$AL$50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Plans'!$BC$50:$BG$50</c:f>
              <c:numCache>
                <c:formatCode>0.0%</c:formatCode>
                <c:ptCount val="5"/>
                <c:pt idx="0">
                  <c:v>4.9645390070921988E-2</c:v>
                </c:pt>
                <c:pt idx="1">
                  <c:v>4.4619422572178477E-2</c:v>
                </c:pt>
                <c:pt idx="2">
                  <c:v>4.0935672514619881E-2</c:v>
                </c:pt>
                <c:pt idx="3">
                  <c:v>6.7938021454112041E-2</c:v>
                </c:pt>
                <c:pt idx="4">
                  <c:v>6.6914498141263934E-2</c:v>
                </c:pt>
              </c:numCache>
            </c:numRef>
          </c:val>
          <c:smooth val="0"/>
          <c:extLst>
            <c:ext xmlns:c16="http://schemas.microsoft.com/office/drawing/2014/chart" uri="{C3380CC4-5D6E-409C-BE32-E72D297353CC}">
              <c16:uniqueId val="{0000000A-D829-4544-A57D-8B5BEF6DBA9A}"/>
            </c:ext>
          </c:extLst>
        </c:ser>
        <c:ser>
          <c:idx val="16"/>
          <c:order val="10"/>
          <c:tx>
            <c:strRef>
              <c:f>'Child Protection Plans'!$AL$51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Plans'!$BC$51:$BG$51</c:f>
              <c:numCache>
                <c:formatCode>0.0%</c:formatCode>
                <c:ptCount val="5"/>
                <c:pt idx="0">
                  <c:v>#N/A</c:v>
                </c:pt>
                <c:pt idx="1">
                  <c:v>3.9473684210526314E-2</c:v>
                </c:pt>
                <c:pt idx="2">
                  <c:v>5.8091286307053944E-2</c:v>
                </c:pt>
                <c:pt idx="3">
                  <c:v>5.8139534883720929E-2</c:v>
                </c:pt>
                <c:pt idx="4">
                  <c:v>2.4054982817869417E-2</c:v>
                </c:pt>
              </c:numCache>
            </c:numRef>
          </c:val>
          <c:smooth val="0"/>
          <c:extLst>
            <c:ext xmlns:c16="http://schemas.microsoft.com/office/drawing/2014/chart" uri="{C3380CC4-5D6E-409C-BE32-E72D297353CC}">
              <c16:uniqueId val="{0000000B-D829-4544-A57D-8B5BEF6DBA9A}"/>
            </c:ext>
          </c:extLst>
        </c:ser>
        <c:ser>
          <c:idx val="17"/>
          <c:order val="11"/>
          <c:tx>
            <c:strRef>
              <c:f>'Child Protection Plans'!$AL$52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Plans'!$BC$52:$BG$52</c:f>
              <c:numCache>
                <c:formatCode>0.0%</c:formatCode>
                <c:ptCount val="5"/>
                <c:pt idx="0">
                  <c:v>3.1358885017421602E-2</c:v>
                </c:pt>
                <c:pt idx="1">
                  <c:v>2.6229508196721311E-2</c:v>
                </c:pt>
                <c:pt idx="2">
                  <c:v>3.6764705882352942E-2</c:v>
                </c:pt>
                <c:pt idx="3">
                  <c:v>3.7735849056603772E-2</c:v>
                </c:pt>
                <c:pt idx="4">
                  <c:v>5.4151624548736461E-2</c:v>
                </c:pt>
              </c:numCache>
            </c:numRef>
          </c:val>
          <c:smooth val="0"/>
          <c:extLst>
            <c:ext xmlns:c16="http://schemas.microsoft.com/office/drawing/2014/chart" uri="{C3380CC4-5D6E-409C-BE32-E72D297353CC}">
              <c16:uniqueId val="{0000000C-D829-4544-A57D-8B5BEF6DBA9A}"/>
            </c:ext>
          </c:extLst>
        </c:ser>
        <c:ser>
          <c:idx val="19"/>
          <c:order val="12"/>
          <c:tx>
            <c:strRef>
              <c:f>'Child Protection Plans'!$AL$53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Plans'!$BC$53:$BG$53</c:f>
              <c:numCache>
                <c:formatCode>0.0%</c:formatCode>
                <c:ptCount val="5"/>
                <c:pt idx="0">
                  <c:v>#N/A</c:v>
                </c:pt>
                <c:pt idx="1">
                  <c:v>#N/A</c:v>
                </c:pt>
                <c:pt idx="2">
                  <c:v>#N/A</c:v>
                </c:pt>
                <c:pt idx="3">
                  <c:v>#N/A</c:v>
                </c:pt>
                <c:pt idx="4">
                  <c:v>5.128205128205128E-2</c:v>
                </c:pt>
              </c:numCache>
            </c:numRef>
          </c:val>
          <c:smooth val="0"/>
          <c:extLst>
            <c:ext xmlns:c16="http://schemas.microsoft.com/office/drawing/2014/chart" uri="{C3380CC4-5D6E-409C-BE32-E72D297353CC}">
              <c16:uniqueId val="{0000000D-D829-4544-A57D-8B5BEF6DBA9A}"/>
            </c:ext>
          </c:extLst>
        </c:ser>
        <c:ser>
          <c:idx val="3"/>
          <c:order val="13"/>
          <c:tx>
            <c:strRef>
              <c:f>'Child Protection Plans'!$AL$54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Plans'!$BC$54:$BG$54</c:f>
              <c:numCache>
                <c:formatCode>0.0%</c:formatCode>
                <c:ptCount val="5"/>
                <c:pt idx="0">
                  <c:v>4.7473200612557429E-2</c:v>
                </c:pt>
                <c:pt idx="1">
                  <c:v>0.02</c:v>
                </c:pt>
                <c:pt idx="2">
                  <c:v>1.1857707509881422E-2</c:v>
                </c:pt>
                <c:pt idx="3">
                  <c:v>4.1257367387033402E-2</c:v>
                </c:pt>
                <c:pt idx="4">
                  <c:v>4.8223350253807105E-2</c:v>
                </c:pt>
              </c:numCache>
            </c:numRef>
          </c:val>
          <c:smooth val="0"/>
          <c:extLst>
            <c:ext xmlns:c16="http://schemas.microsoft.com/office/drawing/2014/chart" uri="{C3380CC4-5D6E-409C-BE32-E72D297353CC}">
              <c16:uniqueId val="{0000000E-D829-4544-A57D-8B5BEF6DBA9A}"/>
            </c:ext>
          </c:extLst>
        </c:ser>
        <c:ser>
          <c:idx val="20"/>
          <c:order val="14"/>
          <c:tx>
            <c:strRef>
              <c:f>'Child Protection Plans'!$AL$55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Plans'!$BC$55:$BG$55</c:f>
              <c:numCache>
                <c:formatCode>0.0%</c:formatCode>
                <c:ptCount val="5"/>
                <c:pt idx="0">
                  <c:v>1.0849909584086799E-2</c:v>
                </c:pt>
                <c:pt idx="1">
                  <c:v>4.2452830188679243E-2</c:v>
                </c:pt>
                <c:pt idx="2">
                  <c:v>3.0612244897959183E-2</c:v>
                </c:pt>
                <c:pt idx="3">
                  <c:v>1.7199017199017199E-2</c:v>
                </c:pt>
                <c:pt idx="4">
                  <c:v>2.9748283752860413E-2</c:v>
                </c:pt>
              </c:numCache>
            </c:numRef>
          </c:val>
          <c:smooth val="0"/>
          <c:extLst>
            <c:ext xmlns:c16="http://schemas.microsoft.com/office/drawing/2014/chart" uri="{C3380CC4-5D6E-409C-BE32-E72D297353CC}">
              <c16:uniqueId val="{0000000F-D829-4544-A57D-8B5BEF6DBA9A}"/>
            </c:ext>
          </c:extLst>
        </c:ser>
        <c:ser>
          <c:idx val="22"/>
          <c:order val="15"/>
          <c:tx>
            <c:strRef>
              <c:f>'Child Protection Plans'!$AL$56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Plans'!$BC$56:$BG$56</c:f>
              <c:numCache>
                <c:formatCode>0.0%</c:formatCode>
                <c:ptCount val="5"/>
                <c:pt idx="0">
                  <c:v>9.8654708520179366E-2</c:v>
                </c:pt>
                <c:pt idx="1">
                  <c:v>5.5762081784386616E-2</c:v>
                </c:pt>
                <c:pt idx="2">
                  <c:v>6.0544904137235116E-2</c:v>
                </c:pt>
                <c:pt idx="3">
                  <c:v>4.5183290707587385E-2</c:v>
                </c:pt>
                <c:pt idx="4">
                  <c:v>6.9214876033057857E-2</c:v>
                </c:pt>
              </c:numCache>
            </c:numRef>
          </c:val>
          <c:smooth val="0"/>
          <c:extLst>
            <c:ext xmlns:c16="http://schemas.microsoft.com/office/drawing/2014/chart" uri="{C3380CC4-5D6E-409C-BE32-E72D297353CC}">
              <c16:uniqueId val="{00000010-D829-4544-A57D-8B5BEF6DBA9A}"/>
            </c:ext>
          </c:extLst>
        </c:ser>
        <c:ser>
          <c:idx val="7"/>
          <c:order val="16"/>
          <c:tx>
            <c:strRef>
              <c:f>'Child Protection Plans'!$AL$57</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2015-16</c:v>
                </c:pt>
                <c:pt idx="1">
                  <c:v>2016-17</c:v>
                </c:pt>
                <c:pt idx="2">
                  <c:v>2017-18</c:v>
                </c:pt>
                <c:pt idx="3">
                  <c:v>2018-19</c:v>
                </c:pt>
                <c:pt idx="4">
                  <c:v>2019-20</c:v>
                </c:pt>
              </c:strCache>
            </c:strRef>
          </c:cat>
          <c:val>
            <c:numRef>
              <c:f>'Child Protection Plans'!$BC$57:$BG$57</c:f>
              <c:numCache>
                <c:formatCode>0.0%</c:formatCode>
                <c:ptCount val="5"/>
                <c:pt idx="0">
                  <c:v>3.125E-2</c:v>
                </c:pt>
                <c:pt idx="1">
                  <c:v>3.5598705501618123E-2</c:v>
                </c:pt>
                <c:pt idx="2">
                  <c:v>1.5706806282722512E-2</c:v>
                </c:pt>
                <c:pt idx="3">
                  <c:v>4.2410714285714288E-2</c:v>
                </c:pt>
                <c:pt idx="4">
                  <c:v>6.4516129032258063E-2</c:v>
                </c:pt>
              </c:numCache>
            </c:numRef>
          </c:val>
          <c:smooth val="0"/>
          <c:extLst>
            <c:ext xmlns:c16="http://schemas.microsoft.com/office/drawing/2014/chart" uri="{C3380CC4-5D6E-409C-BE32-E72D297353CC}">
              <c16:uniqueId val="{00000011-D829-4544-A57D-8B5BEF6DBA9A}"/>
            </c:ext>
          </c:extLst>
        </c:ser>
        <c:ser>
          <c:idx val="8"/>
          <c:order val="17"/>
          <c:tx>
            <c:strRef>
              <c:f>'Child Protection Plans'!$AL$58</c:f>
              <c:strCache>
                <c:ptCount val="1"/>
                <c:pt idx="0">
                  <c:v>Torbay</c:v>
                </c:pt>
              </c:strCache>
            </c:strRef>
          </c:tx>
          <c:spPr>
            <a:ln w="12700"/>
          </c:spPr>
          <c:marker>
            <c:symbol val="circle"/>
            <c:size val="5"/>
            <c:spPr>
              <a:solidFill>
                <a:schemeClr val="accent3">
                  <a:lumMod val="20000"/>
                  <a:lumOff val="80000"/>
                </a:schemeClr>
              </a:solidFill>
            </c:spPr>
          </c:marker>
          <c:cat>
            <c:strRef>
              <c:f>'Child Protection Plans'!$Z$2:$AD$3</c:f>
              <c:strCache>
                <c:ptCount val="5"/>
                <c:pt idx="0">
                  <c:v>2015-16</c:v>
                </c:pt>
                <c:pt idx="1">
                  <c:v>2016-17</c:v>
                </c:pt>
                <c:pt idx="2">
                  <c:v>2017-18</c:v>
                </c:pt>
                <c:pt idx="3">
                  <c:v>2018-19</c:v>
                </c:pt>
                <c:pt idx="4">
                  <c:v>2019-20</c:v>
                </c:pt>
              </c:strCache>
            </c:strRef>
          </c:cat>
          <c:val>
            <c:numRef>
              <c:f>'Child Protection Plans'!$BC$58:$BG$58</c:f>
              <c:numCache>
                <c:formatCode>0.0%</c:formatCode>
                <c:ptCount val="5"/>
                <c:pt idx="0">
                  <c:v>#N/A</c:v>
                </c:pt>
                <c:pt idx="1">
                  <c:v>#N/A</c:v>
                </c:pt>
                <c:pt idx="2">
                  <c:v>3.2967032967032968E-2</c:v>
                </c:pt>
                <c:pt idx="3">
                  <c:v>#N/A</c:v>
                </c:pt>
                <c:pt idx="4">
                  <c:v>0</c:v>
                </c:pt>
              </c:numCache>
            </c:numRef>
          </c:val>
          <c:smooth val="0"/>
          <c:extLst>
            <c:ext xmlns:c16="http://schemas.microsoft.com/office/drawing/2014/chart" uri="{C3380CC4-5D6E-409C-BE32-E72D297353CC}">
              <c16:uniqueId val="{00000012-D829-4544-A57D-8B5BEF6DBA9A}"/>
            </c:ext>
          </c:extLst>
        </c:ser>
        <c:ser>
          <c:idx val="23"/>
          <c:order val="18"/>
          <c:tx>
            <c:strRef>
              <c:f>'Child Protection Plans'!$AL$59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Plans'!$BC$59:$BG$59</c:f>
              <c:numCache>
                <c:formatCode>0.0%</c:formatCode>
                <c:ptCount val="5"/>
                <c:pt idx="0">
                  <c:v>#N/A</c:v>
                </c:pt>
                <c:pt idx="1">
                  <c:v>#N/A</c:v>
                </c:pt>
                <c:pt idx="2">
                  <c:v>2.2222222222222223E-2</c:v>
                </c:pt>
                <c:pt idx="3">
                  <c:v>#N/A</c:v>
                </c:pt>
                <c:pt idx="4">
                  <c:v>#N/A</c:v>
                </c:pt>
              </c:numCache>
            </c:numRef>
          </c:val>
          <c:smooth val="0"/>
          <c:extLst>
            <c:ext xmlns:c16="http://schemas.microsoft.com/office/drawing/2014/chart" uri="{C3380CC4-5D6E-409C-BE32-E72D297353CC}">
              <c16:uniqueId val="{00000013-D829-4544-A57D-8B5BEF6DBA9A}"/>
            </c:ext>
          </c:extLst>
        </c:ser>
        <c:ser>
          <c:idx val="24"/>
          <c:order val="19"/>
          <c:tx>
            <c:strRef>
              <c:f>'Child Protection Plans'!$AL$60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Plans'!$BC$60:$BG$60</c:f>
              <c:numCache>
                <c:formatCode>0.0%</c:formatCode>
                <c:ptCount val="5"/>
                <c:pt idx="0">
                  <c:v>3.5294117647058823E-2</c:v>
                </c:pt>
                <c:pt idx="1">
                  <c:v>6.6162570888468802E-2</c:v>
                </c:pt>
                <c:pt idx="2">
                  <c:v>3.5135135135135137E-2</c:v>
                </c:pt>
                <c:pt idx="3">
                  <c:v>3.2596041909196738E-2</c:v>
                </c:pt>
                <c:pt idx="4">
                  <c:v>5.8016877637130801E-2</c:v>
                </c:pt>
              </c:numCache>
            </c:numRef>
          </c:val>
          <c:smooth val="0"/>
          <c:extLst>
            <c:ext xmlns:c16="http://schemas.microsoft.com/office/drawing/2014/chart" uri="{C3380CC4-5D6E-409C-BE32-E72D297353CC}">
              <c16:uniqueId val="{00000014-D829-4544-A57D-8B5BEF6DBA9A}"/>
            </c:ext>
          </c:extLst>
        </c:ser>
        <c:ser>
          <c:idx val="25"/>
          <c:order val="20"/>
          <c:tx>
            <c:strRef>
              <c:f>'Child Protection Plans'!$AL$61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Plans'!$BC$61:$BG$61</c:f>
              <c:numCache>
                <c:formatCode>0.0%</c:formatCode>
                <c:ptCount val="5"/>
                <c:pt idx="0">
                  <c:v>0</c:v>
                </c:pt>
                <c:pt idx="1">
                  <c:v>#N/A</c:v>
                </c:pt>
                <c:pt idx="2">
                  <c:v>#N/A</c:v>
                </c:pt>
                <c:pt idx="3">
                  <c:v>#N/A</c:v>
                </c:pt>
                <c:pt idx="4">
                  <c:v>4.6511627906976744E-2</c:v>
                </c:pt>
              </c:numCache>
            </c:numRef>
          </c:val>
          <c:smooth val="0"/>
          <c:extLst>
            <c:ext xmlns:c16="http://schemas.microsoft.com/office/drawing/2014/chart" uri="{C3380CC4-5D6E-409C-BE32-E72D297353CC}">
              <c16:uniqueId val="{00000015-D829-4544-A57D-8B5BEF6DBA9A}"/>
            </c:ext>
          </c:extLst>
        </c:ser>
        <c:ser>
          <c:idx val="26"/>
          <c:order val="21"/>
          <c:tx>
            <c:strRef>
              <c:f>'Child Protection Plans'!$AL$62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Plans'!$BC$62:$BG$62</c:f>
              <c:numCache>
                <c:formatCode>0.0%</c:formatCode>
                <c:ptCount val="5"/>
                <c:pt idx="0">
                  <c:v>#N/A</c:v>
                </c:pt>
                <c:pt idx="1">
                  <c:v>0</c:v>
                </c:pt>
                <c:pt idx="2">
                  <c:v>0</c:v>
                </c:pt>
                <c:pt idx="3">
                  <c:v>4.1025641025641026E-2</c:v>
                </c:pt>
                <c:pt idx="4">
                  <c:v>#N/A</c:v>
                </c:pt>
              </c:numCache>
            </c:numRef>
          </c:val>
          <c:smooth val="0"/>
          <c:extLst>
            <c:ext xmlns:c16="http://schemas.microsoft.com/office/drawing/2014/chart" uri="{C3380CC4-5D6E-409C-BE32-E72D297353CC}">
              <c16:uniqueId val="{00000016-D829-4544-A57D-8B5BEF6DBA9A}"/>
            </c:ext>
          </c:extLst>
        </c:ser>
        <c:ser>
          <c:idx val="4"/>
          <c:order val="22"/>
          <c:tx>
            <c:strRef>
              <c:f>'Child Protection Plans'!$AL$63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Plans'!$BC$63:$BG$63</c:f>
              <c:numCache>
                <c:formatCode>0.0%</c:formatCode>
                <c:ptCount val="5"/>
                <c:pt idx="0">
                  <c:v>4.5643153526970952E-2</c:v>
                </c:pt>
                <c:pt idx="1">
                  <c:v>4.4806517311608958E-2</c:v>
                </c:pt>
                <c:pt idx="2">
                  <c:v>4.8574445617740235E-2</c:v>
                </c:pt>
                <c:pt idx="3">
                  <c:v>4.6425255338904362E-2</c:v>
                </c:pt>
                <c:pt idx="4">
                  <c:v>5.0632911392405063E-2</c:v>
                </c:pt>
              </c:numCache>
            </c:numRef>
          </c:val>
          <c:smooth val="0"/>
          <c:extLst>
            <c:ext xmlns:c16="http://schemas.microsoft.com/office/drawing/2014/chart" uri="{C3380CC4-5D6E-409C-BE32-E72D297353CC}">
              <c16:uniqueId val="{00000017-D829-4544-A57D-8B5BEF6DBA9A}"/>
            </c:ext>
          </c:extLst>
        </c:ser>
        <c:ser>
          <c:idx val="14"/>
          <c:order val="23"/>
          <c:tx>
            <c:strRef>
              <c:f>'Child Protection Plans'!$AL$64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2015-16</c:v>
                </c:pt>
                <c:pt idx="1">
                  <c:v>2016-17</c:v>
                </c:pt>
                <c:pt idx="2">
                  <c:v>2017-18</c:v>
                </c:pt>
                <c:pt idx="3">
                  <c:v>2018-19</c:v>
                </c:pt>
                <c:pt idx="4">
                  <c:v>2019-20</c:v>
                </c:pt>
              </c:strCache>
            </c:strRef>
          </c:cat>
          <c:val>
            <c:numRef>
              <c:f>'Child Protection Plans'!$BC$64:$BG$64</c:f>
              <c:numCache>
                <c:formatCode>0.0%</c:formatCode>
                <c:ptCount val="5"/>
                <c:pt idx="0">
                  <c:v>3.8406374501992031E-2</c:v>
                </c:pt>
                <c:pt idx="1">
                  <c:v>3.4087435035157446E-2</c:v>
                </c:pt>
                <c:pt idx="2">
                  <c:v>3.4132281553398057E-2</c:v>
                </c:pt>
                <c:pt idx="3">
                  <c:v>3.3426594021499043E-2</c:v>
                </c:pt>
                <c:pt idx="4">
                  <c:v>3.5836941914289981E-2</c:v>
                </c:pt>
              </c:numCache>
            </c:numRef>
          </c:val>
          <c:smooth val="0"/>
          <c:extLst>
            <c:ext xmlns:c16="http://schemas.microsoft.com/office/drawing/2014/chart" uri="{C3380CC4-5D6E-409C-BE32-E72D297353CC}">
              <c16:uniqueId val="{00000018-D829-4544-A57D-8B5BEF6DBA9A}"/>
            </c:ext>
          </c:extLst>
        </c:ser>
        <c:ser>
          <c:idx val="6"/>
          <c:order val="24"/>
          <c:tx>
            <c:strRef>
              <c:f>'Child Protection Plans'!$AL$65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2015-16</c:v>
                </c:pt>
                <c:pt idx="1">
                  <c:v>2016-17</c:v>
                </c:pt>
                <c:pt idx="2">
                  <c:v>2017-18</c:v>
                </c:pt>
                <c:pt idx="3">
                  <c:v>2018-19</c:v>
                </c:pt>
                <c:pt idx="4">
                  <c:v>2019-20</c:v>
                </c:pt>
              </c:strCache>
            </c:strRef>
          </c:cat>
          <c:val>
            <c:numRef>
              <c:f>'Child Protection Plans'!$BC$65:$BG$65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D829-4544-A57D-8B5BEF6DBA9A}"/>
            </c:ext>
          </c:extLst>
        </c:ser>
        <c:dLbls>
          <c:showLegendKey val="0"/>
          <c:showVal val="0"/>
          <c:showCatName val="0"/>
          <c:showSerName val="0"/>
          <c:showPercent val="0"/>
          <c:showBubbleSize val="0"/>
        </c:dLbls>
        <c:marker val="1"/>
        <c:smooth val="0"/>
        <c:axId val="586009600"/>
        <c:axId val="586011776"/>
      </c:lineChart>
      <c:catAx>
        <c:axId val="586009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011776"/>
        <c:crosses val="autoZero"/>
        <c:auto val="1"/>
        <c:lblAlgn val="ctr"/>
        <c:lblOffset val="100"/>
        <c:tickLblSkip val="1"/>
        <c:tickMarkSkip val="1"/>
        <c:noMultiLvlLbl val="0"/>
      </c:catAx>
      <c:valAx>
        <c:axId val="58601177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009600"/>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020391647190062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CPP Reviews in Timescales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Plans'!$BS$65:$BW$65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F9B3-4D71-B3CA-95FB82466C4F}"/>
            </c:ext>
          </c:extLst>
        </c:ser>
        <c:ser>
          <c:idx val="4"/>
          <c:order val="1"/>
          <c:tx>
            <c:strRef>
              <c:f>'Child Protection Plans'!$B$278</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Plans'!$D$206:$H$206</c:f>
              <c:numCache>
                <c:formatCode>0%</c:formatCode>
                <c:ptCount val="5"/>
                <c:pt idx="0">
                  <c:v>0.93772241992882566</c:v>
                </c:pt>
                <c:pt idx="1">
                  <c:v>0.88193202146690519</c:v>
                </c:pt>
                <c:pt idx="2">
                  <c:v>0.9007633587786259</c:v>
                </c:pt>
                <c:pt idx="3">
                  <c:v>0.9078498293515358</c:v>
                </c:pt>
                <c:pt idx="4">
                  <c:v>0.89557522123893807</c:v>
                </c:pt>
              </c:numCache>
            </c:numRef>
          </c:val>
          <c:extLst>
            <c:ext xmlns:c16="http://schemas.microsoft.com/office/drawing/2014/chart" uri="{C3380CC4-5D6E-409C-BE32-E72D297353CC}">
              <c16:uniqueId val="{00000001-F9B3-4D71-B3CA-95FB82466C4F}"/>
            </c:ext>
          </c:extLst>
        </c:ser>
        <c:ser>
          <c:idx val="0"/>
          <c:order val="2"/>
          <c:tx>
            <c:strRef>
              <c:f>'Child Protection Plans'!$B$279</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Plans'!$D$207:$H$207</c:f>
              <c:numCache>
                <c:formatCode>0%</c:formatCode>
                <c:ptCount val="5"/>
                <c:pt idx="0">
                  <c:v>0.93724696356275305</c:v>
                </c:pt>
                <c:pt idx="1">
                  <c:v>0.92191075514874143</c:v>
                </c:pt>
                <c:pt idx="2">
                  <c:v>0.90516782099094295</c:v>
                </c:pt>
                <c:pt idx="3">
                  <c:v>0.91762721394433511</c:v>
                </c:pt>
                <c:pt idx="4">
                  <c:v>0.91481481481481486</c:v>
                </c:pt>
              </c:numCache>
            </c:numRef>
          </c:val>
          <c:extLst>
            <c:ext xmlns:c16="http://schemas.microsoft.com/office/drawing/2014/chart" uri="{C3380CC4-5D6E-409C-BE32-E72D297353CC}">
              <c16:uniqueId val="{00000002-F9B3-4D71-B3CA-95FB82466C4F}"/>
            </c:ext>
          </c:extLst>
        </c:ser>
        <c:dLbls>
          <c:showLegendKey val="0"/>
          <c:showVal val="0"/>
          <c:showCatName val="0"/>
          <c:showSerName val="0"/>
          <c:showPercent val="0"/>
          <c:showBubbleSize val="0"/>
        </c:dLbls>
        <c:gapWidth val="100"/>
        <c:axId val="585665152"/>
        <c:axId val="585671040"/>
      </c:barChart>
      <c:catAx>
        <c:axId val="585665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671040"/>
        <c:crosses val="autoZero"/>
        <c:auto val="1"/>
        <c:lblAlgn val="ctr"/>
        <c:lblOffset val="100"/>
        <c:noMultiLvlLbl val="0"/>
      </c:catAx>
      <c:valAx>
        <c:axId val="585671040"/>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66515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with Reviews in Timescales</a:t>
            </a:r>
          </a:p>
        </c:rich>
      </c:tx>
      <c:layout>
        <c:manualLayout>
          <c:xMode val="edge"/>
          <c:yMode val="edge"/>
          <c:x val="0.1205040597995426"/>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4EDF-4ACC-A2F5-540FCD1F7EB3}"/>
              </c:ext>
            </c:extLst>
          </c:dPt>
          <c:cat>
            <c:strRef>
              <c:f>'Child Protection Plans'!$Z$2:$AD$3</c:f>
              <c:strCache>
                <c:ptCount val="5"/>
                <c:pt idx="0">
                  <c:v>2015-16</c:v>
                </c:pt>
                <c:pt idx="1">
                  <c:v>2016-17</c:v>
                </c:pt>
                <c:pt idx="2">
                  <c:v>2017-18</c:v>
                </c:pt>
                <c:pt idx="3">
                  <c:v>2018-19</c:v>
                </c:pt>
                <c:pt idx="4">
                  <c:v>2019-20</c:v>
                </c:pt>
              </c:strCache>
            </c:strRef>
          </c:cat>
          <c:val>
            <c:numRef>
              <c:f>'Child Protection Plans'!$BS$41:$BW$41</c:f>
              <c:numCache>
                <c:formatCode>0.0%</c:formatCode>
                <c:ptCount val="5"/>
                <c:pt idx="0">
                  <c:v>0.98484848484848486</c:v>
                </c:pt>
                <c:pt idx="1">
                  <c:v>0.97727272727272729</c:v>
                </c:pt>
                <c:pt idx="2">
                  <c:v>0.98461538461538467</c:v>
                </c:pt>
                <c:pt idx="3">
                  <c:v>0.97101449275362317</c:v>
                </c:pt>
                <c:pt idx="4">
                  <c:v>0.98412698412698407</c:v>
                </c:pt>
              </c:numCache>
            </c:numRef>
          </c:val>
          <c:smooth val="0"/>
          <c:extLst>
            <c:ext xmlns:c16="http://schemas.microsoft.com/office/drawing/2014/chart" uri="{C3380CC4-5D6E-409C-BE32-E72D297353CC}">
              <c16:uniqueId val="{00000001-4EDF-4ACC-A2F5-540FCD1F7EB3}"/>
            </c:ext>
          </c:extLst>
        </c:ser>
        <c:ser>
          <c:idx val="1"/>
          <c:order val="1"/>
          <c:tx>
            <c:strRef>
              <c:f>'Child Protection Plans'!$AL$42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Plans'!$BS$42:$BW$42</c:f>
              <c:numCache>
                <c:formatCode>0.0%</c:formatCode>
                <c:ptCount val="5"/>
                <c:pt idx="0">
                  <c:v>0.98006644518272423</c:v>
                </c:pt>
                <c:pt idx="1">
                  <c:v>0.72834645669291342</c:v>
                </c:pt>
                <c:pt idx="2">
                  <c:v>0.99293286219081267</c:v>
                </c:pt>
                <c:pt idx="3">
                  <c:v>0.96356275303643724</c:v>
                </c:pt>
                <c:pt idx="4">
                  <c:v>0.9719626168224299</c:v>
                </c:pt>
              </c:numCache>
            </c:numRef>
          </c:val>
          <c:smooth val="0"/>
          <c:extLst>
            <c:ext xmlns:c16="http://schemas.microsoft.com/office/drawing/2014/chart" uri="{C3380CC4-5D6E-409C-BE32-E72D297353CC}">
              <c16:uniqueId val="{00000002-4EDF-4ACC-A2F5-540FCD1F7EB3}"/>
            </c:ext>
          </c:extLst>
        </c:ser>
        <c:ser>
          <c:idx val="2"/>
          <c:order val="2"/>
          <c:tx>
            <c:strRef>
              <c:f>'Child Protection Plans'!$AL$43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Plans'!$BS$43:$BW$43</c:f>
              <c:numCache>
                <c:formatCode>0.0%</c:formatCode>
                <c:ptCount val="5"/>
                <c:pt idx="0">
                  <c:v>0.9285714285714286</c:v>
                </c:pt>
                <c:pt idx="1">
                  <c:v>0.84571428571428575</c:v>
                </c:pt>
                <c:pt idx="2">
                  <c:v>0.87885010266940455</c:v>
                </c:pt>
                <c:pt idx="3">
                  <c:v>0.8542199488491049</c:v>
                </c:pt>
                <c:pt idx="4">
                  <c:v>0.97222222222222221</c:v>
                </c:pt>
              </c:numCache>
            </c:numRef>
          </c:val>
          <c:smooth val="0"/>
          <c:extLst>
            <c:ext xmlns:c16="http://schemas.microsoft.com/office/drawing/2014/chart" uri="{C3380CC4-5D6E-409C-BE32-E72D297353CC}">
              <c16:uniqueId val="{00000003-4EDF-4ACC-A2F5-540FCD1F7EB3}"/>
            </c:ext>
          </c:extLst>
        </c:ser>
        <c:ser>
          <c:idx val="5"/>
          <c:order val="3"/>
          <c:tx>
            <c:strRef>
              <c:f>'Child Protection Plans'!$AL$44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Plans'!$BS$44:$BW$44</c:f>
              <c:numCache>
                <c:formatCode>0.0%</c:formatCode>
                <c:ptCount val="5"/>
                <c:pt idx="0">
                  <c:v>0.97667638483965014</c:v>
                </c:pt>
                <c:pt idx="1">
                  <c:v>0.92121212121212126</c:v>
                </c:pt>
                <c:pt idx="2">
                  <c:v>0.90600522193211486</c:v>
                </c:pt>
                <c:pt idx="3">
                  <c:v>0.95100222717149219</c:v>
                </c:pt>
                <c:pt idx="4">
                  <c:v>0.92650918635170598</c:v>
                </c:pt>
              </c:numCache>
            </c:numRef>
          </c:val>
          <c:smooth val="0"/>
          <c:extLst>
            <c:ext xmlns:c16="http://schemas.microsoft.com/office/drawing/2014/chart" uri="{C3380CC4-5D6E-409C-BE32-E72D297353CC}">
              <c16:uniqueId val="{00000004-4EDF-4ACC-A2F5-540FCD1F7EB3}"/>
            </c:ext>
          </c:extLst>
        </c:ser>
        <c:ser>
          <c:idx val="9"/>
          <c:order val="4"/>
          <c:tx>
            <c:strRef>
              <c:f>'Child Protection Plans'!$AL$45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Plans'!$BS$45:$BW$45</c:f>
              <c:numCache>
                <c:formatCode>0.0%</c:formatCode>
                <c:ptCount val="5"/>
                <c:pt idx="0">
                  <c:v>0.88361683079677711</c:v>
                </c:pt>
                <c:pt idx="1">
                  <c:v>0.87581699346405228</c:v>
                </c:pt>
                <c:pt idx="2">
                  <c:v>0.80021030494216616</c:v>
                </c:pt>
                <c:pt idx="3">
                  <c:v>0.83475091130012147</c:v>
                </c:pt>
                <c:pt idx="4">
                  <c:v>0.80879864636209808</c:v>
                </c:pt>
              </c:numCache>
            </c:numRef>
          </c:val>
          <c:smooth val="0"/>
          <c:extLst>
            <c:ext xmlns:c16="http://schemas.microsoft.com/office/drawing/2014/chart" uri="{C3380CC4-5D6E-409C-BE32-E72D297353CC}">
              <c16:uniqueId val="{00000005-4EDF-4ACC-A2F5-540FCD1F7EB3}"/>
            </c:ext>
          </c:extLst>
        </c:ser>
        <c:ser>
          <c:idx val="10"/>
          <c:order val="5"/>
          <c:tx>
            <c:strRef>
              <c:f>'Child Protection Plans'!$AL$46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Plans'!$BS$46:$BW$46</c:f>
              <c:numCache>
                <c:formatCode>0.0%</c:formatCode>
                <c:ptCount val="5"/>
                <c:pt idx="0">
                  <c:v>0.97241379310344822</c:v>
                </c:pt>
                <c:pt idx="1">
                  <c:v>0.875</c:v>
                </c:pt>
                <c:pt idx="2">
                  <c:v>0.95394736842105265</c:v>
                </c:pt>
                <c:pt idx="3">
                  <c:v>0.99199999999999999</c:v>
                </c:pt>
                <c:pt idx="4">
                  <c:v>0.92682926829268297</c:v>
                </c:pt>
              </c:numCache>
            </c:numRef>
          </c:val>
          <c:smooth val="0"/>
          <c:extLst>
            <c:ext xmlns:c16="http://schemas.microsoft.com/office/drawing/2014/chart" uri="{C3380CC4-5D6E-409C-BE32-E72D297353CC}">
              <c16:uniqueId val="{00000006-4EDF-4ACC-A2F5-540FCD1F7EB3}"/>
            </c:ext>
          </c:extLst>
        </c:ser>
        <c:ser>
          <c:idx val="11"/>
          <c:order val="6"/>
          <c:tx>
            <c:strRef>
              <c:f>'Child Protection Plans'!$AL$47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Plans'!$BS$47:$BW$47</c:f>
              <c:numCache>
                <c:formatCode>0.0%</c:formatCode>
                <c:ptCount val="5"/>
                <c:pt idx="0">
                  <c:v>1</c:v>
                </c:pt>
                <c:pt idx="1">
                  <c:v>1</c:v>
                </c:pt>
                <c:pt idx="2">
                  <c:v>0.99653078924544669</c:v>
                </c:pt>
                <c:pt idx="3">
                  <c:v>0.99891540130151846</c:v>
                </c:pt>
                <c:pt idx="4">
                  <c:v>1</c:v>
                </c:pt>
              </c:numCache>
            </c:numRef>
          </c:val>
          <c:smooth val="0"/>
          <c:extLst>
            <c:ext xmlns:c16="http://schemas.microsoft.com/office/drawing/2014/chart" uri="{C3380CC4-5D6E-409C-BE32-E72D297353CC}">
              <c16:uniqueId val="{00000007-4EDF-4ACC-A2F5-540FCD1F7EB3}"/>
            </c:ext>
          </c:extLst>
        </c:ser>
        <c:ser>
          <c:idx val="12"/>
          <c:order val="7"/>
          <c:tx>
            <c:strRef>
              <c:f>'Child Protection Plans'!$AL$48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Plans'!$BS$48:$BW$48</c:f>
              <c:numCache>
                <c:formatCode>0.0%</c:formatCode>
                <c:ptCount val="5"/>
                <c:pt idx="0">
                  <c:v>0.98987341772151893</c:v>
                </c:pt>
                <c:pt idx="1">
                  <c:v>0.97844827586206895</c:v>
                </c:pt>
                <c:pt idx="2">
                  <c:v>0.9507575757575758</c:v>
                </c:pt>
                <c:pt idx="3">
                  <c:v>0.99170124481327804</c:v>
                </c:pt>
                <c:pt idx="4">
                  <c:v>1</c:v>
                </c:pt>
              </c:numCache>
            </c:numRef>
          </c:val>
          <c:smooth val="0"/>
          <c:extLst>
            <c:ext xmlns:c16="http://schemas.microsoft.com/office/drawing/2014/chart" uri="{C3380CC4-5D6E-409C-BE32-E72D297353CC}">
              <c16:uniqueId val="{00000008-4EDF-4ACC-A2F5-540FCD1F7EB3}"/>
            </c:ext>
          </c:extLst>
        </c:ser>
        <c:ser>
          <c:idx val="13"/>
          <c:order val="8"/>
          <c:tx>
            <c:strRef>
              <c:f>'Child Protection Plans'!$AL$49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Plans'!$BS$49:$BW$49</c:f>
              <c:numCache>
                <c:formatCode>0.0%</c:formatCode>
                <c:ptCount val="5"/>
                <c:pt idx="0">
                  <c:v>0.95652173913043481</c:v>
                </c:pt>
                <c:pt idx="1">
                  <c:v>1</c:v>
                </c:pt>
                <c:pt idx="2">
                  <c:v>0.98529411764705888</c:v>
                </c:pt>
                <c:pt idx="3">
                  <c:v>0.96511627906976749</c:v>
                </c:pt>
                <c:pt idx="4">
                  <c:v>0.93548387096774188</c:v>
                </c:pt>
              </c:numCache>
            </c:numRef>
          </c:val>
          <c:smooth val="0"/>
          <c:extLst>
            <c:ext xmlns:c16="http://schemas.microsoft.com/office/drawing/2014/chart" uri="{C3380CC4-5D6E-409C-BE32-E72D297353CC}">
              <c16:uniqueId val="{00000009-4EDF-4ACC-A2F5-540FCD1F7EB3}"/>
            </c:ext>
          </c:extLst>
        </c:ser>
        <c:ser>
          <c:idx val="15"/>
          <c:order val="9"/>
          <c:tx>
            <c:strRef>
              <c:f>'Child Protection Plans'!$AL$50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Plans'!$BS$50:$BW$50</c:f>
              <c:numCache>
                <c:formatCode>0.0%</c:formatCode>
                <c:ptCount val="5"/>
                <c:pt idx="0">
                  <c:v>0.95674300254452926</c:v>
                </c:pt>
                <c:pt idx="1">
                  <c:v>0.97136038186157514</c:v>
                </c:pt>
                <c:pt idx="2">
                  <c:v>0.93724696356275305</c:v>
                </c:pt>
                <c:pt idx="3">
                  <c:v>0.92009685230024219</c:v>
                </c:pt>
                <c:pt idx="4">
                  <c:v>0.75409836065573765</c:v>
                </c:pt>
              </c:numCache>
            </c:numRef>
          </c:val>
          <c:smooth val="0"/>
          <c:extLst>
            <c:ext xmlns:c16="http://schemas.microsoft.com/office/drawing/2014/chart" uri="{C3380CC4-5D6E-409C-BE32-E72D297353CC}">
              <c16:uniqueId val="{0000000A-4EDF-4ACC-A2F5-540FCD1F7EB3}"/>
            </c:ext>
          </c:extLst>
        </c:ser>
        <c:ser>
          <c:idx val="16"/>
          <c:order val="10"/>
          <c:tx>
            <c:strRef>
              <c:f>'Child Protection Plans'!$AL$51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Plans'!$BS$51:$BW$51</c:f>
              <c:numCache>
                <c:formatCode>0.0%</c:formatCode>
                <c:ptCount val="5"/>
                <c:pt idx="0">
                  <c:v>0.93577981651376152</c:v>
                </c:pt>
                <c:pt idx="1">
                  <c:v>0.99425287356321834</c:v>
                </c:pt>
                <c:pt idx="2">
                  <c:v>1</c:v>
                </c:pt>
                <c:pt idx="3">
                  <c:v>1</c:v>
                </c:pt>
                <c:pt idx="4">
                  <c:v>1</c:v>
                </c:pt>
              </c:numCache>
            </c:numRef>
          </c:val>
          <c:smooth val="0"/>
          <c:extLst>
            <c:ext xmlns:c16="http://schemas.microsoft.com/office/drawing/2014/chart" uri="{C3380CC4-5D6E-409C-BE32-E72D297353CC}">
              <c16:uniqueId val="{0000000B-4EDF-4ACC-A2F5-540FCD1F7EB3}"/>
            </c:ext>
          </c:extLst>
        </c:ser>
        <c:ser>
          <c:idx val="17"/>
          <c:order val="11"/>
          <c:tx>
            <c:strRef>
              <c:f>'Child Protection Plans'!$AL$52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Plans'!$BS$52:$BW$52</c:f>
              <c:numCache>
                <c:formatCode>0.0%</c:formatCode>
                <c:ptCount val="5"/>
                <c:pt idx="0">
                  <c:v>0.78523489932885904</c:v>
                </c:pt>
                <c:pt idx="1">
                  <c:v>3.3898305084745763E-2</c:v>
                </c:pt>
                <c:pt idx="2">
                  <c:v>0.7142857142857143</c:v>
                </c:pt>
                <c:pt idx="3">
                  <c:v>0.77714285714285714</c:v>
                </c:pt>
                <c:pt idx="4">
                  <c:v>0.69064748201438853</c:v>
                </c:pt>
              </c:numCache>
            </c:numRef>
          </c:val>
          <c:smooth val="0"/>
          <c:extLst>
            <c:ext xmlns:c16="http://schemas.microsoft.com/office/drawing/2014/chart" uri="{C3380CC4-5D6E-409C-BE32-E72D297353CC}">
              <c16:uniqueId val="{0000000C-4EDF-4ACC-A2F5-540FCD1F7EB3}"/>
            </c:ext>
          </c:extLst>
        </c:ser>
        <c:ser>
          <c:idx val="19"/>
          <c:order val="12"/>
          <c:tx>
            <c:strRef>
              <c:f>'Child Protection Plans'!$AL$53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Plans'!$BS$53:$BW$53</c:f>
              <c:numCache>
                <c:formatCode>0.0%</c:formatCode>
                <c:ptCount val="5"/>
                <c:pt idx="0">
                  <c:v>0.96062992125984248</c:v>
                </c:pt>
                <c:pt idx="1">
                  <c:v>0.9642857142857143</c:v>
                </c:pt>
                <c:pt idx="2">
                  <c:v>0.39175257731958762</c:v>
                </c:pt>
                <c:pt idx="3">
                  <c:v>0.900709219858156</c:v>
                </c:pt>
                <c:pt idx="4">
                  <c:v>0.70108695652173914</c:v>
                </c:pt>
              </c:numCache>
            </c:numRef>
          </c:val>
          <c:smooth val="0"/>
          <c:extLst>
            <c:ext xmlns:c16="http://schemas.microsoft.com/office/drawing/2014/chart" uri="{C3380CC4-5D6E-409C-BE32-E72D297353CC}">
              <c16:uniqueId val="{0000000D-4EDF-4ACC-A2F5-540FCD1F7EB3}"/>
            </c:ext>
          </c:extLst>
        </c:ser>
        <c:ser>
          <c:idx val="3"/>
          <c:order val="13"/>
          <c:tx>
            <c:strRef>
              <c:f>'Child Protection Plans'!$AL$54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Plans'!$BS$54:$BW$54</c:f>
              <c:numCache>
                <c:formatCode>0.0%</c:formatCode>
                <c:ptCount val="5"/>
                <c:pt idx="0">
                  <c:v>0.9732620320855615</c:v>
                </c:pt>
                <c:pt idx="1">
                  <c:v>0.95528455284552849</c:v>
                </c:pt>
                <c:pt idx="2">
                  <c:v>0.96065573770491808</c:v>
                </c:pt>
                <c:pt idx="3">
                  <c:v>0.90073529411764708</c:v>
                </c:pt>
                <c:pt idx="4">
                  <c:v>0.9061032863849765</c:v>
                </c:pt>
              </c:numCache>
            </c:numRef>
          </c:val>
          <c:smooth val="0"/>
          <c:extLst>
            <c:ext xmlns:c16="http://schemas.microsoft.com/office/drawing/2014/chart" uri="{C3380CC4-5D6E-409C-BE32-E72D297353CC}">
              <c16:uniqueId val="{0000000E-4EDF-4ACC-A2F5-540FCD1F7EB3}"/>
            </c:ext>
          </c:extLst>
        </c:ser>
        <c:ser>
          <c:idx val="20"/>
          <c:order val="14"/>
          <c:tx>
            <c:strRef>
              <c:f>'Child Protection Plans'!$AL$55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Plans'!$BS$55:$BW$55</c:f>
              <c:numCache>
                <c:formatCode>0.0%</c:formatCode>
                <c:ptCount val="5"/>
                <c:pt idx="0">
                  <c:v>0.72</c:v>
                </c:pt>
                <c:pt idx="1">
                  <c:v>0.75</c:v>
                </c:pt>
                <c:pt idx="2">
                  <c:v>0.72033898305084743</c:v>
                </c:pt>
                <c:pt idx="3">
                  <c:v>0.61809045226130654</c:v>
                </c:pt>
                <c:pt idx="4">
                  <c:v>0.65048543689320393</c:v>
                </c:pt>
              </c:numCache>
            </c:numRef>
          </c:val>
          <c:smooth val="0"/>
          <c:extLst>
            <c:ext xmlns:c16="http://schemas.microsoft.com/office/drawing/2014/chart" uri="{C3380CC4-5D6E-409C-BE32-E72D297353CC}">
              <c16:uniqueId val="{0000000F-4EDF-4ACC-A2F5-540FCD1F7EB3}"/>
            </c:ext>
          </c:extLst>
        </c:ser>
        <c:ser>
          <c:idx val="22"/>
          <c:order val="15"/>
          <c:tx>
            <c:strRef>
              <c:f>'Child Protection Plans'!$AL$56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Plans'!$BS$56:$BW$56</c:f>
              <c:numCache>
                <c:formatCode>0.0%</c:formatCode>
                <c:ptCount val="5"/>
                <c:pt idx="0">
                  <c:v>0.97249190938511332</c:v>
                </c:pt>
                <c:pt idx="1">
                  <c:v>0.97734627831715215</c:v>
                </c:pt>
                <c:pt idx="2">
                  <c:v>0.95</c:v>
                </c:pt>
                <c:pt idx="3">
                  <c:v>0.88761174968071521</c:v>
                </c:pt>
                <c:pt idx="4">
                  <c:v>0.93176972281449888</c:v>
                </c:pt>
              </c:numCache>
            </c:numRef>
          </c:val>
          <c:smooth val="0"/>
          <c:extLst>
            <c:ext xmlns:c16="http://schemas.microsoft.com/office/drawing/2014/chart" uri="{C3380CC4-5D6E-409C-BE32-E72D297353CC}">
              <c16:uniqueId val="{00000010-4EDF-4ACC-A2F5-540FCD1F7EB3}"/>
            </c:ext>
          </c:extLst>
        </c:ser>
        <c:ser>
          <c:idx val="7"/>
          <c:order val="16"/>
          <c:tx>
            <c:strRef>
              <c:f>'Child Protection Plans'!$AL$57</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2015-16</c:v>
                </c:pt>
                <c:pt idx="1">
                  <c:v>2016-17</c:v>
                </c:pt>
                <c:pt idx="2">
                  <c:v>2017-18</c:v>
                </c:pt>
                <c:pt idx="3">
                  <c:v>2018-19</c:v>
                </c:pt>
                <c:pt idx="4">
                  <c:v>2019-20</c:v>
                </c:pt>
              </c:strCache>
            </c:strRef>
          </c:cat>
          <c:val>
            <c:numRef>
              <c:f>'Child Protection Plans'!$BS$57:$BW$57</c:f>
              <c:numCache>
                <c:formatCode>0.0%</c:formatCode>
                <c:ptCount val="5"/>
                <c:pt idx="0">
                  <c:v>0.94374999999999998</c:v>
                </c:pt>
                <c:pt idx="1">
                  <c:v>0.91719745222929938</c:v>
                </c:pt>
                <c:pt idx="2">
                  <c:v>0.98473282442748089</c:v>
                </c:pt>
                <c:pt idx="3">
                  <c:v>0.93207547169811322</c:v>
                </c:pt>
                <c:pt idx="4">
                  <c:v>0.98165137614678899</c:v>
                </c:pt>
              </c:numCache>
            </c:numRef>
          </c:val>
          <c:smooth val="0"/>
          <c:extLst>
            <c:ext xmlns:c16="http://schemas.microsoft.com/office/drawing/2014/chart" uri="{C3380CC4-5D6E-409C-BE32-E72D297353CC}">
              <c16:uniqueId val="{00000011-4EDF-4ACC-A2F5-540FCD1F7EB3}"/>
            </c:ext>
          </c:extLst>
        </c:ser>
        <c:ser>
          <c:idx val="8"/>
          <c:order val="17"/>
          <c:tx>
            <c:strRef>
              <c:f>'Child Protection Plans'!$AL$58</c:f>
              <c:strCache>
                <c:ptCount val="1"/>
                <c:pt idx="0">
                  <c:v>Torbay</c:v>
                </c:pt>
              </c:strCache>
            </c:strRef>
          </c:tx>
          <c:spPr>
            <a:ln w="12700"/>
          </c:spPr>
          <c:marker>
            <c:symbol val="circle"/>
            <c:size val="5"/>
            <c:spPr>
              <a:solidFill>
                <a:schemeClr val="accent3">
                  <a:lumMod val="20000"/>
                  <a:lumOff val="80000"/>
                </a:schemeClr>
              </a:solidFill>
            </c:spPr>
          </c:marker>
          <c:cat>
            <c:strRef>
              <c:f>'Child Protection Plans'!$Z$2:$AD$3</c:f>
              <c:strCache>
                <c:ptCount val="5"/>
                <c:pt idx="0">
                  <c:v>2015-16</c:v>
                </c:pt>
                <c:pt idx="1">
                  <c:v>2016-17</c:v>
                </c:pt>
                <c:pt idx="2">
                  <c:v>2017-18</c:v>
                </c:pt>
                <c:pt idx="3">
                  <c:v>2018-19</c:v>
                </c:pt>
                <c:pt idx="4">
                  <c:v>2019-20</c:v>
                </c:pt>
              </c:strCache>
            </c:strRef>
          </c:cat>
          <c:val>
            <c:numRef>
              <c:f>'Child Protection Plans'!$BS$58:$BW$58</c:f>
              <c:numCache>
                <c:formatCode>0.0%</c:formatCode>
                <c:ptCount val="5"/>
                <c:pt idx="0">
                  <c:v>0.90566037735849059</c:v>
                </c:pt>
                <c:pt idx="1">
                  <c:v>0.80916030534351147</c:v>
                </c:pt>
                <c:pt idx="2">
                  <c:v>0.74117647058823533</c:v>
                </c:pt>
                <c:pt idx="3">
                  <c:v>0.83620689655172409</c:v>
                </c:pt>
                <c:pt idx="4">
                  <c:v>0.69724770642201839</c:v>
                </c:pt>
              </c:numCache>
            </c:numRef>
          </c:val>
          <c:smooth val="0"/>
          <c:extLst>
            <c:ext xmlns:c16="http://schemas.microsoft.com/office/drawing/2014/chart" uri="{C3380CC4-5D6E-409C-BE32-E72D297353CC}">
              <c16:uniqueId val="{00000012-4EDF-4ACC-A2F5-540FCD1F7EB3}"/>
            </c:ext>
          </c:extLst>
        </c:ser>
        <c:ser>
          <c:idx val="23"/>
          <c:order val="18"/>
          <c:tx>
            <c:strRef>
              <c:f>'Child Protection Plans'!$AL$59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Plans'!$BS$59:$BW$59</c:f>
              <c:numCache>
                <c:formatCode>0.0%</c:formatCode>
                <c:ptCount val="5"/>
                <c:pt idx="0">
                  <c:v>0.98936170212765961</c:v>
                </c:pt>
                <c:pt idx="1">
                  <c:v>0.98780487804878048</c:v>
                </c:pt>
                <c:pt idx="2">
                  <c:v>1</c:v>
                </c:pt>
                <c:pt idx="3">
                  <c:v>0.98684210526315785</c:v>
                </c:pt>
                <c:pt idx="4">
                  <c:v>1</c:v>
                </c:pt>
              </c:numCache>
            </c:numRef>
          </c:val>
          <c:smooth val="0"/>
          <c:extLst>
            <c:ext xmlns:c16="http://schemas.microsoft.com/office/drawing/2014/chart" uri="{C3380CC4-5D6E-409C-BE32-E72D297353CC}">
              <c16:uniqueId val="{00000013-4EDF-4ACC-A2F5-540FCD1F7EB3}"/>
            </c:ext>
          </c:extLst>
        </c:ser>
        <c:ser>
          <c:idx val="24"/>
          <c:order val="19"/>
          <c:tx>
            <c:strRef>
              <c:f>'Child Protection Plans'!$AL$60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Plans'!$BS$60:$BW$60</c:f>
              <c:numCache>
                <c:formatCode>0.0%</c:formatCode>
                <c:ptCount val="5"/>
                <c:pt idx="0">
                  <c:v>0.92086330935251803</c:v>
                </c:pt>
                <c:pt idx="1">
                  <c:v>0.83377308707124009</c:v>
                </c:pt>
                <c:pt idx="2">
                  <c:v>0.88682432432432434</c:v>
                </c:pt>
                <c:pt idx="3">
                  <c:v>0.88167053364269143</c:v>
                </c:pt>
                <c:pt idx="4">
                  <c:v>0.86443661971830987</c:v>
                </c:pt>
              </c:numCache>
            </c:numRef>
          </c:val>
          <c:smooth val="0"/>
          <c:extLst>
            <c:ext xmlns:c16="http://schemas.microsoft.com/office/drawing/2014/chart" uri="{C3380CC4-5D6E-409C-BE32-E72D297353CC}">
              <c16:uniqueId val="{00000014-4EDF-4ACC-A2F5-540FCD1F7EB3}"/>
            </c:ext>
          </c:extLst>
        </c:ser>
        <c:ser>
          <c:idx val="25"/>
          <c:order val="20"/>
          <c:tx>
            <c:strRef>
              <c:f>'Child Protection Plans'!$AL$61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Plans'!$BS$61:$BW$61</c:f>
              <c:numCache>
                <c:formatCode>0.0%</c:formatCode>
                <c:ptCount val="5"/>
                <c:pt idx="0">
                  <c:v>1</c:v>
                </c:pt>
                <c:pt idx="1">
                  <c:v>0.96907216494845361</c:v>
                </c:pt>
                <c:pt idx="2">
                  <c:v>0.8</c:v>
                </c:pt>
                <c:pt idx="3">
                  <c:v>0.95</c:v>
                </c:pt>
                <c:pt idx="4">
                  <c:v>0.81176470588235294</c:v>
                </c:pt>
              </c:numCache>
            </c:numRef>
          </c:val>
          <c:smooth val="0"/>
          <c:extLst>
            <c:ext xmlns:c16="http://schemas.microsoft.com/office/drawing/2014/chart" uri="{C3380CC4-5D6E-409C-BE32-E72D297353CC}">
              <c16:uniqueId val="{00000015-4EDF-4ACC-A2F5-540FCD1F7EB3}"/>
            </c:ext>
          </c:extLst>
        </c:ser>
        <c:ser>
          <c:idx val="26"/>
          <c:order val="21"/>
          <c:tx>
            <c:strRef>
              <c:f>'Child Protection Plans'!$AL$62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Plans'!$BS$62:$BW$62</c:f>
              <c:numCache>
                <c:formatCode>0.0%</c:formatCode>
                <c:ptCount val="5"/>
                <c:pt idx="0">
                  <c:v>0.94736842105263153</c:v>
                </c:pt>
                <c:pt idx="1">
                  <c:v>0.96551724137931039</c:v>
                </c:pt>
                <c:pt idx="2">
                  <c:v>1</c:v>
                </c:pt>
                <c:pt idx="3">
                  <c:v>0.94117647058823528</c:v>
                </c:pt>
                <c:pt idx="4">
                  <c:v>1</c:v>
                </c:pt>
              </c:numCache>
            </c:numRef>
          </c:val>
          <c:smooth val="0"/>
          <c:extLst>
            <c:ext xmlns:c16="http://schemas.microsoft.com/office/drawing/2014/chart" uri="{C3380CC4-5D6E-409C-BE32-E72D297353CC}">
              <c16:uniqueId val="{00000016-4EDF-4ACC-A2F5-540FCD1F7EB3}"/>
            </c:ext>
          </c:extLst>
        </c:ser>
        <c:ser>
          <c:idx val="4"/>
          <c:order val="22"/>
          <c:tx>
            <c:strRef>
              <c:f>'Child Protection Plans'!$AL$63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Plans'!$BS$63:$BW$63</c:f>
              <c:numCache>
                <c:formatCode>0.0%</c:formatCode>
                <c:ptCount val="5"/>
                <c:pt idx="0">
                  <c:v>0.93772241992882566</c:v>
                </c:pt>
                <c:pt idx="1">
                  <c:v>0.88193202146690519</c:v>
                </c:pt>
                <c:pt idx="2">
                  <c:v>0.9007633587786259</c:v>
                </c:pt>
                <c:pt idx="3">
                  <c:v>0.9078498293515358</c:v>
                </c:pt>
                <c:pt idx="4">
                  <c:v>0.89557522123893807</c:v>
                </c:pt>
              </c:numCache>
            </c:numRef>
          </c:val>
          <c:smooth val="0"/>
          <c:extLst>
            <c:ext xmlns:c16="http://schemas.microsoft.com/office/drawing/2014/chart" uri="{C3380CC4-5D6E-409C-BE32-E72D297353CC}">
              <c16:uniqueId val="{00000017-4EDF-4ACC-A2F5-540FCD1F7EB3}"/>
            </c:ext>
          </c:extLst>
        </c:ser>
        <c:ser>
          <c:idx val="14"/>
          <c:order val="23"/>
          <c:tx>
            <c:strRef>
              <c:f>'Child Protection Plans'!$AL$64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2015-16</c:v>
                </c:pt>
                <c:pt idx="1">
                  <c:v>2016-17</c:v>
                </c:pt>
                <c:pt idx="2">
                  <c:v>2017-18</c:v>
                </c:pt>
                <c:pt idx="3">
                  <c:v>2018-19</c:v>
                </c:pt>
                <c:pt idx="4">
                  <c:v>2019-20</c:v>
                </c:pt>
              </c:strCache>
            </c:strRef>
          </c:cat>
          <c:val>
            <c:numRef>
              <c:f>'Child Protection Plans'!$BS$64:$BW$64</c:f>
              <c:numCache>
                <c:formatCode>0.0%</c:formatCode>
                <c:ptCount val="5"/>
                <c:pt idx="0">
                  <c:v>0.93724696356275305</c:v>
                </c:pt>
                <c:pt idx="1">
                  <c:v>0.92191075514874143</c:v>
                </c:pt>
                <c:pt idx="2">
                  <c:v>0.90516782099094295</c:v>
                </c:pt>
                <c:pt idx="3">
                  <c:v>0.91762721394433511</c:v>
                </c:pt>
                <c:pt idx="4">
                  <c:v>0.91481481481481486</c:v>
                </c:pt>
              </c:numCache>
            </c:numRef>
          </c:val>
          <c:smooth val="0"/>
          <c:extLst>
            <c:ext xmlns:c16="http://schemas.microsoft.com/office/drawing/2014/chart" uri="{C3380CC4-5D6E-409C-BE32-E72D297353CC}">
              <c16:uniqueId val="{00000018-4EDF-4ACC-A2F5-540FCD1F7EB3}"/>
            </c:ext>
          </c:extLst>
        </c:ser>
        <c:ser>
          <c:idx val="6"/>
          <c:order val="24"/>
          <c:tx>
            <c:strRef>
              <c:f>'Child Protection Plans'!$AL$65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2015-16</c:v>
                </c:pt>
                <c:pt idx="1">
                  <c:v>2016-17</c:v>
                </c:pt>
                <c:pt idx="2">
                  <c:v>2017-18</c:v>
                </c:pt>
                <c:pt idx="3">
                  <c:v>2018-19</c:v>
                </c:pt>
                <c:pt idx="4">
                  <c:v>2019-20</c:v>
                </c:pt>
              </c:strCache>
            </c:strRef>
          </c:cat>
          <c:val>
            <c:numRef>
              <c:f>'Child Protection Plans'!$BS$65:$BW$65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4EDF-4ACC-A2F5-540FCD1F7EB3}"/>
            </c:ext>
          </c:extLst>
        </c:ser>
        <c:dLbls>
          <c:showLegendKey val="0"/>
          <c:showVal val="0"/>
          <c:showCatName val="0"/>
          <c:showSerName val="0"/>
          <c:showPercent val="0"/>
          <c:showBubbleSize val="0"/>
        </c:dLbls>
        <c:marker val="1"/>
        <c:smooth val="0"/>
        <c:axId val="585809280"/>
        <c:axId val="585815552"/>
      </c:lineChart>
      <c:catAx>
        <c:axId val="585809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15552"/>
        <c:crosses val="autoZero"/>
        <c:auto val="1"/>
        <c:lblAlgn val="ctr"/>
        <c:lblOffset val="100"/>
        <c:tickLblSkip val="1"/>
        <c:tickMarkSkip val="1"/>
        <c:noMultiLvlLbl val="0"/>
      </c:catAx>
      <c:valAx>
        <c:axId val="585815552"/>
        <c:scaling>
          <c:orientation val="minMax"/>
          <c:max val="1.02"/>
          <c:min val="0.2"/>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09280"/>
        <c:crosses val="autoZero"/>
        <c:crossBetween val="between"/>
      </c:valAx>
      <c:spPr>
        <a:noFill/>
        <a:ln w="3175">
          <a:solidFill>
            <a:srgbClr val="000000"/>
          </a:solidFill>
          <a:prstDash val="solid"/>
        </a:ln>
      </c:spPr>
    </c:plotArea>
    <c:legend>
      <c:legendPos val="r"/>
      <c:layout>
        <c:manualLayout>
          <c:xMode val="edge"/>
          <c:yMode val="edge"/>
          <c:x val="0.67109092691214423"/>
          <c:y val="6.4741533950671629E-2"/>
          <c:w val="0.31211251343072949"/>
          <c:h val="0.935258466049328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Children</a:t>
            </a:r>
            <a:r>
              <a:rPr lang="en-GB" sz="900" baseline="0"/>
              <a:t> subjct to </a:t>
            </a:r>
            <a:r>
              <a:rPr lang="en-GB" sz="900"/>
              <a:t>CPP Seen in Timescales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5460934950698729"/>
          <c:y val="3.8613355148788219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Plans'!$AX$65:$BB$65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748E-4F14-A2F0-99C4699F01DB}"/>
            </c:ext>
          </c:extLst>
        </c:ser>
        <c:ser>
          <c:idx val="4"/>
          <c:order val="1"/>
          <c:tx>
            <c:strRef>
              <c:f>'Child Protection Plans'!$B$170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Plans'!$D$170:$H$170</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748E-4F14-A2F0-99C4699F01DB}"/>
            </c:ext>
          </c:extLst>
        </c:ser>
        <c:ser>
          <c:idx val="0"/>
          <c:order val="2"/>
          <c:tx>
            <c:strRef>
              <c:f>'Child Protection Plans'!$B$171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Plans'!$D$171:$H$171</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748E-4F14-A2F0-99C4699F01DB}"/>
            </c:ext>
          </c:extLst>
        </c:ser>
        <c:dLbls>
          <c:showLegendKey val="0"/>
          <c:showVal val="0"/>
          <c:showCatName val="0"/>
          <c:showSerName val="0"/>
          <c:showPercent val="0"/>
          <c:showBubbleSize val="0"/>
        </c:dLbls>
        <c:gapWidth val="100"/>
        <c:axId val="586635136"/>
        <c:axId val="586636672"/>
      </c:barChart>
      <c:catAx>
        <c:axId val="586635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636672"/>
        <c:crosses val="autoZero"/>
        <c:auto val="1"/>
        <c:lblAlgn val="ctr"/>
        <c:lblOffset val="100"/>
        <c:noMultiLvlLbl val="0"/>
      </c:catAx>
      <c:valAx>
        <c:axId val="586636672"/>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635136"/>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who had been seen within Timescales</a:t>
            </a:r>
          </a:p>
        </c:rich>
      </c:tx>
      <c:layout>
        <c:manualLayout>
          <c:xMode val="edge"/>
          <c:yMode val="edge"/>
          <c:x val="0.10231045966504695"/>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6DF8-4198-A290-8EFA9D00C255}"/>
              </c:ext>
            </c:extLst>
          </c:dPt>
          <c:cat>
            <c:strRef>
              <c:f>'Child Protection Plans'!$Z$2:$AD$3</c:f>
              <c:strCache>
                <c:ptCount val="5"/>
                <c:pt idx="0">
                  <c:v>2015-16</c:v>
                </c:pt>
                <c:pt idx="1">
                  <c:v>2016-17</c:v>
                </c:pt>
                <c:pt idx="2">
                  <c:v>2017-18</c:v>
                </c:pt>
                <c:pt idx="3">
                  <c:v>2018-19</c:v>
                </c:pt>
                <c:pt idx="4">
                  <c:v>2019-20</c:v>
                </c:pt>
              </c:strCache>
            </c:strRef>
          </c:cat>
          <c:val>
            <c:numRef>
              <c:f>'Child Protection Plans'!$AX$41:$BB$41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DF8-4198-A290-8EFA9D00C255}"/>
            </c:ext>
          </c:extLst>
        </c:ser>
        <c:ser>
          <c:idx val="1"/>
          <c:order val="1"/>
          <c:tx>
            <c:strRef>
              <c:f>'Child Protection Plans'!$AL$42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Plans'!$AX$42:$BB$42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6DF8-4198-A290-8EFA9D00C255}"/>
            </c:ext>
          </c:extLst>
        </c:ser>
        <c:ser>
          <c:idx val="2"/>
          <c:order val="2"/>
          <c:tx>
            <c:strRef>
              <c:f>'Child Protection Plans'!$AL$43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Plans'!$AX$43:$BB$43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6DF8-4198-A290-8EFA9D00C255}"/>
            </c:ext>
          </c:extLst>
        </c:ser>
        <c:ser>
          <c:idx val="5"/>
          <c:order val="3"/>
          <c:tx>
            <c:strRef>
              <c:f>'Child Protection Plans'!$AL$44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Plans'!$AX$44:$BB$44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6DF8-4198-A290-8EFA9D00C255}"/>
            </c:ext>
          </c:extLst>
        </c:ser>
        <c:ser>
          <c:idx val="9"/>
          <c:order val="4"/>
          <c:tx>
            <c:strRef>
              <c:f>'Child Protection Plans'!$AL$45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Plans'!$AX$45:$BB$45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6DF8-4198-A290-8EFA9D00C255}"/>
            </c:ext>
          </c:extLst>
        </c:ser>
        <c:ser>
          <c:idx val="10"/>
          <c:order val="5"/>
          <c:tx>
            <c:strRef>
              <c:f>'Child Protection Plans'!$AL$46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Plans'!$AX$46:$BB$46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6DF8-4198-A290-8EFA9D00C255}"/>
            </c:ext>
          </c:extLst>
        </c:ser>
        <c:ser>
          <c:idx val="11"/>
          <c:order val="6"/>
          <c:tx>
            <c:strRef>
              <c:f>'Child Protection Plans'!$AL$47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Plans'!$AX$47:$BB$47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6DF8-4198-A290-8EFA9D00C255}"/>
            </c:ext>
          </c:extLst>
        </c:ser>
        <c:ser>
          <c:idx val="12"/>
          <c:order val="7"/>
          <c:tx>
            <c:strRef>
              <c:f>'Child Protection Plans'!$AL$48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Plans'!$AX$48:$BB$48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6DF8-4198-A290-8EFA9D00C255}"/>
            </c:ext>
          </c:extLst>
        </c:ser>
        <c:ser>
          <c:idx val="13"/>
          <c:order val="8"/>
          <c:tx>
            <c:strRef>
              <c:f>'Child Protection Plans'!$AL$49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Plans'!$AX$49:$BB$49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6DF8-4198-A290-8EFA9D00C255}"/>
            </c:ext>
          </c:extLst>
        </c:ser>
        <c:ser>
          <c:idx val="15"/>
          <c:order val="9"/>
          <c:tx>
            <c:strRef>
              <c:f>'Child Protection Plans'!$AL$50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Plans'!$AX$50:$BB$50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6DF8-4198-A290-8EFA9D00C255}"/>
            </c:ext>
          </c:extLst>
        </c:ser>
        <c:ser>
          <c:idx val="16"/>
          <c:order val="10"/>
          <c:tx>
            <c:strRef>
              <c:f>'Child Protection Plans'!$AL$51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Plans'!$AX$51:$BB$51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6DF8-4198-A290-8EFA9D00C255}"/>
            </c:ext>
          </c:extLst>
        </c:ser>
        <c:ser>
          <c:idx val="17"/>
          <c:order val="11"/>
          <c:tx>
            <c:strRef>
              <c:f>'Child Protection Plans'!$AL$52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Plans'!$AX$52:$BB$52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6DF8-4198-A290-8EFA9D00C255}"/>
            </c:ext>
          </c:extLst>
        </c:ser>
        <c:ser>
          <c:idx val="19"/>
          <c:order val="12"/>
          <c:tx>
            <c:strRef>
              <c:f>'Child Protection Plans'!$AL$53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Plans'!$AX$53:$BB$53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6DF8-4198-A290-8EFA9D00C255}"/>
            </c:ext>
          </c:extLst>
        </c:ser>
        <c:ser>
          <c:idx val="3"/>
          <c:order val="13"/>
          <c:tx>
            <c:strRef>
              <c:f>'Child Protection Plans'!$AL$54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Plans'!$AX$54:$BB$54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6DF8-4198-A290-8EFA9D00C255}"/>
            </c:ext>
          </c:extLst>
        </c:ser>
        <c:ser>
          <c:idx val="20"/>
          <c:order val="14"/>
          <c:tx>
            <c:strRef>
              <c:f>'Child Protection Plans'!$AL$55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Plans'!$AX$55:$BB$55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6DF8-4198-A290-8EFA9D00C255}"/>
            </c:ext>
          </c:extLst>
        </c:ser>
        <c:ser>
          <c:idx val="22"/>
          <c:order val="15"/>
          <c:tx>
            <c:strRef>
              <c:f>'Child Protection Plans'!$AL$56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Plans'!$AX$56:$BB$56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6DF8-4198-A290-8EFA9D00C255}"/>
            </c:ext>
          </c:extLst>
        </c:ser>
        <c:ser>
          <c:idx val="7"/>
          <c:order val="16"/>
          <c:tx>
            <c:strRef>
              <c:f>'Child Protection Plans'!$AL$57</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2015-16</c:v>
                </c:pt>
                <c:pt idx="1">
                  <c:v>2016-17</c:v>
                </c:pt>
                <c:pt idx="2">
                  <c:v>2017-18</c:v>
                </c:pt>
                <c:pt idx="3">
                  <c:v>2018-19</c:v>
                </c:pt>
                <c:pt idx="4">
                  <c:v>2019-20</c:v>
                </c:pt>
              </c:strCache>
            </c:strRef>
          </c:cat>
          <c:val>
            <c:numRef>
              <c:f>'Child Protection Plans'!$AX$57:$BB$57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6DF8-4198-A290-8EFA9D00C255}"/>
            </c:ext>
          </c:extLst>
        </c:ser>
        <c:ser>
          <c:idx val="8"/>
          <c:order val="17"/>
          <c:tx>
            <c:strRef>
              <c:f>'Child Protection Plans'!$AL$58</c:f>
              <c:strCache>
                <c:ptCount val="1"/>
                <c:pt idx="0">
                  <c:v>Torbay</c:v>
                </c:pt>
              </c:strCache>
            </c:strRef>
          </c:tx>
          <c:spPr>
            <a:ln w="12700"/>
          </c:spPr>
          <c:marker>
            <c:symbol val="circle"/>
            <c:size val="5"/>
            <c:spPr>
              <a:solidFill>
                <a:schemeClr val="accent3">
                  <a:lumMod val="20000"/>
                  <a:lumOff val="80000"/>
                </a:schemeClr>
              </a:solidFill>
            </c:spPr>
          </c:marker>
          <c:cat>
            <c:strRef>
              <c:f>'Child Protection Plans'!$Z$2:$AD$3</c:f>
              <c:strCache>
                <c:ptCount val="5"/>
                <c:pt idx="0">
                  <c:v>2015-16</c:v>
                </c:pt>
                <c:pt idx="1">
                  <c:v>2016-17</c:v>
                </c:pt>
                <c:pt idx="2">
                  <c:v>2017-18</c:v>
                </c:pt>
                <c:pt idx="3">
                  <c:v>2018-19</c:v>
                </c:pt>
                <c:pt idx="4">
                  <c:v>2019-20</c:v>
                </c:pt>
              </c:strCache>
            </c:strRef>
          </c:cat>
          <c:val>
            <c:numRef>
              <c:f>'Child Protection Plans'!$AX$58:$BB$58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6DF8-4198-A290-8EFA9D00C255}"/>
            </c:ext>
          </c:extLst>
        </c:ser>
        <c:ser>
          <c:idx val="23"/>
          <c:order val="18"/>
          <c:tx>
            <c:strRef>
              <c:f>'Child Protection Plans'!$AL$59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Plans'!$AX$59:$BB$59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6DF8-4198-A290-8EFA9D00C255}"/>
            </c:ext>
          </c:extLst>
        </c:ser>
        <c:ser>
          <c:idx val="24"/>
          <c:order val="19"/>
          <c:tx>
            <c:strRef>
              <c:f>'Child Protection Plans'!$AL$60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Plans'!$AX$60:$BB$60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6DF8-4198-A290-8EFA9D00C255}"/>
            </c:ext>
          </c:extLst>
        </c:ser>
        <c:ser>
          <c:idx val="25"/>
          <c:order val="20"/>
          <c:tx>
            <c:strRef>
              <c:f>'Child Protection Plans'!$AL$61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Plans'!$AX$61:$BB$61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6DF8-4198-A290-8EFA9D00C255}"/>
            </c:ext>
          </c:extLst>
        </c:ser>
        <c:ser>
          <c:idx val="26"/>
          <c:order val="21"/>
          <c:tx>
            <c:strRef>
              <c:f>'Child Protection Plans'!$AL$62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Plans'!$AX$62:$BB$62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6DF8-4198-A290-8EFA9D00C255}"/>
            </c:ext>
          </c:extLst>
        </c:ser>
        <c:ser>
          <c:idx val="4"/>
          <c:order val="22"/>
          <c:tx>
            <c:strRef>
              <c:f>'Child Protection Plans'!$AL$63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Plans'!$AX$63:$BB$63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6DF8-4198-A290-8EFA9D00C255}"/>
            </c:ext>
          </c:extLst>
        </c:ser>
        <c:ser>
          <c:idx val="14"/>
          <c:order val="23"/>
          <c:tx>
            <c:strRef>
              <c:f>'Child Protection Plans'!$AL$64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2015-16</c:v>
                </c:pt>
                <c:pt idx="1">
                  <c:v>2016-17</c:v>
                </c:pt>
                <c:pt idx="2">
                  <c:v>2017-18</c:v>
                </c:pt>
                <c:pt idx="3">
                  <c:v>2018-19</c:v>
                </c:pt>
                <c:pt idx="4">
                  <c:v>2019-20</c:v>
                </c:pt>
              </c:strCache>
            </c:strRef>
          </c:cat>
          <c:val>
            <c:numRef>
              <c:f>'Child Protection Plans'!$AX$64:$BB$64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6DF8-4198-A290-8EFA9D00C255}"/>
            </c:ext>
          </c:extLst>
        </c:ser>
        <c:ser>
          <c:idx val="6"/>
          <c:order val="24"/>
          <c:tx>
            <c:strRef>
              <c:f>'Child Protection Plans'!$AL$65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2015-16</c:v>
                </c:pt>
                <c:pt idx="1">
                  <c:v>2016-17</c:v>
                </c:pt>
                <c:pt idx="2">
                  <c:v>2017-18</c:v>
                </c:pt>
                <c:pt idx="3">
                  <c:v>2018-19</c:v>
                </c:pt>
                <c:pt idx="4">
                  <c:v>2019-20</c:v>
                </c:pt>
              </c:strCache>
            </c:strRef>
          </c:cat>
          <c:val>
            <c:numRef>
              <c:f>'Child Protection Plans'!$AX$65:$BB$65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6DF8-4198-A290-8EFA9D00C255}"/>
            </c:ext>
          </c:extLst>
        </c:ser>
        <c:dLbls>
          <c:showLegendKey val="0"/>
          <c:showVal val="0"/>
          <c:showCatName val="0"/>
          <c:showSerName val="0"/>
          <c:showPercent val="0"/>
          <c:showBubbleSize val="0"/>
        </c:dLbls>
        <c:marker val="1"/>
        <c:smooth val="0"/>
        <c:axId val="586394624"/>
        <c:axId val="586408704"/>
      </c:lineChart>
      <c:catAx>
        <c:axId val="586394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408704"/>
        <c:crosses val="autoZero"/>
        <c:auto val="1"/>
        <c:lblAlgn val="ctr"/>
        <c:lblOffset val="100"/>
        <c:tickLblSkip val="1"/>
        <c:tickMarkSkip val="1"/>
        <c:noMultiLvlLbl val="0"/>
      </c:catAx>
      <c:valAx>
        <c:axId val="586408704"/>
        <c:scaling>
          <c:orientation val="minMax"/>
          <c:max val="1.02"/>
          <c:min val="0"/>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394624"/>
        <c:crosses val="autoZero"/>
        <c:crossBetween val="between"/>
      </c:valAx>
      <c:spPr>
        <a:noFill/>
        <a:ln w="3175">
          <a:solidFill>
            <a:srgbClr val="000000"/>
          </a:solidFill>
          <a:prstDash val="solid"/>
        </a:ln>
      </c:spPr>
    </c:plotArea>
    <c:legend>
      <c:legendPos val="r"/>
      <c:layout>
        <c:manualLayout>
          <c:xMode val="edge"/>
          <c:yMode val="edge"/>
          <c:x val="0.67109092691214423"/>
          <c:y val="6.4741533950671629E-2"/>
          <c:w val="0.31211251343072949"/>
          <c:h val="0.935258466049328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Children</a:t>
            </a:r>
            <a:r>
              <a:rPr lang="en-GB" sz="900" baseline="0"/>
              <a:t> subject to </a:t>
            </a:r>
            <a:r>
              <a:rPr lang="en-GB" sz="900"/>
              <a:t>CPP for 2+ years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Plans'!$AS$65:$AW$65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6A29-4981-819C-72E6CE8C0497}"/>
            </c:ext>
          </c:extLst>
        </c:ser>
        <c:ser>
          <c:idx val="4"/>
          <c:order val="1"/>
          <c:tx>
            <c:strRef>
              <c:f>'Child Protection Plans'!$B$134</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Plans'!$D$134:$H$134</c:f>
              <c:numCache>
                <c:formatCode>0%</c:formatCode>
                <c:ptCount val="5"/>
                <c:pt idx="0">
                  <c:v>#N/A</c:v>
                </c:pt>
                <c:pt idx="1">
                  <c:v>#N/A</c:v>
                </c:pt>
                <c:pt idx="2">
                  <c:v>#N/A</c:v>
                </c:pt>
                <c:pt idx="3">
                  <c:v>2.8360049321824909E-2</c:v>
                </c:pt>
                <c:pt idx="4">
                  <c:v>2.4660912453760789E-2</c:v>
                </c:pt>
              </c:numCache>
            </c:numRef>
          </c:val>
          <c:extLst>
            <c:ext xmlns:c16="http://schemas.microsoft.com/office/drawing/2014/chart" uri="{C3380CC4-5D6E-409C-BE32-E72D297353CC}">
              <c16:uniqueId val="{00000001-6A29-4981-819C-72E6CE8C0497}"/>
            </c:ext>
          </c:extLst>
        </c:ser>
        <c:ser>
          <c:idx val="0"/>
          <c:order val="2"/>
          <c:tx>
            <c:strRef>
              <c:f>'Child Protection Plans'!$B$135</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2015-16</c:v>
                </c:pt>
                <c:pt idx="1">
                  <c:v>2016-17</c:v>
                </c:pt>
                <c:pt idx="2">
                  <c:v>2017-18</c:v>
                </c:pt>
                <c:pt idx="3">
                  <c:v>2018-19</c:v>
                </c:pt>
                <c:pt idx="4">
                  <c:v>2019-20</c:v>
                </c:pt>
              </c:strCache>
            </c:strRef>
          </c:cat>
          <c:val>
            <c:numRef>
              <c:f>'Child Protection Plans'!$D$135:$H$135</c:f>
              <c:numCache>
                <c:formatCode>0%</c:formatCode>
                <c:ptCount val="5"/>
                <c:pt idx="0">
                  <c:v>#N/A</c:v>
                </c:pt>
                <c:pt idx="1">
                  <c:v>#N/A</c:v>
                </c:pt>
                <c:pt idx="2">
                  <c:v>#N/A</c:v>
                </c:pt>
                <c:pt idx="3">
                  <c:v>2.1431305013394564E-2</c:v>
                </c:pt>
                <c:pt idx="4">
                  <c:v>2.1355076684139003E-2</c:v>
                </c:pt>
              </c:numCache>
            </c:numRef>
          </c:val>
          <c:extLst>
            <c:ext xmlns:c16="http://schemas.microsoft.com/office/drawing/2014/chart" uri="{C3380CC4-5D6E-409C-BE32-E72D297353CC}">
              <c16:uniqueId val="{00000002-6A29-4981-819C-72E6CE8C0497}"/>
            </c:ext>
          </c:extLst>
        </c:ser>
        <c:dLbls>
          <c:showLegendKey val="0"/>
          <c:showVal val="0"/>
          <c:showCatName val="0"/>
          <c:showSerName val="0"/>
          <c:showPercent val="0"/>
          <c:showBubbleSize val="0"/>
        </c:dLbls>
        <c:gapWidth val="100"/>
        <c:axId val="586504064"/>
        <c:axId val="586505600"/>
      </c:barChart>
      <c:catAx>
        <c:axId val="586504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505600"/>
        <c:crosses val="autoZero"/>
        <c:auto val="1"/>
        <c:lblAlgn val="ctr"/>
        <c:lblOffset val="100"/>
        <c:noMultiLvlLbl val="0"/>
      </c:catAx>
      <c:valAx>
        <c:axId val="586505600"/>
        <c:scaling>
          <c:orientation val="minMax"/>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50406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at 31st March who had  been subject to a Plan</a:t>
            </a:r>
            <a:r>
              <a:rPr lang="en-GB" baseline="0"/>
              <a:t> for 2 years or longer</a:t>
            </a:r>
            <a:endParaRPr lang="en-GB"/>
          </a:p>
        </c:rich>
      </c:tx>
      <c:layout>
        <c:manualLayout>
          <c:xMode val="edge"/>
          <c:yMode val="edge"/>
          <c:x val="0.10231045966504695"/>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EE4C-4845-BF79-E3A3E4A956A9}"/>
              </c:ext>
            </c:extLst>
          </c:dPt>
          <c:cat>
            <c:strRef>
              <c:f>'Child Protection Plans'!$Z$2:$AD$3</c:f>
              <c:strCache>
                <c:ptCount val="5"/>
                <c:pt idx="0">
                  <c:v>2015-16</c:v>
                </c:pt>
                <c:pt idx="1">
                  <c:v>2016-17</c:v>
                </c:pt>
                <c:pt idx="2">
                  <c:v>2017-18</c:v>
                </c:pt>
                <c:pt idx="3">
                  <c:v>2018-19</c:v>
                </c:pt>
                <c:pt idx="4">
                  <c:v>2019-20</c:v>
                </c:pt>
              </c:strCache>
            </c:strRef>
          </c:cat>
          <c:val>
            <c:numRef>
              <c:f>'Child Protection Plans'!$AS$41:$AW$41</c:f>
              <c:numCache>
                <c:formatCode>0.0%</c:formatCode>
                <c:ptCount val="5"/>
                <c:pt idx="0">
                  <c:v>#N/A</c:v>
                </c:pt>
                <c:pt idx="1">
                  <c:v>#N/A</c:v>
                </c:pt>
                <c:pt idx="2">
                  <c:v>#N/A</c:v>
                </c:pt>
                <c:pt idx="3">
                  <c:v>0</c:v>
                </c:pt>
                <c:pt idx="4">
                  <c:v>#N/A</c:v>
                </c:pt>
              </c:numCache>
            </c:numRef>
          </c:val>
          <c:smooth val="0"/>
          <c:extLst>
            <c:ext xmlns:c16="http://schemas.microsoft.com/office/drawing/2014/chart" uri="{C3380CC4-5D6E-409C-BE32-E72D297353CC}">
              <c16:uniqueId val="{00000001-EE4C-4845-BF79-E3A3E4A956A9}"/>
            </c:ext>
          </c:extLst>
        </c:ser>
        <c:ser>
          <c:idx val="1"/>
          <c:order val="1"/>
          <c:tx>
            <c:strRef>
              <c:f>'Child Protection Plans'!$AL$42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Plans'!$AS$42:$AW$42</c:f>
              <c:numCache>
                <c:formatCode>0.0%</c:formatCode>
                <c:ptCount val="5"/>
                <c:pt idx="0">
                  <c:v>#N/A</c:v>
                </c:pt>
                <c:pt idx="1">
                  <c:v>#N/A</c:v>
                </c:pt>
                <c:pt idx="2">
                  <c:v>#N/A</c:v>
                </c:pt>
                <c:pt idx="3">
                  <c:v>3.7974683544303799E-2</c:v>
                </c:pt>
                <c:pt idx="4">
                  <c:v>3.2835820895522387E-2</c:v>
                </c:pt>
              </c:numCache>
            </c:numRef>
          </c:val>
          <c:smooth val="0"/>
          <c:extLst>
            <c:ext xmlns:c16="http://schemas.microsoft.com/office/drawing/2014/chart" uri="{C3380CC4-5D6E-409C-BE32-E72D297353CC}">
              <c16:uniqueId val="{00000002-EE4C-4845-BF79-E3A3E4A956A9}"/>
            </c:ext>
          </c:extLst>
        </c:ser>
        <c:ser>
          <c:idx val="2"/>
          <c:order val="2"/>
          <c:tx>
            <c:strRef>
              <c:f>'Child Protection Plans'!$AL$43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Plans'!$AS$43:$AW$43</c:f>
              <c:numCache>
                <c:formatCode>0.0%</c:formatCode>
                <c:ptCount val="5"/>
                <c:pt idx="0">
                  <c:v>#N/A</c:v>
                </c:pt>
                <c:pt idx="1">
                  <c:v>#N/A</c:v>
                </c:pt>
                <c:pt idx="2">
                  <c:v>#N/A</c:v>
                </c:pt>
                <c:pt idx="3">
                  <c:v>2.491103202846975E-2</c:v>
                </c:pt>
                <c:pt idx="4">
                  <c:v>2.9565217391304348E-2</c:v>
                </c:pt>
              </c:numCache>
            </c:numRef>
          </c:val>
          <c:smooth val="0"/>
          <c:extLst>
            <c:ext xmlns:c16="http://schemas.microsoft.com/office/drawing/2014/chart" uri="{C3380CC4-5D6E-409C-BE32-E72D297353CC}">
              <c16:uniqueId val="{00000003-EE4C-4845-BF79-E3A3E4A956A9}"/>
            </c:ext>
          </c:extLst>
        </c:ser>
        <c:ser>
          <c:idx val="5"/>
          <c:order val="3"/>
          <c:tx>
            <c:strRef>
              <c:f>'Child Protection Plans'!$AL$44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Plans'!$AS$44:$AW$44</c:f>
              <c:numCache>
                <c:formatCode>0.0%</c:formatCode>
                <c:ptCount val="5"/>
                <c:pt idx="0">
                  <c:v>#N/A</c:v>
                </c:pt>
                <c:pt idx="1">
                  <c:v>#N/A</c:v>
                </c:pt>
                <c:pt idx="2">
                  <c:v>#N/A</c:v>
                </c:pt>
                <c:pt idx="3">
                  <c:v>4.3936731107205626E-2</c:v>
                </c:pt>
                <c:pt idx="4">
                  <c:v>3.9179104477611942E-2</c:v>
                </c:pt>
              </c:numCache>
            </c:numRef>
          </c:val>
          <c:smooth val="0"/>
          <c:extLst>
            <c:ext xmlns:c16="http://schemas.microsoft.com/office/drawing/2014/chart" uri="{C3380CC4-5D6E-409C-BE32-E72D297353CC}">
              <c16:uniqueId val="{00000004-EE4C-4845-BF79-E3A3E4A956A9}"/>
            </c:ext>
          </c:extLst>
        </c:ser>
        <c:ser>
          <c:idx val="9"/>
          <c:order val="4"/>
          <c:tx>
            <c:strRef>
              <c:f>'Child Protection Plans'!$AL$45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Plans'!$AS$45:$AW$45</c:f>
              <c:numCache>
                <c:formatCode>0.0%</c:formatCode>
                <c:ptCount val="5"/>
                <c:pt idx="0">
                  <c:v>#N/A</c:v>
                </c:pt>
                <c:pt idx="1">
                  <c:v>#N/A</c:v>
                </c:pt>
                <c:pt idx="2">
                  <c:v>#N/A</c:v>
                </c:pt>
                <c:pt idx="3">
                  <c:v>3.1905195989061073E-2</c:v>
                </c:pt>
                <c:pt idx="4">
                  <c:v>1.5991471215351813E-2</c:v>
                </c:pt>
              </c:numCache>
            </c:numRef>
          </c:val>
          <c:smooth val="0"/>
          <c:extLst>
            <c:ext xmlns:c16="http://schemas.microsoft.com/office/drawing/2014/chart" uri="{C3380CC4-5D6E-409C-BE32-E72D297353CC}">
              <c16:uniqueId val="{00000005-EE4C-4845-BF79-E3A3E4A956A9}"/>
            </c:ext>
          </c:extLst>
        </c:ser>
        <c:ser>
          <c:idx val="10"/>
          <c:order val="5"/>
          <c:tx>
            <c:strRef>
              <c:f>'Child Protection Plans'!$AL$46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Plans'!$AS$46:$AW$46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EE4C-4845-BF79-E3A3E4A956A9}"/>
            </c:ext>
          </c:extLst>
        </c:ser>
        <c:ser>
          <c:idx val="11"/>
          <c:order val="6"/>
          <c:tx>
            <c:strRef>
              <c:f>'Child Protection Plans'!$AL$47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Plans'!$AS$47:$AW$47</c:f>
              <c:numCache>
                <c:formatCode>0.0%</c:formatCode>
                <c:ptCount val="5"/>
                <c:pt idx="0">
                  <c:v>#N/A</c:v>
                </c:pt>
                <c:pt idx="1">
                  <c:v>#N/A</c:v>
                </c:pt>
                <c:pt idx="2">
                  <c:v>#N/A</c:v>
                </c:pt>
                <c:pt idx="3">
                  <c:v>2.6093630084420567E-2</c:v>
                </c:pt>
                <c:pt idx="4">
                  <c:v>2.6276276276276277E-2</c:v>
                </c:pt>
              </c:numCache>
            </c:numRef>
          </c:val>
          <c:smooth val="0"/>
          <c:extLst>
            <c:ext xmlns:c16="http://schemas.microsoft.com/office/drawing/2014/chart" uri="{C3380CC4-5D6E-409C-BE32-E72D297353CC}">
              <c16:uniqueId val="{00000007-EE4C-4845-BF79-E3A3E4A956A9}"/>
            </c:ext>
          </c:extLst>
        </c:ser>
        <c:ser>
          <c:idx val="12"/>
          <c:order val="7"/>
          <c:tx>
            <c:strRef>
              <c:f>'Child Protection Plans'!$AL$48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Plans'!$AS$48:$AW$48</c:f>
              <c:numCache>
                <c:formatCode>0.0%</c:formatCode>
                <c:ptCount val="5"/>
                <c:pt idx="0">
                  <c:v>#N/A</c:v>
                </c:pt>
                <c:pt idx="1">
                  <c:v>#N/A</c:v>
                </c:pt>
                <c:pt idx="2">
                  <c:v>#N/A</c:v>
                </c:pt>
                <c:pt idx="3">
                  <c:v>3.3802816901408447E-2</c:v>
                </c:pt>
                <c:pt idx="4">
                  <c:v>1.9438444924406047E-2</c:v>
                </c:pt>
              </c:numCache>
            </c:numRef>
          </c:val>
          <c:smooth val="0"/>
          <c:extLst>
            <c:ext xmlns:c16="http://schemas.microsoft.com/office/drawing/2014/chart" uri="{C3380CC4-5D6E-409C-BE32-E72D297353CC}">
              <c16:uniqueId val="{00000008-EE4C-4845-BF79-E3A3E4A956A9}"/>
            </c:ext>
          </c:extLst>
        </c:ser>
        <c:ser>
          <c:idx val="13"/>
          <c:order val="8"/>
          <c:tx>
            <c:strRef>
              <c:f>'Child Protection Plans'!$AL$49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Plans'!$AS$49:$AW$49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EE4C-4845-BF79-E3A3E4A956A9}"/>
            </c:ext>
          </c:extLst>
        </c:ser>
        <c:ser>
          <c:idx val="15"/>
          <c:order val="9"/>
          <c:tx>
            <c:strRef>
              <c:f>'Child Protection Plans'!$AL$50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Plans'!$AS$50:$AW$50</c:f>
              <c:numCache>
                <c:formatCode>0.0%</c:formatCode>
                <c:ptCount val="5"/>
                <c:pt idx="0">
                  <c:v>#N/A</c:v>
                </c:pt>
                <c:pt idx="1">
                  <c:v>#N/A</c:v>
                </c:pt>
                <c:pt idx="2">
                  <c:v>#N/A</c:v>
                </c:pt>
                <c:pt idx="3">
                  <c:v>6.25E-2</c:v>
                </c:pt>
                <c:pt idx="4">
                  <c:v>3.4990791896869246E-2</c:v>
                </c:pt>
              </c:numCache>
            </c:numRef>
          </c:val>
          <c:smooth val="0"/>
          <c:extLst>
            <c:ext xmlns:c16="http://schemas.microsoft.com/office/drawing/2014/chart" uri="{C3380CC4-5D6E-409C-BE32-E72D297353CC}">
              <c16:uniqueId val="{0000000A-EE4C-4845-BF79-E3A3E4A956A9}"/>
            </c:ext>
          </c:extLst>
        </c:ser>
        <c:ser>
          <c:idx val="16"/>
          <c:order val="10"/>
          <c:tx>
            <c:strRef>
              <c:f>'Child Protection Plans'!$AL$51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Plans'!$AS$51:$AW$51</c:f>
              <c:numCache>
                <c:formatCode>0.0%</c:formatCode>
                <c:ptCount val="5"/>
                <c:pt idx="0">
                  <c:v>#N/A</c:v>
                </c:pt>
                <c:pt idx="1">
                  <c:v>#N/A</c:v>
                </c:pt>
                <c:pt idx="2">
                  <c:v>#N/A</c:v>
                </c:pt>
                <c:pt idx="3">
                  <c:v>#N/A</c:v>
                </c:pt>
                <c:pt idx="4">
                  <c:v>3.4482758620689655E-2</c:v>
                </c:pt>
              </c:numCache>
            </c:numRef>
          </c:val>
          <c:smooth val="0"/>
          <c:extLst>
            <c:ext xmlns:c16="http://schemas.microsoft.com/office/drawing/2014/chart" uri="{C3380CC4-5D6E-409C-BE32-E72D297353CC}">
              <c16:uniqueId val="{0000000B-EE4C-4845-BF79-E3A3E4A956A9}"/>
            </c:ext>
          </c:extLst>
        </c:ser>
        <c:ser>
          <c:idx val="17"/>
          <c:order val="11"/>
          <c:tx>
            <c:strRef>
              <c:f>'Child Protection Plans'!$AL$52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Plans'!$AS$52:$AW$52</c:f>
              <c:numCache>
                <c:formatCode>0.0%</c:formatCode>
                <c:ptCount val="5"/>
                <c:pt idx="0">
                  <c:v>#N/A</c:v>
                </c:pt>
                <c:pt idx="1">
                  <c:v>#N/A</c:v>
                </c:pt>
                <c:pt idx="2">
                  <c:v>#N/A</c:v>
                </c:pt>
                <c:pt idx="3">
                  <c:v>3.9215686274509803E-2</c:v>
                </c:pt>
                <c:pt idx="4">
                  <c:v>4.0178571428571432E-2</c:v>
                </c:pt>
              </c:numCache>
            </c:numRef>
          </c:val>
          <c:smooth val="0"/>
          <c:extLst>
            <c:ext xmlns:c16="http://schemas.microsoft.com/office/drawing/2014/chart" uri="{C3380CC4-5D6E-409C-BE32-E72D297353CC}">
              <c16:uniqueId val="{0000000C-EE4C-4845-BF79-E3A3E4A956A9}"/>
            </c:ext>
          </c:extLst>
        </c:ser>
        <c:ser>
          <c:idx val="19"/>
          <c:order val="12"/>
          <c:tx>
            <c:strRef>
              <c:f>'Child Protection Plans'!$AL$53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Plans'!$AS$53:$AW$53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EE4C-4845-BF79-E3A3E4A956A9}"/>
            </c:ext>
          </c:extLst>
        </c:ser>
        <c:ser>
          <c:idx val="3"/>
          <c:order val="13"/>
          <c:tx>
            <c:strRef>
              <c:f>'Child Protection Plans'!$AL$54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Plans'!$AS$54:$AW$54</c:f>
              <c:numCache>
                <c:formatCode>0.0%</c:formatCode>
                <c:ptCount val="5"/>
                <c:pt idx="0">
                  <c:v>#N/A</c:v>
                </c:pt>
                <c:pt idx="1">
                  <c:v>#N/A</c:v>
                </c:pt>
                <c:pt idx="2">
                  <c:v>#N/A</c:v>
                </c:pt>
                <c:pt idx="3">
                  <c:v>1.9900497512437811E-2</c:v>
                </c:pt>
                <c:pt idx="4">
                  <c:v>#N/A</c:v>
                </c:pt>
              </c:numCache>
            </c:numRef>
          </c:val>
          <c:smooth val="0"/>
          <c:extLst>
            <c:ext xmlns:c16="http://schemas.microsoft.com/office/drawing/2014/chart" uri="{C3380CC4-5D6E-409C-BE32-E72D297353CC}">
              <c16:uniqueId val="{0000000E-EE4C-4845-BF79-E3A3E4A956A9}"/>
            </c:ext>
          </c:extLst>
        </c:ser>
        <c:ser>
          <c:idx val="20"/>
          <c:order val="14"/>
          <c:tx>
            <c:strRef>
              <c:f>'Child Protection Plans'!$AL$55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Plans'!$AS$55:$AW$55</c:f>
              <c:numCache>
                <c:formatCode>0.0%</c:formatCode>
                <c:ptCount val="5"/>
                <c:pt idx="0">
                  <c:v>#N/A</c:v>
                </c:pt>
                <c:pt idx="1">
                  <c:v>#N/A</c:v>
                </c:pt>
                <c:pt idx="2">
                  <c:v>#N/A</c:v>
                </c:pt>
                <c:pt idx="3">
                  <c:v>#N/A</c:v>
                </c:pt>
                <c:pt idx="4">
                  <c:v>1.7676767676767676E-2</c:v>
                </c:pt>
              </c:numCache>
            </c:numRef>
          </c:val>
          <c:smooth val="0"/>
          <c:extLst>
            <c:ext xmlns:c16="http://schemas.microsoft.com/office/drawing/2014/chart" uri="{C3380CC4-5D6E-409C-BE32-E72D297353CC}">
              <c16:uniqueId val="{0000000F-EE4C-4845-BF79-E3A3E4A956A9}"/>
            </c:ext>
          </c:extLst>
        </c:ser>
        <c:ser>
          <c:idx val="22"/>
          <c:order val="15"/>
          <c:tx>
            <c:strRef>
              <c:f>'Child Protection Plans'!$AL$56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Plans'!$AS$56:$AW$56</c:f>
              <c:numCache>
                <c:formatCode>0.0%</c:formatCode>
                <c:ptCount val="5"/>
                <c:pt idx="0">
                  <c:v>#N/A</c:v>
                </c:pt>
                <c:pt idx="1">
                  <c:v>#N/A</c:v>
                </c:pt>
                <c:pt idx="2">
                  <c:v>#N/A</c:v>
                </c:pt>
                <c:pt idx="3">
                  <c:v>1.6684045881126174E-2</c:v>
                </c:pt>
                <c:pt idx="4">
                  <c:v>2.9197080291970802E-2</c:v>
                </c:pt>
              </c:numCache>
            </c:numRef>
          </c:val>
          <c:smooth val="0"/>
          <c:extLst>
            <c:ext xmlns:c16="http://schemas.microsoft.com/office/drawing/2014/chart" uri="{C3380CC4-5D6E-409C-BE32-E72D297353CC}">
              <c16:uniqueId val="{00000010-EE4C-4845-BF79-E3A3E4A956A9}"/>
            </c:ext>
          </c:extLst>
        </c:ser>
        <c:ser>
          <c:idx val="7"/>
          <c:order val="16"/>
          <c:tx>
            <c:strRef>
              <c:f>'Child Protection Plans'!$AL$57</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2015-16</c:v>
                </c:pt>
                <c:pt idx="1">
                  <c:v>2016-17</c:v>
                </c:pt>
                <c:pt idx="2">
                  <c:v>2017-18</c:v>
                </c:pt>
                <c:pt idx="3">
                  <c:v>2018-19</c:v>
                </c:pt>
                <c:pt idx="4">
                  <c:v>2019-20</c:v>
                </c:pt>
              </c:strCache>
            </c:strRef>
          </c:cat>
          <c:val>
            <c:numRef>
              <c:f>'Child Protection Plans'!$AS$57:$AW$57</c:f>
              <c:numCache>
                <c:formatCode>0.0%</c:formatCode>
                <c:ptCount val="5"/>
                <c:pt idx="0">
                  <c:v>#N/A</c:v>
                </c:pt>
                <c:pt idx="1">
                  <c:v>#N/A</c:v>
                </c:pt>
                <c:pt idx="2">
                  <c:v>#N/A</c:v>
                </c:pt>
                <c:pt idx="3">
                  <c:v>1.8018018018018018E-2</c:v>
                </c:pt>
                <c:pt idx="4">
                  <c:v>#N/A</c:v>
                </c:pt>
              </c:numCache>
            </c:numRef>
          </c:val>
          <c:smooth val="0"/>
          <c:extLst>
            <c:ext xmlns:c16="http://schemas.microsoft.com/office/drawing/2014/chart" uri="{C3380CC4-5D6E-409C-BE32-E72D297353CC}">
              <c16:uniqueId val="{00000011-EE4C-4845-BF79-E3A3E4A956A9}"/>
            </c:ext>
          </c:extLst>
        </c:ser>
        <c:ser>
          <c:idx val="8"/>
          <c:order val="17"/>
          <c:tx>
            <c:strRef>
              <c:f>'Child Protection Plans'!$AL$58</c:f>
              <c:strCache>
                <c:ptCount val="1"/>
                <c:pt idx="0">
                  <c:v>Torbay</c:v>
                </c:pt>
              </c:strCache>
            </c:strRef>
          </c:tx>
          <c:spPr>
            <a:ln w="12700"/>
          </c:spPr>
          <c:marker>
            <c:symbol val="circle"/>
            <c:size val="5"/>
            <c:spPr>
              <a:solidFill>
                <a:schemeClr val="accent3">
                  <a:lumMod val="20000"/>
                  <a:lumOff val="80000"/>
                </a:schemeClr>
              </a:solidFill>
            </c:spPr>
          </c:marker>
          <c:cat>
            <c:strRef>
              <c:f>'Child Protection Plans'!$Z$2:$AD$3</c:f>
              <c:strCache>
                <c:ptCount val="5"/>
                <c:pt idx="0">
                  <c:v>2015-16</c:v>
                </c:pt>
                <c:pt idx="1">
                  <c:v>2016-17</c:v>
                </c:pt>
                <c:pt idx="2">
                  <c:v>2017-18</c:v>
                </c:pt>
                <c:pt idx="3">
                  <c:v>2018-19</c:v>
                </c:pt>
                <c:pt idx="4">
                  <c:v>2019-20</c:v>
                </c:pt>
              </c:strCache>
            </c:strRef>
          </c:cat>
          <c:val>
            <c:numRef>
              <c:f>'Child Protection Plans'!$AS$58:$AW$58</c:f>
              <c:numCache>
                <c:formatCode>0.0%</c:formatCode>
                <c:ptCount val="5"/>
                <c:pt idx="0">
                  <c:v>#N/A</c:v>
                </c:pt>
                <c:pt idx="1">
                  <c:v>#N/A</c:v>
                </c:pt>
                <c:pt idx="2">
                  <c:v>#N/A</c:v>
                </c:pt>
                <c:pt idx="3">
                  <c:v>0</c:v>
                </c:pt>
                <c:pt idx="4">
                  <c:v>#N/A</c:v>
                </c:pt>
              </c:numCache>
            </c:numRef>
          </c:val>
          <c:smooth val="0"/>
          <c:extLst>
            <c:ext xmlns:c16="http://schemas.microsoft.com/office/drawing/2014/chart" uri="{C3380CC4-5D6E-409C-BE32-E72D297353CC}">
              <c16:uniqueId val="{00000012-EE4C-4845-BF79-E3A3E4A956A9}"/>
            </c:ext>
          </c:extLst>
        </c:ser>
        <c:ser>
          <c:idx val="23"/>
          <c:order val="18"/>
          <c:tx>
            <c:strRef>
              <c:f>'Child Protection Plans'!$AL$59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Plans'!$AS$59:$AW$59</c:f>
              <c:numCache>
                <c:formatCode>0.0%</c:formatCode>
                <c:ptCount val="5"/>
                <c:pt idx="0">
                  <c:v>#N/A</c:v>
                </c:pt>
                <c:pt idx="1">
                  <c:v>#N/A</c:v>
                </c:pt>
                <c:pt idx="2">
                  <c:v>#N/A</c:v>
                </c:pt>
                <c:pt idx="3">
                  <c:v>0</c:v>
                </c:pt>
                <c:pt idx="4">
                  <c:v>#N/A</c:v>
                </c:pt>
              </c:numCache>
            </c:numRef>
          </c:val>
          <c:smooth val="0"/>
          <c:extLst>
            <c:ext xmlns:c16="http://schemas.microsoft.com/office/drawing/2014/chart" uri="{C3380CC4-5D6E-409C-BE32-E72D297353CC}">
              <c16:uniqueId val="{00000013-EE4C-4845-BF79-E3A3E4A956A9}"/>
            </c:ext>
          </c:extLst>
        </c:ser>
        <c:ser>
          <c:idx val="24"/>
          <c:order val="19"/>
          <c:tx>
            <c:strRef>
              <c:f>'Child Protection Plans'!$AL$60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Plans'!$AS$60:$AW$60</c:f>
              <c:numCache>
                <c:formatCode>0.0%</c:formatCode>
                <c:ptCount val="5"/>
                <c:pt idx="0">
                  <c:v>#N/A</c:v>
                </c:pt>
                <c:pt idx="1">
                  <c:v>#N/A</c:v>
                </c:pt>
                <c:pt idx="2">
                  <c:v>#N/A</c:v>
                </c:pt>
                <c:pt idx="3">
                  <c:v>3.0595813204508857E-2</c:v>
                </c:pt>
                <c:pt idx="4">
                  <c:v>9.8039215686274508E-3</c:v>
                </c:pt>
              </c:numCache>
            </c:numRef>
          </c:val>
          <c:smooth val="0"/>
          <c:extLst>
            <c:ext xmlns:c16="http://schemas.microsoft.com/office/drawing/2014/chart" uri="{C3380CC4-5D6E-409C-BE32-E72D297353CC}">
              <c16:uniqueId val="{00000014-EE4C-4845-BF79-E3A3E4A956A9}"/>
            </c:ext>
          </c:extLst>
        </c:ser>
        <c:ser>
          <c:idx val="25"/>
          <c:order val="20"/>
          <c:tx>
            <c:strRef>
              <c:f>'Child Protection Plans'!$AL$61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Plans'!$AS$61:$AW$61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EE4C-4845-BF79-E3A3E4A956A9}"/>
            </c:ext>
          </c:extLst>
        </c:ser>
        <c:ser>
          <c:idx val="26"/>
          <c:order val="21"/>
          <c:tx>
            <c:strRef>
              <c:f>'Child Protection Plans'!$AL$62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Plans'!$AS$62:$AW$62</c:f>
              <c:numCache>
                <c:formatCode>0.0%</c:formatCode>
                <c:ptCount val="5"/>
                <c:pt idx="0">
                  <c:v>#N/A</c:v>
                </c:pt>
                <c:pt idx="1">
                  <c:v>#N/A</c:v>
                </c:pt>
                <c:pt idx="2">
                  <c:v>#N/A</c:v>
                </c:pt>
                <c:pt idx="3">
                  <c:v>0</c:v>
                </c:pt>
                <c:pt idx="4">
                  <c:v>0</c:v>
                </c:pt>
              </c:numCache>
            </c:numRef>
          </c:val>
          <c:smooth val="0"/>
          <c:extLst>
            <c:ext xmlns:c16="http://schemas.microsoft.com/office/drawing/2014/chart" uri="{C3380CC4-5D6E-409C-BE32-E72D297353CC}">
              <c16:uniqueId val="{00000016-EE4C-4845-BF79-E3A3E4A956A9}"/>
            </c:ext>
          </c:extLst>
        </c:ser>
        <c:ser>
          <c:idx val="4"/>
          <c:order val="22"/>
          <c:tx>
            <c:strRef>
              <c:f>'Child Protection Plans'!$AL$63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2015-16</c:v>
                </c:pt>
                <c:pt idx="1">
                  <c:v>2016-17</c:v>
                </c:pt>
                <c:pt idx="2">
                  <c:v>2017-18</c:v>
                </c:pt>
                <c:pt idx="3">
                  <c:v>2018-19</c:v>
                </c:pt>
                <c:pt idx="4">
                  <c:v>2019-20</c:v>
                </c:pt>
              </c:strCache>
            </c:strRef>
          </c:cat>
          <c:val>
            <c:numRef>
              <c:f>'Child Protection Plans'!$AS$63:$AW$63</c:f>
              <c:numCache>
                <c:formatCode>0.0%</c:formatCode>
                <c:ptCount val="5"/>
                <c:pt idx="0">
                  <c:v>#N/A</c:v>
                </c:pt>
                <c:pt idx="1">
                  <c:v>#N/A</c:v>
                </c:pt>
                <c:pt idx="2">
                  <c:v>#N/A</c:v>
                </c:pt>
                <c:pt idx="3">
                  <c:v>2.8360049321824909E-2</c:v>
                </c:pt>
                <c:pt idx="4">
                  <c:v>2.4660912453760789E-2</c:v>
                </c:pt>
              </c:numCache>
            </c:numRef>
          </c:val>
          <c:smooth val="0"/>
          <c:extLst>
            <c:ext xmlns:c16="http://schemas.microsoft.com/office/drawing/2014/chart" uri="{C3380CC4-5D6E-409C-BE32-E72D297353CC}">
              <c16:uniqueId val="{00000017-EE4C-4845-BF79-E3A3E4A956A9}"/>
            </c:ext>
          </c:extLst>
        </c:ser>
        <c:ser>
          <c:idx val="14"/>
          <c:order val="23"/>
          <c:tx>
            <c:strRef>
              <c:f>'Child Protection Plans'!$AL$64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2015-16</c:v>
                </c:pt>
                <c:pt idx="1">
                  <c:v>2016-17</c:v>
                </c:pt>
                <c:pt idx="2">
                  <c:v>2017-18</c:v>
                </c:pt>
                <c:pt idx="3">
                  <c:v>2018-19</c:v>
                </c:pt>
                <c:pt idx="4">
                  <c:v>2019-20</c:v>
                </c:pt>
              </c:strCache>
            </c:strRef>
          </c:cat>
          <c:val>
            <c:numRef>
              <c:f>'Child Protection Plans'!$AS$64:$AW$64</c:f>
              <c:numCache>
                <c:formatCode>0.0%</c:formatCode>
                <c:ptCount val="5"/>
                <c:pt idx="0">
                  <c:v>#N/A</c:v>
                </c:pt>
                <c:pt idx="1">
                  <c:v>#N/A</c:v>
                </c:pt>
                <c:pt idx="2">
                  <c:v>#N/A</c:v>
                </c:pt>
                <c:pt idx="3">
                  <c:v>2.1431305013394564E-2</c:v>
                </c:pt>
                <c:pt idx="4">
                  <c:v>2.1355076684139003E-2</c:v>
                </c:pt>
              </c:numCache>
            </c:numRef>
          </c:val>
          <c:smooth val="0"/>
          <c:extLst>
            <c:ext xmlns:c16="http://schemas.microsoft.com/office/drawing/2014/chart" uri="{C3380CC4-5D6E-409C-BE32-E72D297353CC}">
              <c16:uniqueId val="{00000018-EE4C-4845-BF79-E3A3E4A956A9}"/>
            </c:ext>
          </c:extLst>
        </c:ser>
        <c:ser>
          <c:idx val="6"/>
          <c:order val="24"/>
          <c:tx>
            <c:strRef>
              <c:f>'Child Protection Plans'!$AL$65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2015-16</c:v>
                </c:pt>
                <c:pt idx="1">
                  <c:v>2016-17</c:v>
                </c:pt>
                <c:pt idx="2">
                  <c:v>2017-18</c:v>
                </c:pt>
                <c:pt idx="3">
                  <c:v>2018-19</c:v>
                </c:pt>
                <c:pt idx="4">
                  <c:v>2019-20</c:v>
                </c:pt>
              </c:strCache>
            </c:strRef>
          </c:cat>
          <c:val>
            <c:numRef>
              <c:f>'Child Protection Plans'!$AS$65:$AW$65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EE4C-4845-BF79-E3A3E4A956A9}"/>
            </c:ext>
          </c:extLst>
        </c:ser>
        <c:dLbls>
          <c:showLegendKey val="0"/>
          <c:showVal val="0"/>
          <c:showCatName val="0"/>
          <c:showSerName val="0"/>
          <c:showPercent val="0"/>
          <c:showBubbleSize val="0"/>
        </c:dLbls>
        <c:marker val="1"/>
        <c:smooth val="0"/>
        <c:axId val="586770688"/>
        <c:axId val="586789248"/>
      </c:lineChart>
      <c:catAx>
        <c:axId val="586770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789248"/>
        <c:crosses val="autoZero"/>
        <c:auto val="1"/>
        <c:lblAlgn val="ctr"/>
        <c:lblOffset val="100"/>
        <c:tickLblSkip val="1"/>
        <c:tickMarkSkip val="1"/>
        <c:noMultiLvlLbl val="0"/>
      </c:catAx>
      <c:valAx>
        <c:axId val="5867892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770688"/>
        <c:crosses val="autoZero"/>
        <c:crossBetween val="between"/>
      </c:valAx>
      <c:spPr>
        <a:noFill/>
        <a:ln w="3175">
          <a:solidFill>
            <a:srgbClr val="000000"/>
          </a:solidFill>
          <a:prstDash val="solid"/>
        </a:ln>
      </c:spPr>
    </c:plotArea>
    <c:legend>
      <c:legendPos val="r"/>
      <c:layout>
        <c:manualLayout>
          <c:xMode val="edge"/>
          <c:yMode val="edge"/>
          <c:x val="0.67109092691214423"/>
          <c:y val="6.4741533950671629E-2"/>
          <c:w val="0.31211251343072949"/>
          <c:h val="0.935258466049328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 Protection Plans vs. IDACI</a:t>
            </a:r>
          </a:p>
        </c:rich>
      </c:tx>
      <c:layout>
        <c:manualLayout>
          <c:xMode val="edge"/>
          <c:yMode val="edge"/>
          <c:x val="0.2335517291107842"/>
          <c:y val="3.612586628918576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'Child Protection Plans'!$AR$38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7624-48D0-8DF4-2015AA6FF7BF}"/>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{E63A8D44-C612-41B1-83C3-DF7BC6F16C1B}</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7624-48D0-8DF4-2015AA6FF7BF}"/>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{CEEC9467-B702-4E31-9CCE-2CB018A1B72D}</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7624-48D0-8DF4-2015AA6FF7BF}"/>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{EB1E0C20-C0D8-4FED-8451-AF35ACB01AE1}</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7624-48D0-8DF4-2015AA6FF7BF}"/>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{E5C7D2D9-8F03-4A23-A2E5-0B5E0F5A8DC0}</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7624-48D0-8DF4-2015AA6FF7BF}"/>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{DBC7646B-80C7-4D4F-8193-826FE8A06655}</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7624-48D0-8DF4-2015AA6FF7BF}"/>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{CF697F58-4924-42AA-B92C-4D475FB6A135}</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7624-48D0-8DF4-2015AA6FF7BF}"/>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{8CA501B7-73B6-4EB0-88ED-C72FD9BE3B77}</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7624-48D0-8DF4-2015AA6FF7BF}"/>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{86D81F08-C9A6-47A6-813A-8A1C30165369}</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7624-48D0-8DF4-2015AA6FF7BF}"/>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{52F052A0-BB68-491F-9DDD-982F499201AF}</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7624-48D0-8DF4-2015AA6FF7BF}"/>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{DD778189-B72A-4D14-90D3-116D4F62AC59}</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7624-48D0-8DF4-2015AA6FF7BF}"/>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{543320C5-B724-4A59-B377-DDAE1A106484}</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7624-48D0-8DF4-2015AA6FF7BF}"/>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{A7A3567D-C5EA-4BB0-AE3A-896ED26168DA}</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7624-48D0-8DF4-2015AA6FF7BF}"/>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{826495BF-8F42-4FE5-845E-705D15AAD215}</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7624-48D0-8DF4-2015AA6FF7BF}"/>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{7099C7B4-81AC-46D6-9055-62D3B7F6900F}</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7624-48D0-8DF4-2015AA6FF7BF}"/>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{85201CA8-38E5-4B26-8387-052BB801190C}</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7624-48D0-8DF4-2015AA6FF7BF}"/>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{B901C720-3658-443D-B2F4-D5735245FAC8}</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7624-48D0-8DF4-2015AA6FF7BF}"/>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{2B333C06-A7F2-45DE-92F3-5E19C4F97903}</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7624-48D0-8DF4-2015AA6FF7BF}"/>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{2938398B-B704-431F-8CC4-B3AAA24B7D9F}</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7624-48D0-8DF4-2015AA6FF7BF}"/>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{9599F76A-5ED4-4325-9932-C2D3C2D369BC}</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7624-48D0-8DF4-2015AA6FF7BF}"/>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('Child Protection Plans'!$AR$41:$AR$53,'Child Protection Plans'!$AR$55:$AR$56,'Child Protection Plans'!$AR$59:$AR$62)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('Child Protection Plans'!$AQ$41:$AQ$53,'Child Protection Plans'!$AQ$55:$AQ$56,'Child Protection Plans'!$AQ$59:$AQ$62)</c:f>
              <c:numCache>
                <c:formatCode>0.0</c:formatCode>
                <c:ptCount val="19"/>
                <c:pt idx="0">
                  <c:v>42.95774647887324</c:v>
                </c:pt>
                <c:pt idx="1">
                  <c:v>66.600397614314119</c:v>
                </c:pt>
                <c:pt idx="2">
                  <c:v>45.743834526650758</c:v>
                </c:pt>
                <c:pt idx="3">
                  <c:v>50.423330197554094</c:v>
                </c:pt>
                <c:pt idx="4">
                  <c:v>32.993316918747801</c:v>
                </c:pt>
                <c:pt idx="5">
                  <c:v>51.012145748987855</c:v>
                </c:pt>
                <c:pt idx="6">
                  <c:v>38.7434554973822</c:v>
                </c:pt>
                <c:pt idx="7">
                  <c:v>71.230769230769226</c:v>
                </c:pt>
                <c:pt idx="8">
                  <c:v>19.186046511627907</c:v>
                </c:pt>
                <c:pt idx="9">
                  <c:v>37.166324435318273</c:v>
                </c:pt>
                <c:pt idx="10">
                  <c:v>46.347031963470322</c:v>
                </c:pt>
                <c:pt idx="11">
                  <c:v>60.54054054054054</c:v>
                </c:pt>
                <c:pt idx="12">
                  <c:v>69.837587006960561</c:v>
                </c:pt>
                <c:pt idx="13">
                  <c:v>77.192982456140356</c:v>
                </c:pt>
                <c:pt idx="14">
                  <c:v>25.966641394996209</c:v>
                </c:pt>
                <c:pt idx="15">
                  <c:v>29.775280898876403</c:v>
                </c:pt>
                <c:pt idx="16">
                  <c:v>46.337308347529813</c:v>
                </c:pt>
                <c:pt idx="17">
                  <c:v>37.752161383285298</c:v>
                </c:pt>
                <c:pt idx="18">
                  <c:v>35.148514851485146</c:v>
                </c:pt>
              </c:numCache>
            </c:numRef>
          </c:yVal>
          <c:smooth val="0"/>
          <c:extLst>
            <c:ext xmlns:c16="http://schemas.microsoft.com/office/drawing/2014/chart" uri="{C3380CC4-5D6E-409C-BE32-E72D297353CC}">
              <c16:uniqueId val="{00000014-7624-48D0-8DF4-2015AA6FF7BF}"/>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7624-48D0-8DF4-2015AA6FF7BF}"/>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{BA864FAD-7AC7-4270-9F9A-6D3D84EF4188}</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7624-48D0-8DF4-2015AA6FF7BF}"/>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{98A67020-5D49-467A-90BC-77CE598DF09F}</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7624-48D0-8DF4-2015AA6FF7BF}"/>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{7A6F46F1-9AAC-4B18-A01A-17DE77FB1B5C}</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7-7624-48D0-8DF4-2015AA6FF7BF}"/>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('Child Protection Plans'!$AR$54,'Child Protection Plans'!$AR$57:$AR$58)</c:f>
              <c:numCache>
                <c:formatCode>0.0</c:formatCode>
                <c:ptCount val="3"/>
                <c:pt idx="0">
                  <c:v>13.600000000000001</c:v>
                </c:pt>
                <c:pt idx="1">
                  <c:v>14.899999999999999</c:v>
                </c:pt>
                <c:pt idx="2">
                  <c:v>21.9</c:v>
                </c:pt>
              </c:numCache>
            </c:numRef>
          </c:xVal>
          <c:yVal>
            <c:numRef>
              <c:f>('Child Protection Plans'!$AQ$54,'Child Protection Plans'!$AQ$57:$AQ$58)</c:f>
              <c:numCache>
                <c:formatCode>0.0</c:formatCode>
                <c:ptCount val="3"/>
                <c:pt idx="0">
                  <c:v>25</c:v>
                </c:pt>
                <c:pt idx="1">
                  <c:v>33.531746031746032</c:v>
                </c:pt>
                <c:pt idx="2">
                  <c:v>75</c:v>
                </c:pt>
              </c:numCache>
            </c:numRef>
          </c:yVal>
          <c:smooth val="0"/>
          <c:extLst>
            <c:ext xmlns:c16="http://schemas.microsoft.com/office/drawing/2014/chart" uri="{C3380CC4-5D6E-409C-BE32-E72D297353CC}">
              <c16:uniqueId val="{00000018-7624-48D0-8DF4-2015AA6FF7BF}"/>
            </c:ext>
          </c:extLst>
        </c:ser>
        <c:ser>
          <c:idx val="1"/>
          <c:order val="2"/>
          <c:tx>
            <c:strRef>
              <c:f>'Child Protection Plans'!$AA$4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 Protection Plans'!$AR$65</c:f>
              <c:numCache>
                <c:formatCode>0.0</c:formatCode>
                <c:ptCount val="1"/>
                <c:pt idx="0">
                  <c:v>#N/A</c:v>
                </c:pt>
              </c:numCache>
            </c:numRef>
          </c:xVal>
          <c:yVal>
            <c:numRef>
              <c:f>'Child Protection Plans'!$AQ$65</c:f>
              <c:numCache>
                <c:formatCode>0.0</c:formatCode>
                <c:ptCount val="1"/>
                <c:pt idx="0">
                  <c:v>#N/A</c:v>
                </c:pt>
              </c:numCache>
            </c:numRef>
          </c:yVal>
          <c:smooth val="0"/>
          <c:extLst>
            <c:ext xmlns:c16="http://schemas.microsoft.com/office/drawing/2014/chart" uri="{C3380CC4-5D6E-409C-BE32-E72D297353CC}">
              <c16:uniqueId val="{00000019-7624-48D0-8DF4-2015AA6FF7BF}"/>
            </c:ext>
          </c:extLst>
        </c:ser>
        <c:ser>
          <c:idx val="4"/>
          <c:order val="3"/>
          <c:tx>
            <c:strRef>
              <c:f>'Child Protection Plans'!$B$32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'Child Protection Plans'!$S$32</c:f>
              <c:numCache>
                <c:formatCode>0.0</c:formatCode>
                <c:ptCount val="1"/>
                <c:pt idx="0">
                  <c:v>12.371268250968637</c:v>
                </c:pt>
              </c:numCache>
            </c:numRef>
          </c:xVal>
          <c:yVal>
            <c:numRef>
              <c:f>'Child Protection Plans'!$O$32</c:f>
              <c:numCache>
                <c:formatCode>0.0</c:formatCode>
                <c:ptCount val="1"/>
                <c:pt idx="0">
                  <c:v>41.184237253707089</c:v>
                </c:pt>
              </c:numCache>
            </c:numRef>
          </c:yVal>
          <c:smooth val="0"/>
          <c:extLst>
            <c:ext xmlns:c16="http://schemas.microsoft.com/office/drawing/2014/chart" uri="{C3380CC4-5D6E-409C-BE32-E72D297353CC}">
              <c16:uniqueId val="{0000001A-7624-48D0-8DF4-2015AA6FF7BF}"/>
            </c:ext>
          </c:extLst>
        </c:ser>
        <c:ser>
          <c:idx val="2"/>
          <c:order val="4"/>
          <c:tx>
            <c:strRef>
              <c:f>'Child Protection Plans'!$Y$43</c:f>
              <c:strCache>
                <c:ptCount val="1"/>
                <c:pt idx="0">
                  <c:v>National Trend 2020</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7624-48D0-8DF4-2015AA6FF7BF}"/>
                </c:ext>
              </c:extLst>
            </c:dLbl>
            <c:dLbl>
              <c:idx val="1"/>
              <c:layout>
                <c:manualLayout>
                  <c:x val="-5.8479532163742583E-2"/>
                  <c:y val="3.3182503770739065E-2"/>
                </c:manualLayout>
              </c:layout>
              <c:tx>
                <c:strRef>
                  <c:f>'Child Protection Plans'!$AD$43</c:f>
                  <c:strCache>
                    <c:ptCount val="1"/>
                    <c:pt idx="0">
                      <c:v>r² = 0.341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{C3FED0E1-7721-4AC4-8DF6-935ED248254F}</c15:txfldGUID>
                      <c15:f>'Child Protection Plans'!$AD$43</c15:f>
                      <c15:dlblFieldTableCache>
                        <c:ptCount val="1"/>
                        <c:pt idx="0">
                          <c:v>r² = 0.341</c:v>
                        </c:pt>
                      </c15:dlblFieldTableCache>
                    </c15:dlblFTEntry>
                  </c15:dlblFieldTable>
                  <c15:showDataLabelsRange val="0"/>
                </c:ext>
                <c:ext xmlns:c16="http://schemas.microsoft.com/office/drawing/2014/chart" uri="{C3380CC4-5D6E-409C-BE32-E72D297353CC}">
                  <c16:uniqueId val="{0000001C-7624-48D0-8DF4-2015AA6FF7BF}"/>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 Protection Plans'!$AB$43:$AB$44</c:f>
              <c:numCache>
                <c:formatCode>General</c:formatCode>
                <c:ptCount val="2"/>
                <c:pt idx="0" formatCode="#,##0.0">
                  <c:v>5</c:v>
                </c:pt>
                <c:pt idx="1">
                  <c:v>35</c:v>
                </c:pt>
              </c:numCache>
            </c:numRef>
          </c:xVal>
          <c:yVal>
            <c:numRef>
              <c:f>'Child Protection Plans'!$AC$43:$AC$44</c:f>
              <c:numCache>
                <c:formatCode>0.0</c:formatCode>
                <c:ptCount val="2"/>
                <c:pt idx="0">
                  <c:v>19.983539955408361</c:v>
                </c:pt>
                <c:pt idx="1">
                  <c:v>82.187944160168854</c:v>
                </c:pt>
              </c:numCache>
            </c:numRef>
          </c:yVal>
          <c:smooth val="0"/>
          <c:extLst>
            <c:ext xmlns:c16="http://schemas.microsoft.com/office/drawing/2014/chart" uri="{C3380CC4-5D6E-409C-BE32-E72D297353CC}">
              <c16:uniqueId val="{0000001D-7624-48D0-8DF4-2015AA6FF7BF}"/>
            </c:ext>
          </c:extLst>
        </c:ser>
        <c:ser>
          <c:idx val="5"/>
          <c:order val="5"/>
          <c:tx>
            <c:strRef>
              <c:f>'Child Protection Plans'!$Y$41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7624-48D0-8DF4-2015AA6FF7BF}"/>
                </c:ext>
              </c:extLst>
            </c:dLbl>
            <c:dLbl>
              <c:idx val="1"/>
              <c:layout>
                <c:manualLayout>
                  <c:x val="-5.5555555555555448E-2"/>
                  <c:y val="-3.0165912518853696E-2"/>
                </c:manualLayout>
              </c:layout>
              <c:tx>
                <c:strRef>
                  <c:f>'Child Protection Plans'!$AD$42</c:f>
                  <c:strCache>
                    <c:ptCount val="1"/>
                    <c:pt idx="0">
                      <c:v>r² = 0.385</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{7F5246C0-0B95-4A4A-B112-85157A5863BB}</c15:txfldGUID>
                      <c15:f>'Child Protection Plans'!$AD$42</c15:f>
                      <c15:dlblFieldTableCache>
                        <c:ptCount val="1"/>
                        <c:pt idx="0">
                          <c:v>r² = 0.385</c:v>
                        </c:pt>
                      </c15:dlblFieldTableCache>
                    </c15:dlblFTEntry>
                  </c15:dlblFieldTable>
                  <c15:showDataLabelsRange val="0"/>
                </c:ext>
                <c:ext xmlns:c16="http://schemas.microsoft.com/office/drawing/2014/chart" uri="{C3380CC4-5D6E-409C-BE32-E72D297353CC}">
                  <c16:uniqueId val="{0000001F-7624-48D0-8DF4-2015AA6FF7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 Protection Plans'!$AB$41:$AB$42</c:f>
              <c:numCache>
                <c:formatCode>General</c:formatCode>
                <c:ptCount val="2"/>
                <c:pt idx="0" formatCode="#,##0.0">
                  <c:v>5</c:v>
                </c:pt>
                <c:pt idx="1">
                  <c:v>35</c:v>
                </c:pt>
              </c:numCache>
            </c:numRef>
          </c:xVal>
          <c:yVal>
            <c:numRef>
              <c:f>'Child Protection Plans'!$AC$41:$AC$42</c:f>
              <c:numCache>
                <c:formatCode>0.0</c:formatCode>
                <c:ptCount val="2"/>
                <c:pt idx="0">
                  <c:v>29.324258201733365</c:v>
                </c:pt>
                <c:pt idx="1">
                  <c:v>93.430094610581449</c:v>
                </c:pt>
              </c:numCache>
            </c:numRef>
          </c:yVal>
          <c:smooth val="0"/>
          <c:extLst>
            <c:ext xmlns:c16="http://schemas.microsoft.com/office/drawing/2014/chart" uri="{C3380CC4-5D6E-409C-BE32-E72D297353CC}">
              <c16:uniqueId val="{00000020-7624-48D0-8DF4-2015AA6FF7BF}"/>
            </c:ext>
          </c:extLst>
        </c:ser>
        <c:dLbls>
          <c:showLegendKey val="0"/>
          <c:showVal val="0"/>
          <c:showCatName val="0"/>
          <c:showSerName val="0"/>
          <c:showPercent val="0"/>
          <c:showBubbleSize val="0"/>
        </c:dLbls>
        <c:axId val="587147520"/>
        <c:axId val="587157888"/>
      </c:scatterChart>
      <c:valAx>
        <c:axId val="587147520"/>
        <c:scaling>
          <c:orientation val="minMax"/>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157888"/>
        <c:crosses val="autoZero"/>
        <c:crossBetween val="midCat"/>
        <c:majorUnit val="5"/>
      </c:valAx>
      <c:valAx>
        <c:axId val="58715788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 Protection Plans per 10,000 0-17 year olds</a:t>
                </a:r>
              </a:p>
            </c:rich>
          </c:tx>
          <c:layout>
            <c:manualLayout>
              <c:xMode val="edge"/>
              <c:yMode val="edge"/>
              <c:x val="5.1878053704825358E-2"/>
              <c:y val="0.1402947889940723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14752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EH Referrals which were Re-referrals</a:t>
            </a:r>
            <a:endParaRPr lang="en-GB" baseline="0"/>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4928472923935354"/>
          <c:y val="3.8613923259592556E-3"/>
        </c:manualLayout>
      </c:layout>
      <c:overlay val="0"/>
      <c:spPr>
        <a:noFill/>
        <a:ln w="25400">
          <a:noFill/>
        </a:ln>
      </c:spPr>
    </c:title>
    <c:autoTitleDeleted val="0"/>
    <c:plotArea>
      <c:layout>
        <c:manualLayout>
          <c:layoutTarget val="inner"/>
          <c:xMode val="edge"/>
          <c:yMode val="edge"/>
          <c:x val="0.10512338500060374"/>
          <c:y val="0.22818385506689712"/>
          <c:w val="0.63239900097233603"/>
          <c:h val="0.51784026996625421"/>
        </c:manualLayout>
      </c:layout>
      <c:barChart>
        <c:barDir val="col"/>
        <c:grouping val="clustered"/>
        <c:varyColors val="0"/>
        <c:ser>
          <c:idx val="4"/>
          <c:order val="0"/>
          <c:tx>
            <c:strRef>
              <c:f>EH_Referrals!$B$98</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EH_Referrals!$Z$2:$AD$3</c:f>
              <c:strCache>
                <c:ptCount val="5"/>
                <c:pt idx="0">
                  <c:v>2015-16</c:v>
                </c:pt>
                <c:pt idx="1">
                  <c:v>2016-17</c:v>
                </c:pt>
                <c:pt idx="2">
                  <c:v>2017-18</c:v>
                </c:pt>
                <c:pt idx="3">
                  <c:v>2018-19</c:v>
                </c:pt>
                <c:pt idx="4">
                  <c:v>2019-20</c:v>
                </c:pt>
              </c:strCache>
            </c:strRef>
          </c:cat>
          <c:val>
            <c:numRef>
              <c:f>EH_Referrals!$D$133:$H$133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5FC5-402A-AB82-33F868473377}"/>
            </c:ext>
          </c:extLst>
        </c:ser>
        <c:ser>
          <c:idx val="6"/>
          <c:order val="1"/>
          <c:tx>
            <c:strRef>
              <c:f>EH_Referrals!$Z$4</c:f>
              <c:strCache>
                <c:ptCount val="1"/>
                <c:pt idx="0">
                  <c:v>Selected LA- (none)</c:v>
                </c:pt>
              </c:strCache>
            </c:strRef>
          </c:tx>
          <c:spPr>
            <a:solidFill>
              <a:srgbClr val="66FF99"/>
            </a:solidFill>
            <a:ln>
              <a:solidFill>
                <a:schemeClr val="tx1">
                  <a:lumMod val="75000"/>
                  <a:lumOff val="25000"/>
                </a:schemeClr>
              </a:solidFill>
            </a:ln>
          </c:spPr>
          <c:invertIfNegative val="0"/>
          <c:cat>
            <c:strRef>
              <c:f>EH_Referrals!$Z$2:$AD$3</c:f>
              <c:strCache>
                <c:ptCount val="5"/>
                <c:pt idx="0">
                  <c:v>2015-16</c:v>
                </c:pt>
                <c:pt idx="1">
                  <c:v>2016-17</c:v>
                </c:pt>
                <c:pt idx="2">
                  <c:v>2017-18</c:v>
                </c:pt>
                <c:pt idx="3">
                  <c:v>2018-19</c:v>
                </c:pt>
                <c:pt idx="4">
                  <c:v>2019-20</c:v>
                </c:pt>
              </c:strCache>
            </c:strRef>
          </c:cat>
          <c:val>
            <c:numRef>
              <c:f>EH_Referrals!$AY$63:$BC$63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5FC5-402A-AB82-33F868473377}"/>
            </c:ext>
          </c:extLst>
        </c:ser>
        <c:dLbls>
          <c:showLegendKey val="0"/>
          <c:showVal val="0"/>
          <c:showCatName val="0"/>
          <c:showSerName val="0"/>
          <c:showPercent val="0"/>
          <c:showBubbleSize val="0"/>
        </c:dLbls>
        <c:gapWidth val="150"/>
        <c:axId val="510470016"/>
        <c:axId val="510471552"/>
      </c:barChart>
      <c:catAx>
        <c:axId val="510470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0471552"/>
        <c:crosses val="autoZero"/>
        <c:auto val="1"/>
        <c:lblAlgn val="ctr"/>
        <c:lblOffset val="100"/>
        <c:noMultiLvlLbl val="0"/>
      </c:catAx>
      <c:valAx>
        <c:axId val="51047155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0470016"/>
        <c:crosses val="autoZero"/>
        <c:crossBetween val="between"/>
      </c:valAx>
      <c:spPr>
        <a:noFill/>
        <a:ln w="3175">
          <a:solidFill>
            <a:srgbClr val="000000"/>
          </a:solidFill>
          <a:prstDash val="solid"/>
        </a:ln>
      </c:spPr>
    </c:plotArea>
    <c:legend>
      <c:legendPos val="r"/>
      <c:layout>
        <c:manualLayout>
          <c:xMode val="edge"/>
          <c:yMode val="edge"/>
          <c:x val="0.76495573646514525"/>
          <c:y val="0.25645938488458175"/>
          <c:w val="0.23504426353485472"/>
          <c:h val="0.542204724409448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per 10,000 0-17 year olds</a:t>
            </a:r>
          </a:p>
        </c:rich>
      </c:tx>
      <c:layout>
        <c:manualLayout>
          <c:xMode val="edge"/>
          <c:yMode val="edge"/>
          <c:x val="0.11894728783902012"/>
          <c:y val="1.2589354296580521E-2"/>
        </c:manualLayout>
      </c:layout>
      <c:overlay val="0"/>
      <c:spPr>
        <a:noFill/>
        <a:ln w="25400">
          <a:noFill/>
        </a:ln>
      </c:spPr>
    </c:title>
    <c:autoTitleDeleted val="0"/>
    <c:plotArea>
      <c:layout>
        <c:manualLayout>
          <c:layoutTarget val="inner"/>
          <c:xMode val="edge"/>
          <c:yMode val="edge"/>
          <c:x val="7.1224466506904033E-2"/>
          <c:y val="7.5616446156444389E-2"/>
          <c:w val="0.57508230927201043"/>
          <c:h val="0.86466476534538173"/>
        </c:manualLayout>
      </c:layout>
      <c:lineChart>
        <c:grouping val="standard"/>
        <c:varyColors val="0"/>
        <c:ser>
          <c:idx val="0"/>
          <c:order val="0"/>
          <c:tx>
            <c:strRef>
              <c:f>'Court Applications'!$AL$41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2C2-4CA4-9206-304059AB5BAE}"/>
              </c:ext>
            </c:extLst>
          </c:dPt>
          <c:cat>
            <c:strRef>
              <c:f>'Court Applications'!$Z$2:$AD$3</c:f>
              <c:strCache>
                <c:ptCount val="5"/>
                <c:pt idx="0">
                  <c:v>2015-16</c:v>
                </c:pt>
                <c:pt idx="1">
                  <c:v>2016-17</c:v>
                </c:pt>
                <c:pt idx="2">
                  <c:v>2017-18</c:v>
                </c:pt>
                <c:pt idx="3">
                  <c:v>2018-19</c:v>
                </c:pt>
                <c:pt idx="4">
                  <c:v>2019-20</c:v>
                </c:pt>
              </c:strCache>
            </c:strRef>
          </c:cat>
          <c:val>
            <c:numRef>
              <c:f>'Court Applications'!$AM$41:$AQ$41</c:f>
              <c:numCache>
                <c:formatCode>0.0</c:formatCode>
                <c:ptCount val="5"/>
                <c:pt idx="0">
                  <c:v>12.411347517730498</c:v>
                </c:pt>
                <c:pt idx="1">
                  <c:v>12.411347517730498</c:v>
                </c:pt>
                <c:pt idx="2">
                  <c:v>19.572953736654803</c:v>
                </c:pt>
                <c:pt idx="3">
                  <c:v>14.840989399293287</c:v>
                </c:pt>
                <c:pt idx="4">
                  <c:v>10.211267605633804</c:v>
                </c:pt>
              </c:numCache>
            </c:numRef>
          </c:val>
          <c:smooth val="0"/>
          <c:extLst>
            <c:ext xmlns:c16="http://schemas.microsoft.com/office/drawing/2014/chart" uri="{C3380CC4-5D6E-409C-BE32-E72D297353CC}">
              <c16:uniqueId val="{00000001-D2C2-4CA4-9206-304059AB5BAE}"/>
            </c:ext>
          </c:extLst>
        </c:ser>
        <c:ser>
          <c:idx val="1"/>
          <c:order val="1"/>
          <c:tx>
            <c:strRef>
              <c:f>'Court Applications'!$AL$42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Applications'!$AM$42:$AQ$42</c:f>
              <c:numCache>
                <c:formatCode>0.0</c:formatCode>
                <c:ptCount val="5"/>
                <c:pt idx="0">
                  <c:v>19.3359375</c:v>
                </c:pt>
                <c:pt idx="1">
                  <c:v>20.2729044834308</c:v>
                </c:pt>
                <c:pt idx="2">
                  <c:v>15.098039215686274</c:v>
                </c:pt>
                <c:pt idx="3">
                  <c:v>11.96078431372549</c:v>
                </c:pt>
                <c:pt idx="4">
                  <c:v>15.705765407554672</c:v>
                </c:pt>
              </c:numCache>
            </c:numRef>
          </c:val>
          <c:smooth val="0"/>
          <c:extLst>
            <c:ext xmlns:c16="http://schemas.microsoft.com/office/drawing/2014/chart" uri="{C3380CC4-5D6E-409C-BE32-E72D297353CC}">
              <c16:uniqueId val="{00000002-D2C2-4CA4-9206-304059AB5BAE}"/>
            </c:ext>
          </c:extLst>
        </c:ser>
        <c:ser>
          <c:idx val="2"/>
          <c:order val="2"/>
          <c:tx>
            <c:strRef>
              <c:f>'Court Applications'!$AL$43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Applications'!$AM$43:$AQ$43</c:f>
              <c:numCache>
                <c:formatCode>0.0</c:formatCode>
                <c:ptCount val="5"/>
                <c:pt idx="0">
                  <c:v>9.9502487562189046</c:v>
                </c:pt>
                <c:pt idx="1">
                  <c:v>8.3469721767594116</c:v>
                </c:pt>
                <c:pt idx="2">
                  <c:v>7.0674248578391552</c:v>
                </c:pt>
                <c:pt idx="3">
                  <c:v>8.3668543845534984</c:v>
                </c:pt>
                <c:pt idx="4">
                  <c:v>7.1599045346062056</c:v>
                </c:pt>
              </c:numCache>
            </c:numRef>
          </c:val>
          <c:smooth val="0"/>
          <c:extLst>
            <c:ext xmlns:c16="http://schemas.microsoft.com/office/drawing/2014/chart" uri="{C3380CC4-5D6E-409C-BE32-E72D297353CC}">
              <c16:uniqueId val="{00000003-D2C2-4CA4-9206-304059AB5BAE}"/>
            </c:ext>
          </c:extLst>
        </c:ser>
        <c:ser>
          <c:idx val="5"/>
          <c:order val="3"/>
          <c:tx>
            <c:strRef>
              <c:f>'Court Applications'!$AL$44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Applications'!$AM$44:$AQ$44</c:f>
              <c:numCache>
                <c:formatCode>0.0</c:formatCode>
                <c:ptCount val="5"/>
                <c:pt idx="0">
                  <c:v>7.7431539187913128</c:v>
                </c:pt>
                <c:pt idx="1">
                  <c:v>9.3484419263456093</c:v>
                </c:pt>
                <c:pt idx="2">
                  <c:v>8.4905660377358494</c:v>
                </c:pt>
                <c:pt idx="3">
                  <c:v>7.7067669172932334</c:v>
                </c:pt>
                <c:pt idx="4">
                  <c:v>6.4910630291627474</c:v>
                </c:pt>
              </c:numCache>
            </c:numRef>
          </c:val>
          <c:smooth val="0"/>
          <c:extLst>
            <c:ext xmlns:c16="http://schemas.microsoft.com/office/drawing/2014/chart" uri="{C3380CC4-5D6E-409C-BE32-E72D297353CC}">
              <c16:uniqueId val="{00000004-D2C2-4CA4-9206-304059AB5BAE}"/>
            </c:ext>
          </c:extLst>
        </c:ser>
        <c:ser>
          <c:idx val="9"/>
          <c:order val="4"/>
          <c:tx>
            <c:strRef>
              <c:f>'Court Applications'!$AL$45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Applications'!$AM$45:$AQ$45</c:f>
              <c:numCache>
                <c:formatCode>0.0</c:formatCode>
                <c:ptCount val="5"/>
                <c:pt idx="0">
                  <c:v>6.8818730046115641</c:v>
                </c:pt>
                <c:pt idx="1">
                  <c:v>8.026874115983027</c:v>
                </c:pt>
                <c:pt idx="2">
                  <c:v>9.1422520296505478</c:v>
                </c:pt>
                <c:pt idx="3">
                  <c:v>9.295774647887324</c:v>
                </c:pt>
                <c:pt idx="4">
                  <c:v>7.2458670418571929</c:v>
                </c:pt>
              </c:numCache>
            </c:numRef>
          </c:val>
          <c:smooth val="0"/>
          <c:extLst>
            <c:ext xmlns:c16="http://schemas.microsoft.com/office/drawing/2014/chart" uri="{C3380CC4-5D6E-409C-BE32-E72D297353CC}">
              <c16:uniqueId val="{00000005-D2C2-4CA4-9206-304059AB5BAE}"/>
            </c:ext>
          </c:extLst>
        </c:ser>
        <c:ser>
          <c:idx val="10"/>
          <c:order val="5"/>
          <c:tx>
            <c:strRef>
              <c:f>'Court Applications'!$AL$46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Applications'!$AM$46:$AQ$46</c:f>
              <c:numCache>
                <c:formatCode>0.0</c:formatCode>
                <c:ptCount val="5"/>
                <c:pt idx="0">
                  <c:v>12.648221343873518</c:v>
                </c:pt>
                <c:pt idx="1">
                  <c:v>17.063492063492063</c:v>
                </c:pt>
                <c:pt idx="2">
                  <c:v>16.334661354581673</c:v>
                </c:pt>
                <c:pt idx="3">
                  <c:v>16.064257028112451</c:v>
                </c:pt>
                <c:pt idx="4">
                  <c:v>10.526315789473683</c:v>
                </c:pt>
              </c:numCache>
            </c:numRef>
          </c:val>
          <c:smooth val="0"/>
          <c:extLst>
            <c:ext xmlns:c16="http://schemas.microsoft.com/office/drawing/2014/chart" uri="{C3380CC4-5D6E-409C-BE32-E72D297353CC}">
              <c16:uniqueId val="{00000006-D2C2-4CA4-9206-304059AB5BAE}"/>
            </c:ext>
          </c:extLst>
        </c:ser>
        <c:ser>
          <c:idx val="11"/>
          <c:order val="6"/>
          <c:tx>
            <c:strRef>
              <c:f>'Court Applications'!$AL$47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Applications'!$AM$47:$AQ$47</c:f>
              <c:numCache>
                <c:formatCode>0.0</c:formatCode>
                <c:ptCount val="5"/>
                <c:pt idx="0">
                  <c:v>7.8692493946731235</c:v>
                </c:pt>
                <c:pt idx="1">
                  <c:v>9.1591591591591595</c:v>
                </c:pt>
                <c:pt idx="2">
                  <c:v>8.8069027075275219</c:v>
                </c:pt>
                <c:pt idx="3">
                  <c:v>7.0567480152896209</c:v>
                </c:pt>
                <c:pt idx="4">
                  <c:v>7.8534031413612571</c:v>
                </c:pt>
              </c:numCache>
            </c:numRef>
          </c:val>
          <c:smooth val="0"/>
          <c:extLst>
            <c:ext xmlns:c16="http://schemas.microsoft.com/office/drawing/2014/chart" uri="{C3380CC4-5D6E-409C-BE32-E72D297353CC}">
              <c16:uniqueId val="{00000007-D2C2-4CA4-9206-304059AB5BAE}"/>
            </c:ext>
          </c:extLst>
        </c:ser>
        <c:ser>
          <c:idx val="12"/>
          <c:order val="7"/>
          <c:tx>
            <c:strRef>
              <c:f>'Court Applications'!$AL$48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Applications'!$AM$48:$AQ$48</c:f>
              <c:numCache>
                <c:formatCode>0.0</c:formatCode>
                <c:ptCount val="5"/>
                <c:pt idx="0">
                  <c:v>22.468354430379748</c:v>
                </c:pt>
                <c:pt idx="1">
                  <c:v>9.2621664050235477</c:v>
                </c:pt>
                <c:pt idx="2">
                  <c:v>13.145539906103286</c:v>
                </c:pt>
                <c:pt idx="3">
                  <c:v>11.180124223602483</c:v>
                </c:pt>
                <c:pt idx="4">
                  <c:v>14.461538461538462</c:v>
                </c:pt>
              </c:numCache>
            </c:numRef>
          </c:val>
          <c:smooth val="0"/>
          <c:extLst>
            <c:ext xmlns:c16="http://schemas.microsoft.com/office/drawing/2014/chart" uri="{C3380CC4-5D6E-409C-BE32-E72D297353CC}">
              <c16:uniqueId val="{00000008-D2C2-4CA4-9206-304059AB5BAE}"/>
            </c:ext>
          </c:extLst>
        </c:ser>
        <c:ser>
          <c:idx val="13"/>
          <c:order val="8"/>
          <c:tx>
            <c:strRef>
              <c:f>'Court Applications'!$AL$49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Applications'!$AM$49:$AQ$49</c:f>
              <c:numCache>
                <c:formatCode>0.0</c:formatCode>
                <c:ptCount val="5"/>
                <c:pt idx="0">
                  <c:v>9.2284417549167923</c:v>
                </c:pt>
                <c:pt idx="1">
                  <c:v>12.220566318926975</c:v>
                </c:pt>
                <c:pt idx="2">
                  <c:v>8.7278106508875748</c:v>
                </c:pt>
                <c:pt idx="3">
                  <c:v>10.395314787701318</c:v>
                </c:pt>
                <c:pt idx="4">
                  <c:v>10.174418604651162</c:v>
                </c:pt>
              </c:numCache>
            </c:numRef>
          </c:val>
          <c:smooth val="0"/>
          <c:extLst>
            <c:ext xmlns:c16="http://schemas.microsoft.com/office/drawing/2014/chart" uri="{C3380CC4-5D6E-409C-BE32-E72D297353CC}">
              <c16:uniqueId val="{00000009-D2C2-4CA4-9206-304059AB5BAE}"/>
            </c:ext>
          </c:extLst>
        </c:ser>
        <c:ser>
          <c:idx val="15"/>
          <c:order val="9"/>
          <c:tx>
            <c:strRef>
              <c:f>'Court Applications'!$AL$50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Applications'!$AM$50:$AQ$50</c:f>
              <c:numCache>
                <c:formatCode>0.0</c:formatCode>
                <c:ptCount val="5"/>
                <c:pt idx="0">
                  <c:v>10.860366713681241</c:v>
                </c:pt>
                <c:pt idx="1">
                  <c:v>11.126662001399581</c:v>
                </c:pt>
                <c:pt idx="2">
                  <c:v>9.4142259414225933</c:v>
                </c:pt>
                <c:pt idx="3">
                  <c:v>10.911602209944752</c:v>
                </c:pt>
                <c:pt idx="4">
                  <c:v>10.061601642710471</c:v>
                </c:pt>
              </c:numCache>
            </c:numRef>
          </c:val>
          <c:smooth val="0"/>
          <c:extLst>
            <c:ext xmlns:c16="http://schemas.microsoft.com/office/drawing/2014/chart" uri="{C3380CC4-5D6E-409C-BE32-E72D297353CC}">
              <c16:uniqueId val="{0000000A-D2C2-4CA4-9206-304059AB5BAE}"/>
            </c:ext>
          </c:extLst>
        </c:ser>
        <c:ser>
          <c:idx val="16"/>
          <c:order val="10"/>
          <c:tx>
            <c:strRef>
              <c:f>'Court Applications'!$AL$51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Applications'!$AM$51:$AQ$51</c:f>
              <c:numCache>
                <c:formatCode>0.0</c:formatCode>
                <c:ptCount val="5"/>
                <c:pt idx="0">
                  <c:v>10.273972602739725</c:v>
                </c:pt>
                <c:pt idx="1">
                  <c:v>10.90909090909091</c:v>
                </c:pt>
                <c:pt idx="2">
                  <c:v>16.5158371040724</c:v>
                </c:pt>
                <c:pt idx="3">
                  <c:v>15.454545454545453</c:v>
                </c:pt>
                <c:pt idx="4">
                  <c:v>14.155251141552512</c:v>
                </c:pt>
              </c:numCache>
            </c:numRef>
          </c:val>
          <c:smooth val="0"/>
          <c:extLst>
            <c:ext xmlns:c16="http://schemas.microsoft.com/office/drawing/2014/chart" uri="{C3380CC4-5D6E-409C-BE32-E72D297353CC}">
              <c16:uniqueId val="{0000000B-D2C2-4CA4-9206-304059AB5BAE}"/>
            </c:ext>
          </c:extLst>
        </c:ser>
        <c:ser>
          <c:idx val="17"/>
          <c:order val="11"/>
          <c:tx>
            <c:strRef>
              <c:f>'Court Applications'!$AL$52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Applications'!$AM$52:$AQ$52</c:f>
              <c:numCache>
                <c:formatCode>0.0</c:formatCode>
                <c:ptCount val="5"/>
                <c:pt idx="0">
                  <c:v>18.406593406593409</c:v>
                </c:pt>
                <c:pt idx="1">
                  <c:v>21.311475409836067</c:v>
                </c:pt>
                <c:pt idx="2">
                  <c:v>16.981132075471699</c:v>
                </c:pt>
                <c:pt idx="3">
                  <c:v>19.676549865229113</c:v>
                </c:pt>
                <c:pt idx="4">
                  <c:v>13.513513513513514</c:v>
                </c:pt>
              </c:numCache>
            </c:numRef>
          </c:val>
          <c:smooth val="0"/>
          <c:extLst>
            <c:ext xmlns:c16="http://schemas.microsoft.com/office/drawing/2014/chart" uri="{C3380CC4-5D6E-409C-BE32-E72D297353CC}">
              <c16:uniqueId val="{0000000C-D2C2-4CA4-9206-304059AB5BAE}"/>
            </c:ext>
          </c:extLst>
        </c:ser>
        <c:ser>
          <c:idx val="19"/>
          <c:order val="12"/>
          <c:tx>
            <c:strRef>
              <c:f>'Court Applications'!$AL$53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Applications'!$AM$53:$AQ$53</c:f>
              <c:numCache>
                <c:formatCode>0.0</c:formatCode>
                <c:ptCount val="5"/>
                <c:pt idx="0">
                  <c:v>14.039408866995075</c:v>
                </c:pt>
                <c:pt idx="1">
                  <c:v>12.560386473429951</c:v>
                </c:pt>
                <c:pt idx="2">
                  <c:v>13.507109004739338</c:v>
                </c:pt>
                <c:pt idx="3">
                  <c:v>12.646370023419204</c:v>
                </c:pt>
                <c:pt idx="4">
                  <c:v>11.600928074245939</c:v>
                </c:pt>
              </c:numCache>
            </c:numRef>
          </c:val>
          <c:smooth val="0"/>
          <c:extLst>
            <c:ext xmlns:c16="http://schemas.microsoft.com/office/drawing/2014/chart" uri="{C3380CC4-5D6E-409C-BE32-E72D297353CC}">
              <c16:uniqueId val="{0000000D-D2C2-4CA4-9206-304059AB5BAE}"/>
            </c:ext>
          </c:extLst>
        </c:ser>
        <c:ser>
          <c:idx val="3"/>
          <c:order val="13"/>
          <c:tx>
            <c:strRef>
              <c:f>'Court Applications'!$AL$54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Applications'!$AM$54:$AQ$54</c:f>
              <c:numCache>
                <c:formatCode>0.0</c:formatCode>
                <c:ptCount val="5"/>
                <c:pt idx="0">
                  <c:v>13.644688644688646</c:v>
                </c:pt>
                <c:pt idx="1">
                  <c:v>13.309024612579764</c:v>
                </c:pt>
                <c:pt idx="2">
                  <c:v>11.989100817438691</c:v>
                </c:pt>
                <c:pt idx="3">
                  <c:v>10.659439927732612</c:v>
                </c:pt>
                <c:pt idx="4">
                  <c:v>10.251798561151078</c:v>
                </c:pt>
              </c:numCache>
            </c:numRef>
          </c:val>
          <c:smooth val="0"/>
          <c:extLst>
            <c:ext xmlns:c16="http://schemas.microsoft.com/office/drawing/2014/chart" uri="{C3380CC4-5D6E-409C-BE32-E72D297353CC}">
              <c16:uniqueId val="{0000000E-D2C2-4CA4-9206-304059AB5BAE}"/>
            </c:ext>
          </c:extLst>
        </c:ser>
        <c:ser>
          <c:idx val="20"/>
          <c:order val="14"/>
          <c:tx>
            <c:strRef>
              <c:f>'Court Applications'!$AL$55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Applications'!$AM$55:$AQ$55</c:f>
              <c:numCache>
                <c:formatCode>0.0</c:formatCode>
                <c:ptCount val="5"/>
                <c:pt idx="0">
                  <c:v>18.902439024390244</c:v>
                </c:pt>
                <c:pt idx="1">
                  <c:v>17.434869739478959</c:v>
                </c:pt>
                <c:pt idx="2">
                  <c:v>17.892644135188867</c:v>
                </c:pt>
                <c:pt idx="3">
                  <c:v>15.748031496062993</c:v>
                </c:pt>
                <c:pt idx="4">
                  <c:v>19.688109161793374</c:v>
                </c:pt>
              </c:numCache>
            </c:numRef>
          </c:val>
          <c:smooth val="0"/>
          <c:extLst>
            <c:ext xmlns:c16="http://schemas.microsoft.com/office/drawing/2014/chart" uri="{C3380CC4-5D6E-409C-BE32-E72D297353CC}">
              <c16:uniqueId val="{0000000F-D2C2-4CA4-9206-304059AB5BAE}"/>
            </c:ext>
          </c:extLst>
        </c:ser>
        <c:ser>
          <c:idx val="22"/>
          <c:order val="15"/>
          <c:tx>
            <c:strRef>
              <c:f>'Court Applications'!$AL$56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Applications'!$AM$56:$AQ$56</c:f>
              <c:numCache>
                <c:formatCode>0.0</c:formatCode>
                <c:ptCount val="5"/>
                <c:pt idx="0">
                  <c:v>5.4992199687987515</c:v>
                </c:pt>
                <c:pt idx="1">
                  <c:v>6.9498069498069492</c:v>
                </c:pt>
                <c:pt idx="2">
                  <c:v>7.8755282366500197</c:v>
                </c:pt>
                <c:pt idx="3">
                  <c:v>7.5219549446353575</c:v>
                </c:pt>
                <c:pt idx="4">
                  <c:v>5.6103108415466263</c:v>
                </c:pt>
              </c:numCache>
            </c:numRef>
          </c:val>
          <c:smooth val="0"/>
          <c:extLst>
            <c:ext xmlns:c16="http://schemas.microsoft.com/office/drawing/2014/chart" uri="{C3380CC4-5D6E-409C-BE32-E72D297353CC}">
              <c16:uniqueId val="{00000010-D2C2-4CA4-9206-304059AB5BAE}"/>
            </c:ext>
          </c:extLst>
        </c:ser>
        <c:ser>
          <c:idx val="7"/>
          <c:order val="16"/>
          <c:tx>
            <c:strRef>
              <c:f>'Court Applications'!$AL$57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'Court Applications'!$Z$2:$AD$3</c:f>
              <c:strCache>
                <c:ptCount val="5"/>
                <c:pt idx="0">
                  <c:v>2015-16</c:v>
                </c:pt>
                <c:pt idx="1">
                  <c:v>2016-17</c:v>
                </c:pt>
                <c:pt idx="2">
                  <c:v>2017-18</c:v>
                </c:pt>
                <c:pt idx="3">
                  <c:v>2018-19</c:v>
                </c:pt>
                <c:pt idx="4">
                  <c:v>2019-20</c:v>
                </c:pt>
              </c:strCache>
            </c:strRef>
          </c:cat>
          <c:val>
            <c:numRef>
              <c:f>'Court Applications'!$AM$57:$AQ$57</c:f>
              <c:numCache>
                <c:formatCode>0.0</c:formatCode>
                <c:ptCount val="5"/>
                <c:pt idx="0">
                  <c:v>10.816326530612246</c:v>
                </c:pt>
                <c:pt idx="1">
                  <c:v>15.757575757575758</c:v>
                </c:pt>
                <c:pt idx="2">
                  <c:v>17.234468937875754</c:v>
                </c:pt>
                <c:pt idx="3">
                  <c:v>14.541832669322709</c:v>
                </c:pt>
                <c:pt idx="4">
                  <c:v>11.706349206349206</c:v>
                </c:pt>
              </c:numCache>
            </c:numRef>
          </c:val>
          <c:smooth val="0"/>
          <c:extLst>
            <c:ext xmlns:c16="http://schemas.microsoft.com/office/drawing/2014/chart" uri="{C3380CC4-5D6E-409C-BE32-E72D297353CC}">
              <c16:uniqueId val="{00000011-D2C2-4CA4-9206-304059AB5BAE}"/>
            </c:ext>
          </c:extLst>
        </c:ser>
        <c:ser>
          <c:idx val="8"/>
          <c:order val="17"/>
          <c:tx>
            <c:strRef>
              <c:f>'Court Applications'!$AL$58</c:f>
              <c:strCache>
                <c:ptCount val="1"/>
                <c:pt idx="0">
                  <c:v>Torbay</c:v>
                </c:pt>
              </c:strCache>
            </c:strRef>
          </c:tx>
          <c:spPr>
            <a:ln w="12700"/>
          </c:spPr>
          <c:marker>
            <c:symbol val="circle"/>
            <c:size val="5"/>
            <c:spPr>
              <a:solidFill>
                <a:schemeClr val="accent3">
                  <a:lumMod val="20000"/>
                  <a:lumOff val="80000"/>
                </a:schemeClr>
              </a:solidFill>
            </c:spPr>
          </c:marker>
          <c:cat>
            <c:strRef>
              <c:f>'Court Applications'!$Z$2:$AD$3</c:f>
              <c:strCache>
                <c:ptCount val="5"/>
                <c:pt idx="0">
                  <c:v>2015-16</c:v>
                </c:pt>
                <c:pt idx="1">
                  <c:v>2016-17</c:v>
                </c:pt>
                <c:pt idx="2">
                  <c:v>2017-18</c:v>
                </c:pt>
                <c:pt idx="3">
                  <c:v>2018-19</c:v>
                </c:pt>
                <c:pt idx="4">
                  <c:v>2019-20</c:v>
                </c:pt>
              </c:strCache>
            </c:strRef>
          </c:cat>
          <c:val>
            <c:numRef>
              <c:f>'Court Applications'!$AM$58:$AQ$58</c:f>
              <c:numCache>
                <c:formatCode>0.0</c:formatCode>
                <c:ptCount val="5"/>
                <c:pt idx="0">
                  <c:v>21.825396825396826</c:v>
                </c:pt>
                <c:pt idx="1">
                  <c:v>22.047244094488189</c:v>
                </c:pt>
                <c:pt idx="2">
                  <c:v>23.622047244094489</c:v>
                </c:pt>
                <c:pt idx="3">
                  <c:v>24.803149606299211</c:v>
                </c:pt>
                <c:pt idx="4">
                  <c:v>25</c:v>
                </c:pt>
              </c:numCache>
            </c:numRef>
          </c:val>
          <c:smooth val="0"/>
          <c:extLst>
            <c:ext xmlns:c16="http://schemas.microsoft.com/office/drawing/2014/chart" uri="{C3380CC4-5D6E-409C-BE32-E72D297353CC}">
              <c16:uniqueId val="{00000012-D2C2-4CA4-9206-304059AB5BAE}"/>
            </c:ext>
          </c:extLst>
        </c:ser>
        <c:ser>
          <c:idx val="23"/>
          <c:order val="18"/>
          <c:tx>
            <c:strRef>
              <c:f>'Court Applications'!$AL$59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Applications'!$AM$59:$AQ$59</c:f>
              <c:numCache>
                <c:formatCode>0.0</c:formatCode>
                <c:ptCount val="5"/>
                <c:pt idx="0">
                  <c:v>13.725490196078432</c:v>
                </c:pt>
                <c:pt idx="1">
                  <c:v>10.863509749303622</c:v>
                </c:pt>
                <c:pt idx="2">
                  <c:v>10.05586592178771</c:v>
                </c:pt>
                <c:pt idx="3">
                  <c:v>9.2696629213483153</c:v>
                </c:pt>
                <c:pt idx="4">
                  <c:v>6.179775280898876</c:v>
                </c:pt>
              </c:numCache>
            </c:numRef>
          </c:val>
          <c:smooth val="0"/>
          <c:extLst>
            <c:ext xmlns:c16="http://schemas.microsoft.com/office/drawing/2014/chart" uri="{C3380CC4-5D6E-409C-BE32-E72D297353CC}">
              <c16:uniqueId val="{00000013-D2C2-4CA4-9206-304059AB5BAE}"/>
            </c:ext>
          </c:extLst>
        </c:ser>
        <c:ser>
          <c:idx val="24"/>
          <c:order val="19"/>
          <c:tx>
            <c:strRef>
              <c:f>'Court Applications'!$AL$60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Applications'!$AM$60:$AQ$60</c:f>
              <c:numCache>
                <c:formatCode>0.0</c:formatCode>
                <c:ptCount val="5"/>
                <c:pt idx="0">
                  <c:v>8.0985915492957741</c:v>
                </c:pt>
                <c:pt idx="1">
                  <c:v>9.3713620488940634</c:v>
                </c:pt>
                <c:pt idx="2">
                  <c:v>9.4633583381419513</c:v>
                </c:pt>
                <c:pt idx="3">
                  <c:v>8.5289066971951915</c:v>
                </c:pt>
                <c:pt idx="4">
                  <c:v>11.016467915956843</c:v>
                </c:pt>
              </c:numCache>
            </c:numRef>
          </c:val>
          <c:smooth val="0"/>
          <c:extLst>
            <c:ext xmlns:c16="http://schemas.microsoft.com/office/drawing/2014/chart" uri="{C3380CC4-5D6E-409C-BE32-E72D297353CC}">
              <c16:uniqueId val="{00000014-D2C2-4CA4-9206-304059AB5BAE}"/>
            </c:ext>
          </c:extLst>
        </c:ser>
        <c:ser>
          <c:idx val="25"/>
          <c:order val="20"/>
          <c:tx>
            <c:strRef>
              <c:f>'Court Applications'!$AL$61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Applications'!$AM$61:$AQ$61</c:f>
              <c:numCache>
                <c:formatCode>0.0</c:formatCode>
                <c:ptCount val="5"/>
                <c:pt idx="0">
                  <c:v>5.0445103857566771</c:v>
                </c:pt>
                <c:pt idx="1">
                  <c:v>7.6023391812865491</c:v>
                </c:pt>
                <c:pt idx="2">
                  <c:v>5.5232558139534884</c:v>
                </c:pt>
                <c:pt idx="3">
                  <c:v>6.6473988439306355</c:v>
                </c:pt>
                <c:pt idx="4">
                  <c:v>8.3573487031700289</c:v>
                </c:pt>
              </c:numCache>
            </c:numRef>
          </c:val>
          <c:smooth val="0"/>
          <c:extLst>
            <c:ext xmlns:c16="http://schemas.microsoft.com/office/drawing/2014/chart" uri="{C3380CC4-5D6E-409C-BE32-E72D297353CC}">
              <c16:uniqueId val="{00000015-D2C2-4CA4-9206-304059AB5BAE}"/>
            </c:ext>
          </c:extLst>
        </c:ser>
        <c:ser>
          <c:idx val="26"/>
          <c:order val="21"/>
          <c:tx>
            <c:strRef>
              <c:f>'Court Applications'!$AL$62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Applications'!$AM$62:$AQ$62</c:f>
              <c:numCache>
                <c:formatCode>0.0</c:formatCode>
                <c:ptCount val="5"/>
                <c:pt idx="0">
                  <c:v>5.6300268096514747</c:v>
                </c:pt>
                <c:pt idx="1">
                  <c:v>4.7368421052631575</c:v>
                </c:pt>
                <c:pt idx="2">
                  <c:v>5.4263565891472867</c:v>
                </c:pt>
                <c:pt idx="3">
                  <c:v>6.8354430379746836</c:v>
                </c:pt>
                <c:pt idx="4">
                  <c:v>6.435643564356436</c:v>
                </c:pt>
              </c:numCache>
            </c:numRef>
          </c:val>
          <c:smooth val="0"/>
          <c:extLst>
            <c:ext xmlns:c16="http://schemas.microsoft.com/office/drawing/2014/chart" uri="{C3380CC4-5D6E-409C-BE32-E72D297353CC}">
              <c16:uniqueId val="{00000016-D2C2-4CA4-9206-304059AB5BAE}"/>
            </c:ext>
          </c:extLst>
        </c:ser>
        <c:ser>
          <c:idx val="4"/>
          <c:order val="22"/>
          <c:tx>
            <c:strRef>
              <c:f>'Court Applications'!$AL$63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Applications'!$AM$63:$AQ$63</c:f>
              <c:numCache>
                <c:formatCode>0.0</c:formatCode>
                <c:ptCount val="5"/>
                <c:pt idx="0">
                  <c:v>9.4207809811792913</c:v>
                </c:pt>
                <c:pt idx="1">
                  <c:v>9.8494645905540334</c:v>
                </c:pt>
                <c:pt idx="2">
                  <c:v>9.8307526107310057</c:v>
                </c:pt>
                <c:pt idx="3">
                  <c:v>9.390007152344948</c:v>
                </c:pt>
                <c:pt idx="4">
                  <c:v>8.9477960593134274</c:v>
                </c:pt>
              </c:numCache>
            </c:numRef>
          </c:val>
          <c:smooth val="0"/>
          <c:extLst>
            <c:ext xmlns:c16="http://schemas.microsoft.com/office/drawing/2014/chart" uri="{C3380CC4-5D6E-409C-BE32-E72D297353CC}">
              <c16:uniqueId val="{00000017-D2C2-4CA4-9206-304059AB5BAE}"/>
            </c:ext>
          </c:extLst>
        </c:ser>
        <c:ser>
          <c:idx val="14"/>
          <c:order val="23"/>
          <c:tx>
            <c:strRef>
              <c:f>'Court Applications'!$AL$64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'Court Applications'!$Z$2:$AD$3</c:f>
              <c:strCache>
                <c:ptCount val="5"/>
                <c:pt idx="0">
                  <c:v>2015-16</c:v>
                </c:pt>
                <c:pt idx="1">
                  <c:v>2016-17</c:v>
                </c:pt>
                <c:pt idx="2">
                  <c:v>2017-18</c:v>
                </c:pt>
                <c:pt idx="3">
                  <c:v>2018-19</c:v>
                </c:pt>
                <c:pt idx="4">
                  <c:v>2019-20</c:v>
                </c:pt>
              </c:strCache>
            </c:strRef>
          </c:cat>
          <c:val>
            <c:numRef>
              <c:f>'Court Applications'!$AM$64:$AQ$64</c:f>
              <c:numCache>
                <c:formatCode>0.0</c:formatCode>
                <c:ptCount val="5"/>
                <c:pt idx="0">
                  <c:v>10.954024268061895</c:v>
                </c:pt>
                <c:pt idx="1">
                  <c:v>12.387465741219994</c:v>
                </c:pt>
                <c:pt idx="2">
                  <c:v>11.979438779809557</c:v>
                </c:pt>
                <c:pt idx="3">
                  <c:v>11.339568032389206</c:v>
                </c:pt>
                <c:pt idx="4">
                  <c:v>10.881932200006654</c:v>
                </c:pt>
              </c:numCache>
            </c:numRef>
          </c:val>
          <c:smooth val="0"/>
          <c:extLst>
            <c:ext xmlns:c16="http://schemas.microsoft.com/office/drawing/2014/chart" uri="{C3380CC4-5D6E-409C-BE32-E72D297353CC}">
              <c16:uniqueId val="{00000018-D2C2-4CA4-9206-304059AB5BAE}"/>
            </c:ext>
          </c:extLst>
        </c:ser>
        <c:ser>
          <c:idx val="6"/>
          <c:order val="24"/>
          <c:tx>
            <c:strRef>
              <c:f>'Court Applications'!$AL$65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'Court Applications'!$Z$2:$AD$3</c:f>
              <c:strCache>
                <c:ptCount val="5"/>
                <c:pt idx="0">
                  <c:v>2015-16</c:v>
                </c:pt>
                <c:pt idx="1">
                  <c:v>2016-17</c:v>
                </c:pt>
                <c:pt idx="2">
                  <c:v>2017-18</c:v>
                </c:pt>
                <c:pt idx="3">
                  <c:v>2018-19</c:v>
                </c:pt>
                <c:pt idx="4">
                  <c:v>2019-20</c:v>
                </c:pt>
              </c:strCache>
            </c:strRef>
          </c:cat>
          <c:val>
            <c:numRef>
              <c:f>'Court Applications'!$AM$65:$AQ$65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D2C2-4CA4-9206-304059AB5BAE}"/>
            </c:ext>
          </c:extLst>
        </c:ser>
        <c:dLbls>
          <c:showLegendKey val="0"/>
          <c:showVal val="0"/>
          <c:showCatName val="0"/>
          <c:showSerName val="0"/>
          <c:showPercent val="0"/>
          <c:showBubbleSize val="0"/>
        </c:dLbls>
        <c:marker val="1"/>
        <c:smooth val="0"/>
        <c:axId val="587688576"/>
        <c:axId val="587703040"/>
      </c:lineChart>
      <c:catAx>
        <c:axId val="587688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703040"/>
        <c:crosses val="autoZero"/>
        <c:auto val="1"/>
        <c:lblAlgn val="ctr"/>
        <c:lblOffset val="100"/>
        <c:tickLblSkip val="1"/>
        <c:tickMarkSkip val="1"/>
        <c:noMultiLvlLbl val="0"/>
      </c:catAx>
      <c:valAx>
        <c:axId val="5877030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68857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3322357432593657"/>
          <c:y val="3.8613923259592556E-3"/>
        </c:manualLayout>
      </c:layout>
      <c:overlay val="0"/>
      <c:spPr>
        <a:noFill/>
        <a:ln w="25400">
          <a:noFill/>
        </a:ln>
      </c:spPr>
    </c:title>
    <c:autoTitleDeleted val="0"/>
    <c:plotArea>
      <c:layout>
        <c:manualLayout>
          <c:layoutTarget val="inner"/>
          <c:xMode val="edge"/>
          <c:yMode val="edge"/>
          <c:x val="9.104923423033659E-2"/>
          <c:y val="0.21104924384451942"/>
          <c:w val="0.65732306538605756"/>
          <c:h val="0.55187326135131309"/>
        </c:manualLayout>
      </c:layout>
      <c:barChart>
        <c:barDir val="col"/>
        <c:grouping val="clustered"/>
        <c:varyColors val="0"/>
        <c:ser>
          <c:idx val="6"/>
          <c:order val="0"/>
          <c:tx>
            <c:strRef>
              <c:f>'Court Applications'!$AA$4</c:f>
              <c:strCache>
                <c:ptCount val="1"/>
                <c:pt idx="0">
                  <c:v>Selected LA- (none)</c:v>
                </c:pt>
              </c:strCache>
            </c:strRef>
          </c:tx>
          <c:spPr>
            <a:solidFill>
              <a:srgbClr val="66FF99"/>
            </a:solidFill>
            <a:ln>
              <a:solidFill>
                <a:schemeClr val="tx1">
                  <a:lumMod val="75000"/>
                  <a:lumOff val="25000"/>
                </a:schemeClr>
              </a:solidFill>
            </a:ln>
          </c:spPr>
          <c:invertIfNegative val="0"/>
          <c:cat>
            <c:strRef>
              <c:f>'Court Applications'!$Z$2:$AD$3</c:f>
              <c:strCache>
                <c:ptCount val="5"/>
                <c:pt idx="0">
                  <c:v>2015-16</c:v>
                </c:pt>
                <c:pt idx="1">
                  <c:v>2016-17</c:v>
                </c:pt>
                <c:pt idx="2">
                  <c:v>2017-18</c:v>
                </c:pt>
                <c:pt idx="3">
                  <c:v>2018-19</c:v>
                </c:pt>
                <c:pt idx="4">
                  <c:v>2019-20</c:v>
                </c:pt>
              </c:strCache>
            </c:strRef>
          </c:cat>
          <c:val>
            <c:numRef>
              <c:f>'Court Applications'!$AM$65:$AQ$65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D1B0-4BEF-84F0-2586D0611132}"/>
            </c:ext>
          </c:extLst>
        </c:ser>
        <c:ser>
          <c:idx val="4"/>
          <c:order val="1"/>
          <c:tx>
            <c:strRef>
              <c:f>'Court Applications'!$B$32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'Court Applications'!$Z$2:$AD$3</c:f>
              <c:strCache>
                <c:ptCount val="5"/>
                <c:pt idx="0">
                  <c:v>2015-16</c:v>
                </c:pt>
                <c:pt idx="1">
                  <c:v>2016-17</c:v>
                </c:pt>
                <c:pt idx="2">
                  <c:v>2017-18</c:v>
                </c:pt>
                <c:pt idx="3">
                  <c:v>2018-19</c:v>
                </c:pt>
                <c:pt idx="4">
                  <c:v>2019-20</c:v>
                </c:pt>
              </c:strCache>
            </c:strRef>
          </c:cat>
          <c:val>
            <c:numRef>
              <c:f>'Court Applications'!$K$32:$O$32</c:f>
              <c:numCache>
                <c:formatCode>0.0</c:formatCode>
                <c:ptCount val="5"/>
                <c:pt idx="0">
                  <c:v>9.4207809811792913</c:v>
                </c:pt>
                <c:pt idx="1">
                  <c:v>9.8494645905540334</c:v>
                </c:pt>
                <c:pt idx="2">
                  <c:v>9.8307526107310057</c:v>
                </c:pt>
                <c:pt idx="3">
                  <c:v>9.390007152344948</c:v>
                </c:pt>
                <c:pt idx="4">
                  <c:v>8.9477960593134274</c:v>
                </c:pt>
              </c:numCache>
            </c:numRef>
          </c:val>
          <c:extLst>
            <c:ext xmlns:c16="http://schemas.microsoft.com/office/drawing/2014/chart" uri="{C3380CC4-5D6E-409C-BE32-E72D297353CC}">
              <c16:uniqueId val="{00000001-D1B0-4BEF-84F0-2586D0611132}"/>
            </c:ext>
          </c:extLst>
        </c:ser>
        <c:ser>
          <c:idx val="0"/>
          <c:order val="2"/>
          <c:tx>
            <c:strRef>
              <c:f>'Court Applications'!$B$33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'Court Applications'!$Z$2:$AD$3</c:f>
              <c:strCache>
                <c:ptCount val="5"/>
                <c:pt idx="0">
                  <c:v>2015-16</c:v>
                </c:pt>
                <c:pt idx="1">
                  <c:v>2016-17</c:v>
                </c:pt>
                <c:pt idx="2">
                  <c:v>2017-18</c:v>
                </c:pt>
                <c:pt idx="3">
                  <c:v>2018-19</c:v>
                </c:pt>
                <c:pt idx="4">
                  <c:v>2019-20</c:v>
                </c:pt>
              </c:strCache>
            </c:strRef>
          </c:cat>
          <c:val>
            <c:numRef>
              <c:f>'Court Applications'!$K$33:$O$33</c:f>
              <c:numCache>
                <c:formatCode>0.0</c:formatCode>
                <c:ptCount val="5"/>
                <c:pt idx="0">
                  <c:v>10.954024268061895</c:v>
                </c:pt>
                <c:pt idx="1">
                  <c:v>12.387465741219994</c:v>
                </c:pt>
                <c:pt idx="2">
                  <c:v>11.979438779809557</c:v>
                </c:pt>
                <c:pt idx="3">
                  <c:v>11.339568032389206</c:v>
                </c:pt>
                <c:pt idx="4">
                  <c:v>10.881932200006654</c:v>
                </c:pt>
              </c:numCache>
            </c:numRef>
          </c:val>
          <c:extLst>
            <c:ext xmlns:c16="http://schemas.microsoft.com/office/drawing/2014/chart" uri="{C3380CC4-5D6E-409C-BE32-E72D297353CC}">
              <c16:uniqueId val="{00000002-D1B0-4BEF-84F0-2586D0611132}"/>
            </c:ext>
          </c:extLst>
        </c:ser>
        <c:dLbls>
          <c:showLegendKey val="0"/>
          <c:showVal val="0"/>
          <c:showCatName val="0"/>
          <c:showSerName val="0"/>
          <c:showPercent val="0"/>
          <c:showBubbleSize val="0"/>
        </c:dLbls>
        <c:gapWidth val="100"/>
        <c:axId val="587724672"/>
        <c:axId val="587726208"/>
      </c:barChart>
      <c:catAx>
        <c:axId val="587724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726208"/>
        <c:crosses val="autoZero"/>
        <c:auto val="1"/>
        <c:lblAlgn val="ctr"/>
        <c:lblOffset val="100"/>
        <c:noMultiLvlLbl val="0"/>
      </c:catAx>
      <c:valAx>
        <c:axId val="58772620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724672"/>
        <c:crosses val="autoZero"/>
        <c:crossBetween val="between"/>
      </c:valAx>
      <c:spPr>
        <a:noFill/>
        <a:ln w="3175">
          <a:solidFill>
            <a:srgbClr val="000000"/>
          </a:solidFill>
          <a:prstDash val="solid"/>
        </a:ln>
      </c:spPr>
    </c:plotArea>
    <c:legend>
      <c:legendPos val="r"/>
      <c:layout>
        <c:manualLayout>
          <c:xMode val="edge"/>
          <c:yMode val="edge"/>
          <c:x val="0.75990284431229316"/>
          <c:y val="0.12398075240594926"/>
          <c:w val="0.24009715568770687"/>
          <c:h val="0.8760192475940507"/>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Care Applications to Court</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'Court Applications'!$U$9</c:f>
              <c:strCache>
                <c:ptCount val="1"/>
                <c:pt idx="0">
                  <c:v>Distance</c:v>
                </c:pt>
              </c:strCache>
            </c:strRef>
          </c:tx>
          <c:spPr>
            <a:solidFill>
              <a:srgbClr val="FB994F"/>
            </a:solidFill>
            <a:ln w="25400">
              <a:noFill/>
            </a:ln>
          </c:spPr>
          <c:invertIfNegative val="0"/>
          <c:cat>
            <c:strRef>
              <c:f>'Court Applications'!$Y$77:$Y$100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Applications'!$U$10:$U$33</c:f>
              <c:numCache>
                <c:formatCode>0.0</c:formatCode>
                <c:ptCount val="24"/>
                <c:pt idx="0">
                  <c:v>3.8417226175461785</c:v>
                </c:pt>
                <c:pt idx="1">
                  <c:v>4.996292920171868</c:v>
                </c:pt>
                <c:pt idx="2">
                  <c:v>1.0616050152245293</c:v>
                </c:pt>
                <c:pt idx="3">
                  <c:v>-4.7609003956319551</c:v>
                </c:pt>
                <c:pt idx="4">
                  <c:v>6.2585647651720144E-2</c:v>
                </c:pt>
                <c:pt idx="5">
                  <c:v>-2.0140636116742758</c:v>
                </c:pt>
                <c:pt idx="6">
                  <c:v>-3.1951261819039836</c:v>
                </c:pt>
                <c:pt idx="7">
                  <c:v>1.3108567558021189</c:v>
                </c:pt>
                <c:pt idx="8">
                  <c:v>-0.33161978120218194</c:v>
                </c:pt>
                <c:pt idx="9">
                  <c:v>2.8783202485049983</c:v>
                </c:pt>
                <c:pt idx="10">
                  <c:v>0.12302166252183255</c:v>
                </c:pt>
                <c:pt idx="11">
                  <c:v>2.3293614558952989</c:v>
                </c:pt>
                <c:pt idx="12">
                  <c:v>1.2983237899220583</c:v>
                </c:pt>
                <c:pt idx="13">
                  <c:v>0.69511931576855446</c:v>
                </c:pt>
                <c:pt idx="14">
                  <c:v>5.4524455812332366</c:v>
                </c:pt>
                <c:pt idx="15">
                  <c:v>-0.35236594348207628</c:v>
                </c:pt>
                <c:pt idx="16">
                  <c:v>1.2681221876723505</c:v>
                </c:pt>
                <c:pt idx="17">
                  <c:v>9.8149772789690424</c:v>
                </c:pt>
                <c:pt idx="18">
                  <c:v>-5.4146972835774854E-2</c:v>
                </c:pt>
                <c:pt idx="19">
                  <c:v>3.2228842171629868</c:v>
                </c:pt>
                <c:pt idx="20">
                  <c:v>3.479653792965121</c:v>
                </c:pt>
                <c:pt idx="21">
                  <c:v>2.3038736930928874</c:v>
                </c:pt>
                <c:pt idx="22">
                  <c:v>0.22433661188063603</c:v>
                </c:pt>
                <c:pt idx="23">
                  <c:v>-1.037575413407076</c:v>
                </c:pt>
              </c:numCache>
            </c:numRef>
          </c:val>
          <c:extLst>
            <c:ext xmlns:c16="http://schemas.microsoft.com/office/drawing/2014/chart" uri="{C3380CC4-5D6E-409C-BE32-E72D297353CC}">
              <c16:uniqueId val="{00000000-7528-4ADB-9F10-CC8FD474F48C}"/>
            </c:ext>
          </c:extLst>
        </c:ser>
        <c:ser>
          <c:idx val="0"/>
          <c:order val="1"/>
          <c:tx>
            <c:strRef>
              <c:f>'Court Applications'!$AA$76</c:f>
              <c:strCache>
                <c:ptCount val="1"/>
                <c:pt idx="0">
                  <c:v>Distance from Expected Chart Highlight</c:v>
                </c:pt>
              </c:strCache>
            </c:strRef>
          </c:tx>
          <c:spPr>
            <a:solidFill>
              <a:srgbClr val="66FF99"/>
            </a:solidFill>
            <a:ln w="12700">
              <a:solidFill>
                <a:srgbClr val="000000"/>
              </a:solidFill>
              <a:prstDash val="solid"/>
            </a:ln>
          </c:spPr>
          <c:invertIfNegative val="0"/>
          <c:cat>
            <c:strRef>
              <c:f>'Court Applications'!$Y$77:$Y$100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7528-4ADB-9F10-CC8FD474F48C}"/>
            </c:ext>
          </c:extLst>
        </c:ser>
        <c:dLbls>
          <c:showLegendKey val="0"/>
          <c:showVal val="0"/>
          <c:showCatName val="0"/>
          <c:showSerName val="0"/>
          <c:showPercent val="0"/>
          <c:showBubbleSize val="0"/>
        </c:dLbls>
        <c:gapWidth val="40"/>
        <c:overlap val="100"/>
        <c:axId val="587412608"/>
        <c:axId val="587414144"/>
      </c:barChart>
      <c:catAx>
        <c:axId val="58741260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414144"/>
        <c:crossesAt val="0"/>
        <c:auto val="1"/>
        <c:lblAlgn val="ctr"/>
        <c:lblOffset val="100"/>
        <c:noMultiLvlLbl val="0"/>
      </c:catAx>
      <c:valAx>
        <c:axId val="58741414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412608"/>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'Court Applications'!$AL$5</c:f>
          <c:strCache>
            <c:ptCount val="1"/>
            <c:pt idx="0">
              <c:v>Average Annual Change in Number of Care Applications to Court during the year ending 31st March</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'Court Applications'!$I$7</c:f>
              <c:strCache>
                <c:ptCount val="1"/>
                <c:pt idx="0">
                  <c:v>Average Annual Change </c:v>
                </c:pt>
              </c:strCache>
            </c:strRef>
          </c:tx>
          <c:spPr>
            <a:solidFill>
              <a:srgbClr val="FB994F"/>
            </a:solidFill>
            <a:ln w="25400">
              <a:noFill/>
            </a:ln>
          </c:spPr>
          <c:invertIfNegative val="0"/>
          <c:cat>
            <c:strRef>
              <c:f>'Court Applications'!$B$10:$B$33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Applications'!$I$10:$I$33</c:f>
              <c:numCache>
                <c:formatCode>0.0%</c:formatCode>
                <c:ptCount val="24"/>
                <c:pt idx="0">
                  <c:v>6.3852813852813828E-3</c:v>
                </c:pt>
                <c:pt idx="1">
                  <c:v>-3.0455143672356799E-2</c:v>
                </c:pt>
                <c:pt idx="2">
                  <c:v>-5.9067977323555412E-2</c:v>
                </c:pt>
                <c:pt idx="3">
                  <c:v>-3.2754372998275438E-2</c:v>
                </c:pt>
                <c:pt idx="4">
                  <c:v>2.7670076346787385E-2</c:v>
                </c:pt>
                <c:pt idx="5">
                  <c:v>-1.9287967952353935E-2</c:v>
                </c:pt>
                <c:pt idx="6">
                  <c:v>1.9844884291605601E-2</c:v>
                </c:pt>
                <c:pt idx="7">
                  <c:v>4.8004600105340522E-4</c:v>
                </c:pt>
                <c:pt idx="8">
                  <c:v>6.3269953417534872E-2</c:v>
                </c:pt>
                <c:pt idx="9">
                  <c:v>-4.431436638267304E-3</c:v>
                </c:pt>
                <c:pt idx="10">
                  <c:v>0.10769288879935537</c:v>
                </c:pt>
                <c:pt idx="11">
                  <c:v>-4.6116730562651642E-2</c:v>
                </c:pt>
                <c:pt idx="12">
                  <c:v>-2.956777627830259E-2</c:v>
                </c:pt>
                <c:pt idx="13">
                  <c:v>-6.399588757304385E-2</c:v>
                </c:pt>
                <c:pt idx="14">
                  <c:v>3.0338879619330128E-2</c:v>
                </c:pt>
                <c:pt idx="15">
                  <c:v>3.193231971470812E-2</c:v>
                </c:pt>
                <c:pt idx="16">
                  <c:v>5.7829650789041773E-2</c:v>
                </c:pt>
                <c:pt idx="17">
                  <c:v>3.8870851370851375E-2</c:v>
                </c:pt>
                <c:pt idx="18">
                  <c:v>-0.17441784406070121</c:v>
                </c:pt>
                <c:pt idx="19">
                  <c:v>9.8962553805995779E-2</c:v>
                </c:pt>
                <c:pt idx="20">
                  <c:v>0.18289421912049453</c:v>
                </c:pt>
                <c:pt idx="21">
                  <c:v>6.8121693121693125E-2</c:v>
                </c:pt>
                <c:pt idx="22">
                  <c:v>-1.2080722679739543E-2</c:v>
                </c:pt>
                <c:pt idx="23">
                  <c:v>8.4450992082883286E-3</c:v>
                </c:pt>
              </c:numCache>
            </c:numRef>
          </c:val>
          <c:extLst>
            <c:ext xmlns:c16="http://schemas.microsoft.com/office/drawing/2014/chart" uri="{C3380CC4-5D6E-409C-BE32-E72D297353CC}">
              <c16:uniqueId val="{00000000-B4FB-47CE-8C83-146711E743BE}"/>
            </c:ext>
          </c:extLst>
        </c:ser>
        <c:ser>
          <c:idx val="1"/>
          <c:order val="1"/>
          <c:tx>
            <c:strRef>
              <c:f>'Court Applications'!$Z$76</c:f>
              <c:strCache>
                <c:ptCount val="1"/>
                <c:pt idx="0">
                  <c:v>Percentage Change Chart Highlight</c:v>
                </c:pt>
              </c:strCache>
            </c:strRef>
          </c:tx>
          <c:spPr>
            <a:solidFill>
              <a:srgbClr val="66FF99"/>
            </a:solidFill>
            <a:ln w="12700">
              <a:solidFill>
                <a:srgbClr val="000000"/>
              </a:solidFill>
              <a:prstDash val="solid"/>
            </a:ln>
          </c:spPr>
          <c:invertIfNegative val="0"/>
          <c:cat>
            <c:strRef>
              <c:f>'Court Applications'!$B$10:$B$33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B4FB-47CE-8C83-146711E743BE}"/>
            </c:ext>
          </c:extLst>
        </c:ser>
        <c:dLbls>
          <c:showLegendKey val="0"/>
          <c:showVal val="0"/>
          <c:showCatName val="0"/>
          <c:showSerName val="0"/>
          <c:showPercent val="0"/>
          <c:showBubbleSize val="0"/>
        </c:dLbls>
        <c:gapWidth val="40"/>
        <c:overlap val="100"/>
        <c:axId val="585190784"/>
        <c:axId val="585208960"/>
      </c:barChart>
      <c:catAx>
        <c:axId val="5851907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208960"/>
        <c:crosses val="autoZero"/>
        <c:auto val="1"/>
        <c:lblAlgn val="ctr"/>
        <c:lblOffset val="100"/>
        <c:noMultiLvlLbl val="0"/>
      </c:catAx>
      <c:valAx>
        <c:axId val="58520896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19078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a:t>
            </a:r>
            <a:r>
              <a:rPr lang="en-GB" baseline="0"/>
              <a:t> to Court </a:t>
            </a:r>
            <a:r>
              <a:rPr lang="en-GB"/>
              <a:t>vs. IDACI</a:t>
            </a:r>
          </a:p>
        </c:rich>
      </c:tx>
      <c:layout>
        <c:manualLayout>
          <c:xMode val="edge"/>
          <c:yMode val="edge"/>
          <c:x val="0.19838689394594905"/>
          <c:y val="3.612593674659445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'Court Applications'!$AR$38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1A95-4540-99E3-4FFB3D7A9725}"/>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{BFECA1AA-76F8-438C-A7E3-81D43A3A790D}</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1A95-4540-99E3-4FFB3D7A9725}"/>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{E177A4E0-0111-40A4-8C45-84FD32FADD46}</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1A95-4540-99E3-4FFB3D7A9725}"/>
                </c:ext>
              </c:extLst>
            </c:dLbl>
            <c:dLbl>
              <c:idx val="2"/>
              <c:layout>
                <c:manualLayout>
                  <c:x val="-0.20240047625271504"/>
                  <c:y val="0"/>
                </c:manualLayout>
              </c:layout>
              <c:tx>
                <c:strRef>
                  <c:f>Sheet1!$K$6</c:f>
                  <c:strCache>
                    <c:ptCount val="1"/>
                    <c:pt idx="0">
                      <c:v>Buckinghamshire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{663670CA-BE1F-48D1-9871-ADE55E28C762}</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1A95-4540-99E3-4FFB3D7A9725}"/>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{4B30CB12-DF2D-41B4-AC40-196289D60F70}</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1A95-4540-99E3-4FFB3D7A9725}"/>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{9481EA59-7626-4F69-9BF4-42E21808FE84}</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1A95-4540-99E3-4FFB3D7A9725}"/>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{DACF0633-D8A3-4E74-93C7-65BCB93F743A}</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1A95-4540-99E3-4FFB3D7A9725}"/>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{6FD1100E-C298-4DC2-84C4-856D1B8050AF}</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1A95-4540-99E3-4FFB3D7A9725}"/>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{1EE371CB-0346-4E29-9161-0483A8EF2BF4}</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1A95-4540-99E3-4FFB3D7A9725}"/>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{A7AD793A-ED55-49E7-9515-B4CA8149E315}</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1A95-4540-99E3-4FFB3D7A9725}"/>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{2319E04A-4771-46CB-865E-30D914A8ECE3}</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1A95-4540-99E3-4FFB3D7A9725}"/>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{145C5436-39E1-466D-A8FA-0D987993512B}</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1A95-4540-99E3-4FFB3D7A9725}"/>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{2E45E219-0202-4D24-A908-4205C154B27C}</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1A95-4540-99E3-4FFB3D7A9725}"/>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{7998117D-9F35-470E-B354-139C0FE1C96A}</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1A95-4540-99E3-4FFB3D7A9725}"/>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{D0CC5A90-BA08-4E7C-B643-1A8510EB5395}</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1A95-4540-99E3-4FFB3D7A9725}"/>
                </c:ext>
              </c:extLst>
            </c:dLbl>
            <c:dLbl>
              <c:idx val="14"/>
              <c:layout>
                <c:manualLayout>
                  <c:x val="-0.10754226904491286"/>
                  <c:y val="0"/>
                </c:manualLayout>
              </c:layout>
              <c:tx>
                <c:strRef>
                  <c:f>Sheet1!$K$19</c:f>
                  <c:strCache>
                    <c:ptCount val="1"/>
                    <c:pt idx="0">
                      <c:v>Surrey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{7E48DE60-09B8-45DA-B028-D62930A441B8}</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1A95-4540-99E3-4FFB3D7A9725}"/>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{93B2B3D0-845E-489F-B9A0-1AF5B858E449}</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1A95-4540-99E3-4FFB3D7A9725}"/>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{33023741-BC03-45CD-ADA4-4CC5462B803C}</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1A95-4540-99E3-4FFB3D7A9725}"/>
                </c:ext>
              </c:extLst>
            </c:dLbl>
            <c:dLbl>
              <c:idx val="17"/>
              <c:layout>
                <c:manualLayout>
                  <c:x val="-2.1259329325208728E-2"/>
                  <c:y val="2.692339743643315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{69BDD715-35D2-4376-BC46-594CEB21FDC0}</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1A95-4540-99E3-4FFB3D7A9725}"/>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{0F72AA88-2114-40E1-84DB-08D210940A06}</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1A95-4540-99E3-4FFB3D7A9725}"/>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('Court Applications'!$AR$41:$AR$53,'Court Applications'!$AR$55:$AR$56,'Court Applications'!$AR$59:$AR$62)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('Court Applications'!$AQ$41:$AQ$53,'Court Applications'!$AQ$55:$AQ$56,'Court Applications'!$AQ$59:$AQ$62)</c:f>
              <c:numCache>
                <c:formatCode>0.0</c:formatCode>
                <c:ptCount val="19"/>
                <c:pt idx="0">
                  <c:v>10.211267605633804</c:v>
                </c:pt>
                <c:pt idx="1">
                  <c:v>15.705765407554672</c:v>
                </c:pt>
                <c:pt idx="2">
                  <c:v>7.1599045346062056</c:v>
                </c:pt>
                <c:pt idx="3">
                  <c:v>6.4910630291627474</c:v>
                </c:pt>
                <c:pt idx="4">
                  <c:v>7.2458670418571929</c:v>
                </c:pt>
                <c:pt idx="5">
                  <c:v>10.526315789473683</c:v>
                </c:pt>
                <c:pt idx="6">
                  <c:v>7.8534031413612571</c:v>
                </c:pt>
                <c:pt idx="7">
                  <c:v>14.461538461538462</c:v>
                </c:pt>
                <c:pt idx="8">
                  <c:v>10.174418604651162</c:v>
                </c:pt>
                <c:pt idx="9">
                  <c:v>10.061601642710471</c:v>
                </c:pt>
                <c:pt idx="10">
                  <c:v>14.155251141552512</c:v>
                </c:pt>
                <c:pt idx="11">
                  <c:v>13.513513513513514</c:v>
                </c:pt>
                <c:pt idx="12">
                  <c:v>11.600928074245939</c:v>
                </c:pt>
                <c:pt idx="13">
                  <c:v>19.688109161793374</c:v>
                </c:pt>
                <c:pt idx="14">
                  <c:v>5.6103108415466263</c:v>
                </c:pt>
                <c:pt idx="15">
                  <c:v>6.179775280898876</c:v>
                </c:pt>
                <c:pt idx="16">
                  <c:v>11.016467915956843</c:v>
                </c:pt>
                <c:pt idx="17">
                  <c:v>8.3573487031700289</c:v>
                </c:pt>
                <c:pt idx="18">
                  <c:v>6.435643564356436</c:v>
                </c:pt>
              </c:numCache>
            </c:numRef>
          </c:yVal>
          <c:smooth val="0"/>
          <c:extLst>
            <c:ext xmlns:c16="http://schemas.microsoft.com/office/drawing/2014/chart" uri="{C3380CC4-5D6E-409C-BE32-E72D297353CC}">
              <c16:uniqueId val="{00000014-1A95-4540-99E3-4FFB3D7A9725}"/>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1A95-4540-99E3-4FFB3D7A9725}"/>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{8469329E-0EC1-453E-9B02-C64736464294}</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1A95-4540-99E3-4FFB3D7A9725}"/>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{ACE7EBD6-8D7B-4BC9-BF91-D6B16E2F4068}</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1A95-4540-99E3-4FFB3D7A9725}"/>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{7C1234DA-7869-487D-BCB3-5196BD1F9236}</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7-1A95-4540-99E3-4FFB3D7A9725}"/>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('Court Applications'!$AR$54,'Court Applications'!$AR$57:$AR$58)</c:f>
              <c:numCache>
                <c:formatCode>0.0</c:formatCode>
                <c:ptCount val="3"/>
                <c:pt idx="0">
                  <c:v>13.600000000000001</c:v>
                </c:pt>
                <c:pt idx="1">
                  <c:v>14.899999999999999</c:v>
                </c:pt>
                <c:pt idx="2">
                  <c:v>21.9</c:v>
                </c:pt>
              </c:numCache>
            </c:numRef>
          </c:xVal>
          <c:yVal>
            <c:numRef>
              <c:f>('Court Applications'!$AQ$54,'Court Applications'!$AQ$57:$AQ$58)</c:f>
              <c:numCache>
                <c:formatCode>0.0</c:formatCode>
                <c:ptCount val="3"/>
                <c:pt idx="0">
                  <c:v>10.251798561151078</c:v>
                </c:pt>
                <c:pt idx="1">
                  <c:v>11.706349206349206</c:v>
                </c:pt>
                <c:pt idx="2">
                  <c:v>25</c:v>
                </c:pt>
              </c:numCache>
            </c:numRef>
          </c:yVal>
          <c:smooth val="0"/>
          <c:extLst>
            <c:ext xmlns:c16="http://schemas.microsoft.com/office/drawing/2014/chart" uri="{C3380CC4-5D6E-409C-BE32-E72D297353CC}">
              <c16:uniqueId val="{00000018-1A95-4540-99E3-4FFB3D7A9725}"/>
            </c:ext>
          </c:extLst>
        </c:ser>
        <c:ser>
          <c:idx val="1"/>
          <c:order val="2"/>
          <c:tx>
            <c:strRef>
              <c:f>'Court Applications'!$AA$4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'Court Applications'!$AR$65</c:f>
              <c:numCache>
                <c:formatCode>0.0</c:formatCode>
                <c:ptCount val="1"/>
                <c:pt idx="0">
                  <c:v>#N/A</c:v>
                </c:pt>
              </c:numCache>
            </c:numRef>
          </c:xVal>
          <c:yVal>
            <c:numRef>
              <c:f>'Court Applications'!$AQ$65</c:f>
              <c:numCache>
                <c:formatCode>0.0</c:formatCode>
                <c:ptCount val="1"/>
                <c:pt idx="0">
                  <c:v>#N/A</c:v>
                </c:pt>
              </c:numCache>
            </c:numRef>
          </c:yVal>
          <c:smooth val="0"/>
          <c:extLst>
            <c:ext xmlns:c16="http://schemas.microsoft.com/office/drawing/2014/chart" uri="{C3380CC4-5D6E-409C-BE32-E72D297353CC}">
              <c16:uniqueId val="{00000019-1A95-4540-99E3-4FFB3D7A9725}"/>
            </c:ext>
          </c:extLst>
        </c:ser>
        <c:ser>
          <c:idx val="4"/>
          <c:order val="3"/>
          <c:tx>
            <c:strRef>
              <c:f>'Court Applications'!$B$32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'Court Applications'!$S$32</c:f>
              <c:numCache>
                <c:formatCode>0.0</c:formatCode>
                <c:ptCount val="1"/>
                <c:pt idx="0">
                  <c:v>12.371268250968637</c:v>
                </c:pt>
              </c:numCache>
            </c:numRef>
          </c:xVal>
          <c:yVal>
            <c:numRef>
              <c:f>'Court Applications'!$O$32</c:f>
              <c:numCache>
                <c:formatCode>0.0</c:formatCode>
                <c:ptCount val="1"/>
                <c:pt idx="0">
                  <c:v>8.9477960593134274</c:v>
                </c:pt>
              </c:numCache>
            </c:numRef>
          </c:yVal>
          <c:smooth val="0"/>
          <c:extLst>
            <c:ext xmlns:c16="http://schemas.microsoft.com/office/drawing/2014/chart" uri="{C3380CC4-5D6E-409C-BE32-E72D297353CC}">
              <c16:uniqueId val="{0000001A-1A95-4540-99E3-4FFB3D7A9725}"/>
            </c:ext>
          </c:extLst>
        </c:ser>
        <c:ser>
          <c:idx val="2"/>
          <c:order val="4"/>
          <c:tx>
            <c:strRef>
              <c:f>'Court Applications'!$Y$43</c:f>
              <c:strCache>
                <c:ptCount val="1"/>
                <c:pt idx="0">
                  <c:v>National Trend 2020</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1A95-4540-99E3-4FFB3D7A9725}"/>
                </c:ext>
              </c:extLst>
            </c:dLbl>
            <c:dLbl>
              <c:idx val="1"/>
              <c:layout>
                <c:manualLayout>
                  <c:x val="-4.9286407048805748E-2"/>
                  <c:y val="4.2232277526395176E-2"/>
                </c:manualLayout>
              </c:layout>
              <c:tx>
                <c:strRef>
                  <c:f>'Court Applications'!$AD$43</c:f>
                  <c:strCache>
                    <c:ptCount val="1"/>
                    <c:pt idx="0">
                      <c:v>r² = 0.348</c:v>
                    </c:pt>
                  </c:strCache>
                </c:strRef>
              </c:tx>
              <c:spPr/>
              <c:txPr>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{FFED9219-8516-4426-BCEE-6634875C2856}</c15:txfldGUID>
                      <c15:f>'Court Applications'!$AD$43</c15:f>
                      <c15:dlblFieldTableCache>
                        <c:ptCount val="1"/>
                        <c:pt idx="0">
                          <c:v>r² = 0.348</c:v>
                        </c:pt>
                      </c15:dlblFieldTableCache>
                    </c15:dlblFTEntry>
                  </c15:dlblFieldTable>
                  <c15:showDataLabelsRange val="0"/>
                </c:ext>
                <c:ext xmlns:c16="http://schemas.microsoft.com/office/drawing/2014/chart" uri="{C3380CC4-5D6E-409C-BE32-E72D297353CC}">
                  <c16:uniqueId val="{0000001C-1A95-4540-99E3-4FFB3D7A972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Applications'!$AB$43:$AB$44</c:f>
              <c:numCache>
                <c:formatCode>General</c:formatCode>
                <c:ptCount val="2"/>
                <c:pt idx="0" formatCode="#,##0.0">
                  <c:v>5</c:v>
                </c:pt>
                <c:pt idx="1">
                  <c:v>35</c:v>
                </c:pt>
              </c:numCache>
            </c:numRef>
          </c:xVal>
          <c:yVal>
            <c:numRef>
              <c:f>'Court Applications'!$AC$43:$AC$44</c:f>
              <c:numCache>
                <c:formatCode>0.0</c:formatCode>
                <c:ptCount val="2"/>
                <c:pt idx="0">
                  <c:v>3.7249016682046254</c:v>
                </c:pt>
                <c:pt idx="1">
                  <c:v>24.068311821150779</c:v>
                </c:pt>
              </c:numCache>
            </c:numRef>
          </c:yVal>
          <c:smooth val="0"/>
          <c:extLst>
            <c:ext xmlns:c16="http://schemas.microsoft.com/office/drawing/2014/chart" uri="{C3380CC4-5D6E-409C-BE32-E72D297353CC}">
              <c16:uniqueId val="{0000001D-1A95-4540-99E3-4FFB3D7A9725}"/>
            </c:ext>
          </c:extLst>
        </c:ser>
        <c:ser>
          <c:idx val="5"/>
          <c:order val="5"/>
          <c:tx>
            <c:strRef>
              <c:f>'Court Applications'!$Y$41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1A95-4540-99E3-4FFB3D7A9725}"/>
                </c:ext>
              </c:extLst>
            </c:dLbl>
            <c:dLbl>
              <c:idx val="1"/>
              <c:layout>
                <c:manualLayout>
                  <c:x val="-5.5671537926235214E-2"/>
                  <c:y val="-3.016591251885371E-2"/>
                </c:manualLayout>
              </c:layout>
              <c:tx>
                <c:strRef>
                  <c:f>'Court Applications'!$AD$42</c:f>
                  <c:strCache>
                    <c:ptCount val="1"/>
                    <c:pt idx="0">
                      <c:v>r² = 0.521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{CC7926C2-9ECE-42CE-A300-B153C5D4E428}</c15:txfldGUID>
                      <c15:f>'Court Applications'!$AD$42</c15:f>
                      <c15:dlblFieldTableCache>
                        <c:ptCount val="1"/>
                        <c:pt idx="0">
                          <c:v>r² = 0.521</c:v>
                        </c:pt>
                      </c15:dlblFieldTableCache>
                    </c15:dlblFTEntry>
                  </c15:dlblFieldTable>
                  <c15:showDataLabelsRange val="0"/>
                </c:ext>
                <c:ext xmlns:c16="http://schemas.microsoft.com/office/drawing/2014/chart" uri="{C3380CC4-5D6E-409C-BE32-E72D297353CC}">
                  <c16:uniqueId val="{0000001F-1A95-4540-99E3-4FFB3D7A9725}"/>
                </c:ext>
              </c:extLst>
            </c:dLbl>
            <c:spPr>
              <a:noFill/>
              <a:ln>
                <a:noFill/>
              </a:ln>
              <a:effectLst/>
            </c:spPr>
            <c:txPr>
              <a:bodyPr wrap="square" lIns="38100" tIns="19050" rIns="38100" bIns="19050" anchor="ctr">
                <a:spAutoFit/>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Applications'!$AB$41:$AB$42</c:f>
              <c:numCache>
                <c:formatCode>General</c:formatCode>
                <c:ptCount val="2"/>
                <c:pt idx="0" formatCode="#,##0.0">
                  <c:v>5</c:v>
                </c:pt>
                <c:pt idx="1">
                  <c:v>35</c:v>
                </c:pt>
              </c:numCache>
            </c:numRef>
          </c:xVal>
          <c:yVal>
            <c:numRef>
              <c:f>'Court Applications'!$AC$41:$AC$42</c:f>
              <c:numCache>
                <c:formatCode>0.0</c:formatCode>
                <c:ptCount val="2"/>
                <c:pt idx="0">
                  <c:v>5.6412539482086448</c:v>
                </c:pt>
                <c:pt idx="1">
                  <c:v>23.098490279294616</c:v>
                </c:pt>
              </c:numCache>
            </c:numRef>
          </c:yVal>
          <c:smooth val="0"/>
          <c:extLst>
            <c:ext xmlns:c16="http://schemas.microsoft.com/office/drawing/2014/chart" uri="{C3380CC4-5D6E-409C-BE32-E72D297353CC}">
              <c16:uniqueId val="{00000020-1A95-4540-99E3-4FFB3D7A9725}"/>
            </c:ext>
          </c:extLst>
        </c:ser>
        <c:dLbls>
          <c:showLegendKey val="0"/>
          <c:showVal val="0"/>
          <c:showCatName val="0"/>
          <c:showSerName val="0"/>
          <c:showPercent val="0"/>
          <c:showBubbleSize val="0"/>
        </c:dLbls>
        <c:axId val="587995392"/>
        <c:axId val="588013952"/>
      </c:scatterChart>
      <c:valAx>
        <c:axId val="587995392"/>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013952"/>
        <c:crosses val="autoZero"/>
        <c:crossBetween val="midCat"/>
        <c:majorUnit val="5"/>
      </c:valAx>
      <c:valAx>
        <c:axId val="58801395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Care Applications to Court per 10,000 0-17 year olds</a:t>
                </a:r>
              </a:p>
            </c:rich>
          </c:tx>
          <c:layout>
            <c:manualLayout>
              <c:xMode val="edge"/>
              <c:yMode val="edge"/>
              <c:x val="5.1878053704825358E-2"/>
              <c:y val="0.113145449578983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99539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a:t>
            </a:r>
            <a:r>
              <a:rPr lang="en-GB" baseline="0"/>
              <a:t> to</a:t>
            </a:r>
            <a:r>
              <a:rPr lang="en-GB"/>
              <a:t> Care Applications to Court, </a:t>
            </a:r>
          </a:p>
          <a:p>
            <a:pPr>
              <a:defRPr sz="1000" b="1" i="0" u="none" strike="noStrike" baseline="0">
                <a:solidFill>
                  <a:srgbClr val="000000"/>
                </a:solidFill>
                <a:latin typeface="Arial"/>
                <a:ea typeface="Arial"/>
                <a:cs typeface="Arial"/>
              </a:defRPr>
            </a:pPr>
            <a:r>
              <a:rPr lang="en-GB"/>
              <a:t>per 10,000 0-17 year olds</a:t>
            </a:r>
          </a:p>
        </c:rich>
      </c:tx>
      <c:layout>
        <c:manualLayout>
          <c:xMode val="edge"/>
          <c:yMode val="edge"/>
          <c:x val="0.11894728783902012"/>
          <c:y val="1.2589354296580521E-2"/>
        </c:manualLayout>
      </c:layout>
      <c:overlay val="0"/>
      <c:spPr>
        <a:noFill/>
        <a:ln w="25400">
          <a:noFill/>
        </a:ln>
      </c:spPr>
    </c:title>
    <c:autoTitleDeleted val="0"/>
    <c:plotArea>
      <c:layout>
        <c:manualLayout>
          <c:layoutTarget val="inner"/>
          <c:xMode val="edge"/>
          <c:yMode val="edge"/>
          <c:x val="7.1224466506904033E-2"/>
          <c:y val="7.5616446156444389E-2"/>
          <c:w val="0.57508230927201043"/>
          <c:h val="0.86466476534538173"/>
        </c:manualLayout>
      </c:layout>
      <c:lineChart>
        <c:grouping val="standard"/>
        <c:varyColors val="0"/>
        <c:ser>
          <c:idx val="0"/>
          <c:order val="0"/>
          <c:tx>
            <c:strRef>
              <c:f>'Court Applications'!$AL$147</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AE45-4685-BE25-D10B72C4BE5F}"/>
              </c:ext>
            </c:extLst>
          </c:dPt>
          <c:cat>
            <c:strRef>
              <c:f>'Court Applications'!$Z$2:$AD$3</c:f>
              <c:strCache>
                <c:ptCount val="5"/>
                <c:pt idx="0">
                  <c:v>2015-16</c:v>
                </c:pt>
                <c:pt idx="1">
                  <c:v>2016-17</c:v>
                </c:pt>
                <c:pt idx="2">
                  <c:v>2017-18</c:v>
                </c:pt>
                <c:pt idx="3">
                  <c:v>2018-19</c:v>
                </c:pt>
                <c:pt idx="4">
                  <c:v>2019-20</c:v>
                </c:pt>
              </c:strCache>
            </c:strRef>
          </c:cat>
          <c:val>
            <c:numRef>
              <c:f>'Court Applications'!$AM$147:$AQ$147</c:f>
              <c:numCache>
                <c:formatCode>0.0</c:formatCode>
                <c:ptCount val="5"/>
                <c:pt idx="0">
                  <c:v>18.085106382978722</c:v>
                </c:pt>
                <c:pt idx="1">
                  <c:v>18.794326241134751</c:v>
                </c:pt>
                <c:pt idx="2">
                  <c:v>30.60498220640569</c:v>
                </c:pt>
                <c:pt idx="3">
                  <c:v>25.088339222614842</c:v>
                </c:pt>
                <c:pt idx="4">
                  <c:v>15.845070422535212</c:v>
                </c:pt>
              </c:numCache>
            </c:numRef>
          </c:val>
          <c:smooth val="0"/>
          <c:extLst>
            <c:ext xmlns:c16="http://schemas.microsoft.com/office/drawing/2014/chart" uri="{C3380CC4-5D6E-409C-BE32-E72D297353CC}">
              <c16:uniqueId val="{00000001-AE45-4685-BE25-D10B72C4BE5F}"/>
            </c:ext>
          </c:extLst>
        </c:ser>
        <c:ser>
          <c:idx val="1"/>
          <c:order val="1"/>
          <c:tx>
            <c:strRef>
              <c:f>'Court Applications'!$AL$148</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Applications'!$AM$148:$AQ$148</c:f>
              <c:numCache>
                <c:formatCode>0.0</c:formatCode>
                <c:ptCount val="5"/>
                <c:pt idx="0">
                  <c:v>28.7109375</c:v>
                </c:pt>
                <c:pt idx="1">
                  <c:v>32.163742690058484</c:v>
                </c:pt>
                <c:pt idx="2">
                  <c:v>24.117647058823529</c:v>
                </c:pt>
                <c:pt idx="3">
                  <c:v>20.3921568627451</c:v>
                </c:pt>
                <c:pt idx="4">
                  <c:v>25.248508946322069</c:v>
                </c:pt>
              </c:numCache>
            </c:numRef>
          </c:val>
          <c:smooth val="0"/>
          <c:extLst>
            <c:ext xmlns:c16="http://schemas.microsoft.com/office/drawing/2014/chart" uri="{C3380CC4-5D6E-409C-BE32-E72D297353CC}">
              <c16:uniqueId val="{00000002-AE45-4685-BE25-D10B72C4BE5F}"/>
            </c:ext>
          </c:extLst>
        </c:ser>
        <c:ser>
          <c:idx val="2"/>
          <c:order val="2"/>
          <c:tx>
            <c:strRef>
              <c:f>'Court Applications'!$AL$149</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Applications'!$AM$149:$AQ$149</c:f>
              <c:numCache>
                <c:formatCode>0.0</c:formatCode>
                <c:ptCount val="5"/>
                <c:pt idx="0">
                  <c:v>15.671641791044776</c:v>
                </c:pt>
                <c:pt idx="1">
                  <c:v>14.402618657937806</c:v>
                </c:pt>
                <c:pt idx="2">
                  <c:v>11.535337124289196</c:v>
                </c:pt>
                <c:pt idx="3">
                  <c:v>13.435237329042639</c:v>
                </c:pt>
                <c:pt idx="4">
                  <c:v>11.058074781225139</c:v>
                </c:pt>
              </c:numCache>
            </c:numRef>
          </c:val>
          <c:smooth val="0"/>
          <c:extLst>
            <c:ext xmlns:c16="http://schemas.microsoft.com/office/drawing/2014/chart" uri="{C3380CC4-5D6E-409C-BE32-E72D297353CC}">
              <c16:uniqueId val="{00000003-AE45-4685-BE25-D10B72C4BE5F}"/>
            </c:ext>
          </c:extLst>
        </c:ser>
        <c:ser>
          <c:idx val="5"/>
          <c:order val="3"/>
          <c:tx>
            <c:strRef>
              <c:f>'Court Applications'!$AL$150</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Applications'!$AM$150:$AQ$150</c:f>
              <c:numCache>
                <c:formatCode>0.0</c:formatCode>
                <c:ptCount val="5"/>
                <c:pt idx="0">
                  <c:v>12.653446647780925</c:v>
                </c:pt>
                <c:pt idx="1">
                  <c:v>14.919735599622285</c:v>
                </c:pt>
                <c:pt idx="2">
                  <c:v>13.113207547169811</c:v>
                </c:pt>
                <c:pt idx="3">
                  <c:v>11.654135338345865</c:v>
                </c:pt>
                <c:pt idx="4">
                  <c:v>10.06585136406397</c:v>
                </c:pt>
              </c:numCache>
            </c:numRef>
          </c:val>
          <c:smooth val="0"/>
          <c:extLst>
            <c:ext xmlns:c16="http://schemas.microsoft.com/office/drawing/2014/chart" uri="{C3380CC4-5D6E-409C-BE32-E72D297353CC}">
              <c16:uniqueId val="{00000004-AE45-4685-BE25-D10B72C4BE5F}"/>
            </c:ext>
          </c:extLst>
        </c:ser>
        <c:ser>
          <c:idx val="9"/>
          <c:order val="4"/>
          <c:tx>
            <c:strRef>
              <c:f>'Court Applications'!$AL$151</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Applications'!$AM$151:$AQ$151</c:f>
              <c:numCache>
                <c:formatCode>0.0</c:formatCode>
                <c:ptCount val="5"/>
                <c:pt idx="0">
                  <c:v>11.741752394466122</c:v>
                </c:pt>
                <c:pt idx="1">
                  <c:v>14.108910891089108</c:v>
                </c:pt>
                <c:pt idx="2">
                  <c:v>15.884221673138017</c:v>
                </c:pt>
                <c:pt idx="3">
                  <c:v>15.457746478873238</c:v>
                </c:pt>
                <c:pt idx="4">
                  <c:v>11.537108688005627</c:v>
                </c:pt>
              </c:numCache>
            </c:numRef>
          </c:val>
          <c:smooth val="0"/>
          <c:extLst>
            <c:ext xmlns:c16="http://schemas.microsoft.com/office/drawing/2014/chart" uri="{C3380CC4-5D6E-409C-BE32-E72D297353CC}">
              <c16:uniqueId val="{00000005-AE45-4685-BE25-D10B72C4BE5F}"/>
            </c:ext>
          </c:extLst>
        </c:ser>
        <c:ser>
          <c:idx val="10"/>
          <c:order val="5"/>
          <c:tx>
            <c:strRef>
              <c:f>'Court Applications'!$AL$152</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Applications'!$AM$152:$AQ$152</c:f>
              <c:numCache>
                <c:formatCode>0.0</c:formatCode>
                <c:ptCount val="5"/>
                <c:pt idx="0">
                  <c:v>19.367588932806324</c:v>
                </c:pt>
                <c:pt idx="1">
                  <c:v>22.619047619047617</c:v>
                </c:pt>
                <c:pt idx="2">
                  <c:v>31.474103585657371</c:v>
                </c:pt>
                <c:pt idx="3">
                  <c:v>24.899598393574298</c:v>
                </c:pt>
                <c:pt idx="4">
                  <c:v>18.218623481781375</c:v>
                </c:pt>
              </c:numCache>
            </c:numRef>
          </c:val>
          <c:smooth val="0"/>
          <c:extLst>
            <c:ext xmlns:c16="http://schemas.microsoft.com/office/drawing/2014/chart" uri="{C3380CC4-5D6E-409C-BE32-E72D297353CC}">
              <c16:uniqueId val="{00000006-AE45-4685-BE25-D10B72C4BE5F}"/>
            </c:ext>
          </c:extLst>
        </c:ser>
        <c:ser>
          <c:idx val="11"/>
          <c:order val="6"/>
          <c:tx>
            <c:strRef>
              <c:f>'Court Applications'!$AL$153</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Applications'!$AM$153:$AQ$153</c:f>
              <c:numCache>
                <c:formatCode>0.0</c:formatCode>
                <c:ptCount val="5"/>
                <c:pt idx="0">
                  <c:v>15.13317191283293</c:v>
                </c:pt>
                <c:pt idx="1">
                  <c:v>15.675675675675675</c:v>
                </c:pt>
                <c:pt idx="2">
                  <c:v>14.519488247545372</c:v>
                </c:pt>
                <c:pt idx="3">
                  <c:v>11.114378124081153</c:v>
                </c:pt>
                <c:pt idx="4">
                  <c:v>13.263525305410122</c:v>
                </c:pt>
              </c:numCache>
            </c:numRef>
          </c:val>
          <c:smooth val="0"/>
          <c:extLst>
            <c:ext xmlns:c16="http://schemas.microsoft.com/office/drawing/2014/chart" uri="{C3380CC4-5D6E-409C-BE32-E72D297353CC}">
              <c16:uniqueId val="{00000007-AE45-4685-BE25-D10B72C4BE5F}"/>
            </c:ext>
          </c:extLst>
        </c:ser>
        <c:ser>
          <c:idx val="12"/>
          <c:order val="7"/>
          <c:tx>
            <c:strRef>
              <c:f>'Court Applications'!$AL$154</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Applications'!$AM$154:$AQ$154</c:f>
              <c:numCache>
                <c:formatCode>0.0</c:formatCode>
                <c:ptCount val="5"/>
                <c:pt idx="0">
                  <c:v>39.556962025316459</c:v>
                </c:pt>
                <c:pt idx="1">
                  <c:v>14.599686028257457</c:v>
                </c:pt>
                <c:pt idx="2">
                  <c:v>22.222222222222221</c:v>
                </c:pt>
                <c:pt idx="3">
                  <c:v>18.322981366459629</c:v>
                </c:pt>
                <c:pt idx="4">
                  <c:v>23.846153846153847</c:v>
                </c:pt>
              </c:numCache>
            </c:numRef>
          </c:val>
          <c:smooth val="0"/>
          <c:extLst>
            <c:ext xmlns:c16="http://schemas.microsoft.com/office/drawing/2014/chart" uri="{C3380CC4-5D6E-409C-BE32-E72D297353CC}">
              <c16:uniqueId val="{00000008-AE45-4685-BE25-D10B72C4BE5F}"/>
            </c:ext>
          </c:extLst>
        </c:ser>
        <c:ser>
          <c:idx val="13"/>
          <c:order val="8"/>
          <c:tx>
            <c:strRef>
              <c:f>'Court Applications'!$AL$155</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Applications'!$AM$155:$AQ$155</c:f>
              <c:numCache>
                <c:formatCode>0.0</c:formatCode>
                <c:ptCount val="5"/>
                <c:pt idx="0">
                  <c:v>17.246596066565811</c:v>
                </c:pt>
                <c:pt idx="1">
                  <c:v>23.69597615499255</c:v>
                </c:pt>
                <c:pt idx="2">
                  <c:v>15.236686390532546</c:v>
                </c:pt>
                <c:pt idx="3">
                  <c:v>17.715959004392388</c:v>
                </c:pt>
                <c:pt idx="4">
                  <c:v>15.261627906976743</c:v>
                </c:pt>
              </c:numCache>
            </c:numRef>
          </c:val>
          <c:smooth val="0"/>
          <c:extLst>
            <c:ext xmlns:c16="http://schemas.microsoft.com/office/drawing/2014/chart" uri="{C3380CC4-5D6E-409C-BE32-E72D297353CC}">
              <c16:uniqueId val="{00000009-AE45-4685-BE25-D10B72C4BE5F}"/>
            </c:ext>
          </c:extLst>
        </c:ser>
        <c:ser>
          <c:idx val="15"/>
          <c:order val="9"/>
          <c:tx>
            <c:strRef>
              <c:f>'Court Applications'!$AL$156</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Applications'!$AM$156:$AQ$156</c:f>
              <c:numCache>
                <c:formatCode>0.0</c:formatCode>
                <c:ptCount val="5"/>
                <c:pt idx="0">
                  <c:v>19.2524682651622</c:v>
                </c:pt>
                <c:pt idx="1">
                  <c:v>18.054583624912524</c:v>
                </c:pt>
                <c:pt idx="2">
                  <c:v>16.387726638772666</c:v>
                </c:pt>
                <c:pt idx="3">
                  <c:v>18.439226519337016</c:v>
                </c:pt>
                <c:pt idx="4">
                  <c:v>17.111567419575632</c:v>
                </c:pt>
              </c:numCache>
            </c:numRef>
          </c:val>
          <c:smooth val="0"/>
          <c:extLst>
            <c:ext xmlns:c16="http://schemas.microsoft.com/office/drawing/2014/chart" uri="{C3380CC4-5D6E-409C-BE32-E72D297353CC}">
              <c16:uniqueId val="{0000000A-AE45-4685-BE25-D10B72C4BE5F}"/>
            </c:ext>
          </c:extLst>
        </c:ser>
        <c:ser>
          <c:idx val="16"/>
          <c:order val="10"/>
          <c:tx>
            <c:strRef>
              <c:f>'Court Applications'!$AL$157</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Applications'!$AM$157:$AQ$157</c:f>
              <c:numCache>
                <c:formatCode>0.0</c:formatCode>
                <c:ptCount val="5"/>
                <c:pt idx="0">
                  <c:v>14.611872146118722</c:v>
                </c:pt>
                <c:pt idx="1">
                  <c:v>18.636363636363637</c:v>
                </c:pt>
                <c:pt idx="2">
                  <c:v>26.696832579185518</c:v>
                </c:pt>
                <c:pt idx="3">
                  <c:v>24.545454545454543</c:v>
                </c:pt>
                <c:pt idx="4">
                  <c:v>18.721461187214611</c:v>
                </c:pt>
              </c:numCache>
            </c:numRef>
          </c:val>
          <c:smooth val="0"/>
          <c:extLst>
            <c:ext xmlns:c16="http://schemas.microsoft.com/office/drawing/2014/chart" uri="{C3380CC4-5D6E-409C-BE32-E72D297353CC}">
              <c16:uniqueId val="{0000000B-AE45-4685-BE25-D10B72C4BE5F}"/>
            </c:ext>
          </c:extLst>
        </c:ser>
        <c:ser>
          <c:idx val="17"/>
          <c:order val="11"/>
          <c:tx>
            <c:strRef>
              <c:f>'Court Applications'!$AL$158</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Applications'!$AM$158:$AQ$158</c:f>
              <c:numCache>
                <c:formatCode>0.0</c:formatCode>
                <c:ptCount val="5"/>
                <c:pt idx="0">
                  <c:v>30.76923076923077</c:v>
                </c:pt>
                <c:pt idx="1">
                  <c:v>33.333333333333336</c:v>
                </c:pt>
                <c:pt idx="2">
                  <c:v>23.989218328840973</c:v>
                </c:pt>
                <c:pt idx="3">
                  <c:v>31.266846361185987</c:v>
                </c:pt>
                <c:pt idx="4">
                  <c:v>20.540540540540544</c:v>
                </c:pt>
              </c:numCache>
            </c:numRef>
          </c:val>
          <c:smooth val="0"/>
          <c:extLst>
            <c:ext xmlns:c16="http://schemas.microsoft.com/office/drawing/2014/chart" uri="{C3380CC4-5D6E-409C-BE32-E72D297353CC}">
              <c16:uniqueId val="{0000000C-AE45-4685-BE25-D10B72C4BE5F}"/>
            </c:ext>
          </c:extLst>
        </c:ser>
        <c:ser>
          <c:idx val="19"/>
          <c:order val="12"/>
          <c:tx>
            <c:strRef>
              <c:f>'Court Applications'!$AL$159</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Applications'!$AM$159:$AQ$159</c:f>
              <c:numCache>
                <c:formatCode>0.0</c:formatCode>
                <c:ptCount val="5"/>
                <c:pt idx="0">
                  <c:v>23.645320197044335</c:v>
                </c:pt>
                <c:pt idx="1">
                  <c:v>16.666666666666668</c:v>
                </c:pt>
                <c:pt idx="2">
                  <c:v>21.563981042654028</c:v>
                </c:pt>
                <c:pt idx="3">
                  <c:v>22.716627634660423</c:v>
                </c:pt>
                <c:pt idx="4">
                  <c:v>18.793503480278421</c:v>
                </c:pt>
              </c:numCache>
            </c:numRef>
          </c:val>
          <c:smooth val="0"/>
          <c:extLst>
            <c:ext xmlns:c16="http://schemas.microsoft.com/office/drawing/2014/chart" uri="{C3380CC4-5D6E-409C-BE32-E72D297353CC}">
              <c16:uniqueId val="{0000000D-AE45-4685-BE25-D10B72C4BE5F}"/>
            </c:ext>
          </c:extLst>
        </c:ser>
        <c:ser>
          <c:idx val="3"/>
          <c:order val="13"/>
          <c:tx>
            <c:strRef>
              <c:f>'Court Applications'!$AL$160</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Applications'!$AM$160:$AQ$160</c:f>
              <c:numCache>
                <c:formatCode>0.0</c:formatCode>
                <c:ptCount val="5"/>
                <c:pt idx="0">
                  <c:v>21.520146520146522</c:v>
                </c:pt>
                <c:pt idx="1">
                  <c:v>22.242479489516864</c:v>
                </c:pt>
                <c:pt idx="2">
                  <c:v>18.346957311534968</c:v>
                </c:pt>
                <c:pt idx="3">
                  <c:v>16.621499548328817</c:v>
                </c:pt>
                <c:pt idx="4">
                  <c:v>17.086330935251798</c:v>
                </c:pt>
              </c:numCache>
            </c:numRef>
          </c:val>
          <c:smooth val="0"/>
          <c:extLst>
            <c:ext xmlns:c16="http://schemas.microsoft.com/office/drawing/2014/chart" uri="{C3380CC4-5D6E-409C-BE32-E72D297353CC}">
              <c16:uniqueId val="{0000000E-AE45-4685-BE25-D10B72C4BE5F}"/>
            </c:ext>
          </c:extLst>
        </c:ser>
        <c:ser>
          <c:idx val="20"/>
          <c:order val="14"/>
          <c:tx>
            <c:strRef>
              <c:f>'Court Applications'!$AL$161</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Applications'!$AM$161:$AQ$161</c:f>
              <c:numCache>
                <c:formatCode>0.0</c:formatCode>
                <c:ptCount val="5"/>
                <c:pt idx="0">
                  <c:v>31.504065040650406</c:v>
                </c:pt>
                <c:pt idx="1">
                  <c:v>31.663326653306612</c:v>
                </c:pt>
                <c:pt idx="2">
                  <c:v>26.043737574552683</c:v>
                </c:pt>
                <c:pt idx="3">
                  <c:v>24.409448818897641</c:v>
                </c:pt>
                <c:pt idx="4">
                  <c:v>30.799220272904481</c:v>
                </c:pt>
              </c:numCache>
            </c:numRef>
          </c:val>
          <c:smooth val="0"/>
          <c:extLst>
            <c:ext xmlns:c16="http://schemas.microsoft.com/office/drawing/2014/chart" uri="{C3380CC4-5D6E-409C-BE32-E72D297353CC}">
              <c16:uniqueId val="{0000000F-AE45-4685-BE25-D10B72C4BE5F}"/>
            </c:ext>
          </c:extLst>
        </c:ser>
        <c:ser>
          <c:idx val="22"/>
          <c:order val="15"/>
          <c:tx>
            <c:strRef>
              <c:f>'Court Applications'!$AL$162</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Applications'!$AM$162:$AQ$162</c:f>
              <c:numCache>
                <c:formatCode>0.0</c:formatCode>
                <c:ptCount val="5"/>
                <c:pt idx="0">
                  <c:v>9.5553822152886116</c:v>
                </c:pt>
                <c:pt idx="1">
                  <c:v>11.042471042471043</c:v>
                </c:pt>
                <c:pt idx="2">
                  <c:v>13.676527084133692</c:v>
                </c:pt>
                <c:pt idx="3">
                  <c:v>12.867506681939672</c:v>
                </c:pt>
                <c:pt idx="4">
                  <c:v>8.9840788476118281</c:v>
                </c:pt>
              </c:numCache>
            </c:numRef>
          </c:val>
          <c:smooth val="0"/>
          <c:extLst>
            <c:ext xmlns:c16="http://schemas.microsoft.com/office/drawing/2014/chart" uri="{C3380CC4-5D6E-409C-BE32-E72D297353CC}">
              <c16:uniqueId val="{00000010-AE45-4685-BE25-D10B72C4BE5F}"/>
            </c:ext>
          </c:extLst>
        </c:ser>
        <c:ser>
          <c:idx val="7"/>
          <c:order val="16"/>
          <c:tx>
            <c:strRef>
              <c:f>'Court Applications'!$AL$163</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'Court Applications'!$Z$2:$AD$3</c:f>
              <c:strCache>
                <c:ptCount val="5"/>
                <c:pt idx="0">
                  <c:v>2015-16</c:v>
                </c:pt>
                <c:pt idx="1">
                  <c:v>2016-17</c:v>
                </c:pt>
                <c:pt idx="2">
                  <c:v>2017-18</c:v>
                </c:pt>
                <c:pt idx="3">
                  <c:v>2018-19</c:v>
                </c:pt>
                <c:pt idx="4">
                  <c:v>2019-20</c:v>
                </c:pt>
              </c:strCache>
            </c:strRef>
          </c:cat>
          <c:val>
            <c:numRef>
              <c:f>'Court Applications'!$AM$163:$AQ$163</c:f>
              <c:numCache>
                <c:formatCode>0.0</c:formatCode>
                <c:ptCount val="5"/>
                <c:pt idx="0">
                  <c:v>19.183673469387756</c:v>
                </c:pt>
                <c:pt idx="1">
                  <c:v>27.272727272727273</c:v>
                </c:pt>
                <c:pt idx="2">
                  <c:v>28.056112224448896</c:v>
                </c:pt>
                <c:pt idx="3">
                  <c:v>27.091633466135455</c:v>
                </c:pt>
                <c:pt idx="4">
                  <c:v>17.063492063492063</c:v>
                </c:pt>
              </c:numCache>
            </c:numRef>
          </c:val>
          <c:smooth val="0"/>
          <c:extLst>
            <c:ext xmlns:c16="http://schemas.microsoft.com/office/drawing/2014/chart" uri="{C3380CC4-5D6E-409C-BE32-E72D297353CC}">
              <c16:uniqueId val="{00000011-AE45-4685-BE25-D10B72C4BE5F}"/>
            </c:ext>
          </c:extLst>
        </c:ser>
        <c:ser>
          <c:idx val="8"/>
          <c:order val="17"/>
          <c:tx>
            <c:strRef>
              <c:f>'Court Applications'!$AL$164</c:f>
              <c:strCache>
                <c:ptCount val="1"/>
                <c:pt idx="0">
                  <c:v>Torbay</c:v>
                </c:pt>
              </c:strCache>
            </c:strRef>
          </c:tx>
          <c:spPr>
            <a:ln w="12700"/>
          </c:spPr>
          <c:marker>
            <c:symbol val="circle"/>
            <c:size val="5"/>
            <c:spPr>
              <a:solidFill>
                <a:schemeClr val="accent3">
                  <a:lumMod val="20000"/>
                  <a:lumOff val="80000"/>
                </a:schemeClr>
              </a:solidFill>
            </c:spPr>
          </c:marker>
          <c:cat>
            <c:strRef>
              <c:f>'Court Applications'!$Z$2:$AD$3</c:f>
              <c:strCache>
                <c:ptCount val="5"/>
                <c:pt idx="0">
                  <c:v>2015-16</c:v>
                </c:pt>
                <c:pt idx="1">
                  <c:v>2016-17</c:v>
                </c:pt>
                <c:pt idx="2">
                  <c:v>2017-18</c:v>
                </c:pt>
                <c:pt idx="3">
                  <c:v>2018-19</c:v>
                </c:pt>
                <c:pt idx="4">
                  <c:v>2019-20</c:v>
                </c:pt>
              </c:strCache>
            </c:strRef>
          </c:cat>
          <c:val>
            <c:numRef>
              <c:f>'Court Applications'!$AM$164:$AQ$164</c:f>
              <c:numCache>
                <c:formatCode>0.0</c:formatCode>
                <c:ptCount val="5"/>
                <c:pt idx="0">
                  <c:v>36.111111111111107</c:v>
                </c:pt>
                <c:pt idx="1">
                  <c:v>29.133858267716533</c:v>
                </c:pt>
                <c:pt idx="2">
                  <c:v>37.00787401574803</c:v>
                </c:pt>
                <c:pt idx="3">
                  <c:v>40.15748031496063</c:v>
                </c:pt>
                <c:pt idx="4">
                  <c:v>39.0625</c:v>
                </c:pt>
              </c:numCache>
            </c:numRef>
          </c:val>
          <c:smooth val="0"/>
          <c:extLst>
            <c:ext xmlns:c16="http://schemas.microsoft.com/office/drawing/2014/chart" uri="{C3380CC4-5D6E-409C-BE32-E72D297353CC}">
              <c16:uniqueId val="{00000012-AE45-4685-BE25-D10B72C4BE5F}"/>
            </c:ext>
          </c:extLst>
        </c:ser>
        <c:ser>
          <c:idx val="23"/>
          <c:order val="18"/>
          <c:tx>
            <c:strRef>
              <c:f>'Court Applications'!$AL$165</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Applications'!$AM$165:$AQ$165</c:f>
              <c:numCache>
                <c:formatCode>0.0</c:formatCode>
                <c:ptCount val="5"/>
                <c:pt idx="0">
                  <c:v>20.728291316526612</c:v>
                </c:pt>
                <c:pt idx="1">
                  <c:v>20.612813370473539</c:v>
                </c:pt>
                <c:pt idx="2">
                  <c:v>19.83240223463687</c:v>
                </c:pt>
                <c:pt idx="3">
                  <c:v>13.48314606741573</c:v>
                </c:pt>
                <c:pt idx="4">
                  <c:v>11.51685393258427</c:v>
                </c:pt>
              </c:numCache>
            </c:numRef>
          </c:val>
          <c:smooth val="0"/>
          <c:extLst>
            <c:ext xmlns:c16="http://schemas.microsoft.com/office/drawing/2014/chart" uri="{C3380CC4-5D6E-409C-BE32-E72D297353CC}">
              <c16:uniqueId val="{00000013-AE45-4685-BE25-D10B72C4BE5F}"/>
            </c:ext>
          </c:extLst>
        </c:ser>
        <c:ser>
          <c:idx val="24"/>
          <c:order val="19"/>
          <c:tx>
            <c:strRef>
              <c:f>'Court Applications'!$AL$166</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Applications'!$AM$166:$AQ$166</c:f>
              <c:numCache>
                <c:formatCode>0.0</c:formatCode>
                <c:ptCount val="5"/>
                <c:pt idx="0">
                  <c:v>12.676056338028168</c:v>
                </c:pt>
                <c:pt idx="1">
                  <c:v>13.795110593713622</c:v>
                </c:pt>
                <c:pt idx="2">
                  <c:v>15.637622619734564</c:v>
                </c:pt>
                <c:pt idx="3">
                  <c:v>13.737836290784202</c:v>
                </c:pt>
                <c:pt idx="4">
                  <c:v>19.080068143100512</c:v>
                </c:pt>
              </c:numCache>
            </c:numRef>
          </c:val>
          <c:smooth val="0"/>
          <c:extLst>
            <c:ext xmlns:c16="http://schemas.microsoft.com/office/drawing/2014/chart" uri="{C3380CC4-5D6E-409C-BE32-E72D297353CC}">
              <c16:uniqueId val="{00000014-AE45-4685-BE25-D10B72C4BE5F}"/>
            </c:ext>
          </c:extLst>
        </c:ser>
        <c:ser>
          <c:idx val="25"/>
          <c:order val="20"/>
          <c:tx>
            <c:strRef>
              <c:f>'Court Applications'!$AL$167</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Applications'!$AM$167:$AQ$167</c:f>
              <c:numCache>
                <c:formatCode>0.0</c:formatCode>
                <c:ptCount val="5"/>
                <c:pt idx="0">
                  <c:v>6.2314540059347179</c:v>
                </c:pt>
                <c:pt idx="1">
                  <c:v>9.9415204678362574</c:v>
                </c:pt>
                <c:pt idx="2">
                  <c:v>9.3023255813953494</c:v>
                </c:pt>
                <c:pt idx="3">
                  <c:v>13.294797687861271</c:v>
                </c:pt>
                <c:pt idx="4">
                  <c:v>11.527377521613833</c:v>
                </c:pt>
              </c:numCache>
            </c:numRef>
          </c:val>
          <c:smooth val="0"/>
          <c:extLst>
            <c:ext xmlns:c16="http://schemas.microsoft.com/office/drawing/2014/chart" uri="{C3380CC4-5D6E-409C-BE32-E72D297353CC}">
              <c16:uniqueId val="{00000015-AE45-4685-BE25-D10B72C4BE5F}"/>
            </c:ext>
          </c:extLst>
        </c:ser>
        <c:ser>
          <c:idx val="26"/>
          <c:order val="21"/>
          <c:tx>
            <c:strRef>
              <c:f>'Court Applications'!$AL$168</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Applications'!$AM$168:$AQ$168</c:f>
              <c:numCache>
                <c:formatCode>0.0</c:formatCode>
                <c:ptCount val="5"/>
                <c:pt idx="0">
                  <c:v>8.310991957104557</c:v>
                </c:pt>
                <c:pt idx="1">
                  <c:v>7.1052631578947372</c:v>
                </c:pt>
                <c:pt idx="2">
                  <c:v>11.36950904392765</c:v>
                </c:pt>
                <c:pt idx="3">
                  <c:v>12.151898734177216</c:v>
                </c:pt>
                <c:pt idx="4">
                  <c:v>9.9009900990099009</c:v>
                </c:pt>
              </c:numCache>
            </c:numRef>
          </c:val>
          <c:smooth val="0"/>
          <c:extLst>
            <c:ext xmlns:c16="http://schemas.microsoft.com/office/drawing/2014/chart" uri="{C3380CC4-5D6E-409C-BE32-E72D297353CC}">
              <c16:uniqueId val="{00000016-AE45-4685-BE25-D10B72C4BE5F}"/>
            </c:ext>
          </c:extLst>
        </c:ser>
        <c:ser>
          <c:idx val="4"/>
          <c:order val="22"/>
          <c:tx>
            <c:strRef>
              <c:f>'Court Applications'!$AL$169</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'Court Applications'!$Z$2:$AD$3</c:f>
              <c:strCache>
                <c:ptCount val="5"/>
                <c:pt idx="0">
                  <c:v>2015-16</c:v>
                </c:pt>
                <c:pt idx="1">
                  <c:v>2016-17</c:v>
                </c:pt>
                <c:pt idx="2">
                  <c:v>2017-18</c:v>
                </c:pt>
                <c:pt idx="3">
                  <c:v>2018-19</c:v>
                </c:pt>
                <c:pt idx="4">
                  <c:v>2019-20</c:v>
                </c:pt>
              </c:strCache>
            </c:strRef>
          </c:cat>
          <c:val>
            <c:numRef>
              <c:f>'Court Applications'!$AM$169:$AQ$169</c:f>
              <c:numCache>
                <c:formatCode>0.0</c:formatCode>
                <c:ptCount val="5"/>
                <c:pt idx="0">
                  <c:v>15.911579166883897</c:v>
                </c:pt>
                <c:pt idx="1">
                  <c:v>16.185599006828056</c:v>
                </c:pt>
                <c:pt idx="2">
                  <c:v>16.410309172282524</c:v>
                </c:pt>
                <c:pt idx="3">
                  <c:v>15.402298850574713</c:v>
                </c:pt>
                <c:pt idx="4">
                  <c:v>14.461991570608845</c:v>
                </c:pt>
              </c:numCache>
            </c:numRef>
          </c:val>
          <c:smooth val="0"/>
          <c:extLst>
            <c:ext xmlns:c16="http://schemas.microsoft.com/office/drawing/2014/chart" uri="{C3380CC4-5D6E-409C-BE32-E72D297353CC}">
              <c16:uniqueId val="{00000017-AE45-4685-BE25-D10B72C4BE5F}"/>
            </c:ext>
          </c:extLst>
        </c:ser>
        <c:ser>
          <c:idx val="14"/>
          <c:order val="23"/>
          <c:tx>
            <c:strRef>
              <c:f>'Court Applications'!$AL$170</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'Court Applications'!$Z$2:$AD$3</c:f>
              <c:strCache>
                <c:ptCount val="5"/>
                <c:pt idx="0">
                  <c:v>2015-16</c:v>
                </c:pt>
                <c:pt idx="1">
                  <c:v>2016-17</c:v>
                </c:pt>
                <c:pt idx="2">
                  <c:v>2017-18</c:v>
                </c:pt>
                <c:pt idx="3">
                  <c:v>2018-19</c:v>
                </c:pt>
                <c:pt idx="4">
                  <c:v>2019-20</c:v>
                </c:pt>
              </c:strCache>
            </c:strRef>
          </c:cat>
          <c:val>
            <c:numRef>
              <c:f>'Court Applications'!$AM$170:$AQ$170</c:f>
              <c:numCache>
                <c:formatCode>0.0</c:formatCode>
                <c:ptCount val="5"/>
                <c:pt idx="0">
                  <c:v>18.208753286121649</c:v>
                </c:pt>
                <c:pt idx="1">
                  <c:v>20.444112580927086</c:v>
                </c:pt>
                <c:pt idx="2">
                  <c:v>19.892137861296028</c:v>
                </c:pt>
                <c:pt idx="3">
                  <c:v>18.447292255700734</c:v>
                </c:pt>
                <c:pt idx="4">
                  <c:v>17.552979141022654</c:v>
                </c:pt>
              </c:numCache>
            </c:numRef>
          </c:val>
          <c:smooth val="0"/>
          <c:extLst>
            <c:ext xmlns:c16="http://schemas.microsoft.com/office/drawing/2014/chart" uri="{C3380CC4-5D6E-409C-BE32-E72D297353CC}">
              <c16:uniqueId val="{00000018-AE45-4685-BE25-D10B72C4BE5F}"/>
            </c:ext>
          </c:extLst>
        </c:ser>
        <c:ser>
          <c:idx val="6"/>
          <c:order val="24"/>
          <c:tx>
            <c:strRef>
              <c:f>'Court Applications'!$AL$171</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'Court Applications'!$Z$2:$AD$3</c:f>
              <c:strCache>
                <c:ptCount val="5"/>
                <c:pt idx="0">
                  <c:v>2015-16</c:v>
                </c:pt>
                <c:pt idx="1">
                  <c:v>2016-17</c:v>
                </c:pt>
                <c:pt idx="2">
                  <c:v>2017-18</c:v>
                </c:pt>
                <c:pt idx="3">
                  <c:v>2018-19</c:v>
                </c:pt>
                <c:pt idx="4">
                  <c:v>2019-20</c:v>
                </c:pt>
              </c:strCache>
            </c:strRef>
          </c:cat>
          <c:val>
            <c:numRef>
              <c:f>'Court Applications'!$AM$171:$AQ$171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AE45-4685-BE25-D10B72C4BE5F}"/>
            </c:ext>
          </c:extLst>
        </c:ser>
        <c:dLbls>
          <c:showLegendKey val="0"/>
          <c:showVal val="0"/>
          <c:showCatName val="0"/>
          <c:showSerName val="0"/>
          <c:showPercent val="0"/>
          <c:showBubbleSize val="0"/>
        </c:dLbls>
        <c:marker val="1"/>
        <c:smooth val="0"/>
        <c:axId val="588111232"/>
        <c:axId val="588117504"/>
      </c:lineChart>
      <c:catAx>
        <c:axId val="588111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117504"/>
        <c:crosses val="autoZero"/>
        <c:auto val="1"/>
        <c:lblAlgn val="ctr"/>
        <c:lblOffset val="100"/>
        <c:tickLblSkip val="1"/>
        <c:tickMarkSkip val="1"/>
        <c:noMultiLvlLbl val="0"/>
      </c:catAx>
      <c:valAx>
        <c:axId val="58811750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1112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Care Applications to Court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1589740217754618"/>
          <c:y val="3.8614850563034459E-3"/>
        </c:manualLayout>
      </c:layout>
      <c:overlay val="0"/>
      <c:spPr>
        <a:noFill/>
        <a:ln w="25400">
          <a:noFill/>
        </a:ln>
      </c:spPr>
    </c:title>
    <c:autoTitleDeleted val="0"/>
    <c:plotArea>
      <c:layout>
        <c:manualLayout>
          <c:layoutTarget val="inner"/>
          <c:xMode val="edge"/>
          <c:yMode val="edge"/>
          <c:x val="9.6909984154078643E-2"/>
          <c:y val="0.21104924384451942"/>
          <c:w val="0.65146216862752293"/>
          <c:h val="0.54327118787570916"/>
        </c:manualLayout>
      </c:layout>
      <c:barChart>
        <c:barDir val="col"/>
        <c:grouping val="clustered"/>
        <c:varyColors val="0"/>
        <c:ser>
          <c:idx val="6"/>
          <c:order val="0"/>
          <c:tx>
            <c:strRef>
              <c:f>'Court Applications'!$AA$4</c:f>
              <c:strCache>
                <c:ptCount val="1"/>
                <c:pt idx="0">
                  <c:v>Selected LA- (none)</c:v>
                </c:pt>
              </c:strCache>
            </c:strRef>
          </c:tx>
          <c:spPr>
            <a:solidFill>
              <a:srgbClr val="66FF99"/>
            </a:solidFill>
            <a:ln>
              <a:solidFill>
                <a:schemeClr val="tx1">
                  <a:lumMod val="75000"/>
                  <a:lumOff val="25000"/>
                </a:schemeClr>
              </a:solidFill>
            </a:ln>
          </c:spPr>
          <c:invertIfNegative val="0"/>
          <c:cat>
            <c:strRef>
              <c:f>'Court Applications'!$Z$2:$AD$3</c:f>
              <c:strCache>
                <c:ptCount val="5"/>
                <c:pt idx="0">
                  <c:v>2015-16</c:v>
                </c:pt>
                <c:pt idx="1">
                  <c:v>2016-17</c:v>
                </c:pt>
                <c:pt idx="2">
                  <c:v>2017-18</c:v>
                </c:pt>
                <c:pt idx="3">
                  <c:v>2018-19</c:v>
                </c:pt>
                <c:pt idx="4">
                  <c:v>2019-20</c:v>
                </c:pt>
              </c:strCache>
            </c:strRef>
          </c:cat>
          <c:val>
            <c:numRef>
              <c:f>'Court Applications'!$AM$171:$AQ$171</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6023-43F8-A1D3-9112DD816B4F}"/>
            </c:ext>
          </c:extLst>
        </c:ser>
        <c:ser>
          <c:idx val="4"/>
          <c:order val="1"/>
          <c:tx>
            <c:strRef>
              <c:f>'Court Applications'!$B$138</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'Court Applications'!$Z$2:$AD$3</c:f>
              <c:strCache>
                <c:ptCount val="5"/>
                <c:pt idx="0">
                  <c:v>2015-16</c:v>
                </c:pt>
                <c:pt idx="1">
                  <c:v>2016-17</c:v>
                </c:pt>
                <c:pt idx="2">
                  <c:v>2017-18</c:v>
                </c:pt>
                <c:pt idx="3">
                  <c:v>2018-19</c:v>
                </c:pt>
                <c:pt idx="4">
                  <c:v>2019-20</c:v>
                </c:pt>
              </c:strCache>
            </c:strRef>
          </c:cat>
          <c:val>
            <c:numRef>
              <c:f>'Court Applications'!$K$138:$O$138</c:f>
              <c:numCache>
                <c:formatCode>0.0</c:formatCode>
                <c:ptCount val="5"/>
                <c:pt idx="0">
                  <c:v>15.911579166883897</c:v>
                </c:pt>
                <c:pt idx="1">
                  <c:v>16.185599006828056</c:v>
                </c:pt>
                <c:pt idx="2">
                  <c:v>16.410309172282524</c:v>
                </c:pt>
                <c:pt idx="3">
                  <c:v>15.402298850574713</c:v>
                </c:pt>
                <c:pt idx="4">
                  <c:v>14.461991570608845</c:v>
                </c:pt>
              </c:numCache>
            </c:numRef>
          </c:val>
          <c:extLst>
            <c:ext xmlns:c16="http://schemas.microsoft.com/office/drawing/2014/chart" uri="{C3380CC4-5D6E-409C-BE32-E72D297353CC}">
              <c16:uniqueId val="{00000001-6023-43F8-A1D3-9112DD816B4F}"/>
            </c:ext>
          </c:extLst>
        </c:ser>
        <c:ser>
          <c:idx val="0"/>
          <c:order val="2"/>
          <c:tx>
            <c:strRef>
              <c:f>'Court Applications'!$B$139</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'Court Applications'!$Z$2:$AD$3</c:f>
              <c:strCache>
                <c:ptCount val="5"/>
                <c:pt idx="0">
                  <c:v>2015-16</c:v>
                </c:pt>
                <c:pt idx="1">
                  <c:v>2016-17</c:v>
                </c:pt>
                <c:pt idx="2">
                  <c:v>2017-18</c:v>
                </c:pt>
                <c:pt idx="3">
                  <c:v>2018-19</c:v>
                </c:pt>
                <c:pt idx="4">
                  <c:v>2019-20</c:v>
                </c:pt>
              </c:strCache>
            </c:strRef>
          </c:cat>
          <c:val>
            <c:numRef>
              <c:f>'Court Applications'!$K$139:$O$139</c:f>
              <c:numCache>
                <c:formatCode>0.0</c:formatCode>
                <c:ptCount val="5"/>
                <c:pt idx="0">
                  <c:v>18.208753286121649</c:v>
                </c:pt>
                <c:pt idx="1">
                  <c:v>20.444112580927086</c:v>
                </c:pt>
                <c:pt idx="2">
                  <c:v>19.892137861296028</c:v>
                </c:pt>
                <c:pt idx="3">
                  <c:v>18.447292255700734</c:v>
                </c:pt>
                <c:pt idx="4">
                  <c:v>17.552979141022654</c:v>
                </c:pt>
              </c:numCache>
            </c:numRef>
          </c:val>
          <c:extLst>
            <c:ext xmlns:c16="http://schemas.microsoft.com/office/drawing/2014/chart" uri="{C3380CC4-5D6E-409C-BE32-E72D297353CC}">
              <c16:uniqueId val="{00000002-6023-43F8-A1D3-9112DD816B4F}"/>
            </c:ext>
          </c:extLst>
        </c:ser>
        <c:dLbls>
          <c:showLegendKey val="0"/>
          <c:showVal val="0"/>
          <c:showCatName val="0"/>
          <c:showSerName val="0"/>
          <c:showPercent val="0"/>
          <c:showBubbleSize val="0"/>
        </c:dLbls>
        <c:gapWidth val="100"/>
        <c:axId val="588217344"/>
        <c:axId val="588227328"/>
      </c:barChart>
      <c:catAx>
        <c:axId val="588217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27328"/>
        <c:crosses val="autoZero"/>
        <c:auto val="1"/>
        <c:lblAlgn val="ctr"/>
        <c:lblOffset val="100"/>
        <c:noMultiLvlLbl val="0"/>
      </c:catAx>
      <c:valAx>
        <c:axId val="58822732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1734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396498341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Children subject to Care Applications to Court</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'Court Applications'!$U$9</c:f>
              <c:strCache>
                <c:ptCount val="1"/>
                <c:pt idx="0">
                  <c:v>Distance</c:v>
                </c:pt>
              </c:strCache>
            </c:strRef>
          </c:tx>
          <c:spPr>
            <a:solidFill>
              <a:srgbClr val="FB994F"/>
            </a:solidFill>
            <a:ln w="25400">
              <a:noFill/>
            </a:ln>
          </c:spPr>
          <c:invertIfNegative val="0"/>
          <c:cat>
            <c:strRef>
              <c:f>'Court Applications'!$Y$77:$Y$100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Applications'!$U$116:$U$139</c:f>
              <c:numCache>
                <c:formatCode>0.0</c:formatCode>
                <c:ptCount val="24"/>
                <c:pt idx="0">
                  <c:v>5.9104143697050073</c:v>
                </c:pt>
                <c:pt idx="1">
                  <c:v>7.9244733493177826</c:v>
                </c:pt>
                <c:pt idx="2">
                  <c:v>1.5852549499058153</c:v>
                </c:pt>
                <c:pt idx="3">
                  <c:v>-8.1818566759620808</c:v>
                </c:pt>
                <c:pt idx="4">
                  <c:v>0.21694397064278093</c:v>
                </c:pt>
                <c:pt idx="5">
                  <c:v>-2.2228066104213546</c:v>
                </c:pt>
                <c:pt idx="6">
                  <c:v>-4.6378055684827668</c:v>
                </c:pt>
                <c:pt idx="7">
                  <c:v>2.3655922555516398</c:v>
                </c:pt>
                <c:pt idx="8">
                  <c:v>-1.7160305238943838</c:v>
                </c:pt>
                <c:pt idx="9">
                  <c:v>5.7914027022127854</c:v>
                </c:pt>
                <c:pt idx="10">
                  <c:v>-4.2600681232979625</c:v>
                </c:pt>
                <c:pt idx="11">
                  <c:v>2.408291555892216</c:v>
                </c:pt>
                <c:pt idx="12">
                  <c:v>2.1622222155404529</c:v>
                </c:pt>
                <c:pt idx="13">
                  <c:v>1.7250992796687505</c:v>
                </c:pt>
                <c:pt idx="14">
                  <c:v>7.4713137962587517</c:v>
                </c:pt>
                <c:pt idx="15">
                  <c:v>-0.25782287295205641</c:v>
                </c:pt>
                <c:pt idx="16">
                  <c:v>0.20129268799865585</c:v>
                </c:pt>
                <c:pt idx="17">
                  <c:v>14.118166748066191</c:v>
                </c:pt>
                <c:pt idx="18">
                  <c:v>1.8131159905095071</c:v>
                </c:pt>
                <c:pt idx="19">
                  <c:v>6.7207719273381858</c:v>
                </c:pt>
                <c:pt idx="20">
                  <c:v>4.1328206870934698</c:v>
                </c:pt>
                <c:pt idx="21">
                  <c:v>3.7764828736444578</c:v>
                </c:pt>
                <c:pt idx="22">
                  <c:v>0.51944198558354771</c:v>
                </c:pt>
                <c:pt idx="23">
                  <c:v>-1.8313233174619583</c:v>
                </c:pt>
              </c:numCache>
            </c:numRef>
          </c:val>
          <c:extLst>
            <c:ext xmlns:c16="http://schemas.microsoft.com/office/drawing/2014/chart" uri="{C3380CC4-5D6E-409C-BE32-E72D297353CC}">
              <c16:uniqueId val="{00000000-BDC6-4DF9-9FA7-56B8F71E5E18}"/>
            </c:ext>
          </c:extLst>
        </c:ser>
        <c:ser>
          <c:idx val="0"/>
          <c:order val="1"/>
          <c:tx>
            <c:strRef>
              <c:f>'Court Applications'!$AA$76</c:f>
              <c:strCache>
                <c:ptCount val="1"/>
                <c:pt idx="0">
                  <c:v>Distance from Expected Chart Highlight</c:v>
                </c:pt>
              </c:strCache>
            </c:strRef>
          </c:tx>
          <c:spPr>
            <a:solidFill>
              <a:srgbClr val="66FF99"/>
            </a:solidFill>
            <a:ln w="12700">
              <a:solidFill>
                <a:srgbClr val="000000"/>
              </a:solidFill>
              <a:prstDash val="solid"/>
            </a:ln>
          </c:spPr>
          <c:invertIfNegative val="0"/>
          <c:cat>
            <c:strRef>
              <c:f>'Court Applications'!$Y$77:$Y$100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Applications'!$AA$183:$AA$206</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BDC6-4DF9-9FA7-56B8F71E5E18}"/>
            </c:ext>
          </c:extLst>
        </c:ser>
        <c:dLbls>
          <c:showLegendKey val="0"/>
          <c:showVal val="0"/>
          <c:showCatName val="0"/>
          <c:showSerName val="0"/>
          <c:showPercent val="0"/>
          <c:showBubbleSize val="0"/>
        </c:dLbls>
        <c:gapWidth val="40"/>
        <c:overlap val="100"/>
        <c:axId val="588257536"/>
        <c:axId val="588259328"/>
      </c:barChart>
      <c:catAx>
        <c:axId val="58825753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59328"/>
        <c:crossesAt val="0"/>
        <c:auto val="1"/>
        <c:lblAlgn val="ctr"/>
        <c:lblOffset val="100"/>
        <c:noMultiLvlLbl val="0"/>
      </c:catAx>
      <c:valAx>
        <c:axId val="58825932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57536"/>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'Court Applications'!$AL$111</c:f>
          <c:strCache>
            <c:ptCount val="1"/>
            <c:pt idx="0">
              <c:v>Average Annual Change in Number of Children subject to Care Applications to Court during the year ending 31st March</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'Court Applications'!$I$7</c:f>
              <c:strCache>
                <c:ptCount val="1"/>
                <c:pt idx="0">
                  <c:v>Average Annual Change </c:v>
                </c:pt>
              </c:strCache>
            </c:strRef>
          </c:tx>
          <c:spPr>
            <a:solidFill>
              <a:srgbClr val="FB994F"/>
            </a:solidFill>
            <a:ln w="25400">
              <a:noFill/>
            </a:ln>
          </c:spPr>
          <c:invertIfNegative val="0"/>
          <c:cat>
            <c:strRef>
              <c:f>'Court Applications'!$B$10:$B$33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Applications'!$I$116:$I$139</c:f>
              <c:numCache>
                <c:formatCode>0.0%</c:formatCode>
                <c:ptCount val="24"/>
                <c:pt idx="0">
                  <c:v>3.0310351989679421E-2</c:v>
                </c:pt>
                <c:pt idx="1">
                  <c:v>-1.6353543378804708E-2</c:v>
                </c:pt>
                <c:pt idx="2">
                  <c:v>-6.3393304898850145E-2</c:v>
                </c:pt>
                <c:pt idx="3">
                  <c:v>-4.6539782550829578E-2</c:v>
                </c:pt>
                <c:pt idx="4">
                  <c:v>1.3991447620742503E-2</c:v>
                </c:pt>
                <c:pt idx="5">
                  <c:v>1.4961699149583091E-2</c:v>
                </c:pt>
                <c:pt idx="6">
                  <c:v>-1.0048682333306413E-2</c:v>
                </c:pt>
                <c:pt idx="7">
                  <c:v>1.0856739489240888E-2</c:v>
                </c:pt>
                <c:pt idx="8">
                  <c:v>2.1265365209587085E-2</c:v>
                </c:pt>
                <c:pt idx="9">
                  <c:v>-1.7898135246455418E-2</c:v>
                </c:pt>
                <c:pt idx="10">
                  <c:v>9.8696971697824321E-2</c:v>
                </c:pt>
                <c:pt idx="11">
                  <c:v>-5.5665722170754217E-2</c:v>
                </c:pt>
                <c:pt idx="12">
                  <c:v>-1.5355951991009146E-2</c:v>
                </c:pt>
                <c:pt idx="13">
                  <c:v>-4.7583372609868314E-2</c:v>
                </c:pt>
                <c:pt idx="14">
                  <c:v>1.7306799160897571E-2</c:v>
                </c:pt>
                <c:pt idx="15">
                  <c:v>1.5498872992347673E-2</c:v>
                </c:pt>
                <c:pt idx="16">
                  <c:v>1.924719060200912E-2</c:v>
                </c:pt>
                <c:pt idx="17">
                  <c:v>3.7238905824637999E-2</c:v>
                </c:pt>
                <c:pt idx="18">
                  <c:v>-0.12757938396142623</c:v>
                </c:pt>
                <c:pt idx="19">
                  <c:v>0.13157274848064937</c:v>
                </c:pt>
                <c:pt idx="20">
                  <c:v>0.21682232675678967</c:v>
                </c:pt>
                <c:pt idx="21">
                  <c:v>0.10620994895188446</c:v>
                </c:pt>
                <c:pt idx="22">
                  <c:v>-2.2842620579628624E-2</c:v>
                </c:pt>
                <c:pt idx="23">
                  <c:v>1.0147689661165662E-3</c:v>
                </c:pt>
              </c:numCache>
            </c:numRef>
          </c:val>
          <c:extLst>
            <c:ext xmlns:c16="http://schemas.microsoft.com/office/drawing/2014/chart" uri="{C3380CC4-5D6E-409C-BE32-E72D297353CC}">
              <c16:uniqueId val="{00000000-1DED-42E3-89B6-808382E1FFD0}"/>
            </c:ext>
          </c:extLst>
        </c:ser>
        <c:ser>
          <c:idx val="1"/>
          <c:order val="1"/>
          <c:tx>
            <c:strRef>
              <c:f>'Court Applications'!$Z$76</c:f>
              <c:strCache>
                <c:ptCount val="1"/>
                <c:pt idx="0">
                  <c:v>Percentage Change Chart Highlight</c:v>
                </c:pt>
              </c:strCache>
            </c:strRef>
          </c:tx>
          <c:spPr>
            <a:solidFill>
              <a:srgbClr val="66FF99"/>
            </a:solidFill>
            <a:ln w="12700">
              <a:solidFill>
                <a:srgbClr val="000000"/>
              </a:solidFill>
              <a:prstDash val="solid"/>
            </a:ln>
          </c:spPr>
          <c:invertIfNegative val="0"/>
          <c:cat>
            <c:strRef>
              <c:f>'Court Applications'!$B$10:$B$33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Applications'!$Z$183:$Z$206</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1DED-42E3-89B6-808382E1FFD0}"/>
            </c:ext>
          </c:extLst>
        </c:ser>
        <c:dLbls>
          <c:showLegendKey val="0"/>
          <c:showVal val="0"/>
          <c:showCatName val="0"/>
          <c:showSerName val="0"/>
          <c:showPercent val="0"/>
          <c:showBubbleSize val="0"/>
        </c:dLbls>
        <c:gapWidth val="40"/>
        <c:overlap val="100"/>
        <c:axId val="588288384"/>
        <c:axId val="588289920"/>
      </c:barChart>
      <c:catAx>
        <c:axId val="5882883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89920"/>
        <c:crosses val="autoZero"/>
        <c:auto val="1"/>
        <c:lblAlgn val="ctr"/>
        <c:lblOffset val="100"/>
        <c:noMultiLvlLbl val="0"/>
      </c:catAx>
      <c:valAx>
        <c:axId val="58828992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8838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Care Applications</a:t>
            </a:r>
            <a:r>
              <a:rPr lang="en-GB" baseline="0"/>
              <a:t> to Court </a:t>
            </a:r>
            <a:r>
              <a:rPr lang="en-GB"/>
              <a:t>vs. IDACI</a:t>
            </a:r>
          </a:p>
        </c:rich>
      </c:tx>
      <c:layout>
        <c:manualLayout>
          <c:xMode val="edge"/>
          <c:yMode val="edge"/>
          <c:x val="0.13977883533789046"/>
          <c:y val="1.1993206731511502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'Court Applications'!$AR$144</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D20F-4F09-B786-880E8B9DA090}"/>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{9CE11029-8C81-473E-A0B1-059B595BBB38}</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D20F-4F09-B786-880E8B9DA090}"/>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{AF995043-3753-4267-AD59-DE6810A61793}</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D20F-4F09-B786-880E8B9DA090}"/>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{33F1BA00-734A-48E0-8C30-2E317B3099FE}</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D20F-4F09-B786-880E8B9DA090}"/>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{492DF0B5-CCDD-4342-B0B7-80E94AD2508A}</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D20F-4F09-B786-880E8B9DA090}"/>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{54958CF6-B200-4F86-B9ED-A2F309C11D03}</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D20F-4F09-B786-880E8B9DA090}"/>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{8B14DFA0-04E3-4662-ACAD-522DA5654403}</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D20F-4F09-B786-880E8B9DA090}"/>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{142A616C-EF33-40FB-B1B6-6795F11BBE5D}</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D20F-4F09-B786-880E8B9DA090}"/>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{58EFE859-6BFF-4F2A-9B03-0D07F5565E4F}</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D20F-4F09-B786-880E8B9DA090}"/>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{AD4D6BB1-4CE1-42B0-909B-1BCBF891D139}</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D20F-4F09-B786-880E8B9DA090}"/>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{0595A3B8-B205-4445-AEDF-A675A47524DB}</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D20F-4F09-B786-880E8B9DA090}"/>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{CD21F345-51DA-4732-A03F-668F87128465}</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D20F-4F09-B786-880E8B9DA090}"/>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{16EF2471-C656-4135-92E3-7D75D0AF41B3}</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D20F-4F09-B786-880E8B9DA090}"/>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{6364F51F-710E-4B40-98D0-CEA12B6CB3A9}</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D20F-4F09-B786-880E8B9DA090}"/>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{C1D1DD40-62BA-41A1-B7CB-B16C5481A5C1}</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D20F-4F09-B786-880E8B9DA090}"/>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{064B9373-FFDC-4451-AD09-2BF3498FD195}</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D20F-4F09-B786-880E8B9DA090}"/>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{22537541-938D-43E2-81BD-E253006AA043}</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D20F-4F09-B786-880E8B9DA090}"/>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{27B0F3FF-BEC5-48A0-B03C-9BDF00030274}</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D20F-4F09-B786-880E8B9DA090}"/>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{4F50329C-3B35-4DF2-990E-44D20FD654FE}</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D20F-4F09-B786-880E8B9DA090}"/>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{89539ECB-BDCF-4ED4-9A1C-90FED5561ACB}</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D20F-4F09-B786-880E8B9DA090}"/>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('Court Applications'!$AR$147:$AR$159,'Court Applications'!$AR$161:$AR$162,'Court Applications'!$AR$165:$AR$168)</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('Court Applications'!$AQ$147:$AQ$159,'Court Applications'!$AQ$161:$AQ$162,'Court Applications'!$AQ$165:$AQ$168)</c:f>
              <c:numCache>
                <c:formatCode>0.0</c:formatCode>
                <c:ptCount val="19"/>
                <c:pt idx="0">
                  <c:v>15.845070422535212</c:v>
                </c:pt>
                <c:pt idx="1">
                  <c:v>25.248508946322069</c:v>
                </c:pt>
                <c:pt idx="2">
                  <c:v>11.058074781225139</c:v>
                </c:pt>
                <c:pt idx="3">
                  <c:v>10.06585136406397</c:v>
                </c:pt>
                <c:pt idx="4">
                  <c:v>11.537108688005627</c:v>
                </c:pt>
                <c:pt idx="5">
                  <c:v>18.218623481781375</c:v>
                </c:pt>
                <c:pt idx="6">
                  <c:v>13.263525305410122</c:v>
                </c:pt>
                <c:pt idx="7">
                  <c:v>23.846153846153847</c:v>
                </c:pt>
                <c:pt idx="8">
                  <c:v>15.261627906976743</c:v>
                </c:pt>
                <c:pt idx="9">
                  <c:v>17.111567419575632</c:v>
                </c:pt>
                <c:pt idx="10">
                  <c:v>18.721461187214611</c:v>
                </c:pt>
                <c:pt idx="11">
                  <c:v>20.540540540540544</c:v>
                </c:pt>
                <c:pt idx="12">
                  <c:v>18.793503480278421</c:v>
                </c:pt>
                <c:pt idx="13">
                  <c:v>30.799220272904481</c:v>
                </c:pt>
                <c:pt idx="14">
                  <c:v>8.9840788476118281</c:v>
                </c:pt>
                <c:pt idx="15">
                  <c:v>11.51685393258427</c:v>
                </c:pt>
                <c:pt idx="16">
                  <c:v>19.080068143100512</c:v>
                </c:pt>
                <c:pt idx="17">
                  <c:v>11.527377521613833</c:v>
                </c:pt>
                <c:pt idx="18">
                  <c:v>9.9009900990099009</c:v>
                </c:pt>
              </c:numCache>
            </c:numRef>
          </c:yVal>
          <c:smooth val="0"/>
          <c:extLst>
            <c:ext xmlns:c16="http://schemas.microsoft.com/office/drawing/2014/chart" uri="{C3380CC4-5D6E-409C-BE32-E72D297353CC}">
              <c16:uniqueId val="{00000014-D20F-4F09-B786-880E8B9DA090}"/>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D20F-4F09-B786-880E8B9DA090}"/>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{DCF5B90C-0B8A-449E-9187-C1B41DDBAAE5}</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D20F-4F09-B786-880E8B9DA090}"/>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{14E0FBFB-EAEB-470C-A651-8A17C1F04F9E}</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D20F-4F09-B786-880E8B9DA090}"/>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{2F093A86-8A33-440B-8E7F-B7A5826BABC2}</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7-D20F-4F09-B786-880E8B9DA090}"/>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('Court Applications'!$AR$160,'Court Applications'!$AR$163:$AR$164)</c:f>
              <c:numCache>
                <c:formatCode>0.0</c:formatCode>
                <c:ptCount val="3"/>
                <c:pt idx="0">
                  <c:v>13.600000000000001</c:v>
                </c:pt>
                <c:pt idx="1">
                  <c:v>14.899999999999999</c:v>
                </c:pt>
                <c:pt idx="2">
                  <c:v>21.9</c:v>
                </c:pt>
              </c:numCache>
            </c:numRef>
          </c:xVal>
          <c:yVal>
            <c:numRef>
              <c:f>('Court Applications'!$AQ$160,'Court Applications'!$AQ$163:$AQ$164)</c:f>
              <c:numCache>
                <c:formatCode>0.0</c:formatCode>
                <c:ptCount val="3"/>
                <c:pt idx="0">
                  <c:v>17.086330935251798</c:v>
                </c:pt>
                <c:pt idx="1">
                  <c:v>17.063492063492063</c:v>
                </c:pt>
                <c:pt idx="2">
                  <c:v>39.0625</c:v>
                </c:pt>
              </c:numCache>
            </c:numRef>
          </c:yVal>
          <c:smooth val="0"/>
          <c:extLst>
            <c:ext xmlns:c16="http://schemas.microsoft.com/office/drawing/2014/chart" uri="{C3380CC4-5D6E-409C-BE32-E72D297353CC}">
              <c16:uniqueId val="{00000018-D20F-4F09-B786-880E8B9DA090}"/>
            </c:ext>
          </c:extLst>
        </c:ser>
        <c:ser>
          <c:idx val="1"/>
          <c:order val="2"/>
          <c:tx>
            <c:strRef>
              <c:f>'Court Applications'!$AA$4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'Court Applications'!$AR$171</c:f>
              <c:numCache>
                <c:formatCode>0.0</c:formatCode>
                <c:ptCount val="1"/>
                <c:pt idx="0">
                  <c:v>#N/A</c:v>
                </c:pt>
              </c:numCache>
            </c:numRef>
          </c:xVal>
          <c:yVal>
            <c:numRef>
              <c:f>'Court Applications'!$AQ$171</c:f>
              <c:numCache>
                <c:formatCode>0.0</c:formatCode>
                <c:ptCount val="1"/>
                <c:pt idx="0">
                  <c:v>#N/A</c:v>
                </c:pt>
              </c:numCache>
            </c:numRef>
          </c:yVal>
          <c:smooth val="0"/>
          <c:extLst>
            <c:ext xmlns:c16="http://schemas.microsoft.com/office/drawing/2014/chart" uri="{C3380CC4-5D6E-409C-BE32-E72D297353CC}">
              <c16:uniqueId val="{00000019-D20F-4F09-B786-880E8B9DA090}"/>
            </c:ext>
          </c:extLst>
        </c:ser>
        <c:ser>
          <c:idx val="4"/>
          <c:order val="3"/>
          <c:tx>
            <c:strRef>
              <c:f>'Court Applications'!$B$138</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'Court Applications'!$S$138</c:f>
              <c:numCache>
                <c:formatCode>0.0</c:formatCode>
                <c:ptCount val="1"/>
                <c:pt idx="0">
                  <c:v>12.371268250968637</c:v>
                </c:pt>
              </c:numCache>
            </c:numRef>
          </c:xVal>
          <c:yVal>
            <c:numRef>
              <c:f>'Court Applications'!$O$138</c:f>
              <c:numCache>
                <c:formatCode>0.0</c:formatCode>
                <c:ptCount val="1"/>
                <c:pt idx="0">
                  <c:v>14.461991570608845</c:v>
                </c:pt>
              </c:numCache>
            </c:numRef>
          </c:yVal>
          <c:smooth val="0"/>
          <c:extLst>
            <c:ext xmlns:c16="http://schemas.microsoft.com/office/drawing/2014/chart" uri="{C3380CC4-5D6E-409C-BE32-E72D297353CC}">
              <c16:uniqueId val="{0000001A-D20F-4F09-B786-880E8B9DA090}"/>
            </c:ext>
          </c:extLst>
        </c:ser>
        <c:ser>
          <c:idx val="2"/>
          <c:order val="4"/>
          <c:tx>
            <c:strRef>
              <c:f>'Court Applications'!$Y$149</c:f>
              <c:strCache>
                <c:ptCount val="1"/>
                <c:pt idx="0">
                  <c:v>National Trend 2020</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D20F-4F09-B786-880E8B9DA090}"/>
                </c:ext>
              </c:extLst>
            </c:dLbl>
            <c:dLbl>
              <c:idx val="1"/>
              <c:layout>
                <c:manualLayout>
                  <c:x val="-7.3099415204678359E-2"/>
                  <c:y val="-1.2012012012012012E-2"/>
                </c:manualLayout>
              </c:layout>
              <c:tx>
                <c:strRef>
                  <c:f>'Court Applications'!$AD$149</c:f>
                  <c:strCache>
                    <c:ptCount val="1"/>
                    <c:pt idx="0">
                      <c:v>r² = 0.328</c:v>
                    </c:pt>
                  </c:strCache>
                </c:strRef>
              </c:tx>
              <c:spPr/>
              <c:txPr>
                <a:bodyPr/>
                <a:lstStyle/>
                <a:p>
                  <a:pPr>
                    <a:defRPr sz="900">
                      <a:solidFill>
                        <a:sysClr val="windowText" lastClr="0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{8A5AF227-CD5F-4CE3-884E-055A7FA21A20}</c15:txfldGUID>
                      <c15:f>'Court Applications'!$AD$149</c15:f>
                      <c15:dlblFieldTableCache>
                        <c:ptCount val="1"/>
                        <c:pt idx="0">
                          <c:v>r² = 0.328</c:v>
                        </c:pt>
                      </c15:dlblFieldTableCache>
                    </c15:dlblFTEntry>
                  </c15:dlblFieldTable>
                  <c15:showDataLabelsRange val="0"/>
                </c:ext>
                <c:ext xmlns:c16="http://schemas.microsoft.com/office/drawing/2014/chart" uri="{C3380CC4-5D6E-409C-BE32-E72D297353CC}">
                  <c16:uniqueId val="{0000001C-D20F-4F09-B786-880E8B9DA09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Applications'!$AB$149:$AB$150</c:f>
              <c:numCache>
                <c:formatCode>General</c:formatCode>
                <c:ptCount val="2"/>
                <c:pt idx="0" formatCode="#,##0.0">
                  <c:v>5</c:v>
                </c:pt>
                <c:pt idx="1">
                  <c:v>35</c:v>
                </c:pt>
              </c:numCache>
            </c:numRef>
          </c:xVal>
          <c:yVal>
            <c:numRef>
              <c:f>'Court Applications'!$AC$149:$AC$150</c:f>
              <c:numCache>
                <c:formatCode>0.0</c:formatCode>
                <c:ptCount val="2"/>
                <c:pt idx="0">
                  <c:v>5.4317528930991221</c:v>
                </c:pt>
                <c:pt idx="1">
                  <c:v>40.069469506415132</c:v>
                </c:pt>
              </c:numCache>
            </c:numRef>
          </c:yVal>
          <c:smooth val="0"/>
          <c:extLst>
            <c:ext xmlns:c16="http://schemas.microsoft.com/office/drawing/2014/chart" uri="{C3380CC4-5D6E-409C-BE32-E72D297353CC}">
              <c16:uniqueId val="{0000001D-D20F-4F09-B786-880E8B9DA090}"/>
            </c:ext>
          </c:extLst>
        </c:ser>
        <c:ser>
          <c:idx val="5"/>
          <c:order val="5"/>
          <c:tx>
            <c:strRef>
              <c:f>'Court Applications'!$Y$147</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D20F-4F09-B786-880E8B9DA090}"/>
                </c:ext>
              </c:extLst>
            </c:dLbl>
            <c:dLbl>
              <c:idx val="1"/>
              <c:layout>
                <c:manualLayout>
                  <c:x val="-5.2631578947368314E-2"/>
                  <c:y val="-3.0030030030030002E-2"/>
                </c:manualLayout>
              </c:layout>
              <c:tx>
                <c:strRef>
                  <c:f>'Court Applications'!$AD$148</c:f>
                  <c:strCache>
                    <c:ptCount val="1"/>
                    <c:pt idx="0">
                      <c:v>r² = 0.492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{5ABDBFDD-CEE4-4197-B11E-E55E1B63F313}</c15:txfldGUID>
                      <c15:f>'Court Applications'!$AD$148</c15:f>
                      <c15:dlblFieldTableCache>
                        <c:ptCount val="1"/>
                        <c:pt idx="0">
                          <c:v>r² = 0.492</c:v>
                        </c:pt>
                      </c15:dlblFieldTableCache>
                    </c15:dlblFTEntry>
                  </c15:dlblFieldTable>
                  <c15:showDataLabelsRange val="0"/>
                </c:ext>
                <c:ext xmlns:c16="http://schemas.microsoft.com/office/drawing/2014/chart" uri="{C3380CC4-5D6E-409C-BE32-E72D297353CC}">
                  <c16:uniqueId val="{0000001F-D20F-4F09-B786-880E8B9DA090}"/>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Applications'!$AB$147:$AB$148</c:f>
              <c:numCache>
                <c:formatCode>General</c:formatCode>
                <c:ptCount val="2"/>
                <c:pt idx="0" formatCode="#,##0.0">
                  <c:v>5</c:v>
                </c:pt>
                <c:pt idx="1">
                  <c:v>35</c:v>
                </c:pt>
              </c:numCache>
            </c:numRef>
          </c:xVal>
          <c:yVal>
            <c:numRef>
              <c:f>'Court Applications'!$AC$147:$AC$148</c:f>
              <c:numCache>
                <c:formatCode>0.0</c:formatCode>
                <c:ptCount val="2"/>
                <c:pt idx="0">
                  <c:v>9.2779888511064872</c:v>
                </c:pt>
                <c:pt idx="1">
                  <c:v>35.687066689936671</c:v>
                </c:pt>
              </c:numCache>
            </c:numRef>
          </c:yVal>
          <c:smooth val="0"/>
          <c:extLst>
            <c:ext xmlns:c16="http://schemas.microsoft.com/office/drawing/2014/chart" uri="{C3380CC4-5D6E-409C-BE32-E72D297353CC}">
              <c16:uniqueId val="{00000020-D20F-4F09-B786-880E8B9DA090}"/>
            </c:ext>
          </c:extLst>
        </c:ser>
        <c:dLbls>
          <c:showLegendKey val="0"/>
          <c:showVal val="0"/>
          <c:showCatName val="0"/>
          <c:showSerName val="0"/>
          <c:showPercent val="0"/>
          <c:showBubbleSize val="0"/>
        </c:dLbls>
        <c:axId val="588385280"/>
        <c:axId val="588399744"/>
      </c:scatterChart>
      <c:valAx>
        <c:axId val="588385280"/>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399744"/>
        <c:crosses val="autoZero"/>
        <c:crossBetween val="midCat"/>
        <c:majorUnit val="5"/>
      </c:valAx>
      <c:valAx>
        <c:axId val="58839974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subject</a:t>
                </a:r>
                <a:r>
                  <a:rPr lang="en-GB" baseline="0"/>
                  <a:t>  to</a:t>
                </a:r>
                <a:r>
                  <a:rPr lang="en-GB"/>
                  <a:t> Care Applications to Court </a:t>
                </a:r>
              </a:p>
              <a:p>
                <a:pPr>
                  <a:defRPr sz="800" b="1" i="0" u="none" strike="noStrike" baseline="0">
                    <a:solidFill>
                      <a:srgbClr val="000000"/>
                    </a:solidFill>
                    <a:latin typeface="Arial"/>
                    <a:ea typeface="Arial"/>
                    <a:cs typeface="Arial"/>
                  </a:defRPr>
                </a:pPr>
                <a:r>
                  <a:rPr lang="en-GB"/>
                  <a:t>per 10,000 0-17 year olds</a:t>
                </a:r>
              </a:p>
            </c:rich>
          </c:tx>
          <c:layout>
            <c:manualLayout>
              <c:xMode val="edge"/>
              <c:yMode val="edge"/>
              <c:x val="4.308684491361657E-2"/>
              <c:y val="0.1704606833648056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38528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trlProps/ctrlProp1.xml><?xml version="1.0" encoding="utf-8"?>
<formControlPr xmlns="http://schemas.microsoft.com/office/spreadsheetml/2009/9/main" objectType="CheckBox" checked="Checked" fmlaLink="$AI40" lockText="1" noThreeD="1"/>
</file>

<file path=xl/ctrlProps/ctrlProp10.xml><?xml version="1.0" encoding="utf-8"?>
<formControlPr xmlns="http://schemas.microsoft.com/office/spreadsheetml/2009/9/main" objectType="CheckBox" checked="Checked" fmlaLink="$AI49" lockText="1" noThreeD="1"/>
</file>

<file path=xl/ctrlProps/ctrlProp100.xml><?xml version="1.0" encoding="utf-8"?>
<formControlPr xmlns="http://schemas.microsoft.com/office/spreadsheetml/2009/9/main" objectType="CheckBox" checked="Checked" fmlaLink="$AJ47" lockText="1" noThreeD="1"/>
</file>

<file path=xl/ctrlProps/ctrlProp101.xml><?xml version="1.0" encoding="utf-8"?>
<formControlPr xmlns="http://schemas.microsoft.com/office/spreadsheetml/2009/9/main" objectType="CheckBox" checked="Checked" fmlaLink="$AJ48" lockText="1" noThreeD="1"/>
</file>

<file path=xl/ctrlProps/ctrlProp102.xml><?xml version="1.0" encoding="utf-8"?>
<formControlPr xmlns="http://schemas.microsoft.com/office/spreadsheetml/2009/9/main" objectType="CheckBox" checked="Checked" fmlaLink="$AJ49" lockText="1" noThreeD="1"/>
</file>

<file path=xl/ctrlProps/ctrlProp103.xml><?xml version="1.0" encoding="utf-8"?>
<formControlPr xmlns="http://schemas.microsoft.com/office/spreadsheetml/2009/9/main" objectType="CheckBox" checked="Checked" fmlaLink="$AJ50" lockText="1" noThreeD="1"/>
</file>

<file path=xl/ctrlProps/ctrlProp104.xml><?xml version="1.0" encoding="utf-8"?>
<formControlPr xmlns="http://schemas.microsoft.com/office/spreadsheetml/2009/9/main" objectType="CheckBox" checked="Checked" fmlaLink="$AJ51" lockText="1" noThreeD="1"/>
</file>

<file path=xl/ctrlProps/ctrlProp105.xml><?xml version="1.0" encoding="utf-8"?>
<formControlPr xmlns="http://schemas.microsoft.com/office/spreadsheetml/2009/9/main" objectType="CheckBox" checked="Checked" fmlaLink="$AJ52" lockText="1" noThreeD="1"/>
</file>

<file path=xl/ctrlProps/ctrlProp106.xml><?xml version="1.0" encoding="utf-8"?>
<formControlPr xmlns="http://schemas.microsoft.com/office/spreadsheetml/2009/9/main" objectType="CheckBox" checked="Checked" fmlaLink="$AJ53" lockText="1" noThreeD="1"/>
</file>

<file path=xl/ctrlProps/ctrlProp107.xml><?xml version="1.0" encoding="utf-8"?>
<formControlPr xmlns="http://schemas.microsoft.com/office/spreadsheetml/2009/9/main" objectType="CheckBox" checked="Checked" fmlaLink="$AJ54" lockText="1" noThreeD="1"/>
</file>

<file path=xl/ctrlProps/ctrlProp108.xml><?xml version="1.0" encoding="utf-8"?>
<formControlPr xmlns="http://schemas.microsoft.com/office/spreadsheetml/2009/9/main" objectType="CheckBox" checked="Checked" fmlaLink="$AJ55" lockText="1" noThreeD="1"/>
</file>

<file path=xl/ctrlProps/ctrlProp109.xml><?xml version="1.0" encoding="utf-8"?>
<formControlPr xmlns="http://schemas.microsoft.com/office/spreadsheetml/2009/9/main" objectType="CheckBox" checked="Checked" fmlaLink="$AJ$56" lockText="1" noThreeD="1"/>
</file>

<file path=xl/ctrlProps/ctrlProp11.xml><?xml version="1.0" encoding="utf-8"?>
<formControlPr xmlns="http://schemas.microsoft.com/office/spreadsheetml/2009/9/main" objectType="CheckBox" checked="Checked" fmlaLink="$AI50" lockText="1" noThreeD="1"/>
</file>

<file path=xl/ctrlProps/ctrlProp110.xml><?xml version="1.0" encoding="utf-8"?>
<formControlPr xmlns="http://schemas.microsoft.com/office/spreadsheetml/2009/9/main" objectType="CheckBox" checked="Checked" fmlaLink="$AJ$59" lockText="1" noThreeD="1"/>
</file>

<file path=xl/ctrlProps/ctrlProp111.xml><?xml version="1.0" encoding="utf-8"?>
<formControlPr xmlns="http://schemas.microsoft.com/office/spreadsheetml/2009/9/main" objectType="CheckBox" checked="Checked" fmlaLink="$AJ$60" lockText="1" noThreeD="1"/>
</file>

<file path=xl/ctrlProps/ctrlProp112.xml><?xml version="1.0" encoding="utf-8"?>
<formControlPr xmlns="http://schemas.microsoft.com/office/spreadsheetml/2009/9/main" objectType="CheckBox" checked="Checked" fmlaLink="$AJ$61" lockText="1" noThreeD="1"/>
</file>

<file path=xl/ctrlProps/ctrlProp113.xml><?xml version="1.0" encoding="utf-8"?>
<formControlPr xmlns="http://schemas.microsoft.com/office/spreadsheetml/2009/9/main" objectType="CheckBox" checked="Checked" fmlaLink="$AJ$62" lockText="1" noThreeD="1"/>
</file>

<file path=xl/ctrlProps/ctrlProp114.xml><?xml version="1.0" encoding="utf-8"?>
<formControlPr xmlns="http://schemas.microsoft.com/office/spreadsheetml/2009/9/main" objectType="CheckBox" checked="Checked" fmlaLink="$AJ$63" lockText="1" noThreeD="1"/>
</file>

<file path=xl/ctrlProps/ctrlProp115.xml><?xml version="1.0" encoding="utf-8"?>
<formControlPr xmlns="http://schemas.microsoft.com/office/spreadsheetml/2009/9/main" objectType="CheckBox" checked="Checked" fmlaLink="$AJ$57" lockText="1" noThreeD="1"/>
</file>

<file path=xl/ctrlProps/ctrlProp116.xml><?xml version="1.0" encoding="utf-8"?>
<formControlPr xmlns="http://schemas.microsoft.com/office/spreadsheetml/2009/9/main" objectType="CheckBox" checked="Checked" fmlaLink="$AJ$58" lockText="1" noThreeD="1"/>
</file>

<file path=xl/ctrlProps/ctrlProp117.xml><?xml version="1.0" encoding="utf-8"?>
<formControlPr xmlns="http://schemas.microsoft.com/office/spreadsheetml/2009/9/main" objectType="CheckBox" checked="Checked" fmlaLink="$AJ$64" lockText="1" noThreeD="1"/>
</file>

<file path=xl/ctrlProps/ctrlProp118.xml><?xml version="1.0" encoding="utf-8"?>
<formControlPr xmlns="http://schemas.microsoft.com/office/spreadsheetml/2009/9/main" objectType="CheckBox" checked="Checked" fmlaLink="$AJ41" lockText="1" noThreeD="1"/>
</file>

<file path=xl/ctrlProps/ctrlProp119.xml><?xml version="1.0" encoding="utf-8"?>
<formControlPr xmlns="http://schemas.microsoft.com/office/spreadsheetml/2009/9/main" objectType="CheckBox" checked="Checked" fmlaLink="$AJ42" lockText="1" noThreeD="1"/>
</file>

<file path=xl/ctrlProps/ctrlProp12.xml><?xml version="1.0" encoding="utf-8"?>
<formControlPr xmlns="http://schemas.microsoft.com/office/spreadsheetml/2009/9/main" objectType="CheckBox" checked="Checked" fmlaLink="$AI51" lockText="1" noThreeD="1"/>
</file>

<file path=xl/ctrlProps/ctrlProp120.xml><?xml version="1.0" encoding="utf-8"?>
<formControlPr xmlns="http://schemas.microsoft.com/office/spreadsheetml/2009/9/main" objectType="CheckBox" checked="Checked" fmlaLink="$AJ43" lockText="1" noThreeD="1"/>
</file>

<file path=xl/ctrlProps/ctrlProp121.xml><?xml version="1.0" encoding="utf-8"?>
<formControlPr xmlns="http://schemas.microsoft.com/office/spreadsheetml/2009/9/main" objectType="CheckBox" checked="Checked" fmlaLink="$AJ44" lockText="1" noThreeD="1"/>
</file>

<file path=xl/ctrlProps/ctrlProp122.xml><?xml version="1.0" encoding="utf-8"?>
<formControlPr xmlns="http://schemas.microsoft.com/office/spreadsheetml/2009/9/main" objectType="CheckBox" checked="Checked" fmlaLink="$AJ45" lockText="1" noThreeD="1"/>
</file>

<file path=xl/ctrlProps/ctrlProp123.xml><?xml version="1.0" encoding="utf-8"?>
<formControlPr xmlns="http://schemas.microsoft.com/office/spreadsheetml/2009/9/main" objectType="CheckBox" checked="Checked" fmlaLink="$AJ46" lockText="1" noThreeD="1"/>
</file>

<file path=xl/ctrlProps/ctrlProp124.xml><?xml version="1.0" encoding="utf-8"?>
<formControlPr xmlns="http://schemas.microsoft.com/office/spreadsheetml/2009/9/main" objectType="CheckBox" checked="Checked" fmlaLink="$AJ47" lockText="1" noThreeD="1"/>
</file>

<file path=xl/ctrlProps/ctrlProp125.xml><?xml version="1.0" encoding="utf-8"?>
<formControlPr xmlns="http://schemas.microsoft.com/office/spreadsheetml/2009/9/main" objectType="CheckBox" checked="Checked" fmlaLink="$AJ48" lockText="1" noThreeD="1"/>
</file>

<file path=xl/ctrlProps/ctrlProp126.xml><?xml version="1.0" encoding="utf-8"?>
<formControlPr xmlns="http://schemas.microsoft.com/office/spreadsheetml/2009/9/main" objectType="CheckBox" checked="Checked" fmlaLink="$AJ49" lockText="1" noThreeD="1"/>
</file>

<file path=xl/ctrlProps/ctrlProp127.xml><?xml version="1.0" encoding="utf-8"?>
<formControlPr xmlns="http://schemas.microsoft.com/office/spreadsheetml/2009/9/main" objectType="CheckBox" checked="Checked" fmlaLink="$AJ50" lockText="1" noThreeD="1"/>
</file>

<file path=xl/ctrlProps/ctrlProp128.xml><?xml version="1.0" encoding="utf-8"?>
<formControlPr xmlns="http://schemas.microsoft.com/office/spreadsheetml/2009/9/main" objectType="CheckBox" checked="Checked" fmlaLink="$AJ51" lockText="1" noThreeD="1"/>
</file>

<file path=xl/ctrlProps/ctrlProp129.xml><?xml version="1.0" encoding="utf-8"?>
<formControlPr xmlns="http://schemas.microsoft.com/office/spreadsheetml/2009/9/main" objectType="CheckBox" checked="Checked" fmlaLink="$AJ52" lockText="1" noThreeD="1"/>
</file>

<file path=xl/ctrlProps/ctrlProp13.xml><?xml version="1.0" encoding="utf-8"?>
<formControlPr xmlns="http://schemas.microsoft.com/office/spreadsheetml/2009/9/main" objectType="CheckBox" checked="Checked" fmlaLink="$AI52" lockText="1" noThreeD="1"/>
</file>

<file path=xl/ctrlProps/ctrlProp130.xml><?xml version="1.0" encoding="utf-8"?>
<formControlPr xmlns="http://schemas.microsoft.com/office/spreadsheetml/2009/9/main" objectType="CheckBox" checked="Checked" fmlaLink="$AJ53" lockText="1" noThreeD="1"/>
</file>

<file path=xl/ctrlProps/ctrlProp131.xml><?xml version="1.0" encoding="utf-8"?>
<formControlPr xmlns="http://schemas.microsoft.com/office/spreadsheetml/2009/9/main" objectType="CheckBox" checked="Checked" fmlaLink="$AJ54" lockText="1" noThreeD="1"/>
</file>

<file path=xl/ctrlProps/ctrlProp132.xml><?xml version="1.0" encoding="utf-8"?>
<formControlPr xmlns="http://schemas.microsoft.com/office/spreadsheetml/2009/9/main" objectType="CheckBox" checked="Checked" fmlaLink="$AJ55" lockText="1" noThreeD="1"/>
</file>

<file path=xl/ctrlProps/ctrlProp133.xml><?xml version="1.0" encoding="utf-8"?>
<formControlPr xmlns="http://schemas.microsoft.com/office/spreadsheetml/2009/9/main" objectType="CheckBox" checked="Checked" fmlaLink="$AJ$56" lockText="1" noThreeD="1"/>
</file>

<file path=xl/ctrlProps/ctrlProp134.xml><?xml version="1.0" encoding="utf-8"?>
<formControlPr xmlns="http://schemas.microsoft.com/office/spreadsheetml/2009/9/main" objectType="CheckBox" checked="Checked" fmlaLink="$AJ$59" lockText="1" noThreeD="1"/>
</file>

<file path=xl/ctrlProps/ctrlProp135.xml><?xml version="1.0" encoding="utf-8"?>
<formControlPr xmlns="http://schemas.microsoft.com/office/spreadsheetml/2009/9/main" objectType="CheckBox" checked="Checked" fmlaLink="$AJ$60" lockText="1" noThreeD="1"/>
</file>

<file path=xl/ctrlProps/ctrlProp136.xml><?xml version="1.0" encoding="utf-8"?>
<formControlPr xmlns="http://schemas.microsoft.com/office/spreadsheetml/2009/9/main" objectType="CheckBox" checked="Checked" fmlaLink="$AJ$61" lockText="1" noThreeD="1"/>
</file>

<file path=xl/ctrlProps/ctrlProp137.xml><?xml version="1.0" encoding="utf-8"?>
<formControlPr xmlns="http://schemas.microsoft.com/office/spreadsheetml/2009/9/main" objectType="CheckBox" checked="Checked" fmlaLink="$AJ$62" lockText="1" noThreeD="1"/>
</file>

<file path=xl/ctrlProps/ctrlProp138.xml><?xml version="1.0" encoding="utf-8"?>
<formControlPr xmlns="http://schemas.microsoft.com/office/spreadsheetml/2009/9/main" objectType="CheckBox" checked="Checked" fmlaLink="$AJ$63" lockText="1" noThreeD="1"/>
</file>

<file path=xl/ctrlProps/ctrlProp139.xml><?xml version="1.0" encoding="utf-8"?>
<formControlPr xmlns="http://schemas.microsoft.com/office/spreadsheetml/2009/9/main" objectType="CheckBox" checked="Checked" fmlaLink="$AJ$57" lockText="1" noThreeD="1"/>
</file>

<file path=xl/ctrlProps/ctrlProp14.xml><?xml version="1.0" encoding="utf-8"?>
<formControlPr xmlns="http://schemas.microsoft.com/office/spreadsheetml/2009/9/main" objectType="CheckBox" checked="Checked" fmlaLink="$AI53" lockText="1" noThreeD="1"/>
</file>

<file path=xl/ctrlProps/ctrlProp140.xml><?xml version="1.0" encoding="utf-8"?>
<formControlPr xmlns="http://schemas.microsoft.com/office/spreadsheetml/2009/9/main" objectType="CheckBox" checked="Checked" fmlaLink="$AJ$58" lockText="1" noThreeD="1"/>
</file>

<file path=xl/ctrlProps/ctrlProp141.xml><?xml version="1.0" encoding="utf-8"?>
<formControlPr xmlns="http://schemas.microsoft.com/office/spreadsheetml/2009/9/main" objectType="CheckBox" checked="Checked" fmlaLink="$AJ$64" lockText="1" noThreeD="1"/>
</file>

<file path=xl/ctrlProps/ctrlProp142.xml><?xml version="1.0" encoding="utf-8"?>
<formControlPr xmlns="http://schemas.microsoft.com/office/spreadsheetml/2009/9/main" objectType="CheckBox" checked="Checked" fmlaLink="$AJ41" lockText="1" noThreeD="1"/>
</file>

<file path=xl/ctrlProps/ctrlProp143.xml><?xml version="1.0" encoding="utf-8"?>
<formControlPr xmlns="http://schemas.microsoft.com/office/spreadsheetml/2009/9/main" objectType="CheckBox" checked="Checked" fmlaLink="$AJ42" lockText="1" noThreeD="1"/>
</file>

<file path=xl/ctrlProps/ctrlProp144.xml><?xml version="1.0" encoding="utf-8"?>
<formControlPr xmlns="http://schemas.microsoft.com/office/spreadsheetml/2009/9/main" objectType="CheckBox" checked="Checked" fmlaLink="$AJ43" lockText="1" noThreeD="1"/>
</file>

<file path=xl/ctrlProps/ctrlProp145.xml><?xml version="1.0" encoding="utf-8"?>
<formControlPr xmlns="http://schemas.microsoft.com/office/spreadsheetml/2009/9/main" objectType="CheckBox" checked="Checked" fmlaLink="$AJ44" lockText="1" noThreeD="1"/>
</file>

<file path=xl/ctrlProps/ctrlProp146.xml><?xml version="1.0" encoding="utf-8"?>
<formControlPr xmlns="http://schemas.microsoft.com/office/spreadsheetml/2009/9/main" objectType="CheckBox" checked="Checked" fmlaLink="$AJ45" lockText="1" noThreeD="1"/>
</file>

<file path=xl/ctrlProps/ctrlProp147.xml><?xml version="1.0" encoding="utf-8"?>
<formControlPr xmlns="http://schemas.microsoft.com/office/spreadsheetml/2009/9/main" objectType="CheckBox" checked="Checked" fmlaLink="$AJ46" lockText="1" noThreeD="1"/>
</file>

<file path=xl/ctrlProps/ctrlProp148.xml><?xml version="1.0" encoding="utf-8"?>
<formControlPr xmlns="http://schemas.microsoft.com/office/spreadsheetml/2009/9/main" objectType="CheckBox" checked="Checked" fmlaLink="$AJ47" lockText="1" noThreeD="1"/>
</file>

<file path=xl/ctrlProps/ctrlProp149.xml><?xml version="1.0" encoding="utf-8"?>
<formControlPr xmlns="http://schemas.microsoft.com/office/spreadsheetml/2009/9/main" objectType="CheckBox" checked="Checked" fmlaLink="$AJ48" lockText="1" noThreeD="1"/>
</file>

<file path=xl/ctrlProps/ctrlProp15.xml><?xml version="1.0" encoding="utf-8"?>
<formControlPr xmlns="http://schemas.microsoft.com/office/spreadsheetml/2009/9/main" objectType="CheckBox" checked="Checked" fmlaLink="$AI54" lockText="1" noThreeD="1"/>
</file>

<file path=xl/ctrlProps/ctrlProp150.xml><?xml version="1.0" encoding="utf-8"?>
<formControlPr xmlns="http://schemas.microsoft.com/office/spreadsheetml/2009/9/main" objectType="CheckBox" checked="Checked" fmlaLink="$AJ49" lockText="1" noThreeD="1"/>
</file>

<file path=xl/ctrlProps/ctrlProp151.xml><?xml version="1.0" encoding="utf-8"?>
<formControlPr xmlns="http://schemas.microsoft.com/office/spreadsheetml/2009/9/main" objectType="CheckBox" checked="Checked" fmlaLink="$AJ50" lockText="1" noThreeD="1"/>
</file>

<file path=xl/ctrlProps/ctrlProp152.xml><?xml version="1.0" encoding="utf-8"?>
<formControlPr xmlns="http://schemas.microsoft.com/office/spreadsheetml/2009/9/main" objectType="CheckBox" checked="Checked" fmlaLink="$AJ51" lockText="1" noThreeD="1"/>
</file>

<file path=xl/ctrlProps/ctrlProp153.xml><?xml version="1.0" encoding="utf-8"?>
<formControlPr xmlns="http://schemas.microsoft.com/office/spreadsheetml/2009/9/main" objectType="CheckBox" checked="Checked" fmlaLink="$AJ52" lockText="1" noThreeD="1"/>
</file>

<file path=xl/ctrlProps/ctrlProp154.xml><?xml version="1.0" encoding="utf-8"?>
<formControlPr xmlns="http://schemas.microsoft.com/office/spreadsheetml/2009/9/main" objectType="CheckBox" checked="Checked" fmlaLink="$AJ53" lockText="1" noThreeD="1"/>
</file>

<file path=xl/ctrlProps/ctrlProp155.xml><?xml version="1.0" encoding="utf-8"?>
<formControlPr xmlns="http://schemas.microsoft.com/office/spreadsheetml/2009/9/main" objectType="CheckBox" checked="Checked" fmlaLink="$AJ54" lockText="1" noThreeD="1"/>
</file>

<file path=xl/ctrlProps/ctrlProp156.xml><?xml version="1.0" encoding="utf-8"?>
<formControlPr xmlns="http://schemas.microsoft.com/office/spreadsheetml/2009/9/main" objectType="CheckBox" checked="Checked" fmlaLink="$AJ55" lockText="1" noThreeD="1"/>
</file>

<file path=xl/ctrlProps/ctrlProp157.xml><?xml version="1.0" encoding="utf-8"?>
<formControlPr xmlns="http://schemas.microsoft.com/office/spreadsheetml/2009/9/main" objectType="CheckBox" checked="Checked" fmlaLink="$AJ$56" lockText="1" noThreeD="1"/>
</file>

<file path=xl/ctrlProps/ctrlProp158.xml><?xml version="1.0" encoding="utf-8"?>
<formControlPr xmlns="http://schemas.microsoft.com/office/spreadsheetml/2009/9/main" objectType="CheckBox" checked="Checked" fmlaLink="$AJ$59" lockText="1" noThreeD="1"/>
</file>

<file path=xl/ctrlProps/ctrlProp159.xml><?xml version="1.0" encoding="utf-8"?>
<formControlPr xmlns="http://schemas.microsoft.com/office/spreadsheetml/2009/9/main" objectType="CheckBox" checked="Checked" fmlaLink="$AJ$60" lockText="1" noThreeD="1"/>
</file>

<file path=xl/ctrlProps/ctrlProp16.xml><?xml version="1.0" encoding="utf-8"?>
<formControlPr xmlns="http://schemas.microsoft.com/office/spreadsheetml/2009/9/main" objectType="CheckBox" checked="Checked" fmlaLink="$AI$55" lockText="1" noThreeD="1"/>
</file>

<file path=xl/ctrlProps/ctrlProp160.xml><?xml version="1.0" encoding="utf-8"?>
<formControlPr xmlns="http://schemas.microsoft.com/office/spreadsheetml/2009/9/main" objectType="CheckBox" checked="Checked" fmlaLink="$AJ$61" lockText="1" noThreeD="1"/>
</file>

<file path=xl/ctrlProps/ctrlProp161.xml><?xml version="1.0" encoding="utf-8"?>
<formControlPr xmlns="http://schemas.microsoft.com/office/spreadsheetml/2009/9/main" objectType="CheckBox" checked="Checked" fmlaLink="$AJ$62" lockText="1" noThreeD="1"/>
</file>

<file path=xl/ctrlProps/ctrlProp162.xml><?xml version="1.0" encoding="utf-8"?>
<formControlPr xmlns="http://schemas.microsoft.com/office/spreadsheetml/2009/9/main" objectType="CheckBox" checked="Checked" fmlaLink="$AJ$63" lockText="1" noThreeD="1"/>
</file>

<file path=xl/ctrlProps/ctrlProp163.xml><?xml version="1.0" encoding="utf-8"?>
<formControlPr xmlns="http://schemas.microsoft.com/office/spreadsheetml/2009/9/main" objectType="CheckBox" checked="Checked" fmlaLink="$AJ$57" lockText="1" noThreeD="1"/>
</file>

<file path=xl/ctrlProps/ctrlProp164.xml><?xml version="1.0" encoding="utf-8"?>
<formControlPr xmlns="http://schemas.microsoft.com/office/spreadsheetml/2009/9/main" objectType="CheckBox" checked="Checked" fmlaLink="$AJ$58" lockText="1" noThreeD="1"/>
</file>

<file path=xl/ctrlProps/ctrlProp165.xml><?xml version="1.0" encoding="utf-8"?>
<formControlPr xmlns="http://schemas.microsoft.com/office/spreadsheetml/2009/9/main" objectType="CheckBox" checked="Checked" fmlaLink="$AJ$64" lockText="1" noThreeD="1"/>
</file>

<file path=xl/ctrlProps/ctrlProp166.xml><?xml version="1.0" encoding="utf-8"?>
<formControlPr xmlns="http://schemas.microsoft.com/office/spreadsheetml/2009/9/main" objectType="CheckBox" checked="Checked" fmlaLink="$AJ41" lockText="1" noThreeD="1"/>
</file>

<file path=xl/ctrlProps/ctrlProp167.xml><?xml version="1.0" encoding="utf-8"?>
<formControlPr xmlns="http://schemas.microsoft.com/office/spreadsheetml/2009/9/main" objectType="CheckBox" checked="Checked" fmlaLink="$AJ42" lockText="1" noThreeD="1"/>
</file>

<file path=xl/ctrlProps/ctrlProp168.xml><?xml version="1.0" encoding="utf-8"?>
<formControlPr xmlns="http://schemas.microsoft.com/office/spreadsheetml/2009/9/main" objectType="CheckBox" checked="Checked" fmlaLink="$AJ43" lockText="1" noThreeD="1"/>
</file>

<file path=xl/ctrlProps/ctrlProp169.xml><?xml version="1.0" encoding="utf-8"?>
<formControlPr xmlns="http://schemas.microsoft.com/office/spreadsheetml/2009/9/main" objectType="CheckBox" checked="Checked" fmlaLink="$AJ44" lockText="1" noThreeD="1"/>
</file>

<file path=xl/ctrlProps/ctrlProp17.xml><?xml version="1.0" encoding="utf-8"?>
<formControlPr xmlns="http://schemas.microsoft.com/office/spreadsheetml/2009/9/main" objectType="CheckBox" checked="Checked" fmlaLink="$AI$58" lockText="1" noThreeD="1"/>
</file>

<file path=xl/ctrlProps/ctrlProp170.xml><?xml version="1.0" encoding="utf-8"?>
<formControlPr xmlns="http://schemas.microsoft.com/office/spreadsheetml/2009/9/main" objectType="CheckBox" checked="Checked" fmlaLink="$AJ45" lockText="1" noThreeD="1"/>
</file>

<file path=xl/ctrlProps/ctrlProp171.xml><?xml version="1.0" encoding="utf-8"?>
<formControlPr xmlns="http://schemas.microsoft.com/office/spreadsheetml/2009/9/main" objectType="CheckBox" checked="Checked" fmlaLink="$AJ46" lockText="1" noThreeD="1"/>
</file>

<file path=xl/ctrlProps/ctrlProp172.xml><?xml version="1.0" encoding="utf-8"?>
<formControlPr xmlns="http://schemas.microsoft.com/office/spreadsheetml/2009/9/main" objectType="CheckBox" checked="Checked" fmlaLink="$AJ47" lockText="1" noThreeD="1"/>
</file>

<file path=xl/ctrlProps/ctrlProp173.xml><?xml version="1.0" encoding="utf-8"?>
<formControlPr xmlns="http://schemas.microsoft.com/office/spreadsheetml/2009/9/main" objectType="CheckBox" checked="Checked" fmlaLink="$AJ48" lockText="1" noThreeD="1"/>
</file>

<file path=xl/ctrlProps/ctrlProp174.xml><?xml version="1.0" encoding="utf-8"?>
<formControlPr xmlns="http://schemas.microsoft.com/office/spreadsheetml/2009/9/main" objectType="CheckBox" checked="Checked" fmlaLink="$AJ49" lockText="1" noThreeD="1"/>
</file>

<file path=xl/ctrlProps/ctrlProp175.xml><?xml version="1.0" encoding="utf-8"?>
<formControlPr xmlns="http://schemas.microsoft.com/office/spreadsheetml/2009/9/main" objectType="CheckBox" checked="Checked" fmlaLink="$AJ50" lockText="1" noThreeD="1"/>
</file>

<file path=xl/ctrlProps/ctrlProp176.xml><?xml version="1.0" encoding="utf-8"?>
<formControlPr xmlns="http://schemas.microsoft.com/office/spreadsheetml/2009/9/main" objectType="CheckBox" checked="Checked" fmlaLink="$AJ51" lockText="1" noThreeD="1"/>
</file>

<file path=xl/ctrlProps/ctrlProp177.xml><?xml version="1.0" encoding="utf-8"?>
<formControlPr xmlns="http://schemas.microsoft.com/office/spreadsheetml/2009/9/main" objectType="CheckBox" checked="Checked" fmlaLink="$AJ52" lockText="1" noThreeD="1"/>
</file>

<file path=xl/ctrlProps/ctrlProp178.xml><?xml version="1.0" encoding="utf-8"?>
<formControlPr xmlns="http://schemas.microsoft.com/office/spreadsheetml/2009/9/main" objectType="CheckBox" checked="Checked" fmlaLink="$AJ53" lockText="1" noThreeD="1"/>
</file>

<file path=xl/ctrlProps/ctrlProp179.xml><?xml version="1.0" encoding="utf-8"?>
<formControlPr xmlns="http://schemas.microsoft.com/office/spreadsheetml/2009/9/main" objectType="CheckBox" checked="Checked" fmlaLink="$AJ54" lockText="1" noThreeD="1"/>
</file>

<file path=xl/ctrlProps/ctrlProp18.xml><?xml version="1.0" encoding="utf-8"?>
<formControlPr xmlns="http://schemas.microsoft.com/office/spreadsheetml/2009/9/main" objectType="CheckBox" checked="Checked" fmlaLink="$AI$59" lockText="1" noThreeD="1"/>
</file>

<file path=xl/ctrlProps/ctrlProp180.xml><?xml version="1.0" encoding="utf-8"?>
<formControlPr xmlns="http://schemas.microsoft.com/office/spreadsheetml/2009/9/main" objectType="CheckBox" checked="Checked" fmlaLink="$AJ55" lockText="1" noThreeD="1"/>
</file>

<file path=xl/ctrlProps/ctrlProp181.xml><?xml version="1.0" encoding="utf-8"?>
<formControlPr xmlns="http://schemas.microsoft.com/office/spreadsheetml/2009/9/main" objectType="CheckBox" checked="Checked" fmlaLink="$AJ$56" lockText="1" noThreeD="1"/>
</file>

<file path=xl/ctrlProps/ctrlProp182.xml><?xml version="1.0" encoding="utf-8"?>
<formControlPr xmlns="http://schemas.microsoft.com/office/spreadsheetml/2009/9/main" objectType="CheckBox" checked="Checked" fmlaLink="$AJ$59" lockText="1" noThreeD="1"/>
</file>

<file path=xl/ctrlProps/ctrlProp183.xml><?xml version="1.0" encoding="utf-8"?>
<formControlPr xmlns="http://schemas.microsoft.com/office/spreadsheetml/2009/9/main" objectType="CheckBox" checked="Checked" fmlaLink="$AJ$60" lockText="1" noThreeD="1"/>
</file>

<file path=xl/ctrlProps/ctrlProp184.xml><?xml version="1.0" encoding="utf-8"?>
<formControlPr xmlns="http://schemas.microsoft.com/office/spreadsheetml/2009/9/main" objectType="CheckBox" checked="Checked" fmlaLink="$AJ$61" lockText="1" noThreeD="1"/>
</file>

<file path=xl/ctrlProps/ctrlProp185.xml><?xml version="1.0" encoding="utf-8"?>
<formControlPr xmlns="http://schemas.microsoft.com/office/spreadsheetml/2009/9/main" objectType="CheckBox" checked="Checked" fmlaLink="$AJ$62" lockText="1" noThreeD="1"/>
</file>

<file path=xl/ctrlProps/ctrlProp186.xml><?xml version="1.0" encoding="utf-8"?>
<formControlPr xmlns="http://schemas.microsoft.com/office/spreadsheetml/2009/9/main" objectType="CheckBox" checked="Checked" fmlaLink="$AJ$63" lockText="1" noThreeD="1"/>
</file>

<file path=xl/ctrlProps/ctrlProp187.xml><?xml version="1.0" encoding="utf-8"?>
<formControlPr xmlns="http://schemas.microsoft.com/office/spreadsheetml/2009/9/main" objectType="CheckBox" checked="Checked" fmlaLink="$AJ$57" lockText="1" noThreeD="1"/>
</file>

<file path=xl/ctrlProps/ctrlProp188.xml><?xml version="1.0" encoding="utf-8"?>
<formControlPr xmlns="http://schemas.microsoft.com/office/spreadsheetml/2009/9/main" objectType="CheckBox" checked="Checked" fmlaLink="$AJ$58" lockText="1" noThreeD="1"/>
</file>

<file path=xl/ctrlProps/ctrlProp189.xml><?xml version="1.0" encoding="utf-8"?>
<formControlPr xmlns="http://schemas.microsoft.com/office/spreadsheetml/2009/9/main" objectType="CheckBox" checked="Checked" fmlaLink="$AJ$64" lockText="1" noThreeD="1"/>
</file>

<file path=xl/ctrlProps/ctrlProp19.xml><?xml version="1.0" encoding="utf-8"?>
<formControlPr xmlns="http://schemas.microsoft.com/office/spreadsheetml/2009/9/main" objectType="CheckBox" checked="Checked" fmlaLink="$AI$60" lockText="1" noThreeD="1"/>
</file>

<file path=xl/ctrlProps/ctrlProp190.xml><?xml version="1.0" encoding="utf-8"?>
<formControlPr xmlns="http://schemas.microsoft.com/office/spreadsheetml/2009/9/main" objectType="CheckBox" checked="Checked" fmlaLink="$AJ41" lockText="1" noThreeD="1"/>
</file>

<file path=xl/ctrlProps/ctrlProp191.xml><?xml version="1.0" encoding="utf-8"?>
<formControlPr xmlns="http://schemas.microsoft.com/office/spreadsheetml/2009/9/main" objectType="CheckBox" checked="Checked" fmlaLink="$AJ42" lockText="1" noThreeD="1"/>
</file>

<file path=xl/ctrlProps/ctrlProp192.xml><?xml version="1.0" encoding="utf-8"?>
<formControlPr xmlns="http://schemas.microsoft.com/office/spreadsheetml/2009/9/main" objectType="CheckBox" checked="Checked" fmlaLink="$AJ43" lockText="1" noThreeD="1"/>
</file>

<file path=xl/ctrlProps/ctrlProp193.xml><?xml version="1.0" encoding="utf-8"?>
<formControlPr xmlns="http://schemas.microsoft.com/office/spreadsheetml/2009/9/main" objectType="CheckBox" checked="Checked" fmlaLink="$AJ44" lockText="1" noThreeD="1"/>
</file>

<file path=xl/ctrlProps/ctrlProp194.xml><?xml version="1.0" encoding="utf-8"?>
<formControlPr xmlns="http://schemas.microsoft.com/office/spreadsheetml/2009/9/main" objectType="CheckBox" checked="Checked" fmlaLink="$AJ45" lockText="1" noThreeD="1"/>
</file>

<file path=xl/ctrlProps/ctrlProp195.xml><?xml version="1.0" encoding="utf-8"?>
<formControlPr xmlns="http://schemas.microsoft.com/office/spreadsheetml/2009/9/main" objectType="CheckBox" checked="Checked" fmlaLink="$AJ46" lockText="1" noThreeD="1"/>
</file>

<file path=xl/ctrlProps/ctrlProp196.xml><?xml version="1.0" encoding="utf-8"?>
<formControlPr xmlns="http://schemas.microsoft.com/office/spreadsheetml/2009/9/main" objectType="CheckBox" checked="Checked" fmlaLink="$AJ47" lockText="1" noThreeD="1"/>
</file>

<file path=xl/ctrlProps/ctrlProp197.xml><?xml version="1.0" encoding="utf-8"?>
<formControlPr xmlns="http://schemas.microsoft.com/office/spreadsheetml/2009/9/main" objectType="CheckBox" checked="Checked" fmlaLink="$AJ48" lockText="1" noThreeD="1"/>
</file>

<file path=xl/ctrlProps/ctrlProp198.xml><?xml version="1.0" encoding="utf-8"?>
<formControlPr xmlns="http://schemas.microsoft.com/office/spreadsheetml/2009/9/main" objectType="CheckBox" checked="Checked" fmlaLink="$AJ49" lockText="1" noThreeD="1"/>
</file>

<file path=xl/ctrlProps/ctrlProp199.xml><?xml version="1.0" encoding="utf-8"?>
<formControlPr xmlns="http://schemas.microsoft.com/office/spreadsheetml/2009/9/main" objectType="CheckBox" checked="Checked" fmlaLink="$AJ50" lockText="1" noThreeD="1"/>
</file>

<file path=xl/ctrlProps/ctrlProp2.xml><?xml version="1.0" encoding="utf-8"?>
<formControlPr xmlns="http://schemas.microsoft.com/office/spreadsheetml/2009/9/main" objectType="CheckBox" checked="Checked" fmlaLink="$AI41" lockText="1" noThreeD="1"/>
</file>

<file path=xl/ctrlProps/ctrlProp20.xml><?xml version="1.0" encoding="utf-8"?>
<formControlPr xmlns="http://schemas.microsoft.com/office/spreadsheetml/2009/9/main" objectType="CheckBox" checked="Checked" fmlaLink="$AI$61" lockText="1" noThreeD="1"/>
</file>

<file path=xl/ctrlProps/ctrlProp200.xml><?xml version="1.0" encoding="utf-8"?>
<formControlPr xmlns="http://schemas.microsoft.com/office/spreadsheetml/2009/9/main" objectType="CheckBox" checked="Checked" fmlaLink="$AJ51" lockText="1" noThreeD="1"/>
</file>

<file path=xl/ctrlProps/ctrlProp201.xml><?xml version="1.0" encoding="utf-8"?>
<formControlPr xmlns="http://schemas.microsoft.com/office/spreadsheetml/2009/9/main" objectType="CheckBox" checked="Checked" fmlaLink="$AJ52" lockText="1" noThreeD="1"/>
</file>

<file path=xl/ctrlProps/ctrlProp202.xml><?xml version="1.0" encoding="utf-8"?>
<formControlPr xmlns="http://schemas.microsoft.com/office/spreadsheetml/2009/9/main" objectType="CheckBox" checked="Checked" fmlaLink="$AJ53" lockText="1" noThreeD="1"/>
</file>

<file path=xl/ctrlProps/ctrlProp203.xml><?xml version="1.0" encoding="utf-8"?>
<formControlPr xmlns="http://schemas.microsoft.com/office/spreadsheetml/2009/9/main" objectType="CheckBox" checked="Checked" fmlaLink="$AJ54" lockText="1" noThreeD="1"/>
</file>

<file path=xl/ctrlProps/ctrlProp204.xml><?xml version="1.0" encoding="utf-8"?>
<formControlPr xmlns="http://schemas.microsoft.com/office/spreadsheetml/2009/9/main" objectType="CheckBox" checked="Checked" fmlaLink="$AJ55" lockText="1" noThreeD="1"/>
</file>

<file path=xl/ctrlProps/ctrlProp205.xml><?xml version="1.0" encoding="utf-8"?>
<formControlPr xmlns="http://schemas.microsoft.com/office/spreadsheetml/2009/9/main" objectType="CheckBox" checked="Checked" fmlaLink="$AJ$56" lockText="1" noThreeD="1"/>
</file>

<file path=xl/ctrlProps/ctrlProp206.xml><?xml version="1.0" encoding="utf-8"?>
<formControlPr xmlns="http://schemas.microsoft.com/office/spreadsheetml/2009/9/main" objectType="CheckBox" checked="Checked" fmlaLink="$AJ$59" lockText="1" noThreeD="1"/>
</file>

<file path=xl/ctrlProps/ctrlProp207.xml><?xml version="1.0" encoding="utf-8"?>
<formControlPr xmlns="http://schemas.microsoft.com/office/spreadsheetml/2009/9/main" objectType="CheckBox" checked="Checked" fmlaLink="$AJ$60" lockText="1" noThreeD="1"/>
</file>

<file path=xl/ctrlProps/ctrlProp208.xml><?xml version="1.0" encoding="utf-8"?>
<formControlPr xmlns="http://schemas.microsoft.com/office/spreadsheetml/2009/9/main" objectType="CheckBox" checked="Checked" fmlaLink="$AJ$61" lockText="1" noThreeD="1"/>
</file>

<file path=xl/ctrlProps/ctrlProp209.xml><?xml version="1.0" encoding="utf-8"?>
<formControlPr xmlns="http://schemas.microsoft.com/office/spreadsheetml/2009/9/main" objectType="CheckBox" checked="Checked" fmlaLink="$AJ$62" lockText="1" noThreeD="1"/>
</file>

<file path=xl/ctrlProps/ctrlProp21.xml><?xml version="1.0" encoding="utf-8"?>
<formControlPr xmlns="http://schemas.microsoft.com/office/spreadsheetml/2009/9/main" objectType="CheckBox" checked="Checked" fmlaLink="$AI$62" lockText="1" noThreeD="1"/>
</file>

<file path=xl/ctrlProps/ctrlProp210.xml><?xml version="1.0" encoding="utf-8"?>
<formControlPr xmlns="http://schemas.microsoft.com/office/spreadsheetml/2009/9/main" objectType="CheckBox" checked="Checked" fmlaLink="$AJ$63" lockText="1" noThreeD="1"/>
</file>

<file path=xl/ctrlProps/ctrlProp211.xml><?xml version="1.0" encoding="utf-8"?>
<formControlPr xmlns="http://schemas.microsoft.com/office/spreadsheetml/2009/9/main" objectType="CheckBox" checked="Checked" fmlaLink="$AJ$57" lockText="1" noThreeD="1"/>
</file>

<file path=xl/ctrlProps/ctrlProp212.xml><?xml version="1.0" encoding="utf-8"?>
<formControlPr xmlns="http://schemas.microsoft.com/office/spreadsheetml/2009/9/main" objectType="CheckBox" checked="Checked" fmlaLink="$AJ$58" lockText="1" noThreeD="1"/>
</file>

<file path=xl/ctrlProps/ctrlProp213.xml><?xml version="1.0" encoding="utf-8"?>
<formControlPr xmlns="http://schemas.microsoft.com/office/spreadsheetml/2009/9/main" objectType="CheckBox" checked="Checked" fmlaLink="$AJ$64" lockText="1" noThreeD="1"/>
</file>

<file path=xl/ctrlProps/ctrlProp214.xml><?xml version="1.0" encoding="utf-8"?>
<formControlPr xmlns="http://schemas.microsoft.com/office/spreadsheetml/2009/9/main" objectType="CheckBox" checked="Checked" fmlaLink="$AJ41" lockText="1" noThreeD="1"/>
</file>

<file path=xl/ctrlProps/ctrlProp215.xml><?xml version="1.0" encoding="utf-8"?>
<formControlPr xmlns="http://schemas.microsoft.com/office/spreadsheetml/2009/9/main" objectType="CheckBox" checked="Checked" fmlaLink="$AJ42" lockText="1" noThreeD="1"/>
</file>

<file path=xl/ctrlProps/ctrlProp216.xml><?xml version="1.0" encoding="utf-8"?>
<formControlPr xmlns="http://schemas.microsoft.com/office/spreadsheetml/2009/9/main" objectType="CheckBox" checked="Checked" fmlaLink="$AJ43" lockText="1" noThreeD="1"/>
</file>

<file path=xl/ctrlProps/ctrlProp217.xml><?xml version="1.0" encoding="utf-8"?>
<formControlPr xmlns="http://schemas.microsoft.com/office/spreadsheetml/2009/9/main" objectType="CheckBox" checked="Checked" fmlaLink="$AJ44" lockText="1" noThreeD="1"/>
</file>

<file path=xl/ctrlProps/ctrlProp218.xml><?xml version="1.0" encoding="utf-8"?>
<formControlPr xmlns="http://schemas.microsoft.com/office/spreadsheetml/2009/9/main" objectType="CheckBox" checked="Checked" fmlaLink="$AJ45" lockText="1" noThreeD="1"/>
</file>

<file path=xl/ctrlProps/ctrlProp219.xml><?xml version="1.0" encoding="utf-8"?>
<formControlPr xmlns="http://schemas.microsoft.com/office/spreadsheetml/2009/9/main" objectType="CheckBox" checked="Checked" fmlaLink="$AJ46" lockText="1" noThreeD="1"/>
</file>

<file path=xl/ctrlProps/ctrlProp22.xml><?xml version="1.0" encoding="utf-8"?>
<formControlPr xmlns="http://schemas.microsoft.com/office/spreadsheetml/2009/9/main" objectType="CheckBox" checked="Checked" fmlaLink="$AI$56" lockText="1" noThreeD="1"/>
</file>

<file path=xl/ctrlProps/ctrlProp220.xml><?xml version="1.0" encoding="utf-8"?>
<formControlPr xmlns="http://schemas.microsoft.com/office/spreadsheetml/2009/9/main" objectType="CheckBox" checked="Checked" fmlaLink="$AJ47" lockText="1" noThreeD="1"/>
</file>

<file path=xl/ctrlProps/ctrlProp221.xml><?xml version="1.0" encoding="utf-8"?>
<formControlPr xmlns="http://schemas.microsoft.com/office/spreadsheetml/2009/9/main" objectType="CheckBox" checked="Checked" fmlaLink="$AJ48" lockText="1" noThreeD="1"/>
</file>

<file path=xl/ctrlProps/ctrlProp222.xml><?xml version="1.0" encoding="utf-8"?>
<formControlPr xmlns="http://schemas.microsoft.com/office/spreadsheetml/2009/9/main" objectType="CheckBox" checked="Checked" fmlaLink="$AJ49" lockText="1" noThreeD="1"/>
</file>

<file path=xl/ctrlProps/ctrlProp223.xml><?xml version="1.0" encoding="utf-8"?>
<formControlPr xmlns="http://schemas.microsoft.com/office/spreadsheetml/2009/9/main" objectType="CheckBox" checked="Checked" fmlaLink="$AJ50" lockText="1" noThreeD="1"/>
</file>

<file path=xl/ctrlProps/ctrlProp224.xml><?xml version="1.0" encoding="utf-8"?>
<formControlPr xmlns="http://schemas.microsoft.com/office/spreadsheetml/2009/9/main" objectType="CheckBox" checked="Checked" fmlaLink="$AJ51" lockText="1" noThreeD="1"/>
</file>

<file path=xl/ctrlProps/ctrlProp225.xml><?xml version="1.0" encoding="utf-8"?>
<formControlPr xmlns="http://schemas.microsoft.com/office/spreadsheetml/2009/9/main" objectType="CheckBox" checked="Checked" fmlaLink="$AJ52" lockText="1" noThreeD="1"/>
</file>

<file path=xl/ctrlProps/ctrlProp226.xml><?xml version="1.0" encoding="utf-8"?>
<formControlPr xmlns="http://schemas.microsoft.com/office/spreadsheetml/2009/9/main" objectType="CheckBox" checked="Checked" fmlaLink="$AJ53" lockText="1" noThreeD="1"/>
</file>

<file path=xl/ctrlProps/ctrlProp227.xml><?xml version="1.0" encoding="utf-8"?>
<formControlPr xmlns="http://schemas.microsoft.com/office/spreadsheetml/2009/9/main" objectType="CheckBox" checked="Checked" fmlaLink="$AJ54" lockText="1" noThreeD="1"/>
</file>

<file path=xl/ctrlProps/ctrlProp228.xml><?xml version="1.0" encoding="utf-8"?>
<formControlPr xmlns="http://schemas.microsoft.com/office/spreadsheetml/2009/9/main" objectType="CheckBox" checked="Checked" fmlaLink="$AJ55" lockText="1" noThreeD="1"/>
</file>

<file path=xl/ctrlProps/ctrlProp229.xml><?xml version="1.0" encoding="utf-8"?>
<formControlPr xmlns="http://schemas.microsoft.com/office/spreadsheetml/2009/9/main" objectType="CheckBox" checked="Checked" fmlaLink="$AJ$56" lockText="1" noThreeD="1"/>
</file>

<file path=xl/ctrlProps/ctrlProp23.xml><?xml version="1.0" encoding="utf-8"?>
<formControlPr xmlns="http://schemas.microsoft.com/office/spreadsheetml/2009/9/main" objectType="CheckBox" checked="Checked" fmlaLink="$AI$57" lockText="1" noThreeD="1"/>
</file>

<file path=xl/ctrlProps/ctrlProp230.xml><?xml version="1.0" encoding="utf-8"?>
<formControlPr xmlns="http://schemas.microsoft.com/office/spreadsheetml/2009/9/main" objectType="CheckBox" checked="Checked" fmlaLink="$AJ$59" lockText="1" noThreeD="1"/>
</file>

<file path=xl/ctrlProps/ctrlProp231.xml><?xml version="1.0" encoding="utf-8"?>
<formControlPr xmlns="http://schemas.microsoft.com/office/spreadsheetml/2009/9/main" objectType="CheckBox" checked="Checked" fmlaLink="$AJ$60" lockText="1" noThreeD="1"/>
</file>

<file path=xl/ctrlProps/ctrlProp232.xml><?xml version="1.0" encoding="utf-8"?>
<formControlPr xmlns="http://schemas.microsoft.com/office/spreadsheetml/2009/9/main" objectType="CheckBox" checked="Checked" fmlaLink="$AJ$61" lockText="1" noThreeD="1"/>
</file>

<file path=xl/ctrlProps/ctrlProp233.xml><?xml version="1.0" encoding="utf-8"?>
<formControlPr xmlns="http://schemas.microsoft.com/office/spreadsheetml/2009/9/main" objectType="CheckBox" checked="Checked" fmlaLink="$AJ$62" lockText="1" noThreeD="1"/>
</file>

<file path=xl/ctrlProps/ctrlProp234.xml><?xml version="1.0" encoding="utf-8"?>
<formControlPr xmlns="http://schemas.microsoft.com/office/spreadsheetml/2009/9/main" objectType="CheckBox" checked="Checked" fmlaLink="$AJ$63" lockText="1" noThreeD="1"/>
</file>

<file path=xl/ctrlProps/ctrlProp235.xml><?xml version="1.0" encoding="utf-8"?>
<formControlPr xmlns="http://schemas.microsoft.com/office/spreadsheetml/2009/9/main" objectType="CheckBox" checked="Checked" fmlaLink="$AJ$57" lockText="1" noThreeD="1"/>
</file>

<file path=xl/ctrlProps/ctrlProp236.xml><?xml version="1.0" encoding="utf-8"?>
<formControlPr xmlns="http://schemas.microsoft.com/office/spreadsheetml/2009/9/main" objectType="CheckBox" checked="Checked" fmlaLink="$AJ$58" lockText="1" noThreeD="1"/>
</file>

<file path=xl/ctrlProps/ctrlProp237.xml><?xml version="1.0" encoding="utf-8"?>
<formControlPr xmlns="http://schemas.microsoft.com/office/spreadsheetml/2009/9/main" objectType="CheckBox" checked="Checked" fmlaLink="$AJ$64" lockText="1" noThreeD="1"/>
</file>

<file path=xl/ctrlProps/ctrlProp238.xml><?xml version="1.0" encoding="utf-8"?>
<formControlPr xmlns="http://schemas.microsoft.com/office/spreadsheetml/2009/9/main" objectType="CheckBox" checked="Checked" fmlaLink="$AJ41" lockText="1" noThreeD="1"/>
</file>

<file path=xl/ctrlProps/ctrlProp239.xml><?xml version="1.0" encoding="utf-8"?>
<formControlPr xmlns="http://schemas.microsoft.com/office/spreadsheetml/2009/9/main" objectType="CheckBox" checked="Checked" fmlaLink="$AJ42" lockText="1" noThreeD="1"/>
</file>

<file path=xl/ctrlProps/ctrlProp24.xml><?xml version="1.0" encoding="utf-8"?>
<formControlPr xmlns="http://schemas.microsoft.com/office/spreadsheetml/2009/9/main" objectType="CheckBox" checked="Checked" fmlaLink="$AI$63" lockText="1" noThreeD="1"/>
</file>

<file path=xl/ctrlProps/ctrlProp240.xml><?xml version="1.0" encoding="utf-8"?>
<formControlPr xmlns="http://schemas.microsoft.com/office/spreadsheetml/2009/9/main" objectType="CheckBox" checked="Checked" fmlaLink="$AJ43" lockText="1" noThreeD="1"/>
</file>

<file path=xl/ctrlProps/ctrlProp241.xml><?xml version="1.0" encoding="utf-8"?>
<formControlPr xmlns="http://schemas.microsoft.com/office/spreadsheetml/2009/9/main" objectType="CheckBox" checked="Checked" fmlaLink="$AJ44" lockText="1" noThreeD="1"/>
</file>

<file path=xl/ctrlProps/ctrlProp242.xml><?xml version="1.0" encoding="utf-8"?>
<formControlPr xmlns="http://schemas.microsoft.com/office/spreadsheetml/2009/9/main" objectType="CheckBox" checked="Checked" fmlaLink="$AJ45" lockText="1" noThreeD="1"/>
</file>

<file path=xl/ctrlProps/ctrlProp243.xml><?xml version="1.0" encoding="utf-8"?>
<formControlPr xmlns="http://schemas.microsoft.com/office/spreadsheetml/2009/9/main" objectType="CheckBox" checked="Checked" fmlaLink="$AJ46" lockText="1" noThreeD="1"/>
</file>

<file path=xl/ctrlProps/ctrlProp244.xml><?xml version="1.0" encoding="utf-8"?>
<formControlPr xmlns="http://schemas.microsoft.com/office/spreadsheetml/2009/9/main" objectType="CheckBox" checked="Checked" fmlaLink="$AJ47" lockText="1" noThreeD="1"/>
</file>

<file path=xl/ctrlProps/ctrlProp245.xml><?xml version="1.0" encoding="utf-8"?>
<formControlPr xmlns="http://schemas.microsoft.com/office/spreadsheetml/2009/9/main" objectType="CheckBox" checked="Checked" fmlaLink="$AJ48" lockText="1" noThreeD="1"/>
</file>

<file path=xl/ctrlProps/ctrlProp246.xml><?xml version="1.0" encoding="utf-8"?>
<formControlPr xmlns="http://schemas.microsoft.com/office/spreadsheetml/2009/9/main" objectType="CheckBox" checked="Checked" fmlaLink="$AJ49" lockText="1" noThreeD="1"/>
</file>

<file path=xl/ctrlProps/ctrlProp247.xml><?xml version="1.0" encoding="utf-8"?>
<formControlPr xmlns="http://schemas.microsoft.com/office/spreadsheetml/2009/9/main" objectType="CheckBox" checked="Checked" fmlaLink="$AJ50" lockText="1" noThreeD="1"/>
</file>

<file path=xl/ctrlProps/ctrlProp248.xml><?xml version="1.0" encoding="utf-8"?>
<formControlPr xmlns="http://schemas.microsoft.com/office/spreadsheetml/2009/9/main" objectType="CheckBox" checked="Checked" fmlaLink="$AJ51" lockText="1" noThreeD="1"/>
</file>

<file path=xl/ctrlProps/ctrlProp249.xml><?xml version="1.0" encoding="utf-8"?>
<formControlPr xmlns="http://schemas.microsoft.com/office/spreadsheetml/2009/9/main" objectType="CheckBox" checked="Checked" fmlaLink="$AJ52" lockText="1" noThreeD="1"/>
</file>

<file path=xl/ctrlProps/ctrlProp25.xml><?xml version="1.0" encoding="utf-8"?>
<formControlPr xmlns="http://schemas.microsoft.com/office/spreadsheetml/2009/9/main" objectType="CheckBox" checked="Checked" fmlaLink="$AI40" lockText="1" noThreeD="1"/>
</file>

<file path=xl/ctrlProps/ctrlProp250.xml><?xml version="1.0" encoding="utf-8"?>
<formControlPr xmlns="http://schemas.microsoft.com/office/spreadsheetml/2009/9/main" objectType="CheckBox" checked="Checked" fmlaLink="$AJ53" lockText="1" noThreeD="1"/>
</file>

<file path=xl/ctrlProps/ctrlProp251.xml><?xml version="1.0" encoding="utf-8"?>
<formControlPr xmlns="http://schemas.microsoft.com/office/spreadsheetml/2009/9/main" objectType="CheckBox" checked="Checked" fmlaLink="$AJ54" lockText="1" noThreeD="1"/>
</file>

<file path=xl/ctrlProps/ctrlProp252.xml><?xml version="1.0" encoding="utf-8"?>
<formControlPr xmlns="http://schemas.microsoft.com/office/spreadsheetml/2009/9/main" objectType="CheckBox" checked="Checked" fmlaLink="$AJ55" lockText="1" noThreeD="1"/>
</file>

<file path=xl/ctrlProps/ctrlProp253.xml><?xml version="1.0" encoding="utf-8"?>
<formControlPr xmlns="http://schemas.microsoft.com/office/spreadsheetml/2009/9/main" objectType="CheckBox" checked="Checked" fmlaLink="$AJ$56" lockText="1" noThreeD="1"/>
</file>

<file path=xl/ctrlProps/ctrlProp254.xml><?xml version="1.0" encoding="utf-8"?>
<formControlPr xmlns="http://schemas.microsoft.com/office/spreadsheetml/2009/9/main" objectType="CheckBox" checked="Checked" fmlaLink="$AJ$59" lockText="1" noThreeD="1"/>
</file>

<file path=xl/ctrlProps/ctrlProp255.xml><?xml version="1.0" encoding="utf-8"?>
<formControlPr xmlns="http://schemas.microsoft.com/office/spreadsheetml/2009/9/main" objectType="CheckBox" checked="Checked" fmlaLink="$AJ$60" lockText="1" noThreeD="1"/>
</file>

<file path=xl/ctrlProps/ctrlProp256.xml><?xml version="1.0" encoding="utf-8"?>
<formControlPr xmlns="http://schemas.microsoft.com/office/spreadsheetml/2009/9/main" objectType="CheckBox" checked="Checked" fmlaLink="$AJ$61" lockText="1" noThreeD="1"/>
</file>

<file path=xl/ctrlProps/ctrlProp257.xml><?xml version="1.0" encoding="utf-8"?>
<formControlPr xmlns="http://schemas.microsoft.com/office/spreadsheetml/2009/9/main" objectType="CheckBox" checked="Checked" fmlaLink="$AJ$62" lockText="1" noThreeD="1"/>
</file>

<file path=xl/ctrlProps/ctrlProp258.xml><?xml version="1.0" encoding="utf-8"?>
<formControlPr xmlns="http://schemas.microsoft.com/office/spreadsheetml/2009/9/main" objectType="CheckBox" checked="Checked" fmlaLink="$AJ$63" lockText="1" noThreeD="1"/>
</file>

<file path=xl/ctrlProps/ctrlProp259.xml><?xml version="1.0" encoding="utf-8"?>
<formControlPr xmlns="http://schemas.microsoft.com/office/spreadsheetml/2009/9/main" objectType="CheckBox" checked="Checked" fmlaLink="$AJ$57" lockText="1" noThreeD="1"/>
</file>

<file path=xl/ctrlProps/ctrlProp26.xml><?xml version="1.0" encoding="utf-8"?>
<formControlPr xmlns="http://schemas.microsoft.com/office/spreadsheetml/2009/9/main" objectType="CheckBox" checked="Checked" fmlaLink="$AI41" lockText="1" noThreeD="1"/>
</file>

<file path=xl/ctrlProps/ctrlProp260.xml><?xml version="1.0" encoding="utf-8"?>
<formControlPr xmlns="http://schemas.microsoft.com/office/spreadsheetml/2009/9/main" objectType="CheckBox" checked="Checked" fmlaLink="$AJ$58" lockText="1" noThreeD="1"/>
</file>

<file path=xl/ctrlProps/ctrlProp261.xml><?xml version="1.0" encoding="utf-8"?>
<formControlPr xmlns="http://schemas.microsoft.com/office/spreadsheetml/2009/9/main" objectType="CheckBox" checked="Checked" fmlaLink="$AJ$64" lockText="1" noThreeD="1"/>
</file>

<file path=xl/ctrlProps/ctrlProp262.xml><?xml version="1.0" encoding="utf-8"?>
<formControlPr xmlns="http://schemas.microsoft.com/office/spreadsheetml/2009/9/main" objectType="CheckBox" checked="Checked" fmlaLink="$AJ41" lockText="1" noThreeD="1"/>
</file>

<file path=xl/ctrlProps/ctrlProp263.xml><?xml version="1.0" encoding="utf-8"?>
<formControlPr xmlns="http://schemas.microsoft.com/office/spreadsheetml/2009/9/main" objectType="CheckBox" checked="Checked" fmlaLink="$AJ42" lockText="1" noThreeD="1"/>
</file>

<file path=xl/ctrlProps/ctrlProp264.xml><?xml version="1.0" encoding="utf-8"?>
<formControlPr xmlns="http://schemas.microsoft.com/office/spreadsheetml/2009/9/main" objectType="CheckBox" checked="Checked" fmlaLink="$AJ43" lockText="1" noThreeD="1"/>
</file>

<file path=xl/ctrlProps/ctrlProp265.xml><?xml version="1.0" encoding="utf-8"?>
<formControlPr xmlns="http://schemas.microsoft.com/office/spreadsheetml/2009/9/main" objectType="CheckBox" checked="Checked" fmlaLink="$AJ44" lockText="1" noThreeD="1"/>
</file>

<file path=xl/ctrlProps/ctrlProp266.xml><?xml version="1.0" encoding="utf-8"?>
<formControlPr xmlns="http://schemas.microsoft.com/office/spreadsheetml/2009/9/main" objectType="CheckBox" checked="Checked" fmlaLink="$AJ45" lockText="1" noThreeD="1"/>
</file>

<file path=xl/ctrlProps/ctrlProp267.xml><?xml version="1.0" encoding="utf-8"?>
<formControlPr xmlns="http://schemas.microsoft.com/office/spreadsheetml/2009/9/main" objectType="CheckBox" checked="Checked" fmlaLink="$AJ46" lockText="1" noThreeD="1"/>
</file>

<file path=xl/ctrlProps/ctrlProp268.xml><?xml version="1.0" encoding="utf-8"?>
<formControlPr xmlns="http://schemas.microsoft.com/office/spreadsheetml/2009/9/main" objectType="CheckBox" checked="Checked" fmlaLink="$AJ47" lockText="1" noThreeD="1"/>
</file>

<file path=xl/ctrlProps/ctrlProp269.xml><?xml version="1.0" encoding="utf-8"?>
<formControlPr xmlns="http://schemas.microsoft.com/office/spreadsheetml/2009/9/main" objectType="CheckBox" checked="Checked" fmlaLink="$AJ48" lockText="1" noThreeD="1"/>
</file>

<file path=xl/ctrlProps/ctrlProp27.xml><?xml version="1.0" encoding="utf-8"?>
<formControlPr xmlns="http://schemas.microsoft.com/office/spreadsheetml/2009/9/main" objectType="CheckBox" checked="Checked" fmlaLink="$AI42" lockText="1" noThreeD="1"/>
</file>

<file path=xl/ctrlProps/ctrlProp270.xml><?xml version="1.0" encoding="utf-8"?>
<formControlPr xmlns="http://schemas.microsoft.com/office/spreadsheetml/2009/9/main" objectType="CheckBox" checked="Checked" fmlaLink="$AJ49" lockText="1" noThreeD="1"/>
</file>

<file path=xl/ctrlProps/ctrlProp271.xml><?xml version="1.0" encoding="utf-8"?>
<formControlPr xmlns="http://schemas.microsoft.com/office/spreadsheetml/2009/9/main" objectType="CheckBox" checked="Checked" fmlaLink="$AJ50" lockText="1" noThreeD="1"/>
</file>

<file path=xl/ctrlProps/ctrlProp272.xml><?xml version="1.0" encoding="utf-8"?>
<formControlPr xmlns="http://schemas.microsoft.com/office/spreadsheetml/2009/9/main" objectType="CheckBox" checked="Checked" fmlaLink="$AJ51" lockText="1" noThreeD="1"/>
</file>

<file path=xl/ctrlProps/ctrlProp273.xml><?xml version="1.0" encoding="utf-8"?>
<formControlPr xmlns="http://schemas.microsoft.com/office/spreadsheetml/2009/9/main" objectType="CheckBox" checked="Checked" fmlaLink="$AJ52" lockText="1" noThreeD="1"/>
</file>

<file path=xl/ctrlProps/ctrlProp274.xml><?xml version="1.0" encoding="utf-8"?>
<formControlPr xmlns="http://schemas.microsoft.com/office/spreadsheetml/2009/9/main" objectType="CheckBox" checked="Checked" fmlaLink="$AJ53" lockText="1" noThreeD="1"/>
</file>

<file path=xl/ctrlProps/ctrlProp275.xml><?xml version="1.0" encoding="utf-8"?>
<formControlPr xmlns="http://schemas.microsoft.com/office/spreadsheetml/2009/9/main" objectType="CheckBox" checked="Checked" fmlaLink="$AJ54" lockText="1" noThreeD="1"/>
</file>

<file path=xl/ctrlProps/ctrlProp276.xml><?xml version="1.0" encoding="utf-8"?>
<formControlPr xmlns="http://schemas.microsoft.com/office/spreadsheetml/2009/9/main" objectType="CheckBox" checked="Checked" fmlaLink="$AJ55" lockText="1" noThreeD="1"/>
</file>

<file path=xl/ctrlProps/ctrlProp277.xml><?xml version="1.0" encoding="utf-8"?>
<formControlPr xmlns="http://schemas.microsoft.com/office/spreadsheetml/2009/9/main" objectType="CheckBox" checked="Checked" fmlaLink="$AJ$56" lockText="1" noThreeD="1"/>
</file>

<file path=xl/ctrlProps/ctrlProp278.xml><?xml version="1.0" encoding="utf-8"?>
<formControlPr xmlns="http://schemas.microsoft.com/office/spreadsheetml/2009/9/main" objectType="CheckBox" checked="Checked" fmlaLink="$AJ$59" lockText="1" noThreeD="1"/>
</file>

<file path=xl/ctrlProps/ctrlProp279.xml><?xml version="1.0" encoding="utf-8"?>
<formControlPr xmlns="http://schemas.microsoft.com/office/spreadsheetml/2009/9/main" objectType="CheckBox" checked="Checked" fmlaLink="$AJ$60" lockText="1" noThreeD="1"/>
</file>

<file path=xl/ctrlProps/ctrlProp28.xml><?xml version="1.0" encoding="utf-8"?>
<formControlPr xmlns="http://schemas.microsoft.com/office/spreadsheetml/2009/9/main" objectType="CheckBox" checked="Checked" fmlaLink="$AI43" lockText="1" noThreeD="1"/>
</file>

<file path=xl/ctrlProps/ctrlProp280.xml><?xml version="1.0" encoding="utf-8"?>
<formControlPr xmlns="http://schemas.microsoft.com/office/spreadsheetml/2009/9/main" objectType="CheckBox" checked="Checked" fmlaLink="$AJ$61" lockText="1" noThreeD="1"/>
</file>

<file path=xl/ctrlProps/ctrlProp281.xml><?xml version="1.0" encoding="utf-8"?>
<formControlPr xmlns="http://schemas.microsoft.com/office/spreadsheetml/2009/9/main" objectType="CheckBox" checked="Checked" fmlaLink="$AJ$62" lockText="1" noThreeD="1"/>
</file>

<file path=xl/ctrlProps/ctrlProp282.xml><?xml version="1.0" encoding="utf-8"?>
<formControlPr xmlns="http://schemas.microsoft.com/office/spreadsheetml/2009/9/main" objectType="CheckBox" checked="Checked" fmlaLink="$AJ$63" lockText="1" noThreeD="1"/>
</file>

<file path=xl/ctrlProps/ctrlProp283.xml><?xml version="1.0" encoding="utf-8"?>
<formControlPr xmlns="http://schemas.microsoft.com/office/spreadsheetml/2009/9/main" objectType="CheckBox" checked="Checked" fmlaLink="$AJ$57" lockText="1" noThreeD="1"/>
</file>

<file path=xl/ctrlProps/ctrlProp284.xml><?xml version="1.0" encoding="utf-8"?>
<formControlPr xmlns="http://schemas.microsoft.com/office/spreadsheetml/2009/9/main" objectType="CheckBox" checked="Checked" fmlaLink="$AJ$58" lockText="1" noThreeD="1"/>
</file>

<file path=xl/ctrlProps/ctrlProp285.xml><?xml version="1.0" encoding="utf-8"?>
<formControlPr xmlns="http://schemas.microsoft.com/office/spreadsheetml/2009/9/main" objectType="CheckBox" checked="Checked" fmlaLink="$AJ$64" lockText="1" noThreeD="1"/>
</file>

<file path=xl/ctrlProps/ctrlProp286.xml><?xml version="1.0" encoding="utf-8"?>
<formControlPr xmlns="http://schemas.microsoft.com/office/spreadsheetml/2009/9/main" objectType="CheckBox" checked="Checked" fmlaLink="$AJ41" lockText="1" noThreeD="1"/>
</file>

<file path=xl/ctrlProps/ctrlProp287.xml><?xml version="1.0" encoding="utf-8"?>
<formControlPr xmlns="http://schemas.microsoft.com/office/spreadsheetml/2009/9/main" objectType="CheckBox" checked="Checked" fmlaLink="$AJ42" lockText="1" noThreeD="1"/>
</file>

<file path=xl/ctrlProps/ctrlProp288.xml><?xml version="1.0" encoding="utf-8"?>
<formControlPr xmlns="http://schemas.microsoft.com/office/spreadsheetml/2009/9/main" objectType="CheckBox" checked="Checked" fmlaLink="$AJ43" lockText="1" noThreeD="1"/>
</file>

<file path=xl/ctrlProps/ctrlProp289.xml><?xml version="1.0" encoding="utf-8"?>
<formControlPr xmlns="http://schemas.microsoft.com/office/spreadsheetml/2009/9/main" objectType="CheckBox" checked="Checked" fmlaLink="$AJ44" lockText="1" noThreeD="1"/>
</file>

<file path=xl/ctrlProps/ctrlProp29.xml><?xml version="1.0" encoding="utf-8"?>
<formControlPr xmlns="http://schemas.microsoft.com/office/spreadsheetml/2009/9/main" objectType="CheckBox" checked="Checked" fmlaLink="$AI44" lockText="1" noThreeD="1"/>
</file>

<file path=xl/ctrlProps/ctrlProp290.xml><?xml version="1.0" encoding="utf-8"?>
<formControlPr xmlns="http://schemas.microsoft.com/office/spreadsheetml/2009/9/main" objectType="CheckBox" checked="Checked" fmlaLink="$AJ45" lockText="1" noThreeD="1"/>
</file>

<file path=xl/ctrlProps/ctrlProp291.xml><?xml version="1.0" encoding="utf-8"?>
<formControlPr xmlns="http://schemas.microsoft.com/office/spreadsheetml/2009/9/main" objectType="CheckBox" checked="Checked" fmlaLink="$AJ46" lockText="1" noThreeD="1"/>
</file>

<file path=xl/ctrlProps/ctrlProp292.xml><?xml version="1.0" encoding="utf-8"?>
<formControlPr xmlns="http://schemas.microsoft.com/office/spreadsheetml/2009/9/main" objectType="CheckBox" checked="Checked" fmlaLink="$AJ47" lockText="1" noThreeD="1"/>
</file>

<file path=xl/ctrlProps/ctrlProp293.xml><?xml version="1.0" encoding="utf-8"?>
<formControlPr xmlns="http://schemas.microsoft.com/office/spreadsheetml/2009/9/main" objectType="CheckBox" checked="Checked" fmlaLink="$AJ48" lockText="1" noThreeD="1"/>
</file>

<file path=xl/ctrlProps/ctrlProp294.xml><?xml version="1.0" encoding="utf-8"?>
<formControlPr xmlns="http://schemas.microsoft.com/office/spreadsheetml/2009/9/main" objectType="CheckBox" checked="Checked" fmlaLink="$AJ49" lockText="1" noThreeD="1"/>
</file>

<file path=xl/ctrlProps/ctrlProp295.xml><?xml version="1.0" encoding="utf-8"?>
<formControlPr xmlns="http://schemas.microsoft.com/office/spreadsheetml/2009/9/main" objectType="CheckBox" checked="Checked" fmlaLink="$AJ50" lockText="1" noThreeD="1"/>
</file>

<file path=xl/ctrlProps/ctrlProp296.xml><?xml version="1.0" encoding="utf-8"?>
<formControlPr xmlns="http://schemas.microsoft.com/office/spreadsheetml/2009/9/main" objectType="CheckBox" checked="Checked" fmlaLink="$AJ51" lockText="1" noThreeD="1"/>
</file>

<file path=xl/ctrlProps/ctrlProp297.xml><?xml version="1.0" encoding="utf-8"?>
<formControlPr xmlns="http://schemas.microsoft.com/office/spreadsheetml/2009/9/main" objectType="CheckBox" checked="Checked" fmlaLink="$AJ52" lockText="1" noThreeD="1"/>
</file>

<file path=xl/ctrlProps/ctrlProp298.xml><?xml version="1.0" encoding="utf-8"?>
<formControlPr xmlns="http://schemas.microsoft.com/office/spreadsheetml/2009/9/main" objectType="CheckBox" checked="Checked" fmlaLink="$AJ53" lockText="1" noThreeD="1"/>
</file>

<file path=xl/ctrlProps/ctrlProp299.xml><?xml version="1.0" encoding="utf-8"?>
<formControlPr xmlns="http://schemas.microsoft.com/office/spreadsheetml/2009/9/main" objectType="CheckBox" checked="Checked" fmlaLink="$AJ54" lockText="1" noThreeD="1"/>
</file>

<file path=xl/ctrlProps/ctrlProp3.xml><?xml version="1.0" encoding="utf-8"?>
<formControlPr xmlns="http://schemas.microsoft.com/office/spreadsheetml/2009/9/main" objectType="CheckBox" checked="Checked" fmlaLink="$AI42" lockText="1" noThreeD="1"/>
</file>

<file path=xl/ctrlProps/ctrlProp30.xml><?xml version="1.0" encoding="utf-8"?>
<formControlPr xmlns="http://schemas.microsoft.com/office/spreadsheetml/2009/9/main" objectType="CheckBox" checked="Checked" fmlaLink="$AI45" lockText="1" noThreeD="1"/>
</file>

<file path=xl/ctrlProps/ctrlProp300.xml><?xml version="1.0" encoding="utf-8"?>
<formControlPr xmlns="http://schemas.microsoft.com/office/spreadsheetml/2009/9/main" objectType="CheckBox" checked="Checked" fmlaLink="$AJ55" lockText="1" noThreeD="1"/>
</file>

<file path=xl/ctrlProps/ctrlProp301.xml><?xml version="1.0" encoding="utf-8"?>
<formControlPr xmlns="http://schemas.microsoft.com/office/spreadsheetml/2009/9/main" objectType="CheckBox" checked="Checked" fmlaLink="$AJ$56" lockText="1" noThreeD="1"/>
</file>

<file path=xl/ctrlProps/ctrlProp302.xml><?xml version="1.0" encoding="utf-8"?>
<formControlPr xmlns="http://schemas.microsoft.com/office/spreadsheetml/2009/9/main" objectType="CheckBox" checked="Checked" fmlaLink="$AJ$59" lockText="1" noThreeD="1"/>
</file>

<file path=xl/ctrlProps/ctrlProp303.xml><?xml version="1.0" encoding="utf-8"?>
<formControlPr xmlns="http://schemas.microsoft.com/office/spreadsheetml/2009/9/main" objectType="CheckBox" checked="Checked" fmlaLink="$AJ$60" lockText="1" noThreeD="1"/>
</file>

<file path=xl/ctrlProps/ctrlProp304.xml><?xml version="1.0" encoding="utf-8"?>
<formControlPr xmlns="http://schemas.microsoft.com/office/spreadsheetml/2009/9/main" objectType="CheckBox" checked="Checked" fmlaLink="$AJ$61" lockText="1" noThreeD="1"/>
</file>

<file path=xl/ctrlProps/ctrlProp305.xml><?xml version="1.0" encoding="utf-8"?>
<formControlPr xmlns="http://schemas.microsoft.com/office/spreadsheetml/2009/9/main" objectType="CheckBox" checked="Checked" fmlaLink="$AJ$62" lockText="1" noThreeD="1"/>
</file>

<file path=xl/ctrlProps/ctrlProp306.xml><?xml version="1.0" encoding="utf-8"?>
<formControlPr xmlns="http://schemas.microsoft.com/office/spreadsheetml/2009/9/main" objectType="CheckBox" checked="Checked" fmlaLink="$AJ$63" lockText="1" noThreeD="1"/>
</file>

<file path=xl/ctrlProps/ctrlProp307.xml><?xml version="1.0" encoding="utf-8"?>
<formControlPr xmlns="http://schemas.microsoft.com/office/spreadsheetml/2009/9/main" objectType="CheckBox" checked="Checked" fmlaLink="$AJ$57" lockText="1" noThreeD="1"/>
</file>

<file path=xl/ctrlProps/ctrlProp308.xml><?xml version="1.0" encoding="utf-8"?>
<formControlPr xmlns="http://schemas.microsoft.com/office/spreadsheetml/2009/9/main" objectType="CheckBox" checked="Checked" fmlaLink="$AJ$58" lockText="1" noThreeD="1"/>
</file>

<file path=xl/ctrlProps/ctrlProp309.xml><?xml version="1.0" encoding="utf-8"?>
<formControlPr xmlns="http://schemas.microsoft.com/office/spreadsheetml/2009/9/main" objectType="CheckBox" checked="Checked" fmlaLink="$AJ$64" lockText="1" noThreeD="1"/>
</file>

<file path=xl/ctrlProps/ctrlProp31.xml><?xml version="1.0" encoding="utf-8"?>
<formControlPr xmlns="http://schemas.microsoft.com/office/spreadsheetml/2009/9/main" objectType="CheckBox" checked="Checked" fmlaLink="$AI46" lockText="1" noThreeD="1"/>
</file>

<file path=xl/ctrlProps/ctrlProp310.xml><?xml version="1.0" encoding="utf-8"?>
<formControlPr xmlns="http://schemas.microsoft.com/office/spreadsheetml/2009/9/main" objectType="CheckBox" checked="Checked" fmlaLink="$AJ44" lockText="1" noThreeD="1"/>
</file>

<file path=xl/ctrlProps/ctrlProp311.xml><?xml version="1.0" encoding="utf-8"?>
<formControlPr xmlns="http://schemas.microsoft.com/office/spreadsheetml/2009/9/main" objectType="CheckBox" checked="Checked" fmlaLink="$AJ45" lockText="1" noThreeD="1"/>
</file>

<file path=xl/ctrlProps/ctrlProp312.xml><?xml version="1.0" encoding="utf-8"?>
<formControlPr xmlns="http://schemas.microsoft.com/office/spreadsheetml/2009/9/main" objectType="CheckBox" checked="Checked" fmlaLink="$AJ46" lockText="1" noThreeD="1"/>
</file>

<file path=xl/ctrlProps/ctrlProp313.xml><?xml version="1.0" encoding="utf-8"?>
<formControlPr xmlns="http://schemas.microsoft.com/office/spreadsheetml/2009/9/main" objectType="CheckBox" checked="Checked" fmlaLink="$AJ47" lockText="1" noThreeD="1"/>
</file>

<file path=xl/ctrlProps/ctrlProp314.xml><?xml version="1.0" encoding="utf-8"?>
<formControlPr xmlns="http://schemas.microsoft.com/office/spreadsheetml/2009/9/main" objectType="CheckBox" checked="Checked" fmlaLink="$AJ48" lockText="1" noThreeD="1"/>
</file>

<file path=xl/ctrlProps/ctrlProp315.xml><?xml version="1.0" encoding="utf-8"?>
<formControlPr xmlns="http://schemas.microsoft.com/office/spreadsheetml/2009/9/main" objectType="CheckBox" checked="Checked" fmlaLink="$AJ49" lockText="1" noThreeD="1"/>
</file>

<file path=xl/ctrlProps/ctrlProp316.xml><?xml version="1.0" encoding="utf-8"?>
<formControlPr xmlns="http://schemas.microsoft.com/office/spreadsheetml/2009/9/main" objectType="CheckBox" checked="Checked" fmlaLink="$AJ50" lockText="1" noThreeD="1"/>
</file>

<file path=xl/ctrlProps/ctrlProp317.xml><?xml version="1.0" encoding="utf-8"?>
<formControlPr xmlns="http://schemas.microsoft.com/office/spreadsheetml/2009/9/main" objectType="CheckBox" checked="Checked" fmlaLink="$AJ51" lockText="1" noThreeD="1"/>
</file>

<file path=xl/ctrlProps/ctrlProp318.xml><?xml version="1.0" encoding="utf-8"?>
<formControlPr xmlns="http://schemas.microsoft.com/office/spreadsheetml/2009/9/main" objectType="CheckBox" checked="Checked" fmlaLink="$AJ52" lockText="1" noThreeD="1"/>
</file>

<file path=xl/ctrlProps/ctrlProp319.xml><?xml version="1.0" encoding="utf-8"?>
<formControlPr xmlns="http://schemas.microsoft.com/office/spreadsheetml/2009/9/main" objectType="CheckBox" checked="Checked" fmlaLink="$AJ53" lockText="1" noThreeD="1"/>
</file>

<file path=xl/ctrlProps/ctrlProp32.xml><?xml version="1.0" encoding="utf-8"?>
<formControlPr xmlns="http://schemas.microsoft.com/office/spreadsheetml/2009/9/main" objectType="CheckBox" checked="Checked" fmlaLink="$AI47" lockText="1" noThreeD="1"/>
</file>

<file path=xl/ctrlProps/ctrlProp320.xml><?xml version="1.0" encoding="utf-8"?>
<formControlPr xmlns="http://schemas.microsoft.com/office/spreadsheetml/2009/9/main" objectType="CheckBox" checked="Checked" fmlaLink="$AJ54" lockText="1" noThreeD="1"/>
</file>

<file path=xl/ctrlProps/ctrlProp321.xml><?xml version="1.0" encoding="utf-8"?>
<formControlPr xmlns="http://schemas.microsoft.com/office/spreadsheetml/2009/9/main" objectType="CheckBox" checked="Checked" fmlaLink="$AJ55" lockText="1" noThreeD="1"/>
</file>

<file path=xl/ctrlProps/ctrlProp322.xml><?xml version="1.0" encoding="utf-8"?>
<formControlPr xmlns="http://schemas.microsoft.com/office/spreadsheetml/2009/9/main" objectType="CheckBox" checked="Checked" fmlaLink="$AJ$56" lockText="1" noThreeD="1"/>
</file>

<file path=xl/ctrlProps/ctrlProp323.xml><?xml version="1.0" encoding="utf-8"?>
<formControlPr xmlns="http://schemas.microsoft.com/office/spreadsheetml/2009/9/main" objectType="CheckBox" checked="Checked" fmlaLink="$AJ$59" lockText="1" noThreeD="1"/>
</file>

<file path=xl/ctrlProps/ctrlProp324.xml><?xml version="1.0" encoding="utf-8"?>
<formControlPr xmlns="http://schemas.microsoft.com/office/spreadsheetml/2009/9/main" objectType="CheckBox" checked="Checked" fmlaLink="$AJ$60" lockText="1" noThreeD="1"/>
</file>

<file path=xl/ctrlProps/ctrlProp325.xml><?xml version="1.0" encoding="utf-8"?>
<formControlPr xmlns="http://schemas.microsoft.com/office/spreadsheetml/2009/9/main" objectType="CheckBox" checked="Checked" fmlaLink="$AJ$61" lockText="1" noThreeD="1"/>
</file>

<file path=xl/ctrlProps/ctrlProp326.xml><?xml version="1.0" encoding="utf-8"?>
<formControlPr xmlns="http://schemas.microsoft.com/office/spreadsheetml/2009/9/main" objectType="CheckBox" checked="Checked" fmlaLink="$AJ$62" lockText="1" noThreeD="1"/>
</file>

<file path=xl/ctrlProps/ctrlProp327.xml><?xml version="1.0" encoding="utf-8"?>
<formControlPr xmlns="http://schemas.microsoft.com/office/spreadsheetml/2009/9/main" objectType="CheckBox" checked="Checked" fmlaLink="$AJ$63" lockText="1" noThreeD="1"/>
</file>

<file path=xl/ctrlProps/ctrlProp328.xml><?xml version="1.0" encoding="utf-8"?>
<formControlPr xmlns="http://schemas.microsoft.com/office/spreadsheetml/2009/9/main" objectType="CheckBox" checked="Checked" fmlaLink="$AJ$57" lockText="1" noThreeD="1"/>
</file>

<file path=xl/ctrlProps/ctrlProp329.xml><?xml version="1.0" encoding="utf-8"?>
<formControlPr xmlns="http://schemas.microsoft.com/office/spreadsheetml/2009/9/main" objectType="CheckBox" checked="Checked" fmlaLink="$AJ$58" lockText="1" noThreeD="1"/>
</file>

<file path=xl/ctrlProps/ctrlProp33.xml><?xml version="1.0" encoding="utf-8"?>
<formControlPr xmlns="http://schemas.microsoft.com/office/spreadsheetml/2009/9/main" objectType="CheckBox" checked="Checked" fmlaLink="$AI48" lockText="1" noThreeD="1"/>
</file>

<file path=xl/ctrlProps/ctrlProp330.xml><?xml version="1.0" encoding="utf-8"?>
<formControlPr xmlns="http://schemas.microsoft.com/office/spreadsheetml/2009/9/main" objectType="CheckBox" checked="Checked" fmlaLink="$AJ$64" lockText="1" noThreeD="1"/>
</file>

<file path=xl/ctrlProps/ctrlProp331.xml><?xml version="1.0" encoding="utf-8"?>
<formControlPr xmlns="http://schemas.microsoft.com/office/spreadsheetml/2009/9/main" objectType="CheckBox" checked="Checked" fmlaLink="$AJ41" lockText="1" noThreeD="1"/>
</file>

<file path=xl/ctrlProps/ctrlProp332.xml><?xml version="1.0" encoding="utf-8"?>
<formControlPr xmlns="http://schemas.microsoft.com/office/spreadsheetml/2009/9/main" objectType="CheckBox" checked="Checked" fmlaLink="$AJ42" lockText="1" noThreeD="1"/>
</file>

<file path=xl/ctrlProps/ctrlProp333.xml><?xml version="1.0" encoding="utf-8"?>
<formControlPr xmlns="http://schemas.microsoft.com/office/spreadsheetml/2009/9/main" objectType="CheckBox" checked="Checked" fmlaLink="$AJ43" lockText="1" noThreeD="1"/>
</file>

<file path=xl/ctrlProps/ctrlProp334.xml><?xml version="1.0" encoding="utf-8"?>
<formControlPr xmlns="http://schemas.microsoft.com/office/spreadsheetml/2009/9/main" objectType="CheckBox" checked="Checked" fmlaLink="$AK42" lockText="1" noThreeD="1"/>
</file>

<file path=xl/ctrlProps/ctrlProp335.xml><?xml version="1.0" encoding="utf-8"?>
<formControlPr xmlns="http://schemas.microsoft.com/office/spreadsheetml/2009/9/main" objectType="CheckBox" checked="Checked" fmlaLink="$AK43" lockText="1" noThreeD="1"/>
</file>

<file path=xl/ctrlProps/ctrlProp336.xml><?xml version="1.0" encoding="utf-8"?>
<formControlPr xmlns="http://schemas.microsoft.com/office/spreadsheetml/2009/9/main" objectType="CheckBox" checked="Checked" fmlaLink="$AK44" lockText="1" noThreeD="1"/>
</file>

<file path=xl/ctrlProps/ctrlProp337.xml><?xml version="1.0" encoding="utf-8"?>
<formControlPr xmlns="http://schemas.microsoft.com/office/spreadsheetml/2009/9/main" objectType="CheckBox" checked="Checked" fmlaLink="$AK45" lockText="1" noThreeD="1"/>
</file>

<file path=xl/ctrlProps/ctrlProp338.xml><?xml version="1.0" encoding="utf-8"?>
<formControlPr xmlns="http://schemas.microsoft.com/office/spreadsheetml/2009/9/main" objectType="CheckBox" checked="Checked" fmlaLink="$AK46" lockText="1" noThreeD="1"/>
</file>

<file path=xl/ctrlProps/ctrlProp339.xml><?xml version="1.0" encoding="utf-8"?>
<formControlPr xmlns="http://schemas.microsoft.com/office/spreadsheetml/2009/9/main" objectType="CheckBox" checked="Checked" fmlaLink="$AK47" lockText="1" noThreeD="1"/>
</file>

<file path=xl/ctrlProps/ctrlProp34.xml><?xml version="1.0" encoding="utf-8"?>
<formControlPr xmlns="http://schemas.microsoft.com/office/spreadsheetml/2009/9/main" objectType="CheckBox" checked="Checked" fmlaLink="$AI49" lockText="1" noThreeD="1"/>
</file>

<file path=xl/ctrlProps/ctrlProp340.xml><?xml version="1.0" encoding="utf-8"?>
<formControlPr xmlns="http://schemas.microsoft.com/office/spreadsheetml/2009/9/main" objectType="CheckBox" checked="Checked" fmlaLink="$AK48" lockText="1" noThreeD="1"/>
</file>

<file path=xl/ctrlProps/ctrlProp341.xml><?xml version="1.0" encoding="utf-8"?>
<formControlPr xmlns="http://schemas.microsoft.com/office/spreadsheetml/2009/9/main" objectType="CheckBox" checked="Checked" fmlaLink="$AK49" lockText="1" noThreeD="1"/>
</file>

<file path=xl/ctrlProps/ctrlProp342.xml><?xml version="1.0" encoding="utf-8"?>
<formControlPr xmlns="http://schemas.microsoft.com/office/spreadsheetml/2009/9/main" objectType="CheckBox" checked="Checked" fmlaLink="$AK50" lockText="1" noThreeD="1"/>
</file>

<file path=xl/ctrlProps/ctrlProp343.xml><?xml version="1.0" encoding="utf-8"?>
<formControlPr xmlns="http://schemas.microsoft.com/office/spreadsheetml/2009/9/main" objectType="CheckBox" checked="Checked" fmlaLink="$AK51" lockText="1" noThreeD="1"/>
</file>

<file path=xl/ctrlProps/ctrlProp344.xml><?xml version="1.0" encoding="utf-8"?>
<formControlPr xmlns="http://schemas.microsoft.com/office/spreadsheetml/2009/9/main" objectType="CheckBox" checked="Checked" fmlaLink="$AK52" lockText="1" noThreeD="1"/>
</file>

<file path=xl/ctrlProps/ctrlProp345.xml><?xml version="1.0" encoding="utf-8"?>
<formControlPr xmlns="http://schemas.microsoft.com/office/spreadsheetml/2009/9/main" objectType="CheckBox" checked="Checked" fmlaLink="$AK53" lockText="1" noThreeD="1"/>
</file>

<file path=xl/ctrlProps/ctrlProp346.xml><?xml version="1.0" encoding="utf-8"?>
<formControlPr xmlns="http://schemas.microsoft.com/office/spreadsheetml/2009/9/main" objectType="CheckBox" checked="Checked" fmlaLink="$AK54" lockText="1" noThreeD="1"/>
</file>

<file path=xl/ctrlProps/ctrlProp347.xml><?xml version="1.0" encoding="utf-8"?>
<formControlPr xmlns="http://schemas.microsoft.com/office/spreadsheetml/2009/9/main" objectType="CheckBox" checked="Checked" fmlaLink="$AK55" lockText="1" noThreeD="1"/>
</file>

<file path=xl/ctrlProps/ctrlProp348.xml><?xml version="1.0" encoding="utf-8"?>
<formControlPr xmlns="http://schemas.microsoft.com/office/spreadsheetml/2009/9/main" objectType="CheckBox" checked="Checked" fmlaLink="$AK56" lockText="1" noThreeD="1"/>
</file>

<file path=xl/ctrlProps/ctrlProp349.xml><?xml version="1.0" encoding="utf-8"?>
<formControlPr xmlns="http://schemas.microsoft.com/office/spreadsheetml/2009/9/main" objectType="CheckBox" checked="Checked" fmlaLink="$AK$57" lockText="1" noThreeD="1"/>
</file>

<file path=xl/ctrlProps/ctrlProp35.xml><?xml version="1.0" encoding="utf-8"?>
<formControlPr xmlns="http://schemas.microsoft.com/office/spreadsheetml/2009/9/main" objectType="CheckBox" checked="Checked" fmlaLink="$AI50" lockText="1" noThreeD="1"/>
</file>

<file path=xl/ctrlProps/ctrlProp350.xml><?xml version="1.0" encoding="utf-8"?>
<formControlPr xmlns="http://schemas.microsoft.com/office/spreadsheetml/2009/9/main" objectType="CheckBox" checked="Checked" fmlaLink="$AK$60" lockText="1" noThreeD="1"/>
</file>

<file path=xl/ctrlProps/ctrlProp351.xml><?xml version="1.0" encoding="utf-8"?>
<formControlPr xmlns="http://schemas.microsoft.com/office/spreadsheetml/2009/9/main" objectType="CheckBox" checked="Checked" fmlaLink="$AK$61" lockText="1" noThreeD="1"/>
</file>

<file path=xl/ctrlProps/ctrlProp352.xml><?xml version="1.0" encoding="utf-8"?>
<formControlPr xmlns="http://schemas.microsoft.com/office/spreadsheetml/2009/9/main" objectType="CheckBox" checked="Checked" fmlaLink="$AK$62" lockText="1" noThreeD="1"/>
</file>

<file path=xl/ctrlProps/ctrlProp353.xml><?xml version="1.0" encoding="utf-8"?>
<formControlPr xmlns="http://schemas.microsoft.com/office/spreadsheetml/2009/9/main" objectType="CheckBox" checked="Checked" fmlaLink="$AK$63" lockText="1" noThreeD="1"/>
</file>

<file path=xl/ctrlProps/ctrlProp354.xml><?xml version="1.0" encoding="utf-8"?>
<formControlPr xmlns="http://schemas.microsoft.com/office/spreadsheetml/2009/9/main" objectType="CheckBox" checked="Checked" fmlaLink="$AK$64" lockText="1" noThreeD="1"/>
</file>

<file path=xl/ctrlProps/ctrlProp355.xml><?xml version="1.0" encoding="utf-8"?>
<formControlPr xmlns="http://schemas.microsoft.com/office/spreadsheetml/2009/9/main" objectType="CheckBox" checked="Checked" fmlaLink="$AK$58" lockText="1" noThreeD="1"/>
</file>

<file path=xl/ctrlProps/ctrlProp356.xml><?xml version="1.0" encoding="utf-8"?>
<formControlPr xmlns="http://schemas.microsoft.com/office/spreadsheetml/2009/9/main" objectType="CheckBox" checked="Checked" fmlaLink="$AK$59" lockText="1" noThreeD="1"/>
</file>

<file path=xl/ctrlProps/ctrlProp357.xml><?xml version="1.0" encoding="utf-8"?>
<formControlPr xmlns="http://schemas.microsoft.com/office/spreadsheetml/2009/9/main" objectType="CheckBox" checked="Checked" fmlaLink="$AK$65" lockText="1" noThreeD="1"/>
</file>

<file path=xl/ctrlProps/ctrlProp358.xml><?xml version="1.0" encoding="utf-8"?>
<formControlPr xmlns="http://schemas.microsoft.com/office/spreadsheetml/2009/9/main" objectType="CheckBox" checked="Checked" fmlaLink="$AI41" lockText="1" noThreeD="1"/>
</file>

<file path=xl/ctrlProps/ctrlProp359.xml><?xml version="1.0" encoding="utf-8"?>
<formControlPr xmlns="http://schemas.microsoft.com/office/spreadsheetml/2009/9/main" objectType="CheckBox" checked="Checked" fmlaLink="$AI42" lockText="1" noThreeD="1"/>
</file>

<file path=xl/ctrlProps/ctrlProp36.xml><?xml version="1.0" encoding="utf-8"?>
<formControlPr xmlns="http://schemas.microsoft.com/office/spreadsheetml/2009/9/main" objectType="CheckBox" checked="Checked" fmlaLink="$AI51" lockText="1" noThreeD="1"/>
</file>

<file path=xl/ctrlProps/ctrlProp360.xml><?xml version="1.0" encoding="utf-8"?>
<formControlPr xmlns="http://schemas.microsoft.com/office/spreadsheetml/2009/9/main" objectType="CheckBox" checked="Checked" fmlaLink="$AI43" lockText="1" noThreeD="1"/>
</file>

<file path=xl/ctrlProps/ctrlProp361.xml><?xml version="1.0" encoding="utf-8"?>
<formControlPr xmlns="http://schemas.microsoft.com/office/spreadsheetml/2009/9/main" objectType="CheckBox" checked="Checked" fmlaLink="$AI44" lockText="1" noThreeD="1"/>
</file>

<file path=xl/ctrlProps/ctrlProp362.xml><?xml version="1.0" encoding="utf-8"?>
<formControlPr xmlns="http://schemas.microsoft.com/office/spreadsheetml/2009/9/main" objectType="CheckBox" checked="Checked" fmlaLink="$AI45" lockText="1" noThreeD="1"/>
</file>

<file path=xl/ctrlProps/ctrlProp363.xml><?xml version="1.0" encoding="utf-8"?>
<formControlPr xmlns="http://schemas.microsoft.com/office/spreadsheetml/2009/9/main" objectType="CheckBox" checked="Checked" fmlaLink="$AI46" lockText="1" noThreeD="1"/>
</file>

<file path=xl/ctrlProps/ctrlProp364.xml><?xml version="1.0" encoding="utf-8"?>
<formControlPr xmlns="http://schemas.microsoft.com/office/spreadsheetml/2009/9/main" objectType="CheckBox" checked="Checked" fmlaLink="$AI47" lockText="1" noThreeD="1"/>
</file>

<file path=xl/ctrlProps/ctrlProp365.xml><?xml version="1.0" encoding="utf-8"?>
<formControlPr xmlns="http://schemas.microsoft.com/office/spreadsheetml/2009/9/main" objectType="CheckBox" checked="Checked" fmlaLink="$AI48" lockText="1" noThreeD="1"/>
</file>

<file path=xl/ctrlProps/ctrlProp366.xml><?xml version="1.0" encoding="utf-8"?>
<formControlPr xmlns="http://schemas.microsoft.com/office/spreadsheetml/2009/9/main" objectType="CheckBox" checked="Checked" fmlaLink="$AI49" lockText="1" noThreeD="1"/>
</file>

<file path=xl/ctrlProps/ctrlProp367.xml><?xml version="1.0" encoding="utf-8"?>
<formControlPr xmlns="http://schemas.microsoft.com/office/spreadsheetml/2009/9/main" objectType="CheckBox" checked="Checked" fmlaLink="$AI50" lockText="1" noThreeD="1"/>
</file>

<file path=xl/ctrlProps/ctrlProp368.xml><?xml version="1.0" encoding="utf-8"?>
<formControlPr xmlns="http://schemas.microsoft.com/office/spreadsheetml/2009/9/main" objectType="CheckBox" checked="Checked" fmlaLink="$AI51" lockText="1" noThreeD="1"/>
</file>

<file path=xl/ctrlProps/ctrlProp369.xml><?xml version="1.0" encoding="utf-8"?>
<formControlPr xmlns="http://schemas.microsoft.com/office/spreadsheetml/2009/9/main" objectType="CheckBox" checked="Checked" fmlaLink="$AI52" lockText="1" noThreeD="1"/>
</file>

<file path=xl/ctrlProps/ctrlProp37.xml><?xml version="1.0" encoding="utf-8"?>
<formControlPr xmlns="http://schemas.microsoft.com/office/spreadsheetml/2009/9/main" objectType="CheckBox" checked="Checked" fmlaLink="$AI52" lockText="1" noThreeD="1"/>
</file>

<file path=xl/ctrlProps/ctrlProp370.xml><?xml version="1.0" encoding="utf-8"?>
<formControlPr xmlns="http://schemas.microsoft.com/office/spreadsheetml/2009/9/main" objectType="CheckBox" checked="Checked" fmlaLink="$AI53" lockText="1" noThreeD="1"/>
</file>

<file path=xl/ctrlProps/ctrlProp371.xml><?xml version="1.0" encoding="utf-8"?>
<formControlPr xmlns="http://schemas.microsoft.com/office/spreadsheetml/2009/9/main" objectType="CheckBox" checked="Checked" fmlaLink="$AI54" lockText="1" noThreeD="1"/>
</file>

<file path=xl/ctrlProps/ctrlProp372.xml><?xml version="1.0" encoding="utf-8"?>
<formControlPr xmlns="http://schemas.microsoft.com/office/spreadsheetml/2009/9/main" objectType="CheckBox" checked="Checked" fmlaLink="$AI55" lockText="1" noThreeD="1"/>
</file>

<file path=xl/ctrlProps/ctrlProp373.xml><?xml version="1.0" encoding="utf-8"?>
<formControlPr xmlns="http://schemas.microsoft.com/office/spreadsheetml/2009/9/main" objectType="CheckBox" checked="Checked" fmlaLink="$AI$56" lockText="1" noThreeD="1"/>
</file>

<file path=xl/ctrlProps/ctrlProp374.xml><?xml version="1.0" encoding="utf-8"?>
<formControlPr xmlns="http://schemas.microsoft.com/office/spreadsheetml/2009/9/main" objectType="CheckBox" checked="Checked" fmlaLink="$AI$59" lockText="1" noThreeD="1"/>
</file>

<file path=xl/ctrlProps/ctrlProp375.xml><?xml version="1.0" encoding="utf-8"?>
<formControlPr xmlns="http://schemas.microsoft.com/office/spreadsheetml/2009/9/main" objectType="CheckBox" checked="Checked" fmlaLink="$AI$60" lockText="1" noThreeD="1"/>
</file>

<file path=xl/ctrlProps/ctrlProp376.xml><?xml version="1.0" encoding="utf-8"?>
<formControlPr xmlns="http://schemas.microsoft.com/office/spreadsheetml/2009/9/main" objectType="CheckBox" checked="Checked" fmlaLink="$AI$61" lockText="1" noThreeD="1"/>
</file>

<file path=xl/ctrlProps/ctrlProp377.xml><?xml version="1.0" encoding="utf-8"?>
<formControlPr xmlns="http://schemas.microsoft.com/office/spreadsheetml/2009/9/main" objectType="CheckBox" checked="Checked" fmlaLink="$AI$62" lockText="1" noThreeD="1"/>
</file>

<file path=xl/ctrlProps/ctrlProp378.xml><?xml version="1.0" encoding="utf-8"?>
<formControlPr xmlns="http://schemas.microsoft.com/office/spreadsheetml/2009/9/main" objectType="CheckBox" checked="Checked" fmlaLink="$AI$63" lockText="1" noThreeD="1"/>
</file>

<file path=xl/ctrlProps/ctrlProp379.xml><?xml version="1.0" encoding="utf-8"?>
<formControlPr xmlns="http://schemas.microsoft.com/office/spreadsheetml/2009/9/main" objectType="CheckBox" checked="Checked" fmlaLink="$AI$57" lockText="1" noThreeD="1"/>
</file>

<file path=xl/ctrlProps/ctrlProp38.xml><?xml version="1.0" encoding="utf-8"?>
<formControlPr xmlns="http://schemas.microsoft.com/office/spreadsheetml/2009/9/main" objectType="CheckBox" checked="Checked" fmlaLink="$AI53" lockText="1" noThreeD="1"/>
</file>

<file path=xl/ctrlProps/ctrlProp380.xml><?xml version="1.0" encoding="utf-8"?>
<formControlPr xmlns="http://schemas.microsoft.com/office/spreadsheetml/2009/9/main" objectType="CheckBox" checked="Checked" fmlaLink="$AI$58" lockText="1" noThreeD="1"/>
</file>

<file path=xl/ctrlProps/ctrlProp381.xml><?xml version="1.0" encoding="utf-8"?>
<formControlPr xmlns="http://schemas.microsoft.com/office/spreadsheetml/2009/9/main" objectType="CheckBox" checked="Checked" fmlaLink="$AI41" lockText="1" noThreeD="1"/>
</file>

<file path=xl/ctrlProps/ctrlProp382.xml><?xml version="1.0" encoding="utf-8"?>
<formControlPr xmlns="http://schemas.microsoft.com/office/spreadsheetml/2009/9/main" objectType="CheckBox" checked="Checked" fmlaLink="$AI42" lockText="1" noThreeD="1"/>
</file>

<file path=xl/ctrlProps/ctrlProp383.xml><?xml version="1.0" encoding="utf-8"?>
<formControlPr xmlns="http://schemas.microsoft.com/office/spreadsheetml/2009/9/main" objectType="CheckBox" checked="Checked" fmlaLink="$AI43" lockText="1" noThreeD="1"/>
</file>

<file path=xl/ctrlProps/ctrlProp384.xml><?xml version="1.0" encoding="utf-8"?>
<formControlPr xmlns="http://schemas.microsoft.com/office/spreadsheetml/2009/9/main" objectType="CheckBox" checked="Checked" fmlaLink="$AI44" lockText="1" noThreeD="1"/>
</file>

<file path=xl/ctrlProps/ctrlProp385.xml><?xml version="1.0" encoding="utf-8"?>
<formControlPr xmlns="http://schemas.microsoft.com/office/spreadsheetml/2009/9/main" objectType="CheckBox" checked="Checked" fmlaLink="$AI45" lockText="1" noThreeD="1"/>
</file>

<file path=xl/ctrlProps/ctrlProp386.xml><?xml version="1.0" encoding="utf-8"?>
<formControlPr xmlns="http://schemas.microsoft.com/office/spreadsheetml/2009/9/main" objectType="CheckBox" checked="Checked" fmlaLink="$AI46" lockText="1" noThreeD="1"/>
</file>

<file path=xl/ctrlProps/ctrlProp387.xml><?xml version="1.0" encoding="utf-8"?>
<formControlPr xmlns="http://schemas.microsoft.com/office/spreadsheetml/2009/9/main" objectType="CheckBox" checked="Checked" fmlaLink="$AI47" lockText="1" noThreeD="1"/>
</file>

<file path=xl/ctrlProps/ctrlProp388.xml><?xml version="1.0" encoding="utf-8"?>
<formControlPr xmlns="http://schemas.microsoft.com/office/spreadsheetml/2009/9/main" objectType="CheckBox" checked="Checked" fmlaLink="$AI48" lockText="1" noThreeD="1"/>
</file>

<file path=xl/ctrlProps/ctrlProp389.xml><?xml version="1.0" encoding="utf-8"?>
<formControlPr xmlns="http://schemas.microsoft.com/office/spreadsheetml/2009/9/main" objectType="CheckBox" checked="Checked" fmlaLink="$AI49" lockText="1" noThreeD="1"/>
</file>

<file path=xl/ctrlProps/ctrlProp39.xml><?xml version="1.0" encoding="utf-8"?>
<formControlPr xmlns="http://schemas.microsoft.com/office/spreadsheetml/2009/9/main" objectType="CheckBox" checked="Checked" fmlaLink="$AI54" lockText="1" noThreeD="1"/>
</file>

<file path=xl/ctrlProps/ctrlProp390.xml><?xml version="1.0" encoding="utf-8"?>
<formControlPr xmlns="http://schemas.microsoft.com/office/spreadsheetml/2009/9/main" objectType="CheckBox" checked="Checked" fmlaLink="$AI50" lockText="1" noThreeD="1"/>
</file>

<file path=xl/ctrlProps/ctrlProp391.xml><?xml version="1.0" encoding="utf-8"?>
<formControlPr xmlns="http://schemas.microsoft.com/office/spreadsheetml/2009/9/main" objectType="CheckBox" checked="Checked" fmlaLink="$AI51" lockText="1" noThreeD="1"/>
</file>

<file path=xl/ctrlProps/ctrlProp392.xml><?xml version="1.0" encoding="utf-8"?>
<formControlPr xmlns="http://schemas.microsoft.com/office/spreadsheetml/2009/9/main" objectType="CheckBox" checked="Checked" fmlaLink="$AI52" lockText="1" noThreeD="1"/>
</file>

<file path=xl/ctrlProps/ctrlProp393.xml><?xml version="1.0" encoding="utf-8"?>
<formControlPr xmlns="http://schemas.microsoft.com/office/spreadsheetml/2009/9/main" objectType="CheckBox" checked="Checked" fmlaLink="$AI53" lockText="1" noThreeD="1"/>
</file>

<file path=xl/ctrlProps/ctrlProp394.xml><?xml version="1.0" encoding="utf-8"?>
<formControlPr xmlns="http://schemas.microsoft.com/office/spreadsheetml/2009/9/main" objectType="CheckBox" checked="Checked" fmlaLink="$AI54" lockText="1" noThreeD="1"/>
</file>

<file path=xl/ctrlProps/ctrlProp395.xml><?xml version="1.0" encoding="utf-8"?>
<formControlPr xmlns="http://schemas.microsoft.com/office/spreadsheetml/2009/9/main" objectType="CheckBox" checked="Checked" fmlaLink="$AI55" lockText="1" noThreeD="1"/>
</file>

<file path=xl/ctrlProps/ctrlProp396.xml><?xml version="1.0" encoding="utf-8"?>
<formControlPr xmlns="http://schemas.microsoft.com/office/spreadsheetml/2009/9/main" objectType="CheckBox" checked="Checked" fmlaLink="$AI$56" lockText="1" noThreeD="1"/>
</file>

<file path=xl/ctrlProps/ctrlProp397.xml><?xml version="1.0" encoding="utf-8"?>
<formControlPr xmlns="http://schemas.microsoft.com/office/spreadsheetml/2009/9/main" objectType="CheckBox" checked="Checked" fmlaLink="$AI$59" lockText="1" noThreeD="1"/>
</file>

<file path=xl/ctrlProps/ctrlProp398.xml><?xml version="1.0" encoding="utf-8"?>
<formControlPr xmlns="http://schemas.microsoft.com/office/spreadsheetml/2009/9/main" objectType="CheckBox" checked="Checked" fmlaLink="$AI$60" lockText="1" noThreeD="1"/>
</file>

<file path=xl/ctrlProps/ctrlProp399.xml><?xml version="1.0" encoding="utf-8"?>
<formControlPr xmlns="http://schemas.microsoft.com/office/spreadsheetml/2009/9/main" objectType="CheckBox" checked="Checked" fmlaLink="$AI$61" lockText="1" noThreeD="1"/>
</file>

<file path=xl/ctrlProps/ctrlProp4.xml><?xml version="1.0" encoding="utf-8"?>
<formControlPr xmlns="http://schemas.microsoft.com/office/spreadsheetml/2009/9/main" objectType="CheckBox" checked="Checked" fmlaLink="$AI43" lockText="1" noThreeD="1"/>
</file>

<file path=xl/ctrlProps/ctrlProp40.xml><?xml version="1.0" encoding="utf-8"?>
<formControlPr xmlns="http://schemas.microsoft.com/office/spreadsheetml/2009/9/main" objectType="CheckBox" checked="Checked" fmlaLink="$AI$55" lockText="1" noThreeD="1"/>
</file>

<file path=xl/ctrlProps/ctrlProp400.xml><?xml version="1.0" encoding="utf-8"?>
<formControlPr xmlns="http://schemas.microsoft.com/office/spreadsheetml/2009/9/main" objectType="CheckBox" checked="Checked" fmlaLink="$AI$62" lockText="1" noThreeD="1"/>
</file>

<file path=xl/ctrlProps/ctrlProp401.xml><?xml version="1.0" encoding="utf-8"?>
<formControlPr xmlns="http://schemas.microsoft.com/office/spreadsheetml/2009/9/main" objectType="CheckBox" checked="Checked" fmlaLink="$AI$63" lockText="1" noThreeD="1"/>
</file>

<file path=xl/ctrlProps/ctrlProp402.xml><?xml version="1.0" encoding="utf-8"?>
<formControlPr xmlns="http://schemas.microsoft.com/office/spreadsheetml/2009/9/main" objectType="CheckBox" checked="Checked" fmlaLink="$AI$57" lockText="1" noThreeD="1"/>
</file>

<file path=xl/ctrlProps/ctrlProp403.xml><?xml version="1.0" encoding="utf-8"?>
<formControlPr xmlns="http://schemas.microsoft.com/office/spreadsheetml/2009/9/main" objectType="CheckBox" checked="Checked" fmlaLink="$AI$58" lockText="1" noThreeD="1"/>
</file>

<file path=xl/ctrlProps/ctrlProp404.xml><?xml version="1.0" encoding="utf-8"?>
<formControlPr xmlns="http://schemas.microsoft.com/office/spreadsheetml/2009/9/main" objectType="CheckBox" checked="Checked" fmlaLink="$AJ41" lockText="1" noThreeD="1"/>
</file>

<file path=xl/ctrlProps/ctrlProp405.xml><?xml version="1.0" encoding="utf-8"?>
<formControlPr xmlns="http://schemas.microsoft.com/office/spreadsheetml/2009/9/main" objectType="CheckBox" checked="Checked" fmlaLink="$AJ42" lockText="1" noThreeD="1"/>
</file>

<file path=xl/ctrlProps/ctrlProp406.xml><?xml version="1.0" encoding="utf-8"?>
<formControlPr xmlns="http://schemas.microsoft.com/office/spreadsheetml/2009/9/main" objectType="CheckBox" checked="Checked" fmlaLink="$AJ43" lockText="1" noThreeD="1"/>
</file>

<file path=xl/ctrlProps/ctrlProp407.xml><?xml version="1.0" encoding="utf-8"?>
<formControlPr xmlns="http://schemas.microsoft.com/office/spreadsheetml/2009/9/main" objectType="CheckBox" checked="Checked" fmlaLink="$AJ44" lockText="1" noThreeD="1"/>
</file>

<file path=xl/ctrlProps/ctrlProp408.xml><?xml version="1.0" encoding="utf-8"?>
<formControlPr xmlns="http://schemas.microsoft.com/office/spreadsheetml/2009/9/main" objectType="CheckBox" checked="Checked" fmlaLink="$AJ45" lockText="1" noThreeD="1"/>
</file>

<file path=xl/ctrlProps/ctrlProp409.xml><?xml version="1.0" encoding="utf-8"?>
<formControlPr xmlns="http://schemas.microsoft.com/office/spreadsheetml/2009/9/main" objectType="CheckBox" checked="Checked" fmlaLink="$AJ46" lockText="1" noThreeD="1"/>
</file>

<file path=xl/ctrlProps/ctrlProp41.xml><?xml version="1.0" encoding="utf-8"?>
<formControlPr xmlns="http://schemas.microsoft.com/office/spreadsheetml/2009/9/main" objectType="CheckBox" checked="Checked" fmlaLink="$AI$58" lockText="1" noThreeD="1"/>
</file>

<file path=xl/ctrlProps/ctrlProp410.xml><?xml version="1.0" encoding="utf-8"?>
<formControlPr xmlns="http://schemas.microsoft.com/office/spreadsheetml/2009/9/main" objectType="CheckBox" checked="Checked" fmlaLink="$AJ47" lockText="1" noThreeD="1"/>
</file>

<file path=xl/ctrlProps/ctrlProp411.xml><?xml version="1.0" encoding="utf-8"?>
<formControlPr xmlns="http://schemas.microsoft.com/office/spreadsheetml/2009/9/main" objectType="CheckBox" checked="Checked" fmlaLink="$AJ48" lockText="1" noThreeD="1"/>
</file>

<file path=xl/ctrlProps/ctrlProp412.xml><?xml version="1.0" encoding="utf-8"?>
<formControlPr xmlns="http://schemas.microsoft.com/office/spreadsheetml/2009/9/main" objectType="CheckBox" checked="Checked" fmlaLink="$AJ49" lockText="1" noThreeD="1"/>
</file>

<file path=xl/ctrlProps/ctrlProp413.xml><?xml version="1.0" encoding="utf-8"?>
<formControlPr xmlns="http://schemas.microsoft.com/office/spreadsheetml/2009/9/main" objectType="CheckBox" checked="Checked" fmlaLink="$AJ50" lockText="1" noThreeD="1"/>
</file>

<file path=xl/ctrlProps/ctrlProp414.xml><?xml version="1.0" encoding="utf-8"?>
<formControlPr xmlns="http://schemas.microsoft.com/office/spreadsheetml/2009/9/main" objectType="CheckBox" checked="Checked" fmlaLink="$AJ51" lockText="1" noThreeD="1"/>
</file>

<file path=xl/ctrlProps/ctrlProp415.xml><?xml version="1.0" encoding="utf-8"?>
<formControlPr xmlns="http://schemas.microsoft.com/office/spreadsheetml/2009/9/main" objectType="CheckBox" checked="Checked" fmlaLink="$AJ52" lockText="1" noThreeD="1"/>
</file>

<file path=xl/ctrlProps/ctrlProp416.xml><?xml version="1.0" encoding="utf-8"?>
<formControlPr xmlns="http://schemas.microsoft.com/office/spreadsheetml/2009/9/main" objectType="CheckBox" checked="Checked" fmlaLink="$AJ53" lockText="1" noThreeD="1"/>
</file>

<file path=xl/ctrlProps/ctrlProp417.xml><?xml version="1.0" encoding="utf-8"?>
<formControlPr xmlns="http://schemas.microsoft.com/office/spreadsheetml/2009/9/main" objectType="CheckBox" checked="Checked" fmlaLink="$AJ54" lockText="1" noThreeD="1"/>
</file>

<file path=xl/ctrlProps/ctrlProp418.xml><?xml version="1.0" encoding="utf-8"?>
<formControlPr xmlns="http://schemas.microsoft.com/office/spreadsheetml/2009/9/main" objectType="CheckBox" checked="Checked" fmlaLink="$AJ55" lockText="1" noThreeD="1"/>
</file>

<file path=xl/ctrlProps/ctrlProp419.xml><?xml version="1.0" encoding="utf-8"?>
<formControlPr xmlns="http://schemas.microsoft.com/office/spreadsheetml/2009/9/main" objectType="CheckBox" checked="Checked" fmlaLink="$AJ$56" lockText="1" noThreeD="1"/>
</file>

<file path=xl/ctrlProps/ctrlProp42.xml><?xml version="1.0" encoding="utf-8"?>
<formControlPr xmlns="http://schemas.microsoft.com/office/spreadsheetml/2009/9/main" objectType="CheckBox" checked="Checked" fmlaLink="$AI$59" lockText="1" noThreeD="1"/>
</file>

<file path=xl/ctrlProps/ctrlProp420.xml><?xml version="1.0" encoding="utf-8"?>
<formControlPr xmlns="http://schemas.microsoft.com/office/spreadsheetml/2009/9/main" objectType="CheckBox" checked="Checked" fmlaLink="$AJ$59" lockText="1" noThreeD="1"/>
</file>

<file path=xl/ctrlProps/ctrlProp421.xml><?xml version="1.0" encoding="utf-8"?>
<formControlPr xmlns="http://schemas.microsoft.com/office/spreadsheetml/2009/9/main" objectType="CheckBox" checked="Checked" fmlaLink="$AJ$60" lockText="1" noThreeD="1"/>
</file>

<file path=xl/ctrlProps/ctrlProp422.xml><?xml version="1.0" encoding="utf-8"?>
<formControlPr xmlns="http://schemas.microsoft.com/office/spreadsheetml/2009/9/main" objectType="CheckBox" checked="Checked" fmlaLink="$AJ$61" lockText="1" noThreeD="1"/>
</file>

<file path=xl/ctrlProps/ctrlProp423.xml><?xml version="1.0" encoding="utf-8"?>
<formControlPr xmlns="http://schemas.microsoft.com/office/spreadsheetml/2009/9/main" objectType="CheckBox" checked="Checked" fmlaLink="$AJ$62" lockText="1" noThreeD="1"/>
</file>

<file path=xl/ctrlProps/ctrlProp424.xml><?xml version="1.0" encoding="utf-8"?>
<formControlPr xmlns="http://schemas.microsoft.com/office/spreadsheetml/2009/9/main" objectType="CheckBox" checked="Checked" fmlaLink="$AJ$63" lockText="1" noThreeD="1"/>
</file>

<file path=xl/ctrlProps/ctrlProp425.xml><?xml version="1.0" encoding="utf-8"?>
<formControlPr xmlns="http://schemas.microsoft.com/office/spreadsheetml/2009/9/main" objectType="CheckBox" checked="Checked" fmlaLink="$AJ$57" lockText="1" noThreeD="1"/>
</file>

<file path=xl/ctrlProps/ctrlProp426.xml><?xml version="1.0" encoding="utf-8"?>
<formControlPr xmlns="http://schemas.microsoft.com/office/spreadsheetml/2009/9/main" objectType="CheckBox" checked="Checked" fmlaLink="$AJ$58" lockText="1" noThreeD="1"/>
</file>

<file path=xl/ctrlProps/ctrlProp427.xml><?xml version="1.0" encoding="utf-8"?>
<formControlPr xmlns="http://schemas.microsoft.com/office/spreadsheetml/2009/9/main" objectType="CheckBox" checked="Checked" fmlaLink="$AJ$64" lockText="1" noThreeD="1"/>
</file>

<file path=xl/ctrlProps/ctrlProp428.xml><?xml version="1.0" encoding="utf-8"?>
<formControlPr xmlns="http://schemas.microsoft.com/office/spreadsheetml/2009/9/main" objectType="CheckBox" checked="Checked" fmlaLink="$AI41" lockText="1" noThreeD="1"/>
</file>

<file path=xl/ctrlProps/ctrlProp429.xml><?xml version="1.0" encoding="utf-8"?>
<formControlPr xmlns="http://schemas.microsoft.com/office/spreadsheetml/2009/9/main" objectType="CheckBox" checked="Checked" fmlaLink="$AI42" lockText="1" noThreeD="1"/>
</file>

<file path=xl/ctrlProps/ctrlProp43.xml><?xml version="1.0" encoding="utf-8"?>
<formControlPr xmlns="http://schemas.microsoft.com/office/spreadsheetml/2009/9/main" objectType="CheckBox" checked="Checked" fmlaLink="$AI$60" lockText="1" noThreeD="1"/>
</file>

<file path=xl/ctrlProps/ctrlProp430.xml><?xml version="1.0" encoding="utf-8"?>
<formControlPr xmlns="http://schemas.microsoft.com/office/spreadsheetml/2009/9/main" objectType="CheckBox" checked="Checked" fmlaLink="$AI43" lockText="1" noThreeD="1"/>
</file>

<file path=xl/ctrlProps/ctrlProp431.xml><?xml version="1.0" encoding="utf-8"?>
<formControlPr xmlns="http://schemas.microsoft.com/office/spreadsheetml/2009/9/main" objectType="CheckBox" checked="Checked" fmlaLink="$AI44" lockText="1" noThreeD="1"/>
</file>

<file path=xl/ctrlProps/ctrlProp432.xml><?xml version="1.0" encoding="utf-8"?>
<formControlPr xmlns="http://schemas.microsoft.com/office/spreadsheetml/2009/9/main" objectType="CheckBox" checked="Checked" fmlaLink="$AI45" lockText="1" noThreeD="1"/>
</file>

<file path=xl/ctrlProps/ctrlProp433.xml><?xml version="1.0" encoding="utf-8"?>
<formControlPr xmlns="http://schemas.microsoft.com/office/spreadsheetml/2009/9/main" objectType="CheckBox" checked="Checked" fmlaLink="$AI46" lockText="1" noThreeD="1"/>
</file>

<file path=xl/ctrlProps/ctrlProp434.xml><?xml version="1.0" encoding="utf-8"?>
<formControlPr xmlns="http://schemas.microsoft.com/office/spreadsheetml/2009/9/main" objectType="CheckBox" checked="Checked" fmlaLink="$AI47" lockText="1" noThreeD="1"/>
</file>

<file path=xl/ctrlProps/ctrlProp435.xml><?xml version="1.0" encoding="utf-8"?>
<formControlPr xmlns="http://schemas.microsoft.com/office/spreadsheetml/2009/9/main" objectType="CheckBox" checked="Checked" fmlaLink="$AI48" lockText="1" noThreeD="1"/>
</file>

<file path=xl/ctrlProps/ctrlProp436.xml><?xml version="1.0" encoding="utf-8"?>
<formControlPr xmlns="http://schemas.microsoft.com/office/spreadsheetml/2009/9/main" objectType="CheckBox" checked="Checked" fmlaLink="$AI49" lockText="1" noThreeD="1"/>
</file>

<file path=xl/ctrlProps/ctrlProp437.xml><?xml version="1.0" encoding="utf-8"?>
<formControlPr xmlns="http://schemas.microsoft.com/office/spreadsheetml/2009/9/main" objectType="CheckBox" checked="Checked" fmlaLink="$AI50" lockText="1" noThreeD="1"/>
</file>

<file path=xl/ctrlProps/ctrlProp438.xml><?xml version="1.0" encoding="utf-8"?>
<formControlPr xmlns="http://schemas.microsoft.com/office/spreadsheetml/2009/9/main" objectType="CheckBox" checked="Checked" fmlaLink="$AI51" lockText="1" noThreeD="1"/>
</file>

<file path=xl/ctrlProps/ctrlProp439.xml><?xml version="1.0" encoding="utf-8"?>
<formControlPr xmlns="http://schemas.microsoft.com/office/spreadsheetml/2009/9/main" objectType="CheckBox" checked="Checked" fmlaLink="$AI52" lockText="1" noThreeD="1"/>
</file>

<file path=xl/ctrlProps/ctrlProp44.xml><?xml version="1.0" encoding="utf-8"?>
<formControlPr xmlns="http://schemas.microsoft.com/office/spreadsheetml/2009/9/main" objectType="CheckBox" checked="Checked" fmlaLink="$AI$61" lockText="1" noThreeD="1"/>
</file>

<file path=xl/ctrlProps/ctrlProp440.xml><?xml version="1.0" encoding="utf-8"?>
<formControlPr xmlns="http://schemas.microsoft.com/office/spreadsheetml/2009/9/main" objectType="CheckBox" checked="Checked" fmlaLink="$AI53" lockText="1" noThreeD="1"/>
</file>

<file path=xl/ctrlProps/ctrlProp441.xml><?xml version="1.0" encoding="utf-8"?>
<formControlPr xmlns="http://schemas.microsoft.com/office/spreadsheetml/2009/9/main" objectType="CheckBox" checked="Checked" fmlaLink="$AI54" lockText="1" noThreeD="1"/>
</file>

<file path=xl/ctrlProps/ctrlProp442.xml><?xml version="1.0" encoding="utf-8"?>
<formControlPr xmlns="http://schemas.microsoft.com/office/spreadsheetml/2009/9/main" objectType="CheckBox" checked="Checked" fmlaLink="$AI55" lockText="1" noThreeD="1"/>
</file>

<file path=xl/ctrlProps/ctrlProp443.xml><?xml version="1.0" encoding="utf-8"?>
<formControlPr xmlns="http://schemas.microsoft.com/office/spreadsheetml/2009/9/main" objectType="CheckBox" checked="Checked" fmlaLink="$AI$56" lockText="1" noThreeD="1"/>
</file>

<file path=xl/ctrlProps/ctrlProp444.xml><?xml version="1.0" encoding="utf-8"?>
<formControlPr xmlns="http://schemas.microsoft.com/office/spreadsheetml/2009/9/main" objectType="CheckBox" checked="Checked" fmlaLink="$AI$59" lockText="1" noThreeD="1"/>
</file>

<file path=xl/ctrlProps/ctrlProp445.xml><?xml version="1.0" encoding="utf-8"?>
<formControlPr xmlns="http://schemas.microsoft.com/office/spreadsheetml/2009/9/main" objectType="CheckBox" checked="Checked" fmlaLink="$AI$60" lockText="1" noThreeD="1"/>
</file>

<file path=xl/ctrlProps/ctrlProp446.xml><?xml version="1.0" encoding="utf-8"?>
<formControlPr xmlns="http://schemas.microsoft.com/office/spreadsheetml/2009/9/main" objectType="CheckBox" checked="Checked" fmlaLink="$AI$61" lockText="1" noThreeD="1"/>
</file>

<file path=xl/ctrlProps/ctrlProp447.xml><?xml version="1.0" encoding="utf-8"?>
<formControlPr xmlns="http://schemas.microsoft.com/office/spreadsheetml/2009/9/main" objectType="CheckBox" checked="Checked" fmlaLink="$AI$62" lockText="1" noThreeD="1"/>
</file>

<file path=xl/ctrlProps/ctrlProp448.xml><?xml version="1.0" encoding="utf-8"?>
<formControlPr xmlns="http://schemas.microsoft.com/office/spreadsheetml/2009/9/main" objectType="CheckBox" checked="Checked" fmlaLink="$AI$63" lockText="1" noThreeD="1"/>
</file>

<file path=xl/ctrlProps/ctrlProp449.xml><?xml version="1.0" encoding="utf-8"?>
<formControlPr xmlns="http://schemas.microsoft.com/office/spreadsheetml/2009/9/main" objectType="CheckBox" checked="Checked" fmlaLink="$AI$57" lockText="1" noThreeD="1"/>
</file>

<file path=xl/ctrlProps/ctrlProp45.xml><?xml version="1.0" encoding="utf-8"?>
<formControlPr xmlns="http://schemas.microsoft.com/office/spreadsheetml/2009/9/main" objectType="CheckBox" checked="Checked" fmlaLink="$AI$62" lockText="1" noThreeD="1"/>
</file>

<file path=xl/ctrlProps/ctrlProp450.xml><?xml version="1.0" encoding="utf-8"?>
<formControlPr xmlns="http://schemas.microsoft.com/office/spreadsheetml/2009/9/main" objectType="CheckBox" checked="Checked" fmlaLink="$AI$58" lockText="1" noThreeD="1"/>
</file>

<file path=xl/ctrlProps/ctrlProp451.xml><?xml version="1.0" encoding="utf-8"?>
<formControlPr xmlns="http://schemas.microsoft.com/office/spreadsheetml/2009/9/main" objectType="CheckBox" checked="Checked" fmlaLink="$AI$64" lockText="1" noThreeD="1"/>
</file>

<file path=xl/ctrlProps/ctrlProp452.xml><?xml version="1.0" encoding="utf-8"?>
<formControlPr xmlns="http://schemas.microsoft.com/office/spreadsheetml/2009/9/main" objectType="CheckBox" checked="Checked" fmlaLink="$AJ41" lockText="1" noThreeD="1"/>
</file>

<file path=xl/ctrlProps/ctrlProp453.xml><?xml version="1.0" encoding="utf-8"?>
<formControlPr xmlns="http://schemas.microsoft.com/office/spreadsheetml/2009/9/main" objectType="CheckBox" checked="Checked" fmlaLink="$AJ42" lockText="1" noThreeD="1"/>
</file>

<file path=xl/ctrlProps/ctrlProp454.xml><?xml version="1.0" encoding="utf-8"?>
<formControlPr xmlns="http://schemas.microsoft.com/office/spreadsheetml/2009/9/main" objectType="CheckBox" checked="Checked" fmlaLink="$AJ43" lockText="1" noThreeD="1"/>
</file>

<file path=xl/ctrlProps/ctrlProp455.xml><?xml version="1.0" encoding="utf-8"?>
<formControlPr xmlns="http://schemas.microsoft.com/office/spreadsheetml/2009/9/main" objectType="CheckBox" checked="Checked" fmlaLink="$AJ44" lockText="1" noThreeD="1"/>
</file>

<file path=xl/ctrlProps/ctrlProp456.xml><?xml version="1.0" encoding="utf-8"?>
<formControlPr xmlns="http://schemas.microsoft.com/office/spreadsheetml/2009/9/main" objectType="CheckBox" checked="Checked" fmlaLink="$AJ45" lockText="1" noThreeD="1"/>
</file>

<file path=xl/ctrlProps/ctrlProp457.xml><?xml version="1.0" encoding="utf-8"?>
<formControlPr xmlns="http://schemas.microsoft.com/office/spreadsheetml/2009/9/main" objectType="CheckBox" checked="Checked" fmlaLink="$AJ46" lockText="1" noThreeD="1"/>
</file>

<file path=xl/ctrlProps/ctrlProp458.xml><?xml version="1.0" encoding="utf-8"?>
<formControlPr xmlns="http://schemas.microsoft.com/office/spreadsheetml/2009/9/main" objectType="CheckBox" checked="Checked" fmlaLink="$AJ47" lockText="1" noThreeD="1"/>
</file>

<file path=xl/ctrlProps/ctrlProp459.xml><?xml version="1.0" encoding="utf-8"?>
<formControlPr xmlns="http://schemas.microsoft.com/office/spreadsheetml/2009/9/main" objectType="CheckBox" checked="Checked" fmlaLink="$AJ48" lockText="1" noThreeD="1"/>
</file>

<file path=xl/ctrlProps/ctrlProp46.xml><?xml version="1.0" encoding="utf-8"?>
<formControlPr xmlns="http://schemas.microsoft.com/office/spreadsheetml/2009/9/main" objectType="CheckBox" checked="Checked" fmlaLink="$AI$56" lockText="1" noThreeD="1"/>
</file>

<file path=xl/ctrlProps/ctrlProp460.xml><?xml version="1.0" encoding="utf-8"?>
<formControlPr xmlns="http://schemas.microsoft.com/office/spreadsheetml/2009/9/main" objectType="CheckBox" checked="Checked" fmlaLink="$AJ49" lockText="1" noThreeD="1"/>
</file>

<file path=xl/ctrlProps/ctrlProp461.xml><?xml version="1.0" encoding="utf-8"?>
<formControlPr xmlns="http://schemas.microsoft.com/office/spreadsheetml/2009/9/main" objectType="CheckBox" checked="Checked" fmlaLink="$AJ50" lockText="1" noThreeD="1"/>
</file>

<file path=xl/ctrlProps/ctrlProp462.xml><?xml version="1.0" encoding="utf-8"?>
<formControlPr xmlns="http://schemas.microsoft.com/office/spreadsheetml/2009/9/main" objectType="CheckBox" checked="Checked" fmlaLink="$AJ51" lockText="1" noThreeD="1"/>
</file>

<file path=xl/ctrlProps/ctrlProp463.xml><?xml version="1.0" encoding="utf-8"?>
<formControlPr xmlns="http://schemas.microsoft.com/office/spreadsheetml/2009/9/main" objectType="CheckBox" checked="Checked" fmlaLink="$AJ52" lockText="1" noThreeD="1"/>
</file>

<file path=xl/ctrlProps/ctrlProp464.xml><?xml version="1.0" encoding="utf-8"?>
<formControlPr xmlns="http://schemas.microsoft.com/office/spreadsheetml/2009/9/main" objectType="CheckBox" checked="Checked" fmlaLink="$AJ53" lockText="1" noThreeD="1"/>
</file>

<file path=xl/ctrlProps/ctrlProp465.xml><?xml version="1.0" encoding="utf-8"?>
<formControlPr xmlns="http://schemas.microsoft.com/office/spreadsheetml/2009/9/main" objectType="CheckBox" checked="Checked" fmlaLink="$AJ54" lockText="1" noThreeD="1"/>
</file>

<file path=xl/ctrlProps/ctrlProp466.xml><?xml version="1.0" encoding="utf-8"?>
<formControlPr xmlns="http://schemas.microsoft.com/office/spreadsheetml/2009/9/main" objectType="CheckBox" checked="Checked" fmlaLink="$AJ55" lockText="1" noThreeD="1"/>
</file>

<file path=xl/ctrlProps/ctrlProp467.xml><?xml version="1.0" encoding="utf-8"?>
<formControlPr xmlns="http://schemas.microsoft.com/office/spreadsheetml/2009/9/main" objectType="CheckBox" checked="Checked" fmlaLink="$AJ$56" lockText="1" noThreeD="1"/>
</file>

<file path=xl/ctrlProps/ctrlProp468.xml><?xml version="1.0" encoding="utf-8"?>
<formControlPr xmlns="http://schemas.microsoft.com/office/spreadsheetml/2009/9/main" objectType="CheckBox" checked="Checked" fmlaLink="$AJ$59" lockText="1" noThreeD="1"/>
</file>

<file path=xl/ctrlProps/ctrlProp469.xml><?xml version="1.0" encoding="utf-8"?>
<formControlPr xmlns="http://schemas.microsoft.com/office/spreadsheetml/2009/9/main" objectType="CheckBox" checked="Checked" fmlaLink="$AJ$60" lockText="1" noThreeD="1"/>
</file>

<file path=xl/ctrlProps/ctrlProp47.xml><?xml version="1.0" encoding="utf-8"?>
<formControlPr xmlns="http://schemas.microsoft.com/office/spreadsheetml/2009/9/main" objectType="CheckBox" checked="Checked" fmlaLink="$AI$57" lockText="1" noThreeD="1"/>
</file>

<file path=xl/ctrlProps/ctrlProp470.xml><?xml version="1.0" encoding="utf-8"?>
<formControlPr xmlns="http://schemas.microsoft.com/office/spreadsheetml/2009/9/main" objectType="CheckBox" checked="Checked" fmlaLink="$AJ$61" lockText="1" noThreeD="1"/>
</file>

<file path=xl/ctrlProps/ctrlProp471.xml><?xml version="1.0" encoding="utf-8"?>
<formControlPr xmlns="http://schemas.microsoft.com/office/spreadsheetml/2009/9/main" objectType="CheckBox" checked="Checked" fmlaLink="$AJ$62" lockText="1" noThreeD="1"/>
</file>

<file path=xl/ctrlProps/ctrlProp472.xml><?xml version="1.0" encoding="utf-8"?>
<formControlPr xmlns="http://schemas.microsoft.com/office/spreadsheetml/2009/9/main" objectType="CheckBox" checked="Checked" fmlaLink="$AJ$63" lockText="1" noThreeD="1"/>
</file>

<file path=xl/ctrlProps/ctrlProp473.xml><?xml version="1.0" encoding="utf-8"?>
<formControlPr xmlns="http://schemas.microsoft.com/office/spreadsheetml/2009/9/main" objectType="CheckBox" checked="Checked" fmlaLink="$AJ$57" lockText="1" noThreeD="1"/>
</file>

<file path=xl/ctrlProps/ctrlProp474.xml><?xml version="1.0" encoding="utf-8"?>
<formControlPr xmlns="http://schemas.microsoft.com/office/spreadsheetml/2009/9/main" objectType="CheckBox" checked="Checked" fmlaLink="$AJ$58" lockText="1" noThreeD="1"/>
</file>

<file path=xl/ctrlProps/ctrlProp475.xml><?xml version="1.0" encoding="utf-8"?>
<formControlPr xmlns="http://schemas.microsoft.com/office/spreadsheetml/2009/9/main" objectType="CheckBox" checked="Checked" fmlaLink="$AJ$64" lockText="1" noThreeD="1"/>
</file>

<file path=xl/ctrlProps/ctrlProp476.xml><?xml version="1.0" encoding="utf-8"?>
<formControlPr xmlns="http://schemas.microsoft.com/office/spreadsheetml/2009/9/main" objectType="CheckBox" checked="Checked" fmlaLink="$AQ9" lockText="1" noThreeD="1"/>
</file>

<file path=xl/ctrlProps/ctrlProp477.xml><?xml version="1.0" encoding="utf-8"?>
<formControlPr xmlns="http://schemas.microsoft.com/office/spreadsheetml/2009/9/main" objectType="CheckBox" checked="Checked" fmlaLink="$AQ10" lockText="1" noThreeD="1"/>
</file>

<file path=xl/ctrlProps/ctrlProp478.xml><?xml version="1.0" encoding="utf-8"?>
<formControlPr xmlns="http://schemas.microsoft.com/office/spreadsheetml/2009/9/main" objectType="CheckBox" checked="Checked" fmlaLink="$AQ11" lockText="1" noThreeD="1"/>
</file>

<file path=xl/ctrlProps/ctrlProp479.xml><?xml version="1.0" encoding="utf-8"?>
<formControlPr xmlns="http://schemas.microsoft.com/office/spreadsheetml/2009/9/main" objectType="CheckBox" checked="Checked" fmlaLink="$AQ12" lockText="1" noThreeD="1"/>
</file>

<file path=xl/ctrlProps/ctrlProp48.xml><?xml version="1.0" encoding="utf-8"?>
<formControlPr xmlns="http://schemas.microsoft.com/office/spreadsheetml/2009/9/main" objectType="CheckBox" checked="Checked" fmlaLink="$AI40" lockText="1" noThreeD="1"/>
</file>

<file path=xl/ctrlProps/ctrlProp480.xml><?xml version="1.0" encoding="utf-8"?>
<formControlPr xmlns="http://schemas.microsoft.com/office/spreadsheetml/2009/9/main" objectType="CheckBox" checked="Checked" fmlaLink="$AQ13" lockText="1" noThreeD="1"/>
</file>

<file path=xl/ctrlProps/ctrlProp481.xml><?xml version="1.0" encoding="utf-8"?>
<formControlPr xmlns="http://schemas.microsoft.com/office/spreadsheetml/2009/9/main" objectType="CheckBox" checked="Checked" fmlaLink="$AQ14" lockText="1" noThreeD="1"/>
</file>

<file path=xl/ctrlProps/ctrlProp482.xml><?xml version="1.0" encoding="utf-8"?>
<formControlPr xmlns="http://schemas.microsoft.com/office/spreadsheetml/2009/9/main" objectType="CheckBox" checked="Checked" fmlaLink="$AQ15" lockText="1" noThreeD="1"/>
</file>

<file path=xl/ctrlProps/ctrlProp483.xml><?xml version="1.0" encoding="utf-8"?>
<formControlPr xmlns="http://schemas.microsoft.com/office/spreadsheetml/2009/9/main" objectType="CheckBox" checked="Checked" fmlaLink="$AQ16" lockText="1" noThreeD="1"/>
</file>

<file path=xl/ctrlProps/ctrlProp484.xml><?xml version="1.0" encoding="utf-8"?>
<formControlPr xmlns="http://schemas.microsoft.com/office/spreadsheetml/2009/9/main" objectType="CheckBox" checked="Checked" fmlaLink="$AQ17" lockText="1" noThreeD="1"/>
</file>

<file path=xl/ctrlProps/ctrlProp485.xml><?xml version="1.0" encoding="utf-8"?>
<formControlPr xmlns="http://schemas.microsoft.com/office/spreadsheetml/2009/9/main" objectType="CheckBox" checked="Checked" fmlaLink="$AQ18" lockText="1" noThreeD="1"/>
</file>

<file path=xl/ctrlProps/ctrlProp486.xml><?xml version="1.0" encoding="utf-8"?>
<formControlPr xmlns="http://schemas.microsoft.com/office/spreadsheetml/2009/9/main" objectType="CheckBox" checked="Checked" fmlaLink="$AQ19" lockText="1" noThreeD="1"/>
</file>

<file path=xl/ctrlProps/ctrlProp487.xml><?xml version="1.0" encoding="utf-8"?>
<formControlPr xmlns="http://schemas.microsoft.com/office/spreadsheetml/2009/9/main" objectType="CheckBox" checked="Checked" fmlaLink="$AQ20" lockText="1" noThreeD="1"/>
</file>

<file path=xl/ctrlProps/ctrlProp488.xml><?xml version="1.0" encoding="utf-8"?>
<formControlPr xmlns="http://schemas.microsoft.com/office/spreadsheetml/2009/9/main" objectType="CheckBox" checked="Checked" fmlaLink="$AQ21" lockText="1" noThreeD="1"/>
</file>

<file path=xl/ctrlProps/ctrlProp489.xml><?xml version="1.0" encoding="utf-8"?>
<formControlPr xmlns="http://schemas.microsoft.com/office/spreadsheetml/2009/9/main" objectType="CheckBox" checked="Checked" fmlaLink="$AQ22" lockText="1" noThreeD="1"/>
</file>

<file path=xl/ctrlProps/ctrlProp49.xml><?xml version="1.0" encoding="utf-8"?>
<formControlPr xmlns="http://schemas.microsoft.com/office/spreadsheetml/2009/9/main" objectType="CheckBox" checked="Checked" fmlaLink="$AI41" lockText="1" noThreeD="1"/>
</file>

<file path=xl/ctrlProps/ctrlProp490.xml><?xml version="1.0" encoding="utf-8"?>
<formControlPr xmlns="http://schemas.microsoft.com/office/spreadsheetml/2009/9/main" objectType="CheckBox" checked="Checked" fmlaLink="$AQ23" lockText="1" noThreeD="1"/>
</file>

<file path=xl/ctrlProps/ctrlProp491.xml><?xml version="1.0" encoding="utf-8"?>
<formControlPr xmlns="http://schemas.microsoft.com/office/spreadsheetml/2009/9/main" objectType="CheckBox" checked="Checked" fmlaLink="$AQ$24" lockText="1" noThreeD="1"/>
</file>

<file path=xl/ctrlProps/ctrlProp492.xml><?xml version="1.0" encoding="utf-8"?>
<formControlPr xmlns="http://schemas.microsoft.com/office/spreadsheetml/2009/9/main" objectType="CheckBox" checked="Checked" fmlaLink="$AQ$27" lockText="1" noThreeD="1"/>
</file>

<file path=xl/ctrlProps/ctrlProp493.xml><?xml version="1.0" encoding="utf-8"?>
<formControlPr xmlns="http://schemas.microsoft.com/office/spreadsheetml/2009/9/main" objectType="CheckBox" checked="Checked" fmlaLink="$AQ$28" lockText="1" noThreeD="1"/>
</file>

<file path=xl/ctrlProps/ctrlProp494.xml><?xml version="1.0" encoding="utf-8"?>
<formControlPr xmlns="http://schemas.microsoft.com/office/spreadsheetml/2009/9/main" objectType="CheckBox" checked="Checked" fmlaLink="$AQ$29" lockText="1" noThreeD="1"/>
</file>

<file path=xl/ctrlProps/ctrlProp495.xml><?xml version="1.0" encoding="utf-8"?>
<formControlPr xmlns="http://schemas.microsoft.com/office/spreadsheetml/2009/9/main" objectType="CheckBox" checked="Checked" fmlaLink="$AQ$30" lockText="1" noThreeD="1"/>
</file>

<file path=xl/ctrlProps/ctrlProp496.xml><?xml version="1.0" encoding="utf-8"?>
<formControlPr xmlns="http://schemas.microsoft.com/office/spreadsheetml/2009/9/main" objectType="CheckBox" checked="Checked" fmlaLink="$AQ$31" lockText="1" noThreeD="1"/>
</file>

<file path=xl/ctrlProps/ctrlProp497.xml><?xml version="1.0" encoding="utf-8"?>
<formControlPr xmlns="http://schemas.microsoft.com/office/spreadsheetml/2009/9/main" objectType="CheckBox" checked="Checked" fmlaLink="$AQ$25" lockText="1" noThreeD="1"/>
</file>

<file path=xl/ctrlProps/ctrlProp498.xml><?xml version="1.0" encoding="utf-8"?>
<formControlPr xmlns="http://schemas.microsoft.com/office/spreadsheetml/2009/9/main" objectType="CheckBox" checked="Checked" fmlaLink="$AQ$26" lockText="1" noThreeD="1"/>
</file>

<file path=xl/ctrlProps/ctrlProp499.xml><?xml version="1.0" encoding="utf-8"?>
<formControlPr xmlns="http://schemas.microsoft.com/office/spreadsheetml/2009/9/main" objectType="CheckBox" checked="Checked" fmlaLink="$AQ$32" lockText="1" noThreeD="1"/>
</file>

<file path=xl/ctrlProps/ctrlProp5.xml><?xml version="1.0" encoding="utf-8"?>
<formControlPr xmlns="http://schemas.microsoft.com/office/spreadsheetml/2009/9/main" objectType="CheckBox" checked="Checked" fmlaLink="$AI44" lockText="1" noThreeD="1"/>
</file>

<file path=xl/ctrlProps/ctrlProp50.xml><?xml version="1.0" encoding="utf-8"?>
<formControlPr xmlns="http://schemas.microsoft.com/office/spreadsheetml/2009/9/main" objectType="CheckBox" checked="Checked" fmlaLink="$AI42" lockText="1" noThreeD="1"/>
</file>

<file path=xl/ctrlProps/ctrlProp51.xml><?xml version="1.0" encoding="utf-8"?>
<formControlPr xmlns="http://schemas.microsoft.com/office/spreadsheetml/2009/9/main" objectType="CheckBox" checked="Checked" fmlaLink="$AI43" lockText="1" noThreeD="1"/>
</file>

<file path=xl/ctrlProps/ctrlProp52.xml><?xml version="1.0" encoding="utf-8"?>
<formControlPr xmlns="http://schemas.microsoft.com/office/spreadsheetml/2009/9/main" objectType="CheckBox" checked="Checked" fmlaLink="$AI44" lockText="1" noThreeD="1"/>
</file>

<file path=xl/ctrlProps/ctrlProp53.xml><?xml version="1.0" encoding="utf-8"?>
<formControlPr xmlns="http://schemas.microsoft.com/office/spreadsheetml/2009/9/main" objectType="CheckBox" checked="Checked" fmlaLink="$AI45" lockText="1" noThreeD="1"/>
</file>

<file path=xl/ctrlProps/ctrlProp54.xml><?xml version="1.0" encoding="utf-8"?>
<formControlPr xmlns="http://schemas.microsoft.com/office/spreadsheetml/2009/9/main" objectType="CheckBox" checked="Checked" fmlaLink="$AI46" lockText="1" noThreeD="1"/>
</file>

<file path=xl/ctrlProps/ctrlProp55.xml><?xml version="1.0" encoding="utf-8"?>
<formControlPr xmlns="http://schemas.microsoft.com/office/spreadsheetml/2009/9/main" objectType="CheckBox" checked="Checked" fmlaLink="$AI47" lockText="1" noThreeD="1"/>
</file>

<file path=xl/ctrlProps/ctrlProp56.xml><?xml version="1.0" encoding="utf-8"?>
<formControlPr xmlns="http://schemas.microsoft.com/office/spreadsheetml/2009/9/main" objectType="CheckBox" checked="Checked" fmlaLink="$AI48" lockText="1" noThreeD="1"/>
</file>

<file path=xl/ctrlProps/ctrlProp57.xml><?xml version="1.0" encoding="utf-8"?>
<formControlPr xmlns="http://schemas.microsoft.com/office/spreadsheetml/2009/9/main" objectType="CheckBox" checked="Checked" fmlaLink="$AI49" lockText="1" noThreeD="1"/>
</file>

<file path=xl/ctrlProps/ctrlProp58.xml><?xml version="1.0" encoding="utf-8"?>
<formControlPr xmlns="http://schemas.microsoft.com/office/spreadsheetml/2009/9/main" objectType="CheckBox" checked="Checked" fmlaLink="$AI50" lockText="1" noThreeD="1"/>
</file>

<file path=xl/ctrlProps/ctrlProp59.xml><?xml version="1.0" encoding="utf-8"?>
<formControlPr xmlns="http://schemas.microsoft.com/office/spreadsheetml/2009/9/main" objectType="CheckBox" checked="Checked" fmlaLink="$AI51" lockText="1" noThreeD="1"/>
</file>

<file path=xl/ctrlProps/ctrlProp6.xml><?xml version="1.0" encoding="utf-8"?>
<formControlPr xmlns="http://schemas.microsoft.com/office/spreadsheetml/2009/9/main" objectType="CheckBox" checked="Checked" fmlaLink="$AI45" lockText="1" noThreeD="1"/>
</file>

<file path=xl/ctrlProps/ctrlProp60.xml><?xml version="1.0" encoding="utf-8"?>
<formControlPr xmlns="http://schemas.microsoft.com/office/spreadsheetml/2009/9/main" objectType="CheckBox" checked="Checked" fmlaLink="$AI52" lockText="1" noThreeD="1"/>
</file>

<file path=xl/ctrlProps/ctrlProp61.xml><?xml version="1.0" encoding="utf-8"?>
<formControlPr xmlns="http://schemas.microsoft.com/office/spreadsheetml/2009/9/main" objectType="CheckBox" checked="Checked" fmlaLink="$AI53" lockText="1" noThreeD="1"/>
</file>

<file path=xl/ctrlProps/ctrlProp62.xml><?xml version="1.0" encoding="utf-8"?>
<formControlPr xmlns="http://schemas.microsoft.com/office/spreadsheetml/2009/9/main" objectType="CheckBox" checked="Checked" fmlaLink="$AI54" lockText="1" noThreeD="1"/>
</file>

<file path=xl/ctrlProps/ctrlProp63.xml><?xml version="1.0" encoding="utf-8"?>
<formControlPr xmlns="http://schemas.microsoft.com/office/spreadsheetml/2009/9/main" objectType="CheckBox" checked="Checked" fmlaLink="$AI$55" lockText="1" noThreeD="1"/>
</file>

<file path=xl/ctrlProps/ctrlProp64.xml><?xml version="1.0" encoding="utf-8"?>
<formControlPr xmlns="http://schemas.microsoft.com/office/spreadsheetml/2009/9/main" objectType="CheckBox" checked="Checked" fmlaLink="$AI$58" lockText="1" noThreeD="1"/>
</file>

<file path=xl/ctrlProps/ctrlProp65.xml><?xml version="1.0" encoding="utf-8"?>
<formControlPr xmlns="http://schemas.microsoft.com/office/spreadsheetml/2009/9/main" objectType="CheckBox" checked="Checked" fmlaLink="$AI$59" lockText="1" noThreeD="1"/>
</file>

<file path=xl/ctrlProps/ctrlProp66.xml><?xml version="1.0" encoding="utf-8"?>
<formControlPr xmlns="http://schemas.microsoft.com/office/spreadsheetml/2009/9/main" objectType="CheckBox" checked="Checked" fmlaLink="$AI$60" lockText="1" noThreeD="1"/>
</file>

<file path=xl/ctrlProps/ctrlProp67.xml><?xml version="1.0" encoding="utf-8"?>
<formControlPr xmlns="http://schemas.microsoft.com/office/spreadsheetml/2009/9/main" objectType="CheckBox" checked="Checked" fmlaLink="$AI$61" lockText="1" noThreeD="1"/>
</file>

<file path=xl/ctrlProps/ctrlProp68.xml><?xml version="1.0" encoding="utf-8"?>
<formControlPr xmlns="http://schemas.microsoft.com/office/spreadsheetml/2009/9/main" objectType="CheckBox" checked="Checked" fmlaLink="$AI$62" lockText="1" noThreeD="1"/>
</file>

<file path=xl/ctrlProps/ctrlProp69.xml><?xml version="1.0" encoding="utf-8"?>
<formControlPr xmlns="http://schemas.microsoft.com/office/spreadsheetml/2009/9/main" objectType="CheckBox" checked="Checked" fmlaLink="$AI$56" lockText="1" noThreeD="1"/>
</file>

<file path=xl/ctrlProps/ctrlProp7.xml><?xml version="1.0" encoding="utf-8"?>
<formControlPr xmlns="http://schemas.microsoft.com/office/spreadsheetml/2009/9/main" objectType="CheckBox" checked="Checked" fmlaLink="$AI46" lockText="1" noThreeD="1"/>
</file>

<file path=xl/ctrlProps/ctrlProp70.xml><?xml version="1.0" encoding="utf-8"?>
<formControlPr xmlns="http://schemas.microsoft.com/office/spreadsheetml/2009/9/main" objectType="CheckBox" checked="Checked" fmlaLink="$AI$57" lockText="1" noThreeD="1"/>
</file>

<file path=xl/ctrlProps/ctrlProp71.xml><?xml version="1.0" encoding="utf-8"?>
<formControlPr xmlns="http://schemas.microsoft.com/office/spreadsheetml/2009/9/main" objectType="CheckBox" checked="Checked" fmlaLink="$AI40" lockText="1" noThreeD="1"/>
</file>

<file path=xl/ctrlProps/ctrlProp72.xml><?xml version="1.0" encoding="utf-8"?>
<formControlPr xmlns="http://schemas.microsoft.com/office/spreadsheetml/2009/9/main" objectType="CheckBox" checked="Checked" fmlaLink="$AI41" lockText="1" noThreeD="1"/>
</file>

<file path=xl/ctrlProps/ctrlProp73.xml><?xml version="1.0" encoding="utf-8"?>
<formControlPr xmlns="http://schemas.microsoft.com/office/spreadsheetml/2009/9/main" objectType="CheckBox" checked="Checked" fmlaLink="$AI42" lockText="1" noThreeD="1"/>
</file>

<file path=xl/ctrlProps/ctrlProp74.xml><?xml version="1.0" encoding="utf-8"?>
<formControlPr xmlns="http://schemas.microsoft.com/office/spreadsheetml/2009/9/main" objectType="CheckBox" checked="Checked" fmlaLink="$AI43" lockText="1" noThreeD="1"/>
</file>

<file path=xl/ctrlProps/ctrlProp75.xml><?xml version="1.0" encoding="utf-8"?>
<formControlPr xmlns="http://schemas.microsoft.com/office/spreadsheetml/2009/9/main" objectType="CheckBox" checked="Checked" fmlaLink="$AI44" lockText="1" noThreeD="1"/>
</file>

<file path=xl/ctrlProps/ctrlProp76.xml><?xml version="1.0" encoding="utf-8"?>
<formControlPr xmlns="http://schemas.microsoft.com/office/spreadsheetml/2009/9/main" objectType="CheckBox" checked="Checked" fmlaLink="$AI45" lockText="1" noThreeD="1"/>
</file>

<file path=xl/ctrlProps/ctrlProp77.xml><?xml version="1.0" encoding="utf-8"?>
<formControlPr xmlns="http://schemas.microsoft.com/office/spreadsheetml/2009/9/main" objectType="CheckBox" checked="Checked" fmlaLink="$AI46" lockText="1" noThreeD="1"/>
</file>

<file path=xl/ctrlProps/ctrlProp78.xml><?xml version="1.0" encoding="utf-8"?>
<formControlPr xmlns="http://schemas.microsoft.com/office/spreadsheetml/2009/9/main" objectType="CheckBox" checked="Checked" fmlaLink="$AI47" lockText="1" noThreeD="1"/>
</file>

<file path=xl/ctrlProps/ctrlProp79.xml><?xml version="1.0" encoding="utf-8"?>
<formControlPr xmlns="http://schemas.microsoft.com/office/spreadsheetml/2009/9/main" objectType="CheckBox" checked="Checked" fmlaLink="$AI48" lockText="1" noThreeD="1"/>
</file>

<file path=xl/ctrlProps/ctrlProp8.xml><?xml version="1.0" encoding="utf-8"?>
<formControlPr xmlns="http://schemas.microsoft.com/office/spreadsheetml/2009/9/main" objectType="CheckBox" checked="Checked" fmlaLink="$AI47" lockText="1" noThreeD="1"/>
</file>

<file path=xl/ctrlProps/ctrlProp80.xml><?xml version="1.0" encoding="utf-8"?>
<formControlPr xmlns="http://schemas.microsoft.com/office/spreadsheetml/2009/9/main" objectType="CheckBox" checked="Checked" fmlaLink="$AI49" lockText="1" noThreeD="1"/>
</file>

<file path=xl/ctrlProps/ctrlProp81.xml><?xml version="1.0" encoding="utf-8"?>
<formControlPr xmlns="http://schemas.microsoft.com/office/spreadsheetml/2009/9/main" objectType="CheckBox" checked="Checked" fmlaLink="$AI50" lockText="1" noThreeD="1"/>
</file>

<file path=xl/ctrlProps/ctrlProp82.xml><?xml version="1.0" encoding="utf-8"?>
<formControlPr xmlns="http://schemas.microsoft.com/office/spreadsheetml/2009/9/main" objectType="CheckBox" checked="Checked" fmlaLink="$AI51" lockText="1" noThreeD="1"/>
</file>

<file path=xl/ctrlProps/ctrlProp83.xml><?xml version="1.0" encoding="utf-8"?>
<formControlPr xmlns="http://schemas.microsoft.com/office/spreadsheetml/2009/9/main" objectType="CheckBox" checked="Checked" fmlaLink="$AI52" lockText="1" noThreeD="1"/>
</file>

<file path=xl/ctrlProps/ctrlProp84.xml><?xml version="1.0" encoding="utf-8"?>
<formControlPr xmlns="http://schemas.microsoft.com/office/spreadsheetml/2009/9/main" objectType="CheckBox" checked="Checked" fmlaLink="$AI53" lockText="1" noThreeD="1"/>
</file>

<file path=xl/ctrlProps/ctrlProp85.xml><?xml version="1.0" encoding="utf-8"?>
<formControlPr xmlns="http://schemas.microsoft.com/office/spreadsheetml/2009/9/main" objectType="CheckBox" checked="Checked" fmlaLink="$AI54" lockText="1" noThreeD="1"/>
</file>

<file path=xl/ctrlProps/ctrlProp86.xml><?xml version="1.0" encoding="utf-8"?>
<formControlPr xmlns="http://schemas.microsoft.com/office/spreadsheetml/2009/9/main" objectType="CheckBox" checked="Checked" fmlaLink="$AI$55" lockText="1" noThreeD="1"/>
</file>

<file path=xl/ctrlProps/ctrlProp87.xml><?xml version="1.0" encoding="utf-8"?>
<formControlPr xmlns="http://schemas.microsoft.com/office/spreadsheetml/2009/9/main" objectType="CheckBox" checked="Checked" fmlaLink="$AI$58" lockText="1" noThreeD="1"/>
</file>

<file path=xl/ctrlProps/ctrlProp88.xml><?xml version="1.0" encoding="utf-8"?>
<formControlPr xmlns="http://schemas.microsoft.com/office/spreadsheetml/2009/9/main" objectType="CheckBox" checked="Checked" fmlaLink="$AI$59" lockText="1" noThreeD="1"/>
</file>

<file path=xl/ctrlProps/ctrlProp89.xml><?xml version="1.0" encoding="utf-8"?>
<formControlPr xmlns="http://schemas.microsoft.com/office/spreadsheetml/2009/9/main" objectType="CheckBox" checked="Checked" fmlaLink="$AI$60" lockText="1" noThreeD="1"/>
</file>

<file path=xl/ctrlProps/ctrlProp9.xml><?xml version="1.0" encoding="utf-8"?>
<formControlPr xmlns="http://schemas.microsoft.com/office/spreadsheetml/2009/9/main" objectType="CheckBox" checked="Checked" fmlaLink="$AI48" lockText="1" noThreeD="1"/>
</file>

<file path=xl/ctrlProps/ctrlProp90.xml><?xml version="1.0" encoding="utf-8"?>
<formControlPr xmlns="http://schemas.microsoft.com/office/spreadsheetml/2009/9/main" objectType="CheckBox" checked="Checked" fmlaLink="$AI$61" lockText="1" noThreeD="1"/>
</file>

<file path=xl/ctrlProps/ctrlProp91.xml><?xml version="1.0" encoding="utf-8"?>
<formControlPr xmlns="http://schemas.microsoft.com/office/spreadsheetml/2009/9/main" objectType="CheckBox" checked="Checked" fmlaLink="$AI$62" lockText="1" noThreeD="1"/>
</file>

<file path=xl/ctrlProps/ctrlProp92.xml><?xml version="1.0" encoding="utf-8"?>
<formControlPr xmlns="http://schemas.microsoft.com/office/spreadsheetml/2009/9/main" objectType="CheckBox" checked="Checked" fmlaLink="$AI$56" lockText="1" noThreeD="1"/>
</file>

<file path=xl/ctrlProps/ctrlProp93.xml><?xml version="1.0" encoding="utf-8"?>
<formControlPr xmlns="http://schemas.microsoft.com/office/spreadsheetml/2009/9/main" objectType="CheckBox" checked="Checked" fmlaLink="$AI$57" lockText="1" noThreeD="1"/>
</file>

<file path=xl/ctrlProps/ctrlProp94.xml><?xml version="1.0" encoding="utf-8"?>
<formControlPr xmlns="http://schemas.microsoft.com/office/spreadsheetml/2009/9/main" objectType="CheckBox" checked="Checked" fmlaLink="$AJ41" lockText="1" noThreeD="1"/>
</file>

<file path=xl/ctrlProps/ctrlProp95.xml><?xml version="1.0" encoding="utf-8"?>
<formControlPr xmlns="http://schemas.microsoft.com/office/spreadsheetml/2009/9/main" objectType="CheckBox" checked="Checked" fmlaLink="$AJ42" lockText="1" noThreeD="1"/>
</file>

<file path=xl/ctrlProps/ctrlProp96.xml><?xml version="1.0" encoding="utf-8"?>
<formControlPr xmlns="http://schemas.microsoft.com/office/spreadsheetml/2009/9/main" objectType="CheckBox" checked="Checked" fmlaLink="$AJ43" lockText="1" noThreeD="1"/>
</file>

<file path=xl/ctrlProps/ctrlProp97.xml><?xml version="1.0" encoding="utf-8"?>
<formControlPr xmlns="http://schemas.microsoft.com/office/spreadsheetml/2009/9/main" objectType="CheckBox" checked="Checked" fmlaLink="$AJ44" lockText="1" noThreeD="1"/>
</file>

<file path=xl/ctrlProps/ctrlProp98.xml><?xml version="1.0" encoding="utf-8"?>
<formControlPr xmlns="http://schemas.microsoft.com/office/spreadsheetml/2009/9/main" objectType="CheckBox" checked="Checked" fmlaLink="$AJ45" lockText="1" noThreeD="1"/>
</file>

<file path=xl/ctrlProps/ctrlProp99.xml><?xml version="1.0" encoding="utf-8"?>
<formControlPr xmlns="http://schemas.microsoft.com/office/spreadsheetml/2009/9/main" objectType="CheckBox" checked="Checked" fmlaLink="$AJ46"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29.xml"/><Relationship Id="rId3" Type="http://schemas.openxmlformats.org/officeDocument/2006/relationships/chart" Target="../charts/chart24.xml"/><Relationship Id="rId7" Type="http://schemas.openxmlformats.org/officeDocument/2006/relationships/chart" Target="../charts/chart28.xml"/><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chart" Target="../charts/chart27.xml"/><Relationship Id="rId5" Type="http://schemas.openxmlformats.org/officeDocument/2006/relationships/chart" Target="../charts/chart26.xml"/><Relationship Id="rId10" Type="http://schemas.openxmlformats.org/officeDocument/2006/relationships/chart" Target="../charts/chart30.xml"/><Relationship Id="rId4" Type="http://schemas.openxmlformats.org/officeDocument/2006/relationships/chart" Target="../charts/chart25.xml"/><Relationship Id="rId9" Type="http://schemas.openxmlformats.org/officeDocument/2006/relationships/image" Target="../media/image5.png"/></Relationships>
</file>

<file path=xl/drawings/_rels/drawing12.xml.rels><?xml version="1.0" encoding="UTF-8" standalone="yes"?>
<Relationships xmlns="http://schemas.openxmlformats.org/package/2006/relationships"><Relationship Id="rId8" Type="http://schemas.openxmlformats.org/officeDocument/2006/relationships/chart" Target="../charts/chart37.xml"/><Relationship Id="rId3" Type="http://schemas.openxmlformats.org/officeDocument/2006/relationships/chart" Target="../charts/chart32.xml"/><Relationship Id="rId7" Type="http://schemas.openxmlformats.org/officeDocument/2006/relationships/chart" Target="../charts/chart36.xml"/><Relationship Id="rId2" Type="http://schemas.openxmlformats.org/officeDocument/2006/relationships/chart" Target="../charts/chart31.xml"/><Relationship Id="rId1" Type="http://schemas.openxmlformats.org/officeDocument/2006/relationships/image" Target="../media/image6.png"/><Relationship Id="rId6" Type="http://schemas.openxmlformats.org/officeDocument/2006/relationships/chart" Target="../charts/chart35.xml"/><Relationship Id="rId11" Type="http://schemas.openxmlformats.org/officeDocument/2006/relationships/chart" Target="../charts/chart40.xml"/><Relationship Id="rId5" Type="http://schemas.openxmlformats.org/officeDocument/2006/relationships/chart" Target="../charts/chart34.xml"/><Relationship Id="rId10" Type="http://schemas.openxmlformats.org/officeDocument/2006/relationships/chart" Target="../charts/chart39.xml"/><Relationship Id="rId4" Type="http://schemas.openxmlformats.org/officeDocument/2006/relationships/chart" Target="../charts/chart33.xml"/><Relationship Id="rId9" Type="http://schemas.openxmlformats.org/officeDocument/2006/relationships/chart" Target="../charts/chart38.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47.xml"/><Relationship Id="rId3" Type="http://schemas.openxmlformats.org/officeDocument/2006/relationships/chart" Target="../charts/chart43.xml"/><Relationship Id="rId7" Type="http://schemas.openxmlformats.org/officeDocument/2006/relationships/image" Target="../media/image6.png"/><Relationship Id="rId2" Type="http://schemas.openxmlformats.org/officeDocument/2006/relationships/chart" Target="../charts/chart42.xml"/><Relationship Id="rId1" Type="http://schemas.openxmlformats.org/officeDocument/2006/relationships/chart" Target="../charts/chart41.xml"/><Relationship Id="rId6" Type="http://schemas.openxmlformats.org/officeDocument/2006/relationships/chart" Target="../charts/chart46.xml"/><Relationship Id="rId5" Type="http://schemas.openxmlformats.org/officeDocument/2006/relationships/chart" Target="../charts/chart45.xml"/><Relationship Id="rId4" Type="http://schemas.openxmlformats.org/officeDocument/2006/relationships/chart" Target="../charts/chart44.xml"/></Relationships>
</file>

<file path=xl/drawings/_rels/drawing14.xml.rels><?xml version="1.0" encoding="UTF-8" standalone="yes"?>
<Relationships xmlns="http://schemas.openxmlformats.org/package/2006/relationships"><Relationship Id="rId8" Type="http://schemas.openxmlformats.org/officeDocument/2006/relationships/chart" Target="../charts/chart54.xml"/><Relationship Id="rId3" Type="http://schemas.openxmlformats.org/officeDocument/2006/relationships/chart" Target="../charts/chart49.xml"/><Relationship Id="rId7" Type="http://schemas.openxmlformats.org/officeDocument/2006/relationships/chart" Target="../charts/chart53.xml"/><Relationship Id="rId2" Type="http://schemas.openxmlformats.org/officeDocument/2006/relationships/chart" Target="../charts/chart48.xml"/><Relationship Id="rId1" Type="http://schemas.openxmlformats.org/officeDocument/2006/relationships/image" Target="../media/image6.png"/><Relationship Id="rId6" Type="http://schemas.openxmlformats.org/officeDocument/2006/relationships/chart" Target="../charts/chart52.xml"/><Relationship Id="rId5" Type="http://schemas.openxmlformats.org/officeDocument/2006/relationships/chart" Target="../charts/chart51.xml"/><Relationship Id="rId4" Type="http://schemas.openxmlformats.org/officeDocument/2006/relationships/chart" Target="../charts/chart50.xml"/><Relationship Id="rId9" Type="http://schemas.openxmlformats.org/officeDocument/2006/relationships/chart" Target="../charts/chart55.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58.xml"/><Relationship Id="rId2" Type="http://schemas.openxmlformats.org/officeDocument/2006/relationships/chart" Target="../charts/chart57.xml"/><Relationship Id="rId1" Type="http://schemas.openxmlformats.org/officeDocument/2006/relationships/chart" Target="../charts/chart56.xml"/><Relationship Id="rId6" Type="http://schemas.openxmlformats.org/officeDocument/2006/relationships/chart" Target="../charts/chart60.xml"/><Relationship Id="rId5" Type="http://schemas.openxmlformats.org/officeDocument/2006/relationships/image" Target="../media/image6.png"/><Relationship Id="rId4" Type="http://schemas.openxmlformats.org/officeDocument/2006/relationships/chart" Target="../charts/chart59.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63.xml"/><Relationship Id="rId2" Type="http://schemas.openxmlformats.org/officeDocument/2006/relationships/chart" Target="../charts/chart62.xml"/><Relationship Id="rId1" Type="http://schemas.openxmlformats.org/officeDocument/2006/relationships/chart" Target="../charts/chart61.xml"/><Relationship Id="rId6" Type="http://schemas.openxmlformats.org/officeDocument/2006/relationships/chart" Target="../charts/chart65.xml"/><Relationship Id="rId5" Type="http://schemas.openxmlformats.org/officeDocument/2006/relationships/image" Target="../media/image6.png"/><Relationship Id="rId4" Type="http://schemas.openxmlformats.org/officeDocument/2006/relationships/chart" Target="../charts/chart64.xml"/></Relationships>
</file>

<file path=xl/drawings/_rels/drawing17.xml.rels><?xml version="1.0" encoding="UTF-8" standalone="yes"?>
<Relationships xmlns="http://schemas.openxmlformats.org/package/2006/relationships"><Relationship Id="rId8" Type="http://schemas.openxmlformats.org/officeDocument/2006/relationships/chart" Target="../charts/chart73.xml"/><Relationship Id="rId3" Type="http://schemas.openxmlformats.org/officeDocument/2006/relationships/chart" Target="../charts/chart68.xml"/><Relationship Id="rId7" Type="http://schemas.openxmlformats.org/officeDocument/2006/relationships/chart" Target="../charts/chart72.xml"/><Relationship Id="rId2" Type="http://schemas.openxmlformats.org/officeDocument/2006/relationships/chart" Target="../charts/chart67.xml"/><Relationship Id="rId1" Type="http://schemas.openxmlformats.org/officeDocument/2006/relationships/chart" Target="../charts/chart66.xml"/><Relationship Id="rId6" Type="http://schemas.openxmlformats.org/officeDocument/2006/relationships/chart" Target="../charts/chart71.xml"/><Relationship Id="rId5" Type="http://schemas.openxmlformats.org/officeDocument/2006/relationships/chart" Target="../charts/chart70.xml"/><Relationship Id="rId10" Type="http://schemas.openxmlformats.org/officeDocument/2006/relationships/chart" Target="../charts/chart74.xml"/><Relationship Id="rId4" Type="http://schemas.openxmlformats.org/officeDocument/2006/relationships/chart" Target="../charts/chart69.xml"/><Relationship Id="rId9" Type="http://schemas.openxmlformats.org/officeDocument/2006/relationships/image" Target="../media/image6.png"/></Relationships>
</file>

<file path=xl/drawings/_rels/drawing18.xml.rels><?xml version="1.0" encoding="UTF-8" standalone="yes"?>
<Relationships xmlns="http://schemas.openxmlformats.org/package/2006/relationships"><Relationship Id="rId8" Type="http://schemas.openxmlformats.org/officeDocument/2006/relationships/chart" Target="../charts/chart82.xml"/><Relationship Id="rId13" Type="http://schemas.openxmlformats.org/officeDocument/2006/relationships/chart" Target="../charts/chart86.xml"/><Relationship Id="rId3" Type="http://schemas.openxmlformats.org/officeDocument/2006/relationships/chart" Target="../charts/chart77.xml"/><Relationship Id="rId7" Type="http://schemas.openxmlformats.org/officeDocument/2006/relationships/chart" Target="../charts/chart81.xml"/><Relationship Id="rId12" Type="http://schemas.openxmlformats.org/officeDocument/2006/relationships/chart" Target="../charts/chart85.xml"/><Relationship Id="rId2" Type="http://schemas.openxmlformats.org/officeDocument/2006/relationships/chart" Target="../charts/chart76.xml"/><Relationship Id="rId16" Type="http://schemas.openxmlformats.org/officeDocument/2006/relationships/chart" Target="../charts/chart89.xml"/><Relationship Id="rId1" Type="http://schemas.openxmlformats.org/officeDocument/2006/relationships/chart" Target="../charts/chart75.xml"/><Relationship Id="rId6" Type="http://schemas.openxmlformats.org/officeDocument/2006/relationships/chart" Target="../charts/chart80.xml"/><Relationship Id="rId11" Type="http://schemas.openxmlformats.org/officeDocument/2006/relationships/image" Target="../media/image6.png"/><Relationship Id="rId5" Type="http://schemas.openxmlformats.org/officeDocument/2006/relationships/chart" Target="../charts/chart79.xml"/><Relationship Id="rId15" Type="http://schemas.openxmlformats.org/officeDocument/2006/relationships/chart" Target="../charts/chart88.xml"/><Relationship Id="rId10" Type="http://schemas.openxmlformats.org/officeDocument/2006/relationships/chart" Target="../charts/chart84.xml"/><Relationship Id="rId4" Type="http://schemas.openxmlformats.org/officeDocument/2006/relationships/chart" Target="../charts/chart78.xml"/><Relationship Id="rId9" Type="http://schemas.openxmlformats.org/officeDocument/2006/relationships/chart" Target="../charts/chart83.xml"/><Relationship Id="rId14" Type="http://schemas.openxmlformats.org/officeDocument/2006/relationships/chart" Target="../charts/chart87.xml"/></Relationships>
</file>

<file path=xl/drawings/_rels/drawing19.xml.rels><?xml version="1.0" encoding="UTF-8" standalone="yes"?>
<Relationships xmlns="http://schemas.openxmlformats.org/package/2006/relationships"><Relationship Id="rId8" Type="http://schemas.openxmlformats.org/officeDocument/2006/relationships/chart" Target="../charts/chart96.xml"/><Relationship Id="rId3" Type="http://schemas.openxmlformats.org/officeDocument/2006/relationships/chart" Target="../charts/chart92.xml"/><Relationship Id="rId7" Type="http://schemas.openxmlformats.org/officeDocument/2006/relationships/chart" Target="../charts/chart95.xml"/><Relationship Id="rId2" Type="http://schemas.openxmlformats.org/officeDocument/2006/relationships/chart" Target="../charts/chart91.xml"/><Relationship Id="rId1" Type="http://schemas.openxmlformats.org/officeDocument/2006/relationships/chart" Target="../charts/chart90.xml"/><Relationship Id="rId6" Type="http://schemas.openxmlformats.org/officeDocument/2006/relationships/chart" Target="../charts/chart94.xml"/><Relationship Id="rId11" Type="http://schemas.openxmlformats.org/officeDocument/2006/relationships/chart" Target="../charts/chart99.xml"/><Relationship Id="rId5" Type="http://schemas.openxmlformats.org/officeDocument/2006/relationships/image" Target="../media/image6.png"/><Relationship Id="rId10" Type="http://schemas.openxmlformats.org/officeDocument/2006/relationships/chart" Target="../charts/chart98.xml"/><Relationship Id="rId4" Type="http://schemas.openxmlformats.org/officeDocument/2006/relationships/chart" Target="../charts/chart93.xml"/><Relationship Id="rId9" Type="http://schemas.openxmlformats.org/officeDocument/2006/relationships/chart" Target="../charts/chart97.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Home!A1"/></Relationships>
</file>

<file path=xl/drawings/_rels/drawing20.xml.rels><?xml version="1.0" encoding="UTF-8" standalone="yes"?>
<Relationships xmlns="http://schemas.openxmlformats.org/package/2006/relationships"><Relationship Id="rId8" Type="http://schemas.openxmlformats.org/officeDocument/2006/relationships/chart" Target="../charts/chart107.xml"/><Relationship Id="rId13" Type="http://schemas.openxmlformats.org/officeDocument/2006/relationships/chart" Target="../charts/chart112.xml"/><Relationship Id="rId18" Type="http://schemas.openxmlformats.org/officeDocument/2006/relationships/chart" Target="../charts/chart117.xml"/><Relationship Id="rId3" Type="http://schemas.openxmlformats.org/officeDocument/2006/relationships/chart" Target="../charts/chart102.xml"/><Relationship Id="rId21" Type="http://schemas.openxmlformats.org/officeDocument/2006/relationships/image" Target="../media/image6.png"/><Relationship Id="rId7" Type="http://schemas.openxmlformats.org/officeDocument/2006/relationships/chart" Target="../charts/chart106.xml"/><Relationship Id="rId12" Type="http://schemas.openxmlformats.org/officeDocument/2006/relationships/chart" Target="../charts/chart111.xml"/><Relationship Id="rId17" Type="http://schemas.openxmlformats.org/officeDocument/2006/relationships/chart" Target="../charts/chart116.xml"/><Relationship Id="rId2" Type="http://schemas.openxmlformats.org/officeDocument/2006/relationships/chart" Target="../charts/chart101.xml"/><Relationship Id="rId16" Type="http://schemas.openxmlformats.org/officeDocument/2006/relationships/chart" Target="../charts/chart115.xml"/><Relationship Id="rId20" Type="http://schemas.openxmlformats.org/officeDocument/2006/relationships/chart" Target="../charts/chart119.xml"/><Relationship Id="rId1" Type="http://schemas.openxmlformats.org/officeDocument/2006/relationships/chart" Target="../charts/chart100.xml"/><Relationship Id="rId6" Type="http://schemas.openxmlformats.org/officeDocument/2006/relationships/chart" Target="../charts/chart105.xml"/><Relationship Id="rId11" Type="http://schemas.openxmlformats.org/officeDocument/2006/relationships/chart" Target="../charts/chart110.xml"/><Relationship Id="rId5" Type="http://schemas.openxmlformats.org/officeDocument/2006/relationships/chart" Target="../charts/chart104.xml"/><Relationship Id="rId15" Type="http://schemas.openxmlformats.org/officeDocument/2006/relationships/chart" Target="../charts/chart114.xml"/><Relationship Id="rId10" Type="http://schemas.openxmlformats.org/officeDocument/2006/relationships/chart" Target="../charts/chart109.xml"/><Relationship Id="rId19" Type="http://schemas.openxmlformats.org/officeDocument/2006/relationships/chart" Target="../charts/chart118.xml"/><Relationship Id="rId4" Type="http://schemas.openxmlformats.org/officeDocument/2006/relationships/chart" Target="../charts/chart103.xml"/><Relationship Id="rId9" Type="http://schemas.openxmlformats.org/officeDocument/2006/relationships/chart" Target="../charts/chart108.xml"/><Relationship Id="rId14" Type="http://schemas.openxmlformats.org/officeDocument/2006/relationships/chart" Target="../charts/chart113.xml"/><Relationship Id="rId22" Type="http://schemas.openxmlformats.org/officeDocument/2006/relationships/chart" Target="../charts/chart120.xml"/></Relationships>
</file>

<file path=xl/drawings/_rels/drawing21.xml.rels><?xml version="1.0" encoding="UTF-8" standalone="yes"?>
<Relationships xmlns="http://schemas.openxmlformats.org/package/2006/relationships"><Relationship Id="rId8" Type="http://schemas.openxmlformats.org/officeDocument/2006/relationships/chart" Target="../charts/chart127.xml"/><Relationship Id="rId13" Type="http://schemas.openxmlformats.org/officeDocument/2006/relationships/chart" Target="../charts/chart132.xml"/><Relationship Id="rId3" Type="http://schemas.openxmlformats.org/officeDocument/2006/relationships/chart" Target="../charts/chart123.xml"/><Relationship Id="rId7" Type="http://schemas.openxmlformats.org/officeDocument/2006/relationships/chart" Target="../charts/chart126.xml"/><Relationship Id="rId12" Type="http://schemas.openxmlformats.org/officeDocument/2006/relationships/chart" Target="../charts/chart131.xml"/><Relationship Id="rId2" Type="http://schemas.openxmlformats.org/officeDocument/2006/relationships/chart" Target="../charts/chart122.xml"/><Relationship Id="rId16" Type="http://schemas.openxmlformats.org/officeDocument/2006/relationships/chart" Target="../charts/chart135.xml"/><Relationship Id="rId1" Type="http://schemas.openxmlformats.org/officeDocument/2006/relationships/chart" Target="../charts/chart121.xml"/><Relationship Id="rId6" Type="http://schemas.openxmlformats.org/officeDocument/2006/relationships/chart" Target="../charts/chart125.xml"/><Relationship Id="rId11" Type="http://schemas.openxmlformats.org/officeDocument/2006/relationships/chart" Target="../charts/chart130.xml"/><Relationship Id="rId5" Type="http://schemas.openxmlformats.org/officeDocument/2006/relationships/image" Target="../media/image6.png"/><Relationship Id="rId15" Type="http://schemas.openxmlformats.org/officeDocument/2006/relationships/chart" Target="../charts/chart134.xml"/><Relationship Id="rId10" Type="http://schemas.openxmlformats.org/officeDocument/2006/relationships/chart" Target="../charts/chart129.xml"/><Relationship Id="rId4" Type="http://schemas.openxmlformats.org/officeDocument/2006/relationships/chart" Target="../charts/chart124.xml"/><Relationship Id="rId9" Type="http://schemas.openxmlformats.org/officeDocument/2006/relationships/chart" Target="../charts/chart128.xml"/><Relationship Id="rId14" Type="http://schemas.openxmlformats.org/officeDocument/2006/relationships/chart" Target="../charts/chart133.xml"/></Relationships>
</file>

<file path=xl/drawings/_rels/drawing22.xml.rels><?xml version="1.0" encoding="UTF-8" standalone="yes"?>
<Relationships xmlns="http://schemas.openxmlformats.org/package/2006/relationships"><Relationship Id="rId8" Type="http://schemas.openxmlformats.org/officeDocument/2006/relationships/chart" Target="../charts/chart142.xml"/><Relationship Id="rId3" Type="http://schemas.openxmlformats.org/officeDocument/2006/relationships/chart" Target="../charts/chart138.xml"/><Relationship Id="rId7" Type="http://schemas.openxmlformats.org/officeDocument/2006/relationships/image" Target="../media/image6.png"/><Relationship Id="rId2" Type="http://schemas.openxmlformats.org/officeDocument/2006/relationships/chart" Target="../charts/chart137.xml"/><Relationship Id="rId1" Type="http://schemas.openxmlformats.org/officeDocument/2006/relationships/chart" Target="../charts/chart136.xml"/><Relationship Id="rId6" Type="http://schemas.openxmlformats.org/officeDocument/2006/relationships/chart" Target="../charts/chart141.xml"/><Relationship Id="rId5" Type="http://schemas.openxmlformats.org/officeDocument/2006/relationships/chart" Target="../charts/chart140.xml"/><Relationship Id="rId4" Type="http://schemas.openxmlformats.org/officeDocument/2006/relationships/chart" Target="../charts/chart139.xml"/><Relationship Id="rId9" Type="http://schemas.openxmlformats.org/officeDocument/2006/relationships/chart" Target="../charts/chart143.xml"/></Relationships>
</file>

<file path=xl/drawings/_rels/drawing23.xml.rels><?xml version="1.0" encoding="UTF-8" standalone="yes"?>
<Relationships xmlns="http://schemas.openxmlformats.org/package/2006/relationships"><Relationship Id="rId8" Type="http://schemas.openxmlformats.org/officeDocument/2006/relationships/chart" Target="../charts/chart151.xml"/><Relationship Id="rId3" Type="http://schemas.openxmlformats.org/officeDocument/2006/relationships/chart" Target="../charts/chart146.xml"/><Relationship Id="rId7" Type="http://schemas.openxmlformats.org/officeDocument/2006/relationships/chart" Target="../charts/chart150.xml"/><Relationship Id="rId2" Type="http://schemas.openxmlformats.org/officeDocument/2006/relationships/chart" Target="../charts/chart145.xml"/><Relationship Id="rId1" Type="http://schemas.openxmlformats.org/officeDocument/2006/relationships/chart" Target="../charts/chart144.xml"/><Relationship Id="rId6" Type="http://schemas.openxmlformats.org/officeDocument/2006/relationships/chart" Target="../charts/chart149.xml"/><Relationship Id="rId5" Type="http://schemas.openxmlformats.org/officeDocument/2006/relationships/chart" Target="../charts/chart148.xml"/><Relationship Id="rId10" Type="http://schemas.openxmlformats.org/officeDocument/2006/relationships/chart" Target="../charts/chart152.xml"/><Relationship Id="rId4" Type="http://schemas.openxmlformats.org/officeDocument/2006/relationships/chart" Target="../charts/chart147.xml"/><Relationship Id="rId9" Type="http://schemas.openxmlformats.org/officeDocument/2006/relationships/image" Target="../media/image6.png"/></Relationships>
</file>

<file path=xl/drawings/_rels/drawing24.xml.rels><?xml version="1.0" encoding="UTF-8" standalone="yes"?>
<Relationships xmlns="http://schemas.openxmlformats.org/package/2006/relationships"><Relationship Id="rId8" Type="http://schemas.openxmlformats.org/officeDocument/2006/relationships/chart" Target="../charts/chart160.xml"/><Relationship Id="rId3" Type="http://schemas.openxmlformats.org/officeDocument/2006/relationships/chart" Target="../charts/chart155.xml"/><Relationship Id="rId7" Type="http://schemas.openxmlformats.org/officeDocument/2006/relationships/chart" Target="../charts/chart159.xml"/><Relationship Id="rId2" Type="http://schemas.openxmlformats.org/officeDocument/2006/relationships/chart" Target="../charts/chart154.xml"/><Relationship Id="rId1" Type="http://schemas.openxmlformats.org/officeDocument/2006/relationships/chart" Target="../charts/chart153.xml"/><Relationship Id="rId6" Type="http://schemas.openxmlformats.org/officeDocument/2006/relationships/chart" Target="../charts/chart158.xml"/><Relationship Id="rId11" Type="http://schemas.openxmlformats.org/officeDocument/2006/relationships/chart" Target="../charts/chart162.xml"/><Relationship Id="rId5" Type="http://schemas.openxmlformats.org/officeDocument/2006/relationships/chart" Target="../charts/chart157.xml"/><Relationship Id="rId10" Type="http://schemas.openxmlformats.org/officeDocument/2006/relationships/chart" Target="../charts/chart161.xml"/><Relationship Id="rId4" Type="http://schemas.openxmlformats.org/officeDocument/2006/relationships/chart" Target="../charts/chart156.xml"/><Relationship Id="rId9" Type="http://schemas.openxmlformats.org/officeDocument/2006/relationships/image" Target="../media/image6.png"/></Relationships>
</file>

<file path=xl/drawings/_rels/drawing25.xml.rels><?xml version="1.0" encoding="UTF-8" standalone="yes"?>
<Relationships xmlns="http://schemas.openxmlformats.org/package/2006/relationships"><Relationship Id="rId3" Type="http://schemas.openxmlformats.org/officeDocument/2006/relationships/chart" Target="../charts/chart165.xml"/><Relationship Id="rId2" Type="http://schemas.openxmlformats.org/officeDocument/2006/relationships/chart" Target="../charts/chart164.xml"/><Relationship Id="rId1" Type="http://schemas.openxmlformats.org/officeDocument/2006/relationships/chart" Target="../charts/chart163.xml"/><Relationship Id="rId6" Type="http://schemas.openxmlformats.org/officeDocument/2006/relationships/chart" Target="../charts/chart167.xml"/><Relationship Id="rId5" Type="http://schemas.openxmlformats.org/officeDocument/2006/relationships/image" Target="../media/image6.png"/><Relationship Id="rId4" Type="http://schemas.openxmlformats.org/officeDocument/2006/relationships/chart" Target="../charts/chart166.xml"/></Relationships>
</file>

<file path=xl/drawings/_rels/drawing26.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chart" Target="../charts/chart173.xml"/><Relationship Id="rId2" Type="http://schemas.openxmlformats.org/officeDocument/2006/relationships/chart" Target="../charts/chart169.xml"/><Relationship Id="rId1" Type="http://schemas.openxmlformats.org/officeDocument/2006/relationships/chart" Target="../charts/chart168.xml"/><Relationship Id="rId6" Type="http://schemas.openxmlformats.org/officeDocument/2006/relationships/chart" Target="../charts/chart172.xml"/><Relationship Id="rId5" Type="http://schemas.openxmlformats.org/officeDocument/2006/relationships/chart" Target="../charts/chart171.xml"/><Relationship Id="rId4" Type="http://schemas.openxmlformats.org/officeDocument/2006/relationships/chart" Target="../charts/chart170.xml"/></Relationships>
</file>

<file path=xl/drawings/_rels/drawing27.xml.rels><?xml version="1.0" encoding="UTF-8" standalone="yes"?>
<Relationships xmlns="http://schemas.openxmlformats.org/package/2006/relationships"><Relationship Id="rId8" Type="http://schemas.openxmlformats.org/officeDocument/2006/relationships/chart" Target="../charts/chart180.xml"/><Relationship Id="rId3" Type="http://schemas.openxmlformats.org/officeDocument/2006/relationships/chart" Target="../charts/chart176.xml"/><Relationship Id="rId7" Type="http://schemas.openxmlformats.org/officeDocument/2006/relationships/image" Target="../media/image6.png"/><Relationship Id="rId2" Type="http://schemas.openxmlformats.org/officeDocument/2006/relationships/chart" Target="../charts/chart175.xml"/><Relationship Id="rId1" Type="http://schemas.openxmlformats.org/officeDocument/2006/relationships/chart" Target="../charts/chart174.xml"/><Relationship Id="rId6" Type="http://schemas.openxmlformats.org/officeDocument/2006/relationships/chart" Target="../charts/chart179.xml"/><Relationship Id="rId5" Type="http://schemas.openxmlformats.org/officeDocument/2006/relationships/chart" Target="../charts/chart178.xml"/><Relationship Id="rId4" Type="http://schemas.openxmlformats.org/officeDocument/2006/relationships/chart" Target="../charts/chart177.xml"/></Relationships>
</file>

<file path=xl/drawings/_rels/drawing2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182.xml"/><Relationship Id="rId1" Type="http://schemas.openxmlformats.org/officeDocument/2006/relationships/chart" Target="../charts/chart181.xml"/></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image" Target="../media/image5.png"/><Relationship Id="rId5" Type="http://schemas.openxmlformats.org/officeDocument/2006/relationships/chart" Target="../charts/chart6.xml"/><Relationship Id="rId4" Type="http://schemas.openxmlformats.org/officeDocument/2006/relationships/chart" Target="../charts/chart5.xml"/></Relationships>
</file>

<file path=xl/drawings/_rels/drawing8.xml.rels><?xml version="1.0" encoding="UTF-8" standalone="yes"?>
<Relationships xmlns="http://schemas.openxmlformats.org/package/2006/relationships"><Relationship Id="rId8" Type="http://schemas.openxmlformats.org/officeDocument/2006/relationships/chart" Target="../charts/chart13.xml"/><Relationship Id="rId3" Type="http://schemas.openxmlformats.org/officeDocument/2006/relationships/chart" Target="../charts/chart9.xml"/><Relationship Id="rId7" Type="http://schemas.openxmlformats.org/officeDocument/2006/relationships/image" Target="../media/image5.png"/><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8.xml"/><Relationship Id="rId5" Type="http://schemas.openxmlformats.org/officeDocument/2006/relationships/image" Target="../media/image5.png"/><Relationship Id="rId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133350</xdr:colOff>
      <xdr:row>6</xdr:row>
      <xdr:rowOff>0</xdr:rowOff>
    </xdr:to>
    <xdr:sp macro="" textlink="">
      <xdr:nvSpPr>
        <xdr:cNvPr id="2" name="AutoShape 2">
          <a:extLst>
            <a:ext uri="{FF2B5EF4-FFF2-40B4-BE49-F238E27FC236}">
              <a16:creationId xmlns:a16="http://schemas.microsoft.com/office/drawing/2014/main" id="{00000000-0008-0000-0700-000002000000}"/>
            </a:ext>
          </a:extLst>
        </xdr:cNvPr>
        <xdr:cNvSpPr>
          <a:spLocks noChangeArrowheads="1"/>
        </xdr:cNvSpPr>
      </xdr:nvSpPr>
      <xdr:spPr bwMode="auto">
        <a:xfrm>
          <a:off x="266700" y="266700"/>
          <a:ext cx="3581400" cy="1657350"/>
        </a:xfrm>
        <a:prstGeom prst="roundRect">
          <a:avLst>
            <a:gd name="adj" fmla="val 16667"/>
          </a:avLst>
        </a:prstGeom>
        <a:solidFill>
          <a:srgbClr val="C85100"/>
        </a:solidFill>
        <a:ln w="19050">
          <a:solidFill>
            <a:srgbClr val="C85100"/>
          </a:solidFill>
          <a:round/>
          <a:headEnd/>
          <a:tailEnd/>
        </a:ln>
      </xdr:spPr>
      <xdr:txBody>
        <a:bodyPr vertOverflow="clip" wrap="square" lIns="54864" tIns="41148" rIns="54864" bIns="41148" anchor="ctr" upright="1"/>
        <a:lstStyle/>
        <a:p>
          <a:pPr algn="ctr" rtl="0">
            <a:defRPr sz="1000"/>
          </a:pPr>
          <a:r>
            <a:rPr lang="en-GB" sz="2500" b="1" i="0" u="none" strike="noStrike" baseline="0">
              <a:solidFill>
                <a:srgbClr val="FFFFFF"/>
              </a:solidFill>
              <a:latin typeface="Arial"/>
              <a:cs typeface="Arial"/>
            </a:rPr>
            <a:t>Children's Social Care Benchmarking</a:t>
          </a:r>
        </a:p>
        <a:p>
          <a:pPr algn="ctr" rtl="0">
            <a:defRPr sz="1000"/>
          </a:pPr>
          <a:r>
            <a:rPr lang="en-GB" sz="2000" b="1" i="0" u="none" strike="noStrike" baseline="0">
              <a:solidFill>
                <a:srgbClr val="FFCC99"/>
              </a:solidFill>
              <a:latin typeface="Arial"/>
              <a:cs typeface="Arial"/>
            </a:rPr>
            <a:t>Sector-Led Improvement</a:t>
          </a:r>
        </a:p>
      </xdr:txBody>
    </xdr:sp>
    <xdr:clientData/>
  </xdr:twoCellAnchor>
  <xdr:twoCellAnchor>
    <xdr:from>
      <xdr:col>7</xdr:col>
      <xdr:colOff>371475</xdr:colOff>
      <xdr:row>28</xdr:row>
      <xdr:rowOff>55109</xdr:rowOff>
    </xdr:from>
    <xdr:to>
      <xdr:col>10</xdr:col>
      <xdr:colOff>0</xdr:colOff>
      <xdr:row>34</xdr:row>
      <xdr:rowOff>0</xdr:rowOff>
    </xdr:to>
    <xdr:pic>
      <xdr:nvPicPr>
        <xdr:cNvPr id="6265" name="Picture 3" descr="ESCC_logo_RGB">
          <a:extLst>
            <a:ext uri="{FF2B5EF4-FFF2-40B4-BE49-F238E27FC236}">
              <a16:creationId xmlns:a16="http://schemas.microsoft.com/office/drawing/2014/main" id="{00000000-0008-0000-07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665334"/>
          <a:ext cx="1238250" cy="8402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962025</xdr:colOff>
      <xdr:row>32</xdr:row>
      <xdr:rowOff>142875</xdr:rowOff>
    </xdr:from>
    <xdr:to>
      <xdr:col>2</xdr:col>
      <xdr:colOff>76199</xdr:colOff>
      <xdr:row>34</xdr:row>
      <xdr:rowOff>57150</xdr:rowOff>
    </xdr:to>
    <xdr:sp macro="" textlink="">
      <xdr:nvSpPr>
        <xdr:cNvPr id="6267" name="Right Arrow 50">
          <a:extLst>
            <a:ext uri="{FF2B5EF4-FFF2-40B4-BE49-F238E27FC236}">
              <a16:creationId xmlns:a16="http://schemas.microsoft.com/office/drawing/2014/main" id="{00000000-0008-0000-0700-00007B180000}"/>
            </a:ext>
          </a:extLst>
        </xdr:cNvPr>
        <xdr:cNvSpPr>
          <a:spLocks noChangeArrowheads="1"/>
        </xdr:cNvSpPr>
      </xdr:nvSpPr>
      <xdr:spPr bwMode="auto">
        <a:xfrm flipH="1">
          <a:off x="1190625" y="6334125"/>
          <a:ext cx="257174" cy="25717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2</xdr:col>
      <xdr:colOff>142873</xdr:colOff>
      <xdr:row>32</xdr:row>
      <xdr:rowOff>142875</xdr:rowOff>
    </xdr:from>
    <xdr:to>
      <xdr:col>2</xdr:col>
      <xdr:colOff>398473</xdr:colOff>
      <xdr:row>34</xdr:row>
      <xdr:rowOff>57150</xdr:rowOff>
    </xdr:to>
    <xdr:sp macro="" textlink="">
      <xdr:nvSpPr>
        <xdr:cNvPr id="11" name="Right Arrow 50">
          <a:extLst>
            <a:ext uri="{FF2B5EF4-FFF2-40B4-BE49-F238E27FC236}">
              <a16:creationId xmlns:a16="http://schemas.microsoft.com/office/drawing/2014/main" id="{00000000-0008-0000-0700-00000B000000}"/>
            </a:ext>
          </a:extLst>
        </xdr:cNvPr>
        <xdr:cNvSpPr>
          <a:spLocks noChangeArrowheads="1"/>
        </xdr:cNvSpPr>
      </xdr:nvSpPr>
      <xdr:spPr bwMode="auto">
        <a:xfrm>
          <a:off x="1514473" y="6334125"/>
          <a:ext cx="255600" cy="25717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4</xdr:col>
      <xdr:colOff>0</xdr:colOff>
      <xdr:row>27</xdr:row>
      <xdr:rowOff>0</xdr:rowOff>
    </xdr:from>
    <xdr:to>
      <xdr:col>4</xdr:col>
      <xdr:colOff>304800</xdr:colOff>
      <xdr:row>29</xdr:row>
      <xdr:rowOff>0</xdr:rowOff>
    </xdr:to>
    <xdr:sp macro="" textlink="">
      <xdr:nvSpPr>
        <xdr:cNvPr id="1025" name="0bDyKzIGauR6eM:" descr="Image result for house icon free">
          <a:extLst>
            <a:ext uri="{FF2B5EF4-FFF2-40B4-BE49-F238E27FC236}">
              <a16:creationId xmlns:a16="http://schemas.microsoft.com/office/drawing/2014/main" id="{00000000-0008-0000-0700-000001040000}"/>
            </a:ext>
          </a:extLst>
        </xdr:cNvPr>
        <xdr:cNvSpPr>
          <a:spLocks noChangeAspect="1" noChangeArrowheads="1"/>
        </xdr:cNvSpPr>
      </xdr:nvSpPr>
      <xdr:spPr bwMode="auto">
        <a:xfrm>
          <a:off x="3962400" y="547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36</xdr:row>
      <xdr:rowOff>0</xdr:rowOff>
    </xdr:from>
    <xdr:to>
      <xdr:col>6</xdr:col>
      <xdr:colOff>133350</xdr:colOff>
      <xdr:row>55</xdr:row>
      <xdr:rowOff>114300</xdr:rowOff>
    </xdr:to>
    <xdr:sp macro="" textlink="">
      <xdr:nvSpPr>
        <xdr:cNvPr id="1026" name="AutoShape 2" descr="Image result for house icon free">
          <a:extLst>
            <a:ext uri="{FF2B5EF4-FFF2-40B4-BE49-F238E27FC236}">
              <a16:creationId xmlns:a16="http://schemas.microsoft.com/office/drawing/2014/main" id="{00000000-0008-0000-0700-000002040000}"/>
            </a:ext>
          </a:extLst>
        </xdr:cNvPr>
        <xdr:cNvSpPr>
          <a:spLocks noChangeAspect="1" noChangeArrowheads="1"/>
        </xdr:cNvSpPr>
      </xdr:nvSpPr>
      <xdr:spPr bwMode="auto">
        <a:xfrm>
          <a:off x="3676650" y="7067550"/>
          <a:ext cx="3495675" cy="28289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123825</xdr:colOff>
      <xdr:row>26</xdr:row>
      <xdr:rowOff>149095</xdr:rowOff>
    </xdr:from>
    <xdr:to>
      <xdr:col>2</xdr:col>
      <xdr:colOff>769793</xdr:colOff>
      <xdr:row>31</xdr:row>
      <xdr:rowOff>78061</xdr:rowOff>
    </xdr:to>
    <xdr:pic macro="[0]!Home">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5425" y="5473570"/>
          <a:ext cx="649143" cy="6623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350425</xdr:colOff>
      <xdr:row>36</xdr:row>
      <xdr:rowOff>95250</xdr:rowOff>
    </xdr:to>
    <xdr:sp macro="[0]!EHCli" textlink="">
      <xdr:nvSpPr>
        <xdr:cNvPr id="2" name="Down Arrow 44">
          <a:extLst>
            <a:ext uri="{FF2B5EF4-FFF2-40B4-BE49-F238E27FC236}">
              <a16:creationId xmlns:a16="http://schemas.microsoft.com/office/drawing/2014/main" id="{00000000-0008-0000-1000-000002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EHCli" textlink="">
      <xdr:nvSpPr>
        <xdr:cNvPr id="3" name="Down Arrow 2">
          <a:extLst>
            <a:ext uri="{FF2B5EF4-FFF2-40B4-BE49-F238E27FC236}">
              <a16:creationId xmlns:a16="http://schemas.microsoft.com/office/drawing/2014/main" id="{00000000-0008-0000-1000-000003000000}"/>
            </a:ext>
          </a:extLst>
        </xdr:cNvPr>
        <xdr:cNvSpPr/>
      </xdr:nvSpPr>
      <xdr:spPr>
        <a:xfrm flipV="1">
          <a:off x="9286875"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28575</xdr:colOff>
      <xdr:row>62</xdr:row>
      <xdr:rowOff>76200</xdr:rowOff>
    </xdr:from>
    <xdr:to>
      <xdr:col>11</xdr:col>
      <xdr:colOff>400050</xdr:colOff>
      <xdr:row>62</xdr:row>
      <xdr:rowOff>76200</xdr:rowOff>
    </xdr:to>
    <xdr:sp macro="" textlink="">
      <xdr:nvSpPr>
        <xdr:cNvPr id="7" name="Line 283">
          <a:extLst>
            <a:ext uri="{FF2B5EF4-FFF2-40B4-BE49-F238E27FC236}">
              <a16:creationId xmlns:a16="http://schemas.microsoft.com/office/drawing/2014/main" id="{00000000-0008-0000-1000-000007000000}"/>
            </a:ext>
          </a:extLst>
        </xdr:cNvPr>
        <xdr:cNvSpPr>
          <a:spLocks noChangeShapeType="1"/>
        </xdr:cNvSpPr>
      </xdr:nvSpPr>
      <xdr:spPr bwMode="auto">
        <a:xfrm>
          <a:off x="5295900" y="11115675"/>
          <a:ext cx="371475"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8" name="Oval 2164">
          <a:extLst>
            <a:ext uri="{FF2B5EF4-FFF2-40B4-BE49-F238E27FC236}">
              <a16:creationId xmlns:a16="http://schemas.microsoft.com/office/drawing/2014/main" id="{00000000-0008-0000-1000-000008000000}"/>
            </a:ext>
          </a:extLst>
        </xdr:cNvPr>
        <xdr:cNvSpPr>
          <a:spLocks noChangeArrowheads="1"/>
        </xdr:cNvSpPr>
      </xdr:nvSpPr>
      <xdr:spPr bwMode="auto">
        <a:xfrm>
          <a:off x="6524625" y="1121092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11</xdr:col>
      <xdr:colOff>180975</xdr:colOff>
      <xdr:row>63</xdr:row>
      <xdr:rowOff>38100</xdr:rowOff>
    </xdr:from>
    <xdr:to>
      <xdr:col>11</xdr:col>
      <xdr:colOff>257175</xdr:colOff>
      <xdr:row>63</xdr:row>
      <xdr:rowOff>114300</xdr:rowOff>
    </xdr:to>
    <xdr:sp macro="" textlink="">
      <xdr:nvSpPr>
        <xdr:cNvPr id="9" name="Oval 2165">
          <a:extLst>
            <a:ext uri="{FF2B5EF4-FFF2-40B4-BE49-F238E27FC236}">
              <a16:creationId xmlns:a16="http://schemas.microsoft.com/office/drawing/2014/main" id="{00000000-0008-0000-1000-000009000000}"/>
            </a:ext>
          </a:extLst>
        </xdr:cNvPr>
        <xdr:cNvSpPr>
          <a:spLocks noChangeArrowheads="1"/>
        </xdr:cNvSpPr>
      </xdr:nvSpPr>
      <xdr:spPr bwMode="auto">
        <a:xfrm>
          <a:off x="5448300" y="1122997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19048</xdr:colOff>
      <xdr:row>0</xdr:row>
      <xdr:rowOff>85725</xdr:rowOff>
    </xdr:from>
    <xdr:to>
      <xdr:col>20</xdr:col>
      <xdr:colOff>64498</xdr:colOff>
      <xdr:row>2</xdr:row>
      <xdr:rowOff>149475</xdr:rowOff>
    </xdr:to>
    <xdr:sp macro="" textlink="">
      <xdr:nvSpPr>
        <xdr:cNvPr id="10" name="AutoShape 32">
          <a:extLst>
            <a:ext uri="{FF2B5EF4-FFF2-40B4-BE49-F238E27FC236}">
              <a16:creationId xmlns:a16="http://schemas.microsoft.com/office/drawing/2014/main" id="{00000000-0008-0000-1000-00000A000000}"/>
            </a:ext>
          </a:extLst>
        </xdr:cNvPr>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10</xdr:col>
      <xdr:colOff>0</xdr:colOff>
      <xdr:row>64</xdr:row>
      <xdr:rowOff>0</xdr:rowOff>
    </xdr:from>
    <xdr:to>
      <xdr:col>20</xdr:col>
      <xdr:colOff>1</xdr:colOff>
      <xdr:row>67</xdr:row>
      <xdr:rowOff>0</xdr:rowOff>
    </xdr:to>
    <xdr:graphicFrame macro="">
      <xdr:nvGraphicFramePr>
        <xdr:cNvPr id="11" name="Chart 13">
          <a:extLst>
            <a:ext uri="{FF2B5EF4-FFF2-40B4-BE49-F238E27FC236}">
              <a16:creationId xmlns:a16="http://schemas.microsoft.com/office/drawing/2014/main" id="{00000000-0008-0000-1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114300</xdr:colOff>
          <xdr:row>38</xdr:row>
          <xdr:rowOff>19050</xdr:rowOff>
        </xdr:from>
        <xdr:to>
          <xdr:col>35</xdr:col>
          <xdr:colOff>76200</xdr:colOff>
          <xdr:row>40</xdr:row>
          <xdr:rowOff>0</xdr:rowOff>
        </xdr:to>
        <xdr:sp macro="" textlink="">
          <xdr:nvSpPr>
            <xdr:cNvPr id="125953" name="Check Box 1" hidden="1">
              <a:extLst>
                <a:ext uri="{63B3BB69-23CF-44E3-9099-C40C66FF867C}">
                  <a14:compatExt spid="_x0000_s125953"/>
                </a:ext>
                <a:ext uri="{FF2B5EF4-FFF2-40B4-BE49-F238E27FC236}">
                  <a16:creationId xmlns:a16="http://schemas.microsoft.com/office/drawing/2014/main" id="{00000000-0008-0000-1000-000001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39</xdr:row>
          <xdr:rowOff>142875</xdr:rowOff>
        </xdr:from>
        <xdr:to>
          <xdr:col>35</xdr:col>
          <xdr:colOff>76200</xdr:colOff>
          <xdr:row>41</xdr:row>
          <xdr:rowOff>0</xdr:rowOff>
        </xdr:to>
        <xdr:sp macro="" textlink="">
          <xdr:nvSpPr>
            <xdr:cNvPr id="125954" name="Check Box 2" hidden="1">
              <a:extLst>
                <a:ext uri="{63B3BB69-23CF-44E3-9099-C40C66FF867C}">
                  <a14:compatExt spid="_x0000_s125954"/>
                </a:ext>
                <a:ext uri="{FF2B5EF4-FFF2-40B4-BE49-F238E27FC236}">
                  <a16:creationId xmlns:a16="http://schemas.microsoft.com/office/drawing/2014/main" id="{00000000-0008-0000-1000-000002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40</xdr:row>
          <xdr:rowOff>142875</xdr:rowOff>
        </xdr:from>
        <xdr:to>
          <xdr:col>35</xdr:col>
          <xdr:colOff>76200</xdr:colOff>
          <xdr:row>42</xdr:row>
          <xdr:rowOff>0</xdr:rowOff>
        </xdr:to>
        <xdr:sp macro="" textlink="">
          <xdr:nvSpPr>
            <xdr:cNvPr id="125955" name="Check Box 3" hidden="1">
              <a:extLst>
                <a:ext uri="{63B3BB69-23CF-44E3-9099-C40C66FF867C}">
                  <a14:compatExt spid="_x0000_s125955"/>
                </a:ext>
                <a:ext uri="{FF2B5EF4-FFF2-40B4-BE49-F238E27FC236}">
                  <a16:creationId xmlns:a16="http://schemas.microsoft.com/office/drawing/2014/main" id="{00000000-0008-0000-1000-000003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41</xdr:row>
          <xdr:rowOff>142875</xdr:rowOff>
        </xdr:from>
        <xdr:to>
          <xdr:col>35</xdr:col>
          <xdr:colOff>76200</xdr:colOff>
          <xdr:row>43</xdr:row>
          <xdr:rowOff>0</xdr:rowOff>
        </xdr:to>
        <xdr:sp macro="" textlink="">
          <xdr:nvSpPr>
            <xdr:cNvPr id="125956" name="Check Box 4" hidden="1">
              <a:extLst>
                <a:ext uri="{63B3BB69-23CF-44E3-9099-C40C66FF867C}">
                  <a14:compatExt spid="_x0000_s125956"/>
                </a:ext>
                <a:ext uri="{FF2B5EF4-FFF2-40B4-BE49-F238E27FC236}">
                  <a16:creationId xmlns:a16="http://schemas.microsoft.com/office/drawing/2014/main" id="{00000000-0008-0000-1000-000004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42</xdr:row>
          <xdr:rowOff>142875</xdr:rowOff>
        </xdr:from>
        <xdr:to>
          <xdr:col>35</xdr:col>
          <xdr:colOff>76200</xdr:colOff>
          <xdr:row>44</xdr:row>
          <xdr:rowOff>0</xdr:rowOff>
        </xdr:to>
        <xdr:sp macro="" textlink="">
          <xdr:nvSpPr>
            <xdr:cNvPr id="125957" name="Check Box 5" hidden="1">
              <a:extLst>
                <a:ext uri="{63B3BB69-23CF-44E3-9099-C40C66FF867C}">
                  <a14:compatExt spid="_x0000_s125957"/>
                </a:ext>
                <a:ext uri="{FF2B5EF4-FFF2-40B4-BE49-F238E27FC236}">
                  <a16:creationId xmlns:a16="http://schemas.microsoft.com/office/drawing/2014/main" id="{00000000-0008-0000-1000-000005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43</xdr:row>
          <xdr:rowOff>142875</xdr:rowOff>
        </xdr:from>
        <xdr:to>
          <xdr:col>35</xdr:col>
          <xdr:colOff>76200</xdr:colOff>
          <xdr:row>45</xdr:row>
          <xdr:rowOff>0</xdr:rowOff>
        </xdr:to>
        <xdr:sp macro="" textlink="">
          <xdr:nvSpPr>
            <xdr:cNvPr id="125958" name="Check Box 6" hidden="1">
              <a:extLst>
                <a:ext uri="{63B3BB69-23CF-44E3-9099-C40C66FF867C}">
                  <a14:compatExt spid="_x0000_s125958"/>
                </a:ext>
                <a:ext uri="{FF2B5EF4-FFF2-40B4-BE49-F238E27FC236}">
                  <a16:creationId xmlns:a16="http://schemas.microsoft.com/office/drawing/2014/main" id="{00000000-0008-0000-1000-000006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44</xdr:row>
          <xdr:rowOff>142875</xdr:rowOff>
        </xdr:from>
        <xdr:to>
          <xdr:col>35</xdr:col>
          <xdr:colOff>76200</xdr:colOff>
          <xdr:row>46</xdr:row>
          <xdr:rowOff>0</xdr:rowOff>
        </xdr:to>
        <xdr:sp macro="" textlink="">
          <xdr:nvSpPr>
            <xdr:cNvPr id="125959" name="Check Box 7" hidden="1">
              <a:extLst>
                <a:ext uri="{63B3BB69-23CF-44E3-9099-C40C66FF867C}">
                  <a14:compatExt spid="_x0000_s125959"/>
                </a:ext>
                <a:ext uri="{FF2B5EF4-FFF2-40B4-BE49-F238E27FC236}">
                  <a16:creationId xmlns:a16="http://schemas.microsoft.com/office/drawing/2014/main" id="{00000000-0008-0000-1000-000007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45</xdr:row>
          <xdr:rowOff>142875</xdr:rowOff>
        </xdr:from>
        <xdr:to>
          <xdr:col>35</xdr:col>
          <xdr:colOff>76200</xdr:colOff>
          <xdr:row>47</xdr:row>
          <xdr:rowOff>0</xdr:rowOff>
        </xdr:to>
        <xdr:sp macro="" textlink="">
          <xdr:nvSpPr>
            <xdr:cNvPr id="125960" name="Check Box 8" hidden="1">
              <a:extLst>
                <a:ext uri="{63B3BB69-23CF-44E3-9099-C40C66FF867C}">
                  <a14:compatExt spid="_x0000_s125960"/>
                </a:ext>
                <a:ext uri="{FF2B5EF4-FFF2-40B4-BE49-F238E27FC236}">
                  <a16:creationId xmlns:a16="http://schemas.microsoft.com/office/drawing/2014/main" id="{00000000-0008-0000-1000-000008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46</xdr:row>
          <xdr:rowOff>142875</xdr:rowOff>
        </xdr:from>
        <xdr:to>
          <xdr:col>35</xdr:col>
          <xdr:colOff>76200</xdr:colOff>
          <xdr:row>48</xdr:row>
          <xdr:rowOff>0</xdr:rowOff>
        </xdr:to>
        <xdr:sp macro="" textlink="">
          <xdr:nvSpPr>
            <xdr:cNvPr id="125961" name="Check Box 9" hidden="1">
              <a:extLst>
                <a:ext uri="{63B3BB69-23CF-44E3-9099-C40C66FF867C}">
                  <a14:compatExt spid="_x0000_s125961"/>
                </a:ext>
                <a:ext uri="{FF2B5EF4-FFF2-40B4-BE49-F238E27FC236}">
                  <a16:creationId xmlns:a16="http://schemas.microsoft.com/office/drawing/2014/main" id="{00000000-0008-0000-1000-000009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47</xdr:row>
          <xdr:rowOff>142875</xdr:rowOff>
        </xdr:from>
        <xdr:to>
          <xdr:col>35</xdr:col>
          <xdr:colOff>76200</xdr:colOff>
          <xdr:row>49</xdr:row>
          <xdr:rowOff>0</xdr:rowOff>
        </xdr:to>
        <xdr:sp macro="" textlink="">
          <xdr:nvSpPr>
            <xdr:cNvPr id="125962" name="Check Box 10" hidden="1">
              <a:extLst>
                <a:ext uri="{63B3BB69-23CF-44E3-9099-C40C66FF867C}">
                  <a14:compatExt spid="_x0000_s125962"/>
                </a:ext>
                <a:ext uri="{FF2B5EF4-FFF2-40B4-BE49-F238E27FC236}">
                  <a16:creationId xmlns:a16="http://schemas.microsoft.com/office/drawing/2014/main" id="{00000000-0008-0000-1000-00000A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48</xdr:row>
          <xdr:rowOff>142875</xdr:rowOff>
        </xdr:from>
        <xdr:to>
          <xdr:col>35</xdr:col>
          <xdr:colOff>76200</xdr:colOff>
          <xdr:row>50</xdr:row>
          <xdr:rowOff>0</xdr:rowOff>
        </xdr:to>
        <xdr:sp macro="" textlink="">
          <xdr:nvSpPr>
            <xdr:cNvPr id="125963" name="Check Box 11" hidden="1">
              <a:extLst>
                <a:ext uri="{63B3BB69-23CF-44E3-9099-C40C66FF867C}">
                  <a14:compatExt spid="_x0000_s125963"/>
                </a:ext>
                <a:ext uri="{FF2B5EF4-FFF2-40B4-BE49-F238E27FC236}">
                  <a16:creationId xmlns:a16="http://schemas.microsoft.com/office/drawing/2014/main" id="{00000000-0008-0000-1000-00000B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49</xdr:row>
          <xdr:rowOff>142875</xdr:rowOff>
        </xdr:from>
        <xdr:to>
          <xdr:col>35</xdr:col>
          <xdr:colOff>76200</xdr:colOff>
          <xdr:row>51</xdr:row>
          <xdr:rowOff>0</xdr:rowOff>
        </xdr:to>
        <xdr:sp macro="" textlink="">
          <xdr:nvSpPr>
            <xdr:cNvPr id="125964" name="Check Box 12" hidden="1">
              <a:extLst>
                <a:ext uri="{63B3BB69-23CF-44E3-9099-C40C66FF867C}">
                  <a14:compatExt spid="_x0000_s125964"/>
                </a:ext>
                <a:ext uri="{FF2B5EF4-FFF2-40B4-BE49-F238E27FC236}">
                  <a16:creationId xmlns:a16="http://schemas.microsoft.com/office/drawing/2014/main" id="{00000000-0008-0000-1000-00000C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50</xdr:row>
          <xdr:rowOff>142875</xdr:rowOff>
        </xdr:from>
        <xdr:to>
          <xdr:col>35</xdr:col>
          <xdr:colOff>76200</xdr:colOff>
          <xdr:row>52</xdr:row>
          <xdr:rowOff>0</xdr:rowOff>
        </xdr:to>
        <xdr:sp macro="" textlink="">
          <xdr:nvSpPr>
            <xdr:cNvPr id="125965" name="Check Box 13" hidden="1">
              <a:extLst>
                <a:ext uri="{63B3BB69-23CF-44E3-9099-C40C66FF867C}">
                  <a14:compatExt spid="_x0000_s125965"/>
                </a:ext>
                <a:ext uri="{FF2B5EF4-FFF2-40B4-BE49-F238E27FC236}">
                  <a16:creationId xmlns:a16="http://schemas.microsoft.com/office/drawing/2014/main" id="{00000000-0008-0000-1000-00000D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51</xdr:row>
          <xdr:rowOff>142875</xdr:rowOff>
        </xdr:from>
        <xdr:to>
          <xdr:col>35</xdr:col>
          <xdr:colOff>76200</xdr:colOff>
          <xdr:row>53</xdr:row>
          <xdr:rowOff>0</xdr:rowOff>
        </xdr:to>
        <xdr:sp macro="" textlink="">
          <xdr:nvSpPr>
            <xdr:cNvPr id="125966" name="Check Box 14" hidden="1">
              <a:extLst>
                <a:ext uri="{63B3BB69-23CF-44E3-9099-C40C66FF867C}">
                  <a14:compatExt spid="_x0000_s125966"/>
                </a:ext>
                <a:ext uri="{FF2B5EF4-FFF2-40B4-BE49-F238E27FC236}">
                  <a16:creationId xmlns:a16="http://schemas.microsoft.com/office/drawing/2014/main" id="{00000000-0008-0000-1000-00000E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52</xdr:row>
          <xdr:rowOff>142875</xdr:rowOff>
        </xdr:from>
        <xdr:to>
          <xdr:col>35</xdr:col>
          <xdr:colOff>76200</xdr:colOff>
          <xdr:row>54</xdr:row>
          <xdr:rowOff>0</xdr:rowOff>
        </xdr:to>
        <xdr:sp macro="" textlink="">
          <xdr:nvSpPr>
            <xdr:cNvPr id="125967" name="Check Box 15" hidden="1">
              <a:extLst>
                <a:ext uri="{63B3BB69-23CF-44E3-9099-C40C66FF867C}">
                  <a14:compatExt spid="_x0000_s125967"/>
                </a:ext>
                <a:ext uri="{FF2B5EF4-FFF2-40B4-BE49-F238E27FC236}">
                  <a16:creationId xmlns:a16="http://schemas.microsoft.com/office/drawing/2014/main" id="{00000000-0008-0000-1000-00000F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53</xdr:row>
          <xdr:rowOff>142875</xdr:rowOff>
        </xdr:from>
        <xdr:to>
          <xdr:col>35</xdr:col>
          <xdr:colOff>76200</xdr:colOff>
          <xdr:row>55</xdr:row>
          <xdr:rowOff>0</xdr:rowOff>
        </xdr:to>
        <xdr:sp macro="" textlink="">
          <xdr:nvSpPr>
            <xdr:cNvPr id="125968" name="Check Box 16" hidden="1">
              <a:extLst>
                <a:ext uri="{63B3BB69-23CF-44E3-9099-C40C66FF867C}">
                  <a14:compatExt spid="_x0000_s125968"/>
                </a:ext>
                <a:ext uri="{FF2B5EF4-FFF2-40B4-BE49-F238E27FC236}">
                  <a16:creationId xmlns:a16="http://schemas.microsoft.com/office/drawing/2014/main" id="{00000000-0008-0000-1000-000010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56</xdr:row>
          <xdr:rowOff>142875</xdr:rowOff>
        </xdr:from>
        <xdr:to>
          <xdr:col>35</xdr:col>
          <xdr:colOff>76200</xdr:colOff>
          <xdr:row>58</xdr:row>
          <xdr:rowOff>0</xdr:rowOff>
        </xdr:to>
        <xdr:sp macro="" textlink="">
          <xdr:nvSpPr>
            <xdr:cNvPr id="125969" name="Check Box 17" hidden="1">
              <a:extLst>
                <a:ext uri="{63B3BB69-23CF-44E3-9099-C40C66FF867C}">
                  <a14:compatExt spid="_x0000_s125969"/>
                </a:ext>
                <a:ext uri="{FF2B5EF4-FFF2-40B4-BE49-F238E27FC236}">
                  <a16:creationId xmlns:a16="http://schemas.microsoft.com/office/drawing/2014/main" id="{00000000-0008-0000-1000-000011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57</xdr:row>
          <xdr:rowOff>142875</xdr:rowOff>
        </xdr:from>
        <xdr:to>
          <xdr:col>35</xdr:col>
          <xdr:colOff>76200</xdr:colOff>
          <xdr:row>59</xdr:row>
          <xdr:rowOff>0</xdr:rowOff>
        </xdr:to>
        <xdr:sp macro="" textlink="">
          <xdr:nvSpPr>
            <xdr:cNvPr id="125970" name="Check Box 18" hidden="1">
              <a:extLst>
                <a:ext uri="{63B3BB69-23CF-44E3-9099-C40C66FF867C}">
                  <a14:compatExt spid="_x0000_s125970"/>
                </a:ext>
                <a:ext uri="{FF2B5EF4-FFF2-40B4-BE49-F238E27FC236}">
                  <a16:creationId xmlns:a16="http://schemas.microsoft.com/office/drawing/2014/main" id="{00000000-0008-0000-1000-000012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58</xdr:row>
          <xdr:rowOff>142875</xdr:rowOff>
        </xdr:from>
        <xdr:to>
          <xdr:col>35</xdr:col>
          <xdr:colOff>76200</xdr:colOff>
          <xdr:row>60</xdr:row>
          <xdr:rowOff>0</xdr:rowOff>
        </xdr:to>
        <xdr:sp macro="" textlink="">
          <xdr:nvSpPr>
            <xdr:cNvPr id="125971" name="Check Box 19" hidden="1">
              <a:extLst>
                <a:ext uri="{63B3BB69-23CF-44E3-9099-C40C66FF867C}">
                  <a14:compatExt spid="_x0000_s125971"/>
                </a:ext>
                <a:ext uri="{FF2B5EF4-FFF2-40B4-BE49-F238E27FC236}">
                  <a16:creationId xmlns:a16="http://schemas.microsoft.com/office/drawing/2014/main" id="{00000000-0008-0000-1000-000013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59</xdr:row>
          <xdr:rowOff>142875</xdr:rowOff>
        </xdr:from>
        <xdr:to>
          <xdr:col>35</xdr:col>
          <xdr:colOff>76200</xdr:colOff>
          <xdr:row>61</xdr:row>
          <xdr:rowOff>0</xdr:rowOff>
        </xdr:to>
        <xdr:sp macro="" textlink="">
          <xdr:nvSpPr>
            <xdr:cNvPr id="125972" name="Check Box 20" hidden="1">
              <a:extLst>
                <a:ext uri="{63B3BB69-23CF-44E3-9099-C40C66FF867C}">
                  <a14:compatExt spid="_x0000_s125972"/>
                </a:ext>
                <a:ext uri="{FF2B5EF4-FFF2-40B4-BE49-F238E27FC236}">
                  <a16:creationId xmlns:a16="http://schemas.microsoft.com/office/drawing/2014/main" id="{00000000-0008-0000-1000-000014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60</xdr:row>
          <xdr:rowOff>142875</xdr:rowOff>
        </xdr:from>
        <xdr:to>
          <xdr:col>35</xdr:col>
          <xdr:colOff>76200</xdr:colOff>
          <xdr:row>62</xdr:row>
          <xdr:rowOff>0</xdr:rowOff>
        </xdr:to>
        <xdr:sp macro="" textlink="">
          <xdr:nvSpPr>
            <xdr:cNvPr id="125973" name="Check Box 21" hidden="1">
              <a:extLst>
                <a:ext uri="{63B3BB69-23CF-44E3-9099-C40C66FF867C}">
                  <a14:compatExt spid="_x0000_s125973"/>
                </a:ext>
                <a:ext uri="{FF2B5EF4-FFF2-40B4-BE49-F238E27FC236}">
                  <a16:creationId xmlns:a16="http://schemas.microsoft.com/office/drawing/2014/main" id="{00000000-0008-0000-1000-000015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54</xdr:row>
          <xdr:rowOff>142875</xdr:rowOff>
        </xdr:from>
        <xdr:to>
          <xdr:col>35</xdr:col>
          <xdr:colOff>76200</xdr:colOff>
          <xdr:row>56</xdr:row>
          <xdr:rowOff>0</xdr:rowOff>
        </xdr:to>
        <xdr:sp macro="" textlink="">
          <xdr:nvSpPr>
            <xdr:cNvPr id="125974" name="Check Box 22" hidden="1">
              <a:extLst>
                <a:ext uri="{63B3BB69-23CF-44E3-9099-C40C66FF867C}">
                  <a14:compatExt spid="_x0000_s125974"/>
                </a:ext>
                <a:ext uri="{FF2B5EF4-FFF2-40B4-BE49-F238E27FC236}">
                  <a16:creationId xmlns:a16="http://schemas.microsoft.com/office/drawing/2014/main" id="{00000000-0008-0000-1000-000016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114300</xdr:colOff>
          <xdr:row>55</xdr:row>
          <xdr:rowOff>142875</xdr:rowOff>
        </xdr:from>
        <xdr:to>
          <xdr:col>35</xdr:col>
          <xdr:colOff>76200</xdr:colOff>
          <xdr:row>57</xdr:row>
          <xdr:rowOff>0</xdr:rowOff>
        </xdr:to>
        <xdr:sp macro="" textlink="">
          <xdr:nvSpPr>
            <xdr:cNvPr id="125975" name="Check Box 23" hidden="1">
              <a:extLst>
                <a:ext uri="{63B3BB69-23CF-44E3-9099-C40C66FF867C}">
                  <a14:compatExt spid="_x0000_s125975"/>
                </a:ext>
                <a:ext uri="{FF2B5EF4-FFF2-40B4-BE49-F238E27FC236}">
                  <a16:creationId xmlns:a16="http://schemas.microsoft.com/office/drawing/2014/main" id="{00000000-0008-0000-1000-000017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38</xdr:row>
      <xdr:rowOff>1</xdr:rowOff>
    </xdr:from>
    <xdr:to>
      <xdr:col>10</xdr:col>
      <xdr:colOff>0</xdr:colOff>
      <xdr:row>67</xdr:row>
      <xdr:rowOff>1</xdr:rowOff>
    </xdr:to>
    <xdr:graphicFrame macro="">
      <xdr:nvGraphicFramePr>
        <xdr:cNvPr id="36" name="Chart 13">
          <a:extLst>
            <a:ext uri="{FF2B5EF4-FFF2-40B4-BE49-F238E27FC236}">
              <a16:creationId xmlns:a16="http://schemas.microsoft.com/office/drawing/2014/main" id="{00000000-0008-0000-1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21</xdr:col>
      <xdr:colOff>57150</xdr:colOff>
      <xdr:row>0</xdr:row>
      <xdr:rowOff>193416</xdr:rowOff>
    </xdr:from>
    <xdr:to>
      <xdr:col>21</xdr:col>
      <xdr:colOff>381000</xdr:colOff>
      <xdr:row>2</xdr:row>
      <xdr:rowOff>44450</xdr:rowOff>
    </xdr:to>
    <xdr:pic macro="[0]!Home">
      <xdr:nvPicPr>
        <xdr:cNvPr id="37" name="Picture 36">
          <a:extLst>
            <a:ext uri="{FF2B5EF4-FFF2-40B4-BE49-F238E27FC236}">
              <a16:creationId xmlns:a16="http://schemas.microsoft.com/office/drawing/2014/main" id="{00000000-0008-0000-1000-00002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248775" y="193416"/>
          <a:ext cx="32385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EHAss" textlink="">
      <xdr:nvSpPr>
        <xdr:cNvPr id="35" name="Right Arrow 50">
          <a:extLst>
            <a:ext uri="{FF2B5EF4-FFF2-40B4-BE49-F238E27FC236}">
              <a16:creationId xmlns:a16="http://schemas.microsoft.com/office/drawing/2014/main" id="{00000000-0008-0000-1000-000023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18075</xdr:rowOff>
    </xdr:from>
    <xdr:to>
      <xdr:col>21</xdr:col>
      <xdr:colOff>381000</xdr:colOff>
      <xdr:row>6</xdr:row>
      <xdr:rowOff>120650</xdr:rowOff>
    </xdr:to>
    <xdr:sp macro="[0]!Referrals" textlink="">
      <xdr:nvSpPr>
        <xdr:cNvPr id="38" name="Right Arrow 50">
          <a:extLst>
            <a:ext uri="{FF2B5EF4-FFF2-40B4-BE49-F238E27FC236}">
              <a16:creationId xmlns:a16="http://schemas.microsoft.com/office/drawing/2014/main" id="{00000000-0008-0000-1000-000026000000}"/>
            </a:ext>
          </a:extLst>
        </xdr:cNvPr>
        <xdr:cNvSpPr>
          <a:spLocks noChangeArrowheads="1"/>
        </xdr:cNvSpPr>
      </xdr:nvSpPr>
      <xdr:spPr bwMode="auto">
        <a:xfrm rot="10800000" flipH="1">
          <a:off x="9324975"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10</xdr:col>
      <xdr:colOff>0</xdr:colOff>
      <xdr:row>38</xdr:row>
      <xdr:rowOff>0</xdr:rowOff>
    </xdr:from>
    <xdr:to>
      <xdr:col>20</xdr:col>
      <xdr:colOff>0</xdr:colOff>
      <xdr:row>62</xdr:row>
      <xdr:rowOff>1</xdr:rowOff>
    </xdr:to>
    <xdr:graphicFrame macro="">
      <xdr:nvGraphicFramePr>
        <xdr:cNvPr id="39" name="Chart 176">
          <a:extLst>
            <a:ext uri="{FF2B5EF4-FFF2-40B4-BE49-F238E27FC236}">
              <a16:creationId xmlns:a16="http://schemas.microsoft.com/office/drawing/2014/main" id="{00000000-0008-0000-1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350425</xdr:colOff>
      <xdr:row>37</xdr:row>
      <xdr:rowOff>95250</xdr:rowOff>
    </xdr:to>
    <xdr:sp macro="[0]!Referrals" textlink="">
      <xdr:nvSpPr>
        <xdr:cNvPr id="2" name="Down Arrow 44">
          <a:extLst>
            <a:ext uri="{FF2B5EF4-FFF2-40B4-BE49-F238E27FC236}">
              <a16:creationId xmlns:a16="http://schemas.microsoft.com/office/drawing/2014/main" id="{00000000-0008-0000-11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Referrals" textlink="">
      <xdr:nvSpPr>
        <xdr:cNvPr id="3" name="Down Arrow 2">
          <a:extLst>
            <a:ext uri="{FF2B5EF4-FFF2-40B4-BE49-F238E27FC236}">
              <a16:creationId xmlns:a16="http://schemas.microsoft.com/office/drawing/2014/main" id="{00000000-0008-0000-11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1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9" name="Oval 2165">
          <a:extLst>
            <a:ext uri="{FF2B5EF4-FFF2-40B4-BE49-F238E27FC236}">
              <a16:creationId xmlns:a16="http://schemas.microsoft.com/office/drawing/2014/main" id="{00000000-0008-0000-1100-000009000000}"/>
            </a:ext>
          </a:extLst>
        </xdr:cNvPr>
        <xdr:cNvSpPr>
          <a:spLocks noChangeArrowheads="1"/>
        </xdr:cNvSpPr>
      </xdr:nvSpPr>
      <xdr:spPr bwMode="auto">
        <a:xfrm>
          <a:off x="489585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11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11" name="Chart 13">
          <a:extLst>
            <a:ext uri="{FF2B5EF4-FFF2-40B4-BE49-F238E27FC236}">
              <a16:creationId xmlns:a16="http://schemas.microsoft.com/office/drawing/2014/main" id="{00000000-0008-0000-1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40</xdr:row>
          <xdr:rowOff>0</xdr:rowOff>
        </xdr:from>
        <xdr:to>
          <xdr:col>36</xdr:col>
          <xdr:colOff>47625</xdr:colOff>
          <xdr:row>41</xdr:row>
          <xdr:rowOff>19050</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00000000-0008-0000-11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161925</xdr:rowOff>
        </xdr:from>
        <xdr:to>
          <xdr:col>36</xdr:col>
          <xdr:colOff>47625</xdr:colOff>
          <xdr:row>42</xdr:row>
          <xdr:rowOff>19050</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00000000-0008-0000-11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161925</xdr:rowOff>
        </xdr:from>
        <xdr:to>
          <xdr:col>36</xdr:col>
          <xdr:colOff>47625</xdr:colOff>
          <xdr:row>43</xdr:row>
          <xdr:rowOff>19050</xdr:rowOff>
        </xdr:to>
        <xdr:sp macro="" textlink="">
          <xdr:nvSpPr>
            <xdr:cNvPr id="34819" name="Check Box 3" hidden="1">
              <a:extLst>
                <a:ext uri="{63B3BB69-23CF-44E3-9099-C40C66FF867C}">
                  <a14:compatExt spid="_x0000_s34819"/>
                </a:ext>
                <a:ext uri="{FF2B5EF4-FFF2-40B4-BE49-F238E27FC236}">
                  <a16:creationId xmlns:a16="http://schemas.microsoft.com/office/drawing/2014/main" id="{00000000-0008-0000-11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161925</xdr:rowOff>
        </xdr:from>
        <xdr:to>
          <xdr:col>36</xdr:col>
          <xdr:colOff>47625</xdr:colOff>
          <xdr:row>44</xdr:row>
          <xdr:rowOff>19050</xdr:rowOff>
        </xdr:to>
        <xdr:sp macro="" textlink="">
          <xdr:nvSpPr>
            <xdr:cNvPr id="34820" name="Check Box 4" hidden="1">
              <a:extLst>
                <a:ext uri="{63B3BB69-23CF-44E3-9099-C40C66FF867C}">
                  <a14:compatExt spid="_x0000_s34820"/>
                </a:ext>
                <a:ext uri="{FF2B5EF4-FFF2-40B4-BE49-F238E27FC236}">
                  <a16:creationId xmlns:a16="http://schemas.microsoft.com/office/drawing/2014/main" id="{00000000-0008-0000-11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161925</xdr:rowOff>
        </xdr:from>
        <xdr:to>
          <xdr:col>36</xdr:col>
          <xdr:colOff>47625</xdr:colOff>
          <xdr:row>45</xdr:row>
          <xdr:rowOff>19050</xdr:rowOff>
        </xdr:to>
        <xdr:sp macro="" textlink="">
          <xdr:nvSpPr>
            <xdr:cNvPr id="34821" name="Check Box 5" hidden="1">
              <a:extLst>
                <a:ext uri="{63B3BB69-23CF-44E3-9099-C40C66FF867C}">
                  <a14:compatExt spid="_x0000_s34821"/>
                </a:ext>
                <a:ext uri="{FF2B5EF4-FFF2-40B4-BE49-F238E27FC236}">
                  <a16:creationId xmlns:a16="http://schemas.microsoft.com/office/drawing/2014/main" id="{00000000-0008-0000-11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161925</xdr:rowOff>
        </xdr:from>
        <xdr:to>
          <xdr:col>36</xdr:col>
          <xdr:colOff>47625</xdr:colOff>
          <xdr:row>46</xdr:row>
          <xdr:rowOff>19050</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11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161925</xdr:rowOff>
        </xdr:from>
        <xdr:to>
          <xdr:col>36</xdr:col>
          <xdr:colOff>47625</xdr:colOff>
          <xdr:row>47</xdr:row>
          <xdr:rowOff>19050</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11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161925</xdr:rowOff>
        </xdr:from>
        <xdr:to>
          <xdr:col>36</xdr:col>
          <xdr:colOff>47625</xdr:colOff>
          <xdr:row>48</xdr:row>
          <xdr:rowOff>19050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11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161925</xdr:rowOff>
        </xdr:from>
        <xdr:to>
          <xdr:col>36</xdr:col>
          <xdr:colOff>47625</xdr:colOff>
          <xdr:row>49</xdr:row>
          <xdr:rowOff>19050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11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161925</xdr:rowOff>
        </xdr:from>
        <xdr:to>
          <xdr:col>36</xdr:col>
          <xdr:colOff>47625</xdr:colOff>
          <xdr:row>50</xdr:row>
          <xdr:rowOff>19050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11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161925</xdr:rowOff>
        </xdr:from>
        <xdr:to>
          <xdr:col>36</xdr:col>
          <xdr:colOff>47625</xdr:colOff>
          <xdr:row>51</xdr:row>
          <xdr:rowOff>19050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11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161925</xdr:rowOff>
        </xdr:from>
        <xdr:to>
          <xdr:col>36</xdr:col>
          <xdr:colOff>47625</xdr:colOff>
          <xdr:row>52</xdr:row>
          <xdr:rowOff>19050</xdr:rowOff>
        </xdr:to>
        <xdr:sp macro="" textlink="">
          <xdr:nvSpPr>
            <xdr:cNvPr id="34828" name="Check Box 12" hidden="1">
              <a:extLst>
                <a:ext uri="{63B3BB69-23CF-44E3-9099-C40C66FF867C}">
                  <a14:compatExt spid="_x0000_s34828"/>
                </a:ext>
                <a:ext uri="{FF2B5EF4-FFF2-40B4-BE49-F238E27FC236}">
                  <a16:creationId xmlns:a16="http://schemas.microsoft.com/office/drawing/2014/main" id="{00000000-0008-0000-11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161925</xdr:rowOff>
        </xdr:from>
        <xdr:to>
          <xdr:col>36</xdr:col>
          <xdr:colOff>47625</xdr:colOff>
          <xdr:row>53</xdr:row>
          <xdr:rowOff>19050</xdr:rowOff>
        </xdr:to>
        <xdr:sp macro="" textlink="">
          <xdr:nvSpPr>
            <xdr:cNvPr id="34829" name="Check Box 13" hidden="1">
              <a:extLst>
                <a:ext uri="{63B3BB69-23CF-44E3-9099-C40C66FF867C}">
                  <a14:compatExt spid="_x0000_s34829"/>
                </a:ext>
                <a:ext uri="{FF2B5EF4-FFF2-40B4-BE49-F238E27FC236}">
                  <a16:creationId xmlns:a16="http://schemas.microsoft.com/office/drawing/2014/main" id="{00000000-0008-0000-11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161925</xdr:rowOff>
        </xdr:from>
        <xdr:to>
          <xdr:col>36</xdr:col>
          <xdr:colOff>47625</xdr:colOff>
          <xdr:row>54</xdr:row>
          <xdr:rowOff>19050</xdr:rowOff>
        </xdr:to>
        <xdr:sp macro="" textlink="">
          <xdr:nvSpPr>
            <xdr:cNvPr id="34830" name="Check Box 14" hidden="1">
              <a:extLst>
                <a:ext uri="{63B3BB69-23CF-44E3-9099-C40C66FF867C}">
                  <a14:compatExt spid="_x0000_s34830"/>
                </a:ext>
                <a:ext uri="{FF2B5EF4-FFF2-40B4-BE49-F238E27FC236}">
                  <a16:creationId xmlns:a16="http://schemas.microsoft.com/office/drawing/2014/main" id="{00000000-0008-0000-11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161925</xdr:rowOff>
        </xdr:from>
        <xdr:to>
          <xdr:col>36</xdr:col>
          <xdr:colOff>47625</xdr:colOff>
          <xdr:row>55</xdr:row>
          <xdr:rowOff>19050</xdr:rowOff>
        </xdr:to>
        <xdr:sp macro="" textlink="">
          <xdr:nvSpPr>
            <xdr:cNvPr id="34831" name="Check Box 15" hidden="1">
              <a:extLst>
                <a:ext uri="{63B3BB69-23CF-44E3-9099-C40C66FF867C}">
                  <a14:compatExt spid="_x0000_s34831"/>
                </a:ext>
                <a:ext uri="{FF2B5EF4-FFF2-40B4-BE49-F238E27FC236}">
                  <a16:creationId xmlns:a16="http://schemas.microsoft.com/office/drawing/2014/main" id="{00000000-0008-0000-11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161925</xdr:rowOff>
        </xdr:from>
        <xdr:to>
          <xdr:col>36</xdr:col>
          <xdr:colOff>47625</xdr:colOff>
          <xdr:row>56</xdr:row>
          <xdr:rowOff>19050</xdr:rowOff>
        </xdr:to>
        <xdr:sp macro="" textlink="">
          <xdr:nvSpPr>
            <xdr:cNvPr id="34832" name="Check Box 16" hidden="1">
              <a:extLst>
                <a:ext uri="{63B3BB69-23CF-44E3-9099-C40C66FF867C}">
                  <a14:compatExt spid="_x0000_s34832"/>
                </a:ext>
                <a:ext uri="{FF2B5EF4-FFF2-40B4-BE49-F238E27FC236}">
                  <a16:creationId xmlns:a16="http://schemas.microsoft.com/office/drawing/2014/main" id="{00000000-0008-0000-11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161925</xdr:rowOff>
        </xdr:from>
        <xdr:to>
          <xdr:col>36</xdr:col>
          <xdr:colOff>47625</xdr:colOff>
          <xdr:row>59</xdr:row>
          <xdr:rowOff>19050</xdr:rowOff>
        </xdr:to>
        <xdr:sp macro="" textlink="">
          <xdr:nvSpPr>
            <xdr:cNvPr id="34833" name="Check Box 17" hidden="1">
              <a:extLst>
                <a:ext uri="{63B3BB69-23CF-44E3-9099-C40C66FF867C}">
                  <a14:compatExt spid="_x0000_s34833"/>
                </a:ext>
                <a:ext uri="{FF2B5EF4-FFF2-40B4-BE49-F238E27FC236}">
                  <a16:creationId xmlns:a16="http://schemas.microsoft.com/office/drawing/2014/main" id="{00000000-0008-0000-11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161925</xdr:rowOff>
        </xdr:from>
        <xdr:to>
          <xdr:col>36</xdr:col>
          <xdr:colOff>47625</xdr:colOff>
          <xdr:row>60</xdr:row>
          <xdr:rowOff>19050</xdr:rowOff>
        </xdr:to>
        <xdr:sp macro="" textlink="">
          <xdr:nvSpPr>
            <xdr:cNvPr id="34834" name="Check Box 18" hidden="1">
              <a:extLst>
                <a:ext uri="{63B3BB69-23CF-44E3-9099-C40C66FF867C}">
                  <a14:compatExt spid="_x0000_s34834"/>
                </a:ext>
                <a:ext uri="{FF2B5EF4-FFF2-40B4-BE49-F238E27FC236}">
                  <a16:creationId xmlns:a16="http://schemas.microsoft.com/office/drawing/2014/main" id="{00000000-0008-0000-11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161925</xdr:rowOff>
        </xdr:from>
        <xdr:to>
          <xdr:col>36</xdr:col>
          <xdr:colOff>47625</xdr:colOff>
          <xdr:row>61</xdr:row>
          <xdr:rowOff>19050</xdr:rowOff>
        </xdr:to>
        <xdr:sp macro="" textlink="">
          <xdr:nvSpPr>
            <xdr:cNvPr id="34835" name="Check Box 19" hidden="1">
              <a:extLst>
                <a:ext uri="{63B3BB69-23CF-44E3-9099-C40C66FF867C}">
                  <a14:compatExt spid="_x0000_s34835"/>
                </a:ext>
                <a:ext uri="{FF2B5EF4-FFF2-40B4-BE49-F238E27FC236}">
                  <a16:creationId xmlns:a16="http://schemas.microsoft.com/office/drawing/2014/main" id="{00000000-0008-0000-11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161925</xdr:rowOff>
        </xdr:from>
        <xdr:to>
          <xdr:col>36</xdr:col>
          <xdr:colOff>47625</xdr:colOff>
          <xdr:row>62</xdr:row>
          <xdr:rowOff>19050</xdr:rowOff>
        </xdr:to>
        <xdr:sp macro="" textlink="">
          <xdr:nvSpPr>
            <xdr:cNvPr id="34836" name="Check Box 20" hidden="1">
              <a:extLst>
                <a:ext uri="{63B3BB69-23CF-44E3-9099-C40C66FF867C}">
                  <a14:compatExt spid="_x0000_s34836"/>
                </a:ext>
                <a:ext uri="{FF2B5EF4-FFF2-40B4-BE49-F238E27FC236}">
                  <a16:creationId xmlns:a16="http://schemas.microsoft.com/office/drawing/2014/main" id="{00000000-0008-0000-1100-00001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161925</xdr:rowOff>
        </xdr:from>
        <xdr:to>
          <xdr:col>36</xdr:col>
          <xdr:colOff>47625</xdr:colOff>
          <xdr:row>63</xdr:row>
          <xdr:rowOff>19050</xdr:rowOff>
        </xdr:to>
        <xdr:sp macro="" textlink="">
          <xdr:nvSpPr>
            <xdr:cNvPr id="34837" name="Check Box 21" hidden="1">
              <a:extLst>
                <a:ext uri="{63B3BB69-23CF-44E3-9099-C40C66FF867C}">
                  <a14:compatExt spid="_x0000_s34837"/>
                </a:ext>
                <a:ext uri="{FF2B5EF4-FFF2-40B4-BE49-F238E27FC236}">
                  <a16:creationId xmlns:a16="http://schemas.microsoft.com/office/drawing/2014/main" id="{00000000-0008-0000-11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176</xdr:row>
      <xdr:rowOff>33750</xdr:rowOff>
    </xdr:from>
    <xdr:ext cx="252000" cy="252000"/>
    <xdr:sp macro="[0]!Referrals" textlink="">
      <xdr:nvSpPr>
        <xdr:cNvPr id="33" name="Down Arrow 44">
          <a:extLst>
            <a:ext uri="{FF2B5EF4-FFF2-40B4-BE49-F238E27FC236}">
              <a16:creationId xmlns:a16="http://schemas.microsoft.com/office/drawing/2014/main" id="{00000000-0008-0000-1100-000021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172</xdr:row>
      <xdr:rowOff>0</xdr:rowOff>
    </xdr:from>
    <xdr:to>
      <xdr:col>8</xdr:col>
      <xdr:colOff>0</xdr:colOff>
      <xdr:row>175</xdr:row>
      <xdr:rowOff>0</xdr:rowOff>
    </xdr:to>
    <xdr:graphicFrame macro="">
      <xdr:nvGraphicFramePr>
        <xdr:cNvPr id="38" name="Chart 13">
          <a:extLst>
            <a:ext uri="{FF2B5EF4-FFF2-40B4-BE49-F238E27FC236}">
              <a16:creationId xmlns:a16="http://schemas.microsoft.com/office/drawing/2014/main" id="{00000000-0008-0000-11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55</xdr:row>
          <xdr:rowOff>161925</xdr:rowOff>
        </xdr:from>
        <xdr:to>
          <xdr:col>36</xdr:col>
          <xdr:colOff>47625</xdr:colOff>
          <xdr:row>57</xdr:row>
          <xdr:rowOff>19050</xdr:rowOff>
        </xdr:to>
        <xdr:sp macro="" textlink="">
          <xdr:nvSpPr>
            <xdr:cNvPr id="34838" name="Check Box 22" hidden="1">
              <a:extLst>
                <a:ext uri="{63B3BB69-23CF-44E3-9099-C40C66FF867C}">
                  <a14:compatExt spid="_x0000_s34838"/>
                </a:ext>
                <a:ext uri="{FF2B5EF4-FFF2-40B4-BE49-F238E27FC236}">
                  <a16:creationId xmlns:a16="http://schemas.microsoft.com/office/drawing/2014/main" id="{00000000-0008-0000-11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161925</xdr:rowOff>
        </xdr:from>
        <xdr:to>
          <xdr:col>36</xdr:col>
          <xdr:colOff>47625</xdr:colOff>
          <xdr:row>58</xdr:row>
          <xdr:rowOff>19050</xdr:rowOff>
        </xdr:to>
        <xdr:sp macro="" textlink="">
          <xdr:nvSpPr>
            <xdr:cNvPr id="34839" name="Check Box 23" hidden="1">
              <a:extLst>
                <a:ext uri="{63B3BB69-23CF-44E3-9099-C40C66FF867C}">
                  <a14:compatExt spid="_x0000_s34839"/>
                </a:ext>
                <a:ext uri="{FF2B5EF4-FFF2-40B4-BE49-F238E27FC236}">
                  <a16:creationId xmlns:a16="http://schemas.microsoft.com/office/drawing/2014/main" id="{00000000-0008-0000-11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143</xdr:row>
      <xdr:rowOff>95250</xdr:rowOff>
    </xdr:from>
    <xdr:to>
      <xdr:col>20</xdr:col>
      <xdr:colOff>514349</xdr:colOff>
      <xdr:row>174</xdr:row>
      <xdr:rowOff>533399</xdr:rowOff>
    </xdr:to>
    <xdr:graphicFrame macro="">
      <xdr:nvGraphicFramePr>
        <xdr:cNvPr id="39" name="Chart 13">
          <a:extLst>
            <a:ext uri="{FF2B5EF4-FFF2-40B4-BE49-F238E27FC236}">
              <a16:creationId xmlns:a16="http://schemas.microsoft.com/office/drawing/2014/main" id="{00000000-0008-0000-11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62</xdr:row>
          <xdr:rowOff>161925</xdr:rowOff>
        </xdr:from>
        <xdr:to>
          <xdr:col>36</xdr:col>
          <xdr:colOff>47625</xdr:colOff>
          <xdr:row>64</xdr:row>
          <xdr:rowOff>19050</xdr:rowOff>
        </xdr:to>
        <xdr:sp macro="" textlink="">
          <xdr:nvSpPr>
            <xdr:cNvPr id="34840" name="Check Box 24" hidden="1">
              <a:extLst>
                <a:ext uri="{63B3BB69-23CF-44E3-9099-C40C66FF867C}">
                  <a14:compatExt spid="_x0000_s34840"/>
                </a:ext>
                <a:ext uri="{FF2B5EF4-FFF2-40B4-BE49-F238E27FC236}">
                  <a16:creationId xmlns:a16="http://schemas.microsoft.com/office/drawing/2014/main" id="{00000000-0008-0000-11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Referrals" textlink="">
      <xdr:nvSpPr>
        <xdr:cNvPr id="40" name="Down Arrow 44">
          <a:extLst>
            <a:ext uri="{FF2B5EF4-FFF2-40B4-BE49-F238E27FC236}">
              <a16:creationId xmlns:a16="http://schemas.microsoft.com/office/drawing/2014/main" id="{00000000-0008-0000-1100-000028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11</xdr:col>
      <xdr:colOff>0</xdr:colOff>
      <xdr:row>72</xdr:row>
      <xdr:rowOff>0</xdr:rowOff>
    </xdr:from>
    <xdr:to>
      <xdr:col>21</xdr:col>
      <xdr:colOff>0</xdr:colOff>
      <xdr:row>103</xdr:row>
      <xdr:rowOff>0</xdr:rowOff>
    </xdr:to>
    <xdr:graphicFrame macro="">
      <xdr:nvGraphicFramePr>
        <xdr:cNvPr id="44" name="Chart 176">
          <a:extLst>
            <a:ext uri="{FF2B5EF4-FFF2-40B4-BE49-F238E27FC236}">
              <a16:creationId xmlns:a16="http://schemas.microsoft.com/office/drawing/2014/main" id="{00000000-0008-0000-11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72</xdr:row>
      <xdr:rowOff>0</xdr:rowOff>
    </xdr:from>
    <xdr:to>
      <xdr:col>11</xdr:col>
      <xdr:colOff>0</xdr:colOff>
      <xdr:row>103</xdr:row>
      <xdr:rowOff>0</xdr:rowOff>
    </xdr:to>
    <xdr:graphicFrame macro="">
      <xdr:nvGraphicFramePr>
        <xdr:cNvPr id="45" name="Chart 764">
          <a:extLst>
            <a:ext uri="{FF2B5EF4-FFF2-40B4-BE49-F238E27FC236}">
              <a16:creationId xmlns:a16="http://schemas.microsoft.com/office/drawing/2014/main" id="{00000000-0008-0000-11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57150</xdr:colOff>
      <xdr:row>63</xdr:row>
      <xdr:rowOff>85725</xdr:rowOff>
    </xdr:from>
    <xdr:to>
      <xdr:col>11</xdr:col>
      <xdr:colOff>417150</xdr:colOff>
      <xdr:row>63</xdr:row>
      <xdr:rowOff>85725</xdr:rowOff>
    </xdr:to>
    <xdr:sp macro="" textlink="">
      <xdr:nvSpPr>
        <xdr:cNvPr id="42" name="Line 283">
          <a:extLst>
            <a:ext uri="{FF2B5EF4-FFF2-40B4-BE49-F238E27FC236}">
              <a16:creationId xmlns:a16="http://schemas.microsoft.com/office/drawing/2014/main" id="{00000000-0008-0000-1100-00002A000000}"/>
            </a:ext>
          </a:extLst>
        </xdr:cNvPr>
        <xdr:cNvSpPr>
          <a:spLocks noChangeShapeType="1"/>
        </xdr:cNvSpPr>
      </xdr:nvSpPr>
      <xdr:spPr bwMode="auto">
        <a:xfrm>
          <a:off x="4772025" y="112395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43" name="Oval 2164">
          <a:extLst>
            <a:ext uri="{FF2B5EF4-FFF2-40B4-BE49-F238E27FC236}">
              <a16:creationId xmlns:a16="http://schemas.microsoft.com/office/drawing/2014/main" id="{00000000-0008-0000-1100-00002B000000}"/>
            </a:ext>
          </a:extLst>
        </xdr:cNvPr>
        <xdr:cNvSpPr>
          <a:spLocks noChangeArrowheads="1"/>
        </xdr:cNvSpPr>
      </xdr:nvSpPr>
      <xdr:spPr bwMode="auto">
        <a:xfrm>
          <a:off x="7248525" y="112014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46" name="Line 283">
          <a:extLst>
            <a:ext uri="{FF2B5EF4-FFF2-40B4-BE49-F238E27FC236}">
              <a16:creationId xmlns:a16="http://schemas.microsoft.com/office/drawing/2014/main" id="{00000000-0008-0000-1100-00002E000000}"/>
            </a:ext>
          </a:extLst>
        </xdr:cNvPr>
        <xdr:cNvSpPr>
          <a:spLocks noChangeShapeType="1"/>
        </xdr:cNvSpPr>
      </xdr:nvSpPr>
      <xdr:spPr bwMode="auto">
        <a:xfrm>
          <a:off x="7086600" y="114109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136</xdr:row>
      <xdr:rowOff>0</xdr:rowOff>
    </xdr:from>
    <xdr:to>
      <xdr:col>8</xdr:col>
      <xdr:colOff>0</xdr:colOff>
      <xdr:row>139</xdr:row>
      <xdr:rowOff>0</xdr:rowOff>
    </xdr:to>
    <xdr:graphicFrame macro="">
      <xdr:nvGraphicFramePr>
        <xdr:cNvPr id="48" name="Chart 13">
          <a:extLst>
            <a:ext uri="{FF2B5EF4-FFF2-40B4-BE49-F238E27FC236}">
              <a16:creationId xmlns:a16="http://schemas.microsoft.com/office/drawing/2014/main" id="{00000000-0008-0000-11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514349</xdr:colOff>
      <xdr:row>107</xdr:row>
      <xdr:rowOff>95250</xdr:rowOff>
    </xdr:from>
    <xdr:to>
      <xdr:col>20</xdr:col>
      <xdr:colOff>514349</xdr:colOff>
      <xdr:row>138</xdr:row>
      <xdr:rowOff>533399</xdr:rowOff>
    </xdr:to>
    <xdr:graphicFrame macro="">
      <xdr:nvGraphicFramePr>
        <xdr:cNvPr id="49" name="Chart 13">
          <a:extLst>
            <a:ext uri="{FF2B5EF4-FFF2-40B4-BE49-F238E27FC236}">
              <a16:creationId xmlns:a16="http://schemas.microsoft.com/office/drawing/2014/main" id="{00000000-0008-0000-11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22</xdr:col>
      <xdr:colOff>57150</xdr:colOff>
      <xdr:row>0</xdr:row>
      <xdr:rowOff>193416</xdr:rowOff>
    </xdr:from>
    <xdr:to>
      <xdr:col>22</xdr:col>
      <xdr:colOff>381000</xdr:colOff>
      <xdr:row>2</xdr:row>
      <xdr:rowOff>44450</xdr:rowOff>
    </xdr:to>
    <xdr:pic macro="[0]!Home">
      <xdr:nvPicPr>
        <xdr:cNvPr id="50" name="Picture 49">
          <a:extLst>
            <a:ext uri="{FF2B5EF4-FFF2-40B4-BE49-F238E27FC236}">
              <a16:creationId xmlns:a16="http://schemas.microsoft.com/office/drawing/2014/main" id="{00000000-0008-0000-1100-000032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48775" y="193416"/>
          <a:ext cx="32385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Population" textlink="">
      <xdr:nvSpPr>
        <xdr:cNvPr id="51" name="Right Arrow 50">
          <a:extLst>
            <a:ext uri="{FF2B5EF4-FFF2-40B4-BE49-F238E27FC236}">
              <a16:creationId xmlns:a16="http://schemas.microsoft.com/office/drawing/2014/main" id="{00000000-0008-0000-1100-000033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Referral_Source" textlink="">
      <xdr:nvSpPr>
        <xdr:cNvPr id="52" name="Right Arrow 50">
          <a:extLst>
            <a:ext uri="{FF2B5EF4-FFF2-40B4-BE49-F238E27FC236}">
              <a16:creationId xmlns:a16="http://schemas.microsoft.com/office/drawing/2014/main" id="{00000000-0008-0000-1100-000034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10</xdr:col>
      <xdr:colOff>473075</xdr:colOff>
      <xdr:row>39</xdr:row>
      <xdr:rowOff>3174</xdr:rowOff>
    </xdr:from>
    <xdr:to>
      <xdr:col>21</xdr:col>
      <xdr:colOff>0</xdr:colOff>
      <xdr:row>63</xdr:row>
      <xdr:rowOff>0</xdr:rowOff>
    </xdr:to>
    <xdr:graphicFrame macro="">
      <xdr:nvGraphicFramePr>
        <xdr:cNvPr id="53" name="Chart 176">
          <a:extLst>
            <a:ext uri="{FF2B5EF4-FFF2-40B4-BE49-F238E27FC236}">
              <a16:creationId xmlns:a16="http://schemas.microsoft.com/office/drawing/2014/main" id="{00000000-0008-0000-11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absolute">
    <xdr:from>
      <xdr:col>18</xdr:col>
      <xdr:colOff>88899</xdr:colOff>
      <xdr:row>0</xdr:row>
      <xdr:rowOff>85725</xdr:rowOff>
    </xdr:from>
    <xdr:to>
      <xdr:col>24</xdr:col>
      <xdr:colOff>54974</xdr:colOff>
      <xdr:row>2</xdr:row>
      <xdr:rowOff>149475</xdr:rowOff>
    </xdr:to>
    <xdr:sp macro="" textlink="">
      <xdr:nvSpPr>
        <xdr:cNvPr id="10" name="AutoShape 32">
          <a:extLst>
            <a:ext uri="{FF2B5EF4-FFF2-40B4-BE49-F238E27FC236}">
              <a16:creationId xmlns:a16="http://schemas.microsoft.com/office/drawing/2014/main" id="{00000000-0008-0000-1200-00000A000000}"/>
            </a:ext>
          </a:extLst>
        </xdr:cNvPr>
        <xdr:cNvSpPr>
          <a:spLocks noChangeArrowheads="1"/>
        </xdr:cNvSpPr>
      </xdr:nvSpPr>
      <xdr:spPr bwMode="auto">
        <a:xfrm>
          <a:off x="694372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oneCellAnchor>
    <xdr:from>
      <xdr:col>25</xdr:col>
      <xdr:colOff>95250</xdr:colOff>
      <xdr:row>68</xdr:row>
      <xdr:rowOff>33750</xdr:rowOff>
    </xdr:from>
    <xdr:ext cx="252000" cy="252000"/>
    <xdr:sp macro="[0]!Referral_Source" textlink="">
      <xdr:nvSpPr>
        <xdr:cNvPr id="21" name="Down Arrow 44">
          <a:extLst>
            <a:ext uri="{FF2B5EF4-FFF2-40B4-BE49-F238E27FC236}">
              <a16:creationId xmlns:a16="http://schemas.microsoft.com/office/drawing/2014/main" id="{00000000-0008-0000-1200-000015000000}"/>
            </a:ext>
          </a:extLst>
        </xdr:cNvPr>
        <xdr:cNvSpPr>
          <a:spLocks noChangeArrowheads="1"/>
        </xdr:cNvSpPr>
      </xdr:nvSpPr>
      <xdr:spPr bwMode="auto">
        <a:xfrm flipV="1">
          <a:off x="9229725" y="131877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25</xdr:col>
      <xdr:colOff>85725</xdr:colOff>
      <xdr:row>103</xdr:row>
      <xdr:rowOff>62325</xdr:rowOff>
    </xdr:from>
    <xdr:ext cx="252000" cy="252000"/>
    <xdr:sp macro="[0]!Referral_Source" textlink="">
      <xdr:nvSpPr>
        <xdr:cNvPr id="22" name="Down Arrow 44">
          <a:extLst>
            <a:ext uri="{FF2B5EF4-FFF2-40B4-BE49-F238E27FC236}">
              <a16:creationId xmlns:a16="http://schemas.microsoft.com/office/drawing/2014/main" id="{00000000-0008-0000-1200-000016000000}"/>
            </a:ext>
          </a:extLst>
        </xdr:cNvPr>
        <xdr:cNvSpPr>
          <a:spLocks noChangeArrowheads="1"/>
        </xdr:cNvSpPr>
      </xdr:nvSpPr>
      <xdr:spPr bwMode="auto">
        <a:xfrm flipV="1">
          <a:off x="9277350" y="199600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25</xdr:col>
      <xdr:colOff>66675</xdr:colOff>
      <xdr:row>0</xdr:row>
      <xdr:rowOff>193416</xdr:rowOff>
    </xdr:from>
    <xdr:to>
      <xdr:col>25</xdr:col>
      <xdr:colOff>371475</xdr:colOff>
      <xdr:row>2</xdr:row>
      <xdr:rowOff>47625</xdr:rowOff>
    </xdr:to>
    <xdr:pic macro="[0]!Home">
      <xdr:nvPicPr>
        <xdr:cNvPr id="23" name="Picture 22">
          <a:extLst>
            <a:ext uri="{FF2B5EF4-FFF2-40B4-BE49-F238E27FC236}">
              <a16:creationId xmlns:a16="http://schemas.microsoft.com/office/drawing/2014/main" id="{00000000-0008-0000-12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193416"/>
          <a:ext cx="304800" cy="330459"/>
        </a:xfrm>
        <a:prstGeom prst="rect">
          <a:avLst/>
        </a:prstGeom>
      </xdr:spPr>
    </xdr:pic>
    <xdr:clientData/>
  </xdr:twoCellAnchor>
  <xdr:twoCellAnchor editAs="oneCell">
    <xdr:from>
      <xdr:col>25</xdr:col>
      <xdr:colOff>57150</xdr:colOff>
      <xdr:row>35</xdr:row>
      <xdr:rowOff>123825</xdr:rowOff>
    </xdr:from>
    <xdr:to>
      <xdr:col>25</xdr:col>
      <xdr:colOff>304800</xdr:colOff>
      <xdr:row>37</xdr:row>
      <xdr:rowOff>57150</xdr:rowOff>
    </xdr:to>
    <xdr:sp macro="[0]!Referrals" textlink="">
      <xdr:nvSpPr>
        <xdr:cNvPr id="29" name="Right Arrow 28">
          <a:extLst>
            <a:ext uri="{FF2B5EF4-FFF2-40B4-BE49-F238E27FC236}">
              <a16:creationId xmlns:a16="http://schemas.microsoft.com/office/drawing/2014/main" id="{00000000-0008-0000-1200-00001D000000}"/>
            </a:ext>
          </a:extLst>
        </xdr:cNvPr>
        <xdr:cNvSpPr>
          <a:spLocks noChangeArrowheads="1"/>
        </xdr:cNvSpPr>
      </xdr:nvSpPr>
      <xdr:spPr bwMode="auto">
        <a:xfrm flipH="1">
          <a:off x="9248775" y="686752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25</xdr:col>
      <xdr:colOff>133350</xdr:colOff>
      <xdr:row>37</xdr:row>
      <xdr:rowOff>132375</xdr:rowOff>
    </xdr:from>
    <xdr:to>
      <xdr:col>25</xdr:col>
      <xdr:colOff>381000</xdr:colOff>
      <xdr:row>39</xdr:row>
      <xdr:rowOff>85725</xdr:rowOff>
    </xdr:to>
    <xdr:sp macro="[0]!Re_referrals" textlink="">
      <xdr:nvSpPr>
        <xdr:cNvPr id="30" name="Right Arrow 50">
          <a:extLst>
            <a:ext uri="{FF2B5EF4-FFF2-40B4-BE49-F238E27FC236}">
              <a16:creationId xmlns:a16="http://schemas.microsoft.com/office/drawing/2014/main" id="{00000000-0008-0000-1200-00001E000000}"/>
            </a:ext>
          </a:extLst>
        </xdr:cNvPr>
        <xdr:cNvSpPr>
          <a:spLocks noChangeArrowheads="1"/>
        </xdr:cNvSpPr>
      </xdr:nvSpPr>
      <xdr:spPr bwMode="auto">
        <a:xfrm rot="10800000" flipH="1">
          <a:off x="9324975" y="721897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3</xdr:col>
      <xdr:colOff>9525</xdr:colOff>
      <xdr:row>75</xdr:row>
      <xdr:rowOff>0</xdr:rowOff>
    </xdr:from>
    <xdr:to>
      <xdr:col>5</xdr:col>
      <xdr:colOff>0</xdr:colOff>
      <xdr:row>99</xdr:row>
      <xdr:rowOff>0</xdr:rowOff>
    </xdr:to>
    <xdr:graphicFrame macro="">
      <xdr:nvGraphicFramePr>
        <xdr:cNvPr id="4" name="Chart 3">
          <a:extLst>
            <a:ext uri="{FF2B5EF4-FFF2-40B4-BE49-F238E27FC236}">
              <a16:creationId xmlns:a16="http://schemas.microsoft.com/office/drawing/2014/main" id="{00000000-0008-0000-1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9525</xdr:colOff>
      <xdr:row>75</xdr:row>
      <xdr:rowOff>0</xdr:rowOff>
    </xdr:from>
    <xdr:to>
      <xdr:col>7</xdr:col>
      <xdr:colOff>0</xdr:colOff>
      <xdr:row>99</xdr:row>
      <xdr:rowOff>0</xdr:rowOff>
    </xdr:to>
    <xdr:graphicFrame macro="">
      <xdr:nvGraphicFramePr>
        <xdr:cNvPr id="41" name="Chart 40">
          <a:extLst>
            <a:ext uri="{FF2B5EF4-FFF2-40B4-BE49-F238E27FC236}">
              <a16:creationId xmlns:a16="http://schemas.microsoft.com/office/drawing/2014/main" id="{00000000-0008-0000-1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9525</xdr:colOff>
      <xdr:row>75</xdr:row>
      <xdr:rowOff>0</xdr:rowOff>
    </xdr:from>
    <xdr:to>
      <xdr:col>9</xdr:col>
      <xdr:colOff>0</xdr:colOff>
      <xdr:row>99</xdr:row>
      <xdr:rowOff>0</xdr:rowOff>
    </xdr:to>
    <xdr:graphicFrame macro="">
      <xdr:nvGraphicFramePr>
        <xdr:cNvPr id="42" name="Chart 41">
          <a:extLst>
            <a:ext uri="{FF2B5EF4-FFF2-40B4-BE49-F238E27FC236}">
              <a16:creationId xmlns:a16="http://schemas.microsoft.com/office/drawing/2014/main" id="{00000000-0008-0000-1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9525</xdr:colOff>
      <xdr:row>75</xdr:row>
      <xdr:rowOff>0</xdr:rowOff>
    </xdr:from>
    <xdr:to>
      <xdr:col>11</xdr:col>
      <xdr:colOff>9525</xdr:colOff>
      <xdr:row>99</xdr:row>
      <xdr:rowOff>0</xdr:rowOff>
    </xdr:to>
    <xdr:graphicFrame macro="">
      <xdr:nvGraphicFramePr>
        <xdr:cNvPr id="43" name="Chart 42">
          <a:extLst>
            <a:ext uri="{FF2B5EF4-FFF2-40B4-BE49-F238E27FC236}">
              <a16:creationId xmlns:a16="http://schemas.microsoft.com/office/drawing/2014/main" id="{00000000-0008-0000-1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9525</xdr:colOff>
      <xdr:row>75</xdr:row>
      <xdr:rowOff>0</xdr:rowOff>
    </xdr:from>
    <xdr:to>
      <xdr:col>13</xdr:col>
      <xdr:colOff>0</xdr:colOff>
      <xdr:row>99</xdr:row>
      <xdr:rowOff>0</xdr:rowOff>
    </xdr:to>
    <xdr:graphicFrame macro="">
      <xdr:nvGraphicFramePr>
        <xdr:cNvPr id="44" name="Chart 43">
          <a:extLst>
            <a:ext uri="{FF2B5EF4-FFF2-40B4-BE49-F238E27FC236}">
              <a16:creationId xmlns:a16="http://schemas.microsoft.com/office/drawing/2014/main" id="{00000000-0008-0000-12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9525</xdr:colOff>
      <xdr:row>75</xdr:row>
      <xdr:rowOff>0</xdr:rowOff>
    </xdr:from>
    <xdr:to>
      <xdr:col>15</xdr:col>
      <xdr:colOff>0</xdr:colOff>
      <xdr:row>99</xdr:row>
      <xdr:rowOff>0</xdr:rowOff>
    </xdr:to>
    <xdr:graphicFrame macro="">
      <xdr:nvGraphicFramePr>
        <xdr:cNvPr id="45" name="Chart 44">
          <a:extLst>
            <a:ext uri="{FF2B5EF4-FFF2-40B4-BE49-F238E27FC236}">
              <a16:creationId xmlns:a16="http://schemas.microsoft.com/office/drawing/2014/main" id="{00000000-0008-0000-12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9525</xdr:colOff>
      <xdr:row>75</xdr:row>
      <xdr:rowOff>0</xdr:rowOff>
    </xdr:from>
    <xdr:to>
      <xdr:col>17</xdr:col>
      <xdr:colOff>9525</xdr:colOff>
      <xdr:row>99</xdr:row>
      <xdr:rowOff>0</xdr:rowOff>
    </xdr:to>
    <xdr:graphicFrame macro="">
      <xdr:nvGraphicFramePr>
        <xdr:cNvPr id="46" name="Chart 45">
          <a:extLst>
            <a:ext uri="{FF2B5EF4-FFF2-40B4-BE49-F238E27FC236}">
              <a16:creationId xmlns:a16="http://schemas.microsoft.com/office/drawing/2014/main" id="{00000000-0008-0000-12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9525</xdr:colOff>
      <xdr:row>75</xdr:row>
      <xdr:rowOff>0</xdr:rowOff>
    </xdr:from>
    <xdr:to>
      <xdr:col>19</xdr:col>
      <xdr:colOff>0</xdr:colOff>
      <xdr:row>99</xdr:row>
      <xdr:rowOff>0</xdr:rowOff>
    </xdr:to>
    <xdr:graphicFrame macro="">
      <xdr:nvGraphicFramePr>
        <xdr:cNvPr id="47" name="Chart 46">
          <a:extLst>
            <a:ext uri="{FF2B5EF4-FFF2-40B4-BE49-F238E27FC236}">
              <a16:creationId xmlns:a16="http://schemas.microsoft.com/office/drawing/2014/main" id="{00000000-0008-0000-1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9525</xdr:colOff>
      <xdr:row>75</xdr:row>
      <xdr:rowOff>0</xdr:rowOff>
    </xdr:from>
    <xdr:to>
      <xdr:col>21</xdr:col>
      <xdr:colOff>0</xdr:colOff>
      <xdr:row>99</xdr:row>
      <xdr:rowOff>0</xdr:rowOff>
    </xdr:to>
    <xdr:graphicFrame macro="">
      <xdr:nvGraphicFramePr>
        <xdr:cNvPr id="48" name="Chart 47">
          <a:extLst>
            <a:ext uri="{FF2B5EF4-FFF2-40B4-BE49-F238E27FC236}">
              <a16:creationId xmlns:a16="http://schemas.microsoft.com/office/drawing/2014/main" id="{00000000-0008-0000-1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21</xdr:col>
      <xdr:colOff>9525</xdr:colOff>
      <xdr:row>75</xdr:row>
      <xdr:rowOff>0</xdr:rowOff>
    </xdr:from>
    <xdr:to>
      <xdr:col>23</xdr:col>
      <xdr:colOff>9525</xdr:colOff>
      <xdr:row>99</xdr:row>
      <xdr:rowOff>0</xdr:rowOff>
    </xdr:to>
    <xdr:graphicFrame macro="">
      <xdr:nvGraphicFramePr>
        <xdr:cNvPr id="49" name="Chart 48">
          <a:extLst>
            <a:ext uri="{FF2B5EF4-FFF2-40B4-BE49-F238E27FC236}">
              <a16:creationId xmlns:a16="http://schemas.microsoft.com/office/drawing/2014/main" id="{00000000-0008-0000-1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25</xdr:col>
      <xdr:colOff>76200</xdr:colOff>
      <xdr:row>138</xdr:row>
      <xdr:rowOff>24225</xdr:rowOff>
    </xdr:from>
    <xdr:ext cx="252000" cy="252000"/>
    <xdr:sp macro="[0]!Referral_Source" textlink="">
      <xdr:nvSpPr>
        <xdr:cNvPr id="50" name="Down Arrow 44">
          <a:extLst>
            <a:ext uri="{FF2B5EF4-FFF2-40B4-BE49-F238E27FC236}">
              <a16:creationId xmlns:a16="http://schemas.microsoft.com/office/drawing/2014/main" id="{00000000-0008-0000-1200-000032000000}"/>
            </a:ext>
          </a:extLst>
        </xdr:cNvPr>
        <xdr:cNvSpPr>
          <a:spLocks noChangeArrowheads="1"/>
        </xdr:cNvSpPr>
      </xdr:nvSpPr>
      <xdr:spPr bwMode="auto">
        <a:xfrm flipV="1">
          <a:off x="9267825" y="269037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353600</xdr:colOff>
      <xdr:row>37</xdr:row>
      <xdr:rowOff>95250</xdr:rowOff>
    </xdr:to>
    <xdr:sp macro="[0]!Re_referrals" textlink="">
      <xdr:nvSpPr>
        <xdr:cNvPr id="2" name="Down Arrow 44">
          <a:extLst>
            <a:ext uri="{FF2B5EF4-FFF2-40B4-BE49-F238E27FC236}">
              <a16:creationId xmlns:a16="http://schemas.microsoft.com/office/drawing/2014/main" id="{00000000-0008-0000-13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Re_referrals" textlink="">
      <xdr:nvSpPr>
        <xdr:cNvPr id="3" name="Down Arrow 2">
          <a:extLst>
            <a:ext uri="{FF2B5EF4-FFF2-40B4-BE49-F238E27FC236}">
              <a16:creationId xmlns:a16="http://schemas.microsoft.com/office/drawing/2014/main" id="{00000000-0008-0000-13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1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13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11" name="Chart 13">
          <a:extLst>
            <a:ext uri="{FF2B5EF4-FFF2-40B4-BE49-F238E27FC236}">
              <a16:creationId xmlns:a16="http://schemas.microsoft.com/office/drawing/2014/main" id="{00000000-0008-0000-1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0</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1300-00000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142875</xdr:rowOff>
        </xdr:from>
        <xdr:to>
          <xdr:col>36</xdr:col>
          <xdr:colOff>47625</xdr:colOff>
          <xdr:row>43</xdr:row>
          <xdr:rowOff>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1300-00000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142875</xdr:rowOff>
        </xdr:from>
        <xdr:to>
          <xdr:col>36</xdr:col>
          <xdr:colOff>47625</xdr:colOff>
          <xdr:row>44</xdr:row>
          <xdr:rowOff>0</xdr:rowOff>
        </xdr:to>
        <xdr:sp macro="" textlink="">
          <xdr:nvSpPr>
            <xdr:cNvPr id="86019" name="Check Box 3" hidden="1">
              <a:extLst>
                <a:ext uri="{63B3BB69-23CF-44E3-9099-C40C66FF867C}">
                  <a14:compatExt spid="_x0000_s86019"/>
                </a:ext>
                <a:ext uri="{FF2B5EF4-FFF2-40B4-BE49-F238E27FC236}">
                  <a16:creationId xmlns:a16="http://schemas.microsoft.com/office/drawing/2014/main" id="{00000000-0008-0000-1300-00000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142875</xdr:rowOff>
        </xdr:from>
        <xdr:to>
          <xdr:col>36</xdr:col>
          <xdr:colOff>47625</xdr:colOff>
          <xdr:row>45</xdr:row>
          <xdr:rowOff>0</xdr:rowOff>
        </xdr:to>
        <xdr:sp macro="" textlink="">
          <xdr:nvSpPr>
            <xdr:cNvPr id="86020" name="Check Box 4" hidden="1">
              <a:extLst>
                <a:ext uri="{63B3BB69-23CF-44E3-9099-C40C66FF867C}">
                  <a14:compatExt spid="_x0000_s86020"/>
                </a:ext>
                <a:ext uri="{FF2B5EF4-FFF2-40B4-BE49-F238E27FC236}">
                  <a16:creationId xmlns:a16="http://schemas.microsoft.com/office/drawing/2014/main" id="{00000000-0008-0000-1300-00000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142875</xdr:rowOff>
        </xdr:from>
        <xdr:to>
          <xdr:col>36</xdr:col>
          <xdr:colOff>47625</xdr:colOff>
          <xdr:row>46</xdr:row>
          <xdr:rowOff>0</xdr:rowOff>
        </xdr:to>
        <xdr:sp macro="" textlink="">
          <xdr:nvSpPr>
            <xdr:cNvPr id="86021" name="Check Box 5" hidden="1">
              <a:extLst>
                <a:ext uri="{63B3BB69-23CF-44E3-9099-C40C66FF867C}">
                  <a14:compatExt spid="_x0000_s86021"/>
                </a:ext>
                <a:ext uri="{FF2B5EF4-FFF2-40B4-BE49-F238E27FC236}">
                  <a16:creationId xmlns:a16="http://schemas.microsoft.com/office/drawing/2014/main" id="{00000000-0008-0000-1300-00000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142875</xdr:rowOff>
        </xdr:from>
        <xdr:to>
          <xdr:col>36</xdr:col>
          <xdr:colOff>47625</xdr:colOff>
          <xdr:row>47</xdr:row>
          <xdr:rowOff>0</xdr:rowOff>
        </xdr:to>
        <xdr:sp macro="" textlink="">
          <xdr:nvSpPr>
            <xdr:cNvPr id="86022" name="Check Box 6" hidden="1">
              <a:extLst>
                <a:ext uri="{63B3BB69-23CF-44E3-9099-C40C66FF867C}">
                  <a14:compatExt spid="_x0000_s86022"/>
                </a:ext>
                <a:ext uri="{FF2B5EF4-FFF2-40B4-BE49-F238E27FC236}">
                  <a16:creationId xmlns:a16="http://schemas.microsoft.com/office/drawing/2014/main" id="{00000000-0008-0000-1300-00000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142875</xdr:rowOff>
        </xdr:from>
        <xdr:to>
          <xdr:col>36</xdr:col>
          <xdr:colOff>47625</xdr:colOff>
          <xdr:row>48</xdr:row>
          <xdr:rowOff>0</xdr:rowOff>
        </xdr:to>
        <xdr:sp macro="" textlink="">
          <xdr:nvSpPr>
            <xdr:cNvPr id="86023" name="Check Box 7" hidden="1">
              <a:extLst>
                <a:ext uri="{63B3BB69-23CF-44E3-9099-C40C66FF867C}">
                  <a14:compatExt spid="_x0000_s86023"/>
                </a:ext>
                <a:ext uri="{FF2B5EF4-FFF2-40B4-BE49-F238E27FC236}">
                  <a16:creationId xmlns:a16="http://schemas.microsoft.com/office/drawing/2014/main" id="{00000000-0008-0000-1300-00000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142875</xdr:rowOff>
        </xdr:from>
        <xdr:to>
          <xdr:col>36</xdr:col>
          <xdr:colOff>47625</xdr:colOff>
          <xdr:row>49</xdr:row>
          <xdr:rowOff>0</xdr:rowOff>
        </xdr:to>
        <xdr:sp macro="" textlink="">
          <xdr:nvSpPr>
            <xdr:cNvPr id="86024" name="Check Box 8" hidden="1">
              <a:extLst>
                <a:ext uri="{63B3BB69-23CF-44E3-9099-C40C66FF867C}">
                  <a14:compatExt spid="_x0000_s86024"/>
                </a:ext>
                <a:ext uri="{FF2B5EF4-FFF2-40B4-BE49-F238E27FC236}">
                  <a16:creationId xmlns:a16="http://schemas.microsoft.com/office/drawing/2014/main" id="{00000000-0008-0000-1300-00000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142875</xdr:rowOff>
        </xdr:from>
        <xdr:to>
          <xdr:col>36</xdr:col>
          <xdr:colOff>47625</xdr:colOff>
          <xdr:row>50</xdr:row>
          <xdr:rowOff>0</xdr:rowOff>
        </xdr:to>
        <xdr:sp macro="" textlink="">
          <xdr:nvSpPr>
            <xdr:cNvPr id="86025" name="Check Box 9" hidden="1">
              <a:extLst>
                <a:ext uri="{63B3BB69-23CF-44E3-9099-C40C66FF867C}">
                  <a14:compatExt spid="_x0000_s86025"/>
                </a:ext>
                <a:ext uri="{FF2B5EF4-FFF2-40B4-BE49-F238E27FC236}">
                  <a16:creationId xmlns:a16="http://schemas.microsoft.com/office/drawing/2014/main" id="{00000000-0008-0000-1300-00000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142875</xdr:rowOff>
        </xdr:from>
        <xdr:to>
          <xdr:col>36</xdr:col>
          <xdr:colOff>47625</xdr:colOff>
          <xdr:row>51</xdr:row>
          <xdr:rowOff>0</xdr:rowOff>
        </xdr:to>
        <xdr:sp macro="" textlink="">
          <xdr:nvSpPr>
            <xdr:cNvPr id="86026" name="Check Box 10" hidden="1">
              <a:extLst>
                <a:ext uri="{63B3BB69-23CF-44E3-9099-C40C66FF867C}">
                  <a14:compatExt spid="_x0000_s86026"/>
                </a:ext>
                <a:ext uri="{FF2B5EF4-FFF2-40B4-BE49-F238E27FC236}">
                  <a16:creationId xmlns:a16="http://schemas.microsoft.com/office/drawing/2014/main" id="{00000000-0008-0000-1300-00000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142875</xdr:rowOff>
        </xdr:from>
        <xdr:to>
          <xdr:col>36</xdr:col>
          <xdr:colOff>47625</xdr:colOff>
          <xdr:row>52</xdr:row>
          <xdr:rowOff>0</xdr:rowOff>
        </xdr:to>
        <xdr:sp macro="" textlink="">
          <xdr:nvSpPr>
            <xdr:cNvPr id="86027" name="Check Box 11" hidden="1">
              <a:extLst>
                <a:ext uri="{63B3BB69-23CF-44E3-9099-C40C66FF867C}">
                  <a14:compatExt spid="_x0000_s86027"/>
                </a:ext>
                <a:ext uri="{FF2B5EF4-FFF2-40B4-BE49-F238E27FC236}">
                  <a16:creationId xmlns:a16="http://schemas.microsoft.com/office/drawing/2014/main" id="{00000000-0008-0000-1300-00000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142875</xdr:rowOff>
        </xdr:from>
        <xdr:to>
          <xdr:col>36</xdr:col>
          <xdr:colOff>47625</xdr:colOff>
          <xdr:row>53</xdr:row>
          <xdr:rowOff>0</xdr:rowOff>
        </xdr:to>
        <xdr:sp macro="" textlink="">
          <xdr:nvSpPr>
            <xdr:cNvPr id="86028" name="Check Box 12" hidden="1">
              <a:extLst>
                <a:ext uri="{63B3BB69-23CF-44E3-9099-C40C66FF867C}">
                  <a14:compatExt spid="_x0000_s86028"/>
                </a:ext>
                <a:ext uri="{FF2B5EF4-FFF2-40B4-BE49-F238E27FC236}">
                  <a16:creationId xmlns:a16="http://schemas.microsoft.com/office/drawing/2014/main" id="{00000000-0008-0000-1300-00000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142875</xdr:rowOff>
        </xdr:from>
        <xdr:to>
          <xdr:col>36</xdr:col>
          <xdr:colOff>47625</xdr:colOff>
          <xdr:row>54</xdr:row>
          <xdr:rowOff>0</xdr:rowOff>
        </xdr:to>
        <xdr:sp macro="" textlink="">
          <xdr:nvSpPr>
            <xdr:cNvPr id="86029" name="Check Box 13" hidden="1">
              <a:extLst>
                <a:ext uri="{63B3BB69-23CF-44E3-9099-C40C66FF867C}">
                  <a14:compatExt spid="_x0000_s86029"/>
                </a:ext>
                <a:ext uri="{FF2B5EF4-FFF2-40B4-BE49-F238E27FC236}">
                  <a16:creationId xmlns:a16="http://schemas.microsoft.com/office/drawing/2014/main" id="{00000000-0008-0000-1300-00000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142875</xdr:rowOff>
        </xdr:from>
        <xdr:to>
          <xdr:col>36</xdr:col>
          <xdr:colOff>47625</xdr:colOff>
          <xdr:row>55</xdr:row>
          <xdr:rowOff>0</xdr:rowOff>
        </xdr:to>
        <xdr:sp macro="" textlink="">
          <xdr:nvSpPr>
            <xdr:cNvPr id="86030" name="Check Box 14" hidden="1">
              <a:extLst>
                <a:ext uri="{63B3BB69-23CF-44E3-9099-C40C66FF867C}">
                  <a14:compatExt spid="_x0000_s86030"/>
                </a:ext>
                <a:ext uri="{FF2B5EF4-FFF2-40B4-BE49-F238E27FC236}">
                  <a16:creationId xmlns:a16="http://schemas.microsoft.com/office/drawing/2014/main" id="{00000000-0008-0000-1300-00000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142875</xdr:rowOff>
        </xdr:from>
        <xdr:to>
          <xdr:col>36</xdr:col>
          <xdr:colOff>47625</xdr:colOff>
          <xdr:row>56</xdr:row>
          <xdr:rowOff>0</xdr:rowOff>
        </xdr:to>
        <xdr:sp macro="" textlink="">
          <xdr:nvSpPr>
            <xdr:cNvPr id="86031" name="Check Box 15" hidden="1">
              <a:extLst>
                <a:ext uri="{63B3BB69-23CF-44E3-9099-C40C66FF867C}">
                  <a14:compatExt spid="_x0000_s86031"/>
                </a:ext>
                <a:ext uri="{FF2B5EF4-FFF2-40B4-BE49-F238E27FC236}">
                  <a16:creationId xmlns:a16="http://schemas.microsoft.com/office/drawing/2014/main" id="{00000000-0008-0000-1300-00000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142875</xdr:rowOff>
        </xdr:from>
        <xdr:to>
          <xdr:col>36</xdr:col>
          <xdr:colOff>47625</xdr:colOff>
          <xdr:row>57</xdr:row>
          <xdr:rowOff>0</xdr:rowOff>
        </xdr:to>
        <xdr:sp macro="" textlink="">
          <xdr:nvSpPr>
            <xdr:cNvPr id="86032" name="Check Box 16" hidden="1">
              <a:extLst>
                <a:ext uri="{63B3BB69-23CF-44E3-9099-C40C66FF867C}">
                  <a14:compatExt spid="_x0000_s86032"/>
                </a:ext>
                <a:ext uri="{FF2B5EF4-FFF2-40B4-BE49-F238E27FC236}">
                  <a16:creationId xmlns:a16="http://schemas.microsoft.com/office/drawing/2014/main" id="{00000000-0008-0000-1300-00001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142875</xdr:rowOff>
        </xdr:from>
        <xdr:to>
          <xdr:col>36</xdr:col>
          <xdr:colOff>47625</xdr:colOff>
          <xdr:row>60</xdr:row>
          <xdr:rowOff>0</xdr:rowOff>
        </xdr:to>
        <xdr:sp macro="" textlink="">
          <xdr:nvSpPr>
            <xdr:cNvPr id="86033" name="Check Box 17" hidden="1">
              <a:extLst>
                <a:ext uri="{63B3BB69-23CF-44E3-9099-C40C66FF867C}">
                  <a14:compatExt spid="_x0000_s86033"/>
                </a:ext>
                <a:ext uri="{FF2B5EF4-FFF2-40B4-BE49-F238E27FC236}">
                  <a16:creationId xmlns:a16="http://schemas.microsoft.com/office/drawing/2014/main" id="{00000000-0008-0000-1300-00001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142875</xdr:rowOff>
        </xdr:from>
        <xdr:to>
          <xdr:col>36</xdr:col>
          <xdr:colOff>47625</xdr:colOff>
          <xdr:row>61</xdr:row>
          <xdr:rowOff>0</xdr:rowOff>
        </xdr:to>
        <xdr:sp macro="" textlink="">
          <xdr:nvSpPr>
            <xdr:cNvPr id="86034" name="Check Box 18" hidden="1">
              <a:extLst>
                <a:ext uri="{63B3BB69-23CF-44E3-9099-C40C66FF867C}">
                  <a14:compatExt spid="_x0000_s86034"/>
                </a:ext>
                <a:ext uri="{FF2B5EF4-FFF2-40B4-BE49-F238E27FC236}">
                  <a16:creationId xmlns:a16="http://schemas.microsoft.com/office/drawing/2014/main" id="{00000000-0008-0000-1300-00001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142875</xdr:rowOff>
        </xdr:from>
        <xdr:to>
          <xdr:col>36</xdr:col>
          <xdr:colOff>47625</xdr:colOff>
          <xdr:row>62</xdr:row>
          <xdr:rowOff>0</xdr:rowOff>
        </xdr:to>
        <xdr:sp macro="" textlink="">
          <xdr:nvSpPr>
            <xdr:cNvPr id="86035" name="Check Box 19" hidden="1">
              <a:extLst>
                <a:ext uri="{63B3BB69-23CF-44E3-9099-C40C66FF867C}">
                  <a14:compatExt spid="_x0000_s86035"/>
                </a:ext>
                <a:ext uri="{FF2B5EF4-FFF2-40B4-BE49-F238E27FC236}">
                  <a16:creationId xmlns:a16="http://schemas.microsoft.com/office/drawing/2014/main" id="{00000000-0008-0000-1300-00001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142875</xdr:rowOff>
        </xdr:from>
        <xdr:to>
          <xdr:col>36</xdr:col>
          <xdr:colOff>47625</xdr:colOff>
          <xdr:row>63</xdr:row>
          <xdr:rowOff>0</xdr:rowOff>
        </xdr:to>
        <xdr:sp macro="" textlink="">
          <xdr:nvSpPr>
            <xdr:cNvPr id="86036" name="Check Box 20" hidden="1">
              <a:extLst>
                <a:ext uri="{63B3BB69-23CF-44E3-9099-C40C66FF867C}">
                  <a14:compatExt spid="_x0000_s86036"/>
                </a:ext>
                <a:ext uri="{FF2B5EF4-FFF2-40B4-BE49-F238E27FC236}">
                  <a16:creationId xmlns:a16="http://schemas.microsoft.com/office/drawing/2014/main" id="{00000000-0008-0000-1300-00001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62</xdr:row>
          <xdr:rowOff>142875</xdr:rowOff>
        </xdr:from>
        <xdr:to>
          <xdr:col>36</xdr:col>
          <xdr:colOff>47625</xdr:colOff>
          <xdr:row>64</xdr:row>
          <xdr:rowOff>0</xdr:rowOff>
        </xdr:to>
        <xdr:sp macro="" textlink="">
          <xdr:nvSpPr>
            <xdr:cNvPr id="86037" name="Check Box 21" hidden="1">
              <a:extLst>
                <a:ext uri="{63B3BB69-23CF-44E3-9099-C40C66FF867C}">
                  <a14:compatExt spid="_x0000_s86037"/>
                </a:ext>
                <a:ext uri="{FF2B5EF4-FFF2-40B4-BE49-F238E27FC236}">
                  <a16:creationId xmlns:a16="http://schemas.microsoft.com/office/drawing/2014/main" id="{00000000-0008-0000-1300-00001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140</xdr:row>
      <xdr:rowOff>33750</xdr:rowOff>
    </xdr:from>
    <xdr:ext cx="252000" cy="252000"/>
    <xdr:sp macro="[0]!Re_referrals" textlink="">
      <xdr:nvSpPr>
        <xdr:cNvPr id="33" name="Down Arrow 44">
          <a:extLst>
            <a:ext uri="{FF2B5EF4-FFF2-40B4-BE49-F238E27FC236}">
              <a16:creationId xmlns:a16="http://schemas.microsoft.com/office/drawing/2014/main" id="{00000000-0008-0000-1300-000021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136</xdr:row>
      <xdr:rowOff>0</xdr:rowOff>
    </xdr:from>
    <xdr:to>
      <xdr:col>8</xdr:col>
      <xdr:colOff>0</xdr:colOff>
      <xdr:row>139</xdr:row>
      <xdr:rowOff>0</xdr:rowOff>
    </xdr:to>
    <xdr:graphicFrame macro="">
      <xdr:nvGraphicFramePr>
        <xdr:cNvPr id="34" name="Chart 13">
          <a:extLst>
            <a:ext uri="{FF2B5EF4-FFF2-40B4-BE49-F238E27FC236}">
              <a16:creationId xmlns:a16="http://schemas.microsoft.com/office/drawing/2014/main" id="{00000000-0008-0000-13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56</xdr:row>
          <xdr:rowOff>142875</xdr:rowOff>
        </xdr:from>
        <xdr:to>
          <xdr:col>36</xdr:col>
          <xdr:colOff>47625</xdr:colOff>
          <xdr:row>58</xdr:row>
          <xdr:rowOff>0</xdr:rowOff>
        </xdr:to>
        <xdr:sp macro="" textlink="">
          <xdr:nvSpPr>
            <xdr:cNvPr id="86038" name="Check Box 22" hidden="1">
              <a:extLst>
                <a:ext uri="{63B3BB69-23CF-44E3-9099-C40C66FF867C}">
                  <a14:compatExt spid="_x0000_s86038"/>
                </a:ext>
                <a:ext uri="{FF2B5EF4-FFF2-40B4-BE49-F238E27FC236}">
                  <a16:creationId xmlns:a16="http://schemas.microsoft.com/office/drawing/2014/main" id="{00000000-0008-0000-1300-00001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142875</xdr:rowOff>
        </xdr:from>
        <xdr:to>
          <xdr:col>36</xdr:col>
          <xdr:colOff>47625</xdr:colOff>
          <xdr:row>59</xdr:row>
          <xdr:rowOff>0</xdr:rowOff>
        </xdr:to>
        <xdr:sp macro="" textlink="">
          <xdr:nvSpPr>
            <xdr:cNvPr id="86039" name="Check Box 23" hidden="1">
              <a:extLst>
                <a:ext uri="{63B3BB69-23CF-44E3-9099-C40C66FF867C}">
                  <a14:compatExt spid="_x0000_s86039"/>
                </a:ext>
                <a:ext uri="{FF2B5EF4-FFF2-40B4-BE49-F238E27FC236}">
                  <a16:creationId xmlns:a16="http://schemas.microsoft.com/office/drawing/2014/main" id="{00000000-0008-0000-1300-00001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107</xdr:row>
      <xdr:rowOff>95250</xdr:rowOff>
    </xdr:from>
    <xdr:to>
      <xdr:col>20</xdr:col>
      <xdr:colOff>514349</xdr:colOff>
      <xdr:row>138</xdr:row>
      <xdr:rowOff>533399</xdr:rowOff>
    </xdr:to>
    <xdr:graphicFrame macro="">
      <xdr:nvGraphicFramePr>
        <xdr:cNvPr id="37" name="Chart 13">
          <a:extLst>
            <a:ext uri="{FF2B5EF4-FFF2-40B4-BE49-F238E27FC236}">
              <a16:creationId xmlns:a16="http://schemas.microsoft.com/office/drawing/2014/main" id="{00000000-0008-0000-13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63</xdr:row>
          <xdr:rowOff>142875</xdr:rowOff>
        </xdr:from>
        <xdr:to>
          <xdr:col>36</xdr:col>
          <xdr:colOff>47625</xdr:colOff>
          <xdr:row>65</xdr:row>
          <xdr:rowOff>0</xdr:rowOff>
        </xdr:to>
        <xdr:sp macro="" textlink="">
          <xdr:nvSpPr>
            <xdr:cNvPr id="86040" name="Check Box 24" hidden="1">
              <a:extLst>
                <a:ext uri="{63B3BB69-23CF-44E3-9099-C40C66FF867C}">
                  <a14:compatExt spid="_x0000_s86040"/>
                </a:ext>
                <a:ext uri="{FF2B5EF4-FFF2-40B4-BE49-F238E27FC236}">
                  <a16:creationId xmlns:a16="http://schemas.microsoft.com/office/drawing/2014/main" id="{00000000-0008-0000-1300-00001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Re_referrals" textlink="">
      <xdr:nvSpPr>
        <xdr:cNvPr id="39" name="Down Arrow 44">
          <a:extLst>
            <a:ext uri="{FF2B5EF4-FFF2-40B4-BE49-F238E27FC236}">
              <a16:creationId xmlns:a16="http://schemas.microsoft.com/office/drawing/2014/main" id="{00000000-0008-0000-1300-000027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72</xdr:row>
      <xdr:rowOff>0</xdr:rowOff>
    </xdr:from>
    <xdr:to>
      <xdr:col>21</xdr:col>
      <xdr:colOff>0</xdr:colOff>
      <xdr:row>103</xdr:row>
      <xdr:rowOff>0</xdr:rowOff>
    </xdr:to>
    <xdr:graphicFrame macro="">
      <xdr:nvGraphicFramePr>
        <xdr:cNvPr id="40" name="Chart 176">
          <a:extLst>
            <a:ext uri="{FF2B5EF4-FFF2-40B4-BE49-F238E27FC236}">
              <a16:creationId xmlns:a16="http://schemas.microsoft.com/office/drawing/2014/main" id="{00000000-0008-0000-13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41" name="Chart 764">
          <a:extLst>
            <a:ext uri="{FF2B5EF4-FFF2-40B4-BE49-F238E27FC236}">
              <a16:creationId xmlns:a16="http://schemas.microsoft.com/office/drawing/2014/main" id="{00000000-0008-0000-13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5" name="Picture 44">
          <a:extLst>
            <a:ext uri="{FF2B5EF4-FFF2-40B4-BE49-F238E27FC236}">
              <a16:creationId xmlns:a16="http://schemas.microsoft.com/office/drawing/2014/main" id="{00000000-0008-0000-1300-00002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Referral_Source" textlink="">
      <xdr:nvSpPr>
        <xdr:cNvPr id="46" name="Right Arrow 45">
          <a:extLst>
            <a:ext uri="{FF2B5EF4-FFF2-40B4-BE49-F238E27FC236}">
              <a16:creationId xmlns:a16="http://schemas.microsoft.com/office/drawing/2014/main" id="{00000000-0008-0000-1300-00002E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Assessments" textlink="">
      <xdr:nvSpPr>
        <xdr:cNvPr id="47" name="Right Arrow 50">
          <a:extLst>
            <a:ext uri="{FF2B5EF4-FFF2-40B4-BE49-F238E27FC236}">
              <a16:creationId xmlns:a16="http://schemas.microsoft.com/office/drawing/2014/main" id="{00000000-0008-0000-1300-00002F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xdr:colOff>
      <xdr:row>39</xdr:row>
      <xdr:rowOff>0</xdr:rowOff>
    </xdr:from>
    <xdr:to>
      <xdr:col>21</xdr:col>
      <xdr:colOff>1</xdr:colOff>
      <xdr:row>63</xdr:row>
      <xdr:rowOff>9526</xdr:rowOff>
    </xdr:to>
    <xdr:graphicFrame macro="">
      <xdr:nvGraphicFramePr>
        <xdr:cNvPr id="49" name="Chart 176">
          <a:extLst>
            <a:ext uri="{FF2B5EF4-FFF2-40B4-BE49-F238E27FC236}">
              <a16:creationId xmlns:a16="http://schemas.microsoft.com/office/drawing/2014/main" id="{00000000-0008-0000-13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48" name="Oval 2165">
          <a:extLst>
            <a:ext uri="{FF2B5EF4-FFF2-40B4-BE49-F238E27FC236}">
              <a16:creationId xmlns:a16="http://schemas.microsoft.com/office/drawing/2014/main" id="{00000000-0008-0000-1300-000030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50" name="Line 283">
          <a:extLst>
            <a:ext uri="{FF2B5EF4-FFF2-40B4-BE49-F238E27FC236}">
              <a16:creationId xmlns:a16="http://schemas.microsoft.com/office/drawing/2014/main" id="{00000000-0008-0000-1300-000032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51" name="Oval 2164">
          <a:extLst>
            <a:ext uri="{FF2B5EF4-FFF2-40B4-BE49-F238E27FC236}">
              <a16:creationId xmlns:a16="http://schemas.microsoft.com/office/drawing/2014/main" id="{00000000-0008-0000-1300-000033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52" name="Line 283">
          <a:extLst>
            <a:ext uri="{FF2B5EF4-FFF2-40B4-BE49-F238E27FC236}">
              <a16:creationId xmlns:a16="http://schemas.microsoft.com/office/drawing/2014/main" id="{00000000-0008-0000-1300-000034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22</xdr:col>
      <xdr:colOff>66675</xdr:colOff>
      <xdr:row>0</xdr:row>
      <xdr:rowOff>193416</xdr:rowOff>
    </xdr:from>
    <xdr:to>
      <xdr:col>22</xdr:col>
      <xdr:colOff>371475</xdr:colOff>
      <xdr:row>2</xdr:row>
      <xdr:rowOff>47625</xdr:rowOff>
    </xdr:to>
    <xdr:pic macro="[0]!Home">
      <xdr:nvPicPr>
        <xdr:cNvPr id="73" name="Picture 72">
          <a:extLst>
            <a:ext uri="{FF2B5EF4-FFF2-40B4-BE49-F238E27FC236}">
              <a16:creationId xmlns:a16="http://schemas.microsoft.com/office/drawing/2014/main" id="{00000000-0008-0000-1400-00004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xdr:from>
      <xdr:col>1</xdr:col>
      <xdr:colOff>0</xdr:colOff>
      <xdr:row>39</xdr:row>
      <xdr:rowOff>0</xdr:rowOff>
    </xdr:from>
    <xdr:to>
      <xdr:col>11</xdr:col>
      <xdr:colOff>0</xdr:colOff>
      <xdr:row>68</xdr:row>
      <xdr:rowOff>0</xdr:rowOff>
    </xdr:to>
    <xdr:graphicFrame macro="">
      <xdr:nvGraphicFramePr>
        <xdr:cNvPr id="6" name="Chart 13">
          <a:extLst>
            <a:ext uri="{FF2B5EF4-FFF2-40B4-BE49-F238E27FC236}">
              <a16:creationId xmlns:a16="http://schemas.microsoft.com/office/drawing/2014/main" id="{00000000-0008-0000-1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14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11" name="Chart 13">
          <a:extLst>
            <a:ext uri="{FF2B5EF4-FFF2-40B4-BE49-F238E27FC236}">
              <a16:creationId xmlns:a16="http://schemas.microsoft.com/office/drawing/2014/main" id="{00000000-0008-0000-1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95250</xdr:colOff>
          <xdr:row>39</xdr:row>
          <xdr:rowOff>38100</xdr:rowOff>
        </xdr:from>
        <xdr:to>
          <xdr:col>36</xdr:col>
          <xdr:colOff>66675</xdr:colOff>
          <xdr:row>41</xdr:row>
          <xdr:rowOff>19050</xdr:rowOff>
        </xdr:to>
        <xdr:sp macro="" textlink="">
          <xdr:nvSpPr>
            <xdr:cNvPr id="87041" name="Check Box 1" hidden="1">
              <a:extLst>
                <a:ext uri="{63B3BB69-23CF-44E3-9099-C40C66FF867C}">
                  <a14:compatExt spid="_x0000_s87041"/>
                </a:ext>
                <a:ext uri="{FF2B5EF4-FFF2-40B4-BE49-F238E27FC236}">
                  <a16:creationId xmlns:a16="http://schemas.microsoft.com/office/drawing/2014/main" id="{00000000-0008-0000-1400-000001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40</xdr:row>
          <xdr:rowOff>161925</xdr:rowOff>
        </xdr:from>
        <xdr:to>
          <xdr:col>36</xdr:col>
          <xdr:colOff>66675</xdr:colOff>
          <xdr:row>42</xdr:row>
          <xdr:rowOff>19050</xdr:rowOff>
        </xdr:to>
        <xdr:sp macro="" textlink="">
          <xdr:nvSpPr>
            <xdr:cNvPr id="87042" name="Check Box 2" hidden="1">
              <a:extLst>
                <a:ext uri="{63B3BB69-23CF-44E3-9099-C40C66FF867C}">
                  <a14:compatExt spid="_x0000_s87042"/>
                </a:ext>
                <a:ext uri="{FF2B5EF4-FFF2-40B4-BE49-F238E27FC236}">
                  <a16:creationId xmlns:a16="http://schemas.microsoft.com/office/drawing/2014/main" id="{00000000-0008-0000-1400-000002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41</xdr:row>
          <xdr:rowOff>161925</xdr:rowOff>
        </xdr:from>
        <xdr:to>
          <xdr:col>36</xdr:col>
          <xdr:colOff>66675</xdr:colOff>
          <xdr:row>43</xdr:row>
          <xdr:rowOff>19050</xdr:rowOff>
        </xdr:to>
        <xdr:sp macro="" textlink="">
          <xdr:nvSpPr>
            <xdr:cNvPr id="87043" name="Check Box 3" hidden="1">
              <a:extLst>
                <a:ext uri="{63B3BB69-23CF-44E3-9099-C40C66FF867C}">
                  <a14:compatExt spid="_x0000_s87043"/>
                </a:ext>
                <a:ext uri="{FF2B5EF4-FFF2-40B4-BE49-F238E27FC236}">
                  <a16:creationId xmlns:a16="http://schemas.microsoft.com/office/drawing/2014/main" id="{00000000-0008-0000-1400-000003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42</xdr:row>
          <xdr:rowOff>161925</xdr:rowOff>
        </xdr:from>
        <xdr:to>
          <xdr:col>36</xdr:col>
          <xdr:colOff>66675</xdr:colOff>
          <xdr:row>44</xdr:row>
          <xdr:rowOff>19050</xdr:rowOff>
        </xdr:to>
        <xdr:sp macro="" textlink="">
          <xdr:nvSpPr>
            <xdr:cNvPr id="87044" name="Check Box 4" hidden="1">
              <a:extLst>
                <a:ext uri="{63B3BB69-23CF-44E3-9099-C40C66FF867C}">
                  <a14:compatExt spid="_x0000_s87044"/>
                </a:ext>
                <a:ext uri="{FF2B5EF4-FFF2-40B4-BE49-F238E27FC236}">
                  <a16:creationId xmlns:a16="http://schemas.microsoft.com/office/drawing/2014/main" id="{00000000-0008-0000-1400-000004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43</xdr:row>
          <xdr:rowOff>161925</xdr:rowOff>
        </xdr:from>
        <xdr:to>
          <xdr:col>36</xdr:col>
          <xdr:colOff>66675</xdr:colOff>
          <xdr:row>45</xdr:row>
          <xdr:rowOff>19050</xdr:rowOff>
        </xdr:to>
        <xdr:sp macro="" textlink="">
          <xdr:nvSpPr>
            <xdr:cNvPr id="87045" name="Check Box 5" hidden="1">
              <a:extLst>
                <a:ext uri="{63B3BB69-23CF-44E3-9099-C40C66FF867C}">
                  <a14:compatExt spid="_x0000_s87045"/>
                </a:ext>
                <a:ext uri="{FF2B5EF4-FFF2-40B4-BE49-F238E27FC236}">
                  <a16:creationId xmlns:a16="http://schemas.microsoft.com/office/drawing/2014/main" id="{00000000-0008-0000-1400-000005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44</xdr:row>
          <xdr:rowOff>161925</xdr:rowOff>
        </xdr:from>
        <xdr:to>
          <xdr:col>36</xdr:col>
          <xdr:colOff>66675</xdr:colOff>
          <xdr:row>46</xdr:row>
          <xdr:rowOff>19050</xdr:rowOff>
        </xdr:to>
        <xdr:sp macro="" textlink="">
          <xdr:nvSpPr>
            <xdr:cNvPr id="87046" name="Check Box 6" hidden="1">
              <a:extLst>
                <a:ext uri="{63B3BB69-23CF-44E3-9099-C40C66FF867C}">
                  <a14:compatExt spid="_x0000_s87046"/>
                </a:ext>
                <a:ext uri="{FF2B5EF4-FFF2-40B4-BE49-F238E27FC236}">
                  <a16:creationId xmlns:a16="http://schemas.microsoft.com/office/drawing/2014/main" id="{00000000-0008-0000-1400-000006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45</xdr:row>
          <xdr:rowOff>161925</xdr:rowOff>
        </xdr:from>
        <xdr:to>
          <xdr:col>36</xdr:col>
          <xdr:colOff>66675</xdr:colOff>
          <xdr:row>47</xdr:row>
          <xdr:rowOff>19050</xdr:rowOff>
        </xdr:to>
        <xdr:sp macro="" textlink="">
          <xdr:nvSpPr>
            <xdr:cNvPr id="87047" name="Check Box 7" hidden="1">
              <a:extLst>
                <a:ext uri="{63B3BB69-23CF-44E3-9099-C40C66FF867C}">
                  <a14:compatExt spid="_x0000_s87047"/>
                </a:ext>
                <a:ext uri="{FF2B5EF4-FFF2-40B4-BE49-F238E27FC236}">
                  <a16:creationId xmlns:a16="http://schemas.microsoft.com/office/drawing/2014/main" id="{00000000-0008-0000-1400-000007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46</xdr:row>
          <xdr:rowOff>161925</xdr:rowOff>
        </xdr:from>
        <xdr:to>
          <xdr:col>36</xdr:col>
          <xdr:colOff>66675</xdr:colOff>
          <xdr:row>48</xdr:row>
          <xdr:rowOff>19050</xdr:rowOff>
        </xdr:to>
        <xdr:sp macro="" textlink="">
          <xdr:nvSpPr>
            <xdr:cNvPr id="87048" name="Check Box 8" hidden="1">
              <a:extLst>
                <a:ext uri="{63B3BB69-23CF-44E3-9099-C40C66FF867C}">
                  <a14:compatExt spid="_x0000_s87048"/>
                </a:ext>
                <a:ext uri="{FF2B5EF4-FFF2-40B4-BE49-F238E27FC236}">
                  <a16:creationId xmlns:a16="http://schemas.microsoft.com/office/drawing/2014/main" id="{00000000-0008-0000-1400-000008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47</xdr:row>
          <xdr:rowOff>161925</xdr:rowOff>
        </xdr:from>
        <xdr:to>
          <xdr:col>36</xdr:col>
          <xdr:colOff>66675</xdr:colOff>
          <xdr:row>49</xdr:row>
          <xdr:rowOff>19050</xdr:rowOff>
        </xdr:to>
        <xdr:sp macro="" textlink="">
          <xdr:nvSpPr>
            <xdr:cNvPr id="87049" name="Check Box 9" hidden="1">
              <a:extLst>
                <a:ext uri="{63B3BB69-23CF-44E3-9099-C40C66FF867C}">
                  <a14:compatExt spid="_x0000_s87049"/>
                </a:ext>
                <a:ext uri="{FF2B5EF4-FFF2-40B4-BE49-F238E27FC236}">
                  <a16:creationId xmlns:a16="http://schemas.microsoft.com/office/drawing/2014/main" id="{00000000-0008-0000-1400-000009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48</xdr:row>
          <xdr:rowOff>161925</xdr:rowOff>
        </xdr:from>
        <xdr:to>
          <xdr:col>36</xdr:col>
          <xdr:colOff>66675</xdr:colOff>
          <xdr:row>50</xdr:row>
          <xdr:rowOff>19050</xdr:rowOff>
        </xdr:to>
        <xdr:sp macro="" textlink="">
          <xdr:nvSpPr>
            <xdr:cNvPr id="87050" name="Check Box 10" hidden="1">
              <a:extLst>
                <a:ext uri="{63B3BB69-23CF-44E3-9099-C40C66FF867C}">
                  <a14:compatExt spid="_x0000_s87050"/>
                </a:ext>
                <a:ext uri="{FF2B5EF4-FFF2-40B4-BE49-F238E27FC236}">
                  <a16:creationId xmlns:a16="http://schemas.microsoft.com/office/drawing/2014/main" id="{00000000-0008-0000-1400-00000A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49</xdr:row>
          <xdr:rowOff>161925</xdr:rowOff>
        </xdr:from>
        <xdr:to>
          <xdr:col>36</xdr:col>
          <xdr:colOff>66675</xdr:colOff>
          <xdr:row>51</xdr:row>
          <xdr:rowOff>19050</xdr:rowOff>
        </xdr:to>
        <xdr:sp macro="" textlink="">
          <xdr:nvSpPr>
            <xdr:cNvPr id="87051" name="Check Box 11" hidden="1">
              <a:extLst>
                <a:ext uri="{63B3BB69-23CF-44E3-9099-C40C66FF867C}">
                  <a14:compatExt spid="_x0000_s87051"/>
                </a:ext>
                <a:ext uri="{FF2B5EF4-FFF2-40B4-BE49-F238E27FC236}">
                  <a16:creationId xmlns:a16="http://schemas.microsoft.com/office/drawing/2014/main" id="{00000000-0008-0000-1400-00000B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50</xdr:row>
          <xdr:rowOff>161925</xdr:rowOff>
        </xdr:from>
        <xdr:to>
          <xdr:col>36</xdr:col>
          <xdr:colOff>66675</xdr:colOff>
          <xdr:row>52</xdr:row>
          <xdr:rowOff>19050</xdr:rowOff>
        </xdr:to>
        <xdr:sp macro="" textlink="">
          <xdr:nvSpPr>
            <xdr:cNvPr id="87052" name="Check Box 12" hidden="1">
              <a:extLst>
                <a:ext uri="{63B3BB69-23CF-44E3-9099-C40C66FF867C}">
                  <a14:compatExt spid="_x0000_s87052"/>
                </a:ext>
                <a:ext uri="{FF2B5EF4-FFF2-40B4-BE49-F238E27FC236}">
                  <a16:creationId xmlns:a16="http://schemas.microsoft.com/office/drawing/2014/main" id="{00000000-0008-0000-1400-00000C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51</xdr:row>
          <xdr:rowOff>161925</xdr:rowOff>
        </xdr:from>
        <xdr:to>
          <xdr:col>36</xdr:col>
          <xdr:colOff>66675</xdr:colOff>
          <xdr:row>53</xdr:row>
          <xdr:rowOff>19050</xdr:rowOff>
        </xdr:to>
        <xdr:sp macro="" textlink="">
          <xdr:nvSpPr>
            <xdr:cNvPr id="87053" name="Check Box 13" hidden="1">
              <a:extLst>
                <a:ext uri="{63B3BB69-23CF-44E3-9099-C40C66FF867C}">
                  <a14:compatExt spid="_x0000_s87053"/>
                </a:ext>
                <a:ext uri="{FF2B5EF4-FFF2-40B4-BE49-F238E27FC236}">
                  <a16:creationId xmlns:a16="http://schemas.microsoft.com/office/drawing/2014/main" id="{00000000-0008-0000-1400-00000D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52</xdr:row>
          <xdr:rowOff>161925</xdr:rowOff>
        </xdr:from>
        <xdr:to>
          <xdr:col>36</xdr:col>
          <xdr:colOff>66675</xdr:colOff>
          <xdr:row>54</xdr:row>
          <xdr:rowOff>19050</xdr:rowOff>
        </xdr:to>
        <xdr:sp macro="" textlink="">
          <xdr:nvSpPr>
            <xdr:cNvPr id="87054" name="Check Box 14" hidden="1">
              <a:extLst>
                <a:ext uri="{63B3BB69-23CF-44E3-9099-C40C66FF867C}">
                  <a14:compatExt spid="_x0000_s87054"/>
                </a:ext>
                <a:ext uri="{FF2B5EF4-FFF2-40B4-BE49-F238E27FC236}">
                  <a16:creationId xmlns:a16="http://schemas.microsoft.com/office/drawing/2014/main" id="{00000000-0008-0000-1400-00000E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53</xdr:row>
          <xdr:rowOff>161925</xdr:rowOff>
        </xdr:from>
        <xdr:to>
          <xdr:col>36</xdr:col>
          <xdr:colOff>66675</xdr:colOff>
          <xdr:row>55</xdr:row>
          <xdr:rowOff>19050</xdr:rowOff>
        </xdr:to>
        <xdr:sp macro="" textlink="">
          <xdr:nvSpPr>
            <xdr:cNvPr id="87055" name="Check Box 15" hidden="1">
              <a:extLst>
                <a:ext uri="{63B3BB69-23CF-44E3-9099-C40C66FF867C}">
                  <a14:compatExt spid="_x0000_s87055"/>
                </a:ext>
                <a:ext uri="{FF2B5EF4-FFF2-40B4-BE49-F238E27FC236}">
                  <a16:creationId xmlns:a16="http://schemas.microsoft.com/office/drawing/2014/main" id="{00000000-0008-0000-1400-00000F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54</xdr:row>
          <xdr:rowOff>161925</xdr:rowOff>
        </xdr:from>
        <xdr:to>
          <xdr:col>36</xdr:col>
          <xdr:colOff>66675</xdr:colOff>
          <xdr:row>56</xdr:row>
          <xdr:rowOff>19050</xdr:rowOff>
        </xdr:to>
        <xdr:sp macro="" textlink="">
          <xdr:nvSpPr>
            <xdr:cNvPr id="87056" name="Check Box 16" hidden="1">
              <a:extLst>
                <a:ext uri="{63B3BB69-23CF-44E3-9099-C40C66FF867C}">
                  <a14:compatExt spid="_x0000_s87056"/>
                </a:ext>
                <a:ext uri="{FF2B5EF4-FFF2-40B4-BE49-F238E27FC236}">
                  <a16:creationId xmlns:a16="http://schemas.microsoft.com/office/drawing/2014/main" id="{00000000-0008-0000-1400-000010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57</xdr:row>
          <xdr:rowOff>161925</xdr:rowOff>
        </xdr:from>
        <xdr:to>
          <xdr:col>36</xdr:col>
          <xdr:colOff>66675</xdr:colOff>
          <xdr:row>59</xdr:row>
          <xdr:rowOff>19050</xdr:rowOff>
        </xdr:to>
        <xdr:sp macro="" textlink="">
          <xdr:nvSpPr>
            <xdr:cNvPr id="87057" name="Check Box 17" hidden="1">
              <a:extLst>
                <a:ext uri="{63B3BB69-23CF-44E3-9099-C40C66FF867C}">
                  <a14:compatExt spid="_x0000_s87057"/>
                </a:ext>
                <a:ext uri="{FF2B5EF4-FFF2-40B4-BE49-F238E27FC236}">
                  <a16:creationId xmlns:a16="http://schemas.microsoft.com/office/drawing/2014/main" id="{00000000-0008-0000-1400-000011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58</xdr:row>
          <xdr:rowOff>161925</xdr:rowOff>
        </xdr:from>
        <xdr:to>
          <xdr:col>36</xdr:col>
          <xdr:colOff>66675</xdr:colOff>
          <xdr:row>60</xdr:row>
          <xdr:rowOff>19050</xdr:rowOff>
        </xdr:to>
        <xdr:sp macro="" textlink="">
          <xdr:nvSpPr>
            <xdr:cNvPr id="87058" name="Check Box 18" hidden="1">
              <a:extLst>
                <a:ext uri="{63B3BB69-23CF-44E3-9099-C40C66FF867C}">
                  <a14:compatExt spid="_x0000_s87058"/>
                </a:ext>
                <a:ext uri="{FF2B5EF4-FFF2-40B4-BE49-F238E27FC236}">
                  <a16:creationId xmlns:a16="http://schemas.microsoft.com/office/drawing/2014/main" id="{00000000-0008-0000-1400-000012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59</xdr:row>
          <xdr:rowOff>161925</xdr:rowOff>
        </xdr:from>
        <xdr:to>
          <xdr:col>36</xdr:col>
          <xdr:colOff>66675</xdr:colOff>
          <xdr:row>61</xdr:row>
          <xdr:rowOff>19050</xdr:rowOff>
        </xdr:to>
        <xdr:sp macro="" textlink="">
          <xdr:nvSpPr>
            <xdr:cNvPr id="87059" name="Check Box 19" hidden="1">
              <a:extLst>
                <a:ext uri="{63B3BB69-23CF-44E3-9099-C40C66FF867C}">
                  <a14:compatExt spid="_x0000_s87059"/>
                </a:ext>
                <a:ext uri="{FF2B5EF4-FFF2-40B4-BE49-F238E27FC236}">
                  <a16:creationId xmlns:a16="http://schemas.microsoft.com/office/drawing/2014/main" id="{00000000-0008-0000-1400-000013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60</xdr:row>
          <xdr:rowOff>161925</xdr:rowOff>
        </xdr:from>
        <xdr:to>
          <xdr:col>36</xdr:col>
          <xdr:colOff>66675</xdr:colOff>
          <xdr:row>62</xdr:row>
          <xdr:rowOff>19050</xdr:rowOff>
        </xdr:to>
        <xdr:sp macro="" textlink="">
          <xdr:nvSpPr>
            <xdr:cNvPr id="87060" name="Check Box 20" hidden="1">
              <a:extLst>
                <a:ext uri="{63B3BB69-23CF-44E3-9099-C40C66FF867C}">
                  <a14:compatExt spid="_x0000_s87060"/>
                </a:ext>
                <a:ext uri="{FF2B5EF4-FFF2-40B4-BE49-F238E27FC236}">
                  <a16:creationId xmlns:a16="http://schemas.microsoft.com/office/drawing/2014/main" id="{00000000-0008-0000-1400-000014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61</xdr:row>
          <xdr:rowOff>161925</xdr:rowOff>
        </xdr:from>
        <xdr:to>
          <xdr:col>36</xdr:col>
          <xdr:colOff>66675</xdr:colOff>
          <xdr:row>63</xdr:row>
          <xdr:rowOff>19050</xdr:rowOff>
        </xdr:to>
        <xdr:sp macro="" textlink="">
          <xdr:nvSpPr>
            <xdr:cNvPr id="87061" name="Check Box 21" hidden="1">
              <a:extLst>
                <a:ext uri="{63B3BB69-23CF-44E3-9099-C40C66FF867C}">
                  <a14:compatExt spid="_x0000_s87061"/>
                </a:ext>
                <a:ext uri="{FF2B5EF4-FFF2-40B4-BE49-F238E27FC236}">
                  <a16:creationId xmlns:a16="http://schemas.microsoft.com/office/drawing/2014/main" id="{00000000-0008-0000-1400-000015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55</xdr:row>
          <xdr:rowOff>161925</xdr:rowOff>
        </xdr:from>
        <xdr:to>
          <xdr:col>36</xdr:col>
          <xdr:colOff>66675</xdr:colOff>
          <xdr:row>57</xdr:row>
          <xdr:rowOff>19050</xdr:rowOff>
        </xdr:to>
        <xdr:sp macro="" textlink="">
          <xdr:nvSpPr>
            <xdr:cNvPr id="87062" name="Check Box 22" hidden="1">
              <a:extLst>
                <a:ext uri="{63B3BB69-23CF-44E3-9099-C40C66FF867C}">
                  <a14:compatExt spid="_x0000_s87062"/>
                </a:ext>
                <a:ext uri="{FF2B5EF4-FFF2-40B4-BE49-F238E27FC236}">
                  <a16:creationId xmlns:a16="http://schemas.microsoft.com/office/drawing/2014/main" id="{00000000-0008-0000-1400-000016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56</xdr:row>
          <xdr:rowOff>161925</xdr:rowOff>
        </xdr:from>
        <xdr:to>
          <xdr:col>36</xdr:col>
          <xdr:colOff>66675</xdr:colOff>
          <xdr:row>58</xdr:row>
          <xdr:rowOff>19050</xdr:rowOff>
        </xdr:to>
        <xdr:sp macro="" textlink="">
          <xdr:nvSpPr>
            <xdr:cNvPr id="87063" name="Check Box 23" hidden="1">
              <a:extLst>
                <a:ext uri="{63B3BB69-23CF-44E3-9099-C40C66FF867C}">
                  <a14:compatExt spid="_x0000_s87063"/>
                </a:ext>
                <a:ext uri="{FF2B5EF4-FFF2-40B4-BE49-F238E27FC236}">
                  <a16:creationId xmlns:a16="http://schemas.microsoft.com/office/drawing/2014/main" id="{00000000-0008-0000-1400-000017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62</xdr:row>
          <xdr:rowOff>161925</xdr:rowOff>
        </xdr:from>
        <xdr:to>
          <xdr:col>36</xdr:col>
          <xdr:colOff>66675</xdr:colOff>
          <xdr:row>64</xdr:row>
          <xdr:rowOff>19050</xdr:rowOff>
        </xdr:to>
        <xdr:sp macro="" textlink="">
          <xdr:nvSpPr>
            <xdr:cNvPr id="87064" name="Check Box 24" hidden="1">
              <a:extLst>
                <a:ext uri="{63B3BB69-23CF-44E3-9099-C40C66FF867C}">
                  <a14:compatExt spid="_x0000_s87064"/>
                </a:ext>
                <a:ext uri="{FF2B5EF4-FFF2-40B4-BE49-F238E27FC236}">
                  <a16:creationId xmlns:a16="http://schemas.microsoft.com/office/drawing/2014/main" id="{00000000-0008-0000-1400-000018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107</xdr:row>
      <xdr:rowOff>0</xdr:rowOff>
    </xdr:from>
    <xdr:to>
      <xdr:col>21</xdr:col>
      <xdr:colOff>0</xdr:colOff>
      <xdr:row>139</xdr:row>
      <xdr:rowOff>0</xdr:rowOff>
    </xdr:to>
    <xdr:graphicFrame macro="">
      <xdr:nvGraphicFramePr>
        <xdr:cNvPr id="58" name="Chart 13">
          <a:extLst>
            <a:ext uri="{FF2B5EF4-FFF2-40B4-BE49-F238E27FC236}">
              <a16:creationId xmlns:a16="http://schemas.microsoft.com/office/drawing/2014/main" id="{00000000-0008-0000-14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126000</xdr:colOff>
      <xdr:row>72</xdr:row>
      <xdr:rowOff>0</xdr:rowOff>
    </xdr:from>
    <xdr:to>
      <xdr:col>21</xdr:col>
      <xdr:colOff>0</xdr:colOff>
      <xdr:row>103</xdr:row>
      <xdr:rowOff>0</xdr:rowOff>
    </xdr:to>
    <xdr:graphicFrame macro="">
      <xdr:nvGraphicFramePr>
        <xdr:cNvPr id="59" name="Chart 176">
          <a:extLst>
            <a:ext uri="{FF2B5EF4-FFF2-40B4-BE49-F238E27FC236}">
              <a16:creationId xmlns:a16="http://schemas.microsoft.com/office/drawing/2014/main" id="{00000000-0008-0000-14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60" name="Chart 764">
          <a:extLst>
            <a:ext uri="{FF2B5EF4-FFF2-40B4-BE49-F238E27FC236}">
              <a16:creationId xmlns:a16="http://schemas.microsoft.com/office/drawing/2014/main" id="{00000000-0008-0000-14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136</xdr:row>
      <xdr:rowOff>0</xdr:rowOff>
    </xdr:from>
    <xdr:to>
      <xdr:col>8</xdr:col>
      <xdr:colOff>0</xdr:colOff>
      <xdr:row>139</xdr:row>
      <xdr:rowOff>0</xdr:rowOff>
    </xdr:to>
    <xdr:graphicFrame macro="">
      <xdr:nvGraphicFramePr>
        <xdr:cNvPr id="63" name="Chart 13">
          <a:extLst>
            <a:ext uri="{FF2B5EF4-FFF2-40B4-BE49-F238E27FC236}">
              <a16:creationId xmlns:a16="http://schemas.microsoft.com/office/drawing/2014/main" id="{00000000-0008-0000-14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0</xdr:colOff>
      <xdr:row>143</xdr:row>
      <xdr:rowOff>104774</xdr:rowOff>
    </xdr:from>
    <xdr:to>
      <xdr:col>21</xdr:col>
      <xdr:colOff>0</xdr:colOff>
      <xdr:row>173</xdr:row>
      <xdr:rowOff>476249</xdr:rowOff>
    </xdr:to>
    <xdr:graphicFrame macro="">
      <xdr:nvGraphicFramePr>
        <xdr:cNvPr id="56" name="Chart 13">
          <a:extLst>
            <a:ext uri="{FF2B5EF4-FFF2-40B4-BE49-F238E27FC236}">
              <a16:creationId xmlns:a16="http://schemas.microsoft.com/office/drawing/2014/main" id="{00000000-0008-0000-14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95250</xdr:colOff>
      <xdr:row>175</xdr:row>
      <xdr:rowOff>47625</xdr:rowOff>
    </xdr:from>
    <xdr:ext cx="252000" cy="252000"/>
    <xdr:sp macro="[0]!Assessments" textlink="">
      <xdr:nvSpPr>
        <xdr:cNvPr id="67" name="Down Arrow 44">
          <a:extLst>
            <a:ext uri="{FF2B5EF4-FFF2-40B4-BE49-F238E27FC236}">
              <a16:creationId xmlns:a16="http://schemas.microsoft.com/office/drawing/2014/main" id="{00000000-0008-0000-1400-000043000000}"/>
            </a:ext>
          </a:extLst>
        </xdr:cNvPr>
        <xdr:cNvSpPr>
          <a:spLocks noChangeArrowheads="1"/>
        </xdr:cNvSpPr>
      </xdr:nvSpPr>
      <xdr:spPr bwMode="auto">
        <a:xfrm flipV="1">
          <a:off x="9277350" y="334327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140</xdr:row>
      <xdr:rowOff>47625</xdr:rowOff>
    </xdr:from>
    <xdr:ext cx="252000" cy="252000"/>
    <xdr:sp macro="[0]!Assessments" textlink="">
      <xdr:nvSpPr>
        <xdr:cNvPr id="68" name="Down Arrow 44">
          <a:extLst>
            <a:ext uri="{FF2B5EF4-FFF2-40B4-BE49-F238E27FC236}">
              <a16:creationId xmlns:a16="http://schemas.microsoft.com/office/drawing/2014/main" id="{00000000-0008-0000-1400-000044000000}"/>
            </a:ext>
          </a:extLst>
        </xdr:cNvPr>
        <xdr:cNvSpPr>
          <a:spLocks noChangeArrowheads="1"/>
        </xdr:cNvSpPr>
      </xdr:nvSpPr>
      <xdr:spPr bwMode="auto">
        <a:xfrm flipV="1">
          <a:off x="9277350" y="266890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104</xdr:row>
      <xdr:rowOff>47625</xdr:rowOff>
    </xdr:from>
    <xdr:ext cx="252000" cy="252000"/>
    <xdr:sp macro="[0]!Assessments" textlink="">
      <xdr:nvSpPr>
        <xdr:cNvPr id="70" name="Down Arrow 44">
          <a:extLst>
            <a:ext uri="{FF2B5EF4-FFF2-40B4-BE49-F238E27FC236}">
              <a16:creationId xmlns:a16="http://schemas.microsoft.com/office/drawing/2014/main" id="{00000000-0008-0000-1400-000046000000}"/>
            </a:ext>
          </a:extLst>
        </xdr:cNvPr>
        <xdr:cNvSpPr>
          <a:spLocks noChangeArrowheads="1"/>
        </xdr:cNvSpPr>
      </xdr:nvSpPr>
      <xdr:spPr bwMode="auto">
        <a:xfrm flipV="1">
          <a:off x="9277350" y="199453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69</xdr:row>
      <xdr:rowOff>47625</xdr:rowOff>
    </xdr:from>
    <xdr:ext cx="252000" cy="252000"/>
    <xdr:sp macro="[0]!Assessments" textlink="">
      <xdr:nvSpPr>
        <xdr:cNvPr id="71" name="Down Arrow 44">
          <a:extLst>
            <a:ext uri="{FF2B5EF4-FFF2-40B4-BE49-F238E27FC236}">
              <a16:creationId xmlns:a16="http://schemas.microsoft.com/office/drawing/2014/main" id="{00000000-0008-0000-1400-000047000000}"/>
            </a:ext>
          </a:extLst>
        </xdr:cNvPr>
        <xdr:cNvSpPr>
          <a:spLocks noChangeArrowheads="1"/>
        </xdr:cNvSpPr>
      </xdr:nvSpPr>
      <xdr:spPr bwMode="auto">
        <a:xfrm flipV="1">
          <a:off x="9277350" y="132016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36</xdr:row>
      <xdr:rowOff>38100</xdr:rowOff>
    </xdr:from>
    <xdr:ext cx="252000" cy="252000"/>
    <xdr:sp macro="[0]!Assessments" textlink="">
      <xdr:nvSpPr>
        <xdr:cNvPr id="72" name="Down Arrow 44">
          <a:extLst>
            <a:ext uri="{FF2B5EF4-FFF2-40B4-BE49-F238E27FC236}">
              <a16:creationId xmlns:a16="http://schemas.microsoft.com/office/drawing/2014/main" id="{00000000-0008-0000-1400-000048000000}"/>
            </a:ext>
          </a:extLst>
        </xdr:cNvPr>
        <xdr:cNvSpPr>
          <a:spLocks noChangeArrowheads="1"/>
        </xdr:cNvSpPr>
      </xdr:nvSpPr>
      <xdr:spPr bwMode="auto">
        <a:xfrm flipV="1">
          <a:off x="9277350" y="64484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22</xdr:col>
      <xdr:colOff>57150</xdr:colOff>
      <xdr:row>3</xdr:row>
      <xdr:rowOff>0</xdr:rowOff>
    </xdr:from>
    <xdr:to>
      <xdr:col>22</xdr:col>
      <xdr:colOff>304800</xdr:colOff>
      <xdr:row>4</xdr:row>
      <xdr:rowOff>133350</xdr:rowOff>
    </xdr:to>
    <xdr:sp macro="[0]!Re_referrals" textlink="">
      <xdr:nvSpPr>
        <xdr:cNvPr id="52" name="Right Arrow 51">
          <a:extLst>
            <a:ext uri="{FF2B5EF4-FFF2-40B4-BE49-F238E27FC236}">
              <a16:creationId xmlns:a16="http://schemas.microsoft.com/office/drawing/2014/main" id="{00000000-0008-0000-1400-000034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CiN" textlink="">
      <xdr:nvSpPr>
        <xdr:cNvPr id="53" name="Right Arrow 50">
          <a:extLst>
            <a:ext uri="{FF2B5EF4-FFF2-40B4-BE49-F238E27FC236}">
              <a16:creationId xmlns:a16="http://schemas.microsoft.com/office/drawing/2014/main" id="{00000000-0008-0000-1400-000035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38</xdr:row>
      <xdr:rowOff>142874</xdr:rowOff>
    </xdr:from>
    <xdr:to>
      <xdr:col>21</xdr:col>
      <xdr:colOff>0</xdr:colOff>
      <xdr:row>63</xdr:row>
      <xdr:rowOff>0</xdr:rowOff>
    </xdr:to>
    <xdr:graphicFrame macro="">
      <xdr:nvGraphicFramePr>
        <xdr:cNvPr id="61" name="Chart 176">
          <a:extLst>
            <a:ext uri="{FF2B5EF4-FFF2-40B4-BE49-F238E27FC236}">
              <a16:creationId xmlns:a16="http://schemas.microsoft.com/office/drawing/2014/main" id="{00000000-0008-0000-14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69" name="Oval 2165">
          <a:extLst>
            <a:ext uri="{FF2B5EF4-FFF2-40B4-BE49-F238E27FC236}">
              <a16:creationId xmlns:a16="http://schemas.microsoft.com/office/drawing/2014/main" id="{00000000-0008-0000-1400-000045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74" name="Line 283">
          <a:extLst>
            <a:ext uri="{FF2B5EF4-FFF2-40B4-BE49-F238E27FC236}">
              <a16:creationId xmlns:a16="http://schemas.microsoft.com/office/drawing/2014/main" id="{00000000-0008-0000-1400-00004A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75" name="Oval 2164">
          <a:extLst>
            <a:ext uri="{FF2B5EF4-FFF2-40B4-BE49-F238E27FC236}">
              <a16:creationId xmlns:a16="http://schemas.microsoft.com/office/drawing/2014/main" id="{00000000-0008-0000-1400-00004B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76" name="Line 283">
          <a:extLst>
            <a:ext uri="{FF2B5EF4-FFF2-40B4-BE49-F238E27FC236}">
              <a16:creationId xmlns:a16="http://schemas.microsoft.com/office/drawing/2014/main" id="{00000000-0008-0000-1400-00004C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353600</xdr:colOff>
      <xdr:row>37</xdr:row>
      <xdr:rowOff>95250</xdr:rowOff>
    </xdr:to>
    <xdr:sp macro="[0]!CiN" textlink="">
      <xdr:nvSpPr>
        <xdr:cNvPr id="2" name="Down Arrow 44">
          <a:extLst>
            <a:ext uri="{FF2B5EF4-FFF2-40B4-BE49-F238E27FC236}">
              <a16:creationId xmlns:a16="http://schemas.microsoft.com/office/drawing/2014/main" id="{00000000-0008-0000-15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CiN" textlink="">
      <xdr:nvSpPr>
        <xdr:cNvPr id="3" name="Down Arrow 2">
          <a:extLst>
            <a:ext uri="{FF2B5EF4-FFF2-40B4-BE49-F238E27FC236}">
              <a16:creationId xmlns:a16="http://schemas.microsoft.com/office/drawing/2014/main" id="{00000000-0008-0000-15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1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15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11" name="Chart 13">
          <a:extLst>
            <a:ext uri="{FF2B5EF4-FFF2-40B4-BE49-F238E27FC236}">
              <a16:creationId xmlns:a16="http://schemas.microsoft.com/office/drawing/2014/main" id="{00000000-0008-0000-15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38100</xdr:rowOff>
        </xdr:from>
        <xdr:to>
          <xdr:col>36</xdr:col>
          <xdr:colOff>47625</xdr:colOff>
          <xdr:row>41</xdr:row>
          <xdr:rowOff>19050</xdr:rowOff>
        </xdr:to>
        <xdr:sp macro="" textlink="">
          <xdr:nvSpPr>
            <xdr:cNvPr id="96257" name="Check Box 1" hidden="1">
              <a:extLst>
                <a:ext uri="{63B3BB69-23CF-44E3-9099-C40C66FF867C}">
                  <a14:compatExt spid="_x0000_s96257"/>
                </a:ext>
                <a:ext uri="{FF2B5EF4-FFF2-40B4-BE49-F238E27FC236}">
                  <a16:creationId xmlns:a16="http://schemas.microsoft.com/office/drawing/2014/main" id="{00000000-0008-0000-1500-000001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161925</xdr:rowOff>
        </xdr:from>
        <xdr:to>
          <xdr:col>36</xdr:col>
          <xdr:colOff>47625</xdr:colOff>
          <xdr:row>42</xdr:row>
          <xdr:rowOff>19050</xdr:rowOff>
        </xdr:to>
        <xdr:sp macro="" textlink="">
          <xdr:nvSpPr>
            <xdr:cNvPr id="96258" name="Check Box 2" hidden="1">
              <a:extLst>
                <a:ext uri="{63B3BB69-23CF-44E3-9099-C40C66FF867C}">
                  <a14:compatExt spid="_x0000_s96258"/>
                </a:ext>
                <a:ext uri="{FF2B5EF4-FFF2-40B4-BE49-F238E27FC236}">
                  <a16:creationId xmlns:a16="http://schemas.microsoft.com/office/drawing/2014/main" id="{00000000-0008-0000-1500-000002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161925</xdr:rowOff>
        </xdr:from>
        <xdr:to>
          <xdr:col>36</xdr:col>
          <xdr:colOff>47625</xdr:colOff>
          <xdr:row>43</xdr:row>
          <xdr:rowOff>19050</xdr:rowOff>
        </xdr:to>
        <xdr:sp macro="" textlink="">
          <xdr:nvSpPr>
            <xdr:cNvPr id="96259" name="Check Box 3" hidden="1">
              <a:extLst>
                <a:ext uri="{63B3BB69-23CF-44E3-9099-C40C66FF867C}">
                  <a14:compatExt spid="_x0000_s96259"/>
                </a:ext>
                <a:ext uri="{FF2B5EF4-FFF2-40B4-BE49-F238E27FC236}">
                  <a16:creationId xmlns:a16="http://schemas.microsoft.com/office/drawing/2014/main" id="{00000000-0008-0000-1500-000003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161925</xdr:rowOff>
        </xdr:from>
        <xdr:to>
          <xdr:col>36</xdr:col>
          <xdr:colOff>47625</xdr:colOff>
          <xdr:row>44</xdr:row>
          <xdr:rowOff>19050</xdr:rowOff>
        </xdr:to>
        <xdr:sp macro="" textlink="">
          <xdr:nvSpPr>
            <xdr:cNvPr id="96260" name="Check Box 4" hidden="1">
              <a:extLst>
                <a:ext uri="{63B3BB69-23CF-44E3-9099-C40C66FF867C}">
                  <a14:compatExt spid="_x0000_s96260"/>
                </a:ext>
                <a:ext uri="{FF2B5EF4-FFF2-40B4-BE49-F238E27FC236}">
                  <a16:creationId xmlns:a16="http://schemas.microsoft.com/office/drawing/2014/main" id="{00000000-0008-0000-1500-000004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161925</xdr:rowOff>
        </xdr:from>
        <xdr:to>
          <xdr:col>36</xdr:col>
          <xdr:colOff>47625</xdr:colOff>
          <xdr:row>45</xdr:row>
          <xdr:rowOff>19050</xdr:rowOff>
        </xdr:to>
        <xdr:sp macro="" textlink="">
          <xdr:nvSpPr>
            <xdr:cNvPr id="96261" name="Check Box 5" hidden="1">
              <a:extLst>
                <a:ext uri="{63B3BB69-23CF-44E3-9099-C40C66FF867C}">
                  <a14:compatExt spid="_x0000_s96261"/>
                </a:ext>
                <a:ext uri="{FF2B5EF4-FFF2-40B4-BE49-F238E27FC236}">
                  <a16:creationId xmlns:a16="http://schemas.microsoft.com/office/drawing/2014/main" id="{00000000-0008-0000-1500-000005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161925</xdr:rowOff>
        </xdr:from>
        <xdr:to>
          <xdr:col>36</xdr:col>
          <xdr:colOff>47625</xdr:colOff>
          <xdr:row>46</xdr:row>
          <xdr:rowOff>19050</xdr:rowOff>
        </xdr:to>
        <xdr:sp macro="" textlink="">
          <xdr:nvSpPr>
            <xdr:cNvPr id="96262" name="Check Box 6" hidden="1">
              <a:extLst>
                <a:ext uri="{63B3BB69-23CF-44E3-9099-C40C66FF867C}">
                  <a14:compatExt spid="_x0000_s96262"/>
                </a:ext>
                <a:ext uri="{FF2B5EF4-FFF2-40B4-BE49-F238E27FC236}">
                  <a16:creationId xmlns:a16="http://schemas.microsoft.com/office/drawing/2014/main" id="{00000000-0008-0000-1500-000006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161925</xdr:rowOff>
        </xdr:from>
        <xdr:to>
          <xdr:col>36</xdr:col>
          <xdr:colOff>47625</xdr:colOff>
          <xdr:row>47</xdr:row>
          <xdr:rowOff>19050</xdr:rowOff>
        </xdr:to>
        <xdr:sp macro="" textlink="">
          <xdr:nvSpPr>
            <xdr:cNvPr id="96263" name="Check Box 7" hidden="1">
              <a:extLst>
                <a:ext uri="{63B3BB69-23CF-44E3-9099-C40C66FF867C}">
                  <a14:compatExt spid="_x0000_s96263"/>
                </a:ext>
                <a:ext uri="{FF2B5EF4-FFF2-40B4-BE49-F238E27FC236}">
                  <a16:creationId xmlns:a16="http://schemas.microsoft.com/office/drawing/2014/main" id="{00000000-0008-0000-1500-000007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161925</xdr:rowOff>
        </xdr:from>
        <xdr:to>
          <xdr:col>36</xdr:col>
          <xdr:colOff>47625</xdr:colOff>
          <xdr:row>48</xdr:row>
          <xdr:rowOff>19050</xdr:rowOff>
        </xdr:to>
        <xdr:sp macro="" textlink="">
          <xdr:nvSpPr>
            <xdr:cNvPr id="96264" name="Check Box 8" hidden="1">
              <a:extLst>
                <a:ext uri="{63B3BB69-23CF-44E3-9099-C40C66FF867C}">
                  <a14:compatExt spid="_x0000_s96264"/>
                </a:ext>
                <a:ext uri="{FF2B5EF4-FFF2-40B4-BE49-F238E27FC236}">
                  <a16:creationId xmlns:a16="http://schemas.microsoft.com/office/drawing/2014/main" id="{00000000-0008-0000-1500-000008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161925</xdr:rowOff>
        </xdr:from>
        <xdr:to>
          <xdr:col>36</xdr:col>
          <xdr:colOff>47625</xdr:colOff>
          <xdr:row>49</xdr:row>
          <xdr:rowOff>19050</xdr:rowOff>
        </xdr:to>
        <xdr:sp macro="" textlink="">
          <xdr:nvSpPr>
            <xdr:cNvPr id="96265" name="Check Box 9" hidden="1">
              <a:extLst>
                <a:ext uri="{63B3BB69-23CF-44E3-9099-C40C66FF867C}">
                  <a14:compatExt spid="_x0000_s96265"/>
                </a:ext>
                <a:ext uri="{FF2B5EF4-FFF2-40B4-BE49-F238E27FC236}">
                  <a16:creationId xmlns:a16="http://schemas.microsoft.com/office/drawing/2014/main" id="{00000000-0008-0000-1500-000009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161925</xdr:rowOff>
        </xdr:from>
        <xdr:to>
          <xdr:col>36</xdr:col>
          <xdr:colOff>47625</xdr:colOff>
          <xdr:row>50</xdr:row>
          <xdr:rowOff>19050</xdr:rowOff>
        </xdr:to>
        <xdr:sp macro="" textlink="">
          <xdr:nvSpPr>
            <xdr:cNvPr id="96266" name="Check Box 10" hidden="1">
              <a:extLst>
                <a:ext uri="{63B3BB69-23CF-44E3-9099-C40C66FF867C}">
                  <a14:compatExt spid="_x0000_s96266"/>
                </a:ext>
                <a:ext uri="{FF2B5EF4-FFF2-40B4-BE49-F238E27FC236}">
                  <a16:creationId xmlns:a16="http://schemas.microsoft.com/office/drawing/2014/main" id="{00000000-0008-0000-1500-00000A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161925</xdr:rowOff>
        </xdr:from>
        <xdr:to>
          <xdr:col>36</xdr:col>
          <xdr:colOff>47625</xdr:colOff>
          <xdr:row>51</xdr:row>
          <xdr:rowOff>19050</xdr:rowOff>
        </xdr:to>
        <xdr:sp macro="" textlink="">
          <xdr:nvSpPr>
            <xdr:cNvPr id="96267" name="Check Box 11" hidden="1">
              <a:extLst>
                <a:ext uri="{63B3BB69-23CF-44E3-9099-C40C66FF867C}">
                  <a14:compatExt spid="_x0000_s96267"/>
                </a:ext>
                <a:ext uri="{FF2B5EF4-FFF2-40B4-BE49-F238E27FC236}">
                  <a16:creationId xmlns:a16="http://schemas.microsoft.com/office/drawing/2014/main" id="{00000000-0008-0000-1500-00000B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161925</xdr:rowOff>
        </xdr:from>
        <xdr:to>
          <xdr:col>36</xdr:col>
          <xdr:colOff>47625</xdr:colOff>
          <xdr:row>52</xdr:row>
          <xdr:rowOff>19050</xdr:rowOff>
        </xdr:to>
        <xdr:sp macro="" textlink="">
          <xdr:nvSpPr>
            <xdr:cNvPr id="96268" name="Check Box 12" hidden="1">
              <a:extLst>
                <a:ext uri="{63B3BB69-23CF-44E3-9099-C40C66FF867C}">
                  <a14:compatExt spid="_x0000_s96268"/>
                </a:ext>
                <a:ext uri="{FF2B5EF4-FFF2-40B4-BE49-F238E27FC236}">
                  <a16:creationId xmlns:a16="http://schemas.microsoft.com/office/drawing/2014/main" id="{00000000-0008-0000-1500-00000C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161925</xdr:rowOff>
        </xdr:from>
        <xdr:to>
          <xdr:col>36</xdr:col>
          <xdr:colOff>47625</xdr:colOff>
          <xdr:row>53</xdr:row>
          <xdr:rowOff>19050</xdr:rowOff>
        </xdr:to>
        <xdr:sp macro="" textlink="">
          <xdr:nvSpPr>
            <xdr:cNvPr id="96269" name="Check Box 13" hidden="1">
              <a:extLst>
                <a:ext uri="{63B3BB69-23CF-44E3-9099-C40C66FF867C}">
                  <a14:compatExt spid="_x0000_s96269"/>
                </a:ext>
                <a:ext uri="{FF2B5EF4-FFF2-40B4-BE49-F238E27FC236}">
                  <a16:creationId xmlns:a16="http://schemas.microsoft.com/office/drawing/2014/main" id="{00000000-0008-0000-1500-00000D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161925</xdr:rowOff>
        </xdr:from>
        <xdr:to>
          <xdr:col>36</xdr:col>
          <xdr:colOff>47625</xdr:colOff>
          <xdr:row>54</xdr:row>
          <xdr:rowOff>19050</xdr:rowOff>
        </xdr:to>
        <xdr:sp macro="" textlink="">
          <xdr:nvSpPr>
            <xdr:cNvPr id="96270" name="Check Box 14" hidden="1">
              <a:extLst>
                <a:ext uri="{63B3BB69-23CF-44E3-9099-C40C66FF867C}">
                  <a14:compatExt spid="_x0000_s96270"/>
                </a:ext>
                <a:ext uri="{FF2B5EF4-FFF2-40B4-BE49-F238E27FC236}">
                  <a16:creationId xmlns:a16="http://schemas.microsoft.com/office/drawing/2014/main" id="{00000000-0008-0000-1500-00000E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161925</xdr:rowOff>
        </xdr:from>
        <xdr:to>
          <xdr:col>36</xdr:col>
          <xdr:colOff>47625</xdr:colOff>
          <xdr:row>55</xdr:row>
          <xdr:rowOff>19050</xdr:rowOff>
        </xdr:to>
        <xdr:sp macro="" textlink="">
          <xdr:nvSpPr>
            <xdr:cNvPr id="96271" name="Check Box 15" hidden="1">
              <a:extLst>
                <a:ext uri="{63B3BB69-23CF-44E3-9099-C40C66FF867C}">
                  <a14:compatExt spid="_x0000_s96271"/>
                </a:ext>
                <a:ext uri="{FF2B5EF4-FFF2-40B4-BE49-F238E27FC236}">
                  <a16:creationId xmlns:a16="http://schemas.microsoft.com/office/drawing/2014/main" id="{00000000-0008-0000-1500-00000F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161925</xdr:rowOff>
        </xdr:from>
        <xdr:to>
          <xdr:col>36</xdr:col>
          <xdr:colOff>47625</xdr:colOff>
          <xdr:row>56</xdr:row>
          <xdr:rowOff>19050</xdr:rowOff>
        </xdr:to>
        <xdr:sp macro="" textlink="">
          <xdr:nvSpPr>
            <xdr:cNvPr id="96272" name="Check Box 16" hidden="1">
              <a:extLst>
                <a:ext uri="{63B3BB69-23CF-44E3-9099-C40C66FF867C}">
                  <a14:compatExt spid="_x0000_s96272"/>
                </a:ext>
                <a:ext uri="{FF2B5EF4-FFF2-40B4-BE49-F238E27FC236}">
                  <a16:creationId xmlns:a16="http://schemas.microsoft.com/office/drawing/2014/main" id="{00000000-0008-0000-1500-000010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161925</xdr:rowOff>
        </xdr:from>
        <xdr:to>
          <xdr:col>36</xdr:col>
          <xdr:colOff>47625</xdr:colOff>
          <xdr:row>59</xdr:row>
          <xdr:rowOff>19050</xdr:rowOff>
        </xdr:to>
        <xdr:sp macro="" textlink="">
          <xdr:nvSpPr>
            <xdr:cNvPr id="96273" name="Check Box 17" hidden="1">
              <a:extLst>
                <a:ext uri="{63B3BB69-23CF-44E3-9099-C40C66FF867C}">
                  <a14:compatExt spid="_x0000_s96273"/>
                </a:ext>
                <a:ext uri="{FF2B5EF4-FFF2-40B4-BE49-F238E27FC236}">
                  <a16:creationId xmlns:a16="http://schemas.microsoft.com/office/drawing/2014/main" id="{00000000-0008-0000-1500-000011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161925</xdr:rowOff>
        </xdr:from>
        <xdr:to>
          <xdr:col>36</xdr:col>
          <xdr:colOff>47625</xdr:colOff>
          <xdr:row>60</xdr:row>
          <xdr:rowOff>19050</xdr:rowOff>
        </xdr:to>
        <xdr:sp macro="" textlink="">
          <xdr:nvSpPr>
            <xdr:cNvPr id="96274" name="Check Box 18" hidden="1">
              <a:extLst>
                <a:ext uri="{63B3BB69-23CF-44E3-9099-C40C66FF867C}">
                  <a14:compatExt spid="_x0000_s96274"/>
                </a:ext>
                <a:ext uri="{FF2B5EF4-FFF2-40B4-BE49-F238E27FC236}">
                  <a16:creationId xmlns:a16="http://schemas.microsoft.com/office/drawing/2014/main" id="{00000000-0008-0000-1500-000012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161925</xdr:rowOff>
        </xdr:from>
        <xdr:to>
          <xdr:col>36</xdr:col>
          <xdr:colOff>47625</xdr:colOff>
          <xdr:row>61</xdr:row>
          <xdr:rowOff>19050</xdr:rowOff>
        </xdr:to>
        <xdr:sp macro="" textlink="">
          <xdr:nvSpPr>
            <xdr:cNvPr id="96275" name="Check Box 19" hidden="1">
              <a:extLst>
                <a:ext uri="{63B3BB69-23CF-44E3-9099-C40C66FF867C}">
                  <a14:compatExt spid="_x0000_s96275"/>
                </a:ext>
                <a:ext uri="{FF2B5EF4-FFF2-40B4-BE49-F238E27FC236}">
                  <a16:creationId xmlns:a16="http://schemas.microsoft.com/office/drawing/2014/main" id="{00000000-0008-0000-1500-000013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161925</xdr:rowOff>
        </xdr:from>
        <xdr:to>
          <xdr:col>36</xdr:col>
          <xdr:colOff>47625</xdr:colOff>
          <xdr:row>62</xdr:row>
          <xdr:rowOff>19050</xdr:rowOff>
        </xdr:to>
        <xdr:sp macro="" textlink="">
          <xdr:nvSpPr>
            <xdr:cNvPr id="96276" name="Check Box 20" hidden="1">
              <a:extLst>
                <a:ext uri="{63B3BB69-23CF-44E3-9099-C40C66FF867C}">
                  <a14:compatExt spid="_x0000_s96276"/>
                </a:ext>
                <a:ext uri="{FF2B5EF4-FFF2-40B4-BE49-F238E27FC236}">
                  <a16:creationId xmlns:a16="http://schemas.microsoft.com/office/drawing/2014/main" id="{00000000-0008-0000-1500-000014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161925</xdr:rowOff>
        </xdr:from>
        <xdr:to>
          <xdr:col>36</xdr:col>
          <xdr:colOff>47625</xdr:colOff>
          <xdr:row>63</xdr:row>
          <xdr:rowOff>19050</xdr:rowOff>
        </xdr:to>
        <xdr:sp macro="" textlink="">
          <xdr:nvSpPr>
            <xdr:cNvPr id="96277" name="Check Box 21" hidden="1">
              <a:extLst>
                <a:ext uri="{63B3BB69-23CF-44E3-9099-C40C66FF867C}">
                  <a14:compatExt spid="_x0000_s96277"/>
                </a:ext>
                <a:ext uri="{FF2B5EF4-FFF2-40B4-BE49-F238E27FC236}">
                  <a16:creationId xmlns:a16="http://schemas.microsoft.com/office/drawing/2014/main" id="{00000000-0008-0000-1500-000015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161925</xdr:rowOff>
        </xdr:from>
        <xdr:to>
          <xdr:col>36</xdr:col>
          <xdr:colOff>47625</xdr:colOff>
          <xdr:row>57</xdr:row>
          <xdr:rowOff>19050</xdr:rowOff>
        </xdr:to>
        <xdr:sp macro="" textlink="">
          <xdr:nvSpPr>
            <xdr:cNvPr id="96278" name="Check Box 22" hidden="1">
              <a:extLst>
                <a:ext uri="{63B3BB69-23CF-44E3-9099-C40C66FF867C}">
                  <a14:compatExt spid="_x0000_s96278"/>
                </a:ext>
                <a:ext uri="{FF2B5EF4-FFF2-40B4-BE49-F238E27FC236}">
                  <a16:creationId xmlns:a16="http://schemas.microsoft.com/office/drawing/2014/main" id="{00000000-0008-0000-1500-000016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161925</xdr:rowOff>
        </xdr:from>
        <xdr:to>
          <xdr:col>36</xdr:col>
          <xdr:colOff>47625</xdr:colOff>
          <xdr:row>58</xdr:row>
          <xdr:rowOff>19050</xdr:rowOff>
        </xdr:to>
        <xdr:sp macro="" textlink="">
          <xdr:nvSpPr>
            <xdr:cNvPr id="96279" name="Check Box 23" hidden="1">
              <a:extLst>
                <a:ext uri="{63B3BB69-23CF-44E3-9099-C40C66FF867C}">
                  <a14:compatExt spid="_x0000_s96279"/>
                </a:ext>
                <a:ext uri="{FF2B5EF4-FFF2-40B4-BE49-F238E27FC236}">
                  <a16:creationId xmlns:a16="http://schemas.microsoft.com/office/drawing/2014/main" id="{00000000-0008-0000-1500-000017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62</xdr:row>
          <xdr:rowOff>161925</xdr:rowOff>
        </xdr:from>
        <xdr:to>
          <xdr:col>36</xdr:col>
          <xdr:colOff>47625</xdr:colOff>
          <xdr:row>64</xdr:row>
          <xdr:rowOff>19050</xdr:rowOff>
        </xdr:to>
        <xdr:sp macro="" textlink="">
          <xdr:nvSpPr>
            <xdr:cNvPr id="96280" name="Check Box 24" hidden="1">
              <a:extLst>
                <a:ext uri="{63B3BB69-23CF-44E3-9099-C40C66FF867C}">
                  <a14:compatExt spid="_x0000_s96280"/>
                </a:ext>
                <a:ext uri="{FF2B5EF4-FFF2-40B4-BE49-F238E27FC236}">
                  <a16:creationId xmlns:a16="http://schemas.microsoft.com/office/drawing/2014/main" id="{00000000-0008-0000-1500-000018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CiN" textlink="">
      <xdr:nvSpPr>
        <xdr:cNvPr id="39" name="Down Arrow 44">
          <a:extLst>
            <a:ext uri="{FF2B5EF4-FFF2-40B4-BE49-F238E27FC236}">
              <a16:creationId xmlns:a16="http://schemas.microsoft.com/office/drawing/2014/main" id="{00000000-0008-0000-1500-000027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72</xdr:row>
      <xdr:rowOff>0</xdr:rowOff>
    </xdr:from>
    <xdr:to>
      <xdr:col>21</xdr:col>
      <xdr:colOff>0</xdr:colOff>
      <xdr:row>103</xdr:row>
      <xdr:rowOff>0</xdr:rowOff>
    </xdr:to>
    <xdr:graphicFrame macro="">
      <xdr:nvGraphicFramePr>
        <xdr:cNvPr id="40" name="Chart 176">
          <a:extLst>
            <a:ext uri="{FF2B5EF4-FFF2-40B4-BE49-F238E27FC236}">
              <a16:creationId xmlns:a16="http://schemas.microsoft.com/office/drawing/2014/main" id="{00000000-0008-0000-15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41" name="Chart 764">
          <a:extLst>
            <a:ext uri="{FF2B5EF4-FFF2-40B4-BE49-F238E27FC236}">
              <a16:creationId xmlns:a16="http://schemas.microsoft.com/office/drawing/2014/main" id="{00000000-0008-0000-15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5" name="Picture 44">
          <a:extLst>
            <a:ext uri="{FF2B5EF4-FFF2-40B4-BE49-F238E27FC236}">
              <a16:creationId xmlns:a16="http://schemas.microsoft.com/office/drawing/2014/main" id="{00000000-0008-0000-1500-00002D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Assessments" textlink="">
      <xdr:nvSpPr>
        <xdr:cNvPr id="46" name="Right Arrow 45">
          <a:extLst>
            <a:ext uri="{FF2B5EF4-FFF2-40B4-BE49-F238E27FC236}">
              <a16:creationId xmlns:a16="http://schemas.microsoft.com/office/drawing/2014/main" id="{00000000-0008-0000-1500-00002E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Sec_47" textlink="">
      <xdr:nvSpPr>
        <xdr:cNvPr id="47" name="Right Arrow 50">
          <a:extLst>
            <a:ext uri="{FF2B5EF4-FFF2-40B4-BE49-F238E27FC236}">
              <a16:creationId xmlns:a16="http://schemas.microsoft.com/office/drawing/2014/main" id="{00000000-0008-0000-1500-00002F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38</xdr:row>
      <xdr:rowOff>142874</xdr:rowOff>
    </xdr:from>
    <xdr:to>
      <xdr:col>21</xdr:col>
      <xdr:colOff>0</xdr:colOff>
      <xdr:row>62</xdr:row>
      <xdr:rowOff>180974</xdr:rowOff>
    </xdr:to>
    <xdr:graphicFrame macro="">
      <xdr:nvGraphicFramePr>
        <xdr:cNvPr id="48" name="Chart 176">
          <a:extLst>
            <a:ext uri="{FF2B5EF4-FFF2-40B4-BE49-F238E27FC236}">
              <a16:creationId xmlns:a16="http://schemas.microsoft.com/office/drawing/2014/main" id="{00000000-0008-0000-15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49" name="Oval 2165">
          <a:extLst>
            <a:ext uri="{FF2B5EF4-FFF2-40B4-BE49-F238E27FC236}">
              <a16:creationId xmlns:a16="http://schemas.microsoft.com/office/drawing/2014/main" id="{00000000-0008-0000-1500-000031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50" name="Line 283">
          <a:extLst>
            <a:ext uri="{FF2B5EF4-FFF2-40B4-BE49-F238E27FC236}">
              <a16:creationId xmlns:a16="http://schemas.microsoft.com/office/drawing/2014/main" id="{00000000-0008-0000-1500-000032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51" name="Oval 2164">
          <a:extLst>
            <a:ext uri="{FF2B5EF4-FFF2-40B4-BE49-F238E27FC236}">
              <a16:creationId xmlns:a16="http://schemas.microsoft.com/office/drawing/2014/main" id="{00000000-0008-0000-1500-000033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52" name="Line 283">
          <a:extLst>
            <a:ext uri="{FF2B5EF4-FFF2-40B4-BE49-F238E27FC236}">
              <a16:creationId xmlns:a16="http://schemas.microsoft.com/office/drawing/2014/main" id="{00000000-0008-0000-1500-000034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353600</xdr:colOff>
      <xdr:row>37</xdr:row>
      <xdr:rowOff>95250</xdr:rowOff>
    </xdr:to>
    <xdr:sp macro="[0]!Sec_47" textlink="">
      <xdr:nvSpPr>
        <xdr:cNvPr id="2" name="Down Arrow 44">
          <a:extLst>
            <a:ext uri="{FF2B5EF4-FFF2-40B4-BE49-F238E27FC236}">
              <a16:creationId xmlns:a16="http://schemas.microsoft.com/office/drawing/2014/main" id="{00000000-0008-0000-16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Sec_47" textlink="">
      <xdr:nvSpPr>
        <xdr:cNvPr id="3" name="Down Arrow 2">
          <a:extLst>
            <a:ext uri="{FF2B5EF4-FFF2-40B4-BE49-F238E27FC236}">
              <a16:creationId xmlns:a16="http://schemas.microsoft.com/office/drawing/2014/main" id="{00000000-0008-0000-16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1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8" name="AutoShape 32">
          <a:extLst>
            <a:ext uri="{FF2B5EF4-FFF2-40B4-BE49-F238E27FC236}">
              <a16:creationId xmlns:a16="http://schemas.microsoft.com/office/drawing/2014/main" id="{00000000-0008-0000-1600-000008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9" name="Chart 13">
          <a:extLst>
            <a:ext uri="{FF2B5EF4-FFF2-40B4-BE49-F238E27FC236}">
              <a16:creationId xmlns:a16="http://schemas.microsoft.com/office/drawing/2014/main" id="{00000000-0008-0000-16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38100</xdr:rowOff>
        </xdr:from>
        <xdr:to>
          <xdr:col>36</xdr:col>
          <xdr:colOff>47625</xdr:colOff>
          <xdr:row>41</xdr:row>
          <xdr:rowOff>19050</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1600-000001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161925</xdr:rowOff>
        </xdr:from>
        <xdr:to>
          <xdr:col>36</xdr:col>
          <xdr:colOff>47625</xdr:colOff>
          <xdr:row>42</xdr:row>
          <xdr:rowOff>19050</xdr:rowOff>
        </xdr:to>
        <xdr:sp macro="" textlink="">
          <xdr:nvSpPr>
            <xdr:cNvPr id="97282" name="Check Box 2" hidden="1">
              <a:extLst>
                <a:ext uri="{63B3BB69-23CF-44E3-9099-C40C66FF867C}">
                  <a14:compatExt spid="_x0000_s97282"/>
                </a:ext>
                <a:ext uri="{FF2B5EF4-FFF2-40B4-BE49-F238E27FC236}">
                  <a16:creationId xmlns:a16="http://schemas.microsoft.com/office/drawing/2014/main" id="{00000000-0008-0000-1600-000002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161925</xdr:rowOff>
        </xdr:from>
        <xdr:to>
          <xdr:col>36</xdr:col>
          <xdr:colOff>47625</xdr:colOff>
          <xdr:row>43</xdr:row>
          <xdr:rowOff>19050</xdr:rowOff>
        </xdr:to>
        <xdr:sp macro="" textlink="">
          <xdr:nvSpPr>
            <xdr:cNvPr id="97283" name="Check Box 3" hidden="1">
              <a:extLst>
                <a:ext uri="{63B3BB69-23CF-44E3-9099-C40C66FF867C}">
                  <a14:compatExt spid="_x0000_s97283"/>
                </a:ext>
                <a:ext uri="{FF2B5EF4-FFF2-40B4-BE49-F238E27FC236}">
                  <a16:creationId xmlns:a16="http://schemas.microsoft.com/office/drawing/2014/main" id="{00000000-0008-0000-1600-000003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161925</xdr:rowOff>
        </xdr:from>
        <xdr:to>
          <xdr:col>36</xdr:col>
          <xdr:colOff>47625</xdr:colOff>
          <xdr:row>44</xdr:row>
          <xdr:rowOff>19050</xdr:rowOff>
        </xdr:to>
        <xdr:sp macro="" textlink="">
          <xdr:nvSpPr>
            <xdr:cNvPr id="97284" name="Check Box 4" hidden="1">
              <a:extLst>
                <a:ext uri="{63B3BB69-23CF-44E3-9099-C40C66FF867C}">
                  <a14:compatExt spid="_x0000_s97284"/>
                </a:ext>
                <a:ext uri="{FF2B5EF4-FFF2-40B4-BE49-F238E27FC236}">
                  <a16:creationId xmlns:a16="http://schemas.microsoft.com/office/drawing/2014/main" id="{00000000-0008-0000-1600-000004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161925</xdr:rowOff>
        </xdr:from>
        <xdr:to>
          <xdr:col>36</xdr:col>
          <xdr:colOff>47625</xdr:colOff>
          <xdr:row>45</xdr:row>
          <xdr:rowOff>19050</xdr:rowOff>
        </xdr:to>
        <xdr:sp macro="" textlink="">
          <xdr:nvSpPr>
            <xdr:cNvPr id="97285" name="Check Box 5" hidden="1">
              <a:extLst>
                <a:ext uri="{63B3BB69-23CF-44E3-9099-C40C66FF867C}">
                  <a14:compatExt spid="_x0000_s97285"/>
                </a:ext>
                <a:ext uri="{FF2B5EF4-FFF2-40B4-BE49-F238E27FC236}">
                  <a16:creationId xmlns:a16="http://schemas.microsoft.com/office/drawing/2014/main" id="{00000000-0008-0000-1600-000005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161925</xdr:rowOff>
        </xdr:from>
        <xdr:to>
          <xdr:col>36</xdr:col>
          <xdr:colOff>47625</xdr:colOff>
          <xdr:row>46</xdr:row>
          <xdr:rowOff>19050</xdr:rowOff>
        </xdr:to>
        <xdr:sp macro="" textlink="">
          <xdr:nvSpPr>
            <xdr:cNvPr id="97286" name="Check Box 6" hidden="1">
              <a:extLst>
                <a:ext uri="{63B3BB69-23CF-44E3-9099-C40C66FF867C}">
                  <a14:compatExt spid="_x0000_s97286"/>
                </a:ext>
                <a:ext uri="{FF2B5EF4-FFF2-40B4-BE49-F238E27FC236}">
                  <a16:creationId xmlns:a16="http://schemas.microsoft.com/office/drawing/2014/main" id="{00000000-0008-0000-1600-000006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161925</xdr:rowOff>
        </xdr:from>
        <xdr:to>
          <xdr:col>36</xdr:col>
          <xdr:colOff>47625</xdr:colOff>
          <xdr:row>47</xdr:row>
          <xdr:rowOff>19050</xdr:rowOff>
        </xdr:to>
        <xdr:sp macro="" textlink="">
          <xdr:nvSpPr>
            <xdr:cNvPr id="97287" name="Check Box 7" hidden="1">
              <a:extLst>
                <a:ext uri="{63B3BB69-23CF-44E3-9099-C40C66FF867C}">
                  <a14:compatExt spid="_x0000_s97287"/>
                </a:ext>
                <a:ext uri="{FF2B5EF4-FFF2-40B4-BE49-F238E27FC236}">
                  <a16:creationId xmlns:a16="http://schemas.microsoft.com/office/drawing/2014/main" id="{00000000-0008-0000-1600-000007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161925</xdr:rowOff>
        </xdr:from>
        <xdr:to>
          <xdr:col>36</xdr:col>
          <xdr:colOff>47625</xdr:colOff>
          <xdr:row>48</xdr:row>
          <xdr:rowOff>19050</xdr:rowOff>
        </xdr:to>
        <xdr:sp macro="" textlink="">
          <xdr:nvSpPr>
            <xdr:cNvPr id="97288" name="Check Box 8" hidden="1">
              <a:extLst>
                <a:ext uri="{63B3BB69-23CF-44E3-9099-C40C66FF867C}">
                  <a14:compatExt spid="_x0000_s97288"/>
                </a:ext>
                <a:ext uri="{FF2B5EF4-FFF2-40B4-BE49-F238E27FC236}">
                  <a16:creationId xmlns:a16="http://schemas.microsoft.com/office/drawing/2014/main" id="{00000000-0008-0000-1600-000008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161925</xdr:rowOff>
        </xdr:from>
        <xdr:to>
          <xdr:col>36</xdr:col>
          <xdr:colOff>47625</xdr:colOff>
          <xdr:row>49</xdr:row>
          <xdr:rowOff>19050</xdr:rowOff>
        </xdr:to>
        <xdr:sp macro="" textlink="">
          <xdr:nvSpPr>
            <xdr:cNvPr id="97289" name="Check Box 9" hidden="1">
              <a:extLst>
                <a:ext uri="{63B3BB69-23CF-44E3-9099-C40C66FF867C}">
                  <a14:compatExt spid="_x0000_s97289"/>
                </a:ext>
                <a:ext uri="{FF2B5EF4-FFF2-40B4-BE49-F238E27FC236}">
                  <a16:creationId xmlns:a16="http://schemas.microsoft.com/office/drawing/2014/main" id="{00000000-0008-0000-1600-000009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161925</xdr:rowOff>
        </xdr:from>
        <xdr:to>
          <xdr:col>36</xdr:col>
          <xdr:colOff>47625</xdr:colOff>
          <xdr:row>50</xdr:row>
          <xdr:rowOff>19050</xdr:rowOff>
        </xdr:to>
        <xdr:sp macro="" textlink="">
          <xdr:nvSpPr>
            <xdr:cNvPr id="97290" name="Check Box 10" hidden="1">
              <a:extLst>
                <a:ext uri="{63B3BB69-23CF-44E3-9099-C40C66FF867C}">
                  <a14:compatExt spid="_x0000_s97290"/>
                </a:ext>
                <a:ext uri="{FF2B5EF4-FFF2-40B4-BE49-F238E27FC236}">
                  <a16:creationId xmlns:a16="http://schemas.microsoft.com/office/drawing/2014/main" id="{00000000-0008-0000-1600-00000A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161925</xdr:rowOff>
        </xdr:from>
        <xdr:to>
          <xdr:col>36</xdr:col>
          <xdr:colOff>47625</xdr:colOff>
          <xdr:row>51</xdr:row>
          <xdr:rowOff>19050</xdr:rowOff>
        </xdr:to>
        <xdr:sp macro="" textlink="">
          <xdr:nvSpPr>
            <xdr:cNvPr id="97291" name="Check Box 11" hidden="1">
              <a:extLst>
                <a:ext uri="{63B3BB69-23CF-44E3-9099-C40C66FF867C}">
                  <a14:compatExt spid="_x0000_s97291"/>
                </a:ext>
                <a:ext uri="{FF2B5EF4-FFF2-40B4-BE49-F238E27FC236}">
                  <a16:creationId xmlns:a16="http://schemas.microsoft.com/office/drawing/2014/main" id="{00000000-0008-0000-1600-00000B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161925</xdr:rowOff>
        </xdr:from>
        <xdr:to>
          <xdr:col>36</xdr:col>
          <xdr:colOff>47625</xdr:colOff>
          <xdr:row>52</xdr:row>
          <xdr:rowOff>19050</xdr:rowOff>
        </xdr:to>
        <xdr:sp macro="" textlink="">
          <xdr:nvSpPr>
            <xdr:cNvPr id="97292" name="Check Box 12" hidden="1">
              <a:extLst>
                <a:ext uri="{63B3BB69-23CF-44E3-9099-C40C66FF867C}">
                  <a14:compatExt spid="_x0000_s97292"/>
                </a:ext>
                <a:ext uri="{FF2B5EF4-FFF2-40B4-BE49-F238E27FC236}">
                  <a16:creationId xmlns:a16="http://schemas.microsoft.com/office/drawing/2014/main" id="{00000000-0008-0000-1600-00000C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161925</xdr:rowOff>
        </xdr:from>
        <xdr:to>
          <xdr:col>36</xdr:col>
          <xdr:colOff>47625</xdr:colOff>
          <xdr:row>53</xdr:row>
          <xdr:rowOff>19050</xdr:rowOff>
        </xdr:to>
        <xdr:sp macro="" textlink="">
          <xdr:nvSpPr>
            <xdr:cNvPr id="97293" name="Check Box 13" hidden="1">
              <a:extLst>
                <a:ext uri="{63B3BB69-23CF-44E3-9099-C40C66FF867C}">
                  <a14:compatExt spid="_x0000_s97293"/>
                </a:ext>
                <a:ext uri="{FF2B5EF4-FFF2-40B4-BE49-F238E27FC236}">
                  <a16:creationId xmlns:a16="http://schemas.microsoft.com/office/drawing/2014/main" id="{00000000-0008-0000-1600-00000D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161925</xdr:rowOff>
        </xdr:from>
        <xdr:to>
          <xdr:col>36</xdr:col>
          <xdr:colOff>47625</xdr:colOff>
          <xdr:row>54</xdr:row>
          <xdr:rowOff>19050</xdr:rowOff>
        </xdr:to>
        <xdr:sp macro="" textlink="">
          <xdr:nvSpPr>
            <xdr:cNvPr id="97294" name="Check Box 14" hidden="1">
              <a:extLst>
                <a:ext uri="{63B3BB69-23CF-44E3-9099-C40C66FF867C}">
                  <a14:compatExt spid="_x0000_s97294"/>
                </a:ext>
                <a:ext uri="{FF2B5EF4-FFF2-40B4-BE49-F238E27FC236}">
                  <a16:creationId xmlns:a16="http://schemas.microsoft.com/office/drawing/2014/main" id="{00000000-0008-0000-1600-00000E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161925</xdr:rowOff>
        </xdr:from>
        <xdr:to>
          <xdr:col>36</xdr:col>
          <xdr:colOff>47625</xdr:colOff>
          <xdr:row>55</xdr:row>
          <xdr:rowOff>19050</xdr:rowOff>
        </xdr:to>
        <xdr:sp macro="" textlink="">
          <xdr:nvSpPr>
            <xdr:cNvPr id="97295" name="Check Box 15" hidden="1">
              <a:extLst>
                <a:ext uri="{63B3BB69-23CF-44E3-9099-C40C66FF867C}">
                  <a14:compatExt spid="_x0000_s97295"/>
                </a:ext>
                <a:ext uri="{FF2B5EF4-FFF2-40B4-BE49-F238E27FC236}">
                  <a16:creationId xmlns:a16="http://schemas.microsoft.com/office/drawing/2014/main" id="{00000000-0008-0000-1600-00000F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161925</xdr:rowOff>
        </xdr:from>
        <xdr:to>
          <xdr:col>36</xdr:col>
          <xdr:colOff>47625</xdr:colOff>
          <xdr:row>56</xdr:row>
          <xdr:rowOff>19050</xdr:rowOff>
        </xdr:to>
        <xdr:sp macro="" textlink="">
          <xdr:nvSpPr>
            <xdr:cNvPr id="97296" name="Check Box 16" hidden="1">
              <a:extLst>
                <a:ext uri="{63B3BB69-23CF-44E3-9099-C40C66FF867C}">
                  <a14:compatExt spid="_x0000_s97296"/>
                </a:ext>
                <a:ext uri="{FF2B5EF4-FFF2-40B4-BE49-F238E27FC236}">
                  <a16:creationId xmlns:a16="http://schemas.microsoft.com/office/drawing/2014/main" id="{00000000-0008-0000-1600-000010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161925</xdr:rowOff>
        </xdr:from>
        <xdr:to>
          <xdr:col>36</xdr:col>
          <xdr:colOff>47625</xdr:colOff>
          <xdr:row>59</xdr:row>
          <xdr:rowOff>19050</xdr:rowOff>
        </xdr:to>
        <xdr:sp macro="" textlink="">
          <xdr:nvSpPr>
            <xdr:cNvPr id="97297" name="Check Box 17" hidden="1">
              <a:extLst>
                <a:ext uri="{63B3BB69-23CF-44E3-9099-C40C66FF867C}">
                  <a14:compatExt spid="_x0000_s97297"/>
                </a:ext>
                <a:ext uri="{FF2B5EF4-FFF2-40B4-BE49-F238E27FC236}">
                  <a16:creationId xmlns:a16="http://schemas.microsoft.com/office/drawing/2014/main" id="{00000000-0008-0000-1600-000011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161925</xdr:rowOff>
        </xdr:from>
        <xdr:to>
          <xdr:col>36</xdr:col>
          <xdr:colOff>47625</xdr:colOff>
          <xdr:row>60</xdr:row>
          <xdr:rowOff>19050</xdr:rowOff>
        </xdr:to>
        <xdr:sp macro="" textlink="">
          <xdr:nvSpPr>
            <xdr:cNvPr id="97298" name="Check Box 18" hidden="1">
              <a:extLst>
                <a:ext uri="{63B3BB69-23CF-44E3-9099-C40C66FF867C}">
                  <a14:compatExt spid="_x0000_s97298"/>
                </a:ext>
                <a:ext uri="{FF2B5EF4-FFF2-40B4-BE49-F238E27FC236}">
                  <a16:creationId xmlns:a16="http://schemas.microsoft.com/office/drawing/2014/main" id="{00000000-0008-0000-1600-000012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161925</xdr:rowOff>
        </xdr:from>
        <xdr:to>
          <xdr:col>36</xdr:col>
          <xdr:colOff>47625</xdr:colOff>
          <xdr:row>61</xdr:row>
          <xdr:rowOff>19050</xdr:rowOff>
        </xdr:to>
        <xdr:sp macro="" textlink="">
          <xdr:nvSpPr>
            <xdr:cNvPr id="97299" name="Check Box 19" hidden="1">
              <a:extLst>
                <a:ext uri="{63B3BB69-23CF-44E3-9099-C40C66FF867C}">
                  <a14:compatExt spid="_x0000_s97299"/>
                </a:ext>
                <a:ext uri="{FF2B5EF4-FFF2-40B4-BE49-F238E27FC236}">
                  <a16:creationId xmlns:a16="http://schemas.microsoft.com/office/drawing/2014/main" id="{00000000-0008-0000-1600-000013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161925</xdr:rowOff>
        </xdr:from>
        <xdr:to>
          <xdr:col>36</xdr:col>
          <xdr:colOff>47625</xdr:colOff>
          <xdr:row>62</xdr:row>
          <xdr:rowOff>19050</xdr:rowOff>
        </xdr:to>
        <xdr:sp macro="" textlink="">
          <xdr:nvSpPr>
            <xdr:cNvPr id="97300" name="Check Box 20" hidden="1">
              <a:extLst>
                <a:ext uri="{63B3BB69-23CF-44E3-9099-C40C66FF867C}">
                  <a14:compatExt spid="_x0000_s97300"/>
                </a:ext>
                <a:ext uri="{FF2B5EF4-FFF2-40B4-BE49-F238E27FC236}">
                  <a16:creationId xmlns:a16="http://schemas.microsoft.com/office/drawing/2014/main" id="{00000000-0008-0000-1600-000014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161925</xdr:rowOff>
        </xdr:from>
        <xdr:to>
          <xdr:col>36</xdr:col>
          <xdr:colOff>47625</xdr:colOff>
          <xdr:row>63</xdr:row>
          <xdr:rowOff>19050</xdr:rowOff>
        </xdr:to>
        <xdr:sp macro="" textlink="">
          <xdr:nvSpPr>
            <xdr:cNvPr id="97301" name="Check Box 21" hidden="1">
              <a:extLst>
                <a:ext uri="{63B3BB69-23CF-44E3-9099-C40C66FF867C}">
                  <a14:compatExt spid="_x0000_s97301"/>
                </a:ext>
                <a:ext uri="{FF2B5EF4-FFF2-40B4-BE49-F238E27FC236}">
                  <a16:creationId xmlns:a16="http://schemas.microsoft.com/office/drawing/2014/main" id="{00000000-0008-0000-1600-000015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161925</xdr:rowOff>
        </xdr:from>
        <xdr:to>
          <xdr:col>36</xdr:col>
          <xdr:colOff>47625</xdr:colOff>
          <xdr:row>57</xdr:row>
          <xdr:rowOff>19050</xdr:rowOff>
        </xdr:to>
        <xdr:sp macro="" textlink="">
          <xdr:nvSpPr>
            <xdr:cNvPr id="97302" name="Check Box 22" hidden="1">
              <a:extLst>
                <a:ext uri="{63B3BB69-23CF-44E3-9099-C40C66FF867C}">
                  <a14:compatExt spid="_x0000_s97302"/>
                </a:ext>
                <a:ext uri="{FF2B5EF4-FFF2-40B4-BE49-F238E27FC236}">
                  <a16:creationId xmlns:a16="http://schemas.microsoft.com/office/drawing/2014/main" id="{00000000-0008-0000-1600-000016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161925</xdr:rowOff>
        </xdr:from>
        <xdr:to>
          <xdr:col>36</xdr:col>
          <xdr:colOff>47625</xdr:colOff>
          <xdr:row>58</xdr:row>
          <xdr:rowOff>19050</xdr:rowOff>
        </xdr:to>
        <xdr:sp macro="" textlink="">
          <xdr:nvSpPr>
            <xdr:cNvPr id="97303" name="Check Box 23" hidden="1">
              <a:extLst>
                <a:ext uri="{63B3BB69-23CF-44E3-9099-C40C66FF867C}">
                  <a14:compatExt spid="_x0000_s97303"/>
                </a:ext>
                <a:ext uri="{FF2B5EF4-FFF2-40B4-BE49-F238E27FC236}">
                  <a16:creationId xmlns:a16="http://schemas.microsoft.com/office/drawing/2014/main" id="{00000000-0008-0000-1600-000017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62</xdr:row>
          <xdr:rowOff>161925</xdr:rowOff>
        </xdr:from>
        <xdr:to>
          <xdr:col>36</xdr:col>
          <xdr:colOff>47625</xdr:colOff>
          <xdr:row>64</xdr:row>
          <xdr:rowOff>19050</xdr:rowOff>
        </xdr:to>
        <xdr:sp macro="" textlink="">
          <xdr:nvSpPr>
            <xdr:cNvPr id="97304" name="Check Box 24" hidden="1">
              <a:extLst>
                <a:ext uri="{63B3BB69-23CF-44E3-9099-C40C66FF867C}">
                  <a14:compatExt spid="_x0000_s97304"/>
                </a:ext>
                <a:ext uri="{FF2B5EF4-FFF2-40B4-BE49-F238E27FC236}">
                  <a16:creationId xmlns:a16="http://schemas.microsoft.com/office/drawing/2014/main" id="{00000000-0008-0000-1600-000018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Sec_47" textlink="">
      <xdr:nvSpPr>
        <xdr:cNvPr id="37" name="Down Arrow 44">
          <a:extLst>
            <a:ext uri="{FF2B5EF4-FFF2-40B4-BE49-F238E27FC236}">
              <a16:creationId xmlns:a16="http://schemas.microsoft.com/office/drawing/2014/main" id="{00000000-0008-0000-1600-000025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72</xdr:row>
      <xdr:rowOff>0</xdr:rowOff>
    </xdr:from>
    <xdr:to>
      <xdr:col>21</xdr:col>
      <xdr:colOff>0</xdr:colOff>
      <xdr:row>103</xdr:row>
      <xdr:rowOff>0</xdr:rowOff>
    </xdr:to>
    <xdr:graphicFrame macro="">
      <xdr:nvGraphicFramePr>
        <xdr:cNvPr id="38" name="Chart 176">
          <a:extLst>
            <a:ext uri="{FF2B5EF4-FFF2-40B4-BE49-F238E27FC236}">
              <a16:creationId xmlns:a16="http://schemas.microsoft.com/office/drawing/2014/main" id="{00000000-0008-0000-16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39" name="Chart 764">
          <a:extLst>
            <a:ext uri="{FF2B5EF4-FFF2-40B4-BE49-F238E27FC236}">
              <a16:creationId xmlns:a16="http://schemas.microsoft.com/office/drawing/2014/main" id="{00000000-0008-0000-16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3" name="Picture 42">
          <a:extLst>
            <a:ext uri="{FF2B5EF4-FFF2-40B4-BE49-F238E27FC236}">
              <a16:creationId xmlns:a16="http://schemas.microsoft.com/office/drawing/2014/main" id="{00000000-0008-0000-1600-00002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CiN" textlink="">
      <xdr:nvSpPr>
        <xdr:cNvPr id="44" name="Right Arrow 43">
          <a:extLst>
            <a:ext uri="{FF2B5EF4-FFF2-40B4-BE49-F238E27FC236}">
              <a16:creationId xmlns:a16="http://schemas.microsoft.com/office/drawing/2014/main" id="{00000000-0008-0000-1600-00002C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ICPC" textlink="">
      <xdr:nvSpPr>
        <xdr:cNvPr id="45" name="Right Arrow 50">
          <a:extLst>
            <a:ext uri="{FF2B5EF4-FFF2-40B4-BE49-F238E27FC236}">
              <a16:creationId xmlns:a16="http://schemas.microsoft.com/office/drawing/2014/main" id="{00000000-0008-0000-1600-00002D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38</xdr:row>
      <xdr:rowOff>142874</xdr:rowOff>
    </xdr:from>
    <xdr:to>
      <xdr:col>21</xdr:col>
      <xdr:colOff>0</xdr:colOff>
      <xdr:row>62</xdr:row>
      <xdr:rowOff>180974</xdr:rowOff>
    </xdr:to>
    <xdr:graphicFrame macro="">
      <xdr:nvGraphicFramePr>
        <xdr:cNvPr id="46" name="Chart 176">
          <a:extLst>
            <a:ext uri="{FF2B5EF4-FFF2-40B4-BE49-F238E27FC236}">
              <a16:creationId xmlns:a16="http://schemas.microsoft.com/office/drawing/2014/main" id="{00000000-0008-0000-16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47" name="Oval 2165">
          <a:extLst>
            <a:ext uri="{FF2B5EF4-FFF2-40B4-BE49-F238E27FC236}">
              <a16:creationId xmlns:a16="http://schemas.microsoft.com/office/drawing/2014/main" id="{00000000-0008-0000-1600-00002F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48" name="Line 283">
          <a:extLst>
            <a:ext uri="{FF2B5EF4-FFF2-40B4-BE49-F238E27FC236}">
              <a16:creationId xmlns:a16="http://schemas.microsoft.com/office/drawing/2014/main" id="{00000000-0008-0000-1600-000030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49" name="Oval 2164">
          <a:extLst>
            <a:ext uri="{FF2B5EF4-FFF2-40B4-BE49-F238E27FC236}">
              <a16:creationId xmlns:a16="http://schemas.microsoft.com/office/drawing/2014/main" id="{00000000-0008-0000-1600-000031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50" name="Line 283">
          <a:extLst>
            <a:ext uri="{FF2B5EF4-FFF2-40B4-BE49-F238E27FC236}">
              <a16:creationId xmlns:a16="http://schemas.microsoft.com/office/drawing/2014/main" id="{00000000-0008-0000-1600-000032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353600</xdr:colOff>
      <xdr:row>37</xdr:row>
      <xdr:rowOff>95250</xdr:rowOff>
    </xdr:to>
    <xdr:sp macro="[0]!ICPC" textlink="">
      <xdr:nvSpPr>
        <xdr:cNvPr id="2" name="Down Arrow 44">
          <a:extLst>
            <a:ext uri="{FF2B5EF4-FFF2-40B4-BE49-F238E27FC236}">
              <a16:creationId xmlns:a16="http://schemas.microsoft.com/office/drawing/2014/main" id="{00000000-0008-0000-17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ICPC" textlink="">
      <xdr:nvSpPr>
        <xdr:cNvPr id="3" name="Down Arrow 2">
          <a:extLst>
            <a:ext uri="{FF2B5EF4-FFF2-40B4-BE49-F238E27FC236}">
              <a16:creationId xmlns:a16="http://schemas.microsoft.com/office/drawing/2014/main" id="{00000000-0008-0000-17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1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419099</xdr:colOff>
      <xdr:row>0</xdr:row>
      <xdr:rowOff>85725</xdr:rowOff>
    </xdr:from>
    <xdr:to>
      <xdr:col>21</xdr:col>
      <xdr:colOff>64499</xdr:colOff>
      <xdr:row>2</xdr:row>
      <xdr:rowOff>149475</xdr:rowOff>
    </xdr:to>
    <xdr:sp macro="" textlink="">
      <xdr:nvSpPr>
        <xdr:cNvPr id="8" name="AutoShape 32">
          <a:extLst>
            <a:ext uri="{FF2B5EF4-FFF2-40B4-BE49-F238E27FC236}">
              <a16:creationId xmlns:a16="http://schemas.microsoft.com/office/drawing/2014/main" id="{00000000-0008-0000-1700-000008000000}"/>
            </a:ext>
          </a:extLst>
        </xdr:cNvPr>
        <xdr:cNvSpPr>
          <a:spLocks noChangeArrowheads="1"/>
        </xdr:cNvSpPr>
      </xdr:nvSpPr>
      <xdr:spPr bwMode="auto">
        <a:xfrm>
          <a:off x="696277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9" name="Chart 13">
          <a:extLst>
            <a:ext uri="{FF2B5EF4-FFF2-40B4-BE49-F238E27FC236}">
              <a16:creationId xmlns:a16="http://schemas.microsoft.com/office/drawing/2014/main" id="{00000000-0008-0000-17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38100</xdr:rowOff>
        </xdr:from>
        <xdr:to>
          <xdr:col>36</xdr:col>
          <xdr:colOff>47625</xdr:colOff>
          <xdr:row>41</xdr:row>
          <xdr:rowOff>19050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17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161925</xdr:rowOff>
        </xdr:from>
        <xdr:to>
          <xdr:col>36</xdr:col>
          <xdr:colOff>47625</xdr:colOff>
          <xdr:row>42</xdr:row>
          <xdr:rowOff>19050</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17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161925</xdr:rowOff>
        </xdr:from>
        <xdr:to>
          <xdr:col>36</xdr:col>
          <xdr:colOff>47625</xdr:colOff>
          <xdr:row>43</xdr:row>
          <xdr:rowOff>19050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17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161925</xdr:rowOff>
        </xdr:from>
        <xdr:to>
          <xdr:col>36</xdr:col>
          <xdr:colOff>47625</xdr:colOff>
          <xdr:row>44</xdr:row>
          <xdr:rowOff>19050</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17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161925</xdr:rowOff>
        </xdr:from>
        <xdr:to>
          <xdr:col>36</xdr:col>
          <xdr:colOff>47625</xdr:colOff>
          <xdr:row>45</xdr:row>
          <xdr:rowOff>19050</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17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161925</xdr:rowOff>
        </xdr:from>
        <xdr:to>
          <xdr:col>36</xdr:col>
          <xdr:colOff>47625</xdr:colOff>
          <xdr:row>46</xdr:row>
          <xdr:rowOff>19050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17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161925</xdr:rowOff>
        </xdr:from>
        <xdr:to>
          <xdr:col>36</xdr:col>
          <xdr:colOff>47625</xdr:colOff>
          <xdr:row>47</xdr:row>
          <xdr:rowOff>19050</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17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161925</xdr:rowOff>
        </xdr:from>
        <xdr:to>
          <xdr:col>36</xdr:col>
          <xdr:colOff>47625</xdr:colOff>
          <xdr:row>48</xdr:row>
          <xdr:rowOff>19050</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17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161925</xdr:rowOff>
        </xdr:from>
        <xdr:to>
          <xdr:col>36</xdr:col>
          <xdr:colOff>47625</xdr:colOff>
          <xdr:row>49</xdr:row>
          <xdr:rowOff>19050</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17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161925</xdr:rowOff>
        </xdr:from>
        <xdr:to>
          <xdr:col>36</xdr:col>
          <xdr:colOff>47625</xdr:colOff>
          <xdr:row>50</xdr:row>
          <xdr:rowOff>19050</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17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161925</xdr:rowOff>
        </xdr:from>
        <xdr:to>
          <xdr:col>36</xdr:col>
          <xdr:colOff>47625</xdr:colOff>
          <xdr:row>51</xdr:row>
          <xdr:rowOff>19050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17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161925</xdr:rowOff>
        </xdr:from>
        <xdr:to>
          <xdr:col>36</xdr:col>
          <xdr:colOff>47625</xdr:colOff>
          <xdr:row>52</xdr:row>
          <xdr:rowOff>19050</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17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161925</xdr:rowOff>
        </xdr:from>
        <xdr:to>
          <xdr:col>36</xdr:col>
          <xdr:colOff>47625</xdr:colOff>
          <xdr:row>53</xdr:row>
          <xdr:rowOff>19050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17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161925</xdr:rowOff>
        </xdr:from>
        <xdr:to>
          <xdr:col>36</xdr:col>
          <xdr:colOff>47625</xdr:colOff>
          <xdr:row>54</xdr:row>
          <xdr:rowOff>19050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17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161925</xdr:rowOff>
        </xdr:from>
        <xdr:to>
          <xdr:col>36</xdr:col>
          <xdr:colOff>47625</xdr:colOff>
          <xdr:row>55</xdr:row>
          <xdr:rowOff>19050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17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161925</xdr:rowOff>
        </xdr:from>
        <xdr:to>
          <xdr:col>36</xdr:col>
          <xdr:colOff>47625</xdr:colOff>
          <xdr:row>56</xdr:row>
          <xdr:rowOff>19050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17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161925</xdr:rowOff>
        </xdr:from>
        <xdr:to>
          <xdr:col>36</xdr:col>
          <xdr:colOff>47625</xdr:colOff>
          <xdr:row>59</xdr:row>
          <xdr:rowOff>19050</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17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161925</xdr:rowOff>
        </xdr:from>
        <xdr:to>
          <xdr:col>36</xdr:col>
          <xdr:colOff>47625</xdr:colOff>
          <xdr:row>60</xdr:row>
          <xdr:rowOff>19050</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17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161925</xdr:rowOff>
        </xdr:from>
        <xdr:to>
          <xdr:col>36</xdr:col>
          <xdr:colOff>47625</xdr:colOff>
          <xdr:row>61</xdr:row>
          <xdr:rowOff>19050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17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161925</xdr:rowOff>
        </xdr:from>
        <xdr:to>
          <xdr:col>36</xdr:col>
          <xdr:colOff>47625</xdr:colOff>
          <xdr:row>62</xdr:row>
          <xdr:rowOff>19050</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17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161925</xdr:rowOff>
        </xdr:from>
        <xdr:to>
          <xdr:col>36</xdr:col>
          <xdr:colOff>47625</xdr:colOff>
          <xdr:row>63</xdr:row>
          <xdr:rowOff>19050</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17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176</xdr:row>
      <xdr:rowOff>33750</xdr:rowOff>
    </xdr:from>
    <xdr:ext cx="252000" cy="252000"/>
    <xdr:sp macro="[0]!ICPC" textlink="">
      <xdr:nvSpPr>
        <xdr:cNvPr id="31" name="Down Arrow 44">
          <a:extLst>
            <a:ext uri="{FF2B5EF4-FFF2-40B4-BE49-F238E27FC236}">
              <a16:creationId xmlns:a16="http://schemas.microsoft.com/office/drawing/2014/main" id="{00000000-0008-0000-1700-00001F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172</xdr:row>
      <xdr:rowOff>0</xdr:rowOff>
    </xdr:from>
    <xdr:to>
      <xdr:col>8</xdr:col>
      <xdr:colOff>0</xdr:colOff>
      <xdr:row>175</xdr:row>
      <xdr:rowOff>0</xdr:rowOff>
    </xdr:to>
    <xdr:graphicFrame macro="">
      <xdr:nvGraphicFramePr>
        <xdr:cNvPr id="32" name="Chart 13">
          <a:extLst>
            <a:ext uri="{FF2B5EF4-FFF2-40B4-BE49-F238E27FC236}">
              <a16:creationId xmlns:a16="http://schemas.microsoft.com/office/drawing/2014/main" id="{00000000-0008-0000-17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55</xdr:row>
          <xdr:rowOff>161925</xdr:rowOff>
        </xdr:from>
        <xdr:to>
          <xdr:col>36</xdr:col>
          <xdr:colOff>47625</xdr:colOff>
          <xdr:row>57</xdr:row>
          <xdr:rowOff>19050</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17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161925</xdr:rowOff>
        </xdr:from>
        <xdr:to>
          <xdr:col>36</xdr:col>
          <xdr:colOff>47625</xdr:colOff>
          <xdr:row>58</xdr:row>
          <xdr:rowOff>19050</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1700-00001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495299</xdr:colOff>
      <xdr:row>143</xdr:row>
      <xdr:rowOff>95250</xdr:rowOff>
    </xdr:from>
    <xdr:to>
      <xdr:col>20</xdr:col>
      <xdr:colOff>514349</xdr:colOff>
      <xdr:row>175</xdr:row>
      <xdr:rowOff>0</xdr:rowOff>
    </xdr:to>
    <xdr:graphicFrame macro="">
      <xdr:nvGraphicFramePr>
        <xdr:cNvPr id="35" name="Chart 13">
          <a:extLst>
            <a:ext uri="{FF2B5EF4-FFF2-40B4-BE49-F238E27FC236}">
              <a16:creationId xmlns:a16="http://schemas.microsoft.com/office/drawing/2014/main" id="{00000000-0008-0000-17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62</xdr:row>
          <xdr:rowOff>161925</xdr:rowOff>
        </xdr:from>
        <xdr:to>
          <xdr:col>36</xdr:col>
          <xdr:colOff>47625</xdr:colOff>
          <xdr:row>64</xdr:row>
          <xdr:rowOff>19050</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17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ICPC" textlink="">
      <xdr:nvSpPr>
        <xdr:cNvPr id="37" name="Down Arrow 44">
          <a:extLst>
            <a:ext uri="{FF2B5EF4-FFF2-40B4-BE49-F238E27FC236}">
              <a16:creationId xmlns:a16="http://schemas.microsoft.com/office/drawing/2014/main" id="{00000000-0008-0000-1700-000025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72</xdr:row>
      <xdr:rowOff>0</xdr:rowOff>
    </xdr:from>
    <xdr:to>
      <xdr:col>21</xdr:col>
      <xdr:colOff>0</xdr:colOff>
      <xdr:row>103</xdr:row>
      <xdr:rowOff>0</xdr:rowOff>
    </xdr:to>
    <xdr:graphicFrame macro="">
      <xdr:nvGraphicFramePr>
        <xdr:cNvPr id="38" name="Chart 176">
          <a:extLst>
            <a:ext uri="{FF2B5EF4-FFF2-40B4-BE49-F238E27FC236}">
              <a16:creationId xmlns:a16="http://schemas.microsoft.com/office/drawing/2014/main" id="{00000000-0008-0000-17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39" name="Chart 764">
          <a:extLst>
            <a:ext uri="{FF2B5EF4-FFF2-40B4-BE49-F238E27FC236}">
              <a16:creationId xmlns:a16="http://schemas.microsoft.com/office/drawing/2014/main" id="{00000000-0008-0000-17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22</xdr:col>
      <xdr:colOff>95250</xdr:colOff>
      <xdr:row>140</xdr:row>
      <xdr:rowOff>33750</xdr:rowOff>
    </xdr:from>
    <xdr:ext cx="252000" cy="252000"/>
    <xdr:sp macro="[0]!ICPC" textlink="">
      <xdr:nvSpPr>
        <xdr:cNvPr id="42" name="Down Arrow 44">
          <a:extLst>
            <a:ext uri="{FF2B5EF4-FFF2-40B4-BE49-F238E27FC236}">
              <a16:creationId xmlns:a16="http://schemas.microsoft.com/office/drawing/2014/main" id="{00000000-0008-0000-1700-00002A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136</xdr:row>
      <xdr:rowOff>0</xdr:rowOff>
    </xdr:from>
    <xdr:to>
      <xdr:col>8</xdr:col>
      <xdr:colOff>0</xdr:colOff>
      <xdr:row>139</xdr:row>
      <xdr:rowOff>0</xdr:rowOff>
    </xdr:to>
    <xdr:graphicFrame macro="">
      <xdr:nvGraphicFramePr>
        <xdr:cNvPr id="43" name="Chart 13">
          <a:extLst>
            <a:ext uri="{FF2B5EF4-FFF2-40B4-BE49-F238E27FC236}">
              <a16:creationId xmlns:a16="http://schemas.microsoft.com/office/drawing/2014/main" id="{00000000-0008-0000-17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495299</xdr:colOff>
      <xdr:row>107</xdr:row>
      <xdr:rowOff>95249</xdr:rowOff>
    </xdr:from>
    <xdr:to>
      <xdr:col>20</xdr:col>
      <xdr:colOff>514349</xdr:colOff>
      <xdr:row>138</xdr:row>
      <xdr:rowOff>628649</xdr:rowOff>
    </xdr:to>
    <xdr:graphicFrame macro="">
      <xdr:nvGraphicFramePr>
        <xdr:cNvPr id="44" name="Chart 13">
          <a:extLst>
            <a:ext uri="{FF2B5EF4-FFF2-40B4-BE49-F238E27FC236}">
              <a16:creationId xmlns:a16="http://schemas.microsoft.com/office/drawing/2014/main" id="{00000000-0008-0000-17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6" name="Picture 45">
          <a:extLst>
            <a:ext uri="{FF2B5EF4-FFF2-40B4-BE49-F238E27FC236}">
              <a16:creationId xmlns:a16="http://schemas.microsoft.com/office/drawing/2014/main" id="{00000000-0008-0000-1700-00002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Sec_47" textlink="">
      <xdr:nvSpPr>
        <xdr:cNvPr id="47" name="Right Arrow 46">
          <a:extLst>
            <a:ext uri="{FF2B5EF4-FFF2-40B4-BE49-F238E27FC236}">
              <a16:creationId xmlns:a16="http://schemas.microsoft.com/office/drawing/2014/main" id="{00000000-0008-0000-1700-00002F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CPP" textlink="">
      <xdr:nvSpPr>
        <xdr:cNvPr id="48" name="Right Arrow 50">
          <a:extLst>
            <a:ext uri="{FF2B5EF4-FFF2-40B4-BE49-F238E27FC236}">
              <a16:creationId xmlns:a16="http://schemas.microsoft.com/office/drawing/2014/main" id="{00000000-0008-0000-1700-000030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180975</xdr:colOff>
      <xdr:row>64</xdr:row>
      <xdr:rowOff>47625</xdr:rowOff>
    </xdr:from>
    <xdr:to>
      <xdr:col>11</xdr:col>
      <xdr:colOff>257175</xdr:colOff>
      <xdr:row>64</xdr:row>
      <xdr:rowOff>123825</xdr:rowOff>
    </xdr:to>
    <xdr:sp macro="" textlink="">
      <xdr:nvSpPr>
        <xdr:cNvPr id="49" name="Oval 2165">
          <a:extLst>
            <a:ext uri="{FF2B5EF4-FFF2-40B4-BE49-F238E27FC236}">
              <a16:creationId xmlns:a16="http://schemas.microsoft.com/office/drawing/2014/main" id="{00000000-0008-0000-1700-000031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50" name="Line 283">
          <a:extLst>
            <a:ext uri="{FF2B5EF4-FFF2-40B4-BE49-F238E27FC236}">
              <a16:creationId xmlns:a16="http://schemas.microsoft.com/office/drawing/2014/main" id="{00000000-0008-0000-1700-000032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51" name="Oval 2164">
          <a:extLst>
            <a:ext uri="{FF2B5EF4-FFF2-40B4-BE49-F238E27FC236}">
              <a16:creationId xmlns:a16="http://schemas.microsoft.com/office/drawing/2014/main" id="{00000000-0008-0000-1700-000033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52" name="Line 283">
          <a:extLst>
            <a:ext uri="{FF2B5EF4-FFF2-40B4-BE49-F238E27FC236}">
              <a16:creationId xmlns:a16="http://schemas.microsoft.com/office/drawing/2014/main" id="{00000000-0008-0000-1700-000034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39</xdr:row>
      <xdr:rowOff>0</xdr:rowOff>
    </xdr:from>
    <xdr:to>
      <xdr:col>21</xdr:col>
      <xdr:colOff>0</xdr:colOff>
      <xdr:row>63</xdr:row>
      <xdr:rowOff>0</xdr:rowOff>
    </xdr:to>
    <xdr:graphicFrame macro="">
      <xdr:nvGraphicFramePr>
        <xdr:cNvPr id="53" name="Chart 176">
          <a:extLst>
            <a:ext uri="{FF2B5EF4-FFF2-40B4-BE49-F238E27FC236}">
              <a16:creationId xmlns:a16="http://schemas.microsoft.com/office/drawing/2014/main" id="{00000000-0008-0000-17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350425</xdr:colOff>
      <xdr:row>37</xdr:row>
      <xdr:rowOff>95250</xdr:rowOff>
    </xdr:to>
    <xdr:sp macro="[0]!CPP" textlink="">
      <xdr:nvSpPr>
        <xdr:cNvPr id="2" name="Down Arrow 44">
          <a:extLst>
            <a:ext uri="{FF2B5EF4-FFF2-40B4-BE49-F238E27FC236}">
              <a16:creationId xmlns:a16="http://schemas.microsoft.com/office/drawing/2014/main" id="{00000000-0008-0000-18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CPP" textlink="">
      <xdr:nvSpPr>
        <xdr:cNvPr id="3" name="Down Arrow 2">
          <a:extLst>
            <a:ext uri="{FF2B5EF4-FFF2-40B4-BE49-F238E27FC236}">
              <a16:creationId xmlns:a16="http://schemas.microsoft.com/office/drawing/2014/main" id="{00000000-0008-0000-18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1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409573</xdr:colOff>
      <xdr:row>0</xdr:row>
      <xdr:rowOff>85725</xdr:rowOff>
    </xdr:from>
    <xdr:to>
      <xdr:col>21</xdr:col>
      <xdr:colOff>54973</xdr:colOff>
      <xdr:row>2</xdr:row>
      <xdr:rowOff>149475</xdr:rowOff>
    </xdr:to>
    <xdr:sp macro="" textlink="">
      <xdr:nvSpPr>
        <xdr:cNvPr id="8" name="AutoShape 32">
          <a:extLst>
            <a:ext uri="{FF2B5EF4-FFF2-40B4-BE49-F238E27FC236}">
              <a16:creationId xmlns:a16="http://schemas.microsoft.com/office/drawing/2014/main" id="{00000000-0008-0000-1800-000008000000}"/>
            </a:ext>
          </a:extLst>
        </xdr:cNvPr>
        <xdr:cNvSpPr>
          <a:spLocks noChangeArrowheads="1"/>
        </xdr:cNvSpPr>
      </xdr:nvSpPr>
      <xdr:spPr bwMode="auto">
        <a:xfrm>
          <a:off x="6953248"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9" name="Chart 13">
          <a:extLst>
            <a:ext uri="{FF2B5EF4-FFF2-40B4-BE49-F238E27FC236}">
              <a16:creationId xmlns:a16="http://schemas.microsoft.com/office/drawing/2014/main" id="{00000000-0008-0000-18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85725</xdr:colOff>
          <xdr:row>39</xdr:row>
          <xdr:rowOff>28575</xdr:rowOff>
        </xdr:from>
        <xdr:to>
          <xdr:col>36</xdr:col>
          <xdr:colOff>57150</xdr:colOff>
          <xdr:row>41</xdr:row>
          <xdr:rowOff>28575</xdr:rowOff>
        </xdr:to>
        <xdr:sp macro="" textlink="">
          <xdr:nvSpPr>
            <xdr:cNvPr id="99329" name="Check Box 1" hidden="1">
              <a:extLst>
                <a:ext uri="{63B3BB69-23CF-44E3-9099-C40C66FF867C}">
                  <a14:compatExt spid="_x0000_s99329"/>
                </a:ext>
                <a:ext uri="{FF2B5EF4-FFF2-40B4-BE49-F238E27FC236}">
                  <a16:creationId xmlns:a16="http://schemas.microsoft.com/office/drawing/2014/main" id="{00000000-0008-0000-1800-00000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40</xdr:row>
          <xdr:rowOff>161925</xdr:rowOff>
        </xdr:from>
        <xdr:to>
          <xdr:col>36</xdr:col>
          <xdr:colOff>57150</xdr:colOff>
          <xdr:row>42</xdr:row>
          <xdr:rowOff>28575</xdr:rowOff>
        </xdr:to>
        <xdr:sp macro="" textlink="">
          <xdr:nvSpPr>
            <xdr:cNvPr id="99330" name="Check Box 2" hidden="1">
              <a:extLst>
                <a:ext uri="{63B3BB69-23CF-44E3-9099-C40C66FF867C}">
                  <a14:compatExt spid="_x0000_s99330"/>
                </a:ext>
                <a:ext uri="{FF2B5EF4-FFF2-40B4-BE49-F238E27FC236}">
                  <a16:creationId xmlns:a16="http://schemas.microsoft.com/office/drawing/2014/main" id="{00000000-0008-0000-1800-00000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41</xdr:row>
          <xdr:rowOff>161925</xdr:rowOff>
        </xdr:from>
        <xdr:to>
          <xdr:col>36</xdr:col>
          <xdr:colOff>57150</xdr:colOff>
          <xdr:row>43</xdr:row>
          <xdr:rowOff>28575</xdr:rowOff>
        </xdr:to>
        <xdr:sp macro="" textlink="">
          <xdr:nvSpPr>
            <xdr:cNvPr id="99331" name="Check Box 3" hidden="1">
              <a:extLst>
                <a:ext uri="{63B3BB69-23CF-44E3-9099-C40C66FF867C}">
                  <a14:compatExt spid="_x0000_s99331"/>
                </a:ext>
                <a:ext uri="{FF2B5EF4-FFF2-40B4-BE49-F238E27FC236}">
                  <a16:creationId xmlns:a16="http://schemas.microsoft.com/office/drawing/2014/main" id="{00000000-0008-0000-1800-00000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42</xdr:row>
          <xdr:rowOff>161925</xdr:rowOff>
        </xdr:from>
        <xdr:to>
          <xdr:col>36</xdr:col>
          <xdr:colOff>57150</xdr:colOff>
          <xdr:row>44</xdr:row>
          <xdr:rowOff>28575</xdr:rowOff>
        </xdr:to>
        <xdr:sp macro="" textlink="">
          <xdr:nvSpPr>
            <xdr:cNvPr id="99332" name="Check Box 4" hidden="1">
              <a:extLst>
                <a:ext uri="{63B3BB69-23CF-44E3-9099-C40C66FF867C}">
                  <a14:compatExt spid="_x0000_s99332"/>
                </a:ext>
                <a:ext uri="{FF2B5EF4-FFF2-40B4-BE49-F238E27FC236}">
                  <a16:creationId xmlns:a16="http://schemas.microsoft.com/office/drawing/2014/main" id="{00000000-0008-0000-1800-00000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43</xdr:row>
          <xdr:rowOff>161925</xdr:rowOff>
        </xdr:from>
        <xdr:to>
          <xdr:col>36</xdr:col>
          <xdr:colOff>57150</xdr:colOff>
          <xdr:row>45</xdr:row>
          <xdr:rowOff>28575</xdr:rowOff>
        </xdr:to>
        <xdr:sp macro="" textlink="">
          <xdr:nvSpPr>
            <xdr:cNvPr id="99333" name="Check Box 5" hidden="1">
              <a:extLst>
                <a:ext uri="{63B3BB69-23CF-44E3-9099-C40C66FF867C}">
                  <a14:compatExt spid="_x0000_s99333"/>
                </a:ext>
                <a:ext uri="{FF2B5EF4-FFF2-40B4-BE49-F238E27FC236}">
                  <a16:creationId xmlns:a16="http://schemas.microsoft.com/office/drawing/2014/main" id="{00000000-0008-0000-1800-00000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44</xdr:row>
          <xdr:rowOff>161925</xdr:rowOff>
        </xdr:from>
        <xdr:to>
          <xdr:col>36</xdr:col>
          <xdr:colOff>57150</xdr:colOff>
          <xdr:row>46</xdr:row>
          <xdr:rowOff>28575</xdr:rowOff>
        </xdr:to>
        <xdr:sp macro="" textlink="">
          <xdr:nvSpPr>
            <xdr:cNvPr id="99334" name="Check Box 6" hidden="1">
              <a:extLst>
                <a:ext uri="{63B3BB69-23CF-44E3-9099-C40C66FF867C}">
                  <a14:compatExt spid="_x0000_s99334"/>
                </a:ext>
                <a:ext uri="{FF2B5EF4-FFF2-40B4-BE49-F238E27FC236}">
                  <a16:creationId xmlns:a16="http://schemas.microsoft.com/office/drawing/2014/main" id="{00000000-0008-0000-1800-00000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45</xdr:row>
          <xdr:rowOff>161925</xdr:rowOff>
        </xdr:from>
        <xdr:to>
          <xdr:col>36</xdr:col>
          <xdr:colOff>57150</xdr:colOff>
          <xdr:row>47</xdr:row>
          <xdr:rowOff>28575</xdr:rowOff>
        </xdr:to>
        <xdr:sp macro="" textlink="">
          <xdr:nvSpPr>
            <xdr:cNvPr id="99335" name="Check Box 7" hidden="1">
              <a:extLst>
                <a:ext uri="{63B3BB69-23CF-44E3-9099-C40C66FF867C}">
                  <a14:compatExt spid="_x0000_s99335"/>
                </a:ext>
                <a:ext uri="{FF2B5EF4-FFF2-40B4-BE49-F238E27FC236}">
                  <a16:creationId xmlns:a16="http://schemas.microsoft.com/office/drawing/2014/main" id="{00000000-0008-0000-1800-00000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46</xdr:row>
          <xdr:rowOff>161925</xdr:rowOff>
        </xdr:from>
        <xdr:to>
          <xdr:col>36</xdr:col>
          <xdr:colOff>57150</xdr:colOff>
          <xdr:row>48</xdr:row>
          <xdr:rowOff>28575</xdr:rowOff>
        </xdr:to>
        <xdr:sp macro="" textlink="">
          <xdr:nvSpPr>
            <xdr:cNvPr id="99336" name="Check Box 8" hidden="1">
              <a:extLst>
                <a:ext uri="{63B3BB69-23CF-44E3-9099-C40C66FF867C}">
                  <a14:compatExt spid="_x0000_s99336"/>
                </a:ext>
                <a:ext uri="{FF2B5EF4-FFF2-40B4-BE49-F238E27FC236}">
                  <a16:creationId xmlns:a16="http://schemas.microsoft.com/office/drawing/2014/main" id="{00000000-0008-0000-1800-00000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47</xdr:row>
          <xdr:rowOff>161925</xdr:rowOff>
        </xdr:from>
        <xdr:to>
          <xdr:col>36</xdr:col>
          <xdr:colOff>57150</xdr:colOff>
          <xdr:row>49</xdr:row>
          <xdr:rowOff>28575</xdr:rowOff>
        </xdr:to>
        <xdr:sp macro="" textlink="">
          <xdr:nvSpPr>
            <xdr:cNvPr id="99337" name="Check Box 9" hidden="1">
              <a:extLst>
                <a:ext uri="{63B3BB69-23CF-44E3-9099-C40C66FF867C}">
                  <a14:compatExt spid="_x0000_s99337"/>
                </a:ext>
                <a:ext uri="{FF2B5EF4-FFF2-40B4-BE49-F238E27FC236}">
                  <a16:creationId xmlns:a16="http://schemas.microsoft.com/office/drawing/2014/main" id="{00000000-0008-0000-1800-000009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48</xdr:row>
          <xdr:rowOff>161925</xdr:rowOff>
        </xdr:from>
        <xdr:to>
          <xdr:col>36</xdr:col>
          <xdr:colOff>57150</xdr:colOff>
          <xdr:row>50</xdr:row>
          <xdr:rowOff>28575</xdr:rowOff>
        </xdr:to>
        <xdr:sp macro="" textlink="">
          <xdr:nvSpPr>
            <xdr:cNvPr id="99338" name="Check Box 10" hidden="1">
              <a:extLst>
                <a:ext uri="{63B3BB69-23CF-44E3-9099-C40C66FF867C}">
                  <a14:compatExt spid="_x0000_s99338"/>
                </a:ext>
                <a:ext uri="{FF2B5EF4-FFF2-40B4-BE49-F238E27FC236}">
                  <a16:creationId xmlns:a16="http://schemas.microsoft.com/office/drawing/2014/main" id="{00000000-0008-0000-1800-00000A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49</xdr:row>
          <xdr:rowOff>161925</xdr:rowOff>
        </xdr:from>
        <xdr:to>
          <xdr:col>36</xdr:col>
          <xdr:colOff>57150</xdr:colOff>
          <xdr:row>51</xdr:row>
          <xdr:rowOff>28575</xdr:rowOff>
        </xdr:to>
        <xdr:sp macro="" textlink="">
          <xdr:nvSpPr>
            <xdr:cNvPr id="99339" name="Check Box 11" hidden="1">
              <a:extLst>
                <a:ext uri="{63B3BB69-23CF-44E3-9099-C40C66FF867C}">
                  <a14:compatExt spid="_x0000_s99339"/>
                </a:ext>
                <a:ext uri="{FF2B5EF4-FFF2-40B4-BE49-F238E27FC236}">
                  <a16:creationId xmlns:a16="http://schemas.microsoft.com/office/drawing/2014/main" id="{00000000-0008-0000-1800-00000B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50</xdr:row>
          <xdr:rowOff>161925</xdr:rowOff>
        </xdr:from>
        <xdr:to>
          <xdr:col>36</xdr:col>
          <xdr:colOff>57150</xdr:colOff>
          <xdr:row>52</xdr:row>
          <xdr:rowOff>28575</xdr:rowOff>
        </xdr:to>
        <xdr:sp macro="" textlink="">
          <xdr:nvSpPr>
            <xdr:cNvPr id="99340" name="Check Box 12" hidden="1">
              <a:extLst>
                <a:ext uri="{63B3BB69-23CF-44E3-9099-C40C66FF867C}">
                  <a14:compatExt spid="_x0000_s99340"/>
                </a:ext>
                <a:ext uri="{FF2B5EF4-FFF2-40B4-BE49-F238E27FC236}">
                  <a16:creationId xmlns:a16="http://schemas.microsoft.com/office/drawing/2014/main" id="{00000000-0008-0000-1800-00000C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51</xdr:row>
          <xdr:rowOff>161925</xdr:rowOff>
        </xdr:from>
        <xdr:to>
          <xdr:col>36</xdr:col>
          <xdr:colOff>57150</xdr:colOff>
          <xdr:row>53</xdr:row>
          <xdr:rowOff>28575</xdr:rowOff>
        </xdr:to>
        <xdr:sp macro="" textlink="">
          <xdr:nvSpPr>
            <xdr:cNvPr id="99341" name="Check Box 13" hidden="1">
              <a:extLst>
                <a:ext uri="{63B3BB69-23CF-44E3-9099-C40C66FF867C}">
                  <a14:compatExt spid="_x0000_s99341"/>
                </a:ext>
                <a:ext uri="{FF2B5EF4-FFF2-40B4-BE49-F238E27FC236}">
                  <a16:creationId xmlns:a16="http://schemas.microsoft.com/office/drawing/2014/main" id="{00000000-0008-0000-1800-00000D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52</xdr:row>
          <xdr:rowOff>161925</xdr:rowOff>
        </xdr:from>
        <xdr:to>
          <xdr:col>36</xdr:col>
          <xdr:colOff>57150</xdr:colOff>
          <xdr:row>54</xdr:row>
          <xdr:rowOff>28575</xdr:rowOff>
        </xdr:to>
        <xdr:sp macro="" textlink="">
          <xdr:nvSpPr>
            <xdr:cNvPr id="99342" name="Check Box 14" hidden="1">
              <a:extLst>
                <a:ext uri="{63B3BB69-23CF-44E3-9099-C40C66FF867C}">
                  <a14:compatExt spid="_x0000_s99342"/>
                </a:ext>
                <a:ext uri="{FF2B5EF4-FFF2-40B4-BE49-F238E27FC236}">
                  <a16:creationId xmlns:a16="http://schemas.microsoft.com/office/drawing/2014/main" id="{00000000-0008-0000-1800-00000E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53</xdr:row>
          <xdr:rowOff>161925</xdr:rowOff>
        </xdr:from>
        <xdr:to>
          <xdr:col>36</xdr:col>
          <xdr:colOff>57150</xdr:colOff>
          <xdr:row>55</xdr:row>
          <xdr:rowOff>28575</xdr:rowOff>
        </xdr:to>
        <xdr:sp macro="" textlink="">
          <xdr:nvSpPr>
            <xdr:cNvPr id="99343" name="Check Box 15" hidden="1">
              <a:extLst>
                <a:ext uri="{63B3BB69-23CF-44E3-9099-C40C66FF867C}">
                  <a14:compatExt spid="_x0000_s99343"/>
                </a:ext>
                <a:ext uri="{FF2B5EF4-FFF2-40B4-BE49-F238E27FC236}">
                  <a16:creationId xmlns:a16="http://schemas.microsoft.com/office/drawing/2014/main" id="{00000000-0008-0000-1800-00000F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54</xdr:row>
          <xdr:rowOff>161925</xdr:rowOff>
        </xdr:from>
        <xdr:to>
          <xdr:col>36</xdr:col>
          <xdr:colOff>57150</xdr:colOff>
          <xdr:row>56</xdr:row>
          <xdr:rowOff>28575</xdr:rowOff>
        </xdr:to>
        <xdr:sp macro="" textlink="">
          <xdr:nvSpPr>
            <xdr:cNvPr id="99344" name="Check Box 16" hidden="1">
              <a:extLst>
                <a:ext uri="{63B3BB69-23CF-44E3-9099-C40C66FF867C}">
                  <a14:compatExt spid="_x0000_s99344"/>
                </a:ext>
                <a:ext uri="{FF2B5EF4-FFF2-40B4-BE49-F238E27FC236}">
                  <a16:creationId xmlns:a16="http://schemas.microsoft.com/office/drawing/2014/main" id="{00000000-0008-0000-1800-000010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57</xdr:row>
          <xdr:rowOff>161925</xdr:rowOff>
        </xdr:from>
        <xdr:to>
          <xdr:col>36</xdr:col>
          <xdr:colOff>57150</xdr:colOff>
          <xdr:row>59</xdr:row>
          <xdr:rowOff>28575</xdr:rowOff>
        </xdr:to>
        <xdr:sp macro="" textlink="">
          <xdr:nvSpPr>
            <xdr:cNvPr id="99345" name="Check Box 17" hidden="1">
              <a:extLst>
                <a:ext uri="{63B3BB69-23CF-44E3-9099-C40C66FF867C}">
                  <a14:compatExt spid="_x0000_s99345"/>
                </a:ext>
                <a:ext uri="{FF2B5EF4-FFF2-40B4-BE49-F238E27FC236}">
                  <a16:creationId xmlns:a16="http://schemas.microsoft.com/office/drawing/2014/main" id="{00000000-0008-0000-1800-00001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58</xdr:row>
          <xdr:rowOff>161925</xdr:rowOff>
        </xdr:from>
        <xdr:to>
          <xdr:col>36</xdr:col>
          <xdr:colOff>57150</xdr:colOff>
          <xdr:row>60</xdr:row>
          <xdr:rowOff>28575</xdr:rowOff>
        </xdr:to>
        <xdr:sp macro="" textlink="">
          <xdr:nvSpPr>
            <xdr:cNvPr id="99346" name="Check Box 18" hidden="1">
              <a:extLst>
                <a:ext uri="{63B3BB69-23CF-44E3-9099-C40C66FF867C}">
                  <a14:compatExt spid="_x0000_s99346"/>
                </a:ext>
                <a:ext uri="{FF2B5EF4-FFF2-40B4-BE49-F238E27FC236}">
                  <a16:creationId xmlns:a16="http://schemas.microsoft.com/office/drawing/2014/main" id="{00000000-0008-0000-1800-00001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59</xdr:row>
          <xdr:rowOff>161925</xdr:rowOff>
        </xdr:from>
        <xdr:to>
          <xdr:col>36</xdr:col>
          <xdr:colOff>57150</xdr:colOff>
          <xdr:row>61</xdr:row>
          <xdr:rowOff>28575</xdr:rowOff>
        </xdr:to>
        <xdr:sp macro="" textlink="">
          <xdr:nvSpPr>
            <xdr:cNvPr id="99347" name="Check Box 19" hidden="1">
              <a:extLst>
                <a:ext uri="{63B3BB69-23CF-44E3-9099-C40C66FF867C}">
                  <a14:compatExt spid="_x0000_s99347"/>
                </a:ext>
                <a:ext uri="{FF2B5EF4-FFF2-40B4-BE49-F238E27FC236}">
                  <a16:creationId xmlns:a16="http://schemas.microsoft.com/office/drawing/2014/main" id="{00000000-0008-0000-1800-00001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60</xdr:row>
          <xdr:rowOff>161925</xdr:rowOff>
        </xdr:from>
        <xdr:to>
          <xdr:col>36</xdr:col>
          <xdr:colOff>57150</xdr:colOff>
          <xdr:row>62</xdr:row>
          <xdr:rowOff>28575</xdr:rowOff>
        </xdr:to>
        <xdr:sp macro="" textlink="">
          <xdr:nvSpPr>
            <xdr:cNvPr id="99348" name="Check Box 20" hidden="1">
              <a:extLst>
                <a:ext uri="{63B3BB69-23CF-44E3-9099-C40C66FF867C}">
                  <a14:compatExt spid="_x0000_s99348"/>
                </a:ext>
                <a:ext uri="{FF2B5EF4-FFF2-40B4-BE49-F238E27FC236}">
                  <a16:creationId xmlns:a16="http://schemas.microsoft.com/office/drawing/2014/main" id="{00000000-0008-0000-1800-00001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61</xdr:row>
          <xdr:rowOff>161925</xdr:rowOff>
        </xdr:from>
        <xdr:to>
          <xdr:col>36</xdr:col>
          <xdr:colOff>57150</xdr:colOff>
          <xdr:row>63</xdr:row>
          <xdr:rowOff>28575</xdr:rowOff>
        </xdr:to>
        <xdr:sp macro="" textlink="">
          <xdr:nvSpPr>
            <xdr:cNvPr id="99349" name="Check Box 21" hidden="1">
              <a:extLst>
                <a:ext uri="{63B3BB69-23CF-44E3-9099-C40C66FF867C}">
                  <a14:compatExt spid="_x0000_s99349"/>
                </a:ext>
                <a:ext uri="{FF2B5EF4-FFF2-40B4-BE49-F238E27FC236}">
                  <a16:creationId xmlns:a16="http://schemas.microsoft.com/office/drawing/2014/main" id="{00000000-0008-0000-1800-00001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284</xdr:row>
      <xdr:rowOff>33750</xdr:rowOff>
    </xdr:from>
    <xdr:ext cx="252000" cy="252000"/>
    <xdr:sp macro="[0]!CPP" textlink="">
      <xdr:nvSpPr>
        <xdr:cNvPr id="31" name="Down Arrow 44">
          <a:extLst>
            <a:ext uri="{FF2B5EF4-FFF2-40B4-BE49-F238E27FC236}">
              <a16:creationId xmlns:a16="http://schemas.microsoft.com/office/drawing/2014/main" id="{00000000-0008-0000-1800-00001F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280</xdr:row>
      <xdr:rowOff>0</xdr:rowOff>
    </xdr:from>
    <xdr:to>
      <xdr:col>8</xdr:col>
      <xdr:colOff>0</xdr:colOff>
      <xdr:row>283</xdr:row>
      <xdr:rowOff>0</xdr:rowOff>
    </xdr:to>
    <xdr:graphicFrame macro="">
      <xdr:nvGraphicFramePr>
        <xdr:cNvPr id="32" name="Chart 13">
          <a:extLst>
            <a:ext uri="{FF2B5EF4-FFF2-40B4-BE49-F238E27FC236}">
              <a16:creationId xmlns:a16="http://schemas.microsoft.com/office/drawing/2014/main" id="{00000000-0008-0000-18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85725</xdr:colOff>
          <xdr:row>55</xdr:row>
          <xdr:rowOff>161925</xdr:rowOff>
        </xdr:from>
        <xdr:to>
          <xdr:col>36</xdr:col>
          <xdr:colOff>57150</xdr:colOff>
          <xdr:row>57</xdr:row>
          <xdr:rowOff>28575</xdr:rowOff>
        </xdr:to>
        <xdr:sp macro="" textlink="">
          <xdr:nvSpPr>
            <xdr:cNvPr id="99350" name="Check Box 22" hidden="1">
              <a:extLst>
                <a:ext uri="{63B3BB69-23CF-44E3-9099-C40C66FF867C}">
                  <a14:compatExt spid="_x0000_s99350"/>
                </a:ext>
                <a:ext uri="{FF2B5EF4-FFF2-40B4-BE49-F238E27FC236}">
                  <a16:creationId xmlns:a16="http://schemas.microsoft.com/office/drawing/2014/main" id="{00000000-0008-0000-1800-00001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56</xdr:row>
          <xdr:rowOff>161925</xdr:rowOff>
        </xdr:from>
        <xdr:to>
          <xdr:col>36</xdr:col>
          <xdr:colOff>57150</xdr:colOff>
          <xdr:row>58</xdr:row>
          <xdr:rowOff>28575</xdr:rowOff>
        </xdr:to>
        <xdr:sp macro="" textlink="">
          <xdr:nvSpPr>
            <xdr:cNvPr id="99351" name="Check Box 23" hidden="1">
              <a:extLst>
                <a:ext uri="{63B3BB69-23CF-44E3-9099-C40C66FF867C}">
                  <a14:compatExt spid="_x0000_s99351"/>
                </a:ext>
                <a:ext uri="{FF2B5EF4-FFF2-40B4-BE49-F238E27FC236}">
                  <a16:creationId xmlns:a16="http://schemas.microsoft.com/office/drawing/2014/main" id="{00000000-0008-0000-1800-00001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495299</xdr:colOff>
      <xdr:row>251</xdr:row>
      <xdr:rowOff>95250</xdr:rowOff>
    </xdr:from>
    <xdr:to>
      <xdr:col>20</xdr:col>
      <xdr:colOff>514349</xdr:colOff>
      <xdr:row>283</xdr:row>
      <xdr:rowOff>0</xdr:rowOff>
    </xdr:to>
    <xdr:graphicFrame macro="">
      <xdr:nvGraphicFramePr>
        <xdr:cNvPr id="35" name="Chart 13">
          <a:extLst>
            <a:ext uri="{FF2B5EF4-FFF2-40B4-BE49-F238E27FC236}">
              <a16:creationId xmlns:a16="http://schemas.microsoft.com/office/drawing/2014/main" id="{00000000-0008-0000-18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85725</xdr:colOff>
          <xdr:row>62</xdr:row>
          <xdr:rowOff>161925</xdr:rowOff>
        </xdr:from>
        <xdr:to>
          <xdr:col>36</xdr:col>
          <xdr:colOff>57150</xdr:colOff>
          <xdr:row>64</xdr:row>
          <xdr:rowOff>28575</xdr:rowOff>
        </xdr:to>
        <xdr:sp macro="" textlink="">
          <xdr:nvSpPr>
            <xdr:cNvPr id="99352" name="Check Box 24" hidden="1">
              <a:extLst>
                <a:ext uri="{63B3BB69-23CF-44E3-9099-C40C66FF867C}">
                  <a14:compatExt spid="_x0000_s99352"/>
                </a:ext>
                <a:ext uri="{FF2B5EF4-FFF2-40B4-BE49-F238E27FC236}">
                  <a16:creationId xmlns:a16="http://schemas.microsoft.com/office/drawing/2014/main" id="{00000000-0008-0000-1800-00001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CPP" textlink="">
      <xdr:nvSpPr>
        <xdr:cNvPr id="37" name="Down Arrow 44">
          <a:extLst>
            <a:ext uri="{FF2B5EF4-FFF2-40B4-BE49-F238E27FC236}">
              <a16:creationId xmlns:a16="http://schemas.microsoft.com/office/drawing/2014/main" id="{00000000-0008-0000-1800-000025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72</xdr:row>
      <xdr:rowOff>0</xdr:rowOff>
    </xdr:from>
    <xdr:to>
      <xdr:col>21</xdr:col>
      <xdr:colOff>0</xdr:colOff>
      <xdr:row>103</xdr:row>
      <xdr:rowOff>0</xdr:rowOff>
    </xdr:to>
    <xdr:graphicFrame macro="">
      <xdr:nvGraphicFramePr>
        <xdr:cNvPr id="38" name="Chart 176">
          <a:extLst>
            <a:ext uri="{FF2B5EF4-FFF2-40B4-BE49-F238E27FC236}">
              <a16:creationId xmlns:a16="http://schemas.microsoft.com/office/drawing/2014/main" id="{00000000-0008-0000-18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39" name="Chart 764">
          <a:extLst>
            <a:ext uri="{FF2B5EF4-FFF2-40B4-BE49-F238E27FC236}">
              <a16:creationId xmlns:a16="http://schemas.microsoft.com/office/drawing/2014/main" id="{00000000-0008-0000-18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22</xdr:col>
      <xdr:colOff>95250</xdr:colOff>
      <xdr:row>248</xdr:row>
      <xdr:rowOff>33750</xdr:rowOff>
    </xdr:from>
    <xdr:ext cx="252000" cy="252000"/>
    <xdr:sp macro="[0]!CPP" textlink="">
      <xdr:nvSpPr>
        <xdr:cNvPr id="42" name="Down Arrow 44">
          <a:extLst>
            <a:ext uri="{FF2B5EF4-FFF2-40B4-BE49-F238E27FC236}">
              <a16:creationId xmlns:a16="http://schemas.microsoft.com/office/drawing/2014/main" id="{00000000-0008-0000-1800-00002A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244</xdr:row>
      <xdr:rowOff>0</xdr:rowOff>
    </xdr:from>
    <xdr:to>
      <xdr:col>8</xdr:col>
      <xdr:colOff>0</xdr:colOff>
      <xdr:row>247</xdr:row>
      <xdr:rowOff>0</xdr:rowOff>
    </xdr:to>
    <xdr:graphicFrame macro="">
      <xdr:nvGraphicFramePr>
        <xdr:cNvPr id="43" name="Chart 13">
          <a:extLst>
            <a:ext uri="{FF2B5EF4-FFF2-40B4-BE49-F238E27FC236}">
              <a16:creationId xmlns:a16="http://schemas.microsoft.com/office/drawing/2014/main" id="{00000000-0008-0000-18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495299</xdr:colOff>
      <xdr:row>215</xdr:row>
      <xdr:rowOff>95250</xdr:rowOff>
    </xdr:from>
    <xdr:to>
      <xdr:col>20</xdr:col>
      <xdr:colOff>514349</xdr:colOff>
      <xdr:row>247</xdr:row>
      <xdr:rowOff>0</xdr:rowOff>
    </xdr:to>
    <xdr:graphicFrame macro="">
      <xdr:nvGraphicFramePr>
        <xdr:cNvPr id="44" name="Chart 13">
          <a:extLst>
            <a:ext uri="{FF2B5EF4-FFF2-40B4-BE49-F238E27FC236}">
              <a16:creationId xmlns:a16="http://schemas.microsoft.com/office/drawing/2014/main" id="{00000000-0008-0000-18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95250</xdr:colOff>
      <xdr:row>212</xdr:row>
      <xdr:rowOff>33750</xdr:rowOff>
    </xdr:from>
    <xdr:ext cx="252000" cy="252000"/>
    <xdr:sp macro="[0]!CPP" textlink="">
      <xdr:nvSpPr>
        <xdr:cNvPr id="45" name="Down Arrow 44">
          <a:extLst>
            <a:ext uri="{FF2B5EF4-FFF2-40B4-BE49-F238E27FC236}">
              <a16:creationId xmlns:a16="http://schemas.microsoft.com/office/drawing/2014/main" id="{00000000-0008-0000-1800-00002D000000}"/>
            </a:ext>
          </a:extLst>
        </xdr:cNvPr>
        <xdr:cNvSpPr>
          <a:spLocks noChangeArrowheads="1"/>
        </xdr:cNvSpPr>
      </xdr:nvSpPr>
      <xdr:spPr bwMode="auto">
        <a:xfrm flipV="1">
          <a:off x="9277350" y="469062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208</xdr:row>
      <xdr:rowOff>0</xdr:rowOff>
    </xdr:from>
    <xdr:to>
      <xdr:col>8</xdr:col>
      <xdr:colOff>0</xdr:colOff>
      <xdr:row>211</xdr:row>
      <xdr:rowOff>0</xdr:rowOff>
    </xdr:to>
    <xdr:graphicFrame macro="">
      <xdr:nvGraphicFramePr>
        <xdr:cNvPr id="46" name="Chart 13">
          <a:extLst>
            <a:ext uri="{FF2B5EF4-FFF2-40B4-BE49-F238E27FC236}">
              <a16:creationId xmlns:a16="http://schemas.microsoft.com/office/drawing/2014/main" id="{00000000-0008-0000-18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495299</xdr:colOff>
      <xdr:row>179</xdr:row>
      <xdr:rowOff>95249</xdr:rowOff>
    </xdr:from>
    <xdr:to>
      <xdr:col>20</xdr:col>
      <xdr:colOff>504824</xdr:colOff>
      <xdr:row>210</xdr:row>
      <xdr:rowOff>628649</xdr:rowOff>
    </xdr:to>
    <xdr:graphicFrame macro="">
      <xdr:nvGraphicFramePr>
        <xdr:cNvPr id="47" name="Chart 13">
          <a:extLst>
            <a:ext uri="{FF2B5EF4-FFF2-40B4-BE49-F238E27FC236}">
              <a16:creationId xmlns:a16="http://schemas.microsoft.com/office/drawing/2014/main" id="{00000000-0008-0000-18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22</xdr:col>
      <xdr:colOff>66675</xdr:colOff>
      <xdr:row>0</xdr:row>
      <xdr:rowOff>193416</xdr:rowOff>
    </xdr:from>
    <xdr:to>
      <xdr:col>22</xdr:col>
      <xdr:colOff>368300</xdr:colOff>
      <xdr:row>2</xdr:row>
      <xdr:rowOff>44450</xdr:rowOff>
    </xdr:to>
    <xdr:pic macro="[0]!Home">
      <xdr:nvPicPr>
        <xdr:cNvPr id="53" name="Picture 52">
          <a:extLst>
            <a:ext uri="{FF2B5EF4-FFF2-40B4-BE49-F238E27FC236}">
              <a16:creationId xmlns:a16="http://schemas.microsoft.com/office/drawing/2014/main" id="{00000000-0008-0000-1800-000035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ICPC" textlink="">
      <xdr:nvSpPr>
        <xdr:cNvPr id="55" name="Right Arrow 54">
          <a:extLst>
            <a:ext uri="{FF2B5EF4-FFF2-40B4-BE49-F238E27FC236}">
              <a16:creationId xmlns:a16="http://schemas.microsoft.com/office/drawing/2014/main" id="{00000000-0008-0000-1800-000037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Court" textlink="">
      <xdr:nvSpPr>
        <xdr:cNvPr id="56" name="Right Arrow 50">
          <a:extLst>
            <a:ext uri="{FF2B5EF4-FFF2-40B4-BE49-F238E27FC236}">
              <a16:creationId xmlns:a16="http://schemas.microsoft.com/office/drawing/2014/main" id="{00000000-0008-0000-1800-000038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xdr:col>
      <xdr:colOff>0</xdr:colOff>
      <xdr:row>172</xdr:row>
      <xdr:rowOff>0</xdr:rowOff>
    </xdr:from>
    <xdr:to>
      <xdr:col>8</xdr:col>
      <xdr:colOff>0</xdr:colOff>
      <xdr:row>175</xdr:row>
      <xdr:rowOff>0</xdr:rowOff>
    </xdr:to>
    <xdr:graphicFrame macro="">
      <xdr:nvGraphicFramePr>
        <xdr:cNvPr id="58" name="Chart 13">
          <a:extLst>
            <a:ext uri="{FF2B5EF4-FFF2-40B4-BE49-F238E27FC236}">
              <a16:creationId xmlns:a16="http://schemas.microsoft.com/office/drawing/2014/main" id="{00000000-0008-0000-18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495299</xdr:colOff>
      <xdr:row>143</xdr:row>
      <xdr:rowOff>95249</xdr:rowOff>
    </xdr:from>
    <xdr:to>
      <xdr:col>20</xdr:col>
      <xdr:colOff>504824</xdr:colOff>
      <xdr:row>174</xdr:row>
      <xdr:rowOff>628649</xdr:rowOff>
    </xdr:to>
    <xdr:graphicFrame macro="">
      <xdr:nvGraphicFramePr>
        <xdr:cNvPr id="59" name="Chart 13">
          <a:extLst>
            <a:ext uri="{FF2B5EF4-FFF2-40B4-BE49-F238E27FC236}">
              <a16:creationId xmlns:a16="http://schemas.microsoft.com/office/drawing/2014/main" id="{00000000-0008-0000-18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22</xdr:col>
      <xdr:colOff>95250</xdr:colOff>
      <xdr:row>140</xdr:row>
      <xdr:rowOff>33750</xdr:rowOff>
    </xdr:from>
    <xdr:to>
      <xdr:col>22</xdr:col>
      <xdr:colOff>347250</xdr:colOff>
      <xdr:row>141</xdr:row>
      <xdr:rowOff>95250</xdr:rowOff>
    </xdr:to>
    <xdr:sp macro="[0]!CPP" textlink="">
      <xdr:nvSpPr>
        <xdr:cNvPr id="60" name="Down Arrow 59">
          <a:extLst>
            <a:ext uri="{FF2B5EF4-FFF2-40B4-BE49-F238E27FC236}">
              <a16:creationId xmlns:a16="http://schemas.microsoft.com/office/drawing/2014/main" id="{00000000-0008-0000-1800-00003C000000}"/>
            </a:ext>
          </a:extLst>
        </xdr:cNvPr>
        <xdr:cNvSpPr>
          <a:spLocks noChangeArrowheads="1"/>
        </xdr:cNvSpPr>
      </xdr:nvSpPr>
      <xdr:spPr bwMode="auto">
        <a:xfrm flipV="1">
          <a:off x="9277350" y="316758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1</xdr:col>
      <xdr:colOff>0</xdr:colOff>
      <xdr:row>136</xdr:row>
      <xdr:rowOff>0</xdr:rowOff>
    </xdr:from>
    <xdr:to>
      <xdr:col>8</xdr:col>
      <xdr:colOff>0</xdr:colOff>
      <xdr:row>139</xdr:row>
      <xdr:rowOff>0</xdr:rowOff>
    </xdr:to>
    <xdr:graphicFrame macro="">
      <xdr:nvGraphicFramePr>
        <xdr:cNvPr id="61" name="Chart 13">
          <a:extLst>
            <a:ext uri="{FF2B5EF4-FFF2-40B4-BE49-F238E27FC236}">
              <a16:creationId xmlns:a16="http://schemas.microsoft.com/office/drawing/2014/main" id="{00000000-0008-0000-18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495299</xdr:colOff>
      <xdr:row>107</xdr:row>
      <xdr:rowOff>95250</xdr:rowOff>
    </xdr:from>
    <xdr:to>
      <xdr:col>20</xdr:col>
      <xdr:colOff>504824</xdr:colOff>
      <xdr:row>139</xdr:row>
      <xdr:rowOff>0</xdr:rowOff>
    </xdr:to>
    <xdr:graphicFrame macro="">
      <xdr:nvGraphicFramePr>
        <xdr:cNvPr id="62" name="Chart 13">
          <a:extLst>
            <a:ext uri="{FF2B5EF4-FFF2-40B4-BE49-F238E27FC236}">
              <a16:creationId xmlns:a16="http://schemas.microsoft.com/office/drawing/2014/main" id="{00000000-0008-0000-18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39</xdr:row>
      <xdr:rowOff>0</xdr:rowOff>
    </xdr:from>
    <xdr:to>
      <xdr:col>21</xdr:col>
      <xdr:colOff>0</xdr:colOff>
      <xdr:row>63</xdr:row>
      <xdr:rowOff>0</xdr:rowOff>
    </xdr:to>
    <xdr:graphicFrame macro="">
      <xdr:nvGraphicFramePr>
        <xdr:cNvPr id="63" name="Chart 176">
          <a:extLst>
            <a:ext uri="{FF2B5EF4-FFF2-40B4-BE49-F238E27FC236}">
              <a16:creationId xmlns:a16="http://schemas.microsoft.com/office/drawing/2014/main" id="{00000000-0008-0000-18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64" name="Oval 2165">
          <a:extLst>
            <a:ext uri="{FF2B5EF4-FFF2-40B4-BE49-F238E27FC236}">
              <a16:creationId xmlns:a16="http://schemas.microsoft.com/office/drawing/2014/main" id="{00000000-0008-0000-1800-000040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65" name="Line 283">
          <a:extLst>
            <a:ext uri="{FF2B5EF4-FFF2-40B4-BE49-F238E27FC236}">
              <a16:creationId xmlns:a16="http://schemas.microsoft.com/office/drawing/2014/main" id="{00000000-0008-0000-1800-000041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66" name="Oval 2164">
          <a:extLst>
            <a:ext uri="{FF2B5EF4-FFF2-40B4-BE49-F238E27FC236}">
              <a16:creationId xmlns:a16="http://schemas.microsoft.com/office/drawing/2014/main" id="{00000000-0008-0000-1800-000042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67" name="Line 283">
          <a:extLst>
            <a:ext uri="{FF2B5EF4-FFF2-40B4-BE49-F238E27FC236}">
              <a16:creationId xmlns:a16="http://schemas.microsoft.com/office/drawing/2014/main" id="{00000000-0008-0000-1800-000043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353600</xdr:colOff>
      <xdr:row>37</xdr:row>
      <xdr:rowOff>95250</xdr:rowOff>
    </xdr:to>
    <xdr:sp macro="[0]!Court" textlink="">
      <xdr:nvSpPr>
        <xdr:cNvPr id="2" name="Down Arrow 44">
          <a:extLst>
            <a:ext uri="{FF2B5EF4-FFF2-40B4-BE49-F238E27FC236}">
              <a16:creationId xmlns:a16="http://schemas.microsoft.com/office/drawing/2014/main" id="{00000000-0008-0000-19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Court" textlink="">
      <xdr:nvSpPr>
        <xdr:cNvPr id="3" name="Down Arrow 2">
          <a:extLst>
            <a:ext uri="{FF2B5EF4-FFF2-40B4-BE49-F238E27FC236}">
              <a16:creationId xmlns:a16="http://schemas.microsoft.com/office/drawing/2014/main" id="{00000000-0008-0000-19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1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8" name="AutoShape 32">
          <a:extLst>
            <a:ext uri="{FF2B5EF4-FFF2-40B4-BE49-F238E27FC236}">
              <a16:creationId xmlns:a16="http://schemas.microsoft.com/office/drawing/2014/main" id="{00000000-0008-0000-1900-000008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9" name="Chart 13">
          <a:extLst>
            <a:ext uri="{FF2B5EF4-FFF2-40B4-BE49-F238E27FC236}">
              <a16:creationId xmlns:a16="http://schemas.microsoft.com/office/drawing/2014/main" id="{00000000-0008-0000-1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85725</xdr:colOff>
          <xdr:row>39</xdr:row>
          <xdr:rowOff>19050</xdr:rowOff>
        </xdr:from>
        <xdr:to>
          <xdr:col>36</xdr:col>
          <xdr:colOff>57150</xdr:colOff>
          <xdr:row>41</xdr:row>
          <xdr:rowOff>0</xdr:rowOff>
        </xdr:to>
        <xdr:sp macro="" textlink="">
          <xdr:nvSpPr>
            <xdr:cNvPr id="104449" name="Check Box 1" hidden="1">
              <a:extLst>
                <a:ext uri="{63B3BB69-23CF-44E3-9099-C40C66FF867C}">
                  <a14:compatExt spid="_x0000_s104449"/>
                </a:ext>
                <a:ext uri="{FF2B5EF4-FFF2-40B4-BE49-F238E27FC236}">
                  <a16:creationId xmlns:a16="http://schemas.microsoft.com/office/drawing/2014/main" id="{00000000-0008-0000-1900-00000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40</xdr:row>
          <xdr:rowOff>142875</xdr:rowOff>
        </xdr:from>
        <xdr:to>
          <xdr:col>36</xdr:col>
          <xdr:colOff>57150</xdr:colOff>
          <xdr:row>42</xdr:row>
          <xdr:rowOff>0</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1900-00000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41</xdr:row>
          <xdr:rowOff>142875</xdr:rowOff>
        </xdr:from>
        <xdr:to>
          <xdr:col>36</xdr:col>
          <xdr:colOff>57150</xdr:colOff>
          <xdr:row>43</xdr:row>
          <xdr:rowOff>0</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19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42</xdr:row>
          <xdr:rowOff>142875</xdr:rowOff>
        </xdr:from>
        <xdr:to>
          <xdr:col>36</xdr:col>
          <xdr:colOff>57150</xdr:colOff>
          <xdr:row>44</xdr:row>
          <xdr:rowOff>0</xdr:rowOff>
        </xdr:to>
        <xdr:sp macro="" textlink="">
          <xdr:nvSpPr>
            <xdr:cNvPr id="104452" name="Check Box 4" hidden="1">
              <a:extLst>
                <a:ext uri="{63B3BB69-23CF-44E3-9099-C40C66FF867C}">
                  <a14:compatExt spid="_x0000_s104452"/>
                </a:ext>
                <a:ext uri="{FF2B5EF4-FFF2-40B4-BE49-F238E27FC236}">
                  <a16:creationId xmlns:a16="http://schemas.microsoft.com/office/drawing/2014/main" id="{00000000-0008-0000-1900-00000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43</xdr:row>
          <xdr:rowOff>142875</xdr:rowOff>
        </xdr:from>
        <xdr:to>
          <xdr:col>36</xdr:col>
          <xdr:colOff>57150</xdr:colOff>
          <xdr:row>45</xdr:row>
          <xdr:rowOff>0</xdr:rowOff>
        </xdr:to>
        <xdr:sp macro="" textlink="">
          <xdr:nvSpPr>
            <xdr:cNvPr id="104453" name="Check Box 5" hidden="1">
              <a:extLst>
                <a:ext uri="{63B3BB69-23CF-44E3-9099-C40C66FF867C}">
                  <a14:compatExt spid="_x0000_s104453"/>
                </a:ext>
                <a:ext uri="{FF2B5EF4-FFF2-40B4-BE49-F238E27FC236}">
                  <a16:creationId xmlns:a16="http://schemas.microsoft.com/office/drawing/2014/main" id="{00000000-0008-0000-1900-00000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44</xdr:row>
          <xdr:rowOff>142875</xdr:rowOff>
        </xdr:from>
        <xdr:to>
          <xdr:col>36</xdr:col>
          <xdr:colOff>57150</xdr:colOff>
          <xdr:row>46</xdr:row>
          <xdr:rowOff>0</xdr:rowOff>
        </xdr:to>
        <xdr:sp macro="" textlink="">
          <xdr:nvSpPr>
            <xdr:cNvPr id="104454" name="Check Box 6" hidden="1">
              <a:extLst>
                <a:ext uri="{63B3BB69-23CF-44E3-9099-C40C66FF867C}">
                  <a14:compatExt spid="_x0000_s104454"/>
                </a:ext>
                <a:ext uri="{FF2B5EF4-FFF2-40B4-BE49-F238E27FC236}">
                  <a16:creationId xmlns:a16="http://schemas.microsoft.com/office/drawing/2014/main" id="{00000000-0008-0000-1900-000006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45</xdr:row>
          <xdr:rowOff>142875</xdr:rowOff>
        </xdr:from>
        <xdr:to>
          <xdr:col>36</xdr:col>
          <xdr:colOff>57150</xdr:colOff>
          <xdr:row>47</xdr:row>
          <xdr:rowOff>0</xdr:rowOff>
        </xdr:to>
        <xdr:sp macro="" textlink="">
          <xdr:nvSpPr>
            <xdr:cNvPr id="104455" name="Check Box 7" hidden="1">
              <a:extLst>
                <a:ext uri="{63B3BB69-23CF-44E3-9099-C40C66FF867C}">
                  <a14:compatExt spid="_x0000_s104455"/>
                </a:ext>
                <a:ext uri="{FF2B5EF4-FFF2-40B4-BE49-F238E27FC236}">
                  <a16:creationId xmlns:a16="http://schemas.microsoft.com/office/drawing/2014/main" id="{00000000-0008-0000-1900-00000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46</xdr:row>
          <xdr:rowOff>142875</xdr:rowOff>
        </xdr:from>
        <xdr:to>
          <xdr:col>36</xdr:col>
          <xdr:colOff>57150</xdr:colOff>
          <xdr:row>48</xdr:row>
          <xdr:rowOff>0</xdr:rowOff>
        </xdr:to>
        <xdr:sp macro="" textlink="">
          <xdr:nvSpPr>
            <xdr:cNvPr id="104456" name="Check Box 8" hidden="1">
              <a:extLst>
                <a:ext uri="{63B3BB69-23CF-44E3-9099-C40C66FF867C}">
                  <a14:compatExt spid="_x0000_s104456"/>
                </a:ext>
                <a:ext uri="{FF2B5EF4-FFF2-40B4-BE49-F238E27FC236}">
                  <a16:creationId xmlns:a16="http://schemas.microsoft.com/office/drawing/2014/main" id="{00000000-0008-0000-1900-000008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47</xdr:row>
          <xdr:rowOff>142875</xdr:rowOff>
        </xdr:from>
        <xdr:to>
          <xdr:col>36</xdr:col>
          <xdr:colOff>57150</xdr:colOff>
          <xdr:row>49</xdr:row>
          <xdr:rowOff>0</xdr:rowOff>
        </xdr:to>
        <xdr:sp macro="" textlink="">
          <xdr:nvSpPr>
            <xdr:cNvPr id="104457" name="Check Box 9" hidden="1">
              <a:extLst>
                <a:ext uri="{63B3BB69-23CF-44E3-9099-C40C66FF867C}">
                  <a14:compatExt spid="_x0000_s104457"/>
                </a:ext>
                <a:ext uri="{FF2B5EF4-FFF2-40B4-BE49-F238E27FC236}">
                  <a16:creationId xmlns:a16="http://schemas.microsoft.com/office/drawing/2014/main" id="{00000000-0008-0000-1900-000009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48</xdr:row>
          <xdr:rowOff>142875</xdr:rowOff>
        </xdr:from>
        <xdr:to>
          <xdr:col>36</xdr:col>
          <xdr:colOff>57150</xdr:colOff>
          <xdr:row>50</xdr:row>
          <xdr:rowOff>0</xdr:rowOff>
        </xdr:to>
        <xdr:sp macro="" textlink="">
          <xdr:nvSpPr>
            <xdr:cNvPr id="104458" name="Check Box 10" hidden="1">
              <a:extLst>
                <a:ext uri="{63B3BB69-23CF-44E3-9099-C40C66FF867C}">
                  <a14:compatExt spid="_x0000_s104458"/>
                </a:ext>
                <a:ext uri="{FF2B5EF4-FFF2-40B4-BE49-F238E27FC236}">
                  <a16:creationId xmlns:a16="http://schemas.microsoft.com/office/drawing/2014/main" id="{00000000-0008-0000-1900-00000A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49</xdr:row>
          <xdr:rowOff>142875</xdr:rowOff>
        </xdr:from>
        <xdr:to>
          <xdr:col>36</xdr:col>
          <xdr:colOff>57150</xdr:colOff>
          <xdr:row>51</xdr:row>
          <xdr:rowOff>0</xdr:rowOff>
        </xdr:to>
        <xdr:sp macro="" textlink="">
          <xdr:nvSpPr>
            <xdr:cNvPr id="104459" name="Check Box 11" hidden="1">
              <a:extLst>
                <a:ext uri="{63B3BB69-23CF-44E3-9099-C40C66FF867C}">
                  <a14:compatExt spid="_x0000_s104459"/>
                </a:ext>
                <a:ext uri="{FF2B5EF4-FFF2-40B4-BE49-F238E27FC236}">
                  <a16:creationId xmlns:a16="http://schemas.microsoft.com/office/drawing/2014/main" id="{00000000-0008-0000-1900-00000B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50</xdr:row>
          <xdr:rowOff>142875</xdr:rowOff>
        </xdr:from>
        <xdr:to>
          <xdr:col>36</xdr:col>
          <xdr:colOff>57150</xdr:colOff>
          <xdr:row>52</xdr:row>
          <xdr:rowOff>0</xdr:rowOff>
        </xdr:to>
        <xdr:sp macro="" textlink="">
          <xdr:nvSpPr>
            <xdr:cNvPr id="104460" name="Check Box 12" hidden="1">
              <a:extLst>
                <a:ext uri="{63B3BB69-23CF-44E3-9099-C40C66FF867C}">
                  <a14:compatExt spid="_x0000_s104460"/>
                </a:ext>
                <a:ext uri="{FF2B5EF4-FFF2-40B4-BE49-F238E27FC236}">
                  <a16:creationId xmlns:a16="http://schemas.microsoft.com/office/drawing/2014/main" id="{00000000-0008-0000-1900-00000C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51</xdr:row>
          <xdr:rowOff>142875</xdr:rowOff>
        </xdr:from>
        <xdr:to>
          <xdr:col>36</xdr:col>
          <xdr:colOff>57150</xdr:colOff>
          <xdr:row>53</xdr:row>
          <xdr:rowOff>0</xdr:rowOff>
        </xdr:to>
        <xdr:sp macro="" textlink="">
          <xdr:nvSpPr>
            <xdr:cNvPr id="104461" name="Check Box 13" hidden="1">
              <a:extLst>
                <a:ext uri="{63B3BB69-23CF-44E3-9099-C40C66FF867C}">
                  <a14:compatExt spid="_x0000_s104461"/>
                </a:ext>
                <a:ext uri="{FF2B5EF4-FFF2-40B4-BE49-F238E27FC236}">
                  <a16:creationId xmlns:a16="http://schemas.microsoft.com/office/drawing/2014/main" id="{00000000-0008-0000-1900-00000D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52</xdr:row>
          <xdr:rowOff>142875</xdr:rowOff>
        </xdr:from>
        <xdr:to>
          <xdr:col>36</xdr:col>
          <xdr:colOff>57150</xdr:colOff>
          <xdr:row>54</xdr:row>
          <xdr:rowOff>0</xdr:rowOff>
        </xdr:to>
        <xdr:sp macro="" textlink="">
          <xdr:nvSpPr>
            <xdr:cNvPr id="104462" name="Check Box 14" hidden="1">
              <a:extLst>
                <a:ext uri="{63B3BB69-23CF-44E3-9099-C40C66FF867C}">
                  <a14:compatExt spid="_x0000_s104462"/>
                </a:ext>
                <a:ext uri="{FF2B5EF4-FFF2-40B4-BE49-F238E27FC236}">
                  <a16:creationId xmlns:a16="http://schemas.microsoft.com/office/drawing/2014/main" id="{00000000-0008-0000-1900-00000E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53</xdr:row>
          <xdr:rowOff>142875</xdr:rowOff>
        </xdr:from>
        <xdr:to>
          <xdr:col>36</xdr:col>
          <xdr:colOff>57150</xdr:colOff>
          <xdr:row>55</xdr:row>
          <xdr:rowOff>0</xdr:rowOff>
        </xdr:to>
        <xdr:sp macro="" textlink="">
          <xdr:nvSpPr>
            <xdr:cNvPr id="104463" name="Check Box 15" hidden="1">
              <a:extLst>
                <a:ext uri="{63B3BB69-23CF-44E3-9099-C40C66FF867C}">
                  <a14:compatExt spid="_x0000_s104463"/>
                </a:ext>
                <a:ext uri="{FF2B5EF4-FFF2-40B4-BE49-F238E27FC236}">
                  <a16:creationId xmlns:a16="http://schemas.microsoft.com/office/drawing/2014/main" id="{00000000-0008-0000-1900-00000F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54</xdr:row>
          <xdr:rowOff>142875</xdr:rowOff>
        </xdr:from>
        <xdr:to>
          <xdr:col>36</xdr:col>
          <xdr:colOff>57150</xdr:colOff>
          <xdr:row>56</xdr:row>
          <xdr:rowOff>0</xdr:rowOff>
        </xdr:to>
        <xdr:sp macro="" textlink="">
          <xdr:nvSpPr>
            <xdr:cNvPr id="104464" name="Check Box 16" hidden="1">
              <a:extLst>
                <a:ext uri="{63B3BB69-23CF-44E3-9099-C40C66FF867C}">
                  <a14:compatExt spid="_x0000_s104464"/>
                </a:ext>
                <a:ext uri="{FF2B5EF4-FFF2-40B4-BE49-F238E27FC236}">
                  <a16:creationId xmlns:a16="http://schemas.microsoft.com/office/drawing/2014/main" id="{00000000-0008-0000-1900-000010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57</xdr:row>
          <xdr:rowOff>142875</xdr:rowOff>
        </xdr:from>
        <xdr:to>
          <xdr:col>36</xdr:col>
          <xdr:colOff>57150</xdr:colOff>
          <xdr:row>59</xdr:row>
          <xdr:rowOff>0</xdr:rowOff>
        </xdr:to>
        <xdr:sp macro="" textlink="">
          <xdr:nvSpPr>
            <xdr:cNvPr id="104465" name="Check Box 17" hidden="1">
              <a:extLst>
                <a:ext uri="{63B3BB69-23CF-44E3-9099-C40C66FF867C}">
                  <a14:compatExt spid="_x0000_s104465"/>
                </a:ext>
                <a:ext uri="{FF2B5EF4-FFF2-40B4-BE49-F238E27FC236}">
                  <a16:creationId xmlns:a16="http://schemas.microsoft.com/office/drawing/2014/main" id="{00000000-0008-0000-1900-00001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58</xdr:row>
          <xdr:rowOff>142875</xdr:rowOff>
        </xdr:from>
        <xdr:to>
          <xdr:col>36</xdr:col>
          <xdr:colOff>57150</xdr:colOff>
          <xdr:row>60</xdr:row>
          <xdr:rowOff>0</xdr:rowOff>
        </xdr:to>
        <xdr:sp macro="" textlink="">
          <xdr:nvSpPr>
            <xdr:cNvPr id="104466" name="Check Box 18" hidden="1">
              <a:extLst>
                <a:ext uri="{63B3BB69-23CF-44E3-9099-C40C66FF867C}">
                  <a14:compatExt spid="_x0000_s104466"/>
                </a:ext>
                <a:ext uri="{FF2B5EF4-FFF2-40B4-BE49-F238E27FC236}">
                  <a16:creationId xmlns:a16="http://schemas.microsoft.com/office/drawing/2014/main" id="{00000000-0008-0000-1900-00001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59</xdr:row>
          <xdr:rowOff>142875</xdr:rowOff>
        </xdr:from>
        <xdr:to>
          <xdr:col>36</xdr:col>
          <xdr:colOff>57150</xdr:colOff>
          <xdr:row>61</xdr:row>
          <xdr:rowOff>0</xdr:rowOff>
        </xdr:to>
        <xdr:sp macro="" textlink="">
          <xdr:nvSpPr>
            <xdr:cNvPr id="104467" name="Check Box 19" hidden="1">
              <a:extLst>
                <a:ext uri="{63B3BB69-23CF-44E3-9099-C40C66FF867C}">
                  <a14:compatExt spid="_x0000_s104467"/>
                </a:ext>
                <a:ext uri="{FF2B5EF4-FFF2-40B4-BE49-F238E27FC236}">
                  <a16:creationId xmlns:a16="http://schemas.microsoft.com/office/drawing/2014/main" id="{00000000-0008-0000-1900-00001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60</xdr:row>
          <xdr:rowOff>142875</xdr:rowOff>
        </xdr:from>
        <xdr:to>
          <xdr:col>36</xdr:col>
          <xdr:colOff>57150</xdr:colOff>
          <xdr:row>62</xdr:row>
          <xdr:rowOff>0</xdr:rowOff>
        </xdr:to>
        <xdr:sp macro="" textlink="">
          <xdr:nvSpPr>
            <xdr:cNvPr id="104468" name="Check Box 20" hidden="1">
              <a:extLst>
                <a:ext uri="{63B3BB69-23CF-44E3-9099-C40C66FF867C}">
                  <a14:compatExt spid="_x0000_s104468"/>
                </a:ext>
                <a:ext uri="{FF2B5EF4-FFF2-40B4-BE49-F238E27FC236}">
                  <a16:creationId xmlns:a16="http://schemas.microsoft.com/office/drawing/2014/main" id="{00000000-0008-0000-1900-00001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61</xdr:row>
          <xdr:rowOff>142875</xdr:rowOff>
        </xdr:from>
        <xdr:to>
          <xdr:col>36</xdr:col>
          <xdr:colOff>57150</xdr:colOff>
          <xdr:row>63</xdr:row>
          <xdr:rowOff>0</xdr:rowOff>
        </xdr:to>
        <xdr:sp macro="" textlink="">
          <xdr:nvSpPr>
            <xdr:cNvPr id="104469" name="Check Box 21" hidden="1">
              <a:extLst>
                <a:ext uri="{63B3BB69-23CF-44E3-9099-C40C66FF867C}">
                  <a14:compatExt spid="_x0000_s104469"/>
                </a:ext>
                <a:ext uri="{FF2B5EF4-FFF2-40B4-BE49-F238E27FC236}">
                  <a16:creationId xmlns:a16="http://schemas.microsoft.com/office/drawing/2014/main" id="{00000000-0008-0000-1900-00001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55</xdr:row>
          <xdr:rowOff>142875</xdr:rowOff>
        </xdr:from>
        <xdr:to>
          <xdr:col>36</xdr:col>
          <xdr:colOff>57150</xdr:colOff>
          <xdr:row>57</xdr:row>
          <xdr:rowOff>0</xdr:rowOff>
        </xdr:to>
        <xdr:sp macro="" textlink="">
          <xdr:nvSpPr>
            <xdr:cNvPr id="104470" name="Check Box 22" hidden="1">
              <a:extLst>
                <a:ext uri="{63B3BB69-23CF-44E3-9099-C40C66FF867C}">
                  <a14:compatExt spid="_x0000_s104470"/>
                </a:ext>
                <a:ext uri="{FF2B5EF4-FFF2-40B4-BE49-F238E27FC236}">
                  <a16:creationId xmlns:a16="http://schemas.microsoft.com/office/drawing/2014/main" id="{00000000-0008-0000-1900-000016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56</xdr:row>
          <xdr:rowOff>142875</xdr:rowOff>
        </xdr:from>
        <xdr:to>
          <xdr:col>36</xdr:col>
          <xdr:colOff>57150</xdr:colOff>
          <xdr:row>58</xdr:row>
          <xdr:rowOff>0</xdr:rowOff>
        </xdr:to>
        <xdr:sp macro="" textlink="">
          <xdr:nvSpPr>
            <xdr:cNvPr id="104471" name="Check Box 23" hidden="1">
              <a:extLst>
                <a:ext uri="{63B3BB69-23CF-44E3-9099-C40C66FF867C}">
                  <a14:compatExt spid="_x0000_s104471"/>
                </a:ext>
                <a:ext uri="{FF2B5EF4-FFF2-40B4-BE49-F238E27FC236}">
                  <a16:creationId xmlns:a16="http://schemas.microsoft.com/office/drawing/2014/main" id="{00000000-0008-0000-1900-00001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62</xdr:row>
          <xdr:rowOff>142875</xdr:rowOff>
        </xdr:from>
        <xdr:to>
          <xdr:col>36</xdr:col>
          <xdr:colOff>57150</xdr:colOff>
          <xdr:row>64</xdr:row>
          <xdr:rowOff>0</xdr:rowOff>
        </xdr:to>
        <xdr:sp macro="" textlink="">
          <xdr:nvSpPr>
            <xdr:cNvPr id="104472" name="Check Box 24" hidden="1">
              <a:extLst>
                <a:ext uri="{63B3BB69-23CF-44E3-9099-C40C66FF867C}">
                  <a14:compatExt spid="_x0000_s104472"/>
                </a:ext>
                <a:ext uri="{FF2B5EF4-FFF2-40B4-BE49-F238E27FC236}">
                  <a16:creationId xmlns:a16="http://schemas.microsoft.com/office/drawing/2014/main" id="{00000000-0008-0000-1900-000018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Court" textlink="">
      <xdr:nvSpPr>
        <xdr:cNvPr id="34" name="Down Arrow 44">
          <a:extLst>
            <a:ext uri="{FF2B5EF4-FFF2-40B4-BE49-F238E27FC236}">
              <a16:creationId xmlns:a16="http://schemas.microsoft.com/office/drawing/2014/main" id="{00000000-0008-0000-1900-000022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72</xdr:row>
      <xdr:rowOff>0</xdr:rowOff>
    </xdr:from>
    <xdr:to>
      <xdr:col>21</xdr:col>
      <xdr:colOff>0</xdr:colOff>
      <xdr:row>103</xdr:row>
      <xdr:rowOff>0</xdr:rowOff>
    </xdr:to>
    <xdr:graphicFrame macro="">
      <xdr:nvGraphicFramePr>
        <xdr:cNvPr id="35" name="Chart 176">
          <a:extLst>
            <a:ext uri="{FF2B5EF4-FFF2-40B4-BE49-F238E27FC236}">
              <a16:creationId xmlns:a16="http://schemas.microsoft.com/office/drawing/2014/main" id="{00000000-0008-0000-19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36" name="Chart 764">
          <a:extLst>
            <a:ext uri="{FF2B5EF4-FFF2-40B4-BE49-F238E27FC236}">
              <a16:creationId xmlns:a16="http://schemas.microsoft.com/office/drawing/2014/main" id="{00000000-0008-0000-19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0" name="Picture 39">
          <a:extLst>
            <a:ext uri="{FF2B5EF4-FFF2-40B4-BE49-F238E27FC236}">
              <a16:creationId xmlns:a16="http://schemas.microsoft.com/office/drawing/2014/main" id="{00000000-0008-0000-1900-000028000000}"/>
            </a:ext>
          </a:extLst>
        </xdr:cNvPr>
        <xdr:cNvPicPr>
          <a:picLocks/>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CPP" textlink="">
      <xdr:nvSpPr>
        <xdr:cNvPr id="41" name="Right Arrow 40">
          <a:extLst>
            <a:ext uri="{FF2B5EF4-FFF2-40B4-BE49-F238E27FC236}">
              <a16:creationId xmlns:a16="http://schemas.microsoft.com/office/drawing/2014/main" id="{00000000-0008-0000-1900-000029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LAC" textlink="">
      <xdr:nvSpPr>
        <xdr:cNvPr id="42" name="Right Arrow 50">
          <a:extLst>
            <a:ext uri="{FF2B5EF4-FFF2-40B4-BE49-F238E27FC236}">
              <a16:creationId xmlns:a16="http://schemas.microsoft.com/office/drawing/2014/main" id="{00000000-0008-0000-1900-00002A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39</xdr:row>
      <xdr:rowOff>1</xdr:rowOff>
    </xdr:from>
    <xdr:to>
      <xdr:col>21</xdr:col>
      <xdr:colOff>0</xdr:colOff>
      <xdr:row>63</xdr:row>
      <xdr:rowOff>1</xdr:rowOff>
    </xdr:to>
    <xdr:graphicFrame macro="">
      <xdr:nvGraphicFramePr>
        <xdr:cNvPr id="43" name="Chart 176">
          <a:extLst>
            <a:ext uri="{FF2B5EF4-FFF2-40B4-BE49-F238E27FC236}">
              <a16:creationId xmlns:a16="http://schemas.microsoft.com/office/drawing/2014/main" id="{00000000-0008-0000-19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44" name="Oval 2165">
          <a:extLst>
            <a:ext uri="{FF2B5EF4-FFF2-40B4-BE49-F238E27FC236}">
              <a16:creationId xmlns:a16="http://schemas.microsoft.com/office/drawing/2014/main" id="{00000000-0008-0000-1900-00002C000000}"/>
            </a:ext>
          </a:extLst>
        </xdr:cNvPr>
        <xdr:cNvSpPr>
          <a:spLocks noChangeArrowheads="1"/>
        </xdr:cNvSpPr>
      </xdr:nvSpPr>
      <xdr:spPr bwMode="auto">
        <a:xfrm>
          <a:off x="4895850" y="1138237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45" name="Line 283">
          <a:extLst>
            <a:ext uri="{FF2B5EF4-FFF2-40B4-BE49-F238E27FC236}">
              <a16:creationId xmlns:a16="http://schemas.microsoft.com/office/drawing/2014/main" id="{00000000-0008-0000-1900-00002D000000}"/>
            </a:ext>
          </a:extLst>
        </xdr:cNvPr>
        <xdr:cNvSpPr>
          <a:spLocks noChangeShapeType="1"/>
        </xdr:cNvSpPr>
      </xdr:nvSpPr>
      <xdr:spPr bwMode="auto">
        <a:xfrm>
          <a:off x="4772025" y="11249025"/>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46" name="Oval 2164">
          <a:extLst>
            <a:ext uri="{FF2B5EF4-FFF2-40B4-BE49-F238E27FC236}">
              <a16:creationId xmlns:a16="http://schemas.microsoft.com/office/drawing/2014/main" id="{00000000-0008-0000-1900-00002E000000}"/>
            </a:ext>
          </a:extLst>
        </xdr:cNvPr>
        <xdr:cNvSpPr>
          <a:spLocks noChangeArrowheads="1"/>
        </xdr:cNvSpPr>
      </xdr:nvSpPr>
      <xdr:spPr bwMode="auto">
        <a:xfrm>
          <a:off x="7248525" y="1121092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47" name="Line 283">
          <a:extLst>
            <a:ext uri="{FF2B5EF4-FFF2-40B4-BE49-F238E27FC236}">
              <a16:creationId xmlns:a16="http://schemas.microsoft.com/office/drawing/2014/main" id="{00000000-0008-0000-1900-00002F000000}"/>
            </a:ext>
          </a:extLst>
        </xdr:cNvPr>
        <xdr:cNvSpPr>
          <a:spLocks noChangeShapeType="1"/>
        </xdr:cNvSpPr>
      </xdr:nvSpPr>
      <xdr:spPr bwMode="auto">
        <a:xfrm>
          <a:off x="7086600" y="11420474"/>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oneCellAnchor>
    <xdr:from>
      <xdr:col>22</xdr:col>
      <xdr:colOff>95250</xdr:colOff>
      <xdr:row>142</xdr:row>
      <xdr:rowOff>33750</xdr:rowOff>
    </xdr:from>
    <xdr:ext cx="252000" cy="252000"/>
    <xdr:sp macro="[0]!Court" textlink="">
      <xdr:nvSpPr>
        <xdr:cNvPr id="48" name="Down Arrow 44">
          <a:extLst>
            <a:ext uri="{FF2B5EF4-FFF2-40B4-BE49-F238E27FC236}">
              <a16:creationId xmlns:a16="http://schemas.microsoft.com/office/drawing/2014/main" id="{00000000-0008-0000-1900-000030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22</xdr:col>
      <xdr:colOff>95250</xdr:colOff>
      <xdr:row>175</xdr:row>
      <xdr:rowOff>33750</xdr:rowOff>
    </xdr:from>
    <xdr:to>
      <xdr:col>22</xdr:col>
      <xdr:colOff>347250</xdr:colOff>
      <xdr:row>176</xdr:row>
      <xdr:rowOff>95250</xdr:rowOff>
    </xdr:to>
    <xdr:sp macro="[0]!Court" textlink="">
      <xdr:nvSpPr>
        <xdr:cNvPr id="49" name="Down Arrow 48">
          <a:extLst>
            <a:ext uri="{FF2B5EF4-FFF2-40B4-BE49-F238E27FC236}">
              <a16:creationId xmlns:a16="http://schemas.microsoft.com/office/drawing/2014/main" id="{00000000-0008-0000-1900-000031000000}"/>
            </a:ext>
          </a:extLst>
        </xdr:cNvPr>
        <xdr:cNvSpPr/>
      </xdr:nvSpPr>
      <xdr:spPr>
        <a:xfrm flipV="1">
          <a:off x="9286875" y="13178250"/>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145</xdr:row>
      <xdr:rowOff>1</xdr:rowOff>
    </xdr:from>
    <xdr:to>
      <xdr:col>11</xdr:col>
      <xdr:colOff>1</xdr:colOff>
      <xdr:row>174</xdr:row>
      <xdr:rowOff>0</xdr:rowOff>
    </xdr:to>
    <xdr:graphicFrame macro="">
      <xdr:nvGraphicFramePr>
        <xdr:cNvPr id="50" name="Chart 13">
          <a:extLst>
            <a:ext uri="{FF2B5EF4-FFF2-40B4-BE49-F238E27FC236}">
              <a16:creationId xmlns:a16="http://schemas.microsoft.com/office/drawing/2014/main" id="{00000000-0008-0000-19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1</xdr:colOff>
      <xdr:row>171</xdr:row>
      <xdr:rowOff>0</xdr:rowOff>
    </xdr:from>
    <xdr:to>
      <xdr:col>21</xdr:col>
      <xdr:colOff>1</xdr:colOff>
      <xdr:row>174</xdr:row>
      <xdr:rowOff>0</xdr:rowOff>
    </xdr:to>
    <xdr:graphicFrame macro="">
      <xdr:nvGraphicFramePr>
        <xdr:cNvPr id="51" name="Chart 13">
          <a:extLst>
            <a:ext uri="{FF2B5EF4-FFF2-40B4-BE49-F238E27FC236}">
              <a16:creationId xmlns:a16="http://schemas.microsoft.com/office/drawing/2014/main" id="{00000000-0008-0000-19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95250</xdr:colOff>
      <xdr:row>210</xdr:row>
      <xdr:rowOff>33750</xdr:rowOff>
    </xdr:from>
    <xdr:ext cx="252000" cy="252000"/>
    <xdr:sp macro="[0]!Court" textlink="">
      <xdr:nvSpPr>
        <xdr:cNvPr id="52" name="Down Arrow 44">
          <a:extLst>
            <a:ext uri="{FF2B5EF4-FFF2-40B4-BE49-F238E27FC236}">
              <a16:creationId xmlns:a16="http://schemas.microsoft.com/office/drawing/2014/main" id="{00000000-0008-0000-1900-000034000000}"/>
            </a:ext>
          </a:extLst>
        </xdr:cNvPr>
        <xdr:cNvSpPr>
          <a:spLocks noChangeArrowheads="1"/>
        </xdr:cNvSpPr>
      </xdr:nvSpPr>
      <xdr:spPr bwMode="auto">
        <a:xfrm flipV="1">
          <a:off x="9286875" y="199219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178</xdr:row>
      <xdr:rowOff>0</xdr:rowOff>
    </xdr:from>
    <xdr:to>
      <xdr:col>21</xdr:col>
      <xdr:colOff>0</xdr:colOff>
      <xdr:row>209</xdr:row>
      <xdr:rowOff>0</xdr:rowOff>
    </xdr:to>
    <xdr:graphicFrame macro="">
      <xdr:nvGraphicFramePr>
        <xdr:cNvPr id="53" name="Chart 176">
          <a:extLst>
            <a:ext uri="{FF2B5EF4-FFF2-40B4-BE49-F238E27FC236}">
              <a16:creationId xmlns:a16="http://schemas.microsoft.com/office/drawing/2014/main" id="{00000000-0008-0000-19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178</xdr:row>
      <xdr:rowOff>0</xdr:rowOff>
    </xdr:from>
    <xdr:to>
      <xdr:col>10</xdr:col>
      <xdr:colOff>121650</xdr:colOff>
      <xdr:row>209</xdr:row>
      <xdr:rowOff>0</xdr:rowOff>
    </xdr:to>
    <xdr:graphicFrame macro="">
      <xdr:nvGraphicFramePr>
        <xdr:cNvPr id="54" name="Chart 764">
          <a:extLst>
            <a:ext uri="{FF2B5EF4-FFF2-40B4-BE49-F238E27FC236}">
              <a16:creationId xmlns:a16="http://schemas.microsoft.com/office/drawing/2014/main" id="{00000000-0008-0000-19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0</xdr:colOff>
      <xdr:row>145</xdr:row>
      <xdr:rowOff>0</xdr:rowOff>
    </xdr:from>
    <xdr:to>
      <xdr:col>21</xdr:col>
      <xdr:colOff>0</xdr:colOff>
      <xdr:row>169</xdr:row>
      <xdr:rowOff>0</xdr:rowOff>
    </xdr:to>
    <xdr:graphicFrame macro="">
      <xdr:nvGraphicFramePr>
        <xdr:cNvPr id="57" name="Chart 176">
          <a:extLst>
            <a:ext uri="{FF2B5EF4-FFF2-40B4-BE49-F238E27FC236}">
              <a16:creationId xmlns:a16="http://schemas.microsoft.com/office/drawing/2014/main" id="{00000000-0008-0000-19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180975</xdr:colOff>
      <xdr:row>170</xdr:row>
      <xdr:rowOff>47625</xdr:rowOff>
    </xdr:from>
    <xdr:to>
      <xdr:col>11</xdr:col>
      <xdr:colOff>257175</xdr:colOff>
      <xdr:row>170</xdr:row>
      <xdr:rowOff>123825</xdr:rowOff>
    </xdr:to>
    <xdr:sp macro="" textlink="">
      <xdr:nvSpPr>
        <xdr:cNvPr id="58" name="Oval 2165">
          <a:extLst>
            <a:ext uri="{FF2B5EF4-FFF2-40B4-BE49-F238E27FC236}">
              <a16:creationId xmlns:a16="http://schemas.microsoft.com/office/drawing/2014/main" id="{00000000-0008-0000-1900-00003A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169</xdr:row>
      <xdr:rowOff>85725</xdr:rowOff>
    </xdr:from>
    <xdr:to>
      <xdr:col>11</xdr:col>
      <xdr:colOff>417150</xdr:colOff>
      <xdr:row>169</xdr:row>
      <xdr:rowOff>85725</xdr:rowOff>
    </xdr:to>
    <xdr:sp macro="" textlink="">
      <xdr:nvSpPr>
        <xdr:cNvPr id="59" name="Line 283">
          <a:extLst>
            <a:ext uri="{FF2B5EF4-FFF2-40B4-BE49-F238E27FC236}">
              <a16:creationId xmlns:a16="http://schemas.microsoft.com/office/drawing/2014/main" id="{00000000-0008-0000-1900-00003B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169</xdr:row>
      <xdr:rowOff>47625</xdr:rowOff>
    </xdr:from>
    <xdr:to>
      <xdr:col>16</xdr:col>
      <xdr:colOff>304800</xdr:colOff>
      <xdr:row>169</xdr:row>
      <xdr:rowOff>123825</xdr:rowOff>
    </xdr:to>
    <xdr:sp macro="" textlink="">
      <xdr:nvSpPr>
        <xdr:cNvPr id="60" name="Oval 2164">
          <a:extLst>
            <a:ext uri="{FF2B5EF4-FFF2-40B4-BE49-F238E27FC236}">
              <a16:creationId xmlns:a16="http://schemas.microsoft.com/office/drawing/2014/main" id="{00000000-0008-0000-1900-00003C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170</xdr:row>
      <xdr:rowOff>85724</xdr:rowOff>
    </xdr:from>
    <xdr:to>
      <xdr:col>16</xdr:col>
      <xdr:colOff>426675</xdr:colOff>
      <xdr:row>170</xdr:row>
      <xdr:rowOff>85724</xdr:rowOff>
    </xdr:to>
    <xdr:sp macro="" textlink="">
      <xdr:nvSpPr>
        <xdr:cNvPr id="61" name="Line 283">
          <a:extLst>
            <a:ext uri="{FF2B5EF4-FFF2-40B4-BE49-F238E27FC236}">
              <a16:creationId xmlns:a16="http://schemas.microsoft.com/office/drawing/2014/main" id="{00000000-0008-0000-1900-00003D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419098</xdr:colOff>
      <xdr:row>106</xdr:row>
      <xdr:rowOff>85725</xdr:rowOff>
    </xdr:from>
    <xdr:to>
      <xdr:col>21</xdr:col>
      <xdr:colOff>64498</xdr:colOff>
      <xdr:row>108</xdr:row>
      <xdr:rowOff>149475</xdr:rowOff>
    </xdr:to>
    <xdr:sp macro="" textlink="">
      <xdr:nvSpPr>
        <xdr:cNvPr id="62" name="AutoShape 32">
          <a:extLst>
            <a:ext uri="{FF2B5EF4-FFF2-40B4-BE49-F238E27FC236}">
              <a16:creationId xmlns:a16="http://schemas.microsoft.com/office/drawing/2014/main" id="{00000000-0008-0000-1900-00003E000000}"/>
            </a:ext>
          </a:extLst>
        </xdr:cNvPr>
        <xdr:cNvSpPr>
          <a:spLocks noChangeArrowheads="1"/>
        </xdr:cNvSpPr>
      </xdr:nvSpPr>
      <xdr:spPr bwMode="auto">
        <a:xfrm>
          <a:off x="6962773" y="203168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85725</xdr:colOff>
      <xdr:row>84</xdr:row>
      <xdr:rowOff>876300</xdr:rowOff>
    </xdr:from>
    <xdr:to>
      <xdr:col>29</xdr:col>
      <xdr:colOff>330200</xdr:colOff>
      <xdr:row>84</xdr:row>
      <xdr:rowOff>1162051</xdr:rowOff>
    </xdr:to>
    <xdr:sp macro="[0]!Home" textlink="">
      <xdr:nvSpPr>
        <xdr:cNvPr id="3" name="Down Arrow 44">
          <a:hlinkClick xmlns:r="http://schemas.openxmlformats.org/officeDocument/2006/relationships" r:id="rId1"/>
          <a:extLst>
            <a:ext uri="{FF2B5EF4-FFF2-40B4-BE49-F238E27FC236}">
              <a16:creationId xmlns:a16="http://schemas.microsoft.com/office/drawing/2014/main" id="{00000000-0008-0000-0800-000003000000}"/>
            </a:ext>
          </a:extLst>
        </xdr:cNvPr>
        <xdr:cNvSpPr>
          <a:spLocks noChangeArrowheads="1"/>
        </xdr:cNvSpPr>
      </xdr:nvSpPr>
      <xdr:spPr bwMode="auto">
        <a:xfrm flipV="1">
          <a:off x="12277725" y="25155525"/>
          <a:ext cx="244475" cy="285751"/>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editAs="absolute">
    <xdr:from>
      <xdr:col>20</xdr:col>
      <xdr:colOff>234951</xdr:colOff>
      <xdr:row>0</xdr:row>
      <xdr:rowOff>88899</xdr:rowOff>
    </xdr:from>
    <xdr:to>
      <xdr:col>27</xdr:col>
      <xdr:colOff>67676</xdr:colOff>
      <xdr:row>2</xdr:row>
      <xdr:rowOff>149474</xdr:rowOff>
    </xdr:to>
    <xdr:sp macro="" textlink="">
      <xdr:nvSpPr>
        <xdr:cNvPr id="4" name="AutoShape 32">
          <a:extLst>
            <a:ext uri="{FF2B5EF4-FFF2-40B4-BE49-F238E27FC236}">
              <a16:creationId xmlns:a16="http://schemas.microsoft.com/office/drawing/2014/main" id="{00000000-0008-0000-0800-000004000000}"/>
            </a:ext>
          </a:extLst>
        </xdr:cNvPr>
        <xdr:cNvSpPr>
          <a:spLocks noChangeArrowheads="1"/>
        </xdr:cNvSpPr>
      </xdr:nvSpPr>
      <xdr:spPr bwMode="auto">
        <a:xfrm>
          <a:off x="9953626" y="85724"/>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0</xdr:col>
      <xdr:colOff>95251</xdr:colOff>
      <xdr:row>0</xdr:row>
      <xdr:rowOff>66675</xdr:rowOff>
    </xdr:from>
    <xdr:to>
      <xdr:col>1</xdr:col>
      <xdr:colOff>524955</xdr:colOff>
      <xdr:row>2</xdr:row>
      <xdr:rowOff>171450</xdr:rowOff>
    </xdr:to>
    <xdr:pic macro="[0]!Home">
      <xdr:nvPicPr>
        <xdr:cNvPr id="6" name="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1" y="66675"/>
          <a:ext cx="569404" cy="581025"/>
        </a:xfrm>
        <a:prstGeom prst="rect">
          <a:avLst/>
        </a:prstGeom>
      </xdr:spPr>
    </xdr:pic>
    <xdr:clientData/>
  </xdr:twoCellAnchor>
  <xdr:twoCellAnchor editAs="oneCell">
    <xdr:from>
      <xdr:col>2</xdr:col>
      <xdr:colOff>400050</xdr:colOff>
      <xdr:row>11</xdr:row>
      <xdr:rowOff>352425</xdr:rowOff>
    </xdr:from>
    <xdr:to>
      <xdr:col>2</xdr:col>
      <xdr:colOff>1904812</xdr:colOff>
      <xdr:row>11</xdr:row>
      <xdr:rowOff>660362</xdr:rowOff>
    </xdr:to>
    <xdr:pic>
      <xdr:nvPicPr>
        <xdr:cNvPr id="7" name="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3"/>
        <a:stretch>
          <a:fillRect/>
        </a:stretch>
      </xdr:blipFill>
      <xdr:spPr>
        <a:xfrm>
          <a:off x="1266825" y="1428750"/>
          <a:ext cx="1504762" cy="304762"/>
        </a:xfrm>
        <a:prstGeom prst="rect">
          <a:avLst/>
        </a:prstGeom>
      </xdr:spPr>
    </xdr:pic>
    <xdr:clientData/>
  </xdr:twoCellAnchor>
  <xdr:oneCellAnchor>
    <xdr:from>
      <xdr:col>29</xdr:col>
      <xdr:colOff>85725</xdr:colOff>
      <xdr:row>38</xdr:row>
      <xdr:rowOff>0</xdr:rowOff>
    </xdr:from>
    <xdr:ext cx="247650" cy="285751"/>
    <xdr:sp macro="[0]!Home" textlink="">
      <xdr:nvSpPr>
        <xdr:cNvPr id="9" name="Down Arrow 44">
          <a:hlinkClick xmlns:r="http://schemas.openxmlformats.org/officeDocument/2006/relationships" r:id="rId1"/>
          <a:extLst>
            <a:ext uri="{FF2B5EF4-FFF2-40B4-BE49-F238E27FC236}">
              <a16:creationId xmlns:a16="http://schemas.microsoft.com/office/drawing/2014/main" id="{00000000-0008-0000-0800-000009000000}"/>
            </a:ext>
          </a:extLst>
        </xdr:cNvPr>
        <xdr:cNvSpPr>
          <a:spLocks noChangeArrowheads="1"/>
        </xdr:cNvSpPr>
      </xdr:nvSpPr>
      <xdr:spPr bwMode="auto">
        <a:xfrm flipV="1">
          <a:off x="12268200" y="8696323"/>
          <a:ext cx="247650" cy="285751"/>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29</xdr:col>
      <xdr:colOff>66675</xdr:colOff>
      <xdr:row>3</xdr:row>
      <xdr:rowOff>19050</xdr:rowOff>
    </xdr:from>
    <xdr:to>
      <xdr:col>29</xdr:col>
      <xdr:colOff>311150</xdr:colOff>
      <xdr:row>4</xdr:row>
      <xdr:rowOff>171450</xdr:rowOff>
    </xdr:to>
    <xdr:sp macro="[0]!Frontpage" textlink="">
      <xdr:nvSpPr>
        <xdr:cNvPr id="10" name="Right Arrow 50">
          <a:extLst>
            <a:ext uri="{FF2B5EF4-FFF2-40B4-BE49-F238E27FC236}">
              <a16:creationId xmlns:a16="http://schemas.microsoft.com/office/drawing/2014/main" id="{00000000-0008-0000-0800-00000A000000}"/>
            </a:ext>
          </a:extLst>
        </xdr:cNvPr>
        <xdr:cNvSpPr>
          <a:spLocks noChangeArrowheads="1"/>
        </xdr:cNvSpPr>
      </xdr:nvSpPr>
      <xdr:spPr bwMode="auto">
        <a:xfrm flipH="1">
          <a:off x="12277725" y="73342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29</xdr:col>
      <xdr:colOff>114300</xdr:colOff>
      <xdr:row>5</xdr:row>
      <xdr:rowOff>113325</xdr:rowOff>
    </xdr:from>
    <xdr:to>
      <xdr:col>29</xdr:col>
      <xdr:colOff>361950</xdr:colOff>
      <xdr:row>6</xdr:row>
      <xdr:rowOff>171450</xdr:rowOff>
    </xdr:to>
    <xdr:sp macro="[0]!Indicators" textlink="">
      <xdr:nvSpPr>
        <xdr:cNvPr id="12" name="Right Arrow 50">
          <a:extLst>
            <a:ext uri="{FF2B5EF4-FFF2-40B4-BE49-F238E27FC236}">
              <a16:creationId xmlns:a16="http://schemas.microsoft.com/office/drawing/2014/main" id="{00000000-0008-0000-0800-00000C000000}"/>
            </a:ext>
          </a:extLst>
        </xdr:cNvPr>
        <xdr:cNvSpPr>
          <a:spLocks noChangeArrowheads="1"/>
        </xdr:cNvSpPr>
      </xdr:nvSpPr>
      <xdr:spPr bwMode="auto">
        <a:xfrm rot="10800000" flipH="1">
          <a:off x="12325350" y="116107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5</xdr:col>
      <xdr:colOff>209550</xdr:colOff>
      <xdr:row>5</xdr:row>
      <xdr:rowOff>19049</xdr:rowOff>
    </xdr:from>
    <xdr:to>
      <xdr:col>6</xdr:col>
      <xdr:colOff>120650</xdr:colOff>
      <xdr:row>5</xdr:row>
      <xdr:rowOff>190498</xdr:rowOff>
    </xdr:to>
    <xdr:sp macro="[0]!IDACI" textlink="">
      <xdr:nvSpPr>
        <xdr:cNvPr id="13" name="Right Arrow 50">
          <a:extLst>
            <a:ext uri="{FF2B5EF4-FFF2-40B4-BE49-F238E27FC236}">
              <a16:creationId xmlns:a16="http://schemas.microsoft.com/office/drawing/2014/main" id="{00000000-0008-0000-0800-00000D000000}"/>
            </a:ext>
          </a:extLst>
        </xdr:cNvPr>
        <xdr:cNvSpPr>
          <a:spLocks noChangeArrowheads="1"/>
        </xdr:cNvSpPr>
      </xdr:nvSpPr>
      <xdr:spPr bwMode="auto">
        <a:xfrm rot="10800000" flipH="1">
          <a:off x="4933950" y="1276349"/>
          <a:ext cx="247650" cy="171449"/>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3</xdr:col>
      <xdr:colOff>314325</xdr:colOff>
      <xdr:row>6</xdr:row>
      <xdr:rowOff>19049</xdr:rowOff>
    </xdr:from>
    <xdr:to>
      <xdr:col>4</xdr:col>
      <xdr:colOff>228600</xdr:colOff>
      <xdr:row>6</xdr:row>
      <xdr:rowOff>190498</xdr:rowOff>
    </xdr:to>
    <xdr:sp macro="[0]!Population" textlink="">
      <xdr:nvSpPr>
        <xdr:cNvPr id="14" name="Right Arrow 50">
          <a:extLst>
            <a:ext uri="{FF2B5EF4-FFF2-40B4-BE49-F238E27FC236}">
              <a16:creationId xmlns:a16="http://schemas.microsoft.com/office/drawing/2014/main" id="{00000000-0008-0000-0800-00000E000000}"/>
            </a:ext>
          </a:extLst>
        </xdr:cNvPr>
        <xdr:cNvSpPr>
          <a:spLocks noChangeArrowheads="1"/>
        </xdr:cNvSpPr>
      </xdr:nvSpPr>
      <xdr:spPr bwMode="auto">
        <a:xfrm rot="10800000" flipH="1">
          <a:off x="4371975" y="1485899"/>
          <a:ext cx="247650" cy="171449"/>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xdr:col>
      <xdr:colOff>400050</xdr:colOff>
      <xdr:row>70</xdr:row>
      <xdr:rowOff>352425</xdr:rowOff>
    </xdr:from>
    <xdr:ext cx="1504762" cy="304762"/>
    <xdr:pic>
      <xdr:nvPicPr>
        <xdr:cNvPr id="15" name="Picture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3"/>
        <a:stretch>
          <a:fillRect/>
        </a:stretch>
      </xdr:blipFill>
      <xdr:spPr>
        <a:xfrm>
          <a:off x="1276350" y="9496425"/>
          <a:ext cx="1504762" cy="304762"/>
        </a:xfrm>
        <a:prstGeom prst="rect">
          <a:avLst/>
        </a:prstGeom>
      </xdr:spPr>
    </xdr:pic>
    <xdr:clientData/>
  </xdr:oneCellAnchor>
  <xdr:oneCellAnchor>
    <xdr:from>
      <xdr:col>29</xdr:col>
      <xdr:colOff>85725</xdr:colOff>
      <xdr:row>67</xdr:row>
      <xdr:rowOff>266700</xdr:rowOff>
    </xdr:from>
    <xdr:ext cx="247650" cy="285751"/>
    <xdr:sp macro="[0]!Home" textlink="">
      <xdr:nvSpPr>
        <xdr:cNvPr id="16" name="Down Arrow 44">
          <a:hlinkClick xmlns:r="http://schemas.openxmlformats.org/officeDocument/2006/relationships" r:id="rId1"/>
          <a:extLst>
            <a:ext uri="{FF2B5EF4-FFF2-40B4-BE49-F238E27FC236}">
              <a16:creationId xmlns:a16="http://schemas.microsoft.com/office/drawing/2014/main" id="{00000000-0008-0000-0800-000010000000}"/>
            </a:ext>
          </a:extLst>
        </xdr:cNvPr>
        <xdr:cNvSpPr>
          <a:spLocks noChangeArrowheads="1"/>
        </xdr:cNvSpPr>
      </xdr:nvSpPr>
      <xdr:spPr bwMode="auto">
        <a:xfrm flipV="1">
          <a:off x="12277725" y="16859250"/>
          <a:ext cx="247650" cy="285751"/>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12</xdr:col>
      <xdr:colOff>15875</xdr:colOff>
      <xdr:row>4</xdr:row>
      <xdr:rowOff>9524</xdr:rowOff>
    </xdr:from>
    <xdr:to>
      <xdr:col>12</xdr:col>
      <xdr:colOff>266700</xdr:colOff>
      <xdr:row>4</xdr:row>
      <xdr:rowOff>184148</xdr:rowOff>
    </xdr:to>
    <xdr:sp macro="[0]!Indicators" textlink="">
      <xdr:nvSpPr>
        <xdr:cNvPr id="18" name="Right Arrow 50">
          <a:extLst>
            <a:ext uri="{FF2B5EF4-FFF2-40B4-BE49-F238E27FC236}">
              <a16:creationId xmlns:a16="http://schemas.microsoft.com/office/drawing/2014/main" id="{00000000-0008-0000-0800-000012000000}"/>
            </a:ext>
          </a:extLst>
        </xdr:cNvPr>
        <xdr:cNvSpPr>
          <a:spLocks noChangeArrowheads="1"/>
        </xdr:cNvSpPr>
      </xdr:nvSpPr>
      <xdr:spPr bwMode="auto">
        <a:xfrm rot="10800000" flipH="1">
          <a:off x="7064375" y="838199"/>
          <a:ext cx="250825" cy="174624"/>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xdr:col>
      <xdr:colOff>400050</xdr:colOff>
      <xdr:row>40</xdr:row>
      <xdr:rowOff>352425</xdr:rowOff>
    </xdr:from>
    <xdr:ext cx="1504762" cy="304762"/>
    <xdr:pic>
      <xdr:nvPicPr>
        <xdr:cNvPr id="20" name="Picture 19">
          <a:extLst>
            <a:ext uri="{FF2B5EF4-FFF2-40B4-BE49-F238E27FC236}">
              <a16:creationId xmlns:a16="http://schemas.microsoft.com/office/drawing/2014/main" id="{00000000-0008-0000-0800-000014000000}"/>
            </a:ext>
          </a:extLst>
        </xdr:cNvPr>
        <xdr:cNvPicPr>
          <a:picLocks noChangeAspect="1"/>
        </xdr:cNvPicPr>
      </xdr:nvPicPr>
      <xdr:blipFill>
        <a:blip xmlns:r="http://schemas.openxmlformats.org/officeDocument/2006/relationships" r:embed="rId3"/>
        <a:stretch>
          <a:fillRect/>
        </a:stretch>
      </xdr:blipFill>
      <xdr:spPr>
        <a:xfrm>
          <a:off x="1276350" y="14297025"/>
          <a:ext cx="1504762" cy="304762"/>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353600</xdr:colOff>
      <xdr:row>37</xdr:row>
      <xdr:rowOff>95250</xdr:rowOff>
    </xdr:to>
    <xdr:sp macro="[0]!LAC" textlink="">
      <xdr:nvSpPr>
        <xdr:cNvPr id="2" name="Down Arrow 44">
          <a:extLst>
            <a:ext uri="{FF2B5EF4-FFF2-40B4-BE49-F238E27FC236}">
              <a16:creationId xmlns:a16="http://schemas.microsoft.com/office/drawing/2014/main" id="{00000000-0008-0000-1A00-000002000000}"/>
            </a:ext>
          </a:extLst>
        </xdr:cNvPr>
        <xdr:cNvSpPr>
          <a:spLocks noChangeArrowheads="1"/>
        </xdr:cNvSpPr>
      </xdr:nvSpPr>
      <xdr:spPr bwMode="auto">
        <a:xfrm flipV="1">
          <a:off x="926782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LAC" textlink="">
      <xdr:nvSpPr>
        <xdr:cNvPr id="3" name="Down Arrow 2">
          <a:extLst>
            <a:ext uri="{FF2B5EF4-FFF2-40B4-BE49-F238E27FC236}">
              <a16:creationId xmlns:a16="http://schemas.microsoft.com/office/drawing/2014/main" id="{00000000-0008-0000-1A00-000003000000}"/>
            </a:ext>
          </a:extLst>
        </xdr:cNvPr>
        <xdr:cNvSpPr/>
      </xdr:nvSpPr>
      <xdr:spPr>
        <a:xfrm flipV="1">
          <a:off x="9267825"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1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419099</xdr:colOff>
      <xdr:row>0</xdr:row>
      <xdr:rowOff>85725</xdr:rowOff>
    </xdr:from>
    <xdr:to>
      <xdr:col>21</xdr:col>
      <xdr:colOff>64499</xdr:colOff>
      <xdr:row>2</xdr:row>
      <xdr:rowOff>149475</xdr:rowOff>
    </xdr:to>
    <xdr:sp macro="" textlink="">
      <xdr:nvSpPr>
        <xdr:cNvPr id="8" name="AutoShape 32">
          <a:extLst>
            <a:ext uri="{FF2B5EF4-FFF2-40B4-BE49-F238E27FC236}">
              <a16:creationId xmlns:a16="http://schemas.microsoft.com/office/drawing/2014/main" id="{00000000-0008-0000-1A00-000008000000}"/>
            </a:ext>
          </a:extLst>
        </xdr:cNvPr>
        <xdr:cNvSpPr>
          <a:spLocks noChangeArrowheads="1"/>
        </xdr:cNvSpPr>
      </xdr:nvSpPr>
      <xdr:spPr bwMode="auto">
        <a:xfrm>
          <a:off x="696277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9" name="Chart 13">
          <a:extLst>
            <a:ext uri="{FF2B5EF4-FFF2-40B4-BE49-F238E27FC236}">
              <a16:creationId xmlns:a16="http://schemas.microsoft.com/office/drawing/2014/main" id="{00000000-0008-0000-1A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38100</xdr:rowOff>
        </xdr:from>
        <xdr:to>
          <xdr:col>36</xdr:col>
          <xdr:colOff>47625</xdr:colOff>
          <xdr:row>41</xdr:row>
          <xdr:rowOff>9525</xdr:rowOff>
        </xdr:to>
        <xdr:sp macro="" textlink="">
          <xdr:nvSpPr>
            <xdr:cNvPr id="105473" name="Check Box 1" hidden="1">
              <a:extLst>
                <a:ext uri="{63B3BB69-23CF-44E3-9099-C40C66FF867C}">
                  <a14:compatExt spid="_x0000_s105473"/>
                </a:ext>
                <a:ext uri="{FF2B5EF4-FFF2-40B4-BE49-F238E27FC236}">
                  <a16:creationId xmlns:a16="http://schemas.microsoft.com/office/drawing/2014/main" id="{00000000-0008-0000-1A00-00000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105474" name="Check Box 2" hidden="1">
              <a:extLst>
                <a:ext uri="{63B3BB69-23CF-44E3-9099-C40C66FF867C}">
                  <a14:compatExt spid="_x0000_s105474"/>
                </a:ext>
                <a:ext uri="{FF2B5EF4-FFF2-40B4-BE49-F238E27FC236}">
                  <a16:creationId xmlns:a16="http://schemas.microsoft.com/office/drawing/2014/main" id="{00000000-0008-0000-1A00-00000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105475" name="Check Box 3" hidden="1">
              <a:extLst>
                <a:ext uri="{63B3BB69-23CF-44E3-9099-C40C66FF867C}">
                  <a14:compatExt spid="_x0000_s105475"/>
                </a:ext>
                <a:ext uri="{FF2B5EF4-FFF2-40B4-BE49-F238E27FC236}">
                  <a16:creationId xmlns:a16="http://schemas.microsoft.com/office/drawing/2014/main" id="{00000000-0008-0000-1A00-00000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105476" name="Check Box 4" hidden="1">
              <a:extLst>
                <a:ext uri="{63B3BB69-23CF-44E3-9099-C40C66FF867C}">
                  <a14:compatExt spid="_x0000_s105476"/>
                </a:ext>
                <a:ext uri="{FF2B5EF4-FFF2-40B4-BE49-F238E27FC236}">
                  <a16:creationId xmlns:a16="http://schemas.microsoft.com/office/drawing/2014/main" id="{00000000-0008-0000-1A00-00000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105477" name="Check Box 5" hidden="1">
              <a:extLst>
                <a:ext uri="{63B3BB69-23CF-44E3-9099-C40C66FF867C}">
                  <a14:compatExt spid="_x0000_s105477"/>
                </a:ext>
                <a:ext uri="{FF2B5EF4-FFF2-40B4-BE49-F238E27FC236}">
                  <a16:creationId xmlns:a16="http://schemas.microsoft.com/office/drawing/2014/main" id="{00000000-0008-0000-1A00-00000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105478" name="Check Box 6" hidden="1">
              <a:extLst>
                <a:ext uri="{63B3BB69-23CF-44E3-9099-C40C66FF867C}">
                  <a14:compatExt spid="_x0000_s105478"/>
                </a:ext>
                <a:ext uri="{FF2B5EF4-FFF2-40B4-BE49-F238E27FC236}">
                  <a16:creationId xmlns:a16="http://schemas.microsoft.com/office/drawing/2014/main" id="{00000000-0008-0000-1A00-00000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105479" name="Check Box 7" hidden="1">
              <a:extLst>
                <a:ext uri="{63B3BB69-23CF-44E3-9099-C40C66FF867C}">
                  <a14:compatExt spid="_x0000_s105479"/>
                </a:ext>
                <a:ext uri="{FF2B5EF4-FFF2-40B4-BE49-F238E27FC236}">
                  <a16:creationId xmlns:a16="http://schemas.microsoft.com/office/drawing/2014/main" id="{00000000-0008-0000-1A00-000007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105480" name="Check Box 8" hidden="1">
              <a:extLst>
                <a:ext uri="{63B3BB69-23CF-44E3-9099-C40C66FF867C}">
                  <a14:compatExt spid="_x0000_s105480"/>
                </a:ext>
                <a:ext uri="{FF2B5EF4-FFF2-40B4-BE49-F238E27FC236}">
                  <a16:creationId xmlns:a16="http://schemas.microsoft.com/office/drawing/2014/main" id="{00000000-0008-0000-1A00-00000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105481" name="Check Box 9" hidden="1">
              <a:extLst>
                <a:ext uri="{63B3BB69-23CF-44E3-9099-C40C66FF867C}">
                  <a14:compatExt spid="_x0000_s105481"/>
                </a:ext>
                <a:ext uri="{FF2B5EF4-FFF2-40B4-BE49-F238E27FC236}">
                  <a16:creationId xmlns:a16="http://schemas.microsoft.com/office/drawing/2014/main" id="{00000000-0008-0000-1A00-000009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105482" name="Check Box 10" hidden="1">
              <a:extLst>
                <a:ext uri="{63B3BB69-23CF-44E3-9099-C40C66FF867C}">
                  <a14:compatExt spid="_x0000_s105482"/>
                </a:ext>
                <a:ext uri="{FF2B5EF4-FFF2-40B4-BE49-F238E27FC236}">
                  <a16:creationId xmlns:a16="http://schemas.microsoft.com/office/drawing/2014/main" id="{00000000-0008-0000-1A00-00000A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105483" name="Check Box 11" hidden="1">
              <a:extLst>
                <a:ext uri="{63B3BB69-23CF-44E3-9099-C40C66FF867C}">
                  <a14:compatExt spid="_x0000_s105483"/>
                </a:ext>
                <a:ext uri="{FF2B5EF4-FFF2-40B4-BE49-F238E27FC236}">
                  <a16:creationId xmlns:a16="http://schemas.microsoft.com/office/drawing/2014/main" id="{00000000-0008-0000-1A00-00000B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105484" name="Check Box 12" hidden="1">
              <a:extLst>
                <a:ext uri="{63B3BB69-23CF-44E3-9099-C40C66FF867C}">
                  <a14:compatExt spid="_x0000_s105484"/>
                </a:ext>
                <a:ext uri="{FF2B5EF4-FFF2-40B4-BE49-F238E27FC236}">
                  <a16:creationId xmlns:a16="http://schemas.microsoft.com/office/drawing/2014/main" id="{00000000-0008-0000-1A00-00000C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105485" name="Check Box 13" hidden="1">
              <a:extLst>
                <a:ext uri="{63B3BB69-23CF-44E3-9099-C40C66FF867C}">
                  <a14:compatExt spid="_x0000_s105485"/>
                </a:ext>
                <a:ext uri="{FF2B5EF4-FFF2-40B4-BE49-F238E27FC236}">
                  <a16:creationId xmlns:a16="http://schemas.microsoft.com/office/drawing/2014/main" id="{00000000-0008-0000-1A00-00000D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105486" name="Check Box 14" hidden="1">
              <a:extLst>
                <a:ext uri="{63B3BB69-23CF-44E3-9099-C40C66FF867C}">
                  <a14:compatExt spid="_x0000_s105486"/>
                </a:ext>
                <a:ext uri="{FF2B5EF4-FFF2-40B4-BE49-F238E27FC236}">
                  <a16:creationId xmlns:a16="http://schemas.microsoft.com/office/drawing/2014/main" id="{00000000-0008-0000-1A00-00000E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105487" name="Check Box 15" hidden="1">
              <a:extLst>
                <a:ext uri="{63B3BB69-23CF-44E3-9099-C40C66FF867C}">
                  <a14:compatExt spid="_x0000_s105487"/>
                </a:ext>
                <a:ext uri="{FF2B5EF4-FFF2-40B4-BE49-F238E27FC236}">
                  <a16:creationId xmlns:a16="http://schemas.microsoft.com/office/drawing/2014/main" id="{00000000-0008-0000-1A00-00000F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105488" name="Check Box 16" hidden="1">
              <a:extLst>
                <a:ext uri="{63B3BB69-23CF-44E3-9099-C40C66FF867C}">
                  <a14:compatExt spid="_x0000_s105488"/>
                </a:ext>
                <a:ext uri="{FF2B5EF4-FFF2-40B4-BE49-F238E27FC236}">
                  <a16:creationId xmlns:a16="http://schemas.microsoft.com/office/drawing/2014/main" id="{00000000-0008-0000-1A00-000010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105489" name="Check Box 17" hidden="1">
              <a:extLst>
                <a:ext uri="{63B3BB69-23CF-44E3-9099-C40C66FF867C}">
                  <a14:compatExt spid="_x0000_s105489"/>
                </a:ext>
                <a:ext uri="{FF2B5EF4-FFF2-40B4-BE49-F238E27FC236}">
                  <a16:creationId xmlns:a16="http://schemas.microsoft.com/office/drawing/2014/main" id="{00000000-0008-0000-1A00-00001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105490" name="Check Box 18" hidden="1">
              <a:extLst>
                <a:ext uri="{63B3BB69-23CF-44E3-9099-C40C66FF867C}">
                  <a14:compatExt spid="_x0000_s105490"/>
                </a:ext>
                <a:ext uri="{FF2B5EF4-FFF2-40B4-BE49-F238E27FC236}">
                  <a16:creationId xmlns:a16="http://schemas.microsoft.com/office/drawing/2014/main" id="{00000000-0008-0000-1A00-00001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105491" name="Check Box 19" hidden="1">
              <a:extLst>
                <a:ext uri="{63B3BB69-23CF-44E3-9099-C40C66FF867C}">
                  <a14:compatExt spid="_x0000_s105491"/>
                </a:ext>
                <a:ext uri="{FF2B5EF4-FFF2-40B4-BE49-F238E27FC236}">
                  <a16:creationId xmlns:a16="http://schemas.microsoft.com/office/drawing/2014/main" id="{00000000-0008-0000-1A00-00001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105492" name="Check Box 20" hidden="1">
              <a:extLst>
                <a:ext uri="{63B3BB69-23CF-44E3-9099-C40C66FF867C}">
                  <a14:compatExt spid="_x0000_s105492"/>
                </a:ext>
                <a:ext uri="{FF2B5EF4-FFF2-40B4-BE49-F238E27FC236}">
                  <a16:creationId xmlns:a16="http://schemas.microsoft.com/office/drawing/2014/main" id="{00000000-0008-0000-1A00-00001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152400</xdr:rowOff>
        </xdr:from>
        <xdr:to>
          <xdr:col>36</xdr:col>
          <xdr:colOff>47625</xdr:colOff>
          <xdr:row>63</xdr:row>
          <xdr:rowOff>9525</xdr:rowOff>
        </xdr:to>
        <xdr:sp macro="" textlink="">
          <xdr:nvSpPr>
            <xdr:cNvPr id="105493" name="Check Box 21" hidden="1">
              <a:extLst>
                <a:ext uri="{63B3BB69-23CF-44E3-9099-C40C66FF867C}">
                  <a14:compatExt spid="_x0000_s105493"/>
                </a:ext>
                <a:ext uri="{FF2B5EF4-FFF2-40B4-BE49-F238E27FC236}">
                  <a16:creationId xmlns:a16="http://schemas.microsoft.com/office/drawing/2014/main" id="{00000000-0008-0000-1A00-00001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176</xdr:row>
      <xdr:rowOff>33750</xdr:rowOff>
    </xdr:from>
    <xdr:ext cx="252000" cy="252000"/>
    <xdr:sp macro="[0]!LAC" textlink="">
      <xdr:nvSpPr>
        <xdr:cNvPr id="31" name="Down Arrow 44">
          <a:extLst>
            <a:ext uri="{FF2B5EF4-FFF2-40B4-BE49-F238E27FC236}">
              <a16:creationId xmlns:a16="http://schemas.microsoft.com/office/drawing/2014/main" id="{00000000-0008-0000-1A00-00001F000000}"/>
            </a:ext>
          </a:extLst>
        </xdr:cNvPr>
        <xdr:cNvSpPr>
          <a:spLocks noChangeArrowheads="1"/>
        </xdr:cNvSpPr>
      </xdr:nvSpPr>
      <xdr:spPr bwMode="auto">
        <a:xfrm flipV="1">
          <a:off x="9267825"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172</xdr:row>
      <xdr:rowOff>0</xdr:rowOff>
    </xdr:from>
    <xdr:to>
      <xdr:col>8</xdr:col>
      <xdr:colOff>0</xdr:colOff>
      <xdr:row>175</xdr:row>
      <xdr:rowOff>0</xdr:rowOff>
    </xdr:to>
    <xdr:graphicFrame macro="">
      <xdr:nvGraphicFramePr>
        <xdr:cNvPr id="32" name="Chart 13">
          <a:extLst>
            <a:ext uri="{FF2B5EF4-FFF2-40B4-BE49-F238E27FC236}">
              <a16:creationId xmlns:a16="http://schemas.microsoft.com/office/drawing/2014/main" id="{00000000-0008-0000-1A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105494" name="Check Box 22" hidden="1">
              <a:extLst>
                <a:ext uri="{63B3BB69-23CF-44E3-9099-C40C66FF867C}">
                  <a14:compatExt spid="_x0000_s105494"/>
                </a:ext>
                <a:ext uri="{FF2B5EF4-FFF2-40B4-BE49-F238E27FC236}">
                  <a16:creationId xmlns:a16="http://schemas.microsoft.com/office/drawing/2014/main" id="{00000000-0008-0000-1A00-00001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105495" name="Check Box 23" hidden="1">
              <a:extLst>
                <a:ext uri="{63B3BB69-23CF-44E3-9099-C40C66FF867C}">
                  <a14:compatExt spid="_x0000_s105495"/>
                </a:ext>
                <a:ext uri="{FF2B5EF4-FFF2-40B4-BE49-F238E27FC236}">
                  <a16:creationId xmlns:a16="http://schemas.microsoft.com/office/drawing/2014/main" id="{00000000-0008-0000-1A00-000017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495299</xdr:colOff>
      <xdr:row>143</xdr:row>
      <xdr:rowOff>95250</xdr:rowOff>
    </xdr:from>
    <xdr:to>
      <xdr:col>20</xdr:col>
      <xdr:colOff>514349</xdr:colOff>
      <xdr:row>175</xdr:row>
      <xdr:rowOff>0</xdr:rowOff>
    </xdr:to>
    <xdr:graphicFrame macro="">
      <xdr:nvGraphicFramePr>
        <xdr:cNvPr id="35" name="Chart 13">
          <a:extLst>
            <a:ext uri="{FF2B5EF4-FFF2-40B4-BE49-F238E27FC236}">
              <a16:creationId xmlns:a16="http://schemas.microsoft.com/office/drawing/2014/main" id="{00000000-0008-0000-1A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62</xdr:row>
          <xdr:rowOff>152400</xdr:rowOff>
        </xdr:from>
        <xdr:to>
          <xdr:col>36</xdr:col>
          <xdr:colOff>47625</xdr:colOff>
          <xdr:row>64</xdr:row>
          <xdr:rowOff>9525</xdr:rowOff>
        </xdr:to>
        <xdr:sp macro="" textlink="">
          <xdr:nvSpPr>
            <xdr:cNvPr id="105496" name="Check Box 24" hidden="1">
              <a:extLst>
                <a:ext uri="{63B3BB69-23CF-44E3-9099-C40C66FF867C}">
                  <a14:compatExt spid="_x0000_s105496"/>
                </a:ext>
                <a:ext uri="{FF2B5EF4-FFF2-40B4-BE49-F238E27FC236}">
                  <a16:creationId xmlns:a16="http://schemas.microsoft.com/office/drawing/2014/main" id="{00000000-0008-0000-1A00-00001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LAC" textlink="">
      <xdr:nvSpPr>
        <xdr:cNvPr id="37" name="Down Arrow 44">
          <a:extLst>
            <a:ext uri="{FF2B5EF4-FFF2-40B4-BE49-F238E27FC236}">
              <a16:creationId xmlns:a16="http://schemas.microsoft.com/office/drawing/2014/main" id="{00000000-0008-0000-1A00-000025000000}"/>
            </a:ext>
          </a:extLst>
        </xdr:cNvPr>
        <xdr:cNvSpPr>
          <a:spLocks noChangeArrowheads="1"/>
        </xdr:cNvSpPr>
      </xdr:nvSpPr>
      <xdr:spPr bwMode="auto">
        <a:xfrm flipV="1">
          <a:off x="9267825"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72</xdr:row>
      <xdr:rowOff>0</xdr:rowOff>
    </xdr:from>
    <xdr:to>
      <xdr:col>21</xdr:col>
      <xdr:colOff>0</xdr:colOff>
      <xdr:row>103</xdr:row>
      <xdr:rowOff>0</xdr:rowOff>
    </xdr:to>
    <xdr:graphicFrame macro="">
      <xdr:nvGraphicFramePr>
        <xdr:cNvPr id="38" name="Chart 176">
          <a:extLst>
            <a:ext uri="{FF2B5EF4-FFF2-40B4-BE49-F238E27FC236}">
              <a16:creationId xmlns:a16="http://schemas.microsoft.com/office/drawing/2014/main" id="{00000000-0008-0000-1A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39" name="Chart 764">
          <a:extLst>
            <a:ext uri="{FF2B5EF4-FFF2-40B4-BE49-F238E27FC236}">
              <a16:creationId xmlns:a16="http://schemas.microsoft.com/office/drawing/2014/main" id="{00000000-0008-0000-1A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22</xdr:col>
      <xdr:colOff>95250</xdr:colOff>
      <xdr:row>140</xdr:row>
      <xdr:rowOff>33750</xdr:rowOff>
    </xdr:from>
    <xdr:ext cx="252000" cy="252000"/>
    <xdr:sp macro="[0]!LAC" textlink="">
      <xdr:nvSpPr>
        <xdr:cNvPr id="42" name="Down Arrow 44">
          <a:extLst>
            <a:ext uri="{FF2B5EF4-FFF2-40B4-BE49-F238E27FC236}">
              <a16:creationId xmlns:a16="http://schemas.microsoft.com/office/drawing/2014/main" id="{00000000-0008-0000-1A00-00002A000000}"/>
            </a:ext>
          </a:extLst>
        </xdr:cNvPr>
        <xdr:cNvSpPr>
          <a:spLocks noChangeArrowheads="1"/>
        </xdr:cNvSpPr>
      </xdr:nvSpPr>
      <xdr:spPr bwMode="auto">
        <a:xfrm flipV="1">
          <a:off x="9267825"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135</xdr:row>
      <xdr:rowOff>76199</xdr:rowOff>
    </xdr:from>
    <xdr:to>
      <xdr:col>8</xdr:col>
      <xdr:colOff>0</xdr:colOff>
      <xdr:row>139</xdr:row>
      <xdr:rowOff>0</xdr:rowOff>
    </xdr:to>
    <xdr:graphicFrame macro="">
      <xdr:nvGraphicFramePr>
        <xdr:cNvPr id="43" name="Chart 13">
          <a:extLst>
            <a:ext uri="{FF2B5EF4-FFF2-40B4-BE49-F238E27FC236}">
              <a16:creationId xmlns:a16="http://schemas.microsoft.com/office/drawing/2014/main" id="{00000000-0008-0000-1A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0</xdr:colOff>
      <xdr:row>107</xdr:row>
      <xdr:rowOff>95251</xdr:rowOff>
    </xdr:from>
    <xdr:to>
      <xdr:col>21</xdr:col>
      <xdr:colOff>0</xdr:colOff>
      <xdr:row>139</xdr:row>
      <xdr:rowOff>0</xdr:rowOff>
    </xdr:to>
    <xdr:graphicFrame macro="">
      <xdr:nvGraphicFramePr>
        <xdr:cNvPr id="44" name="Chart 13">
          <a:extLst>
            <a:ext uri="{FF2B5EF4-FFF2-40B4-BE49-F238E27FC236}">
              <a16:creationId xmlns:a16="http://schemas.microsoft.com/office/drawing/2014/main" id="{00000000-0008-0000-1A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95250</xdr:colOff>
      <xdr:row>212</xdr:row>
      <xdr:rowOff>33750</xdr:rowOff>
    </xdr:from>
    <xdr:ext cx="252000" cy="252000"/>
    <xdr:sp macro="[0]!LAC" textlink="">
      <xdr:nvSpPr>
        <xdr:cNvPr id="45" name="Down Arrow 44">
          <a:extLst>
            <a:ext uri="{FF2B5EF4-FFF2-40B4-BE49-F238E27FC236}">
              <a16:creationId xmlns:a16="http://schemas.microsoft.com/office/drawing/2014/main" id="{00000000-0008-0000-1A00-00002D000000}"/>
            </a:ext>
          </a:extLst>
        </xdr:cNvPr>
        <xdr:cNvSpPr>
          <a:spLocks noChangeArrowheads="1"/>
        </xdr:cNvSpPr>
      </xdr:nvSpPr>
      <xdr:spPr bwMode="auto">
        <a:xfrm flipV="1">
          <a:off x="9267825" y="401625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208</xdr:row>
      <xdr:rowOff>1</xdr:rowOff>
    </xdr:from>
    <xdr:to>
      <xdr:col>8</xdr:col>
      <xdr:colOff>0</xdr:colOff>
      <xdr:row>211</xdr:row>
      <xdr:rowOff>1</xdr:rowOff>
    </xdr:to>
    <xdr:graphicFrame macro="">
      <xdr:nvGraphicFramePr>
        <xdr:cNvPr id="46" name="Chart 13">
          <a:extLst>
            <a:ext uri="{FF2B5EF4-FFF2-40B4-BE49-F238E27FC236}">
              <a16:creationId xmlns:a16="http://schemas.microsoft.com/office/drawing/2014/main" id="{00000000-0008-0000-1A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495299</xdr:colOff>
      <xdr:row>179</xdr:row>
      <xdr:rowOff>95250</xdr:rowOff>
    </xdr:from>
    <xdr:to>
      <xdr:col>20</xdr:col>
      <xdr:colOff>514349</xdr:colOff>
      <xdr:row>211</xdr:row>
      <xdr:rowOff>0</xdr:rowOff>
    </xdr:to>
    <xdr:graphicFrame macro="">
      <xdr:nvGraphicFramePr>
        <xdr:cNvPr id="47" name="Chart 13">
          <a:extLst>
            <a:ext uri="{FF2B5EF4-FFF2-40B4-BE49-F238E27FC236}">
              <a16:creationId xmlns:a16="http://schemas.microsoft.com/office/drawing/2014/main" id="{00000000-0008-0000-1A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22</xdr:col>
      <xdr:colOff>95250</xdr:colOff>
      <xdr:row>319</xdr:row>
      <xdr:rowOff>33750</xdr:rowOff>
    </xdr:from>
    <xdr:to>
      <xdr:col>22</xdr:col>
      <xdr:colOff>347250</xdr:colOff>
      <xdr:row>320</xdr:row>
      <xdr:rowOff>95250</xdr:rowOff>
    </xdr:to>
    <xdr:sp macro="[0]!LAC" textlink="">
      <xdr:nvSpPr>
        <xdr:cNvPr id="48" name="Down Arrow 47">
          <a:extLst>
            <a:ext uri="{FF2B5EF4-FFF2-40B4-BE49-F238E27FC236}">
              <a16:creationId xmlns:a16="http://schemas.microsoft.com/office/drawing/2014/main" id="{00000000-0008-0000-1A00-000030000000}"/>
            </a:ext>
          </a:extLst>
        </xdr:cNvPr>
        <xdr:cNvSpPr>
          <a:spLocks noChangeArrowheads="1"/>
        </xdr:cNvSpPr>
      </xdr:nvSpPr>
      <xdr:spPr bwMode="auto">
        <a:xfrm flipV="1">
          <a:off x="9267825" y="604032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14</xdr:col>
      <xdr:colOff>3175</xdr:colOff>
      <xdr:row>288</xdr:row>
      <xdr:rowOff>0</xdr:rowOff>
    </xdr:from>
    <xdr:to>
      <xdr:col>21</xdr:col>
      <xdr:colOff>0</xdr:colOff>
      <xdr:row>318</xdr:row>
      <xdr:rowOff>0</xdr:rowOff>
    </xdr:to>
    <xdr:graphicFrame macro="">
      <xdr:nvGraphicFramePr>
        <xdr:cNvPr id="54" name="Chart 170">
          <a:extLst>
            <a:ext uri="{FF2B5EF4-FFF2-40B4-BE49-F238E27FC236}">
              <a16:creationId xmlns:a16="http://schemas.microsoft.com/office/drawing/2014/main" id="{00000000-0008-0000-1A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22</xdr:col>
      <xdr:colOff>95250</xdr:colOff>
      <xdr:row>354</xdr:row>
      <xdr:rowOff>33750</xdr:rowOff>
    </xdr:from>
    <xdr:to>
      <xdr:col>22</xdr:col>
      <xdr:colOff>347250</xdr:colOff>
      <xdr:row>355</xdr:row>
      <xdr:rowOff>95250</xdr:rowOff>
    </xdr:to>
    <xdr:sp macro="[0]!LAC" textlink="">
      <xdr:nvSpPr>
        <xdr:cNvPr id="50" name="Down Arrow 49">
          <a:extLst>
            <a:ext uri="{FF2B5EF4-FFF2-40B4-BE49-F238E27FC236}">
              <a16:creationId xmlns:a16="http://schemas.microsoft.com/office/drawing/2014/main" id="{00000000-0008-0000-1A00-000032000000}"/>
            </a:ext>
          </a:extLst>
        </xdr:cNvPr>
        <xdr:cNvSpPr>
          <a:spLocks noChangeArrowheads="1"/>
        </xdr:cNvSpPr>
      </xdr:nvSpPr>
      <xdr:spPr bwMode="auto">
        <a:xfrm flipV="1">
          <a:off x="9267825" y="671564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fLocksWithSheet="0"/>
  </xdr:twoCellAnchor>
  <xdr:twoCellAnchor>
    <xdr:from>
      <xdr:col>7</xdr:col>
      <xdr:colOff>447675</xdr:colOff>
      <xdr:row>324</xdr:row>
      <xdr:rowOff>0</xdr:rowOff>
    </xdr:from>
    <xdr:to>
      <xdr:col>11</xdr:col>
      <xdr:colOff>15525</xdr:colOff>
      <xdr:row>351</xdr:row>
      <xdr:rowOff>0</xdr:rowOff>
    </xdr:to>
    <xdr:graphicFrame macro="">
      <xdr:nvGraphicFramePr>
        <xdr:cNvPr id="52" name="Chart 170">
          <a:extLst>
            <a:ext uri="{FF2B5EF4-FFF2-40B4-BE49-F238E27FC236}">
              <a16:creationId xmlns:a16="http://schemas.microsoft.com/office/drawing/2014/main" id="{00000000-0008-0000-1A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28576</xdr:colOff>
      <xdr:row>324</xdr:row>
      <xdr:rowOff>0</xdr:rowOff>
    </xdr:from>
    <xdr:to>
      <xdr:col>13</xdr:col>
      <xdr:colOff>186976</xdr:colOff>
      <xdr:row>351</xdr:row>
      <xdr:rowOff>0</xdr:rowOff>
    </xdr:to>
    <xdr:graphicFrame macro="">
      <xdr:nvGraphicFramePr>
        <xdr:cNvPr id="53" name="Chart 170">
          <a:extLst>
            <a:ext uri="{FF2B5EF4-FFF2-40B4-BE49-F238E27FC236}">
              <a16:creationId xmlns:a16="http://schemas.microsoft.com/office/drawing/2014/main" id="{00000000-0008-0000-1A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197094</xdr:colOff>
      <xdr:row>324</xdr:row>
      <xdr:rowOff>1</xdr:rowOff>
    </xdr:from>
    <xdr:to>
      <xdr:col>15</xdr:col>
      <xdr:colOff>355494</xdr:colOff>
      <xdr:row>351</xdr:row>
      <xdr:rowOff>0</xdr:rowOff>
    </xdr:to>
    <xdr:graphicFrame macro="">
      <xdr:nvGraphicFramePr>
        <xdr:cNvPr id="55" name="Chart 170">
          <a:extLst>
            <a:ext uri="{FF2B5EF4-FFF2-40B4-BE49-F238E27FC236}">
              <a16:creationId xmlns:a16="http://schemas.microsoft.com/office/drawing/2014/main" id="{00000000-0008-0000-1A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359505</xdr:colOff>
      <xdr:row>324</xdr:row>
      <xdr:rowOff>0</xdr:rowOff>
    </xdr:from>
    <xdr:to>
      <xdr:col>18</xdr:col>
      <xdr:colOff>365505</xdr:colOff>
      <xdr:row>351</xdr:row>
      <xdr:rowOff>0</xdr:rowOff>
    </xdr:to>
    <xdr:graphicFrame macro="">
      <xdr:nvGraphicFramePr>
        <xdr:cNvPr id="56" name="Chart 170">
          <a:extLst>
            <a:ext uri="{FF2B5EF4-FFF2-40B4-BE49-F238E27FC236}">
              <a16:creationId xmlns:a16="http://schemas.microsoft.com/office/drawing/2014/main" id="{00000000-0008-0000-1A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18</xdr:col>
      <xdr:colOff>367322</xdr:colOff>
      <xdr:row>324</xdr:row>
      <xdr:rowOff>1</xdr:rowOff>
    </xdr:from>
    <xdr:to>
      <xdr:col>20</xdr:col>
      <xdr:colOff>506672</xdr:colOff>
      <xdr:row>351</xdr:row>
      <xdr:rowOff>0</xdr:rowOff>
    </xdr:to>
    <xdr:graphicFrame macro="">
      <xdr:nvGraphicFramePr>
        <xdr:cNvPr id="57" name="Chart 170">
          <a:extLst>
            <a:ext uri="{FF2B5EF4-FFF2-40B4-BE49-F238E27FC236}">
              <a16:creationId xmlns:a16="http://schemas.microsoft.com/office/drawing/2014/main" id="{00000000-0008-0000-1A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22</xdr:col>
      <xdr:colOff>95250</xdr:colOff>
      <xdr:row>284</xdr:row>
      <xdr:rowOff>33750</xdr:rowOff>
    </xdr:from>
    <xdr:ext cx="252000" cy="252000"/>
    <xdr:sp macro="[0]!LAC" textlink="">
      <xdr:nvSpPr>
        <xdr:cNvPr id="58" name="Down Arrow 57">
          <a:extLst>
            <a:ext uri="{FF2B5EF4-FFF2-40B4-BE49-F238E27FC236}">
              <a16:creationId xmlns:a16="http://schemas.microsoft.com/office/drawing/2014/main" id="{00000000-0008-0000-1A00-00003A000000}"/>
            </a:ext>
          </a:extLst>
        </xdr:cNvPr>
        <xdr:cNvSpPr>
          <a:spLocks noChangeArrowheads="1"/>
        </xdr:cNvSpPr>
      </xdr:nvSpPr>
      <xdr:spPr bwMode="auto">
        <a:xfrm flipV="1">
          <a:off x="9267825" y="536499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279</xdr:row>
      <xdr:rowOff>76199</xdr:rowOff>
    </xdr:from>
    <xdr:to>
      <xdr:col>8</xdr:col>
      <xdr:colOff>0</xdr:colOff>
      <xdr:row>283</xdr:row>
      <xdr:rowOff>0</xdr:rowOff>
    </xdr:to>
    <xdr:graphicFrame macro="">
      <xdr:nvGraphicFramePr>
        <xdr:cNvPr id="59" name="Chart 13">
          <a:extLst>
            <a:ext uri="{FF2B5EF4-FFF2-40B4-BE49-F238E27FC236}">
              <a16:creationId xmlns:a16="http://schemas.microsoft.com/office/drawing/2014/main" id="{00000000-0008-0000-1A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495299</xdr:colOff>
      <xdr:row>251</xdr:row>
      <xdr:rowOff>95250</xdr:rowOff>
    </xdr:from>
    <xdr:to>
      <xdr:col>20</xdr:col>
      <xdr:colOff>514349</xdr:colOff>
      <xdr:row>283</xdr:row>
      <xdr:rowOff>0</xdr:rowOff>
    </xdr:to>
    <xdr:graphicFrame macro="">
      <xdr:nvGraphicFramePr>
        <xdr:cNvPr id="60" name="Chart 13">
          <a:extLst>
            <a:ext uri="{FF2B5EF4-FFF2-40B4-BE49-F238E27FC236}">
              <a16:creationId xmlns:a16="http://schemas.microsoft.com/office/drawing/2014/main" id="{00000000-0008-0000-1A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22</xdr:col>
      <xdr:colOff>95250</xdr:colOff>
      <xdr:row>248</xdr:row>
      <xdr:rowOff>33750</xdr:rowOff>
    </xdr:from>
    <xdr:to>
      <xdr:col>22</xdr:col>
      <xdr:colOff>347250</xdr:colOff>
      <xdr:row>249</xdr:row>
      <xdr:rowOff>95250</xdr:rowOff>
    </xdr:to>
    <xdr:sp macro="[0]!LAC" textlink="">
      <xdr:nvSpPr>
        <xdr:cNvPr id="61" name="Down Arrow 60">
          <a:extLst>
            <a:ext uri="{FF2B5EF4-FFF2-40B4-BE49-F238E27FC236}">
              <a16:creationId xmlns:a16="http://schemas.microsoft.com/office/drawing/2014/main" id="{00000000-0008-0000-1A00-00003D000000}"/>
            </a:ext>
          </a:extLst>
        </xdr:cNvPr>
        <xdr:cNvSpPr>
          <a:spLocks noChangeArrowheads="1"/>
        </xdr:cNvSpPr>
      </xdr:nvSpPr>
      <xdr:spPr bwMode="auto">
        <a:xfrm flipV="1">
          <a:off x="9267825" y="469062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1</xdr:col>
      <xdr:colOff>0</xdr:colOff>
      <xdr:row>243</xdr:row>
      <xdr:rowOff>76199</xdr:rowOff>
    </xdr:from>
    <xdr:to>
      <xdr:col>8</xdr:col>
      <xdr:colOff>0</xdr:colOff>
      <xdr:row>247</xdr:row>
      <xdr:rowOff>0</xdr:rowOff>
    </xdr:to>
    <xdr:graphicFrame macro="">
      <xdr:nvGraphicFramePr>
        <xdr:cNvPr id="62" name="Chart 13">
          <a:extLst>
            <a:ext uri="{FF2B5EF4-FFF2-40B4-BE49-F238E27FC236}">
              <a16:creationId xmlns:a16="http://schemas.microsoft.com/office/drawing/2014/main" id="{00000000-0008-0000-1A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495299</xdr:colOff>
      <xdr:row>215</xdr:row>
      <xdr:rowOff>95250</xdr:rowOff>
    </xdr:from>
    <xdr:to>
      <xdr:col>20</xdr:col>
      <xdr:colOff>514349</xdr:colOff>
      <xdr:row>247</xdr:row>
      <xdr:rowOff>0</xdr:rowOff>
    </xdr:to>
    <xdr:graphicFrame macro="">
      <xdr:nvGraphicFramePr>
        <xdr:cNvPr id="63" name="Chart 13">
          <a:extLst>
            <a:ext uri="{FF2B5EF4-FFF2-40B4-BE49-F238E27FC236}">
              <a16:creationId xmlns:a16="http://schemas.microsoft.com/office/drawing/2014/main" id="{00000000-0008-0000-1A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65" name="Picture 64">
          <a:extLst>
            <a:ext uri="{FF2B5EF4-FFF2-40B4-BE49-F238E27FC236}">
              <a16:creationId xmlns:a16="http://schemas.microsoft.com/office/drawing/2014/main" id="{00000000-0008-0000-1A00-000041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Court" textlink="">
      <xdr:nvSpPr>
        <xdr:cNvPr id="66" name="Right Arrow 65">
          <a:extLst>
            <a:ext uri="{FF2B5EF4-FFF2-40B4-BE49-F238E27FC236}">
              <a16:creationId xmlns:a16="http://schemas.microsoft.com/office/drawing/2014/main" id="{00000000-0008-0000-1A00-000042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Newlac" textlink="">
      <xdr:nvSpPr>
        <xdr:cNvPr id="67" name="Right Arrow 50">
          <a:extLst>
            <a:ext uri="{FF2B5EF4-FFF2-40B4-BE49-F238E27FC236}">
              <a16:creationId xmlns:a16="http://schemas.microsoft.com/office/drawing/2014/main" id="{00000000-0008-0000-1A00-000043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180975</xdr:colOff>
      <xdr:row>64</xdr:row>
      <xdr:rowOff>47625</xdr:rowOff>
    </xdr:from>
    <xdr:to>
      <xdr:col>11</xdr:col>
      <xdr:colOff>257175</xdr:colOff>
      <xdr:row>64</xdr:row>
      <xdr:rowOff>123825</xdr:rowOff>
    </xdr:to>
    <xdr:sp macro="" textlink="">
      <xdr:nvSpPr>
        <xdr:cNvPr id="68" name="Oval 2165">
          <a:extLst>
            <a:ext uri="{FF2B5EF4-FFF2-40B4-BE49-F238E27FC236}">
              <a16:creationId xmlns:a16="http://schemas.microsoft.com/office/drawing/2014/main" id="{00000000-0008-0000-1A00-000044000000}"/>
            </a:ext>
          </a:extLst>
        </xdr:cNvPr>
        <xdr:cNvSpPr>
          <a:spLocks noChangeArrowheads="1"/>
        </xdr:cNvSpPr>
      </xdr:nvSpPr>
      <xdr:spPr bwMode="auto">
        <a:xfrm>
          <a:off x="4895850" y="1138237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69" name="Line 283">
          <a:extLst>
            <a:ext uri="{FF2B5EF4-FFF2-40B4-BE49-F238E27FC236}">
              <a16:creationId xmlns:a16="http://schemas.microsoft.com/office/drawing/2014/main" id="{00000000-0008-0000-1A00-000045000000}"/>
            </a:ext>
          </a:extLst>
        </xdr:cNvPr>
        <xdr:cNvSpPr>
          <a:spLocks noChangeShapeType="1"/>
        </xdr:cNvSpPr>
      </xdr:nvSpPr>
      <xdr:spPr bwMode="auto">
        <a:xfrm>
          <a:off x="4772025" y="11249025"/>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70" name="Oval 2164">
          <a:extLst>
            <a:ext uri="{FF2B5EF4-FFF2-40B4-BE49-F238E27FC236}">
              <a16:creationId xmlns:a16="http://schemas.microsoft.com/office/drawing/2014/main" id="{00000000-0008-0000-1A00-000046000000}"/>
            </a:ext>
          </a:extLst>
        </xdr:cNvPr>
        <xdr:cNvSpPr>
          <a:spLocks noChangeArrowheads="1"/>
        </xdr:cNvSpPr>
      </xdr:nvSpPr>
      <xdr:spPr bwMode="auto">
        <a:xfrm>
          <a:off x="7248525" y="1121092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71" name="Line 283">
          <a:extLst>
            <a:ext uri="{FF2B5EF4-FFF2-40B4-BE49-F238E27FC236}">
              <a16:creationId xmlns:a16="http://schemas.microsoft.com/office/drawing/2014/main" id="{00000000-0008-0000-1A00-000047000000}"/>
            </a:ext>
          </a:extLst>
        </xdr:cNvPr>
        <xdr:cNvSpPr>
          <a:spLocks noChangeShapeType="1"/>
        </xdr:cNvSpPr>
      </xdr:nvSpPr>
      <xdr:spPr bwMode="auto">
        <a:xfrm>
          <a:off x="7086600" y="11420474"/>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39</xdr:row>
      <xdr:rowOff>0</xdr:rowOff>
    </xdr:from>
    <xdr:to>
      <xdr:col>21</xdr:col>
      <xdr:colOff>0</xdr:colOff>
      <xdr:row>63</xdr:row>
      <xdr:rowOff>0</xdr:rowOff>
    </xdr:to>
    <xdr:graphicFrame macro="">
      <xdr:nvGraphicFramePr>
        <xdr:cNvPr id="72" name="Chart 176">
          <a:extLst>
            <a:ext uri="{FF2B5EF4-FFF2-40B4-BE49-F238E27FC236}">
              <a16:creationId xmlns:a16="http://schemas.microsoft.com/office/drawing/2014/main" id="{00000000-0008-0000-1A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353600</xdr:colOff>
      <xdr:row>37</xdr:row>
      <xdr:rowOff>95250</xdr:rowOff>
    </xdr:to>
    <xdr:sp macro="[0]!Newlac" textlink="">
      <xdr:nvSpPr>
        <xdr:cNvPr id="2" name="Down Arrow 44">
          <a:extLst>
            <a:ext uri="{FF2B5EF4-FFF2-40B4-BE49-F238E27FC236}">
              <a16:creationId xmlns:a16="http://schemas.microsoft.com/office/drawing/2014/main" id="{00000000-0008-0000-1B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Newlac" textlink="">
      <xdr:nvSpPr>
        <xdr:cNvPr id="3" name="Down Arrow 2">
          <a:extLst>
            <a:ext uri="{FF2B5EF4-FFF2-40B4-BE49-F238E27FC236}">
              <a16:creationId xmlns:a16="http://schemas.microsoft.com/office/drawing/2014/main" id="{00000000-0008-0000-1B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5" name="Chart 13">
          <a:extLst>
            <a:ext uri="{FF2B5EF4-FFF2-40B4-BE49-F238E27FC236}">
              <a16:creationId xmlns:a16="http://schemas.microsoft.com/office/drawing/2014/main" id="{00000000-0008-0000-1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7" name="AutoShape 32">
          <a:extLst>
            <a:ext uri="{FF2B5EF4-FFF2-40B4-BE49-F238E27FC236}">
              <a16:creationId xmlns:a16="http://schemas.microsoft.com/office/drawing/2014/main" id="{00000000-0008-0000-1B00-000007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8" name="Chart 13">
          <a:extLst>
            <a:ext uri="{FF2B5EF4-FFF2-40B4-BE49-F238E27FC236}">
              <a16:creationId xmlns:a16="http://schemas.microsoft.com/office/drawing/2014/main" id="{00000000-0008-0000-1B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19050</xdr:rowOff>
        </xdr:from>
        <xdr:to>
          <xdr:col>36</xdr:col>
          <xdr:colOff>47625</xdr:colOff>
          <xdr:row>41</xdr:row>
          <xdr:rowOff>0</xdr:rowOff>
        </xdr:to>
        <xdr:sp macro="" textlink="">
          <xdr:nvSpPr>
            <xdr:cNvPr id="167937" name="Check Box 1" hidden="1">
              <a:extLst>
                <a:ext uri="{63B3BB69-23CF-44E3-9099-C40C66FF867C}">
                  <a14:compatExt spid="_x0000_s167937"/>
                </a:ext>
                <a:ext uri="{FF2B5EF4-FFF2-40B4-BE49-F238E27FC236}">
                  <a16:creationId xmlns:a16="http://schemas.microsoft.com/office/drawing/2014/main" id="{00000000-0008-0000-1B00-000001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142875</xdr:rowOff>
        </xdr:from>
        <xdr:to>
          <xdr:col>36</xdr:col>
          <xdr:colOff>47625</xdr:colOff>
          <xdr:row>42</xdr:row>
          <xdr:rowOff>0</xdr:rowOff>
        </xdr:to>
        <xdr:sp macro="" textlink="">
          <xdr:nvSpPr>
            <xdr:cNvPr id="167938" name="Check Box 2" hidden="1">
              <a:extLst>
                <a:ext uri="{63B3BB69-23CF-44E3-9099-C40C66FF867C}">
                  <a14:compatExt spid="_x0000_s167938"/>
                </a:ext>
                <a:ext uri="{FF2B5EF4-FFF2-40B4-BE49-F238E27FC236}">
                  <a16:creationId xmlns:a16="http://schemas.microsoft.com/office/drawing/2014/main" id="{00000000-0008-0000-1B00-000002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142875</xdr:rowOff>
        </xdr:from>
        <xdr:to>
          <xdr:col>36</xdr:col>
          <xdr:colOff>47625</xdr:colOff>
          <xdr:row>43</xdr:row>
          <xdr:rowOff>0</xdr:rowOff>
        </xdr:to>
        <xdr:sp macro="" textlink="">
          <xdr:nvSpPr>
            <xdr:cNvPr id="167939" name="Check Box 3" hidden="1">
              <a:extLst>
                <a:ext uri="{63B3BB69-23CF-44E3-9099-C40C66FF867C}">
                  <a14:compatExt spid="_x0000_s167939"/>
                </a:ext>
                <a:ext uri="{FF2B5EF4-FFF2-40B4-BE49-F238E27FC236}">
                  <a16:creationId xmlns:a16="http://schemas.microsoft.com/office/drawing/2014/main" id="{00000000-0008-0000-1B00-000003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142875</xdr:rowOff>
        </xdr:from>
        <xdr:to>
          <xdr:col>36</xdr:col>
          <xdr:colOff>47625</xdr:colOff>
          <xdr:row>44</xdr:row>
          <xdr:rowOff>0</xdr:rowOff>
        </xdr:to>
        <xdr:sp macro="" textlink="">
          <xdr:nvSpPr>
            <xdr:cNvPr id="167940" name="Check Box 4" hidden="1">
              <a:extLst>
                <a:ext uri="{63B3BB69-23CF-44E3-9099-C40C66FF867C}">
                  <a14:compatExt spid="_x0000_s167940"/>
                </a:ext>
                <a:ext uri="{FF2B5EF4-FFF2-40B4-BE49-F238E27FC236}">
                  <a16:creationId xmlns:a16="http://schemas.microsoft.com/office/drawing/2014/main" id="{00000000-0008-0000-1B00-000004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142875</xdr:rowOff>
        </xdr:from>
        <xdr:to>
          <xdr:col>36</xdr:col>
          <xdr:colOff>47625</xdr:colOff>
          <xdr:row>45</xdr:row>
          <xdr:rowOff>0</xdr:rowOff>
        </xdr:to>
        <xdr:sp macro="" textlink="">
          <xdr:nvSpPr>
            <xdr:cNvPr id="167941" name="Check Box 5" hidden="1">
              <a:extLst>
                <a:ext uri="{63B3BB69-23CF-44E3-9099-C40C66FF867C}">
                  <a14:compatExt spid="_x0000_s167941"/>
                </a:ext>
                <a:ext uri="{FF2B5EF4-FFF2-40B4-BE49-F238E27FC236}">
                  <a16:creationId xmlns:a16="http://schemas.microsoft.com/office/drawing/2014/main" id="{00000000-0008-0000-1B00-000005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142875</xdr:rowOff>
        </xdr:from>
        <xdr:to>
          <xdr:col>36</xdr:col>
          <xdr:colOff>47625</xdr:colOff>
          <xdr:row>46</xdr:row>
          <xdr:rowOff>0</xdr:rowOff>
        </xdr:to>
        <xdr:sp macro="" textlink="">
          <xdr:nvSpPr>
            <xdr:cNvPr id="167942" name="Check Box 6" hidden="1">
              <a:extLst>
                <a:ext uri="{63B3BB69-23CF-44E3-9099-C40C66FF867C}">
                  <a14:compatExt spid="_x0000_s167942"/>
                </a:ext>
                <a:ext uri="{FF2B5EF4-FFF2-40B4-BE49-F238E27FC236}">
                  <a16:creationId xmlns:a16="http://schemas.microsoft.com/office/drawing/2014/main" id="{00000000-0008-0000-1B00-000006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142875</xdr:rowOff>
        </xdr:from>
        <xdr:to>
          <xdr:col>36</xdr:col>
          <xdr:colOff>47625</xdr:colOff>
          <xdr:row>47</xdr:row>
          <xdr:rowOff>0</xdr:rowOff>
        </xdr:to>
        <xdr:sp macro="" textlink="">
          <xdr:nvSpPr>
            <xdr:cNvPr id="167943" name="Check Box 7" hidden="1">
              <a:extLst>
                <a:ext uri="{63B3BB69-23CF-44E3-9099-C40C66FF867C}">
                  <a14:compatExt spid="_x0000_s167943"/>
                </a:ext>
                <a:ext uri="{FF2B5EF4-FFF2-40B4-BE49-F238E27FC236}">
                  <a16:creationId xmlns:a16="http://schemas.microsoft.com/office/drawing/2014/main" id="{00000000-0008-0000-1B00-000007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142875</xdr:rowOff>
        </xdr:from>
        <xdr:to>
          <xdr:col>36</xdr:col>
          <xdr:colOff>47625</xdr:colOff>
          <xdr:row>48</xdr:row>
          <xdr:rowOff>0</xdr:rowOff>
        </xdr:to>
        <xdr:sp macro="" textlink="">
          <xdr:nvSpPr>
            <xdr:cNvPr id="167944" name="Check Box 8" hidden="1">
              <a:extLst>
                <a:ext uri="{63B3BB69-23CF-44E3-9099-C40C66FF867C}">
                  <a14:compatExt spid="_x0000_s167944"/>
                </a:ext>
                <a:ext uri="{FF2B5EF4-FFF2-40B4-BE49-F238E27FC236}">
                  <a16:creationId xmlns:a16="http://schemas.microsoft.com/office/drawing/2014/main" id="{00000000-0008-0000-1B00-000008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142875</xdr:rowOff>
        </xdr:from>
        <xdr:to>
          <xdr:col>36</xdr:col>
          <xdr:colOff>47625</xdr:colOff>
          <xdr:row>49</xdr:row>
          <xdr:rowOff>0</xdr:rowOff>
        </xdr:to>
        <xdr:sp macro="" textlink="">
          <xdr:nvSpPr>
            <xdr:cNvPr id="167945" name="Check Box 9" hidden="1">
              <a:extLst>
                <a:ext uri="{63B3BB69-23CF-44E3-9099-C40C66FF867C}">
                  <a14:compatExt spid="_x0000_s167945"/>
                </a:ext>
                <a:ext uri="{FF2B5EF4-FFF2-40B4-BE49-F238E27FC236}">
                  <a16:creationId xmlns:a16="http://schemas.microsoft.com/office/drawing/2014/main" id="{00000000-0008-0000-1B00-000009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142875</xdr:rowOff>
        </xdr:from>
        <xdr:to>
          <xdr:col>36</xdr:col>
          <xdr:colOff>47625</xdr:colOff>
          <xdr:row>50</xdr:row>
          <xdr:rowOff>0</xdr:rowOff>
        </xdr:to>
        <xdr:sp macro="" textlink="">
          <xdr:nvSpPr>
            <xdr:cNvPr id="167946" name="Check Box 10" hidden="1">
              <a:extLst>
                <a:ext uri="{63B3BB69-23CF-44E3-9099-C40C66FF867C}">
                  <a14:compatExt spid="_x0000_s167946"/>
                </a:ext>
                <a:ext uri="{FF2B5EF4-FFF2-40B4-BE49-F238E27FC236}">
                  <a16:creationId xmlns:a16="http://schemas.microsoft.com/office/drawing/2014/main" id="{00000000-0008-0000-1B00-00000A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142875</xdr:rowOff>
        </xdr:from>
        <xdr:to>
          <xdr:col>36</xdr:col>
          <xdr:colOff>47625</xdr:colOff>
          <xdr:row>51</xdr:row>
          <xdr:rowOff>0</xdr:rowOff>
        </xdr:to>
        <xdr:sp macro="" textlink="">
          <xdr:nvSpPr>
            <xdr:cNvPr id="167947" name="Check Box 11" hidden="1">
              <a:extLst>
                <a:ext uri="{63B3BB69-23CF-44E3-9099-C40C66FF867C}">
                  <a14:compatExt spid="_x0000_s167947"/>
                </a:ext>
                <a:ext uri="{FF2B5EF4-FFF2-40B4-BE49-F238E27FC236}">
                  <a16:creationId xmlns:a16="http://schemas.microsoft.com/office/drawing/2014/main" id="{00000000-0008-0000-1B00-00000B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142875</xdr:rowOff>
        </xdr:from>
        <xdr:to>
          <xdr:col>36</xdr:col>
          <xdr:colOff>47625</xdr:colOff>
          <xdr:row>52</xdr:row>
          <xdr:rowOff>0</xdr:rowOff>
        </xdr:to>
        <xdr:sp macro="" textlink="">
          <xdr:nvSpPr>
            <xdr:cNvPr id="167948" name="Check Box 12" hidden="1">
              <a:extLst>
                <a:ext uri="{63B3BB69-23CF-44E3-9099-C40C66FF867C}">
                  <a14:compatExt spid="_x0000_s167948"/>
                </a:ext>
                <a:ext uri="{FF2B5EF4-FFF2-40B4-BE49-F238E27FC236}">
                  <a16:creationId xmlns:a16="http://schemas.microsoft.com/office/drawing/2014/main" id="{00000000-0008-0000-1B00-00000C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142875</xdr:rowOff>
        </xdr:from>
        <xdr:to>
          <xdr:col>36</xdr:col>
          <xdr:colOff>47625</xdr:colOff>
          <xdr:row>53</xdr:row>
          <xdr:rowOff>0</xdr:rowOff>
        </xdr:to>
        <xdr:sp macro="" textlink="">
          <xdr:nvSpPr>
            <xdr:cNvPr id="167949" name="Check Box 13" hidden="1">
              <a:extLst>
                <a:ext uri="{63B3BB69-23CF-44E3-9099-C40C66FF867C}">
                  <a14:compatExt spid="_x0000_s167949"/>
                </a:ext>
                <a:ext uri="{FF2B5EF4-FFF2-40B4-BE49-F238E27FC236}">
                  <a16:creationId xmlns:a16="http://schemas.microsoft.com/office/drawing/2014/main" id="{00000000-0008-0000-1B00-00000D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142875</xdr:rowOff>
        </xdr:from>
        <xdr:to>
          <xdr:col>36</xdr:col>
          <xdr:colOff>47625</xdr:colOff>
          <xdr:row>54</xdr:row>
          <xdr:rowOff>0</xdr:rowOff>
        </xdr:to>
        <xdr:sp macro="" textlink="">
          <xdr:nvSpPr>
            <xdr:cNvPr id="167950" name="Check Box 14" hidden="1">
              <a:extLst>
                <a:ext uri="{63B3BB69-23CF-44E3-9099-C40C66FF867C}">
                  <a14:compatExt spid="_x0000_s167950"/>
                </a:ext>
                <a:ext uri="{FF2B5EF4-FFF2-40B4-BE49-F238E27FC236}">
                  <a16:creationId xmlns:a16="http://schemas.microsoft.com/office/drawing/2014/main" id="{00000000-0008-0000-1B00-00000E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142875</xdr:rowOff>
        </xdr:from>
        <xdr:to>
          <xdr:col>36</xdr:col>
          <xdr:colOff>47625</xdr:colOff>
          <xdr:row>55</xdr:row>
          <xdr:rowOff>0</xdr:rowOff>
        </xdr:to>
        <xdr:sp macro="" textlink="">
          <xdr:nvSpPr>
            <xdr:cNvPr id="167951" name="Check Box 15" hidden="1">
              <a:extLst>
                <a:ext uri="{63B3BB69-23CF-44E3-9099-C40C66FF867C}">
                  <a14:compatExt spid="_x0000_s167951"/>
                </a:ext>
                <a:ext uri="{FF2B5EF4-FFF2-40B4-BE49-F238E27FC236}">
                  <a16:creationId xmlns:a16="http://schemas.microsoft.com/office/drawing/2014/main" id="{00000000-0008-0000-1B00-00000F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142875</xdr:rowOff>
        </xdr:from>
        <xdr:to>
          <xdr:col>36</xdr:col>
          <xdr:colOff>47625</xdr:colOff>
          <xdr:row>56</xdr:row>
          <xdr:rowOff>0</xdr:rowOff>
        </xdr:to>
        <xdr:sp macro="" textlink="">
          <xdr:nvSpPr>
            <xdr:cNvPr id="167952" name="Check Box 16" hidden="1">
              <a:extLst>
                <a:ext uri="{63B3BB69-23CF-44E3-9099-C40C66FF867C}">
                  <a14:compatExt spid="_x0000_s167952"/>
                </a:ext>
                <a:ext uri="{FF2B5EF4-FFF2-40B4-BE49-F238E27FC236}">
                  <a16:creationId xmlns:a16="http://schemas.microsoft.com/office/drawing/2014/main" id="{00000000-0008-0000-1B00-000010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142875</xdr:rowOff>
        </xdr:from>
        <xdr:to>
          <xdr:col>36</xdr:col>
          <xdr:colOff>47625</xdr:colOff>
          <xdr:row>59</xdr:row>
          <xdr:rowOff>0</xdr:rowOff>
        </xdr:to>
        <xdr:sp macro="" textlink="">
          <xdr:nvSpPr>
            <xdr:cNvPr id="167953" name="Check Box 17" hidden="1">
              <a:extLst>
                <a:ext uri="{63B3BB69-23CF-44E3-9099-C40C66FF867C}">
                  <a14:compatExt spid="_x0000_s167953"/>
                </a:ext>
                <a:ext uri="{FF2B5EF4-FFF2-40B4-BE49-F238E27FC236}">
                  <a16:creationId xmlns:a16="http://schemas.microsoft.com/office/drawing/2014/main" id="{00000000-0008-0000-1B00-000011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142875</xdr:rowOff>
        </xdr:from>
        <xdr:to>
          <xdr:col>36</xdr:col>
          <xdr:colOff>47625</xdr:colOff>
          <xdr:row>60</xdr:row>
          <xdr:rowOff>0</xdr:rowOff>
        </xdr:to>
        <xdr:sp macro="" textlink="">
          <xdr:nvSpPr>
            <xdr:cNvPr id="167954" name="Check Box 18" hidden="1">
              <a:extLst>
                <a:ext uri="{63B3BB69-23CF-44E3-9099-C40C66FF867C}">
                  <a14:compatExt spid="_x0000_s167954"/>
                </a:ext>
                <a:ext uri="{FF2B5EF4-FFF2-40B4-BE49-F238E27FC236}">
                  <a16:creationId xmlns:a16="http://schemas.microsoft.com/office/drawing/2014/main" id="{00000000-0008-0000-1B00-000012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142875</xdr:rowOff>
        </xdr:from>
        <xdr:to>
          <xdr:col>36</xdr:col>
          <xdr:colOff>47625</xdr:colOff>
          <xdr:row>61</xdr:row>
          <xdr:rowOff>0</xdr:rowOff>
        </xdr:to>
        <xdr:sp macro="" textlink="">
          <xdr:nvSpPr>
            <xdr:cNvPr id="167955" name="Check Box 19" hidden="1">
              <a:extLst>
                <a:ext uri="{63B3BB69-23CF-44E3-9099-C40C66FF867C}">
                  <a14:compatExt spid="_x0000_s167955"/>
                </a:ext>
                <a:ext uri="{FF2B5EF4-FFF2-40B4-BE49-F238E27FC236}">
                  <a16:creationId xmlns:a16="http://schemas.microsoft.com/office/drawing/2014/main" id="{00000000-0008-0000-1B00-000013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142875</xdr:rowOff>
        </xdr:from>
        <xdr:to>
          <xdr:col>36</xdr:col>
          <xdr:colOff>47625</xdr:colOff>
          <xdr:row>62</xdr:row>
          <xdr:rowOff>0</xdr:rowOff>
        </xdr:to>
        <xdr:sp macro="" textlink="">
          <xdr:nvSpPr>
            <xdr:cNvPr id="167956" name="Check Box 20" hidden="1">
              <a:extLst>
                <a:ext uri="{63B3BB69-23CF-44E3-9099-C40C66FF867C}">
                  <a14:compatExt spid="_x0000_s167956"/>
                </a:ext>
                <a:ext uri="{FF2B5EF4-FFF2-40B4-BE49-F238E27FC236}">
                  <a16:creationId xmlns:a16="http://schemas.microsoft.com/office/drawing/2014/main" id="{00000000-0008-0000-1B00-000014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142875</xdr:rowOff>
        </xdr:from>
        <xdr:to>
          <xdr:col>36</xdr:col>
          <xdr:colOff>47625</xdr:colOff>
          <xdr:row>63</xdr:row>
          <xdr:rowOff>0</xdr:rowOff>
        </xdr:to>
        <xdr:sp macro="" textlink="">
          <xdr:nvSpPr>
            <xdr:cNvPr id="167957" name="Check Box 21" hidden="1">
              <a:extLst>
                <a:ext uri="{63B3BB69-23CF-44E3-9099-C40C66FF867C}">
                  <a14:compatExt spid="_x0000_s167957"/>
                </a:ext>
                <a:ext uri="{FF2B5EF4-FFF2-40B4-BE49-F238E27FC236}">
                  <a16:creationId xmlns:a16="http://schemas.microsoft.com/office/drawing/2014/main" id="{00000000-0008-0000-1B00-000015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105</xdr:row>
      <xdr:rowOff>33750</xdr:rowOff>
    </xdr:from>
    <xdr:ext cx="252000" cy="252000"/>
    <xdr:sp macro="[0]!Newlac" textlink="">
      <xdr:nvSpPr>
        <xdr:cNvPr id="30" name="Down Arrow 44">
          <a:extLst>
            <a:ext uri="{FF2B5EF4-FFF2-40B4-BE49-F238E27FC236}">
              <a16:creationId xmlns:a16="http://schemas.microsoft.com/office/drawing/2014/main" id="{00000000-0008-0000-1B00-00001E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101</xdr:row>
      <xdr:rowOff>0</xdr:rowOff>
    </xdr:from>
    <xdr:to>
      <xdr:col>8</xdr:col>
      <xdr:colOff>0</xdr:colOff>
      <xdr:row>104</xdr:row>
      <xdr:rowOff>0</xdr:rowOff>
    </xdr:to>
    <xdr:graphicFrame macro="">
      <xdr:nvGraphicFramePr>
        <xdr:cNvPr id="31" name="Chart 13">
          <a:extLst>
            <a:ext uri="{FF2B5EF4-FFF2-40B4-BE49-F238E27FC236}">
              <a16:creationId xmlns:a16="http://schemas.microsoft.com/office/drawing/2014/main" id="{00000000-0008-0000-1B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55</xdr:row>
          <xdr:rowOff>142875</xdr:rowOff>
        </xdr:from>
        <xdr:to>
          <xdr:col>36</xdr:col>
          <xdr:colOff>47625</xdr:colOff>
          <xdr:row>57</xdr:row>
          <xdr:rowOff>0</xdr:rowOff>
        </xdr:to>
        <xdr:sp macro="" textlink="">
          <xdr:nvSpPr>
            <xdr:cNvPr id="167958" name="Check Box 22" hidden="1">
              <a:extLst>
                <a:ext uri="{63B3BB69-23CF-44E3-9099-C40C66FF867C}">
                  <a14:compatExt spid="_x0000_s167958"/>
                </a:ext>
                <a:ext uri="{FF2B5EF4-FFF2-40B4-BE49-F238E27FC236}">
                  <a16:creationId xmlns:a16="http://schemas.microsoft.com/office/drawing/2014/main" id="{00000000-0008-0000-1B00-000016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142875</xdr:rowOff>
        </xdr:from>
        <xdr:to>
          <xdr:col>36</xdr:col>
          <xdr:colOff>47625</xdr:colOff>
          <xdr:row>58</xdr:row>
          <xdr:rowOff>0</xdr:rowOff>
        </xdr:to>
        <xdr:sp macro="" textlink="">
          <xdr:nvSpPr>
            <xdr:cNvPr id="167959" name="Check Box 23" hidden="1">
              <a:extLst>
                <a:ext uri="{63B3BB69-23CF-44E3-9099-C40C66FF867C}">
                  <a14:compatExt spid="_x0000_s167959"/>
                </a:ext>
                <a:ext uri="{FF2B5EF4-FFF2-40B4-BE49-F238E27FC236}">
                  <a16:creationId xmlns:a16="http://schemas.microsoft.com/office/drawing/2014/main" id="{00000000-0008-0000-1B00-000017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72</xdr:row>
      <xdr:rowOff>95250</xdr:rowOff>
    </xdr:from>
    <xdr:to>
      <xdr:col>20</xdr:col>
      <xdr:colOff>514349</xdr:colOff>
      <xdr:row>103</xdr:row>
      <xdr:rowOff>533399</xdr:rowOff>
    </xdr:to>
    <xdr:graphicFrame macro="">
      <xdr:nvGraphicFramePr>
        <xdr:cNvPr id="34" name="Chart 13">
          <a:extLst>
            <a:ext uri="{FF2B5EF4-FFF2-40B4-BE49-F238E27FC236}">
              <a16:creationId xmlns:a16="http://schemas.microsoft.com/office/drawing/2014/main" id="{00000000-0008-0000-1B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62</xdr:row>
          <xdr:rowOff>142875</xdr:rowOff>
        </xdr:from>
        <xdr:to>
          <xdr:col>36</xdr:col>
          <xdr:colOff>47625</xdr:colOff>
          <xdr:row>64</xdr:row>
          <xdr:rowOff>0</xdr:rowOff>
        </xdr:to>
        <xdr:sp macro="" textlink="">
          <xdr:nvSpPr>
            <xdr:cNvPr id="167960" name="Check Box 24" hidden="1">
              <a:extLst>
                <a:ext uri="{63B3BB69-23CF-44E3-9099-C40C66FF867C}">
                  <a14:compatExt spid="_x0000_s167960"/>
                </a:ext>
                <a:ext uri="{FF2B5EF4-FFF2-40B4-BE49-F238E27FC236}">
                  <a16:creationId xmlns:a16="http://schemas.microsoft.com/office/drawing/2014/main" id="{00000000-0008-0000-1B00-000018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22</xdr:col>
      <xdr:colOff>66675</xdr:colOff>
      <xdr:row>0</xdr:row>
      <xdr:rowOff>193416</xdr:rowOff>
    </xdr:from>
    <xdr:to>
      <xdr:col>22</xdr:col>
      <xdr:colOff>371475</xdr:colOff>
      <xdr:row>2</xdr:row>
      <xdr:rowOff>47625</xdr:rowOff>
    </xdr:to>
    <xdr:pic macro="[0]!Home">
      <xdr:nvPicPr>
        <xdr:cNvPr id="62" name="Picture 61">
          <a:extLst>
            <a:ext uri="{FF2B5EF4-FFF2-40B4-BE49-F238E27FC236}">
              <a16:creationId xmlns:a16="http://schemas.microsoft.com/office/drawing/2014/main" id="{00000000-0008-0000-1B00-00003E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LAC" textlink="">
      <xdr:nvSpPr>
        <xdr:cNvPr id="63" name="Right Arrow 62">
          <a:extLst>
            <a:ext uri="{FF2B5EF4-FFF2-40B4-BE49-F238E27FC236}">
              <a16:creationId xmlns:a16="http://schemas.microsoft.com/office/drawing/2014/main" id="{00000000-0008-0000-1B00-00003F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7</xdr:row>
      <xdr:rowOff>0</xdr:rowOff>
    </xdr:to>
    <xdr:sp macro="[0]!Adoption" textlink="">
      <xdr:nvSpPr>
        <xdr:cNvPr id="64" name="Right Arrow 50">
          <a:extLst>
            <a:ext uri="{FF2B5EF4-FFF2-40B4-BE49-F238E27FC236}">
              <a16:creationId xmlns:a16="http://schemas.microsoft.com/office/drawing/2014/main" id="{00000000-0008-0000-1B00-000040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22</xdr:col>
      <xdr:colOff>95250</xdr:colOff>
      <xdr:row>143</xdr:row>
      <xdr:rowOff>33750</xdr:rowOff>
    </xdr:from>
    <xdr:ext cx="252000" cy="252000"/>
    <xdr:sp macro="[0]!Newlac" textlink="">
      <xdr:nvSpPr>
        <xdr:cNvPr id="65" name="Down Arrow 44">
          <a:extLst>
            <a:ext uri="{FF2B5EF4-FFF2-40B4-BE49-F238E27FC236}">
              <a16:creationId xmlns:a16="http://schemas.microsoft.com/office/drawing/2014/main" id="{00000000-0008-0000-1B00-000041000000}"/>
            </a:ext>
          </a:extLst>
        </xdr:cNvPr>
        <xdr:cNvSpPr>
          <a:spLocks noChangeArrowheads="1"/>
        </xdr:cNvSpPr>
      </xdr:nvSpPr>
      <xdr:spPr bwMode="auto">
        <a:xfrm flipV="1">
          <a:off x="9377795" y="6493432"/>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22</xdr:col>
      <xdr:colOff>95250</xdr:colOff>
      <xdr:row>176</xdr:row>
      <xdr:rowOff>33750</xdr:rowOff>
    </xdr:from>
    <xdr:to>
      <xdr:col>22</xdr:col>
      <xdr:colOff>347250</xdr:colOff>
      <xdr:row>177</xdr:row>
      <xdr:rowOff>95250</xdr:rowOff>
    </xdr:to>
    <xdr:sp macro="[0]!Newlac" textlink="">
      <xdr:nvSpPr>
        <xdr:cNvPr id="66" name="Down Arrow 65">
          <a:extLst>
            <a:ext uri="{FF2B5EF4-FFF2-40B4-BE49-F238E27FC236}">
              <a16:creationId xmlns:a16="http://schemas.microsoft.com/office/drawing/2014/main" id="{00000000-0008-0000-1B00-000042000000}"/>
            </a:ext>
          </a:extLst>
        </xdr:cNvPr>
        <xdr:cNvSpPr/>
      </xdr:nvSpPr>
      <xdr:spPr>
        <a:xfrm flipV="1">
          <a:off x="9377795" y="13057023"/>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146</xdr:row>
      <xdr:rowOff>1</xdr:rowOff>
    </xdr:from>
    <xdr:to>
      <xdr:col>11</xdr:col>
      <xdr:colOff>1</xdr:colOff>
      <xdr:row>175</xdr:row>
      <xdr:rowOff>0</xdr:rowOff>
    </xdr:to>
    <xdr:graphicFrame macro="">
      <xdr:nvGraphicFramePr>
        <xdr:cNvPr id="68" name="Chart 13">
          <a:extLst>
            <a:ext uri="{FF2B5EF4-FFF2-40B4-BE49-F238E27FC236}">
              <a16:creationId xmlns:a16="http://schemas.microsoft.com/office/drawing/2014/main" id="{00000000-0008-0000-1B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xdr:colOff>
      <xdr:row>172</xdr:row>
      <xdr:rowOff>0</xdr:rowOff>
    </xdr:from>
    <xdr:to>
      <xdr:col>21</xdr:col>
      <xdr:colOff>1</xdr:colOff>
      <xdr:row>175</xdr:row>
      <xdr:rowOff>0</xdr:rowOff>
    </xdr:to>
    <xdr:graphicFrame macro="">
      <xdr:nvGraphicFramePr>
        <xdr:cNvPr id="70" name="Chart 13">
          <a:extLst>
            <a:ext uri="{FF2B5EF4-FFF2-40B4-BE49-F238E27FC236}">
              <a16:creationId xmlns:a16="http://schemas.microsoft.com/office/drawing/2014/main" id="{00000000-0008-0000-1B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208</xdr:row>
      <xdr:rowOff>0</xdr:rowOff>
    </xdr:from>
    <xdr:to>
      <xdr:col>8</xdr:col>
      <xdr:colOff>0</xdr:colOff>
      <xdr:row>211</xdr:row>
      <xdr:rowOff>0</xdr:rowOff>
    </xdr:to>
    <xdr:graphicFrame macro="">
      <xdr:nvGraphicFramePr>
        <xdr:cNvPr id="77" name="Chart 13">
          <a:extLst>
            <a:ext uri="{FF2B5EF4-FFF2-40B4-BE49-F238E27FC236}">
              <a16:creationId xmlns:a16="http://schemas.microsoft.com/office/drawing/2014/main" id="{00000000-0008-0000-1B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0</xdr:colOff>
      <xdr:row>179</xdr:row>
      <xdr:rowOff>95251</xdr:rowOff>
    </xdr:from>
    <xdr:to>
      <xdr:col>21</xdr:col>
      <xdr:colOff>0</xdr:colOff>
      <xdr:row>211</xdr:row>
      <xdr:rowOff>0</xdr:rowOff>
    </xdr:to>
    <xdr:graphicFrame macro="">
      <xdr:nvGraphicFramePr>
        <xdr:cNvPr id="78" name="Chart 13">
          <a:extLst>
            <a:ext uri="{FF2B5EF4-FFF2-40B4-BE49-F238E27FC236}">
              <a16:creationId xmlns:a16="http://schemas.microsoft.com/office/drawing/2014/main" id="{00000000-0008-0000-1B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0</xdr:colOff>
      <xdr:row>39</xdr:row>
      <xdr:rowOff>0</xdr:rowOff>
    </xdr:from>
    <xdr:to>
      <xdr:col>21</xdr:col>
      <xdr:colOff>0</xdr:colOff>
      <xdr:row>63</xdr:row>
      <xdr:rowOff>0</xdr:rowOff>
    </xdr:to>
    <xdr:graphicFrame macro="">
      <xdr:nvGraphicFramePr>
        <xdr:cNvPr id="58" name="Chart 176">
          <a:extLst>
            <a:ext uri="{FF2B5EF4-FFF2-40B4-BE49-F238E27FC236}">
              <a16:creationId xmlns:a16="http://schemas.microsoft.com/office/drawing/2014/main" id="{00000000-0008-0000-1B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59" name="Oval 2165">
          <a:extLst>
            <a:ext uri="{FF2B5EF4-FFF2-40B4-BE49-F238E27FC236}">
              <a16:creationId xmlns:a16="http://schemas.microsoft.com/office/drawing/2014/main" id="{00000000-0008-0000-1B00-00003B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60" name="Line 283">
          <a:extLst>
            <a:ext uri="{FF2B5EF4-FFF2-40B4-BE49-F238E27FC236}">
              <a16:creationId xmlns:a16="http://schemas.microsoft.com/office/drawing/2014/main" id="{00000000-0008-0000-1B00-00003C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74" name="Oval 2164">
          <a:extLst>
            <a:ext uri="{FF2B5EF4-FFF2-40B4-BE49-F238E27FC236}">
              <a16:creationId xmlns:a16="http://schemas.microsoft.com/office/drawing/2014/main" id="{00000000-0008-0000-1B00-00004A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75" name="Line 283">
          <a:extLst>
            <a:ext uri="{FF2B5EF4-FFF2-40B4-BE49-F238E27FC236}">
              <a16:creationId xmlns:a16="http://schemas.microsoft.com/office/drawing/2014/main" id="{00000000-0008-0000-1B00-00004B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180975</xdr:colOff>
      <xdr:row>171</xdr:row>
      <xdr:rowOff>47625</xdr:rowOff>
    </xdr:from>
    <xdr:to>
      <xdr:col>11</xdr:col>
      <xdr:colOff>257175</xdr:colOff>
      <xdr:row>171</xdr:row>
      <xdr:rowOff>123825</xdr:rowOff>
    </xdr:to>
    <xdr:sp macro="" textlink="">
      <xdr:nvSpPr>
        <xdr:cNvPr id="79" name="Oval 2165">
          <a:extLst>
            <a:ext uri="{FF2B5EF4-FFF2-40B4-BE49-F238E27FC236}">
              <a16:creationId xmlns:a16="http://schemas.microsoft.com/office/drawing/2014/main" id="{00000000-0008-0000-1B00-00004F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170</xdr:row>
      <xdr:rowOff>85725</xdr:rowOff>
    </xdr:from>
    <xdr:to>
      <xdr:col>11</xdr:col>
      <xdr:colOff>417150</xdr:colOff>
      <xdr:row>170</xdr:row>
      <xdr:rowOff>85725</xdr:rowOff>
    </xdr:to>
    <xdr:sp macro="" textlink="">
      <xdr:nvSpPr>
        <xdr:cNvPr id="80" name="Line 283">
          <a:extLst>
            <a:ext uri="{FF2B5EF4-FFF2-40B4-BE49-F238E27FC236}">
              <a16:creationId xmlns:a16="http://schemas.microsoft.com/office/drawing/2014/main" id="{00000000-0008-0000-1B00-000050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170</xdr:row>
      <xdr:rowOff>47625</xdr:rowOff>
    </xdr:from>
    <xdr:to>
      <xdr:col>16</xdr:col>
      <xdr:colOff>304800</xdr:colOff>
      <xdr:row>170</xdr:row>
      <xdr:rowOff>123825</xdr:rowOff>
    </xdr:to>
    <xdr:sp macro="" textlink="">
      <xdr:nvSpPr>
        <xdr:cNvPr id="81" name="Oval 2164">
          <a:extLst>
            <a:ext uri="{FF2B5EF4-FFF2-40B4-BE49-F238E27FC236}">
              <a16:creationId xmlns:a16="http://schemas.microsoft.com/office/drawing/2014/main" id="{00000000-0008-0000-1B00-000051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171</xdr:row>
      <xdr:rowOff>85724</xdr:rowOff>
    </xdr:from>
    <xdr:to>
      <xdr:col>16</xdr:col>
      <xdr:colOff>426675</xdr:colOff>
      <xdr:row>171</xdr:row>
      <xdr:rowOff>85724</xdr:rowOff>
    </xdr:to>
    <xdr:sp macro="" textlink="">
      <xdr:nvSpPr>
        <xdr:cNvPr id="82" name="Line 283">
          <a:extLst>
            <a:ext uri="{FF2B5EF4-FFF2-40B4-BE49-F238E27FC236}">
              <a16:creationId xmlns:a16="http://schemas.microsoft.com/office/drawing/2014/main" id="{00000000-0008-0000-1B00-000052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146</xdr:row>
      <xdr:rowOff>0</xdr:rowOff>
    </xdr:from>
    <xdr:to>
      <xdr:col>21</xdr:col>
      <xdr:colOff>0</xdr:colOff>
      <xdr:row>170</xdr:row>
      <xdr:rowOff>0</xdr:rowOff>
    </xdr:to>
    <xdr:graphicFrame macro="">
      <xdr:nvGraphicFramePr>
        <xdr:cNvPr id="83" name="Chart 176">
          <a:extLst>
            <a:ext uri="{FF2B5EF4-FFF2-40B4-BE49-F238E27FC236}">
              <a16:creationId xmlns:a16="http://schemas.microsoft.com/office/drawing/2014/main" id="{00000000-0008-0000-1B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22</xdr:col>
      <xdr:colOff>95250</xdr:colOff>
      <xdr:row>286</xdr:row>
      <xdr:rowOff>33750</xdr:rowOff>
    </xdr:from>
    <xdr:ext cx="252000" cy="252000"/>
    <xdr:sp macro="[0]!Newlac" textlink="">
      <xdr:nvSpPr>
        <xdr:cNvPr id="61" name="Down Arrow 44">
          <a:extLst>
            <a:ext uri="{FF2B5EF4-FFF2-40B4-BE49-F238E27FC236}">
              <a16:creationId xmlns:a16="http://schemas.microsoft.com/office/drawing/2014/main" id="{00000000-0008-0000-1B00-00003D000000}"/>
            </a:ext>
          </a:extLst>
        </xdr:cNvPr>
        <xdr:cNvSpPr>
          <a:spLocks noChangeArrowheads="1"/>
        </xdr:cNvSpPr>
      </xdr:nvSpPr>
      <xdr:spPr bwMode="auto">
        <a:xfrm flipV="1">
          <a:off x="9286875"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22</xdr:col>
      <xdr:colOff>95250</xdr:colOff>
      <xdr:row>319</xdr:row>
      <xdr:rowOff>33750</xdr:rowOff>
    </xdr:from>
    <xdr:to>
      <xdr:col>22</xdr:col>
      <xdr:colOff>347250</xdr:colOff>
      <xdr:row>320</xdr:row>
      <xdr:rowOff>95250</xdr:rowOff>
    </xdr:to>
    <xdr:sp macro="[0]!Newlac" textlink="">
      <xdr:nvSpPr>
        <xdr:cNvPr id="67" name="Down Arrow 66">
          <a:extLst>
            <a:ext uri="{FF2B5EF4-FFF2-40B4-BE49-F238E27FC236}">
              <a16:creationId xmlns:a16="http://schemas.microsoft.com/office/drawing/2014/main" id="{00000000-0008-0000-1B00-000043000000}"/>
            </a:ext>
          </a:extLst>
        </xdr:cNvPr>
        <xdr:cNvSpPr/>
      </xdr:nvSpPr>
      <xdr:spPr>
        <a:xfrm flipV="1">
          <a:off x="9286875" y="401625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289</xdr:row>
      <xdr:rowOff>1</xdr:rowOff>
    </xdr:from>
    <xdr:to>
      <xdr:col>11</xdr:col>
      <xdr:colOff>1</xdr:colOff>
      <xdr:row>318</xdr:row>
      <xdr:rowOff>0</xdr:rowOff>
    </xdr:to>
    <xdr:graphicFrame macro="">
      <xdr:nvGraphicFramePr>
        <xdr:cNvPr id="69" name="Chart 13">
          <a:extLst>
            <a:ext uri="{FF2B5EF4-FFF2-40B4-BE49-F238E27FC236}">
              <a16:creationId xmlns:a16="http://schemas.microsoft.com/office/drawing/2014/main" id="{00000000-0008-0000-1B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xdr:colOff>
      <xdr:row>315</xdr:row>
      <xdr:rowOff>0</xdr:rowOff>
    </xdr:from>
    <xdr:to>
      <xdr:col>21</xdr:col>
      <xdr:colOff>1</xdr:colOff>
      <xdr:row>318</xdr:row>
      <xdr:rowOff>0</xdr:rowOff>
    </xdr:to>
    <xdr:graphicFrame macro="">
      <xdr:nvGraphicFramePr>
        <xdr:cNvPr id="71" name="Chart 13">
          <a:extLst>
            <a:ext uri="{FF2B5EF4-FFF2-40B4-BE49-F238E27FC236}">
              <a16:creationId xmlns:a16="http://schemas.microsoft.com/office/drawing/2014/main" id="{00000000-0008-0000-1B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180975</xdr:colOff>
      <xdr:row>314</xdr:row>
      <xdr:rowOff>47625</xdr:rowOff>
    </xdr:from>
    <xdr:to>
      <xdr:col>11</xdr:col>
      <xdr:colOff>257175</xdr:colOff>
      <xdr:row>314</xdr:row>
      <xdr:rowOff>123825</xdr:rowOff>
    </xdr:to>
    <xdr:sp macro="" textlink="">
      <xdr:nvSpPr>
        <xdr:cNvPr id="72" name="Oval 2165">
          <a:extLst>
            <a:ext uri="{FF2B5EF4-FFF2-40B4-BE49-F238E27FC236}">
              <a16:creationId xmlns:a16="http://schemas.microsoft.com/office/drawing/2014/main" id="{00000000-0008-0000-1B00-000048000000}"/>
            </a:ext>
          </a:extLst>
        </xdr:cNvPr>
        <xdr:cNvSpPr>
          <a:spLocks noChangeArrowheads="1"/>
        </xdr:cNvSpPr>
      </xdr:nvSpPr>
      <xdr:spPr bwMode="auto">
        <a:xfrm>
          <a:off x="4895850" y="383095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313</xdr:row>
      <xdr:rowOff>85725</xdr:rowOff>
    </xdr:from>
    <xdr:to>
      <xdr:col>11</xdr:col>
      <xdr:colOff>417150</xdr:colOff>
      <xdr:row>313</xdr:row>
      <xdr:rowOff>85725</xdr:rowOff>
    </xdr:to>
    <xdr:sp macro="" textlink="">
      <xdr:nvSpPr>
        <xdr:cNvPr id="73" name="Line 283">
          <a:extLst>
            <a:ext uri="{FF2B5EF4-FFF2-40B4-BE49-F238E27FC236}">
              <a16:creationId xmlns:a16="http://schemas.microsoft.com/office/drawing/2014/main" id="{00000000-0008-0000-1B00-000049000000}"/>
            </a:ext>
          </a:extLst>
        </xdr:cNvPr>
        <xdr:cNvSpPr>
          <a:spLocks noChangeShapeType="1"/>
        </xdr:cNvSpPr>
      </xdr:nvSpPr>
      <xdr:spPr bwMode="auto">
        <a:xfrm>
          <a:off x="4772025" y="381762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313</xdr:row>
      <xdr:rowOff>47625</xdr:rowOff>
    </xdr:from>
    <xdr:to>
      <xdr:col>16</xdr:col>
      <xdr:colOff>304800</xdr:colOff>
      <xdr:row>313</xdr:row>
      <xdr:rowOff>123825</xdr:rowOff>
    </xdr:to>
    <xdr:sp macro="" textlink="">
      <xdr:nvSpPr>
        <xdr:cNvPr id="84" name="Oval 2164">
          <a:extLst>
            <a:ext uri="{FF2B5EF4-FFF2-40B4-BE49-F238E27FC236}">
              <a16:creationId xmlns:a16="http://schemas.microsoft.com/office/drawing/2014/main" id="{00000000-0008-0000-1B00-000054000000}"/>
            </a:ext>
          </a:extLst>
        </xdr:cNvPr>
        <xdr:cNvSpPr>
          <a:spLocks noChangeArrowheads="1"/>
        </xdr:cNvSpPr>
      </xdr:nvSpPr>
      <xdr:spPr bwMode="auto">
        <a:xfrm>
          <a:off x="7248525" y="381381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314</xdr:row>
      <xdr:rowOff>85724</xdr:rowOff>
    </xdr:from>
    <xdr:to>
      <xdr:col>16</xdr:col>
      <xdr:colOff>426675</xdr:colOff>
      <xdr:row>314</xdr:row>
      <xdr:rowOff>85724</xdr:rowOff>
    </xdr:to>
    <xdr:sp macro="" textlink="">
      <xdr:nvSpPr>
        <xdr:cNvPr id="85" name="Line 283">
          <a:extLst>
            <a:ext uri="{FF2B5EF4-FFF2-40B4-BE49-F238E27FC236}">
              <a16:creationId xmlns:a16="http://schemas.microsoft.com/office/drawing/2014/main" id="{00000000-0008-0000-1B00-000055000000}"/>
            </a:ext>
          </a:extLst>
        </xdr:cNvPr>
        <xdr:cNvSpPr>
          <a:spLocks noChangeShapeType="1"/>
        </xdr:cNvSpPr>
      </xdr:nvSpPr>
      <xdr:spPr bwMode="auto">
        <a:xfrm>
          <a:off x="7086600" y="383476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289</xdr:row>
      <xdr:rowOff>0</xdr:rowOff>
    </xdr:from>
    <xdr:to>
      <xdr:col>21</xdr:col>
      <xdr:colOff>0</xdr:colOff>
      <xdr:row>313</xdr:row>
      <xdr:rowOff>0</xdr:rowOff>
    </xdr:to>
    <xdr:graphicFrame macro="">
      <xdr:nvGraphicFramePr>
        <xdr:cNvPr id="86" name="Chart 176">
          <a:extLst>
            <a:ext uri="{FF2B5EF4-FFF2-40B4-BE49-F238E27FC236}">
              <a16:creationId xmlns:a16="http://schemas.microsoft.com/office/drawing/2014/main" id="{00000000-0008-0000-1B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409573</xdr:colOff>
      <xdr:row>107</xdr:row>
      <xdr:rowOff>85725</xdr:rowOff>
    </xdr:from>
    <xdr:to>
      <xdr:col>21</xdr:col>
      <xdr:colOff>64498</xdr:colOff>
      <xdr:row>109</xdr:row>
      <xdr:rowOff>149475</xdr:rowOff>
    </xdr:to>
    <xdr:sp macro="" textlink="">
      <xdr:nvSpPr>
        <xdr:cNvPr id="87" name="AutoShape 32">
          <a:extLst>
            <a:ext uri="{FF2B5EF4-FFF2-40B4-BE49-F238E27FC236}">
              <a16:creationId xmlns:a16="http://schemas.microsoft.com/office/drawing/2014/main" id="{00000000-0008-0000-1B00-000057000000}"/>
            </a:ext>
          </a:extLst>
        </xdr:cNvPr>
        <xdr:cNvSpPr>
          <a:spLocks noChangeArrowheads="1"/>
        </xdr:cNvSpPr>
      </xdr:nvSpPr>
      <xdr:spPr bwMode="auto">
        <a:xfrm>
          <a:off x="6953248" y="26822400"/>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15</xdr:col>
      <xdr:colOff>419098</xdr:colOff>
      <xdr:row>250</xdr:row>
      <xdr:rowOff>85725</xdr:rowOff>
    </xdr:from>
    <xdr:to>
      <xdr:col>21</xdr:col>
      <xdr:colOff>64498</xdr:colOff>
      <xdr:row>252</xdr:row>
      <xdr:rowOff>149475</xdr:rowOff>
    </xdr:to>
    <xdr:sp macro="" textlink="">
      <xdr:nvSpPr>
        <xdr:cNvPr id="89" name="AutoShape 32">
          <a:extLst>
            <a:ext uri="{FF2B5EF4-FFF2-40B4-BE49-F238E27FC236}">
              <a16:creationId xmlns:a16="http://schemas.microsoft.com/office/drawing/2014/main" id="{00000000-0008-0000-1B00-000059000000}"/>
            </a:ext>
          </a:extLst>
        </xdr:cNvPr>
        <xdr:cNvSpPr>
          <a:spLocks noChangeArrowheads="1"/>
        </xdr:cNvSpPr>
      </xdr:nvSpPr>
      <xdr:spPr bwMode="auto">
        <a:xfrm>
          <a:off x="6962773" y="472916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xdr:col>
      <xdr:colOff>0</xdr:colOff>
      <xdr:row>244</xdr:row>
      <xdr:rowOff>0</xdr:rowOff>
    </xdr:from>
    <xdr:to>
      <xdr:col>8</xdr:col>
      <xdr:colOff>0</xdr:colOff>
      <xdr:row>247</xdr:row>
      <xdr:rowOff>0</xdr:rowOff>
    </xdr:to>
    <xdr:graphicFrame macro="">
      <xdr:nvGraphicFramePr>
        <xdr:cNvPr id="88" name="Chart 13">
          <a:extLst>
            <a:ext uri="{FF2B5EF4-FFF2-40B4-BE49-F238E27FC236}">
              <a16:creationId xmlns:a16="http://schemas.microsoft.com/office/drawing/2014/main" id="{00000000-0008-0000-1B00-00005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9</xdr:col>
      <xdr:colOff>0</xdr:colOff>
      <xdr:row>215</xdr:row>
      <xdr:rowOff>95251</xdr:rowOff>
    </xdr:from>
    <xdr:to>
      <xdr:col>21</xdr:col>
      <xdr:colOff>0</xdr:colOff>
      <xdr:row>247</xdr:row>
      <xdr:rowOff>0</xdr:rowOff>
    </xdr:to>
    <xdr:graphicFrame macro="">
      <xdr:nvGraphicFramePr>
        <xdr:cNvPr id="90" name="Chart 13">
          <a:extLst>
            <a:ext uri="{FF2B5EF4-FFF2-40B4-BE49-F238E27FC236}">
              <a16:creationId xmlns:a16="http://schemas.microsoft.com/office/drawing/2014/main" id="{00000000-0008-0000-1B00-00005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21</xdr:col>
      <xdr:colOff>95250</xdr:colOff>
      <xdr:row>37</xdr:row>
      <xdr:rowOff>33750</xdr:rowOff>
    </xdr:from>
    <xdr:to>
      <xdr:col>21</xdr:col>
      <xdr:colOff>350425</xdr:colOff>
      <xdr:row>38</xdr:row>
      <xdr:rowOff>95250</xdr:rowOff>
    </xdr:to>
    <xdr:sp macro="[0]!Adoption" textlink="">
      <xdr:nvSpPr>
        <xdr:cNvPr id="2" name="Down Arrow 44">
          <a:extLst>
            <a:ext uri="{FF2B5EF4-FFF2-40B4-BE49-F238E27FC236}">
              <a16:creationId xmlns:a16="http://schemas.microsoft.com/office/drawing/2014/main" id="{00000000-0008-0000-1C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70</xdr:row>
      <xdr:rowOff>33750</xdr:rowOff>
    </xdr:from>
    <xdr:to>
      <xdr:col>21</xdr:col>
      <xdr:colOff>347250</xdr:colOff>
      <xdr:row>71</xdr:row>
      <xdr:rowOff>95250</xdr:rowOff>
    </xdr:to>
    <xdr:sp macro="[0]!Adoption" textlink="">
      <xdr:nvSpPr>
        <xdr:cNvPr id="3" name="Down Arrow 2">
          <a:extLst>
            <a:ext uri="{FF2B5EF4-FFF2-40B4-BE49-F238E27FC236}">
              <a16:creationId xmlns:a16="http://schemas.microsoft.com/office/drawing/2014/main" id="{00000000-0008-0000-1C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40</xdr:row>
      <xdr:rowOff>1</xdr:rowOff>
    </xdr:from>
    <xdr:to>
      <xdr:col>11</xdr:col>
      <xdr:colOff>0</xdr:colOff>
      <xdr:row>69</xdr:row>
      <xdr:rowOff>0</xdr:rowOff>
    </xdr:to>
    <xdr:graphicFrame macro="">
      <xdr:nvGraphicFramePr>
        <xdr:cNvPr id="6" name="Chart 13">
          <a:extLst>
            <a:ext uri="{FF2B5EF4-FFF2-40B4-BE49-F238E27FC236}">
              <a16:creationId xmlns:a16="http://schemas.microsoft.com/office/drawing/2014/main" id="{00000000-0008-0000-1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65</xdr:row>
      <xdr:rowOff>47625</xdr:rowOff>
    </xdr:from>
    <xdr:to>
      <xdr:col>11</xdr:col>
      <xdr:colOff>295275</xdr:colOff>
      <xdr:row>65</xdr:row>
      <xdr:rowOff>123825</xdr:rowOff>
    </xdr:to>
    <xdr:sp macro="" textlink="">
      <xdr:nvSpPr>
        <xdr:cNvPr id="7" name="Oval 2165">
          <a:extLst>
            <a:ext uri="{FF2B5EF4-FFF2-40B4-BE49-F238E27FC236}">
              <a16:creationId xmlns:a16="http://schemas.microsoft.com/office/drawing/2014/main" id="{00000000-0008-0000-1C00-000007000000}"/>
            </a:ext>
          </a:extLst>
        </xdr:cNvPr>
        <xdr:cNvSpPr>
          <a:spLocks noChangeArrowheads="1"/>
        </xdr:cNvSpPr>
      </xdr:nvSpPr>
      <xdr:spPr bwMode="auto">
        <a:xfrm>
          <a:off x="5095875" y="11325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editAs="absolute">
    <xdr:from>
      <xdr:col>15</xdr:col>
      <xdr:colOff>22222</xdr:colOff>
      <xdr:row>0</xdr:row>
      <xdr:rowOff>82550</xdr:rowOff>
    </xdr:from>
    <xdr:to>
      <xdr:col>20</xdr:col>
      <xdr:colOff>64497</xdr:colOff>
      <xdr:row>2</xdr:row>
      <xdr:rowOff>149475</xdr:rowOff>
    </xdr:to>
    <xdr:sp macro="" textlink="">
      <xdr:nvSpPr>
        <xdr:cNvPr id="8" name="AutoShape 32">
          <a:extLst>
            <a:ext uri="{FF2B5EF4-FFF2-40B4-BE49-F238E27FC236}">
              <a16:creationId xmlns:a16="http://schemas.microsoft.com/office/drawing/2014/main" id="{00000000-0008-0000-1C00-000008000000}"/>
            </a:ext>
          </a:extLst>
        </xdr:cNvPr>
        <xdr:cNvSpPr>
          <a:spLocks noChangeArrowheads="1"/>
        </xdr:cNvSpPr>
      </xdr:nvSpPr>
      <xdr:spPr bwMode="auto">
        <a:xfrm>
          <a:off x="6946897"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66</xdr:row>
      <xdr:rowOff>0</xdr:rowOff>
    </xdr:from>
    <xdr:to>
      <xdr:col>20</xdr:col>
      <xdr:colOff>1</xdr:colOff>
      <xdr:row>69</xdr:row>
      <xdr:rowOff>0</xdr:rowOff>
    </xdr:to>
    <xdr:graphicFrame macro="">
      <xdr:nvGraphicFramePr>
        <xdr:cNvPr id="9" name="Chart 13">
          <a:extLst>
            <a:ext uri="{FF2B5EF4-FFF2-40B4-BE49-F238E27FC236}">
              <a16:creationId xmlns:a16="http://schemas.microsoft.com/office/drawing/2014/main" id="{00000000-0008-0000-1C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40</xdr:row>
          <xdr:rowOff>38100</xdr:rowOff>
        </xdr:from>
        <xdr:to>
          <xdr:col>39</xdr:col>
          <xdr:colOff>66675</xdr:colOff>
          <xdr:row>42</xdr:row>
          <xdr:rowOff>19050</xdr:rowOff>
        </xdr:to>
        <xdr:sp macro="" textlink="">
          <xdr:nvSpPr>
            <xdr:cNvPr id="108545" name="Check Box 1" hidden="1">
              <a:extLst>
                <a:ext uri="{63B3BB69-23CF-44E3-9099-C40C66FF867C}">
                  <a14:compatExt spid="_x0000_s108545"/>
                </a:ext>
                <a:ext uri="{FF2B5EF4-FFF2-40B4-BE49-F238E27FC236}">
                  <a16:creationId xmlns:a16="http://schemas.microsoft.com/office/drawing/2014/main" id="{00000000-0008-0000-1C00-00000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41</xdr:row>
          <xdr:rowOff>161925</xdr:rowOff>
        </xdr:from>
        <xdr:to>
          <xdr:col>39</xdr:col>
          <xdr:colOff>66675</xdr:colOff>
          <xdr:row>43</xdr:row>
          <xdr:rowOff>19050</xdr:rowOff>
        </xdr:to>
        <xdr:sp macro="" textlink="">
          <xdr:nvSpPr>
            <xdr:cNvPr id="108546" name="Check Box 2" hidden="1">
              <a:extLst>
                <a:ext uri="{63B3BB69-23CF-44E3-9099-C40C66FF867C}">
                  <a14:compatExt spid="_x0000_s108546"/>
                </a:ext>
                <a:ext uri="{FF2B5EF4-FFF2-40B4-BE49-F238E27FC236}">
                  <a16:creationId xmlns:a16="http://schemas.microsoft.com/office/drawing/2014/main" id="{00000000-0008-0000-1C00-00000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42</xdr:row>
          <xdr:rowOff>161925</xdr:rowOff>
        </xdr:from>
        <xdr:to>
          <xdr:col>39</xdr:col>
          <xdr:colOff>66675</xdr:colOff>
          <xdr:row>44</xdr:row>
          <xdr:rowOff>19050</xdr:rowOff>
        </xdr:to>
        <xdr:sp macro="" textlink="">
          <xdr:nvSpPr>
            <xdr:cNvPr id="108547" name="Check Box 3" hidden="1">
              <a:extLst>
                <a:ext uri="{63B3BB69-23CF-44E3-9099-C40C66FF867C}">
                  <a14:compatExt spid="_x0000_s108547"/>
                </a:ext>
                <a:ext uri="{FF2B5EF4-FFF2-40B4-BE49-F238E27FC236}">
                  <a16:creationId xmlns:a16="http://schemas.microsoft.com/office/drawing/2014/main" id="{00000000-0008-0000-1C00-00000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43</xdr:row>
          <xdr:rowOff>161925</xdr:rowOff>
        </xdr:from>
        <xdr:to>
          <xdr:col>39</xdr:col>
          <xdr:colOff>66675</xdr:colOff>
          <xdr:row>45</xdr:row>
          <xdr:rowOff>19050</xdr:rowOff>
        </xdr:to>
        <xdr:sp macro="" textlink="">
          <xdr:nvSpPr>
            <xdr:cNvPr id="108548" name="Check Box 4" hidden="1">
              <a:extLst>
                <a:ext uri="{63B3BB69-23CF-44E3-9099-C40C66FF867C}">
                  <a14:compatExt spid="_x0000_s108548"/>
                </a:ext>
                <a:ext uri="{FF2B5EF4-FFF2-40B4-BE49-F238E27FC236}">
                  <a16:creationId xmlns:a16="http://schemas.microsoft.com/office/drawing/2014/main" id="{00000000-0008-0000-1C00-00000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44</xdr:row>
          <xdr:rowOff>161925</xdr:rowOff>
        </xdr:from>
        <xdr:to>
          <xdr:col>39</xdr:col>
          <xdr:colOff>66675</xdr:colOff>
          <xdr:row>46</xdr:row>
          <xdr:rowOff>19050</xdr:rowOff>
        </xdr:to>
        <xdr:sp macro="" textlink="">
          <xdr:nvSpPr>
            <xdr:cNvPr id="108549" name="Check Box 5" hidden="1">
              <a:extLst>
                <a:ext uri="{63B3BB69-23CF-44E3-9099-C40C66FF867C}">
                  <a14:compatExt spid="_x0000_s108549"/>
                </a:ext>
                <a:ext uri="{FF2B5EF4-FFF2-40B4-BE49-F238E27FC236}">
                  <a16:creationId xmlns:a16="http://schemas.microsoft.com/office/drawing/2014/main" id="{00000000-0008-0000-1C00-00000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45</xdr:row>
          <xdr:rowOff>161925</xdr:rowOff>
        </xdr:from>
        <xdr:to>
          <xdr:col>39</xdr:col>
          <xdr:colOff>66675</xdr:colOff>
          <xdr:row>47</xdr:row>
          <xdr:rowOff>19050</xdr:rowOff>
        </xdr:to>
        <xdr:sp macro="" textlink="">
          <xdr:nvSpPr>
            <xdr:cNvPr id="108550" name="Check Box 6" hidden="1">
              <a:extLst>
                <a:ext uri="{63B3BB69-23CF-44E3-9099-C40C66FF867C}">
                  <a14:compatExt spid="_x0000_s108550"/>
                </a:ext>
                <a:ext uri="{FF2B5EF4-FFF2-40B4-BE49-F238E27FC236}">
                  <a16:creationId xmlns:a16="http://schemas.microsoft.com/office/drawing/2014/main" id="{00000000-0008-0000-1C00-000006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46</xdr:row>
          <xdr:rowOff>161925</xdr:rowOff>
        </xdr:from>
        <xdr:to>
          <xdr:col>39</xdr:col>
          <xdr:colOff>66675</xdr:colOff>
          <xdr:row>48</xdr:row>
          <xdr:rowOff>19050</xdr:rowOff>
        </xdr:to>
        <xdr:sp macro="" textlink="">
          <xdr:nvSpPr>
            <xdr:cNvPr id="108551" name="Check Box 7" hidden="1">
              <a:extLst>
                <a:ext uri="{63B3BB69-23CF-44E3-9099-C40C66FF867C}">
                  <a14:compatExt spid="_x0000_s108551"/>
                </a:ext>
                <a:ext uri="{FF2B5EF4-FFF2-40B4-BE49-F238E27FC236}">
                  <a16:creationId xmlns:a16="http://schemas.microsoft.com/office/drawing/2014/main" id="{00000000-0008-0000-1C00-000007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47</xdr:row>
          <xdr:rowOff>161925</xdr:rowOff>
        </xdr:from>
        <xdr:to>
          <xdr:col>39</xdr:col>
          <xdr:colOff>66675</xdr:colOff>
          <xdr:row>49</xdr:row>
          <xdr:rowOff>19050</xdr:rowOff>
        </xdr:to>
        <xdr:sp macro="" textlink="">
          <xdr:nvSpPr>
            <xdr:cNvPr id="108552" name="Check Box 8" hidden="1">
              <a:extLst>
                <a:ext uri="{63B3BB69-23CF-44E3-9099-C40C66FF867C}">
                  <a14:compatExt spid="_x0000_s108552"/>
                </a:ext>
                <a:ext uri="{FF2B5EF4-FFF2-40B4-BE49-F238E27FC236}">
                  <a16:creationId xmlns:a16="http://schemas.microsoft.com/office/drawing/2014/main" id="{00000000-0008-0000-1C00-000008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48</xdr:row>
          <xdr:rowOff>161925</xdr:rowOff>
        </xdr:from>
        <xdr:to>
          <xdr:col>39</xdr:col>
          <xdr:colOff>66675</xdr:colOff>
          <xdr:row>50</xdr:row>
          <xdr:rowOff>19050</xdr:rowOff>
        </xdr:to>
        <xdr:sp macro="" textlink="">
          <xdr:nvSpPr>
            <xdr:cNvPr id="108553" name="Check Box 9" hidden="1">
              <a:extLst>
                <a:ext uri="{63B3BB69-23CF-44E3-9099-C40C66FF867C}">
                  <a14:compatExt spid="_x0000_s108553"/>
                </a:ext>
                <a:ext uri="{FF2B5EF4-FFF2-40B4-BE49-F238E27FC236}">
                  <a16:creationId xmlns:a16="http://schemas.microsoft.com/office/drawing/2014/main" id="{00000000-0008-0000-1C00-000009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49</xdr:row>
          <xdr:rowOff>161925</xdr:rowOff>
        </xdr:from>
        <xdr:to>
          <xdr:col>39</xdr:col>
          <xdr:colOff>66675</xdr:colOff>
          <xdr:row>51</xdr:row>
          <xdr:rowOff>19050</xdr:rowOff>
        </xdr:to>
        <xdr:sp macro="" textlink="">
          <xdr:nvSpPr>
            <xdr:cNvPr id="108554" name="Check Box 10" hidden="1">
              <a:extLst>
                <a:ext uri="{63B3BB69-23CF-44E3-9099-C40C66FF867C}">
                  <a14:compatExt spid="_x0000_s108554"/>
                </a:ext>
                <a:ext uri="{FF2B5EF4-FFF2-40B4-BE49-F238E27FC236}">
                  <a16:creationId xmlns:a16="http://schemas.microsoft.com/office/drawing/2014/main" id="{00000000-0008-0000-1C00-00000A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50</xdr:row>
          <xdr:rowOff>161925</xdr:rowOff>
        </xdr:from>
        <xdr:to>
          <xdr:col>39</xdr:col>
          <xdr:colOff>66675</xdr:colOff>
          <xdr:row>52</xdr:row>
          <xdr:rowOff>19050</xdr:rowOff>
        </xdr:to>
        <xdr:sp macro="" textlink="">
          <xdr:nvSpPr>
            <xdr:cNvPr id="108555" name="Check Box 11" hidden="1">
              <a:extLst>
                <a:ext uri="{63B3BB69-23CF-44E3-9099-C40C66FF867C}">
                  <a14:compatExt spid="_x0000_s108555"/>
                </a:ext>
                <a:ext uri="{FF2B5EF4-FFF2-40B4-BE49-F238E27FC236}">
                  <a16:creationId xmlns:a16="http://schemas.microsoft.com/office/drawing/2014/main" id="{00000000-0008-0000-1C00-00000B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51</xdr:row>
          <xdr:rowOff>161925</xdr:rowOff>
        </xdr:from>
        <xdr:to>
          <xdr:col>39</xdr:col>
          <xdr:colOff>66675</xdr:colOff>
          <xdr:row>53</xdr:row>
          <xdr:rowOff>19050</xdr:rowOff>
        </xdr:to>
        <xdr:sp macro="" textlink="">
          <xdr:nvSpPr>
            <xdr:cNvPr id="108556" name="Check Box 12" hidden="1">
              <a:extLst>
                <a:ext uri="{63B3BB69-23CF-44E3-9099-C40C66FF867C}">
                  <a14:compatExt spid="_x0000_s108556"/>
                </a:ext>
                <a:ext uri="{FF2B5EF4-FFF2-40B4-BE49-F238E27FC236}">
                  <a16:creationId xmlns:a16="http://schemas.microsoft.com/office/drawing/2014/main" id="{00000000-0008-0000-1C00-00000C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52</xdr:row>
          <xdr:rowOff>161925</xdr:rowOff>
        </xdr:from>
        <xdr:to>
          <xdr:col>39</xdr:col>
          <xdr:colOff>66675</xdr:colOff>
          <xdr:row>54</xdr:row>
          <xdr:rowOff>19050</xdr:rowOff>
        </xdr:to>
        <xdr:sp macro="" textlink="">
          <xdr:nvSpPr>
            <xdr:cNvPr id="108557" name="Check Box 13" hidden="1">
              <a:extLst>
                <a:ext uri="{63B3BB69-23CF-44E3-9099-C40C66FF867C}">
                  <a14:compatExt spid="_x0000_s108557"/>
                </a:ext>
                <a:ext uri="{FF2B5EF4-FFF2-40B4-BE49-F238E27FC236}">
                  <a16:creationId xmlns:a16="http://schemas.microsoft.com/office/drawing/2014/main" id="{00000000-0008-0000-1C00-00000D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53</xdr:row>
          <xdr:rowOff>161925</xdr:rowOff>
        </xdr:from>
        <xdr:to>
          <xdr:col>39</xdr:col>
          <xdr:colOff>66675</xdr:colOff>
          <xdr:row>55</xdr:row>
          <xdr:rowOff>19050</xdr:rowOff>
        </xdr:to>
        <xdr:sp macro="" textlink="">
          <xdr:nvSpPr>
            <xdr:cNvPr id="108558" name="Check Box 14" hidden="1">
              <a:extLst>
                <a:ext uri="{63B3BB69-23CF-44E3-9099-C40C66FF867C}">
                  <a14:compatExt spid="_x0000_s108558"/>
                </a:ext>
                <a:ext uri="{FF2B5EF4-FFF2-40B4-BE49-F238E27FC236}">
                  <a16:creationId xmlns:a16="http://schemas.microsoft.com/office/drawing/2014/main" id="{00000000-0008-0000-1C00-00000E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54</xdr:row>
          <xdr:rowOff>161925</xdr:rowOff>
        </xdr:from>
        <xdr:to>
          <xdr:col>39</xdr:col>
          <xdr:colOff>66675</xdr:colOff>
          <xdr:row>56</xdr:row>
          <xdr:rowOff>19050</xdr:rowOff>
        </xdr:to>
        <xdr:sp macro="" textlink="">
          <xdr:nvSpPr>
            <xdr:cNvPr id="108559" name="Check Box 15" hidden="1">
              <a:extLst>
                <a:ext uri="{63B3BB69-23CF-44E3-9099-C40C66FF867C}">
                  <a14:compatExt spid="_x0000_s108559"/>
                </a:ext>
                <a:ext uri="{FF2B5EF4-FFF2-40B4-BE49-F238E27FC236}">
                  <a16:creationId xmlns:a16="http://schemas.microsoft.com/office/drawing/2014/main" id="{00000000-0008-0000-1C00-00000F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55</xdr:row>
          <xdr:rowOff>161925</xdr:rowOff>
        </xdr:from>
        <xdr:to>
          <xdr:col>39</xdr:col>
          <xdr:colOff>66675</xdr:colOff>
          <xdr:row>57</xdr:row>
          <xdr:rowOff>19050</xdr:rowOff>
        </xdr:to>
        <xdr:sp macro="" textlink="">
          <xdr:nvSpPr>
            <xdr:cNvPr id="108560" name="Check Box 16" hidden="1">
              <a:extLst>
                <a:ext uri="{63B3BB69-23CF-44E3-9099-C40C66FF867C}">
                  <a14:compatExt spid="_x0000_s108560"/>
                </a:ext>
                <a:ext uri="{FF2B5EF4-FFF2-40B4-BE49-F238E27FC236}">
                  <a16:creationId xmlns:a16="http://schemas.microsoft.com/office/drawing/2014/main" id="{00000000-0008-0000-1C00-000010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58</xdr:row>
          <xdr:rowOff>161925</xdr:rowOff>
        </xdr:from>
        <xdr:to>
          <xdr:col>39</xdr:col>
          <xdr:colOff>66675</xdr:colOff>
          <xdr:row>60</xdr:row>
          <xdr:rowOff>19050</xdr:rowOff>
        </xdr:to>
        <xdr:sp macro="" textlink="">
          <xdr:nvSpPr>
            <xdr:cNvPr id="108561" name="Check Box 17" hidden="1">
              <a:extLst>
                <a:ext uri="{63B3BB69-23CF-44E3-9099-C40C66FF867C}">
                  <a14:compatExt spid="_x0000_s108561"/>
                </a:ext>
                <a:ext uri="{FF2B5EF4-FFF2-40B4-BE49-F238E27FC236}">
                  <a16:creationId xmlns:a16="http://schemas.microsoft.com/office/drawing/2014/main" id="{00000000-0008-0000-1C00-00001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59</xdr:row>
          <xdr:rowOff>161925</xdr:rowOff>
        </xdr:from>
        <xdr:to>
          <xdr:col>39</xdr:col>
          <xdr:colOff>66675</xdr:colOff>
          <xdr:row>61</xdr:row>
          <xdr:rowOff>19050</xdr:rowOff>
        </xdr:to>
        <xdr:sp macro="" textlink="">
          <xdr:nvSpPr>
            <xdr:cNvPr id="108562" name="Check Box 18" hidden="1">
              <a:extLst>
                <a:ext uri="{63B3BB69-23CF-44E3-9099-C40C66FF867C}">
                  <a14:compatExt spid="_x0000_s108562"/>
                </a:ext>
                <a:ext uri="{FF2B5EF4-FFF2-40B4-BE49-F238E27FC236}">
                  <a16:creationId xmlns:a16="http://schemas.microsoft.com/office/drawing/2014/main" id="{00000000-0008-0000-1C00-00001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60</xdr:row>
          <xdr:rowOff>161925</xdr:rowOff>
        </xdr:from>
        <xdr:to>
          <xdr:col>39</xdr:col>
          <xdr:colOff>66675</xdr:colOff>
          <xdr:row>62</xdr:row>
          <xdr:rowOff>19050</xdr:rowOff>
        </xdr:to>
        <xdr:sp macro="" textlink="">
          <xdr:nvSpPr>
            <xdr:cNvPr id="108563" name="Check Box 19" hidden="1">
              <a:extLst>
                <a:ext uri="{63B3BB69-23CF-44E3-9099-C40C66FF867C}">
                  <a14:compatExt spid="_x0000_s108563"/>
                </a:ext>
                <a:ext uri="{FF2B5EF4-FFF2-40B4-BE49-F238E27FC236}">
                  <a16:creationId xmlns:a16="http://schemas.microsoft.com/office/drawing/2014/main" id="{00000000-0008-0000-1C00-00001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61</xdr:row>
          <xdr:rowOff>161925</xdr:rowOff>
        </xdr:from>
        <xdr:to>
          <xdr:col>39</xdr:col>
          <xdr:colOff>66675</xdr:colOff>
          <xdr:row>63</xdr:row>
          <xdr:rowOff>19050</xdr:rowOff>
        </xdr:to>
        <xdr:sp macro="" textlink="">
          <xdr:nvSpPr>
            <xdr:cNvPr id="108564" name="Check Box 20" hidden="1">
              <a:extLst>
                <a:ext uri="{63B3BB69-23CF-44E3-9099-C40C66FF867C}">
                  <a14:compatExt spid="_x0000_s108564"/>
                </a:ext>
                <a:ext uri="{FF2B5EF4-FFF2-40B4-BE49-F238E27FC236}">
                  <a16:creationId xmlns:a16="http://schemas.microsoft.com/office/drawing/2014/main" id="{00000000-0008-0000-1C00-00001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62</xdr:row>
          <xdr:rowOff>161925</xdr:rowOff>
        </xdr:from>
        <xdr:to>
          <xdr:col>39</xdr:col>
          <xdr:colOff>66675</xdr:colOff>
          <xdr:row>64</xdr:row>
          <xdr:rowOff>19050</xdr:rowOff>
        </xdr:to>
        <xdr:sp macro="" textlink="">
          <xdr:nvSpPr>
            <xdr:cNvPr id="108565" name="Check Box 21" hidden="1">
              <a:extLst>
                <a:ext uri="{63B3BB69-23CF-44E3-9099-C40C66FF867C}">
                  <a14:compatExt spid="_x0000_s108565"/>
                </a:ext>
                <a:ext uri="{FF2B5EF4-FFF2-40B4-BE49-F238E27FC236}">
                  <a16:creationId xmlns:a16="http://schemas.microsoft.com/office/drawing/2014/main" id="{00000000-0008-0000-1C00-00001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95250</xdr:colOff>
      <xdr:row>177</xdr:row>
      <xdr:rowOff>33750</xdr:rowOff>
    </xdr:from>
    <xdr:ext cx="252000" cy="252000"/>
    <xdr:sp macro="[0]!Adoption" textlink="">
      <xdr:nvSpPr>
        <xdr:cNvPr id="31" name="Down Arrow 44">
          <a:extLst>
            <a:ext uri="{FF2B5EF4-FFF2-40B4-BE49-F238E27FC236}">
              <a16:creationId xmlns:a16="http://schemas.microsoft.com/office/drawing/2014/main" id="{00000000-0008-0000-1C00-00001F000000}"/>
            </a:ext>
          </a:extLst>
        </xdr:cNvPr>
        <xdr:cNvSpPr>
          <a:spLocks noChangeArrowheads="1"/>
        </xdr:cNvSpPr>
      </xdr:nvSpPr>
      <xdr:spPr bwMode="auto">
        <a:xfrm flipV="1">
          <a:off x="9277350" y="334284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173</xdr:row>
      <xdr:rowOff>0</xdr:rowOff>
    </xdr:from>
    <xdr:to>
      <xdr:col>8</xdr:col>
      <xdr:colOff>0</xdr:colOff>
      <xdr:row>176</xdr:row>
      <xdr:rowOff>0</xdr:rowOff>
    </xdr:to>
    <xdr:graphicFrame macro="">
      <xdr:nvGraphicFramePr>
        <xdr:cNvPr id="32" name="Chart 13">
          <a:extLst>
            <a:ext uri="{FF2B5EF4-FFF2-40B4-BE49-F238E27FC236}">
              <a16:creationId xmlns:a16="http://schemas.microsoft.com/office/drawing/2014/main" id="{00000000-0008-0000-1C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56</xdr:row>
          <xdr:rowOff>161925</xdr:rowOff>
        </xdr:from>
        <xdr:to>
          <xdr:col>39</xdr:col>
          <xdr:colOff>66675</xdr:colOff>
          <xdr:row>58</xdr:row>
          <xdr:rowOff>19050</xdr:rowOff>
        </xdr:to>
        <xdr:sp macro="" textlink="">
          <xdr:nvSpPr>
            <xdr:cNvPr id="108566" name="Check Box 22" hidden="1">
              <a:extLst>
                <a:ext uri="{63B3BB69-23CF-44E3-9099-C40C66FF867C}">
                  <a14:compatExt spid="_x0000_s108566"/>
                </a:ext>
                <a:ext uri="{FF2B5EF4-FFF2-40B4-BE49-F238E27FC236}">
                  <a16:creationId xmlns:a16="http://schemas.microsoft.com/office/drawing/2014/main" id="{00000000-0008-0000-1C00-000016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57</xdr:row>
          <xdr:rowOff>161925</xdr:rowOff>
        </xdr:from>
        <xdr:to>
          <xdr:col>39</xdr:col>
          <xdr:colOff>66675</xdr:colOff>
          <xdr:row>59</xdr:row>
          <xdr:rowOff>19050</xdr:rowOff>
        </xdr:to>
        <xdr:sp macro="" textlink="">
          <xdr:nvSpPr>
            <xdr:cNvPr id="108567" name="Check Box 23" hidden="1">
              <a:extLst>
                <a:ext uri="{63B3BB69-23CF-44E3-9099-C40C66FF867C}">
                  <a14:compatExt spid="_x0000_s108567"/>
                </a:ext>
                <a:ext uri="{FF2B5EF4-FFF2-40B4-BE49-F238E27FC236}">
                  <a16:creationId xmlns:a16="http://schemas.microsoft.com/office/drawing/2014/main" id="{00000000-0008-0000-1C00-000017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144</xdr:row>
      <xdr:rowOff>95250</xdr:rowOff>
    </xdr:from>
    <xdr:to>
      <xdr:col>20</xdr:col>
      <xdr:colOff>0</xdr:colOff>
      <xdr:row>176</xdr:row>
      <xdr:rowOff>0</xdr:rowOff>
    </xdr:to>
    <xdr:graphicFrame macro="">
      <xdr:nvGraphicFramePr>
        <xdr:cNvPr id="35" name="Chart 13">
          <a:extLst>
            <a:ext uri="{FF2B5EF4-FFF2-40B4-BE49-F238E27FC236}">
              <a16:creationId xmlns:a16="http://schemas.microsoft.com/office/drawing/2014/main" id="{00000000-0008-0000-1C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63</xdr:row>
          <xdr:rowOff>161925</xdr:rowOff>
        </xdr:from>
        <xdr:to>
          <xdr:col>39</xdr:col>
          <xdr:colOff>66675</xdr:colOff>
          <xdr:row>65</xdr:row>
          <xdr:rowOff>19050</xdr:rowOff>
        </xdr:to>
        <xdr:sp macro="" textlink="">
          <xdr:nvSpPr>
            <xdr:cNvPr id="108568" name="Check Box 24" hidden="1">
              <a:extLst>
                <a:ext uri="{63B3BB69-23CF-44E3-9099-C40C66FF867C}">
                  <a14:compatExt spid="_x0000_s108568"/>
                </a:ext>
                <a:ext uri="{FF2B5EF4-FFF2-40B4-BE49-F238E27FC236}">
                  <a16:creationId xmlns:a16="http://schemas.microsoft.com/office/drawing/2014/main" id="{00000000-0008-0000-1C00-000018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95250</xdr:colOff>
      <xdr:row>108</xdr:row>
      <xdr:rowOff>33750</xdr:rowOff>
    </xdr:from>
    <xdr:ext cx="252000" cy="252000"/>
    <xdr:sp macro="[0]!Adoption" textlink="">
      <xdr:nvSpPr>
        <xdr:cNvPr id="37" name="Down Arrow 44">
          <a:extLst>
            <a:ext uri="{FF2B5EF4-FFF2-40B4-BE49-F238E27FC236}">
              <a16:creationId xmlns:a16="http://schemas.microsoft.com/office/drawing/2014/main" id="{00000000-0008-0000-1C00-000025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11</xdr:col>
      <xdr:colOff>66675</xdr:colOff>
      <xdr:row>64</xdr:row>
      <xdr:rowOff>76200</xdr:rowOff>
    </xdr:from>
    <xdr:to>
      <xdr:col>11</xdr:col>
      <xdr:colOff>438150</xdr:colOff>
      <xdr:row>64</xdr:row>
      <xdr:rowOff>76200</xdr:rowOff>
    </xdr:to>
    <xdr:sp macro="" textlink="">
      <xdr:nvSpPr>
        <xdr:cNvPr id="40" name="Line 283">
          <a:extLst>
            <a:ext uri="{FF2B5EF4-FFF2-40B4-BE49-F238E27FC236}">
              <a16:creationId xmlns:a16="http://schemas.microsoft.com/office/drawing/2014/main" id="{00000000-0008-0000-1C00-000028000000}"/>
            </a:ext>
          </a:extLst>
        </xdr:cNvPr>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64</xdr:row>
      <xdr:rowOff>47625</xdr:rowOff>
    </xdr:from>
    <xdr:to>
      <xdr:col>15</xdr:col>
      <xdr:colOff>304800</xdr:colOff>
      <xdr:row>64</xdr:row>
      <xdr:rowOff>123825</xdr:rowOff>
    </xdr:to>
    <xdr:sp macro="" textlink="">
      <xdr:nvSpPr>
        <xdr:cNvPr id="41" name="Oval 2164">
          <a:extLst>
            <a:ext uri="{FF2B5EF4-FFF2-40B4-BE49-F238E27FC236}">
              <a16:creationId xmlns:a16="http://schemas.microsoft.com/office/drawing/2014/main" id="{00000000-0008-0000-1C00-000029000000}"/>
            </a:ext>
          </a:extLst>
        </xdr:cNvPr>
        <xdr:cNvSpPr>
          <a:spLocks noChangeArrowheads="1"/>
        </xdr:cNvSpPr>
      </xdr:nvSpPr>
      <xdr:spPr bwMode="auto">
        <a:xfrm>
          <a:off x="7048500" y="1114425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oneCellAnchor>
    <xdr:from>
      <xdr:col>21</xdr:col>
      <xdr:colOff>95250</xdr:colOff>
      <xdr:row>143</xdr:row>
      <xdr:rowOff>0</xdr:rowOff>
    </xdr:from>
    <xdr:ext cx="252000" cy="252000"/>
    <xdr:sp macro="[0]!Adoption" textlink="">
      <xdr:nvSpPr>
        <xdr:cNvPr id="42" name="Down Arrow 44">
          <a:extLst>
            <a:ext uri="{FF2B5EF4-FFF2-40B4-BE49-F238E27FC236}">
              <a16:creationId xmlns:a16="http://schemas.microsoft.com/office/drawing/2014/main" id="{00000000-0008-0000-1C00-00002A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111</xdr:row>
      <xdr:rowOff>0</xdr:rowOff>
    </xdr:from>
    <xdr:to>
      <xdr:col>11</xdr:col>
      <xdr:colOff>0</xdr:colOff>
      <xdr:row>140</xdr:row>
      <xdr:rowOff>0</xdr:rowOff>
    </xdr:to>
    <xdr:graphicFrame macro="">
      <xdr:nvGraphicFramePr>
        <xdr:cNvPr id="63" name="Chart 13">
          <a:extLst>
            <a:ext uri="{FF2B5EF4-FFF2-40B4-BE49-F238E27FC236}">
              <a16:creationId xmlns:a16="http://schemas.microsoft.com/office/drawing/2014/main" id="{00000000-0008-0000-1C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137</xdr:row>
      <xdr:rowOff>0</xdr:rowOff>
    </xdr:from>
    <xdr:to>
      <xdr:col>20</xdr:col>
      <xdr:colOff>0</xdr:colOff>
      <xdr:row>140</xdr:row>
      <xdr:rowOff>0</xdr:rowOff>
    </xdr:to>
    <xdr:graphicFrame macro="">
      <xdr:nvGraphicFramePr>
        <xdr:cNvPr id="48" name="Chart 13">
          <a:extLst>
            <a:ext uri="{FF2B5EF4-FFF2-40B4-BE49-F238E27FC236}">
              <a16:creationId xmlns:a16="http://schemas.microsoft.com/office/drawing/2014/main" id="{00000000-0008-0000-1C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21</xdr:col>
      <xdr:colOff>66675</xdr:colOff>
      <xdr:row>0</xdr:row>
      <xdr:rowOff>193416</xdr:rowOff>
    </xdr:from>
    <xdr:to>
      <xdr:col>21</xdr:col>
      <xdr:colOff>369500</xdr:colOff>
      <xdr:row>2</xdr:row>
      <xdr:rowOff>44450</xdr:rowOff>
    </xdr:to>
    <xdr:pic macro="[0]!Home">
      <xdr:nvPicPr>
        <xdr:cNvPr id="52" name="Picture 51">
          <a:extLst>
            <a:ext uri="{FF2B5EF4-FFF2-40B4-BE49-F238E27FC236}">
              <a16:creationId xmlns:a16="http://schemas.microsoft.com/office/drawing/2014/main" id="{00000000-0008-0000-1C00-000034000000}"/>
            </a:ext>
          </a:extLst>
        </xdr:cNvPr>
        <xdr:cNvPicPr>
          <a:picLocks/>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48775" y="193416"/>
          <a:ext cx="3060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Newlac" textlink="">
      <xdr:nvSpPr>
        <xdr:cNvPr id="45" name="Right Arrow 44">
          <a:extLst>
            <a:ext uri="{FF2B5EF4-FFF2-40B4-BE49-F238E27FC236}">
              <a16:creationId xmlns:a16="http://schemas.microsoft.com/office/drawing/2014/main" id="{00000000-0008-0000-1C00-00002D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Careleavers" textlink="">
      <xdr:nvSpPr>
        <xdr:cNvPr id="46" name="Right Arrow 50">
          <a:extLst>
            <a:ext uri="{FF2B5EF4-FFF2-40B4-BE49-F238E27FC236}">
              <a16:creationId xmlns:a16="http://schemas.microsoft.com/office/drawing/2014/main" id="{00000000-0008-0000-1C00-00002E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40</xdr:row>
      <xdr:rowOff>0</xdr:rowOff>
    </xdr:from>
    <xdr:to>
      <xdr:col>20</xdr:col>
      <xdr:colOff>0</xdr:colOff>
      <xdr:row>64</xdr:row>
      <xdr:rowOff>0</xdr:rowOff>
    </xdr:to>
    <xdr:graphicFrame macro="">
      <xdr:nvGraphicFramePr>
        <xdr:cNvPr id="47" name="Chart 176">
          <a:extLst>
            <a:ext uri="{FF2B5EF4-FFF2-40B4-BE49-F238E27FC236}">
              <a16:creationId xmlns:a16="http://schemas.microsoft.com/office/drawing/2014/main" id="{00000000-0008-0000-1C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0</xdr:colOff>
      <xdr:row>111</xdr:row>
      <xdr:rowOff>0</xdr:rowOff>
    </xdr:from>
    <xdr:to>
      <xdr:col>20</xdr:col>
      <xdr:colOff>0</xdr:colOff>
      <xdr:row>135</xdr:row>
      <xdr:rowOff>0</xdr:rowOff>
    </xdr:to>
    <xdr:graphicFrame macro="">
      <xdr:nvGraphicFramePr>
        <xdr:cNvPr id="64" name="Chart 176">
          <a:extLst>
            <a:ext uri="{FF2B5EF4-FFF2-40B4-BE49-F238E27FC236}">
              <a16:creationId xmlns:a16="http://schemas.microsoft.com/office/drawing/2014/main" id="{00000000-0008-0000-1C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219075</xdr:colOff>
      <xdr:row>136</xdr:row>
      <xdr:rowOff>47625</xdr:rowOff>
    </xdr:from>
    <xdr:to>
      <xdr:col>11</xdr:col>
      <xdr:colOff>295275</xdr:colOff>
      <xdr:row>136</xdr:row>
      <xdr:rowOff>123825</xdr:rowOff>
    </xdr:to>
    <xdr:sp macro="" textlink="">
      <xdr:nvSpPr>
        <xdr:cNvPr id="65" name="Oval 2165">
          <a:extLst>
            <a:ext uri="{FF2B5EF4-FFF2-40B4-BE49-F238E27FC236}">
              <a16:creationId xmlns:a16="http://schemas.microsoft.com/office/drawing/2014/main" id="{00000000-0008-0000-1C00-000041000000}"/>
            </a:ext>
          </a:extLst>
        </xdr:cNvPr>
        <xdr:cNvSpPr>
          <a:spLocks noChangeArrowheads="1"/>
        </xdr:cNvSpPr>
      </xdr:nvSpPr>
      <xdr:spPr bwMode="auto">
        <a:xfrm>
          <a:off x="5095875" y="11325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66675</xdr:colOff>
      <xdr:row>135</xdr:row>
      <xdr:rowOff>85725</xdr:rowOff>
    </xdr:from>
    <xdr:to>
      <xdr:col>11</xdr:col>
      <xdr:colOff>438150</xdr:colOff>
      <xdr:row>135</xdr:row>
      <xdr:rowOff>85725</xdr:rowOff>
    </xdr:to>
    <xdr:sp macro="" textlink="">
      <xdr:nvSpPr>
        <xdr:cNvPr id="66" name="Line 283">
          <a:extLst>
            <a:ext uri="{FF2B5EF4-FFF2-40B4-BE49-F238E27FC236}">
              <a16:creationId xmlns:a16="http://schemas.microsoft.com/office/drawing/2014/main" id="{00000000-0008-0000-1C00-000042000000}"/>
            </a:ext>
          </a:extLst>
        </xdr:cNvPr>
        <xdr:cNvSpPr>
          <a:spLocks noChangeShapeType="1"/>
        </xdr:cNvSpPr>
      </xdr:nvSpPr>
      <xdr:spPr bwMode="auto">
        <a:xfrm>
          <a:off x="4943475" y="24669750"/>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135</xdr:row>
      <xdr:rowOff>47625</xdr:rowOff>
    </xdr:from>
    <xdr:to>
      <xdr:col>15</xdr:col>
      <xdr:colOff>304800</xdr:colOff>
      <xdr:row>135</xdr:row>
      <xdr:rowOff>123825</xdr:rowOff>
    </xdr:to>
    <xdr:sp macro="" textlink="">
      <xdr:nvSpPr>
        <xdr:cNvPr id="67" name="Oval 2164">
          <a:extLst>
            <a:ext uri="{FF2B5EF4-FFF2-40B4-BE49-F238E27FC236}">
              <a16:creationId xmlns:a16="http://schemas.microsoft.com/office/drawing/2014/main" id="{00000000-0008-0000-1C00-000043000000}"/>
            </a:ext>
          </a:extLst>
        </xdr:cNvPr>
        <xdr:cNvSpPr>
          <a:spLocks noChangeArrowheads="1"/>
        </xdr:cNvSpPr>
      </xdr:nvSpPr>
      <xdr:spPr bwMode="auto">
        <a:xfrm>
          <a:off x="7048500" y="1114425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editAs="absolute">
    <xdr:from>
      <xdr:col>14</xdr:col>
      <xdr:colOff>482600</xdr:colOff>
      <xdr:row>72</xdr:row>
      <xdr:rowOff>63500</xdr:rowOff>
    </xdr:from>
    <xdr:to>
      <xdr:col>20</xdr:col>
      <xdr:colOff>67675</xdr:colOff>
      <xdr:row>74</xdr:row>
      <xdr:rowOff>130425</xdr:rowOff>
    </xdr:to>
    <xdr:sp macro="" textlink="">
      <xdr:nvSpPr>
        <xdr:cNvPr id="69" name="AutoShape 32">
          <a:extLst>
            <a:ext uri="{FF2B5EF4-FFF2-40B4-BE49-F238E27FC236}">
              <a16:creationId xmlns:a16="http://schemas.microsoft.com/office/drawing/2014/main" id="{00000000-0008-0000-1C00-000045000000}"/>
            </a:ext>
          </a:extLst>
        </xdr:cNvPr>
        <xdr:cNvSpPr>
          <a:spLocks noChangeArrowheads="1"/>
        </xdr:cNvSpPr>
      </xdr:nvSpPr>
      <xdr:spPr bwMode="auto">
        <a:xfrm>
          <a:off x="6915150" y="13573125"/>
          <a:ext cx="2188575"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21</xdr:col>
      <xdr:colOff>95250</xdr:colOff>
      <xdr:row>36</xdr:row>
      <xdr:rowOff>33750</xdr:rowOff>
    </xdr:from>
    <xdr:to>
      <xdr:col>21</xdr:col>
      <xdr:colOff>353600</xdr:colOff>
      <xdr:row>37</xdr:row>
      <xdr:rowOff>95250</xdr:rowOff>
    </xdr:to>
    <xdr:sp macro="[0]!Careleavers" textlink="">
      <xdr:nvSpPr>
        <xdr:cNvPr id="2" name="Down Arrow 44">
          <a:extLst>
            <a:ext uri="{FF2B5EF4-FFF2-40B4-BE49-F238E27FC236}">
              <a16:creationId xmlns:a16="http://schemas.microsoft.com/office/drawing/2014/main" id="{00000000-0008-0000-1D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69</xdr:row>
      <xdr:rowOff>33750</xdr:rowOff>
    </xdr:from>
    <xdr:to>
      <xdr:col>21</xdr:col>
      <xdr:colOff>347250</xdr:colOff>
      <xdr:row>70</xdr:row>
      <xdr:rowOff>95250</xdr:rowOff>
    </xdr:to>
    <xdr:sp macro="[0]!Careleavers" textlink="">
      <xdr:nvSpPr>
        <xdr:cNvPr id="3" name="Down Arrow 2">
          <a:extLst>
            <a:ext uri="{FF2B5EF4-FFF2-40B4-BE49-F238E27FC236}">
              <a16:creationId xmlns:a16="http://schemas.microsoft.com/office/drawing/2014/main" id="{00000000-0008-0000-1D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0</xdr:colOff>
      <xdr:row>68</xdr:row>
      <xdr:rowOff>0</xdr:rowOff>
    </xdr:to>
    <xdr:graphicFrame macro="">
      <xdr:nvGraphicFramePr>
        <xdr:cNvPr id="5" name="Chart 13">
          <a:extLst>
            <a:ext uri="{FF2B5EF4-FFF2-40B4-BE49-F238E27FC236}">
              <a16:creationId xmlns:a16="http://schemas.microsoft.com/office/drawing/2014/main" id="{00000000-0008-0000-1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64</xdr:row>
      <xdr:rowOff>38100</xdr:rowOff>
    </xdr:from>
    <xdr:to>
      <xdr:col>11</xdr:col>
      <xdr:colOff>295275</xdr:colOff>
      <xdr:row>64</xdr:row>
      <xdr:rowOff>114300</xdr:rowOff>
    </xdr:to>
    <xdr:sp macro="" textlink="">
      <xdr:nvSpPr>
        <xdr:cNvPr id="6" name="Oval 2165">
          <a:extLst>
            <a:ext uri="{FF2B5EF4-FFF2-40B4-BE49-F238E27FC236}">
              <a16:creationId xmlns:a16="http://schemas.microsoft.com/office/drawing/2014/main" id="{00000000-0008-0000-1D00-000006000000}"/>
            </a:ext>
          </a:extLst>
        </xdr:cNvPr>
        <xdr:cNvSpPr>
          <a:spLocks noChangeArrowheads="1"/>
        </xdr:cNvSpPr>
      </xdr:nvSpPr>
      <xdr:spPr bwMode="auto">
        <a:xfrm>
          <a:off x="5181600" y="113633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19048</xdr:colOff>
      <xdr:row>0</xdr:row>
      <xdr:rowOff>85725</xdr:rowOff>
    </xdr:from>
    <xdr:to>
      <xdr:col>20</xdr:col>
      <xdr:colOff>64498</xdr:colOff>
      <xdr:row>2</xdr:row>
      <xdr:rowOff>149475</xdr:rowOff>
    </xdr:to>
    <xdr:sp macro="" textlink="">
      <xdr:nvSpPr>
        <xdr:cNvPr id="7" name="AutoShape 32">
          <a:extLst>
            <a:ext uri="{FF2B5EF4-FFF2-40B4-BE49-F238E27FC236}">
              <a16:creationId xmlns:a16="http://schemas.microsoft.com/office/drawing/2014/main" id="{00000000-0008-0000-1D00-000007000000}"/>
            </a:ext>
          </a:extLst>
        </xdr:cNvPr>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0</xdr:colOff>
      <xdr:row>65</xdr:row>
      <xdr:rowOff>0</xdr:rowOff>
    </xdr:from>
    <xdr:to>
      <xdr:col>20</xdr:col>
      <xdr:colOff>1</xdr:colOff>
      <xdr:row>68</xdr:row>
      <xdr:rowOff>0</xdr:rowOff>
    </xdr:to>
    <xdr:graphicFrame macro="">
      <xdr:nvGraphicFramePr>
        <xdr:cNvPr id="8" name="Chart 13">
          <a:extLst>
            <a:ext uri="{FF2B5EF4-FFF2-40B4-BE49-F238E27FC236}">
              <a16:creationId xmlns:a16="http://schemas.microsoft.com/office/drawing/2014/main" id="{00000000-0008-0000-1D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39</xdr:row>
          <xdr:rowOff>19050</xdr:rowOff>
        </xdr:from>
        <xdr:to>
          <xdr:col>35</xdr:col>
          <xdr:colOff>66675</xdr:colOff>
          <xdr:row>41</xdr:row>
          <xdr:rowOff>9525</xdr:rowOff>
        </xdr:to>
        <xdr:sp macro="" textlink="">
          <xdr:nvSpPr>
            <xdr:cNvPr id="168961" name="Check Box 1" hidden="1">
              <a:extLst>
                <a:ext uri="{63B3BB69-23CF-44E3-9099-C40C66FF867C}">
                  <a14:compatExt spid="_x0000_s168961"/>
                </a:ext>
                <a:ext uri="{FF2B5EF4-FFF2-40B4-BE49-F238E27FC236}">
                  <a16:creationId xmlns:a16="http://schemas.microsoft.com/office/drawing/2014/main" id="{00000000-0008-0000-1D00-00000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40</xdr:row>
          <xdr:rowOff>142875</xdr:rowOff>
        </xdr:from>
        <xdr:to>
          <xdr:col>35</xdr:col>
          <xdr:colOff>66675</xdr:colOff>
          <xdr:row>42</xdr:row>
          <xdr:rowOff>9525</xdr:rowOff>
        </xdr:to>
        <xdr:sp macro="" textlink="">
          <xdr:nvSpPr>
            <xdr:cNvPr id="168962" name="Check Box 2" hidden="1">
              <a:extLst>
                <a:ext uri="{63B3BB69-23CF-44E3-9099-C40C66FF867C}">
                  <a14:compatExt spid="_x0000_s168962"/>
                </a:ext>
                <a:ext uri="{FF2B5EF4-FFF2-40B4-BE49-F238E27FC236}">
                  <a16:creationId xmlns:a16="http://schemas.microsoft.com/office/drawing/2014/main" id="{00000000-0008-0000-1D00-00000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41</xdr:row>
          <xdr:rowOff>142875</xdr:rowOff>
        </xdr:from>
        <xdr:to>
          <xdr:col>35</xdr:col>
          <xdr:colOff>66675</xdr:colOff>
          <xdr:row>43</xdr:row>
          <xdr:rowOff>9525</xdr:rowOff>
        </xdr:to>
        <xdr:sp macro="" textlink="">
          <xdr:nvSpPr>
            <xdr:cNvPr id="168963" name="Check Box 3" hidden="1">
              <a:extLst>
                <a:ext uri="{63B3BB69-23CF-44E3-9099-C40C66FF867C}">
                  <a14:compatExt spid="_x0000_s168963"/>
                </a:ext>
                <a:ext uri="{FF2B5EF4-FFF2-40B4-BE49-F238E27FC236}">
                  <a16:creationId xmlns:a16="http://schemas.microsoft.com/office/drawing/2014/main" id="{00000000-0008-0000-1D00-000003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42</xdr:row>
          <xdr:rowOff>142875</xdr:rowOff>
        </xdr:from>
        <xdr:to>
          <xdr:col>35</xdr:col>
          <xdr:colOff>66675</xdr:colOff>
          <xdr:row>44</xdr:row>
          <xdr:rowOff>9525</xdr:rowOff>
        </xdr:to>
        <xdr:sp macro="" textlink="">
          <xdr:nvSpPr>
            <xdr:cNvPr id="168964" name="Check Box 4" hidden="1">
              <a:extLst>
                <a:ext uri="{63B3BB69-23CF-44E3-9099-C40C66FF867C}">
                  <a14:compatExt spid="_x0000_s168964"/>
                </a:ext>
                <a:ext uri="{FF2B5EF4-FFF2-40B4-BE49-F238E27FC236}">
                  <a16:creationId xmlns:a16="http://schemas.microsoft.com/office/drawing/2014/main" id="{00000000-0008-0000-1D00-000004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43</xdr:row>
          <xdr:rowOff>142875</xdr:rowOff>
        </xdr:from>
        <xdr:to>
          <xdr:col>35</xdr:col>
          <xdr:colOff>66675</xdr:colOff>
          <xdr:row>45</xdr:row>
          <xdr:rowOff>9525</xdr:rowOff>
        </xdr:to>
        <xdr:sp macro="" textlink="">
          <xdr:nvSpPr>
            <xdr:cNvPr id="168965" name="Check Box 5" hidden="1">
              <a:extLst>
                <a:ext uri="{63B3BB69-23CF-44E3-9099-C40C66FF867C}">
                  <a14:compatExt spid="_x0000_s168965"/>
                </a:ext>
                <a:ext uri="{FF2B5EF4-FFF2-40B4-BE49-F238E27FC236}">
                  <a16:creationId xmlns:a16="http://schemas.microsoft.com/office/drawing/2014/main" id="{00000000-0008-0000-1D00-000005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44</xdr:row>
          <xdr:rowOff>142875</xdr:rowOff>
        </xdr:from>
        <xdr:to>
          <xdr:col>35</xdr:col>
          <xdr:colOff>66675</xdr:colOff>
          <xdr:row>46</xdr:row>
          <xdr:rowOff>9525</xdr:rowOff>
        </xdr:to>
        <xdr:sp macro="" textlink="">
          <xdr:nvSpPr>
            <xdr:cNvPr id="168966" name="Check Box 6" hidden="1">
              <a:extLst>
                <a:ext uri="{63B3BB69-23CF-44E3-9099-C40C66FF867C}">
                  <a14:compatExt spid="_x0000_s168966"/>
                </a:ext>
                <a:ext uri="{FF2B5EF4-FFF2-40B4-BE49-F238E27FC236}">
                  <a16:creationId xmlns:a16="http://schemas.microsoft.com/office/drawing/2014/main" id="{00000000-0008-0000-1D00-000006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45</xdr:row>
          <xdr:rowOff>142875</xdr:rowOff>
        </xdr:from>
        <xdr:to>
          <xdr:col>35</xdr:col>
          <xdr:colOff>66675</xdr:colOff>
          <xdr:row>47</xdr:row>
          <xdr:rowOff>9525</xdr:rowOff>
        </xdr:to>
        <xdr:sp macro="" textlink="">
          <xdr:nvSpPr>
            <xdr:cNvPr id="168967" name="Check Box 7" hidden="1">
              <a:extLst>
                <a:ext uri="{63B3BB69-23CF-44E3-9099-C40C66FF867C}">
                  <a14:compatExt spid="_x0000_s168967"/>
                </a:ext>
                <a:ext uri="{FF2B5EF4-FFF2-40B4-BE49-F238E27FC236}">
                  <a16:creationId xmlns:a16="http://schemas.microsoft.com/office/drawing/2014/main" id="{00000000-0008-0000-1D00-000007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46</xdr:row>
          <xdr:rowOff>142875</xdr:rowOff>
        </xdr:from>
        <xdr:to>
          <xdr:col>35</xdr:col>
          <xdr:colOff>66675</xdr:colOff>
          <xdr:row>48</xdr:row>
          <xdr:rowOff>9525</xdr:rowOff>
        </xdr:to>
        <xdr:sp macro="" textlink="">
          <xdr:nvSpPr>
            <xdr:cNvPr id="168968" name="Check Box 8" hidden="1">
              <a:extLst>
                <a:ext uri="{63B3BB69-23CF-44E3-9099-C40C66FF867C}">
                  <a14:compatExt spid="_x0000_s168968"/>
                </a:ext>
                <a:ext uri="{FF2B5EF4-FFF2-40B4-BE49-F238E27FC236}">
                  <a16:creationId xmlns:a16="http://schemas.microsoft.com/office/drawing/2014/main" id="{00000000-0008-0000-1D00-000008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47</xdr:row>
          <xdr:rowOff>142875</xdr:rowOff>
        </xdr:from>
        <xdr:to>
          <xdr:col>35</xdr:col>
          <xdr:colOff>66675</xdr:colOff>
          <xdr:row>49</xdr:row>
          <xdr:rowOff>9525</xdr:rowOff>
        </xdr:to>
        <xdr:sp macro="" textlink="">
          <xdr:nvSpPr>
            <xdr:cNvPr id="168969" name="Check Box 9" hidden="1">
              <a:extLst>
                <a:ext uri="{63B3BB69-23CF-44E3-9099-C40C66FF867C}">
                  <a14:compatExt spid="_x0000_s168969"/>
                </a:ext>
                <a:ext uri="{FF2B5EF4-FFF2-40B4-BE49-F238E27FC236}">
                  <a16:creationId xmlns:a16="http://schemas.microsoft.com/office/drawing/2014/main" id="{00000000-0008-0000-1D00-000009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48</xdr:row>
          <xdr:rowOff>142875</xdr:rowOff>
        </xdr:from>
        <xdr:to>
          <xdr:col>35</xdr:col>
          <xdr:colOff>66675</xdr:colOff>
          <xdr:row>50</xdr:row>
          <xdr:rowOff>9525</xdr:rowOff>
        </xdr:to>
        <xdr:sp macro="" textlink="">
          <xdr:nvSpPr>
            <xdr:cNvPr id="168970" name="Check Box 10" hidden="1">
              <a:extLst>
                <a:ext uri="{63B3BB69-23CF-44E3-9099-C40C66FF867C}">
                  <a14:compatExt spid="_x0000_s168970"/>
                </a:ext>
                <a:ext uri="{FF2B5EF4-FFF2-40B4-BE49-F238E27FC236}">
                  <a16:creationId xmlns:a16="http://schemas.microsoft.com/office/drawing/2014/main" id="{00000000-0008-0000-1D00-00000A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49</xdr:row>
          <xdr:rowOff>142875</xdr:rowOff>
        </xdr:from>
        <xdr:to>
          <xdr:col>35</xdr:col>
          <xdr:colOff>66675</xdr:colOff>
          <xdr:row>51</xdr:row>
          <xdr:rowOff>9525</xdr:rowOff>
        </xdr:to>
        <xdr:sp macro="" textlink="">
          <xdr:nvSpPr>
            <xdr:cNvPr id="168971" name="Check Box 11" hidden="1">
              <a:extLst>
                <a:ext uri="{63B3BB69-23CF-44E3-9099-C40C66FF867C}">
                  <a14:compatExt spid="_x0000_s168971"/>
                </a:ext>
                <a:ext uri="{FF2B5EF4-FFF2-40B4-BE49-F238E27FC236}">
                  <a16:creationId xmlns:a16="http://schemas.microsoft.com/office/drawing/2014/main" id="{00000000-0008-0000-1D00-00000B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50</xdr:row>
          <xdr:rowOff>142875</xdr:rowOff>
        </xdr:from>
        <xdr:to>
          <xdr:col>35</xdr:col>
          <xdr:colOff>66675</xdr:colOff>
          <xdr:row>52</xdr:row>
          <xdr:rowOff>9525</xdr:rowOff>
        </xdr:to>
        <xdr:sp macro="" textlink="">
          <xdr:nvSpPr>
            <xdr:cNvPr id="168972" name="Check Box 12" hidden="1">
              <a:extLst>
                <a:ext uri="{63B3BB69-23CF-44E3-9099-C40C66FF867C}">
                  <a14:compatExt spid="_x0000_s168972"/>
                </a:ext>
                <a:ext uri="{FF2B5EF4-FFF2-40B4-BE49-F238E27FC236}">
                  <a16:creationId xmlns:a16="http://schemas.microsoft.com/office/drawing/2014/main" id="{00000000-0008-0000-1D00-00000C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51</xdr:row>
          <xdr:rowOff>142875</xdr:rowOff>
        </xdr:from>
        <xdr:to>
          <xdr:col>35</xdr:col>
          <xdr:colOff>66675</xdr:colOff>
          <xdr:row>53</xdr:row>
          <xdr:rowOff>9525</xdr:rowOff>
        </xdr:to>
        <xdr:sp macro="" textlink="">
          <xdr:nvSpPr>
            <xdr:cNvPr id="168973" name="Check Box 13" hidden="1">
              <a:extLst>
                <a:ext uri="{63B3BB69-23CF-44E3-9099-C40C66FF867C}">
                  <a14:compatExt spid="_x0000_s168973"/>
                </a:ext>
                <a:ext uri="{FF2B5EF4-FFF2-40B4-BE49-F238E27FC236}">
                  <a16:creationId xmlns:a16="http://schemas.microsoft.com/office/drawing/2014/main" id="{00000000-0008-0000-1D00-00000D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52</xdr:row>
          <xdr:rowOff>142875</xdr:rowOff>
        </xdr:from>
        <xdr:to>
          <xdr:col>35</xdr:col>
          <xdr:colOff>66675</xdr:colOff>
          <xdr:row>54</xdr:row>
          <xdr:rowOff>9525</xdr:rowOff>
        </xdr:to>
        <xdr:sp macro="" textlink="">
          <xdr:nvSpPr>
            <xdr:cNvPr id="168974" name="Check Box 14" hidden="1">
              <a:extLst>
                <a:ext uri="{63B3BB69-23CF-44E3-9099-C40C66FF867C}">
                  <a14:compatExt spid="_x0000_s168974"/>
                </a:ext>
                <a:ext uri="{FF2B5EF4-FFF2-40B4-BE49-F238E27FC236}">
                  <a16:creationId xmlns:a16="http://schemas.microsoft.com/office/drawing/2014/main" id="{00000000-0008-0000-1D00-00000E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53</xdr:row>
          <xdr:rowOff>142875</xdr:rowOff>
        </xdr:from>
        <xdr:to>
          <xdr:col>35</xdr:col>
          <xdr:colOff>66675</xdr:colOff>
          <xdr:row>55</xdr:row>
          <xdr:rowOff>9525</xdr:rowOff>
        </xdr:to>
        <xdr:sp macro="" textlink="">
          <xdr:nvSpPr>
            <xdr:cNvPr id="168975" name="Check Box 15" hidden="1">
              <a:extLst>
                <a:ext uri="{63B3BB69-23CF-44E3-9099-C40C66FF867C}">
                  <a14:compatExt spid="_x0000_s168975"/>
                </a:ext>
                <a:ext uri="{FF2B5EF4-FFF2-40B4-BE49-F238E27FC236}">
                  <a16:creationId xmlns:a16="http://schemas.microsoft.com/office/drawing/2014/main" id="{00000000-0008-0000-1D00-00000F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54</xdr:row>
          <xdr:rowOff>142875</xdr:rowOff>
        </xdr:from>
        <xdr:to>
          <xdr:col>35</xdr:col>
          <xdr:colOff>66675</xdr:colOff>
          <xdr:row>56</xdr:row>
          <xdr:rowOff>9525</xdr:rowOff>
        </xdr:to>
        <xdr:sp macro="" textlink="">
          <xdr:nvSpPr>
            <xdr:cNvPr id="168976" name="Check Box 16" hidden="1">
              <a:extLst>
                <a:ext uri="{63B3BB69-23CF-44E3-9099-C40C66FF867C}">
                  <a14:compatExt spid="_x0000_s168976"/>
                </a:ext>
                <a:ext uri="{FF2B5EF4-FFF2-40B4-BE49-F238E27FC236}">
                  <a16:creationId xmlns:a16="http://schemas.microsoft.com/office/drawing/2014/main" id="{00000000-0008-0000-1D00-000010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57</xdr:row>
          <xdr:rowOff>142875</xdr:rowOff>
        </xdr:from>
        <xdr:to>
          <xdr:col>35</xdr:col>
          <xdr:colOff>66675</xdr:colOff>
          <xdr:row>59</xdr:row>
          <xdr:rowOff>9525</xdr:rowOff>
        </xdr:to>
        <xdr:sp macro="" textlink="">
          <xdr:nvSpPr>
            <xdr:cNvPr id="168977" name="Check Box 17" hidden="1">
              <a:extLst>
                <a:ext uri="{63B3BB69-23CF-44E3-9099-C40C66FF867C}">
                  <a14:compatExt spid="_x0000_s168977"/>
                </a:ext>
                <a:ext uri="{FF2B5EF4-FFF2-40B4-BE49-F238E27FC236}">
                  <a16:creationId xmlns:a16="http://schemas.microsoft.com/office/drawing/2014/main" id="{00000000-0008-0000-1D00-00001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58</xdr:row>
          <xdr:rowOff>142875</xdr:rowOff>
        </xdr:from>
        <xdr:to>
          <xdr:col>35</xdr:col>
          <xdr:colOff>66675</xdr:colOff>
          <xdr:row>60</xdr:row>
          <xdr:rowOff>9525</xdr:rowOff>
        </xdr:to>
        <xdr:sp macro="" textlink="">
          <xdr:nvSpPr>
            <xdr:cNvPr id="168978" name="Check Box 18" hidden="1">
              <a:extLst>
                <a:ext uri="{63B3BB69-23CF-44E3-9099-C40C66FF867C}">
                  <a14:compatExt spid="_x0000_s168978"/>
                </a:ext>
                <a:ext uri="{FF2B5EF4-FFF2-40B4-BE49-F238E27FC236}">
                  <a16:creationId xmlns:a16="http://schemas.microsoft.com/office/drawing/2014/main" id="{00000000-0008-0000-1D00-00001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59</xdr:row>
          <xdr:rowOff>142875</xdr:rowOff>
        </xdr:from>
        <xdr:to>
          <xdr:col>35</xdr:col>
          <xdr:colOff>66675</xdr:colOff>
          <xdr:row>61</xdr:row>
          <xdr:rowOff>9525</xdr:rowOff>
        </xdr:to>
        <xdr:sp macro="" textlink="">
          <xdr:nvSpPr>
            <xdr:cNvPr id="168979" name="Check Box 19" hidden="1">
              <a:extLst>
                <a:ext uri="{63B3BB69-23CF-44E3-9099-C40C66FF867C}">
                  <a14:compatExt spid="_x0000_s168979"/>
                </a:ext>
                <a:ext uri="{FF2B5EF4-FFF2-40B4-BE49-F238E27FC236}">
                  <a16:creationId xmlns:a16="http://schemas.microsoft.com/office/drawing/2014/main" id="{00000000-0008-0000-1D00-000013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60</xdr:row>
          <xdr:rowOff>142875</xdr:rowOff>
        </xdr:from>
        <xdr:to>
          <xdr:col>35</xdr:col>
          <xdr:colOff>66675</xdr:colOff>
          <xdr:row>62</xdr:row>
          <xdr:rowOff>9525</xdr:rowOff>
        </xdr:to>
        <xdr:sp macro="" textlink="">
          <xdr:nvSpPr>
            <xdr:cNvPr id="168980" name="Check Box 20" hidden="1">
              <a:extLst>
                <a:ext uri="{63B3BB69-23CF-44E3-9099-C40C66FF867C}">
                  <a14:compatExt spid="_x0000_s168980"/>
                </a:ext>
                <a:ext uri="{FF2B5EF4-FFF2-40B4-BE49-F238E27FC236}">
                  <a16:creationId xmlns:a16="http://schemas.microsoft.com/office/drawing/2014/main" id="{00000000-0008-0000-1D00-000014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61</xdr:row>
          <xdr:rowOff>142875</xdr:rowOff>
        </xdr:from>
        <xdr:to>
          <xdr:col>35</xdr:col>
          <xdr:colOff>66675</xdr:colOff>
          <xdr:row>63</xdr:row>
          <xdr:rowOff>9525</xdr:rowOff>
        </xdr:to>
        <xdr:sp macro="" textlink="">
          <xdr:nvSpPr>
            <xdr:cNvPr id="168981" name="Check Box 21" hidden="1">
              <a:extLst>
                <a:ext uri="{63B3BB69-23CF-44E3-9099-C40C66FF867C}">
                  <a14:compatExt spid="_x0000_s168981"/>
                </a:ext>
                <a:ext uri="{FF2B5EF4-FFF2-40B4-BE49-F238E27FC236}">
                  <a16:creationId xmlns:a16="http://schemas.microsoft.com/office/drawing/2014/main" id="{00000000-0008-0000-1D00-000015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95250</xdr:colOff>
      <xdr:row>141</xdr:row>
      <xdr:rowOff>33750</xdr:rowOff>
    </xdr:from>
    <xdr:ext cx="252000" cy="252000"/>
    <xdr:sp macro="[0]!Careleavers" textlink="">
      <xdr:nvSpPr>
        <xdr:cNvPr id="30" name="Down Arrow 44">
          <a:extLst>
            <a:ext uri="{FF2B5EF4-FFF2-40B4-BE49-F238E27FC236}">
              <a16:creationId xmlns:a16="http://schemas.microsoft.com/office/drawing/2014/main" id="{00000000-0008-0000-1D00-00001E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137</xdr:row>
      <xdr:rowOff>0</xdr:rowOff>
    </xdr:from>
    <xdr:to>
      <xdr:col>8</xdr:col>
      <xdr:colOff>0</xdr:colOff>
      <xdr:row>140</xdr:row>
      <xdr:rowOff>0</xdr:rowOff>
    </xdr:to>
    <xdr:graphicFrame macro="">
      <xdr:nvGraphicFramePr>
        <xdr:cNvPr id="31" name="Chart 13">
          <a:extLst>
            <a:ext uri="{FF2B5EF4-FFF2-40B4-BE49-F238E27FC236}">
              <a16:creationId xmlns:a16="http://schemas.microsoft.com/office/drawing/2014/main" id="{00000000-0008-0000-1D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55</xdr:row>
          <xdr:rowOff>142875</xdr:rowOff>
        </xdr:from>
        <xdr:to>
          <xdr:col>35</xdr:col>
          <xdr:colOff>66675</xdr:colOff>
          <xdr:row>57</xdr:row>
          <xdr:rowOff>9525</xdr:rowOff>
        </xdr:to>
        <xdr:sp macro="" textlink="">
          <xdr:nvSpPr>
            <xdr:cNvPr id="168982" name="Check Box 22" hidden="1">
              <a:extLst>
                <a:ext uri="{63B3BB69-23CF-44E3-9099-C40C66FF867C}">
                  <a14:compatExt spid="_x0000_s168982"/>
                </a:ext>
                <a:ext uri="{FF2B5EF4-FFF2-40B4-BE49-F238E27FC236}">
                  <a16:creationId xmlns:a16="http://schemas.microsoft.com/office/drawing/2014/main" id="{00000000-0008-0000-1D00-000016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56</xdr:row>
          <xdr:rowOff>142875</xdr:rowOff>
        </xdr:from>
        <xdr:to>
          <xdr:col>35</xdr:col>
          <xdr:colOff>66675</xdr:colOff>
          <xdr:row>58</xdr:row>
          <xdr:rowOff>9525</xdr:rowOff>
        </xdr:to>
        <xdr:sp macro="" textlink="">
          <xdr:nvSpPr>
            <xdr:cNvPr id="168983" name="Check Box 23" hidden="1">
              <a:extLst>
                <a:ext uri="{63B3BB69-23CF-44E3-9099-C40C66FF867C}">
                  <a14:compatExt spid="_x0000_s168983"/>
                </a:ext>
                <a:ext uri="{FF2B5EF4-FFF2-40B4-BE49-F238E27FC236}">
                  <a16:creationId xmlns:a16="http://schemas.microsoft.com/office/drawing/2014/main" id="{00000000-0008-0000-1D00-000017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108</xdr:row>
      <xdr:rowOff>95400</xdr:rowOff>
    </xdr:from>
    <xdr:to>
      <xdr:col>20</xdr:col>
      <xdr:colOff>0</xdr:colOff>
      <xdr:row>140</xdr:row>
      <xdr:rowOff>0</xdr:rowOff>
    </xdr:to>
    <xdr:graphicFrame macro="">
      <xdr:nvGraphicFramePr>
        <xdr:cNvPr id="34" name="Chart 13">
          <a:extLst>
            <a:ext uri="{FF2B5EF4-FFF2-40B4-BE49-F238E27FC236}">
              <a16:creationId xmlns:a16="http://schemas.microsoft.com/office/drawing/2014/main" id="{00000000-0008-0000-1D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57150</xdr:colOff>
      <xdr:row>63</xdr:row>
      <xdr:rowOff>76200</xdr:rowOff>
    </xdr:from>
    <xdr:to>
      <xdr:col>11</xdr:col>
      <xdr:colOff>428625</xdr:colOff>
      <xdr:row>63</xdr:row>
      <xdr:rowOff>76200</xdr:rowOff>
    </xdr:to>
    <xdr:sp macro="" textlink="">
      <xdr:nvSpPr>
        <xdr:cNvPr id="39" name="Line 283">
          <a:extLst>
            <a:ext uri="{FF2B5EF4-FFF2-40B4-BE49-F238E27FC236}">
              <a16:creationId xmlns:a16="http://schemas.microsoft.com/office/drawing/2014/main" id="{00000000-0008-0000-1D00-000027000000}"/>
            </a:ext>
          </a:extLst>
        </xdr:cNvPr>
        <xdr:cNvSpPr>
          <a:spLocks noChangeShapeType="1"/>
        </xdr:cNvSpPr>
      </xdr:nvSpPr>
      <xdr:spPr bwMode="auto">
        <a:xfrm>
          <a:off x="4772025" y="111918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63</xdr:row>
      <xdr:rowOff>38100</xdr:rowOff>
    </xdr:from>
    <xdr:to>
      <xdr:col>15</xdr:col>
      <xdr:colOff>304800</xdr:colOff>
      <xdr:row>63</xdr:row>
      <xdr:rowOff>114300</xdr:rowOff>
    </xdr:to>
    <xdr:sp macro="" textlink="">
      <xdr:nvSpPr>
        <xdr:cNvPr id="40" name="Oval 2164">
          <a:extLst>
            <a:ext uri="{FF2B5EF4-FFF2-40B4-BE49-F238E27FC236}">
              <a16:creationId xmlns:a16="http://schemas.microsoft.com/office/drawing/2014/main" id="{00000000-0008-0000-1D00-000028000000}"/>
            </a:ext>
          </a:extLst>
        </xdr:cNvPr>
        <xdr:cNvSpPr>
          <a:spLocks noChangeArrowheads="1"/>
        </xdr:cNvSpPr>
      </xdr:nvSpPr>
      <xdr:spPr bwMode="auto">
        <a:xfrm>
          <a:off x="7172325" y="1118235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oneCellAnchor>
    <xdr:from>
      <xdr:col>21</xdr:col>
      <xdr:colOff>95250</xdr:colOff>
      <xdr:row>105</xdr:row>
      <xdr:rowOff>33750</xdr:rowOff>
    </xdr:from>
    <xdr:ext cx="252000" cy="252000"/>
    <xdr:sp macro="[0]!Careleavers" textlink="">
      <xdr:nvSpPr>
        <xdr:cNvPr id="41" name="Down Arrow 44">
          <a:extLst>
            <a:ext uri="{FF2B5EF4-FFF2-40B4-BE49-F238E27FC236}">
              <a16:creationId xmlns:a16="http://schemas.microsoft.com/office/drawing/2014/main" id="{00000000-0008-0000-1D00-000029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100</xdr:row>
      <xdr:rowOff>76199</xdr:rowOff>
    </xdr:from>
    <xdr:to>
      <xdr:col>8</xdr:col>
      <xdr:colOff>0</xdr:colOff>
      <xdr:row>104</xdr:row>
      <xdr:rowOff>0</xdr:rowOff>
    </xdr:to>
    <xdr:graphicFrame macro="">
      <xdr:nvGraphicFramePr>
        <xdr:cNvPr id="42" name="Chart 13">
          <a:extLst>
            <a:ext uri="{FF2B5EF4-FFF2-40B4-BE49-F238E27FC236}">
              <a16:creationId xmlns:a16="http://schemas.microsoft.com/office/drawing/2014/main" id="{00000000-0008-0000-1D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72</xdr:row>
      <xdr:rowOff>95251</xdr:rowOff>
    </xdr:from>
    <xdr:to>
      <xdr:col>20</xdr:col>
      <xdr:colOff>0</xdr:colOff>
      <xdr:row>104</xdr:row>
      <xdr:rowOff>0</xdr:rowOff>
    </xdr:to>
    <xdr:graphicFrame macro="">
      <xdr:nvGraphicFramePr>
        <xdr:cNvPr id="43" name="Chart 13">
          <a:extLst>
            <a:ext uri="{FF2B5EF4-FFF2-40B4-BE49-F238E27FC236}">
              <a16:creationId xmlns:a16="http://schemas.microsoft.com/office/drawing/2014/main" id="{00000000-0008-0000-1D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21</xdr:col>
      <xdr:colOff>95250</xdr:colOff>
      <xdr:row>177</xdr:row>
      <xdr:rowOff>33750</xdr:rowOff>
    </xdr:from>
    <xdr:ext cx="252000" cy="252000"/>
    <xdr:sp macro="[0]!Careleavers" textlink="">
      <xdr:nvSpPr>
        <xdr:cNvPr id="44" name="Down Arrow 43">
          <a:extLst>
            <a:ext uri="{FF2B5EF4-FFF2-40B4-BE49-F238E27FC236}">
              <a16:creationId xmlns:a16="http://schemas.microsoft.com/office/drawing/2014/main" id="{00000000-0008-0000-1D00-00002C000000}"/>
            </a:ext>
          </a:extLst>
        </xdr:cNvPr>
        <xdr:cNvSpPr>
          <a:spLocks noChangeArrowheads="1"/>
        </xdr:cNvSpPr>
      </xdr:nvSpPr>
      <xdr:spPr bwMode="auto">
        <a:xfrm flipV="1">
          <a:off x="9277350" y="401625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173</xdr:row>
      <xdr:rowOff>1</xdr:rowOff>
    </xdr:from>
    <xdr:to>
      <xdr:col>8</xdr:col>
      <xdr:colOff>0</xdr:colOff>
      <xdr:row>176</xdr:row>
      <xdr:rowOff>1</xdr:rowOff>
    </xdr:to>
    <xdr:graphicFrame macro="">
      <xdr:nvGraphicFramePr>
        <xdr:cNvPr id="45" name="Chart 13">
          <a:extLst>
            <a:ext uri="{FF2B5EF4-FFF2-40B4-BE49-F238E27FC236}">
              <a16:creationId xmlns:a16="http://schemas.microsoft.com/office/drawing/2014/main" id="{00000000-0008-0000-1D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0</xdr:colOff>
      <xdr:row>144</xdr:row>
      <xdr:rowOff>95250</xdr:rowOff>
    </xdr:from>
    <xdr:to>
      <xdr:col>20</xdr:col>
      <xdr:colOff>0</xdr:colOff>
      <xdr:row>175</xdr:row>
      <xdr:rowOff>514349</xdr:rowOff>
    </xdr:to>
    <xdr:graphicFrame macro="">
      <xdr:nvGraphicFramePr>
        <xdr:cNvPr id="46" name="Chart 13">
          <a:extLst>
            <a:ext uri="{FF2B5EF4-FFF2-40B4-BE49-F238E27FC236}">
              <a16:creationId xmlns:a16="http://schemas.microsoft.com/office/drawing/2014/main" id="{00000000-0008-0000-1D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21</xdr:col>
      <xdr:colOff>66675</xdr:colOff>
      <xdr:row>0</xdr:row>
      <xdr:rowOff>193416</xdr:rowOff>
    </xdr:from>
    <xdr:to>
      <xdr:col>21</xdr:col>
      <xdr:colOff>371475</xdr:colOff>
      <xdr:row>2</xdr:row>
      <xdr:rowOff>47625</xdr:rowOff>
    </xdr:to>
    <xdr:pic macro="[0]!Home">
      <xdr:nvPicPr>
        <xdr:cNvPr id="62" name="Picture 61">
          <a:extLst>
            <a:ext uri="{FF2B5EF4-FFF2-40B4-BE49-F238E27FC236}">
              <a16:creationId xmlns:a16="http://schemas.microsoft.com/office/drawing/2014/main" id="{00000000-0008-0000-1D00-00003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Adoption" textlink="">
      <xdr:nvSpPr>
        <xdr:cNvPr id="63" name="Right Arrow 62">
          <a:extLst>
            <a:ext uri="{FF2B5EF4-FFF2-40B4-BE49-F238E27FC236}">
              <a16:creationId xmlns:a16="http://schemas.microsoft.com/office/drawing/2014/main" id="{00000000-0008-0000-1D00-00003F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EHCP" textlink="">
      <xdr:nvSpPr>
        <xdr:cNvPr id="64" name="Right Arrow 50">
          <a:extLst>
            <a:ext uri="{FF2B5EF4-FFF2-40B4-BE49-F238E27FC236}">
              <a16:creationId xmlns:a16="http://schemas.microsoft.com/office/drawing/2014/main" id="{00000000-0008-0000-1D00-000040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xdr:colOff>
      <xdr:row>39</xdr:row>
      <xdr:rowOff>0</xdr:rowOff>
    </xdr:from>
    <xdr:to>
      <xdr:col>20</xdr:col>
      <xdr:colOff>1</xdr:colOff>
      <xdr:row>63</xdr:row>
      <xdr:rowOff>0</xdr:rowOff>
    </xdr:to>
    <xdr:graphicFrame macro="">
      <xdr:nvGraphicFramePr>
        <xdr:cNvPr id="49" name="Chart 176">
          <a:extLst>
            <a:ext uri="{FF2B5EF4-FFF2-40B4-BE49-F238E27FC236}">
              <a16:creationId xmlns:a16="http://schemas.microsoft.com/office/drawing/2014/main" id="{00000000-0008-0000-1D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editAs="oneCell">
    <xdr:from>
      <xdr:col>21</xdr:col>
      <xdr:colOff>95250</xdr:colOff>
      <xdr:row>36</xdr:row>
      <xdr:rowOff>33750</xdr:rowOff>
    </xdr:from>
    <xdr:to>
      <xdr:col>21</xdr:col>
      <xdr:colOff>353600</xdr:colOff>
      <xdr:row>37</xdr:row>
      <xdr:rowOff>95250</xdr:rowOff>
    </xdr:to>
    <xdr:sp macro="[0]!ROSGO" textlink="">
      <xdr:nvSpPr>
        <xdr:cNvPr id="2" name="Down Arrow 44">
          <a:extLst>
            <a:ext uri="{FF2B5EF4-FFF2-40B4-BE49-F238E27FC236}">
              <a16:creationId xmlns:a16="http://schemas.microsoft.com/office/drawing/2014/main" id="{00000000-0008-0000-1E00-000002000000}"/>
            </a:ext>
          </a:extLst>
        </xdr:cNvPr>
        <xdr:cNvSpPr>
          <a:spLocks noChangeArrowheads="1"/>
        </xdr:cNvSpPr>
      </xdr:nvSpPr>
      <xdr:spPr bwMode="auto">
        <a:xfrm flipV="1">
          <a:off x="9277350" y="64536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69</xdr:row>
      <xdr:rowOff>33750</xdr:rowOff>
    </xdr:from>
    <xdr:to>
      <xdr:col>21</xdr:col>
      <xdr:colOff>347250</xdr:colOff>
      <xdr:row>70</xdr:row>
      <xdr:rowOff>95250</xdr:rowOff>
    </xdr:to>
    <xdr:sp macro="[0]!ROSGO" textlink="">
      <xdr:nvSpPr>
        <xdr:cNvPr id="3" name="Down Arrow 2">
          <a:extLst>
            <a:ext uri="{FF2B5EF4-FFF2-40B4-BE49-F238E27FC236}">
              <a16:creationId xmlns:a16="http://schemas.microsoft.com/office/drawing/2014/main" id="{00000000-0008-0000-1E00-000003000000}"/>
            </a:ext>
          </a:extLst>
        </xdr:cNvPr>
        <xdr:cNvSpPr/>
      </xdr:nvSpPr>
      <xdr:spPr>
        <a:xfrm flipV="1">
          <a:off x="9277350" y="13197300"/>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0</xdr:colOff>
      <xdr:row>68</xdr:row>
      <xdr:rowOff>0</xdr:rowOff>
    </xdr:to>
    <xdr:graphicFrame macro="">
      <xdr:nvGraphicFramePr>
        <xdr:cNvPr id="6" name="Chart 13">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63</xdr:row>
      <xdr:rowOff>95250</xdr:rowOff>
    </xdr:from>
    <xdr:to>
      <xdr:col>11</xdr:col>
      <xdr:colOff>438150</xdr:colOff>
      <xdr:row>63</xdr:row>
      <xdr:rowOff>95250</xdr:rowOff>
    </xdr:to>
    <xdr:sp macro="" textlink="">
      <xdr:nvSpPr>
        <xdr:cNvPr id="7" name="Line 283">
          <a:extLst>
            <a:ext uri="{FF2B5EF4-FFF2-40B4-BE49-F238E27FC236}">
              <a16:creationId xmlns:a16="http://schemas.microsoft.com/office/drawing/2014/main" id="{00000000-0008-0000-1E00-000007000000}"/>
            </a:ext>
          </a:extLst>
        </xdr:cNvPr>
        <xdr:cNvSpPr>
          <a:spLocks noChangeShapeType="1"/>
        </xdr:cNvSpPr>
      </xdr:nvSpPr>
      <xdr:spPr bwMode="auto">
        <a:xfrm>
          <a:off x="4943475" y="11191875"/>
          <a:ext cx="371475"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63</xdr:row>
      <xdr:rowOff>47625</xdr:rowOff>
    </xdr:from>
    <xdr:to>
      <xdr:col>15</xdr:col>
      <xdr:colOff>304800</xdr:colOff>
      <xdr:row>63</xdr:row>
      <xdr:rowOff>123825</xdr:rowOff>
    </xdr:to>
    <xdr:sp macro="" textlink="">
      <xdr:nvSpPr>
        <xdr:cNvPr id="8" name="Oval 2164">
          <a:extLst>
            <a:ext uri="{FF2B5EF4-FFF2-40B4-BE49-F238E27FC236}">
              <a16:creationId xmlns:a16="http://schemas.microsoft.com/office/drawing/2014/main" id="{00000000-0008-0000-1E00-000008000000}"/>
            </a:ext>
          </a:extLst>
        </xdr:cNvPr>
        <xdr:cNvSpPr>
          <a:spLocks noChangeArrowheads="1"/>
        </xdr:cNvSpPr>
      </xdr:nvSpPr>
      <xdr:spPr bwMode="auto">
        <a:xfrm>
          <a:off x="7048500"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11</xdr:col>
      <xdr:colOff>219075</xdr:colOff>
      <xdr:row>64</xdr:row>
      <xdr:rowOff>38100</xdr:rowOff>
    </xdr:from>
    <xdr:to>
      <xdr:col>11</xdr:col>
      <xdr:colOff>295275</xdr:colOff>
      <xdr:row>64</xdr:row>
      <xdr:rowOff>114300</xdr:rowOff>
    </xdr:to>
    <xdr:sp macro="" textlink="">
      <xdr:nvSpPr>
        <xdr:cNvPr id="9" name="Oval 2165">
          <a:extLst>
            <a:ext uri="{FF2B5EF4-FFF2-40B4-BE49-F238E27FC236}">
              <a16:creationId xmlns:a16="http://schemas.microsoft.com/office/drawing/2014/main" id="{00000000-0008-0000-1E00-000009000000}"/>
            </a:ext>
          </a:extLst>
        </xdr:cNvPr>
        <xdr:cNvSpPr>
          <a:spLocks noChangeArrowheads="1"/>
        </xdr:cNvSpPr>
      </xdr:nvSpPr>
      <xdr:spPr bwMode="auto">
        <a:xfrm>
          <a:off x="4943475" y="112490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19049</xdr:colOff>
      <xdr:row>0</xdr:row>
      <xdr:rowOff>85725</xdr:rowOff>
    </xdr:from>
    <xdr:to>
      <xdr:col>20</xdr:col>
      <xdr:colOff>64499</xdr:colOff>
      <xdr:row>2</xdr:row>
      <xdr:rowOff>149475</xdr:rowOff>
    </xdr:to>
    <xdr:sp macro="" textlink="">
      <xdr:nvSpPr>
        <xdr:cNvPr id="10" name="AutoShape 32">
          <a:extLst>
            <a:ext uri="{FF2B5EF4-FFF2-40B4-BE49-F238E27FC236}">
              <a16:creationId xmlns:a16="http://schemas.microsoft.com/office/drawing/2014/main" id="{00000000-0008-0000-1E00-00000A000000}"/>
            </a:ext>
          </a:extLst>
        </xdr:cNvPr>
        <xdr:cNvSpPr>
          <a:spLocks noChangeArrowheads="1"/>
        </xdr:cNvSpPr>
      </xdr:nvSpPr>
      <xdr:spPr bwMode="auto">
        <a:xfrm>
          <a:off x="694372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0</xdr:colOff>
      <xdr:row>65</xdr:row>
      <xdr:rowOff>0</xdr:rowOff>
    </xdr:from>
    <xdr:to>
      <xdr:col>20</xdr:col>
      <xdr:colOff>1</xdr:colOff>
      <xdr:row>68</xdr:row>
      <xdr:rowOff>0</xdr:rowOff>
    </xdr:to>
    <xdr:graphicFrame macro="">
      <xdr:nvGraphicFramePr>
        <xdr:cNvPr id="11" name="Chart 13">
          <a:extLst>
            <a:ext uri="{FF2B5EF4-FFF2-40B4-BE49-F238E27FC236}">
              <a16:creationId xmlns:a16="http://schemas.microsoft.com/office/drawing/2014/main" id="{00000000-0008-0000-1E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39</xdr:row>
          <xdr:rowOff>19050</xdr:rowOff>
        </xdr:from>
        <xdr:to>
          <xdr:col>23</xdr:col>
          <xdr:colOff>66675</xdr:colOff>
          <xdr:row>41</xdr:row>
          <xdr:rowOff>0</xdr:rowOff>
        </xdr:to>
        <xdr:sp macro="" textlink="">
          <xdr:nvSpPr>
            <xdr:cNvPr id="77825" name="Check Box 1" hidden="1">
              <a:extLst>
                <a:ext uri="{63B3BB69-23CF-44E3-9099-C40C66FF867C}">
                  <a14:compatExt spid="_x0000_s77825"/>
                </a:ext>
                <a:ext uri="{FF2B5EF4-FFF2-40B4-BE49-F238E27FC236}">
                  <a16:creationId xmlns:a16="http://schemas.microsoft.com/office/drawing/2014/main" id="{00000000-0008-0000-1E00-00000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40</xdr:row>
          <xdr:rowOff>142875</xdr:rowOff>
        </xdr:from>
        <xdr:to>
          <xdr:col>23</xdr:col>
          <xdr:colOff>66675</xdr:colOff>
          <xdr:row>42</xdr:row>
          <xdr:rowOff>0</xdr:rowOff>
        </xdr:to>
        <xdr:sp macro="" textlink="">
          <xdr:nvSpPr>
            <xdr:cNvPr id="77826" name="Check Box 2" hidden="1">
              <a:extLst>
                <a:ext uri="{63B3BB69-23CF-44E3-9099-C40C66FF867C}">
                  <a14:compatExt spid="_x0000_s77826"/>
                </a:ext>
                <a:ext uri="{FF2B5EF4-FFF2-40B4-BE49-F238E27FC236}">
                  <a16:creationId xmlns:a16="http://schemas.microsoft.com/office/drawing/2014/main" id="{00000000-0008-0000-1E00-00000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41</xdr:row>
          <xdr:rowOff>142875</xdr:rowOff>
        </xdr:from>
        <xdr:to>
          <xdr:col>23</xdr:col>
          <xdr:colOff>66675</xdr:colOff>
          <xdr:row>43</xdr:row>
          <xdr:rowOff>0</xdr:rowOff>
        </xdr:to>
        <xdr:sp macro="" textlink="">
          <xdr:nvSpPr>
            <xdr:cNvPr id="77827" name="Check Box 3" hidden="1">
              <a:extLst>
                <a:ext uri="{63B3BB69-23CF-44E3-9099-C40C66FF867C}">
                  <a14:compatExt spid="_x0000_s77827"/>
                </a:ext>
                <a:ext uri="{FF2B5EF4-FFF2-40B4-BE49-F238E27FC236}">
                  <a16:creationId xmlns:a16="http://schemas.microsoft.com/office/drawing/2014/main" id="{00000000-0008-0000-1E00-00000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42</xdr:row>
          <xdr:rowOff>142875</xdr:rowOff>
        </xdr:from>
        <xdr:to>
          <xdr:col>23</xdr:col>
          <xdr:colOff>66675</xdr:colOff>
          <xdr:row>44</xdr:row>
          <xdr:rowOff>0</xdr:rowOff>
        </xdr:to>
        <xdr:sp macro="" textlink="">
          <xdr:nvSpPr>
            <xdr:cNvPr id="77828" name="Check Box 4" hidden="1">
              <a:extLst>
                <a:ext uri="{63B3BB69-23CF-44E3-9099-C40C66FF867C}">
                  <a14:compatExt spid="_x0000_s77828"/>
                </a:ext>
                <a:ext uri="{FF2B5EF4-FFF2-40B4-BE49-F238E27FC236}">
                  <a16:creationId xmlns:a16="http://schemas.microsoft.com/office/drawing/2014/main" id="{00000000-0008-0000-1E00-00000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43</xdr:row>
          <xdr:rowOff>142875</xdr:rowOff>
        </xdr:from>
        <xdr:to>
          <xdr:col>23</xdr:col>
          <xdr:colOff>66675</xdr:colOff>
          <xdr:row>45</xdr:row>
          <xdr:rowOff>0</xdr:rowOff>
        </xdr:to>
        <xdr:sp macro="" textlink="">
          <xdr:nvSpPr>
            <xdr:cNvPr id="77829" name="Check Box 5" hidden="1">
              <a:extLst>
                <a:ext uri="{63B3BB69-23CF-44E3-9099-C40C66FF867C}">
                  <a14:compatExt spid="_x0000_s77829"/>
                </a:ext>
                <a:ext uri="{FF2B5EF4-FFF2-40B4-BE49-F238E27FC236}">
                  <a16:creationId xmlns:a16="http://schemas.microsoft.com/office/drawing/2014/main" id="{00000000-0008-0000-1E00-00000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44</xdr:row>
          <xdr:rowOff>142875</xdr:rowOff>
        </xdr:from>
        <xdr:to>
          <xdr:col>23</xdr:col>
          <xdr:colOff>66675</xdr:colOff>
          <xdr:row>46</xdr:row>
          <xdr:rowOff>0</xdr:rowOff>
        </xdr:to>
        <xdr:sp macro="" textlink="">
          <xdr:nvSpPr>
            <xdr:cNvPr id="77830" name="Check Box 6" hidden="1">
              <a:extLst>
                <a:ext uri="{63B3BB69-23CF-44E3-9099-C40C66FF867C}">
                  <a14:compatExt spid="_x0000_s77830"/>
                </a:ext>
                <a:ext uri="{FF2B5EF4-FFF2-40B4-BE49-F238E27FC236}">
                  <a16:creationId xmlns:a16="http://schemas.microsoft.com/office/drawing/2014/main" id="{00000000-0008-0000-1E00-00000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45</xdr:row>
          <xdr:rowOff>142875</xdr:rowOff>
        </xdr:from>
        <xdr:to>
          <xdr:col>23</xdr:col>
          <xdr:colOff>66675</xdr:colOff>
          <xdr:row>47</xdr:row>
          <xdr:rowOff>0</xdr:rowOff>
        </xdr:to>
        <xdr:sp macro="" textlink="">
          <xdr:nvSpPr>
            <xdr:cNvPr id="77831" name="Check Box 7" hidden="1">
              <a:extLst>
                <a:ext uri="{63B3BB69-23CF-44E3-9099-C40C66FF867C}">
                  <a14:compatExt spid="_x0000_s77831"/>
                </a:ext>
                <a:ext uri="{FF2B5EF4-FFF2-40B4-BE49-F238E27FC236}">
                  <a16:creationId xmlns:a16="http://schemas.microsoft.com/office/drawing/2014/main" id="{00000000-0008-0000-1E00-00000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46</xdr:row>
          <xdr:rowOff>142875</xdr:rowOff>
        </xdr:from>
        <xdr:to>
          <xdr:col>23</xdr:col>
          <xdr:colOff>66675</xdr:colOff>
          <xdr:row>48</xdr:row>
          <xdr:rowOff>0</xdr:rowOff>
        </xdr:to>
        <xdr:sp macro="" textlink="">
          <xdr:nvSpPr>
            <xdr:cNvPr id="77832" name="Check Box 8" hidden="1">
              <a:extLst>
                <a:ext uri="{63B3BB69-23CF-44E3-9099-C40C66FF867C}">
                  <a14:compatExt spid="_x0000_s77832"/>
                </a:ext>
                <a:ext uri="{FF2B5EF4-FFF2-40B4-BE49-F238E27FC236}">
                  <a16:creationId xmlns:a16="http://schemas.microsoft.com/office/drawing/2014/main" id="{00000000-0008-0000-1E00-00000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47</xdr:row>
          <xdr:rowOff>142875</xdr:rowOff>
        </xdr:from>
        <xdr:to>
          <xdr:col>23</xdr:col>
          <xdr:colOff>66675</xdr:colOff>
          <xdr:row>49</xdr:row>
          <xdr:rowOff>0</xdr:rowOff>
        </xdr:to>
        <xdr:sp macro="" textlink="">
          <xdr:nvSpPr>
            <xdr:cNvPr id="77833" name="Check Box 9" hidden="1">
              <a:extLst>
                <a:ext uri="{63B3BB69-23CF-44E3-9099-C40C66FF867C}">
                  <a14:compatExt spid="_x0000_s77833"/>
                </a:ext>
                <a:ext uri="{FF2B5EF4-FFF2-40B4-BE49-F238E27FC236}">
                  <a16:creationId xmlns:a16="http://schemas.microsoft.com/office/drawing/2014/main" id="{00000000-0008-0000-1E00-00000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48</xdr:row>
          <xdr:rowOff>142875</xdr:rowOff>
        </xdr:from>
        <xdr:to>
          <xdr:col>23</xdr:col>
          <xdr:colOff>66675</xdr:colOff>
          <xdr:row>50</xdr:row>
          <xdr:rowOff>0</xdr:rowOff>
        </xdr:to>
        <xdr:sp macro="" textlink="">
          <xdr:nvSpPr>
            <xdr:cNvPr id="77834" name="Check Box 10" hidden="1">
              <a:extLst>
                <a:ext uri="{63B3BB69-23CF-44E3-9099-C40C66FF867C}">
                  <a14:compatExt spid="_x0000_s77834"/>
                </a:ext>
                <a:ext uri="{FF2B5EF4-FFF2-40B4-BE49-F238E27FC236}">
                  <a16:creationId xmlns:a16="http://schemas.microsoft.com/office/drawing/2014/main" id="{00000000-0008-0000-1E00-00000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49</xdr:row>
          <xdr:rowOff>142875</xdr:rowOff>
        </xdr:from>
        <xdr:to>
          <xdr:col>23</xdr:col>
          <xdr:colOff>66675</xdr:colOff>
          <xdr:row>51</xdr:row>
          <xdr:rowOff>0</xdr:rowOff>
        </xdr:to>
        <xdr:sp macro="" textlink="">
          <xdr:nvSpPr>
            <xdr:cNvPr id="77835" name="Check Box 11" hidden="1">
              <a:extLst>
                <a:ext uri="{63B3BB69-23CF-44E3-9099-C40C66FF867C}">
                  <a14:compatExt spid="_x0000_s77835"/>
                </a:ext>
                <a:ext uri="{FF2B5EF4-FFF2-40B4-BE49-F238E27FC236}">
                  <a16:creationId xmlns:a16="http://schemas.microsoft.com/office/drawing/2014/main" id="{00000000-0008-0000-1E00-00000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50</xdr:row>
          <xdr:rowOff>142875</xdr:rowOff>
        </xdr:from>
        <xdr:to>
          <xdr:col>23</xdr:col>
          <xdr:colOff>66675</xdr:colOff>
          <xdr:row>52</xdr:row>
          <xdr:rowOff>0</xdr:rowOff>
        </xdr:to>
        <xdr:sp macro="" textlink="">
          <xdr:nvSpPr>
            <xdr:cNvPr id="77836" name="Check Box 12" hidden="1">
              <a:extLst>
                <a:ext uri="{63B3BB69-23CF-44E3-9099-C40C66FF867C}">
                  <a14:compatExt spid="_x0000_s77836"/>
                </a:ext>
                <a:ext uri="{FF2B5EF4-FFF2-40B4-BE49-F238E27FC236}">
                  <a16:creationId xmlns:a16="http://schemas.microsoft.com/office/drawing/2014/main" id="{00000000-0008-0000-1E00-00000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51</xdr:row>
          <xdr:rowOff>142875</xdr:rowOff>
        </xdr:from>
        <xdr:to>
          <xdr:col>23</xdr:col>
          <xdr:colOff>66675</xdr:colOff>
          <xdr:row>53</xdr:row>
          <xdr:rowOff>0</xdr:rowOff>
        </xdr:to>
        <xdr:sp macro="" textlink="">
          <xdr:nvSpPr>
            <xdr:cNvPr id="77837" name="Check Box 13" hidden="1">
              <a:extLst>
                <a:ext uri="{63B3BB69-23CF-44E3-9099-C40C66FF867C}">
                  <a14:compatExt spid="_x0000_s77837"/>
                </a:ext>
                <a:ext uri="{FF2B5EF4-FFF2-40B4-BE49-F238E27FC236}">
                  <a16:creationId xmlns:a16="http://schemas.microsoft.com/office/drawing/2014/main" id="{00000000-0008-0000-1E00-00000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52</xdr:row>
          <xdr:rowOff>142875</xdr:rowOff>
        </xdr:from>
        <xdr:to>
          <xdr:col>23</xdr:col>
          <xdr:colOff>66675</xdr:colOff>
          <xdr:row>54</xdr:row>
          <xdr:rowOff>0</xdr:rowOff>
        </xdr:to>
        <xdr:sp macro="" textlink="">
          <xdr:nvSpPr>
            <xdr:cNvPr id="77838" name="Check Box 14" hidden="1">
              <a:extLst>
                <a:ext uri="{63B3BB69-23CF-44E3-9099-C40C66FF867C}">
                  <a14:compatExt spid="_x0000_s77838"/>
                </a:ext>
                <a:ext uri="{FF2B5EF4-FFF2-40B4-BE49-F238E27FC236}">
                  <a16:creationId xmlns:a16="http://schemas.microsoft.com/office/drawing/2014/main" id="{00000000-0008-0000-1E00-00000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53</xdr:row>
          <xdr:rowOff>142875</xdr:rowOff>
        </xdr:from>
        <xdr:to>
          <xdr:col>23</xdr:col>
          <xdr:colOff>66675</xdr:colOff>
          <xdr:row>55</xdr:row>
          <xdr:rowOff>0</xdr:rowOff>
        </xdr:to>
        <xdr:sp macro="" textlink="">
          <xdr:nvSpPr>
            <xdr:cNvPr id="77839" name="Check Box 15" hidden="1">
              <a:extLst>
                <a:ext uri="{63B3BB69-23CF-44E3-9099-C40C66FF867C}">
                  <a14:compatExt spid="_x0000_s77839"/>
                </a:ext>
                <a:ext uri="{FF2B5EF4-FFF2-40B4-BE49-F238E27FC236}">
                  <a16:creationId xmlns:a16="http://schemas.microsoft.com/office/drawing/2014/main" id="{00000000-0008-0000-1E00-00000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54</xdr:row>
          <xdr:rowOff>142875</xdr:rowOff>
        </xdr:from>
        <xdr:to>
          <xdr:col>23</xdr:col>
          <xdr:colOff>66675</xdr:colOff>
          <xdr:row>56</xdr:row>
          <xdr:rowOff>0</xdr:rowOff>
        </xdr:to>
        <xdr:sp macro="" textlink="">
          <xdr:nvSpPr>
            <xdr:cNvPr id="77840" name="Check Box 16" hidden="1">
              <a:extLst>
                <a:ext uri="{63B3BB69-23CF-44E3-9099-C40C66FF867C}">
                  <a14:compatExt spid="_x0000_s77840"/>
                </a:ext>
                <a:ext uri="{FF2B5EF4-FFF2-40B4-BE49-F238E27FC236}">
                  <a16:creationId xmlns:a16="http://schemas.microsoft.com/office/drawing/2014/main" id="{00000000-0008-0000-1E00-00001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57</xdr:row>
          <xdr:rowOff>142875</xdr:rowOff>
        </xdr:from>
        <xdr:to>
          <xdr:col>23</xdr:col>
          <xdr:colOff>66675</xdr:colOff>
          <xdr:row>59</xdr:row>
          <xdr:rowOff>0</xdr:rowOff>
        </xdr:to>
        <xdr:sp macro="" textlink="">
          <xdr:nvSpPr>
            <xdr:cNvPr id="77841" name="Check Box 17" hidden="1">
              <a:extLst>
                <a:ext uri="{63B3BB69-23CF-44E3-9099-C40C66FF867C}">
                  <a14:compatExt spid="_x0000_s77841"/>
                </a:ext>
                <a:ext uri="{FF2B5EF4-FFF2-40B4-BE49-F238E27FC236}">
                  <a16:creationId xmlns:a16="http://schemas.microsoft.com/office/drawing/2014/main" id="{00000000-0008-0000-1E00-00001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58</xdr:row>
          <xdr:rowOff>142875</xdr:rowOff>
        </xdr:from>
        <xdr:to>
          <xdr:col>23</xdr:col>
          <xdr:colOff>66675</xdr:colOff>
          <xdr:row>60</xdr:row>
          <xdr:rowOff>0</xdr:rowOff>
        </xdr:to>
        <xdr:sp macro="" textlink="">
          <xdr:nvSpPr>
            <xdr:cNvPr id="77842" name="Check Box 18" hidden="1">
              <a:extLst>
                <a:ext uri="{63B3BB69-23CF-44E3-9099-C40C66FF867C}">
                  <a14:compatExt spid="_x0000_s77842"/>
                </a:ext>
                <a:ext uri="{FF2B5EF4-FFF2-40B4-BE49-F238E27FC236}">
                  <a16:creationId xmlns:a16="http://schemas.microsoft.com/office/drawing/2014/main" id="{00000000-0008-0000-1E00-00001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59</xdr:row>
          <xdr:rowOff>142875</xdr:rowOff>
        </xdr:from>
        <xdr:to>
          <xdr:col>23</xdr:col>
          <xdr:colOff>66675</xdr:colOff>
          <xdr:row>61</xdr:row>
          <xdr:rowOff>0</xdr:rowOff>
        </xdr:to>
        <xdr:sp macro="" textlink="">
          <xdr:nvSpPr>
            <xdr:cNvPr id="77843" name="Check Box 19" hidden="1">
              <a:extLst>
                <a:ext uri="{63B3BB69-23CF-44E3-9099-C40C66FF867C}">
                  <a14:compatExt spid="_x0000_s77843"/>
                </a:ext>
                <a:ext uri="{FF2B5EF4-FFF2-40B4-BE49-F238E27FC236}">
                  <a16:creationId xmlns:a16="http://schemas.microsoft.com/office/drawing/2014/main" id="{00000000-0008-0000-1E00-00001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60</xdr:row>
          <xdr:rowOff>142875</xdr:rowOff>
        </xdr:from>
        <xdr:to>
          <xdr:col>23</xdr:col>
          <xdr:colOff>66675</xdr:colOff>
          <xdr:row>62</xdr:row>
          <xdr:rowOff>0</xdr:rowOff>
        </xdr:to>
        <xdr:sp macro="" textlink="">
          <xdr:nvSpPr>
            <xdr:cNvPr id="77844" name="Check Box 20" hidden="1">
              <a:extLst>
                <a:ext uri="{63B3BB69-23CF-44E3-9099-C40C66FF867C}">
                  <a14:compatExt spid="_x0000_s77844"/>
                </a:ext>
                <a:ext uri="{FF2B5EF4-FFF2-40B4-BE49-F238E27FC236}">
                  <a16:creationId xmlns:a16="http://schemas.microsoft.com/office/drawing/2014/main" id="{00000000-0008-0000-1E00-00001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61</xdr:row>
          <xdr:rowOff>142875</xdr:rowOff>
        </xdr:from>
        <xdr:to>
          <xdr:col>23</xdr:col>
          <xdr:colOff>66675</xdr:colOff>
          <xdr:row>63</xdr:row>
          <xdr:rowOff>0</xdr:rowOff>
        </xdr:to>
        <xdr:sp macro="" textlink="">
          <xdr:nvSpPr>
            <xdr:cNvPr id="77845" name="Check Box 21" hidden="1">
              <a:extLst>
                <a:ext uri="{63B3BB69-23CF-44E3-9099-C40C66FF867C}">
                  <a14:compatExt spid="_x0000_s77845"/>
                </a:ext>
                <a:ext uri="{FF2B5EF4-FFF2-40B4-BE49-F238E27FC236}">
                  <a16:creationId xmlns:a16="http://schemas.microsoft.com/office/drawing/2014/main" id="{00000000-0008-0000-1E00-00001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95250</xdr:colOff>
      <xdr:row>143</xdr:row>
      <xdr:rowOff>33750</xdr:rowOff>
    </xdr:from>
    <xdr:ext cx="252000" cy="252000"/>
    <xdr:sp macro="[0]!ROSGO" textlink="">
      <xdr:nvSpPr>
        <xdr:cNvPr id="36" name="Down Arrow 44">
          <a:extLst>
            <a:ext uri="{FF2B5EF4-FFF2-40B4-BE49-F238E27FC236}">
              <a16:creationId xmlns:a16="http://schemas.microsoft.com/office/drawing/2014/main" id="{00000000-0008-0000-1E00-000024000000}"/>
            </a:ext>
          </a:extLst>
        </xdr:cNvPr>
        <xdr:cNvSpPr>
          <a:spLocks noChangeArrowheads="1"/>
        </xdr:cNvSpPr>
      </xdr:nvSpPr>
      <xdr:spPr bwMode="auto">
        <a:xfrm flipV="1">
          <a:off x="9277350" y="199410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21</xdr:col>
      <xdr:colOff>95250</xdr:colOff>
      <xdr:row>176</xdr:row>
      <xdr:rowOff>33750</xdr:rowOff>
    </xdr:from>
    <xdr:to>
      <xdr:col>21</xdr:col>
      <xdr:colOff>347250</xdr:colOff>
      <xdr:row>177</xdr:row>
      <xdr:rowOff>95250</xdr:rowOff>
    </xdr:to>
    <xdr:sp macro="[0]!ROSGO" textlink="">
      <xdr:nvSpPr>
        <xdr:cNvPr id="37" name="Down Arrow 36">
          <a:extLst>
            <a:ext uri="{FF2B5EF4-FFF2-40B4-BE49-F238E27FC236}">
              <a16:creationId xmlns:a16="http://schemas.microsoft.com/office/drawing/2014/main" id="{00000000-0008-0000-1E00-000025000000}"/>
            </a:ext>
          </a:extLst>
        </xdr:cNvPr>
        <xdr:cNvSpPr/>
      </xdr:nvSpPr>
      <xdr:spPr>
        <a:xfrm flipV="1">
          <a:off x="9277350" y="26684700"/>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0</xdr:colOff>
      <xdr:row>172</xdr:row>
      <xdr:rowOff>0</xdr:rowOff>
    </xdr:from>
    <xdr:to>
      <xdr:col>20</xdr:col>
      <xdr:colOff>1</xdr:colOff>
      <xdr:row>175</xdr:row>
      <xdr:rowOff>0</xdr:rowOff>
    </xdr:to>
    <xdr:graphicFrame macro="">
      <xdr:nvGraphicFramePr>
        <xdr:cNvPr id="43" name="Chart 13">
          <a:extLst>
            <a:ext uri="{FF2B5EF4-FFF2-40B4-BE49-F238E27FC236}">
              <a16:creationId xmlns:a16="http://schemas.microsoft.com/office/drawing/2014/main" id="{00000000-0008-0000-1E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145</xdr:row>
      <xdr:rowOff>142874</xdr:rowOff>
    </xdr:from>
    <xdr:to>
      <xdr:col>11</xdr:col>
      <xdr:colOff>0</xdr:colOff>
      <xdr:row>175</xdr:row>
      <xdr:rowOff>0</xdr:rowOff>
    </xdr:to>
    <xdr:graphicFrame macro="">
      <xdr:nvGraphicFramePr>
        <xdr:cNvPr id="45" name="Chart 13">
          <a:extLst>
            <a:ext uri="{FF2B5EF4-FFF2-40B4-BE49-F238E27FC236}">
              <a16:creationId xmlns:a16="http://schemas.microsoft.com/office/drawing/2014/main" id="{00000000-0008-0000-1E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55</xdr:row>
          <xdr:rowOff>142875</xdr:rowOff>
        </xdr:from>
        <xdr:to>
          <xdr:col>23</xdr:col>
          <xdr:colOff>66675</xdr:colOff>
          <xdr:row>57</xdr:row>
          <xdr:rowOff>0</xdr:rowOff>
        </xdr:to>
        <xdr:sp macro="" textlink="">
          <xdr:nvSpPr>
            <xdr:cNvPr id="77960" name="Check Box 136" hidden="1">
              <a:extLst>
                <a:ext uri="{63B3BB69-23CF-44E3-9099-C40C66FF867C}">
                  <a14:compatExt spid="_x0000_s77960"/>
                </a:ext>
                <a:ext uri="{FF2B5EF4-FFF2-40B4-BE49-F238E27FC236}">
                  <a16:creationId xmlns:a16="http://schemas.microsoft.com/office/drawing/2014/main" id="{00000000-0008-0000-1E00-00008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56</xdr:row>
          <xdr:rowOff>142875</xdr:rowOff>
        </xdr:from>
        <xdr:to>
          <xdr:col>23</xdr:col>
          <xdr:colOff>66675</xdr:colOff>
          <xdr:row>58</xdr:row>
          <xdr:rowOff>0</xdr:rowOff>
        </xdr:to>
        <xdr:sp macro="" textlink="">
          <xdr:nvSpPr>
            <xdr:cNvPr id="77961" name="Check Box 137" hidden="1">
              <a:extLst>
                <a:ext uri="{63B3BB69-23CF-44E3-9099-C40C66FF867C}">
                  <a14:compatExt spid="_x0000_s77961"/>
                </a:ext>
                <a:ext uri="{FF2B5EF4-FFF2-40B4-BE49-F238E27FC236}">
                  <a16:creationId xmlns:a16="http://schemas.microsoft.com/office/drawing/2014/main" id="{00000000-0008-0000-1E00-00008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100</xdr:row>
      <xdr:rowOff>76199</xdr:rowOff>
    </xdr:from>
    <xdr:to>
      <xdr:col>8</xdr:col>
      <xdr:colOff>0</xdr:colOff>
      <xdr:row>104</xdr:row>
      <xdr:rowOff>0</xdr:rowOff>
    </xdr:to>
    <xdr:graphicFrame macro="">
      <xdr:nvGraphicFramePr>
        <xdr:cNvPr id="46" name="Chart 13">
          <a:extLst>
            <a:ext uri="{FF2B5EF4-FFF2-40B4-BE49-F238E27FC236}">
              <a16:creationId xmlns:a16="http://schemas.microsoft.com/office/drawing/2014/main" id="{00000000-0008-0000-1E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72</xdr:row>
      <xdr:rowOff>95250</xdr:rowOff>
    </xdr:from>
    <xdr:to>
      <xdr:col>20</xdr:col>
      <xdr:colOff>0</xdr:colOff>
      <xdr:row>104</xdr:row>
      <xdr:rowOff>0</xdr:rowOff>
    </xdr:to>
    <xdr:graphicFrame macro="">
      <xdr:nvGraphicFramePr>
        <xdr:cNvPr id="47" name="Chart 13">
          <a:extLst>
            <a:ext uri="{FF2B5EF4-FFF2-40B4-BE49-F238E27FC236}">
              <a16:creationId xmlns:a16="http://schemas.microsoft.com/office/drawing/2014/main" id="{00000000-0008-0000-1E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207</xdr:row>
      <xdr:rowOff>76199</xdr:rowOff>
    </xdr:from>
    <xdr:to>
      <xdr:col>8</xdr:col>
      <xdr:colOff>0</xdr:colOff>
      <xdr:row>211</xdr:row>
      <xdr:rowOff>0</xdr:rowOff>
    </xdr:to>
    <xdr:graphicFrame macro="">
      <xdr:nvGraphicFramePr>
        <xdr:cNvPr id="49" name="Chart 13">
          <a:extLst>
            <a:ext uri="{FF2B5EF4-FFF2-40B4-BE49-F238E27FC236}">
              <a16:creationId xmlns:a16="http://schemas.microsoft.com/office/drawing/2014/main" id="{00000000-0008-0000-1E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0</xdr:colOff>
      <xdr:row>179</xdr:row>
      <xdr:rowOff>95250</xdr:rowOff>
    </xdr:from>
    <xdr:to>
      <xdr:col>20</xdr:col>
      <xdr:colOff>0</xdr:colOff>
      <xdr:row>211</xdr:row>
      <xdr:rowOff>0</xdr:rowOff>
    </xdr:to>
    <xdr:graphicFrame macro="">
      <xdr:nvGraphicFramePr>
        <xdr:cNvPr id="50" name="Chart 13">
          <a:extLst>
            <a:ext uri="{FF2B5EF4-FFF2-40B4-BE49-F238E27FC236}">
              <a16:creationId xmlns:a16="http://schemas.microsoft.com/office/drawing/2014/main" id="{00000000-0008-0000-1E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21</xdr:col>
      <xdr:colOff>66675</xdr:colOff>
      <xdr:row>0</xdr:row>
      <xdr:rowOff>193416</xdr:rowOff>
    </xdr:from>
    <xdr:to>
      <xdr:col>21</xdr:col>
      <xdr:colOff>372675</xdr:colOff>
      <xdr:row>2</xdr:row>
      <xdr:rowOff>47625</xdr:rowOff>
    </xdr:to>
    <xdr:pic macro="[0]!Home">
      <xdr:nvPicPr>
        <xdr:cNvPr id="52" name="Picture 51">
          <a:extLst>
            <a:ext uri="{FF2B5EF4-FFF2-40B4-BE49-F238E27FC236}">
              <a16:creationId xmlns:a16="http://schemas.microsoft.com/office/drawing/2014/main" id="{00000000-0008-0000-1E00-000034000000}"/>
            </a:ext>
          </a:extLst>
        </xdr:cNvPr>
        <xdr:cNvPicPr>
          <a:picLocks/>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48775" y="193416"/>
          <a:ext cx="306000" cy="330459"/>
        </a:xfrm>
        <a:prstGeom prst="rect">
          <a:avLst/>
        </a:prstGeom>
      </xdr:spPr>
    </xdr:pic>
    <xdr:clientData/>
  </xdr:twoCellAnchor>
  <xdr:twoCellAnchor>
    <xdr:from>
      <xdr:col>15</xdr:col>
      <xdr:colOff>133349</xdr:colOff>
      <xdr:row>107</xdr:row>
      <xdr:rowOff>85725</xdr:rowOff>
    </xdr:from>
    <xdr:to>
      <xdr:col>20</xdr:col>
      <xdr:colOff>64499</xdr:colOff>
      <xdr:row>109</xdr:row>
      <xdr:rowOff>149475</xdr:rowOff>
    </xdr:to>
    <xdr:sp macro="" textlink="">
      <xdr:nvSpPr>
        <xdr:cNvPr id="53" name="AutoShape 32">
          <a:extLst>
            <a:ext uri="{FF2B5EF4-FFF2-40B4-BE49-F238E27FC236}">
              <a16:creationId xmlns:a16="http://schemas.microsoft.com/office/drawing/2014/main" id="{00000000-0008-0000-1E00-000035000000}"/>
            </a:ext>
          </a:extLst>
        </xdr:cNvPr>
        <xdr:cNvSpPr>
          <a:spLocks noChangeArrowheads="1"/>
        </xdr:cNvSpPr>
      </xdr:nvSpPr>
      <xdr:spPr bwMode="auto">
        <a:xfrm>
          <a:off x="6953249" y="203168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66675</xdr:colOff>
      <xdr:row>170</xdr:row>
      <xdr:rowOff>95250</xdr:rowOff>
    </xdr:from>
    <xdr:to>
      <xdr:col>11</xdr:col>
      <xdr:colOff>438150</xdr:colOff>
      <xdr:row>170</xdr:row>
      <xdr:rowOff>95250</xdr:rowOff>
    </xdr:to>
    <xdr:sp macro="" textlink="">
      <xdr:nvSpPr>
        <xdr:cNvPr id="55" name="Line 283">
          <a:extLst>
            <a:ext uri="{FF2B5EF4-FFF2-40B4-BE49-F238E27FC236}">
              <a16:creationId xmlns:a16="http://schemas.microsoft.com/office/drawing/2014/main" id="{00000000-0008-0000-1E00-000037000000}"/>
            </a:ext>
          </a:extLst>
        </xdr:cNvPr>
        <xdr:cNvSpPr>
          <a:spLocks noChangeShapeType="1"/>
        </xdr:cNvSpPr>
      </xdr:nvSpPr>
      <xdr:spPr bwMode="auto">
        <a:xfrm>
          <a:off x="4943475" y="11210925"/>
          <a:ext cx="371475"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209550</xdr:colOff>
      <xdr:row>170</xdr:row>
      <xdr:rowOff>47625</xdr:rowOff>
    </xdr:from>
    <xdr:to>
      <xdr:col>15</xdr:col>
      <xdr:colOff>285750</xdr:colOff>
      <xdr:row>170</xdr:row>
      <xdr:rowOff>123825</xdr:rowOff>
    </xdr:to>
    <xdr:sp macro="" textlink="">
      <xdr:nvSpPr>
        <xdr:cNvPr id="56" name="Oval 2164">
          <a:extLst>
            <a:ext uri="{FF2B5EF4-FFF2-40B4-BE49-F238E27FC236}">
              <a16:creationId xmlns:a16="http://schemas.microsoft.com/office/drawing/2014/main" id="{00000000-0008-0000-1E00-000038000000}"/>
            </a:ext>
          </a:extLst>
        </xdr:cNvPr>
        <xdr:cNvSpPr>
          <a:spLocks noChangeArrowheads="1"/>
        </xdr:cNvSpPr>
      </xdr:nvSpPr>
      <xdr:spPr bwMode="auto">
        <a:xfrm>
          <a:off x="7029450" y="3136582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11</xdr:col>
      <xdr:colOff>219075</xdr:colOff>
      <xdr:row>171</xdr:row>
      <xdr:rowOff>38100</xdr:rowOff>
    </xdr:from>
    <xdr:to>
      <xdr:col>11</xdr:col>
      <xdr:colOff>295275</xdr:colOff>
      <xdr:row>171</xdr:row>
      <xdr:rowOff>114300</xdr:rowOff>
    </xdr:to>
    <xdr:sp macro="" textlink="">
      <xdr:nvSpPr>
        <xdr:cNvPr id="57" name="Oval 2165">
          <a:extLst>
            <a:ext uri="{FF2B5EF4-FFF2-40B4-BE49-F238E27FC236}">
              <a16:creationId xmlns:a16="http://schemas.microsoft.com/office/drawing/2014/main" id="{00000000-0008-0000-1E00-000039000000}"/>
            </a:ext>
          </a:extLst>
        </xdr:cNvPr>
        <xdr:cNvSpPr>
          <a:spLocks noChangeArrowheads="1"/>
        </xdr:cNvSpPr>
      </xdr:nvSpPr>
      <xdr:spPr bwMode="auto">
        <a:xfrm>
          <a:off x="5095875" y="11325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0</xdr:colOff>
      <xdr:row>39</xdr:row>
      <xdr:rowOff>0</xdr:rowOff>
    </xdr:from>
    <xdr:to>
      <xdr:col>20</xdr:col>
      <xdr:colOff>0</xdr:colOff>
      <xdr:row>63</xdr:row>
      <xdr:rowOff>0</xdr:rowOff>
    </xdr:to>
    <xdr:graphicFrame macro="">
      <xdr:nvGraphicFramePr>
        <xdr:cNvPr id="58" name="Chart 176">
          <a:extLst>
            <a:ext uri="{FF2B5EF4-FFF2-40B4-BE49-F238E27FC236}">
              <a16:creationId xmlns:a16="http://schemas.microsoft.com/office/drawing/2014/main" id="{00000000-0008-0000-1E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0</xdr:colOff>
      <xdr:row>146</xdr:row>
      <xdr:rowOff>0</xdr:rowOff>
    </xdr:from>
    <xdr:to>
      <xdr:col>20</xdr:col>
      <xdr:colOff>0</xdr:colOff>
      <xdr:row>170</xdr:row>
      <xdr:rowOff>0</xdr:rowOff>
    </xdr:to>
    <xdr:graphicFrame macro="">
      <xdr:nvGraphicFramePr>
        <xdr:cNvPr id="59" name="Chart 176">
          <a:extLst>
            <a:ext uri="{FF2B5EF4-FFF2-40B4-BE49-F238E27FC236}">
              <a16:creationId xmlns:a16="http://schemas.microsoft.com/office/drawing/2014/main" id="{00000000-0008-0000-1E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21</xdr:col>
      <xdr:colOff>57150</xdr:colOff>
      <xdr:row>2</xdr:row>
      <xdr:rowOff>228600</xdr:rowOff>
    </xdr:from>
    <xdr:to>
      <xdr:col>21</xdr:col>
      <xdr:colOff>304800</xdr:colOff>
      <xdr:row>4</xdr:row>
      <xdr:rowOff>123825</xdr:rowOff>
    </xdr:to>
    <xdr:sp macro="[0]!Adoption" textlink="">
      <xdr:nvSpPr>
        <xdr:cNvPr id="54" name="Right Arrow 53">
          <a:extLst>
            <a:ext uri="{FF2B5EF4-FFF2-40B4-BE49-F238E27FC236}">
              <a16:creationId xmlns:a16="http://schemas.microsoft.com/office/drawing/2014/main" id="{00000000-0008-0000-1E00-000036000000}"/>
            </a:ext>
          </a:extLst>
        </xdr:cNvPr>
        <xdr:cNvSpPr>
          <a:spLocks noChangeArrowheads="1"/>
        </xdr:cNvSpPr>
      </xdr:nvSpPr>
      <xdr:spPr bwMode="auto">
        <a:xfrm flipH="1">
          <a:off x="9248775" y="704850"/>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37125</xdr:rowOff>
    </xdr:from>
    <xdr:to>
      <xdr:col>21</xdr:col>
      <xdr:colOff>381000</xdr:colOff>
      <xdr:row>7</xdr:row>
      <xdr:rowOff>66675</xdr:rowOff>
    </xdr:to>
    <xdr:sp macro="[0]!EHCP" textlink="">
      <xdr:nvSpPr>
        <xdr:cNvPr id="60" name="Right Arrow 50">
          <a:extLst>
            <a:ext uri="{FF2B5EF4-FFF2-40B4-BE49-F238E27FC236}">
              <a16:creationId xmlns:a16="http://schemas.microsoft.com/office/drawing/2014/main" id="{00000000-0008-0000-1E00-00003C000000}"/>
            </a:ext>
          </a:extLst>
        </xdr:cNvPr>
        <xdr:cNvSpPr>
          <a:spLocks noChangeArrowheads="1"/>
        </xdr:cNvSpPr>
      </xdr:nvSpPr>
      <xdr:spPr bwMode="auto">
        <a:xfrm rot="10800000" flipH="1">
          <a:off x="9324975" y="108487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21</xdr:col>
      <xdr:colOff>95250</xdr:colOff>
      <xdr:row>105</xdr:row>
      <xdr:rowOff>33750</xdr:rowOff>
    </xdr:from>
    <xdr:to>
      <xdr:col>21</xdr:col>
      <xdr:colOff>347250</xdr:colOff>
      <xdr:row>106</xdr:row>
      <xdr:rowOff>95250</xdr:rowOff>
    </xdr:to>
    <xdr:sp macro="[0]!ROSGO" textlink="">
      <xdr:nvSpPr>
        <xdr:cNvPr id="51" name="Down Arrow 2">
          <a:extLst>
            <a:ext uri="{FF2B5EF4-FFF2-40B4-BE49-F238E27FC236}">
              <a16:creationId xmlns:a16="http://schemas.microsoft.com/office/drawing/2014/main" id="{00000000-0008-0000-1E00-000033000000}"/>
            </a:ext>
          </a:extLst>
        </xdr:cNvPr>
        <xdr:cNvSpPr/>
      </xdr:nvSpPr>
      <xdr:spPr>
        <a:xfrm flipV="1">
          <a:off x="9277350" y="1320682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21</xdr:col>
      <xdr:colOff>95250</xdr:colOff>
      <xdr:row>212</xdr:row>
      <xdr:rowOff>33750</xdr:rowOff>
    </xdr:from>
    <xdr:to>
      <xdr:col>21</xdr:col>
      <xdr:colOff>347250</xdr:colOff>
      <xdr:row>213</xdr:row>
      <xdr:rowOff>95250</xdr:rowOff>
    </xdr:to>
    <xdr:sp macro="[0]!ROSGO" textlink="">
      <xdr:nvSpPr>
        <xdr:cNvPr id="61" name="Down Arrow 2">
          <a:extLst>
            <a:ext uri="{FF2B5EF4-FFF2-40B4-BE49-F238E27FC236}">
              <a16:creationId xmlns:a16="http://schemas.microsoft.com/office/drawing/2014/main" id="{00000000-0008-0000-1E00-00003D000000}"/>
            </a:ext>
          </a:extLst>
        </xdr:cNvPr>
        <xdr:cNvSpPr/>
      </xdr:nvSpPr>
      <xdr:spPr>
        <a:xfrm flipV="1">
          <a:off x="9277350" y="1320682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350425</xdr:colOff>
      <xdr:row>37</xdr:row>
      <xdr:rowOff>95250</xdr:rowOff>
    </xdr:to>
    <xdr:sp macro="[0]!EHCP" textlink="">
      <xdr:nvSpPr>
        <xdr:cNvPr id="2" name="Down Arrow 44">
          <a:extLst>
            <a:ext uri="{FF2B5EF4-FFF2-40B4-BE49-F238E27FC236}">
              <a16:creationId xmlns:a16="http://schemas.microsoft.com/office/drawing/2014/main" id="{00000000-0008-0000-1F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EHCP" textlink="">
      <xdr:nvSpPr>
        <xdr:cNvPr id="3" name="Down Arrow 2">
          <a:extLst>
            <a:ext uri="{FF2B5EF4-FFF2-40B4-BE49-F238E27FC236}">
              <a16:creationId xmlns:a16="http://schemas.microsoft.com/office/drawing/2014/main" id="{00000000-0008-0000-1F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5" name="Chart 13">
          <a:extLst>
            <a:ext uri="{FF2B5EF4-FFF2-40B4-BE49-F238E27FC236}">
              <a16:creationId xmlns:a16="http://schemas.microsoft.com/office/drawing/2014/main" id="{00000000-0008-0000-1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64</xdr:row>
      <xdr:rowOff>38100</xdr:rowOff>
    </xdr:from>
    <xdr:to>
      <xdr:col>11</xdr:col>
      <xdr:colOff>295275</xdr:colOff>
      <xdr:row>64</xdr:row>
      <xdr:rowOff>114300</xdr:rowOff>
    </xdr:to>
    <xdr:sp macro="" textlink="">
      <xdr:nvSpPr>
        <xdr:cNvPr id="6" name="Oval 2165">
          <a:extLst>
            <a:ext uri="{FF2B5EF4-FFF2-40B4-BE49-F238E27FC236}">
              <a16:creationId xmlns:a16="http://schemas.microsoft.com/office/drawing/2014/main" id="{00000000-0008-0000-1F00-000006000000}"/>
            </a:ext>
          </a:extLst>
        </xdr:cNvPr>
        <xdr:cNvSpPr>
          <a:spLocks noChangeArrowheads="1"/>
        </xdr:cNvSpPr>
      </xdr:nvSpPr>
      <xdr:spPr bwMode="auto">
        <a:xfrm>
          <a:off x="5181600" y="113633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419099</xdr:colOff>
      <xdr:row>0</xdr:row>
      <xdr:rowOff>85725</xdr:rowOff>
    </xdr:from>
    <xdr:to>
      <xdr:col>21</xdr:col>
      <xdr:colOff>64499</xdr:colOff>
      <xdr:row>2</xdr:row>
      <xdr:rowOff>149475</xdr:rowOff>
    </xdr:to>
    <xdr:sp macro="" textlink="">
      <xdr:nvSpPr>
        <xdr:cNvPr id="7" name="AutoShape 32">
          <a:extLst>
            <a:ext uri="{FF2B5EF4-FFF2-40B4-BE49-F238E27FC236}">
              <a16:creationId xmlns:a16="http://schemas.microsoft.com/office/drawing/2014/main" id="{00000000-0008-0000-1F00-000007000000}"/>
            </a:ext>
          </a:extLst>
        </xdr:cNvPr>
        <xdr:cNvSpPr>
          <a:spLocks noChangeArrowheads="1"/>
        </xdr:cNvSpPr>
      </xdr:nvSpPr>
      <xdr:spPr bwMode="auto">
        <a:xfrm>
          <a:off x="696277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8" name="Chart 13">
          <a:extLst>
            <a:ext uri="{FF2B5EF4-FFF2-40B4-BE49-F238E27FC236}">
              <a16:creationId xmlns:a16="http://schemas.microsoft.com/office/drawing/2014/main" id="{00000000-0008-0000-1F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19050</xdr:rowOff>
        </xdr:from>
        <xdr:to>
          <xdr:col>36</xdr:col>
          <xdr:colOff>66675</xdr:colOff>
          <xdr:row>41</xdr:row>
          <xdr:rowOff>0</xdr:rowOff>
        </xdr:to>
        <xdr:sp macro="" textlink="">
          <xdr:nvSpPr>
            <xdr:cNvPr id="172033" name="Check Box 1" hidden="1">
              <a:extLst>
                <a:ext uri="{63B3BB69-23CF-44E3-9099-C40C66FF867C}">
                  <a14:compatExt spid="_x0000_s172033"/>
                </a:ext>
                <a:ext uri="{FF2B5EF4-FFF2-40B4-BE49-F238E27FC236}">
                  <a16:creationId xmlns:a16="http://schemas.microsoft.com/office/drawing/2014/main" id="{00000000-0008-0000-1F00-000001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142875</xdr:rowOff>
        </xdr:from>
        <xdr:to>
          <xdr:col>36</xdr:col>
          <xdr:colOff>66675</xdr:colOff>
          <xdr:row>42</xdr:row>
          <xdr:rowOff>0</xdr:rowOff>
        </xdr:to>
        <xdr:sp macro="" textlink="">
          <xdr:nvSpPr>
            <xdr:cNvPr id="172034" name="Check Box 2" hidden="1">
              <a:extLst>
                <a:ext uri="{63B3BB69-23CF-44E3-9099-C40C66FF867C}">
                  <a14:compatExt spid="_x0000_s172034"/>
                </a:ext>
                <a:ext uri="{FF2B5EF4-FFF2-40B4-BE49-F238E27FC236}">
                  <a16:creationId xmlns:a16="http://schemas.microsoft.com/office/drawing/2014/main" id="{00000000-0008-0000-1F00-000002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142875</xdr:rowOff>
        </xdr:from>
        <xdr:to>
          <xdr:col>36</xdr:col>
          <xdr:colOff>66675</xdr:colOff>
          <xdr:row>43</xdr:row>
          <xdr:rowOff>0</xdr:rowOff>
        </xdr:to>
        <xdr:sp macro="" textlink="">
          <xdr:nvSpPr>
            <xdr:cNvPr id="172035" name="Check Box 3" hidden="1">
              <a:extLst>
                <a:ext uri="{63B3BB69-23CF-44E3-9099-C40C66FF867C}">
                  <a14:compatExt spid="_x0000_s172035"/>
                </a:ext>
                <a:ext uri="{FF2B5EF4-FFF2-40B4-BE49-F238E27FC236}">
                  <a16:creationId xmlns:a16="http://schemas.microsoft.com/office/drawing/2014/main" id="{00000000-0008-0000-1F00-000003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142875</xdr:rowOff>
        </xdr:from>
        <xdr:to>
          <xdr:col>36</xdr:col>
          <xdr:colOff>66675</xdr:colOff>
          <xdr:row>44</xdr:row>
          <xdr:rowOff>0</xdr:rowOff>
        </xdr:to>
        <xdr:sp macro="" textlink="">
          <xdr:nvSpPr>
            <xdr:cNvPr id="172036" name="Check Box 4" hidden="1">
              <a:extLst>
                <a:ext uri="{63B3BB69-23CF-44E3-9099-C40C66FF867C}">
                  <a14:compatExt spid="_x0000_s172036"/>
                </a:ext>
                <a:ext uri="{FF2B5EF4-FFF2-40B4-BE49-F238E27FC236}">
                  <a16:creationId xmlns:a16="http://schemas.microsoft.com/office/drawing/2014/main" id="{00000000-0008-0000-1F00-000004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142875</xdr:rowOff>
        </xdr:from>
        <xdr:to>
          <xdr:col>36</xdr:col>
          <xdr:colOff>66675</xdr:colOff>
          <xdr:row>45</xdr:row>
          <xdr:rowOff>0</xdr:rowOff>
        </xdr:to>
        <xdr:sp macro="" textlink="">
          <xdr:nvSpPr>
            <xdr:cNvPr id="172037" name="Check Box 5" hidden="1">
              <a:extLst>
                <a:ext uri="{63B3BB69-23CF-44E3-9099-C40C66FF867C}">
                  <a14:compatExt spid="_x0000_s172037"/>
                </a:ext>
                <a:ext uri="{FF2B5EF4-FFF2-40B4-BE49-F238E27FC236}">
                  <a16:creationId xmlns:a16="http://schemas.microsoft.com/office/drawing/2014/main" id="{00000000-0008-0000-1F00-000005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142875</xdr:rowOff>
        </xdr:from>
        <xdr:to>
          <xdr:col>36</xdr:col>
          <xdr:colOff>66675</xdr:colOff>
          <xdr:row>46</xdr:row>
          <xdr:rowOff>0</xdr:rowOff>
        </xdr:to>
        <xdr:sp macro="" textlink="">
          <xdr:nvSpPr>
            <xdr:cNvPr id="172038" name="Check Box 6" hidden="1">
              <a:extLst>
                <a:ext uri="{63B3BB69-23CF-44E3-9099-C40C66FF867C}">
                  <a14:compatExt spid="_x0000_s172038"/>
                </a:ext>
                <a:ext uri="{FF2B5EF4-FFF2-40B4-BE49-F238E27FC236}">
                  <a16:creationId xmlns:a16="http://schemas.microsoft.com/office/drawing/2014/main" id="{00000000-0008-0000-1F00-000006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142875</xdr:rowOff>
        </xdr:from>
        <xdr:to>
          <xdr:col>36</xdr:col>
          <xdr:colOff>66675</xdr:colOff>
          <xdr:row>47</xdr:row>
          <xdr:rowOff>0</xdr:rowOff>
        </xdr:to>
        <xdr:sp macro="" textlink="">
          <xdr:nvSpPr>
            <xdr:cNvPr id="172039" name="Check Box 7" hidden="1">
              <a:extLst>
                <a:ext uri="{63B3BB69-23CF-44E3-9099-C40C66FF867C}">
                  <a14:compatExt spid="_x0000_s172039"/>
                </a:ext>
                <a:ext uri="{FF2B5EF4-FFF2-40B4-BE49-F238E27FC236}">
                  <a16:creationId xmlns:a16="http://schemas.microsoft.com/office/drawing/2014/main" id="{00000000-0008-0000-1F00-000007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142875</xdr:rowOff>
        </xdr:from>
        <xdr:to>
          <xdr:col>36</xdr:col>
          <xdr:colOff>66675</xdr:colOff>
          <xdr:row>48</xdr:row>
          <xdr:rowOff>0</xdr:rowOff>
        </xdr:to>
        <xdr:sp macro="" textlink="">
          <xdr:nvSpPr>
            <xdr:cNvPr id="172040" name="Check Box 8" hidden="1">
              <a:extLst>
                <a:ext uri="{63B3BB69-23CF-44E3-9099-C40C66FF867C}">
                  <a14:compatExt spid="_x0000_s172040"/>
                </a:ext>
                <a:ext uri="{FF2B5EF4-FFF2-40B4-BE49-F238E27FC236}">
                  <a16:creationId xmlns:a16="http://schemas.microsoft.com/office/drawing/2014/main" id="{00000000-0008-0000-1F00-000008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142875</xdr:rowOff>
        </xdr:from>
        <xdr:to>
          <xdr:col>36</xdr:col>
          <xdr:colOff>66675</xdr:colOff>
          <xdr:row>49</xdr:row>
          <xdr:rowOff>0</xdr:rowOff>
        </xdr:to>
        <xdr:sp macro="" textlink="">
          <xdr:nvSpPr>
            <xdr:cNvPr id="172041" name="Check Box 9" hidden="1">
              <a:extLst>
                <a:ext uri="{63B3BB69-23CF-44E3-9099-C40C66FF867C}">
                  <a14:compatExt spid="_x0000_s172041"/>
                </a:ext>
                <a:ext uri="{FF2B5EF4-FFF2-40B4-BE49-F238E27FC236}">
                  <a16:creationId xmlns:a16="http://schemas.microsoft.com/office/drawing/2014/main" id="{00000000-0008-0000-1F00-000009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142875</xdr:rowOff>
        </xdr:from>
        <xdr:to>
          <xdr:col>36</xdr:col>
          <xdr:colOff>66675</xdr:colOff>
          <xdr:row>50</xdr:row>
          <xdr:rowOff>0</xdr:rowOff>
        </xdr:to>
        <xdr:sp macro="" textlink="">
          <xdr:nvSpPr>
            <xdr:cNvPr id="172042" name="Check Box 10" hidden="1">
              <a:extLst>
                <a:ext uri="{63B3BB69-23CF-44E3-9099-C40C66FF867C}">
                  <a14:compatExt spid="_x0000_s172042"/>
                </a:ext>
                <a:ext uri="{FF2B5EF4-FFF2-40B4-BE49-F238E27FC236}">
                  <a16:creationId xmlns:a16="http://schemas.microsoft.com/office/drawing/2014/main" id="{00000000-0008-0000-1F00-00000A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142875</xdr:rowOff>
        </xdr:from>
        <xdr:to>
          <xdr:col>36</xdr:col>
          <xdr:colOff>66675</xdr:colOff>
          <xdr:row>51</xdr:row>
          <xdr:rowOff>0</xdr:rowOff>
        </xdr:to>
        <xdr:sp macro="" textlink="">
          <xdr:nvSpPr>
            <xdr:cNvPr id="172043" name="Check Box 11" hidden="1">
              <a:extLst>
                <a:ext uri="{63B3BB69-23CF-44E3-9099-C40C66FF867C}">
                  <a14:compatExt spid="_x0000_s172043"/>
                </a:ext>
                <a:ext uri="{FF2B5EF4-FFF2-40B4-BE49-F238E27FC236}">
                  <a16:creationId xmlns:a16="http://schemas.microsoft.com/office/drawing/2014/main" id="{00000000-0008-0000-1F00-00000B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142875</xdr:rowOff>
        </xdr:from>
        <xdr:to>
          <xdr:col>36</xdr:col>
          <xdr:colOff>66675</xdr:colOff>
          <xdr:row>52</xdr:row>
          <xdr:rowOff>0</xdr:rowOff>
        </xdr:to>
        <xdr:sp macro="" textlink="">
          <xdr:nvSpPr>
            <xdr:cNvPr id="172044" name="Check Box 12" hidden="1">
              <a:extLst>
                <a:ext uri="{63B3BB69-23CF-44E3-9099-C40C66FF867C}">
                  <a14:compatExt spid="_x0000_s172044"/>
                </a:ext>
                <a:ext uri="{FF2B5EF4-FFF2-40B4-BE49-F238E27FC236}">
                  <a16:creationId xmlns:a16="http://schemas.microsoft.com/office/drawing/2014/main" id="{00000000-0008-0000-1F00-00000C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142875</xdr:rowOff>
        </xdr:from>
        <xdr:to>
          <xdr:col>36</xdr:col>
          <xdr:colOff>66675</xdr:colOff>
          <xdr:row>53</xdr:row>
          <xdr:rowOff>0</xdr:rowOff>
        </xdr:to>
        <xdr:sp macro="" textlink="">
          <xdr:nvSpPr>
            <xdr:cNvPr id="172045" name="Check Box 13" hidden="1">
              <a:extLst>
                <a:ext uri="{63B3BB69-23CF-44E3-9099-C40C66FF867C}">
                  <a14:compatExt spid="_x0000_s172045"/>
                </a:ext>
                <a:ext uri="{FF2B5EF4-FFF2-40B4-BE49-F238E27FC236}">
                  <a16:creationId xmlns:a16="http://schemas.microsoft.com/office/drawing/2014/main" id="{00000000-0008-0000-1F00-00000D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142875</xdr:rowOff>
        </xdr:from>
        <xdr:to>
          <xdr:col>36</xdr:col>
          <xdr:colOff>66675</xdr:colOff>
          <xdr:row>54</xdr:row>
          <xdr:rowOff>0</xdr:rowOff>
        </xdr:to>
        <xdr:sp macro="" textlink="">
          <xdr:nvSpPr>
            <xdr:cNvPr id="172046" name="Check Box 14" hidden="1">
              <a:extLst>
                <a:ext uri="{63B3BB69-23CF-44E3-9099-C40C66FF867C}">
                  <a14:compatExt spid="_x0000_s172046"/>
                </a:ext>
                <a:ext uri="{FF2B5EF4-FFF2-40B4-BE49-F238E27FC236}">
                  <a16:creationId xmlns:a16="http://schemas.microsoft.com/office/drawing/2014/main" id="{00000000-0008-0000-1F00-00000E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142875</xdr:rowOff>
        </xdr:from>
        <xdr:to>
          <xdr:col>36</xdr:col>
          <xdr:colOff>66675</xdr:colOff>
          <xdr:row>55</xdr:row>
          <xdr:rowOff>0</xdr:rowOff>
        </xdr:to>
        <xdr:sp macro="" textlink="">
          <xdr:nvSpPr>
            <xdr:cNvPr id="172047" name="Check Box 15" hidden="1">
              <a:extLst>
                <a:ext uri="{63B3BB69-23CF-44E3-9099-C40C66FF867C}">
                  <a14:compatExt spid="_x0000_s172047"/>
                </a:ext>
                <a:ext uri="{FF2B5EF4-FFF2-40B4-BE49-F238E27FC236}">
                  <a16:creationId xmlns:a16="http://schemas.microsoft.com/office/drawing/2014/main" id="{00000000-0008-0000-1F00-00000F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142875</xdr:rowOff>
        </xdr:from>
        <xdr:to>
          <xdr:col>36</xdr:col>
          <xdr:colOff>66675</xdr:colOff>
          <xdr:row>56</xdr:row>
          <xdr:rowOff>0</xdr:rowOff>
        </xdr:to>
        <xdr:sp macro="" textlink="">
          <xdr:nvSpPr>
            <xdr:cNvPr id="172048" name="Check Box 16" hidden="1">
              <a:extLst>
                <a:ext uri="{63B3BB69-23CF-44E3-9099-C40C66FF867C}">
                  <a14:compatExt spid="_x0000_s172048"/>
                </a:ext>
                <a:ext uri="{FF2B5EF4-FFF2-40B4-BE49-F238E27FC236}">
                  <a16:creationId xmlns:a16="http://schemas.microsoft.com/office/drawing/2014/main" id="{00000000-0008-0000-1F00-000010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142875</xdr:rowOff>
        </xdr:from>
        <xdr:to>
          <xdr:col>36</xdr:col>
          <xdr:colOff>66675</xdr:colOff>
          <xdr:row>59</xdr:row>
          <xdr:rowOff>0</xdr:rowOff>
        </xdr:to>
        <xdr:sp macro="" textlink="">
          <xdr:nvSpPr>
            <xdr:cNvPr id="172049" name="Check Box 17" hidden="1">
              <a:extLst>
                <a:ext uri="{63B3BB69-23CF-44E3-9099-C40C66FF867C}">
                  <a14:compatExt spid="_x0000_s172049"/>
                </a:ext>
                <a:ext uri="{FF2B5EF4-FFF2-40B4-BE49-F238E27FC236}">
                  <a16:creationId xmlns:a16="http://schemas.microsoft.com/office/drawing/2014/main" id="{00000000-0008-0000-1F00-000011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142875</xdr:rowOff>
        </xdr:from>
        <xdr:to>
          <xdr:col>36</xdr:col>
          <xdr:colOff>66675</xdr:colOff>
          <xdr:row>60</xdr:row>
          <xdr:rowOff>0</xdr:rowOff>
        </xdr:to>
        <xdr:sp macro="" textlink="">
          <xdr:nvSpPr>
            <xdr:cNvPr id="172050" name="Check Box 18" hidden="1">
              <a:extLst>
                <a:ext uri="{63B3BB69-23CF-44E3-9099-C40C66FF867C}">
                  <a14:compatExt spid="_x0000_s172050"/>
                </a:ext>
                <a:ext uri="{FF2B5EF4-FFF2-40B4-BE49-F238E27FC236}">
                  <a16:creationId xmlns:a16="http://schemas.microsoft.com/office/drawing/2014/main" id="{00000000-0008-0000-1F00-000012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142875</xdr:rowOff>
        </xdr:from>
        <xdr:to>
          <xdr:col>36</xdr:col>
          <xdr:colOff>66675</xdr:colOff>
          <xdr:row>61</xdr:row>
          <xdr:rowOff>0</xdr:rowOff>
        </xdr:to>
        <xdr:sp macro="" textlink="">
          <xdr:nvSpPr>
            <xdr:cNvPr id="172051" name="Check Box 19" hidden="1">
              <a:extLst>
                <a:ext uri="{63B3BB69-23CF-44E3-9099-C40C66FF867C}">
                  <a14:compatExt spid="_x0000_s172051"/>
                </a:ext>
                <a:ext uri="{FF2B5EF4-FFF2-40B4-BE49-F238E27FC236}">
                  <a16:creationId xmlns:a16="http://schemas.microsoft.com/office/drawing/2014/main" id="{00000000-0008-0000-1F00-000013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142875</xdr:rowOff>
        </xdr:from>
        <xdr:to>
          <xdr:col>36</xdr:col>
          <xdr:colOff>66675</xdr:colOff>
          <xdr:row>62</xdr:row>
          <xdr:rowOff>0</xdr:rowOff>
        </xdr:to>
        <xdr:sp macro="" textlink="">
          <xdr:nvSpPr>
            <xdr:cNvPr id="172052" name="Check Box 20" hidden="1">
              <a:extLst>
                <a:ext uri="{63B3BB69-23CF-44E3-9099-C40C66FF867C}">
                  <a14:compatExt spid="_x0000_s172052"/>
                </a:ext>
                <a:ext uri="{FF2B5EF4-FFF2-40B4-BE49-F238E27FC236}">
                  <a16:creationId xmlns:a16="http://schemas.microsoft.com/office/drawing/2014/main" id="{00000000-0008-0000-1F00-000014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142875</xdr:rowOff>
        </xdr:from>
        <xdr:to>
          <xdr:col>36</xdr:col>
          <xdr:colOff>66675</xdr:colOff>
          <xdr:row>63</xdr:row>
          <xdr:rowOff>0</xdr:rowOff>
        </xdr:to>
        <xdr:sp macro="" textlink="">
          <xdr:nvSpPr>
            <xdr:cNvPr id="172053" name="Check Box 21" hidden="1">
              <a:extLst>
                <a:ext uri="{63B3BB69-23CF-44E3-9099-C40C66FF867C}">
                  <a14:compatExt spid="_x0000_s172053"/>
                </a:ext>
                <a:ext uri="{FF2B5EF4-FFF2-40B4-BE49-F238E27FC236}">
                  <a16:creationId xmlns:a16="http://schemas.microsoft.com/office/drawing/2014/main" id="{00000000-0008-0000-1F00-000015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142875</xdr:rowOff>
        </xdr:from>
        <xdr:to>
          <xdr:col>36</xdr:col>
          <xdr:colOff>66675</xdr:colOff>
          <xdr:row>57</xdr:row>
          <xdr:rowOff>0</xdr:rowOff>
        </xdr:to>
        <xdr:sp macro="" textlink="">
          <xdr:nvSpPr>
            <xdr:cNvPr id="172054" name="Check Box 22" hidden="1">
              <a:extLst>
                <a:ext uri="{63B3BB69-23CF-44E3-9099-C40C66FF867C}">
                  <a14:compatExt spid="_x0000_s172054"/>
                </a:ext>
                <a:ext uri="{FF2B5EF4-FFF2-40B4-BE49-F238E27FC236}">
                  <a16:creationId xmlns:a16="http://schemas.microsoft.com/office/drawing/2014/main" id="{00000000-0008-0000-1F00-000016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142875</xdr:rowOff>
        </xdr:from>
        <xdr:to>
          <xdr:col>36</xdr:col>
          <xdr:colOff>66675</xdr:colOff>
          <xdr:row>58</xdr:row>
          <xdr:rowOff>0</xdr:rowOff>
        </xdr:to>
        <xdr:sp macro="" textlink="">
          <xdr:nvSpPr>
            <xdr:cNvPr id="172055" name="Check Box 23" hidden="1">
              <a:extLst>
                <a:ext uri="{63B3BB69-23CF-44E3-9099-C40C66FF867C}">
                  <a14:compatExt spid="_x0000_s172055"/>
                </a:ext>
                <a:ext uri="{FF2B5EF4-FFF2-40B4-BE49-F238E27FC236}">
                  <a16:creationId xmlns:a16="http://schemas.microsoft.com/office/drawing/2014/main" id="{00000000-0008-0000-1F00-000017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62</xdr:row>
          <xdr:rowOff>142875</xdr:rowOff>
        </xdr:from>
        <xdr:to>
          <xdr:col>36</xdr:col>
          <xdr:colOff>66675</xdr:colOff>
          <xdr:row>64</xdr:row>
          <xdr:rowOff>0</xdr:rowOff>
        </xdr:to>
        <xdr:sp macro="" textlink="">
          <xdr:nvSpPr>
            <xdr:cNvPr id="172056" name="Check Box 24" hidden="1">
              <a:extLst>
                <a:ext uri="{63B3BB69-23CF-44E3-9099-C40C66FF867C}">
                  <a14:compatExt spid="_x0000_s172056"/>
                </a:ext>
                <a:ext uri="{FF2B5EF4-FFF2-40B4-BE49-F238E27FC236}">
                  <a16:creationId xmlns:a16="http://schemas.microsoft.com/office/drawing/2014/main" id="{00000000-0008-0000-1F00-000018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66675</xdr:colOff>
      <xdr:row>63</xdr:row>
      <xdr:rowOff>76200</xdr:rowOff>
    </xdr:from>
    <xdr:to>
      <xdr:col>11</xdr:col>
      <xdr:colOff>438150</xdr:colOff>
      <xdr:row>63</xdr:row>
      <xdr:rowOff>76200</xdr:rowOff>
    </xdr:to>
    <xdr:sp macro="" textlink="">
      <xdr:nvSpPr>
        <xdr:cNvPr id="34" name="Line 283">
          <a:extLst>
            <a:ext uri="{FF2B5EF4-FFF2-40B4-BE49-F238E27FC236}">
              <a16:creationId xmlns:a16="http://schemas.microsoft.com/office/drawing/2014/main" id="{00000000-0008-0000-1F00-000022000000}"/>
            </a:ext>
          </a:extLst>
        </xdr:cNvPr>
        <xdr:cNvSpPr>
          <a:spLocks noChangeShapeType="1"/>
        </xdr:cNvSpPr>
      </xdr:nvSpPr>
      <xdr:spPr bwMode="auto">
        <a:xfrm>
          <a:off x="5029200" y="11220450"/>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219075</xdr:colOff>
      <xdr:row>63</xdr:row>
      <xdr:rowOff>47625</xdr:rowOff>
    </xdr:from>
    <xdr:to>
      <xdr:col>16</xdr:col>
      <xdr:colOff>295275</xdr:colOff>
      <xdr:row>63</xdr:row>
      <xdr:rowOff>123825</xdr:rowOff>
    </xdr:to>
    <xdr:sp macro="" textlink="">
      <xdr:nvSpPr>
        <xdr:cNvPr id="35" name="Oval 2164">
          <a:extLst>
            <a:ext uri="{FF2B5EF4-FFF2-40B4-BE49-F238E27FC236}">
              <a16:creationId xmlns:a16="http://schemas.microsoft.com/office/drawing/2014/main" id="{00000000-0008-0000-1F00-000023000000}"/>
            </a:ext>
          </a:extLst>
        </xdr:cNvPr>
        <xdr:cNvSpPr>
          <a:spLocks noChangeArrowheads="1"/>
        </xdr:cNvSpPr>
      </xdr:nvSpPr>
      <xdr:spPr bwMode="auto">
        <a:xfrm>
          <a:off x="7219950" y="1121092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oneCellAnchor>
    <xdr:from>
      <xdr:col>22</xdr:col>
      <xdr:colOff>95250</xdr:colOff>
      <xdr:row>105</xdr:row>
      <xdr:rowOff>33750</xdr:rowOff>
    </xdr:from>
    <xdr:ext cx="252000" cy="252000"/>
    <xdr:sp macro="[0]!EHCP" textlink="">
      <xdr:nvSpPr>
        <xdr:cNvPr id="36" name="Down Arrow 44">
          <a:extLst>
            <a:ext uri="{FF2B5EF4-FFF2-40B4-BE49-F238E27FC236}">
              <a16:creationId xmlns:a16="http://schemas.microsoft.com/office/drawing/2014/main" id="{00000000-0008-0000-1F00-000024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100</xdr:row>
      <xdr:rowOff>76199</xdr:rowOff>
    </xdr:from>
    <xdr:to>
      <xdr:col>8</xdr:col>
      <xdr:colOff>0</xdr:colOff>
      <xdr:row>104</xdr:row>
      <xdr:rowOff>0</xdr:rowOff>
    </xdr:to>
    <xdr:graphicFrame macro="">
      <xdr:nvGraphicFramePr>
        <xdr:cNvPr id="37" name="Chart 13">
          <a:extLst>
            <a:ext uri="{FF2B5EF4-FFF2-40B4-BE49-F238E27FC236}">
              <a16:creationId xmlns:a16="http://schemas.microsoft.com/office/drawing/2014/main" id="{00000000-0008-0000-1F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72</xdr:row>
      <xdr:rowOff>95251</xdr:rowOff>
    </xdr:from>
    <xdr:to>
      <xdr:col>21</xdr:col>
      <xdr:colOff>0</xdr:colOff>
      <xdr:row>104</xdr:row>
      <xdr:rowOff>0</xdr:rowOff>
    </xdr:to>
    <xdr:graphicFrame macro="">
      <xdr:nvGraphicFramePr>
        <xdr:cNvPr id="38" name="Chart 13">
          <a:extLst>
            <a:ext uri="{FF2B5EF4-FFF2-40B4-BE49-F238E27FC236}">
              <a16:creationId xmlns:a16="http://schemas.microsoft.com/office/drawing/2014/main" id="{00000000-0008-0000-1F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66675</xdr:colOff>
      <xdr:row>64</xdr:row>
      <xdr:rowOff>85724</xdr:rowOff>
    </xdr:from>
    <xdr:to>
      <xdr:col>16</xdr:col>
      <xdr:colOff>426675</xdr:colOff>
      <xdr:row>64</xdr:row>
      <xdr:rowOff>85724</xdr:rowOff>
    </xdr:to>
    <xdr:sp macro="" textlink="">
      <xdr:nvSpPr>
        <xdr:cNvPr id="39" name="Line 283">
          <a:extLst>
            <a:ext uri="{FF2B5EF4-FFF2-40B4-BE49-F238E27FC236}">
              <a16:creationId xmlns:a16="http://schemas.microsoft.com/office/drawing/2014/main" id="{00000000-0008-0000-1F00-000027000000}"/>
            </a:ext>
          </a:extLst>
        </xdr:cNvPr>
        <xdr:cNvSpPr>
          <a:spLocks noChangeShapeType="1"/>
        </xdr:cNvSpPr>
      </xdr:nvSpPr>
      <xdr:spPr bwMode="auto">
        <a:xfrm>
          <a:off x="7067550" y="11420474"/>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22</xdr:col>
      <xdr:colOff>66675</xdr:colOff>
      <xdr:row>0</xdr:row>
      <xdr:rowOff>193416</xdr:rowOff>
    </xdr:from>
    <xdr:to>
      <xdr:col>22</xdr:col>
      <xdr:colOff>368300</xdr:colOff>
      <xdr:row>2</xdr:row>
      <xdr:rowOff>44450</xdr:rowOff>
    </xdr:to>
    <xdr:pic macro="[0]!Home">
      <xdr:nvPicPr>
        <xdr:cNvPr id="40" name="Picture 39">
          <a:extLst>
            <a:ext uri="{FF2B5EF4-FFF2-40B4-BE49-F238E27FC236}">
              <a16:creationId xmlns:a16="http://schemas.microsoft.com/office/drawing/2014/main" id="{00000000-0008-0000-1F00-00002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Careleavers" textlink="">
      <xdr:nvSpPr>
        <xdr:cNvPr id="41" name="Right Arrow 40">
          <a:extLst>
            <a:ext uri="{FF2B5EF4-FFF2-40B4-BE49-F238E27FC236}">
              <a16:creationId xmlns:a16="http://schemas.microsoft.com/office/drawing/2014/main" id="{00000000-0008-0000-1F00-000029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Offend" textlink="">
      <xdr:nvSpPr>
        <xdr:cNvPr id="42" name="Right Arrow 50">
          <a:extLst>
            <a:ext uri="{FF2B5EF4-FFF2-40B4-BE49-F238E27FC236}">
              <a16:creationId xmlns:a16="http://schemas.microsoft.com/office/drawing/2014/main" id="{00000000-0008-0000-1F00-00002A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39</xdr:row>
      <xdr:rowOff>0</xdr:rowOff>
    </xdr:from>
    <xdr:to>
      <xdr:col>21</xdr:col>
      <xdr:colOff>0</xdr:colOff>
      <xdr:row>63</xdr:row>
      <xdr:rowOff>0</xdr:rowOff>
    </xdr:to>
    <xdr:graphicFrame macro="">
      <xdr:nvGraphicFramePr>
        <xdr:cNvPr id="43" name="Chart 176">
          <a:extLst>
            <a:ext uri="{FF2B5EF4-FFF2-40B4-BE49-F238E27FC236}">
              <a16:creationId xmlns:a16="http://schemas.microsoft.com/office/drawing/2014/main" id="{00000000-0008-0000-1F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editAs="oneCell">
    <xdr:from>
      <xdr:col>21</xdr:col>
      <xdr:colOff>95250</xdr:colOff>
      <xdr:row>36</xdr:row>
      <xdr:rowOff>33750</xdr:rowOff>
    </xdr:from>
    <xdr:to>
      <xdr:col>21</xdr:col>
      <xdr:colOff>350425</xdr:colOff>
      <xdr:row>37</xdr:row>
      <xdr:rowOff>95250</xdr:rowOff>
    </xdr:to>
    <xdr:sp macro="[0]!CMEEHE" textlink="">
      <xdr:nvSpPr>
        <xdr:cNvPr id="2" name="Down Arrow 44">
          <a:extLst>
            <a:ext uri="{FF2B5EF4-FFF2-40B4-BE49-F238E27FC236}">
              <a16:creationId xmlns:a16="http://schemas.microsoft.com/office/drawing/2014/main" id="{00000000-0008-0000-2000-000002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69</xdr:row>
      <xdr:rowOff>33750</xdr:rowOff>
    </xdr:from>
    <xdr:to>
      <xdr:col>21</xdr:col>
      <xdr:colOff>347250</xdr:colOff>
      <xdr:row>70</xdr:row>
      <xdr:rowOff>95250</xdr:rowOff>
    </xdr:to>
    <xdr:sp macro="[0]!CMEEHE" textlink="">
      <xdr:nvSpPr>
        <xdr:cNvPr id="3" name="Down Arrow 2">
          <a:extLst>
            <a:ext uri="{FF2B5EF4-FFF2-40B4-BE49-F238E27FC236}">
              <a16:creationId xmlns:a16="http://schemas.microsoft.com/office/drawing/2014/main" id="{00000000-0008-0000-2000-000003000000}"/>
            </a:ext>
          </a:extLst>
        </xdr:cNvPr>
        <xdr:cNvSpPr/>
      </xdr:nvSpPr>
      <xdr:spPr>
        <a:xfrm flipV="1">
          <a:off x="9286875"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0</xdr:colOff>
      <xdr:row>68</xdr:row>
      <xdr:rowOff>0</xdr:rowOff>
    </xdr:to>
    <xdr:graphicFrame macro="">
      <xdr:nvGraphicFramePr>
        <xdr:cNvPr id="4" name="Chart 13">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19048</xdr:colOff>
      <xdr:row>0</xdr:row>
      <xdr:rowOff>85725</xdr:rowOff>
    </xdr:from>
    <xdr:to>
      <xdr:col>20</xdr:col>
      <xdr:colOff>64498</xdr:colOff>
      <xdr:row>2</xdr:row>
      <xdr:rowOff>149475</xdr:rowOff>
    </xdr:to>
    <xdr:sp macro="" textlink="">
      <xdr:nvSpPr>
        <xdr:cNvPr id="5" name="AutoShape 32">
          <a:extLst>
            <a:ext uri="{FF2B5EF4-FFF2-40B4-BE49-F238E27FC236}">
              <a16:creationId xmlns:a16="http://schemas.microsoft.com/office/drawing/2014/main" id="{00000000-0008-0000-2000-000005000000}"/>
            </a:ext>
          </a:extLst>
        </xdr:cNvPr>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0</xdr:colOff>
      <xdr:row>65</xdr:row>
      <xdr:rowOff>0</xdr:rowOff>
    </xdr:from>
    <xdr:to>
      <xdr:col>20</xdr:col>
      <xdr:colOff>1</xdr:colOff>
      <xdr:row>68</xdr:row>
      <xdr:rowOff>0</xdr:rowOff>
    </xdr:to>
    <xdr:graphicFrame macro="">
      <xdr:nvGraphicFramePr>
        <xdr:cNvPr id="6" name="Chart 13">
          <a:extLst>
            <a:ext uri="{FF2B5EF4-FFF2-40B4-BE49-F238E27FC236}">
              <a16:creationId xmlns:a16="http://schemas.microsoft.com/office/drawing/2014/main" id="{00000000-0008-0000-2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85725</xdr:colOff>
          <xdr:row>39</xdr:row>
          <xdr:rowOff>19050</xdr:rowOff>
        </xdr:from>
        <xdr:to>
          <xdr:col>35</xdr:col>
          <xdr:colOff>57150</xdr:colOff>
          <xdr:row>41</xdr:row>
          <xdr:rowOff>0</xdr:rowOff>
        </xdr:to>
        <xdr:sp macro="" textlink="">
          <xdr:nvSpPr>
            <xdr:cNvPr id="183297" name="Check Box 1" hidden="1">
              <a:extLst>
                <a:ext uri="{63B3BB69-23CF-44E3-9099-C40C66FF867C}">
                  <a14:compatExt spid="_x0000_s183297"/>
                </a:ext>
                <a:ext uri="{FF2B5EF4-FFF2-40B4-BE49-F238E27FC236}">
                  <a16:creationId xmlns:a16="http://schemas.microsoft.com/office/drawing/2014/main" id="{00000000-0008-0000-2000-00000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40</xdr:row>
          <xdr:rowOff>142875</xdr:rowOff>
        </xdr:from>
        <xdr:to>
          <xdr:col>35</xdr:col>
          <xdr:colOff>57150</xdr:colOff>
          <xdr:row>42</xdr:row>
          <xdr:rowOff>0</xdr:rowOff>
        </xdr:to>
        <xdr:sp macro="" textlink="">
          <xdr:nvSpPr>
            <xdr:cNvPr id="183298" name="Check Box 2" hidden="1">
              <a:extLst>
                <a:ext uri="{63B3BB69-23CF-44E3-9099-C40C66FF867C}">
                  <a14:compatExt spid="_x0000_s183298"/>
                </a:ext>
                <a:ext uri="{FF2B5EF4-FFF2-40B4-BE49-F238E27FC236}">
                  <a16:creationId xmlns:a16="http://schemas.microsoft.com/office/drawing/2014/main" id="{00000000-0008-0000-2000-00000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41</xdr:row>
          <xdr:rowOff>142875</xdr:rowOff>
        </xdr:from>
        <xdr:to>
          <xdr:col>35</xdr:col>
          <xdr:colOff>57150</xdr:colOff>
          <xdr:row>43</xdr:row>
          <xdr:rowOff>0</xdr:rowOff>
        </xdr:to>
        <xdr:sp macro="" textlink="">
          <xdr:nvSpPr>
            <xdr:cNvPr id="183299" name="Check Box 3" hidden="1">
              <a:extLst>
                <a:ext uri="{63B3BB69-23CF-44E3-9099-C40C66FF867C}">
                  <a14:compatExt spid="_x0000_s183299"/>
                </a:ext>
                <a:ext uri="{FF2B5EF4-FFF2-40B4-BE49-F238E27FC236}">
                  <a16:creationId xmlns:a16="http://schemas.microsoft.com/office/drawing/2014/main" id="{00000000-0008-0000-2000-00000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42</xdr:row>
          <xdr:rowOff>142875</xdr:rowOff>
        </xdr:from>
        <xdr:to>
          <xdr:col>35</xdr:col>
          <xdr:colOff>57150</xdr:colOff>
          <xdr:row>44</xdr:row>
          <xdr:rowOff>0</xdr:rowOff>
        </xdr:to>
        <xdr:sp macro="" textlink="">
          <xdr:nvSpPr>
            <xdr:cNvPr id="183300" name="Check Box 4" hidden="1">
              <a:extLst>
                <a:ext uri="{63B3BB69-23CF-44E3-9099-C40C66FF867C}">
                  <a14:compatExt spid="_x0000_s183300"/>
                </a:ext>
                <a:ext uri="{FF2B5EF4-FFF2-40B4-BE49-F238E27FC236}">
                  <a16:creationId xmlns:a16="http://schemas.microsoft.com/office/drawing/2014/main" id="{00000000-0008-0000-2000-00000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43</xdr:row>
          <xdr:rowOff>142875</xdr:rowOff>
        </xdr:from>
        <xdr:to>
          <xdr:col>35</xdr:col>
          <xdr:colOff>57150</xdr:colOff>
          <xdr:row>45</xdr:row>
          <xdr:rowOff>0</xdr:rowOff>
        </xdr:to>
        <xdr:sp macro="" textlink="">
          <xdr:nvSpPr>
            <xdr:cNvPr id="183301" name="Check Box 5" hidden="1">
              <a:extLst>
                <a:ext uri="{63B3BB69-23CF-44E3-9099-C40C66FF867C}">
                  <a14:compatExt spid="_x0000_s183301"/>
                </a:ext>
                <a:ext uri="{FF2B5EF4-FFF2-40B4-BE49-F238E27FC236}">
                  <a16:creationId xmlns:a16="http://schemas.microsoft.com/office/drawing/2014/main" id="{00000000-0008-0000-2000-000005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44</xdr:row>
          <xdr:rowOff>142875</xdr:rowOff>
        </xdr:from>
        <xdr:to>
          <xdr:col>35</xdr:col>
          <xdr:colOff>57150</xdr:colOff>
          <xdr:row>46</xdr:row>
          <xdr:rowOff>0</xdr:rowOff>
        </xdr:to>
        <xdr:sp macro="" textlink="">
          <xdr:nvSpPr>
            <xdr:cNvPr id="183302" name="Check Box 6" hidden="1">
              <a:extLst>
                <a:ext uri="{63B3BB69-23CF-44E3-9099-C40C66FF867C}">
                  <a14:compatExt spid="_x0000_s183302"/>
                </a:ext>
                <a:ext uri="{FF2B5EF4-FFF2-40B4-BE49-F238E27FC236}">
                  <a16:creationId xmlns:a16="http://schemas.microsoft.com/office/drawing/2014/main" id="{00000000-0008-0000-2000-00000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45</xdr:row>
          <xdr:rowOff>142875</xdr:rowOff>
        </xdr:from>
        <xdr:to>
          <xdr:col>35</xdr:col>
          <xdr:colOff>57150</xdr:colOff>
          <xdr:row>47</xdr:row>
          <xdr:rowOff>0</xdr:rowOff>
        </xdr:to>
        <xdr:sp macro="" textlink="">
          <xdr:nvSpPr>
            <xdr:cNvPr id="183303" name="Check Box 7" hidden="1">
              <a:extLst>
                <a:ext uri="{63B3BB69-23CF-44E3-9099-C40C66FF867C}">
                  <a14:compatExt spid="_x0000_s183303"/>
                </a:ext>
                <a:ext uri="{FF2B5EF4-FFF2-40B4-BE49-F238E27FC236}">
                  <a16:creationId xmlns:a16="http://schemas.microsoft.com/office/drawing/2014/main" id="{00000000-0008-0000-2000-000007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46</xdr:row>
          <xdr:rowOff>142875</xdr:rowOff>
        </xdr:from>
        <xdr:to>
          <xdr:col>35</xdr:col>
          <xdr:colOff>57150</xdr:colOff>
          <xdr:row>48</xdr:row>
          <xdr:rowOff>0</xdr:rowOff>
        </xdr:to>
        <xdr:sp macro="" textlink="">
          <xdr:nvSpPr>
            <xdr:cNvPr id="183304" name="Check Box 8" hidden="1">
              <a:extLst>
                <a:ext uri="{63B3BB69-23CF-44E3-9099-C40C66FF867C}">
                  <a14:compatExt spid="_x0000_s183304"/>
                </a:ext>
                <a:ext uri="{FF2B5EF4-FFF2-40B4-BE49-F238E27FC236}">
                  <a16:creationId xmlns:a16="http://schemas.microsoft.com/office/drawing/2014/main" id="{00000000-0008-0000-2000-00000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47</xdr:row>
          <xdr:rowOff>142875</xdr:rowOff>
        </xdr:from>
        <xdr:to>
          <xdr:col>35</xdr:col>
          <xdr:colOff>57150</xdr:colOff>
          <xdr:row>49</xdr:row>
          <xdr:rowOff>0</xdr:rowOff>
        </xdr:to>
        <xdr:sp macro="" textlink="">
          <xdr:nvSpPr>
            <xdr:cNvPr id="183305" name="Check Box 9" hidden="1">
              <a:extLst>
                <a:ext uri="{63B3BB69-23CF-44E3-9099-C40C66FF867C}">
                  <a14:compatExt spid="_x0000_s183305"/>
                </a:ext>
                <a:ext uri="{FF2B5EF4-FFF2-40B4-BE49-F238E27FC236}">
                  <a16:creationId xmlns:a16="http://schemas.microsoft.com/office/drawing/2014/main" id="{00000000-0008-0000-2000-000009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48</xdr:row>
          <xdr:rowOff>142875</xdr:rowOff>
        </xdr:from>
        <xdr:to>
          <xdr:col>35</xdr:col>
          <xdr:colOff>57150</xdr:colOff>
          <xdr:row>50</xdr:row>
          <xdr:rowOff>0</xdr:rowOff>
        </xdr:to>
        <xdr:sp macro="" textlink="">
          <xdr:nvSpPr>
            <xdr:cNvPr id="183306" name="Check Box 10" hidden="1">
              <a:extLst>
                <a:ext uri="{63B3BB69-23CF-44E3-9099-C40C66FF867C}">
                  <a14:compatExt spid="_x0000_s183306"/>
                </a:ext>
                <a:ext uri="{FF2B5EF4-FFF2-40B4-BE49-F238E27FC236}">
                  <a16:creationId xmlns:a16="http://schemas.microsoft.com/office/drawing/2014/main" id="{00000000-0008-0000-2000-00000A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49</xdr:row>
          <xdr:rowOff>142875</xdr:rowOff>
        </xdr:from>
        <xdr:to>
          <xdr:col>35</xdr:col>
          <xdr:colOff>57150</xdr:colOff>
          <xdr:row>51</xdr:row>
          <xdr:rowOff>0</xdr:rowOff>
        </xdr:to>
        <xdr:sp macro="" textlink="">
          <xdr:nvSpPr>
            <xdr:cNvPr id="183307" name="Check Box 11" hidden="1">
              <a:extLst>
                <a:ext uri="{63B3BB69-23CF-44E3-9099-C40C66FF867C}">
                  <a14:compatExt spid="_x0000_s183307"/>
                </a:ext>
                <a:ext uri="{FF2B5EF4-FFF2-40B4-BE49-F238E27FC236}">
                  <a16:creationId xmlns:a16="http://schemas.microsoft.com/office/drawing/2014/main" id="{00000000-0008-0000-2000-00000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50</xdr:row>
          <xdr:rowOff>142875</xdr:rowOff>
        </xdr:from>
        <xdr:to>
          <xdr:col>35</xdr:col>
          <xdr:colOff>57150</xdr:colOff>
          <xdr:row>52</xdr:row>
          <xdr:rowOff>0</xdr:rowOff>
        </xdr:to>
        <xdr:sp macro="" textlink="">
          <xdr:nvSpPr>
            <xdr:cNvPr id="183308" name="Check Box 12" hidden="1">
              <a:extLst>
                <a:ext uri="{63B3BB69-23CF-44E3-9099-C40C66FF867C}">
                  <a14:compatExt spid="_x0000_s183308"/>
                </a:ext>
                <a:ext uri="{FF2B5EF4-FFF2-40B4-BE49-F238E27FC236}">
                  <a16:creationId xmlns:a16="http://schemas.microsoft.com/office/drawing/2014/main" id="{00000000-0008-0000-2000-00000C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51</xdr:row>
          <xdr:rowOff>142875</xdr:rowOff>
        </xdr:from>
        <xdr:to>
          <xdr:col>35</xdr:col>
          <xdr:colOff>57150</xdr:colOff>
          <xdr:row>53</xdr:row>
          <xdr:rowOff>0</xdr:rowOff>
        </xdr:to>
        <xdr:sp macro="" textlink="">
          <xdr:nvSpPr>
            <xdr:cNvPr id="183309" name="Check Box 13" hidden="1">
              <a:extLst>
                <a:ext uri="{63B3BB69-23CF-44E3-9099-C40C66FF867C}">
                  <a14:compatExt spid="_x0000_s183309"/>
                </a:ext>
                <a:ext uri="{FF2B5EF4-FFF2-40B4-BE49-F238E27FC236}">
                  <a16:creationId xmlns:a16="http://schemas.microsoft.com/office/drawing/2014/main" id="{00000000-0008-0000-2000-00000D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52</xdr:row>
          <xdr:rowOff>142875</xdr:rowOff>
        </xdr:from>
        <xdr:to>
          <xdr:col>35</xdr:col>
          <xdr:colOff>57150</xdr:colOff>
          <xdr:row>54</xdr:row>
          <xdr:rowOff>0</xdr:rowOff>
        </xdr:to>
        <xdr:sp macro="" textlink="">
          <xdr:nvSpPr>
            <xdr:cNvPr id="183310" name="Check Box 14" hidden="1">
              <a:extLst>
                <a:ext uri="{63B3BB69-23CF-44E3-9099-C40C66FF867C}">
                  <a14:compatExt spid="_x0000_s183310"/>
                </a:ext>
                <a:ext uri="{FF2B5EF4-FFF2-40B4-BE49-F238E27FC236}">
                  <a16:creationId xmlns:a16="http://schemas.microsoft.com/office/drawing/2014/main" id="{00000000-0008-0000-2000-00000E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53</xdr:row>
          <xdr:rowOff>142875</xdr:rowOff>
        </xdr:from>
        <xdr:to>
          <xdr:col>35</xdr:col>
          <xdr:colOff>57150</xdr:colOff>
          <xdr:row>55</xdr:row>
          <xdr:rowOff>0</xdr:rowOff>
        </xdr:to>
        <xdr:sp macro="" textlink="">
          <xdr:nvSpPr>
            <xdr:cNvPr id="183311" name="Check Box 15" hidden="1">
              <a:extLst>
                <a:ext uri="{63B3BB69-23CF-44E3-9099-C40C66FF867C}">
                  <a14:compatExt spid="_x0000_s183311"/>
                </a:ext>
                <a:ext uri="{FF2B5EF4-FFF2-40B4-BE49-F238E27FC236}">
                  <a16:creationId xmlns:a16="http://schemas.microsoft.com/office/drawing/2014/main" id="{00000000-0008-0000-2000-00000F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54</xdr:row>
          <xdr:rowOff>142875</xdr:rowOff>
        </xdr:from>
        <xdr:to>
          <xdr:col>35</xdr:col>
          <xdr:colOff>57150</xdr:colOff>
          <xdr:row>56</xdr:row>
          <xdr:rowOff>0</xdr:rowOff>
        </xdr:to>
        <xdr:sp macro="" textlink="">
          <xdr:nvSpPr>
            <xdr:cNvPr id="183312" name="Check Box 16" hidden="1">
              <a:extLst>
                <a:ext uri="{63B3BB69-23CF-44E3-9099-C40C66FF867C}">
                  <a14:compatExt spid="_x0000_s183312"/>
                </a:ext>
                <a:ext uri="{FF2B5EF4-FFF2-40B4-BE49-F238E27FC236}">
                  <a16:creationId xmlns:a16="http://schemas.microsoft.com/office/drawing/2014/main" id="{00000000-0008-0000-2000-000010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57</xdr:row>
          <xdr:rowOff>142875</xdr:rowOff>
        </xdr:from>
        <xdr:to>
          <xdr:col>35</xdr:col>
          <xdr:colOff>57150</xdr:colOff>
          <xdr:row>59</xdr:row>
          <xdr:rowOff>0</xdr:rowOff>
        </xdr:to>
        <xdr:sp macro="" textlink="">
          <xdr:nvSpPr>
            <xdr:cNvPr id="183313" name="Check Box 17" hidden="1">
              <a:extLst>
                <a:ext uri="{63B3BB69-23CF-44E3-9099-C40C66FF867C}">
                  <a14:compatExt spid="_x0000_s183313"/>
                </a:ext>
                <a:ext uri="{FF2B5EF4-FFF2-40B4-BE49-F238E27FC236}">
                  <a16:creationId xmlns:a16="http://schemas.microsoft.com/office/drawing/2014/main" id="{00000000-0008-0000-2000-00001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58</xdr:row>
          <xdr:rowOff>142875</xdr:rowOff>
        </xdr:from>
        <xdr:to>
          <xdr:col>35</xdr:col>
          <xdr:colOff>57150</xdr:colOff>
          <xdr:row>60</xdr:row>
          <xdr:rowOff>0</xdr:rowOff>
        </xdr:to>
        <xdr:sp macro="" textlink="">
          <xdr:nvSpPr>
            <xdr:cNvPr id="183314" name="Check Box 18" hidden="1">
              <a:extLst>
                <a:ext uri="{63B3BB69-23CF-44E3-9099-C40C66FF867C}">
                  <a14:compatExt spid="_x0000_s183314"/>
                </a:ext>
                <a:ext uri="{FF2B5EF4-FFF2-40B4-BE49-F238E27FC236}">
                  <a16:creationId xmlns:a16="http://schemas.microsoft.com/office/drawing/2014/main" id="{00000000-0008-0000-2000-00001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59</xdr:row>
          <xdr:rowOff>142875</xdr:rowOff>
        </xdr:from>
        <xdr:to>
          <xdr:col>35</xdr:col>
          <xdr:colOff>57150</xdr:colOff>
          <xdr:row>61</xdr:row>
          <xdr:rowOff>0</xdr:rowOff>
        </xdr:to>
        <xdr:sp macro="" textlink="">
          <xdr:nvSpPr>
            <xdr:cNvPr id="183315" name="Check Box 19" hidden="1">
              <a:extLst>
                <a:ext uri="{63B3BB69-23CF-44E3-9099-C40C66FF867C}">
                  <a14:compatExt spid="_x0000_s183315"/>
                </a:ext>
                <a:ext uri="{FF2B5EF4-FFF2-40B4-BE49-F238E27FC236}">
                  <a16:creationId xmlns:a16="http://schemas.microsoft.com/office/drawing/2014/main" id="{00000000-0008-0000-2000-00001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60</xdr:row>
          <xdr:rowOff>142875</xdr:rowOff>
        </xdr:from>
        <xdr:to>
          <xdr:col>35</xdr:col>
          <xdr:colOff>57150</xdr:colOff>
          <xdr:row>62</xdr:row>
          <xdr:rowOff>0</xdr:rowOff>
        </xdr:to>
        <xdr:sp macro="" textlink="">
          <xdr:nvSpPr>
            <xdr:cNvPr id="183316" name="Check Box 20" hidden="1">
              <a:extLst>
                <a:ext uri="{63B3BB69-23CF-44E3-9099-C40C66FF867C}">
                  <a14:compatExt spid="_x0000_s183316"/>
                </a:ext>
                <a:ext uri="{FF2B5EF4-FFF2-40B4-BE49-F238E27FC236}">
                  <a16:creationId xmlns:a16="http://schemas.microsoft.com/office/drawing/2014/main" id="{00000000-0008-0000-2000-00001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61</xdr:row>
          <xdr:rowOff>142875</xdr:rowOff>
        </xdr:from>
        <xdr:to>
          <xdr:col>35</xdr:col>
          <xdr:colOff>57150</xdr:colOff>
          <xdr:row>63</xdr:row>
          <xdr:rowOff>0</xdr:rowOff>
        </xdr:to>
        <xdr:sp macro="" textlink="">
          <xdr:nvSpPr>
            <xdr:cNvPr id="183317" name="Check Box 21" hidden="1">
              <a:extLst>
                <a:ext uri="{63B3BB69-23CF-44E3-9099-C40C66FF867C}">
                  <a14:compatExt spid="_x0000_s183317"/>
                </a:ext>
                <a:ext uri="{FF2B5EF4-FFF2-40B4-BE49-F238E27FC236}">
                  <a16:creationId xmlns:a16="http://schemas.microsoft.com/office/drawing/2014/main" id="{00000000-0008-0000-2000-000015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55</xdr:row>
          <xdr:rowOff>142875</xdr:rowOff>
        </xdr:from>
        <xdr:to>
          <xdr:col>35</xdr:col>
          <xdr:colOff>57150</xdr:colOff>
          <xdr:row>57</xdr:row>
          <xdr:rowOff>0</xdr:rowOff>
        </xdr:to>
        <xdr:sp macro="" textlink="">
          <xdr:nvSpPr>
            <xdr:cNvPr id="183318" name="Check Box 22" hidden="1">
              <a:extLst>
                <a:ext uri="{63B3BB69-23CF-44E3-9099-C40C66FF867C}">
                  <a14:compatExt spid="_x0000_s183318"/>
                </a:ext>
                <a:ext uri="{FF2B5EF4-FFF2-40B4-BE49-F238E27FC236}">
                  <a16:creationId xmlns:a16="http://schemas.microsoft.com/office/drawing/2014/main" id="{00000000-0008-0000-2000-00001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56</xdr:row>
          <xdr:rowOff>142875</xdr:rowOff>
        </xdr:from>
        <xdr:to>
          <xdr:col>35</xdr:col>
          <xdr:colOff>57150</xdr:colOff>
          <xdr:row>58</xdr:row>
          <xdr:rowOff>0</xdr:rowOff>
        </xdr:to>
        <xdr:sp macro="" textlink="">
          <xdr:nvSpPr>
            <xdr:cNvPr id="183319" name="Check Box 23" hidden="1">
              <a:extLst>
                <a:ext uri="{63B3BB69-23CF-44E3-9099-C40C66FF867C}">
                  <a14:compatExt spid="_x0000_s183319"/>
                </a:ext>
                <a:ext uri="{FF2B5EF4-FFF2-40B4-BE49-F238E27FC236}">
                  <a16:creationId xmlns:a16="http://schemas.microsoft.com/office/drawing/2014/main" id="{00000000-0008-0000-2000-000017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62</xdr:row>
          <xdr:rowOff>142875</xdr:rowOff>
        </xdr:from>
        <xdr:to>
          <xdr:col>35</xdr:col>
          <xdr:colOff>57150</xdr:colOff>
          <xdr:row>64</xdr:row>
          <xdr:rowOff>0</xdr:rowOff>
        </xdr:to>
        <xdr:sp macro="" textlink="">
          <xdr:nvSpPr>
            <xdr:cNvPr id="183320" name="Check Box 24" hidden="1">
              <a:extLst>
                <a:ext uri="{63B3BB69-23CF-44E3-9099-C40C66FF867C}">
                  <a14:compatExt spid="_x0000_s183320"/>
                </a:ext>
                <a:ext uri="{FF2B5EF4-FFF2-40B4-BE49-F238E27FC236}">
                  <a16:creationId xmlns:a16="http://schemas.microsoft.com/office/drawing/2014/main" id="{00000000-0008-0000-2000-00001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66675</xdr:colOff>
      <xdr:row>0</xdr:row>
      <xdr:rowOff>193416</xdr:rowOff>
    </xdr:from>
    <xdr:to>
      <xdr:col>21</xdr:col>
      <xdr:colOff>368300</xdr:colOff>
      <xdr:row>2</xdr:row>
      <xdr:rowOff>44450</xdr:rowOff>
    </xdr:to>
    <xdr:pic macro="[0]!Home">
      <xdr:nvPicPr>
        <xdr:cNvPr id="31" name="Picture 30">
          <a:extLst>
            <a:ext uri="{FF2B5EF4-FFF2-40B4-BE49-F238E27FC236}">
              <a16:creationId xmlns:a16="http://schemas.microsoft.com/office/drawing/2014/main" id="{00000000-0008-0000-2000-00001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258300" y="193416"/>
          <a:ext cx="3048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EHCP" textlink="">
      <xdr:nvSpPr>
        <xdr:cNvPr id="32" name="Right Arrow 31">
          <a:extLst>
            <a:ext uri="{FF2B5EF4-FFF2-40B4-BE49-F238E27FC236}">
              <a16:creationId xmlns:a16="http://schemas.microsoft.com/office/drawing/2014/main" id="{00000000-0008-0000-2000-000020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21</xdr:col>
      <xdr:colOff>95250</xdr:colOff>
      <xdr:row>107</xdr:row>
      <xdr:rowOff>33750</xdr:rowOff>
    </xdr:from>
    <xdr:ext cx="252000" cy="252000"/>
    <xdr:sp macro="[0]!CMEEHE" textlink="">
      <xdr:nvSpPr>
        <xdr:cNvPr id="34" name="Down Arrow 44">
          <a:extLst>
            <a:ext uri="{FF2B5EF4-FFF2-40B4-BE49-F238E27FC236}">
              <a16:creationId xmlns:a16="http://schemas.microsoft.com/office/drawing/2014/main" id="{00000000-0008-0000-2000-000022000000}"/>
            </a:ext>
          </a:extLst>
        </xdr:cNvPr>
        <xdr:cNvSpPr>
          <a:spLocks noChangeArrowheads="1"/>
        </xdr:cNvSpPr>
      </xdr:nvSpPr>
      <xdr:spPr bwMode="auto">
        <a:xfrm flipV="1">
          <a:off x="9286875"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21</xdr:col>
      <xdr:colOff>95250</xdr:colOff>
      <xdr:row>140</xdr:row>
      <xdr:rowOff>33750</xdr:rowOff>
    </xdr:from>
    <xdr:to>
      <xdr:col>21</xdr:col>
      <xdr:colOff>347250</xdr:colOff>
      <xdr:row>141</xdr:row>
      <xdr:rowOff>95250</xdr:rowOff>
    </xdr:to>
    <xdr:sp macro="[0]!CMEEHE" textlink="">
      <xdr:nvSpPr>
        <xdr:cNvPr id="35" name="Down Arrow 34">
          <a:extLst>
            <a:ext uri="{FF2B5EF4-FFF2-40B4-BE49-F238E27FC236}">
              <a16:creationId xmlns:a16="http://schemas.microsoft.com/office/drawing/2014/main" id="{00000000-0008-0000-2000-000023000000}"/>
            </a:ext>
          </a:extLst>
        </xdr:cNvPr>
        <xdr:cNvSpPr/>
      </xdr:nvSpPr>
      <xdr:spPr>
        <a:xfrm flipV="1">
          <a:off x="9286875" y="334188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110</xdr:row>
      <xdr:rowOff>1</xdr:rowOff>
    </xdr:from>
    <xdr:to>
      <xdr:col>11</xdr:col>
      <xdr:colOff>0</xdr:colOff>
      <xdr:row>139</xdr:row>
      <xdr:rowOff>0</xdr:rowOff>
    </xdr:to>
    <xdr:graphicFrame macro="">
      <xdr:nvGraphicFramePr>
        <xdr:cNvPr id="36" name="Chart 13">
          <a:extLst>
            <a:ext uri="{FF2B5EF4-FFF2-40B4-BE49-F238E27FC236}">
              <a16:creationId xmlns:a16="http://schemas.microsoft.com/office/drawing/2014/main" id="{00000000-0008-0000-2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136</xdr:row>
      <xdr:rowOff>0</xdr:rowOff>
    </xdr:from>
    <xdr:to>
      <xdr:col>20</xdr:col>
      <xdr:colOff>1</xdr:colOff>
      <xdr:row>139</xdr:row>
      <xdr:rowOff>0</xdr:rowOff>
    </xdr:to>
    <xdr:graphicFrame macro="">
      <xdr:nvGraphicFramePr>
        <xdr:cNvPr id="37" name="Chart 13">
          <a:extLst>
            <a:ext uri="{FF2B5EF4-FFF2-40B4-BE49-F238E27FC236}">
              <a16:creationId xmlns:a16="http://schemas.microsoft.com/office/drawing/2014/main" id="{00000000-0008-0000-2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1</xdr:colOff>
      <xdr:row>39</xdr:row>
      <xdr:rowOff>0</xdr:rowOff>
    </xdr:from>
    <xdr:to>
      <xdr:col>20</xdr:col>
      <xdr:colOff>1</xdr:colOff>
      <xdr:row>63</xdr:row>
      <xdr:rowOff>0</xdr:rowOff>
    </xdr:to>
    <xdr:graphicFrame macro="">
      <xdr:nvGraphicFramePr>
        <xdr:cNvPr id="38" name="Chart 176">
          <a:extLst>
            <a:ext uri="{FF2B5EF4-FFF2-40B4-BE49-F238E27FC236}">
              <a16:creationId xmlns:a16="http://schemas.microsoft.com/office/drawing/2014/main" id="{00000000-0008-0000-2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xdr:colOff>
      <xdr:row>110</xdr:row>
      <xdr:rowOff>0</xdr:rowOff>
    </xdr:from>
    <xdr:to>
      <xdr:col>20</xdr:col>
      <xdr:colOff>1</xdr:colOff>
      <xdr:row>134</xdr:row>
      <xdr:rowOff>0</xdr:rowOff>
    </xdr:to>
    <xdr:graphicFrame macro="">
      <xdr:nvGraphicFramePr>
        <xdr:cNvPr id="47" name="Chart 176">
          <a:extLst>
            <a:ext uri="{FF2B5EF4-FFF2-40B4-BE49-F238E27FC236}">
              <a16:creationId xmlns:a16="http://schemas.microsoft.com/office/drawing/2014/main" id="{00000000-0008-0000-2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19049</xdr:colOff>
      <xdr:row>71</xdr:row>
      <xdr:rowOff>85725</xdr:rowOff>
    </xdr:from>
    <xdr:to>
      <xdr:col>20</xdr:col>
      <xdr:colOff>64499</xdr:colOff>
      <xdr:row>73</xdr:row>
      <xdr:rowOff>149475</xdr:rowOff>
    </xdr:to>
    <xdr:sp macro="" textlink="">
      <xdr:nvSpPr>
        <xdr:cNvPr id="48" name="AutoShape 32">
          <a:extLst>
            <a:ext uri="{FF2B5EF4-FFF2-40B4-BE49-F238E27FC236}">
              <a16:creationId xmlns:a16="http://schemas.microsoft.com/office/drawing/2014/main" id="{00000000-0008-0000-2000-000030000000}"/>
            </a:ext>
          </a:extLst>
        </xdr:cNvPr>
        <xdr:cNvSpPr>
          <a:spLocks noChangeArrowheads="1"/>
        </xdr:cNvSpPr>
      </xdr:nvSpPr>
      <xdr:spPr bwMode="auto">
        <a:xfrm>
          <a:off x="6943724" y="135731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219075</xdr:colOff>
      <xdr:row>64</xdr:row>
      <xdr:rowOff>38100</xdr:rowOff>
    </xdr:from>
    <xdr:to>
      <xdr:col>11</xdr:col>
      <xdr:colOff>295275</xdr:colOff>
      <xdr:row>64</xdr:row>
      <xdr:rowOff>114300</xdr:rowOff>
    </xdr:to>
    <xdr:sp macro="" textlink="">
      <xdr:nvSpPr>
        <xdr:cNvPr id="55" name="Oval 2165">
          <a:extLst>
            <a:ext uri="{FF2B5EF4-FFF2-40B4-BE49-F238E27FC236}">
              <a16:creationId xmlns:a16="http://schemas.microsoft.com/office/drawing/2014/main" id="{00000000-0008-0000-2000-000037000000}"/>
            </a:ext>
          </a:extLst>
        </xdr:cNvPr>
        <xdr:cNvSpPr>
          <a:spLocks noChangeArrowheads="1"/>
        </xdr:cNvSpPr>
      </xdr:nvSpPr>
      <xdr:spPr bwMode="auto">
        <a:xfrm>
          <a:off x="5095875" y="11325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66675</xdr:colOff>
      <xdr:row>63</xdr:row>
      <xdr:rowOff>76200</xdr:rowOff>
    </xdr:from>
    <xdr:to>
      <xdr:col>11</xdr:col>
      <xdr:colOff>438150</xdr:colOff>
      <xdr:row>63</xdr:row>
      <xdr:rowOff>76200</xdr:rowOff>
    </xdr:to>
    <xdr:sp macro="" textlink="">
      <xdr:nvSpPr>
        <xdr:cNvPr id="56" name="Line 283">
          <a:extLst>
            <a:ext uri="{FF2B5EF4-FFF2-40B4-BE49-F238E27FC236}">
              <a16:creationId xmlns:a16="http://schemas.microsoft.com/office/drawing/2014/main" id="{00000000-0008-0000-2000-000038000000}"/>
            </a:ext>
          </a:extLst>
        </xdr:cNvPr>
        <xdr:cNvSpPr>
          <a:spLocks noChangeShapeType="1"/>
        </xdr:cNvSpPr>
      </xdr:nvSpPr>
      <xdr:spPr bwMode="auto">
        <a:xfrm>
          <a:off x="4943475" y="111918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63</xdr:row>
      <xdr:rowOff>38100</xdr:rowOff>
    </xdr:from>
    <xdr:to>
      <xdr:col>15</xdr:col>
      <xdr:colOff>304800</xdr:colOff>
      <xdr:row>63</xdr:row>
      <xdr:rowOff>114300</xdr:rowOff>
    </xdr:to>
    <xdr:sp macro="" textlink="">
      <xdr:nvSpPr>
        <xdr:cNvPr id="57" name="Oval 2164">
          <a:extLst>
            <a:ext uri="{FF2B5EF4-FFF2-40B4-BE49-F238E27FC236}">
              <a16:creationId xmlns:a16="http://schemas.microsoft.com/office/drawing/2014/main" id="{00000000-0008-0000-2000-000039000000}"/>
            </a:ext>
          </a:extLst>
        </xdr:cNvPr>
        <xdr:cNvSpPr>
          <a:spLocks noChangeArrowheads="1"/>
        </xdr:cNvSpPr>
      </xdr:nvSpPr>
      <xdr:spPr bwMode="auto">
        <a:xfrm>
          <a:off x="7048500" y="111537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11</xdr:col>
      <xdr:colOff>219075</xdr:colOff>
      <xdr:row>135</xdr:row>
      <xdr:rowOff>38100</xdr:rowOff>
    </xdr:from>
    <xdr:to>
      <xdr:col>11</xdr:col>
      <xdr:colOff>295275</xdr:colOff>
      <xdr:row>135</xdr:row>
      <xdr:rowOff>114300</xdr:rowOff>
    </xdr:to>
    <xdr:sp macro="" textlink="">
      <xdr:nvSpPr>
        <xdr:cNvPr id="58" name="Oval 2165">
          <a:extLst>
            <a:ext uri="{FF2B5EF4-FFF2-40B4-BE49-F238E27FC236}">
              <a16:creationId xmlns:a16="http://schemas.microsoft.com/office/drawing/2014/main" id="{00000000-0008-0000-2000-00003A000000}"/>
            </a:ext>
          </a:extLst>
        </xdr:cNvPr>
        <xdr:cNvSpPr>
          <a:spLocks noChangeArrowheads="1"/>
        </xdr:cNvSpPr>
      </xdr:nvSpPr>
      <xdr:spPr bwMode="auto">
        <a:xfrm>
          <a:off x="5095875" y="11325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66675</xdr:colOff>
      <xdr:row>134</xdr:row>
      <xdr:rowOff>76200</xdr:rowOff>
    </xdr:from>
    <xdr:to>
      <xdr:col>11</xdr:col>
      <xdr:colOff>438150</xdr:colOff>
      <xdr:row>134</xdr:row>
      <xdr:rowOff>76200</xdr:rowOff>
    </xdr:to>
    <xdr:sp macro="" textlink="">
      <xdr:nvSpPr>
        <xdr:cNvPr id="59" name="Line 283">
          <a:extLst>
            <a:ext uri="{FF2B5EF4-FFF2-40B4-BE49-F238E27FC236}">
              <a16:creationId xmlns:a16="http://schemas.microsoft.com/office/drawing/2014/main" id="{00000000-0008-0000-2000-00003B000000}"/>
            </a:ext>
          </a:extLst>
        </xdr:cNvPr>
        <xdr:cNvSpPr>
          <a:spLocks noChangeShapeType="1"/>
        </xdr:cNvSpPr>
      </xdr:nvSpPr>
      <xdr:spPr bwMode="auto">
        <a:xfrm>
          <a:off x="4943475" y="111918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134</xdr:row>
      <xdr:rowOff>38100</xdr:rowOff>
    </xdr:from>
    <xdr:to>
      <xdr:col>15</xdr:col>
      <xdr:colOff>304800</xdr:colOff>
      <xdr:row>134</xdr:row>
      <xdr:rowOff>114300</xdr:rowOff>
    </xdr:to>
    <xdr:sp macro="" textlink="">
      <xdr:nvSpPr>
        <xdr:cNvPr id="60" name="Oval 2164">
          <a:extLst>
            <a:ext uri="{FF2B5EF4-FFF2-40B4-BE49-F238E27FC236}">
              <a16:creationId xmlns:a16="http://schemas.microsoft.com/office/drawing/2014/main" id="{00000000-0008-0000-2000-00003C000000}"/>
            </a:ext>
          </a:extLst>
        </xdr:cNvPr>
        <xdr:cNvSpPr>
          <a:spLocks noChangeArrowheads="1"/>
        </xdr:cNvSpPr>
      </xdr:nvSpPr>
      <xdr:spPr bwMode="auto">
        <a:xfrm>
          <a:off x="7048500" y="111537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editAs="oneCell">
    <xdr:from>
      <xdr:col>21</xdr:col>
      <xdr:colOff>123825</xdr:colOff>
      <xdr:row>5</xdr:row>
      <xdr:rowOff>47625</xdr:rowOff>
    </xdr:from>
    <xdr:to>
      <xdr:col>21</xdr:col>
      <xdr:colOff>371475</xdr:colOff>
      <xdr:row>6</xdr:row>
      <xdr:rowOff>153375</xdr:rowOff>
    </xdr:to>
    <xdr:sp macro="[0]!NEET" textlink="">
      <xdr:nvSpPr>
        <xdr:cNvPr id="46" name="Right Arrow 50">
          <a:extLst>
            <a:ext uri="{FF2B5EF4-FFF2-40B4-BE49-F238E27FC236}">
              <a16:creationId xmlns:a16="http://schemas.microsoft.com/office/drawing/2014/main" id="{00000000-0008-0000-2000-00002E000000}"/>
            </a:ext>
          </a:extLst>
        </xdr:cNvPr>
        <xdr:cNvSpPr>
          <a:spLocks noChangeArrowheads="1"/>
        </xdr:cNvSpPr>
      </xdr:nvSpPr>
      <xdr:spPr bwMode="auto">
        <a:xfrm rot="10800000" flipH="1">
          <a:off x="9305925" y="109537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350425</xdr:colOff>
      <xdr:row>37</xdr:row>
      <xdr:rowOff>95250</xdr:rowOff>
    </xdr:to>
    <xdr:sp macro="[0]!NEET" textlink="">
      <xdr:nvSpPr>
        <xdr:cNvPr id="2" name="Down Arrow 44">
          <a:extLst>
            <a:ext uri="{FF2B5EF4-FFF2-40B4-BE49-F238E27FC236}">
              <a16:creationId xmlns:a16="http://schemas.microsoft.com/office/drawing/2014/main" id="{00000000-0008-0000-21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NEET" textlink="">
      <xdr:nvSpPr>
        <xdr:cNvPr id="3" name="Down Arrow 2">
          <a:extLst>
            <a:ext uri="{FF2B5EF4-FFF2-40B4-BE49-F238E27FC236}">
              <a16:creationId xmlns:a16="http://schemas.microsoft.com/office/drawing/2014/main" id="{00000000-0008-0000-21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5" name="Chart 13">
          <a:extLst>
            <a:ext uri="{FF2B5EF4-FFF2-40B4-BE49-F238E27FC236}">
              <a16:creationId xmlns:a16="http://schemas.microsoft.com/office/drawing/2014/main" id="{00000000-0008-0000-2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419099</xdr:colOff>
      <xdr:row>0</xdr:row>
      <xdr:rowOff>85725</xdr:rowOff>
    </xdr:from>
    <xdr:to>
      <xdr:col>21</xdr:col>
      <xdr:colOff>64499</xdr:colOff>
      <xdr:row>2</xdr:row>
      <xdr:rowOff>149475</xdr:rowOff>
    </xdr:to>
    <xdr:sp macro="" textlink="">
      <xdr:nvSpPr>
        <xdr:cNvPr id="7" name="AutoShape 32">
          <a:extLst>
            <a:ext uri="{FF2B5EF4-FFF2-40B4-BE49-F238E27FC236}">
              <a16:creationId xmlns:a16="http://schemas.microsoft.com/office/drawing/2014/main" id="{00000000-0008-0000-2100-000007000000}"/>
            </a:ext>
          </a:extLst>
        </xdr:cNvPr>
        <xdr:cNvSpPr>
          <a:spLocks noChangeArrowheads="1"/>
        </xdr:cNvSpPr>
      </xdr:nvSpPr>
      <xdr:spPr bwMode="auto">
        <a:xfrm>
          <a:off x="696277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8" name="Chart 13">
          <a:extLst>
            <a:ext uri="{FF2B5EF4-FFF2-40B4-BE49-F238E27FC236}">
              <a16:creationId xmlns:a16="http://schemas.microsoft.com/office/drawing/2014/main" id="{00000000-0008-0000-2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19050</xdr:rowOff>
        </xdr:from>
        <xdr:to>
          <xdr:col>36</xdr:col>
          <xdr:colOff>47625</xdr:colOff>
          <xdr:row>41</xdr:row>
          <xdr:rowOff>0</xdr:rowOff>
        </xdr:to>
        <xdr:sp macro="" textlink="">
          <xdr:nvSpPr>
            <xdr:cNvPr id="169985" name="Check Box 1" hidden="1">
              <a:extLst>
                <a:ext uri="{63B3BB69-23CF-44E3-9099-C40C66FF867C}">
                  <a14:compatExt spid="_x0000_s169985"/>
                </a:ext>
                <a:ext uri="{FF2B5EF4-FFF2-40B4-BE49-F238E27FC236}">
                  <a16:creationId xmlns:a16="http://schemas.microsoft.com/office/drawing/2014/main" id="{00000000-0008-0000-2100-00000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142875</xdr:rowOff>
        </xdr:from>
        <xdr:to>
          <xdr:col>36</xdr:col>
          <xdr:colOff>47625</xdr:colOff>
          <xdr:row>42</xdr:row>
          <xdr:rowOff>0</xdr:rowOff>
        </xdr:to>
        <xdr:sp macro="" textlink="">
          <xdr:nvSpPr>
            <xdr:cNvPr id="169986" name="Check Box 2" hidden="1">
              <a:extLst>
                <a:ext uri="{63B3BB69-23CF-44E3-9099-C40C66FF867C}">
                  <a14:compatExt spid="_x0000_s169986"/>
                </a:ext>
                <a:ext uri="{FF2B5EF4-FFF2-40B4-BE49-F238E27FC236}">
                  <a16:creationId xmlns:a16="http://schemas.microsoft.com/office/drawing/2014/main" id="{00000000-0008-0000-2100-000002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142875</xdr:rowOff>
        </xdr:from>
        <xdr:to>
          <xdr:col>36</xdr:col>
          <xdr:colOff>47625</xdr:colOff>
          <xdr:row>43</xdr:row>
          <xdr:rowOff>0</xdr:rowOff>
        </xdr:to>
        <xdr:sp macro="" textlink="">
          <xdr:nvSpPr>
            <xdr:cNvPr id="169987" name="Check Box 3" hidden="1">
              <a:extLst>
                <a:ext uri="{63B3BB69-23CF-44E3-9099-C40C66FF867C}">
                  <a14:compatExt spid="_x0000_s169987"/>
                </a:ext>
                <a:ext uri="{FF2B5EF4-FFF2-40B4-BE49-F238E27FC236}">
                  <a16:creationId xmlns:a16="http://schemas.microsoft.com/office/drawing/2014/main" id="{00000000-0008-0000-2100-000003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142875</xdr:rowOff>
        </xdr:from>
        <xdr:to>
          <xdr:col>36</xdr:col>
          <xdr:colOff>47625</xdr:colOff>
          <xdr:row>44</xdr:row>
          <xdr:rowOff>0</xdr:rowOff>
        </xdr:to>
        <xdr:sp macro="" textlink="">
          <xdr:nvSpPr>
            <xdr:cNvPr id="169988" name="Check Box 4" hidden="1">
              <a:extLst>
                <a:ext uri="{63B3BB69-23CF-44E3-9099-C40C66FF867C}">
                  <a14:compatExt spid="_x0000_s169988"/>
                </a:ext>
                <a:ext uri="{FF2B5EF4-FFF2-40B4-BE49-F238E27FC236}">
                  <a16:creationId xmlns:a16="http://schemas.microsoft.com/office/drawing/2014/main" id="{00000000-0008-0000-2100-00000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142875</xdr:rowOff>
        </xdr:from>
        <xdr:to>
          <xdr:col>36</xdr:col>
          <xdr:colOff>47625</xdr:colOff>
          <xdr:row>45</xdr:row>
          <xdr:rowOff>0</xdr:rowOff>
        </xdr:to>
        <xdr:sp macro="" textlink="">
          <xdr:nvSpPr>
            <xdr:cNvPr id="169989" name="Check Box 5" hidden="1">
              <a:extLst>
                <a:ext uri="{63B3BB69-23CF-44E3-9099-C40C66FF867C}">
                  <a14:compatExt spid="_x0000_s169989"/>
                </a:ext>
                <a:ext uri="{FF2B5EF4-FFF2-40B4-BE49-F238E27FC236}">
                  <a16:creationId xmlns:a16="http://schemas.microsoft.com/office/drawing/2014/main" id="{00000000-0008-0000-2100-000005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142875</xdr:rowOff>
        </xdr:from>
        <xdr:to>
          <xdr:col>36</xdr:col>
          <xdr:colOff>47625</xdr:colOff>
          <xdr:row>46</xdr:row>
          <xdr:rowOff>0</xdr:rowOff>
        </xdr:to>
        <xdr:sp macro="" textlink="">
          <xdr:nvSpPr>
            <xdr:cNvPr id="169990" name="Check Box 6" hidden="1">
              <a:extLst>
                <a:ext uri="{63B3BB69-23CF-44E3-9099-C40C66FF867C}">
                  <a14:compatExt spid="_x0000_s169990"/>
                </a:ext>
                <a:ext uri="{FF2B5EF4-FFF2-40B4-BE49-F238E27FC236}">
                  <a16:creationId xmlns:a16="http://schemas.microsoft.com/office/drawing/2014/main" id="{00000000-0008-0000-2100-000006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142875</xdr:rowOff>
        </xdr:from>
        <xdr:to>
          <xdr:col>36</xdr:col>
          <xdr:colOff>47625</xdr:colOff>
          <xdr:row>47</xdr:row>
          <xdr:rowOff>0</xdr:rowOff>
        </xdr:to>
        <xdr:sp macro="" textlink="">
          <xdr:nvSpPr>
            <xdr:cNvPr id="169991" name="Check Box 7" hidden="1">
              <a:extLst>
                <a:ext uri="{63B3BB69-23CF-44E3-9099-C40C66FF867C}">
                  <a14:compatExt spid="_x0000_s169991"/>
                </a:ext>
                <a:ext uri="{FF2B5EF4-FFF2-40B4-BE49-F238E27FC236}">
                  <a16:creationId xmlns:a16="http://schemas.microsoft.com/office/drawing/2014/main" id="{00000000-0008-0000-2100-000007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142875</xdr:rowOff>
        </xdr:from>
        <xdr:to>
          <xdr:col>36</xdr:col>
          <xdr:colOff>47625</xdr:colOff>
          <xdr:row>48</xdr:row>
          <xdr:rowOff>0</xdr:rowOff>
        </xdr:to>
        <xdr:sp macro="" textlink="">
          <xdr:nvSpPr>
            <xdr:cNvPr id="169992" name="Check Box 8" hidden="1">
              <a:extLst>
                <a:ext uri="{63B3BB69-23CF-44E3-9099-C40C66FF867C}">
                  <a14:compatExt spid="_x0000_s169992"/>
                </a:ext>
                <a:ext uri="{FF2B5EF4-FFF2-40B4-BE49-F238E27FC236}">
                  <a16:creationId xmlns:a16="http://schemas.microsoft.com/office/drawing/2014/main" id="{00000000-0008-0000-2100-000008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142875</xdr:rowOff>
        </xdr:from>
        <xdr:to>
          <xdr:col>36</xdr:col>
          <xdr:colOff>47625</xdr:colOff>
          <xdr:row>49</xdr:row>
          <xdr:rowOff>0</xdr:rowOff>
        </xdr:to>
        <xdr:sp macro="" textlink="">
          <xdr:nvSpPr>
            <xdr:cNvPr id="169993" name="Check Box 9" hidden="1">
              <a:extLst>
                <a:ext uri="{63B3BB69-23CF-44E3-9099-C40C66FF867C}">
                  <a14:compatExt spid="_x0000_s169993"/>
                </a:ext>
                <a:ext uri="{FF2B5EF4-FFF2-40B4-BE49-F238E27FC236}">
                  <a16:creationId xmlns:a16="http://schemas.microsoft.com/office/drawing/2014/main" id="{00000000-0008-0000-2100-000009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142875</xdr:rowOff>
        </xdr:from>
        <xdr:to>
          <xdr:col>36</xdr:col>
          <xdr:colOff>47625</xdr:colOff>
          <xdr:row>50</xdr:row>
          <xdr:rowOff>0</xdr:rowOff>
        </xdr:to>
        <xdr:sp macro="" textlink="">
          <xdr:nvSpPr>
            <xdr:cNvPr id="169994" name="Check Box 10" hidden="1">
              <a:extLst>
                <a:ext uri="{63B3BB69-23CF-44E3-9099-C40C66FF867C}">
                  <a14:compatExt spid="_x0000_s169994"/>
                </a:ext>
                <a:ext uri="{FF2B5EF4-FFF2-40B4-BE49-F238E27FC236}">
                  <a16:creationId xmlns:a16="http://schemas.microsoft.com/office/drawing/2014/main" id="{00000000-0008-0000-2100-00000A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142875</xdr:rowOff>
        </xdr:from>
        <xdr:to>
          <xdr:col>36</xdr:col>
          <xdr:colOff>47625</xdr:colOff>
          <xdr:row>51</xdr:row>
          <xdr:rowOff>0</xdr:rowOff>
        </xdr:to>
        <xdr:sp macro="" textlink="">
          <xdr:nvSpPr>
            <xdr:cNvPr id="169995" name="Check Box 11" hidden="1">
              <a:extLst>
                <a:ext uri="{63B3BB69-23CF-44E3-9099-C40C66FF867C}">
                  <a14:compatExt spid="_x0000_s169995"/>
                </a:ext>
                <a:ext uri="{FF2B5EF4-FFF2-40B4-BE49-F238E27FC236}">
                  <a16:creationId xmlns:a16="http://schemas.microsoft.com/office/drawing/2014/main" id="{00000000-0008-0000-2100-00000B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142875</xdr:rowOff>
        </xdr:from>
        <xdr:to>
          <xdr:col>36</xdr:col>
          <xdr:colOff>47625</xdr:colOff>
          <xdr:row>52</xdr:row>
          <xdr:rowOff>0</xdr:rowOff>
        </xdr:to>
        <xdr:sp macro="" textlink="">
          <xdr:nvSpPr>
            <xdr:cNvPr id="169996" name="Check Box 12" hidden="1">
              <a:extLst>
                <a:ext uri="{63B3BB69-23CF-44E3-9099-C40C66FF867C}">
                  <a14:compatExt spid="_x0000_s169996"/>
                </a:ext>
                <a:ext uri="{FF2B5EF4-FFF2-40B4-BE49-F238E27FC236}">
                  <a16:creationId xmlns:a16="http://schemas.microsoft.com/office/drawing/2014/main" id="{00000000-0008-0000-2100-00000C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142875</xdr:rowOff>
        </xdr:from>
        <xdr:to>
          <xdr:col>36</xdr:col>
          <xdr:colOff>47625</xdr:colOff>
          <xdr:row>53</xdr:row>
          <xdr:rowOff>0</xdr:rowOff>
        </xdr:to>
        <xdr:sp macro="" textlink="">
          <xdr:nvSpPr>
            <xdr:cNvPr id="169997" name="Check Box 13" hidden="1">
              <a:extLst>
                <a:ext uri="{63B3BB69-23CF-44E3-9099-C40C66FF867C}">
                  <a14:compatExt spid="_x0000_s169997"/>
                </a:ext>
                <a:ext uri="{FF2B5EF4-FFF2-40B4-BE49-F238E27FC236}">
                  <a16:creationId xmlns:a16="http://schemas.microsoft.com/office/drawing/2014/main" id="{00000000-0008-0000-2100-00000D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142875</xdr:rowOff>
        </xdr:from>
        <xdr:to>
          <xdr:col>36</xdr:col>
          <xdr:colOff>47625</xdr:colOff>
          <xdr:row>54</xdr:row>
          <xdr:rowOff>0</xdr:rowOff>
        </xdr:to>
        <xdr:sp macro="" textlink="">
          <xdr:nvSpPr>
            <xdr:cNvPr id="169998" name="Check Box 14" hidden="1">
              <a:extLst>
                <a:ext uri="{63B3BB69-23CF-44E3-9099-C40C66FF867C}">
                  <a14:compatExt spid="_x0000_s169998"/>
                </a:ext>
                <a:ext uri="{FF2B5EF4-FFF2-40B4-BE49-F238E27FC236}">
                  <a16:creationId xmlns:a16="http://schemas.microsoft.com/office/drawing/2014/main" id="{00000000-0008-0000-2100-00000E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142875</xdr:rowOff>
        </xdr:from>
        <xdr:to>
          <xdr:col>36</xdr:col>
          <xdr:colOff>47625</xdr:colOff>
          <xdr:row>55</xdr:row>
          <xdr:rowOff>0</xdr:rowOff>
        </xdr:to>
        <xdr:sp macro="" textlink="">
          <xdr:nvSpPr>
            <xdr:cNvPr id="169999" name="Check Box 15" hidden="1">
              <a:extLst>
                <a:ext uri="{63B3BB69-23CF-44E3-9099-C40C66FF867C}">
                  <a14:compatExt spid="_x0000_s169999"/>
                </a:ext>
                <a:ext uri="{FF2B5EF4-FFF2-40B4-BE49-F238E27FC236}">
                  <a16:creationId xmlns:a16="http://schemas.microsoft.com/office/drawing/2014/main" id="{00000000-0008-0000-2100-00000F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142875</xdr:rowOff>
        </xdr:from>
        <xdr:to>
          <xdr:col>36</xdr:col>
          <xdr:colOff>47625</xdr:colOff>
          <xdr:row>56</xdr:row>
          <xdr:rowOff>0</xdr:rowOff>
        </xdr:to>
        <xdr:sp macro="" textlink="">
          <xdr:nvSpPr>
            <xdr:cNvPr id="170000" name="Check Box 16" hidden="1">
              <a:extLst>
                <a:ext uri="{63B3BB69-23CF-44E3-9099-C40C66FF867C}">
                  <a14:compatExt spid="_x0000_s170000"/>
                </a:ext>
                <a:ext uri="{FF2B5EF4-FFF2-40B4-BE49-F238E27FC236}">
                  <a16:creationId xmlns:a16="http://schemas.microsoft.com/office/drawing/2014/main" id="{00000000-0008-0000-2100-000010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142875</xdr:rowOff>
        </xdr:from>
        <xdr:to>
          <xdr:col>36</xdr:col>
          <xdr:colOff>47625</xdr:colOff>
          <xdr:row>59</xdr:row>
          <xdr:rowOff>0</xdr:rowOff>
        </xdr:to>
        <xdr:sp macro="" textlink="">
          <xdr:nvSpPr>
            <xdr:cNvPr id="170001" name="Check Box 17" hidden="1">
              <a:extLst>
                <a:ext uri="{63B3BB69-23CF-44E3-9099-C40C66FF867C}">
                  <a14:compatExt spid="_x0000_s170001"/>
                </a:ext>
                <a:ext uri="{FF2B5EF4-FFF2-40B4-BE49-F238E27FC236}">
                  <a16:creationId xmlns:a16="http://schemas.microsoft.com/office/drawing/2014/main" id="{00000000-0008-0000-2100-00001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142875</xdr:rowOff>
        </xdr:from>
        <xdr:to>
          <xdr:col>36</xdr:col>
          <xdr:colOff>47625</xdr:colOff>
          <xdr:row>60</xdr:row>
          <xdr:rowOff>0</xdr:rowOff>
        </xdr:to>
        <xdr:sp macro="" textlink="">
          <xdr:nvSpPr>
            <xdr:cNvPr id="170002" name="Check Box 18" hidden="1">
              <a:extLst>
                <a:ext uri="{63B3BB69-23CF-44E3-9099-C40C66FF867C}">
                  <a14:compatExt spid="_x0000_s170002"/>
                </a:ext>
                <a:ext uri="{FF2B5EF4-FFF2-40B4-BE49-F238E27FC236}">
                  <a16:creationId xmlns:a16="http://schemas.microsoft.com/office/drawing/2014/main" id="{00000000-0008-0000-2100-000012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142875</xdr:rowOff>
        </xdr:from>
        <xdr:to>
          <xdr:col>36</xdr:col>
          <xdr:colOff>47625</xdr:colOff>
          <xdr:row>61</xdr:row>
          <xdr:rowOff>0</xdr:rowOff>
        </xdr:to>
        <xdr:sp macro="" textlink="">
          <xdr:nvSpPr>
            <xdr:cNvPr id="170003" name="Check Box 19" hidden="1">
              <a:extLst>
                <a:ext uri="{63B3BB69-23CF-44E3-9099-C40C66FF867C}">
                  <a14:compatExt spid="_x0000_s170003"/>
                </a:ext>
                <a:ext uri="{FF2B5EF4-FFF2-40B4-BE49-F238E27FC236}">
                  <a16:creationId xmlns:a16="http://schemas.microsoft.com/office/drawing/2014/main" id="{00000000-0008-0000-2100-000013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142875</xdr:rowOff>
        </xdr:from>
        <xdr:to>
          <xdr:col>36</xdr:col>
          <xdr:colOff>47625</xdr:colOff>
          <xdr:row>62</xdr:row>
          <xdr:rowOff>0</xdr:rowOff>
        </xdr:to>
        <xdr:sp macro="" textlink="">
          <xdr:nvSpPr>
            <xdr:cNvPr id="170004" name="Check Box 20" hidden="1">
              <a:extLst>
                <a:ext uri="{63B3BB69-23CF-44E3-9099-C40C66FF867C}">
                  <a14:compatExt spid="_x0000_s170004"/>
                </a:ext>
                <a:ext uri="{FF2B5EF4-FFF2-40B4-BE49-F238E27FC236}">
                  <a16:creationId xmlns:a16="http://schemas.microsoft.com/office/drawing/2014/main" id="{00000000-0008-0000-2100-00001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142875</xdr:rowOff>
        </xdr:from>
        <xdr:to>
          <xdr:col>36</xdr:col>
          <xdr:colOff>47625</xdr:colOff>
          <xdr:row>63</xdr:row>
          <xdr:rowOff>0</xdr:rowOff>
        </xdr:to>
        <xdr:sp macro="" textlink="">
          <xdr:nvSpPr>
            <xdr:cNvPr id="170005" name="Check Box 21" hidden="1">
              <a:extLst>
                <a:ext uri="{63B3BB69-23CF-44E3-9099-C40C66FF867C}">
                  <a14:compatExt spid="_x0000_s170005"/>
                </a:ext>
                <a:ext uri="{FF2B5EF4-FFF2-40B4-BE49-F238E27FC236}">
                  <a16:creationId xmlns:a16="http://schemas.microsoft.com/office/drawing/2014/main" id="{00000000-0008-0000-2100-000015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141</xdr:row>
      <xdr:rowOff>33750</xdr:rowOff>
    </xdr:from>
    <xdr:ext cx="252000" cy="252000"/>
    <xdr:sp macro="[0]!NEET" textlink="">
      <xdr:nvSpPr>
        <xdr:cNvPr id="30" name="Down Arrow 44">
          <a:extLst>
            <a:ext uri="{FF2B5EF4-FFF2-40B4-BE49-F238E27FC236}">
              <a16:creationId xmlns:a16="http://schemas.microsoft.com/office/drawing/2014/main" id="{00000000-0008-0000-2100-00001E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137</xdr:row>
      <xdr:rowOff>0</xdr:rowOff>
    </xdr:from>
    <xdr:to>
      <xdr:col>8</xdr:col>
      <xdr:colOff>0</xdr:colOff>
      <xdr:row>140</xdr:row>
      <xdr:rowOff>0</xdr:rowOff>
    </xdr:to>
    <xdr:graphicFrame macro="">
      <xdr:nvGraphicFramePr>
        <xdr:cNvPr id="31" name="Chart 13">
          <a:extLst>
            <a:ext uri="{FF2B5EF4-FFF2-40B4-BE49-F238E27FC236}">
              <a16:creationId xmlns:a16="http://schemas.microsoft.com/office/drawing/2014/main" id="{00000000-0008-0000-21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55</xdr:row>
          <xdr:rowOff>142875</xdr:rowOff>
        </xdr:from>
        <xdr:to>
          <xdr:col>36</xdr:col>
          <xdr:colOff>47625</xdr:colOff>
          <xdr:row>57</xdr:row>
          <xdr:rowOff>0</xdr:rowOff>
        </xdr:to>
        <xdr:sp macro="" textlink="">
          <xdr:nvSpPr>
            <xdr:cNvPr id="170006" name="Check Box 22" hidden="1">
              <a:extLst>
                <a:ext uri="{63B3BB69-23CF-44E3-9099-C40C66FF867C}">
                  <a14:compatExt spid="_x0000_s170006"/>
                </a:ext>
                <a:ext uri="{FF2B5EF4-FFF2-40B4-BE49-F238E27FC236}">
                  <a16:creationId xmlns:a16="http://schemas.microsoft.com/office/drawing/2014/main" id="{00000000-0008-0000-2100-000016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142875</xdr:rowOff>
        </xdr:from>
        <xdr:to>
          <xdr:col>36</xdr:col>
          <xdr:colOff>47625</xdr:colOff>
          <xdr:row>58</xdr:row>
          <xdr:rowOff>0</xdr:rowOff>
        </xdr:to>
        <xdr:sp macro="" textlink="">
          <xdr:nvSpPr>
            <xdr:cNvPr id="170007" name="Check Box 23" hidden="1">
              <a:extLst>
                <a:ext uri="{63B3BB69-23CF-44E3-9099-C40C66FF867C}">
                  <a14:compatExt spid="_x0000_s170007"/>
                </a:ext>
                <a:ext uri="{FF2B5EF4-FFF2-40B4-BE49-F238E27FC236}">
                  <a16:creationId xmlns:a16="http://schemas.microsoft.com/office/drawing/2014/main" id="{00000000-0008-0000-2100-000017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108</xdr:row>
      <xdr:rowOff>95250</xdr:rowOff>
    </xdr:from>
    <xdr:to>
      <xdr:col>20</xdr:col>
      <xdr:colOff>514349</xdr:colOff>
      <xdr:row>139</xdr:row>
      <xdr:rowOff>533399</xdr:rowOff>
    </xdr:to>
    <xdr:graphicFrame macro="">
      <xdr:nvGraphicFramePr>
        <xdr:cNvPr id="34" name="Chart 13">
          <a:extLst>
            <a:ext uri="{FF2B5EF4-FFF2-40B4-BE49-F238E27FC236}">
              <a16:creationId xmlns:a16="http://schemas.microsoft.com/office/drawing/2014/main" id="{00000000-0008-0000-21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62</xdr:row>
          <xdr:rowOff>142875</xdr:rowOff>
        </xdr:from>
        <xdr:to>
          <xdr:col>36</xdr:col>
          <xdr:colOff>47625</xdr:colOff>
          <xdr:row>64</xdr:row>
          <xdr:rowOff>0</xdr:rowOff>
        </xdr:to>
        <xdr:sp macro="" textlink="">
          <xdr:nvSpPr>
            <xdr:cNvPr id="170008" name="Check Box 24" hidden="1">
              <a:extLst>
                <a:ext uri="{63B3BB69-23CF-44E3-9099-C40C66FF867C}">
                  <a14:compatExt spid="_x0000_s170008"/>
                </a:ext>
                <a:ext uri="{FF2B5EF4-FFF2-40B4-BE49-F238E27FC236}">
                  <a16:creationId xmlns:a16="http://schemas.microsoft.com/office/drawing/2014/main" id="{00000000-0008-0000-2100-000018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105</xdr:row>
      <xdr:rowOff>33750</xdr:rowOff>
    </xdr:from>
    <xdr:ext cx="252000" cy="252000"/>
    <xdr:sp macro="[0]!NEET" textlink="">
      <xdr:nvSpPr>
        <xdr:cNvPr id="39" name="Down Arrow 44">
          <a:extLst>
            <a:ext uri="{FF2B5EF4-FFF2-40B4-BE49-F238E27FC236}">
              <a16:creationId xmlns:a16="http://schemas.microsoft.com/office/drawing/2014/main" id="{00000000-0008-0000-2100-000027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100</xdr:row>
      <xdr:rowOff>76199</xdr:rowOff>
    </xdr:from>
    <xdr:to>
      <xdr:col>8</xdr:col>
      <xdr:colOff>0</xdr:colOff>
      <xdr:row>104</xdr:row>
      <xdr:rowOff>0</xdr:rowOff>
    </xdr:to>
    <xdr:graphicFrame macro="">
      <xdr:nvGraphicFramePr>
        <xdr:cNvPr id="40" name="Chart 13">
          <a:extLst>
            <a:ext uri="{FF2B5EF4-FFF2-40B4-BE49-F238E27FC236}">
              <a16:creationId xmlns:a16="http://schemas.microsoft.com/office/drawing/2014/main" id="{00000000-0008-0000-21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72</xdr:row>
      <xdr:rowOff>95251</xdr:rowOff>
    </xdr:from>
    <xdr:to>
      <xdr:col>21</xdr:col>
      <xdr:colOff>0</xdr:colOff>
      <xdr:row>104</xdr:row>
      <xdr:rowOff>0</xdr:rowOff>
    </xdr:to>
    <xdr:graphicFrame macro="">
      <xdr:nvGraphicFramePr>
        <xdr:cNvPr id="41" name="Chart 13">
          <a:extLst>
            <a:ext uri="{FF2B5EF4-FFF2-40B4-BE49-F238E27FC236}">
              <a16:creationId xmlns:a16="http://schemas.microsoft.com/office/drawing/2014/main" id="{00000000-0008-0000-21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22</xdr:col>
      <xdr:colOff>66675</xdr:colOff>
      <xdr:row>0</xdr:row>
      <xdr:rowOff>193416</xdr:rowOff>
    </xdr:from>
    <xdr:to>
      <xdr:col>22</xdr:col>
      <xdr:colOff>368300</xdr:colOff>
      <xdr:row>2</xdr:row>
      <xdr:rowOff>44450</xdr:rowOff>
    </xdr:to>
    <xdr:pic macro="[0]!Home">
      <xdr:nvPicPr>
        <xdr:cNvPr id="46" name="Picture 45">
          <a:extLst>
            <a:ext uri="{FF2B5EF4-FFF2-40B4-BE49-F238E27FC236}">
              <a16:creationId xmlns:a16="http://schemas.microsoft.com/office/drawing/2014/main" id="{00000000-0008-0000-2100-00002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CMEEHE" textlink="">
      <xdr:nvSpPr>
        <xdr:cNvPr id="47" name="Right Arrow 46">
          <a:extLst>
            <a:ext uri="{FF2B5EF4-FFF2-40B4-BE49-F238E27FC236}">
              <a16:creationId xmlns:a16="http://schemas.microsoft.com/office/drawing/2014/main" id="{00000000-0008-0000-2100-00002F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Offend" textlink="">
      <xdr:nvSpPr>
        <xdr:cNvPr id="48" name="Right Arrow 50">
          <a:extLst>
            <a:ext uri="{FF2B5EF4-FFF2-40B4-BE49-F238E27FC236}">
              <a16:creationId xmlns:a16="http://schemas.microsoft.com/office/drawing/2014/main" id="{00000000-0008-0000-2100-000030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10</xdr:col>
      <xdr:colOff>457199</xdr:colOff>
      <xdr:row>39</xdr:row>
      <xdr:rowOff>0</xdr:rowOff>
    </xdr:from>
    <xdr:to>
      <xdr:col>20</xdr:col>
      <xdr:colOff>514349</xdr:colOff>
      <xdr:row>63</xdr:row>
      <xdr:rowOff>0</xdr:rowOff>
    </xdr:to>
    <xdr:graphicFrame macro="">
      <xdr:nvGraphicFramePr>
        <xdr:cNvPr id="49" name="Chart 176">
          <a:extLst>
            <a:ext uri="{FF2B5EF4-FFF2-40B4-BE49-F238E27FC236}">
              <a16:creationId xmlns:a16="http://schemas.microsoft.com/office/drawing/2014/main" id="{00000000-0008-0000-21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50" name="Oval 2165">
          <a:extLst>
            <a:ext uri="{FF2B5EF4-FFF2-40B4-BE49-F238E27FC236}">
              <a16:creationId xmlns:a16="http://schemas.microsoft.com/office/drawing/2014/main" id="{00000000-0008-0000-2100-000032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51" name="Line 283">
          <a:extLst>
            <a:ext uri="{FF2B5EF4-FFF2-40B4-BE49-F238E27FC236}">
              <a16:creationId xmlns:a16="http://schemas.microsoft.com/office/drawing/2014/main" id="{00000000-0008-0000-2100-000033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52" name="Oval 2164">
          <a:extLst>
            <a:ext uri="{FF2B5EF4-FFF2-40B4-BE49-F238E27FC236}">
              <a16:creationId xmlns:a16="http://schemas.microsoft.com/office/drawing/2014/main" id="{00000000-0008-0000-2100-000034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53" name="Line 283">
          <a:extLst>
            <a:ext uri="{FF2B5EF4-FFF2-40B4-BE49-F238E27FC236}">
              <a16:creationId xmlns:a16="http://schemas.microsoft.com/office/drawing/2014/main" id="{00000000-0008-0000-2100-000035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15</xdr:col>
      <xdr:colOff>419099</xdr:colOff>
      <xdr:row>0</xdr:row>
      <xdr:rowOff>85725</xdr:rowOff>
    </xdr:from>
    <xdr:to>
      <xdr:col>21</xdr:col>
      <xdr:colOff>64499</xdr:colOff>
      <xdr:row>2</xdr:row>
      <xdr:rowOff>149475</xdr:rowOff>
    </xdr:to>
    <xdr:sp macro="" textlink="">
      <xdr:nvSpPr>
        <xdr:cNvPr id="7" name="AutoShape 32">
          <a:extLst>
            <a:ext uri="{FF2B5EF4-FFF2-40B4-BE49-F238E27FC236}">
              <a16:creationId xmlns:a16="http://schemas.microsoft.com/office/drawing/2014/main" id="{00000000-0008-0000-2200-000007000000}"/>
            </a:ext>
          </a:extLst>
        </xdr:cNvPr>
        <xdr:cNvSpPr>
          <a:spLocks noChangeArrowheads="1"/>
        </xdr:cNvSpPr>
      </xdr:nvSpPr>
      <xdr:spPr bwMode="auto">
        <a:xfrm>
          <a:off x="696277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mc:AlternateContent xmlns:mc="http://schemas.openxmlformats.org/markup-compatibility/2006">
    <mc:Choice xmlns:a14="http://schemas.microsoft.com/office/drawing/2010/main" Requires="a14">
      <xdr:twoCellAnchor editAs="absolute">
        <xdr:from>
          <xdr:col>23</xdr:col>
          <xdr:colOff>95250</xdr:colOff>
          <xdr:row>7</xdr:row>
          <xdr:rowOff>142875</xdr:rowOff>
        </xdr:from>
        <xdr:to>
          <xdr:col>43</xdr:col>
          <xdr:colOff>66675</xdr:colOff>
          <xdr:row>9</xdr:row>
          <xdr:rowOff>19050</xdr:rowOff>
        </xdr:to>
        <xdr:sp macro="" textlink="">
          <xdr:nvSpPr>
            <xdr:cNvPr id="171009" name="Check Box 1" hidden="1">
              <a:extLst>
                <a:ext uri="{63B3BB69-23CF-44E3-9099-C40C66FF867C}">
                  <a14:compatExt spid="_x0000_s171009"/>
                </a:ext>
                <a:ext uri="{FF2B5EF4-FFF2-40B4-BE49-F238E27FC236}">
                  <a16:creationId xmlns:a16="http://schemas.microsoft.com/office/drawing/2014/main" id="{00000000-0008-0000-2200-000001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8</xdr:row>
          <xdr:rowOff>123825</xdr:rowOff>
        </xdr:from>
        <xdr:to>
          <xdr:col>43</xdr:col>
          <xdr:colOff>66675</xdr:colOff>
          <xdr:row>10</xdr:row>
          <xdr:rowOff>19050</xdr:rowOff>
        </xdr:to>
        <xdr:sp macro="" textlink="">
          <xdr:nvSpPr>
            <xdr:cNvPr id="171010" name="Check Box 2" hidden="1">
              <a:extLst>
                <a:ext uri="{63B3BB69-23CF-44E3-9099-C40C66FF867C}">
                  <a14:compatExt spid="_x0000_s171010"/>
                </a:ext>
                <a:ext uri="{FF2B5EF4-FFF2-40B4-BE49-F238E27FC236}">
                  <a16:creationId xmlns:a16="http://schemas.microsoft.com/office/drawing/2014/main" id="{00000000-0008-0000-2200-000002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9</xdr:row>
          <xdr:rowOff>123825</xdr:rowOff>
        </xdr:from>
        <xdr:to>
          <xdr:col>43</xdr:col>
          <xdr:colOff>66675</xdr:colOff>
          <xdr:row>11</xdr:row>
          <xdr:rowOff>19050</xdr:rowOff>
        </xdr:to>
        <xdr:sp macro="" textlink="">
          <xdr:nvSpPr>
            <xdr:cNvPr id="171011" name="Check Box 3" hidden="1">
              <a:extLst>
                <a:ext uri="{63B3BB69-23CF-44E3-9099-C40C66FF867C}">
                  <a14:compatExt spid="_x0000_s171011"/>
                </a:ext>
                <a:ext uri="{FF2B5EF4-FFF2-40B4-BE49-F238E27FC236}">
                  <a16:creationId xmlns:a16="http://schemas.microsoft.com/office/drawing/2014/main" id="{00000000-0008-0000-2200-000003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10</xdr:row>
          <xdr:rowOff>123825</xdr:rowOff>
        </xdr:from>
        <xdr:to>
          <xdr:col>43</xdr:col>
          <xdr:colOff>66675</xdr:colOff>
          <xdr:row>12</xdr:row>
          <xdr:rowOff>19050</xdr:rowOff>
        </xdr:to>
        <xdr:sp macro="" textlink="">
          <xdr:nvSpPr>
            <xdr:cNvPr id="171012" name="Check Box 4" hidden="1">
              <a:extLst>
                <a:ext uri="{63B3BB69-23CF-44E3-9099-C40C66FF867C}">
                  <a14:compatExt spid="_x0000_s171012"/>
                </a:ext>
                <a:ext uri="{FF2B5EF4-FFF2-40B4-BE49-F238E27FC236}">
                  <a16:creationId xmlns:a16="http://schemas.microsoft.com/office/drawing/2014/main" id="{00000000-0008-0000-2200-000004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11</xdr:row>
          <xdr:rowOff>123825</xdr:rowOff>
        </xdr:from>
        <xdr:to>
          <xdr:col>43</xdr:col>
          <xdr:colOff>66675</xdr:colOff>
          <xdr:row>13</xdr:row>
          <xdr:rowOff>19050</xdr:rowOff>
        </xdr:to>
        <xdr:sp macro="" textlink="">
          <xdr:nvSpPr>
            <xdr:cNvPr id="171013" name="Check Box 5" hidden="1">
              <a:extLst>
                <a:ext uri="{63B3BB69-23CF-44E3-9099-C40C66FF867C}">
                  <a14:compatExt spid="_x0000_s171013"/>
                </a:ext>
                <a:ext uri="{FF2B5EF4-FFF2-40B4-BE49-F238E27FC236}">
                  <a16:creationId xmlns:a16="http://schemas.microsoft.com/office/drawing/2014/main" id="{00000000-0008-0000-2200-000005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12</xdr:row>
          <xdr:rowOff>123825</xdr:rowOff>
        </xdr:from>
        <xdr:to>
          <xdr:col>43</xdr:col>
          <xdr:colOff>66675</xdr:colOff>
          <xdr:row>14</xdr:row>
          <xdr:rowOff>19050</xdr:rowOff>
        </xdr:to>
        <xdr:sp macro="" textlink="">
          <xdr:nvSpPr>
            <xdr:cNvPr id="171014" name="Check Box 6" hidden="1">
              <a:extLst>
                <a:ext uri="{63B3BB69-23CF-44E3-9099-C40C66FF867C}">
                  <a14:compatExt spid="_x0000_s171014"/>
                </a:ext>
                <a:ext uri="{FF2B5EF4-FFF2-40B4-BE49-F238E27FC236}">
                  <a16:creationId xmlns:a16="http://schemas.microsoft.com/office/drawing/2014/main" id="{00000000-0008-0000-2200-000006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13</xdr:row>
          <xdr:rowOff>123825</xdr:rowOff>
        </xdr:from>
        <xdr:to>
          <xdr:col>43</xdr:col>
          <xdr:colOff>66675</xdr:colOff>
          <xdr:row>15</xdr:row>
          <xdr:rowOff>19050</xdr:rowOff>
        </xdr:to>
        <xdr:sp macro="" textlink="">
          <xdr:nvSpPr>
            <xdr:cNvPr id="171015" name="Check Box 7" hidden="1">
              <a:extLst>
                <a:ext uri="{63B3BB69-23CF-44E3-9099-C40C66FF867C}">
                  <a14:compatExt spid="_x0000_s171015"/>
                </a:ext>
                <a:ext uri="{FF2B5EF4-FFF2-40B4-BE49-F238E27FC236}">
                  <a16:creationId xmlns:a16="http://schemas.microsoft.com/office/drawing/2014/main" id="{00000000-0008-0000-2200-000007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14</xdr:row>
          <xdr:rowOff>123825</xdr:rowOff>
        </xdr:from>
        <xdr:to>
          <xdr:col>43</xdr:col>
          <xdr:colOff>66675</xdr:colOff>
          <xdr:row>16</xdr:row>
          <xdr:rowOff>19050</xdr:rowOff>
        </xdr:to>
        <xdr:sp macro="" textlink="">
          <xdr:nvSpPr>
            <xdr:cNvPr id="171016" name="Check Box 8" hidden="1">
              <a:extLst>
                <a:ext uri="{63B3BB69-23CF-44E3-9099-C40C66FF867C}">
                  <a14:compatExt spid="_x0000_s171016"/>
                </a:ext>
                <a:ext uri="{FF2B5EF4-FFF2-40B4-BE49-F238E27FC236}">
                  <a16:creationId xmlns:a16="http://schemas.microsoft.com/office/drawing/2014/main" id="{00000000-0008-0000-2200-000008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15</xdr:row>
          <xdr:rowOff>123825</xdr:rowOff>
        </xdr:from>
        <xdr:to>
          <xdr:col>43</xdr:col>
          <xdr:colOff>66675</xdr:colOff>
          <xdr:row>17</xdr:row>
          <xdr:rowOff>19050</xdr:rowOff>
        </xdr:to>
        <xdr:sp macro="" textlink="">
          <xdr:nvSpPr>
            <xdr:cNvPr id="171017" name="Check Box 9" hidden="1">
              <a:extLst>
                <a:ext uri="{63B3BB69-23CF-44E3-9099-C40C66FF867C}">
                  <a14:compatExt spid="_x0000_s171017"/>
                </a:ext>
                <a:ext uri="{FF2B5EF4-FFF2-40B4-BE49-F238E27FC236}">
                  <a16:creationId xmlns:a16="http://schemas.microsoft.com/office/drawing/2014/main" id="{00000000-0008-0000-2200-000009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16</xdr:row>
          <xdr:rowOff>123825</xdr:rowOff>
        </xdr:from>
        <xdr:to>
          <xdr:col>43</xdr:col>
          <xdr:colOff>66675</xdr:colOff>
          <xdr:row>18</xdr:row>
          <xdr:rowOff>19050</xdr:rowOff>
        </xdr:to>
        <xdr:sp macro="" textlink="">
          <xdr:nvSpPr>
            <xdr:cNvPr id="171018" name="Check Box 10" hidden="1">
              <a:extLst>
                <a:ext uri="{63B3BB69-23CF-44E3-9099-C40C66FF867C}">
                  <a14:compatExt spid="_x0000_s171018"/>
                </a:ext>
                <a:ext uri="{FF2B5EF4-FFF2-40B4-BE49-F238E27FC236}">
                  <a16:creationId xmlns:a16="http://schemas.microsoft.com/office/drawing/2014/main" id="{00000000-0008-0000-2200-00000A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17</xdr:row>
          <xdr:rowOff>123825</xdr:rowOff>
        </xdr:from>
        <xdr:to>
          <xdr:col>43</xdr:col>
          <xdr:colOff>66675</xdr:colOff>
          <xdr:row>19</xdr:row>
          <xdr:rowOff>19050</xdr:rowOff>
        </xdr:to>
        <xdr:sp macro="" textlink="">
          <xdr:nvSpPr>
            <xdr:cNvPr id="171019" name="Check Box 11" hidden="1">
              <a:extLst>
                <a:ext uri="{63B3BB69-23CF-44E3-9099-C40C66FF867C}">
                  <a14:compatExt spid="_x0000_s171019"/>
                </a:ext>
                <a:ext uri="{FF2B5EF4-FFF2-40B4-BE49-F238E27FC236}">
                  <a16:creationId xmlns:a16="http://schemas.microsoft.com/office/drawing/2014/main" id="{00000000-0008-0000-2200-00000B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18</xdr:row>
          <xdr:rowOff>123825</xdr:rowOff>
        </xdr:from>
        <xdr:to>
          <xdr:col>43</xdr:col>
          <xdr:colOff>66675</xdr:colOff>
          <xdr:row>20</xdr:row>
          <xdr:rowOff>19050</xdr:rowOff>
        </xdr:to>
        <xdr:sp macro="" textlink="">
          <xdr:nvSpPr>
            <xdr:cNvPr id="171020" name="Check Box 12" hidden="1">
              <a:extLst>
                <a:ext uri="{63B3BB69-23CF-44E3-9099-C40C66FF867C}">
                  <a14:compatExt spid="_x0000_s171020"/>
                </a:ext>
                <a:ext uri="{FF2B5EF4-FFF2-40B4-BE49-F238E27FC236}">
                  <a16:creationId xmlns:a16="http://schemas.microsoft.com/office/drawing/2014/main" id="{00000000-0008-0000-2200-00000C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19</xdr:row>
          <xdr:rowOff>123825</xdr:rowOff>
        </xdr:from>
        <xdr:to>
          <xdr:col>43</xdr:col>
          <xdr:colOff>66675</xdr:colOff>
          <xdr:row>21</xdr:row>
          <xdr:rowOff>19050</xdr:rowOff>
        </xdr:to>
        <xdr:sp macro="" textlink="">
          <xdr:nvSpPr>
            <xdr:cNvPr id="171021" name="Check Box 13" hidden="1">
              <a:extLst>
                <a:ext uri="{63B3BB69-23CF-44E3-9099-C40C66FF867C}">
                  <a14:compatExt spid="_x0000_s171021"/>
                </a:ext>
                <a:ext uri="{FF2B5EF4-FFF2-40B4-BE49-F238E27FC236}">
                  <a16:creationId xmlns:a16="http://schemas.microsoft.com/office/drawing/2014/main" id="{00000000-0008-0000-2200-00000D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20</xdr:row>
          <xdr:rowOff>123825</xdr:rowOff>
        </xdr:from>
        <xdr:to>
          <xdr:col>43</xdr:col>
          <xdr:colOff>66675</xdr:colOff>
          <xdr:row>22</xdr:row>
          <xdr:rowOff>19050</xdr:rowOff>
        </xdr:to>
        <xdr:sp macro="" textlink="">
          <xdr:nvSpPr>
            <xdr:cNvPr id="171022" name="Check Box 14" hidden="1">
              <a:extLst>
                <a:ext uri="{63B3BB69-23CF-44E3-9099-C40C66FF867C}">
                  <a14:compatExt spid="_x0000_s171022"/>
                </a:ext>
                <a:ext uri="{FF2B5EF4-FFF2-40B4-BE49-F238E27FC236}">
                  <a16:creationId xmlns:a16="http://schemas.microsoft.com/office/drawing/2014/main" id="{00000000-0008-0000-2200-00000E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21</xdr:row>
          <xdr:rowOff>123825</xdr:rowOff>
        </xdr:from>
        <xdr:to>
          <xdr:col>43</xdr:col>
          <xdr:colOff>66675</xdr:colOff>
          <xdr:row>23</xdr:row>
          <xdr:rowOff>19050</xdr:rowOff>
        </xdr:to>
        <xdr:sp macro="" textlink="">
          <xdr:nvSpPr>
            <xdr:cNvPr id="171023" name="Check Box 15" hidden="1">
              <a:extLst>
                <a:ext uri="{63B3BB69-23CF-44E3-9099-C40C66FF867C}">
                  <a14:compatExt spid="_x0000_s171023"/>
                </a:ext>
                <a:ext uri="{FF2B5EF4-FFF2-40B4-BE49-F238E27FC236}">
                  <a16:creationId xmlns:a16="http://schemas.microsoft.com/office/drawing/2014/main" id="{00000000-0008-0000-2200-00000F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22</xdr:row>
          <xdr:rowOff>123825</xdr:rowOff>
        </xdr:from>
        <xdr:to>
          <xdr:col>43</xdr:col>
          <xdr:colOff>66675</xdr:colOff>
          <xdr:row>24</xdr:row>
          <xdr:rowOff>19050</xdr:rowOff>
        </xdr:to>
        <xdr:sp macro="" textlink="">
          <xdr:nvSpPr>
            <xdr:cNvPr id="171024" name="Check Box 16" hidden="1">
              <a:extLst>
                <a:ext uri="{63B3BB69-23CF-44E3-9099-C40C66FF867C}">
                  <a14:compatExt spid="_x0000_s171024"/>
                </a:ext>
                <a:ext uri="{FF2B5EF4-FFF2-40B4-BE49-F238E27FC236}">
                  <a16:creationId xmlns:a16="http://schemas.microsoft.com/office/drawing/2014/main" id="{00000000-0008-0000-2200-000010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25</xdr:row>
          <xdr:rowOff>123825</xdr:rowOff>
        </xdr:from>
        <xdr:to>
          <xdr:col>43</xdr:col>
          <xdr:colOff>66675</xdr:colOff>
          <xdr:row>27</xdr:row>
          <xdr:rowOff>19050</xdr:rowOff>
        </xdr:to>
        <xdr:sp macro="" textlink="">
          <xdr:nvSpPr>
            <xdr:cNvPr id="171025" name="Check Box 17" hidden="1">
              <a:extLst>
                <a:ext uri="{63B3BB69-23CF-44E3-9099-C40C66FF867C}">
                  <a14:compatExt spid="_x0000_s171025"/>
                </a:ext>
                <a:ext uri="{FF2B5EF4-FFF2-40B4-BE49-F238E27FC236}">
                  <a16:creationId xmlns:a16="http://schemas.microsoft.com/office/drawing/2014/main" id="{00000000-0008-0000-2200-000011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26</xdr:row>
          <xdr:rowOff>123825</xdr:rowOff>
        </xdr:from>
        <xdr:to>
          <xdr:col>43</xdr:col>
          <xdr:colOff>66675</xdr:colOff>
          <xdr:row>28</xdr:row>
          <xdr:rowOff>19050</xdr:rowOff>
        </xdr:to>
        <xdr:sp macro="" textlink="">
          <xdr:nvSpPr>
            <xdr:cNvPr id="171026" name="Check Box 18" hidden="1">
              <a:extLst>
                <a:ext uri="{63B3BB69-23CF-44E3-9099-C40C66FF867C}">
                  <a14:compatExt spid="_x0000_s171026"/>
                </a:ext>
                <a:ext uri="{FF2B5EF4-FFF2-40B4-BE49-F238E27FC236}">
                  <a16:creationId xmlns:a16="http://schemas.microsoft.com/office/drawing/2014/main" id="{00000000-0008-0000-2200-000012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27</xdr:row>
          <xdr:rowOff>123825</xdr:rowOff>
        </xdr:from>
        <xdr:to>
          <xdr:col>43</xdr:col>
          <xdr:colOff>66675</xdr:colOff>
          <xdr:row>29</xdr:row>
          <xdr:rowOff>19050</xdr:rowOff>
        </xdr:to>
        <xdr:sp macro="" textlink="">
          <xdr:nvSpPr>
            <xdr:cNvPr id="171027" name="Check Box 19" hidden="1">
              <a:extLst>
                <a:ext uri="{63B3BB69-23CF-44E3-9099-C40C66FF867C}">
                  <a14:compatExt spid="_x0000_s171027"/>
                </a:ext>
                <a:ext uri="{FF2B5EF4-FFF2-40B4-BE49-F238E27FC236}">
                  <a16:creationId xmlns:a16="http://schemas.microsoft.com/office/drawing/2014/main" id="{00000000-0008-0000-2200-000013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28</xdr:row>
          <xdr:rowOff>123825</xdr:rowOff>
        </xdr:from>
        <xdr:to>
          <xdr:col>43</xdr:col>
          <xdr:colOff>66675</xdr:colOff>
          <xdr:row>30</xdr:row>
          <xdr:rowOff>19050</xdr:rowOff>
        </xdr:to>
        <xdr:sp macro="" textlink="">
          <xdr:nvSpPr>
            <xdr:cNvPr id="171028" name="Check Box 20" hidden="1">
              <a:extLst>
                <a:ext uri="{63B3BB69-23CF-44E3-9099-C40C66FF867C}">
                  <a14:compatExt spid="_x0000_s171028"/>
                </a:ext>
                <a:ext uri="{FF2B5EF4-FFF2-40B4-BE49-F238E27FC236}">
                  <a16:creationId xmlns:a16="http://schemas.microsoft.com/office/drawing/2014/main" id="{00000000-0008-0000-2200-000014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29</xdr:row>
          <xdr:rowOff>123825</xdr:rowOff>
        </xdr:from>
        <xdr:to>
          <xdr:col>43</xdr:col>
          <xdr:colOff>66675</xdr:colOff>
          <xdr:row>31</xdr:row>
          <xdr:rowOff>19050</xdr:rowOff>
        </xdr:to>
        <xdr:sp macro="" textlink="">
          <xdr:nvSpPr>
            <xdr:cNvPr id="171029" name="Check Box 21" hidden="1">
              <a:extLst>
                <a:ext uri="{63B3BB69-23CF-44E3-9099-C40C66FF867C}">
                  <a14:compatExt spid="_x0000_s171029"/>
                </a:ext>
                <a:ext uri="{FF2B5EF4-FFF2-40B4-BE49-F238E27FC236}">
                  <a16:creationId xmlns:a16="http://schemas.microsoft.com/office/drawing/2014/main" id="{00000000-0008-0000-2200-000015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23</xdr:row>
          <xdr:rowOff>123825</xdr:rowOff>
        </xdr:from>
        <xdr:to>
          <xdr:col>43</xdr:col>
          <xdr:colOff>66675</xdr:colOff>
          <xdr:row>25</xdr:row>
          <xdr:rowOff>19050</xdr:rowOff>
        </xdr:to>
        <xdr:sp macro="" textlink="">
          <xdr:nvSpPr>
            <xdr:cNvPr id="171030" name="Check Box 22" hidden="1">
              <a:extLst>
                <a:ext uri="{63B3BB69-23CF-44E3-9099-C40C66FF867C}">
                  <a14:compatExt spid="_x0000_s171030"/>
                </a:ext>
                <a:ext uri="{FF2B5EF4-FFF2-40B4-BE49-F238E27FC236}">
                  <a16:creationId xmlns:a16="http://schemas.microsoft.com/office/drawing/2014/main" id="{00000000-0008-0000-2200-000016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24</xdr:row>
          <xdr:rowOff>123825</xdr:rowOff>
        </xdr:from>
        <xdr:to>
          <xdr:col>43</xdr:col>
          <xdr:colOff>66675</xdr:colOff>
          <xdr:row>26</xdr:row>
          <xdr:rowOff>19050</xdr:rowOff>
        </xdr:to>
        <xdr:sp macro="" textlink="">
          <xdr:nvSpPr>
            <xdr:cNvPr id="171031" name="Check Box 23" hidden="1">
              <a:extLst>
                <a:ext uri="{63B3BB69-23CF-44E3-9099-C40C66FF867C}">
                  <a14:compatExt spid="_x0000_s171031"/>
                </a:ext>
                <a:ext uri="{FF2B5EF4-FFF2-40B4-BE49-F238E27FC236}">
                  <a16:creationId xmlns:a16="http://schemas.microsoft.com/office/drawing/2014/main" id="{00000000-0008-0000-2200-000017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30</xdr:row>
          <xdr:rowOff>123825</xdr:rowOff>
        </xdr:from>
        <xdr:to>
          <xdr:col>43</xdr:col>
          <xdr:colOff>66675</xdr:colOff>
          <xdr:row>32</xdr:row>
          <xdr:rowOff>19050</xdr:rowOff>
        </xdr:to>
        <xdr:sp macro="" textlink="">
          <xdr:nvSpPr>
            <xdr:cNvPr id="171032" name="Check Box 24" hidden="1">
              <a:extLst>
                <a:ext uri="{63B3BB69-23CF-44E3-9099-C40C66FF867C}">
                  <a14:compatExt spid="_x0000_s171032"/>
                </a:ext>
                <a:ext uri="{FF2B5EF4-FFF2-40B4-BE49-F238E27FC236}">
                  <a16:creationId xmlns:a16="http://schemas.microsoft.com/office/drawing/2014/main" id="{00000000-0008-0000-2200-000018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37</xdr:row>
      <xdr:rowOff>33750</xdr:rowOff>
    </xdr:from>
    <xdr:ext cx="252000" cy="252000"/>
    <xdr:sp macro="[0]!Offend" textlink="">
      <xdr:nvSpPr>
        <xdr:cNvPr id="39" name="Down Arrow 44">
          <a:extLst>
            <a:ext uri="{FF2B5EF4-FFF2-40B4-BE49-F238E27FC236}">
              <a16:creationId xmlns:a16="http://schemas.microsoft.com/office/drawing/2014/main" id="{00000000-0008-0000-2200-000027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32</xdr:row>
      <xdr:rowOff>76199</xdr:rowOff>
    </xdr:from>
    <xdr:to>
      <xdr:col>8</xdr:col>
      <xdr:colOff>0</xdr:colOff>
      <xdr:row>36</xdr:row>
      <xdr:rowOff>0</xdr:rowOff>
    </xdr:to>
    <xdr:graphicFrame macro="">
      <xdr:nvGraphicFramePr>
        <xdr:cNvPr id="40" name="Chart 13">
          <a:extLst>
            <a:ext uri="{FF2B5EF4-FFF2-40B4-BE49-F238E27FC236}">
              <a16:creationId xmlns:a16="http://schemas.microsoft.com/office/drawing/2014/main" id="{00000000-0008-0000-2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133350</xdr:colOff>
      <xdr:row>4</xdr:row>
      <xdr:rowOff>0</xdr:rowOff>
    </xdr:from>
    <xdr:to>
      <xdr:col>21</xdr:col>
      <xdr:colOff>0</xdr:colOff>
      <xdr:row>32</xdr:row>
      <xdr:rowOff>0</xdr:rowOff>
    </xdr:to>
    <xdr:graphicFrame macro="">
      <xdr:nvGraphicFramePr>
        <xdr:cNvPr id="41" name="Chart 13">
          <a:extLst>
            <a:ext uri="{FF2B5EF4-FFF2-40B4-BE49-F238E27FC236}">
              <a16:creationId xmlns:a16="http://schemas.microsoft.com/office/drawing/2014/main" id="{00000000-0008-0000-2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66675</xdr:colOff>
      <xdr:row>0</xdr:row>
      <xdr:rowOff>193416</xdr:rowOff>
    </xdr:from>
    <xdr:to>
      <xdr:col>22</xdr:col>
      <xdr:colOff>368300</xdr:colOff>
      <xdr:row>2</xdr:row>
      <xdr:rowOff>44450</xdr:rowOff>
    </xdr:to>
    <xdr:pic macro="[0]!Home">
      <xdr:nvPicPr>
        <xdr:cNvPr id="43" name="Picture 42">
          <a:extLst>
            <a:ext uri="{FF2B5EF4-FFF2-40B4-BE49-F238E27FC236}">
              <a16:creationId xmlns:a16="http://schemas.microsoft.com/office/drawing/2014/main" id="{00000000-0008-0000-2200-00002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76200</xdr:colOff>
      <xdr:row>3</xdr:row>
      <xdr:rowOff>0</xdr:rowOff>
    </xdr:from>
    <xdr:to>
      <xdr:col>22</xdr:col>
      <xdr:colOff>323850</xdr:colOff>
      <xdr:row>4</xdr:row>
      <xdr:rowOff>133350</xdr:rowOff>
    </xdr:to>
    <xdr:sp macro="[0]!EHCP" textlink="">
      <xdr:nvSpPr>
        <xdr:cNvPr id="44" name="Right Arrow 43">
          <a:extLst>
            <a:ext uri="{FF2B5EF4-FFF2-40B4-BE49-F238E27FC236}">
              <a16:creationId xmlns:a16="http://schemas.microsoft.com/office/drawing/2014/main" id="{00000000-0008-0000-2200-00002C000000}"/>
            </a:ext>
          </a:extLst>
        </xdr:cNvPr>
        <xdr:cNvSpPr>
          <a:spLocks noChangeArrowheads="1"/>
        </xdr:cNvSpPr>
      </xdr:nvSpPr>
      <xdr:spPr bwMode="auto">
        <a:xfrm flipH="1">
          <a:off x="92773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2543171</xdr:colOff>
      <xdr:row>0</xdr:row>
      <xdr:rowOff>85725</xdr:rowOff>
    </xdr:from>
    <xdr:to>
      <xdr:col>4</xdr:col>
      <xdr:colOff>64496</xdr:colOff>
      <xdr:row>2</xdr:row>
      <xdr:rowOff>149475</xdr:rowOff>
    </xdr:to>
    <xdr:sp macro="" textlink="">
      <xdr:nvSpPr>
        <xdr:cNvPr id="2" name="AutoShape 32">
          <a:extLst>
            <a:ext uri="{FF2B5EF4-FFF2-40B4-BE49-F238E27FC236}">
              <a16:creationId xmlns:a16="http://schemas.microsoft.com/office/drawing/2014/main" id="{00000000-0008-0000-0900-000002000000}"/>
            </a:ext>
          </a:extLst>
        </xdr:cNvPr>
        <xdr:cNvSpPr>
          <a:spLocks noChangeArrowheads="1"/>
        </xdr:cNvSpPr>
      </xdr:nvSpPr>
      <xdr:spPr bwMode="auto">
        <a:xfrm>
          <a:off x="6943721"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5</xdr:col>
      <xdr:colOff>57150</xdr:colOff>
      <xdr:row>0</xdr:row>
      <xdr:rowOff>193416</xdr:rowOff>
    </xdr:from>
    <xdr:to>
      <xdr:col>5</xdr:col>
      <xdr:colOff>381000</xdr:colOff>
      <xdr:row>2</xdr:row>
      <xdr:rowOff>47625</xdr:rowOff>
    </xdr:to>
    <xdr:pic macro="[0]!Home">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8775" y="193416"/>
          <a:ext cx="323850" cy="330459"/>
        </a:xfrm>
        <a:prstGeom prst="rect">
          <a:avLst/>
        </a:prstGeom>
      </xdr:spPr>
    </xdr:pic>
    <xdr:clientData/>
  </xdr:twoCellAnchor>
  <xdr:twoCellAnchor editAs="oneCell">
    <xdr:from>
      <xdr:col>5</xdr:col>
      <xdr:colOff>57150</xdr:colOff>
      <xdr:row>3</xdr:row>
      <xdr:rowOff>0</xdr:rowOff>
    </xdr:from>
    <xdr:to>
      <xdr:col>5</xdr:col>
      <xdr:colOff>304800</xdr:colOff>
      <xdr:row>4</xdr:row>
      <xdr:rowOff>114300</xdr:rowOff>
    </xdr:to>
    <xdr:sp macro="[0]!Home" textlink="">
      <xdr:nvSpPr>
        <xdr:cNvPr id="4" name="Right Arrow 50">
          <a:extLst>
            <a:ext uri="{FF2B5EF4-FFF2-40B4-BE49-F238E27FC236}">
              <a16:creationId xmlns:a16="http://schemas.microsoft.com/office/drawing/2014/main" id="{00000000-0008-0000-0900-000004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5</xdr:col>
      <xdr:colOff>133350</xdr:colOff>
      <xdr:row>5</xdr:row>
      <xdr:rowOff>75225</xdr:rowOff>
    </xdr:from>
    <xdr:to>
      <xdr:col>5</xdr:col>
      <xdr:colOff>381000</xdr:colOff>
      <xdr:row>15</xdr:row>
      <xdr:rowOff>124800</xdr:rowOff>
    </xdr:to>
    <xdr:sp macro="[0]!IDACI" textlink="">
      <xdr:nvSpPr>
        <xdr:cNvPr id="5" name="Right Arrow 50">
          <a:extLst>
            <a:ext uri="{FF2B5EF4-FFF2-40B4-BE49-F238E27FC236}">
              <a16:creationId xmlns:a16="http://schemas.microsoft.com/office/drawing/2014/main" id="{00000000-0008-0000-0900-000005000000}"/>
            </a:ext>
          </a:extLst>
        </xdr:cNvPr>
        <xdr:cNvSpPr>
          <a:spLocks noChangeArrowheads="1"/>
        </xdr:cNvSpPr>
      </xdr:nvSpPr>
      <xdr:spPr bwMode="auto">
        <a:xfrm rot="10800000" flipH="1">
          <a:off x="9324975" y="110392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5</xdr:col>
      <xdr:colOff>85725</xdr:colOff>
      <xdr:row>38</xdr:row>
      <xdr:rowOff>295275</xdr:rowOff>
    </xdr:from>
    <xdr:ext cx="252000" cy="252000"/>
    <xdr:sp macro="[0]!Indicators" textlink="">
      <xdr:nvSpPr>
        <xdr:cNvPr id="12" name="Down Arrow 44">
          <a:extLst>
            <a:ext uri="{FF2B5EF4-FFF2-40B4-BE49-F238E27FC236}">
              <a16:creationId xmlns:a16="http://schemas.microsoft.com/office/drawing/2014/main" id="{00000000-0008-0000-0900-00000C000000}"/>
            </a:ext>
          </a:extLst>
        </xdr:cNvPr>
        <xdr:cNvSpPr>
          <a:spLocks noChangeArrowheads="1"/>
        </xdr:cNvSpPr>
      </xdr:nvSpPr>
      <xdr:spPr bwMode="auto">
        <a:xfrm flipV="1">
          <a:off x="9277350" y="64484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5</xdr:col>
      <xdr:colOff>85725</xdr:colOff>
      <xdr:row>59</xdr:row>
      <xdr:rowOff>276225</xdr:rowOff>
    </xdr:from>
    <xdr:ext cx="252000" cy="252000"/>
    <xdr:sp macro="[0]!Indicators" textlink="">
      <xdr:nvSpPr>
        <xdr:cNvPr id="13" name="Down Arrow 44">
          <a:extLst>
            <a:ext uri="{FF2B5EF4-FFF2-40B4-BE49-F238E27FC236}">
              <a16:creationId xmlns:a16="http://schemas.microsoft.com/office/drawing/2014/main" id="{00000000-0008-0000-0900-00000D000000}"/>
            </a:ext>
          </a:extLst>
        </xdr:cNvPr>
        <xdr:cNvSpPr>
          <a:spLocks noChangeArrowheads="1"/>
        </xdr:cNvSpPr>
      </xdr:nvSpPr>
      <xdr:spPr bwMode="auto">
        <a:xfrm flipV="1">
          <a:off x="9277350" y="117348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5</xdr:col>
      <xdr:colOff>85725</xdr:colOff>
      <xdr:row>72</xdr:row>
      <xdr:rowOff>57150</xdr:rowOff>
    </xdr:from>
    <xdr:ext cx="252000" cy="252000"/>
    <xdr:sp macro="[0]!Indicators" textlink="">
      <xdr:nvSpPr>
        <xdr:cNvPr id="14" name="Down Arrow 44">
          <a:extLst>
            <a:ext uri="{FF2B5EF4-FFF2-40B4-BE49-F238E27FC236}">
              <a16:creationId xmlns:a16="http://schemas.microsoft.com/office/drawing/2014/main" id="{00000000-0008-0000-0900-00000E000000}"/>
            </a:ext>
          </a:extLst>
        </xdr:cNvPr>
        <xdr:cNvSpPr>
          <a:spLocks noChangeArrowheads="1"/>
        </xdr:cNvSpPr>
      </xdr:nvSpPr>
      <xdr:spPr bwMode="auto">
        <a:xfrm flipV="1">
          <a:off x="9277350" y="245935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xdr:from>
      <xdr:col>18</xdr:col>
      <xdr:colOff>47623</xdr:colOff>
      <xdr:row>0</xdr:row>
      <xdr:rowOff>85725</xdr:rowOff>
    </xdr:from>
    <xdr:to>
      <xdr:col>27</xdr:col>
      <xdr:colOff>64498</xdr:colOff>
      <xdr:row>2</xdr:row>
      <xdr:rowOff>149475</xdr:rowOff>
    </xdr:to>
    <xdr:sp macro="" textlink="">
      <xdr:nvSpPr>
        <xdr:cNvPr id="6" name="AutoShape 32">
          <a:extLst>
            <a:ext uri="{FF2B5EF4-FFF2-40B4-BE49-F238E27FC236}">
              <a16:creationId xmlns:a16="http://schemas.microsoft.com/office/drawing/2014/main" id="{00000000-0008-0000-0A00-000006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28</xdr:col>
      <xdr:colOff>57150</xdr:colOff>
      <xdr:row>0</xdr:row>
      <xdr:rowOff>193416</xdr:rowOff>
    </xdr:from>
    <xdr:to>
      <xdr:col>28</xdr:col>
      <xdr:colOff>381000</xdr:colOff>
      <xdr:row>2</xdr:row>
      <xdr:rowOff>47625</xdr:rowOff>
    </xdr:to>
    <xdr:pic macro="[0]!Home">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28</xdr:col>
      <xdr:colOff>57150</xdr:colOff>
      <xdr:row>3</xdr:row>
      <xdr:rowOff>9525</xdr:rowOff>
    </xdr:from>
    <xdr:to>
      <xdr:col>28</xdr:col>
      <xdr:colOff>304800</xdr:colOff>
      <xdr:row>4</xdr:row>
      <xdr:rowOff>142875</xdr:rowOff>
    </xdr:to>
    <xdr:sp macro="[0]!Indicators" textlink="">
      <xdr:nvSpPr>
        <xdr:cNvPr id="5" name="Right Arrow 50">
          <a:extLst>
            <a:ext uri="{FF2B5EF4-FFF2-40B4-BE49-F238E27FC236}">
              <a16:creationId xmlns:a16="http://schemas.microsoft.com/office/drawing/2014/main" id="{00000000-0008-0000-0A00-000005000000}"/>
            </a:ext>
          </a:extLst>
        </xdr:cNvPr>
        <xdr:cNvSpPr>
          <a:spLocks noChangeArrowheads="1"/>
        </xdr:cNvSpPr>
      </xdr:nvSpPr>
      <xdr:spPr bwMode="auto">
        <a:xfrm flipH="1">
          <a:off x="9258300" y="723900"/>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28</xdr:col>
      <xdr:colOff>133350</xdr:colOff>
      <xdr:row>5</xdr:row>
      <xdr:rowOff>56175</xdr:rowOff>
    </xdr:from>
    <xdr:to>
      <xdr:col>28</xdr:col>
      <xdr:colOff>381000</xdr:colOff>
      <xdr:row>6</xdr:row>
      <xdr:rowOff>76200</xdr:rowOff>
    </xdr:to>
    <xdr:sp macro="[0]!IDACI" textlink="">
      <xdr:nvSpPr>
        <xdr:cNvPr id="7" name="Right Arrow 50">
          <a:extLst>
            <a:ext uri="{FF2B5EF4-FFF2-40B4-BE49-F238E27FC236}">
              <a16:creationId xmlns:a16="http://schemas.microsoft.com/office/drawing/2014/main" id="{00000000-0008-0000-0A00-000007000000}"/>
            </a:ext>
          </a:extLst>
        </xdr:cNvPr>
        <xdr:cNvSpPr>
          <a:spLocks noChangeArrowheads="1"/>
        </xdr:cNvSpPr>
      </xdr:nvSpPr>
      <xdr:spPr bwMode="auto">
        <a:xfrm rot="10800000" flipH="1">
          <a:off x="9334500" y="110392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66675</xdr:colOff>
      <xdr:row>7</xdr:row>
      <xdr:rowOff>1</xdr:rowOff>
    </xdr:from>
    <xdr:to>
      <xdr:col>16</xdr:col>
      <xdr:colOff>0</xdr:colOff>
      <xdr:row>32</xdr:row>
      <xdr:rowOff>0</xdr:rowOff>
    </xdr:to>
    <xdr:graphicFrame macro="">
      <xdr:nvGraphicFramePr>
        <xdr:cNvPr id="863362" name="Chart 4">
          <a:extLst>
            <a:ext uri="{FF2B5EF4-FFF2-40B4-BE49-F238E27FC236}">
              <a16:creationId xmlns:a16="http://schemas.microsoft.com/office/drawing/2014/main" id="{00000000-0008-0000-0B00-0000822C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123824</xdr:colOff>
      <xdr:row>0</xdr:row>
      <xdr:rowOff>85725</xdr:rowOff>
    </xdr:from>
    <xdr:to>
      <xdr:col>16</xdr:col>
      <xdr:colOff>64499</xdr:colOff>
      <xdr:row>2</xdr:row>
      <xdr:rowOff>149475</xdr:rowOff>
    </xdr:to>
    <xdr:sp macro="" textlink="">
      <xdr:nvSpPr>
        <xdr:cNvPr id="7" name="AutoShape 32">
          <a:extLst>
            <a:ext uri="{FF2B5EF4-FFF2-40B4-BE49-F238E27FC236}">
              <a16:creationId xmlns:a16="http://schemas.microsoft.com/office/drawing/2014/main" id="{00000000-0008-0000-0B00-000007000000}"/>
            </a:ext>
          </a:extLst>
        </xdr:cNvPr>
        <xdr:cNvSpPr>
          <a:spLocks noChangeArrowheads="1"/>
        </xdr:cNvSpPr>
      </xdr:nvSpPr>
      <xdr:spPr bwMode="auto">
        <a:xfrm>
          <a:off x="6953249"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17</xdr:col>
      <xdr:colOff>57150</xdr:colOff>
      <xdr:row>0</xdr:row>
      <xdr:rowOff>193416</xdr:rowOff>
    </xdr:from>
    <xdr:to>
      <xdr:col>17</xdr:col>
      <xdr:colOff>381000</xdr:colOff>
      <xdr:row>2</xdr:row>
      <xdr:rowOff>44450</xdr:rowOff>
    </xdr:to>
    <xdr:pic macro="[0]!Home">
      <xdr:nvPicPr>
        <xdr:cNvPr id="5" name="Picture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17</xdr:col>
      <xdr:colOff>47625</xdr:colOff>
      <xdr:row>3</xdr:row>
      <xdr:rowOff>9525</xdr:rowOff>
    </xdr:from>
    <xdr:to>
      <xdr:col>17</xdr:col>
      <xdr:colOff>292100</xdr:colOff>
      <xdr:row>4</xdr:row>
      <xdr:rowOff>139700</xdr:rowOff>
    </xdr:to>
    <xdr:sp macro="[0]!Indicators" textlink="">
      <xdr:nvSpPr>
        <xdr:cNvPr id="6" name="Right Arrow 50">
          <a:extLst>
            <a:ext uri="{FF2B5EF4-FFF2-40B4-BE49-F238E27FC236}">
              <a16:creationId xmlns:a16="http://schemas.microsoft.com/office/drawing/2014/main" id="{00000000-0008-0000-0B00-000006000000}"/>
            </a:ext>
          </a:extLst>
        </xdr:cNvPr>
        <xdr:cNvSpPr>
          <a:spLocks noChangeArrowheads="1"/>
        </xdr:cNvSpPr>
      </xdr:nvSpPr>
      <xdr:spPr bwMode="auto">
        <a:xfrm flipH="1">
          <a:off x="9239250" y="723900"/>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17</xdr:col>
      <xdr:colOff>123825</xdr:colOff>
      <xdr:row>5</xdr:row>
      <xdr:rowOff>8550</xdr:rowOff>
    </xdr:from>
    <xdr:to>
      <xdr:col>17</xdr:col>
      <xdr:colOff>368300</xdr:colOff>
      <xdr:row>5</xdr:row>
      <xdr:rowOff>285750</xdr:rowOff>
    </xdr:to>
    <xdr:sp macro="[0]!Population" textlink="">
      <xdr:nvSpPr>
        <xdr:cNvPr id="8" name="Right Arrow 50">
          <a:extLst>
            <a:ext uri="{FF2B5EF4-FFF2-40B4-BE49-F238E27FC236}">
              <a16:creationId xmlns:a16="http://schemas.microsoft.com/office/drawing/2014/main" id="{00000000-0008-0000-0B00-000008000000}"/>
            </a:ext>
          </a:extLst>
        </xdr:cNvPr>
        <xdr:cNvSpPr>
          <a:spLocks noChangeArrowheads="1"/>
        </xdr:cNvSpPr>
      </xdr:nvSpPr>
      <xdr:spPr bwMode="auto">
        <a:xfrm rot="10800000" flipH="1">
          <a:off x="9315450" y="110392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419099</xdr:colOff>
      <xdr:row>0</xdr:row>
      <xdr:rowOff>85725</xdr:rowOff>
    </xdr:from>
    <xdr:to>
      <xdr:col>20</xdr:col>
      <xdr:colOff>64499</xdr:colOff>
      <xdr:row>2</xdr:row>
      <xdr:rowOff>149475</xdr:rowOff>
    </xdr:to>
    <xdr:sp macro="" textlink="">
      <xdr:nvSpPr>
        <xdr:cNvPr id="9" name="AutoShape 32">
          <a:extLst>
            <a:ext uri="{FF2B5EF4-FFF2-40B4-BE49-F238E27FC236}">
              <a16:creationId xmlns:a16="http://schemas.microsoft.com/office/drawing/2014/main" id="{00000000-0008-0000-0C00-000009000000}"/>
            </a:ext>
          </a:extLst>
        </xdr:cNvPr>
        <xdr:cNvSpPr>
          <a:spLocks noChangeArrowheads="1"/>
        </xdr:cNvSpPr>
      </xdr:nvSpPr>
      <xdr:spPr bwMode="auto">
        <a:xfrm>
          <a:off x="6953249"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21</xdr:col>
      <xdr:colOff>57150</xdr:colOff>
      <xdr:row>0</xdr:row>
      <xdr:rowOff>193416</xdr:rowOff>
    </xdr:from>
    <xdr:to>
      <xdr:col>21</xdr:col>
      <xdr:colOff>381000</xdr:colOff>
      <xdr:row>2</xdr:row>
      <xdr:rowOff>44450</xdr:rowOff>
    </xdr:to>
    <xdr:pic macro="[0]!Home">
      <xdr:nvPicPr>
        <xdr:cNvPr id="6" name="Picture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101600</xdr:rowOff>
    </xdr:to>
    <xdr:sp macro="[0]!IDACI" textlink="">
      <xdr:nvSpPr>
        <xdr:cNvPr id="12" name="Right Arrow 50">
          <a:extLst>
            <a:ext uri="{FF2B5EF4-FFF2-40B4-BE49-F238E27FC236}">
              <a16:creationId xmlns:a16="http://schemas.microsoft.com/office/drawing/2014/main" id="{00000000-0008-0000-0C00-00000C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18075</xdr:rowOff>
    </xdr:from>
    <xdr:to>
      <xdr:col>21</xdr:col>
      <xdr:colOff>381000</xdr:colOff>
      <xdr:row>6</xdr:row>
      <xdr:rowOff>120650</xdr:rowOff>
    </xdr:to>
    <xdr:sp macro="[0]!Referrals" textlink="">
      <xdr:nvSpPr>
        <xdr:cNvPr id="13" name="Right Arrow 50">
          <a:extLst>
            <a:ext uri="{FF2B5EF4-FFF2-40B4-BE49-F238E27FC236}">
              <a16:creationId xmlns:a16="http://schemas.microsoft.com/office/drawing/2014/main" id="{00000000-0008-0000-0C00-00000D000000}"/>
            </a:ext>
          </a:extLst>
        </xdr:cNvPr>
        <xdr:cNvSpPr>
          <a:spLocks noChangeArrowheads="1"/>
        </xdr:cNvSpPr>
      </xdr:nvSpPr>
      <xdr:spPr bwMode="auto">
        <a:xfrm rot="10800000" flipH="1">
          <a:off x="9324975"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95250</xdr:colOff>
      <xdr:row>70</xdr:row>
      <xdr:rowOff>33750</xdr:rowOff>
    </xdr:from>
    <xdr:to>
      <xdr:col>21</xdr:col>
      <xdr:colOff>350425</xdr:colOff>
      <xdr:row>71</xdr:row>
      <xdr:rowOff>95250</xdr:rowOff>
    </xdr:to>
    <xdr:sp macro="[0]!Population" textlink="">
      <xdr:nvSpPr>
        <xdr:cNvPr id="7" name="Down Arrow 44">
          <a:extLst>
            <a:ext uri="{FF2B5EF4-FFF2-40B4-BE49-F238E27FC236}">
              <a16:creationId xmlns:a16="http://schemas.microsoft.com/office/drawing/2014/main" id="{00000000-0008-0000-0C00-000007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editAs="oneCell">
    <xdr:from>
      <xdr:col>21</xdr:col>
      <xdr:colOff>95250</xdr:colOff>
      <xdr:row>35</xdr:row>
      <xdr:rowOff>33750</xdr:rowOff>
    </xdr:from>
    <xdr:to>
      <xdr:col>21</xdr:col>
      <xdr:colOff>350425</xdr:colOff>
      <xdr:row>36</xdr:row>
      <xdr:rowOff>95250</xdr:rowOff>
    </xdr:to>
    <xdr:sp macro="[0]!Population" textlink="">
      <xdr:nvSpPr>
        <xdr:cNvPr id="8" name="Down Arrow 44">
          <a:extLst>
            <a:ext uri="{FF2B5EF4-FFF2-40B4-BE49-F238E27FC236}">
              <a16:creationId xmlns:a16="http://schemas.microsoft.com/office/drawing/2014/main" id="{00000000-0008-0000-0C00-000008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350425</xdr:colOff>
      <xdr:row>36</xdr:row>
      <xdr:rowOff>95250</xdr:rowOff>
    </xdr:to>
    <xdr:sp macro="[0]!Contacts" textlink="">
      <xdr:nvSpPr>
        <xdr:cNvPr id="2" name="Down Arrow 44">
          <a:extLst>
            <a:ext uri="{FF2B5EF4-FFF2-40B4-BE49-F238E27FC236}">
              <a16:creationId xmlns:a16="http://schemas.microsoft.com/office/drawing/2014/main" id="{00000000-0008-0000-0D00-000002000000}"/>
            </a:ext>
          </a:extLst>
        </xdr:cNvPr>
        <xdr:cNvSpPr>
          <a:spLocks noChangeArrowheads="1"/>
        </xdr:cNvSpPr>
      </xdr:nvSpPr>
      <xdr:spPr bwMode="auto">
        <a:xfrm flipV="1">
          <a:off x="9277350" y="65488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Contacts" textlink="">
      <xdr:nvSpPr>
        <xdr:cNvPr id="3" name="Down Arrow 2">
          <a:extLst>
            <a:ext uri="{FF2B5EF4-FFF2-40B4-BE49-F238E27FC236}">
              <a16:creationId xmlns:a16="http://schemas.microsoft.com/office/drawing/2014/main" id="{00000000-0008-0000-0D00-000003000000}"/>
            </a:ext>
          </a:extLst>
        </xdr:cNvPr>
        <xdr:cNvSpPr/>
      </xdr:nvSpPr>
      <xdr:spPr>
        <a:xfrm flipV="1">
          <a:off x="9277350" y="13292550"/>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0</xdr:colOff>
      <xdr:row>38</xdr:row>
      <xdr:rowOff>0</xdr:rowOff>
    </xdr:from>
    <xdr:to>
      <xdr:col>20</xdr:col>
      <xdr:colOff>1</xdr:colOff>
      <xdr:row>62</xdr:row>
      <xdr:rowOff>1</xdr:rowOff>
    </xdr:to>
    <xdr:graphicFrame macro="">
      <xdr:nvGraphicFramePr>
        <xdr:cNvPr id="4" name="Chart 176">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xdr:colOff>
      <xdr:row>38</xdr:row>
      <xdr:rowOff>1</xdr:rowOff>
    </xdr:from>
    <xdr:to>
      <xdr:col>11</xdr:col>
      <xdr:colOff>0</xdr:colOff>
      <xdr:row>67</xdr:row>
      <xdr:rowOff>0</xdr:rowOff>
    </xdr:to>
    <xdr:graphicFrame macro="">
      <xdr:nvGraphicFramePr>
        <xdr:cNvPr id="5" name="Chart 13">
          <a:extLst>
            <a:ext uri="{FF2B5EF4-FFF2-40B4-BE49-F238E27FC236}">
              <a16:creationId xmlns:a16="http://schemas.microsoft.com/office/drawing/2014/main" id="{00000000-0008-0000-0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6" name="Oval 2165">
          <a:extLst>
            <a:ext uri="{FF2B5EF4-FFF2-40B4-BE49-F238E27FC236}">
              <a16:creationId xmlns:a16="http://schemas.microsoft.com/office/drawing/2014/main" id="{00000000-0008-0000-0D00-000006000000}"/>
            </a:ext>
          </a:extLst>
        </xdr:cNvPr>
        <xdr:cNvSpPr>
          <a:spLocks noChangeArrowheads="1"/>
        </xdr:cNvSpPr>
      </xdr:nvSpPr>
      <xdr:spPr bwMode="auto">
        <a:xfrm>
          <a:off x="5181600" y="1146810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19048</xdr:colOff>
      <xdr:row>0</xdr:row>
      <xdr:rowOff>85725</xdr:rowOff>
    </xdr:from>
    <xdr:to>
      <xdr:col>20</xdr:col>
      <xdr:colOff>64498</xdr:colOff>
      <xdr:row>2</xdr:row>
      <xdr:rowOff>149475</xdr:rowOff>
    </xdr:to>
    <xdr:sp macro="" textlink="">
      <xdr:nvSpPr>
        <xdr:cNvPr id="7" name="AutoShape 32">
          <a:extLst>
            <a:ext uri="{FF2B5EF4-FFF2-40B4-BE49-F238E27FC236}">
              <a16:creationId xmlns:a16="http://schemas.microsoft.com/office/drawing/2014/main" id="{00000000-0008-0000-0D00-000007000000}"/>
            </a:ext>
          </a:extLst>
        </xdr:cNvPr>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0</xdr:colOff>
      <xdr:row>64</xdr:row>
      <xdr:rowOff>0</xdr:rowOff>
    </xdr:from>
    <xdr:to>
      <xdr:col>20</xdr:col>
      <xdr:colOff>1</xdr:colOff>
      <xdr:row>67</xdr:row>
      <xdr:rowOff>0</xdr:rowOff>
    </xdr:to>
    <xdr:graphicFrame macro="">
      <xdr:nvGraphicFramePr>
        <xdr:cNvPr id="8" name="Chart 13">
          <a:extLst>
            <a:ext uri="{FF2B5EF4-FFF2-40B4-BE49-F238E27FC236}">
              <a16:creationId xmlns:a16="http://schemas.microsoft.com/office/drawing/2014/main" id="{00000000-0008-0000-0D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104775</xdr:colOff>
          <xdr:row>38</xdr:row>
          <xdr:rowOff>28575</xdr:rowOff>
        </xdr:from>
        <xdr:to>
          <xdr:col>35</xdr:col>
          <xdr:colOff>76200</xdr:colOff>
          <xdr:row>40</xdr:row>
          <xdr:rowOff>9525</xdr:rowOff>
        </xdr:to>
        <xdr:sp macro="" textlink="">
          <xdr:nvSpPr>
            <xdr:cNvPr id="145409" name="Check Box 1" hidden="1">
              <a:extLst>
                <a:ext uri="{63B3BB69-23CF-44E3-9099-C40C66FF867C}">
                  <a14:compatExt spid="_x0000_s145409"/>
                </a:ext>
                <a:ext uri="{FF2B5EF4-FFF2-40B4-BE49-F238E27FC236}">
                  <a16:creationId xmlns:a16="http://schemas.microsoft.com/office/drawing/2014/main" id="{00000000-0008-0000-0D00-000001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39</xdr:row>
          <xdr:rowOff>152400</xdr:rowOff>
        </xdr:from>
        <xdr:to>
          <xdr:col>35</xdr:col>
          <xdr:colOff>76200</xdr:colOff>
          <xdr:row>41</xdr:row>
          <xdr:rowOff>9525</xdr:rowOff>
        </xdr:to>
        <xdr:sp macro="" textlink="">
          <xdr:nvSpPr>
            <xdr:cNvPr id="145410" name="Check Box 2" hidden="1">
              <a:extLst>
                <a:ext uri="{63B3BB69-23CF-44E3-9099-C40C66FF867C}">
                  <a14:compatExt spid="_x0000_s145410"/>
                </a:ext>
                <a:ext uri="{FF2B5EF4-FFF2-40B4-BE49-F238E27FC236}">
                  <a16:creationId xmlns:a16="http://schemas.microsoft.com/office/drawing/2014/main" id="{00000000-0008-0000-0D00-000002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40</xdr:row>
          <xdr:rowOff>152400</xdr:rowOff>
        </xdr:from>
        <xdr:to>
          <xdr:col>35</xdr:col>
          <xdr:colOff>76200</xdr:colOff>
          <xdr:row>42</xdr:row>
          <xdr:rowOff>9525</xdr:rowOff>
        </xdr:to>
        <xdr:sp macro="" textlink="">
          <xdr:nvSpPr>
            <xdr:cNvPr id="145411" name="Check Box 3" hidden="1">
              <a:extLst>
                <a:ext uri="{63B3BB69-23CF-44E3-9099-C40C66FF867C}">
                  <a14:compatExt spid="_x0000_s145411"/>
                </a:ext>
                <a:ext uri="{FF2B5EF4-FFF2-40B4-BE49-F238E27FC236}">
                  <a16:creationId xmlns:a16="http://schemas.microsoft.com/office/drawing/2014/main" id="{00000000-0008-0000-0D00-000003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41</xdr:row>
          <xdr:rowOff>152400</xdr:rowOff>
        </xdr:from>
        <xdr:to>
          <xdr:col>35</xdr:col>
          <xdr:colOff>76200</xdr:colOff>
          <xdr:row>43</xdr:row>
          <xdr:rowOff>9525</xdr:rowOff>
        </xdr:to>
        <xdr:sp macro="" textlink="">
          <xdr:nvSpPr>
            <xdr:cNvPr id="145412" name="Check Box 4" hidden="1">
              <a:extLst>
                <a:ext uri="{63B3BB69-23CF-44E3-9099-C40C66FF867C}">
                  <a14:compatExt spid="_x0000_s145412"/>
                </a:ext>
                <a:ext uri="{FF2B5EF4-FFF2-40B4-BE49-F238E27FC236}">
                  <a16:creationId xmlns:a16="http://schemas.microsoft.com/office/drawing/2014/main" id="{00000000-0008-0000-0D00-000004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42</xdr:row>
          <xdr:rowOff>152400</xdr:rowOff>
        </xdr:from>
        <xdr:to>
          <xdr:col>35</xdr:col>
          <xdr:colOff>76200</xdr:colOff>
          <xdr:row>44</xdr:row>
          <xdr:rowOff>9525</xdr:rowOff>
        </xdr:to>
        <xdr:sp macro="" textlink="">
          <xdr:nvSpPr>
            <xdr:cNvPr id="145413" name="Check Box 5" hidden="1">
              <a:extLst>
                <a:ext uri="{63B3BB69-23CF-44E3-9099-C40C66FF867C}">
                  <a14:compatExt spid="_x0000_s145413"/>
                </a:ext>
                <a:ext uri="{FF2B5EF4-FFF2-40B4-BE49-F238E27FC236}">
                  <a16:creationId xmlns:a16="http://schemas.microsoft.com/office/drawing/2014/main" id="{00000000-0008-0000-0D00-000005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43</xdr:row>
          <xdr:rowOff>152400</xdr:rowOff>
        </xdr:from>
        <xdr:to>
          <xdr:col>35</xdr:col>
          <xdr:colOff>76200</xdr:colOff>
          <xdr:row>45</xdr:row>
          <xdr:rowOff>9525</xdr:rowOff>
        </xdr:to>
        <xdr:sp macro="" textlink="">
          <xdr:nvSpPr>
            <xdr:cNvPr id="145414" name="Check Box 6" hidden="1">
              <a:extLst>
                <a:ext uri="{63B3BB69-23CF-44E3-9099-C40C66FF867C}">
                  <a14:compatExt spid="_x0000_s145414"/>
                </a:ext>
                <a:ext uri="{FF2B5EF4-FFF2-40B4-BE49-F238E27FC236}">
                  <a16:creationId xmlns:a16="http://schemas.microsoft.com/office/drawing/2014/main" id="{00000000-0008-0000-0D00-000006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44</xdr:row>
          <xdr:rowOff>152400</xdr:rowOff>
        </xdr:from>
        <xdr:to>
          <xdr:col>35</xdr:col>
          <xdr:colOff>76200</xdr:colOff>
          <xdr:row>46</xdr:row>
          <xdr:rowOff>9525</xdr:rowOff>
        </xdr:to>
        <xdr:sp macro="" textlink="">
          <xdr:nvSpPr>
            <xdr:cNvPr id="145415" name="Check Box 7" hidden="1">
              <a:extLst>
                <a:ext uri="{63B3BB69-23CF-44E3-9099-C40C66FF867C}">
                  <a14:compatExt spid="_x0000_s145415"/>
                </a:ext>
                <a:ext uri="{FF2B5EF4-FFF2-40B4-BE49-F238E27FC236}">
                  <a16:creationId xmlns:a16="http://schemas.microsoft.com/office/drawing/2014/main" id="{00000000-0008-0000-0D00-000007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45</xdr:row>
          <xdr:rowOff>152400</xdr:rowOff>
        </xdr:from>
        <xdr:to>
          <xdr:col>35</xdr:col>
          <xdr:colOff>76200</xdr:colOff>
          <xdr:row>47</xdr:row>
          <xdr:rowOff>9525</xdr:rowOff>
        </xdr:to>
        <xdr:sp macro="" textlink="">
          <xdr:nvSpPr>
            <xdr:cNvPr id="145416" name="Check Box 8" hidden="1">
              <a:extLst>
                <a:ext uri="{63B3BB69-23CF-44E3-9099-C40C66FF867C}">
                  <a14:compatExt spid="_x0000_s145416"/>
                </a:ext>
                <a:ext uri="{FF2B5EF4-FFF2-40B4-BE49-F238E27FC236}">
                  <a16:creationId xmlns:a16="http://schemas.microsoft.com/office/drawing/2014/main" id="{00000000-0008-0000-0D00-000008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46</xdr:row>
          <xdr:rowOff>152400</xdr:rowOff>
        </xdr:from>
        <xdr:to>
          <xdr:col>35</xdr:col>
          <xdr:colOff>76200</xdr:colOff>
          <xdr:row>48</xdr:row>
          <xdr:rowOff>9525</xdr:rowOff>
        </xdr:to>
        <xdr:sp macro="" textlink="">
          <xdr:nvSpPr>
            <xdr:cNvPr id="145417" name="Check Box 9" hidden="1">
              <a:extLst>
                <a:ext uri="{63B3BB69-23CF-44E3-9099-C40C66FF867C}">
                  <a14:compatExt spid="_x0000_s145417"/>
                </a:ext>
                <a:ext uri="{FF2B5EF4-FFF2-40B4-BE49-F238E27FC236}">
                  <a16:creationId xmlns:a16="http://schemas.microsoft.com/office/drawing/2014/main" id="{00000000-0008-0000-0D00-000009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47</xdr:row>
          <xdr:rowOff>152400</xdr:rowOff>
        </xdr:from>
        <xdr:to>
          <xdr:col>35</xdr:col>
          <xdr:colOff>76200</xdr:colOff>
          <xdr:row>49</xdr:row>
          <xdr:rowOff>9525</xdr:rowOff>
        </xdr:to>
        <xdr:sp macro="" textlink="">
          <xdr:nvSpPr>
            <xdr:cNvPr id="145418" name="Check Box 10" hidden="1">
              <a:extLst>
                <a:ext uri="{63B3BB69-23CF-44E3-9099-C40C66FF867C}">
                  <a14:compatExt spid="_x0000_s145418"/>
                </a:ext>
                <a:ext uri="{FF2B5EF4-FFF2-40B4-BE49-F238E27FC236}">
                  <a16:creationId xmlns:a16="http://schemas.microsoft.com/office/drawing/2014/main" id="{00000000-0008-0000-0D00-00000A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48</xdr:row>
          <xdr:rowOff>152400</xdr:rowOff>
        </xdr:from>
        <xdr:to>
          <xdr:col>35</xdr:col>
          <xdr:colOff>76200</xdr:colOff>
          <xdr:row>50</xdr:row>
          <xdr:rowOff>9525</xdr:rowOff>
        </xdr:to>
        <xdr:sp macro="" textlink="">
          <xdr:nvSpPr>
            <xdr:cNvPr id="145419" name="Check Box 11" hidden="1">
              <a:extLst>
                <a:ext uri="{63B3BB69-23CF-44E3-9099-C40C66FF867C}">
                  <a14:compatExt spid="_x0000_s145419"/>
                </a:ext>
                <a:ext uri="{FF2B5EF4-FFF2-40B4-BE49-F238E27FC236}">
                  <a16:creationId xmlns:a16="http://schemas.microsoft.com/office/drawing/2014/main" id="{00000000-0008-0000-0D00-00000B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49</xdr:row>
          <xdr:rowOff>152400</xdr:rowOff>
        </xdr:from>
        <xdr:to>
          <xdr:col>35</xdr:col>
          <xdr:colOff>76200</xdr:colOff>
          <xdr:row>51</xdr:row>
          <xdr:rowOff>9525</xdr:rowOff>
        </xdr:to>
        <xdr:sp macro="" textlink="">
          <xdr:nvSpPr>
            <xdr:cNvPr id="145420" name="Check Box 12" hidden="1">
              <a:extLst>
                <a:ext uri="{63B3BB69-23CF-44E3-9099-C40C66FF867C}">
                  <a14:compatExt spid="_x0000_s145420"/>
                </a:ext>
                <a:ext uri="{FF2B5EF4-FFF2-40B4-BE49-F238E27FC236}">
                  <a16:creationId xmlns:a16="http://schemas.microsoft.com/office/drawing/2014/main" id="{00000000-0008-0000-0D00-00000C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50</xdr:row>
          <xdr:rowOff>152400</xdr:rowOff>
        </xdr:from>
        <xdr:to>
          <xdr:col>35</xdr:col>
          <xdr:colOff>76200</xdr:colOff>
          <xdr:row>52</xdr:row>
          <xdr:rowOff>9525</xdr:rowOff>
        </xdr:to>
        <xdr:sp macro="" textlink="">
          <xdr:nvSpPr>
            <xdr:cNvPr id="145421" name="Check Box 13" hidden="1">
              <a:extLst>
                <a:ext uri="{63B3BB69-23CF-44E3-9099-C40C66FF867C}">
                  <a14:compatExt spid="_x0000_s145421"/>
                </a:ext>
                <a:ext uri="{FF2B5EF4-FFF2-40B4-BE49-F238E27FC236}">
                  <a16:creationId xmlns:a16="http://schemas.microsoft.com/office/drawing/2014/main" id="{00000000-0008-0000-0D00-00000D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51</xdr:row>
          <xdr:rowOff>152400</xdr:rowOff>
        </xdr:from>
        <xdr:to>
          <xdr:col>35</xdr:col>
          <xdr:colOff>76200</xdr:colOff>
          <xdr:row>53</xdr:row>
          <xdr:rowOff>9525</xdr:rowOff>
        </xdr:to>
        <xdr:sp macro="" textlink="">
          <xdr:nvSpPr>
            <xdr:cNvPr id="145422" name="Check Box 14" hidden="1">
              <a:extLst>
                <a:ext uri="{63B3BB69-23CF-44E3-9099-C40C66FF867C}">
                  <a14:compatExt spid="_x0000_s145422"/>
                </a:ext>
                <a:ext uri="{FF2B5EF4-FFF2-40B4-BE49-F238E27FC236}">
                  <a16:creationId xmlns:a16="http://schemas.microsoft.com/office/drawing/2014/main" id="{00000000-0008-0000-0D00-00000E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52</xdr:row>
          <xdr:rowOff>152400</xdr:rowOff>
        </xdr:from>
        <xdr:to>
          <xdr:col>35</xdr:col>
          <xdr:colOff>76200</xdr:colOff>
          <xdr:row>54</xdr:row>
          <xdr:rowOff>9525</xdr:rowOff>
        </xdr:to>
        <xdr:sp macro="" textlink="">
          <xdr:nvSpPr>
            <xdr:cNvPr id="145423" name="Check Box 15" hidden="1">
              <a:extLst>
                <a:ext uri="{63B3BB69-23CF-44E3-9099-C40C66FF867C}">
                  <a14:compatExt spid="_x0000_s145423"/>
                </a:ext>
                <a:ext uri="{FF2B5EF4-FFF2-40B4-BE49-F238E27FC236}">
                  <a16:creationId xmlns:a16="http://schemas.microsoft.com/office/drawing/2014/main" id="{00000000-0008-0000-0D00-00000F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53</xdr:row>
          <xdr:rowOff>152400</xdr:rowOff>
        </xdr:from>
        <xdr:to>
          <xdr:col>35</xdr:col>
          <xdr:colOff>76200</xdr:colOff>
          <xdr:row>55</xdr:row>
          <xdr:rowOff>9525</xdr:rowOff>
        </xdr:to>
        <xdr:sp macro="" textlink="">
          <xdr:nvSpPr>
            <xdr:cNvPr id="145424" name="Check Box 16" hidden="1">
              <a:extLst>
                <a:ext uri="{63B3BB69-23CF-44E3-9099-C40C66FF867C}">
                  <a14:compatExt spid="_x0000_s145424"/>
                </a:ext>
                <a:ext uri="{FF2B5EF4-FFF2-40B4-BE49-F238E27FC236}">
                  <a16:creationId xmlns:a16="http://schemas.microsoft.com/office/drawing/2014/main" id="{00000000-0008-0000-0D00-000010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56</xdr:row>
          <xdr:rowOff>152400</xdr:rowOff>
        </xdr:from>
        <xdr:to>
          <xdr:col>35</xdr:col>
          <xdr:colOff>76200</xdr:colOff>
          <xdr:row>58</xdr:row>
          <xdr:rowOff>9525</xdr:rowOff>
        </xdr:to>
        <xdr:sp macro="" textlink="">
          <xdr:nvSpPr>
            <xdr:cNvPr id="145425" name="Check Box 17" hidden="1">
              <a:extLst>
                <a:ext uri="{63B3BB69-23CF-44E3-9099-C40C66FF867C}">
                  <a14:compatExt spid="_x0000_s145425"/>
                </a:ext>
                <a:ext uri="{FF2B5EF4-FFF2-40B4-BE49-F238E27FC236}">
                  <a16:creationId xmlns:a16="http://schemas.microsoft.com/office/drawing/2014/main" id="{00000000-0008-0000-0D00-000011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57</xdr:row>
          <xdr:rowOff>152400</xdr:rowOff>
        </xdr:from>
        <xdr:to>
          <xdr:col>35</xdr:col>
          <xdr:colOff>76200</xdr:colOff>
          <xdr:row>59</xdr:row>
          <xdr:rowOff>9525</xdr:rowOff>
        </xdr:to>
        <xdr:sp macro="" textlink="">
          <xdr:nvSpPr>
            <xdr:cNvPr id="145426" name="Check Box 18" hidden="1">
              <a:extLst>
                <a:ext uri="{63B3BB69-23CF-44E3-9099-C40C66FF867C}">
                  <a14:compatExt spid="_x0000_s145426"/>
                </a:ext>
                <a:ext uri="{FF2B5EF4-FFF2-40B4-BE49-F238E27FC236}">
                  <a16:creationId xmlns:a16="http://schemas.microsoft.com/office/drawing/2014/main" id="{00000000-0008-0000-0D00-000012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58</xdr:row>
          <xdr:rowOff>152400</xdr:rowOff>
        </xdr:from>
        <xdr:to>
          <xdr:col>35</xdr:col>
          <xdr:colOff>76200</xdr:colOff>
          <xdr:row>60</xdr:row>
          <xdr:rowOff>9525</xdr:rowOff>
        </xdr:to>
        <xdr:sp macro="" textlink="">
          <xdr:nvSpPr>
            <xdr:cNvPr id="145427" name="Check Box 19" hidden="1">
              <a:extLst>
                <a:ext uri="{63B3BB69-23CF-44E3-9099-C40C66FF867C}">
                  <a14:compatExt spid="_x0000_s145427"/>
                </a:ext>
                <a:ext uri="{FF2B5EF4-FFF2-40B4-BE49-F238E27FC236}">
                  <a16:creationId xmlns:a16="http://schemas.microsoft.com/office/drawing/2014/main" id="{00000000-0008-0000-0D00-000013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59</xdr:row>
          <xdr:rowOff>152400</xdr:rowOff>
        </xdr:from>
        <xdr:to>
          <xdr:col>35</xdr:col>
          <xdr:colOff>76200</xdr:colOff>
          <xdr:row>61</xdr:row>
          <xdr:rowOff>9525</xdr:rowOff>
        </xdr:to>
        <xdr:sp macro="" textlink="">
          <xdr:nvSpPr>
            <xdr:cNvPr id="145428" name="Check Box 20" hidden="1">
              <a:extLst>
                <a:ext uri="{63B3BB69-23CF-44E3-9099-C40C66FF867C}">
                  <a14:compatExt spid="_x0000_s145428"/>
                </a:ext>
                <a:ext uri="{FF2B5EF4-FFF2-40B4-BE49-F238E27FC236}">
                  <a16:creationId xmlns:a16="http://schemas.microsoft.com/office/drawing/2014/main" id="{00000000-0008-0000-0D00-000014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60</xdr:row>
          <xdr:rowOff>152400</xdr:rowOff>
        </xdr:from>
        <xdr:to>
          <xdr:col>35</xdr:col>
          <xdr:colOff>76200</xdr:colOff>
          <xdr:row>62</xdr:row>
          <xdr:rowOff>9525</xdr:rowOff>
        </xdr:to>
        <xdr:sp macro="" textlink="">
          <xdr:nvSpPr>
            <xdr:cNvPr id="145429" name="Check Box 21" hidden="1">
              <a:extLst>
                <a:ext uri="{63B3BB69-23CF-44E3-9099-C40C66FF867C}">
                  <a14:compatExt spid="_x0000_s145429"/>
                </a:ext>
                <a:ext uri="{FF2B5EF4-FFF2-40B4-BE49-F238E27FC236}">
                  <a16:creationId xmlns:a16="http://schemas.microsoft.com/office/drawing/2014/main" id="{00000000-0008-0000-0D00-000015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54</xdr:row>
          <xdr:rowOff>152400</xdr:rowOff>
        </xdr:from>
        <xdr:to>
          <xdr:col>35</xdr:col>
          <xdr:colOff>76200</xdr:colOff>
          <xdr:row>56</xdr:row>
          <xdr:rowOff>9525</xdr:rowOff>
        </xdr:to>
        <xdr:sp macro="" textlink="">
          <xdr:nvSpPr>
            <xdr:cNvPr id="145430" name="Check Box 22" hidden="1">
              <a:extLst>
                <a:ext uri="{63B3BB69-23CF-44E3-9099-C40C66FF867C}">
                  <a14:compatExt spid="_x0000_s145430"/>
                </a:ext>
                <a:ext uri="{FF2B5EF4-FFF2-40B4-BE49-F238E27FC236}">
                  <a16:creationId xmlns:a16="http://schemas.microsoft.com/office/drawing/2014/main" id="{00000000-0008-0000-0D00-000016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55</xdr:row>
          <xdr:rowOff>152400</xdr:rowOff>
        </xdr:from>
        <xdr:to>
          <xdr:col>35</xdr:col>
          <xdr:colOff>76200</xdr:colOff>
          <xdr:row>57</xdr:row>
          <xdr:rowOff>9525</xdr:rowOff>
        </xdr:to>
        <xdr:sp macro="" textlink="">
          <xdr:nvSpPr>
            <xdr:cNvPr id="145431" name="Check Box 23" hidden="1">
              <a:extLst>
                <a:ext uri="{63B3BB69-23CF-44E3-9099-C40C66FF867C}">
                  <a14:compatExt spid="_x0000_s145431"/>
                </a:ext>
                <a:ext uri="{FF2B5EF4-FFF2-40B4-BE49-F238E27FC236}">
                  <a16:creationId xmlns:a16="http://schemas.microsoft.com/office/drawing/2014/main" id="{00000000-0008-0000-0D00-000017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61</xdr:row>
          <xdr:rowOff>152400</xdr:rowOff>
        </xdr:from>
        <xdr:to>
          <xdr:col>35</xdr:col>
          <xdr:colOff>76200</xdr:colOff>
          <xdr:row>63</xdr:row>
          <xdr:rowOff>9525</xdr:rowOff>
        </xdr:to>
        <xdr:sp macro="" textlink="">
          <xdr:nvSpPr>
            <xdr:cNvPr id="145432" name="Check Box 24" hidden="1">
              <a:extLst>
                <a:ext uri="{63B3BB69-23CF-44E3-9099-C40C66FF867C}">
                  <a14:compatExt spid="_x0000_s145432"/>
                </a:ext>
                <a:ext uri="{FF2B5EF4-FFF2-40B4-BE49-F238E27FC236}">
                  <a16:creationId xmlns:a16="http://schemas.microsoft.com/office/drawing/2014/main" id="{00000000-0008-0000-0D00-000018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66675</xdr:colOff>
      <xdr:row>62</xdr:row>
      <xdr:rowOff>76200</xdr:rowOff>
    </xdr:from>
    <xdr:to>
      <xdr:col>11</xdr:col>
      <xdr:colOff>438150</xdr:colOff>
      <xdr:row>62</xdr:row>
      <xdr:rowOff>76200</xdr:rowOff>
    </xdr:to>
    <xdr:sp macro="" textlink="">
      <xdr:nvSpPr>
        <xdr:cNvPr id="39" name="Line 283">
          <a:extLst>
            <a:ext uri="{FF2B5EF4-FFF2-40B4-BE49-F238E27FC236}">
              <a16:creationId xmlns:a16="http://schemas.microsoft.com/office/drawing/2014/main" id="{00000000-0008-0000-0D00-000027000000}"/>
            </a:ext>
          </a:extLst>
        </xdr:cNvPr>
        <xdr:cNvSpPr>
          <a:spLocks noChangeShapeType="1"/>
        </xdr:cNvSpPr>
      </xdr:nvSpPr>
      <xdr:spPr bwMode="auto">
        <a:xfrm>
          <a:off x="5029200" y="11334750"/>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40" name="Oval 2164">
          <a:extLst>
            <a:ext uri="{FF2B5EF4-FFF2-40B4-BE49-F238E27FC236}">
              <a16:creationId xmlns:a16="http://schemas.microsoft.com/office/drawing/2014/main" id="{00000000-0008-0000-0D00-000028000000}"/>
            </a:ext>
          </a:extLst>
        </xdr:cNvPr>
        <xdr:cNvSpPr>
          <a:spLocks noChangeArrowheads="1"/>
        </xdr:cNvSpPr>
      </xdr:nvSpPr>
      <xdr:spPr bwMode="auto">
        <a:xfrm>
          <a:off x="7172325" y="1129665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oneCellAnchor>
    <xdr:from>
      <xdr:col>21</xdr:col>
      <xdr:colOff>95250</xdr:colOff>
      <xdr:row>103</xdr:row>
      <xdr:rowOff>33750</xdr:rowOff>
    </xdr:from>
    <xdr:ext cx="252000" cy="252000"/>
    <xdr:sp macro="[0]!Contacts" textlink="">
      <xdr:nvSpPr>
        <xdr:cNvPr id="42" name="Down Arrow 44">
          <a:extLst>
            <a:ext uri="{FF2B5EF4-FFF2-40B4-BE49-F238E27FC236}">
              <a16:creationId xmlns:a16="http://schemas.microsoft.com/office/drawing/2014/main" id="{00000000-0008-0000-0D00-00002A000000}"/>
            </a:ext>
          </a:extLst>
        </xdr:cNvPr>
        <xdr:cNvSpPr>
          <a:spLocks noChangeArrowheads="1"/>
        </xdr:cNvSpPr>
      </xdr:nvSpPr>
      <xdr:spPr bwMode="auto">
        <a:xfrm flipV="1">
          <a:off x="9277350" y="267799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99</xdr:row>
      <xdr:rowOff>0</xdr:rowOff>
    </xdr:from>
    <xdr:to>
      <xdr:col>8</xdr:col>
      <xdr:colOff>0</xdr:colOff>
      <xdr:row>102</xdr:row>
      <xdr:rowOff>0</xdr:rowOff>
    </xdr:to>
    <xdr:graphicFrame macro="">
      <xdr:nvGraphicFramePr>
        <xdr:cNvPr id="43" name="Chart 13">
          <a:extLst>
            <a:ext uri="{FF2B5EF4-FFF2-40B4-BE49-F238E27FC236}">
              <a16:creationId xmlns:a16="http://schemas.microsoft.com/office/drawing/2014/main" id="{00000000-0008-0000-0D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406350</xdr:colOff>
      <xdr:row>71</xdr:row>
      <xdr:rowOff>95251</xdr:rowOff>
    </xdr:from>
    <xdr:to>
      <xdr:col>20</xdr:col>
      <xdr:colOff>0</xdr:colOff>
      <xdr:row>102</xdr:row>
      <xdr:rowOff>0</xdr:rowOff>
    </xdr:to>
    <xdr:graphicFrame macro="">
      <xdr:nvGraphicFramePr>
        <xdr:cNvPr id="44" name="Chart 13">
          <a:extLst>
            <a:ext uri="{FF2B5EF4-FFF2-40B4-BE49-F238E27FC236}">
              <a16:creationId xmlns:a16="http://schemas.microsoft.com/office/drawing/2014/main" id="{00000000-0008-0000-0D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21</xdr:col>
      <xdr:colOff>57150</xdr:colOff>
      <xdr:row>0</xdr:row>
      <xdr:rowOff>193416</xdr:rowOff>
    </xdr:from>
    <xdr:to>
      <xdr:col>21</xdr:col>
      <xdr:colOff>381000</xdr:colOff>
      <xdr:row>2</xdr:row>
      <xdr:rowOff>44450</xdr:rowOff>
    </xdr:to>
    <xdr:pic macro="[0]!Home">
      <xdr:nvPicPr>
        <xdr:cNvPr id="45" name="Picture 44">
          <a:extLst>
            <a:ext uri="{FF2B5EF4-FFF2-40B4-BE49-F238E27FC236}">
              <a16:creationId xmlns:a16="http://schemas.microsoft.com/office/drawing/2014/main" id="{00000000-0008-0000-0D00-00002D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239250" y="193416"/>
          <a:ext cx="32385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Population" textlink="">
      <xdr:nvSpPr>
        <xdr:cNvPr id="46" name="Right Arrow 45">
          <a:extLst>
            <a:ext uri="{FF2B5EF4-FFF2-40B4-BE49-F238E27FC236}">
              <a16:creationId xmlns:a16="http://schemas.microsoft.com/office/drawing/2014/main" id="{00000000-0008-0000-0D00-00002E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18075</xdr:rowOff>
    </xdr:from>
    <xdr:to>
      <xdr:col>21</xdr:col>
      <xdr:colOff>381000</xdr:colOff>
      <xdr:row>6</xdr:row>
      <xdr:rowOff>120650</xdr:rowOff>
    </xdr:to>
    <xdr:sp macro="[0]!EHRef" textlink="">
      <xdr:nvSpPr>
        <xdr:cNvPr id="47" name="Right Arrow 50">
          <a:extLst>
            <a:ext uri="{FF2B5EF4-FFF2-40B4-BE49-F238E27FC236}">
              <a16:creationId xmlns:a16="http://schemas.microsoft.com/office/drawing/2014/main" id="{00000000-0008-0000-0D00-00002F000000}"/>
            </a:ext>
          </a:extLst>
        </xdr:cNvPr>
        <xdr:cNvSpPr>
          <a:spLocks noChangeArrowheads="1"/>
        </xdr:cNvSpPr>
      </xdr:nvSpPr>
      <xdr:spPr bwMode="auto">
        <a:xfrm rot="10800000" flipH="1">
          <a:off x="9315450" y="106582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353600</xdr:colOff>
      <xdr:row>36</xdr:row>
      <xdr:rowOff>95250</xdr:rowOff>
    </xdr:to>
    <xdr:sp macro="[0]!EHRef" textlink="">
      <xdr:nvSpPr>
        <xdr:cNvPr id="2" name="Down Arrow 44">
          <a:extLst>
            <a:ext uri="{FF2B5EF4-FFF2-40B4-BE49-F238E27FC236}">
              <a16:creationId xmlns:a16="http://schemas.microsoft.com/office/drawing/2014/main" id="{00000000-0008-0000-0E00-000002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EHRef" textlink="">
      <xdr:nvSpPr>
        <xdr:cNvPr id="3" name="Down Arrow 2">
          <a:extLst>
            <a:ext uri="{FF2B5EF4-FFF2-40B4-BE49-F238E27FC236}">
              <a16:creationId xmlns:a16="http://schemas.microsoft.com/office/drawing/2014/main" id="{00000000-0008-0000-0E00-000003000000}"/>
            </a:ext>
          </a:extLst>
        </xdr:cNvPr>
        <xdr:cNvSpPr/>
      </xdr:nvSpPr>
      <xdr:spPr>
        <a:xfrm flipV="1">
          <a:off x="9286875"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15</xdr:col>
      <xdr:colOff>19048</xdr:colOff>
      <xdr:row>0</xdr:row>
      <xdr:rowOff>85725</xdr:rowOff>
    </xdr:from>
    <xdr:to>
      <xdr:col>20</xdr:col>
      <xdr:colOff>64498</xdr:colOff>
      <xdr:row>2</xdr:row>
      <xdr:rowOff>149475</xdr:rowOff>
    </xdr:to>
    <xdr:sp macro="" textlink="">
      <xdr:nvSpPr>
        <xdr:cNvPr id="10" name="AutoShape 32">
          <a:extLst>
            <a:ext uri="{FF2B5EF4-FFF2-40B4-BE49-F238E27FC236}">
              <a16:creationId xmlns:a16="http://schemas.microsoft.com/office/drawing/2014/main" id="{00000000-0008-0000-0E00-00000A000000}"/>
            </a:ext>
          </a:extLst>
        </xdr:cNvPr>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0</xdr:colOff>
      <xdr:row>64</xdr:row>
      <xdr:rowOff>0</xdr:rowOff>
    </xdr:from>
    <xdr:to>
      <xdr:col>20</xdr:col>
      <xdr:colOff>1</xdr:colOff>
      <xdr:row>67</xdr:row>
      <xdr:rowOff>0</xdr:rowOff>
    </xdr:to>
    <xdr:graphicFrame macro="">
      <xdr:nvGraphicFramePr>
        <xdr:cNvPr id="11" name="Chart 13">
          <a:extLst>
            <a:ext uri="{FF2B5EF4-FFF2-40B4-BE49-F238E27FC236}">
              <a16:creationId xmlns:a16="http://schemas.microsoft.com/office/drawing/2014/main" id="{00000000-0008-0000-0E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104775</xdr:colOff>
          <xdr:row>38</xdr:row>
          <xdr:rowOff>38100</xdr:rowOff>
        </xdr:from>
        <xdr:to>
          <xdr:col>35</xdr:col>
          <xdr:colOff>76200</xdr:colOff>
          <xdr:row>40</xdr:row>
          <xdr:rowOff>9525</xdr:rowOff>
        </xdr:to>
        <xdr:sp macro="" textlink="">
          <xdr:nvSpPr>
            <xdr:cNvPr id="123905" name="Check Box 1" hidden="1">
              <a:extLst>
                <a:ext uri="{63B3BB69-23CF-44E3-9099-C40C66FF867C}">
                  <a14:compatExt spid="_x0000_s123905"/>
                </a:ext>
                <a:ext uri="{FF2B5EF4-FFF2-40B4-BE49-F238E27FC236}">
                  <a16:creationId xmlns:a16="http://schemas.microsoft.com/office/drawing/2014/main" id="{00000000-0008-0000-0E00-000001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39</xdr:row>
          <xdr:rowOff>152400</xdr:rowOff>
        </xdr:from>
        <xdr:to>
          <xdr:col>35</xdr:col>
          <xdr:colOff>76200</xdr:colOff>
          <xdr:row>41</xdr:row>
          <xdr:rowOff>9525</xdr:rowOff>
        </xdr:to>
        <xdr:sp macro="" textlink="">
          <xdr:nvSpPr>
            <xdr:cNvPr id="123906" name="Check Box 2" hidden="1">
              <a:extLst>
                <a:ext uri="{63B3BB69-23CF-44E3-9099-C40C66FF867C}">
                  <a14:compatExt spid="_x0000_s123906"/>
                </a:ext>
                <a:ext uri="{FF2B5EF4-FFF2-40B4-BE49-F238E27FC236}">
                  <a16:creationId xmlns:a16="http://schemas.microsoft.com/office/drawing/2014/main" id="{00000000-0008-0000-0E00-000002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40</xdr:row>
          <xdr:rowOff>152400</xdr:rowOff>
        </xdr:from>
        <xdr:to>
          <xdr:col>35</xdr:col>
          <xdr:colOff>76200</xdr:colOff>
          <xdr:row>42</xdr:row>
          <xdr:rowOff>9525</xdr:rowOff>
        </xdr:to>
        <xdr:sp macro="" textlink="">
          <xdr:nvSpPr>
            <xdr:cNvPr id="123907" name="Check Box 3" hidden="1">
              <a:extLst>
                <a:ext uri="{63B3BB69-23CF-44E3-9099-C40C66FF867C}">
                  <a14:compatExt spid="_x0000_s123907"/>
                </a:ext>
                <a:ext uri="{FF2B5EF4-FFF2-40B4-BE49-F238E27FC236}">
                  <a16:creationId xmlns:a16="http://schemas.microsoft.com/office/drawing/2014/main" id="{00000000-0008-0000-0E00-000003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41</xdr:row>
          <xdr:rowOff>152400</xdr:rowOff>
        </xdr:from>
        <xdr:to>
          <xdr:col>35</xdr:col>
          <xdr:colOff>76200</xdr:colOff>
          <xdr:row>43</xdr:row>
          <xdr:rowOff>9525</xdr:rowOff>
        </xdr:to>
        <xdr:sp macro="" textlink="">
          <xdr:nvSpPr>
            <xdr:cNvPr id="123908" name="Check Box 4" hidden="1">
              <a:extLst>
                <a:ext uri="{63B3BB69-23CF-44E3-9099-C40C66FF867C}">
                  <a14:compatExt spid="_x0000_s123908"/>
                </a:ext>
                <a:ext uri="{FF2B5EF4-FFF2-40B4-BE49-F238E27FC236}">
                  <a16:creationId xmlns:a16="http://schemas.microsoft.com/office/drawing/2014/main" id="{00000000-0008-0000-0E00-000004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42</xdr:row>
          <xdr:rowOff>152400</xdr:rowOff>
        </xdr:from>
        <xdr:to>
          <xdr:col>35</xdr:col>
          <xdr:colOff>76200</xdr:colOff>
          <xdr:row>44</xdr:row>
          <xdr:rowOff>9525</xdr:rowOff>
        </xdr:to>
        <xdr:sp macro="" textlink="">
          <xdr:nvSpPr>
            <xdr:cNvPr id="123909" name="Check Box 5" hidden="1">
              <a:extLst>
                <a:ext uri="{63B3BB69-23CF-44E3-9099-C40C66FF867C}">
                  <a14:compatExt spid="_x0000_s123909"/>
                </a:ext>
                <a:ext uri="{FF2B5EF4-FFF2-40B4-BE49-F238E27FC236}">
                  <a16:creationId xmlns:a16="http://schemas.microsoft.com/office/drawing/2014/main" id="{00000000-0008-0000-0E00-000005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43</xdr:row>
          <xdr:rowOff>152400</xdr:rowOff>
        </xdr:from>
        <xdr:to>
          <xdr:col>35</xdr:col>
          <xdr:colOff>76200</xdr:colOff>
          <xdr:row>45</xdr:row>
          <xdr:rowOff>9525</xdr:rowOff>
        </xdr:to>
        <xdr:sp macro="" textlink="">
          <xdr:nvSpPr>
            <xdr:cNvPr id="123910" name="Check Box 6" hidden="1">
              <a:extLst>
                <a:ext uri="{63B3BB69-23CF-44E3-9099-C40C66FF867C}">
                  <a14:compatExt spid="_x0000_s123910"/>
                </a:ext>
                <a:ext uri="{FF2B5EF4-FFF2-40B4-BE49-F238E27FC236}">
                  <a16:creationId xmlns:a16="http://schemas.microsoft.com/office/drawing/2014/main" id="{00000000-0008-0000-0E00-000006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44</xdr:row>
          <xdr:rowOff>152400</xdr:rowOff>
        </xdr:from>
        <xdr:to>
          <xdr:col>35</xdr:col>
          <xdr:colOff>76200</xdr:colOff>
          <xdr:row>46</xdr:row>
          <xdr:rowOff>9525</xdr:rowOff>
        </xdr:to>
        <xdr:sp macro="" textlink="">
          <xdr:nvSpPr>
            <xdr:cNvPr id="123911" name="Check Box 7" hidden="1">
              <a:extLst>
                <a:ext uri="{63B3BB69-23CF-44E3-9099-C40C66FF867C}">
                  <a14:compatExt spid="_x0000_s123911"/>
                </a:ext>
                <a:ext uri="{FF2B5EF4-FFF2-40B4-BE49-F238E27FC236}">
                  <a16:creationId xmlns:a16="http://schemas.microsoft.com/office/drawing/2014/main" id="{00000000-0008-0000-0E00-000007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45</xdr:row>
          <xdr:rowOff>152400</xdr:rowOff>
        </xdr:from>
        <xdr:to>
          <xdr:col>35</xdr:col>
          <xdr:colOff>76200</xdr:colOff>
          <xdr:row>47</xdr:row>
          <xdr:rowOff>9525</xdr:rowOff>
        </xdr:to>
        <xdr:sp macro="" textlink="">
          <xdr:nvSpPr>
            <xdr:cNvPr id="123912" name="Check Box 8" hidden="1">
              <a:extLst>
                <a:ext uri="{63B3BB69-23CF-44E3-9099-C40C66FF867C}">
                  <a14:compatExt spid="_x0000_s123912"/>
                </a:ext>
                <a:ext uri="{FF2B5EF4-FFF2-40B4-BE49-F238E27FC236}">
                  <a16:creationId xmlns:a16="http://schemas.microsoft.com/office/drawing/2014/main" id="{00000000-0008-0000-0E00-000008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46</xdr:row>
          <xdr:rowOff>152400</xdr:rowOff>
        </xdr:from>
        <xdr:to>
          <xdr:col>35</xdr:col>
          <xdr:colOff>76200</xdr:colOff>
          <xdr:row>48</xdr:row>
          <xdr:rowOff>9525</xdr:rowOff>
        </xdr:to>
        <xdr:sp macro="" textlink="">
          <xdr:nvSpPr>
            <xdr:cNvPr id="123913" name="Check Box 9" hidden="1">
              <a:extLst>
                <a:ext uri="{63B3BB69-23CF-44E3-9099-C40C66FF867C}">
                  <a14:compatExt spid="_x0000_s123913"/>
                </a:ext>
                <a:ext uri="{FF2B5EF4-FFF2-40B4-BE49-F238E27FC236}">
                  <a16:creationId xmlns:a16="http://schemas.microsoft.com/office/drawing/2014/main" id="{00000000-0008-0000-0E00-000009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47</xdr:row>
          <xdr:rowOff>152400</xdr:rowOff>
        </xdr:from>
        <xdr:to>
          <xdr:col>35</xdr:col>
          <xdr:colOff>76200</xdr:colOff>
          <xdr:row>49</xdr:row>
          <xdr:rowOff>9525</xdr:rowOff>
        </xdr:to>
        <xdr:sp macro="" textlink="">
          <xdr:nvSpPr>
            <xdr:cNvPr id="123914" name="Check Box 10" hidden="1">
              <a:extLst>
                <a:ext uri="{63B3BB69-23CF-44E3-9099-C40C66FF867C}">
                  <a14:compatExt spid="_x0000_s123914"/>
                </a:ext>
                <a:ext uri="{FF2B5EF4-FFF2-40B4-BE49-F238E27FC236}">
                  <a16:creationId xmlns:a16="http://schemas.microsoft.com/office/drawing/2014/main" id="{00000000-0008-0000-0E00-00000A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48</xdr:row>
          <xdr:rowOff>152400</xdr:rowOff>
        </xdr:from>
        <xdr:to>
          <xdr:col>35</xdr:col>
          <xdr:colOff>76200</xdr:colOff>
          <xdr:row>50</xdr:row>
          <xdr:rowOff>9525</xdr:rowOff>
        </xdr:to>
        <xdr:sp macro="" textlink="">
          <xdr:nvSpPr>
            <xdr:cNvPr id="123915" name="Check Box 11" hidden="1">
              <a:extLst>
                <a:ext uri="{63B3BB69-23CF-44E3-9099-C40C66FF867C}">
                  <a14:compatExt spid="_x0000_s123915"/>
                </a:ext>
                <a:ext uri="{FF2B5EF4-FFF2-40B4-BE49-F238E27FC236}">
                  <a16:creationId xmlns:a16="http://schemas.microsoft.com/office/drawing/2014/main" id="{00000000-0008-0000-0E00-00000B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49</xdr:row>
          <xdr:rowOff>152400</xdr:rowOff>
        </xdr:from>
        <xdr:to>
          <xdr:col>35</xdr:col>
          <xdr:colOff>76200</xdr:colOff>
          <xdr:row>51</xdr:row>
          <xdr:rowOff>9525</xdr:rowOff>
        </xdr:to>
        <xdr:sp macro="" textlink="">
          <xdr:nvSpPr>
            <xdr:cNvPr id="123916" name="Check Box 12" hidden="1">
              <a:extLst>
                <a:ext uri="{63B3BB69-23CF-44E3-9099-C40C66FF867C}">
                  <a14:compatExt spid="_x0000_s123916"/>
                </a:ext>
                <a:ext uri="{FF2B5EF4-FFF2-40B4-BE49-F238E27FC236}">
                  <a16:creationId xmlns:a16="http://schemas.microsoft.com/office/drawing/2014/main" id="{00000000-0008-0000-0E00-00000C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50</xdr:row>
          <xdr:rowOff>152400</xdr:rowOff>
        </xdr:from>
        <xdr:to>
          <xdr:col>35</xdr:col>
          <xdr:colOff>76200</xdr:colOff>
          <xdr:row>52</xdr:row>
          <xdr:rowOff>9525</xdr:rowOff>
        </xdr:to>
        <xdr:sp macro="" textlink="">
          <xdr:nvSpPr>
            <xdr:cNvPr id="123917" name="Check Box 13" hidden="1">
              <a:extLst>
                <a:ext uri="{63B3BB69-23CF-44E3-9099-C40C66FF867C}">
                  <a14:compatExt spid="_x0000_s123917"/>
                </a:ext>
                <a:ext uri="{FF2B5EF4-FFF2-40B4-BE49-F238E27FC236}">
                  <a16:creationId xmlns:a16="http://schemas.microsoft.com/office/drawing/2014/main" id="{00000000-0008-0000-0E00-00000D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51</xdr:row>
          <xdr:rowOff>152400</xdr:rowOff>
        </xdr:from>
        <xdr:to>
          <xdr:col>35</xdr:col>
          <xdr:colOff>76200</xdr:colOff>
          <xdr:row>53</xdr:row>
          <xdr:rowOff>9525</xdr:rowOff>
        </xdr:to>
        <xdr:sp macro="" textlink="">
          <xdr:nvSpPr>
            <xdr:cNvPr id="123918" name="Check Box 14" hidden="1">
              <a:extLst>
                <a:ext uri="{63B3BB69-23CF-44E3-9099-C40C66FF867C}">
                  <a14:compatExt spid="_x0000_s123918"/>
                </a:ext>
                <a:ext uri="{FF2B5EF4-FFF2-40B4-BE49-F238E27FC236}">
                  <a16:creationId xmlns:a16="http://schemas.microsoft.com/office/drawing/2014/main" id="{00000000-0008-0000-0E00-00000E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52</xdr:row>
          <xdr:rowOff>152400</xdr:rowOff>
        </xdr:from>
        <xdr:to>
          <xdr:col>35</xdr:col>
          <xdr:colOff>76200</xdr:colOff>
          <xdr:row>54</xdr:row>
          <xdr:rowOff>9525</xdr:rowOff>
        </xdr:to>
        <xdr:sp macro="" textlink="">
          <xdr:nvSpPr>
            <xdr:cNvPr id="123919" name="Check Box 15" hidden="1">
              <a:extLst>
                <a:ext uri="{63B3BB69-23CF-44E3-9099-C40C66FF867C}">
                  <a14:compatExt spid="_x0000_s123919"/>
                </a:ext>
                <a:ext uri="{FF2B5EF4-FFF2-40B4-BE49-F238E27FC236}">
                  <a16:creationId xmlns:a16="http://schemas.microsoft.com/office/drawing/2014/main" id="{00000000-0008-0000-0E00-00000F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53</xdr:row>
          <xdr:rowOff>152400</xdr:rowOff>
        </xdr:from>
        <xdr:to>
          <xdr:col>35</xdr:col>
          <xdr:colOff>76200</xdr:colOff>
          <xdr:row>55</xdr:row>
          <xdr:rowOff>9525</xdr:rowOff>
        </xdr:to>
        <xdr:sp macro="" textlink="">
          <xdr:nvSpPr>
            <xdr:cNvPr id="123920" name="Check Box 16" hidden="1">
              <a:extLst>
                <a:ext uri="{63B3BB69-23CF-44E3-9099-C40C66FF867C}">
                  <a14:compatExt spid="_x0000_s123920"/>
                </a:ext>
                <a:ext uri="{FF2B5EF4-FFF2-40B4-BE49-F238E27FC236}">
                  <a16:creationId xmlns:a16="http://schemas.microsoft.com/office/drawing/2014/main" id="{00000000-0008-0000-0E00-000010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56</xdr:row>
          <xdr:rowOff>152400</xdr:rowOff>
        </xdr:from>
        <xdr:to>
          <xdr:col>35</xdr:col>
          <xdr:colOff>76200</xdr:colOff>
          <xdr:row>58</xdr:row>
          <xdr:rowOff>9525</xdr:rowOff>
        </xdr:to>
        <xdr:sp macro="" textlink="">
          <xdr:nvSpPr>
            <xdr:cNvPr id="123921" name="Check Box 17" hidden="1">
              <a:extLst>
                <a:ext uri="{63B3BB69-23CF-44E3-9099-C40C66FF867C}">
                  <a14:compatExt spid="_x0000_s123921"/>
                </a:ext>
                <a:ext uri="{FF2B5EF4-FFF2-40B4-BE49-F238E27FC236}">
                  <a16:creationId xmlns:a16="http://schemas.microsoft.com/office/drawing/2014/main" id="{00000000-0008-0000-0E00-000011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57</xdr:row>
          <xdr:rowOff>152400</xdr:rowOff>
        </xdr:from>
        <xdr:to>
          <xdr:col>35</xdr:col>
          <xdr:colOff>76200</xdr:colOff>
          <xdr:row>59</xdr:row>
          <xdr:rowOff>9525</xdr:rowOff>
        </xdr:to>
        <xdr:sp macro="" textlink="">
          <xdr:nvSpPr>
            <xdr:cNvPr id="123922" name="Check Box 18" hidden="1">
              <a:extLst>
                <a:ext uri="{63B3BB69-23CF-44E3-9099-C40C66FF867C}">
                  <a14:compatExt spid="_x0000_s123922"/>
                </a:ext>
                <a:ext uri="{FF2B5EF4-FFF2-40B4-BE49-F238E27FC236}">
                  <a16:creationId xmlns:a16="http://schemas.microsoft.com/office/drawing/2014/main" id="{00000000-0008-0000-0E00-000012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58</xdr:row>
          <xdr:rowOff>152400</xdr:rowOff>
        </xdr:from>
        <xdr:to>
          <xdr:col>35</xdr:col>
          <xdr:colOff>76200</xdr:colOff>
          <xdr:row>60</xdr:row>
          <xdr:rowOff>9525</xdr:rowOff>
        </xdr:to>
        <xdr:sp macro="" textlink="">
          <xdr:nvSpPr>
            <xdr:cNvPr id="123923" name="Check Box 19" hidden="1">
              <a:extLst>
                <a:ext uri="{63B3BB69-23CF-44E3-9099-C40C66FF867C}">
                  <a14:compatExt spid="_x0000_s123923"/>
                </a:ext>
                <a:ext uri="{FF2B5EF4-FFF2-40B4-BE49-F238E27FC236}">
                  <a16:creationId xmlns:a16="http://schemas.microsoft.com/office/drawing/2014/main" id="{00000000-0008-0000-0E00-000013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59</xdr:row>
          <xdr:rowOff>152400</xdr:rowOff>
        </xdr:from>
        <xdr:to>
          <xdr:col>35</xdr:col>
          <xdr:colOff>76200</xdr:colOff>
          <xdr:row>61</xdr:row>
          <xdr:rowOff>9525</xdr:rowOff>
        </xdr:to>
        <xdr:sp macro="" textlink="">
          <xdr:nvSpPr>
            <xdr:cNvPr id="123924" name="Check Box 20" hidden="1">
              <a:extLst>
                <a:ext uri="{63B3BB69-23CF-44E3-9099-C40C66FF867C}">
                  <a14:compatExt spid="_x0000_s123924"/>
                </a:ext>
                <a:ext uri="{FF2B5EF4-FFF2-40B4-BE49-F238E27FC236}">
                  <a16:creationId xmlns:a16="http://schemas.microsoft.com/office/drawing/2014/main" id="{00000000-0008-0000-0E00-000014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60</xdr:row>
          <xdr:rowOff>152400</xdr:rowOff>
        </xdr:from>
        <xdr:to>
          <xdr:col>35</xdr:col>
          <xdr:colOff>76200</xdr:colOff>
          <xdr:row>62</xdr:row>
          <xdr:rowOff>9525</xdr:rowOff>
        </xdr:to>
        <xdr:sp macro="" textlink="">
          <xdr:nvSpPr>
            <xdr:cNvPr id="123925" name="Check Box 21" hidden="1">
              <a:extLst>
                <a:ext uri="{63B3BB69-23CF-44E3-9099-C40C66FF867C}">
                  <a14:compatExt spid="_x0000_s123925"/>
                </a:ext>
                <a:ext uri="{FF2B5EF4-FFF2-40B4-BE49-F238E27FC236}">
                  <a16:creationId xmlns:a16="http://schemas.microsoft.com/office/drawing/2014/main" id="{00000000-0008-0000-0E00-000015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54</xdr:row>
          <xdr:rowOff>152400</xdr:rowOff>
        </xdr:from>
        <xdr:to>
          <xdr:col>35</xdr:col>
          <xdr:colOff>76200</xdr:colOff>
          <xdr:row>56</xdr:row>
          <xdr:rowOff>9525</xdr:rowOff>
        </xdr:to>
        <xdr:sp macro="" textlink="">
          <xdr:nvSpPr>
            <xdr:cNvPr id="123926" name="Check Box 22" hidden="1">
              <a:extLst>
                <a:ext uri="{63B3BB69-23CF-44E3-9099-C40C66FF867C}">
                  <a14:compatExt spid="_x0000_s123926"/>
                </a:ext>
                <a:ext uri="{FF2B5EF4-FFF2-40B4-BE49-F238E27FC236}">
                  <a16:creationId xmlns:a16="http://schemas.microsoft.com/office/drawing/2014/main" id="{00000000-0008-0000-0E00-000016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55</xdr:row>
          <xdr:rowOff>152400</xdr:rowOff>
        </xdr:from>
        <xdr:to>
          <xdr:col>35</xdr:col>
          <xdr:colOff>76200</xdr:colOff>
          <xdr:row>57</xdr:row>
          <xdr:rowOff>9525</xdr:rowOff>
        </xdr:to>
        <xdr:sp macro="" textlink="">
          <xdr:nvSpPr>
            <xdr:cNvPr id="123927" name="Check Box 23" hidden="1">
              <a:extLst>
                <a:ext uri="{63B3BB69-23CF-44E3-9099-C40C66FF867C}">
                  <a14:compatExt spid="_x0000_s123927"/>
                </a:ext>
                <a:ext uri="{FF2B5EF4-FFF2-40B4-BE49-F238E27FC236}">
                  <a16:creationId xmlns:a16="http://schemas.microsoft.com/office/drawing/2014/main" id="{00000000-0008-0000-0E00-000017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95250</xdr:colOff>
      <xdr:row>103</xdr:row>
      <xdr:rowOff>33750</xdr:rowOff>
    </xdr:from>
    <xdr:ext cx="252000" cy="252000"/>
    <xdr:sp macro="[0]!EHRef" textlink="">
      <xdr:nvSpPr>
        <xdr:cNvPr id="38" name="Down Arrow 44">
          <a:extLst>
            <a:ext uri="{FF2B5EF4-FFF2-40B4-BE49-F238E27FC236}">
              <a16:creationId xmlns:a16="http://schemas.microsoft.com/office/drawing/2014/main" id="{00000000-0008-0000-0E00-000026000000}"/>
            </a:ext>
          </a:extLst>
        </xdr:cNvPr>
        <xdr:cNvSpPr>
          <a:spLocks noChangeArrowheads="1"/>
        </xdr:cNvSpPr>
      </xdr:nvSpPr>
      <xdr:spPr bwMode="auto">
        <a:xfrm flipV="1">
          <a:off x="9286875"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99</xdr:row>
      <xdr:rowOff>0</xdr:rowOff>
    </xdr:from>
    <xdr:to>
      <xdr:col>8</xdr:col>
      <xdr:colOff>0</xdr:colOff>
      <xdr:row>102</xdr:row>
      <xdr:rowOff>0</xdr:rowOff>
    </xdr:to>
    <xdr:graphicFrame macro="">
      <xdr:nvGraphicFramePr>
        <xdr:cNvPr id="39" name="Chart 13">
          <a:extLst>
            <a:ext uri="{FF2B5EF4-FFF2-40B4-BE49-F238E27FC236}">
              <a16:creationId xmlns:a16="http://schemas.microsoft.com/office/drawing/2014/main" id="{00000000-0008-0000-0E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21</xdr:col>
      <xdr:colOff>95250</xdr:colOff>
      <xdr:row>138</xdr:row>
      <xdr:rowOff>33750</xdr:rowOff>
    </xdr:from>
    <xdr:ext cx="252000" cy="252000"/>
    <xdr:sp macro="[0]!EHRef" textlink="">
      <xdr:nvSpPr>
        <xdr:cNvPr id="41" name="Down Arrow 44">
          <a:extLst>
            <a:ext uri="{FF2B5EF4-FFF2-40B4-BE49-F238E27FC236}">
              <a16:creationId xmlns:a16="http://schemas.microsoft.com/office/drawing/2014/main" id="{00000000-0008-0000-0E00-000029000000}"/>
            </a:ext>
          </a:extLst>
        </xdr:cNvPr>
        <xdr:cNvSpPr>
          <a:spLocks noChangeArrowheads="1"/>
        </xdr:cNvSpPr>
      </xdr:nvSpPr>
      <xdr:spPr bwMode="auto">
        <a:xfrm flipV="1">
          <a:off x="9286875"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42" name="Chart 13">
          <a:extLst>
            <a:ext uri="{FF2B5EF4-FFF2-40B4-BE49-F238E27FC236}">
              <a16:creationId xmlns:a16="http://schemas.microsoft.com/office/drawing/2014/main" id="{00000000-0008-0000-0E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38</xdr:row>
      <xdr:rowOff>0</xdr:rowOff>
    </xdr:from>
    <xdr:to>
      <xdr:col>11</xdr:col>
      <xdr:colOff>0</xdr:colOff>
      <xdr:row>67</xdr:row>
      <xdr:rowOff>0</xdr:rowOff>
    </xdr:to>
    <xdr:graphicFrame macro="">
      <xdr:nvGraphicFramePr>
        <xdr:cNvPr id="47" name="Chart 13">
          <a:extLst>
            <a:ext uri="{FF2B5EF4-FFF2-40B4-BE49-F238E27FC236}">
              <a16:creationId xmlns:a16="http://schemas.microsoft.com/office/drawing/2014/main" id="{00000000-0008-0000-0E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71</xdr:row>
      <xdr:rowOff>0</xdr:rowOff>
    </xdr:from>
    <xdr:to>
      <xdr:col>19</xdr:col>
      <xdr:colOff>685799</xdr:colOff>
      <xdr:row>102</xdr:row>
      <xdr:rowOff>0</xdr:rowOff>
    </xdr:to>
    <xdr:graphicFrame macro="">
      <xdr:nvGraphicFramePr>
        <xdr:cNvPr id="48" name="Chart 13">
          <a:extLst>
            <a:ext uri="{FF2B5EF4-FFF2-40B4-BE49-F238E27FC236}">
              <a16:creationId xmlns:a16="http://schemas.microsoft.com/office/drawing/2014/main" id="{00000000-0008-0000-0E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106</xdr:row>
      <xdr:rowOff>0</xdr:rowOff>
    </xdr:from>
    <xdr:to>
      <xdr:col>19</xdr:col>
      <xdr:colOff>685799</xdr:colOff>
      <xdr:row>137</xdr:row>
      <xdr:rowOff>0</xdr:rowOff>
    </xdr:to>
    <xdr:graphicFrame macro="">
      <xdr:nvGraphicFramePr>
        <xdr:cNvPr id="49" name="Chart 13">
          <a:extLst>
            <a:ext uri="{FF2B5EF4-FFF2-40B4-BE49-F238E27FC236}">
              <a16:creationId xmlns:a16="http://schemas.microsoft.com/office/drawing/2014/main" id="{00000000-0008-0000-0E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21</xdr:col>
      <xdr:colOff>57150</xdr:colOff>
      <xdr:row>0</xdr:row>
      <xdr:rowOff>193416</xdr:rowOff>
    </xdr:from>
    <xdr:to>
      <xdr:col>21</xdr:col>
      <xdr:colOff>381000</xdr:colOff>
      <xdr:row>2</xdr:row>
      <xdr:rowOff>47625</xdr:rowOff>
    </xdr:to>
    <xdr:pic macro="[0]!Home">
      <xdr:nvPicPr>
        <xdr:cNvPr id="51" name="Picture 50">
          <a:extLst>
            <a:ext uri="{FF2B5EF4-FFF2-40B4-BE49-F238E27FC236}">
              <a16:creationId xmlns:a16="http://schemas.microsoft.com/office/drawing/2014/main" id="{00000000-0008-0000-0E00-00003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Contacts" textlink="">
      <xdr:nvSpPr>
        <xdr:cNvPr id="44" name="Right Arrow 50">
          <a:extLst>
            <a:ext uri="{FF2B5EF4-FFF2-40B4-BE49-F238E27FC236}">
              <a16:creationId xmlns:a16="http://schemas.microsoft.com/office/drawing/2014/main" id="{00000000-0008-0000-0E00-00002C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18075</xdr:rowOff>
    </xdr:from>
    <xdr:to>
      <xdr:col>21</xdr:col>
      <xdr:colOff>381000</xdr:colOff>
      <xdr:row>6</xdr:row>
      <xdr:rowOff>123825</xdr:rowOff>
    </xdr:to>
    <xdr:sp macro="[0]!EHAss" textlink="">
      <xdr:nvSpPr>
        <xdr:cNvPr id="45" name="Right Arrow 50">
          <a:extLst>
            <a:ext uri="{FF2B5EF4-FFF2-40B4-BE49-F238E27FC236}">
              <a16:creationId xmlns:a16="http://schemas.microsoft.com/office/drawing/2014/main" id="{00000000-0008-0000-0E00-00002D000000}"/>
            </a:ext>
          </a:extLst>
        </xdr:cNvPr>
        <xdr:cNvSpPr>
          <a:spLocks noChangeArrowheads="1"/>
        </xdr:cNvSpPr>
      </xdr:nvSpPr>
      <xdr:spPr bwMode="auto">
        <a:xfrm rot="10800000" flipH="1">
          <a:off x="9324975"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10</xdr:col>
      <xdr:colOff>95249</xdr:colOff>
      <xdr:row>37</xdr:row>
      <xdr:rowOff>142874</xdr:rowOff>
    </xdr:from>
    <xdr:to>
      <xdr:col>20</xdr:col>
      <xdr:colOff>0</xdr:colOff>
      <xdr:row>62</xdr:row>
      <xdr:rowOff>0</xdr:rowOff>
    </xdr:to>
    <xdr:graphicFrame macro="">
      <xdr:nvGraphicFramePr>
        <xdr:cNvPr id="52" name="Chart 176">
          <a:extLst>
            <a:ext uri="{FF2B5EF4-FFF2-40B4-BE49-F238E27FC236}">
              <a16:creationId xmlns:a16="http://schemas.microsoft.com/office/drawing/2014/main" id="{00000000-0008-0000-0E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219075</xdr:colOff>
      <xdr:row>63</xdr:row>
      <xdr:rowOff>38100</xdr:rowOff>
    </xdr:from>
    <xdr:to>
      <xdr:col>11</xdr:col>
      <xdr:colOff>295275</xdr:colOff>
      <xdr:row>63</xdr:row>
      <xdr:rowOff>114300</xdr:rowOff>
    </xdr:to>
    <xdr:sp macro="" textlink="">
      <xdr:nvSpPr>
        <xdr:cNvPr id="53" name="Oval 2165">
          <a:extLst>
            <a:ext uri="{FF2B5EF4-FFF2-40B4-BE49-F238E27FC236}">
              <a16:creationId xmlns:a16="http://schemas.microsoft.com/office/drawing/2014/main" id="{00000000-0008-0000-0E00-000035000000}"/>
            </a:ext>
          </a:extLst>
        </xdr:cNvPr>
        <xdr:cNvSpPr>
          <a:spLocks noChangeArrowheads="1"/>
        </xdr:cNvSpPr>
      </xdr:nvSpPr>
      <xdr:spPr bwMode="auto">
        <a:xfrm>
          <a:off x="487680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66675</xdr:colOff>
      <xdr:row>62</xdr:row>
      <xdr:rowOff>76200</xdr:rowOff>
    </xdr:from>
    <xdr:to>
      <xdr:col>11</xdr:col>
      <xdr:colOff>438150</xdr:colOff>
      <xdr:row>62</xdr:row>
      <xdr:rowOff>76200</xdr:rowOff>
    </xdr:to>
    <xdr:sp macro="" textlink="">
      <xdr:nvSpPr>
        <xdr:cNvPr id="54" name="Line 283">
          <a:extLst>
            <a:ext uri="{FF2B5EF4-FFF2-40B4-BE49-F238E27FC236}">
              <a16:creationId xmlns:a16="http://schemas.microsoft.com/office/drawing/2014/main" id="{00000000-0008-0000-0E00-000036000000}"/>
            </a:ext>
          </a:extLst>
        </xdr:cNvPr>
        <xdr:cNvSpPr>
          <a:spLocks noChangeShapeType="1"/>
        </xdr:cNvSpPr>
      </xdr:nvSpPr>
      <xdr:spPr bwMode="auto">
        <a:xfrm>
          <a:off x="4724400" y="11201400"/>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55" name="Oval 2164">
          <a:extLst>
            <a:ext uri="{FF2B5EF4-FFF2-40B4-BE49-F238E27FC236}">
              <a16:creationId xmlns:a16="http://schemas.microsoft.com/office/drawing/2014/main" id="{00000000-0008-0000-0E00-000037000000}"/>
            </a:ext>
          </a:extLst>
        </xdr:cNvPr>
        <xdr:cNvSpPr>
          <a:spLocks noChangeArrowheads="1"/>
        </xdr:cNvSpPr>
      </xdr:nvSpPr>
      <xdr:spPr bwMode="auto">
        <a:xfrm>
          <a:off x="69437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353600</xdr:colOff>
      <xdr:row>36</xdr:row>
      <xdr:rowOff>95250</xdr:rowOff>
    </xdr:to>
    <xdr:sp macro="[0]!EHAss" textlink="">
      <xdr:nvSpPr>
        <xdr:cNvPr id="2" name="Down Arrow 44">
          <a:extLst>
            <a:ext uri="{FF2B5EF4-FFF2-40B4-BE49-F238E27FC236}">
              <a16:creationId xmlns:a16="http://schemas.microsoft.com/office/drawing/2014/main" id="{00000000-0008-0000-0F00-000002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EHAss" textlink="">
      <xdr:nvSpPr>
        <xdr:cNvPr id="3" name="Down Arrow 2">
          <a:extLst>
            <a:ext uri="{FF2B5EF4-FFF2-40B4-BE49-F238E27FC236}">
              <a16:creationId xmlns:a16="http://schemas.microsoft.com/office/drawing/2014/main" id="{00000000-0008-0000-0F00-000003000000}"/>
            </a:ext>
          </a:extLst>
        </xdr:cNvPr>
        <xdr:cNvSpPr/>
      </xdr:nvSpPr>
      <xdr:spPr>
        <a:xfrm flipV="1">
          <a:off x="9286875"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8" name="Oval 2164">
          <a:extLst>
            <a:ext uri="{FF2B5EF4-FFF2-40B4-BE49-F238E27FC236}">
              <a16:creationId xmlns:a16="http://schemas.microsoft.com/office/drawing/2014/main" id="{00000000-0008-0000-0F00-000008000000}"/>
            </a:ext>
          </a:extLst>
        </xdr:cNvPr>
        <xdr:cNvSpPr>
          <a:spLocks noChangeArrowheads="1"/>
        </xdr:cNvSpPr>
      </xdr:nvSpPr>
      <xdr:spPr bwMode="auto">
        <a:xfrm>
          <a:off x="6524625" y="1121092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15</xdr:col>
      <xdr:colOff>19048</xdr:colOff>
      <xdr:row>0</xdr:row>
      <xdr:rowOff>85725</xdr:rowOff>
    </xdr:from>
    <xdr:to>
      <xdr:col>20</xdr:col>
      <xdr:colOff>64498</xdr:colOff>
      <xdr:row>2</xdr:row>
      <xdr:rowOff>149475</xdr:rowOff>
    </xdr:to>
    <xdr:sp macro="" textlink="">
      <xdr:nvSpPr>
        <xdr:cNvPr id="10" name="AutoShape 32">
          <a:extLst>
            <a:ext uri="{FF2B5EF4-FFF2-40B4-BE49-F238E27FC236}">
              <a16:creationId xmlns:a16="http://schemas.microsoft.com/office/drawing/2014/main" id="{00000000-0008-0000-0F00-00000A000000}"/>
            </a:ext>
          </a:extLst>
        </xdr:cNvPr>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10</xdr:col>
      <xdr:colOff>0</xdr:colOff>
      <xdr:row>64</xdr:row>
      <xdr:rowOff>0</xdr:rowOff>
    </xdr:from>
    <xdr:to>
      <xdr:col>20</xdr:col>
      <xdr:colOff>1</xdr:colOff>
      <xdr:row>67</xdr:row>
      <xdr:rowOff>0</xdr:rowOff>
    </xdr:to>
    <xdr:graphicFrame macro="">
      <xdr:nvGraphicFramePr>
        <xdr:cNvPr id="11" name="Chart 13">
          <a:extLst>
            <a:ext uri="{FF2B5EF4-FFF2-40B4-BE49-F238E27FC236}">
              <a16:creationId xmlns:a16="http://schemas.microsoft.com/office/drawing/2014/main" id="{00000000-0008-0000-0F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104775</xdr:colOff>
          <xdr:row>38</xdr:row>
          <xdr:rowOff>28575</xdr:rowOff>
        </xdr:from>
        <xdr:to>
          <xdr:col>35</xdr:col>
          <xdr:colOff>76200</xdr:colOff>
          <xdr:row>40</xdr:row>
          <xdr:rowOff>9525</xdr:rowOff>
        </xdr:to>
        <xdr:sp macro="" textlink="">
          <xdr:nvSpPr>
            <xdr:cNvPr id="124929" name="Check Box 1" hidden="1">
              <a:extLst>
                <a:ext uri="{63B3BB69-23CF-44E3-9099-C40C66FF867C}">
                  <a14:compatExt spid="_x0000_s124929"/>
                </a:ext>
                <a:ext uri="{FF2B5EF4-FFF2-40B4-BE49-F238E27FC236}">
                  <a16:creationId xmlns:a16="http://schemas.microsoft.com/office/drawing/2014/main" id="{00000000-0008-0000-0F00-00000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39</xdr:row>
          <xdr:rowOff>152400</xdr:rowOff>
        </xdr:from>
        <xdr:to>
          <xdr:col>35</xdr:col>
          <xdr:colOff>76200</xdr:colOff>
          <xdr:row>41</xdr:row>
          <xdr:rowOff>9525</xdr:rowOff>
        </xdr:to>
        <xdr:sp macro="" textlink="">
          <xdr:nvSpPr>
            <xdr:cNvPr id="124930" name="Check Box 2" hidden="1">
              <a:extLst>
                <a:ext uri="{63B3BB69-23CF-44E3-9099-C40C66FF867C}">
                  <a14:compatExt spid="_x0000_s124930"/>
                </a:ext>
                <a:ext uri="{FF2B5EF4-FFF2-40B4-BE49-F238E27FC236}">
                  <a16:creationId xmlns:a16="http://schemas.microsoft.com/office/drawing/2014/main" id="{00000000-0008-0000-0F00-00000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40</xdr:row>
          <xdr:rowOff>152400</xdr:rowOff>
        </xdr:from>
        <xdr:to>
          <xdr:col>35</xdr:col>
          <xdr:colOff>76200</xdr:colOff>
          <xdr:row>42</xdr:row>
          <xdr:rowOff>9525</xdr:rowOff>
        </xdr:to>
        <xdr:sp macro="" textlink="">
          <xdr:nvSpPr>
            <xdr:cNvPr id="124931" name="Check Box 3" hidden="1">
              <a:extLst>
                <a:ext uri="{63B3BB69-23CF-44E3-9099-C40C66FF867C}">
                  <a14:compatExt spid="_x0000_s124931"/>
                </a:ext>
                <a:ext uri="{FF2B5EF4-FFF2-40B4-BE49-F238E27FC236}">
                  <a16:creationId xmlns:a16="http://schemas.microsoft.com/office/drawing/2014/main" id="{00000000-0008-0000-0F00-00000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41</xdr:row>
          <xdr:rowOff>152400</xdr:rowOff>
        </xdr:from>
        <xdr:to>
          <xdr:col>35</xdr:col>
          <xdr:colOff>76200</xdr:colOff>
          <xdr:row>43</xdr:row>
          <xdr:rowOff>9525</xdr:rowOff>
        </xdr:to>
        <xdr:sp macro="" textlink="">
          <xdr:nvSpPr>
            <xdr:cNvPr id="124932" name="Check Box 4" hidden="1">
              <a:extLst>
                <a:ext uri="{63B3BB69-23CF-44E3-9099-C40C66FF867C}">
                  <a14:compatExt spid="_x0000_s124932"/>
                </a:ext>
                <a:ext uri="{FF2B5EF4-FFF2-40B4-BE49-F238E27FC236}">
                  <a16:creationId xmlns:a16="http://schemas.microsoft.com/office/drawing/2014/main" id="{00000000-0008-0000-0F00-00000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42</xdr:row>
          <xdr:rowOff>152400</xdr:rowOff>
        </xdr:from>
        <xdr:to>
          <xdr:col>35</xdr:col>
          <xdr:colOff>76200</xdr:colOff>
          <xdr:row>44</xdr:row>
          <xdr:rowOff>9525</xdr:rowOff>
        </xdr:to>
        <xdr:sp macro="" textlink="">
          <xdr:nvSpPr>
            <xdr:cNvPr id="124933" name="Check Box 5" hidden="1">
              <a:extLst>
                <a:ext uri="{63B3BB69-23CF-44E3-9099-C40C66FF867C}">
                  <a14:compatExt spid="_x0000_s124933"/>
                </a:ext>
                <a:ext uri="{FF2B5EF4-FFF2-40B4-BE49-F238E27FC236}">
                  <a16:creationId xmlns:a16="http://schemas.microsoft.com/office/drawing/2014/main" id="{00000000-0008-0000-0F00-00000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43</xdr:row>
          <xdr:rowOff>152400</xdr:rowOff>
        </xdr:from>
        <xdr:to>
          <xdr:col>35</xdr:col>
          <xdr:colOff>76200</xdr:colOff>
          <xdr:row>45</xdr:row>
          <xdr:rowOff>9525</xdr:rowOff>
        </xdr:to>
        <xdr:sp macro="" textlink="">
          <xdr:nvSpPr>
            <xdr:cNvPr id="124934" name="Check Box 6" hidden="1">
              <a:extLst>
                <a:ext uri="{63B3BB69-23CF-44E3-9099-C40C66FF867C}">
                  <a14:compatExt spid="_x0000_s124934"/>
                </a:ext>
                <a:ext uri="{FF2B5EF4-FFF2-40B4-BE49-F238E27FC236}">
                  <a16:creationId xmlns:a16="http://schemas.microsoft.com/office/drawing/2014/main" id="{00000000-0008-0000-0F00-00000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44</xdr:row>
          <xdr:rowOff>152400</xdr:rowOff>
        </xdr:from>
        <xdr:to>
          <xdr:col>35</xdr:col>
          <xdr:colOff>76200</xdr:colOff>
          <xdr:row>46</xdr:row>
          <xdr:rowOff>9525</xdr:rowOff>
        </xdr:to>
        <xdr:sp macro="" textlink="">
          <xdr:nvSpPr>
            <xdr:cNvPr id="124935" name="Check Box 7" hidden="1">
              <a:extLst>
                <a:ext uri="{63B3BB69-23CF-44E3-9099-C40C66FF867C}">
                  <a14:compatExt spid="_x0000_s124935"/>
                </a:ext>
                <a:ext uri="{FF2B5EF4-FFF2-40B4-BE49-F238E27FC236}">
                  <a16:creationId xmlns:a16="http://schemas.microsoft.com/office/drawing/2014/main" id="{00000000-0008-0000-0F00-00000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45</xdr:row>
          <xdr:rowOff>152400</xdr:rowOff>
        </xdr:from>
        <xdr:to>
          <xdr:col>35</xdr:col>
          <xdr:colOff>76200</xdr:colOff>
          <xdr:row>47</xdr:row>
          <xdr:rowOff>9525</xdr:rowOff>
        </xdr:to>
        <xdr:sp macro="" textlink="">
          <xdr:nvSpPr>
            <xdr:cNvPr id="124936" name="Check Box 8" hidden="1">
              <a:extLst>
                <a:ext uri="{63B3BB69-23CF-44E3-9099-C40C66FF867C}">
                  <a14:compatExt spid="_x0000_s124936"/>
                </a:ext>
                <a:ext uri="{FF2B5EF4-FFF2-40B4-BE49-F238E27FC236}">
                  <a16:creationId xmlns:a16="http://schemas.microsoft.com/office/drawing/2014/main" id="{00000000-0008-0000-0F00-00000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46</xdr:row>
          <xdr:rowOff>152400</xdr:rowOff>
        </xdr:from>
        <xdr:to>
          <xdr:col>35</xdr:col>
          <xdr:colOff>76200</xdr:colOff>
          <xdr:row>48</xdr:row>
          <xdr:rowOff>9525</xdr:rowOff>
        </xdr:to>
        <xdr:sp macro="" textlink="">
          <xdr:nvSpPr>
            <xdr:cNvPr id="124937" name="Check Box 9" hidden="1">
              <a:extLst>
                <a:ext uri="{63B3BB69-23CF-44E3-9099-C40C66FF867C}">
                  <a14:compatExt spid="_x0000_s124937"/>
                </a:ext>
                <a:ext uri="{FF2B5EF4-FFF2-40B4-BE49-F238E27FC236}">
                  <a16:creationId xmlns:a16="http://schemas.microsoft.com/office/drawing/2014/main" id="{00000000-0008-0000-0F00-00000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47</xdr:row>
          <xdr:rowOff>152400</xdr:rowOff>
        </xdr:from>
        <xdr:to>
          <xdr:col>35</xdr:col>
          <xdr:colOff>76200</xdr:colOff>
          <xdr:row>49</xdr:row>
          <xdr:rowOff>9525</xdr:rowOff>
        </xdr:to>
        <xdr:sp macro="" textlink="">
          <xdr:nvSpPr>
            <xdr:cNvPr id="124938" name="Check Box 10" hidden="1">
              <a:extLst>
                <a:ext uri="{63B3BB69-23CF-44E3-9099-C40C66FF867C}">
                  <a14:compatExt spid="_x0000_s124938"/>
                </a:ext>
                <a:ext uri="{FF2B5EF4-FFF2-40B4-BE49-F238E27FC236}">
                  <a16:creationId xmlns:a16="http://schemas.microsoft.com/office/drawing/2014/main" id="{00000000-0008-0000-0F00-00000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48</xdr:row>
          <xdr:rowOff>152400</xdr:rowOff>
        </xdr:from>
        <xdr:to>
          <xdr:col>35</xdr:col>
          <xdr:colOff>76200</xdr:colOff>
          <xdr:row>50</xdr:row>
          <xdr:rowOff>9525</xdr:rowOff>
        </xdr:to>
        <xdr:sp macro="" textlink="">
          <xdr:nvSpPr>
            <xdr:cNvPr id="124939" name="Check Box 11" hidden="1">
              <a:extLst>
                <a:ext uri="{63B3BB69-23CF-44E3-9099-C40C66FF867C}">
                  <a14:compatExt spid="_x0000_s124939"/>
                </a:ext>
                <a:ext uri="{FF2B5EF4-FFF2-40B4-BE49-F238E27FC236}">
                  <a16:creationId xmlns:a16="http://schemas.microsoft.com/office/drawing/2014/main" id="{00000000-0008-0000-0F00-00000B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49</xdr:row>
          <xdr:rowOff>152400</xdr:rowOff>
        </xdr:from>
        <xdr:to>
          <xdr:col>35</xdr:col>
          <xdr:colOff>76200</xdr:colOff>
          <xdr:row>51</xdr:row>
          <xdr:rowOff>9525</xdr:rowOff>
        </xdr:to>
        <xdr:sp macro="" textlink="">
          <xdr:nvSpPr>
            <xdr:cNvPr id="124940" name="Check Box 12" hidden="1">
              <a:extLst>
                <a:ext uri="{63B3BB69-23CF-44E3-9099-C40C66FF867C}">
                  <a14:compatExt spid="_x0000_s124940"/>
                </a:ext>
                <a:ext uri="{FF2B5EF4-FFF2-40B4-BE49-F238E27FC236}">
                  <a16:creationId xmlns:a16="http://schemas.microsoft.com/office/drawing/2014/main" id="{00000000-0008-0000-0F00-00000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50</xdr:row>
          <xdr:rowOff>152400</xdr:rowOff>
        </xdr:from>
        <xdr:to>
          <xdr:col>35</xdr:col>
          <xdr:colOff>76200</xdr:colOff>
          <xdr:row>52</xdr:row>
          <xdr:rowOff>9525</xdr:rowOff>
        </xdr:to>
        <xdr:sp macro="" textlink="">
          <xdr:nvSpPr>
            <xdr:cNvPr id="124941" name="Check Box 13" hidden="1">
              <a:extLst>
                <a:ext uri="{63B3BB69-23CF-44E3-9099-C40C66FF867C}">
                  <a14:compatExt spid="_x0000_s124941"/>
                </a:ext>
                <a:ext uri="{FF2B5EF4-FFF2-40B4-BE49-F238E27FC236}">
                  <a16:creationId xmlns:a16="http://schemas.microsoft.com/office/drawing/2014/main" id="{00000000-0008-0000-0F00-00000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51</xdr:row>
          <xdr:rowOff>152400</xdr:rowOff>
        </xdr:from>
        <xdr:to>
          <xdr:col>35</xdr:col>
          <xdr:colOff>76200</xdr:colOff>
          <xdr:row>53</xdr:row>
          <xdr:rowOff>9525</xdr:rowOff>
        </xdr:to>
        <xdr:sp macro="" textlink="">
          <xdr:nvSpPr>
            <xdr:cNvPr id="124942" name="Check Box 14" hidden="1">
              <a:extLst>
                <a:ext uri="{63B3BB69-23CF-44E3-9099-C40C66FF867C}">
                  <a14:compatExt spid="_x0000_s124942"/>
                </a:ext>
                <a:ext uri="{FF2B5EF4-FFF2-40B4-BE49-F238E27FC236}">
                  <a16:creationId xmlns:a16="http://schemas.microsoft.com/office/drawing/2014/main" id="{00000000-0008-0000-0F00-00000E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52</xdr:row>
          <xdr:rowOff>152400</xdr:rowOff>
        </xdr:from>
        <xdr:to>
          <xdr:col>35</xdr:col>
          <xdr:colOff>76200</xdr:colOff>
          <xdr:row>54</xdr:row>
          <xdr:rowOff>9525</xdr:rowOff>
        </xdr:to>
        <xdr:sp macro="" textlink="">
          <xdr:nvSpPr>
            <xdr:cNvPr id="124943" name="Check Box 15" hidden="1">
              <a:extLst>
                <a:ext uri="{63B3BB69-23CF-44E3-9099-C40C66FF867C}">
                  <a14:compatExt spid="_x0000_s124943"/>
                </a:ext>
                <a:ext uri="{FF2B5EF4-FFF2-40B4-BE49-F238E27FC236}">
                  <a16:creationId xmlns:a16="http://schemas.microsoft.com/office/drawing/2014/main" id="{00000000-0008-0000-0F00-00000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53</xdr:row>
          <xdr:rowOff>152400</xdr:rowOff>
        </xdr:from>
        <xdr:to>
          <xdr:col>35</xdr:col>
          <xdr:colOff>76200</xdr:colOff>
          <xdr:row>55</xdr:row>
          <xdr:rowOff>9525</xdr:rowOff>
        </xdr:to>
        <xdr:sp macro="" textlink="">
          <xdr:nvSpPr>
            <xdr:cNvPr id="124944" name="Check Box 16" hidden="1">
              <a:extLst>
                <a:ext uri="{63B3BB69-23CF-44E3-9099-C40C66FF867C}">
                  <a14:compatExt spid="_x0000_s124944"/>
                </a:ext>
                <a:ext uri="{FF2B5EF4-FFF2-40B4-BE49-F238E27FC236}">
                  <a16:creationId xmlns:a16="http://schemas.microsoft.com/office/drawing/2014/main" id="{00000000-0008-0000-0F00-000010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56</xdr:row>
          <xdr:rowOff>152400</xdr:rowOff>
        </xdr:from>
        <xdr:to>
          <xdr:col>35</xdr:col>
          <xdr:colOff>76200</xdr:colOff>
          <xdr:row>58</xdr:row>
          <xdr:rowOff>9525</xdr:rowOff>
        </xdr:to>
        <xdr:sp macro="" textlink="">
          <xdr:nvSpPr>
            <xdr:cNvPr id="124945" name="Check Box 17" hidden="1">
              <a:extLst>
                <a:ext uri="{63B3BB69-23CF-44E3-9099-C40C66FF867C}">
                  <a14:compatExt spid="_x0000_s124945"/>
                </a:ext>
                <a:ext uri="{FF2B5EF4-FFF2-40B4-BE49-F238E27FC236}">
                  <a16:creationId xmlns:a16="http://schemas.microsoft.com/office/drawing/2014/main" id="{00000000-0008-0000-0F00-00001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57</xdr:row>
          <xdr:rowOff>152400</xdr:rowOff>
        </xdr:from>
        <xdr:to>
          <xdr:col>35</xdr:col>
          <xdr:colOff>76200</xdr:colOff>
          <xdr:row>59</xdr:row>
          <xdr:rowOff>9525</xdr:rowOff>
        </xdr:to>
        <xdr:sp macro="" textlink="">
          <xdr:nvSpPr>
            <xdr:cNvPr id="124946" name="Check Box 18" hidden="1">
              <a:extLst>
                <a:ext uri="{63B3BB69-23CF-44E3-9099-C40C66FF867C}">
                  <a14:compatExt spid="_x0000_s124946"/>
                </a:ext>
                <a:ext uri="{FF2B5EF4-FFF2-40B4-BE49-F238E27FC236}">
                  <a16:creationId xmlns:a16="http://schemas.microsoft.com/office/drawing/2014/main" id="{00000000-0008-0000-0F00-00001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58</xdr:row>
          <xdr:rowOff>152400</xdr:rowOff>
        </xdr:from>
        <xdr:to>
          <xdr:col>35</xdr:col>
          <xdr:colOff>76200</xdr:colOff>
          <xdr:row>60</xdr:row>
          <xdr:rowOff>9525</xdr:rowOff>
        </xdr:to>
        <xdr:sp macro="" textlink="">
          <xdr:nvSpPr>
            <xdr:cNvPr id="124947" name="Check Box 19" hidden="1">
              <a:extLst>
                <a:ext uri="{63B3BB69-23CF-44E3-9099-C40C66FF867C}">
                  <a14:compatExt spid="_x0000_s124947"/>
                </a:ext>
                <a:ext uri="{FF2B5EF4-FFF2-40B4-BE49-F238E27FC236}">
                  <a16:creationId xmlns:a16="http://schemas.microsoft.com/office/drawing/2014/main" id="{00000000-0008-0000-0F00-00001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59</xdr:row>
          <xdr:rowOff>152400</xdr:rowOff>
        </xdr:from>
        <xdr:to>
          <xdr:col>35</xdr:col>
          <xdr:colOff>76200</xdr:colOff>
          <xdr:row>61</xdr:row>
          <xdr:rowOff>9525</xdr:rowOff>
        </xdr:to>
        <xdr:sp macro="" textlink="">
          <xdr:nvSpPr>
            <xdr:cNvPr id="124948" name="Check Box 20" hidden="1">
              <a:extLst>
                <a:ext uri="{63B3BB69-23CF-44E3-9099-C40C66FF867C}">
                  <a14:compatExt spid="_x0000_s124948"/>
                </a:ext>
                <a:ext uri="{FF2B5EF4-FFF2-40B4-BE49-F238E27FC236}">
                  <a16:creationId xmlns:a16="http://schemas.microsoft.com/office/drawing/2014/main" id="{00000000-0008-0000-0F00-00001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60</xdr:row>
          <xdr:rowOff>152400</xdr:rowOff>
        </xdr:from>
        <xdr:to>
          <xdr:col>35</xdr:col>
          <xdr:colOff>76200</xdr:colOff>
          <xdr:row>62</xdr:row>
          <xdr:rowOff>9525</xdr:rowOff>
        </xdr:to>
        <xdr:sp macro="" textlink="">
          <xdr:nvSpPr>
            <xdr:cNvPr id="124949" name="Check Box 21" hidden="1">
              <a:extLst>
                <a:ext uri="{63B3BB69-23CF-44E3-9099-C40C66FF867C}">
                  <a14:compatExt spid="_x0000_s124949"/>
                </a:ext>
                <a:ext uri="{FF2B5EF4-FFF2-40B4-BE49-F238E27FC236}">
                  <a16:creationId xmlns:a16="http://schemas.microsoft.com/office/drawing/2014/main" id="{00000000-0008-0000-0F00-00001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54</xdr:row>
          <xdr:rowOff>152400</xdr:rowOff>
        </xdr:from>
        <xdr:to>
          <xdr:col>35</xdr:col>
          <xdr:colOff>76200</xdr:colOff>
          <xdr:row>56</xdr:row>
          <xdr:rowOff>9525</xdr:rowOff>
        </xdr:to>
        <xdr:sp macro="" textlink="">
          <xdr:nvSpPr>
            <xdr:cNvPr id="124950" name="Check Box 22" hidden="1">
              <a:extLst>
                <a:ext uri="{63B3BB69-23CF-44E3-9099-C40C66FF867C}">
                  <a14:compatExt spid="_x0000_s124950"/>
                </a:ext>
                <a:ext uri="{FF2B5EF4-FFF2-40B4-BE49-F238E27FC236}">
                  <a16:creationId xmlns:a16="http://schemas.microsoft.com/office/drawing/2014/main" id="{00000000-0008-0000-0F00-00001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104775</xdr:colOff>
          <xdr:row>55</xdr:row>
          <xdr:rowOff>152400</xdr:rowOff>
        </xdr:from>
        <xdr:to>
          <xdr:col>35</xdr:col>
          <xdr:colOff>76200</xdr:colOff>
          <xdr:row>57</xdr:row>
          <xdr:rowOff>9525</xdr:rowOff>
        </xdr:to>
        <xdr:sp macro="" textlink="">
          <xdr:nvSpPr>
            <xdr:cNvPr id="124951" name="Check Box 23" hidden="1">
              <a:extLst>
                <a:ext uri="{63B3BB69-23CF-44E3-9099-C40C66FF867C}">
                  <a14:compatExt spid="_x0000_s124951"/>
                </a:ext>
                <a:ext uri="{FF2B5EF4-FFF2-40B4-BE49-F238E27FC236}">
                  <a16:creationId xmlns:a16="http://schemas.microsoft.com/office/drawing/2014/main" id="{00000000-0008-0000-0F00-00001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95250</xdr:colOff>
      <xdr:row>103</xdr:row>
      <xdr:rowOff>33750</xdr:rowOff>
    </xdr:from>
    <xdr:ext cx="252000" cy="252000"/>
    <xdr:sp macro="[0]!EHAss" textlink="">
      <xdr:nvSpPr>
        <xdr:cNvPr id="35" name="Down Arrow 44">
          <a:extLst>
            <a:ext uri="{FF2B5EF4-FFF2-40B4-BE49-F238E27FC236}">
              <a16:creationId xmlns:a16="http://schemas.microsoft.com/office/drawing/2014/main" id="{00000000-0008-0000-0F00-000023000000}"/>
            </a:ext>
          </a:extLst>
        </xdr:cNvPr>
        <xdr:cNvSpPr>
          <a:spLocks noChangeArrowheads="1"/>
        </xdr:cNvSpPr>
      </xdr:nvSpPr>
      <xdr:spPr bwMode="auto">
        <a:xfrm flipV="1">
          <a:off x="9286875"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99</xdr:row>
      <xdr:rowOff>0</xdr:rowOff>
    </xdr:from>
    <xdr:to>
      <xdr:col>8</xdr:col>
      <xdr:colOff>0</xdr:colOff>
      <xdr:row>102</xdr:row>
      <xdr:rowOff>0</xdr:rowOff>
    </xdr:to>
    <xdr:graphicFrame macro="">
      <xdr:nvGraphicFramePr>
        <xdr:cNvPr id="36" name="Chart 13">
          <a:extLst>
            <a:ext uri="{FF2B5EF4-FFF2-40B4-BE49-F238E27FC236}">
              <a16:creationId xmlns:a16="http://schemas.microsoft.com/office/drawing/2014/main" id="{00000000-0008-0000-0F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38</xdr:row>
      <xdr:rowOff>0</xdr:rowOff>
    </xdr:from>
    <xdr:to>
      <xdr:col>11</xdr:col>
      <xdr:colOff>0</xdr:colOff>
      <xdr:row>67</xdr:row>
      <xdr:rowOff>0</xdr:rowOff>
    </xdr:to>
    <xdr:graphicFrame macro="">
      <xdr:nvGraphicFramePr>
        <xdr:cNvPr id="41" name="Chart 13">
          <a:extLst>
            <a:ext uri="{FF2B5EF4-FFF2-40B4-BE49-F238E27FC236}">
              <a16:creationId xmlns:a16="http://schemas.microsoft.com/office/drawing/2014/main" id="{00000000-0008-0000-0F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71</xdr:row>
      <xdr:rowOff>0</xdr:rowOff>
    </xdr:from>
    <xdr:to>
      <xdr:col>20</xdr:col>
      <xdr:colOff>0</xdr:colOff>
      <xdr:row>102</xdr:row>
      <xdr:rowOff>0</xdr:rowOff>
    </xdr:to>
    <xdr:graphicFrame macro="">
      <xdr:nvGraphicFramePr>
        <xdr:cNvPr id="46" name="Chart 13">
          <a:extLst>
            <a:ext uri="{FF2B5EF4-FFF2-40B4-BE49-F238E27FC236}">
              <a16:creationId xmlns:a16="http://schemas.microsoft.com/office/drawing/2014/main" id="{00000000-0008-0000-0F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21</xdr:col>
      <xdr:colOff>57150</xdr:colOff>
      <xdr:row>0</xdr:row>
      <xdr:rowOff>193416</xdr:rowOff>
    </xdr:from>
    <xdr:to>
      <xdr:col>21</xdr:col>
      <xdr:colOff>381000</xdr:colOff>
      <xdr:row>2</xdr:row>
      <xdr:rowOff>47625</xdr:rowOff>
    </xdr:to>
    <xdr:pic macro="[0]!Home">
      <xdr:nvPicPr>
        <xdr:cNvPr id="48" name="Picture 47">
          <a:extLst>
            <a:ext uri="{FF2B5EF4-FFF2-40B4-BE49-F238E27FC236}">
              <a16:creationId xmlns:a16="http://schemas.microsoft.com/office/drawing/2014/main" id="{00000000-0008-0000-0F00-00003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2385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EHRef" textlink="">
      <xdr:nvSpPr>
        <xdr:cNvPr id="42" name="Right Arrow 50">
          <a:extLst>
            <a:ext uri="{FF2B5EF4-FFF2-40B4-BE49-F238E27FC236}">
              <a16:creationId xmlns:a16="http://schemas.microsoft.com/office/drawing/2014/main" id="{00000000-0008-0000-0F00-00002A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18075</xdr:rowOff>
    </xdr:from>
    <xdr:to>
      <xdr:col>21</xdr:col>
      <xdr:colOff>381000</xdr:colOff>
      <xdr:row>6</xdr:row>
      <xdr:rowOff>123825</xdr:rowOff>
    </xdr:to>
    <xdr:sp macro="[0]!EHCli" textlink="">
      <xdr:nvSpPr>
        <xdr:cNvPr id="43" name="Right Arrow 50">
          <a:extLst>
            <a:ext uri="{FF2B5EF4-FFF2-40B4-BE49-F238E27FC236}">
              <a16:creationId xmlns:a16="http://schemas.microsoft.com/office/drawing/2014/main" id="{00000000-0008-0000-0F00-00002B000000}"/>
            </a:ext>
          </a:extLst>
        </xdr:cNvPr>
        <xdr:cNvSpPr>
          <a:spLocks noChangeArrowheads="1"/>
        </xdr:cNvSpPr>
      </xdr:nvSpPr>
      <xdr:spPr bwMode="auto">
        <a:xfrm rot="10800000" flipH="1">
          <a:off x="9324975"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28575</xdr:colOff>
      <xdr:row>62</xdr:row>
      <xdr:rowOff>76200</xdr:rowOff>
    </xdr:from>
    <xdr:to>
      <xdr:col>11</xdr:col>
      <xdr:colOff>400050</xdr:colOff>
      <xdr:row>62</xdr:row>
      <xdr:rowOff>76200</xdr:rowOff>
    </xdr:to>
    <xdr:sp macro="" textlink="">
      <xdr:nvSpPr>
        <xdr:cNvPr id="47" name="Line 283">
          <a:extLst>
            <a:ext uri="{FF2B5EF4-FFF2-40B4-BE49-F238E27FC236}">
              <a16:creationId xmlns:a16="http://schemas.microsoft.com/office/drawing/2014/main" id="{00000000-0008-0000-0F00-00002F000000}"/>
            </a:ext>
          </a:extLst>
        </xdr:cNvPr>
        <xdr:cNvSpPr>
          <a:spLocks noChangeShapeType="1"/>
        </xdr:cNvSpPr>
      </xdr:nvSpPr>
      <xdr:spPr bwMode="auto">
        <a:xfrm>
          <a:off x="4905375" y="11115675"/>
          <a:ext cx="371475"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180975</xdr:colOff>
      <xdr:row>63</xdr:row>
      <xdr:rowOff>38100</xdr:rowOff>
    </xdr:from>
    <xdr:to>
      <xdr:col>11</xdr:col>
      <xdr:colOff>257175</xdr:colOff>
      <xdr:row>63</xdr:row>
      <xdr:rowOff>114300</xdr:rowOff>
    </xdr:to>
    <xdr:sp macro="" textlink="">
      <xdr:nvSpPr>
        <xdr:cNvPr id="49" name="Oval 2165">
          <a:extLst>
            <a:ext uri="{FF2B5EF4-FFF2-40B4-BE49-F238E27FC236}">
              <a16:creationId xmlns:a16="http://schemas.microsoft.com/office/drawing/2014/main" id="{00000000-0008-0000-0F00-000031000000}"/>
            </a:ext>
          </a:extLst>
        </xdr:cNvPr>
        <xdr:cNvSpPr>
          <a:spLocks noChangeArrowheads="1"/>
        </xdr:cNvSpPr>
      </xdr:nvSpPr>
      <xdr:spPr bwMode="auto">
        <a:xfrm>
          <a:off x="5057775" y="1122997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0</xdr:colOff>
      <xdr:row>38</xdr:row>
      <xdr:rowOff>0</xdr:rowOff>
    </xdr:from>
    <xdr:to>
      <xdr:col>20</xdr:col>
      <xdr:colOff>0</xdr:colOff>
      <xdr:row>62</xdr:row>
      <xdr:rowOff>1</xdr:rowOff>
    </xdr:to>
    <xdr:graphicFrame macro="">
      <xdr:nvGraphicFramePr>
        <xdr:cNvPr id="50" name="Chart 176">
          <a:extLst>
            <a:ext uri="{FF2B5EF4-FFF2-40B4-BE49-F238E27FC236}">
              <a16:creationId xmlns:a16="http://schemas.microsoft.com/office/drawing/2014/main" id="{00000000-0008-0000-0F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hildren's%20Social%20Care\2.%20LA%20Benchmarking\2.%20Children's%20Social%20Care\Benchmarking%20Reports%20(working%20files)\Quarterly%20Reports\2017-18%20Q1\(Restricted)%20Quarterly%20Benchmarking%20Report%202017-18%20Q1%20S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hildren's%20Social%20Care/2.%20LA%20Benchmarking/3.%20SEND/Report%20Working/2019%2010-%20SEN2/2019-10%20SEND%20Benchmarking%20Repor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Children's%20Social%20Care\2.%20LA%20Benchmarking\2.%20Children's%20Social%20Care\Benchmarking%20Reports%20(working%20files)\Quarterly%20Reports\2017-18%20Q1\(Restricted)%20Quarterly%20Benchmarking%20Report%202017-18%20Q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page"/>
      <sheetName val="Home"/>
      <sheetName val="Coverage"/>
      <sheetName val="IDACI"/>
      <sheetName val="Population"/>
      <sheetName val="EH_Referrals"/>
      <sheetName val="EH_Assessments"/>
      <sheetName val="EH_Clients"/>
      <sheetName val="Sheet1"/>
      <sheetName val="Referrals"/>
      <sheetName val="Referral_Source"/>
      <sheetName val="Re-referrals"/>
      <sheetName val="Assessments"/>
      <sheetName val="Children in Need"/>
      <sheetName val="Section 47 Enquiries"/>
      <sheetName val="Initial CP Conferences"/>
      <sheetName val="Child Protection Plans"/>
      <sheetName val="Court Applications"/>
      <sheetName val="Looked After Children"/>
      <sheetName val="Adoption"/>
      <sheetName val="ROSGO"/>
    </sheetNames>
    <sheetDataSet>
      <sheetData sheetId="0"/>
      <sheetData sheetId="1">
        <row r="15">
          <cell r="J15" t="str">
            <v>Bracknell Forest</v>
          </cell>
        </row>
        <row r="16">
          <cell r="J16" t="str">
            <v>Brighton &amp; Hove</v>
          </cell>
        </row>
        <row r="17">
          <cell r="J17" t="str">
            <v>Buckinghamshire</v>
          </cell>
        </row>
        <row r="18">
          <cell r="J18" t="str">
            <v>East Sussex</v>
          </cell>
        </row>
        <row r="19">
          <cell r="J19" t="str">
            <v>Hampshire</v>
          </cell>
        </row>
        <row r="20">
          <cell r="J20" t="str">
            <v>Isle of Wight</v>
          </cell>
        </row>
        <row r="21">
          <cell r="J21" t="str">
            <v>Kent</v>
          </cell>
        </row>
        <row r="22">
          <cell r="J22" t="str">
            <v>Medway</v>
          </cell>
        </row>
        <row r="23">
          <cell r="J23" t="str">
            <v>Milton Keynes</v>
          </cell>
        </row>
        <row r="24">
          <cell r="J24" t="str">
            <v>Oxfordshire</v>
          </cell>
        </row>
        <row r="25">
          <cell r="J25" t="str">
            <v>Portsmouth</v>
          </cell>
        </row>
        <row r="26">
          <cell r="J26" t="str">
            <v>Reading</v>
          </cell>
        </row>
        <row r="27">
          <cell r="J27" t="str">
            <v>Slough</v>
          </cell>
        </row>
        <row r="28">
          <cell r="J28" t="str">
            <v>Somerset</v>
          </cell>
        </row>
        <row r="29">
          <cell r="J29" t="str">
            <v>Southampton</v>
          </cell>
        </row>
        <row r="30">
          <cell r="J30" t="str">
            <v>Surrey</v>
          </cell>
        </row>
        <row r="31">
          <cell r="J31" t="str">
            <v>Swindon</v>
          </cell>
        </row>
        <row r="32">
          <cell r="J32" t="str">
            <v>Torbay</v>
          </cell>
        </row>
        <row r="33">
          <cell r="J33" t="str">
            <v>West Berkshire</v>
          </cell>
        </row>
        <row r="34">
          <cell r="J34" t="str">
            <v>West Sussex</v>
          </cell>
        </row>
        <row r="35">
          <cell r="J35" t="str">
            <v>Windsor &amp; Maidenhead</v>
          </cell>
        </row>
        <row r="36">
          <cell r="J36" t="str">
            <v>Wokingham</v>
          </cell>
        </row>
        <row r="37">
          <cell r="J37" t="str">
            <v>(None)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Year4"/>
      <sheetName val="Year5"/>
      <sheetName val="SESLIPWarn"/>
      <sheetName val="Frontpage"/>
      <sheetName val="Home"/>
      <sheetName val="MaintainedPlans"/>
      <sheetName val="PersonalBudgets"/>
      <sheetName val="HNB"/>
      <sheetName val="PrimaryNeed"/>
      <sheetName val="GenderRate"/>
      <sheetName val="GenderVsPrimaryNeed"/>
      <sheetName val="Ethnicity"/>
      <sheetName val="EthVsPrimaryNeed"/>
      <sheetName val="AgeRate"/>
      <sheetName val="AgeVsPrimaryNeed"/>
      <sheetName val="SocialCare"/>
      <sheetName val="SocialCareVsPrimaryNeed"/>
      <sheetName val="Placement"/>
      <sheetName val="EducatedOutOfYear"/>
      <sheetName val="AllRequests"/>
      <sheetName val="RepeatRequests6m"/>
      <sheetName val="RequestSource"/>
      <sheetName val="NewPlans"/>
      <sheetName val="ActivitySummary"/>
      <sheetName val="Appendix"/>
      <sheetName val="2019-10 SEND Benchmarking Repor"/>
    </sheetNames>
    <sheetDataSet>
      <sheetData sheetId="0" refreshError="1"/>
      <sheetData sheetId="1">
        <row r="2">
          <cell r="F2">
            <v>775</v>
          </cell>
          <cell r="G2">
            <v>1486</v>
          </cell>
          <cell r="H2">
            <v>4054</v>
          </cell>
          <cell r="I2">
            <v>3434</v>
          </cell>
          <cell r="J2">
            <v>8271</v>
          </cell>
          <cell r="K2">
            <v>1056</v>
          </cell>
          <cell r="L2">
            <v>11763</v>
          </cell>
          <cell r="M2">
            <v>2126</v>
          </cell>
          <cell r="N2">
            <v>1807</v>
          </cell>
          <cell r="O2">
            <v>3554</v>
          </cell>
          <cell r="P2">
            <v>1513</v>
          </cell>
          <cell r="Q2">
            <v>1282</v>
          </cell>
          <cell r="R2">
            <v>1350</v>
          </cell>
          <cell r="S2">
            <v>1522</v>
          </cell>
          <cell r="T2">
            <v>8732</v>
          </cell>
          <cell r="U2">
            <v>971</v>
          </cell>
          <cell r="V2">
            <v>5297</v>
          </cell>
          <cell r="W2">
            <v>933</v>
          </cell>
          <cell r="X2">
            <v>934</v>
          </cell>
          <cell r="Y2">
            <v>60860</v>
          </cell>
          <cell r="Z2">
            <v>353995</v>
          </cell>
        </row>
        <row r="3">
          <cell r="F3">
            <v>0</v>
          </cell>
          <cell r="H3">
            <v>0</v>
          </cell>
          <cell r="I3">
            <v>0</v>
          </cell>
          <cell r="J3">
            <v>1</v>
          </cell>
          <cell r="K3">
            <v>0</v>
          </cell>
          <cell r="L3">
            <v>0</v>
          </cell>
          <cell r="M3">
            <v>0</v>
          </cell>
          <cell r="N3">
            <v>0</v>
          </cell>
          <cell r="P3">
            <v>0</v>
          </cell>
          <cell r="Q3">
            <v>0</v>
          </cell>
          <cell r="T3">
            <v>1</v>
          </cell>
          <cell r="U3">
            <v>0</v>
          </cell>
          <cell r="X3">
            <v>0</v>
          </cell>
          <cell r="Y3">
            <v>2</v>
          </cell>
        </row>
        <row r="4">
          <cell r="H4">
            <v>1787</v>
          </cell>
          <cell r="I4">
            <v>1455</v>
          </cell>
          <cell r="J4">
            <v>3758</v>
          </cell>
          <cell r="K4">
            <v>610</v>
          </cell>
          <cell r="L4">
            <v>11763</v>
          </cell>
          <cell r="M4">
            <v>2126</v>
          </cell>
          <cell r="N4">
            <v>735</v>
          </cell>
          <cell r="P4">
            <v>813</v>
          </cell>
          <cell r="Q4">
            <v>623</v>
          </cell>
          <cell r="T4">
            <v>3998</v>
          </cell>
          <cell r="U4">
            <v>424</v>
          </cell>
          <cell r="Y4">
            <v>28092</v>
          </cell>
        </row>
        <row r="5">
          <cell r="H5">
            <v>2267</v>
          </cell>
          <cell r="I5">
            <v>1979</v>
          </cell>
          <cell r="J5">
            <v>4512</v>
          </cell>
          <cell r="K5">
            <v>446</v>
          </cell>
          <cell r="L5">
            <v>0</v>
          </cell>
          <cell r="N5">
            <v>1075</v>
          </cell>
          <cell r="P5">
            <v>700</v>
          </cell>
          <cell r="Q5">
            <v>659</v>
          </cell>
          <cell r="T5">
            <v>4733</v>
          </cell>
          <cell r="U5">
            <v>544</v>
          </cell>
          <cell r="Y5">
            <v>16915</v>
          </cell>
        </row>
        <row r="6">
          <cell r="F6">
            <v>21</v>
          </cell>
          <cell r="G6">
            <v>6</v>
          </cell>
          <cell r="H6">
            <v>15</v>
          </cell>
          <cell r="I6">
            <v>160</v>
          </cell>
          <cell r="J6">
            <v>31</v>
          </cell>
          <cell r="K6">
            <v>25</v>
          </cell>
          <cell r="L6">
            <v>16</v>
          </cell>
          <cell r="M6">
            <v>136</v>
          </cell>
          <cell r="N6">
            <v>158</v>
          </cell>
          <cell r="O6">
            <v>235</v>
          </cell>
          <cell r="P6">
            <v>102</v>
          </cell>
          <cell r="Q6">
            <v>0</v>
          </cell>
          <cell r="R6">
            <v>6</v>
          </cell>
          <cell r="S6">
            <v>99</v>
          </cell>
          <cell r="T6">
            <v>29</v>
          </cell>
          <cell r="U6">
            <v>75</v>
          </cell>
          <cell r="V6">
            <v>15</v>
          </cell>
          <cell r="W6">
            <v>69</v>
          </cell>
          <cell r="X6">
            <v>77</v>
          </cell>
          <cell r="Y6">
            <v>1275</v>
          </cell>
          <cell r="Z6">
            <v>15712</v>
          </cell>
        </row>
        <row r="7">
          <cell r="H7">
            <v>3724</v>
          </cell>
          <cell r="I7">
            <v>2979</v>
          </cell>
          <cell r="J7">
            <v>8271</v>
          </cell>
          <cell r="K7">
            <v>1056</v>
          </cell>
          <cell r="M7">
            <v>1438</v>
          </cell>
          <cell r="N7">
            <v>1810</v>
          </cell>
          <cell r="Q7">
            <v>1066</v>
          </cell>
          <cell r="T7">
            <v>5009</v>
          </cell>
          <cell r="U7">
            <v>968</v>
          </cell>
          <cell r="Y7">
            <v>26321</v>
          </cell>
        </row>
        <row r="8">
          <cell r="F8">
            <v>128</v>
          </cell>
          <cell r="H8">
            <v>559</v>
          </cell>
          <cell r="I8">
            <v>605</v>
          </cell>
          <cell r="J8">
            <v>1672</v>
          </cell>
          <cell r="K8">
            <v>97</v>
          </cell>
          <cell r="L8">
            <v>2091</v>
          </cell>
          <cell r="M8">
            <v>318</v>
          </cell>
          <cell r="N8">
            <v>246</v>
          </cell>
          <cell r="P8">
            <v>322</v>
          </cell>
          <cell r="Q8">
            <v>242</v>
          </cell>
          <cell r="T8">
            <v>1248</v>
          </cell>
          <cell r="U8">
            <v>125</v>
          </cell>
          <cell r="X8">
            <v>170</v>
          </cell>
          <cell r="Y8">
            <v>7823</v>
          </cell>
        </row>
        <row r="9">
          <cell r="F9">
            <v>285</v>
          </cell>
          <cell r="H9">
            <v>1142</v>
          </cell>
          <cell r="I9">
            <v>967</v>
          </cell>
          <cell r="J9">
            <v>1197</v>
          </cell>
          <cell r="K9">
            <v>121</v>
          </cell>
          <cell r="L9">
            <v>4741</v>
          </cell>
          <cell r="M9">
            <v>646</v>
          </cell>
          <cell r="N9">
            <v>634</v>
          </cell>
          <cell r="P9">
            <v>284</v>
          </cell>
          <cell r="Q9">
            <v>445</v>
          </cell>
          <cell r="T9">
            <v>2964</v>
          </cell>
          <cell r="U9">
            <v>438</v>
          </cell>
          <cell r="X9">
            <v>374</v>
          </cell>
          <cell r="Y9">
            <v>14238</v>
          </cell>
        </row>
        <row r="10">
          <cell r="F10">
            <v>90</v>
          </cell>
          <cell r="H10">
            <v>859</v>
          </cell>
          <cell r="I10">
            <v>682</v>
          </cell>
          <cell r="J10">
            <v>1257</v>
          </cell>
          <cell r="K10">
            <v>228</v>
          </cell>
          <cell r="L10">
            <v>1809</v>
          </cell>
          <cell r="M10">
            <v>240</v>
          </cell>
          <cell r="N10">
            <v>233</v>
          </cell>
          <cell r="P10">
            <v>364</v>
          </cell>
          <cell r="Q10">
            <v>161</v>
          </cell>
          <cell r="T10">
            <v>1592</v>
          </cell>
          <cell r="U10">
            <v>55</v>
          </cell>
          <cell r="X10">
            <v>69</v>
          </cell>
          <cell r="Y10">
            <v>7639</v>
          </cell>
        </row>
        <row r="11">
          <cell r="F11">
            <v>20</v>
          </cell>
          <cell r="H11">
            <v>134</v>
          </cell>
          <cell r="I11">
            <v>172</v>
          </cell>
          <cell r="J11">
            <v>209</v>
          </cell>
          <cell r="K11">
            <v>11</v>
          </cell>
          <cell r="L11">
            <v>194</v>
          </cell>
          <cell r="M11">
            <v>80</v>
          </cell>
          <cell r="N11">
            <v>12</v>
          </cell>
          <cell r="P11">
            <v>52</v>
          </cell>
          <cell r="Q11">
            <v>11</v>
          </cell>
          <cell r="T11">
            <v>349</v>
          </cell>
          <cell r="U11">
            <v>38</v>
          </cell>
          <cell r="X11">
            <v>21</v>
          </cell>
          <cell r="Y11">
            <v>1303</v>
          </cell>
        </row>
        <row r="12">
          <cell r="F12">
            <v>133</v>
          </cell>
          <cell r="H12">
            <v>701</v>
          </cell>
          <cell r="I12">
            <v>473</v>
          </cell>
          <cell r="J12">
            <v>2334</v>
          </cell>
          <cell r="K12">
            <v>88</v>
          </cell>
          <cell r="L12">
            <v>823</v>
          </cell>
          <cell r="M12">
            <v>421</v>
          </cell>
          <cell r="N12">
            <v>349</v>
          </cell>
          <cell r="P12">
            <v>244</v>
          </cell>
          <cell r="Q12">
            <v>190</v>
          </cell>
          <cell r="T12">
            <v>1305</v>
          </cell>
          <cell r="U12">
            <v>147</v>
          </cell>
          <cell r="X12">
            <v>91</v>
          </cell>
          <cell r="Y12">
            <v>7299</v>
          </cell>
        </row>
        <row r="13">
          <cell r="F13">
            <v>46</v>
          </cell>
          <cell r="H13">
            <v>153</v>
          </cell>
          <cell r="I13">
            <v>142</v>
          </cell>
          <cell r="J13">
            <v>597</v>
          </cell>
          <cell r="K13">
            <v>24</v>
          </cell>
          <cell r="L13">
            <v>889</v>
          </cell>
          <cell r="M13">
            <v>161</v>
          </cell>
          <cell r="N13">
            <v>76</v>
          </cell>
          <cell r="P13">
            <v>71</v>
          </cell>
          <cell r="Q13">
            <v>44</v>
          </cell>
          <cell r="T13">
            <v>461</v>
          </cell>
          <cell r="U13">
            <v>17</v>
          </cell>
          <cell r="X13">
            <v>89</v>
          </cell>
          <cell r="Y13">
            <v>2770</v>
          </cell>
        </row>
        <row r="14">
          <cell r="F14">
            <v>9</v>
          </cell>
          <cell r="H14">
            <v>51</v>
          </cell>
          <cell r="I14">
            <v>89</v>
          </cell>
          <cell r="J14">
            <v>130</v>
          </cell>
          <cell r="K14">
            <v>7</v>
          </cell>
          <cell r="L14">
            <v>359</v>
          </cell>
          <cell r="M14">
            <v>15</v>
          </cell>
          <cell r="N14">
            <v>28</v>
          </cell>
          <cell r="P14">
            <v>32</v>
          </cell>
          <cell r="Q14">
            <v>59</v>
          </cell>
          <cell r="T14">
            <v>101</v>
          </cell>
          <cell r="U14">
            <v>19</v>
          </cell>
          <cell r="X14">
            <v>35</v>
          </cell>
          <cell r="Y14">
            <v>934</v>
          </cell>
        </row>
        <row r="15">
          <cell r="F15">
            <v>43</v>
          </cell>
          <cell r="H15">
            <v>274</v>
          </cell>
          <cell r="I15">
            <v>213</v>
          </cell>
          <cell r="J15">
            <v>493</v>
          </cell>
          <cell r="K15">
            <v>23</v>
          </cell>
          <cell r="L15">
            <v>559</v>
          </cell>
          <cell r="M15">
            <v>76</v>
          </cell>
          <cell r="N15">
            <v>104</v>
          </cell>
          <cell r="P15">
            <v>78</v>
          </cell>
          <cell r="Q15">
            <v>66</v>
          </cell>
          <cell r="T15">
            <v>319</v>
          </cell>
          <cell r="U15">
            <v>78</v>
          </cell>
          <cell r="X15">
            <v>54</v>
          </cell>
          <cell r="Y15">
            <v>2380</v>
          </cell>
        </row>
        <row r="16">
          <cell r="F16">
            <v>9</v>
          </cell>
          <cell r="H16">
            <v>93</v>
          </cell>
          <cell r="I16">
            <v>58</v>
          </cell>
          <cell r="J16">
            <v>155</v>
          </cell>
          <cell r="K16">
            <v>15</v>
          </cell>
          <cell r="L16">
            <v>182</v>
          </cell>
          <cell r="M16">
            <v>48</v>
          </cell>
          <cell r="N16">
            <v>53</v>
          </cell>
          <cell r="P16">
            <v>24</v>
          </cell>
          <cell r="Q16">
            <v>33</v>
          </cell>
          <cell r="T16">
            <v>135</v>
          </cell>
          <cell r="U16">
            <v>41</v>
          </cell>
          <cell r="X16">
            <v>26</v>
          </cell>
          <cell r="Y16">
            <v>872</v>
          </cell>
        </row>
        <row r="17">
          <cell r="F17">
            <v>8</v>
          </cell>
          <cell r="H17">
            <v>65</v>
          </cell>
          <cell r="I17">
            <v>27</v>
          </cell>
          <cell r="J17">
            <v>130</v>
          </cell>
          <cell r="K17">
            <v>21</v>
          </cell>
          <cell r="L17">
            <v>97</v>
          </cell>
          <cell r="M17">
            <v>26</v>
          </cell>
          <cell r="N17">
            <v>28</v>
          </cell>
          <cell r="P17">
            <v>41</v>
          </cell>
          <cell r="Q17">
            <v>31</v>
          </cell>
          <cell r="T17">
            <v>92</v>
          </cell>
          <cell r="U17">
            <v>9</v>
          </cell>
          <cell r="X17">
            <v>3</v>
          </cell>
          <cell r="Y17">
            <v>578</v>
          </cell>
        </row>
        <row r="18">
          <cell r="F18">
            <v>2</v>
          </cell>
          <cell r="H18">
            <v>20</v>
          </cell>
          <cell r="I18">
            <v>6</v>
          </cell>
          <cell r="J18">
            <v>2</v>
          </cell>
          <cell r="L18">
            <v>6</v>
          </cell>
          <cell r="M18">
            <v>3</v>
          </cell>
          <cell r="N18">
            <v>8</v>
          </cell>
          <cell r="P18">
            <v>1</v>
          </cell>
          <cell r="Q18">
            <v>0</v>
          </cell>
          <cell r="T18">
            <v>31</v>
          </cell>
          <cell r="U18">
            <v>1</v>
          </cell>
          <cell r="X18">
            <v>2</v>
          </cell>
          <cell r="Y18">
            <v>82</v>
          </cell>
        </row>
        <row r="19">
          <cell r="F19">
            <v>0</v>
          </cell>
          <cell r="H19">
            <v>1</v>
          </cell>
          <cell r="I19">
            <v>0</v>
          </cell>
          <cell r="J19">
            <v>0</v>
          </cell>
          <cell r="K19">
            <v>0</v>
          </cell>
          <cell r="L19">
            <v>11</v>
          </cell>
          <cell r="M19">
            <v>22</v>
          </cell>
          <cell r="N19">
            <v>33</v>
          </cell>
          <cell r="P19">
            <v>0</v>
          </cell>
          <cell r="Q19">
            <v>0</v>
          </cell>
          <cell r="T19">
            <v>135</v>
          </cell>
          <cell r="Y19">
            <v>202</v>
          </cell>
        </row>
        <row r="20">
          <cell r="F20">
            <v>209</v>
          </cell>
          <cell r="H20">
            <v>1146</v>
          </cell>
          <cell r="I20">
            <v>914</v>
          </cell>
          <cell r="J20">
            <v>2225</v>
          </cell>
          <cell r="K20">
            <v>284</v>
          </cell>
          <cell r="L20">
            <v>3056</v>
          </cell>
          <cell r="M20">
            <v>620</v>
          </cell>
          <cell r="N20">
            <v>454</v>
          </cell>
          <cell r="P20">
            <v>396</v>
          </cell>
          <cell r="Q20">
            <v>349</v>
          </cell>
          <cell r="T20">
            <v>2326</v>
          </cell>
          <cell r="U20">
            <v>243</v>
          </cell>
          <cell r="X20">
            <v>258</v>
          </cell>
          <cell r="Y20">
            <v>12480</v>
          </cell>
        </row>
        <row r="21">
          <cell r="F21">
            <v>566</v>
          </cell>
          <cell r="H21">
            <v>2908</v>
          </cell>
          <cell r="I21">
            <v>2520</v>
          </cell>
          <cell r="J21">
            <v>6045</v>
          </cell>
          <cell r="K21">
            <v>772</v>
          </cell>
          <cell r="L21">
            <v>8705</v>
          </cell>
          <cell r="M21">
            <v>1506</v>
          </cell>
          <cell r="N21">
            <v>1356</v>
          </cell>
          <cell r="P21">
            <v>1117</v>
          </cell>
          <cell r="Q21">
            <v>933</v>
          </cell>
          <cell r="T21">
            <v>6406</v>
          </cell>
          <cell r="U21">
            <v>725</v>
          </cell>
          <cell r="X21">
            <v>676</v>
          </cell>
          <cell r="Y21">
            <v>34235</v>
          </cell>
        </row>
        <row r="22">
          <cell r="F22">
            <v>0</v>
          </cell>
          <cell r="H22">
            <v>0</v>
          </cell>
          <cell r="I22">
            <v>0</v>
          </cell>
          <cell r="J22">
            <v>1</v>
          </cell>
          <cell r="N22">
            <v>0</v>
          </cell>
          <cell r="P22">
            <v>0</v>
          </cell>
          <cell r="Q22">
            <v>0</v>
          </cell>
          <cell r="T22">
            <v>0</v>
          </cell>
          <cell r="Y22">
            <v>1</v>
          </cell>
        </row>
        <row r="23">
          <cell r="F23">
            <v>19</v>
          </cell>
          <cell r="H23">
            <v>108</v>
          </cell>
          <cell r="I23">
            <v>103</v>
          </cell>
          <cell r="J23">
            <v>282</v>
          </cell>
          <cell r="K23">
            <v>14</v>
          </cell>
          <cell r="L23">
            <v>412</v>
          </cell>
          <cell r="M23">
            <v>76</v>
          </cell>
          <cell r="N23">
            <v>46</v>
          </cell>
          <cell r="P23">
            <v>59</v>
          </cell>
          <cell r="Q23">
            <v>49</v>
          </cell>
          <cell r="T23">
            <v>268</v>
          </cell>
          <cell r="U23">
            <v>20</v>
          </cell>
          <cell r="X23">
            <v>32</v>
          </cell>
          <cell r="Y23">
            <v>1488</v>
          </cell>
        </row>
        <row r="24">
          <cell r="F24">
            <v>48</v>
          </cell>
          <cell r="H24">
            <v>201</v>
          </cell>
          <cell r="I24">
            <v>144</v>
          </cell>
          <cell r="J24">
            <v>186</v>
          </cell>
          <cell r="K24">
            <v>26</v>
          </cell>
          <cell r="L24">
            <v>879</v>
          </cell>
          <cell r="M24">
            <v>131</v>
          </cell>
          <cell r="N24">
            <v>92</v>
          </cell>
          <cell r="P24">
            <v>36</v>
          </cell>
          <cell r="Q24">
            <v>89</v>
          </cell>
          <cell r="T24">
            <v>512</v>
          </cell>
          <cell r="U24">
            <v>55</v>
          </cell>
          <cell r="X24">
            <v>63</v>
          </cell>
          <cell r="Y24">
            <v>2462</v>
          </cell>
        </row>
        <row r="25">
          <cell r="F25">
            <v>29</v>
          </cell>
          <cell r="H25">
            <v>253</v>
          </cell>
          <cell r="I25">
            <v>192</v>
          </cell>
          <cell r="J25">
            <v>303</v>
          </cell>
          <cell r="K25">
            <v>53</v>
          </cell>
          <cell r="L25">
            <v>523</v>
          </cell>
          <cell r="M25">
            <v>60</v>
          </cell>
          <cell r="N25">
            <v>60</v>
          </cell>
          <cell r="P25">
            <v>91</v>
          </cell>
          <cell r="Q25">
            <v>40</v>
          </cell>
          <cell r="T25">
            <v>449</v>
          </cell>
          <cell r="U25">
            <v>14</v>
          </cell>
          <cell r="X25">
            <v>18</v>
          </cell>
          <cell r="Y25">
            <v>2085</v>
          </cell>
        </row>
        <row r="26">
          <cell r="F26">
            <v>6</v>
          </cell>
          <cell r="H26">
            <v>32</v>
          </cell>
          <cell r="I26">
            <v>48</v>
          </cell>
          <cell r="J26">
            <v>45</v>
          </cell>
          <cell r="K26">
            <v>4</v>
          </cell>
          <cell r="L26">
            <v>47</v>
          </cell>
          <cell r="M26">
            <v>29</v>
          </cell>
          <cell r="N26">
            <v>3</v>
          </cell>
          <cell r="P26">
            <v>13</v>
          </cell>
          <cell r="Q26">
            <v>3</v>
          </cell>
          <cell r="T26">
            <v>81</v>
          </cell>
          <cell r="U26">
            <v>12</v>
          </cell>
          <cell r="X26">
            <v>6</v>
          </cell>
          <cell r="Y26">
            <v>329</v>
          </cell>
        </row>
        <row r="27">
          <cell r="F27">
            <v>61</v>
          </cell>
          <cell r="H27">
            <v>283</v>
          </cell>
          <cell r="I27">
            <v>198</v>
          </cell>
          <cell r="J27">
            <v>796</v>
          </cell>
          <cell r="K27">
            <v>32</v>
          </cell>
          <cell r="L27">
            <v>318</v>
          </cell>
          <cell r="M27">
            <v>170</v>
          </cell>
          <cell r="N27">
            <v>123</v>
          </cell>
          <cell r="P27">
            <v>97</v>
          </cell>
          <cell r="Q27">
            <v>71</v>
          </cell>
          <cell r="T27">
            <v>500</v>
          </cell>
          <cell r="U27">
            <v>59</v>
          </cell>
          <cell r="X27">
            <v>38</v>
          </cell>
          <cell r="Y27">
            <v>2746</v>
          </cell>
        </row>
        <row r="28">
          <cell r="F28">
            <v>23</v>
          </cell>
          <cell r="H28">
            <v>68</v>
          </cell>
          <cell r="I28">
            <v>65</v>
          </cell>
          <cell r="J28">
            <v>197</v>
          </cell>
          <cell r="K28">
            <v>11</v>
          </cell>
          <cell r="L28">
            <v>380</v>
          </cell>
          <cell r="M28">
            <v>52</v>
          </cell>
          <cell r="N28">
            <v>25</v>
          </cell>
          <cell r="P28">
            <v>30</v>
          </cell>
          <cell r="Q28">
            <v>21</v>
          </cell>
          <cell r="T28">
            <v>181</v>
          </cell>
          <cell r="U28">
            <v>8</v>
          </cell>
          <cell r="X28">
            <v>37</v>
          </cell>
          <cell r="Y28">
            <v>1098</v>
          </cell>
        </row>
        <row r="29">
          <cell r="F29">
            <v>5</v>
          </cell>
          <cell r="H29">
            <v>22</v>
          </cell>
          <cell r="I29">
            <v>46</v>
          </cell>
          <cell r="J29">
            <v>65</v>
          </cell>
          <cell r="K29">
            <v>4</v>
          </cell>
          <cell r="L29">
            <v>153</v>
          </cell>
          <cell r="M29">
            <v>7</v>
          </cell>
          <cell r="N29">
            <v>11</v>
          </cell>
          <cell r="P29">
            <v>14</v>
          </cell>
          <cell r="Q29">
            <v>27</v>
          </cell>
          <cell r="T29">
            <v>44</v>
          </cell>
          <cell r="U29">
            <v>11</v>
          </cell>
          <cell r="X29">
            <v>22</v>
          </cell>
          <cell r="Y29">
            <v>431</v>
          </cell>
        </row>
        <row r="30">
          <cell r="F30">
            <v>10</v>
          </cell>
          <cell r="H30">
            <v>116</v>
          </cell>
          <cell r="I30">
            <v>83</v>
          </cell>
          <cell r="J30">
            <v>192</v>
          </cell>
          <cell r="K30">
            <v>10</v>
          </cell>
          <cell r="L30">
            <v>213</v>
          </cell>
          <cell r="M30">
            <v>35</v>
          </cell>
          <cell r="N30">
            <v>41</v>
          </cell>
          <cell r="P30">
            <v>31</v>
          </cell>
          <cell r="Q30">
            <v>24</v>
          </cell>
          <cell r="T30">
            <v>131</v>
          </cell>
          <cell r="U30">
            <v>41</v>
          </cell>
          <cell r="X30">
            <v>27</v>
          </cell>
          <cell r="Y30">
            <v>954</v>
          </cell>
        </row>
        <row r="31">
          <cell r="F31">
            <v>3</v>
          </cell>
          <cell r="H31">
            <v>39</v>
          </cell>
          <cell r="I31">
            <v>25</v>
          </cell>
          <cell r="J31">
            <v>71</v>
          </cell>
          <cell r="K31">
            <v>9</v>
          </cell>
          <cell r="L31">
            <v>74</v>
          </cell>
          <cell r="M31">
            <v>18</v>
          </cell>
          <cell r="N31">
            <v>19</v>
          </cell>
          <cell r="P31">
            <v>8</v>
          </cell>
          <cell r="Q31">
            <v>12</v>
          </cell>
          <cell r="T31">
            <v>55</v>
          </cell>
          <cell r="U31">
            <v>16</v>
          </cell>
          <cell r="X31">
            <v>14</v>
          </cell>
          <cell r="Y31">
            <v>363</v>
          </cell>
        </row>
        <row r="32">
          <cell r="F32">
            <v>3</v>
          </cell>
          <cell r="H32">
            <v>17</v>
          </cell>
          <cell r="I32">
            <v>9</v>
          </cell>
          <cell r="J32">
            <v>58</v>
          </cell>
          <cell r="K32">
            <v>10</v>
          </cell>
          <cell r="L32">
            <v>47</v>
          </cell>
          <cell r="M32">
            <v>15</v>
          </cell>
          <cell r="N32">
            <v>10</v>
          </cell>
          <cell r="P32">
            <v>16</v>
          </cell>
          <cell r="Q32">
            <v>13</v>
          </cell>
          <cell r="T32">
            <v>48</v>
          </cell>
          <cell r="U32">
            <v>6</v>
          </cell>
          <cell r="Y32">
            <v>252</v>
          </cell>
        </row>
        <row r="33">
          <cell r="F33">
            <v>0</v>
          </cell>
          <cell r="H33">
            <v>5</v>
          </cell>
          <cell r="I33">
            <v>1</v>
          </cell>
          <cell r="J33">
            <v>1</v>
          </cell>
          <cell r="L33">
            <v>4</v>
          </cell>
          <cell r="N33">
            <v>5</v>
          </cell>
          <cell r="P33">
            <v>1</v>
          </cell>
          <cell r="T33">
            <v>15</v>
          </cell>
          <cell r="U33">
            <v>1</v>
          </cell>
          <cell r="X33">
            <v>1</v>
          </cell>
          <cell r="Y33">
            <v>34</v>
          </cell>
        </row>
        <row r="34">
          <cell r="F34">
            <v>2</v>
          </cell>
          <cell r="H34">
            <v>2</v>
          </cell>
          <cell r="I34">
            <v>0</v>
          </cell>
          <cell r="J34">
            <v>29</v>
          </cell>
          <cell r="L34">
            <v>6</v>
          </cell>
          <cell r="M34">
            <v>10</v>
          </cell>
          <cell r="N34">
            <v>19</v>
          </cell>
          <cell r="P34">
            <v>0</v>
          </cell>
          <cell r="T34">
            <v>42</v>
          </cell>
          <cell r="Y34">
            <v>110</v>
          </cell>
        </row>
        <row r="35">
          <cell r="F35">
            <v>109</v>
          </cell>
          <cell r="H35">
            <v>451</v>
          </cell>
          <cell r="I35">
            <v>502</v>
          </cell>
          <cell r="J35">
            <v>1390</v>
          </cell>
          <cell r="K35">
            <v>83</v>
          </cell>
          <cell r="L35">
            <v>1679</v>
          </cell>
          <cell r="M35">
            <v>242</v>
          </cell>
          <cell r="N35">
            <v>200</v>
          </cell>
          <cell r="P35">
            <v>263</v>
          </cell>
          <cell r="Q35">
            <v>193</v>
          </cell>
          <cell r="T35">
            <v>980</v>
          </cell>
          <cell r="U35">
            <v>105</v>
          </cell>
          <cell r="X35">
            <v>138</v>
          </cell>
          <cell r="Y35">
            <v>6335</v>
          </cell>
        </row>
        <row r="36">
          <cell r="F36">
            <v>237</v>
          </cell>
          <cell r="H36">
            <v>941</v>
          </cell>
          <cell r="I36">
            <v>823</v>
          </cell>
          <cell r="J36">
            <v>1011</v>
          </cell>
          <cell r="K36">
            <v>95</v>
          </cell>
          <cell r="L36">
            <v>3862</v>
          </cell>
          <cell r="M36">
            <v>515</v>
          </cell>
          <cell r="N36">
            <v>542</v>
          </cell>
          <cell r="P36">
            <v>248</v>
          </cell>
          <cell r="Q36">
            <v>356</v>
          </cell>
          <cell r="T36">
            <v>2452</v>
          </cell>
          <cell r="U36">
            <v>383</v>
          </cell>
          <cell r="X36">
            <v>311</v>
          </cell>
          <cell r="Y36">
            <v>11776</v>
          </cell>
        </row>
        <row r="37">
          <cell r="F37">
            <v>61</v>
          </cell>
          <cell r="H37">
            <v>606</v>
          </cell>
          <cell r="I37">
            <v>490</v>
          </cell>
          <cell r="J37">
            <v>954</v>
          </cell>
          <cell r="K37">
            <v>175</v>
          </cell>
          <cell r="L37">
            <v>1286</v>
          </cell>
          <cell r="M37">
            <v>180</v>
          </cell>
          <cell r="N37">
            <v>173</v>
          </cell>
          <cell r="P37">
            <v>273</v>
          </cell>
          <cell r="Q37">
            <v>121</v>
          </cell>
          <cell r="T37">
            <v>1143</v>
          </cell>
          <cell r="U37">
            <v>41</v>
          </cell>
          <cell r="X37">
            <v>51</v>
          </cell>
          <cell r="Y37">
            <v>5554</v>
          </cell>
        </row>
        <row r="38">
          <cell r="F38">
            <v>14</v>
          </cell>
          <cell r="H38">
            <v>102</v>
          </cell>
          <cell r="I38">
            <v>124</v>
          </cell>
          <cell r="J38">
            <v>164</v>
          </cell>
          <cell r="K38">
            <v>7</v>
          </cell>
          <cell r="L38">
            <v>147</v>
          </cell>
          <cell r="M38">
            <v>51</v>
          </cell>
          <cell r="N38">
            <v>9</v>
          </cell>
          <cell r="P38">
            <v>39</v>
          </cell>
          <cell r="Q38">
            <v>8</v>
          </cell>
          <cell r="T38">
            <v>268</v>
          </cell>
          <cell r="U38">
            <v>26</v>
          </cell>
          <cell r="X38">
            <v>15</v>
          </cell>
          <cell r="Y38">
            <v>974</v>
          </cell>
        </row>
        <row r="39">
          <cell r="F39">
            <v>72</v>
          </cell>
          <cell r="H39">
            <v>418</v>
          </cell>
          <cell r="I39">
            <v>275</v>
          </cell>
          <cell r="J39">
            <v>1538</v>
          </cell>
          <cell r="K39">
            <v>56</v>
          </cell>
          <cell r="L39">
            <v>505</v>
          </cell>
          <cell r="M39">
            <v>251</v>
          </cell>
          <cell r="N39">
            <v>226</v>
          </cell>
          <cell r="P39">
            <v>147</v>
          </cell>
          <cell r="Q39">
            <v>119</v>
          </cell>
          <cell r="T39">
            <v>805</v>
          </cell>
          <cell r="U39">
            <v>88</v>
          </cell>
          <cell r="X39">
            <v>53</v>
          </cell>
          <cell r="Y39">
            <v>4553</v>
          </cell>
        </row>
        <row r="40">
          <cell r="F40">
            <v>23</v>
          </cell>
          <cell r="H40">
            <v>85</v>
          </cell>
          <cell r="I40">
            <v>77</v>
          </cell>
          <cell r="J40">
            <v>400</v>
          </cell>
          <cell r="K40">
            <v>13</v>
          </cell>
          <cell r="L40">
            <v>509</v>
          </cell>
          <cell r="M40">
            <v>109</v>
          </cell>
          <cell r="N40">
            <v>51</v>
          </cell>
          <cell r="P40">
            <v>41</v>
          </cell>
          <cell r="Q40">
            <v>23</v>
          </cell>
          <cell r="T40">
            <v>280</v>
          </cell>
          <cell r="U40">
            <v>9</v>
          </cell>
          <cell r="X40">
            <v>52</v>
          </cell>
          <cell r="Y40">
            <v>1672</v>
          </cell>
        </row>
        <row r="41">
          <cell r="F41">
            <v>4</v>
          </cell>
          <cell r="H41">
            <v>29</v>
          </cell>
          <cell r="I41">
            <v>43</v>
          </cell>
          <cell r="J41">
            <v>65</v>
          </cell>
          <cell r="K41">
            <v>3</v>
          </cell>
          <cell r="L41">
            <v>206</v>
          </cell>
          <cell r="M41">
            <v>8</v>
          </cell>
          <cell r="N41">
            <v>17</v>
          </cell>
          <cell r="P41">
            <v>18</v>
          </cell>
          <cell r="Q41">
            <v>32</v>
          </cell>
          <cell r="T41">
            <v>57</v>
          </cell>
          <cell r="U41">
            <v>8</v>
          </cell>
          <cell r="X41">
            <v>13</v>
          </cell>
          <cell r="Y41">
            <v>503</v>
          </cell>
        </row>
        <row r="42">
          <cell r="F42">
            <v>33</v>
          </cell>
          <cell r="H42">
            <v>158</v>
          </cell>
          <cell r="I42">
            <v>130</v>
          </cell>
          <cell r="J42">
            <v>301</v>
          </cell>
          <cell r="K42">
            <v>13</v>
          </cell>
          <cell r="L42">
            <v>346</v>
          </cell>
          <cell r="M42">
            <v>41</v>
          </cell>
          <cell r="N42">
            <v>63</v>
          </cell>
          <cell r="P42">
            <v>47</v>
          </cell>
          <cell r="Q42">
            <v>42</v>
          </cell>
          <cell r="T42">
            <v>188</v>
          </cell>
          <cell r="U42">
            <v>37</v>
          </cell>
          <cell r="X42">
            <v>27</v>
          </cell>
          <cell r="Y42">
            <v>1426</v>
          </cell>
        </row>
        <row r="43">
          <cell r="F43">
            <v>6</v>
          </cell>
          <cell r="H43">
            <v>54</v>
          </cell>
          <cell r="I43">
            <v>33</v>
          </cell>
          <cell r="J43">
            <v>84</v>
          </cell>
          <cell r="K43">
            <v>6</v>
          </cell>
          <cell r="L43">
            <v>108</v>
          </cell>
          <cell r="M43">
            <v>30</v>
          </cell>
          <cell r="N43">
            <v>34</v>
          </cell>
          <cell r="P43">
            <v>16</v>
          </cell>
          <cell r="Q43">
            <v>21</v>
          </cell>
          <cell r="T43">
            <v>80</v>
          </cell>
          <cell r="U43">
            <v>25</v>
          </cell>
          <cell r="X43">
            <v>12</v>
          </cell>
          <cell r="Y43">
            <v>509</v>
          </cell>
        </row>
        <row r="44">
          <cell r="F44">
            <v>5</v>
          </cell>
          <cell r="H44">
            <v>48</v>
          </cell>
          <cell r="I44">
            <v>18</v>
          </cell>
          <cell r="J44">
            <v>72</v>
          </cell>
          <cell r="K44">
            <v>11</v>
          </cell>
          <cell r="L44">
            <v>50</v>
          </cell>
          <cell r="M44">
            <v>11</v>
          </cell>
          <cell r="N44">
            <v>18</v>
          </cell>
          <cell r="P44">
            <v>25</v>
          </cell>
          <cell r="Q44">
            <v>18</v>
          </cell>
          <cell r="T44">
            <v>44</v>
          </cell>
          <cell r="U44">
            <v>3</v>
          </cell>
          <cell r="X44">
            <v>3</v>
          </cell>
          <cell r="Y44">
            <v>326</v>
          </cell>
        </row>
        <row r="45">
          <cell r="F45">
            <v>2</v>
          </cell>
          <cell r="H45">
            <v>15</v>
          </cell>
          <cell r="I45">
            <v>5</v>
          </cell>
          <cell r="J45">
            <v>1</v>
          </cell>
          <cell r="L45">
            <v>2</v>
          </cell>
          <cell r="M45">
            <v>3</v>
          </cell>
          <cell r="N45">
            <v>3</v>
          </cell>
          <cell r="P45">
            <v>0</v>
          </cell>
          <cell r="T45">
            <v>16</v>
          </cell>
          <cell r="X45">
            <v>1</v>
          </cell>
          <cell r="Y45">
            <v>48</v>
          </cell>
        </row>
        <row r="46">
          <cell r="F46">
            <v>0</v>
          </cell>
          <cell r="H46">
            <v>1</v>
          </cell>
          <cell r="I46">
            <v>0</v>
          </cell>
          <cell r="J46">
            <v>65</v>
          </cell>
          <cell r="L46">
            <v>5</v>
          </cell>
          <cell r="M46">
            <v>12</v>
          </cell>
          <cell r="N46">
            <v>20</v>
          </cell>
          <cell r="P46">
            <v>0</v>
          </cell>
          <cell r="T46">
            <v>93</v>
          </cell>
          <cell r="Y46">
            <v>196</v>
          </cell>
        </row>
        <row r="47">
          <cell r="F47">
            <v>567</v>
          </cell>
          <cell r="H47">
            <v>2620</v>
          </cell>
          <cell r="I47">
            <v>2759</v>
          </cell>
          <cell r="J47">
            <v>6747</v>
          </cell>
          <cell r="K47">
            <v>922</v>
          </cell>
          <cell r="L47">
            <v>5460</v>
          </cell>
          <cell r="M47">
            <v>1264</v>
          </cell>
          <cell r="N47">
            <v>7</v>
          </cell>
          <cell r="P47">
            <v>1227</v>
          </cell>
          <cell r="Q47">
            <v>702</v>
          </cell>
          <cell r="T47">
            <v>6477</v>
          </cell>
          <cell r="U47">
            <v>769</v>
          </cell>
          <cell r="X47">
            <v>640</v>
          </cell>
          <cell r="Y47">
            <v>30161</v>
          </cell>
        </row>
        <row r="48">
          <cell r="F48">
            <v>3</v>
          </cell>
          <cell r="H48">
            <v>10</v>
          </cell>
          <cell r="I48">
            <v>9</v>
          </cell>
          <cell r="J48">
            <v>13</v>
          </cell>
          <cell r="L48">
            <v>11</v>
          </cell>
          <cell r="M48">
            <v>2</v>
          </cell>
          <cell r="N48">
            <v>1</v>
          </cell>
          <cell r="P48">
            <v>2</v>
          </cell>
          <cell r="Q48">
            <v>4</v>
          </cell>
          <cell r="T48">
            <v>25</v>
          </cell>
          <cell r="U48">
            <v>1</v>
          </cell>
          <cell r="X48">
            <v>2</v>
          </cell>
          <cell r="Y48">
            <v>83</v>
          </cell>
        </row>
        <row r="49">
          <cell r="H49">
            <v>14</v>
          </cell>
          <cell r="I49">
            <v>3</v>
          </cell>
          <cell r="J49">
            <v>4</v>
          </cell>
          <cell r="L49">
            <v>6</v>
          </cell>
          <cell r="N49">
            <v>2</v>
          </cell>
          <cell r="P49">
            <v>0</v>
          </cell>
          <cell r="Q49">
            <v>1</v>
          </cell>
          <cell r="T49">
            <v>21</v>
          </cell>
          <cell r="U49">
            <v>2</v>
          </cell>
          <cell r="X49">
            <v>1</v>
          </cell>
          <cell r="Y49">
            <v>54</v>
          </cell>
        </row>
        <row r="50">
          <cell r="F50">
            <v>4</v>
          </cell>
          <cell r="H50">
            <v>20</v>
          </cell>
          <cell r="I50">
            <v>29</v>
          </cell>
          <cell r="J50">
            <v>32</v>
          </cell>
          <cell r="L50">
            <v>55</v>
          </cell>
          <cell r="M50">
            <v>11</v>
          </cell>
          <cell r="P50">
            <v>2</v>
          </cell>
          <cell r="T50">
            <v>114</v>
          </cell>
          <cell r="U50">
            <v>13</v>
          </cell>
          <cell r="X50">
            <v>7</v>
          </cell>
          <cell r="Y50">
            <v>287</v>
          </cell>
        </row>
        <row r="51">
          <cell r="F51">
            <v>34</v>
          </cell>
          <cell r="H51">
            <v>127</v>
          </cell>
          <cell r="I51">
            <v>87</v>
          </cell>
          <cell r="J51">
            <v>194</v>
          </cell>
          <cell r="K51">
            <v>12</v>
          </cell>
          <cell r="L51">
            <v>278</v>
          </cell>
          <cell r="M51">
            <v>67</v>
          </cell>
          <cell r="P51">
            <v>46</v>
          </cell>
          <cell r="Q51">
            <v>68</v>
          </cell>
          <cell r="T51">
            <v>419</v>
          </cell>
          <cell r="U51">
            <v>23</v>
          </cell>
          <cell r="X51">
            <v>28</v>
          </cell>
          <cell r="Y51">
            <v>1383</v>
          </cell>
        </row>
        <row r="52">
          <cell r="F52">
            <v>12</v>
          </cell>
          <cell r="H52">
            <v>135</v>
          </cell>
          <cell r="I52">
            <v>37</v>
          </cell>
          <cell r="J52">
            <v>54</v>
          </cell>
          <cell r="K52">
            <v>8</v>
          </cell>
          <cell r="L52">
            <v>65</v>
          </cell>
          <cell r="M52">
            <v>32</v>
          </cell>
          <cell r="N52">
            <v>26</v>
          </cell>
          <cell r="P52">
            <v>8</v>
          </cell>
          <cell r="Q52">
            <v>83</v>
          </cell>
          <cell r="T52">
            <v>109</v>
          </cell>
          <cell r="U52">
            <v>10</v>
          </cell>
          <cell r="X52">
            <v>15</v>
          </cell>
          <cell r="Y52">
            <v>594</v>
          </cell>
        </row>
        <row r="53">
          <cell r="F53">
            <v>5</v>
          </cell>
          <cell r="H53">
            <v>32</v>
          </cell>
          <cell r="I53">
            <v>26</v>
          </cell>
          <cell r="J53">
            <v>37</v>
          </cell>
          <cell r="K53">
            <v>3</v>
          </cell>
          <cell r="L53">
            <v>24</v>
          </cell>
          <cell r="M53">
            <v>13</v>
          </cell>
          <cell r="N53">
            <v>24</v>
          </cell>
          <cell r="P53">
            <v>15</v>
          </cell>
          <cell r="Q53">
            <v>16</v>
          </cell>
          <cell r="T53">
            <v>74</v>
          </cell>
          <cell r="U53">
            <v>4</v>
          </cell>
          <cell r="X53">
            <v>11</v>
          </cell>
          <cell r="Y53">
            <v>284</v>
          </cell>
        </row>
        <row r="54">
          <cell r="F54">
            <v>7</v>
          </cell>
          <cell r="H54">
            <v>61</v>
          </cell>
          <cell r="I54">
            <v>20</v>
          </cell>
          <cell r="J54">
            <v>117</v>
          </cell>
          <cell r="K54">
            <v>3</v>
          </cell>
          <cell r="L54">
            <v>35</v>
          </cell>
          <cell r="M54">
            <v>20</v>
          </cell>
          <cell r="P54">
            <v>6</v>
          </cell>
          <cell r="Q54">
            <v>20</v>
          </cell>
          <cell r="T54">
            <v>146</v>
          </cell>
          <cell r="U54">
            <v>11</v>
          </cell>
          <cell r="X54">
            <v>16</v>
          </cell>
          <cell r="Y54">
            <v>462</v>
          </cell>
        </row>
        <row r="55">
          <cell r="F55">
            <v>10</v>
          </cell>
          <cell r="H55">
            <v>79</v>
          </cell>
          <cell r="I55">
            <v>57</v>
          </cell>
          <cell r="J55">
            <v>63</v>
          </cell>
          <cell r="K55">
            <v>10</v>
          </cell>
          <cell r="L55">
            <v>107</v>
          </cell>
          <cell r="M55">
            <v>22</v>
          </cell>
          <cell r="P55">
            <v>12</v>
          </cell>
          <cell r="Q55">
            <v>45</v>
          </cell>
          <cell r="T55">
            <v>152</v>
          </cell>
          <cell r="U55">
            <v>8</v>
          </cell>
          <cell r="X55">
            <v>15</v>
          </cell>
          <cell r="Y55">
            <v>580</v>
          </cell>
        </row>
        <row r="56">
          <cell r="F56">
            <v>10</v>
          </cell>
          <cell r="H56">
            <v>81</v>
          </cell>
          <cell r="I56">
            <v>9</v>
          </cell>
          <cell r="J56">
            <v>48</v>
          </cell>
          <cell r="L56">
            <v>46</v>
          </cell>
          <cell r="M56">
            <v>18</v>
          </cell>
          <cell r="N56">
            <v>34</v>
          </cell>
          <cell r="P56">
            <v>3</v>
          </cell>
          <cell r="Q56">
            <v>30</v>
          </cell>
          <cell r="T56">
            <v>107</v>
          </cell>
          <cell r="U56">
            <v>9</v>
          </cell>
          <cell r="X56">
            <v>42</v>
          </cell>
          <cell r="Y56">
            <v>437</v>
          </cell>
        </row>
        <row r="57">
          <cell r="F57">
            <v>3</v>
          </cell>
          <cell r="H57">
            <v>475</v>
          </cell>
          <cell r="I57">
            <v>2</v>
          </cell>
          <cell r="J57">
            <v>20</v>
          </cell>
          <cell r="L57">
            <v>12</v>
          </cell>
          <cell r="M57">
            <v>8</v>
          </cell>
          <cell r="N57">
            <v>1</v>
          </cell>
          <cell r="P57">
            <v>1</v>
          </cell>
          <cell r="Q57">
            <v>92</v>
          </cell>
          <cell r="T57">
            <v>179</v>
          </cell>
          <cell r="X57">
            <v>44</v>
          </cell>
          <cell r="Y57">
            <v>837</v>
          </cell>
        </row>
        <row r="58">
          <cell r="F58">
            <v>2</v>
          </cell>
          <cell r="H58">
            <v>21</v>
          </cell>
          <cell r="I58">
            <v>12</v>
          </cell>
          <cell r="J58">
            <v>26</v>
          </cell>
          <cell r="K58">
            <v>3</v>
          </cell>
          <cell r="L58">
            <v>22</v>
          </cell>
          <cell r="M58">
            <v>17</v>
          </cell>
          <cell r="N58">
            <v>21</v>
          </cell>
          <cell r="P58">
            <v>39</v>
          </cell>
          <cell r="Q58">
            <v>15</v>
          </cell>
          <cell r="T58">
            <v>75</v>
          </cell>
          <cell r="U58">
            <v>3</v>
          </cell>
          <cell r="X58">
            <v>2</v>
          </cell>
          <cell r="Y58">
            <v>258</v>
          </cell>
        </row>
        <row r="59">
          <cell r="F59">
            <v>18</v>
          </cell>
          <cell r="H59">
            <v>60</v>
          </cell>
          <cell r="I59">
            <v>22</v>
          </cell>
          <cell r="J59">
            <v>104</v>
          </cell>
          <cell r="K59">
            <v>7</v>
          </cell>
          <cell r="L59">
            <v>43</v>
          </cell>
          <cell r="M59">
            <v>18</v>
          </cell>
          <cell r="P59">
            <v>24</v>
          </cell>
          <cell r="Q59">
            <v>40</v>
          </cell>
          <cell r="T59">
            <v>155</v>
          </cell>
          <cell r="U59">
            <v>1</v>
          </cell>
          <cell r="X59">
            <v>9</v>
          </cell>
          <cell r="Y59">
            <v>501</v>
          </cell>
        </row>
        <row r="60">
          <cell r="F60">
            <v>1</v>
          </cell>
          <cell r="H60">
            <v>42</v>
          </cell>
          <cell r="I60">
            <v>4</v>
          </cell>
          <cell r="J60">
            <v>10</v>
          </cell>
          <cell r="K60">
            <v>1</v>
          </cell>
          <cell r="L60">
            <v>16</v>
          </cell>
          <cell r="M60">
            <v>5</v>
          </cell>
          <cell r="N60">
            <v>12</v>
          </cell>
          <cell r="P60">
            <v>3</v>
          </cell>
          <cell r="Q60">
            <v>37</v>
          </cell>
          <cell r="T60">
            <v>27</v>
          </cell>
          <cell r="U60">
            <v>2</v>
          </cell>
          <cell r="X60">
            <v>18</v>
          </cell>
          <cell r="Y60">
            <v>178</v>
          </cell>
        </row>
        <row r="61">
          <cell r="F61">
            <v>18</v>
          </cell>
          <cell r="H61">
            <v>45</v>
          </cell>
          <cell r="I61">
            <v>18</v>
          </cell>
          <cell r="J61">
            <v>56</v>
          </cell>
          <cell r="K61">
            <v>1</v>
          </cell>
          <cell r="L61">
            <v>68</v>
          </cell>
          <cell r="M61">
            <v>54</v>
          </cell>
          <cell r="N61">
            <v>4</v>
          </cell>
          <cell r="P61">
            <v>50</v>
          </cell>
          <cell r="Q61">
            <v>71</v>
          </cell>
          <cell r="T61">
            <v>92</v>
          </cell>
          <cell r="U61">
            <v>4</v>
          </cell>
          <cell r="X61">
            <v>4</v>
          </cell>
          <cell r="Y61">
            <v>485</v>
          </cell>
        </row>
        <row r="62">
          <cell r="F62">
            <v>5</v>
          </cell>
          <cell r="H62">
            <v>9</v>
          </cell>
          <cell r="I62">
            <v>4</v>
          </cell>
          <cell r="J62">
            <v>31</v>
          </cell>
          <cell r="L62">
            <v>4</v>
          </cell>
          <cell r="M62">
            <v>11</v>
          </cell>
          <cell r="P62">
            <v>7</v>
          </cell>
          <cell r="Q62">
            <v>19</v>
          </cell>
          <cell r="T62">
            <v>29</v>
          </cell>
          <cell r="X62">
            <v>5</v>
          </cell>
          <cell r="Y62">
            <v>124</v>
          </cell>
        </row>
        <row r="63">
          <cell r="F63">
            <v>1</v>
          </cell>
          <cell r="H63">
            <v>12</v>
          </cell>
          <cell r="I63">
            <v>4</v>
          </cell>
          <cell r="J63">
            <v>25</v>
          </cell>
          <cell r="L63">
            <v>15</v>
          </cell>
          <cell r="M63">
            <v>3</v>
          </cell>
          <cell r="P63">
            <v>5</v>
          </cell>
          <cell r="Q63">
            <v>2</v>
          </cell>
          <cell r="T63">
            <v>33</v>
          </cell>
          <cell r="U63">
            <v>2</v>
          </cell>
          <cell r="X63">
            <v>8</v>
          </cell>
          <cell r="Y63">
            <v>110</v>
          </cell>
        </row>
        <row r="64">
          <cell r="F64">
            <v>5</v>
          </cell>
          <cell r="H64">
            <v>21</v>
          </cell>
          <cell r="I64">
            <v>19</v>
          </cell>
          <cell r="J64">
            <v>29</v>
          </cell>
          <cell r="K64">
            <v>1</v>
          </cell>
          <cell r="L64">
            <v>43</v>
          </cell>
          <cell r="M64">
            <v>6</v>
          </cell>
          <cell r="P64">
            <v>21</v>
          </cell>
          <cell r="Q64">
            <v>9</v>
          </cell>
          <cell r="T64">
            <v>60</v>
          </cell>
          <cell r="U64">
            <v>11</v>
          </cell>
          <cell r="X64">
            <v>3</v>
          </cell>
          <cell r="Y64">
            <v>228</v>
          </cell>
        </row>
        <row r="65">
          <cell r="H65">
            <v>36</v>
          </cell>
          <cell r="I65">
            <v>291</v>
          </cell>
          <cell r="J65">
            <v>46</v>
          </cell>
          <cell r="K65">
            <v>8</v>
          </cell>
          <cell r="L65">
            <v>31</v>
          </cell>
          <cell r="M65">
            <v>10</v>
          </cell>
          <cell r="N65">
            <v>11</v>
          </cell>
          <cell r="P65">
            <v>42</v>
          </cell>
          <cell r="Q65">
            <v>10</v>
          </cell>
          <cell r="T65">
            <v>62</v>
          </cell>
          <cell r="U65">
            <v>9</v>
          </cell>
          <cell r="X65">
            <v>4</v>
          </cell>
          <cell r="Y65">
            <v>560</v>
          </cell>
        </row>
        <row r="66">
          <cell r="F66">
            <v>70</v>
          </cell>
          <cell r="H66">
            <v>154</v>
          </cell>
          <cell r="I66">
            <v>22</v>
          </cell>
          <cell r="J66">
            <v>615</v>
          </cell>
          <cell r="K66">
            <v>77</v>
          </cell>
          <cell r="L66">
            <v>5420</v>
          </cell>
          <cell r="M66">
            <v>545</v>
          </cell>
          <cell r="N66">
            <v>1667</v>
          </cell>
          <cell r="Q66">
            <v>18</v>
          </cell>
          <cell r="T66">
            <v>376</v>
          </cell>
          <cell r="U66">
            <v>86</v>
          </cell>
          <cell r="X66">
            <v>60</v>
          </cell>
          <cell r="Y66">
            <v>9110</v>
          </cell>
        </row>
        <row r="67">
          <cell r="F67">
            <v>99</v>
          </cell>
          <cell r="H67">
            <v>402</v>
          </cell>
          <cell r="I67">
            <v>489</v>
          </cell>
          <cell r="J67">
            <v>1465</v>
          </cell>
          <cell r="K67">
            <v>90</v>
          </cell>
          <cell r="L67">
            <v>1152</v>
          </cell>
          <cell r="M67">
            <v>156</v>
          </cell>
          <cell r="N67">
            <v>4</v>
          </cell>
          <cell r="P67">
            <v>299</v>
          </cell>
          <cell r="Q67">
            <v>170</v>
          </cell>
          <cell r="T67">
            <v>1014</v>
          </cell>
          <cell r="U67">
            <v>101</v>
          </cell>
          <cell r="X67">
            <v>135</v>
          </cell>
          <cell r="Y67">
            <v>5576</v>
          </cell>
        </row>
        <row r="68">
          <cell r="F68">
            <v>212</v>
          </cell>
          <cell r="H68">
            <v>798</v>
          </cell>
          <cell r="I68">
            <v>744</v>
          </cell>
          <cell r="J68">
            <v>935</v>
          </cell>
          <cell r="K68">
            <v>105</v>
          </cell>
          <cell r="L68">
            <v>2213</v>
          </cell>
          <cell r="M68">
            <v>401</v>
          </cell>
          <cell r="P68">
            <v>226</v>
          </cell>
          <cell r="Q68">
            <v>228</v>
          </cell>
          <cell r="T68">
            <v>2157</v>
          </cell>
          <cell r="U68">
            <v>350</v>
          </cell>
          <cell r="X68">
            <v>262</v>
          </cell>
          <cell r="Y68">
            <v>8631</v>
          </cell>
        </row>
        <row r="69">
          <cell r="F69">
            <v>59</v>
          </cell>
          <cell r="H69">
            <v>521</v>
          </cell>
          <cell r="I69">
            <v>568</v>
          </cell>
          <cell r="J69">
            <v>962</v>
          </cell>
          <cell r="K69">
            <v>202</v>
          </cell>
          <cell r="L69">
            <v>758</v>
          </cell>
          <cell r="M69">
            <v>148</v>
          </cell>
          <cell r="N69">
            <v>1</v>
          </cell>
          <cell r="P69">
            <v>279</v>
          </cell>
          <cell r="Q69">
            <v>70</v>
          </cell>
          <cell r="T69">
            <v>1099</v>
          </cell>
          <cell r="U69">
            <v>42</v>
          </cell>
          <cell r="X69">
            <v>50</v>
          </cell>
          <cell r="Y69">
            <v>4759</v>
          </cell>
        </row>
        <row r="70">
          <cell r="F70">
            <v>19</v>
          </cell>
          <cell r="H70">
            <v>109</v>
          </cell>
          <cell r="I70">
            <v>148</v>
          </cell>
          <cell r="J70">
            <v>177</v>
          </cell>
          <cell r="K70">
            <v>10</v>
          </cell>
          <cell r="L70">
            <v>112</v>
          </cell>
          <cell r="M70">
            <v>46</v>
          </cell>
          <cell r="P70">
            <v>48</v>
          </cell>
          <cell r="Q70">
            <v>7</v>
          </cell>
          <cell r="T70">
            <v>293</v>
          </cell>
          <cell r="U70">
            <v>37</v>
          </cell>
          <cell r="X70">
            <v>19</v>
          </cell>
          <cell r="Y70">
            <v>1025</v>
          </cell>
        </row>
        <row r="71">
          <cell r="F71">
            <v>104</v>
          </cell>
          <cell r="H71">
            <v>419</v>
          </cell>
          <cell r="I71">
            <v>401</v>
          </cell>
          <cell r="J71">
            <v>1994</v>
          </cell>
          <cell r="K71">
            <v>73</v>
          </cell>
          <cell r="L71">
            <v>406</v>
          </cell>
          <cell r="M71">
            <v>274</v>
          </cell>
          <cell r="N71">
            <v>1</v>
          </cell>
          <cell r="P71">
            <v>189</v>
          </cell>
          <cell r="Q71">
            <v>113</v>
          </cell>
          <cell r="T71">
            <v>1010</v>
          </cell>
          <cell r="U71">
            <v>123</v>
          </cell>
          <cell r="X71">
            <v>60</v>
          </cell>
          <cell r="Y71">
            <v>5167</v>
          </cell>
        </row>
        <row r="72">
          <cell r="F72">
            <v>38</v>
          </cell>
          <cell r="H72">
            <v>73</v>
          </cell>
          <cell r="I72">
            <v>110</v>
          </cell>
          <cell r="J72">
            <v>436</v>
          </cell>
          <cell r="K72">
            <v>19</v>
          </cell>
          <cell r="L72">
            <v>379</v>
          </cell>
          <cell r="M72">
            <v>93</v>
          </cell>
          <cell r="P72">
            <v>51</v>
          </cell>
          <cell r="Q72">
            <v>23</v>
          </cell>
          <cell r="T72">
            <v>299</v>
          </cell>
          <cell r="U72">
            <v>13</v>
          </cell>
          <cell r="X72">
            <v>44</v>
          </cell>
          <cell r="Y72">
            <v>1578</v>
          </cell>
        </row>
        <row r="73">
          <cell r="F73">
            <v>4</v>
          </cell>
          <cell r="H73">
            <v>21</v>
          </cell>
          <cell r="I73">
            <v>55</v>
          </cell>
          <cell r="J73">
            <v>86</v>
          </cell>
          <cell r="K73">
            <v>4</v>
          </cell>
          <cell r="L73">
            <v>93</v>
          </cell>
          <cell r="M73">
            <v>10</v>
          </cell>
          <cell r="P73">
            <v>20</v>
          </cell>
          <cell r="Q73">
            <v>29</v>
          </cell>
          <cell r="T73">
            <v>71</v>
          </cell>
          <cell r="U73">
            <v>12</v>
          </cell>
          <cell r="X73">
            <v>14</v>
          </cell>
          <cell r="Y73">
            <v>419</v>
          </cell>
        </row>
        <row r="74">
          <cell r="F74">
            <v>21</v>
          </cell>
          <cell r="H74">
            <v>173</v>
          </cell>
          <cell r="I74">
            <v>179</v>
          </cell>
          <cell r="J74">
            <v>407</v>
          </cell>
          <cell r="K74">
            <v>22</v>
          </cell>
          <cell r="L74">
            <v>237</v>
          </cell>
          <cell r="M74">
            <v>56</v>
          </cell>
          <cell r="N74">
            <v>1</v>
          </cell>
          <cell r="P74">
            <v>64</v>
          </cell>
          <cell r="Q74">
            <v>34</v>
          </cell>
          <cell r="T74">
            <v>244</v>
          </cell>
          <cell r="U74">
            <v>60</v>
          </cell>
          <cell r="X74">
            <v>37</v>
          </cell>
          <cell r="Y74">
            <v>1535</v>
          </cell>
        </row>
        <row r="75">
          <cell r="F75">
            <v>6</v>
          </cell>
          <cell r="H75">
            <v>51</v>
          </cell>
          <cell r="I75">
            <v>42</v>
          </cell>
          <cell r="J75">
            <v>110</v>
          </cell>
          <cell r="K75">
            <v>12</v>
          </cell>
          <cell r="L75">
            <v>59</v>
          </cell>
          <cell r="M75">
            <v>16</v>
          </cell>
          <cell r="P75">
            <v>20</v>
          </cell>
          <cell r="Q75">
            <v>17</v>
          </cell>
          <cell r="T75">
            <v>101</v>
          </cell>
          <cell r="U75">
            <v>23</v>
          </cell>
          <cell r="X75">
            <v>15</v>
          </cell>
          <cell r="Y75">
            <v>472</v>
          </cell>
        </row>
        <row r="76">
          <cell r="F76">
            <v>4</v>
          </cell>
          <cell r="H76">
            <v>35</v>
          </cell>
          <cell r="I76">
            <v>19</v>
          </cell>
          <cell r="J76">
            <v>108</v>
          </cell>
          <cell r="K76">
            <v>19</v>
          </cell>
          <cell r="L76">
            <v>42</v>
          </cell>
          <cell r="M76">
            <v>13</v>
          </cell>
          <cell r="P76">
            <v>30</v>
          </cell>
          <cell r="Q76">
            <v>11</v>
          </cell>
          <cell r="T76">
            <v>64</v>
          </cell>
          <cell r="U76">
            <v>7</v>
          </cell>
          <cell r="X76">
            <v>2</v>
          </cell>
          <cell r="Y76">
            <v>354</v>
          </cell>
        </row>
        <row r="77">
          <cell r="F77">
            <v>1</v>
          </cell>
          <cell r="H77">
            <v>16</v>
          </cell>
          <cell r="I77">
            <v>4</v>
          </cell>
          <cell r="J77">
            <v>2</v>
          </cell>
          <cell r="L77">
            <v>3</v>
          </cell>
          <cell r="M77">
            <v>2</v>
          </cell>
          <cell r="P77">
            <v>1</v>
          </cell>
          <cell r="T77">
            <v>21</v>
          </cell>
          <cell r="U77">
            <v>1</v>
          </cell>
          <cell r="X77">
            <v>2</v>
          </cell>
          <cell r="Y77">
            <v>53</v>
          </cell>
        </row>
        <row r="78">
          <cell r="F78">
            <v>4</v>
          </cell>
          <cell r="H78">
            <v>17</v>
          </cell>
          <cell r="I78">
            <v>16</v>
          </cell>
          <cell r="J78">
            <v>45</v>
          </cell>
          <cell r="L78">
            <v>43</v>
          </cell>
          <cell r="M78">
            <v>6</v>
          </cell>
          <cell r="P78">
            <v>3</v>
          </cell>
          <cell r="Q78">
            <v>3</v>
          </cell>
          <cell r="T78">
            <v>77</v>
          </cell>
          <cell r="U78">
            <v>6</v>
          </cell>
          <cell r="X78">
            <v>5</v>
          </cell>
          <cell r="Y78">
            <v>225</v>
          </cell>
        </row>
        <row r="79">
          <cell r="F79">
            <v>15</v>
          </cell>
          <cell r="H79">
            <v>54</v>
          </cell>
          <cell r="I79">
            <v>33</v>
          </cell>
          <cell r="J79">
            <v>43</v>
          </cell>
          <cell r="K79">
            <v>2</v>
          </cell>
          <cell r="L79">
            <v>155</v>
          </cell>
          <cell r="M79">
            <v>16</v>
          </cell>
          <cell r="P79">
            <v>12</v>
          </cell>
          <cell r="Q79">
            <v>30</v>
          </cell>
          <cell r="T79">
            <v>167</v>
          </cell>
          <cell r="U79">
            <v>19</v>
          </cell>
          <cell r="X79">
            <v>13</v>
          </cell>
          <cell r="Y79">
            <v>559</v>
          </cell>
        </row>
        <row r="80">
          <cell r="F80">
            <v>8</v>
          </cell>
          <cell r="H80">
            <v>39</v>
          </cell>
          <cell r="I80">
            <v>34</v>
          </cell>
          <cell r="J80">
            <v>49</v>
          </cell>
          <cell r="K80">
            <v>5</v>
          </cell>
          <cell r="L80">
            <v>50</v>
          </cell>
          <cell r="M80">
            <v>18</v>
          </cell>
          <cell r="P80">
            <v>16</v>
          </cell>
          <cell r="Q80">
            <v>15</v>
          </cell>
          <cell r="T80">
            <v>135</v>
          </cell>
          <cell r="U80">
            <v>2</v>
          </cell>
          <cell r="X80">
            <v>2</v>
          </cell>
          <cell r="Y80">
            <v>373</v>
          </cell>
        </row>
        <row r="81">
          <cell r="H81">
            <v>4</v>
          </cell>
          <cell r="I81">
            <v>6</v>
          </cell>
          <cell r="J81">
            <v>3</v>
          </cell>
          <cell r="L81">
            <v>6</v>
          </cell>
          <cell r="M81">
            <v>1</v>
          </cell>
          <cell r="P81">
            <v>1</v>
          </cell>
          <cell r="T81">
            <v>23</v>
          </cell>
          <cell r="X81">
            <v>1</v>
          </cell>
          <cell r="Y81">
            <v>45</v>
          </cell>
        </row>
        <row r="82">
          <cell r="F82">
            <v>8</v>
          </cell>
          <cell r="H82">
            <v>24</v>
          </cell>
          <cell r="I82">
            <v>18</v>
          </cell>
          <cell r="J82">
            <v>55</v>
          </cell>
          <cell r="K82">
            <v>2</v>
          </cell>
          <cell r="L82">
            <v>24</v>
          </cell>
          <cell r="M82">
            <v>21</v>
          </cell>
          <cell r="N82">
            <v>3</v>
          </cell>
          <cell r="P82">
            <v>8</v>
          </cell>
          <cell r="Q82">
            <v>11</v>
          </cell>
          <cell r="T82">
            <v>88</v>
          </cell>
          <cell r="U82">
            <v>7</v>
          </cell>
          <cell r="X82">
            <v>6</v>
          </cell>
          <cell r="Y82">
            <v>275</v>
          </cell>
        </row>
        <row r="83">
          <cell r="F83">
            <v>1</v>
          </cell>
          <cell r="H83">
            <v>11</v>
          </cell>
          <cell r="I83">
            <v>3</v>
          </cell>
          <cell r="J83">
            <v>14</v>
          </cell>
          <cell r="L83">
            <v>35</v>
          </cell>
          <cell r="M83">
            <v>5</v>
          </cell>
          <cell r="P83">
            <v>3</v>
          </cell>
          <cell r="Q83">
            <v>3</v>
          </cell>
          <cell r="T83">
            <v>42</v>
          </cell>
          <cell r="U83">
            <v>1</v>
          </cell>
          <cell r="X83">
            <v>4</v>
          </cell>
          <cell r="Y83">
            <v>122</v>
          </cell>
        </row>
        <row r="84">
          <cell r="H84">
            <v>4</v>
          </cell>
          <cell r="I84">
            <v>4</v>
          </cell>
          <cell r="J84">
            <v>4</v>
          </cell>
          <cell r="L84">
            <v>17</v>
          </cell>
          <cell r="P84">
            <v>3</v>
          </cell>
          <cell r="Q84">
            <v>4</v>
          </cell>
          <cell r="T84">
            <v>7</v>
          </cell>
          <cell r="U84">
            <v>1</v>
          </cell>
          <cell r="X84">
            <v>1</v>
          </cell>
          <cell r="Y84">
            <v>45</v>
          </cell>
        </row>
        <row r="85">
          <cell r="F85">
            <v>3</v>
          </cell>
          <cell r="H85">
            <v>12</v>
          </cell>
          <cell r="I85">
            <v>6</v>
          </cell>
          <cell r="J85">
            <v>15</v>
          </cell>
          <cell r="L85">
            <v>9</v>
          </cell>
          <cell r="M85">
            <v>2</v>
          </cell>
          <cell r="P85">
            <v>3</v>
          </cell>
          <cell r="Q85">
            <v>3</v>
          </cell>
          <cell r="T85">
            <v>17</v>
          </cell>
          <cell r="U85">
            <v>2</v>
          </cell>
          <cell r="X85">
            <v>6</v>
          </cell>
          <cell r="Y85">
            <v>78</v>
          </cell>
        </row>
        <row r="86">
          <cell r="F86">
            <v>1</v>
          </cell>
          <cell r="H86">
            <v>5</v>
          </cell>
          <cell r="I86">
            <v>4</v>
          </cell>
          <cell r="J86">
            <v>7</v>
          </cell>
          <cell r="L86">
            <v>7</v>
          </cell>
          <cell r="M86">
            <v>2</v>
          </cell>
          <cell r="P86">
            <v>0</v>
          </cell>
          <cell r="Q86">
            <v>3</v>
          </cell>
          <cell r="T86">
            <v>4</v>
          </cell>
          <cell r="U86">
            <v>1</v>
          </cell>
          <cell r="Y86">
            <v>34</v>
          </cell>
        </row>
        <row r="87">
          <cell r="F87">
            <v>1</v>
          </cell>
          <cell r="H87">
            <v>1</v>
          </cell>
          <cell r="I87">
            <v>2</v>
          </cell>
          <cell r="J87">
            <v>6</v>
          </cell>
          <cell r="L87">
            <v>4</v>
          </cell>
          <cell r="M87">
            <v>5</v>
          </cell>
          <cell r="P87">
            <v>1</v>
          </cell>
          <cell r="Q87">
            <v>1</v>
          </cell>
          <cell r="T87">
            <v>7</v>
          </cell>
          <cell r="Y87">
            <v>28</v>
          </cell>
        </row>
        <row r="88">
          <cell r="I88">
            <v>2</v>
          </cell>
          <cell r="P88">
            <v>0</v>
          </cell>
          <cell r="T88">
            <v>4</v>
          </cell>
          <cell r="Y88">
            <v>6</v>
          </cell>
        </row>
        <row r="89">
          <cell r="F89">
            <v>11</v>
          </cell>
          <cell r="H89">
            <v>70</v>
          </cell>
          <cell r="I89">
            <v>30</v>
          </cell>
          <cell r="J89">
            <v>50</v>
          </cell>
          <cell r="K89">
            <v>2</v>
          </cell>
          <cell r="L89">
            <v>50</v>
          </cell>
          <cell r="M89">
            <v>11</v>
          </cell>
          <cell r="N89">
            <v>6</v>
          </cell>
          <cell r="P89">
            <v>11</v>
          </cell>
          <cell r="Q89">
            <v>47</v>
          </cell>
          <cell r="T89">
            <v>63</v>
          </cell>
          <cell r="U89">
            <v>6</v>
          </cell>
          <cell r="X89">
            <v>15</v>
          </cell>
          <cell r="Y89">
            <v>372</v>
          </cell>
        </row>
        <row r="90">
          <cell r="F90">
            <v>8</v>
          </cell>
          <cell r="H90">
            <v>81</v>
          </cell>
          <cell r="I90">
            <v>45</v>
          </cell>
          <cell r="J90">
            <v>51</v>
          </cell>
          <cell r="K90">
            <v>5</v>
          </cell>
          <cell r="L90">
            <v>102</v>
          </cell>
          <cell r="M90">
            <v>27</v>
          </cell>
          <cell r="N90">
            <v>21</v>
          </cell>
          <cell r="P90">
            <v>4</v>
          </cell>
          <cell r="Q90">
            <v>61</v>
          </cell>
          <cell r="T90">
            <v>212</v>
          </cell>
          <cell r="U90">
            <v>16</v>
          </cell>
          <cell r="X90">
            <v>22</v>
          </cell>
          <cell r="Y90">
            <v>655</v>
          </cell>
        </row>
        <row r="91">
          <cell r="F91">
            <v>5</v>
          </cell>
          <cell r="H91">
            <v>69</v>
          </cell>
          <cell r="I91">
            <v>19</v>
          </cell>
          <cell r="J91">
            <v>64</v>
          </cell>
          <cell r="K91">
            <v>7</v>
          </cell>
          <cell r="L91">
            <v>30</v>
          </cell>
          <cell r="M91">
            <v>7</v>
          </cell>
          <cell r="N91">
            <v>6</v>
          </cell>
          <cell r="P91">
            <v>11</v>
          </cell>
          <cell r="Q91">
            <v>19</v>
          </cell>
          <cell r="T91">
            <v>84</v>
          </cell>
          <cell r="U91">
            <v>2</v>
          </cell>
          <cell r="X91">
            <v>2</v>
          </cell>
          <cell r="Y91">
            <v>325</v>
          </cell>
        </row>
        <row r="92">
          <cell r="F92">
            <v>1</v>
          </cell>
          <cell r="H92">
            <v>9</v>
          </cell>
          <cell r="I92">
            <v>4</v>
          </cell>
          <cell r="J92">
            <v>4</v>
          </cell>
          <cell r="L92">
            <v>4</v>
          </cell>
          <cell r="M92">
            <v>1</v>
          </cell>
          <cell r="P92">
            <v>1</v>
          </cell>
          <cell r="Q92">
            <v>2</v>
          </cell>
          <cell r="T92">
            <v>15</v>
          </cell>
          <cell r="Y92">
            <v>41</v>
          </cell>
        </row>
        <row r="93">
          <cell r="F93">
            <v>3</v>
          </cell>
          <cell r="H93">
            <v>36</v>
          </cell>
          <cell r="I93">
            <v>14</v>
          </cell>
          <cell r="J93">
            <v>59</v>
          </cell>
          <cell r="K93">
            <v>4</v>
          </cell>
          <cell r="L93">
            <v>17</v>
          </cell>
          <cell r="M93">
            <v>24</v>
          </cell>
          <cell r="N93">
            <v>9</v>
          </cell>
          <cell r="P93">
            <v>4</v>
          </cell>
          <cell r="Q93">
            <v>13</v>
          </cell>
          <cell r="T93">
            <v>52</v>
          </cell>
          <cell r="U93">
            <v>2</v>
          </cell>
          <cell r="X93">
            <v>2</v>
          </cell>
          <cell r="Y93">
            <v>239</v>
          </cell>
        </row>
        <row r="94">
          <cell r="F94">
            <v>1</v>
          </cell>
          <cell r="H94">
            <v>7</v>
          </cell>
          <cell r="I94">
            <v>9</v>
          </cell>
          <cell r="J94">
            <v>21</v>
          </cell>
          <cell r="K94">
            <v>1</v>
          </cell>
          <cell r="L94">
            <v>10</v>
          </cell>
          <cell r="M94">
            <v>5</v>
          </cell>
          <cell r="N94">
            <v>3</v>
          </cell>
          <cell r="P94">
            <v>2</v>
          </cell>
          <cell r="Q94">
            <v>1</v>
          </cell>
          <cell r="T94">
            <v>24</v>
          </cell>
          <cell r="U94">
            <v>1</v>
          </cell>
          <cell r="X94">
            <v>7</v>
          </cell>
          <cell r="Y94">
            <v>92</v>
          </cell>
        </row>
        <row r="95">
          <cell r="F95">
            <v>1</v>
          </cell>
          <cell r="H95">
            <v>5</v>
          </cell>
          <cell r="I95">
            <v>6</v>
          </cell>
          <cell r="J95">
            <v>6</v>
          </cell>
          <cell r="L95">
            <v>6</v>
          </cell>
          <cell r="M95">
            <v>1</v>
          </cell>
          <cell r="P95">
            <v>2</v>
          </cell>
          <cell r="Q95">
            <v>8</v>
          </cell>
          <cell r="T95">
            <v>3</v>
          </cell>
          <cell r="X95">
            <v>6</v>
          </cell>
          <cell r="Y95">
            <v>44</v>
          </cell>
        </row>
        <row r="96">
          <cell r="F96">
            <v>4</v>
          </cell>
          <cell r="H96">
            <v>20</v>
          </cell>
          <cell r="I96">
            <v>6</v>
          </cell>
          <cell r="J96">
            <v>7</v>
          </cell>
          <cell r="L96">
            <v>7</v>
          </cell>
          <cell r="M96">
            <v>3</v>
          </cell>
          <cell r="P96">
            <v>4</v>
          </cell>
          <cell r="Q96">
            <v>9</v>
          </cell>
          <cell r="T96">
            <v>9</v>
          </cell>
          <cell r="U96">
            <v>4</v>
          </cell>
          <cell r="X96">
            <v>3</v>
          </cell>
          <cell r="Y96">
            <v>76</v>
          </cell>
        </row>
        <row r="97">
          <cell r="H97">
            <v>5</v>
          </cell>
          <cell r="I97">
            <v>4</v>
          </cell>
          <cell r="J97">
            <v>3</v>
          </cell>
          <cell r="L97">
            <v>3</v>
          </cell>
          <cell r="M97">
            <v>4</v>
          </cell>
          <cell r="N97">
            <v>1</v>
          </cell>
          <cell r="P97">
            <v>1</v>
          </cell>
          <cell r="Q97">
            <v>3</v>
          </cell>
          <cell r="T97">
            <v>6</v>
          </cell>
          <cell r="U97">
            <v>1</v>
          </cell>
          <cell r="Y97">
            <v>31</v>
          </cell>
        </row>
        <row r="98">
          <cell r="H98">
            <v>3</v>
          </cell>
          <cell r="I98">
            <v>3</v>
          </cell>
          <cell r="J98">
            <v>2</v>
          </cell>
          <cell r="L98">
            <v>2</v>
          </cell>
          <cell r="N98">
            <v>1</v>
          </cell>
          <cell r="P98">
            <v>1</v>
          </cell>
          <cell r="Q98">
            <v>1</v>
          </cell>
          <cell r="T98">
            <v>5</v>
          </cell>
          <cell r="U98">
            <v>1</v>
          </cell>
          <cell r="Y98">
            <v>19</v>
          </cell>
        </row>
        <row r="99">
          <cell r="H99">
            <v>2</v>
          </cell>
          <cell r="P99">
            <v>0</v>
          </cell>
          <cell r="T99">
            <v>1</v>
          </cell>
          <cell r="Y99">
            <v>3</v>
          </cell>
        </row>
        <row r="100">
          <cell r="H100">
            <v>20</v>
          </cell>
          <cell r="I100">
            <v>1</v>
          </cell>
          <cell r="J100">
            <v>6</v>
          </cell>
          <cell r="L100">
            <v>4</v>
          </cell>
          <cell r="M100">
            <v>1</v>
          </cell>
          <cell r="N100">
            <v>1</v>
          </cell>
          <cell r="P100">
            <v>2</v>
          </cell>
          <cell r="Q100">
            <v>2</v>
          </cell>
          <cell r="T100">
            <v>15</v>
          </cell>
          <cell r="X100">
            <v>3</v>
          </cell>
          <cell r="Y100">
            <v>55</v>
          </cell>
        </row>
        <row r="101">
          <cell r="F101">
            <v>15</v>
          </cell>
          <cell r="H101">
            <v>118</v>
          </cell>
          <cell r="I101">
            <v>19</v>
          </cell>
          <cell r="J101">
            <v>39</v>
          </cell>
          <cell r="K101">
            <v>1</v>
          </cell>
          <cell r="L101">
            <v>43</v>
          </cell>
          <cell r="M101">
            <v>11</v>
          </cell>
          <cell r="N101">
            <v>24</v>
          </cell>
          <cell r="P101">
            <v>14</v>
          </cell>
          <cell r="Q101">
            <v>68</v>
          </cell>
          <cell r="T101">
            <v>182</v>
          </cell>
          <cell r="U101">
            <v>4</v>
          </cell>
          <cell r="X101">
            <v>34</v>
          </cell>
          <cell r="Y101">
            <v>572</v>
          </cell>
        </row>
        <row r="102">
          <cell r="F102">
            <v>7</v>
          </cell>
          <cell r="H102">
            <v>161</v>
          </cell>
          <cell r="I102">
            <v>12</v>
          </cell>
          <cell r="J102">
            <v>51</v>
          </cell>
          <cell r="K102">
            <v>2</v>
          </cell>
          <cell r="L102">
            <v>29</v>
          </cell>
          <cell r="M102">
            <v>17</v>
          </cell>
          <cell r="N102">
            <v>12</v>
          </cell>
          <cell r="P102">
            <v>23</v>
          </cell>
          <cell r="Q102">
            <v>25</v>
          </cell>
          <cell r="T102">
            <v>117</v>
          </cell>
          <cell r="U102">
            <v>3</v>
          </cell>
          <cell r="X102">
            <v>11</v>
          </cell>
          <cell r="Y102">
            <v>470</v>
          </cell>
        </row>
        <row r="103">
          <cell r="H103">
            <v>8</v>
          </cell>
          <cell r="I103">
            <v>1</v>
          </cell>
          <cell r="J103">
            <v>1</v>
          </cell>
          <cell r="P103">
            <v>1</v>
          </cell>
          <cell r="Q103">
            <v>1</v>
          </cell>
          <cell r="T103">
            <v>5</v>
          </cell>
          <cell r="Y103">
            <v>17</v>
          </cell>
        </row>
        <row r="104">
          <cell r="F104">
            <v>5</v>
          </cell>
          <cell r="H104">
            <v>178</v>
          </cell>
          <cell r="I104">
            <v>6</v>
          </cell>
          <cell r="J104">
            <v>48</v>
          </cell>
          <cell r="K104">
            <v>1</v>
          </cell>
          <cell r="L104">
            <v>13</v>
          </cell>
          <cell r="M104">
            <v>15</v>
          </cell>
          <cell r="N104">
            <v>9</v>
          </cell>
          <cell r="P104">
            <v>11</v>
          </cell>
          <cell r="Q104">
            <v>31</v>
          </cell>
          <cell r="T104">
            <v>83</v>
          </cell>
          <cell r="U104">
            <v>1</v>
          </cell>
          <cell r="X104">
            <v>9</v>
          </cell>
          <cell r="Y104">
            <v>410</v>
          </cell>
        </row>
        <row r="105">
          <cell r="F105">
            <v>3</v>
          </cell>
          <cell r="H105">
            <v>41</v>
          </cell>
          <cell r="I105">
            <v>2</v>
          </cell>
          <cell r="J105">
            <v>32</v>
          </cell>
          <cell r="K105">
            <v>2</v>
          </cell>
          <cell r="L105">
            <v>18</v>
          </cell>
          <cell r="M105">
            <v>12</v>
          </cell>
          <cell r="N105">
            <v>2</v>
          </cell>
          <cell r="P105">
            <v>8</v>
          </cell>
          <cell r="Q105">
            <v>11</v>
          </cell>
          <cell r="T105">
            <v>59</v>
          </cell>
          <cell r="U105">
            <v>2</v>
          </cell>
          <cell r="X105">
            <v>20</v>
          </cell>
          <cell r="Y105">
            <v>212</v>
          </cell>
        </row>
        <row r="106">
          <cell r="H106">
            <v>15</v>
          </cell>
          <cell r="I106">
            <v>2</v>
          </cell>
          <cell r="J106">
            <v>7</v>
          </cell>
          <cell r="L106">
            <v>8</v>
          </cell>
          <cell r="N106">
            <v>1</v>
          </cell>
          <cell r="P106">
            <v>2</v>
          </cell>
          <cell r="Q106">
            <v>9</v>
          </cell>
          <cell r="T106">
            <v>6</v>
          </cell>
          <cell r="U106">
            <v>1</v>
          </cell>
          <cell r="X106">
            <v>8</v>
          </cell>
          <cell r="Y106">
            <v>59</v>
          </cell>
        </row>
        <row r="107">
          <cell r="F107">
            <v>3</v>
          </cell>
          <cell r="H107">
            <v>47</v>
          </cell>
          <cell r="I107">
            <v>2</v>
          </cell>
          <cell r="J107">
            <v>4</v>
          </cell>
          <cell r="K107">
            <v>1</v>
          </cell>
          <cell r="L107">
            <v>3</v>
          </cell>
          <cell r="M107">
            <v>1</v>
          </cell>
          <cell r="N107">
            <v>2</v>
          </cell>
          <cell r="P107">
            <v>1</v>
          </cell>
          <cell r="Q107">
            <v>11</v>
          </cell>
          <cell r="T107">
            <v>18</v>
          </cell>
          <cell r="X107">
            <v>4</v>
          </cell>
          <cell r="Y107">
            <v>97</v>
          </cell>
        </row>
        <row r="108">
          <cell r="H108">
            <v>28</v>
          </cell>
          <cell r="J108">
            <v>5</v>
          </cell>
          <cell r="L108">
            <v>3</v>
          </cell>
          <cell r="M108">
            <v>2</v>
          </cell>
          <cell r="N108">
            <v>4</v>
          </cell>
          <cell r="P108">
            <v>1</v>
          </cell>
          <cell r="Q108">
            <v>6</v>
          </cell>
          <cell r="T108">
            <v>11</v>
          </cell>
          <cell r="U108">
            <v>2</v>
          </cell>
          <cell r="X108">
            <v>7</v>
          </cell>
          <cell r="Y108">
            <v>69</v>
          </cell>
        </row>
        <row r="109">
          <cell r="H109">
            <v>19</v>
          </cell>
          <cell r="J109">
            <v>2</v>
          </cell>
          <cell r="L109">
            <v>2</v>
          </cell>
          <cell r="P109">
            <v>4</v>
          </cell>
          <cell r="Q109">
            <v>13</v>
          </cell>
          <cell r="T109">
            <v>10</v>
          </cell>
          <cell r="X109">
            <v>1</v>
          </cell>
          <cell r="Y109">
            <v>51</v>
          </cell>
        </row>
        <row r="110">
          <cell r="H110">
            <v>2</v>
          </cell>
          <cell r="N110">
            <v>1</v>
          </cell>
          <cell r="P110">
            <v>0</v>
          </cell>
          <cell r="T110">
            <v>3</v>
          </cell>
          <cell r="Y110">
            <v>6</v>
          </cell>
        </row>
        <row r="111">
          <cell r="F111">
            <v>2</v>
          </cell>
          <cell r="H111">
            <v>16</v>
          </cell>
          <cell r="I111">
            <v>2</v>
          </cell>
          <cell r="J111">
            <v>9</v>
          </cell>
          <cell r="K111">
            <v>1</v>
          </cell>
          <cell r="L111">
            <v>8</v>
          </cell>
          <cell r="M111">
            <v>4</v>
          </cell>
          <cell r="N111">
            <v>3</v>
          </cell>
          <cell r="P111">
            <v>1</v>
          </cell>
          <cell r="Q111">
            <v>19</v>
          </cell>
          <cell r="T111">
            <v>14</v>
          </cell>
          <cell r="X111">
            <v>2</v>
          </cell>
          <cell r="Y111">
            <v>81</v>
          </cell>
        </row>
        <row r="112">
          <cell r="F112">
            <v>9</v>
          </cell>
          <cell r="H112">
            <v>30</v>
          </cell>
          <cell r="I112">
            <v>16</v>
          </cell>
          <cell r="J112">
            <v>18</v>
          </cell>
          <cell r="L112">
            <v>38</v>
          </cell>
          <cell r="M112">
            <v>22</v>
          </cell>
          <cell r="N112">
            <v>3</v>
          </cell>
          <cell r="P112">
            <v>11</v>
          </cell>
          <cell r="Q112">
            <v>42</v>
          </cell>
          <cell r="T112">
            <v>54</v>
          </cell>
          <cell r="U112">
            <v>4</v>
          </cell>
          <cell r="X112">
            <v>12</v>
          </cell>
          <cell r="Y112">
            <v>259</v>
          </cell>
        </row>
        <row r="113">
          <cell r="F113">
            <v>6</v>
          </cell>
          <cell r="H113">
            <v>20</v>
          </cell>
          <cell r="I113">
            <v>5</v>
          </cell>
          <cell r="J113">
            <v>24</v>
          </cell>
          <cell r="L113">
            <v>19</v>
          </cell>
          <cell r="M113">
            <v>14</v>
          </cell>
          <cell r="P113">
            <v>19</v>
          </cell>
          <cell r="Q113">
            <v>21</v>
          </cell>
          <cell r="T113">
            <v>38</v>
          </cell>
          <cell r="X113">
            <v>1</v>
          </cell>
          <cell r="Y113">
            <v>167</v>
          </cell>
        </row>
        <row r="114">
          <cell r="J114">
            <v>2</v>
          </cell>
          <cell r="M114">
            <v>2</v>
          </cell>
          <cell r="P114">
            <v>0</v>
          </cell>
          <cell r="Q114">
            <v>1</v>
          </cell>
          <cell r="T114">
            <v>4</v>
          </cell>
          <cell r="Y114">
            <v>9</v>
          </cell>
        </row>
        <row r="115">
          <cell r="F115">
            <v>3</v>
          </cell>
          <cell r="H115">
            <v>16</v>
          </cell>
          <cell r="I115">
            <v>1</v>
          </cell>
          <cell r="J115">
            <v>21</v>
          </cell>
          <cell r="L115">
            <v>7</v>
          </cell>
          <cell r="M115">
            <v>14</v>
          </cell>
          <cell r="N115">
            <v>6</v>
          </cell>
          <cell r="P115">
            <v>17</v>
          </cell>
          <cell r="Q115">
            <v>20</v>
          </cell>
          <cell r="T115">
            <v>17</v>
          </cell>
          <cell r="U115">
            <v>2</v>
          </cell>
          <cell r="X115">
            <v>4</v>
          </cell>
          <cell r="Y115">
            <v>128</v>
          </cell>
        </row>
        <row r="116">
          <cell r="F116">
            <v>3</v>
          </cell>
          <cell r="H116">
            <v>8</v>
          </cell>
          <cell r="I116">
            <v>1</v>
          </cell>
          <cell r="J116">
            <v>17</v>
          </cell>
          <cell r="L116">
            <v>10</v>
          </cell>
          <cell r="M116">
            <v>9</v>
          </cell>
          <cell r="N116">
            <v>1</v>
          </cell>
          <cell r="P116">
            <v>4</v>
          </cell>
          <cell r="Q116">
            <v>3</v>
          </cell>
          <cell r="T116">
            <v>10</v>
          </cell>
          <cell r="X116">
            <v>5</v>
          </cell>
          <cell r="Y116">
            <v>71</v>
          </cell>
        </row>
        <row r="117">
          <cell r="H117">
            <v>1</v>
          </cell>
          <cell r="I117">
            <v>1</v>
          </cell>
          <cell r="K117">
            <v>1</v>
          </cell>
          <cell r="L117">
            <v>2</v>
          </cell>
          <cell r="P117">
            <v>2</v>
          </cell>
          <cell r="Q117">
            <v>8</v>
          </cell>
          <cell r="T117">
            <v>4</v>
          </cell>
          <cell r="X117">
            <v>1</v>
          </cell>
          <cell r="Y117">
            <v>20</v>
          </cell>
        </row>
        <row r="118">
          <cell r="F118">
            <v>1</v>
          </cell>
          <cell r="H118">
            <v>5</v>
          </cell>
          <cell r="J118">
            <v>3</v>
          </cell>
          <cell r="L118">
            <v>1</v>
          </cell>
          <cell r="M118">
            <v>2</v>
          </cell>
          <cell r="N118">
            <v>1</v>
          </cell>
          <cell r="P118">
            <v>2</v>
          </cell>
          <cell r="Q118">
            <v>6</v>
          </cell>
          <cell r="T118">
            <v>4</v>
          </cell>
          <cell r="X118">
            <v>2</v>
          </cell>
          <cell r="Y118">
            <v>27</v>
          </cell>
        </row>
        <row r="119">
          <cell r="L119">
            <v>3</v>
          </cell>
          <cell r="N119">
            <v>1</v>
          </cell>
          <cell r="P119">
            <v>1</v>
          </cell>
          <cell r="Q119">
            <v>2</v>
          </cell>
          <cell r="Y119">
            <v>7</v>
          </cell>
        </row>
        <row r="120">
          <cell r="J120">
            <v>3</v>
          </cell>
          <cell r="M120">
            <v>1</v>
          </cell>
          <cell r="N120">
            <v>1</v>
          </cell>
          <cell r="P120">
            <v>3</v>
          </cell>
          <cell r="Q120">
            <v>5</v>
          </cell>
          <cell r="T120">
            <v>1</v>
          </cell>
          <cell r="Y120">
            <v>14</v>
          </cell>
        </row>
        <row r="121">
          <cell r="P121">
            <v>0</v>
          </cell>
          <cell r="Y121">
            <v>0</v>
          </cell>
        </row>
        <row r="122">
          <cell r="I122">
            <v>3</v>
          </cell>
          <cell r="J122">
            <v>1</v>
          </cell>
          <cell r="L122">
            <v>6</v>
          </cell>
          <cell r="M122">
            <v>1</v>
          </cell>
          <cell r="P122">
            <v>1</v>
          </cell>
          <cell r="T122">
            <v>7</v>
          </cell>
          <cell r="Y122">
            <v>19</v>
          </cell>
        </row>
        <row r="123">
          <cell r="F123">
            <v>4</v>
          </cell>
          <cell r="H123">
            <v>7</v>
          </cell>
          <cell r="I123">
            <v>7</v>
          </cell>
          <cell r="J123">
            <v>9</v>
          </cell>
          <cell r="L123">
            <v>21</v>
          </cell>
          <cell r="M123">
            <v>1</v>
          </cell>
          <cell r="P123">
            <v>6</v>
          </cell>
          <cell r="Q123">
            <v>4</v>
          </cell>
          <cell r="T123">
            <v>39</v>
          </cell>
          <cell r="U123">
            <v>8</v>
          </cell>
          <cell r="X123">
            <v>4</v>
          </cell>
          <cell r="Y123">
            <v>110</v>
          </cell>
        </row>
        <row r="124">
          <cell r="F124">
            <v>1</v>
          </cell>
          <cell r="H124">
            <v>14</v>
          </cell>
          <cell r="I124">
            <v>7</v>
          </cell>
          <cell r="J124">
            <v>15</v>
          </cell>
          <cell r="L124">
            <v>13</v>
          </cell>
          <cell r="M124">
            <v>3</v>
          </cell>
          <cell r="P124">
            <v>10</v>
          </cell>
          <cell r="Q124">
            <v>3</v>
          </cell>
          <cell r="T124">
            <v>27</v>
          </cell>
          <cell r="U124">
            <v>2</v>
          </cell>
          <cell r="X124">
            <v>2</v>
          </cell>
          <cell r="Y124">
            <v>97</v>
          </cell>
        </row>
        <row r="125">
          <cell r="L125">
            <v>1</v>
          </cell>
          <cell r="M125">
            <v>1</v>
          </cell>
          <cell r="P125">
            <v>0</v>
          </cell>
          <cell r="Y125">
            <v>2</v>
          </cell>
        </row>
        <row r="126">
          <cell r="H126">
            <v>3</v>
          </cell>
          <cell r="I126">
            <v>3</v>
          </cell>
          <cell r="J126">
            <v>12</v>
          </cell>
          <cell r="L126">
            <v>3</v>
          </cell>
          <cell r="M126">
            <v>1</v>
          </cell>
          <cell r="P126">
            <v>4</v>
          </cell>
          <cell r="T126">
            <v>10</v>
          </cell>
          <cell r="U126">
            <v>1</v>
          </cell>
          <cell r="X126">
            <v>2</v>
          </cell>
          <cell r="Y126">
            <v>39</v>
          </cell>
        </row>
        <row r="127">
          <cell r="H127">
            <v>6</v>
          </cell>
          <cell r="I127">
            <v>1</v>
          </cell>
          <cell r="J127">
            <v>12</v>
          </cell>
          <cell r="L127">
            <v>3</v>
          </cell>
          <cell r="M127">
            <v>1</v>
          </cell>
          <cell r="P127">
            <v>1</v>
          </cell>
          <cell r="Q127">
            <v>1</v>
          </cell>
          <cell r="T127">
            <v>3</v>
          </cell>
          <cell r="Y127">
            <v>28</v>
          </cell>
        </row>
        <row r="128">
          <cell r="J128">
            <v>1</v>
          </cell>
          <cell r="L128">
            <v>1</v>
          </cell>
          <cell r="P128">
            <v>3</v>
          </cell>
          <cell r="T128">
            <v>1</v>
          </cell>
          <cell r="U128">
            <v>1</v>
          </cell>
          <cell r="X128">
            <v>1</v>
          </cell>
          <cell r="Y128">
            <v>8</v>
          </cell>
        </row>
        <row r="129">
          <cell r="H129">
            <v>3</v>
          </cell>
          <cell r="I129">
            <v>1</v>
          </cell>
          <cell r="J129">
            <v>2</v>
          </cell>
          <cell r="L129">
            <v>6</v>
          </cell>
          <cell r="P129">
            <v>0</v>
          </cell>
          <cell r="Q129">
            <v>1</v>
          </cell>
          <cell r="T129">
            <v>2</v>
          </cell>
          <cell r="U129">
            <v>1</v>
          </cell>
          <cell r="Y129">
            <v>16</v>
          </cell>
        </row>
        <row r="130">
          <cell r="J130">
            <v>2</v>
          </cell>
          <cell r="L130">
            <v>4</v>
          </cell>
          <cell r="P130">
            <v>0</v>
          </cell>
          <cell r="Q130">
            <v>2</v>
          </cell>
          <cell r="T130">
            <v>2</v>
          </cell>
          <cell r="X130">
            <v>2</v>
          </cell>
          <cell r="Y130">
            <v>12</v>
          </cell>
        </row>
        <row r="131">
          <cell r="F131">
            <v>1</v>
          </cell>
          <cell r="I131">
            <v>1</v>
          </cell>
          <cell r="M131">
            <v>1</v>
          </cell>
          <cell r="P131">
            <v>1</v>
          </cell>
          <cell r="T131">
            <v>2</v>
          </cell>
          <cell r="Y131">
            <v>6</v>
          </cell>
        </row>
        <row r="132">
          <cell r="P132">
            <v>0</v>
          </cell>
          <cell r="Y132">
            <v>0</v>
          </cell>
        </row>
        <row r="133">
          <cell r="F133">
            <v>26</v>
          </cell>
          <cell r="G133">
            <v>61</v>
          </cell>
          <cell r="H133">
            <v>178</v>
          </cell>
          <cell r="I133">
            <v>92</v>
          </cell>
          <cell r="J133">
            <v>309</v>
          </cell>
          <cell r="K133">
            <v>46</v>
          </cell>
          <cell r="L133">
            <v>431</v>
          </cell>
          <cell r="M133">
            <v>72</v>
          </cell>
          <cell r="N133">
            <v>54</v>
          </cell>
          <cell r="O133">
            <v>132</v>
          </cell>
          <cell r="P133">
            <v>43</v>
          </cell>
          <cell r="Q133">
            <v>48</v>
          </cell>
          <cell r="R133">
            <v>97</v>
          </cell>
          <cell r="S133">
            <v>77</v>
          </cell>
          <cell r="T133">
            <v>389</v>
          </cell>
          <cell r="U133">
            <v>24</v>
          </cell>
          <cell r="V133">
            <v>252</v>
          </cell>
          <cell r="W133">
            <v>37</v>
          </cell>
          <cell r="X133">
            <v>27</v>
          </cell>
          <cell r="Y133">
            <v>2395</v>
          </cell>
          <cell r="Z133">
            <v>14094</v>
          </cell>
        </row>
        <row r="134">
          <cell r="F134">
            <v>242</v>
          </cell>
          <cell r="G134">
            <v>449</v>
          </cell>
          <cell r="H134">
            <v>1440</v>
          </cell>
          <cell r="I134">
            <v>989</v>
          </cell>
          <cell r="J134">
            <v>2702</v>
          </cell>
          <cell r="K134">
            <v>313</v>
          </cell>
          <cell r="L134">
            <v>3503</v>
          </cell>
          <cell r="M134">
            <v>620</v>
          </cell>
          <cell r="N134">
            <v>637</v>
          </cell>
          <cell r="O134">
            <v>1096</v>
          </cell>
          <cell r="P134">
            <v>534</v>
          </cell>
          <cell r="Q134">
            <v>416</v>
          </cell>
          <cell r="R134">
            <v>521</v>
          </cell>
          <cell r="S134">
            <v>643</v>
          </cell>
          <cell r="T134">
            <v>3203</v>
          </cell>
          <cell r="U134">
            <v>285</v>
          </cell>
          <cell r="V134">
            <v>1813</v>
          </cell>
          <cell r="W134">
            <v>294</v>
          </cell>
          <cell r="X134">
            <v>277</v>
          </cell>
          <cell r="Y134">
            <v>19977</v>
          </cell>
          <cell r="Z134">
            <v>117222</v>
          </cell>
        </row>
        <row r="135">
          <cell r="F135">
            <v>301</v>
          </cell>
          <cell r="G135">
            <v>577</v>
          </cell>
          <cell r="H135">
            <v>1540</v>
          </cell>
          <cell r="I135">
            <v>1320</v>
          </cell>
          <cell r="J135">
            <v>2995</v>
          </cell>
          <cell r="K135">
            <v>371</v>
          </cell>
          <cell r="L135">
            <v>4127</v>
          </cell>
          <cell r="M135">
            <v>796</v>
          </cell>
          <cell r="N135">
            <v>642</v>
          </cell>
          <cell r="O135">
            <v>1326</v>
          </cell>
          <cell r="P135">
            <v>513</v>
          </cell>
          <cell r="Q135">
            <v>477</v>
          </cell>
          <cell r="R135">
            <v>430</v>
          </cell>
          <cell r="S135">
            <v>495</v>
          </cell>
          <cell r="T135">
            <v>3077</v>
          </cell>
          <cell r="U135">
            <v>389</v>
          </cell>
          <cell r="V135">
            <v>1796</v>
          </cell>
          <cell r="W135">
            <v>325</v>
          </cell>
          <cell r="X135">
            <v>342</v>
          </cell>
          <cell r="Y135">
            <v>21839</v>
          </cell>
          <cell r="Z135">
            <v>126332</v>
          </cell>
        </row>
        <row r="136">
          <cell r="F136">
            <v>164</v>
          </cell>
          <cell r="G136">
            <v>313</v>
          </cell>
          <cell r="H136">
            <v>766</v>
          </cell>
          <cell r="I136">
            <v>857</v>
          </cell>
          <cell r="J136">
            <v>1818</v>
          </cell>
          <cell r="K136">
            <v>227</v>
          </cell>
          <cell r="L136">
            <v>2786</v>
          </cell>
          <cell r="M136">
            <v>529</v>
          </cell>
          <cell r="N136">
            <v>399</v>
          </cell>
          <cell r="O136">
            <v>774</v>
          </cell>
          <cell r="P136">
            <v>361</v>
          </cell>
          <cell r="Q136">
            <v>264</v>
          </cell>
          <cell r="R136">
            <v>242</v>
          </cell>
          <cell r="S136">
            <v>249</v>
          </cell>
          <cell r="T136">
            <v>1714</v>
          </cell>
          <cell r="U136">
            <v>228</v>
          </cell>
          <cell r="V136">
            <v>1165</v>
          </cell>
          <cell r="W136">
            <v>212</v>
          </cell>
          <cell r="X136">
            <v>238</v>
          </cell>
          <cell r="Y136">
            <v>13306</v>
          </cell>
          <cell r="Z136">
            <v>77587</v>
          </cell>
        </row>
        <row r="137">
          <cell r="F137">
            <v>42</v>
          </cell>
          <cell r="G137">
            <v>86</v>
          </cell>
          <cell r="H137">
            <v>130</v>
          </cell>
          <cell r="I137">
            <v>176</v>
          </cell>
          <cell r="J137">
            <v>447</v>
          </cell>
          <cell r="K137">
            <v>99</v>
          </cell>
          <cell r="L137">
            <v>916</v>
          </cell>
          <cell r="M137">
            <v>109</v>
          </cell>
          <cell r="N137">
            <v>75</v>
          </cell>
          <cell r="O137">
            <v>226</v>
          </cell>
          <cell r="P137">
            <v>62</v>
          </cell>
          <cell r="Q137">
            <v>77</v>
          </cell>
          <cell r="R137">
            <v>60</v>
          </cell>
          <cell r="S137">
            <v>58</v>
          </cell>
          <cell r="T137">
            <v>349</v>
          </cell>
          <cell r="U137">
            <v>45</v>
          </cell>
          <cell r="V137">
            <v>271</v>
          </cell>
          <cell r="W137">
            <v>65</v>
          </cell>
          <cell r="X137">
            <v>50</v>
          </cell>
          <cell r="Y137">
            <v>3343</v>
          </cell>
          <cell r="Z137">
            <v>18760</v>
          </cell>
        </row>
        <row r="138">
          <cell r="H138">
            <v>3</v>
          </cell>
          <cell r="I138">
            <v>2</v>
          </cell>
          <cell r="J138">
            <v>2</v>
          </cell>
          <cell r="L138">
            <v>6</v>
          </cell>
          <cell r="P138">
            <v>1</v>
          </cell>
          <cell r="Q138">
            <v>1</v>
          </cell>
          <cell r="T138">
            <v>3</v>
          </cell>
          <cell r="Y138">
            <v>18</v>
          </cell>
        </row>
        <row r="139">
          <cell r="F139">
            <v>9</v>
          </cell>
          <cell r="H139">
            <v>42</v>
          </cell>
          <cell r="I139">
            <v>24</v>
          </cell>
          <cell r="J139">
            <v>40</v>
          </cell>
          <cell r="K139">
            <v>1</v>
          </cell>
          <cell r="L139">
            <v>85</v>
          </cell>
          <cell r="M139">
            <v>5</v>
          </cell>
          <cell r="N139">
            <v>16</v>
          </cell>
          <cell r="P139">
            <v>13</v>
          </cell>
          <cell r="Q139">
            <v>8</v>
          </cell>
          <cell r="T139">
            <v>90</v>
          </cell>
          <cell r="U139">
            <v>5</v>
          </cell>
          <cell r="X139">
            <v>5</v>
          </cell>
          <cell r="Y139">
            <v>343</v>
          </cell>
        </row>
        <row r="140">
          <cell r="F140">
            <v>2</v>
          </cell>
          <cell r="H140">
            <v>29</v>
          </cell>
          <cell r="I140">
            <v>6</v>
          </cell>
          <cell r="J140">
            <v>51</v>
          </cell>
          <cell r="K140">
            <v>4</v>
          </cell>
          <cell r="L140">
            <v>89</v>
          </cell>
          <cell r="M140">
            <v>9</v>
          </cell>
          <cell r="N140">
            <v>3</v>
          </cell>
          <cell r="P140">
            <v>10</v>
          </cell>
          <cell r="Q140">
            <v>12</v>
          </cell>
          <cell r="T140">
            <v>81</v>
          </cell>
          <cell r="U140">
            <v>1</v>
          </cell>
          <cell r="X140">
            <v>5</v>
          </cell>
          <cell r="Y140">
            <v>302</v>
          </cell>
        </row>
        <row r="141">
          <cell r="H141">
            <v>3</v>
          </cell>
          <cell r="L141">
            <v>2</v>
          </cell>
          <cell r="P141">
            <v>0</v>
          </cell>
          <cell r="Y141">
            <v>5</v>
          </cell>
        </row>
        <row r="142">
          <cell r="F142">
            <v>3</v>
          </cell>
          <cell r="H142">
            <v>20</v>
          </cell>
          <cell r="I142">
            <v>9</v>
          </cell>
          <cell r="J142">
            <v>31</v>
          </cell>
          <cell r="L142">
            <v>37</v>
          </cell>
          <cell r="M142">
            <v>4</v>
          </cell>
          <cell r="N142">
            <v>3</v>
          </cell>
          <cell r="P142">
            <v>4</v>
          </cell>
          <cell r="Q142">
            <v>4</v>
          </cell>
          <cell r="T142">
            <v>26</v>
          </cell>
          <cell r="U142">
            <v>2</v>
          </cell>
          <cell r="Y142">
            <v>143</v>
          </cell>
        </row>
        <row r="143">
          <cell r="F143">
            <v>2</v>
          </cell>
          <cell r="H143">
            <v>7</v>
          </cell>
          <cell r="I143">
            <v>3</v>
          </cell>
          <cell r="J143">
            <v>26</v>
          </cell>
          <cell r="L143">
            <v>23</v>
          </cell>
          <cell r="M143">
            <v>10</v>
          </cell>
          <cell r="N143">
            <v>2</v>
          </cell>
          <cell r="P143">
            <v>5</v>
          </cell>
          <cell r="Q143">
            <v>2</v>
          </cell>
          <cell r="T143">
            <v>25</v>
          </cell>
          <cell r="X143">
            <v>2</v>
          </cell>
          <cell r="Y143">
            <v>107</v>
          </cell>
        </row>
        <row r="144">
          <cell r="H144">
            <v>3</v>
          </cell>
          <cell r="I144">
            <v>3</v>
          </cell>
          <cell r="J144">
            <v>7</v>
          </cell>
          <cell r="K144">
            <v>3</v>
          </cell>
          <cell r="L144">
            <v>15</v>
          </cell>
          <cell r="N144">
            <v>1</v>
          </cell>
          <cell r="P144">
            <v>4</v>
          </cell>
          <cell r="Q144">
            <v>1</v>
          </cell>
          <cell r="T144">
            <v>5</v>
          </cell>
          <cell r="Y144">
            <v>42</v>
          </cell>
        </row>
        <row r="145">
          <cell r="F145">
            <v>4</v>
          </cell>
          <cell r="H145">
            <v>19</v>
          </cell>
          <cell r="I145">
            <v>3</v>
          </cell>
          <cell r="J145">
            <v>11</v>
          </cell>
          <cell r="L145">
            <v>23</v>
          </cell>
          <cell r="M145">
            <v>6</v>
          </cell>
          <cell r="N145">
            <v>9</v>
          </cell>
          <cell r="P145">
            <v>6</v>
          </cell>
          <cell r="Q145">
            <v>3</v>
          </cell>
          <cell r="T145">
            <v>8</v>
          </cell>
          <cell r="U145">
            <v>1</v>
          </cell>
          <cell r="Y145">
            <v>93</v>
          </cell>
        </row>
        <row r="146">
          <cell r="H146">
            <v>4</v>
          </cell>
          <cell r="I146">
            <v>1</v>
          </cell>
          <cell r="J146">
            <v>7</v>
          </cell>
          <cell r="K146">
            <v>1</v>
          </cell>
          <cell r="L146">
            <v>9</v>
          </cell>
          <cell r="M146">
            <v>1</v>
          </cell>
          <cell r="P146">
            <v>0</v>
          </cell>
          <cell r="T146">
            <v>9</v>
          </cell>
          <cell r="U146">
            <v>2</v>
          </cell>
          <cell r="Y146">
            <v>34</v>
          </cell>
        </row>
        <row r="147">
          <cell r="H147">
            <v>2</v>
          </cell>
          <cell r="J147">
            <v>4</v>
          </cell>
          <cell r="L147">
            <v>2</v>
          </cell>
          <cell r="M147">
            <v>1</v>
          </cell>
          <cell r="P147">
            <v>0</v>
          </cell>
          <cell r="T147">
            <v>4</v>
          </cell>
          <cell r="U147">
            <v>1</v>
          </cell>
          <cell r="Y147">
            <v>14</v>
          </cell>
        </row>
        <row r="148">
          <cell r="H148">
            <v>1</v>
          </cell>
          <cell r="M148">
            <v>1</v>
          </cell>
          <cell r="P148">
            <v>0</v>
          </cell>
          <cell r="T148">
            <v>1</v>
          </cell>
          <cell r="U148">
            <v>1</v>
          </cell>
          <cell r="Y148">
            <v>4</v>
          </cell>
        </row>
        <row r="149">
          <cell r="F149">
            <v>44</v>
          </cell>
          <cell r="H149">
            <v>167</v>
          </cell>
          <cell r="I149">
            <v>106</v>
          </cell>
          <cell r="J149">
            <v>400</v>
          </cell>
          <cell r="K149">
            <v>30</v>
          </cell>
          <cell r="L149">
            <v>411</v>
          </cell>
          <cell r="M149">
            <v>62</v>
          </cell>
          <cell r="N149">
            <v>58</v>
          </cell>
          <cell r="P149">
            <v>89</v>
          </cell>
          <cell r="Q149">
            <v>45</v>
          </cell>
          <cell r="T149">
            <v>379</v>
          </cell>
          <cell r="U149">
            <v>27</v>
          </cell>
          <cell r="X149">
            <v>30</v>
          </cell>
          <cell r="Y149">
            <v>1848</v>
          </cell>
        </row>
        <row r="150">
          <cell r="F150">
            <v>102</v>
          </cell>
          <cell r="H150">
            <v>395</v>
          </cell>
          <cell r="I150">
            <v>333</v>
          </cell>
          <cell r="J150">
            <v>475</v>
          </cell>
          <cell r="K150">
            <v>42</v>
          </cell>
          <cell r="L150">
            <v>1380</v>
          </cell>
          <cell r="M150">
            <v>167</v>
          </cell>
          <cell r="N150">
            <v>257</v>
          </cell>
          <cell r="P150">
            <v>128</v>
          </cell>
          <cell r="Q150">
            <v>155</v>
          </cell>
          <cell r="T150">
            <v>1114</v>
          </cell>
          <cell r="U150">
            <v>128</v>
          </cell>
          <cell r="X150">
            <v>117</v>
          </cell>
          <cell r="Y150">
            <v>4793</v>
          </cell>
        </row>
        <row r="151">
          <cell r="F151">
            <v>28</v>
          </cell>
          <cell r="H151">
            <v>358</v>
          </cell>
          <cell r="I151">
            <v>195</v>
          </cell>
          <cell r="J151">
            <v>526</v>
          </cell>
          <cell r="K151">
            <v>66</v>
          </cell>
          <cell r="L151">
            <v>728</v>
          </cell>
          <cell r="M151">
            <v>109</v>
          </cell>
          <cell r="N151">
            <v>101</v>
          </cell>
          <cell r="P151">
            <v>161</v>
          </cell>
          <cell r="Q151">
            <v>69</v>
          </cell>
          <cell r="T151">
            <v>662</v>
          </cell>
          <cell r="U151">
            <v>25</v>
          </cell>
          <cell r="X151">
            <v>28</v>
          </cell>
          <cell r="Y151">
            <v>3056</v>
          </cell>
        </row>
        <row r="152">
          <cell r="F152">
            <v>2</v>
          </cell>
          <cell r="H152">
            <v>33</v>
          </cell>
          <cell r="I152">
            <v>11</v>
          </cell>
          <cell r="J152">
            <v>25</v>
          </cell>
          <cell r="K152">
            <v>1</v>
          </cell>
          <cell r="L152">
            <v>23</v>
          </cell>
          <cell r="M152">
            <v>7</v>
          </cell>
          <cell r="P152">
            <v>9</v>
          </cell>
          <cell r="T152">
            <v>81</v>
          </cell>
          <cell r="U152">
            <v>1</v>
          </cell>
          <cell r="X152">
            <v>2</v>
          </cell>
          <cell r="Y152">
            <v>195</v>
          </cell>
        </row>
        <row r="153">
          <cell r="F153">
            <v>26</v>
          </cell>
          <cell r="H153">
            <v>201</v>
          </cell>
          <cell r="I153">
            <v>113</v>
          </cell>
          <cell r="J153">
            <v>592</v>
          </cell>
          <cell r="K153">
            <v>37</v>
          </cell>
          <cell r="L153">
            <v>169</v>
          </cell>
          <cell r="M153">
            <v>89</v>
          </cell>
          <cell r="N153">
            <v>62</v>
          </cell>
          <cell r="P153">
            <v>76</v>
          </cell>
          <cell r="Q153">
            <v>47</v>
          </cell>
          <cell r="T153">
            <v>405</v>
          </cell>
          <cell r="U153">
            <v>41</v>
          </cell>
          <cell r="X153">
            <v>19</v>
          </cell>
          <cell r="Y153">
            <v>1877</v>
          </cell>
        </row>
        <row r="154">
          <cell r="F154">
            <v>10</v>
          </cell>
          <cell r="H154">
            <v>48</v>
          </cell>
          <cell r="I154">
            <v>34</v>
          </cell>
          <cell r="J154">
            <v>218</v>
          </cell>
          <cell r="K154">
            <v>13</v>
          </cell>
          <cell r="L154">
            <v>279</v>
          </cell>
          <cell r="M154">
            <v>57</v>
          </cell>
          <cell r="N154">
            <v>21</v>
          </cell>
          <cell r="P154">
            <v>18</v>
          </cell>
          <cell r="Q154">
            <v>12</v>
          </cell>
          <cell r="T154">
            <v>156</v>
          </cell>
          <cell r="U154">
            <v>3</v>
          </cell>
          <cell r="X154">
            <v>32</v>
          </cell>
          <cell r="Y154">
            <v>901</v>
          </cell>
        </row>
        <row r="155">
          <cell r="F155">
            <v>2</v>
          </cell>
          <cell r="H155">
            <v>23</v>
          </cell>
          <cell r="I155">
            <v>61</v>
          </cell>
          <cell r="J155">
            <v>39</v>
          </cell>
          <cell r="K155">
            <v>3</v>
          </cell>
          <cell r="L155">
            <v>148</v>
          </cell>
          <cell r="M155">
            <v>7</v>
          </cell>
          <cell r="N155">
            <v>18</v>
          </cell>
          <cell r="P155">
            <v>9</v>
          </cell>
          <cell r="Q155">
            <v>24</v>
          </cell>
          <cell r="T155">
            <v>38</v>
          </cell>
          <cell r="U155">
            <v>7</v>
          </cell>
          <cell r="X155">
            <v>19</v>
          </cell>
          <cell r="Y155">
            <v>398</v>
          </cell>
        </row>
        <row r="156">
          <cell r="F156">
            <v>14</v>
          </cell>
          <cell r="H156">
            <v>88</v>
          </cell>
          <cell r="I156">
            <v>66</v>
          </cell>
          <cell r="J156">
            <v>199</v>
          </cell>
          <cell r="K156">
            <v>10</v>
          </cell>
          <cell r="L156">
            <v>150</v>
          </cell>
          <cell r="M156">
            <v>29</v>
          </cell>
          <cell r="N156">
            <v>46</v>
          </cell>
          <cell r="P156">
            <v>24</v>
          </cell>
          <cell r="Q156">
            <v>22</v>
          </cell>
          <cell r="T156">
            <v>121</v>
          </cell>
          <cell r="U156">
            <v>28</v>
          </cell>
          <cell r="X156">
            <v>20</v>
          </cell>
          <cell r="Y156">
            <v>817</v>
          </cell>
        </row>
        <row r="157">
          <cell r="F157">
            <v>3</v>
          </cell>
          <cell r="H157">
            <v>33</v>
          </cell>
          <cell r="I157">
            <v>24</v>
          </cell>
          <cell r="J157">
            <v>48</v>
          </cell>
          <cell r="K157">
            <v>9</v>
          </cell>
          <cell r="L157">
            <v>60</v>
          </cell>
          <cell r="M157">
            <v>15</v>
          </cell>
          <cell r="N157">
            <v>13</v>
          </cell>
          <cell r="P157">
            <v>9</v>
          </cell>
          <cell r="Q157">
            <v>10</v>
          </cell>
          <cell r="T157">
            <v>50</v>
          </cell>
          <cell r="U157">
            <v>9</v>
          </cell>
          <cell r="X157">
            <v>7</v>
          </cell>
          <cell r="Y157">
            <v>290</v>
          </cell>
        </row>
        <row r="158">
          <cell r="F158">
            <v>1</v>
          </cell>
          <cell r="H158">
            <v>24</v>
          </cell>
          <cell r="I158">
            <v>5</v>
          </cell>
          <cell r="J158">
            <v>51</v>
          </cell>
          <cell r="K158">
            <v>8</v>
          </cell>
          <cell r="L158">
            <v>23</v>
          </cell>
          <cell r="M158">
            <v>8</v>
          </cell>
          <cell r="N158">
            <v>10</v>
          </cell>
          <cell r="P158">
            <v>11</v>
          </cell>
          <cell r="Q158">
            <v>14</v>
          </cell>
          <cell r="T158">
            <v>27</v>
          </cell>
          <cell r="U158">
            <v>2</v>
          </cell>
          <cell r="Y158">
            <v>184</v>
          </cell>
        </row>
        <row r="159">
          <cell r="H159">
            <v>10</v>
          </cell>
          <cell r="J159">
            <v>1</v>
          </cell>
          <cell r="L159">
            <v>2</v>
          </cell>
          <cell r="M159">
            <v>2</v>
          </cell>
          <cell r="N159">
            <v>5</v>
          </cell>
          <cell r="P159">
            <v>0</v>
          </cell>
          <cell r="T159">
            <v>14</v>
          </cell>
          <cell r="X159">
            <v>2</v>
          </cell>
          <cell r="Y159">
            <v>36</v>
          </cell>
        </row>
        <row r="160">
          <cell r="F160">
            <v>54</v>
          </cell>
          <cell r="H160">
            <v>267</v>
          </cell>
          <cell r="I160">
            <v>298</v>
          </cell>
          <cell r="J160">
            <v>764</v>
          </cell>
          <cell r="K160">
            <v>42</v>
          </cell>
          <cell r="L160">
            <v>864</v>
          </cell>
          <cell r="M160">
            <v>135</v>
          </cell>
          <cell r="N160">
            <v>110</v>
          </cell>
          <cell r="P160">
            <v>124</v>
          </cell>
          <cell r="Q160">
            <v>129</v>
          </cell>
          <cell r="T160">
            <v>530</v>
          </cell>
          <cell r="U160">
            <v>60</v>
          </cell>
          <cell r="X160">
            <v>84</v>
          </cell>
          <cell r="Y160">
            <v>3461</v>
          </cell>
        </row>
        <row r="161">
          <cell r="F161">
            <v>102</v>
          </cell>
          <cell r="H161">
            <v>399</v>
          </cell>
          <cell r="I161">
            <v>334</v>
          </cell>
          <cell r="J161">
            <v>408</v>
          </cell>
          <cell r="K161">
            <v>43</v>
          </cell>
          <cell r="L161">
            <v>1734</v>
          </cell>
          <cell r="M161">
            <v>260</v>
          </cell>
          <cell r="N161">
            <v>227</v>
          </cell>
          <cell r="P161">
            <v>83</v>
          </cell>
          <cell r="Q161">
            <v>158</v>
          </cell>
          <cell r="T161">
            <v>1027</v>
          </cell>
          <cell r="U161">
            <v>174</v>
          </cell>
          <cell r="X161">
            <v>128</v>
          </cell>
          <cell r="Y161">
            <v>5077</v>
          </cell>
        </row>
        <row r="162">
          <cell r="F162">
            <v>31</v>
          </cell>
          <cell r="H162">
            <v>333</v>
          </cell>
          <cell r="I162">
            <v>287</v>
          </cell>
          <cell r="J162">
            <v>382</v>
          </cell>
          <cell r="K162">
            <v>86</v>
          </cell>
          <cell r="L162">
            <v>506</v>
          </cell>
          <cell r="M162">
            <v>68</v>
          </cell>
          <cell r="N162">
            <v>72</v>
          </cell>
          <cell r="P162">
            <v>116</v>
          </cell>
          <cell r="Q162">
            <v>34</v>
          </cell>
          <cell r="T162">
            <v>498</v>
          </cell>
          <cell r="U162">
            <v>15</v>
          </cell>
          <cell r="X162">
            <v>15</v>
          </cell>
          <cell r="Y162">
            <v>2443</v>
          </cell>
        </row>
        <row r="163">
          <cell r="F163">
            <v>8</v>
          </cell>
          <cell r="H163">
            <v>59</v>
          </cell>
          <cell r="I163">
            <v>52</v>
          </cell>
          <cell r="J163">
            <v>107</v>
          </cell>
          <cell r="K163">
            <v>5</v>
          </cell>
          <cell r="L163">
            <v>79</v>
          </cell>
          <cell r="M163">
            <v>35</v>
          </cell>
          <cell r="N163">
            <v>6</v>
          </cell>
          <cell r="P163">
            <v>18</v>
          </cell>
          <cell r="Q163">
            <v>1</v>
          </cell>
          <cell r="T163">
            <v>153</v>
          </cell>
          <cell r="U163">
            <v>29</v>
          </cell>
          <cell r="X163">
            <v>10</v>
          </cell>
          <cell r="Y163">
            <v>562</v>
          </cell>
        </row>
        <row r="164">
          <cell r="F164">
            <v>63</v>
          </cell>
          <cell r="H164">
            <v>268</v>
          </cell>
          <cell r="I164">
            <v>176</v>
          </cell>
          <cell r="J164">
            <v>871</v>
          </cell>
          <cell r="K164">
            <v>35</v>
          </cell>
          <cell r="L164">
            <v>273</v>
          </cell>
          <cell r="M164">
            <v>156</v>
          </cell>
          <cell r="N164">
            <v>123</v>
          </cell>
          <cell r="P164">
            <v>83</v>
          </cell>
          <cell r="Q164">
            <v>66</v>
          </cell>
          <cell r="T164">
            <v>465</v>
          </cell>
          <cell r="U164">
            <v>59</v>
          </cell>
          <cell r="X164">
            <v>34</v>
          </cell>
          <cell r="Y164">
            <v>2672</v>
          </cell>
        </row>
        <row r="165">
          <cell r="F165">
            <v>13</v>
          </cell>
          <cell r="H165">
            <v>42</v>
          </cell>
          <cell r="I165">
            <v>33</v>
          </cell>
          <cell r="J165">
            <v>143</v>
          </cell>
          <cell r="K165">
            <v>6</v>
          </cell>
          <cell r="L165">
            <v>264</v>
          </cell>
          <cell r="M165">
            <v>47</v>
          </cell>
          <cell r="N165">
            <v>33</v>
          </cell>
          <cell r="P165">
            <v>25</v>
          </cell>
          <cell r="Q165">
            <v>13</v>
          </cell>
          <cell r="T165">
            <v>150</v>
          </cell>
          <cell r="U165">
            <v>5</v>
          </cell>
          <cell r="X165">
            <v>26</v>
          </cell>
          <cell r="Y165">
            <v>800</v>
          </cell>
        </row>
        <row r="166">
          <cell r="F166">
            <v>2</v>
          </cell>
          <cell r="H166">
            <v>16</v>
          </cell>
          <cell r="I166">
            <v>14</v>
          </cell>
          <cell r="J166">
            <v>48</v>
          </cell>
          <cell r="K166">
            <v>1</v>
          </cell>
          <cell r="L166">
            <v>106</v>
          </cell>
          <cell r="M166">
            <v>2</v>
          </cell>
          <cell r="N166">
            <v>5</v>
          </cell>
          <cell r="P166">
            <v>14</v>
          </cell>
          <cell r="Q166">
            <v>24</v>
          </cell>
          <cell r="T166">
            <v>32</v>
          </cell>
          <cell r="U166">
            <v>5</v>
          </cell>
          <cell r="X166">
            <v>8</v>
          </cell>
          <cell r="Y166">
            <v>277</v>
          </cell>
        </row>
        <row r="167">
          <cell r="F167">
            <v>9</v>
          </cell>
          <cell r="H167">
            <v>96</v>
          </cell>
          <cell r="I167">
            <v>67</v>
          </cell>
          <cell r="J167">
            <v>157</v>
          </cell>
          <cell r="K167">
            <v>7</v>
          </cell>
          <cell r="L167">
            <v>188</v>
          </cell>
          <cell r="M167">
            <v>26</v>
          </cell>
          <cell r="N167">
            <v>28</v>
          </cell>
          <cell r="P167">
            <v>30</v>
          </cell>
          <cell r="Q167">
            <v>18</v>
          </cell>
          <cell r="T167">
            <v>117</v>
          </cell>
          <cell r="U167">
            <v>23</v>
          </cell>
          <cell r="X167">
            <v>14</v>
          </cell>
          <cell r="Y167">
            <v>780</v>
          </cell>
        </row>
        <row r="168">
          <cell r="F168">
            <v>5</v>
          </cell>
          <cell r="H168">
            <v>31</v>
          </cell>
          <cell r="I168">
            <v>20</v>
          </cell>
          <cell r="J168">
            <v>52</v>
          </cell>
          <cell r="K168">
            <v>2</v>
          </cell>
          <cell r="L168">
            <v>60</v>
          </cell>
          <cell r="M168">
            <v>18</v>
          </cell>
          <cell r="N168">
            <v>22</v>
          </cell>
          <cell r="P168">
            <v>4</v>
          </cell>
          <cell r="Q168">
            <v>12</v>
          </cell>
          <cell r="T168">
            <v>38</v>
          </cell>
          <cell r="U168">
            <v>18</v>
          </cell>
          <cell r="X168">
            <v>11</v>
          </cell>
          <cell r="Y168">
            <v>293</v>
          </cell>
        </row>
        <row r="169">
          <cell r="F169">
            <v>5</v>
          </cell>
          <cell r="H169">
            <v>27</v>
          </cell>
          <cell r="I169">
            <v>12</v>
          </cell>
          <cell r="J169">
            <v>44</v>
          </cell>
          <cell r="K169">
            <v>6</v>
          </cell>
          <cell r="L169">
            <v>35</v>
          </cell>
          <cell r="M169">
            <v>6</v>
          </cell>
          <cell r="N169">
            <v>10</v>
          </cell>
          <cell r="P169">
            <v>15</v>
          </cell>
          <cell r="Q169">
            <v>11</v>
          </cell>
          <cell r="T169">
            <v>43</v>
          </cell>
          <cell r="U169">
            <v>2</v>
          </cell>
          <cell r="X169">
            <v>2</v>
          </cell>
          <cell r="Y169">
            <v>218</v>
          </cell>
        </row>
        <row r="170">
          <cell r="F170">
            <v>1</v>
          </cell>
          <cell r="H170">
            <v>8</v>
          </cell>
          <cell r="I170">
            <v>4</v>
          </cell>
          <cell r="J170">
            <v>1</v>
          </cell>
          <cell r="L170">
            <v>3</v>
          </cell>
          <cell r="N170">
            <v>2</v>
          </cell>
          <cell r="P170">
            <v>1</v>
          </cell>
          <cell r="T170">
            <v>7</v>
          </cell>
          <cell r="Y170">
            <v>27</v>
          </cell>
        </row>
        <row r="171">
          <cell r="F171">
            <v>29</v>
          </cell>
          <cell r="H171">
            <v>115</v>
          </cell>
          <cell r="I171">
            <v>186</v>
          </cell>
          <cell r="J171">
            <v>451</v>
          </cell>
          <cell r="K171">
            <v>23</v>
          </cell>
          <cell r="L171">
            <v>685</v>
          </cell>
          <cell r="M171">
            <v>108</v>
          </cell>
          <cell r="N171">
            <v>74</v>
          </cell>
          <cell r="P171">
            <v>104</v>
          </cell>
          <cell r="Q171">
            <v>62</v>
          </cell>
          <cell r="T171">
            <v>313</v>
          </cell>
          <cell r="U171">
            <v>37</v>
          </cell>
          <cell r="X171">
            <v>48</v>
          </cell>
          <cell r="Y171">
            <v>2235</v>
          </cell>
        </row>
        <row r="172">
          <cell r="F172">
            <v>52</v>
          </cell>
          <cell r="H172">
            <v>247</v>
          </cell>
          <cell r="I172">
            <v>218</v>
          </cell>
          <cell r="J172">
            <v>191</v>
          </cell>
          <cell r="K172">
            <v>25</v>
          </cell>
          <cell r="L172">
            <v>1112</v>
          </cell>
          <cell r="M172">
            <v>166</v>
          </cell>
          <cell r="N172">
            <v>106</v>
          </cell>
          <cell r="P172">
            <v>45</v>
          </cell>
          <cell r="Q172">
            <v>97</v>
          </cell>
          <cell r="T172">
            <v>575</v>
          </cell>
          <cell r="U172">
            <v>107</v>
          </cell>
          <cell r="X172">
            <v>99</v>
          </cell>
          <cell r="Y172">
            <v>3040</v>
          </cell>
        </row>
        <row r="173">
          <cell r="F173">
            <v>29</v>
          </cell>
          <cell r="H173">
            <v>126</v>
          </cell>
          <cell r="I173">
            <v>159</v>
          </cell>
          <cell r="J173">
            <v>236</v>
          </cell>
          <cell r="K173">
            <v>50</v>
          </cell>
          <cell r="L173">
            <v>361</v>
          </cell>
          <cell r="M173">
            <v>41</v>
          </cell>
          <cell r="N173">
            <v>45</v>
          </cell>
          <cell r="P173">
            <v>68</v>
          </cell>
          <cell r="Q173">
            <v>42</v>
          </cell>
          <cell r="T173">
            <v>277</v>
          </cell>
          <cell r="U173">
            <v>11</v>
          </cell>
          <cell r="X173">
            <v>18</v>
          </cell>
          <cell r="Y173">
            <v>1463</v>
          </cell>
        </row>
        <row r="174">
          <cell r="F174">
            <v>10</v>
          </cell>
          <cell r="H174">
            <v>38</v>
          </cell>
          <cell r="I174">
            <v>100</v>
          </cell>
          <cell r="J174">
            <v>72</v>
          </cell>
          <cell r="K174">
            <v>3</v>
          </cell>
          <cell r="L174">
            <v>78</v>
          </cell>
          <cell r="M174">
            <v>28</v>
          </cell>
          <cell r="N174">
            <v>6</v>
          </cell>
          <cell r="P174">
            <v>22</v>
          </cell>
          <cell r="Q174">
            <v>8</v>
          </cell>
          <cell r="T174">
            <v>106</v>
          </cell>
          <cell r="U174">
            <v>7</v>
          </cell>
          <cell r="X174">
            <v>9</v>
          </cell>
          <cell r="Y174">
            <v>487</v>
          </cell>
        </row>
        <row r="175">
          <cell r="F175">
            <v>32</v>
          </cell>
          <cell r="H175">
            <v>176</v>
          </cell>
          <cell r="I175">
            <v>112</v>
          </cell>
          <cell r="J175">
            <v>637</v>
          </cell>
          <cell r="K175">
            <v>8</v>
          </cell>
          <cell r="L175">
            <v>194</v>
          </cell>
          <cell r="M175">
            <v>126</v>
          </cell>
          <cell r="N175">
            <v>120</v>
          </cell>
          <cell r="P175">
            <v>64</v>
          </cell>
          <cell r="Q175">
            <v>45</v>
          </cell>
          <cell r="T175">
            <v>313</v>
          </cell>
          <cell r="U175">
            <v>32</v>
          </cell>
          <cell r="X175">
            <v>25</v>
          </cell>
          <cell r="Y175">
            <v>1884</v>
          </cell>
        </row>
        <row r="176">
          <cell r="F176">
            <v>12</v>
          </cell>
          <cell r="H176">
            <v>41</v>
          </cell>
          <cell r="I176">
            <v>50</v>
          </cell>
          <cell r="J176">
            <v>135</v>
          </cell>
          <cell r="K176">
            <v>1</v>
          </cell>
          <cell r="L176">
            <v>186</v>
          </cell>
          <cell r="M176">
            <v>33</v>
          </cell>
          <cell r="N176">
            <v>16</v>
          </cell>
          <cell r="P176">
            <v>16</v>
          </cell>
          <cell r="Q176">
            <v>10</v>
          </cell>
          <cell r="T176">
            <v>92</v>
          </cell>
          <cell r="U176">
            <v>6</v>
          </cell>
          <cell r="X176">
            <v>20</v>
          </cell>
          <cell r="Y176">
            <v>618</v>
          </cell>
        </row>
        <row r="177">
          <cell r="F177">
            <v>2</v>
          </cell>
          <cell r="H177">
            <v>9</v>
          </cell>
          <cell r="I177">
            <v>8</v>
          </cell>
          <cell r="J177">
            <v>28</v>
          </cell>
          <cell r="L177">
            <v>70</v>
          </cell>
          <cell r="M177">
            <v>5</v>
          </cell>
          <cell r="N177">
            <v>3</v>
          </cell>
          <cell r="P177">
            <v>4</v>
          </cell>
          <cell r="Q177">
            <v>5</v>
          </cell>
          <cell r="T177">
            <v>21</v>
          </cell>
          <cell r="U177">
            <v>5</v>
          </cell>
          <cell r="X177">
            <v>7</v>
          </cell>
          <cell r="Y177">
            <v>167</v>
          </cell>
        </row>
        <row r="178">
          <cell r="F178">
            <v>12</v>
          </cell>
          <cell r="H178">
            <v>54</v>
          </cell>
          <cell r="I178">
            <v>54</v>
          </cell>
          <cell r="J178">
            <v>80</v>
          </cell>
          <cell r="K178">
            <v>5</v>
          </cell>
          <cell r="L178">
            <v>121</v>
          </cell>
          <cell r="M178">
            <v>12</v>
          </cell>
          <cell r="N178">
            <v>16</v>
          </cell>
          <cell r="P178">
            <v>16</v>
          </cell>
          <cell r="Q178">
            <v>14</v>
          </cell>
          <cell r="T178">
            <v>60</v>
          </cell>
          <cell r="U178">
            <v>19</v>
          </cell>
          <cell r="X178">
            <v>16</v>
          </cell>
          <cell r="Y178">
            <v>479</v>
          </cell>
        </row>
        <row r="179">
          <cell r="H179">
            <v>19</v>
          </cell>
          <cell r="I179">
            <v>9</v>
          </cell>
          <cell r="J179">
            <v>39</v>
          </cell>
          <cell r="K179">
            <v>2</v>
          </cell>
          <cell r="L179">
            <v>36</v>
          </cell>
          <cell r="M179">
            <v>10</v>
          </cell>
          <cell r="N179">
            <v>15</v>
          </cell>
          <cell r="P179">
            <v>10</v>
          </cell>
          <cell r="Q179">
            <v>8</v>
          </cell>
          <cell r="T179">
            <v>30</v>
          </cell>
          <cell r="U179">
            <v>9</v>
          </cell>
          <cell r="X179">
            <v>6</v>
          </cell>
          <cell r="Y179">
            <v>193</v>
          </cell>
        </row>
        <row r="180">
          <cell r="F180">
            <v>1</v>
          </cell>
          <cell r="H180">
            <v>12</v>
          </cell>
          <cell r="I180">
            <v>10</v>
          </cell>
          <cell r="J180">
            <v>26</v>
          </cell>
          <cell r="K180">
            <v>7</v>
          </cell>
          <cell r="L180">
            <v>21</v>
          </cell>
          <cell r="M180">
            <v>10</v>
          </cell>
          <cell r="N180">
            <v>6</v>
          </cell>
          <cell r="P180">
            <v>12</v>
          </cell>
          <cell r="Q180">
            <v>5</v>
          </cell>
          <cell r="T180">
            <v>15</v>
          </cell>
          <cell r="U180">
            <v>3</v>
          </cell>
          <cell r="X180">
            <v>1</v>
          </cell>
          <cell r="Y180">
            <v>129</v>
          </cell>
        </row>
        <row r="181">
          <cell r="F181">
            <v>1</v>
          </cell>
          <cell r="H181">
            <v>1</v>
          </cell>
          <cell r="I181">
            <v>2</v>
          </cell>
          <cell r="L181">
            <v>1</v>
          </cell>
          <cell r="N181">
            <v>1</v>
          </cell>
          <cell r="P181">
            <v>0</v>
          </cell>
          <cell r="T181">
            <v>7</v>
          </cell>
          <cell r="Y181">
            <v>13</v>
          </cell>
        </row>
        <row r="182">
          <cell r="F182">
            <v>1</v>
          </cell>
          <cell r="H182">
            <v>7</v>
          </cell>
          <cell r="I182">
            <v>13</v>
          </cell>
          <cell r="J182">
            <v>55</v>
          </cell>
          <cell r="K182">
            <v>2</v>
          </cell>
          <cell r="L182">
            <v>125</v>
          </cell>
          <cell r="M182">
            <v>13</v>
          </cell>
          <cell r="N182">
            <v>4</v>
          </cell>
          <cell r="P182">
            <v>4</v>
          </cell>
          <cell r="Q182">
            <v>5</v>
          </cell>
          <cell r="T182">
            <v>23</v>
          </cell>
          <cell r="U182">
            <v>1</v>
          </cell>
          <cell r="X182">
            <v>8</v>
          </cell>
          <cell r="Y182">
            <v>261</v>
          </cell>
        </row>
        <row r="183">
          <cell r="F183">
            <v>20</v>
          </cell>
          <cell r="H183">
            <v>59</v>
          </cell>
          <cell r="I183">
            <v>58</v>
          </cell>
          <cell r="J183">
            <v>83</v>
          </cell>
          <cell r="K183">
            <v>10</v>
          </cell>
          <cell r="L183">
            <v>430</v>
          </cell>
          <cell r="M183">
            <v>48</v>
          </cell>
          <cell r="N183">
            <v>28</v>
          </cell>
          <cell r="P183">
            <v>15</v>
          </cell>
          <cell r="Q183">
            <v>27</v>
          </cell>
          <cell r="T183">
            <v>158</v>
          </cell>
          <cell r="U183">
            <v>24</v>
          </cell>
          <cell r="X183">
            <v>25</v>
          </cell>
          <cell r="Y183">
            <v>985</v>
          </cell>
        </row>
        <row r="184">
          <cell r="H184">
            <v>13</v>
          </cell>
          <cell r="I184">
            <v>35</v>
          </cell>
          <cell r="J184">
            <v>62</v>
          </cell>
          <cell r="K184">
            <v>22</v>
          </cell>
          <cell r="L184">
            <v>125</v>
          </cell>
          <cell r="M184">
            <v>13</v>
          </cell>
          <cell r="N184">
            <v>12</v>
          </cell>
          <cell r="P184">
            <v>9</v>
          </cell>
          <cell r="Q184">
            <v>4</v>
          </cell>
          <cell r="T184">
            <v>74</v>
          </cell>
          <cell r="U184">
            <v>3</v>
          </cell>
          <cell r="X184">
            <v>3</v>
          </cell>
          <cell r="Y184">
            <v>375</v>
          </cell>
        </row>
        <row r="185">
          <cell r="H185">
            <v>1</v>
          </cell>
          <cell r="I185">
            <v>9</v>
          </cell>
          <cell r="J185">
            <v>5</v>
          </cell>
          <cell r="K185">
            <v>2</v>
          </cell>
          <cell r="L185">
            <v>12</v>
          </cell>
          <cell r="M185">
            <v>10</v>
          </cell>
          <cell r="P185">
            <v>3</v>
          </cell>
          <cell r="Q185">
            <v>2</v>
          </cell>
          <cell r="T185">
            <v>9</v>
          </cell>
          <cell r="U185">
            <v>1</v>
          </cell>
          <cell r="Y185">
            <v>54</v>
          </cell>
        </row>
        <row r="186">
          <cell r="F186">
            <v>9</v>
          </cell>
          <cell r="H186">
            <v>36</v>
          </cell>
          <cell r="I186">
            <v>63</v>
          </cell>
          <cell r="J186">
            <v>203</v>
          </cell>
          <cell r="K186">
            <v>8</v>
          </cell>
          <cell r="L186">
            <v>150</v>
          </cell>
          <cell r="M186">
            <v>46</v>
          </cell>
          <cell r="N186">
            <v>41</v>
          </cell>
          <cell r="P186">
            <v>17</v>
          </cell>
          <cell r="Q186">
            <v>28</v>
          </cell>
          <cell r="T186">
            <v>96</v>
          </cell>
          <cell r="U186">
            <v>13</v>
          </cell>
          <cell r="X186">
            <v>13</v>
          </cell>
          <cell r="Y186">
            <v>723</v>
          </cell>
        </row>
        <row r="187">
          <cell r="F187">
            <v>9</v>
          </cell>
          <cell r="H187">
            <v>15</v>
          </cell>
          <cell r="I187">
            <v>22</v>
          </cell>
          <cell r="J187">
            <v>75</v>
          </cell>
          <cell r="K187">
            <v>4</v>
          </cell>
          <cell r="L187">
            <v>137</v>
          </cell>
          <cell r="M187">
            <v>14</v>
          </cell>
          <cell r="N187">
            <v>4</v>
          </cell>
          <cell r="P187">
            <v>7</v>
          </cell>
          <cell r="Q187">
            <v>7</v>
          </cell>
          <cell r="T187">
            <v>38</v>
          </cell>
          <cell r="U187">
            <v>3</v>
          </cell>
          <cell r="X187">
            <v>9</v>
          </cell>
          <cell r="Y187">
            <v>344</v>
          </cell>
        </row>
        <row r="188">
          <cell r="F188">
            <v>3</v>
          </cell>
          <cell r="I188">
            <v>3</v>
          </cell>
          <cell r="J188">
            <v>8</v>
          </cell>
          <cell r="L188">
            <v>20</v>
          </cell>
          <cell r="M188">
            <v>1</v>
          </cell>
          <cell r="N188">
            <v>1</v>
          </cell>
          <cell r="P188">
            <v>1</v>
          </cell>
          <cell r="Q188">
            <v>5</v>
          </cell>
          <cell r="T188">
            <v>5</v>
          </cell>
          <cell r="U188">
            <v>2</v>
          </cell>
          <cell r="X188">
            <v>1</v>
          </cell>
          <cell r="Y188">
            <v>50</v>
          </cell>
        </row>
        <row r="189">
          <cell r="F189">
            <v>4</v>
          </cell>
          <cell r="H189">
            <v>17</v>
          </cell>
          <cell r="I189">
            <v>23</v>
          </cell>
          <cell r="J189">
            <v>46</v>
          </cell>
          <cell r="K189">
            <v>1</v>
          </cell>
          <cell r="L189">
            <v>77</v>
          </cell>
          <cell r="M189">
            <v>3</v>
          </cell>
          <cell r="N189">
            <v>5</v>
          </cell>
          <cell r="P189">
            <v>2</v>
          </cell>
          <cell r="Q189">
            <v>9</v>
          </cell>
          <cell r="T189">
            <v>13</v>
          </cell>
          <cell r="U189">
            <v>7</v>
          </cell>
          <cell r="X189">
            <v>4</v>
          </cell>
          <cell r="Y189">
            <v>211</v>
          </cell>
        </row>
        <row r="190">
          <cell r="F190">
            <v>1</v>
          </cell>
          <cell r="H190">
            <v>6</v>
          </cell>
          <cell r="I190">
            <v>4</v>
          </cell>
          <cell r="J190">
            <v>9</v>
          </cell>
          <cell r="K190">
            <v>1</v>
          </cell>
          <cell r="L190">
            <v>17</v>
          </cell>
          <cell r="M190">
            <v>4</v>
          </cell>
          <cell r="N190">
            <v>3</v>
          </cell>
          <cell r="P190">
            <v>1</v>
          </cell>
          <cell r="Q190">
            <v>3</v>
          </cell>
          <cell r="T190">
            <v>8</v>
          </cell>
          <cell r="U190">
            <v>3</v>
          </cell>
          <cell r="X190">
            <v>2</v>
          </cell>
          <cell r="Y190">
            <v>62</v>
          </cell>
        </row>
        <row r="191">
          <cell r="F191">
            <v>1</v>
          </cell>
          <cell r="J191">
            <v>5</v>
          </cell>
          <cell r="L191">
            <v>16</v>
          </cell>
          <cell r="M191">
            <v>1</v>
          </cell>
          <cell r="N191">
            <v>2</v>
          </cell>
          <cell r="P191">
            <v>3</v>
          </cell>
          <cell r="Q191">
            <v>1</v>
          </cell>
          <cell r="T191">
            <v>3</v>
          </cell>
          <cell r="U191">
            <v>1</v>
          </cell>
          <cell r="Y191">
            <v>33</v>
          </cell>
        </row>
        <row r="192">
          <cell r="P192">
            <v>0</v>
          </cell>
          <cell r="T192">
            <v>2</v>
          </cell>
          <cell r="Y192">
            <v>2</v>
          </cell>
        </row>
        <row r="193">
          <cell r="H193">
            <v>63</v>
          </cell>
          <cell r="I193">
            <v>94</v>
          </cell>
          <cell r="J193">
            <v>199</v>
          </cell>
          <cell r="K193">
            <v>24</v>
          </cell>
          <cell r="L193">
            <v>298</v>
          </cell>
          <cell r="M193">
            <v>121</v>
          </cell>
          <cell r="N193">
            <v>30</v>
          </cell>
          <cell r="P193">
            <v>57</v>
          </cell>
          <cell r="Q193">
            <v>21</v>
          </cell>
          <cell r="T193">
            <v>105</v>
          </cell>
          <cell r="U193">
            <v>0</v>
          </cell>
          <cell r="Y193">
            <v>1012</v>
          </cell>
        </row>
        <row r="194">
          <cell r="F194">
            <v>129</v>
          </cell>
          <cell r="H194">
            <v>543</v>
          </cell>
          <cell r="I194">
            <v>233</v>
          </cell>
          <cell r="J194">
            <v>1395</v>
          </cell>
          <cell r="K194">
            <v>202</v>
          </cell>
          <cell r="L194">
            <v>1192</v>
          </cell>
          <cell r="M194">
            <v>213</v>
          </cell>
          <cell r="N194">
            <v>429</v>
          </cell>
          <cell r="P194">
            <v>206</v>
          </cell>
          <cell r="Q194">
            <v>123</v>
          </cell>
          <cell r="T194">
            <v>959</v>
          </cell>
          <cell r="U194">
            <v>178</v>
          </cell>
          <cell r="Y194">
            <v>5802</v>
          </cell>
        </row>
        <row r="195">
          <cell r="F195">
            <v>6</v>
          </cell>
          <cell r="H195">
            <v>38</v>
          </cell>
          <cell r="I195">
            <v>35</v>
          </cell>
          <cell r="J195">
            <v>79</v>
          </cell>
          <cell r="K195">
            <v>8</v>
          </cell>
          <cell r="L195">
            <v>64</v>
          </cell>
          <cell r="M195">
            <v>11</v>
          </cell>
          <cell r="N195">
            <v>6</v>
          </cell>
          <cell r="P195">
            <v>11</v>
          </cell>
          <cell r="Q195">
            <v>21</v>
          </cell>
          <cell r="T195">
            <v>100</v>
          </cell>
          <cell r="U195">
            <v>12</v>
          </cell>
          <cell r="Y195">
            <v>391</v>
          </cell>
        </row>
        <row r="196">
          <cell r="F196">
            <v>26</v>
          </cell>
          <cell r="H196">
            <v>81</v>
          </cell>
          <cell r="I196">
            <v>116</v>
          </cell>
          <cell r="J196">
            <v>242</v>
          </cell>
          <cell r="K196">
            <v>37</v>
          </cell>
          <cell r="L196">
            <v>343</v>
          </cell>
          <cell r="M196">
            <v>140</v>
          </cell>
          <cell r="N196">
            <v>88</v>
          </cell>
          <cell r="P196">
            <v>64</v>
          </cell>
          <cell r="Q196">
            <v>64</v>
          </cell>
          <cell r="T196">
            <v>298</v>
          </cell>
          <cell r="U196">
            <v>20</v>
          </cell>
          <cell r="X196">
            <v>25</v>
          </cell>
          <cell r="Y196">
            <v>1544</v>
          </cell>
        </row>
        <row r="197">
          <cell r="H197">
            <v>34</v>
          </cell>
          <cell r="I197">
            <v>20</v>
          </cell>
          <cell r="J197">
            <v>72</v>
          </cell>
          <cell r="K197">
            <v>4</v>
          </cell>
          <cell r="M197">
            <v>40</v>
          </cell>
          <cell r="N197">
            <v>35</v>
          </cell>
          <cell r="P197">
            <v>11</v>
          </cell>
          <cell r="Q197">
            <v>13</v>
          </cell>
          <cell r="T197">
            <v>76</v>
          </cell>
          <cell r="U197">
            <v>7</v>
          </cell>
          <cell r="Y197">
            <v>312</v>
          </cell>
        </row>
        <row r="198">
          <cell r="H198">
            <v>16</v>
          </cell>
          <cell r="I198">
            <v>48</v>
          </cell>
          <cell r="J198">
            <v>99</v>
          </cell>
          <cell r="K198">
            <v>14</v>
          </cell>
          <cell r="L198">
            <v>96</v>
          </cell>
          <cell r="M198">
            <v>19</v>
          </cell>
          <cell r="N198">
            <v>0</v>
          </cell>
          <cell r="P198">
            <v>7</v>
          </cell>
          <cell r="Q198">
            <v>16</v>
          </cell>
          <cell r="T198">
            <v>62</v>
          </cell>
          <cell r="U198">
            <v>7</v>
          </cell>
          <cell r="Y198">
            <v>384</v>
          </cell>
        </row>
        <row r="199">
          <cell r="H199">
            <v>21</v>
          </cell>
          <cell r="I199">
            <v>24</v>
          </cell>
          <cell r="J199">
            <v>98</v>
          </cell>
          <cell r="K199">
            <v>1</v>
          </cell>
          <cell r="L199">
            <v>101</v>
          </cell>
          <cell r="M199">
            <v>35</v>
          </cell>
          <cell r="N199">
            <v>9</v>
          </cell>
          <cell r="P199">
            <v>22</v>
          </cell>
          <cell r="Q199">
            <v>10</v>
          </cell>
          <cell r="T199">
            <v>51</v>
          </cell>
          <cell r="Y199">
            <v>372</v>
          </cell>
        </row>
        <row r="200">
          <cell r="H200">
            <v>11</v>
          </cell>
          <cell r="I200">
            <v>19</v>
          </cell>
          <cell r="J200">
            <v>18</v>
          </cell>
          <cell r="K200">
            <v>2</v>
          </cell>
          <cell r="L200">
            <v>111</v>
          </cell>
          <cell r="M200">
            <v>42</v>
          </cell>
          <cell r="N200">
            <v>11</v>
          </cell>
          <cell r="P200">
            <v>4</v>
          </cell>
          <cell r="Q200">
            <v>3</v>
          </cell>
          <cell r="T200">
            <v>22</v>
          </cell>
          <cell r="Y200">
            <v>243</v>
          </cell>
        </row>
        <row r="201">
          <cell r="H201">
            <v>15</v>
          </cell>
          <cell r="I201">
            <v>25</v>
          </cell>
          <cell r="J201">
            <v>17</v>
          </cell>
          <cell r="K201">
            <v>6</v>
          </cell>
          <cell r="L201">
            <v>41</v>
          </cell>
          <cell r="M201">
            <v>7</v>
          </cell>
          <cell r="N201">
            <v>4</v>
          </cell>
          <cell r="P201">
            <v>13</v>
          </cell>
          <cell r="Q201">
            <v>2</v>
          </cell>
          <cell r="T201">
            <v>10</v>
          </cell>
          <cell r="Y201">
            <v>140</v>
          </cell>
        </row>
        <row r="202">
          <cell r="H202">
            <v>2</v>
          </cell>
          <cell r="I202">
            <v>5</v>
          </cell>
          <cell r="J202">
            <v>2</v>
          </cell>
          <cell r="L202">
            <v>3</v>
          </cell>
          <cell r="M202">
            <v>5</v>
          </cell>
          <cell r="P202">
            <v>2</v>
          </cell>
          <cell r="T202">
            <v>2</v>
          </cell>
          <cell r="Y202">
            <v>21</v>
          </cell>
        </row>
        <row r="203">
          <cell r="H203">
            <v>8</v>
          </cell>
          <cell r="I203">
            <v>15</v>
          </cell>
          <cell r="J203">
            <v>54</v>
          </cell>
          <cell r="K203">
            <v>4</v>
          </cell>
          <cell r="L203">
            <v>14</v>
          </cell>
          <cell r="M203">
            <v>14</v>
          </cell>
          <cell r="N203">
            <v>3</v>
          </cell>
          <cell r="P203">
            <v>13</v>
          </cell>
          <cell r="Q203">
            <v>5</v>
          </cell>
          <cell r="T203">
            <v>15</v>
          </cell>
          <cell r="Y203">
            <v>145</v>
          </cell>
        </row>
        <row r="204">
          <cell r="I204">
            <v>2</v>
          </cell>
          <cell r="J204">
            <v>3</v>
          </cell>
          <cell r="L204">
            <v>17</v>
          </cell>
          <cell r="M204">
            <v>4</v>
          </cell>
          <cell r="P204">
            <v>0</v>
          </cell>
          <cell r="T204">
            <v>1</v>
          </cell>
          <cell r="Y204">
            <v>27</v>
          </cell>
        </row>
        <row r="205">
          <cell r="I205">
            <v>2</v>
          </cell>
          <cell r="L205">
            <v>4</v>
          </cell>
          <cell r="P205">
            <v>0</v>
          </cell>
          <cell r="Y205">
            <v>6</v>
          </cell>
        </row>
        <row r="206">
          <cell r="H206">
            <v>2</v>
          </cell>
          <cell r="I206">
            <v>1</v>
          </cell>
          <cell r="J206">
            <v>4</v>
          </cell>
          <cell r="L206">
            <v>4</v>
          </cell>
          <cell r="M206">
            <v>1</v>
          </cell>
          <cell r="N206">
            <v>2</v>
          </cell>
          <cell r="P206">
            <v>2</v>
          </cell>
          <cell r="Q206">
            <v>1</v>
          </cell>
          <cell r="T206">
            <v>2</v>
          </cell>
          <cell r="Y206">
            <v>19</v>
          </cell>
        </row>
        <row r="207">
          <cell r="H207">
            <v>2</v>
          </cell>
          <cell r="J207">
            <v>2</v>
          </cell>
          <cell r="L207">
            <v>2</v>
          </cell>
          <cell r="M207">
            <v>3</v>
          </cell>
          <cell r="N207">
            <v>1</v>
          </cell>
          <cell r="P207">
            <v>1</v>
          </cell>
          <cell r="T207">
            <v>2</v>
          </cell>
          <cell r="Y207">
            <v>13</v>
          </cell>
        </row>
        <row r="208">
          <cell r="H208">
            <v>1</v>
          </cell>
          <cell r="I208">
            <v>1</v>
          </cell>
          <cell r="L208">
            <v>1</v>
          </cell>
          <cell r="P208">
            <v>0</v>
          </cell>
          <cell r="Y208">
            <v>3</v>
          </cell>
        </row>
        <row r="209">
          <cell r="H209">
            <v>1</v>
          </cell>
          <cell r="M209">
            <v>1</v>
          </cell>
          <cell r="P209">
            <v>0</v>
          </cell>
          <cell r="Y209">
            <v>2</v>
          </cell>
        </row>
        <row r="210">
          <cell r="F210">
            <v>25</v>
          </cell>
          <cell r="H210">
            <v>90</v>
          </cell>
          <cell r="I210">
            <v>32</v>
          </cell>
          <cell r="J210">
            <v>299</v>
          </cell>
          <cell r="K210">
            <v>23</v>
          </cell>
          <cell r="L210">
            <v>110</v>
          </cell>
          <cell r="N210">
            <v>66</v>
          </cell>
          <cell r="P210">
            <v>72</v>
          </cell>
          <cell r="Q210">
            <v>21</v>
          </cell>
          <cell r="T210">
            <v>144</v>
          </cell>
          <cell r="U210">
            <v>10</v>
          </cell>
          <cell r="Y210">
            <v>892</v>
          </cell>
        </row>
        <row r="211">
          <cell r="F211">
            <v>44</v>
          </cell>
          <cell r="H211">
            <v>129</v>
          </cell>
          <cell r="I211">
            <v>50</v>
          </cell>
          <cell r="J211">
            <v>143</v>
          </cell>
          <cell r="K211">
            <v>27</v>
          </cell>
          <cell r="L211">
            <v>475</v>
          </cell>
          <cell r="M211" t="str">
            <v>No</v>
          </cell>
          <cell r="N211">
            <v>180</v>
          </cell>
          <cell r="P211">
            <v>31</v>
          </cell>
          <cell r="Q211">
            <v>49</v>
          </cell>
          <cell r="T211">
            <v>312</v>
          </cell>
          <cell r="U211">
            <v>58</v>
          </cell>
          <cell r="Y211">
            <v>1498</v>
          </cell>
        </row>
        <row r="212">
          <cell r="F212">
            <v>14</v>
          </cell>
          <cell r="H212">
            <v>57</v>
          </cell>
          <cell r="I212">
            <v>28</v>
          </cell>
          <cell r="J212">
            <v>84</v>
          </cell>
          <cell r="K212">
            <v>45</v>
          </cell>
          <cell r="L212">
            <v>62</v>
          </cell>
          <cell r="M212" t="str">
            <v>Yes</v>
          </cell>
          <cell r="N212">
            <v>20</v>
          </cell>
          <cell r="P212">
            <v>20</v>
          </cell>
          <cell r="Q212">
            <v>3</v>
          </cell>
          <cell r="T212">
            <v>81</v>
          </cell>
          <cell r="U212">
            <v>6</v>
          </cell>
          <cell r="Y212">
            <v>420</v>
          </cell>
        </row>
        <row r="213">
          <cell r="F213">
            <v>1</v>
          </cell>
          <cell r="H213">
            <v>7</v>
          </cell>
          <cell r="I213">
            <v>5</v>
          </cell>
          <cell r="J213">
            <v>10</v>
          </cell>
          <cell r="L213">
            <v>4</v>
          </cell>
          <cell r="P213">
            <v>1</v>
          </cell>
          <cell r="T213">
            <v>15</v>
          </cell>
          <cell r="U213">
            <v>6</v>
          </cell>
          <cell r="Y213">
            <v>49</v>
          </cell>
        </row>
        <row r="214">
          <cell r="F214">
            <v>20</v>
          </cell>
          <cell r="H214">
            <v>86</v>
          </cell>
          <cell r="I214">
            <v>22</v>
          </cell>
          <cell r="J214">
            <v>339</v>
          </cell>
          <cell r="K214">
            <v>10</v>
          </cell>
          <cell r="L214">
            <v>38</v>
          </cell>
          <cell r="M214" t="str">
            <v>No</v>
          </cell>
          <cell r="N214">
            <v>50</v>
          </cell>
          <cell r="P214">
            <v>30</v>
          </cell>
          <cell r="Q214">
            <v>12</v>
          </cell>
          <cell r="T214">
            <v>100</v>
          </cell>
          <cell r="U214">
            <v>34</v>
          </cell>
          <cell r="Y214">
            <v>741</v>
          </cell>
        </row>
        <row r="215">
          <cell r="F215">
            <v>8</v>
          </cell>
          <cell r="H215">
            <v>48</v>
          </cell>
          <cell r="I215">
            <v>36</v>
          </cell>
          <cell r="J215">
            <v>239</v>
          </cell>
          <cell r="K215">
            <v>5</v>
          </cell>
          <cell r="L215">
            <v>172</v>
          </cell>
          <cell r="N215">
            <v>49</v>
          </cell>
          <cell r="P215">
            <v>18</v>
          </cell>
          <cell r="Q215">
            <v>8</v>
          </cell>
          <cell r="T215">
            <v>173</v>
          </cell>
          <cell r="U215">
            <v>9</v>
          </cell>
          <cell r="Y215">
            <v>765</v>
          </cell>
        </row>
        <row r="216">
          <cell r="F216">
            <v>1</v>
          </cell>
          <cell r="H216">
            <v>28</v>
          </cell>
          <cell r="I216">
            <v>33</v>
          </cell>
          <cell r="J216">
            <v>89</v>
          </cell>
          <cell r="K216">
            <v>2</v>
          </cell>
          <cell r="L216">
            <v>160</v>
          </cell>
          <cell r="M216" t="str">
            <v>No</v>
          </cell>
          <cell r="N216">
            <v>20</v>
          </cell>
          <cell r="P216">
            <v>12</v>
          </cell>
          <cell r="Q216">
            <v>20</v>
          </cell>
          <cell r="T216">
            <v>36</v>
          </cell>
          <cell r="U216">
            <v>13</v>
          </cell>
          <cell r="Y216">
            <v>414</v>
          </cell>
        </row>
        <row r="217">
          <cell r="F217">
            <v>11</v>
          </cell>
          <cell r="H217">
            <v>73</v>
          </cell>
          <cell r="I217">
            <v>25</v>
          </cell>
          <cell r="J217">
            <v>149</v>
          </cell>
          <cell r="K217">
            <v>6</v>
          </cell>
          <cell r="L217">
            <v>135</v>
          </cell>
          <cell r="N217">
            <v>28</v>
          </cell>
          <cell r="P217">
            <v>14</v>
          </cell>
          <cell r="Q217">
            <v>7</v>
          </cell>
          <cell r="T217">
            <v>80</v>
          </cell>
          <cell r="U217">
            <v>36</v>
          </cell>
          <cell r="Y217">
            <v>564</v>
          </cell>
        </row>
        <row r="218">
          <cell r="F218">
            <v>4</v>
          </cell>
          <cell r="H218">
            <v>6</v>
          </cell>
          <cell r="I218">
            <v>1</v>
          </cell>
          <cell r="J218">
            <v>12</v>
          </cell>
          <cell r="K218">
            <v>2</v>
          </cell>
          <cell r="L218">
            <v>19</v>
          </cell>
          <cell r="M218" t="str">
            <v>No</v>
          </cell>
          <cell r="N218">
            <v>6</v>
          </cell>
          <cell r="P218">
            <v>1</v>
          </cell>
          <cell r="T218">
            <v>7</v>
          </cell>
          <cell r="U218">
            <v>4</v>
          </cell>
          <cell r="Y218">
            <v>62</v>
          </cell>
        </row>
        <row r="219">
          <cell r="F219">
            <v>1</v>
          </cell>
          <cell r="H219">
            <v>14</v>
          </cell>
          <cell r="I219">
            <v>1</v>
          </cell>
          <cell r="J219">
            <v>13</v>
          </cell>
          <cell r="K219">
            <v>7</v>
          </cell>
          <cell r="L219">
            <v>14</v>
          </cell>
          <cell r="M219" t="str">
            <v>Yes</v>
          </cell>
          <cell r="N219">
            <v>2</v>
          </cell>
          <cell r="P219">
            <v>6</v>
          </cell>
          <cell r="Q219">
            <v>3</v>
          </cell>
          <cell r="T219">
            <v>7</v>
          </cell>
          <cell r="U219">
            <v>1</v>
          </cell>
          <cell r="Y219">
            <v>69</v>
          </cell>
        </row>
        <row r="220">
          <cell r="H220">
            <v>5</v>
          </cell>
          <cell r="J220">
            <v>1</v>
          </cell>
          <cell r="L220">
            <v>2</v>
          </cell>
          <cell r="N220">
            <v>1</v>
          </cell>
          <cell r="P220">
            <v>1</v>
          </cell>
          <cell r="T220">
            <v>4</v>
          </cell>
          <cell r="U220">
            <v>1</v>
          </cell>
          <cell r="Y220">
            <v>15</v>
          </cell>
        </row>
        <row r="221">
          <cell r="F221">
            <v>1</v>
          </cell>
          <cell r="H221">
            <v>13</v>
          </cell>
          <cell r="I221">
            <v>11</v>
          </cell>
          <cell r="J221">
            <v>31</v>
          </cell>
          <cell r="L221">
            <v>20</v>
          </cell>
          <cell r="M221">
            <v>4</v>
          </cell>
          <cell r="N221">
            <v>4</v>
          </cell>
          <cell r="P221">
            <v>5</v>
          </cell>
          <cell r="Q221">
            <v>10</v>
          </cell>
          <cell r="T221">
            <v>45</v>
          </cell>
          <cell r="U221">
            <v>5</v>
          </cell>
          <cell r="Y221">
            <v>149</v>
          </cell>
        </row>
        <row r="222">
          <cell r="F222">
            <v>2</v>
          </cell>
          <cell r="H222">
            <v>7</v>
          </cell>
          <cell r="I222">
            <v>5</v>
          </cell>
          <cell r="J222">
            <v>6</v>
          </cell>
          <cell r="L222">
            <v>17</v>
          </cell>
          <cell r="M222">
            <v>1</v>
          </cell>
          <cell r="N222">
            <v>1</v>
          </cell>
          <cell r="P222">
            <v>1</v>
          </cell>
          <cell r="Q222">
            <v>5</v>
          </cell>
          <cell r="T222">
            <v>23</v>
          </cell>
          <cell r="U222">
            <v>4</v>
          </cell>
          <cell r="Y222">
            <v>72</v>
          </cell>
        </row>
        <row r="223">
          <cell r="H223">
            <v>3</v>
          </cell>
          <cell r="I223">
            <v>10</v>
          </cell>
          <cell r="J223">
            <v>10</v>
          </cell>
          <cell r="K223">
            <v>2</v>
          </cell>
          <cell r="L223">
            <v>8</v>
          </cell>
          <cell r="P223">
            <v>1</v>
          </cell>
          <cell r="Q223">
            <v>2</v>
          </cell>
          <cell r="T223">
            <v>10</v>
          </cell>
          <cell r="Y223">
            <v>46</v>
          </cell>
        </row>
        <row r="224">
          <cell r="H224">
            <v>1</v>
          </cell>
          <cell r="J224">
            <v>1</v>
          </cell>
          <cell r="P224">
            <v>0</v>
          </cell>
          <cell r="T224">
            <v>2</v>
          </cell>
          <cell r="Y224">
            <v>4</v>
          </cell>
        </row>
        <row r="225">
          <cell r="F225">
            <v>2</v>
          </cell>
          <cell r="H225">
            <v>9</v>
          </cell>
          <cell r="I225">
            <v>4</v>
          </cell>
          <cell r="J225">
            <v>20</v>
          </cell>
          <cell r="K225">
            <v>2</v>
          </cell>
          <cell r="L225">
            <v>6</v>
          </cell>
          <cell r="M225">
            <v>1</v>
          </cell>
          <cell r="N225">
            <v>1</v>
          </cell>
          <cell r="P225">
            <v>3</v>
          </cell>
          <cell r="Q225">
            <v>2</v>
          </cell>
          <cell r="T225">
            <v>15</v>
          </cell>
          <cell r="U225">
            <v>3</v>
          </cell>
          <cell r="Y225">
            <v>68</v>
          </cell>
        </row>
        <row r="226">
          <cell r="I226">
            <v>1</v>
          </cell>
          <cell r="J226">
            <v>3</v>
          </cell>
          <cell r="L226">
            <v>7</v>
          </cell>
          <cell r="M226">
            <v>2</v>
          </cell>
          <cell r="P226">
            <v>0</v>
          </cell>
          <cell r="Q226">
            <v>1</v>
          </cell>
          <cell r="T226">
            <v>2</v>
          </cell>
          <cell r="Y226">
            <v>16</v>
          </cell>
        </row>
        <row r="227">
          <cell r="H227">
            <v>1</v>
          </cell>
          <cell r="I227">
            <v>1</v>
          </cell>
          <cell r="J227">
            <v>1</v>
          </cell>
          <cell r="L227">
            <v>2</v>
          </cell>
          <cell r="M227">
            <v>1</v>
          </cell>
          <cell r="P227">
            <v>0</v>
          </cell>
          <cell r="T227">
            <v>1</v>
          </cell>
          <cell r="Y227">
            <v>7</v>
          </cell>
        </row>
        <row r="228">
          <cell r="H228">
            <v>4</v>
          </cell>
          <cell r="I228">
            <v>2</v>
          </cell>
          <cell r="J228">
            <v>4</v>
          </cell>
          <cell r="L228">
            <v>2</v>
          </cell>
          <cell r="M228">
            <v>1</v>
          </cell>
          <cell r="P228">
            <v>0</v>
          </cell>
          <cell r="Q228">
            <v>1</v>
          </cell>
          <cell r="T228">
            <v>2</v>
          </cell>
          <cell r="Y228">
            <v>16</v>
          </cell>
        </row>
        <row r="229">
          <cell r="F229">
            <v>1</v>
          </cell>
          <cell r="I229">
            <v>1</v>
          </cell>
          <cell r="L229">
            <v>2</v>
          </cell>
          <cell r="P229">
            <v>0</v>
          </cell>
          <cell r="Y229">
            <v>4</v>
          </cell>
        </row>
        <row r="230">
          <cell r="J230">
            <v>2</v>
          </cell>
          <cell r="P230">
            <v>1</v>
          </cell>
          <cell r="Y230">
            <v>3</v>
          </cell>
        </row>
        <row r="231">
          <cell r="P231">
            <v>0</v>
          </cell>
          <cell r="Y231">
            <v>0</v>
          </cell>
        </row>
        <row r="232">
          <cell r="F232">
            <v>10</v>
          </cell>
          <cell r="H232">
            <v>26</v>
          </cell>
          <cell r="I232">
            <v>57</v>
          </cell>
          <cell r="J232">
            <v>102</v>
          </cell>
          <cell r="K232">
            <v>8</v>
          </cell>
          <cell r="L232">
            <v>136</v>
          </cell>
          <cell r="M232">
            <v>61</v>
          </cell>
          <cell r="N232">
            <v>39</v>
          </cell>
          <cell r="P232">
            <v>41</v>
          </cell>
          <cell r="Q232">
            <v>30</v>
          </cell>
          <cell r="T232">
            <v>112</v>
          </cell>
          <cell r="U232">
            <v>8</v>
          </cell>
          <cell r="X232">
            <v>18</v>
          </cell>
          <cell r="Y232">
            <v>648</v>
          </cell>
        </row>
        <row r="233">
          <cell r="F233">
            <v>9</v>
          </cell>
          <cell r="H233">
            <v>14</v>
          </cell>
          <cell r="I233">
            <v>14</v>
          </cell>
          <cell r="J233">
            <v>21</v>
          </cell>
          <cell r="K233">
            <v>1</v>
          </cell>
          <cell r="L233">
            <v>104</v>
          </cell>
          <cell r="M233">
            <v>17</v>
          </cell>
          <cell r="N233">
            <v>22</v>
          </cell>
          <cell r="P233">
            <v>4</v>
          </cell>
          <cell r="Q233">
            <v>16</v>
          </cell>
          <cell r="T233">
            <v>70</v>
          </cell>
          <cell r="U233">
            <v>7</v>
          </cell>
          <cell r="X233">
            <v>3</v>
          </cell>
          <cell r="Y233">
            <v>302</v>
          </cell>
        </row>
        <row r="234">
          <cell r="F234">
            <v>1</v>
          </cell>
          <cell r="H234">
            <v>13</v>
          </cell>
          <cell r="I234">
            <v>12</v>
          </cell>
          <cell r="J234">
            <v>10</v>
          </cell>
          <cell r="K234">
            <v>6</v>
          </cell>
          <cell r="L234">
            <v>38</v>
          </cell>
          <cell r="M234">
            <v>10</v>
          </cell>
          <cell r="N234">
            <v>2</v>
          </cell>
          <cell r="P234">
            <v>4</v>
          </cell>
          <cell r="Q234">
            <v>4</v>
          </cell>
          <cell r="T234">
            <v>15</v>
          </cell>
          <cell r="Y234">
            <v>115</v>
          </cell>
        </row>
        <row r="235">
          <cell r="F235">
            <v>1</v>
          </cell>
          <cell r="H235">
            <v>3</v>
          </cell>
          <cell r="I235">
            <v>3</v>
          </cell>
          <cell r="M235">
            <v>1</v>
          </cell>
          <cell r="P235">
            <v>1</v>
          </cell>
          <cell r="T235">
            <v>5</v>
          </cell>
          <cell r="U235">
            <v>1</v>
          </cell>
          <cell r="Y235">
            <v>15</v>
          </cell>
        </row>
        <row r="236">
          <cell r="F236">
            <v>2</v>
          </cell>
          <cell r="H236">
            <v>7</v>
          </cell>
          <cell r="I236">
            <v>18</v>
          </cell>
          <cell r="J236">
            <v>77</v>
          </cell>
          <cell r="L236">
            <v>17</v>
          </cell>
          <cell r="M236">
            <v>26</v>
          </cell>
          <cell r="N236">
            <v>12</v>
          </cell>
          <cell r="P236">
            <v>8</v>
          </cell>
          <cell r="Q236">
            <v>5</v>
          </cell>
          <cell r="T236">
            <v>39</v>
          </cell>
          <cell r="U236">
            <v>2</v>
          </cell>
          <cell r="X236">
            <v>2</v>
          </cell>
          <cell r="Y236">
            <v>215</v>
          </cell>
        </row>
        <row r="237">
          <cell r="F237">
            <v>1</v>
          </cell>
          <cell r="H237">
            <v>9</v>
          </cell>
          <cell r="I237">
            <v>7</v>
          </cell>
          <cell r="J237">
            <v>14</v>
          </cell>
          <cell r="K237">
            <v>1</v>
          </cell>
          <cell r="L237">
            <v>21</v>
          </cell>
          <cell r="M237">
            <v>10</v>
          </cell>
          <cell r="N237">
            <v>7</v>
          </cell>
          <cell r="P237">
            <v>2</v>
          </cell>
          <cell r="Q237">
            <v>3</v>
          </cell>
          <cell r="T237">
            <v>31</v>
          </cell>
          <cell r="U237">
            <v>1</v>
          </cell>
          <cell r="X237">
            <v>1</v>
          </cell>
          <cell r="Y237">
            <v>108</v>
          </cell>
        </row>
        <row r="238">
          <cell r="H238">
            <v>3</v>
          </cell>
          <cell r="I238">
            <v>3</v>
          </cell>
          <cell r="J238">
            <v>6</v>
          </cell>
          <cell r="L238">
            <v>18</v>
          </cell>
          <cell r="M238">
            <v>2</v>
          </cell>
          <cell r="P238">
            <v>2</v>
          </cell>
          <cell r="Q238">
            <v>3</v>
          </cell>
          <cell r="T238">
            <v>18</v>
          </cell>
          <cell r="U238">
            <v>1</v>
          </cell>
          <cell r="X238">
            <v>1</v>
          </cell>
          <cell r="Y238">
            <v>57</v>
          </cell>
        </row>
        <row r="239">
          <cell r="F239">
            <v>1</v>
          </cell>
          <cell r="H239">
            <v>4</v>
          </cell>
          <cell r="I239">
            <v>2</v>
          </cell>
          <cell r="J239">
            <v>4</v>
          </cell>
          <cell r="K239">
            <v>1</v>
          </cell>
          <cell r="L239">
            <v>8</v>
          </cell>
          <cell r="M239">
            <v>3</v>
          </cell>
          <cell r="N239">
            <v>3</v>
          </cell>
          <cell r="P239">
            <v>0</v>
          </cell>
          <cell r="Q239">
            <v>2</v>
          </cell>
          <cell r="T239">
            <v>3</v>
          </cell>
          <cell r="Y239">
            <v>31</v>
          </cell>
        </row>
        <row r="240">
          <cell r="F240">
            <v>1</v>
          </cell>
          <cell r="H240">
            <v>1</v>
          </cell>
          <cell r="J240">
            <v>2</v>
          </cell>
          <cell r="M240">
            <v>1</v>
          </cell>
          <cell r="N240">
            <v>1</v>
          </cell>
          <cell r="P240">
            <v>0</v>
          </cell>
          <cell r="Q240">
            <v>1</v>
          </cell>
          <cell r="T240">
            <v>1</v>
          </cell>
          <cell r="Y240">
            <v>8</v>
          </cell>
        </row>
        <row r="241">
          <cell r="J241">
            <v>3</v>
          </cell>
          <cell r="K241">
            <v>2</v>
          </cell>
          <cell r="M241">
            <v>1</v>
          </cell>
          <cell r="N241">
            <v>2</v>
          </cell>
          <cell r="P241">
            <v>2</v>
          </cell>
          <cell r="T241">
            <v>2</v>
          </cell>
          <cell r="Y241">
            <v>12</v>
          </cell>
        </row>
        <row r="242">
          <cell r="H242">
            <v>1</v>
          </cell>
          <cell r="L242">
            <v>1</v>
          </cell>
          <cell r="P242">
            <v>0</v>
          </cell>
          <cell r="T242">
            <v>2</v>
          </cell>
          <cell r="Y242">
            <v>4</v>
          </cell>
        </row>
        <row r="243">
          <cell r="H243">
            <v>5</v>
          </cell>
          <cell r="I243">
            <v>7</v>
          </cell>
          <cell r="J243">
            <v>22</v>
          </cell>
          <cell r="K243">
            <v>1</v>
          </cell>
          <cell r="M243">
            <v>18</v>
          </cell>
          <cell r="N243">
            <v>12</v>
          </cell>
          <cell r="P243">
            <v>7</v>
          </cell>
          <cell r="Q243">
            <v>3</v>
          </cell>
          <cell r="T243">
            <v>12</v>
          </cell>
          <cell r="U243">
            <v>2</v>
          </cell>
          <cell r="Y243">
            <v>89</v>
          </cell>
        </row>
        <row r="244">
          <cell r="H244">
            <v>12</v>
          </cell>
          <cell r="I244">
            <v>7</v>
          </cell>
          <cell r="J244">
            <v>13</v>
          </cell>
          <cell r="K244">
            <v>1</v>
          </cell>
          <cell r="M244">
            <v>8</v>
          </cell>
          <cell r="N244">
            <v>14</v>
          </cell>
          <cell r="P244">
            <v>2</v>
          </cell>
          <cell r="Q244">
            <v>8</v>
          </cell>
          <cell r="T244">
            <v>30</v>
          </cell>
          <cell r="U244">
            <v>3</v>
          </cell>
          <cell r="Y244">
            <v>98</v>
          </cell>
        </row>
        <row r="245">
          <cell r="H245">
            <v>1</v>
          </cell>
          <cell r="J245">
            <v>2</v>
          </cell>
          <cell r="K245">
            <v>2</v>
          </cell>
          <cell r="M245">
            <v>3</v>
          </cell>
          <cell r="P245">
            <v>0</v>
          </cell>
          <cell r="T245">
            <v>2</v>
          </cell>
          <cell r="Y245">
            <v>10</v>
          </cell>
        </row>
        <row r="246">
          <cell r="P246">
            <v>0</v>
          </cell>
          <cell r="T246">
            <v>1</v>
          </cell>
          <cell r="Y246">
            <v>1</v>
          </cell>
        </row>
        <row r="247">
          <cell r="H247">
            <v>2</v>
          </cell>
          <cell r="I247">
            <v>1</v>
          </cell>
          <cell r="J247">
            <v>16</v>
          </cell>
          <cell r="M247">
            <v>3</v>
          </cell>
          <cell r="N247">
            <v>3</v>
          </cell>
          <cell r="P247">
            <v>0</v>
          </cell>
          <cell r="T247">
            <v>3</v>
          </cell>
          <cell r="U247">
            <v>1</v>
          </cell>
          <cell r="Y247">
            <v>29</v>
          </cell>
        </row>
        <row r="248">
          <cell r="H248">
            <v>8</v>
          </cell>
          <cell r="I248">
            <v>4</v>
          </cell>
          <cell r="J248">
            <v>8</v>
          </cell>
          <cell r="M248">
            <v>6</v>
          </cell>
          <cell r="N248">
            <v>4</v>
          </cell>
          <cell r="P248">
            <v>2</v>
          </cell>
          <cell r="T248">
            <v>15</v>
          </cell>
          <cell r="Y248">
            <v>47</v>
          </cell>
        </row>
        <row r="249">
          <cell r="H249">
            <v>3</v>
          </cell>
          <cell r="J249">
            <v>5</v>
          </cell>
          <cell r="M249">
            <v>1</v>
          </cell>
          <cell r="P249">
            <v>0</v>
          </cell>
          <cell r="Q249">
            <v>2</v>
          </cell>
          <cell r="T249">
            <v>10</v>
          </cell>
          <cell r="U249">
            <v>1</v>
          </cell>
          <cell r="Y249">
            <v>22</v>
          </cell>
        </row>
        <row r="250">
          <cell r="H250">
            <v>2</v>
          </cell>
          <cell r="I250">
            <v>1</v>
          </cell>
          <cell r="J250">
            <v>2</v>
          </cell>
          <cell r="M250">
            <v>1</v>
          </cell>
          <cell r="P250">
            <v>0</v>
          </cell>
          <cell r="T250">
            <v>1</v>
          </cell>
          <cell r="Y250">
            <v>7</v>
          </cell>
        </row>
        <row r="251">
          <cell r="J251">
            <v>2</v>
          </cell>
          <cell r="N251">
            <v>1</v>
          </cell>
          <cell r="P251">
            <v>0</v>
          </cell>
          <cell r="T251">
            <v>1</v>
          </cell>
          <cell r="Y251">
            <v>4</v>
          </cell>
        </row>
        <row r="252">
          <cell r="J252">
            <v>2</v>
          </cell>
          <cell r="N252">
            <v>1</v>
          </cell>
          <cell r="P252">
            <v>0</v>
          </cell>
          <cell r="T252">
            <v>1</v>
          </cell>
          <cell r="Y252">
            <v>4</v>
          </cell>
        </row>
        <row r="253">
          <cell r="H253">
            <v>1</v>
          </cell>
          <cell r="P253">
            <v>0</v>
          </cell>
          <cell r="Y253">
            <v>1</v>
          </cell>
        </row>
        <row r="254">
          <cell r="H254">
            <v>7</v>
          </cell>
          <cell r="I254">
            <v>32</v>
          </cell>
          <cell r="J254">
            <v>28</v>
          </cell>
          <cell r="K254">
            <v>1</v>
          </cell>
          <cell r="L254">
            <v>58</v>
          </cell>
          <cell r="M254">
            <v>6</v>
          </cell>
          <cell r="P254">
            <v>7</v>
          </cell>
          <cell r="Q254">
            <v>7</v>
          </cell>
          <cell r="T254">
            <v>19</v>
          </cell>
          <cell r="U254">
            <v>3</v>
          </cell>
          <cell r="Y254">
            <v>168</v>
          </cell>
        </row>
        <row r="255">
          <cell r="H255">
            <v>5</v>
          </cell>
          <cell r="I255">
            <v>2</v>
          </cell>
          <cell r="J255">
            <v>8</v>
          </cell>
          <cell r="K255">
            <v>2</v>
          </cell>
          <cell r="L255">
            <v>18</v>
          </cell>
          <cell r="M255">
            <v>2</v>
          </cell>
          <cell r="P255">
            <v>0</v>
          </cell>
          <cell r="Q255">
            <v>4</v>
          </cell>
          <cell r="T255">
            <v>21</v>
          </cell>
          <cell r="U255">
            <v>1</v>
          </cell>
          <cell r="Y255">
            <v>63</v>
          </cell>
        </row>
        <row r="256">
          <cell r="H256">
            <v>1</v>
          </cell>
          <cell r="I256">
            <v>6</v>
          </cell>
          <cell r="J256">
            <v>9</v>
          </cell>
          <cell r="K256">
            <v>3</v>
          </cell>
          <cell r="L256">
            <v>7</v>
          </cell>
          <cell r="M256">
            <v>1</v>
          </cell>
          <cell r="P256">
            <v>0</v>
          </cell>
          <cell r="T256">
            <v>1</v>
          </cell>
          <cell r="Y256">
            <v>28</v>
          </cell>
        </row>
        <row r="257">
          <cell r="I257">
            <v>3</v>
          </cell>
          <cell r="J257">
            <v>1</v>
          </cell>
          <cell r="P257">
            <v>0</v>
          </cell>
          <cell r="T257">
            <v>1</v>
          </cell>
          <cell r="U257">
            <v>1</v>
          </cell>
          <cell r="Y257">
            <v>6</v>
          </cell>
        </row>
        <row r="258">
          <cell r="H258">
            <v>3</v>
          </cell>
          <cell r="I258">
            <v>5</v>
          </cell>
          <cell r="J258">
            <v>21</v>
          </cell>
          <cell r="L258">
            <v>9</v>
          </cell>
          <cell r="M258">
            <v>6</v>
          </cell>
          <cell r="P258">
            <v>0</v>
          </cell>
          <cell r="Q258">
            <v>1</v>
          </cell>
          <cell r="T258">
            <v>7</v>
          </cell>
          <cell r="U258">
            <v>1</v>
          </cell>
          <cell r="Y258">
            <v>53</v>
          </cell>
        </row>
        <row r="259">
          <cell r="J259">
            <v>19</v>
          </cell>
          <cell r="L259">
            <v>4</v>
          </cell>
          <cell r="M259">
            <v>4</v>
          </cell>
          <cell r="P259">
            <v>0</v>
          </cell>
          <cell r="Q259">
            <v>1</v>
          </cell>
          <cell r="T259">
            <v>9</v>
          </cell>
          <cell r="U259">
            <v>1</v>
          </cell>
          <cell r="Y259">
            <v>38</v>
          </cell>
        </row>
        <row r="260">
          <cell r="J260">
            <v>7</v>
          </cell>
          <cell r="P260">
            <v>0</v>
          </cell>
          <cell r="Q260">
            <v>1</v>
          </cell>
          <cell r="T260">
            <v>3</v>
          </cell>
          <cell r="Y260">
            <v>11</v>
          </cell>
        </row>
        <row r="261">
          <cell r="J261">
            <v>3</v>
          </cell>
          <cell r="P261">
            <v>0</v>
          </cell>
          <cell r="Q261">
            <v>1</v>
          </cell>
          <cell r="Y261">
            <v>4</v>
          </cell>
        </row>
        <row r="262">
          <cell r="J262">
            <v>1</v>
          </cell>
          <cell r="P262">
            <v>0</v>
          </cell>
          <cell r="Q262">
            <v>1</v>
          </cell>
          <cell r="Y262">
            <v>2</v>
          </cell>
        </row>
        <row r="263">
          <cell r="K263">
            <v>1</v>
          </cell>
          <cell r="P263">
            <v>0</v>
          </cell>
          <cell r="Y263">
            <v>1</v>
          </cell>
        </row>
        <row r="264">
          <cell r="P264">
            <v>0</v>
          </cell>
          <cell r="T264">
            <v>1</v>
          </cell>
          <cell r="Y264">
            <v>1</v>
          </cell>
        </row>
        <row r="265">
          <cell r="F265">
            <v>3</v>
          </cell>
          <cell r="G265">
            <v>1</v>
          </cell>
          <cell r="H265">
            <v>46</v>
          </cell>
          <cell r="I265">
            <v>4</v>
          </cell>
          <cell r="J265">
            <v>13</v>
          </cell>
          <cell r="K265">
            <v>10</v>
          </cell>
          <cell r="L265">
            <v>37</v>
          </cell>
          <cell r="M265">
            <v>8</v>
          </cell>
          <cell r="N265">
            <v>6</v>
          </cell>
          <cell r="O265">
            <v>15</v>
          </cell>
          <cell r="P265">
            <v>2</v>
          </cell>
          <cell r="Q265">
            <v>11</v>
          </cell>
          <cell r="R265">
            <v>2</v>
          </cell>
          <cell r="S265">
            <v>8</v>
          </cell>
          <cell r="T265">
            <v>33</v>
          </cell>
          <cell r="U265">
            <v>4</v>
          </cell>
          <cell r="V265">
            <v>63</v>
          </cell>
          <cell r="W265">
            <v>6</v>
          </cell>
          <cell r="X265">
            <v>3</v>
          </cell>
          <cell r="Y265">
            <v>275</v>
          </cell>
          <cell r="Z265">
            <v>1708</v>
          </cell>
        </row>
        <row r="266">
          <cell r="F266">
            <v>143</v>
          </cell>
          <cell r="G266">
            <v>476</v>
          </cell>
          <cell r="H266">
            <v>757</v>
          </cell>
          <cell r="I266">
            <v>574</v>
          </cell>
          <cell r="J266">
            <v>1876</v>
          </cell>
          <cell r="K266">
            <v>305</v>
          </cell>
          <cell r="L266">
            <v>1085</v>
          </cell>
          <cell r="M266">
            <v>97</v>
          </cell>
          <cell r="N266">
            <v>217</v>
          </cell>
          <cell r="O266">
            <v>392</v>
          </cell>
          <cell r="P266">
            <v>255</v>
          </cell>
          <cell r="Q266">
            <v>244</v>
          </cell>
          <cell r="R266">
            <v>259</v>
          </cell>
          <cell r="S266">
            <v>366</v>
          </cell>
          <cell r="T266">
            <v>1283</v>
          </cell>
          <cell r="U266">
            <v>192</v>
          </cell>
          <cell r="V266">
            <v>987</v>
          </cell>
          <cell r="W266">
            <v>129</v>
          </cell>
          <cell r="X266">
            <v>138</v>
          </cell>
          <cell r="Y266">
            <v>9775</v>
          </cell>
          <cell r="Z266">
            <v>64450</v>
          </cell>
        </row>
        <row r="267">
          <cell r="F267">
            <v>0</v>
          </cell>
          <cell r="G267">
            <v>36</v>
          </cell>
          <cell r="H267">
            <v>24</v>
          </cell>
          <cell r="I267">
            <v>17</v>
          </cell>
          <cell r="J267">
            <v>0</v>
          </cell>
          <cell r="K267">
            <v>0</v>
          </cell>
          <cell r="L267">
            <v>556</v>
          </cell>
          <cell r="M267">
            <v>6</v>
          </cell>
          <cell r="N267">
            <v>23</v>
          </cell>
          <cell r="O267">
            <v>0</v>
          </cell>
          <cell r="P267">
            <v>52</v>
          </cell>
          <cell r="Q267">
            <v>0</v>
          </cell>
          <cell r="R267">
            <v>0</v>
          </cell>
          <cell r="S267">
            <v>0</v>
          </cell>
          <cell r="T267">
            <v>234</v>
          </cell>
          <cell r="U267">
            <v>0</v>
          </cell>
          <cell r="V267">
            <v>0</v>
          </cell>
          <cell r="W267">
            <v>0</v>
          </cell>
          <cell r="X267">
            <v>0</v>
          </cell>
          <cell r="Y267">
            <v>948</v>
          </cell>
          <cell r="Z267">
            <v>3486</v>
          </cell>
        </row>
        <row r="268">
          <cell r="F268">
            <v>27</v>
          </cell>
          <cell r="G268">
            <v>36</v>
          </cell>
          <cell r="H268">
            <v>97</v>
          </cell>
          <cell r="I268">
            <v>67</v>
          </cell>
          <cell r="J268">
            <v>386</v>
          </cell>
          <cell r="K268">
            <v>16</v>
          </cell>
          <cell r="L268">
            <v>0</v>
          </cell>
          <cell r="M268">
            <v>0</v>
          </cell>
          <cell r="N268">
            <v>43</v>
          </cell>
          <cell r="O268">
            <v>14</v>
          </cell>
          <cell r="P268">
            <v>0</v>
          </cell>
          <cell r="Q268">
            <v>65</v>
          </cell>
          <cell r="R268">
            <v>113</v>
          </cell>
          <cell r="S268">
            <v>7</v>
          </cell>
          <cell r="T268">
            <v>35</v>
          </cell>
          <cell r="U268">
            <v>24</v>
          </cell>
          <cell r="V268">
            <v>210</v>
          </cell>
          <cell r="W268">
            <v>44</v>
          </cell>
          <cell r="X268">
            <v>45</v>
          </cell>
          <cell r="Y268">
            <v>1229</v>
          </cell>
          <cell r="Z268">
            <v>6214</v>
          </cell>
        </row>
        <row r="269">
          <cell r="F269">
            <v>96</v>
          </cell>
          <cell r="G269">
            <v>44</v>
          </cell>
          <cell r="H269">
            <v>617</v>
          </cell>
          <cell r="I269">
            <v>410</v>
          </cell>
          <cell r="J269">
            <v>460</v>
          </cell>
          <cell r="K269">
            <v>88</v>
          </cell>
          <cell r="L269">
            <v>1534</v>
          </cell>
          <cell r="M269">
            <v>251</v>
          </cell>
          <cell r="N269">
            <v>277</v>
          </cell>
          <cell r="O269">
            <v>752</v>
          </cell>
          <cell r="P269">
            <v>243</v>
          </cell>
          <cell r="Q269">
            <v>118</v>
          </cell>
          <cell r="R269">
            <v>301</v>
          </cell>
          <cell r="S269">
            <v>206</v>
          </cell>
          <cell r="T269">
            <v>1438</v>
          </cell>
          <cell r="U269">
            <v>112</v>
          </cell>
          <cell r="V269">
            <v>520</v>
          </cell>
          <cell r="W269">
            <v>183</v>
          </cell>
          <cell r="X269">
            <v>151</v>
          </cell>
          <cell r="Y269">
            <v>7801</v>
          </cell>
          <cell r="Z269">
            <v>51194</v>
          </cell>
        </row>
        <row r="270">
          <cell r="F270">
            <v>0</v>
          </cell>
          <cell r="G270">
            <v>18</v>
          </cell>
          <cell r="H270">
            <v>20</v>
          </cell>
          <cell r="I270">
            <v>18</v>
          </cell>
          <cell r="J270">
            <v>0</v>
          </cell>
          <cell r="K270">
            <v>4</v>
          </cell>
          <cell r="L270">
            <v>441</v>
          </cell>
          <cell r="M270">
            <v>335</v>
          </cell>
          <cell r="N270">
            <v>0</v>
          </cell>
          <cell r="O270">
            <v>15</v>
          </cell>
          <cell r="P270">
            <v>33</v>
          </cell>
          <cell r="Q270">
            <v>0</v>
          </cell>
          <cell r="R270">
            <v>0</v>
          </cell>
          <cell r="S270">
            <v>0</v>
          </cell>
          <cell r="T270">
            <v>392</v>
          </cell>
          <cell r="U270">
            <v>0</v>
          </cell>
          <cell r="V270">
            <v>0</v>
          </cell>
          <cell r="W270">
            <v>0</v>
          </cell>
          <cell r="X270">
            <v>0</v>
          </cell>
          <cell r="Y270">
            <v>1276</v>
          </cell>
          <cell r="Z270">
            <v>2984</v>
          </cell>
        </row>
        <row r="271">
          <cell r="F271">
            <v>4</v>
          </cell>
          <cell r="G271">
            <v>0</v>
          </cell>
          <cell r="H271">
            <v>76</v>
          </cell>
          <cell r="I271">
            <v>70</v>
          </cell>
          <cell r="J271">
            <v>44</v>
          </cell>
          <cell r="K271">
            <v>0</v>
          </cell>
          <cell r="L271">
            <v>1</v>
          </cell>
          <cell r="M271">
            <v>0</v>
          </cell>
          <cell r="N271">
            <v>42</v>
          </cell>
          <cell r="O271">
            <v>97</v>
          </cell>
          <cell r="P271">
            <v>0</v>
          </cell>
          <cell r="Q271">
            <v>38</v>
          </cell>
          <cell r="R271">
            <v>59</v>
          </cell>
          <cell r="S271">
            <v>13</v>
          </cell>
          <cell r="T271">
            <v>2</v>
          </cell>
          <cell r="U271">
            <v>81</v>
          </cell>
          <cell r="V271">
            <v>148</v>
          </cell>
          <cell r="W271">
            <v>0</v>
          </cell>
          <cell r="X271">
            <v>9</v>
          </cell>
          <cell r="Y271">
            <v>684</v>
          </cell>
          <cell r="Z271">
            <v>4885</v>
          </cell>
        </row>
        <row r="272">
          <cell r="F272">
            <v>1</v>
          </cell>
          <cell r="G272">
            <v>9</v>
          </cell>
          <cell r="H272">
            <v>19</v>
          </cell>
          <cell r="I272">
            <v>32</v>
          </cell>
          <cell r="J272">
            <v>5</v>
          </cell>
          <cell r="K272">
            <v>14</v>
          </cell>
          <cell r="L272">
            <v>94</v>
          </cell>
          <cell r="M272">
            <v>0</v>
          </cell>
          <cell r="N272">
            <v>1</v>
          </cell>
          <cell r="O272">
            <v>19</v>
          </cell>
          <cell r="P272">
            <v>0</v>
          </cell>
          <cell r="Q272">
            <v>37</v>
          </cell>
          <cell r="R272">
            <v>15</v>
          </cell>
          <cell r="S272">
            <v>2</v>
          </cell>
          <cell r="T272">
            <v>53</v>
          </cell>
          <cell r="U272">
            <v>1</v>
          </cell>
          <cell r="V272">
            <v>21</v>
          </cell>
          <cell r="W272">
            <v>24</v>
          </cell>
          <cell r="X272">
            <v>14</v>
          </cell>
          <cell r="Y272">
            <v>361</v>
          </cell>
          <cell r="Z272">
            <v>1799</v>
          </cell>
        </row>
        <row r="273">
          <cell r="F273">
            <v>11</v>
          </cell>
          <cell r="G273">
            <v>23</v>
          </cell>
          <cell r="H273">
            <v>54</v>
          </cell>
          <cell r="I273">
            <v>20</v>
          </cell>
          <cell r="J273">
            <v>107</v>
          </cell>
          <cell r="K273">
            <v>4</v>
          </cell>
          <cell r="L273">
            <v>94</v>
          </cell>
          <cell r="M273">
            <v>9</v>
          </cell>
          <cell r="N273">
            <v>8</v>
          </cell>
          <cell r="O273">
            <v>57</v>
          </cell>
          <cell r="P273">
            <v>2</v>
          </cell>
          <cell r="Q273">
            <v>0</v>
          </cell>
          <cell r="R273">
            <v>2</v>
          </cell>
          <cell r="S273">
            <v>3</v>
          </cell>
          <cell r="T273">
            <v>186</v>
          </cell>
          <cell r="U273">
            <v>4</v>
          </cell>
          <cell r="V273">
            <v>87</v>
          </cell>
          <cell r="W273">
            <v>38</v>
          </cell>
          <cell r="X273">
            <v>12</v>
          </cell>
          <cell r="Y273">
            <v>721</v>
          </cell>
          <cell r="Z273">
            <v>3618</v>
          </cell>
        </row>
        <row r="274">
          <cell r="F274">
            <v>193</v>
          </cell>
          <cell r="G274">
            <v>427</v>
          </cell>
          <cell r="H274">
            <v>1152</v>
          </cell>
          <cell r="I274">
            <v>172</v>
          </cell>
          <cell r="J274">
            <v>2462</v>
          </cell>
          <cell r="K274">
            <v>265</v>
          </cell>
          <cell r="L274">
            <v>4064</v>
          </cell>
          <cell r="M274">
            <v>207</v>
          </cell>
          <cell r="N274">
            <v>737</v>
          </cell>
          <cell r="O274">
            <v>678</v>
          </cell>
          <cell r="P274">
            <v>152</v>
          </cell>
          <cell r="Q274">
            <v>375</v>
          </cell>
          <cell r="R274">
            <v>301</v>
          </cell>
          <cell r="S274">
            <v>366</v>
          </cell>
          <cell r="T274">
            <v>1375</v>
          </cell>
          <cell r="U274">
            <v>269</v>
          </cell>
          <cell r="V274">
            <v>1651</v>
          </cell>
          <cell r="W274">
            <v>194</v>
          </cell>
          <cell r="X274">
            <v>202</v>
          </cell>
          <cell r="Y274">
            <v>15242</v>
          </cell>
          <cell r="Z274">
            <v>83934</v>
          </cell>
        </row>
        <row r="275">
          <cell r="F275">
            <v>35</v>
          </cell>
          <cell r="G275">
            <v>1</v>
          </cell>
          <cell r="H275">
            <v>306</v>
          </cell>
          <cell r="I275">
            <v>892</v>
          </cell>
          <cell r="J275">
            <v>487</v>
          </cell>
          <cell r="K275">
            <v>0</v>
          </cell>
          <cell r="L275">
            <v>44</v>
          </cell>
          <cell r="M275">
            <v>628</v>
          </cell>
          <cell r="N275">
            <v>79</v>
          </cell>
          <cell r="O275">
            <v>479</v>
          </cell>
          <cell r="P275">
            <v>379</v>
          </cell>
          <cell r="Q275">
            <v>39</v>
          </cell>
          <cell r="R275">
            <v>47</v>
          </cell>
          <cell r="S275">
            <v>230</v>
          </cell>
          <cell r="T275">
            <v>924</v>
          </cell>
          <cell r="U275">
            <v>18</v>
          </cell>
          <cell r="V275">
            <v>87</v>
          </cell>
          <cell r="W275">
            <v>43</v>
          </cell>
          <cell r="X275">
            <v>62</v>
          </cell>
          <cell r="Y275">
            <v>4780</v>
          </cell>
          <cell r="Z275">
            <v>35065</v>
          </cell>
        </row>
        <row r="276">
          <cell r="F276">
            <v>35</v>
          </cell>
          <cell r="G276">
            <v>13</v>
          </cell>
          <cell r="H276">
            <v>58</v>
          </cell>
          <cell r="I276">
            <v>101</v>
          </cell>
          <cell r="J276">
            <v>83</v>
          </cell>
          <cell r="K276">
            <v>30</v>
          </cell>
          <cell r="L276">
            <v>109</v>
          </cell>
          <cell r="M276">
            <v>28</v>
          </cell>
          <cell r="N276">
            <v>6</v>
          </cell>
          <cell r="O276">
            <v>30</v>
          </cell>
          <cell r="P276">
            <v>10</v>
          </cell>
          <cell r="Q276">
            <v>21</v>
          </cell>
          <cell r="R276">
            <v>10</v>
          </cell>
          <cell r="S276">
            <v>9</v>
          </cell>
          <cell r="T276">
            <v>280</v>
          </cell>
          <cell r="U276">
            <v>20</v>
          </cell>
          <cell r="V276">
            <v>155</v>
          </cell>
          <cell r="W276">
            <v>37</v>
          </cell>
          <cell r="X276">
            <v>31</v>
          </cell>
          <cell r="Y276">
            <v>1066</v>
          </cell>
          <cell r="Z276">
            <v>3788</v>
          </cell>
        </row>
        <row r="277">
          <cell r="F277">
            <v>48</v>
          </cell>
          <cell r="G277">
            <v>36</v>
          </cell>
          <cell r="H277">
            <v>100</v>
          </cell>
          <cell r="I277">
            <v>118</v>
          </cell>
          <cell r="J277">
            <v>300</v>
          </cell>
          <cell r="K277">
            <v>10</v>
          </cell>
          <cell r="L277">
            <v>782</v>
          </cell>
          <cell r="M277">
            <v>150</v>
          </cell>
          <cell r="N277">
            <v>42</v>
          </cell>
          <cell r="O277">
            <v>186</v>
          </cell>
          <cell r="P277">
            <v>26</v>
          </cell>
          <cell r="Q277">
            <v>37</v>
          </cell>
          <cell r="R277">
            <v>21</v>
          </cell>
          <cell r="S277">
            <v>56</v>
          </cell>
          <cell r="T277">
            <v>654</v>
          </cell>
          <cell r="U277">
            <v>42</v>
          </cell>
          <cell r="V277">
            <v>213</v>
          </cell>
          <cell r="W277">
            <v>21</v>
          </cell>
          <cell r="X277">
            <v>41</v>
          </cell>
          <cell r="Y277">
            <v>2883</v>
          </cell>
          <cell r="Z277">
            <v>13744</v>
          </cell>
        </row>
        <row r="278">
          <cell r="F278">
            <v>4</v>
          </cell>
          <cell r="G278">
            <v>16</v>
          </cell>
          <cell r="H278">
            <v>16</v>
          </cell>
          <cell r="I278">
            <v>0</v>
          </cell>
          <cell r="J278">
            <v>8</v>
          </cell>
          <cell r="K278">
            <v>6</v>
          </cell>
          <cell r="L278">
            <v>3</v>
          </cell>
          <cell r="M278">
            <v>0</v>
          </cell>
          <cell r="N278">
            <v>1</v>
          </cell>
          <cell r="O278">
            <v>0</v>
          </cell>
          <cell r="P278">
            <v>0</v>
          </cell>
          <cell r="Q278">
            <v>20</v>
          </cell>
          <cell r="R278">
            <v>0</v>
          </cell>
          <cell r="S278">
            <v>12</v>
          </cell>
          <cell r="T278">
            <v>22</v>
          </cell>
          <cell r="U278">
            <v>15</v>
          </cell>
          <cell r="V278">
            <v>19</v>
          </cell>
          <cell r="W278">
            <v>3</v>
          </cell>
          <cell r="X278">
            <v>3</v>
          </cell>
          <cell r="Y278">
            <v>148</v>
          </cell>
          <cell r="Z278">
            <v>1865</v>
          </cell>
        </row>
        <row r="279">
          <cell r="F279">
            <v>1</v>
          </cell>
          <cell r="G279">
            <v>0</v>
          </cell>
          <cell r="H279">
            <v>27</v>
          </cell>
          <cell r="I279">
            <v>12</v>
          </cell>
          <cell r="J279">
            <v>3</v>
          </cell>
          <cell r="K279">
            <v>0</v>
          </cell>
          <cell r="L279">
            <v>0</v>
          </cell>
          <cell r="M279">
            <v>5</v>
          </cell>
          <cell r="N279">
            <v>0</v>
          </cell>
          <cell r="O279">
            <v>5</v>
          </cell>
          <cell r="P279">
            <v>0</v>
          </cell>
          <cell r="Q279">
            <v>0</v>
          </cell>
          <cell r="R279">
            <v>61</v>
          </cell>
          <cell r="S279">
            <v>0</v>
          </cell>
          <cell r="T279">
            <v>1</v>
          </cell>
          <cell r="U279">
            <v>0</v>
          </cell>
          <cell r="V279">
            <v>0</v>
          </cell>
          <cell r="W279">
            <v>10</v>
          </cell>
          <cell r="X279">
            <v>0</v>
          </cell>
          <cell r="Y279">
            <v>125</v>
          </cell>
          <cell r="Z279">
            <v>866</v>
          </cell>
        </row>
        <row r="280">
          <cell r="F280">
            <v>0</v>
          </cell>
          <cell r="G280">
            <v>0</v>
          </cell>
          <cell r="H280">
            <v>1</v>
          </cell>
          <cell r="I280">
            <v>0</v>
          </cell>
          <cell r="J280">
            <v>0</v>
          </cell>
          <cell r="K280">
            <v>0</v>
          </cell>
          <cell r="L280">
            <v>0</v>
          </cell>
          <cell r="M280">
            <v>0</v>
          </cell>
          <cell r="N280">
            <v>1</v>
          </cell>
          <cell r="O280">
            <v>0</v>
          </cell>
          <cell r="P280">
            <v>0</v>
          </cell>
          <cell r="Q280">
            <v>0</v>
          </cell>
          <cell r="R280">
            <v>0</v>
          </cell>
          <cell r="S280">
            <v>0</v>
          </cell>
          <cell r="T280">
            <v>1</v>
          </cell>
          <cell r="U280">
            <v>0</v>
          </cell>
          <cell r="V280">
            <v>0</v>
          </cell>
          <cell r="W280">
            <v>0</v>
          </cell>
          <cell r="X280">
            <v>0</v>
          </cell>
          <cell r="Y280">
            <v>3</v>
          </cell>
          <cell r="Z280">
            <v>99</v>
          </cell>
        </row>
        <row r="281">
          <cell r="F281">
            <v>130</v>
          </cell>
          <cell r="G281">
            <v>194</v>
          </cell>
          <cell r="H281">
            <v>436</v>
          </cell>
          <cell r="I281">
            <v>671</v>
          </cell>
          <cell r="J281">
            <v>1135</v>
          </cell>
          <cell r="K281">
            <v>238</v>
          </cell>
          <cell r="L281">
            <v>1823</v>
          </cell>
          <cell r="M281">
            <v>234</v>
          </cell>
          <cell r="N281">
            <v>199</v>
          </cell>
          <cell r="O281">
            <v>591</v>
          </cell>
          <cell r="P281">
            <v>186</v>
          </cell>
          <cell r="Q281">
            <v>243</v>
          </cell>
          <cell r="R281">
            <v>103</v>
          </cell>
          <cell r="S281">
            <v>103</v>
          </cell>
          <cell r="T281">
            <v>1173</v>
          </cell>
          <cell r="U281">
            <v>119</v>
          </cell>
          <cell r="V281">
            <v>977</v>
          </cell>
          <cell r="W281">
            <v>133</v>
          </cell>
          <cell r="X281">
            <v>155</v>
          </cell>
          <cell r="Y281">
            <v>8843</v>
          </cell>
          <cell r="Z281">
            <v>46786</v>
          </cell>
        </row>
        <row r="282">
          <cell r="F282">
            <v>0</v>
          </cell>
          <cell r="G282">
            <v>29</v>
          </cell>
          <cell r="H282">
            <v>0</v>
          </cell>
          <cell r="I282">
            <v>1</v>
          </cell>
          <cell r="J282">
            <v>0</v>
          </cell>
          <cell r="K282">
            <v>0</v>
          </cell>
          <cell r="L282">
            <v>0</v>
          </cell>
          <cell r="M282">
            <v>0</v>
          </cell>
          <cell r="N282">
            <v>24</v>
          </cell>
          <cell r="O282">
            <v>29</v>
          </cell>
          <cell r="P282">
            <v>15</v>
          </cell>
          <cell r="Q282">
            <v>0</v>
          </cell>
          <cell r="R282">
            <v>0</v>
          </cell>
          <cell r="S282">
            <v>14</v>
          </cell>
          <cell r="T282">
            <v>2</v>
          </cell>
          <cell r="U282">
            <v>0</v>
          </cell>
          <cell r="V282">
            <v>5</v>
          </cell>
          <cell r="W282">
            <v>2</v>
          </cell>
          <cell r="X282">
            <v>0</v>
          </cell>
          <cell r="Y282">
            <v>121</v>
          </cell>
          <cell r="Z282">
            <v>3173</v>
          </cell>
        </row>
        <row r="283">
          <cell r="F283">
            <v>0</v>
          </cell>
          <cell r="G283">
            <v>16</v>
          </cell>
          <cell r="H283">
            <v>9</v>
          </cell>
          <cell r="I283">
            <v>60</v>
          </cell>
          <cell r="J283">
            <v>425</v>
          </cell>
          <cell r="K283">
            <v>0</v>
          </cell>
          <cell r="L283">
            <v>0</v>
          </cell>
          <cell r="M283">
            <v>0</v>
          </cell>
          <cell r="N283">
            <v>0</v>
          </cell>
          <cell r="O283">
            <v>0</v>
          </cell>
          <cell r="P283">
            <v>89</v>
          </cell>
          <cell r="Q283">
            <v>0</v>
          </cell>
          <cell r="R283">
            <v>0</v>
          </cell>
          <cell r="S283">
            <v>19</v>
          </cell>
          <cell r="T283">
            <v>84</v>
          </cell>
          <cell r="U283">
            <v>0</v>
          </cell>
          <cell r="V283">
            <v>0</v>
          </cell>
          <cell r="W283">
            <v>0</v>
          </cell>
          <cell r="X283">
            <v>0</v>
          </cell>
          <cell r="Y283">
            <v>702</v>
          </cell>
          <cell r="Z283">
            <v>2276</v>
          </cell>
        </row>
        <row r="284">
          <cell r="F284">
            <v>4</v>
          </cell>
          <cell r="G284">
            <v>37</v>
          </cell>
          <cell r="H284">
            <v>34</v>
          </cell>
          <cell r="I284">
            <v>6</v>
          </cell>
          <cell r="J284">
            <v>41</v>
          </cell>
          <cell r="K284">
            <v>4</v>
          </cell>
          <cell r="L284">
            <v>189</v>
          </cell>
          <cell r="M284">
            <v>33</v>
          </cell>
          <cell r="N284">
            <v>5</v>
          </cell>
          <cell r="O284">
            <v>36</v>
          </cell>
          <cell r="P284">
            <v>0</v>
          </cell>
          <cell r="Q284">
            <v>0</v>
          </cell>
          <cell r="R284">
            <v>4</v>
          </cell>
          <cell r="S284">
            <v>40</v>
          </cell>
          <cell r="T284">
            <v>75</v>
          </cell>
          <cell r="U284">
            <v>11</v>
          </cell>
          <cell r="V284">
            <v>60</v>
          </cell>
          <cell r="W284">
            <v>13</v>
          </cell>
          <cell r="X284">
            <v>11</v>
          </cell>
          <cell r="Y284">
            <v>603</v>
          </cell>
          <cell r="Z284">
            <v>4956</v>
          </cell>
        </row>
        <row r="285">
          <cell r="F285">
            <v>2</v>
          </cell>
          <cell r="H285">
            <v>40</v>
          </cell>
          <cell r="I285">
            <v>9</v>
          </cell>
          <cell r="J285">
            <v>67</v>
          </cell>
          <cell r="K285">
            <v>21</v>
          </cell>
          <cell r="L285">
            <v>146</v>
          </cell>
          <cell r="M285">
            <v>69</v>
          </cell>
          <cell r="P285">
            <v>2</v>
          </cell>
          <cell r="Q285">
            <v>7</v>
          </cell>
          <cell r="T285">
            <v>86</v>
          </cell>
          <cell r="X285">
            <v>4</v>
          </cell>
          <cell r="Y285">
            <v>453</v>
          </cell>
        </row>
        <row r="286">
          <cell r="F286">
            <v>5</v>
          </cell>
          <cell r="H286">
            <v>95</v>
          </cell>
          <cell r="I286">
            <v>40</v>
          </cell>
          <cell r="J286">
            <v>72</v>
          </cell>
          <cell r="K286">
            <v>23</v>
          </cell>
          <cell r="L286">
            <v>100</v>
          </cell>
          <cell r="M286">
            <v>17</v>
          </cell>
          <cell r="N286">
            <v>42</v>
          </cell>
          <cell r="P286">
            <v>11</v>
          </cell>
          <cell r="Q286">
            <v>4</v>
          </cell>
          <cell r="T286">
            <v>71</v>
          </cell>
          <cell r="X286">
            <v>5</v>
          </cell>
          <cell r="Y286">
            <v>485</v>
          </cell>
        </row>
        <row r="287">
          <cell r="I287">
            <v>2</v>
          </cell>
          <cell r="P287">
            <v>0</v>
          </cell>
          <cell r="Y287">
            <v>2</v>
          </cell>
        </row>
        <row r="288">
          <cell r="F288">
            <v>11</v>
          </cell>
          <cell r="H288">
            <v>41</v>
          </cell>
          <cell r="I288">
            <v>50</v>
          </cell>
          <cell r="J288">
            <v>133</v>
          </cell>
          <cell r="K288">
            <v>7</v>
          </cell>
          <cell r="L288">
            <v>607</v>
          </cell>
          <cell r="M288">
            <v>35</v>
          </cell>
          <cell r="N288">
            <v>3</v>
          </cell>
          <cell r="P288">
            <v>0</v>
          </cell>
          <cell r="Q288">
            <v>22</v>
          </cell>
          <cell r="T288">
            <v>146</v>
          </cell>
          <cell r="X288">
            <v>3</v>
          </cell>
          <cell r="Y288">
            <v>1058</v>
          </cell>
        </row>
        <row r="289">
          <cell r="F289">
            <v>13</v>
          </cell>
          <cell r="G289">
            <v>36</v>
          </cell>
          <cell r="H289">
            <v>11</v>
          </cell>
          <cell r="I289">
            <v>69</v>
          </cell>
          <cell r="J289">
            <v>164</v>
          </cell>
          <cell r="K289">
            <v>11</v>
          </cell>
          <cell r="L289">
            <v>65</v>
          </cell>
          <cell r="M289">
            <v>2</v>
          </cell>
          <cell r="N289">
            <v>30</v>
          </cell>
          <cell r="O289">
            <v>94</v>
          </cell>
          <cell r="P289">
            <v>56</v>
          </cell>
          <cell r="Q289">
            <v>0</v>
          </cell>
          <cell r="R289">
            <v>27</v>
          </cell>
          <cell r="S289">
            <v>35</v>
          </cell>
          <cell r="T289">
            <v>155</v>
          </cell>
          <cell r="U289">
            <v>51</v>
          </cell>
          <cell r="V289">
            <v>8</v>
          </cell>
          <cell r="W289">
            <v>11</v>
          </cell>
          <cell r="X289">
            <v>40</v>
          </cell>
          <cell r="Y289">
            <v>878</v>
          </cell>
          <cell r="Z289">
            <v>5876</v>
          </cell>
        </row>
        <row r="290">
          <cell r="F290">
            <v>2</v>
          </cell>
          <cell r="G290">
            <v>6</v>
          </cell>
          <cell r="H290">
            <v>18</v>
          </cell>
          <cell r="I290">
            <v>19</v>
          </cell>
          <cell r="J290">
            <v>0</v>
          </cell>
          <cell r="K290">
            <v>0</v>
          </cell>
          <cell r="L290">
            <v>15</v>
          </cell>
          <cell r="M290">
            <v>39</v>
          </cell>
          <cell r="N290">
            <v>0</v>
          </cell>
          <cell r="O290">
            <v>0</v>
          </cell>
          <cell r="P290">
            <v>0</v>
          </cell>
          <cell r="Q290">
            <v>1</v>
          </cell>
          <cell r="R290">
            <v>7</v>
          </cell>
          <cell r="S290">
            <v>0</v>
          </cell>
          <cell r="T290">
            <v>23</v>
          </cell>
          <cell r="U290">
            <v>0</v>
          </cell>
          <cell r="V290">
            <v>0</v>
          </cell>
          <cell r="W290">
            <v>3</v>
          </cell>
          <cell r="X290">
            <v>5</v>
          </cell>
          <cell r="Y290">
            <v>138</v>
          </cell>
          <cell r="Z290">
            <v>1902</v>
          </cell>
        </row>
        <row r="291">
          <cell r="F291">
            <v>3</v>
          </cell>
          <cell r="G291">
            <v>2</v>
          </cell>
          <cell r="H291">
            <v>3</v>
          </cell>
          <cell r="I291">
            <v>21</v>
          </cell>
          <cell r="J291">
            <v>0</v>
          </cell>
          <cell r="K291">
            <v>1</v>
          </cell>
          <cell r="L291">
            <v>47</v>
          </cell>
          <cell r="M291">
            <v>11</v>
          </cell>
          <cell r="N291">
            <v>12</v>
          </cell>
          <cell r="O291">
            <v>0</v>
          </cell>
          <cell r="P291">
            <v>4</v>
          </cell>
          <cell r="Q291">
            <v>1</v>
          </cell>
          <cell r="R291">
            <v>0</v>
          </cell>
          <cell r="S291">
            <v>2</v>
          </cell>
          <cell r="T291">
            <v>18</v>
          </cell>
          <cell r="U291">
            <v>2</v>
          </cell>
          <cell r="V291">
            <v>16</v>
          </cell>
          <cell r="W291">
            <v>18</v>
          </cell>
          <cell r="X291">
            <v>4</v>
          </cell>
          <cell r="Y291">
            <v>165</v>
          </cell>
          <cell r="Z291">
            <v>708</v>
          </cell>
        </row>
        <row r="292">
          <cell r="F292">
            <v>0</v>
          </cell>
          <cell r="G292">
            <v>0</v>
          </cell>
          <cell r="H292">
            <v>1</v>
          </cell>
          <cell r="I292">
            <v>6</v>
          </cell>
          <cell r="J292">
            <v>2</v>
          </cell>
          <cell r="K292">
            <v>0</v>
          </cell>
          <cell r="L292">
            <v>3</v>
          </cell>
          <cell r="M292">
            <v>14</v>
          </cell>
          <cell r="N292">
            <v>9</v>
          </cell>
          <cell r="O292">
            <v>17</v>
          </cell>
          <cell r="P292">
            <v>0</v>
          </cell>
          <cell r="Q292">
            <v>0</v>
          </cell>
          <cell r="R292">
            <v>0</v>
          </cell>
          <cell r="S292">
            <v>2</v>
          </cell>
          <cell r="T292">
            <v>0</v>
          </cell>
          <cell r="U292">
            <v>0</v>
          </cell>
          <cell r="V292">
            <v>0</v>
          </cell>
          <cell r="W292">
            <v>0</v>
          </cell>
          <cell r="X292">
            <v>1</v>
          </cell>
          <cell r="Y292">
            <v>55</v>
          </cell>
          <cell r="Z292">
            <v>584</v>
          </cell>
        </row>
        <row r="293">
          <cell r="F293">
            <v>3</v>
          </cell>
          <cell r="G293">
            <v>19</v>
          </cell>
          <cell r="H293">
            <v>1</v>
          </cell>
          <cell r="I293">
            <v>16</v>
          </cell>
          <cell r="J293">
            <v>35</v>
          </cell>
          <cell r="K293">
            <v>16</v>
          </cell>
          <cell r="L293">
            <v>8</v>
          </cell>
          <cell r="M293">
            <v>0</v>
          </cell>
          <cell r="N293">
            <v>4</v>
          </cell>
          <cell r="O293">
            <v>30</v>
          </cell>
          <cell r="P293">
            <v>6</v>
          </cell>
          <cell r="Q293">
            <v>0</v>
          </cell>
          <cell r="R293">
            <v>3</v>
          </cell>
          <cell r="S293">
            <v>8</v>
          </cell>
          <cell r="T293">
            <v>9</v>
          </cell>
          <cell r="U293">
            <v>2</v>
          </cell>
          <cell r="V293">
            <v>9</v>
          </cell>
          <cell r="W293">
            <v>0</v>
          </cell>
          <cell r="X293">
            <v>0</v>
          </cell>
          <cell r="Y293">
            <v>169</v>
          </cell>
          <cell r="Z293">
            <v>1646</v>
          </cell>
        </row>
        <row r="294">
          <cell r="F294">
            <v>485</v>
          </cell>
          <cell r="H294">
            <v>3300</v>
          </cell>
          <cell r="I294">
            <v>3037</v>
          </cell>
          <cell r="J294">
            <v>7181</v>
          </cell>
          <cell r="K294">
            <v>1024</v>
          </cell>
          <cell r="L294">
            <v>9945</v>
          </cell>
          <cell r="M294">
            <v>1744</v>
          </cell>
          <cell r="N294">
            <v>1616</v>
          </cell>
          <cell r="P294">
            <v>1254</v>
          </cell>
          <cell r="Q294">
            <v>871</v>
          </cell>
          <cell r="T294">
            <v>7507</v>
          </cell>
          <cell r="U294">
            <v>754</v>
          </cell>
          <cell r="X294">
            <v>537</v>
          </cell>
          <cell r="Y294">
            <v>39255</v>
          </cell>
        </row>
        <row r="295">
          <cell r="F295">
            <v>159</v>
          </cell>
          <cell r="H295">
            <v>467</v>
          </cell>
          <cell r="I295">
            <v>213</v>
          </cell>
          <cell r="J295">
            <v>822</v>
          </cell>
          <cell r="K295">
            <v>9</v>
          </cell>
          <cell r="L295">
            <v>616</v>
          </cell>
          <cell r="M295">
            <v>231</v>
          </cell>
          <cell r="N295">
            <v>103</v>
          </cell>
          <cell r="P295">
            <v>180</v>
          </cell>
          <cell r="Q295">
            <v>322</v>
          </cell>
          <cell r="T295">
            <v>821</v>
          </cell>
          <cell r="U295">
            <v>113</v>
          </cell>
          <cell r="X295">
            <v>227</v>
          </cell>
          <cell r="Y295">
            <v>4283</v>
          </cell>
        </row>
        <row r="296">
          <cell r="F296">
            <v>80</v>
          </cell>
          <cell r="H296">
            <v>179</v>
          </cell>
          <cell r="I296">
            <v>82</v>
          </cell>
          <cell r="J296">
            <v>100</v>
          </cell>
          <cell r="K296">
            <v>7</v>
          </cell>
          <cell r="L296">
            <v>119</v>
          </cell>
          <cell r="M296">
            <v>61</v>
          </cell>
          <cell r="N296">
            <v>30</v>
          </cell>
          <cell r="P296">
            <v>23</v>
          </cell>
          <cell r="Q296">
            <v>82</v>
          </cell>
          <cell r="T296">
            <v>234</v>
          </cell>
          <cell r="U296">
            <v>23</v>
          </cell>
          <cell r="X296">
            <v>106</v>
          </cell>
          <cell r="Y296">
            <v>1126</v>
          </cell>
        </row>
        <row r="297">
          <cell r="H297">
            <v>3</v>
          </cell>
          <cell r="L297">
            <v>1</v>
          </cell>
          <cell r="P297">
            <v>1</v>
          </cell>
          <cell r="U297">
            <v>1</v>
          </cell>
          <cell r="Y297">
            <v>6</v>
          </cell>
        </row>
        <row r="298">
          <cell r="F298">
            <v>10</v>
          </cell>
          <cell r="H298">
            <v>22</v>
          </cell>
          <cell r="I298">
            <v>16</v>
          </cell>
          <cell r="J298">
            <v>75</v>
          </cell>
          <cell r="L298">
            <v>35</v>
          </cell>
          <cell r="M298">
            <v>26</v>
          </cell>
          <cell r="N298">
            <v>12</v>
          </cell>
          <cell r="P298">
            <v>40</v>
          </cell>
          <cell r="Q298">
            <v>56</v>
          </cell>
          <cell r="T298">
            <v>77</v>
          </cell>
          <cell r="U298">
            <v>12</v>
          </cell>
          <cell r="X298">
            <v>7</v>
          </cell>
          <cell r="Y298">
            <v>388</v>
          </cell>
        </row>
        <row r="299">
          <cell r="H299">
            <v>1</v>
          </cell>
          <cell r="I299">
            <v>1</v>
          </cell>
          <cell r="M299">
            <v>2</v>
          </cell>
          <cell r="P299">
            <v>1</v>
          </cell>
          <cell r="T299">
            <v>2</v>
          </cell>
          <cell r="Y299">
            <v>7</v>
          </cell>
        </row>
        <row r="300">
          <cell r="F300">
            <v>1</v>
          </cell>
          <cell r="H300">
            <v>1</v>
          </cell>
          <cell r="I300">
            <v>2</v>
          </cell>
          <cell r="J300">
            <v>3</v>
          </cell>
          <cell r="P300">
            <v>0</v>
          </cell>
          <cell r="Q300">
            <v>14</v>
          </cell>
          <cell r="U300">
            <v>1</v>
          </cell>
          <cell r="X300">
            <v>11</v>
          </cell>
          <cell r="Y300">
            <v>33</v>
          </cell>
        </row>
        <row r="301">
          <cell r="F301">
            <v>12</v>
          </cell>
          <cell r="H301">
            <v>69</v>
          </cell>
          <cell r="I301">
            <v>11</v>
          </cell>
          <cell r="J301">
            <v>36</v>
          </cell>
          <cell r="L301">
            <v>27</v>
          </cell>
          <cell r="M301">
            <v>11</v>
          </cell>
          <cell r="N301">
            <v>10</v>
          </cell>
          <cell r="P301">
            <v>13</v>
          </cell>
          <cell r="Q301">
            <v>39</v>
          </cell>
          <cell r="T301">
            <v>51</v>
          </cell>
          <cell r="U301">
            <v>6</v>
          </cell>
          <cell r="X301">
            <v>14</v>
          </cell>
          <cell r="Y301">
            <v>299</v>
          </cell>
        </row>
        <row r="302">
          <cell r="I302">
            <v>1</v>
          </cell>
          <cell r="L302">
            <v>7</v>
          </cell>
          <cell r="M302">
            <v>10</v>
          </cell>
          <cell r="P302">
            <v>0</v>
          </cell>
          <cell r="T302">
            <v>2</v>
          </cell>
          <cell r="Y302">
            <v>20</v>
          </cell>
        </row>
        <row r="303">
          <cell r="F303">
            <v>3</v>
          </cell>
          <cell r="H303">
            <v>6</v>
          </cell>
          <cell r="I303">
            <v>4</v>
          </cell>
          <cell r="P303">
            <v>0</v>
          </cell>
          <cell r="Q303">
            <v>6</v>
          </cell>
          <cell r="U303">
            <v>5</v>
          </cell>
          <cell r="X303">
            <v>1</v>
          </cell>
          <cell r="Y303">
            <v>25</v>
          </cell>
        </row>
        <row r="304">
          <cell r="H304">
            <v>2</v>
          </cell>
          <cell r="I304">
            <v>2</v>
          </cell>
          <cell r="J304">
            <v>5</v>
          </cell>
          <cell r="L304">
            <v>1</v>
          </cell>
          <cell r="N304">
            <v>1</v>
          </cell>
          <cell r="P304">
            <v>0</v>
          </cell>
          <cell r="Q304">
            <v>7</v>
          </cell>
          <cell r="T304">
            <v>5</v>
          </cell>
          <cell r="U304">
            <v>1</v>
          </cell>
          <cell r="X304">
            <v>2</v>
          </cell>
          <cell r="Y304">
            <v>26</v>
          </cell>
        </row>
        <row r="305">
          <cell r="F305">
            <v>10</v>
          </cell>
          <cell r="H305">
            <v>48</v>
          </cell>
          <cell r="I305">
            <v>8</v>
          </cell>
          <cell r="J305">
            <v>26</v>
          </cell>
          <cell r="L305">
            <v>13</v>
          </cell>
          <cell r="M305">
            <v>5</v>
          </cell>
          <cell r="N305">
            <v>12</v>
          </cell>
          <cell r="P305">
            <v>0</v>
          </cell>
          <cell r="T305">
            <v>66</v>
          </cell>
          <cell r="U305">
            <v>2</v>
          </cell>
          <cell r="X305">
            <v>8</v>
          </cell>
          <cell r="Y305">
            <v>198</v>
          </cell>
        </row>
        <row r="306">
          <cell r="F306">
            <v>36</v>
          </cell>
          <cell r="H306">
            <v>75</v>
          </cell>
          <cell r="I306">
            <v>59</v>
          </cell>
          <cell r="J306">
            <v>107</v>
          </cell>
          <cell r="L306">
            <v>71</v>
          </cell>
          <cell r="M306">
            <v>30</v>
          </cell>
          <cell r="N306">
            <v>19</v>
          </cell>
          <cell r="P306">
            <v>25</v>
          </cell>
          <cell r="Q306">
            <v>174</v>
          </cell>
          <cell r="T306">
            <v>107</v>
          </cell>
          <cell r="U306">
            <v>18</v>
          </cell>
          <cell r="X306">
            <v>24</v>
          </cell>
          <cell r="Y306">
            <v>745</v>
          </cell>
        </row>
        <row r="307">
          <cell r="F307">
            <v>33</v>
          </cell>
          <cell r="H307">
            <v>49</v>
          </cell>
          <cell r="J307">
            <v>157</v>
          </cell>
          <cell r="L307">
            <v>30</v>
          </cell>
          <cell r="M307">
            <v>5</v>
          </cell>
          <cell r="N307">
            <v>6</v>
          </cell>
          <cell r="P307">
            <v>0</v>
          </cell>
          <cell r="Q307">
            <v>15</v>
          </cell>
          <cell r="T307">
            <v>72</v>
          </cell>
          <cell r="U307">
            <v>18</v>
          </cell>
          <cell r="X307">
            <v>31</v>
          </cell>
          <cell r="Y307">
            <v>416</v>
          </cell>
        </row>
        <row r="308">
          <cell r="F308">
            <v>32</v>
          </cell>
          <cell r="H308">
            <v>58</v>
          </cell>
          <cell r="I308">
            <v>34</v>
          </cell>
          <cell r="J308">
            <v>56</v>
          </cell>
          <cell r="L308">
            <v>62</v>
          </cell>
          <cell r="M308">
            <v>26</v>
          </cell>
          <cell r="N308">
            <v>6</v>
          </cell>
          <cell r="P308">
            <v>10</v>
          </cell>
          <cell r="Q308">
            <v>20</v>
          </cell>
          <cell r="T308">
            <v>132</v>
          </cell>
          <cell r="U308">
            <v>7</v>
          </cell>
          <cell r="X308">
            <v>26</v>
          </cell>
          <cell r="Y308">
            <v>469</v>
          </cell>
        </row>
        <row r="309">
          <cell r="F309">
            <v>41</v>
          </cell>
          <cell r="H309">
            <v>69</v>
          </cell>
          <cell r="I309">
            <v>21</v>
          </cell>
          <cell r="J309">
            <v>183</v>
          </cell>
          <cell r="K309">
            <v>9</v>
          </cell>
          <cell r="L309">
            <v>164</v>
          </cell>
          <cell r="M309">
            <v>51</v>
          </cell>
          <cell r="N309">
            <v>28</v>
          </cell>
          <cell r="P309">
            <v>26</v>
          </cell>
          <cell r="Q309">
            <v>26</v>
          </cell>
          <cell r="T309">
            <v>257</v>
          </cell>
          <cell r="U309">
            <v>16</v>
          </cell>
          <cell r="X309">
            <v>40</v>
          </cell>
          <cell r="Y309">
            <v>931</v>
          </cell>
        </row>
        <row r="310">
          <cell r="H310">
            <v>1</v>
          </cell>
          <cell r="P310">
            <v>0</v>
          </cell>
          <cell r="Q310">
            <v>1</v>
          </cell>
          <cell r="T310">
            <v>5</v>
          </cell>
          <cell r="U310">
            <v>1</v>
          </cell>
          <cell r="X310">
            <v>2</v>
          </cell>
          <cell r="Y310">
            <v>10</v>
          </cell>
        </row>
        <row r="311">
          <cell r="F311">
            <v>1</v>
          </cell>
          <cell r="H311">
            <v>4</v>
          </cell>
          <cell r="P311">
            <v>0</v>
          </cell>
          <cell r="T311">
            <v>1</v>
          </cell>
          <cell r="Y311">
            <v>6</v>
          </cell>
        </row>
        <row r="312">
          <cell r="H312">
            <v>1</v>
          </cell>
          <cell r="N312">
            <v>1</v>
          </cell>
          <cell r="P312">
            <v>0</v>
          </cell>
          <cell r="T312">
            <v>1</v>
          </cell>
          <cell r="Y312">
            <v>3</v>
          </cell>
        </row>
        <row r="313">
          <cell r="F313">
            <v>55</v>
          </cell>
          <cell r="H313">
            <v>125</v>
          </cell>
          <cell r="I313">
            <v>85</v>
          </cell>
          <cell r="J313">
            <v>201</v>
          </cell>
          <cell r="K313">
            <v>2</v>
          </cell>
          <cell r="L313">
            <v>248</v>
          </cell>
          <cell r="M313">
            <v>75</v>
          </cell>
          <cell r="N313">
            <v>25</v>
          </cell>
          <cell r="P313">
            <v>66</v>
          </cell>
          <cell r="Q313">
            <v>44</v>
          </cell>
          <cell r="T313">
            <v>209</v>
          </cell>
          <cell r="U313">
            <v>39</v>
          </cell>
          <cell r="X313">
            <v>152</v>
          </cell>
          <cell r="Y313">
            <v>1326</v>
          </cell>
        </row>
        <row r="314">
          <cell r="N314">
            <v>7</v>
          </cell>
          <cell r="P314">
            <v>0</v>
          </cell>
          <cell r="T314">
            <v>1</v>
          </cell>
          <cell r="Y314">
            <v>8</v>
          </cell>
        </row>
        <row r="315">
          <cell r="H315">
            <v>9</v>
          </cell>
          <cell r="I315">
            <v>2</v>
          </cell>
          <cell r="J315">
            <v>33</v>
          </cell>
          <cell r="P315">
            <v>16</v>
          </cell>
          <cell r="T315">
            <v>2</v>
          </cell>
          <cell r="Y315">
            <v>62</v>
          </cell>
        </row>
        <row r="316">
          <cell r="F316">
            <v>4</v>
          </cell>
          <cell r="H316">
            <v>33</v>
          </cell>
          <cell r="I316">
            <v>6</v>
          </cell>
          <cell r="J316">
            <v>32</v>
          </cell>
          <cell r="K316">
            <v>4</v>
          </cell>
          <cell r="L316">
            <v>69</v>
          </cell>
          <cell r="M316">
            <v>18</v>
          </cell>
          <cell r="N316">
            <v>5</v>
          </cell>
          <cell r="P316">
            <v>0</v>
          </cell>
          <cell r="T316">
            <v>49</v>
          </cell>
          <cell r="U316">
            <v>9</v>
          </cell>
          <cell r="X316">
            <v>8</v>
          </cell>
          <cell r="Y316">
            <v>237</v>
          </cell>
        </row>
        <row r="317">
          <cell r="F317">
            <v>1</v>
          </cell>
          <cell r="H317">
            <v>24</v>
          </cell>
          <cell r="I317">
            <v>2</v>
          </cell>
          <cell r="J317">
            <v>1</v>
          </cell>
          <cell r="L317">
            <v>1</v>
          </cell>
          <cell r="M317">
            <v>33</v>
          </cell>
          <cell r="P317">
            <v>2</v>
          </cell>
          <cell r="Q317">
            <v>1</v>
          </cell>
          <cell r="T317">
            <v>5</v>
          </cell>
          <cell r="X317">
            <v>1</v>
          </cell>
          <cell r="Y317">
            <v>71</v>
          </cell>
        </row>
        <row r="318">
          <cell r="H318">
            <v>46</v>
          </cell>
          <cell r="N318">
            <v>1</v>
          </cell>
          <cell r="P318">
            <v>0</v>
          </cell>
          <cell r="Y318">
            <v>47</v>
          </cell>
        </row>
        <row r="319">
          <cell r="P319">
            <v>0</v>
          </cell>
          <cell r="Y319">
            <v>0</v>
          </cell>
        </row>
        <row r="320">
          <cell r="I320">
            <v>11</v>
          </cell>
          <cell r="J320">
            <v>7</v>
          </cell>
          <cell r="P320">
            <v>0</v>
          </cell>
          <cell r="Q320">
            <v>1</v>
          </cell>
          <cell r="T320">
            <v>7</v>
          </cell>
          <cell r="Y320">
            <v>26</v>
          </cell>
        </row>
        <row r="321">
          <cell r="I321">
            <v>12</v>
          </cell>
          <cell r="K321">
            <v>1</v>
          </cell>
          <cell r="L321">
            <v>6</v>
          </cell>
          <cell r="P321">
            <v>0</v>
          </cell>
          <cell r="T321">
            <v>2</v>
          </cell>
          <cell r="X321">
            <v>1</v>
          </cell>
          <cell r="Y321">
            <v>22</v>
          </cell>
        </row>
        <row r="322">
          <cell r="I322">
            <v>18</v>
          </cell>
          <cell r="P322">
            <v>0</v>
          </cell>
          <cell r="T322">
            <v>2</v>
          </cell>
          <cell r="X322">
            <v>5</v>
          </cell>
          <cell r="Y322">
            <v>25</v>
          </cell>
        </row>
        <row r="323">
          <cell r="H323">
            <v>115</v>
          </cell>
          <cell r="I323">
            <v>19</v>
          </cell>
          <cell r="J323">
            <v>117</v>
          </cell>
          <cell r="M323">
            <v>33</v>
          </cell>
          <cell r="N323">
            <v>17</v>
          </cell>
          <cell r="P323">
            <v>13</v>
          </cell>
          <cell r="Q323">
            <v>12</v>
          </cell>
          <cell r="T323">
            <v>102</v>
          </cell>
          <cell r="U323">
            <v>12</v>
          </cell>
          <cell r="X323">
            <v>28</v>
          </cell>
          <cell r="Y323">
            <v>468</v>
          </cell>
        </row>
        <row r="324">
          <cell r="H324">
            <v>26</v>
          </cell>
          <cell r="I324">
            <v>10</v>
          </cell>
          <cell r="J324">
            <v>42</v>
          </cell>
          <cell r="M324">
            <v>33</v>
          </cell>
          <cell r="N324">
            <v>12</v>
          </cell>
          <cell r="P324">
            <v>9</v>
          </cell>
          <cell r="Q324">
            <v>11</v>
          </cell>
          <cell r="T324">
            <v>29</v>
          </cell>
          <cell r="U324">
            <v>6</v>
          </cell>
          <cell r="X324">
            <v>6</v>
          </cell>
          <cell r="Y324">
            <v>184</v>
          </cell>
        </row>
        <row r="325">
          <cell r="F325">
            <v>0</v>
          </cell>
          <cell r="H325">
            <v>1</v>
          </cell>
          <cell r="I325">
            <v>0</v>
          </cell>
          <cell r="J325">
            <v>2</v>
          </cell>
          <cell r="K325">
            <v>2</v>
          </cell>
          <cell r="L325">
            <v>14</v>
          </cell>
          <cell r="M325">
            <v>4</v>
          </cell>
          <cell r="N325">
            <v>4</v>
          </cell>
          <cell r="P325">
            <v>0</v>
          </cell>
          <cell r="Q325">
            <v>0</v>
          </cell>
          <cell r="T325">
            <v>2</v>
          </cell>
          <cell r="X325">
            <v>1</v>
          </cell>
          <cell r="Y325">
            <v>30</v>
          </cell>
        </row>
        <row r="326">
          <cell r="F326">
            <v>8</v>
          </cell>
          <cell r="H326">
            <v>198</v>
          </cell>
          <cell r="I326">
            <v>49</v>
          </cell>
          <cell r="J326">
            <v>260</v>
          </cell>
          <cell r="K326">
            <v>51</v>
          </cell>
          <cell r="L326">
            <v>94</v>
          </cell>
          <cell r="M326">
            <v>9</v>
          </cell>
          <cell r="N326">
            <v>22</v>
          </cell>
          <cell r="P326">
            <v>16</v>
          </cell>
          <cell r="Q326">
            <v>29</v>
          </cell>
          <cell r="T326">
            <v>215</v>
          </cell>
          <cell r="U326">
            <v>34</v>
          </cell>
          <cell r="X326">
            <v>20</v>
          </cell>
          <cell r="Y326">
            <v>1005</v>
          </cell>
        </row>
        <row r="327">
          <cell r="F327">
            <v>218</v>
          </cell>
          <cell r="G327">
            <v>351</v>
          </cell>
          <cell r="H327">
            <v>888</v>
          </cell>
          <cell r="I327">
            <v>500</v>
          </cell>
          <cell r="J327">
            <v>1791</v>
          </cell>
          <cell r="K327">
            <v>276</v>
          </cell>
          <cell r="L327">
            <v>2868</v>
          </cell>
          <cell r="M327">
            <v>471</v>
          </cell>
          <cell r="N327">
            <v>336</v>
          </cell>
          <cell r="O327">
            <v>772</v>
          </cell>
          <cell r="P327">
            <v>246</v>
          </cell>
          <cell r="Q327">
            <v>262</v>
          </cell>
          <cell r="R327">
            <v>265</v>
          </cell>
          <cell r="S327">
            <v>317</v>
          </cell>
          <cell r="T327">
            <v>2033</v>
          </cell>
          <cell r="U327">
            <v>231</v>
          </cell>
          <cell r="V327">
            <v>728</v>
          </cell>
          <cell r="W327">
            <v>131</v>
          </cell>
          <cell r="X327">
            <v>176</v>
          </cell>
          <cell r="Y327">
            <v>12860</v>
          </cell>
          <cell r="Z327">
            <v>72423</v>
          </cell>
        </row>
        <row r="328">
          <cell r="F328">
            <v>167</v>
          </cell>
          <cell r="H328">
            <v>671</v>
          </cell>
          <cell r="I328">
            <v>376</v>
          </cell>
          <cell r="J328">
            <v>1058</v>
          </cell>
          <cell r="K328">
            <v>174</v>
          </cell>
          <cell r="L328">
            <v>1766</v>
          </cell>
          <cell r="M328">
            <v>326</v>
          </cell>
          <cell r="N328">
            <v>237</v>
          </cell>
          <cell r="P328">
            <v>210</v>
          </cell>
          <cell r="T328">
            <v>1494</v>
          </cell>
          <cell r="U328">
            <v>136</v>
          </cell>
          <cell r="Y328">
            <v>6615</v>
          </cell>
        </row>
        <row r="329">
          <cell r="F329">
            <v>51</v>
          </cell>
          <cell r="G329">
            <v>117</v>
          </cell>
          <cell r="H329">
            <v>171</v>
          </cell>
          <cell r="I329">
            <v>158</v>
          </cell>
          <cell r="J329">
            <v>428</v>
          </cell>
          <cell r="K329">
            <v>132</v>
          </cell>
          <cell r="L329">
            <v>1067</v>
          </cell>
          <cell r="M329">
            <v>118</v>
          </cell>
          <cell r="N329">
            <v>94</v>
          </cell>
          <cell r="O329">
            <v>162</v>
          </cell>
          <cell r="P329">
            <v>33</v>
          </cell>
          <cell r="Q329">
            <v>52</v>
          </cell>
          <cell r="R329">
            <v>37</v>
          </cell>
          <cell r="S329">
            <v>132</v>
          </cell>
          <cell r="T329">
            <v>471</v>
          </cell>
          <cell r="U329">
            <v>91</v>
          </cell>
          <cell r="V329">
            <v>362</v>
          </cell>
          <cell r="W329">
            <v>37</v>
          </cell>
          <cell r="X329">
            <v>29</v>
          </cell>
          <cell r="Y329">
            <v>3742</v>
          </cell>
          <cell r="Z329">
            <v>17890</v>
          </cell>
        </row>
        <row r="330">
          <cell r="F330">
            <v>148</v>
          </cell>
          <cell r="H330">
            <v>466</v>
          </cell>
          <cell r="I330">
            <v>301</v>
          </cell>
          <cell r="J330">
            <v>745</v>
          </cell>
          <cell r="K330">
            <v>89</v>
          </cell>
          <cell r="L330">
            <v>959</v>
          </cell>
          <cell r="M330">
            <v>15</v>
          </cell>
          <cell r="N330">
            <v>163</v>
          </cell>
          <cell r="P330">
            <v>161</v>
          </cell>
          <cell r="T330">
            <v>1063</v>
          </cell>
          <cell r="U330">
            <v>117</v>
          </cell>
          <cell r="Y330">
            <v>4227</v>
          </cell>
        </row>
        <row r="331">
          <cell r="F331">
            <v>1</v>
          </cell>
          <cell r="H331">
            <v>8</v>
          </cell>
          <cell r="I331">
            <v>73</v>
          </cell>
          <cell r="J331">
            <v>22</v>
          </cell>
          <cell r="K331">
            <v>22</v>
          </cell>
          <cell r="L331">
            <v>125</v>
          </cell>
          <cell r="M331">
            <v>46</v>
          </cell>
          <cell r="N331">
            <v>5</v>
          </cell>
          <cell r="P331">
            <v>4</v>
          </cell>
          <cell r="Q331">
            <v>6</v>
          </cell>
          <cell r="T331">
            <v>82</v>
          </cell>
          <cell r="U331">
            <v>3</v>
          </cell>
          <cell r="X331">
            <v>3</v>
          </cell>
          <cell r="Y331">
            <v>400</v>
          </cell>
        </row>
        <row r="332">
          <cell r="F332">
            <v>20</v>
          </cell>
          <cell r="H332">
            <v>275</v>
          </cell>
          <cell r="I332">
            <v>2</v>
          </cell>
          <cell r="J332">
            <v>315</v>
          </cell>
          <cell r="K332">
            <v>48</v>
          </cell>
          <cell r="L332">
            <v>738</v>
          </cell>
          <cell r="M332">
            <v>68</v>
          </cell>
          <cell r="N332">
            <v>70</v>
          </cell>
          <cell r="P332">
            <v>45</v>
          </cell>
          <cell r="Q332">
            <v>61</v>
          </cell>
          <cell r="T332">
            <v>534</v>
          </cell>
          <cell r="U332">
            <v>16</v>
          </cell>
          <cell r="X332">
            <v>60</v>
          </cell>
          <cell r="Y332">
            <v>2252</v>
          </cell>
        </row>
        <row r="333">
          <cell r="H333">
            <v>87</v>
          </cell>
          <cell r="I333">
            <v>75</v>
          </cell>
          <cell r="J333">
            <v>31</v>
          </cell>
          <cell r="K333">
            <v>37</v>
          </cell>
          <cell r="L333">
            <v>35</v>
          </cell>
          <cell r="M333">
            <v>46</v>
          </cell>
          <cell r="N333">
            <v>29</v>
          </cell>
          <cell r="P333">
            <v>3</v>
          </cell>
          <cell r="Q333">
            <v>29</v>
          </cell>
          <cell r="T333">
            <v>626</v>
          </cell>
          <cell r="Y333">
            <v>998</v>
          </cell>
        </row>
        <row r="334">
          <cell r="F334">
            <v>149</v>
          </cell>
          <cell r="H334">
            <v>671</v>
          </cell>
          <cell r="I334">
            <v>303</v>
          </cell>
          <cell r="J334">
            <v>1262</v>
          </cell>
          <cell r="K334">
            <v>153</v>
          </cell>
          <cell r="L334">
            <v>886</v>
          </cell>
          <cell r="M334">
            <v>269</v>
          </cell>
          <cell r="N334">
            <v>208</v>
          </cell>
          <cell r="P334">
            <v>208</v>
          </cell>
          <cell r="Q334">
            <v>209</v>
          </cell>
          <cell r="T334">
            <v>1665</v>
          </cell>
          <cell r="U334">
            <v>120</v>
          </cell>
          <cell r="X334">
            <v>87</v>
          </cell>
          <cell r="Y334">
            <v>6190</v>
          </cell>
        </row>
        <row r="335">
          <cell r="F335">
            <v>68</v>
          </cell>
          <cell r="H335">
            <v>212</v>
          </cell>
          <cell r="I335">
            <v>143</v>
          </cell>
          <cell r="J335">
            <v>495</v>
          </cell>
          <cell r="K335">
            <v>90</v>
          </cell>
          <cell r="L335">
            <v>1628</v>
          </cell>
          <cell r="M335">
            <v>183</v>
          </cell>
          <cell r="N335">
            <v>114</v>
          </cell>
          <cell r="P335">
            <v>37</v>
          </cell>
          <cell r="Q335">
            <v>32</v>
          </cell>
          <cell r="T335">
            <v>358</v>
          </cell>
          <cell r="U335">
            <v>16</v>
          </cell>
          <cell r="X335">
            <v>83</v>
          </cell>
          <cell r="Y335">
            <v>3459</v>
          </cell>
        </row>
        <row r="336">
          <cell r="F336">
            <v>0</v>
          </cell>
          <cell r="H336">
            <v>0</v>
          </cell>
          <cell r="I336">
            <v>4</v>
          </cell>
          <cell r="J336">
            <v>19</v>
          </cell>
          <cell r="K336">
            <v>11</v>
          </cell>
          <cell r="L336">
            <v>23</v>
          </cell>
          <cell r="M336">
            <v>3</v>
          </cell>
          <cell r="N336">
            <v>2</v>
          </cell>
          <cell r="P336">
            <v>0</v>
          </cell>
          <cell r="Q336">
            <v>1</v>
          </cell>
          <cell r="T336">
            <v>2</v>
          </cell>
          <cell r="U336">
            <v>0</v>
          </cell>
          <cell r="X336">
            <v>6</v>
          </cell>
          <cell r="Y336">
            <v>71</v>
          </cell>
        </row>
        <row r="337">
          <cell r="F337">
            <v>1</v>
          </cell>
          <cell r="H337">
            <v>5</v>
          </cell>
          <cell r="I337">
            <v>125</v>
          </cell>
          <cell r="J337">
            <v>16</v>
          </cell>
          <cell r="K337">
            <v>23</v>
          </cell>
          <cell r="L337">
            <v>331</v>
          </cell>
          <cell r="M337">
            <v>20</v>
          </cell>
          <cell r="N337">
            <v>15</v>
          </cell>
          <cell r="P337">
            <v>1</v>
          </cell>
          <cell r="Q337">
            <v>20</v>
          </cell>
          <cell r="T337">
            <v>8</v>
          </cell>
          <cell r="U337">
            <v>0</v>
          </cell>
          <cell r="X337">
            <v>0</v>
          </cell>
          <cell r="Y337">
            <v>565</v>
          </cell>
        </row>
        <row r="338">
          <cell r="F338">
            <v>148</v>
          </cell>
          <cell r="G338">
            <v>245</v>
          </cell>
          <cell r="H338">
            <v>625</v>
          </cell>
          <cell r="I338">
            <v>331</v>
          </cell>
          <cell r="J338">
            <v>1105</v>
          </cell>
          <cell r="K338">
            <v>155</v>
          </cell>
          <cell r="L338">
            <v>1654</v>
          </cell>
          <cell r="M338">
            <v>258</v>
          </cell>
          <cell r="N338">
            <v>167</v>
          </cell>
          <cell r="O338">
            <v>559</v>
          </cell>
          <cell r="P338">
            <v>189</v>
          </cell>
          <cell r="Q338">
            <v>201</v>
          </cell>
          <cell r="R338">
            <v>167</v>
          </cell>
          <cell r="S338">
            <v>185</v>
          </cell>
          <cell r="T338">
            <v>1382</v>
          </cell>
          <cell r="U338">
            <v>115</v>
          </cell>
          <cell r="V338">
            <v>615</v>
          </cell>
          <cell r="W338">
            <v>116</v>
          </cell>
          <cell r="X338">
            <v>107</v>
          </cell>
          <cell r="Y338">
            <v>615</v>
          </cell>
          <cell r="Z338">
            <v>48543</v>
          </cell>
        </row>
        <row r="339">
          <cell r="F339">
            <v>128</v>
          </cell>
          <cell r="G339">
            <v>160.99999999999997</v>
          </cell>
          <cell r="H339">
            <v>193</v>
          </cell>
          <cell r="I339">
            <v>201</v>
          </cell>
          <cell r="J339">
            <v>605</v>
          </cell>
          <cell r="K339">
            <v>64</v>
          </cell>
          <cell r="L339">
            <v>471</v>
          </cell>
          <cell r="M339">
            <v>58</v>
          </cell>
          <cell r="N339">
            <v>111</v>
          </cell>
          <cell r="O339">
            <v>264</v>
          </cell>
          <cell r="P339">
            <v>184</v>
          </cell>
          <cell r="Q339">
            <v>143</v>
          </cell>
          <cell r="R339">
            <v>96</v>
          </cell>
          <cell r="S339">
            <v>52</v>
          </cell>
          <cell r="T339">
            <v>929</v>
          </cell>
          <cell r="U339">
            <v>97</v>
          </cell>
          <cell r="V339">
            <v>268</v>
          </cell>
          <cell r="W339">
            <v>114</v>
          </cell>
          <cell r="X339">
            <v>32</v>
          </cell>
          <cell r="Y339">
            <v>268</v>
          </cell>
          <cell r="Z339">
            <v>28178</v>
          </cell>
        </row>
        <row r="340">
          <cell r="F340">
            <v>148</v>
          </cell>
          <cell r="G340">
            <v>228</v>
          </cell>
          <cell r="H340">
            <v>572</v>
          </cell>
          <cell r="I340">
            <v>261</v>
          </cell>
          <cell r="J340">
            <v>1074</v>
          </cell>
          <cell r="K340">
            <v>150</v>
          </cell>
          <cell r="L340">
            <v>1618</v>
          </cell>
          <cell r="M340">
            <v>205</v>
          </cell>
          <cell r="N340">
            <v>137</v>
          </cell>
          <cell r="O340">
            <v>552</v>
          </cell>
          <cell r="P340">
            <v>182</v>
          </cell>
          <cell r="Q340">
            <v>193</v>
          </cell>
          <cell r="R340">
            <v>131</v>
          </cell>
          <cell r="S340">
            <v>141</v>
          </cell>
          <cell r="T340">
            <v>1375</v>
          </cell>
          <cell r="U340">
            <v>102</v>
          </cell>
          <cell r="V340">
            <v>595</v>
          </cell>
          <cell r="W340">
            <v>114</v>
          </cell>
          <cell r="X340">
            <v>104</v>
          </cell>
          <cell r="Y340">
            <v>595</v>
          </cell>
          <cell r="Z340">
            <v>45145</v>
          </cell>
        </row>
        <row r="341">
          <cell r="F341">
            <v>128</v>
          </cell>
          <cell r="G341">
            <v>152.00000000000003</v>
          </cell>
          <cell r="H341">
            <v>187</v>
          </cell>
          <cell r="I341">
            <v>174</v>
          </cell>
          <cell r="J341">
            <v>591</v>
          </cell>
          <cell r="K341">
            <v>64</v>
          </cell>
          <cell r="L341">
            <v>468</v>
          </cell>
          <cell r="M341">
            <v>54</v>
          </cell>
          <cell r="N341">
            <v>104</v>
          </cell>
          <cell r="O341">
            <v>261</v>
          </cell>
          <cell r="P341">
            <v>181</v>
          </cell>
          <cell r="Q341">
            <v>142.99999999999997</v>
          </cell>
          <cell r="R341">
            <v>91</v>
          </cell>
          <cell r="S341">
            <v>8</v>
          </cell>
          <cell r="T341">
            <v>927</v>
          </cell>
          <cell r="U341">
            <v>96</v>
          </cell>
          <cell r="V341">
            <v>248</v>
          </cell>
          <cell r="W341">
            <v>113</v>
          </cell>
          <cell r="X341">
            <v>31</v>
          </cell>
          <cell r="Y341">
            <v>248</v>
          </cell>
          <cell r="Z341">
            <v>27111</v>
          </cell>
        </row>
        <row r="342">
          <cell r="F342">
            <v>724</v>
          </cell>
          <cell r="G342">
            <v>0</v>
          </cell>
          <cell r="H342">
            <v>3946</v>
          </cell>
          <cell r="I342">
            <v>3332</v>
          </cell>
          <cell r="J342">
            <v>8103</v>
          </cell>
          <cell r="K342">
            <v>1040</v>
          </cell>
          <cell r="L342">
            <v>10680</v>
          </cell>
          <cell r="M342">
            <v>2036</v>
          </cell>
          <cell r="N342">
            <v>1749</v>
          </cell>
          <cell r="O342">
            <v>0</v>
          </cell>
          <cell r="P342">
            <v>1457</v>
          </cell>
          <cell r="Q342">
            <v>1275</v>
          </cell>
          <cell r="S342">
            <v>0</v>
          </cell>
          <cell r="T342">
            <v>0</v>
          </cell>
          <cell r="U342">
            <v>890</v>
          </cell>
          <cell r="V342">
            <v>0</v>
          </cell>
          <cell r="W342">
            <v>0</v>
          </cell>
          <cell r="X342">
            <v>870</v>
          </cell>
          <cell r="Y342">
            <v>36102</v>
          </cell>
        </row>
        <row r="344">
          <cell r="F344">
            <v>19</v>
          </cell>
          <cell r="G344">
            <v>43</v>
          </cell>
          <cell r="H344">
            <v>64</v>
          </cell>
          <cell r="I344">
            <v>45</v>
          </cell>
          <cell r="J344">
            <v>254</v>
          </cell>
          <cell r="K344">
            <v>26</v>
          </cell>
          <cell r="L344">
            <v>62</v>
          </cell>
          <cell r="M344">
            <v>110</v>
          </cell>
          <cell r="N344">
            <v>49</v>
          </cell>
          <cell r="O344">
            <v>115</v>
          </cell>
          <cell r="P344">
            <v>16</v>
          </cell>
          <cell r="Q344">
            <v>35</v>
          </cell>
          <cell r="R344">
            <v>28</v>
          </cell>
          <cell r="S344">
            <v>10</v>
          </cell>
          <cell r="T344">
            <v>13</v>
          </cell>
          <cell r="U344">
            <v>3</v>
          </cell>
          <cell r="V344">
            <v>101</v>
          </cell>
          <cell r="W344">
            <v>8</v>
          </cell>
          <cell r="X344">
            <v>21</v>
          </cell>
          <cell r="Y344">
            <v>1022</v>
          </cell>
        </row>
        <row r="346">
          <cell r="F346">
            <v>0</v>
          </cell>
          <cell r="G346">
            <v>4</v>
          </cell>
          <cell r="H346">
            <v>71</v>
          </cell>
          <cell r="I346">
            <v>6</v>
          </cell>
          <cell r="J346">
            <v>87</v>
          </cell>
          <cell r="K346">
            <v>12</v>
          </cell>
          <cell r="L346">
            <v>4</v>
          </cell>
          <cell r="M346">
            <v>116</v>
          </cell>
          <cell r="N346">
            <v>40</v>
          </cell>
          <cell r="O346">
            <v>78</v>
          </cell>
          <cell r="P346">
            <v>1</v>
          </cell>
          <cell r="Q346">
            <v>29</v>
          </cell>
          <cell r="R346">
            <v>1</v>
          </cell>
          <cell r="S346">
            <v>0</v>
          </cell>
          <cell r="T346">
            <v>0</v>
          </cell>
          <cell r="U346">
            <v>6</v>
          </cell>
          <cell r="V346">
            <v>186</v>
          </cell>
          <cell r="W346">
            <v>0</v>
          </cell>
          <cell r="X346">
            <v>19</v>
          </cell>
          <cell r="Y346">
            <v>660</v>
          </cell>
        </row>
        <row r="348">
          <cell r="F348">
            <v>1</v>
          </cell>
          <cell r="G348">
            <v>8</v>
          </cell>
          <cell r="H348">
            <v>4</v>
          </cell>
          <cell r="I348">
            <v>14</v>
          </cell>
          <cell r="J348">
            <v>9</v>
          </cell>
          <cell r="K348">
            <v>8</v>
          </cell>
          <cell r="L348">
            <v>0</v>
          </cell>
          <cell r="M348">
            <v>8</v>
          </cell>
          <cell r="N348">
            <v>1</v>
          </cell>
          <cell r="O348">
            <v>8</v>
          </cell>
          <cell r="P348">
            <v>1</v>
          </cell>
          <cell r="Q348">
            <v>0</v>
          </cell>
          <cell r="R348">
            <v>0</v>
          </cell>
          <cell r="S348">
            <v>2</v>
          </cell>
          <cell r="T348">
            <v>11</v>
          </cell>
          <cell r="U348">
            <v>1</v>
          </cell>
          <cell r="V348">
            <v>14</v>
          </cell>
          <cell r="W348">
            <v>5</v>
          </cell>
          <cell r="X348">
            <v>0</v>
          </cell>
          <cell r="Y348">
            <v>95</v>
          </cell>
        </row>
        <row r="350">
          <cell r="F350">
            <v>2</v>
          </cell>
          <cell r="G350">
            <v>3</v>
          </cell>
          <cell r="H350">
            <v>6</v>
          </cell>
          <cell r="I350">
            <v>1</v>
          </cell>
          <cell r="J350">
            <v>4</v>
          </cell>
          <cell r="K350">
            <v>4</v>
          </cell>
          <cell r="L350">
            <v>0</v>
          </cell>
          <cell r="M350">
            <v>1</v>
          </cell>
          <cell r="N350">
            <v>1</v>
          </cell>
          <cell r="O350">
            <v>3</v>
          </cell>
          <cell r="P350">
            <v>0</v>
          </cell>
          <cell r="Q350">
            <v>0</v>
          </cell>
          <cell r="R350">
            <v>1</v>
          </cell>
          <cell r="S350">
            <v>0</v>
          </cell>
          <cell r="T350">
            <v>1</v>
          </cell>
          <cell r="U350">
            <v>0</v>
          </cell>
          <cell r="V350">
            <v>0</v>
          </cell>
          <cell r="W350">
            <v>0</v>
          </cell>
          <cell r="X350">
            <v>0</v>
          </cell>
          <cell r="Y350">
            <v>27</v>
          </cell>
        </row>
        <row r="352">
          <cell r="F352">
            <v>14</v>
          </cell>
          <cell r="G352">
            <v>29</v>
          </cell>
          <cell r="H352">
            <v>65</v>
          </cell>
          <cell r="I352">
            <v>32</v>
          </cell>
          <cell r="J352">
            <v>95</v>
          </cell>
          <cell r="K352">
            <v>6</v>
          </cell>
          <cell r="L352">
            <v>211</v>
          </cell>
          <cell r="M352">
            <v>31</v>
          </cell>
          <cell r="N352">
            <v>49</v>
          </cell>
          <cell r="O352">
            <v>13</v>
          </cell>
          <cell r="P352">
            <v>36</v>
          </cell>
          <cell r="Q352">
            <v>0</v>
          </cell>
          <cell r="R352">
            <v>25</v>
          </cell>
          <cell r="S352">
            <v>0</v>
          </cell>
          <cell r="T352">
            <v>106</v>
          </cell>
          <cell r="U352">
            <v>26</v>
          </cell>
          <cell r="V352">
            <v>46</v>
          </cell>
          <cell r="W352">
            <v>27</v>
          </cell>
          <cell r="X352">
            <v>17</v>
          </cell>
          <cell r="Y352">
            <v>828</v>
          </cell>
        </row>
        <row r="354">
          <cell r="F354">
            <v>3</v>
          </cell>
          <cell r="G354">
            <v>5</v>
          </cell>
          <cell r="H354">
            <v>2</v>
          </cell>
          <cell r="I354">
            <v>16</v>
          </cell>
          <cell r="J354">
            <v>19</v>
          </cell>
          <cell r="K354">
            <v>0</v>
          </cell>
          <cell r="L354">
            <v>28</v>
          </cell>
          <cell r="M354">
            <v>0</v>
          </cell>
          <cell r="N354">
            <v>11</v>
          </cell>
          <cell r="O354">
            <v>19</v>
          </cell>
          <cell r="P354">
            <v>30</v>
          </cell>
          <cell r="Q354">
            <v>0</v>
          </cell>
          <cell r="R354">
            <v>0</v>
          </cell>
          <cell r="S354">
            <v>2</v>
          </cell>
          <cell r="T354">
            <v>8</v>
          </cell>
          <cell r="U354">
            <v>7</v>
          </cell>
          <cell r="V354">
            <v>6</v>
          </cell>
          <cell r="W354">
            <v>4</v>
          </cell>
          <cell r="X354">
            <v>2</v>
          </cell>
          <cell r="Y354">
            <v>162</v>
          </cell>
        </row>
        <row r="356">
          <cell r="F356">
            <v>1</v>
          </cell>
          <cell r="G356">
            <v>4</v>
          </cell>
          <cell r="H356">
            <v>4</v>
          </cell>
          <cell r="I356">
            <v>0</v>
          </cell>
          <cell r="J356">
            <v>6</v>
          </cell>
          <cell r="K356">
            <v>13</v>
          </cell>
          <cell r="L356">
            <v>28</v>
          </cell>
          <cell r="M356">
            <v>25</v>
          </cell>
          <cell r="N356">
            <v>6</v>
          </cell>
          <cell r="O356">
            <v>5</v>
          </cell>
          <cell r="P356">
            <v>1</v>
          </cell>
          <cell r="Q356">
            <v>4</v>
          </cell>
          <cell r="R356">
            <v>7</v>
          </cell>
          <cell r="S356">
            <v>0</v>
          </cell>
          <cell r="T356">
            <v>10</v>
          </cell>
          <cell r="U356">
            <v>1</v>
          </cell>
          <cell r="V356">
            <v>1</v>
          </cell>
          <cell r="W356">
            <v>6</v>
          </cell>
          <cell r="X356">
            <v>1</v>
          </cell>
          <cell r="Y356">
            <v>123</v>
          </cell>
        </row>
        <row r="358">
          <cell r="F358">
            <v>84</v>
          </cell>
          <cell r="G358">
            <v>61</v>
          </cell>
          <cell r="H358">
            <v>193</v>
          </cell>
          <cell r="I358">
            <v>276</v>
          </cell>
          <cell r="J358">
            <v>74</v>
          </cell>
          <cell r="K358">
            <v>31</v>
          </cell>
          <cell r="L358">
            <v>175</v>
          </cell>
          <cell r="M358">
            <v>32</v>
          </cell>
          <cell r="N358">
            <v>40</v>
          </cell>
          <cell r="O358">
            <v>34</v>
          </cell>
          <cell r="P358">
            <v>0</v>
          </cell>
          <cell r="Q358">
            <v>52</v>
          </cell>
          <cell r="R358">
            <v>21</v>
          </cell>
          <cell r="S358">
            <v>67</v>
          </cell>
          <cell r="T358">
            <v>324</v>
          </cell>
          <cell r="U358">
            <v>44</v>
          </cell>
          <cell r="V358">
            <v>124</v>
          </cell>
          <cell r="W358">
            <v>70</v>
          </cell>
          <cell r="X358">
            <v>3</v>
          </cell>
          <cell r="Y358">
            <v>1705</v>
          </cell>
        </row>
        <row r="359">
          <cell r="F359">
            <v>2</v>
          </cell>
          <cell r="H359">
            <v>636</v>
          </cell>
          <cell r="I359">
            <v>423</v>
          </cell>
          <cell r="J359">
            <v>526</v>
          </cell>
          <cell r="K359">
            <v>160</v>
          </cell>
          <cell r="L359">
            <v>244</v>
          </cell>
          <cell r="M359">
            <v>207</v>
          </cell>
          <cell r="N359">
            <v>68</v>
          </cell>
          <cell r="P359">
            <v>144</v>
          </cell>
          <cell r="Q359">
            <v>0</v>
          </cell>
          <cell r="T359">
            <v>614</v>
          </cell>
          <cell r="U359">
            <v>40</v>
          </cell>
          <cell r="X359">
            <v>93</v>
          </cell>
          <cell r="Y359">
            <v>3157</v>
          </cell>
        </row>
        <row r="360">
          <cell r="F360">
            <v>0</v>
          </cell>
          <cell r="H360">
            <v>11</v>
          </cell>
          <cell r="I360">
            <v>16</v>
          </cell>
          <cell r="J360">
            <v>20</v>
          </cell>
          <cell r="K360">
            <v>2</v>
          </cell>
          <cell r="L360">
            <v>0</v>
          </cell>
          <cell r="M360">
            <v>0</v>
          </cell>
          <cell r="N360">
            <v>5</v>
          </cell>
          <cell r="P360">
            <v>0</v>
          </cell>
          <cell r="Q360">
            <v>0</v>
          </cell>
          <cell r="T360">
            <v>0</v>
          </cell>
          <cell r="U360">
            <v>0</v>
          </cell>
          <cell r="X360">
            <v>3</v>
          </cell>
          <cell r="Y360">
            <v>57</v>
          </cell>
        </row>
        <row r="361">
          <cell r="F361">
            <v>21</v>
          </cell>
          <cell r="G361">
            <v>6</v>
          </cell>
          <cell r="H361">
            <v>15</v>
          </cell>
          <cell r="I361">
            <v>160</v>
          </cell>
          <cell r="J361">
            <v>31</v>
          </cell>
          <cell r="K361">
            <v>25</v>
          </cell>
          <cell r="L361">
            <v>16</v>
          </cell>
          <cell r="M361">
            <v>136</v>
          </cell>
          <cell r="N361">
            <v>158</v>
          </cell>
          <cell r="O361">
            <v>235</v>
          </cell>
          <cell r="P361">
            <v>102</v>
          </cell>
          <cell r="Q361">
            <v>0</v>
          </cell>
          <cell r="R361">
            <v>6</v>
          </cell>
          <cell r="S361">
            <v>99</v>
          </cell>
          <cell r="T361">
            <v>29</v>
          </cell>
          <cell r="U361">
            <v>75</v>
          </cell>
          <cell r="V361">
            <v>15</v>
          </cell>
          <cell r="W361">
            <v>69</v>
          </cell>
          <cell r="X361">
            <v>77</v>
          </cell>
          <cell r="Y361">
            <v>1275</v>
          </cell>
          <cell r="Z361">
            <v>15712</v>
          </cell>
        </row>
        <row r="362">
          <cell r="F362">
            <v>0</v>
          </cell>
          <cell r="G362">
            <v>0</v>
          </cell>
          <cell r="H362">
            <v>0</v>
          </cell>
          <cell r="I362">
            <v>41</v>
          </cell>
          <cell r="J362">
            <v>24</v>
          </cell>
          <cell r="K362">
            <v>15</v>
          </cell>
          <cell r="L362">
            <v>8</v>
          </cell>
          <cell r="M362">
            <v>0</v>
          </cell>
          <cell r="N362">
            <v>0</v>
          </cell>
          <cell r="O362">
            <v>0</v>
          </cell>
          <cell r="P362">
            <v>47</v>
          </cell>
          <cell r="Q362">
            <v>0</v>
          </cell>
          <cell r="R362">
            <v>2</v>
          </cell>
          <cell r="S362">
            <v>0</v>
          </cell>
          <cell r="T362">
            <v>3</v>
          </cell>
          <cell r="U362">
            <v>0</v>
          </cell>
          <cell r="V362">
            <v>1</v>
          </cell>
          <cell r="W362">
            <v>69</v>
          </cell>
          <cell r="X362">
            <v>3</v>
          </cell>
          <cell r="Y362">
            <v>213</v>
          </cell>
          <cell r="Z362">
            <v>2990</v>
          </cell>
        </row>
        <row r="363">
          <cell r="F363">
            <v>21</v>
          </cell>
          <cell r="G363">
            <v>6</v>
          </cell>
          <cell r="H363">
            <v>15</v>
          </cell>
          <cell r="I363">
            <v>119</v>
          </cell>
          <cell r="J363">
            <v>15</v>
          </cell>
          <cell r="K363">
            <v>10</v>
          </cell>
          <cell r="L363">
            <v>8</v>
          </cell>
          <cell r="M363">
            <v>136</v>
          </cell>
          <cell r="N363">
            <v>161</v>
          </cell>
          <cell r="O363">
            <v>247</v>
          </cell>
          <cell r="P363">
            <v>58</v>
          </cell>
          <cell r="Q363">
            <v>0</v>
          </cell>
          <cell r="R363">
            <v>5</v>
          </cell>
          <cell r="S363">
            <v>99</v>
          </cell>
          <cell r="T363">
            <v>26</v>
          </cell>
          <cell r="U363">
            <v>75</v>
          </cell>
          <cell r="V363">
            <v>15</v>
          </cell>
          <cell r="W363">
            <v>69</v>
          </cell>
          <cell r="X363">
            <v>74</v>
          </cell>
          <cell r="Y363">
            <v>1159</v>
          </cell>
          <cell r="Z363">
            <v>14234</v>
          </cell>
        </row>
        <row r="364">
          <cell r="F364">
            <v>0</v>
          </cell>
          <cell r="G364">
            <v>6</v>
          </cell>
          <cell r="H364">
            <v>15</v>
          </cell>
          <cell r="I364">
            <v>2</v>
          </cell>
          <cell r="J364">
            <v>15</v>
          </cell>
          <cell r="K364">
            <v>10</v>
          </cell>
          <cell r="L364">
            <v>8</v>
          </cell>
          <cell r="M364">
            <v>5</v>
          </cell>
          <cell r="N364">
            <v>7</v>
          </cell>
          <cell r="O364">
            <v>7</v>
          </cell>
          <cell r="P364">
            <v>27</v>
          </cell>
          <cell r="Q364">
            <v>0</v>
          </cell>
          <cell r="R364">
            <v>1</v>
          </cell>
          <cell r="S364">
            <v>1</v>
          </cell>
          <cell r="T364">
            <v>24</v>
          </cell>
          <cell r="U364">
            <v>3</v>
          </cell>
          <cell r="V364">
            <v>15</v>
          </cell>
          <cell r="W364">
            <v>3</v>
          </cell>
          <cell r="X364">
            <v>2</v>
          </cell>
          <cell r="Y364">
            <v>151</v>
          </cell>
          <cell r="Z364">
            <v>960</v>
          </cell>
        </row>
        <row r="365">
          <cell r="F365">
            <v>10</v>
          </cell>
          <cell r="G365">
            <v>0</v>
          </cell>
          <cell r="H365">
            <v>0</v>
          </cell>
          <cell r="I365">
            <v>115</v>
          </cell>
          <cell r="J365">
            <v>0</v>
          </cell>
          <cell r="K365">
            <v>0</v>
          </cell>
          <cell r="L365">
            <v>0</v>
          </cell>
          <cell r="M365">
            <v>130</v>
          </cell>
          <cell r="N365">
            <v>150</v>
          </cell>
          <cell r="O365">
            <v>228</v>
          </cell>
          <cell r="P365">
            <v>31</v>
          </cell>
          <cell r="Q365">
            <v>0</v>
          </cell>
          <cell r="R365">
            <v>3</v>
          </cell>
          <cell r="S365">
            <v>98</v>
          </cell>
          <cell r="T365">
            <v>0</v>
          </cell>
          <cell r="U365">
            <v>69</v>
          </cell>
          <cell r="V365">
            <v>0</v>
          </cell>
          <cell r="W365">
            <v>66</v>
          </cell>
          <cell r="X365">
            <v>72</v>
          </cell>
          <cell r="Y365">
            <v>972</v>
          </cell>
          <cell r="Z365">
            <v>12480</v>
          </cell>
        </row>
        <row r="366">
          <cell r="F366">
            <v>11</v>
          </cell>
          <cell r="G366">
            <v>0</v>
          </cell>
          <cell r="H366">
            <v>0</v>
          </cell>
          <cell r="I366">
            <v>0</v>
          </cell>
          <cell r="J366">
            <v>0</v>
          </cell>
          <cell r="K366">
            <v>0</v>
          </cell>
          <cell r="L366">
            <v>0</v>
          </cell>
          <cell r="M366">
            <v>0</v>
          </cell>
          <cell r="N366">
            <v>4</v>
          </cell>
          <cell r="O366">
            <v>6</v>
          </cell>
          <cell r="P366">
            <v>0</v>
          </cell>
          <cell r="Q366">
            <v>0</v>
          </cell>
          <cell r="R366">
            <v>1</v>
          </cell>
          <cell r="S366">
            <v>0</v>
          </cell>
          <cell r="T366">
            <v>0</v>
          </cell>
          <cell r="U366">
            <v>0</v>
          </cell>
          <cell r="V366">
            <v>0</v>
          </cell>
          <cell r="W366">
            <v>0</v>
          </cell>
          <cell r="X366">
            <v>0</v>
          </cell>
          <cell r="Y366">
            <v>22</v>
          </cell>
          <cell r="Z366">
            <v>317</v>
          </cell>
        </row>
        <row r="367">
          <cell r="F367">
            <v>0</v>
          </cell>
          <cell r="G367">
            <v>0</v>
          </cell>
          <cell r="H367">
            <v>0</v>
          </cell>
          <cell r="I367">
            <v>2</v>
          </cell>
          <cell r="J367">
            <v>0</v>
          </cell>
          <cell r="K367">
            <v>0</v>
          </cell>
          <cell r="L367">
            <v>0</v>
          </cell>
          <cell r="M367">
            <v>1</v>
          </cell>
          <cell r="N367">
            <v>0</v>
          </cell>
          <cell r="O367">
            <v>6</v>
          </cell>
          <cell r="P367">
            <v>0</v>
          </cell>
          <cell r="Q367">
            <v>0</v>
          </cell>
          <cell r="R367">
            <v>0</v>
          </cell>
          <cell r="S367">
            <v>0</v>
          </cell>
          <cell r="T367">
            <v>2</v>
          </cell>
          <cell r="U367">
            <v>3</v>
          </cell>
          <cell r="V367">
            <v>0</v>
          </cell>
          <cell r="W367">
            <v>0</v>
          </cell>
          <cell r="X367">
            <v>0</v>
          </cell>
          <cell r="Y367">
            <v>14</v>
          </cell>
          <cell r="Z367">
            <v>477</v>
          </cell>
        </row>
        <row r="368">
          <cell r="F368">
            <v>4</v>
          </cell>
          <cell r="G368">
            <v>15</v>
          </cell>
          <cell r="H368">
            <v>30</v>
          </cell>
          <cell r="I368">
            <v>32</v>
          </cell>
          <cell r="J368">
            <v>109</v>
          </cell>
          <cell r="K368">
            <v>26</v>
          </cell>
          <cell r="L368">
            <v>36</v>
          </cell>
          <cell r="M368">
            <v>10</v>
          </cell>
          <cell r="N368">
            <v>2</v>
          </cell>
          <cell r="O368">
            <v>5</v>
          </cell>
          <cell r="P368">
            <v>5</v>
          </cell>
          <cell r="Q368">
            <v>4</v>
          </cell>
          <cell r="R368">
            <v>5</v>
          </cell>
          <cell r="S368">
            <v>4</v>
          </cell>
          <cell r="T368">
            <v>23</v>
          </cell>
          <cell r="U368">
            <v>8</v>
          </cell>
          <cell r="V368">
            <v>31</v>
          </cell>
          <cell r="W368">
            <v>9</v>
          </cell>
          <cell r="X368">
            <v>10</v>
          </cell>
          <cell r="Y368">
            <v>368</v>
          </cell>
          <cell r="Z368">
            <v>3202</v>
          </cell>
        </row>
        <row r="369">
          <cell r="F369">
            <v>0</v>
          </cell>
          <cell r="G369">
            <v>8</v>
          </cell>
          <cell r="H369">
            <v>10</v>
          </cell>
          <cell r="I369">
            <v>18</v>
          </cell>
          <cell r="J369">
            <v>33</v>
          </cell>
          <cell r="K369">
            <v>8</v>
          </cell>
          <cell r="L369">
            <v>17</v>
          </cell>
          <cell r="M369">
            <v>2</v>
          </cell>
          <cell r="N369">
            <v>0</v>
          </cell>
          <cell r="O369">
            <v>4</v>
          </cell>
          <cell r="P369">
            <v>2</v>
          </cell>
          <cell r="Q369">
            <v>4</v>
          </cell>
          <cell r="R369">
            <v>4</v>
          </cell>
          <cell r="S369">
            <v>1</v>
          </cell>
          <cell r="T369">
            <v>5</v>
          </cell>
          <cell r="U369">
            <v>1</v>
          </cell>
          <cell r="V369">
            <v>9</v>
          </cell>
          <cell r="W369">
            <v>6</v>
          </cell>
          <cell r="X369">
            <v>0</v>
          </cell>
          <cell r="Y369">
            <v>132</v>
          </cell>
          <cell r="Z369">
            <v>845</v>
          </cell>
        </row>
        <row r="370">
          <cell r="F370">
            <v>0</v>
          </cell>
          <cell r="H370">
            <v>56</v>
          </cell>
          <cell r="I370">
            <v>140</v>
          </cell>
          <cell r="J370">
            <v>226</v>
          </cell>
          <cell r="M370">
            <v>46</v>
          </cell>
          <cell r="N370">
            <v>21</v>
          </cell>
          <cell r="P370">
            <v>8</v>
          </cell>
          <cell r="T370">
            <v>212</v>
          </cell>
          <cell r="U370">
            <v>13</v>
          </cell>
          <cell r="Y370">
            <v>722</v>
          </cell>
        </row>
        <row r="371">
          <cell r="F371">
            <v>0</v>
          </cell>
          <cell r="H371">
            <v>10</v>
          </cell>
          <cell r="I371">
            <v>39</v>
          </cell>
          <cell r="J371">
            <v>46</v>
          </cell>
          <cell r="M371">
            <v>12</v>
          </cell>
          <cell r="N371">
            <v>12</v>
          </cell>
          <cell r="P371">
            <v>1</v>
          </cell>
          <cell r="T371">
            <v>32</v>
          </cell>
          <cell r="U371">
            <v>6</v>
          </cell>
          <cell r="Y371">
            <v>158</v>
          </cell>
        </row>
        <row r="372">
          <cell r="F372">
            <v>0</v>
          </cell>
          <cell r="H372">
            <v>3</v>
          </cell>
          <cell r="I372">
            <v>18</v>
          </cell>
          <cell r="J372">
            <v>9</v>
          </cell>
          <cell r="M372">
            <v>12</v>
          </cell>
          <cell r="N372">
            <v>1</v>
          </cell>
          <cell r="P372">
            <v>1</v>
          </cell>
          <cell r="T372">
            <v>19</v>
          </cell>
          <cell r="Y372">
            <v>63</v>
          </cell>
        </row>
        <row r="373">
          <cell r="F373">
            <v>0</v>
          </cell>
          <cell r="H373">
            <v>0</v>
          </cell>
          <cell r="I373">
            <v>0</v>
          </cell>
          <cell r="J373">
            <v>2</v>
          </cell>
          <cell r="M373">
            <v>0</v>
          </cell>
          <cell r="N373">
            <v>0</v>
          </cell>
          <cell r="P373">
            <v>0</v>
          </cell>
          <cell r="T373">
            <v>0</v>
          </cell>
          <cell r="Y373">
            <v>2</v>
          </cell>
        </row>
        <row r="374">
          <cell r="F374">
            <v>0</v>
          </cell>
          <cell r="H374">
            <v>1</v>
          </cell>
          <cell r="I374">
            <v>6</v>
          </cell>
          <cell r="J374">
            <v>2</v>
          </cell>
          <cell r="M374">
            <v>0</v>
          </cell>
          <cell r="N374">
            <v>0</v>
          </cell>
          <cell r="P374">
            <v>1</v>
          </cell>
          <cell r="T374">
            <v>2</v>
          </cell>
          <cell r="Y374">
            <v>12</v>
          </cell>
        </row>
        <row r="375">
          <cell r="F375">
            <v>0</v>
          </cell>
          <cell r="H375">
            <v>7</v>
          </cell>
          <cell r="I375">
            <v>12</v>
          </cell>
          <cell r="J375">
            <v>41</v>
          </cell>
          <cell r="M375">
            <v>4</v>
          </cell>
          <cell r="N375">
            <v>3</v>
          </cell>
          <cell r="P375">
            <v>1</v>
          </cell>
          <cell r="T375">
            <v>21</v>
          </cell>
          <cell r="U375">
            <v>1</v>
          </cell>
          <cell r="Y375">
            <v>90</v>
          </cell>
        </row>
        <row r="376">
          <cell r="F376">
            <v>0</v>
          </cell>
          <cell r="H376">
            <v>30</v>
          </cell>
          <cell r="I376">
            <v>49</v>
          </cell>
          <cell r="J376">
            <v>90</v>
          </cell>
          <cell r="M376">
            <v>8</v>
          </cell>
          <cell r="N376">
            <v>0</v>
          </cell>
          <cell r="P376">
            <v>0</v>
          </cell>
          <cell r="T376">
            <v>101</v>
          </cell>
          <cell r="U376">
            <v>3</v>
          </cell>
          <cell r="Y376">
            <v>281</v>
          </cell>
        </row>
        <row r="377">
          <cell r="F377">
            <v>0</v>
          </cell>
          <cell r="H377">
            <v>4</v>
          </cell>
          <cell r="I377">
            <v>15</v>
          </cell>
          <cell r="J377">
            <v>36</v>
          </cell>
          <cell r="M377">
            <v>10</v>
          </cell>
          <cell r="N377">
            <v>5</v>
          </cell>
          <cell r="P377">
            <v>4</v>
          </cell>
          <cell r="T377">
            <v>33</v>
          </cell>
          <cell r="U377">
            <v>3</v>
          </cell>
          <cell r="Y377">
            <v>110</v>
          </cell>
        </row>
        <row r="378">
          <cell r="F378">
            <v>0</v>
          </cell>
          <cell r="H378">
            <v>1</v>
          </cell>
          <cell r="I378">
            <v>0</v>
          </cell>
          <cell r="J378">
            <v>0</v>
          </cell>
          <cell r="M378">
            <v>0</v>
          </cell>
          <cell r="N378">
            <v>0</v>
          </cell>
          <cell r="P378">
            <v>0</v>
          </cell>
          <cell r="T378">
            <v>0</v>
          </cell>
          <cell r="Y378">
            <v>1</v>
          </cell>
        </row>
        <row r="379">
          <cell r="F379">
            <v>0</v>
          </cell>
          <cell r="H379">
            <v>0</v>
          </cell>
          <cell r="I379">
            <v>1</v>
          </cell>
          <cell r="J379">
            <v>0</v>
          </cell>
          <cell r="M379">
            <v>0</v>
          </cell>
          <cell r="N379">
            <v>0</v>
          </cell>
          <cell r="P379">
            <v>0</v>
          </cell>
          <cell r="T379">
            <v>4</v>
          </cell>
          <cell r="Y379">
            <v>5</v>
          </cell>
        </row>
        <row r="380">
          <cell r="F380">
            <v>0</v>
          </cell>
          <cell r="H380">
            <v>10</v>
          </cell>
          <cell r="I380">
            <v>34</v>
          </cell>
          <cell r="J380">
            <v>25</v>
          </cell>
          <cell r="M380">
            <v>6</v>
          </cell>
          <cell r="N380">
            <v>1</v>
          </cell>
          <cell r="P380">
            <v>3</v>
          </cell>
          <cell r="T380">
            <v>24</v>
          </cell>
          <cell r="U380">
            <v>2</v>
          </cell>
          <cell r="Y380">
            <v>105</v>
          </cell>
        </row>
        <row r="381">
          <cell r="F381">
            <v>0</v>
          </cell>
          <cell r="H381">
            <v>0</v>
          </cell>
          <cell r="I381">
            <v>6</v>
          </cell>
          <cell r="J381">
            <v>4</v>
          </cell>
          <cell r="M381">
            <v>1</v>
          </cell>
          <cell r="N381">
            <v>0</v>
          </cell>
          <cell r="P381">
            <v>1</v>
          </cell>
          <cell r="T381">
            <v>2</v>
          </cell>
          <cell r="U381">
            <v>1</v>
          </cell>
          <cell r="Y381">
            <v>15</v>
          </cell>
        </row>
        <row r="382">
          <cell r="F382">
            <v>0</v>
          </cell>
          <cell r="H382">
            <v>1</v>
          </cell>
          <cell r="I382">
            <v>0</v>
          </cell>
          <cell r="J382">
            <v>0</v>
          </cell>
          <cell r="M382">
            <v>0</v>
          </cell>
          <cell r="N382">
            <v>0</v>
          </cell>
          <cell r="P382">
            <v>0</v>
          </cell>
          <cell r="T382">
            <v>0</v>
          </cell>
          <cell r="Y382">
            <v>1</v>
          </cell>
        </row>
        <row r="383">
          <cell r="F383">
            <v>0</v>
          </cell>
          <cell r="H383">
            <v>36</v>
          </cell>
          <cell r="I383">
            <v>63</v>
          </cell>
          <cell r="J383">
            <v>126</v>
          </cell>
          <cell r="M383">
            <v>28</v>
          </cell>
          <cell r="N383">
            <v>20</v>
          </cell>
          <cell r="P383">
            <v>3</v>
          </cell>
          <cell r="T383">
            <v>146</v>
          </cell>
          <cell r="U383">
            <v>10</v>
          </cell>
          <cell r="Y383">
            <v>432</v>
          </cell>
        </row>
        <row r="384">
          <cell r="F384">
            <v>0</v>
          </cell>
          <cell r="H384">
            <v>0</v>
          </cell>
          <cell r="I384">
            <v>1</v>
          </cell>
          <cell r="J384">
            <v>2</v>
          </cell>
          <cell r="M384">
            <v>0</v>
          </cell>
          <cell r="N384">
            <v>0</v>
          </cell>
          <cell r="P384">
            <v>0</v>
          </cell>
          <cell r="T384">
            <v>0</v>
          </cell>
          <cell r="Y384">
            <v>3</v>
          </cell>
        </row>
        <row r="385">
          <cell r="F385">
            <v>0</v>
          </cell>
          <cell r="H385">
            <v>9</v>
          </cell>
          <cell r="I385">
            <v>36</v>
          </cell>
          <cell r="J385">
            <v>69</v>
          </cell>
          <cell r="M385">
            <v>11</v>
          </cell>
          <cell r="N385">
            <v>0</v>
          </cell>
          <cell r="P385">
            <v>1</v>
          </cell>
          <cell r="T385">
            <v>40</v>
          </cell>
          <cell r="Y385">
            <v>166</v>
          </cell>
        </row>
        <row r="386">
          <cell r="F386">
            <v>724</v>
          </cell>
          <cell r="G386" t="str">
            <v/>
          </cell>
          <cell r="H386">
            <v>3946</v>
          </cell>
          <cell r="I386">
            <v>3332</v>
          </cell>
          <cell r="J386">
            <v>8103</v>
          </cell>
          <cell r="K386">
            <v>1040</v>
          </cell>
          <cell r="L386">
            <v>10680</v>
          </cell>
          <cell r="M386">
            <v>2036</v>
          </cell>
          <cell r="N386">
            <v>1749</v>
          </cell>
          <cell r="O386" t="str">
            <v/>
          </cell>
          <cell r="P386">
            <v>1457</v>
          </cell>
          <cell r="Q386">
            <v>1275</v>
          </cell>
          <cell r="R386" t="str">
            <v/>
          </cell>
          <cell r="S386" t="str">
            <v/>
          </cell>
          <cell r="T386">
            <v>8562</v>
          </cell>
          <cell r="U386">
            <v>890</v>
          </cell>
          <cell r="V386" t="str">
            <v/>
          </cell>
          <cell r="W386" t="str">
            <v/>
          </cell>
          <cell r="X386">
            <v>870</v>
          </cell>
          <cell r="Y386">
            <v>44664</v>
          </cell>
          <cell r="Z386" t="str">
            <v/>
          </cell>
        </row>
      </sheetData>
      <sheetData sheetId="2">
        <row r="2">
          <cell r="F2">
            <v>853</v>
          </cell>
          <cell r="G2">
            <v>1663</v>
          </cell>
          <cell r="H2">
            <v>4529</v>
          </cell>
          <cell r="I2">
            <v>3520</v>
          </cell>
          <cell r="J2">
            <v>8809</v>
          </cell>
          <cell r="K2">
            <v>1170</v>
          </cell>
          <cell r="M2">
            <v>2322</v>
          </cell>
          <cell r="O2">
            <v>3922</v>
          </cell>
          <cell r="P2">
            <v>1596</v>
          </cell>
          <cell r="S2">
            <v>1713</v>
          </cell>
          <cell r="T2">
            <v>9585</v>
          </cell>
          <cell r="U2">
            <v>1021</v>
          </cell>
          <cell r="Y2">
            <v>40703</v>
          </cell>
        </row>
        <row r="6">
          <cell r="F6">
            <v>21</v>
          </cell>
          <cell r="G6">
            <v>8</v>
          </cell>
          <cell r="I6">
            <v>145</v>
          </cell>
          <cell r="J6">
            <v>32</v>
          </cell>
          <cell r="K6">
            <v>15</v>
          </cell>
          <cell r="M6">
            <v>5</v>
          </cell>
          <cell r="O6">
            <v>9</v>
          </cell>
          <cell r="P6">
            <v>25</v>
          </cell>
          <cell r="T6">
            <v>37</v>
          </cell>
          <cell r="U6">
            <v>12</v>
          </cell>
          <cell r="Y6">
            <v>309</v>
          </cell>
        </row>
        <row r="7">
          <cell r="F7">
            <v>801</v>
          </cell>
          <cell r="G7">
            <v>1239</v>
          </cell>
          <cell r="I7">
            <v>2095</v>
          </cell>
          <cell r="J7">
            <v>8809</v>
          </cell>
          <cell r="K7">
            <v>266</v>
          </cell>
          <cell r="M7">
            <v>1686</v>
          </cell>
          <cell r="O7">
            <v>1580</v>
          </cell>
          <cell r="T7">
            <v>7868</v>
          </cell>
          <cell r="U7">
            <v>1021</v>
          </cell>
          <cell r="Y7">
            <v>25365</v>
          </cell>
        </row>
        <row r="8">
          <cell r="F8">
            <v>163</v>
          </cell>
          <cell r="G8">
            <v>329</v>
          </cell>
          <cell r="H8">
            <v>643</v>
          </cell>
          <cell r="I8">
            <v>624</v>
          </cell>
          <cell r="J8">
            <v>1776</v>
          </cell>
          <cell r="K8">
            <v>147</v>
          </cell>
          <cell r="M8">
            <v>346</v>
          </cell>
          <cell r="O8">
            <v>734</v>
          </cell>
          <cell r="P8">
            <v>328</v>
          </cell>
          <cell r="S8">
            <v>318</v>
          </cell>
          <cell r="T8">
            <v>1397</v>
          </cell>
          <cell r="U8">
            <v>155</v>
          </cell>
          <cell r="Y8">
            <v>6960</v>
          </cell>
        </row>
        <row r="9">
          <cell r="F9">
            <v>319</v>
          </cell>
          <cell r="G9">
            <v>375</v>
          </cell>
          <cell r="H9">
            <v>1288</v>
          </cell>
          <cell r="I9">
            <v>1041</v>
          </cell>
          <cell r="J9">
            <v>1358</v>
          </cell>
          <cell r="K9">
            <v>148</v>
          </cell>
          <cell r="M9">
            <v>719</v>
          </cell>
          <cell r="O9">
            <v>1333</v>
          </cell>
          <cell r="P9">
            <v>328</v>
          </cell>
          <cell r="S9">
            <v>402</v>
          </cell>
          <cell r="T9">
            <v>3262</v>
          </cell>
          <cell r="U9">
            <v>459</v>
          </cell>
          <cell r="Y9">
            <v>11032</v>
          </cell>
        </row>
        <row r="10">
          <cell r="F10">
            <v>88</v>
          </cell>
          <cell r="G10">
            <v>274</v>
          </cell>
          <cell r="H10">
            <v>955</v>
          </cell>
          <cell r="I10">
            <v>704</v>
          </cell>
          <cell r="J10">
            <v>1306</v>
          </cell>
          <cell r="K10">
            <v>253</v>
          </cell>
          <cell r="M10">
            <v>283</v>
          </cell>
          <cell r="O10">
            <v>429</v>
          </cell>
          <cell r="P10">
            <v>386</v>
          </cell>
          <cell r="S10">
            <v>205</v>
          </cell>
          <cell r="T10">
            <v>1720</v>
          </cell>
          <cell r="U10">
            <v>62</v>
          </cell>
          <cell r="Y10">
            <v>6665</v>
          </cell>
        </row>
        <row r="11">
          <cell r="F11">
            <v>16</v>
          </cell>
          <cell r="G11">
            <v>99</v>
          </cell>
          <cell r="H11">
            <v>160</v>
          </cell>
          <cell r="I11">
            <v>163</v>
          </cell>
          <cell r="J11">
            <v>212</v>
          </cell>
          <cell r="K11">
            <v>13</v>
          </cell>
          <cell r="M11">
            <v>86</v>
          </cell>
          <cell r="O11">
            <v>89</v>
          </cell>
          <cell r="P11">
            <v>56</v>
          </cell>
          <cell r="S11">
            <v>68</v>
          </cell>
          <cell r="T11">
            <v>378</v>
          </cell>
          <cell r="U11">
            <v>49</v>
          </cell>
          <cell r="Y11">
            <v>1389</v>
          </cell>
        </row>
        <row r="12">
          <cell r="F12">
            <v>141</v>
          </cell>
          <cell r="G12">
            <v>189</v>
          </cell>
          <cell r="H12">
            <v>766</v>
          </cell>
          <cell r="I12">
            <v>459</v>
          </cell>
          <cell r="J12">
            <v>2438</v>
          </cell>
          <cell r="K12">
            <v>119</v>
          </cell>
          <cell r="M12">
            <v>417</v>
          </cell>
          <cell r="O12">
            <v>566</v>
          </cell>
          <cell r="P12">
            <v>230</v>
          </cell>
          <cell r="S12">
            <v>283</v>
          </cell>
          <cell r="T12">
            <v>1412</v>
          </cell>
          <cell r="U12">
            <v>147</v>
          </cell>
          <cell r="Y12">
            <v>7167</v>
          </cell>
        </row>
        <row r="13">
          <cell r="F13">
            <v>51</v>
          </cell>
          <cell r="G13">
            <v>166</v>
          </cell>
          <cell r="H13">
            <v>165</v>
          </cell>
          <cell r="I13">
            <v>125</v>
          </cell>
          <cell r="J13">
            <v>623</v>
          </cell>
          <cell r="K13">
            <v>35</v>
          </cell>
          <cell r="M13">
            <v>152</v>
          </cell>
          <cell r="O13">
            <v>316</v>
          </cell>
          <cell r="P13">
            <v>80</v>
          </cell>
          <cell r="S13">
            <v>163</v>
          </cell>
          <cell r="T13">
            <v>491</v>
          </cell>
          <cell r="U13">
            <v>22</v>
          </cell>
          <cell r="Y13">
            <v>2389</v>
          </cell>
        </row>
        <row r="14">
          <cell r="F14">
            <v>6</v>
          </cell>
          <cell r="G14">
            <v>35</v>
          </cell>
          <cell r="H14">
            <v>55</v>
          </cell>
          <cell r="I14">
            <v>99</v>
          </cell>
          <cell r="J14">
            <v>123</v>
          </cell>
          <cell r="K14">
            <v>11</v>
          </cell>
          <cell r="M14">
            <v>14</v>
          </cell>
          <cell r="O14">
            <v>77</v>
          </cell>
          <cell r="P14">
            <v>37</v>
          </cell>
          <cell r="S14">
            <v>35</v>
          </cell>
          <cell r="T14">
            <v>106</v>
          </cell>
          <cell r="U14">
            <v>20</v>
          </cell>
          <cell r="Y14">
            <v>618</v>
          </cell>
        </row>
        <row r="15">
          <cell r="F15">
            <v>41</v>
          </cell>
          <cell r="G15">
            <v>121</v>
          </cell>
          <cell r="H15">
            <v>292</v>
          </cell>
          <cell r="I15">
            <v>206</v>
          </cell>
          <cell r="J15">
            <v>508</v>
          </cell>
          <cell r="K15">
            <v>24</v>
          </cell>
          <cell r="M15">
            <v>58</v>
          </cell>
          <cell r="O15">
            <v>236</v>
          </cell>
          <cell r="P15">
            <v>75</v>
          </cell>
          <cell r="S15">
            <v>105</v>
          </cell>
          <cell r="T15">
            <v>338</v>
          </cell>
          <cell r="U15">
            <v>43</v>
          </cell>
          <cell r="Y15">
            <v>2047</v>
          </cell>
        </row>
        <row r="16">
          <cell r="F16">
            <v>9</v>
          </cell>
          <cell r="G16">
            <v>42</v>
          </cell>
          <cell r="H16">
            <v>98</v>
          </cell>
          <cell r="I16">
            <v>64</v>
          </cell>
          <cell r="J16">
            <v>166</v>
          </cell>
          <cell r="K16">
            <v>17</v>
          </cell>
          <cell r="M16">
            <v>56</v>
          </cell>
          <cell r="O16">
            <v>63</v>
          </cell>
          <cell r="P16">
            <v>22</v>
          </cell>
          <cell r="S16">
            <v>42</v>
          </cell>
          <cell r="T16">
            <v>142</v>
          </cell>
          <cell r="U16">
            <v>39</v>
          </cell>
          <cell r="Y16">
            <v>760</v>
          </cell>
        </row>
        <row r="17">
          <cell r="F17">
            <v>9</v>
          </cell>
          <cell r="G17">
            <v>31</v>
          </cell>
          <cell r="H17">
            <v>70</v>
          </cell>
          <cell r="I17">
            <v>28</v>
          </cell>
          <cell r="J17">
            <v>130</v>
          </cell>
          <cell r="K17">
            <v>19</v>
          </cell>
          <cell r="M17">
            <v>25</v>
          </cell>
          <cell r="O17">
            <v>34</v>
          </cell>
          <cell r="P17">
            <v>42</v>
          </cell>
          <cell r="S17">
            <v>21</v>
          </cell>
          <cell r="T17">
            <v>103</v>
          </cell>
          <cell r="U17">
            <v>10</v>
          </cell>
          <cell r="Y17">
            <v>522</v>
          </cell>
        </row>
        <row r="18">
          <cell r="F18">
            <v>2</v>
          </cell>
          <cell r="G18">
            <v>0</v>
          </cell>
          <cell r="H18">
            <v>24</v>
          </cell>
          <cell r="I18">
            <v>7</v>
          </cell>
          <cell r="J18">
            <v>2</v>
          </cell>
          <cell r="K18">
            <v>0</v>
          </cell>
          <cell r="M18">
            <v>3</v>
          </cell>
          <cell r="O18">
            <v>2</v>
          </cell>
          <cell r="P18">
            <v>1</v>
          </cell>
          <cell r="S18">
            <v>7</v>
          </cell>
          <cell r="T18">
            <v>34</v>
          </cell>
          <cell r="U18">
            <v>0</v>
          </cell>
          <cell r="Y18">
            <v>82</v>
          </cell>
        </row>
        <row r="19">
          <cell r="F19">
            <v>8</v>
          </cell>
          <cell r="G19">
            <v>2</v>
          </cell>
          <cell r="H19">
            <v>13</v>
          </cell>
          <cell r="J19">
            <v>167</v>
          </cell>
          <cell r="K19">
            <v>384</v>
          </cell>
          <cell r="M19">
            <v>163</v>
          </cell>
          <cell r="O19">
            <v>43</v>
          </cell>
          <cell r="P19">
            <v>11</v>
          </cell>
          <cell r="S19">
            <v>64</v>
          </cell>
          <cell r="T19">
            <v>172</v>
          </cell>
          <cell r="U19">
            <v>15</v>
          </cell>
          <cell r="Y19">
            <v>1042</v>
          </cell>
        </row>
        <row r="20">
          <cell r="F20">
            <v>222</v>
          </cell>
          <cell r="G20">
            <v>472</v>
          </cell>
          <cell r="H20">
            <v>1287</v>
          </cell>
          <cell r="I20">
            <v>929</v>
          </cell>
          <cell r="J20">
            <v>2364</v>
          </cell>
          <cell r="K20">
            <v>314</v>
          </cell>
          <cell r="M20">
            <v>686</v>
          </cell>
          <cell r="O20">
            <v>1059</v>
          </cell>
          <cell r="P20">
            <v>410</v>
          </cell>
          <cell r="S20">
            <v>389</v>
          </cell>
          <cell r="T20">
            <v>2540</v>
          </cell>
          <cell r="U20">
            <v>252</v>
          </cell>
          <cell r="Y20">
            <v>10924</v>
          </cell>
        </row>
        <row r="21">
          <cell r="F21">
            <v>631</v>
          </cell>
          <cell r="G21">
            <v>1189</v>
          </cell>
          <cell r="H21">
            <v>3242</v>
          </cell>
          <cell r="I21">
            <v>2591</v>
          </cell>
          <cell r="J21">
            <v>6444</v>
          </cell>
          <cell r="K21">
            <v>856</v>
          </cell>
          <cell r="M21">
            <v>1636</v>
          </cell>
          <cell r="O21">
            <v>2863</v>
          </cell>
          <cell r="P21">
            <v>1186</v>
          </cell>
          <cell r="S21">
            <v>1324</v>
          </cell>
          <cell r="T21">
            <v>7044</v>
          </cell>
          <cell r="U21">
            <v>769</v>
          </cell>
          <cell r="Y21">
            <v>29775</v>
          </cell>
        </row>
        <row r="22">
          <cell r="F22">
            <v>0</v>
          </cell>
          <cell r="G22">
            <v>2</v>
          </cell>
          <cell r="H22">
            <v>0</v>
          </cell>
          <cell r="J22">
            <v>1</v>
          </cell>
          <cell r="K22">
            <v>0</v>
          </cell>
          <cell r="M22">
            <v>0</v>
          </cell>
          <cell r="O22">
            <v>0</v>
          </cell>
          <cell r="P22">
            <v>0</v>
          </cell>
          <cell r="T22">
            <v>1</v>
          </cell>
          <cell r="U22">
            <v>0</v>
          </cell>
          <cell r="Y22">
            <v>4</v>
          </cell>
        </row>
        <row r="23">
          <cell r="F23">
            <v>24</v>
          </cell>
          <cell r="G23">
            <v>71</v>
          </cell>
          <cell r="H23">
            <v>127</v>
          </cell>
          <cell r="I23">
            <v>109</v>
          </cell>
          <cell r="J23">
            <v>295</v>
          </cell>
          <cell r="K23">
            <v>26</v>
          </cell>
          <cell r="M23">
            <v>83</v>
          </cell>
          <cell r="O23">
            <v>150</v>
          </cell>
          <cell r="P23">
            <v>57</v>
          </cell>
          <cell r="S23">
            <v>46</v>
          </cell>
          <cell r="T23">
            <v>295</v>
          </cell>
          <cell r="U23">
            <v>27</v>
          </cell>
          <cell r="Y23">
            <v>1310</v>
          </cell>
        </row>
        <row r="24">
          <cell r="F24">
            <v>47</v>
          </cell>
          <cell r="G24">
            <v>61</v>
          </cell>
          <cell r="H24">
            <v>238</v>
          </cell>
          <cell r="I24">
            <v>160</v>
          </cell>
          <cell r="J24">
            <v>217</v>
          </cell>
          <cell r="K24">
            <v>32</v>
          </cell>
          <cell r="M24">
            <v>146</v>
          </cell>
          <cell r="O24">
            <v>257</v>
          </cell>
          <cell r="P24">
            <v>45</v>
          </cell>
          <cell r="S24">
            <v>70</v>
          </cell>
          <cell r="T24">
            <v>571</v>
          </cell>
          <cell r="U24">
            <v>61</v>
          </cell>
          <cell r="Y24">
            <v>1905</v>
          </cell>
        </row>
        <row r="25">
          <cell r="F25">
            <v>29</v>
          </cell>
          <cell r="G25">
            <v>70</v>
          </cell>
          <cell r="H25">
            <v>283</v>
          </cell>
          <cell r="I25">
            <v>198</v>
          </cell>
          <cell r="J25">
            <v>309</v>
          </cell>
          <cell r="K25">
            <v>55</v>
          </cell>
          <cell r="M25">
            <v>82</v>
          </cell>
          <cell r="O25">
            <v>114</v>
          </cell>
          <cell r="P25">
            <v>95</v>
          </cell>
          <cell r="S25">
            <v>46</v>
          </cell>
          <cell r="T25">
            <v>477</v>
          </cell>
          <cell r="U25">
            <v>16</v>
          </cell>
          <cell r="Y25">
            <v>1774</v>
          </cell>
        </row>
        <row r="26">
          <cell r="F26">
            <v>6</v>
          </cell>
          <cell r="G26">
            <v>28</v>
          </cell>
          <cell r="H26">
            <v>44</v>
          </cell>
          <cell r="I26">
            <v>47</v>
          </cell>
          <cell r="J26">
            <v>50</v>
          </cell>
          <cell r="K26">
            <v>6</v>
          </cell>
          <cell r="M26">
            <v>31</v>
          </cell>
          <cell r="O26">
            <v>28</v>
          </cell>
          <cell r="P26">
            <v>13</v>
          </cell>
          <cell r="S26">
            <v>14</v>
          </cell>
          <cell r="T26">
            <v>89</v>
          </cell>
          <cell r="U26">
            <v>15</v>
          </cell>
          <cell r="Y26">
            <v>371</v>
          </cell>
        </row>
        <row r="27">
          <cell r="F27">
            <v>68</v>
          </cell>
          <cell r="G27">
            <v>84</v>
          </cell>
          <cell r="H27">
            <v>303</v>
          </cell>
          <cell r="I27">
            <v>189</v>
          </cell>
          <cell r="J27">
            <v>839</v>
          </cell>
          <cell r="K27">
            <v>44</v>
          </cell>
          <cell r="M27">
            <v>169</v>
          </cell>
          <cell r="O27">
            <v>198</v>
          </cell>
          <cell r="P27">
            <v>95</v>
          </cell>
          <cell r="S27">
            <v>65</v>
          </cell>
          <cell r="T27">
            <v>534</v>
          </cell>
          <cell r="U27">
            <v>62</v>
          </cell>
          <cell r="Y27">
            <v>2650</v>
          </cell>
        </row>
        <row r="28">
          <cell r="F28">
            <v>25</v>
          </cell>
          <cell r="G28">
            <v>59</v>
          </cell>
          <cell r="H28">
            <v>72</v>
          </cell>
          <cell r="I28">
            <v>57</v>
          </cell>
          <cell r="J28">
            <v>205</v>
          </cell>
          <cell r="K28">
            <v>15</v>
          </cell>
          <cell r="M28">
            <v>50</v>
          </cell>
          <cell r="O28">
            <v>116</v>
          </cell>
          <cell r="P28">
            <v>32</v>
          </cell>
          <cell r="S28">
            <v>46</v>
          </cell>
          <cell r="T28">
            <v>195</v>
          </cell>
          <cell r="U28">
            <v>10</v>
          </cell>
          <cell r="Y28">
            <v>882</v>
          </cell>
        </row>
        <row r="29">
          <cell r="F29">
            <v>3</v>
          </cell>
          <cell r="G29">
            <v>15</v>
          </cell>
          <cell r="H29">
            <v>24</v>
          </cell>
          <cell r="I29">
            <v>51</v>
          </cell>
          <cell r="J29">
            <v>60</v>
          </cell>
          <cell r="K29">
            <v>6</v>
          </cell>
          <cell r="M29">
            <v>6</v>
          </cell>
          <cell r="O29">
            <v>29</v>
          </cell>
          <cell r="P29">
            <v>19</v>
          </cell>
          <cell r="S29">
            <v>12</v>
          </cell>
          <cell r="T29">
            <v>47</v>
          </cell>
          <cell r="U29">
            <v>10</v>
          </cell>
          <cell r="Y29">
            <v>282</v>
          </cell>
        </row>
        <row r="30">
          <cell r="F30">
            <v>9</v>
          </cell>
          <cell r="G30">
            <v>44</v>
          </cell>
          <cell r="H30">
            <v>123</v>
          </cell>
          <cell r="I30">
            <v>79</v>
          </cell>
          <cell r="J30">
            <v>197</v>
          </cell>
          <cell r="K30">
            <v>10</v>
          </cell>
          <cell r="M30">
            <v>30</v>
          </cell>
          <cell r="O30">
            <v>106</v>
          </cell>
          <cell r="P30">
            <v>27</v>
          </cell>
          <cell r="S30">
            <v>37</v>
          </cell>
          <cell r="T30">
            <v>139</v>
          </cell>
          <cell r="U30">
            <v>21</v>
          </cell>
          <cell r="Y30">
            <v>822</v>
          </cell>
        </row>
        <row r="31">
          <cell r="F31">
            <v>3</v>
          </cell>
          <cell r="G31">
            <v>20</v>
          </cell>
          <cell r="H31">
            <v>42</v>
          </cell>
          <cell r="I31">
            <v>27</v>
          </cell>
          <cell r="J31">
            <v>82</v>
          </cell>
          <cell r="K31">
            <v>9</v>
          </cell>
          <cell r="M31">
            <v>21</v>
          </cell>
          <cell r="O31">
            <v>29</v>
          </cell>
          <cell r="P31">
            <v>6</v>
          </cell>
          <cell r="S31">
            <v>22</v>
          </cell>
          <cell r="T31">
            <v>59</v>
          </cell>
          <cell r="U31">
            <v>14</v>
          </cell>
          <cell r="Y31">
            <v>334</v>
          </cell>
        </row>
        <row r="32">
          <cell r="F32">
            <v>3</v>
          </cell>
          <cell r="G32">
            <v>20</v>
          </cell>
          <cell r="H32">
            <v>20</v>
          </cell>
          <cell r="I32">
            <v>9</v>
          </cell>
          <cell r="J32">
            <v>59</v>
          </cell>
          <cell r="K32">
            <v>9</v>
          </cell>
          <cell r="M32">
            <v>14</v>
          </cell>
          <cell r="O32">
            <v>19</v>
          </cell>
          <cell r="P32">
            <v>16</v>
          </cell>
          <cell r="S32">
            <v>7</v>
          </cell>
          <cell r="T32">
            <v>55</v>
          </cell>
          <cell r="U32">
            <v>8</v>
          </cell>
          <cell r="Y32">
            <v>239</v>
          </cell>
        </row>
        <row r="33">
          <cell r="F33">
            <v>0</v>
          </cell>
          <cell r="G33">
            <v>0</v>
          </cell>
          <cell r="H33">
            <v>6</v>
          </cell>
          <cell r="I33">
            <v>3</v>
          </cell>
          <cell r="J33">
            <v>1</v>
          </cell>
          <cell r="K33">
            <v>0</v>
          </cell>
          <cell r="M33">
            <v>0</v>
          </cell>
          <cell r="O33">
            <v>2</v>
          </cell>
          <cell r="P33">
            <v>1</v>
          </cell>
          <cell r="S33">
            <v>2</v>
          </cell>
          <cell r="T33">
            <v>17</v>
          </cell>
          <cell r="U33">
            <v>0</v>
          </cell>
          <cell r="Y33">
            <v>32</v>
          </cell>
        </row>
        <row r="34">
          <cell r="F34">
            <v>5</v>
          </cell>
          <cell r="G34">
            <v>0</v>
          </cell>
          <cell r="H34">
            <v>5</v>
          </cell>
          <cell r="J34">
            <v>50</v>
          </cell>
          <cell r="K34">
            <v>102</v>
          </cell>
          <cell r="M34">
            <v>54</v>
          </cell>
          <cell r="O34">
            <v>11</v>
          </cell>
          <cell r="P34">
            <v>4</v>
          </cell>
          <cell r="S34">
            <v>22</v>
          </cell>
          <cell r="T34">
            <v>53</v>
          </cell>
          <cell r="U34">
            <v>8</v>
          </cell>
          <cell r="Y34">
            <v>314</v>
          </cell>
        </row>
        <row r="35">
          <cell r="F35">
            <v>139</v>
          </cell>
          <cell r="G35">
            <v>257</v>
          </cell>
          <cell r="H35">
            <v>516</v>
          </cell>
          <cell r="I35">
            <v>515</v>
          </cell>
          <cell r="J35">
            <v>1481</v>
          </cell>
          <cell r="K35">
            <v>121</v>
          </cell>
          <cell r="M35">
            <v>263</v>
          </cell>
          <cell r="O35">
            <v>584</v>
          </cell>
          <cell r="P35">
            <v>271</v>
          </cell>
          <cell r="S35">
            <v>272</v>
          </cell>
          <cell r="T35">
            <v>1101</v>
          </cell>
          <cell r="U35">
            <v>128</v>
          </cell>
          <cell r="Y35">
            <v>5648</v>
          </cell>
        </row>
        <row r="36">
          <cell r="F36">
            <v>272</v>
          </cell>
          <cell r="G36">
            <v>314</v>
          </cell>
          <cell r="H36">
            <v>1050</v>
          </cell>
          <cell r="I36">
            <v>881</v>
          </cell>
          <cell r="J36">
            <v>1140</v>
          </cell>
          <cell r="K36">
            <v>116</v>
          </cell>
          <cell r="M36">
            <v>573</v>
          </cell>
          <cell r="O36">
            <v>1076</v>
          </cell>
          <cell r="P36">
            <v>283</v>
          </cell>
          <cell r="S36">
            <v>332</v>
          </cell>
          <cell r="T36">
            <v>2691</v>
          </cell>
          <cell r="U36">
            <v>398</v>
          </cell>
          <cell r="Y36">
            <v>9126</v>
          </cell>
        </row>
        <row r="37">
          <cell r="F37">
            <v>59</v>
          </cell>
          <cell r="G37">
            <v>204</v>
          </cell>
          <cell r="H37">
            <v>672</v>
          </cell>
          <cell r="I37">
            <v>506</v>
          </cell>
          <cell r="J37">
            <v>997</v>
          </cell>
          <cell r="K37">
            <v>198</v>
          </cell>
          <cell r="M37">
            <v>201</v>
          </cell>
          <cell r="O37">
            <v>315</v>
          </cell>
          <cell r="P37">
            <v>291</v>
          </cell>
          <cell r="S37">
            <v>159</v>
          </cell>
          <cell r="T37">
            <v>1243</v>
          </cell>
          <cell r="U37">
            <v>46</v>
          </cell>
          <cell r="Y37">
            <v>4891</v>
          </cell>
        </row>
        <row r="38">
          <cell r="F38">
            <v>10</v>
          </cell>
          <cell r="G38">
            <v>71</v>
          </cell>
          <cell r="H38">
            <v>116</v>
          </cell>
          <cell r="I38">
            <v>116</v>
          </cell>
          <cell r="J38">
            <v>162</v>
          </cell>
          <cell r="K38">
            <v>7</v>
          </cell>
          <cell r="M38">
            <v>55</v>
          </cell>
          <cell r="O38">
            <v>61</v>
          </cell>
          <cell r="P38">
            <v>43</v>
          </cell>
          <cell r="S38">
            <v>52</v>
          </cell>
          <cell r="T38">
            <v>289</v>
          </cell>
          <cell r="U38">
            <v>34</v>
          </cell>
          <cell r="Y38">
            <v>1016</v>
          </cell>
        </row>
        <row r="39">
          <cell r="F39">
            <v>73</v>
          </cell>
          <cell r="G39">
            <v>104</v>
          </cell>
          <cell r="H39">
            <v>463</v>
          </cell>
          <cell r="I39">
            <v>270</v>
          </cell>
          <cell r="J39">
            <v>1599</v>
          </cell>
          <cell r="K39">
            <v>75</v>
          </cell>
          <cell r="M39">
            <v>248</v>
          </cell>
          <cell r="O39">
            <v>368</v>
          </cell>
          <cell r="P39">
            <v>135</v>
          </cell>
          <cell r="S39">
            <v>218</v>
          </cell>
          <cell r="T39">
            <v>878</v>
          </cell>
          <cell r="U39">
            <v>85</v>
          </cell>
          <cell r="Y39">
            <v>4516</v>
          </cell>
        </row>
        <row r="40">
          <cell r="F40">
            <v>26</v>
          </cell>
          <cell r="G40">
            <v>107</v>
          </cell>
          <cell r="H40">
            <v>93</v>
          </cell>
          <cell r="I40">
            <v>68</v>
          </cell>
          <cell r="J40">
            <v>418</v>
          </cell>
          <cell r="K40">
            <v>20</v>
          </cell>
          <cell r="M40">
            <v>102</v>
          </cell>
          <cell r="O40">
            <v>200</v>
          </cell>
          <cell r="P40">
            <v>48</v>
          </cell>
          <cell r="S40">
            <v>117</v>
          </cell>
          <cell r="T40">
            <v>296</v>
          </cell>
          <cell r="U40">
            <v>12</v>
          </cell>
          <cell r="Y40">
            <v>1507</v>
          </cell>
        </row>
        <row r="41">
          <cell r="F41">
            <v>3</v>
          </cell>
          <cell r="G41">
            <v>20</v>
          </cell>
          <cell r="H41">
            <v>31</v>
          </cell>
          <cell r="I41">
            <v>48</v>
          </cell>
          <cell r="J41">
            <v>63</v>
          </cell>
          <cell r="K41">
            <v>5</v>
          </cell>
          <cell r="M41">
            <v>8</v>
          </cell>
          <cell r="O41">
            <v>48</v>
          </cell>
          <cell r="P41">
            <v>18</v>
          </cell>
          <cell r="S41">
            <v>23</v>
          </cell>
          <cell r="T41">
            <v>59</v>
          </cell>
          <cell r="U41">
            <v>10</v>
          </cell>
          <cell r="Y41">
            <v>336</v>
          </cell>
        </row>
        <row r="42">
          <cell r="F42">
            <v>32</v>
          </cell>
          <cell r="G42">
            <v>77</v>
          </cell>
          <cell r="H42">
            <v>169</v>
          </cell>
          <cell r="I42">
            <v>127</v>
          </cell>
          <cell r="J42">
            <v>311</v>
          </cell>
          <cell r="K42">
            <v>14</v>
          </cell>
          <cell r="M42">
            <v>28</v>
          </cell>
          <cell r="O42">
            <v>130</v>
          </cell>
          <cell r="P42">
            <v>48</v>
          </cell>
          <cell r="S42">
            <v>68</v>
          </cell>
          <cell r="T42">
            <v>199</v>
          </cell>
          <cell r="U42">
            <v>22</v>
          </cell>
          <cell r="Y42">
            <v>1225</v>
          </cell>
        </row>
        <row r="43">
          <cell r="F43">
            <v>6</v>
          </cell>
          <cell r="G43">
            <v>22</v>
          </cell>
          <cell r="H43">
            <v>56</v>
          </cell>
          <cell r="I43">
            <v>37</v>
          </cell>
          <cell r="J43">
            <v>84</v>
          </cell>
          <cell r="K43">
            <v>8</v>
          </cell>
          <cell r="M43">
            <v>35</v>
          </cell>
          <cell r="O43">
            <v>34</v>
          </cell>
          <cell r="P43">
            <v>16</v>
          </cell>
          <cell r="S43">
            <v>20</v>
          </cell>
          <cell r="T43">
            <v>83</v>
          </cell>
          <cell r="U43">
            <v>25</v>
          </cell>
          <cell r="Y43">
            <v>426</v>
          </cell>
        </row>
        <row r="44">
          <cell r="F44">
            <v>6</v>
          </cell>
          <cell r="G44">
            <v>11</v>
          </cell>
          <cell r="H44">
            <v>50</v>
          </cell>
          <cell r="I44">
            <v>19</v>
          </cell>
          <cell r="J44">
            <v>71</v>
          </cell>
          <cell r="K44">
            <v>10</v>
          </cell>
          <cell r="M44">
            <v>11</v>
          </cell>
          <cell r="O44">
            <v>15</v>
          </cell>
          <cell r="P44">
            <v>26</v>
          </cell>
          <cell r="S44">
            <v>14</v>
          </cell>
          <cell r="T44">
            <v>48</v>
          </cell>
          <cell r="U44">
            <v>2</v>
          </cell>
          <cell r="Y44">
            <v>283</v>
          </cell>
        </row>
        <row r="45">
          <cell r="F45">
            <v>2</v>
          </cell>
          <cell r="G45">
            <v>0</v>
          </cell>
          <cell r="H45">
            <v>18</v>
          </cell>
          <cell r="I45">
            <v>4</v>
          </cell>
          <cell r="J45">
            <v>1</v>
          </cell>
          <cell r="K45">
            <v>0</v>
          </cell>
          <cell r="M45">
            <v>3</v>
          </cell>
          <cell r="O45">
            <v>0</v>
          </cell>
          <cell r="P45">
            <v>0</v>
          </cell>
          <cell r="S45">
            <v>5</v>
          </cell>
          <cell r="T45">
            <v>17</v>
          </cell>
          <cell r="U45">
            <v>0</v>
          </cell>
          <cell r="Y45">
            <v>50</v>
          </cell>
        </row>
        <row r="46">
          <cell r="F46">
            <v>3</v>
          </cell>
          <cell r="G46">
            <v>2</v>
          </cell>
          <cell r="H46">
            <v>8</v>
          </cell>
          <cell r="J46">
            <v>117</v>
          </cell>
          <cell r="K46">
            <v>282</v>
          </cell>
          <cell r="M46">
            <v>109</v>
          </cell>
          <cell r="O46">
            <v>32</v>
          </cell>
          <cell r="P46">
            <v>7</v>
          </cell>
          <cell r="S46">
            <v>44</v>
          </cell>
          <cell r="T46">
            <v>119</v>
          </cell>
          <cell r="U46">
            <v>7</v>
          </cell>
          <cell r="Y46">
            <v>730</v>
          </cell>
        </row>
        <row r="47">
          <cell r="F47">
            <v>628</v>
          </cell>
          <cell r="G47">
            <v>1158</v>
          </cell>
          <cell r="H47">
            <v>2912</v>
          </cell>
          <cell r="I47">
            <v>2803</v>
          </cell>
          <cell r="J47">
            <v>7233</v>
          </cell>
          <cell r="K47">
            <v>1014</v>
          </cell>
          <cell r="M47">
            <v>1384</v>
          </cell>
          <cell r="P47">
            <v>1290</v>
          </cell>
          <cell r="S47">
            <v>1094</v>
          </cell>
          <cell r="T47">
            <v>7004</v>
          </cell>
          <cell r="U47">
            <v>814</v>
          </cell>
          <cell r="Y47">
            <v>27334</v>
          </cell>
        </row>
        <row r="48">
          <cell r="F48">
            <v>0</v>
          </cell>
          <cell r="G48">
            <v>11</v>
          </cell>
          <cell r="H48">
            <v>13</v>
          </cell>
          <cell r="I48">
            <v>9</v>
          </cell>
          <cell r="J48">
            <v>14</v>
          </cell>
          <cell r="K48">
            <v>1</v>
          </cell>
          <cell r="M48">
            <v>5</v>
          </cell>
          <cell r="P48">
            <v>2</v>
          </cell>
          <cell r="S48">
            <v>4</v>
          </cell>
          <cell r="T48">
            <v>28</v>
          </cell>
          <cell r="U48">
            <v>1</v>
          </cell>
          <cell r="Y48">
            <v>88</v>
          </cell>
        </row>
        <row r="49">
          <cell r="F49">
            <v>0</v>
          </cell>
          <cell r="G49">
            <v>3</v>
          </cell>
          <cell r="H49">
            <v>18</v>
          </cell>
          <cell r="I49">
            <v>3</v>
          </cell>
          <cell r="J49">
            <v>5</v>
          </cell>
          <cell r="K49">
            <v>1</v>
          </cell>
          <cell r="M49">
            <v>1</v>
          </cell>
          <cell r="P49">
            <v>1</v>
          </cell>
          <cell r="S49">
            <v>1</v>
          </cell>
          <cell r="T49">
            <v>22</v>
          </cell>
          <cell r="U49">
            <v>2</v>
          </cell>
          <cell r="Y49">
            <v>57</v>
          </cell>
        </row>
        <row r="50">
          <cell r="F50">
            <v>5</v>
          </cell>
          <cell r="G50">
            <v>1</v>
          </cell>
          <cell r="H50">
            <v>27</v>
          </cell>
          <cell r="I50">
            <v>27</v>
          </cell>
          <cell r="J50">
            <v>34</v>
          </cell>
          <cell r="K50">
            <v>0</v>
          </cell>
          <cell r="M50">
            <v>13</v>
          </cell>
          <cell r="P50">
            <v>1</v>
          </cell>
          <cell r="S50">
            <v>11</v>
          </cell>
          <cell r="T50">
            <v>125</v>
          </cell>
          <cell r="U50">
            <v>16</v>
          </cell>
          <cell r="Y50">
            <v>260</v>
          </cell>
        </row>
        <row r="51">
          <cell r="F51">
            <v>42</v>
          </cell>
          <cell r="G51">
            <v>67</v>
          </cell>
          <cell r="H51">
            <v>142</v>
          </cell>
          <cell r="I51">
            <v>88</v>
          </cell>
          <cell r="J51">
            <v>213</v>
          </cell>
          <cell r="K51">
            <v>15</v>
          </cell>
          <cell r="M51">
            <v>94</v>
          </cell>
          <cell r="P51">
            <v>55</v>
          </cell>
          <cell r="S51">
            <v>130</v>
          </cell>
          <cell r="T51">
            <v>473</v>
          </cell>
          <cell r="U51">
            <v>12</v>
          </cell>
          <cell r="Y51">
            <v>1331</v>
          </cell>
        </row>
        <row r="52">
          <cell r="F52">
            <v>14</v>
          </cell>
          <cell r="G52">
            <v>32</v>
          </cell>
          <cell r="H52">
            <v>151</v>
          </cell>
          <cell r="I52">
            <v>37</v>
          </cell>
          <cell r="J52">
            <v>66</v>
          </cell>
          <cell r="K52">
            <v>10</v>
          </cell>
          <cell r="M52">
            <v>34</v>
          </cell>
          <cell r="P52">
            <v>9</v>
          </cell>
          <cell r="S52">
            <v>43</v>
          </cell>
          <cell r="T52">
            <v>117</v>
          </cell>
          <cell r="U52">
            <v>15</v>
          </cell>
          <cell r="Y52">
            <v>528</v>
          </cell>
        </row>
        <row r="53">
          <cell r="F53">
            <v>8</v>
          </cell>
          <cell r="G53">
            <v>22</v>
          </cell>
          <cell r="H53">
            <v>37</v>
          </cell>
          <cell r="I53">
            <v>27</v>
          </cell>
          <cell r="J53">
            <v>40</v>
          </cell>
          <cell r="K53">
            <v>3</v>
          </cell>
          <cell r="M53">
            <v>16</v>
          </cell>
          <cell r="P53">
            <v>19</v>
          </cell>
          <cell r="S53">
            <v>13</v>
          </cell>
          <cell r="T53">
            <v>83</v>
          </cell>
          <cell r="U53">
            <v>5</v>
          </cell>
          <cell r="Y53">
            <v>273</v>
          </cell>
        </row>
        <row r="54">
          <cell r="F54">
            <v>8</v>
          </cell>
          <cell r="G54">
            <v>33</v>
          </cell>
          <cell r="H54">
            <v>78</v>
          </cell>
          <cell r="I54">
            <v>21</v>
          </cell>
          <cell r="J54">
            <v>68</v>
          </cell>
          <cell r="K54">
            <v>4</v>
          </cell>
          <cell r="M54">
            <v>13</v>
          </cell>
          <cell r="P54">
            <v>5</v>
          </cell>
          <cell r="S54">
            <v>25</v>
          </cell>
          <cell r="T54">
            <v>158</v>
          </cell>
          <cell r="U54">
            <v>13</v>
          </cell>
          <cell r="Y54">
            <v>426</v>
          </cell>
        </row>
        <row r="55">
          <cell r="F55">
            <v>9</v>
          </cell>
          <cell r="G55">
            <v>51</v>
          </cell>
          <cell r="H55">
            <v>88</v>
          </cell>
          <cell r="I55">
            <v>65</v>
          </cell>
          <cell r="J55">
            <v>128</v>
          </cell>
          <cell r="K55">
            <v>12</v>
          </cell>
          <cell r="M55">
            <v>34</v>
          </cell>
          <cell r="P55">
            <v>17</v>
          </cell>
          <cell r="S55">
            <v>27</v>
          </cell>
          <cell r="T55">
            <v>182</v>
          </cell>
          <cell r="U55">
            <v>9</v>
          </cell>
          <cell r="Y55">
            <v>622</v>
          </cell>
        </row>
        <row r="56">
          <cell r="F56">
            <v>11</v>
          </cell>
          <cell r="G56">
            <v>10</v>
          </cell>
          <cell r="H56">
            <v>103</v>
          </cell>
          <cell r="I56">
            <v>11</v>
          </cell>
          <cell r="J56">
            <v>54</v>
          </cell>
          <cell r="K56">
            <v>0</v>
          </cell>
          <cell r="M56">
            <v>24</v>
          </cell>
          <cell r="P56">
            <v>3</v>
          </cell>
          <cell r="S56">
            <v>32</v>
          </cell>
          <cell r="T56">
            <v>121</v>
          </cell>
          <cell r="U56">
            <v>14</v>
          </cell>
          <cell r="Y56">
            <v>383</v>
          </cell>
        </row>
        <row r="57">
          <cell r="F57">
            <v>3</v>
          </cell>
          <cell r="G57">
            <v>7</v>
          </cell>
          <cell r="H57">
            <v>507</v>
          </cell>
          <cell r="I57">
            <v>2</v>
          </cell>
          <cell r="J57">
            <v>27</v>
          </cell>
          <cell r="K57">
            <v>0</v>
          </cell>
          <cell r="M57">
            <v>7</v>
          </cell>
          <cell r="P57">
            <v>1</v>
          </cell>
          <cell r="S57">
            <v>32</v>
          </cell>
          <cell r="T57">
            <v>195</v>
          </cell>
          <cell r="U57">
            <v>0</v>
          </cell>
          <cell r="Y57">
            <v>781</v>
          </cell>
        </row>
        <row r="58">
          <cell r="F58">
            <v>3</v>
          </cell>
          <cell r="G58">
            <v>26</v>
          </cell>
          <cell r="H58">
            <v>23</v>
          </cell>
          <cell r="I58">
            <v>12</v>
          </cell>
          <cell r="J58">
            <v>25</v>
          </cell>
          <cell r="K58">
            <v>3</v>
          </cell>
          <cell r="M58">
            <v>18</v>
          </cell>
          <cell r="P58">
            <v>49</v>
          </cell>
          <cell r="S58">
            <v>26</v>
          </cell>
          <cell r="T58">
            <v>80</v>
          </cell>
          <cell r="U58">
            <v>3</v>
          </cell>
          <cell r="Y58">
            <v>268</v>
          </cell>
        </row>
        <row r="59">
          <cell r="F59">
            <v>20</v>
          </cell>
          <cell r="G59">
            <v>18</v>
          </cell>
          <cell r="H59">
            <v>63</v>
          </cell>
          <cell r="I59">
            <v>22</v>
          </cell>
          <cell r="J59">
            <v>112</v>
          </cell>
          <cell r="K59">
            <v>8</v>
          </cell>
          <cell r="M59">
            <v>13</v>
          </cell>
          <cell r="P59">
            <v>23</v>
          </cell>
          <cell r="S59">
            <v>47</v>
          </cell>
          <cell r="T59">
            <v>162</v>
          </cell>
          <cell r="U59">
            <v>3</v>
          </cell>
          <cell r="Y59">
            <v>491</v>
          </cell>
        </row>
        <row r="60">
          <cell r="F60">
            <v>0</v>
          </cell>
          <cell r="G60">
            <v>2</v>
          </cell>
          <cell r="H60">
            <v>45</v>
          </cell>
          <cell r="I60">
            <v>5</v>
          </cell>
          <cell r="J60">
            <v>10</v>
          </cell>
          <cell r="K60">
            <v>1</v>
          </cell>
          <cell r="M60">
            <v>6</v>
          </cell>
          <cell r="P60">
            <v>3</v>
          </cell>
          <cell r="S60">
            <v>3</v>
          </cell>
          <cell r="T60">
            <v>30</v>
          </cell>
          <cell r="U60">
            <v>2</v>
          </cell>
          <cell r="Y60">
            <v>107</v>
          </cell>
        </row>
        <row r="61">
          <cell r="F61">
            <v>20</v>
          </cell>
          <cell r="G61">
            <v>24</v>
          </cell>
          <cell r="H61">
            <v>52</v>
          </cell>
          <cell r="I61">
            <v>19</v>
          </cell>
          <cell r="J61">
            <v>63</v>
          </cell>
          <cell r="K61">
            <v>1</v>
          </cell>
          <cell r="M61">
            <v>58</v>
          </cell>
          <cell r="P61">
            <v>50</v>
          </cell>
          <cell r="S61">
            <v>61</v>
          </cell>
          <cell r="T61">
            <v>105</v>
          </cell>
          <cell r="U61">
            <v>3</v>
          </cell>
          <cell r="Y61">
            <v>456</v>
          </cell>
        </row>
        <row r="62">
          <cell r="F62">
            <v>8</v>
          </cell>
          <cell r="G62">
            <v>2</v>
          </cell>
          <cell r="H62">
            <v>8</v>
          </cell>
          <cell r="I62">
            <v>4</v>
          </cell>
          <cell r="J62">
            <v>28</v>
          </cell>
          <cell r="K62">
            <v>0</v>
          </cell>
          <cell r="M62">
            <v>11</v>
          </cell>
          <cell r="P62">
            <v>10</v>
          </cell>
          <cell r="S62">
            <v>6</v>
          </cell>
          <cell r="T62">
            <v>34</v>
          </cell>
          <cell r="U62">
            <v>1</v>
          </cell>
          <cell r="Y62">
            <v>112</v>
          </cell>
        </row>
        <row r="63">
          <cell r="F63">
            <v>2</v>
          </cell>
          <cell r="G63">
            <v>5</v>
          </cell>
          <cell r="H63">
            <v>14</v>
          </cell>
          <cell r="I63">
            <v>3</v>
          </cell>
          <cell r="J63">
            <v>25</v>
          </cell>
          <cell r="K63">
            <v>0</v>
          </cell>
          <cell r="M63">
            <v>2</v>
          </cell>
          <cell r="P63">
            <v>5</v>
          </cell>
          <cell r="S63">
            <v>8</v>
          </cell>
          <cell r="T63">
            <v>32</v>
          </cell>
          <cell r="U63">
            <v>3</v>
          </cell>
          <cell r="Y63">
            <v>99</v>
          </cell>
        </row>
        <row r="64">
          <cell r="F64">
            <v>6</v>
          </cell>
          <cell r="G64">
            <v>52</v>
          </cell>
          <cell r="H64">
            <v>26</v>
          </cell>
          <cell r="I64">
            <v>21</v>
          </cell>
          <cell r="J64">
            <v>28</v>
          </cell>
          <cell r="K64">
            <v>1</v>
          </cell>
          <cell r="M64">
            <v>15</v>
          </cell>
          <cell r="P64">
            <v>21</v>
          </cell>
          <cell r="S64">
            <v>16</v>
          </cell>
          <cell r="T64">
            <v>75</v>
          </cell>
          <cell r="U64">
            <v>26</v>
          </cell>
          <cell r="Y64">
            <v>287</v>
          </cell>
        </row>
        <row r="66">
          <cell r="Y66">
            <v>0</v>
          </cell>
        </row>
        <row r="67">
          <cell r="F67">
            <v>133</v>
          </cell>
          <cell r="G67">
            <v>268</v>
          </cell>
          <cell r="H67">
            <v>459</v>
          </cell>
          <cell r="I67">
            <v>510</v>
          </cell>
          <cell r="J67">
            <v>1568</v>
          </cell>
          <cell r="K67">
            <v>134</v>
          </cell>
          <cell r="M67">
            <v>180</v>
          </cell>
          <cell r="P67">
            <v>309</v>
          </cell>
          <cell r="S67">
            <v>240</v>
          </cell>
          <cell r="T67">
            <v>1113</v>
          </cell>
          <cell r="U67">
            <v>123</v>
          </cell>
          <cell r="Y67">
            <v>5037</v>
          </cell>
        </row>
        <row r="68">
          <cell r="F68">
            <v>233</v>
          </cell>
          <cell r="G68">
            <v>240</v>
          </cell>
          <cell r="H68">
            <v>900</v>
          </cell>
          <cell r="I68">
            <v>796</v>
          </cell>
          <cell r="J68">
            <v>1068</v>
          </cell>
          <cell r="K68">
            <v>127</v>
          </cell>
          <cell r="M68">
            <v>447</v>
          </cell>
          <cell r="P68">
            <v>259</v>
          </cell>
          <cell r="S68">
            <v>244</v>
          </cell>
          <cell r="T68">
            <v>2346</v>
          </cell>
          <cell r="U68">
            <v>356</v>
          </cell>
          <cell r="Y68">
            <v>7016</v>
          </cell>
        </row>
        <row r="69">
          <cell r="F69">
            <v>55</v>
          </cell>
          <cell r="G69">
            <v>165</v>
          </cell>
          <cell r="H69">
            <v>566</v>
          </cell>
          <cell r="I69">
            <v>577</v>
          </cell>
          <cell r="J69">
            <v>1009</v>
          </cell>
          <cell r="K69">
            <v>223</v>
          </cell>
          <cell r="M69">
            <v>171</v>
          </cell>
          <cell r="P69">
            <v>289</v>
          </cell>
          <cell r="S69">
            <v>118</v>
          </cell>
          <cell r="T69">
            <v>1168</v>
          </cell>
          <cell r="U69">
            <v>49</v>
          </cell>
          <cell r="Y69">
            <v>4390</v>
          </cell>
        </row>
        <row r="70">
          <cell r="F70">
            <v>16</v>
          </cell>
          <cell r="G70">
            <v>78</v>
          </cell>
          <cell r="H70">
            <v>129</v>
          </cell>
          <cell r="I70">
            <v>137</v>
          </cell>
          <cell r="J70">
            <v>182</v>
          </cell>
          <cell r="K70">
            <v>11</v>
          </cell>
          <cell r="M70">
            <v>51</v>
          </cell>
          <cell r="P70">
            <v>52</v>
          </cell>
          <cell r="S70">
            <v>39</v>
          </cell>
          <cell r="T70">
            <v>314</v>
          </cell>
          <cell r="U70">
            <v>48</v>
          </cell>
          <cell r="Y70">
            <v>1057</v>
          </cell>
        </row>
        <row r="71">
          <cell r="F71">
            <v>113</v>
          </cell>
          <cell r="G71">
            <v>143</v>
          </cell>
          <cell r="H71">
            <v>458</v>
          </cell>
          <cell r="I71">
            <v>390</v>
          </cell>
          <cell r="J71">
            <v>2091</v>
          </cell>
          <cell r="K71">
            <v>98</v>
          </cell>
          <cell r="M71">
            <v>275</v>
          </cell>
          <cell r="P71">
            <v>180</v>
          </cell>
          <cell r="S71">
            <v>192</v>
          </cell>
          <cell r="T71">
            <v>1086</v>
          </cell>
          <cell r="U71">
            <v>127</v>
          </cell>
          <cell r="Y71">
            <v>5153</v>
          </cell>
        </row>
        <row r="72">
          <cell r="F72">
            <v>40</v>
          </cell>
          <cell r="G72">
            <v>113</v>
          </cell>
          <cell r="H72">
            <v>81</v>
          </cell>
          <cell r="I72">
            <v>97</v>
          </cell>
          <cell r="J72">
            <v>455</v>
          </cell>
          <cell r="K72">
            <v>24</v>
          </cell>
          <cell r="M72">
            <v>87</v>
          </cell>
          <cell r="P72">
            <v>59</v>
          </cell>
          <cell r="S72">
            <v>102</v>
          </cell>
          <cell r="T72">
            <v>310</v>
          </cell>
          <cell r="U72">
            <v>18</v>
          </cell>
          <cell r="Y72">
            <v>1386</v>
          </cell>
        </row>
        <row r="73">
          <cell r="F73">
            <v>3</v>
          </cell>
          <cell r="G73">
            <v>24</v>
          </cell>
          <cell r="H73">
            <v>22</v>
          </cell>
          <cell r="I73">
            <v>56</v>
          </cell>
          <cell r="J73">
            <v>82</v>
          </cell>
          <cell r="K73">
            <v>6</v>
          </cell>
          <cell r="M73">
            <v>8</v>
          </cell>
          <cell r="P73">
            <v>23</v>
          </cell>
          <cell r="S73">
            <v>11</v>
          </cell>
          <cell r="T73">
            <v>73</v>
          </cell>
          <cell r="U73">
            <v>12</v>
          </cell>
          <cell r="Y73">
            <v>320</v>
          </cell>
        </row>
        <row r="74">
          <cell r="F74">
            <v>20</v>
          </cell>
          <cell r="G74">
            <v>81</v>
          </cell>
          <cell r="H74">
            <v>182</v>
          </cell>
          <cell r="I74">
            <v>171</v>
          </cell>
          <cell r="J74">
            <v>418</v>
          </cell>
          <cell r="K74">
            <v>23</v>
          </cell>
          <cell r="M74">
            <v>45</v>
          </cell>
          <cell r="P74">
            <v>62</v>
          </cell>
          <cell r="S74">
            <v>61</v>
          </cell>
          <cell r="T74">
            <v>261</v>
          </cell>
          <cell r="U74">
            <v>35</v>
          </cell>
          <cell r="Y74">
            <v>1359</v>
          </cell>
        </row>
        <row r="75">
          <cell r="F75">
            <v>6</v>
          </cell>
          <cell r="G75">
            <v>25</v>
          </cell>
          <cell r="H75">
            <v>53</v>
          </cell>
          <cell r="I75">
            <v>43</v>
          </cell>
          <cell r="J75">
            <v>121</v>
          </cell>
          <cell r="K75">
            <v>14</v>
          </cell>
          <cell r="M75">
            <v>17</v>
          </cell>
          <cell r="P75">
            <v>18</v>
          </cell>
          <cell r="S75">
            <v>29</v>
          </cell>
          <cell r="T75">
            <v>102</v>
          </cell>
          <cell r="U75">
            <v>24</v>
          </cell>
          <cell r="Y75">
            <v>452</v>
          </cell>
        </row>
        <row r="76">
          <cell r="F76">
            <v>5</v>
          </cell>
          <cell r="G76">
            <v>20</v>
          </cell>
          <cell r="H76">
            <v>36</v>
          </cell>
          <cell r="I76">
            <v>20</v>
          </cell>
          <cell r="J76">
            <v>109</v>
          </cell>
          <cell r="K76">
            <v>17</v>
          </cell>
          <cell r="M76">
            <v>13</v>
          </cell>
          <cell r="P76">
            <v>30</v>
          </cell>
          <cell r="S76">
            <v>8</v>
          </cell>
          <cell r="T76">
            <v>71</v>
          </cell>
          <cell r="U76">
            <v>8</v>
          </cell>
          <cell r="Y76">
            <v>337</v>
          </cell>
        </row>
        <row r="77">
          <cell r="F77">
            <v>1</v>
          </cell>
          <cell r="G77">
            <v>0</v>
          </cell>
          <cell r="H77">
            <v>19</v>
          </cell>
          <cell r="I77">
            <v>6</v>
          </cell>
          <cell r="J77">
            <v>2</v>
          </cell>
          <cell r="K77">
            <v>0</v>
          </cell>
          <cell r="M77">
            <v>2</v>
          </cell>
          <cell r="P77">
            <v>1</v>
          </cell>
          <cell r="S77">
            <v>6</v>
          </cell>
          <cell r="T77">
            <v>22</v>
          </cell>
          <cell r="U77">
            <v>0</v>
          </cell>
          <cell r="Y77">
            <v>59</v>
          </cell>
        </row>
        <row r="78">
          <cell r="F78">
            <v>5</v>
          </cell>
          <cell r="G78">
            <v>8</v>
          </cell>
          <cell r="H78">
            <v>19</v>
          </cell>
          <cell r="I78">
            <v>15</v>
          </cell>
          <cell r="J78">
            <v>47</v>
          </cell>
          <cell r="K78">
            <v>0</v>
          </cell>
          <cell r="M78">
            <v>8</v>
          </cell>
          <cell r="P78">
            <v>4</v>
          </cell>
          <cell r="S78">
            <v>16</v>
          </cell>
          <cell r="T78">
            <v>89</v>
          </cell>
          <cell r="U78">
            <v>7</v>
          </cell>
          <cell r="Y78">
            <v>218</v>
          </cell>
        </row>
        <row r="79">
          <cell r="F79">
            <v>16</v>
          </cell>
          <cell r="G79">
            <v>29</v>
          </cell>
          <cell r="H79">
            <v>65</v>
          </cell>
          <cell r="I79">
            <v>33</v>
          </cell>
          <cell r="J79">
            <v>45</v>
          </cell>
          <cell r="K79">
            <v>4</v>
          </cell>
          <cell r="M79">
            <v>24</v>
          </cell>
          <cell r="P79">
            <v>14</v>
          </cell>
          <cell r="S79">
            <v>45</v>
          </cell>
          <cell r="T79">
            <v>195</v>
          </cell>
          <cell r="U79">
            <v>15</v>
          </cell>
          <cell r="Y79">
            <v>485</v>
          </cell>
        </row>
        <row r="80">
          <cell r="F80">
            <v>12</v>
          </cell>
          <cell r="G80">
            <v>15</v>
          </cell>
          <cell r="H80">
            <v>44</v>
          </cell>
          <cell r="I80">
            <v>33</v>
          </cell>
          <cell r="J80">
            <v>57</v>
          </cell>
          <cell r="K80">
            <v>4</v>
          </cell>
          <cell r="M80">
            <v>24</v>
          </cell>
          <cell r="P80">
            <v>19</v>
          </cell>
          <cell r="S80">
            <v>25</v>
          </cell>
          <cell r="T80">
            <v>150</v>
          </cell>
          <cell r="U80">
            <v>1</v>
          </cell>
          <cell r="Y80">
            <v>384</v>
          </cell>
        </row>
        <row r="81">
          <cell r="F81">
            <v>0</v>
          </cell>
          <cell r="G81">
            <v>4</v>
          </cell>
          <cell r="H81">
            <v>7</v>
          </cell>
          <cell r="I81">
            <v>6</v>
          </cell>
          <cell r="J81">
            <v>3</v>
          </cell>
          <cell r="K81">
            <v>0</v>
          </cell>
          <cell r="M81">
            <v>2</v>
          </cell>
          <cell r="P81">
            <v>1</v>
          </cell>
          <cell r="S81">
            <v>5</v>
          </cell>
          <cell r="T81">
            <v>21</v>
          </cell>
          <cell r="U81">
            <v>0</v>
          </cell>
          <cell r="Y81">
            <v>49</v>
          </cell>
        </row>
        <row r="82">
          <cell r="F82">
            <v>8</v>
          </cell>
          <cell r="G82">
            <v>8</v>
          </cell>
          <cell r="H82">
            <v>26</v>
          </cell>
          <cell r="I82">
            <v>18</v>
          </cell>
          <cell r="J82">
            <v>62</v>
          </cell>
          <cell r="K82">
            <v>3</v>
          </cell>
          <cell r="M82">
            <v>29</v>
          </cell>
          <cell r="P82">
            <v>7</v>
          </cell>
          <cell r="S82">
            <v>22</v>
          </cell>
          <cell r="T82">
            <v>93</v>
          </cell>
          <cell r="U82">
            <v>4</v>
          </cell>
          <cell r="Y82">
            <v>280</v>
          </cell>
        </row>
        <row r="83">
          <cell r="F83">
            <v>1</v>
          </cell>
          <cell r="G83">
            <v>10</v>
          </cell>
          <cell r="H83">
            <v>10</v>
          </cell>
          <cell r="I83">
            <v>3</v>
          </cell>
          <cell r="J83">
            <v>16</v>
          </cell>
          <cell r="K83">
            <v>0</v>
          </cell>
          <cell r="M83">
            <v>9</v>
          </cell>
          <cell r="P83">
            <v>3</v>
          </cell>
          <cell r="S83">
            <v>13</v>
          </cell>
          <cell r="T83">
            <v>46</v>
          </cell>
          <cell r="U83">
            <v>1</v>
          </cell>
          <cell r="Y83">
            <v>112</v>
          </cell>
        </row>
        <row r="84">
          <cell r="F84">
            <v>0</v>
          </cell>
          <cell r="G84">
            <v>1</v>
          </cell>
          <cell r="H84">
            <v>3</v>
          </cell>
          <cell r="I84">
            <v>5</v>
          </cell>
          <cell r="J84">
            <v>4</v>
          </cell>
          <cell r="K84">
            <v>0</v>
          </cell>
          <cell r="M84">
            <v>1</v>
          </cell>
          <cell r="P84">
            <v>5</v>
          </cell>
          <cell r="S84">
            <v>1</v>
          </cell>
          <cell r="T84">
            <v>9</v>
          </cell>
          <cell r="U84">
            <v>0</v>
          </cell>
          <cell r="Y84">
            <v>29</v>
          </cell>
        </row>
        <row r="85">
          <cell r="F85">
            <v>3</v>
          </cell>
          <cell r="G85">
            <v>3</v>
          </cell>
          <cell r="H85">
            <v>14</v>
          </cell>
          <cell r="I85">
            <v>6</v>
          </cell>
          <cell r="J85">
            <v>16</v>
          </cell>
          <cell r="K85">
            <v>0</v>
          </cell>
          <cell r="M85">
            <v>1</v>
          </cell>
          <cell r="P85">
            <v>4</v>
          </cell>
          <cell r="S85">
            <v>11</v>
          </cell>
          <cell r="T85">
            <v>18</v>
          </cell>
          <cell r="U85">
            <v>1</v>
          </cell>
          <cell r="Y85">
            <v>77</v>
          </cell>
        </row>
        <row r="86">
          <cell r="F86">
            <v>1</v>
          </cell>
          <cell r="G86">
            <v>2</v>
          </cell>
          <cell r="H86">
            <v>8</v>
          </cell>
          <cell r="I86">
            <v>5</v>
          </cell>
          <cell r="J86">
            <v>7</v>
          </cell>
          <cell r="K86">
            <v>0</v>
          </cell>
          <cell r="M86">
            <v>3</v>
          </cell>
          <cell r="P86">
            <v>1</v>
          </cell>
          <cell r="S86">
            <v>4</v>
          </cell>
          <cell r="T86">
            <v>5</v>
          </cell>
          <cell r="U86">
            <v>1</v>
          </cell>
          <cell r="Y86">
            <v>37</v>
          </cell>
        </row>
        <row r="87">
          <cell r="F87">
            <v>1</v>
          </cell>
          <cell r="G87">
            <v>2</v>
          </cell>
          <cell r="H87">
            <v>3</v>
          </cell>
          <cell r="I87">
            <v>2</v>
          </cell>
          <cell r="J87">
            <v>6</v>
          </cell>
          <cell r="K87">
            <v>0</v>
          </cell>
          <cell r="M87">
            <v>5</v>
          </cell>
          <cell r="P87">
            <v>1</v>
          </cell>
          <cell r="S87">
            <v>1</v>
          </cell>
          <cell r="T87">
            <v>6</v>
          </cell>
          <cell r="U87">
            <v>0</v>
          </cell>
          <cell r="Y87">
            <v>27</v>
          </cell>
        </row>
        <row r="88">
          <cell r="F88">
            <v>0</v>
          </cell>
          <cell r="G88">
            <v>0</v>
          </cell>
          <cell r="H88">
            <v>0</v>
          </cell>
          <cell r="I88">
            <v>1</v>
          </cell>
          <cell r="J88">
            <v>0</v>
          </cell>
          <cell r="K88">
            <v>0</v>
          </cell>
          <cell r="M88">
            <v>0</v>
          </cell>
          <cell r="P88">
            <v>0</v>
          </cell>
          <cell r="S88">
            <v>0</v>
          </cell>
          <cell r="T88">
            <v>4</v>
          </cell>
          <cell r="U88">
            <v>0</v>
          </cell>
          <cell r="Y88">
            <v>5</v>
          </cell>
        </row>
        <row r="89">
          <cell r="F89">
            <v>15</v>
          </cell>
          <cell r="G89">
            <v>27</v>
          </cell>
          <cell r="H89">
            <v>85</v>
          </cell>
          <cell r="I89">
            <v>31</v>
          </cell>
          <cell r="J89">
            <v>56</v>
          </cell>
          <cell r="K89">
            <v>3</v>
          </cell>
          <cell r="M89">
            <v>14</v>
          </cell>
          <cell r="P89">
            <v>10</v>
          </cell>
          <cell r="S89">
            <v>22</v>
          </cell>
          <cell r="T89">
            <v>74</v>
          </cell>
          <cell r="U89">
            <v>9</v>
          </cell>
          <cell r="Y89">
            <v>346</v>
          </cell>
        </row>
        <row r="90">
          <cell r="F90">
            <v>11</v>
          </cell>
          <cell r="G90">
            <v>33</v>
          </cell>
          <cell r="H90">
            <v>90</v>
          </cell>
          <cell r="I90">
            <v>53</v>
          </cell>
          <cell r="J90">
            <v>63</v>
          </cell>
          <cell r="K90">
            <v>8</v>
          </cell>
          <cell r="M90">
            <v>32</v>
          </cell>
          <cell r="P90">
            <v>11</v>
          </cell>
          <cell r="S90">
            <v>25</v>
          </cell>
          <cell r="T90">
            <v>228</v>
          </cell>
          <cell r="U90">
            <v>22</v>
          </cell>
          <cell r="Y90">
            <v>576</v>
          </cell>
        </row>
        <row r="91">
          <cell r="F91">
            <v>4</v>
          </cell>
          <cell r="G91">
            <v>24</v>
          </cell>
          <cell r="H91">
            <v>79</v>
          </cell>
          <cell r="I91">
            <v>21</v>
          </cell>
          <cell r="J91">
            <v>63</v>
          </cell>
          <cell r="K91">
            <v>9</v>
          </cell>
          <cell r="M91">
            <v>8</v>
          </cell>
          <cell r="P91">
            <v>13</v>
          </cell>
          <cell r="S91">
            <v>18</v>
          </cell>
          <cell r="T91">
            <v>94</v>
          </cell>
          <cell r="U91">
            <v>2</v>
          </cell>
          <cell r="Y91">
            <v>335</v>
          </cell>
        </row>
        <row r="92">
          <cell r="F92">
            <v>0</v>
          </cell>
          <cell r="G92">
            <v>7</v>
          </cell>
          <cell r="H92">
            <v>11</v>
          </cell>
          <cell r="I92">
            <v>6</v>
          </cell>
          <cell r="J92">
            <v>6</v>
          </cell>
          <cell r="K92">
            <v>0</v>
          </cell>
          <cell r="M92">
            <v>1</v>
          </cell>
          <cell r="P92">
            <v>1</v>
          </cell>
          <cell r="S92">
            <v>2</v>
          </cell>
          <cell r="T92">
            <v>16</v>
          </cell>
          <cell r="U92">
            <v>0</v>
          </cell>
          <cell r="Y92">
            <v>50</v>
          </cell>
        </row>
        <row r="93">
          <cell r="F93">
            <v>3</v>
          </cell>
          <cell r="G93">
            <v>10</v>
          </cell>
          <cell r="H93">
            <v>42</v>
          </cell>
          <cell r="I93">
            <v>12</v>
          </cell>
          <cell r="J93">
            <v>67</v>
          </cell>
          <cell r="K93">
            <v>4</v>
          </cell>
          <cell r="M93">
            <v>23</v>
          </cell>
          <cell r="P93">
            <v>4</v>
          </cell>
          <cell r="S93">
            <v>16</v>
          </cell>
          <cell r="T93">
            <v>61</v>
          </cell>
          <cell r="U93">
            <v>2</v>
          </cell>
          <cell r="Y93">
            <v>244</v>
          </cell>
        </row>
        <row r="94">
          <cell r="F94">
            <v>2</v>
          </cell>
          <cell r="G94">
            <v>17</v>
          </cell>
          <cell r="H94">
            <v>9</v>
          </cell>
          <cell r="I94">
            <v>8</v>
          </cell>
          <cell r="J94">
            <v>24</v>
          </cell>
          <cell r="K94">
            <v>1</v>
          </cell>
          <cell r="M94">
            <v>5</v>
          </cell>
          <cell r="P94">
            <v>3</v>
          </cell>
          <cell r="S94">
            <v>13</v>
          </cell>
          <cell r="T94">
            <v>30</v>
          </cell>
          <cell r="U94">
            <v>1</v>
          </cell>
          <cell r="Y94">
            <v>113</v>
          </cell>
        </row>
        <row r="95">
          <cell r="F95">
            <v>0</v>
          </cell>
          <cell r="G95">
            <v>4</v>
          </cell>
          <cell r="H95">
            <v>5</v>
          </cell>
          <cell r="I95">
            <v>5</v>
          </cell>
          <cell r="J95">
            <v>6</v>
          </cell>
          <cell r="K95">
            <v>0</v>
          </cell>
          <cell r="M95">
            <v>1</v>
          </cell>
          <cell r="P95">
            <v>1</v>
          </cell>
          <cell r="S95">
            <v>0</v>
          </cell>
          <cell r="T95">
            <v>3</v>
          </cell>
          <cell r="U95">
            <v>1</v>
          </cell>
          <cell r="Y95">
            <v>26</v>
          </cell>
        </row>
        <row r="96">
          <cell r="F96">
            <v>4</v>
          </cell>
          <cell r="G96">
            <v>11</v>
          </cell>
          <cell r="H96">
            <v>21</v>
          </cell>
          <cell r="I96">
            <v>6</v>
          </cell>
          <cell r="J96">
            <v>8</v>
          </cell>
          <cell r="K96">
            <v>0</v>
          </cell>
          <cell r="M96">
            <v>2</v>
          </cell>
          <cell r="P96">
            <v>4</v>
          </cell>
          <cell r="S96">
            <v>6</v>
          </cell>
          <cell r="T96">
            <v>10</v>
          </cell>
          <cell r="U96">
            <v>3</v>
          </cell>
          <cell r="Y96">
            <v>75</v>
          </cell>
        </row>
        <row r="97">
          <cell r="F97">
            <v>0</v>
          </cell>
          <cell r="G97">
            <v>2</v>
          </cell>
          <cell r="H97">
            <v>5</v>
          </cell>
          <cell r="I97">
            <v>5</v>
          </cell>
          <cell r="J97">
            <v>2</v>
          </cell>
          <cell r="K97">
            <v>0</v>
          </cell>
          <cell r="M97">
            <v>4</v>
          </cell>
          <cell r="P97">
            <v>2</v>
          </cell>
          <cell r="S97">
            <v>1</v>
          </cell>
          <cell r="T97">
            <v>6</v>
          </cell>
          <cell r="U97">
            <v>1</v>
          </cell>
          <cell r="Y97">
            <v>28</v>
          </cell>
        </row>
        <row r="98">
          <cell r="F98">
            <v>0</v>
          </cell>
          <cell r="G98">
            <v>3</v>
          </cell>
          <cell r="H98">
            <v>3</v>
          </cell>
          <cell r="I98">
            <v>3</v>
          </cell>
          <cell r="J98">
            <v>2</v>
          </cell>
          <cell r="K98">
            <v>0</v>
          </cell>
          <cell r="M98">
            <v>0</v>
          </cell>
          <cell r="P98">
            <v>1</v>
          </cell>
          <cell r="S98">
            <v>1</v>
          </cell>
          <cell r="T98">
            <v>6</v>
          </cell>
          <cell r="U98">
            <v>1</v>
          </cell>
          <cell r="Y98">
            <v>20</v>
          </cell>
        </row>
        <row r="99">
          <cell r="F99">
            <v>0</v>
          </cell>
          <cell r="G99">
            <v>0</v>
          </cell>
          <cell r="H99">
            <v>2</v>
          </cell>
          <cell r="I99">
            <v>0</v>
          </cell>
          <cell r="J99">
            <v>0</v>
          </cell>
          <cell r="K99">
            <v>0</v>
          </cell>
          <cell r="M99">
            <v>0</v>
          </cell>
          <cell r="P99">
            <v>0</v>
          </cell>
          <cell r="S99">
            <v>0</v>
          </cell>
          <cell r="T99">
            <v>1</v>
          </cell>
          <cell r="U99">
            <v>0</v>
          </cell>
          <cell r="Y99">
            <v>3</v>
          </cell>
        </row>
        <row r="100">
          <cell r="F100">
            <v>0</v>
          </cell>
          <cell r="G100">
            <v>1</v>
          </cell>
          <cell r="H100">
            <v>23</v>
          </cell>
          <cell r="I100">
            <v>1</v>
          </cell>
          <cell r="J100">
            <v>8</v>
          </cell>
          <cell r="K100">
            <v>0</v>
          </cell>
          <cell r="M100">
            <v>1</v>
          </cell>
          <cell r="P100">
            <v>1</v>
          </cell>
          <cell r="S100">
            <v>3</v>
          </cell>
          <cell r="T100">
            <v>16</v>
          </cell>
          <cell r="U100">
            <v>0</v>
          </cell>
          <cell r="Y100">
            <v>54</v>
          </cell>
        </row>
        <row r="101">
          <cell r="F101">
            <v>21</v>
          </cell>
          <cell r="G101">
            <v>15</v>
          </cell>
          <cell r="H101">
            <v>130</v>
          </cell>
          <cell r="I101">
            <v>21</v>
          </cell>
          <cell r="J101">
            <v>43</v>
          </cell>
          <cell r="K101">
            <v>2</v>
          </cell>
          <cell r="M101">
            <v>11</v>
          </cell>
          <cell r="P101">
            <v>20</v>
          </cell>
          <cell r="S101">
            <v>38</v>
          </cell>
          <cell r="T101">
            <v>202</v>
          </cell>
          <cell r="U101">
            <v>9</v>
          </cell>
          <cell r="Y101">
            <v>512</v>
          </cell>
        </row>
        <row r="102">
          <cell r="F102">
            <v>5</v>
          </cell>
          <cell r="G102">
            <v>24</v>
          </cell>
          <cell r="H102">
            <v>185</v>
          </cell>
          <cell r="I102">
            <v>14</v>
          </cell>
          <cell r="J102">
            <v>55</v>
          </cell>
          <cell r="K102">
            <v>2</v>
          </cell>
          <cell r="M102">
            <v>17</v>
          </cell>
          <cell r="P102">
            <v>29</v>
          </cell>
          <cell r="S102">
            <v>23</v>
          </cell>
          <cell r="T102">
            <v>123</v>
          </cell>
          <cell r="U102">
            <v>4</v>
          </cell>
          <cell r="Y102">
            <v>481</v>
          </cell>
        </row>
        <row r="103">
          <cell r="F103">
            <v>0</v>
          </cell>
          <cell r="G103">
            <v>1</v>
          </cell>
          <cell r="H103">
            <v>9</v>
          </cell>
          <cell r="I103">
            <v>1</v>
          </cell>
          <cell r="J103">
            <v>1</v>
          </cell>
          <cell r="K103">
            <v>0</v>
          </cell>
          <cell r="M103">
            <v>0</v>
          </cell>
          <cell r="P103">
            <v>1</v>
          </cell>
          <cell r="S103">
            <v>9</v>
          </cell>
          <cell r="T103">
            <v>5</v>
          </cell>
          <cell r="U103">
            <v>0</v>
          </cell>
          <cell r="Y103">
            <v>27</v>
          </cell>
        </row>
        <row r="104">
          <cell r="F104">
            <v>5</v>
          </cell>
          <cell r="G104">
            <v>6</v>
          </cell>
          <cell r="H104">
            <v>190</v>
          </cell>
          <cell r="I104">
            <v>5</v>
          </cell>
          <cell r="J104">
            <v>53</v>
          </cell>
          <cell r="K104">
            <v>1</v>
          </cell>
          <cell r="M104">
            <v>13</v>
          </cell>
          <cell r="P104">
            <v>11</v>
          </cell>
          <cell r="S104">
            <v>20</v>
          </cell>
          <cell r="T104">
            <v>87</v>
          </cell>
          <cell r="U104">
            <v>1</v>
          </cell>
          <cell r="Y104">
            <v>392</v>
          </cell>
        </row>
        <row r="105">
          <cell r="F105">
            <v>3</v>
          </cell>
          <cell r="G105">
            <v>7</v>
          </cell>
          <cell r="H105">
            <v>42</v>
          </cell>
          <cell r="I105">
            <v>1</v>
          </cell>
          <cell r="J105">
            <v>36</v>
          </cell>
          <cell r="K105">
            <v>2</v>
          </cell>
          <cell r="M105">
            <v>12</v>
          </cell>
          <cell r="P105">
            <v>9</v>
          </cell>
          <cell r="S105">
            <v>17</v>
          </cell>
          <cell r="T105">
            <v>58</v>
          </cell>
          <cell r="U105">
            <v>2</v>
          </cell>
          <cell r="Y105">
            <v>189</v>
          </cell>
        </row>
        <row r="106">
          <cell r="F106">
            <v>0</v>
          </cell>
          <cell r="G106">
            <v>0</v>
          </cell>
          <cell r="H106">
            <v>16</v>
          </cell>
          <cell r="I106">
            <v>2</v>
          </cell>
          <cell r="J106">
            <v>5</v>
          </cell>
          <cell r="K106">
            <v>0</v>
          </cell>
          <cell r="M106">
            <v>0</v>
          </cell>
          <cell r="P106">
            <v>3</v>
          </cell>
          <cell r="S106">
            <v>1</v>
          </cell>
          <cell r="T106">
            <v>8</v>
          </cell>
          <cell r="U106">
            <v>1</v>
          </cell>
          <cell r="Y106">
            <v>36</v>
          </cell>
        </row>
        <row r="107">
          <cell r="F107">
            <v>3</v>
          </cell>
          <cell r="G107">
            <v>3</v>
          </cell>
          <cell r="H107">
            <v>50</v>
          </cell>
          <cell r="I107">
            <v>2</v>
          </cell>
          <cell r="J107">
            <v>4</v>
          </cell>
          <cell r="K107">
            <v>1</v>
          </cell>
          <cell r="M107">
            <v>1</v>
          </cell>
          <cell r="P107">
            <v>1</v>
          </cell>
          <cell r="S107">
            <v>12</v>
          </cell>
          <cell r="T107">
            <v>19</v>
          </cell>
          <cell r="U107">
            <v>0</v>
          </cell>
          <cell r="Y107">
            <v>96</v>
          </cell>
        </row>
        <row r="108">
          <cell r="F108">
            <v>0</v>
          </cell>
          <cell r="G108">
            <v>3</v>
          </cell>
          <cell r="H108">
            <v>28</v>
          </cell>
          <cell r="I108">
            <v>0</v>
          </cell>
          <cell r="J108">
            <v>7</v>
          </cell>
          <cell r="K108">
            <v>0</v>
          </cell>
          <cell r="M108">
            <v>3</v>
          </cell>
          <cell r="P108">
            <v>0</v>
          </cell>
          <cell r="S108">
            <v>1</v>
          </cell>
          <cell r="T108">
            <v>12</v>
          </cell>
          <cell r="U108">
            <v>2</v>
          </cell>
          <cell r="Y108">
            <v>56</v>
          </cell>
        </row>
        <row r="109">
          <cell r="F109">
            <v>0</v>
          </cell>
          <cell r="G109">
            <v>1</v>
          </cell>
          <cell r="H109">
            <v>20</v>
          </cell>
          <cell r="I109">
            <v>0</v>
          </cell>
          <cell r="J109">
            <v>1</v>
          </cell>
          <cell r="K109">
            <v>0</v>
          </cell>
          <cell r="M109">
            <v>0</v>
          </cell>
          <cell r="P109">
            <v>5</v>
          </cell>
          <cell r="S109">
            <v>6</v>
          </cell>
          <cell r="T109">
            <v>12</v>
          </cell>
          <cell r="U109">
            <v>1</v>
          </cell>
          <cell r="Y109">
            <v>46</v>
          </cell>
        </row>
        <row r="110">
          <cell r="F110">
            <v>0</v>
          </cell>
          <cell r="G110">
            <v>0</v>
          </cell>
          <cell r="H110">
            <v>2</v>
          </cell>
          <cell r="I110">
            <v>0</v>
          </cell>
          <cell r="J110">
            <v>0</v>
          </cell>
          <cell r="K110">
            <v>0</v>
          </cell>
          <cell r="M110">
            <v>0</v>
          </cell>
          <cell r="P110">
            <v>0</v>
          </cell>
          <cell r="S110">
            <v>0</v>
          </cell>
          <cell r="T110">
            <v>4</v>
          </cell>
          <cell r="U110">
            <v>0</v>
          </cell>
          <cell r="Y110">
            <v>6</v>
          </cell>
        </row>
        <row r="111">
          <cell r="F111">
            <v>2</v>
          </cell>
          <cell r="G111">
            <v>4</v>
          </cell>
          <cell r="H111">
            <v>18</v>
          </cell>
          <cell r="I111">
            <v>2</v>
          </cell>
          <cell r="J111">
            <v>8</v>
          </cell>
          <cell r="K111">
            <v>1</v>
          </cell>
          <cell r="M111">
            <v>4</v>
          </cell>
          <cell r="P111">
            <v>1</v>
          </cell>
          <cell r="S111">
            <v>7</v>
          </cell>
          <cell r="T111">
            <v>15</v>
          </cell>
          <cell r="U111">
            <v>0</v>
          </cell>
          <cell r="Y111">
            <v>62</v>
          </cell>
        </row>
        <row r="112">
          <cell r="F112">
            <v>12</v>
          </cell>
          <cell r="G112">
            <v>5</v>
          </cell>
          <cell r="H112">
            <v>33</v>
          </cell>
          <cell r="I112">
            <v>16</v>
          </cell>
          <cell r="J112">
            <v>19</v>
          </cell>
          <cell r="K112">
            <v>0</v>
          </cell>
          <cell r="M112">
            <v>24</v>
          </cell>
          <cell r="P112">
            <v>13</v>
          </cell>
          <cell r="S112">
            <v>20</v>
          </cell>
          <cell r="T112">
            <v>66</v>
          </cell>
          <cell r="U112">
            <v>4</v>
          </cell>
          <cell r="Y112">
            <v>212</v>
          </cell>
        </row>
        <row r="113">
          <cell r="F113">
            <v>7</v>
          </cell>
          <cell r="G113">
            <v>6</v>
          </cell>
          <cell r="H113">
            <v>22</v>
          </cell>
          <cell r="I113">
            <v>5</v>
          </cell>
          <cell r="J113">
            <v>23</v>
          </cell>
          <cell r="K113">
            <v>0</v>
          </cell>
          <cell r="M113">
            <v>18</v>
          </cell>
          <cell r="P113">
            <v>20</v>
          </cell>
          <cell r="S113">
            <v>11</v>
          </cell>
          <cell r="T113">
            <v>39</v>
          </cell>
          <cell r="U113">
            <v>0</v>
          </cell>
          <cell r="Y113">
            <v>151</v>
          </cell>
        </row>
        <row r="114">
          <cell r="F114">
            <v>0</v>
          </cell>
          <cell r="G114">
            <v>1</v>
          </cell>
          <cell r="H114">
            <v>1</v>
          </cell>
          <cell r="I114">
            <v>0</v>
          </cell>
          <cell r="J114">
            <v>2</v>
          </cell>
          <cell r="K114">
            <v>0</v>
          </cell>
          <cell r="M114">
            <v>2</v>
          </cell>
          <cell r="P114">
            <v>0</v>
          </cell>
          <cell r="S114">
            <v>6</v>
          </cell>
          <cell r="T114">
            <v>6</v>
          </cell>
          <cell r="U114">
            <v>0</v>
          </cell>
          <cell r="Y114">
            <v>18</v>
          </cell>
        </row>
        <row r="115">
          <cell r="F115">
            <v>3</v>
          </cell>
          <cell r="G115">
            <v>4</v>
          </cell>
          <cell r="H115">
            <v>15</v>
          </cell>
          <cell r="I115">
            <v>2</v>
          </cell>
          <cell r="J115">
            <v>22</v>
          </cell>
          <cell r="K115">
            <v>0</v>
          </cell>
          <cell r="M115">
            <v>15</v>
          </cell>
          <cell r="P115">
            <v>18</v>
          </cell>
          <cell r="S115">
            <v>10</v>
          </cell>
          <cell r="T115">
            <v>20</v>
          </cell>
          <cell r="U115">
            <v>2</v>
          </cell>
          <cell r="Y115">
            <v>111</v>
          </cell>
        </row>
        <row r="116">
          <cell r="F116">
            <v>3</v>
          </cell>
          <cell r="G116">
            <v>3</v>
          </cell>
          <cell r="H116">
            <v>9</v>
          </cell>
          <cell r="I116">
            <v>1</v>
          </cell>
          <cell r="J116">
            <v>19</v>
          </cell>
          <cell r="K116">
            <v>0</v>
          </cell>
          <cell r="M116">
            <v>9</v>
          </cell>
          <cell r="P116">
            <v>3</v>
          </cell>
          <cell r="S116">
            <v>13</v>
          </cell>
          <cell r="T116">
            <v>12</v>
          </cell>
          <cell r="U116">
            <v>0</v>
          </cell>
          <cell r="Y116">
            <v>72</v>
          </cell>
        </row>
        <row r="117">
          <cell r="F117">
            <v>0</v>
          </cell>
          <cell r="G117">
            <v>1</v>
          </cell>
          <cell r="H117">
            <v>2</v>
          </cell>
          <cell r="I117">
            <v>1</v>
          </cell>
          <cell r="J117">
            <v>0</v>
          </cell>
          <cell r="K117">
            <v>1</v>
          </cell>
          <cell r="M117">
            <v>0</v>
          </cell>
          <cell r="P117">
            <v>3</v>
          </cell>
          <cell r="S117">
            <v>0</v>
          </cell>
          <cell r="T117">
            <v>4</v>
          </cell>
          <cell r="U117">
            <v>0</v>
          </cell>
          <cell r="Y117">
            <v>12</v>
          </cell>
        </row>
        <row r="118">
          <cell r="F118">
            <v>1</v>
          </cell>
          <cell r="G118">
            <v>1</v>
          </cell>
          <cell r="H118">
            <v>5</v>
          </cell>
          <cell r="I118">
            <v>1</v>
          </cell>
          <cell r="J118">
            <v>4</v>
          </cell>
          <cell r="K118">
            <v>0</v>
          </cell>
          <cell r="M118">
            <v>1</v>
          </cell>
          <cell r="P118">
            <v>1</v>
          </cell>
          <cell r="S118">
            <v>1</v>
          </cell>
          <cell r="T118">
            <v>4</v>
          </cell>
          <cell r="U118">
            <v>0</v>
          </cell>
          <cell r="Y118">
            <v>19</v>
          </cell>
        </row>
        <row r="119">
          <cell r="F119">
            <v>0</v>
          </cell>
          <cell r="G119">
            <v>2</v>
          </cell>
          <cell r="H119">
            <v>0</v>
          </cell>
          <cell r="I119">
            <v>0</v>
          </cell>
          <cell r="J119">
            <v>0</v>
          </cell>
          <cell r="K119">
            <v>0</v>
          </cell>
          <cell r="M119">
            <v>1</v>
          </cell>
          <cell r="P119">
            <v>1</v>
          </cell>
          <cell r="S119">
            <v>0</v>
          </cell>
          <cell r="T119">
            <v>0</v>
          </cell>
          <cell r="U119">
            <v>0</v>
          </cell>
          <cell r="Y119">
            <v>4</v>
          </cell>
        </row>
        <row r="120">
          <cell r="F120">
            <v>0</v>
          </cell>
          <cell r="G120">
            <v>1</v>
          </cell>
          <cell r="H120">
            <v>0</v>
          </cell>
          <cell r="I120">
            <v>0</v>
          </cell>
          <cell r="J120">
            <v>3</v>
          </cell>
          <cell r="K120">
            <v>0</v>
          </cell>
          <cell r="M120">
            <v>0</v>
          </cell>
          <cell r="P120">
            <v>3</v>
          </cell>
          <cell r="S120">
            <v>1</v>
          </cell>
          <cell r="T120">
            <v>1</v>
          </cell>
          <cell r="U120">
            <v>0</v>
          </cell>
          <cell r="Y120">
            <v>9</v>
          </cell>
        </row>
        <row r="121">
          <cell r="F121">
            <v>0</v>
          </cell>
          <cell r="G121">
            <v>0</v>
          </cell>
          <cell r="H121">
            <v>0</v>
          </cell>
          <cell r="I121">
            <v>0</v>
          </cell>
          <cell r="J121">
            <v>0</v>
          </cell>
          <cell r="K121">
            <v>0</v>
          </cell>
          <cell r="M121">
            <v>0</v>
          </cell>
          <cell r="P121">
            <v>0</v>
          </cell>
          <cell r="S121">
            <v>0</v>
          </cell>
          <cell r="T121">
            <v>0</v>
          </cell>
          <cell r="U121">
            <v>0</v>
          </cell>
          <cell r="Y121">
            <v>0</v>
          </cell>
        </row>
        <row r="122">
          <cell r="F122">
            <v>0</v>
          </cell>
          <cell r="G122">
            <v>2</v>
          </cell>
          <cell r="H122">
            <v>0</v>
          </cell>
          <cell r="I122">
            <v>3</v>
          </cell>
          <cell r="J122">
            <v>1</v>
          </cell>
          <cell r="K122">
            <v>0</v>
          </cell>
          <cell r="M122">
            <v>2</v>
          </cell>
          <cell r="P122">
            <v>3</v>
          </cell>
          <cell r="S122">
            <v>0</v>
          </cell>
          <cell r="T122">
            <v>8</v>
          </cell>
          <cell r="U122">
            <v>2</v>
          </cell>
          <cell r="Y122">
            <v>21</v>
          </cell>
        </row>
        <row r="123">
          <cell r="F123">
            <v>3</v>
          </cell>
          <cell r="G123">
            <v>13</v>
          </cell>
          <cell r="H123">
            <v>8</v>
          </cell>
          <cell r="I123">
            <v>7</v>
          </cell>
          <cell r="J123">
            <v>11</v>
          </cell>
          <cell r="K123">
            <v>0</v>
          </cell>
          <cell r="M123">
            <v>3</v>
          </cell>
          <cell r="P123">
            <v>11</v>
          </cell>
          <cell r="S123">
            <v>10</v>
          </cell>
          <cell r="T123">
            <v>42</v>
          </cell>
          <cell r="U123">
            <v>20</v>
          </cell>
          <cell r="Y123">
            <v>128</v>
          </cell>
        </row>
        <row r="124">
          <cell r="F124">
            <v>2</v>
          </cell>
          <cell r="G124">
            <v>11</v>
          </cell>
          <cell r="H124">
            <v>17</v>
          </cell>
          <cell r="I124">
            <v>7</v>
          </cell>
          <cell r="J124">
            <v>15</v>
          </cell>
          <cell r="K124">
            <v>0</v>
          </cell>
          <cell r="M124">
            <v>6</v>
          </cell>
          <cell r="P124">
            <v>16</v>
          </cell>
          <cell r="S124">
            <v>4</v>
          </cell>
          <cell r="T124">
            <v>30</v>
          </cell>
          <cell r="U124">
            <v>2</v>
          </cell>
          <cell r="Y124">
            <v>110</v>
          </cell>
        </row>
        <row r="125">
          <cell r="F125">
            <v>0</v>
          </cell>
          <cell r="G125">
            <v>1</v>
          </cell>
          <cell r="H125">
            <v>0</v>
          </cell>
          <cell r="I125">
            <v>0</v>
          </cell>
          <cell r="J125">
            <v>0</v>
          </cell>
          <cell r="K125">
            <v>0</v>
          </cell>
          <cell r="M125">
            <v>1</v>
          </cell>
          <cell r="P125">
            <v>1</v>
          </cell>
          <cell r="S125">
            <v>0</v>
          </cell>
          <cell r="T125">
            <v>0</v>
          </cell>
          <cell r="U125">
            <v>0</v>
          </cell>
          <cell r="Y125">
            <v>3</v>
          </cell>
        </row>
        <row r="126">
          <cell r="F126">
            <v>0</v>
          </cell>
          <cell r="G126">
            <v>3</v>
          </cell>
          <cell r="H126">
            <v>7</v>
          </cell>
          <cell r="I126">
            <v>3</v>
          </cell>
          <cell r="J126">
            <v>10</v>
          </cell>
          <cell r="K126">
            <v>1</v>
          </cell>
          <cell r="M126">
            <v>2</v>
          </cell>
          <cell r="P126">
            <v>10</v>
          </cell>
          <cell r="S126">
            <v>2</v>
          </cell>
          <cell r="T126">
            <v>12</v>
          </cell>
          <cell r="U126">
            <v>3</v>
          </cell>
          <cell r="Y126">
            <v>53</v>
          </cell>
        </row>
        <row r="127">
          <cell r="F127">
            <v>1</v>
          </cell>
          <cell r="G127">
            <v>6</v>
          </cell>
          <cell r="H127">
            <v>5</v>
          </cell>
          <cell r="I127">
            <v>1</v>
          </cell>
          <cell r="J127">
            <v>10</v>
          </cell>
          <cell r="K127">
            <v>0</v>
          </cell>
          <cell r="M127">
            <v>1</v>
          </cell>
          <cell r="P127">
            <v>3</v>
          </cell>
          <cell r="S127">
            <v>2</v>
          </cell>
          <cell r="T127">
            <v>6</v>
          </cell>
          <cell r="U127">
            <v>0</v>
          </cell>
          <cell r="Y127">
            <v>35</v>
          </cell>
        </row>
        <row r="128">
          <cell r="F128">
            <v>0</v>
          </cell>
          <cell r="G128">
            <v>3</v>
          </cell>
          <cell r="H128">
            <v>0</v>
          </cell>
          <cell r="I128">
            <v>1</v>
          </cell>
          <cell r="J128">
            <v>1</v>
          </cell>
          <cell r="K128">
            <v>0</v>
          </cell>
          <cell r="M128">
            <v>0</v>
          </cell>
          <cell r="P128">
            <v>2</v>
          </cell>
          <cell r="S128">
            <v>0</v>
          </cell>
          <cell r="T128">
            <v>1</v>
          </cell>
          <cell r="U128">
            <v>2</v>
          </cell>
          <cell r="Y128">
            <v>10</v>
          </cell>
        </row>
        <row r="129">
          <cell r="F129">
            <v>0</v>
          </cell>
          <cell r="G129">
            <v>8</v>
          </cell>
          <cell r="H129">
            <v>3</v>
          </cell>
          <cell r="I129">
            <v>1</v>
          </cell>
          <cell r="J129">
            <v>2</v>
          </cell>
          <cell r="K129">
            <v>0</v>
          </cell>
          <cell r="M129">
            <v>0</v>
          </cell>
          <cell r="P129">
            <v>3</v>
          </cell>
          <cell r="S129">
            <v>2</v>
          </cell>
          <cell r="T129">
            <v>2</v>
          </cell>
          <cell r="U129">
            <v>0</v>
          </cell>
          <cell r="Y129">
            <v>21</v>
          </cell>
        </row>
        <row r="130">
          <cell r="F130">
            <v>0</v>
          </cell>
          <cell r="G130">
            <v>5</v>
          </cell>
          <cell r="H130">
            <v>0</v>
          </cell>
          <cell r="I130">
            <v>0</v>
          </cell>
          <cell r="J130">
            <v>2</v>
          </cell>
          <cell r="K130">
            <v>0</v>
          </cell>
          <cell r="M130">
            <v>0</v>
          </cell>
          <cell r="P130">
            <v>0</v>
          </cell>
          <cell r="S130">
            <v>4</v>
          </cell>
          <cell r="T130">
            <v>2</v>
          </cell>
          <cell r="U130">
            <v>0</v>
          </cell>
          <cell r="Y130">
            <v>13</v>
          </cell>
        </row>
        <row r="131">
          <cell r="F131">
            <v>1</v>
          </cell>
          <cell r="G131">
            <v>4</v>
          </cell>
          <cell r="H131">
            <v>0</v>
          </cell>
          <cell r="I131">
            <v>1</v>
          </cell>
          <cell r="J131">
            <v>1</v>
          </cell>
          <cell r="K131">
            <v>0</v>
          </cell>
          <cell r="M131">
            <v>1</v>
          </cell>
          <cell r="P131">
            <v>2</v>
          </cell>
          <cell r="S131">
            <v>0</v>
          </cell>
          <cell r="T131">
            <v>2</v>
          </cell>
          <cell r="U131">
            <v>0</v>
          </cell>
          <cell r="Y131">
            <v>12</v>
          </cell>
        </row>
        <row r="132">
          <cell r="F132">
            <v>0</v>
          </cell>
          <cell r="G132">
            <v>0</v>
          </cell>
          <cell r="H132">
            <v>0</v>
          </cell>
          <cell r="I132">
            <v>0</v>
          </cell>
          <cell r="J132">
            <v>0</v>
          </cell>
          <cell r="K132">
            <v>0</v>
          </cell>
          <cell r="M132">
            <v>0</v>
          </cell>
          <cell r="P132">
            <v>0</v>
          </cell>
          <cell r="S132">
            <v>0</v>
          </cell>
          <cell r="T132">
            <v>0</v>
          </cell>
          <cell r="U132">
            <v>0</v>
          </cell>
          <cell r="Y132">
            <v>0</v>
          </cell>
        </row>
        <row r="133">
          <cell r="F133">
            <v>32</v>
          </cell>
          <cell r="G133">
            <v>66</v>
          </cell>
          <cell r="H133">
            <v>161</v>
          </cell>
          <cell r="I133">
            <v>82</v>
          </cell>
          <cell r="J133">
            <v>236</v>
          </cell>
          <cell r="K133">
            <v>49</v>
          </cell>
          <cell r="M133">
            <v>70</v>
          </cell>
          <cell r="O133">
            <v>95</v>
          </cell>
          <cell r="P133">
            <v>49</v>
          </cell>
          <cell r="S133">
            <v>67</v>
          </cell>
          <cell r="T133">
            <v>368</v>
          </cell>
          <cell r="U133">
            <v>23</v>
          </cell>
          <cell r="Y133">
            <v>1298</v>
          </cell>
        </row>
        <row r="134">
          <cell r="F134">
            <v>264</v>
          </cell>
          <cell r="G134">
            <v>484</v>
          </cell>
          <cell r="H134">
            <v>1489</v>
          </cell>
          <cell r="I134">
            <v>961</v>
          </cell>
          <cell r="J134">
            <v>2706</v>
          </cell>
          <cell r="K134">
            <v>328</v>
          </cell>
          <cell r="M134">
            <v>659</v>
          </cell>
          <cell r="O134">
            <v>1206</v>
          </cell>
          <cell r="P134">
            <v>546</v>
          </cell>
          <cell r="S134">
            <v>568</v>
          </cell>
          <cell r="T134">
            <v>3365</v>
          </cell>
          <cell r="U134">
            <v>303</v>
          </cell>
          <cell r="Y134">
            <v>12879</v>
          </cell>
        </row>
        <row r="135">
          <cell r="F135">
            <v>334</v>
          </cell>
          <cell r="G135">
            <v>595</v>
          </cell>
          <cell r="H135">
            <v>1645</v>
          </cell>
          <cell r="I135">
            <v>1314</v>
          </cell>
          <cell r="J135">
            <v>3126</v>
          </cell>
          <cell r="K135">
            <v>394</v>
          </cell>
          <cell r="M135">
            <v>869</v>
          </cell>
          <cell r="O135">
            <v>1380</v>
          </cell>
          <cell r="P135">
            <v>538</v>
          </cell>
          <cell r="S135">
            <v>691</v>
          </cell>
          <cell r="T135">
            <v>3327</v>
          </cell>
          <cell r="U135">
            <v>395</v>
          </cell>
          <cell r="Y135">
            <v>14608</v>
          </cell>
        </row>
        <row r="136">
          <cell r="F136">
            <v>174</v>
          </cell>
          <cell r="G136">
            <v>386</v>
          </cell>
          <cell r="H136">
            <v>1012</v>
          </cell>
          <cell r="I136">
            <v>926</v>
          </cell>
          <cell r="J136">
            <v>2005</v>
          </cell>
          <cell r="K136">
            <v>259</v>
          </cell>
          <cell r="M136">
            <v>561</v>
          </cell>
          <cell r="O136">
            <v>887</v>
          </cell>
          <cell r="P136">
            <v>361</v>
          </cell>
          <cell r="S136">
            <v>283</v>
          </cell>
          <cell r="T136">
            <v>1994</v>
          </cell>
          <cell r="U136">
            <v>246</v>
          </cell>
          <cell r="Y136">
            <v>9094</v>
          </cell>
        </row>
        <row r="137">
          <cell r="F137">
            <v>49</v>
          </cell>
          <cell r="G137">
            <v>132</v>
          </cell>
          <cell r="H137">
            <v>222</v>
          </cell>
          <cell r="I137">
            <v>237</v>
          </cell>
          <cell r="J137">
            <v>736</v>
          </cell>
          <cell r="K137">
            <v>139</v>
          </cell>
          <cell r="M137">
            <v>163</v>
          </cell>
          <cell r="O137">
            <v>354</v>
          </cell>
          <cell r="P137">
            <v>102</v>
          </cell>
          <cell r="S137">
            <v>104</v>
          </cell>
          <cell r="T137">
            <v>531</v>
          </cell>
          <cell r="U137">
            <v>54</v>
          </cell>
          <cell r="Y137">
            <v>2823</v>
          </cell>
        </row>
        <row r="138">
          <cell r="F138">
            <v>0</v>
          </cell>
          <cell r="G138">
            <v>2</v>
          </cell>
          <cell r="H138">
            <v>1</v>
          </cell>
          <cell r="I138">
            <v>0</v>
          </cell>
          <cell r="J138">
            <v>7</v>
          </cell>
          <cell r="K138">
            <v>1</v>
          </cell>
          <cell r="M138">
            <v>0</v>
          </cell>
          <cell r="O138">
            <v>1</v>
          </cell>
          <cell r="P138">
            <v>2</v>
          </cell>
          <cell r="S138">
            <v>3</v>
          </cell>
          <cell r="T138">
            <v>6</v>
          </cell>
          <cell r="U138">
            <v>3</v>
          </cell>
          <cell r="Y138">
            <v>26</v>
          </cell>
        </row>
        <row r="139">
          <cell r="F139">
            <v>20</v>
          </cell>
          <cell r="G139">
            <v>19</v>
          </cell>
          <cell r="H139">
            <v>49</v>
          </cell>
          <cell r="I139">
            <v>33</v>
          </cell>
          <cell r="J139">
            <v>54</v>
          </cell>
          <cell r="K139">
            <v>3</v>
          </cell>
          <cell r="M139">
            <v>32</v>
          </cell>
          <cell r="O139">
            <v>25</v>
          </cell>
          <cell r="P139">
            <v>18</v>
          </cell>
          <cell r="S139">
            <v>29</v>
          </cell>
          <cell r="T139">
            <v>150</v>
          </cell>
          <cell r="U139">
            <v>10</v>
          </cell>
          <cell r="Y139">
            <v>442</v>
          </cell>
        </row>
        <row r="140">
          <cell r="F140">
            <v>3</v>
          </cell>
          <cell r="G140">
            <v>23</v>
          </cell>
          <cell r="H140">
            <v>36</v>
          </cell>
          <cell r="I140">
            <v>21</v>
          </cell>
          <cell r="J140">
            <v>42</v>
          </cell>
          <cell r="K140">
            <v>14</v>
          </cell>
          <cell r="M140">
            <v>12</v>
          </cell>
          <cell r="O140">
            <v>18</v>
          </cell>
          <cell r="P140">
            <v>18</v>
          </cell>
          <cell r="S140">
            <v>10</v>
          </cell>
          <cell r="T140">
            <v>91</v>
          </cell>
          <cell r="U140">
            <v>5</v>
          </cell>
          <cell r="Y140">
            <v>293</v>
          </cell>
        </row>
        <row r="141">
          <cell r="F141">
            <v>0</v>
          </cell>
          <cell r="G141">
            <v>0</v>
          </cell>
          <cell r="H141">
            <v>5</v>
          </cell>
          <cell r="I141">
            <v>2</v>
          </cell>
          <cell r="J141">
            <v>0</v>
          </cell>
          <cell r="K141">
            <v>1</v>
          </cell>
          <cell r="M141">
            <v>0</v>
          </cell>
          <cell r="O141">
            <v>2</v>
          </cell>
          <cell r="P141">
            <v>0</v>
          </cell>
          <cell r="S141">
            <v>4</v>
          </cell>
          <cell r="T141">
            <v>0</v>
          </cell>
          <cell r="U141">
            <v>0</v>
          </cell>
          <cell r="Y141">
            <v>14</v>
          </cell>
        </row>
        <row r="142">
          <cell r="F142">
            <v>1</v>
          </cell>
          <cell r="G142">
            <v>4</v>
          </cell>
          <cell r="H142">
            <v>27</v>
          </cell>
          <cell r="I142">
            <v>0</v>
          </cell>
          <cell r="J142">
            <v>46</v>
          </cell>
          <cell r="K142">
            <v>12</v>
          </cell>
          <cell r="M142">
            <v>6</v>
          </cell>
          <cell r="O142">
            <v>4</v>
          </cell>
          <cell r="P142">
            <v>1</v>
          </cell>
          <cell r="S142">
            <v>7</v>
          </cell>
          <cell r="T142">
            <v>25</v>
          </cell>
          <cell r="U142">
            <v>2</v>
          </cell>
          <cell r="Y142">
            <v>135</v>
          </cell>
        </row>
        <row r="143">
          <cell r="F143">
            <v>3</v>
          </cell>
          <cell r="G143">
            <v>9</v>
          </cell>
          <cell r="H143">
            <v>7</v>
          </cell>
          <cell r="I143">
            <v>2</v>
          </cell>
          <cell r="J143">
            <v>32</v>
          </cell>
          <cell r="K143">
            <v>6</v>
          </cell>
          <cell r="M143">
            <v>4</v>
          </cell>
          <cell r="O143">
            <v>16</v>
          </cell>
          <cell r="P143">
            <v>1</v>
          </cell>
          <cell r="S143">
            <v>2</v>
          </cell>
          <cell r="T143">
            <v>47</v>
          </cell>
          <cell r="U143">
            <v>0</v>
          </cell>
          <cell r="Y143">
            <v>129</v>
          </cell>
        </row>
        <row r="144">
          <cell r="F144">
            <v>0</v>
          </cell>
          <cell r="G144">
            <v>1</v>
          </cell>
          <cell r="H144">
            <v>4</v>
          </cell>
          <cell r="I144">
            <v>12</v>
          </cell>
          <cell r="J144">
            <v>5</v>
          </cell>
          <cell r="K144">
            <v>7</v>
          </cell>
          <cell r="M144">
            <v>0</v>
          </cell>
          <cell r="O144">
            <v>8</v>
          </cell>
          <cell r="P144">
            <v>3</v>
          </cell>
          <cell r="S144">
            <v>3</v>
          </cell>
          <cell r="T144">
            <v>3</v>
          </cell>
          <cell r="U144">
            <v>0</v>
          </cell>
          <cell r="Y144">
            <v>46</v>
          </cell>
        </row>
        <row r="145">
          <cell r="F145">
            <v>4</v>
          </cell>
          <cell r="G145">
            <v>4</v>
          </cell>
          <cell r="H145">
            <v>16</v>
          </cell>
          <cell r="I145">
            <v>6</v>
          </cell>
          <cell r="J145">
            <v>9</v>
          </cell>
          <cell r="K145">
            <v>1</v>
          </cell>
          <cell r="M145">
            <v>2</v>
          </cell>
          <cell r="O145">
            <v>13</v>
          </cell>
          <cell r="P145">
            <v>2</v>
          </cell>
          <cell r="S145">
            <v>1</v>
          </cell>
          <cell r="T145">
            <v>12</v>
          </cell>
          <cell r="U145">
            <v>1</v>
          </cell>
          <cell r="Y145">
            <v>71</v>
          </cell>
        </row>
        <row r="146">
          <cell r="F146">
            <v>0</v>
          </cell>
          <cell r="G146">
            <v>3</v>
          </cell>
          <cell r="H146">
            <v>7</v>
          </cell>
          <cell r="I146">
            <v>4</v>
          </cell>
          <cell r="J146">
            <v>11</v>
          </cell>
          <cell r="K146">
            <v>1</v>
          </cell>
          <cell r="M146">
            <v>3</v>
          </cell>
          <cell r="O146">
            <v>5</v>
          </cell>
          <cell r="P146">
            <v>2</v>
          </cell>
          <cell r="S146">
            <v>1</v>
          </cell>
          <cell r="T146">
            <v>14</v>
          </cell>
          <cell r="U146">
            <v>1</v>
          </cell>
          <cell r="Y146">
            <v>52</v>
          </cell>
        </row>
        <row r="147">
          <cell r="F147">
            <v>0</v>
          </cell>
          <cell r="G147">
            <v>0</v>
          </cell>
          <cell r="H147">
            <v>3</v>
          </cell>
          <cell r="I147">
            <v>1</v>
          </cell>
          <cell r="J147">
            <v>3</v>
          </cell>
          <cell r="K147">
            <v>0</v>
          </cell>
          <cell r="M147">
            <v>0</v>
          </cell>
          <cell r="O147">
            <v>0</v>
          </cell>
          <cell r="P147">
            <v>1</v>
          </cell>
          <cell r="S147">
            <v>0</v>
          </cell>
          <cell r="T147">
            <v>5</v>
          </cell>
          <cell r="U147">
            <v>1</v>
          </cell>
          <cell r="Y147">
            <v>14</v>
          </cell>
        </row>
        <row r="148">
          <cell r="F148">
            <v>0</v>
          </cell>
          <cell r="G148">
            <v>0</v>
          </cell>
          <cell r="H148">
            <v>3</v>
          </cell>
          <cell r="I148">
            <v>1</v>
          </cell>
          <cell r="J148">
            <v>0</v>
          </cell>
          <cell r="K148">
            <v>0</v>
          </cell>
          <cell r="M148">
            <v>0</v>
          </cell>
          <cell r="O148">
            <v>1</v>
          </cell>
          <cell r="P148">
            <v>0</v>
          </cell>
          <cell r="S148">
            <v>0</v>
          </cell>
          <cell r="T148">
            <v>2</v>
          </cell>
          <cell r="U148">
            <v>0</v>
          </cell>
          <cell r="Y148">
            <v>7</v>
          </cell>
        </row>
        <row r="149">
          <cell r="F149">
            <v>49</v>
          </cell>
          <cell r="G149">
            <v>63</v>
          </cell>
          <cell r="H149">
            <v>188</v>
          </cell>
          <cell r="I149">
            <v>118</v>
          </cell>
          <cell r="J149">
            <v>394</v>
          </cell>
          <cell r="K149">
            <v>44</v>
          </cell>
          <cell r="M149">
            <v>59</v>
          </cell>
          <cell r="O149">
            <v>186</v>
          </cell>
          <cell r="P149">
            <v>84</v>
          </cell>
          <cell r="S149">
            <v>80</v>
          </cell>
          <cell r="T149">
            <v>415</v>
          </cell>
          <cell r="U149">
            <v>40</v>
          </cell>
          <cell r="Y149">
            <v>1720</v>
          </cell>
        </row>
        <row r="150">
          <cell r="F150">
            <v>118</v>
          </cell>
          <cell r="G150">
            <v>167</v>
          </cell>
          <cell r="H150">
            <v>409</v>
          </cell>
          <cell r="I150">
            <v>339</v>
          </cell>
          <cell r="J150">
            <v>528</v>
          </cell>
          <cell r="K150">
            <v>48</v>
          </cell>
          <cell r="M150">
            <v>193</v>
          </cell>
          <cell r="O150">
            <v>427</v>
          </cell>
          <cell r="P150">
            <v>129</v>
          </cell>
          <cell r="S150">
            <v>167</v>
          </cell>
          <cell r="T150">
            <v>1194</v>
          </cell>
          <cell r="U150">
            <v>146</v>
          </cell>
          <cell r="Y150">
            <v>3865</v>
          </cell>
        </row>
        <row r="151">
          <cell r="F151">
            <v>26</v>
          </cell>
          <cell r="G151">
            <v>103</v>
          </cell>
          <cell r="H151">
            <v>400</v>
          </cell>
          <cell r="I151">
            <v>194</v>
          </cell>
          <cell r="J151">
            <v>547</v>
          </cell>
          <cell r="K151">
            <v>73</v>
          </cell>
          <cell r="M151">
            <v>132</v>
          </cell>
          <cell r="O151">
            <v>161</v>
          </cell>
          <cell r="P151">
            <v>172</v>
          </cell>
          <cell r="S151">
            <v>99</v>
          </cell>
          <cell r="T151">
            <v>732</v>
          </cell>
          <cell r="U151">
            <v>28</v>
          </cell>
          <cell r="Y151">
            <v>2667</v>
          </cell>
        </row>
        <row r="152">
          <cell r="F152">
            <v>1</v>
          </cell>
          <cell r="G152">
            <v>11</v>
          </cell>
          <cell r="H152">
            <v>41</v>
          </cell>
          <cell r="I152">
            <v>11</v>
          </cell>
          <cell r="J152">
            <v>22</v>
          </cell>
          <cell r="K152">
            <v>1</v>
          </cell>
          <cell r="M152">
            <v>11</v>
          </cell>
          <cell r="O152">
            <v>25</v>
          </cell>
          <cell r="P152">
            <v>8</v>
          </cell>
          <cell r="S152">
            <v>21</v>
          </cell>
          <cell r="T152">
            <v>80</v>
          </cell>
          <cell r="U152">
            <v>3</v>
          </cell>
          <cell r="Y152">
            <v>235</v>
          </cell>
        </row>
        <row r="153">
          <cell r="F153">
            <v>36</v>
          </cell>
          <cell r="G153">
            <v>35</v>
          </cell>
          <cell r="H153">
            <v>212</v>
          </cell>
          <cell r="I153">
            <v>114</v>
          </cell>
          <cell r="J153">
            <v>610</v>
          </cell>
          <cell r="K153">
            <v>45</v>
          </cell>
          <cell r="M153">
            <v>86</v>
          </cell>
          <cell r="O153">
            <v>146</v>
          </cell>
          <cell r="P153">
            <v>68</v>
          </cell>
          <cell r="S153">
            <v>41</v>
          </cell>
          <cell r="T153">
            <v>439</v>
          </cell>
          <cell r="U153">
            <v>43</v>
          </cell>
          <cell r="Y153">
            <v>1875</v>
          </cell>
        </row>
        <row r="154">
          <cell r="F154">
            <v>15</v>
          </cell>
          <cell r="G154">
            <v>38</v>
          </cell>
          <cell r="H154">
            <v>49</v>
          </cell>
          <cell r="I154">
            <v>29</v>
          </cell>
          <cell r="J154">
            <v>220</v>
          </cell>
          <cell r="K154">
            <v>14</v>
          </cell>
          <cell r="M154">
            <v>53</v>
          </cell>
          <cell r="O154">
            <v>98</v>
          </cell>
          <cell r="P154">
            <v>28</v>
          </cell>
          <cell r="S154">
            <v>58</v>
          </cell>
          <cell r="T154">
            <v>162</v>
          </cell>
          <cell r="U154">
            <v>5</v>
          </cell>
          <cell r="Y154">
            <v>769</v>
          </cell>
        </row>
        <row r="155">
          <cell r="F155">
            <v>1</v>
          </cell>
          <cell r="G155">
            <v>8</v>
          </cell>
          <cell r="H155">
            <v>23</v>
          </cell>
          <cell r="I155">
            <v>54</v>
          </cell>
          <cell r="J155">
            <v>34</v>
          </cell>
          <cell r="K155">
            <v>3</v>
          </cell>
          <cell r="M155">
            <v>7</v>
          </cell>
          <cell r="O155">
            <v>24</v>
          </cell>
          <cell r="P155">
            <v>11</v>
          </cell>
          <cell r="S155">
            <v>15</v>
          </cell>
          <cell r="T155">
            <v>37</v>
          </cell>
          <cell r="U155">
            <v>6</v>
          </cell>
          <cell r="Y155">
            <v>223</v>
          </cell>
        </row>
        <row r="156">
          <cell r="F156">
            <v>10</v>
          </cell>
          <cell r="G156">
            <v>39</v>
          </cell>
          <cell r="H156">
            <v>95</v>
          </cell>
          <cell r="I156">
            <v>72</v>
          </cell>
          <cell r="J156">
            <v>189</v>
          </cell>
          <cell r="K156">
            <v>10</v>
          </cell>
          <cell r="M156">
            <v>21</v>
          </cell>
          <cell r="O156">
            <v>87</v>
          </cell>
          <cell r="P156">
            <v>24</v>
          </cell>
          <cell r="S156">
            <v>37</v>
          </cell>
          <cell r="T156">
            <v>116</v>
          </cell>
          <cell r="U156">
            <v>12</v>
          </cell>
          <cell r="Y156">
            <v>712</v>
          </cell>
        </row>
        <row r="157">
          <cell r="F157">
            <v>3</v>
          </cell>
          <cell r="G157">
            <v>12</v>
          </cell>
          <cell r="H157">
            <v>32</v>
          </cell>
          <cell r="I157">
            <v>22</v>
          </cell>
          <cell r="J157">
            <v>50</v>
          </cell>
          <cell r="K157">
            <v>9</v>
          </cell>
          <cell r="M157">
            <v>17</v>
          </cell>
          <cell r="O157">
            <v>22</v>
          </cell>
          <cell r="P157">
            <v>5</v>
          </cell>
          <cell r="S157">
            <v>15</v>
          </cell>
          <cell r="T157">
            <v>54</v>
          </cell>
          <cell r="U157">
            <v>8</v>
          </cell>
          <cell r="Y157">
            <v>249</v>
          </cell>
        </row>
        <row r="158">
          <cell r="F158">
            <v>2</v>
          </cell>
          <cell r="G158">
            <v>8</v>
          </cell>
          <cell r="H158">
            <v>23</v>
          </cell>
          <cell r="I158">
            <v>7</v>
          </cell>
          <cell r="J158">
            <v>44</v>
          </cell>
          <cell r="K158">
            <v>8</v>
          </cell>
          <cell r="M158">
            <v>9</v>
          </cell>
          <cell r="O158">
            <v>8</v>
          </cell>
          <cell r="P158">
            <v>10</v>
          </cell>
          <cell r="S158">
            <v>10</v>
          </cell>
          <cell r="T158">
            <v>32</v>
          </cell>
          <cell r="U158">
            <v>4</v>
          </cell>
          <cell r="Y158">
            <v>165</v>
          </cell>
        </row>
        <row r="159">
          <cell r="F159">
            <v>0</v>
          </cell>
          <cell r="G159">
            <v>0</v>
          </cell>
          <cell r="H159">
            <v>11</v>
          </cell>
          <cell r="I159">
            <v>1</v>
          </cell>
          <cell r="J159">
            <v>1</v>
          </cell>
          <cell r="K159">
            <v>0</v>
          </cell>
          <cell r="M159">
            <v>2</v>
          </cell>
          <cell r="O159">
            <v>0</v>
          </cell>
          <cell r="P159">
            <v>0</v>
          </cell>
          <cell r="S159">
            <v>1</v>
          </cell>
          <cell r="T159">
            <v>15</v>
          </cell>
          <cell r="U159">
            <v>0</v>
          </cell>
          <cell r="Y159">
            <v>31</v>
          </cell>
        </row>
        <row r="160">
          <cell r="F160">
            <v>89</v>
          </cell>
          <cell r="G160">
            <v>149</v>
          </cell>
          <cell r="H160">
            <v>285</v>
          </cell>
          <cell r="I160">
            <v>293</v>
          </cell>
          <cell r="J160">
            <v>802</v>
          </cell>
          <cell r="K160">
            <v>65</v>
          </cell>
          <cell r="M160">
            <v>165</v>
          </cell>
          <cell r="O160">
            <v>306</v>
          </cell>
          <cell r="P160">
            <v>133</v>
          </cell>
          <cell r="S160">
            <v>137</v>
          </cell>
          <cell r="T160">
            <v>590</v>
          </cell>
          <cell r="U160">
            <v>68</v>
          </cell>
          <cell r="Y160">
            <v>3082</v>
          </cell>
        </row>
        <row r="161">
          <cell r="F161">
            <v>104</v>
          </cell>
          <cell r="G161">
            <v>101</v>
          </cell>
          <cell r="H161">
            <v>445</v>
          </cell>
          <cell r="I161">
            <v>367</v>
          </cell>
          <cell r="J161">
            <v>467</v>
          </cell>
          <cell r="K161">
            <v>60</v>
          </cell>
          <cell r="M161">
            <v>276</v>
          </cell>
          <cell r="O161">
            <v>479</v>
          </cell>
          <cell r="P161">
            <v>113</v>
          </cell>
          <cell r="S161">
            <v>145</v>
          </cell>
          <cell r="T161">
            <v>1096</v>
          </cell>
          <cell r="U161">
            <v>173</v>
          </cell>
          <cell r="Y161">
            <v>3826</v>
          </cell>
        </row>
        <row r="162">
          <cell r="F162">
            <v>29</v>
          </cell>
          <cell r="G162">
            <v>69</v>
          </cell>
          <cell r="H162">
            <v>331</v>
          </cell>
          <cell r="I162">
            <v>277</v>
          </cell>
          <cell r="J162">
            <v>389</v>
          </cell>
          <cell r="K162">
            <v>87</v>
          </cell>
          <cell r="M162">
            <v>81</v>
          </cell>
          <cell r="O162">
            <v>135</v>
          </cell>
          <cell r="P162">
            <v>108</v>
          </cell>
          <cell r="S162">
            <v>79</v>
          </cell>
          <cell r="T162">
            <v>493</v>
          </cell>
          <cell r="U162">
            <v>14</v>
          </cell>
          <cell r="Y162">
            <v>2092</v>
          </cell>
        </row>
        <row r="163">
          <cell r="F163">
            <v>10</v>
          </cell>
          <cell r="G163">
            <v>54</v>
          </cell>
          <cell r="H163">
            <v>72</v>
          </cell>
          <cell r="I163">
            <v>49</v>
          </cell>
          <cell r="J163">
            <v>106</v>
          </cell>
          <cell r="K163">
            <v>4</v>
          </cell>
          <cell r="M163">
            <v>35</v>
          </cell>
          <cell r="O163">
            <v>32</v>
          </cell>
          <cell r="P163">
            <v>22</v>
          </cell>
          <cell r="S163">
            <v>29</v>
          </cell>
          <cell r="T163">
            <v>177</v>
          </cell>
          <cell r="U163">
            <v>36</v>
          </cell>
          <cell r="Y163">
            <v>626</v>
          </cell>
        </row>
        <row r="164">
          <cell r="F164">
            <v>58</v>
          </cell>
          <cell r="G164">
            <v>80</v>
          </cell>
          <cell r="H164">
            <v>280</v>
          </cell>
          <cell r="I164">
            <v>172</v>
          </cell>
          <cell r="J164">
            <v>844</v>
          </cell>
          <cell r="K164">
            <v>44</v>
          </cell>
          <cell r="M164">
            <v>151</v>
          </cell>
          <cell r="O164">
            <v>229</v>
          </cell>
          <cell r="P164">
            <v>72</v>
          </cell>
          <cell r="S164">
            <v>138</v>
          </cell>
          <cell r="T164">
            <v>520</v>
          </cell>
          <cell r="U164">
            <v>52</v>
          </cell>
          <cell r="Y164">
            <v>2640</v>
          </cell>
        </row>
        <row r="165">
          <cell r="F165">
            <v>14</v>
          </cell>
          <cell r="G165">
            <v>52</v>
          </cell>
          <cell r="H165">
            <v>41</v>
          </cell>
          <cell r="I165">
            <v>35</v>
          </cell>
          <cell r="J165">
            <v>152</v>
          </cell>
          <cell r="K165">
            <v>10</v>
          </cell>
          <cell r="M165">
            <v>55</v>
          </cell>
          <cell r="O165">
            <v>73</v>
          </cell>
          <cell r="P165">
            <v>23</v>
          </cell>
          <cell r="S165">
            <v>65</v>
          </cell>
          <cell r="T165">
            <v>149</v>
          </cell>
          <cell r="U165">
            <v>8</v>
          </cell>
          <cell r="Y165">
            <v>677</v>
          </cell>
        </row>
        <row r="166">
          <cell r="F166">
            <v>3</v>
          </cell>
          <cell r="G166">
            <v>15</v>
          </cell>
          <cell r="H166">
            <v>18</v>
          </cell>
          <cell r="I166">
            <v>23</v>
          </cell>
          <cell r="J166">
            <v>41</v>
          </cell>
          <cell r="K166">
            <v>1</v>
          </cell>
          <cell r="M166">
            <v>2</v>
          </cell>
          <cell r="O166">
            <v>20</v>
          </cell>
          <cell r="P166">
            <v>16</v>
          </cell>
          <cell r="S166">
            <v>10</v>
          </cell>
          <cell r="T166">
            <v>36</v>
          </cell>
          <cell r="U166">
            <v>6</v>
          </cell>
          <cell r="Y166">
            <v>191</v>
          </cell>
        </row>
        <row r="167">
          <cell r="F167">
            <v>13</v>
          </cell>
          <cell r="G167">
            <v>48</v>
          </cell>
          <cell r="H167">
            <v>97</v>
          </cell>
          <cell r="I167">
            <v>58</v>
          </cell>
          <cell r="J167">
            <v>173</v>
          </cell>
          <cell r="K167">
            <v>7</v>
          </cell>
          <cell r="M167">
            <v>25</v>
          </cell>
          <cell r="O167">
            <v>69</v>
          </cell>
          <cell r="P167">
            <v>29</v>
          </cell>
          <cell r="S167">
            <v>37</v>
          </cell>
          <cell r="T167">
            <v>121</v>
          </cell>
          <cell r="U167">
            <v>15</v>
          </cell>
          <cell r="Y167">
            <v>692</v>
          </cell>
        </row>
        <row r="168">
          <cell r="F168">
            <v>5</v>
          </cell>
          <cell r="G168">
            <v>14</v>
          </cell>
          <cell r="H168">
            <v>35</v>
          </cell>
          <cell r="I168">
            <v>25</v>
          </cell>
          <cell r="J168">
            <v>52</v>
          </cell>
          <cell r="K168">
            <v>4</v>
          </cell>
          <cell r="M168">
            <v>19</v>
          </cell>
          <cell r="O168">
            <v>13</v>
          </cell>
          <cell r="P168">
            <v>5</v>
          </cell>
          <cell r="S168">
            <v>16</v>
          </cell>
          <cell r="T168">
            <v>36</v>
          </cell>
          <cell r="U168">
            <v>17</v>
          </cell>
          <cell r="Y168">
            <v>241</v>
          </cell>
        </row>
        <row r="169">
          <cell r="F169">
            <v>5</v>
          </cell>
          <cell r="G169">
            <v>12</v>
          </cell>
          <cell r="H169">
            <v>30</v>
          </cell>
          <cell r="I169">
            <v>13</v>
          </cell>
          <cell r="J169">
            <v>52</v>
          </cell>
          <cell r="K169">
            <v>4</v>
          </cell>
          <cell r="M169">
            <v>4</v>
          </cell>
          <cell r="O169">
            <v>9</v>
          </cell>
          <cell r="P169">
            <v>14</v>
          </cell>
          <cell r="S169">
            <v>6</v>
          </cell>
          <cell r="T169">
            <v>42</v>
          </cell>
          <cell r="U169">
            <v>2</v>
          </cell>
          <cell r="Y169">
            <v>193</v>
          </cell>
        </row>
        <row r="170">
          <cell r="F170">
            <v>1</v>
          </cell>
          <cell r="G170">
            <v>0</v>
          </cell>
          <cell r="H170">
            <v>9</v>
          </cell>
          <cell r="I170">
            <v>2</v>
          </cell>
          <cell r="J170">
            <v>1</v>
          </cell>
          <cell r="K170">
            <v>0</v>
          </cell>
          <cell r="M170">
            <v>1</v>
          </cell>
          <cell r="O170">
            <v>1</v>
          </cell>
          <cell r="P170">
            <v>1</v>
          </cell>
          <cell r="S170">
            <v>5</v>
          </cell>
          <cell r="T170">
            <v>7</v>
          </cell>
          <cell r="U170">
            <v>0</v>
          </cell>
          <cell r="Y170">
            <v>28</v>
          </cell>
        </row>
        <row r="171">
          <cell r="F171">
            <v>24</v>
          </cell>
          <cell r="G171">
            <v>102</v>
          </cell>
          <cell r="H171">
            <v>155</v>
          </cell>
          <cell r="I171">
            <v>194</v>
          </cell>
          <cell r="J171">
            <v>490</v>
          </cell>
          <cell r="K171">
            <v>31</v>
          </cell>
          <cell r="M171">
            <v>108</v>
          </cell>
          <cell r="O171">
            <v>197</v>
          </cell>
          <cell r="P171">
            <v>100</v>
          </cell>
          <cell r="S171">
            <v>72</v>
          </cell>
          <cell r="T171">
            <v>341</v>
          </cell>
          <cell r="U171">
            <v>43</v>
          </cell>
          <cell r="Y171">
            <v>1857</v>
          </cell>
        </row>
        <row r="172">
          <cell r="F172">
            <v>59</v>
          </cell>
          <cell r="G172">
            <v>68</v>
          </cell>
          <cell r="H172">
            <v>303</v>
          </cell>
          <cell r="I172">
            <v>237</v>
          </cell>
          <cell r="J172">
            <v>202</v>
          </cell>
          <cell r="K172">
            <v>24</v>
          </cell>
          <cell r="M172">
            <v>168</v>
          </cell>
          <cell r="O172">
            <v>281</v>
          </cell>
          <cell r="P172">
            <v>44</v>
          </cell>
          <cell r="S172">
            <v>42</v>
          </cell>
          <cell r="T172">
            <v>642</v>
          </cell>
          <cell r="U172">
            <v>111</v>
          </cell>
          <cell r="Y172">
            <v>2181</v>
          </cell>
        </row>
        <row r="173">
          <cell r="F173">
            <v>29</v>
          </cell>
          <cell r="G173">
            <v>59</v>
          </cell>
          <cell r="H173">
            <v>165</v>
          </cell>
          <cell r="I173">
            <v>170</v>
          </cell>
          <cell r="J173">
            <v>248</v>
          </cell>
          <cell r="K173">
            <v>56</v>
          </cell>
          <cell r="M173">
            <v>47</v>
          </cell>
          <cell r="O173">
            <v>88</v>
          </cell>
          <cell r="P173">
            <v>73</v>
          </cell>
          <cell r="S173">
            <v>15</v>
          </cell>
          <cell r="T173">
            <v>321</v>
          </cell>
          <cell r="U173">
            <v>11</v>
          </cell>
          <cell r="Y173">
            <v>1282</v>
          </cell>
        </row>
        <row r="174">
          <cell r="F174">
            <v>5</v>
          </cell>
          <cell r="G174">
            <v>27</v>
          </cell>
          <cell r="H174">
            <v>40</v>
          </cell>
          <cell r="I174">
            <v>92</v>
          </cell>
          <cell r="J174">
            <v>66</v>
          </cell>
          <cell r="K174">
            <v>3</v>
          </cell>
          <cell r="M174">
            <v>24</v>
          </cell>
          <cell r="O174">
            <v>24</v>
          </cell>
          <cell r="P174">
            <v>18</v>
          </cell>
          <cell r="S174">
            <v>12</v>
          </cell>
          <cell r="T174">
            <v>106</v>
          </cell>
          <cell r="U174">
            <v>9</v>
          </cell>
          <cell r="Y174">
            <v>426</v>
          </cell>
        </row>
        <row r="175">
          <cell r="F175">
            <v>36</v>
          </cell>
          <cell r="G175">
            <v>44</v>
          </cell>
          <cell r="H175">
            <v>193</v>
          </cell>
          <cell r="I175">
            <v>112</v>
          </cell>
          <cell r="J175">
            <v>671</v>
          </cell>
          <cell r="K175">
            <v>7</v>
          </cell>
          <cell r="M175">
            <v>127</v>
          </cell>
          <cell r="O175">
            <v>123</v>
          </cell>
          <cell r="P175">
            <v>67</v>
          </cell>
          <cell r="S175">
            <v>69</v>
          </cell>
          <cell r="T175">
            <v>308</v>
          </cell>
          <cell r="U175">
            <v>37</v>
          </cell>
          <cell r="Y175">
            <v>1794</v>
          </cell>
        </row>
        <row r="176">
          <cell r="F176">
            <v>9</v>
          </cell>
          <cell r="G176">
            <v>39</v>
          </cell>
          <cell r="H176">
            <v>49</v>
          </cell>
          <cell r="I176">
            <v>43</v>
          </cell>
          <cell r="J176">
            <v>124</v>
          </cell>
          <cell r="K176">
            <v>1</v>
          </cell>
          <cell r="M176">
            <v>31</v>
          </cell>
          <cell r="O176">
            <v>72</v>
          </cell>
          <cell r="P176">
            <v>18</v>
          </cell>
          <cell r="S176">
            <v>32</v>
          </cell>
          <cell r="T176">
            <v>93</v>
          </cell>
          <cell r="U176">
            <v>8</v>
          </cell>
          <cell r="Y176">
            <v>519</v>
          </cell>
        </row>
        <row r="177">
          <cell r="F177">
            <v>1</v>
          </cell>
          <cell r="G177">
            <v>9</v>
          </cell>
          <cell r="H177">
            <v>9</v>
          </cell>
          <cell r="I177">
            <v>8</v>
          </cell>
          <cell r="J177">
            <v>35</v>
          </cell>
          <cell r="K177">
            <v>0</v>
          </cell>
          <cell r="M177">
            <v>4</v>
          </cell>
          <cell r="O177">
            <v>18</v>
          </cell>
          <cell r="P177">
            <v>5</v>
          </cell>
          <cell r="S177">
            <v>3</v>
          </cell>
          <cell r="T177">
            <v>23</v>
          </cell>
          <cell r="U177">
            <v>4</v>
          </cell>
          <cell r="Y177">
            <v>119</v>
          </cell>
        </row>
        <row r="178">
          <cell r="F178">
            <v>8</v>
          </cell>
          <cell r="G178">
            <v>22</v>
          </cell>
          <cell r="H178">
            <v>65</v>
          </cell>
          <cell r="I178">
            <v>52</v>
          </cell>
          <cell r="J178">
            <v>85</v>
          </cell>
          <cell r="K178">
            <v>5</v>
          </cell>
          <cell r="M178">
            <v>7</v>
          </cell>
          <cell r="O178">
            <v>50</v>
          </cell>
          <cell r="P178">
            <v>14</v>
          </cell>
          <cell r="S178">
            <v>18</v>
          </cell>
          <cell r="T178">
            <v>69</v>
          </cell>
          <cell r="U178">
            <v>9</v>
          </cell>
          <cell r="Y178">
            <v>404</v>
          </cell>
        </row>
        <row r="179">
          <cell r="F179">
            <v>0</v>
          </cell>
          <cell r="G179">
            <v>9</v>
          </cell>
          <cell r="H179">
            <v>17</v>
          </cell>
          <cell r="I179">
            <v>9</v>
          </cell>
          <cell r="J179">
            <v>40</v>
          </cell>
          <cell r="K179">
            <v>2</v>
          </cell>
          <cell r="M179">
            <v>10</v>
          </cell>
          <cell r="O179">
            <v>13</v>
          </cell>
          <cell r="P179">
            <v>9</v>
          </cell>
          <cell r="S179">
            <v>8</v>
          </cell>
          <cell r="T179">
            <v>29</v>
          </cell>
          <cell r="U179">
            <v>11</v>
          </cell>
          <cell r="Y179">
            <v>157</v>
          </cell>
        </row>
        <row r="180">
          <cell r="F180">
            <v>1</v>
          </cell>
          <cell r="G180">
            <v>7</v>
          </cell>
          <cell r="H180">
            <v>13</v>
          </cell>
          <cell r="I180">
            <v>6</v>
          </cell>
          <cell r="J180">
            <v>25</v>
          </cell>
          <cell r="K180">
            <v>7</v>
          </cell>
          <cell r="M180">
            <v>8</v>
          </cell>
          <cell r="O180">
            <v>16</v>
          </cell>
          <cell r="P180">
            <v>12</v>
          </cell>
          <cell r="S180">
            <v>3</v>
          </cell>
          <cell r="T180">
            <v>20</v>
          </cell>
          <cell r="U180">
            <v>2</v>
          </cell>
          <cell r="Y180">
            <v>120</v>
          </cell>
        </row>
        <row r="181">
          <cell r="F181">
            <v>1</v>
          </cell>
          <cell r="G181">
            <v>0</v>
          </cell>
          <cell r="H181">
            <v>1</v>
          </cell>
          <cell r="I181">
            <v>3</v>
          </cell>
          <cell r="J181">
            <v>0</v>
          </cell>
          <cell r="K181">
            <v>0</v>
          </cell>
          <cell r="M181">
            <v>0</v>
          </cell>
          <cell r="O181">
            <v>0</v>
          </cell>
          <cell r="P181">
            <v>0</v>
          </cell>
          <cell r="S181">
            <v>1</v>
          </cell>
          <cell r="T181">
            <v>8</v>
          </cell>
          <cell r="U181">
            <v>0</v>
          </cell>
          <cell r="Y181">
            <v>14</v>
          </cell>
        </row>
        <row r="182">
          <cell r="F182">
            <v>1</v>
          </cell>
          <cell r="G182">
            <v>13</v>
          </cell>
          <cell r="H182">
            <v>14</v>
          </cell>
          <cell r="I182">
            <v>19</v>
          </cell>
          <cell r="J182">
            <v>83</v>
          </cell>
          <cell r="K182">
            <v>6</v>
          </cell>
          <cell r="M182">
            <v>14</v>
          </cell>
          <cell r="O182">
            <v>44</v>
          </cell>
          <cell r="P182">
            <v>9</v>
          </cell>
          <cell r="S182">
            <v>26</v>
          </cell>
          <cell r="T182">
            <v>45</v>
          </cell>
          <cell r="U182">
            <v>1</v>
          </cell>
          <cell r="Y182">
            <v>275</v>
          </cell>
        </row>
        <row r="183">
          <cell r="F183">
            <v>18</v>
          </cell>
          <cell r="G183">
            <v>20</v>
          </cell>
          <cell r="H183">
            <v>82</v>
          </cell>
          <cell r="I183">
            <v>65</v>
          </cell>
          <cell r="J183">
            <v>107</v>
          </cell>
          <cell r="K183">
            <v>13</v>
          </cell>
          <cell r="M183">
            <v>50</v>
          </cell>
          <cell r="O183">
            <v>121</v>
          </cell>
          <cell r="P183">
            <v>24</v>
          </cell>
          <cell r="S183">
            <v>19</v>
          </cell>
          <cell r="T183">
            <v>180</v>
          </cell>
          <cell r="U183">
            <v>19</v>
          </cell>
          <cell r="Y183">
            <v>718</v>
          </cell>
        </row>
        <row r="184">
          <cell r="F184">
            <v>1</v>
          </cell>
          <cell r="G184">
            <v>20</v>
          </cell>
          <cell r="H184">
            <v>23</v>
          </cell>
          <cell r="I184">
            <v>42</v>
          </cell>
          <cell r="J184">
            <v>80</v>
          </cell>
          <cell r="K184">
            <v>23</v>
          </cell>
          <cell r="M184">
            <v>11</v>
          </cell>
          <cell r="O184">
            <v>27</v>
          </cell>
          <cell r="P184">
            <v>15</v>
          </cell>
          <cell r="S184">
            <v>2</v>
          </cell>
          <cell r="T184">
            <v>83</v>
          </cell>
          <cell r="U184">
            <v>4</v>
          </cell>
          <cell r="Y184">
            <v>331</v>
          </cell>
        </row>
        <row r="185">
          <cell r="F185">
            <v>0</v>
          </cell>
          <cell r="G185">
            <v>7</v>
          </cell>
          <cell r="H185">
            <v>2</v>
          </cell>
          <cell r="I185">
            <v>9</v>
          </cell>
          <cell r="J185">
            <v>18</v>
          </cell>
          <cell r="K185">
            <v>4</v>
          </cell>
          <cell r="M185">
            <v>16</v>
          </cell>
          <cell r="O185">
            <v>6</v>
          </cell>
          <cell r="P185">
            <v>8</v>
          </cell>
          <cell r="S185">
            <v>2</v>
          </cell>
          <cell r="T185">
            <v>15</v>
          </cell>
          <cell r="U185">
            <v>1</v>
          </cell>
          <cell r="Y185">
            <v>88</v>
          </cell>
        </row>
        <row r="186">
          <cell r="F186">
            <v>10</v>
          </cell>
          <cell r="G186">
            <v>26</v>
          </cell>
          <cell r="H186">
            <v>54</v>
          </cell>
          <cell r="I186">
            <v>61</v>
          </cell>
          <cell r="J186">
            <v>267</v>
          </cell>
          <cell r="K186">
            <v>11</v>
          </cell>
          <cell r="M186">
            <v>47</v>
          </cell>
          <cell r="O186">
            <v>64</v>
          </cell>
          <cell r="P186">
            <v>22</v>
          </cell>
          <cell r="S186">
            <v>28</v>
          </cell>
          <cell r="T186">
            <v>120</v>
          </cell>
          <cell r="U186">
            <v>13</v>
          </cell>
          <cell r="Y186">
            <v>723</v>
          </cell>
        </row>
        <row r="187">
          <cell r="F187">
            <v>10</v>
          </cell>
          <cell r="G187">
            <v>28</v>
          </cell>
          <cell r="H187">
            <v>19</v>
          </cell>
          <cell r="I187">
            <v>16</v>
          </cell>
          <cell r="J187">
            <v>95</v>
          </cell>
          <cell r="K187">
            <v>4</v>
          </cell>
          <cell r="M187">
            <v>9</v>
          </cell>
          <cell r="O187">
            <v>57</v>
          </cell>
          <cell r="P187">
            <v>10</v>
          </cell>
          <cell r="S187">
            <v>6</v>
          </cell>
          <cell r="T187">
            <v>40</v>
          </cell>
          <cell r="U187">
            <v>1</v>
          </cell>
          <cell r="Y187">
            <v>295</v>
          </cell>
        </row>
        <row r="188">
          <cell r="F188">
            <v>1</v>
          </cell>
          <cell r="G188">
            <v>2</v>
          </cell>
          <cell r="H188">
            <v>1</v>
          </cell>
          <cell r="I188">
            <v>2</v>
          </cell>
          <cell r="J188">
            <v>8</v>
          </cell>
          <cell r="K188">
            <v>0</v>
          </cell>
          <cell r="M188">
            <v>1</v>
          </cell>
          <cell r="O188">
            <v>7</v>
          </cell>
          <cell r="P188">
            <v>2</v>
          </cell>
          <cell r="S188">
            <v>4</v>
          </cell>
          <cell r="T188">
            <v>7</v>
          </cell>
          <cell r="U188">
            <v>4</v>
          </cell>
          <cell r="Y188">
            <v>39</v>
          </cell>
        </row>
        <row r="189">
          <cell r="F189">
            <v>6</v>
          </cell>
          <cell r="G189">
            <v>8</v>
          </cell>
          <cell r="H189">
            <v>19</v>
          </cell>
          <cell r="I189">
            <v>18</v>
          </cell>
          <cell r="J189">
            <v>52</v>
          </cell>
          <cell r="K189">
            <v>1</v>
          </cell>
          <cell r="M189">
            <v>3</v>
          </cell>
          <cell r="O189">
            <v>17</v>
          </cell>
          <cell r="P189">
            <v>6</v>
          </cell>
          <cell r="S189">
            <v>12</v>
          </cell>
          <cell r="T189">
            <v>20</v>
          </cell>
          <cell r="U189">
            <v>6</v>
          </cell>
          <cell r="Y189">
            <v>168</v>
          </cell>
        </row>
        <row r="190">
          <cell r="F190">
            <v>1</v>
          </cell>
          <cell r="G190">
            <v>4</v>
          </cell>
          <cell r="H190">
            <v>7</v>
          </cell>
          <cell r="I190">
            <v>4</v>
          </cell>
          <cell r="J190">
            <v>13</v>
          </cell>
          <cell r="K190">
            <v>1</v>
          </cell>
          <cell r="M190">
            <v>7</v>
          </cell>
          <cell r="O190">
            <v>10</v>
          </cell>
          <cell r="P190">
            <v>1</v>
          </cell>
          <cell r="S190">
            <v>2</v>
          </cell>
          <cell r="T190">
            <v>9</v>
          </cell>
          <cell r="U190">
            <v>2</v>
          </cell>
          <cell r="Y190">
            <v>61</v>
          </cell>
        </row>
        <row r="191">
          <cell r="F191">
            <v>1</v>
          </cell>
          <cell r="G191">
            <v>4</v>
          </cell>
          <cell r="H191">
            <v>1</v>
          </cell>
          <cell r="I191">
            <v>1</v>
          </cell>
          <cell r="J191">
            <v>6</v>
          </cell>
          <cell r="K191">
            <v>0</v>
          </cell>
          <cell r="M191">
            <v>4</v>
          </cell>
          <cell r="O191">
            <v>1</v>
          </cell>
          <cell r="P191">
            <v>5</v>
          </cell>
          <cell r="S191">
            <v>2</v>
          </cell>
          <cell r="T191">
            <v>4</v>
          </cell>
          <cell r="U191">
            <v>1</v>
          </cell>
          <cell r="Y191">
            <v>30</v>
          </cell>
        </row>
        <row r="192">
          <cell r="F192">
            <v>0</v>
          </cell>
          <cell r="G192">
            <v>0</v>
          </cell>
          <cell r="H192">
            <v>0</v>
          </cell>
          <cell r="I192">
            <v>0</v>
          </cell>
          <cell r="J192">
            <v>0</v>
          </cell>
          <cell r="K192">
            <v>0</v>
          </cell>
          <cell r="M192">
            <v>0</v>
          </cell>
          <cell r="O192">
            <v>0</v>
          </cell>
          <cell r="P192">
            <v>0</v>
          </cell>
          <cell r="S192">
            <v>0</v>
          </cell>
          <cell r="T192">
            <v>2</v>
          </cell>
          <cell r="U192">
            <v>0</v>
          </cell>
          <cell r="Y192">
            <v>2</v>
          </cell>
        </row>
        <row r="193">
          <cell r="F193">
            <v>0</v>
          </cell>
          <cell r="G193">
            <v>13</v>
          </cell>
          <cell r="H193">
            <v>83</v>
          </cell>
          <cell r="I193">
            <v>97</v>
          </cell>
          <cell r="J193">
            <v>170</v>
          </cell>
          <cell r="K193">
            <v>31</v>
          </cell>
          <cell r="M193">
            <v>51</v>
          </cell>
          <cell r="O193">
            <v>83</v>
          </cell>
          <cell r="P193">
            <v>74</v>
          </cell>
          <cell r="T193">
            <v>151</v>
          </cell>
          <cell r="U193">
            <v>0</v>
          </cell>
          <cell r="Y193">
            <v>753</v>
          </cell>
        </row>
        <row r="194">
          <cell r="F194">
            <v>93</v>
          </cell>
          <cell r="H194">
            <v>574</v>
          </cell>
          <cell r="I194">
            <v>214</v>
          </cell>
          <cell r="J194">
            <v>1289</v>
          </cell>
          <cell r="K194">
            <v>150</v>
          </cell>
          <cell r="M194">
            <v>187</v>
          </cell>
          <cell r="O194">
            <v>353</v>
          </cell>
          <cell r="P194">
            <v>206</v>
          </cell>
          <cell r="T194">
            <v>1287</v>
          </cell>
          <cell r="U194">
            <v>151</v>
          </cell>
          <cell r="Y194">
            <v>4504</v>
          </cell>
        </row>
        <row r="195">
          <cell r="F195">
            <v>13</v>
          </cell>
          <cell r="H195">
            <v>65</v>
          </cell>
          <cell r="I195">
            <v>39</v>
          </cell>
          <cell r="J195">
            <v>67</v>
          </cell>
          <cell r="K195">
            <v>5</v>
          </cell>
          <cell r="M195">
            <v>21</v>
          </cell>
          <cell r="O195">
            <v>53</v>
          </cell>
          <cell r="P195">
            <v>10</v>
          </cell>
          <cell r="T195">
            <v>74</v>
          </cell>
          <cell r="U195">
            <v>4</v>
          </cell>
          <cell r="Y195">
            <v>351</v>
          </cell>
        </row>
        <row r="196">
          <cell r="F196">
            <v>38</v>
          </cell>
          <cell r="H196">
            <v>98</v>
          </cell>
          <cell r="I196">
            <v>223</v>
          </cell>
          <cell r="J196">
            <v>240</v>
          </cell>
          <cell r="K196">
            <v>44</v>
          </cell>
          <cell r="M196">
            <v>147</v>
          </cell>
          <cell r="O196">
            <v>11</v>
          </cell>
          <cell r="P196">
            <v>69</v>
          </cell>
          <cell r="T196">
            <v>305</v>
          </cell>
          <cell r="U196">
            <v>31</v>
          </cell>
          <cell r="Y196">
            <v>1206</v>
          </cell>
        </row>
        <row r="197">
          <cell r="G197">
            <v>68</v>
          </cell>
          <cell r="H197">
            <v>35</v>
          </cell>
          <cell r="I197">
            <v>53</v>
          </cell>
          <cell r="J197">
            <v>61</v>
          </cell>
          <cell r="K197">
            <v>11</v>
          </cell>
          <cell r="M197">
            <v>33</v>
          </cell>
          <cell r="O197">
            <v>2</v>
          </cell>
          <cell r="P197">
            <v>12</v>
          </cell>
          <cell r="T197">
            <v>72</v>
          </cell>
          <cell r="U197">
            <v>0</v>
          </cell>
          <cell r="Y197">
            <v>347</v>
          </cell>
        </row>
        <row r="198">
          <cell r="F198">
            <v>16</v>
          </cell>
          <cell r="H198">
            <v>32</v>
          </cell>
          <cell r="I198">
            <v>52</v>
          </cell>
          <cell r="J198">
            <v>120</v>
          </cell>
          <cell r="K198">
            <v>13</v>
          </cell>
          <cell r="M198">
            <v>0</v>
          </cell>
          <cell r="O198">
            <v>5</v>
          </cell>
          <cell r="P198">
            <v>6</v>
          </cell>
          <cell r="T198">
            <v>62</v>
          </cell>
          <cell r="U198">
            <v>2</v>
          </cell>
          <cell r="Y198">
            <v>308</v>
          </cell>
        </row>
        <row r="199">
          <cell r="F199">
            <v>0</v>
          </cell>
          <cell r="G199">
            <v>8</v>
          </cell>
          <cell r="H199">
            <v>23</v>
          </cell>
          <cell r="I199">
            <v>24</v>
          </cell>
          <cell r="J199">
            <v>84</v>
          </cell>
          <cell r="K199">
            <v>6</v>
          </cell>
          <cell r="M199">
            <v>7</v>
          </cell>
          <cell r="O199">
            <v>37</v>
          </cell>
          <cell r="P199">
            <v>30</v>
          </cell>
          <cell r="T199">
            <v>50</v>
          </cell>
          <cell r="U199">
            <v>0</v>
          </cell>
          <cell r="Y199">
            <v>269</v>
          </cell>
        </row>
        <row r="200">
          <cell r="F200">
            <v>0</v>
          </cell>
          <cell r="G200">
            <v>1</v>
          </cell>
          <cell r="H200">
            <v>13</v>
          </cell>
          <cell r="I200">
            <v>25</v>
          </cell>
          <cell r="J200">
            <v>16</v>
          </cell>
          <cell r="K200">
            <v>3</v>
          </cell>
          <cell r="M200">
            <v>24</v>
          </cell>
          <cell r="O200">
            <v>2</v>
          </cell>
          <cell r="P200">
            <v>12</v>
          </cell>
          <cell r="T200">
            <v>45</v>
          </cell>
          <cell r="U200">
            <v>0</v>
          </cell>
          <cell r="Y200">
            <v>141</v>
          </cell>
        </row>
        <row r="201">
          <cell r="F201">
            <v>0</v>
          </cell>
          <cell r="G201">
            <v>1</v>
          </cell>
          <cell r="H201">
            <v>17</v>
          </cell>
          <cell r="I201">
            <v>23</v>
          </cell>
          <cell r="J201">
            <v>17</v>
          </cell>
          <cell r="K201">
            <v>8</v>
          </cell>
          <cell r="M201">
            <v>6</v>
          </cell>
          <cell r="O201">
            <v>14</v>
          </cell>
          <cell r="P201">
            <v>14</v>
          </cell>
          <cell r="T201">
            <v>13</v>
          </cell>
          <cell r="U201">
            <v>0</v>
          </cell>
          <cell r="Y201">
            <v>113</v>
          </cell>
        </row>
        <row r="202">
          <cell r="F202">
            <v>0</v>
          </cell>
          <cell r="G202">
            <v>1</v>
          </cell>
          <cell r="H202">
            <v>5</v>
          </cell>
          <cell r="I202">
            <v>3</v>
          </cell>
          <cell r="J202">
            <v>1</v>
          </cell>
          <cell r="K202">
            <v>0</v>
          </cell>
          <cell r="M202">
            <v>0</v>
          </cell>
          <cell r="O202">
            <v>0</v>
          </cell>
          <cell r="P202">
            <v>2</v>
          </cell>
          <cell r="T202">
            <v>1</v>
          </cell>
          <cell r="U202">
            <v>0</v>
          </cell>
          <cell r="Y202">
            <v>13</v>
          </cell>
        </row>
        <row r="203">
          <cell r="F203">
            <v>0</v>
          </cell>
          <cell r="G203">
            <v>1</v>
          </cell>
          <cell r="H203">
            <v>16</v>
          </cell>
          <cell r="I203">
            <v>11</v>
          </cell>
          <cell r="J203">
            <v>39</v>
          </cell>
          <cell r="K203">
            <v>4</v>
          </cell>
          <cell r="M203">
            <v>8</v>
          </cell>
          <cell r="O203">
            <v>1</v>
          </cell>
          <cell r="P203">
            <v>9</v>
          </cell>
          <cell r="T203">
            <v>17</v>
          </cell>
          <cell r="U203">
            <v>0</v>
          </cell>
          <cell r="Y203">
            <v>106</v>
          </cell>
        </row>
        <row r="204">
          <cell r="F204">
            <v>0</v>
          </cell>
          <cell r="G204">
            <v>0</v>
          </cell>
          <cell r="H204">
            <v>2</v>
          </cell>
          <cell r="I204">
            <v>0</v>
          </cell>
          <cell r="J204">
            <v>3</v>
          </cell>
          <cell r="K204">
            <v>2</v>
          </cell>
          <cell r="M204">
            <v>1</v>
          </cell>
          <cell r="O204">
            <v>5</v>
          </cell>
          <cell r="P204">
            <v>5</v>
          </cell>
          <cell r="T204">
            <v>14</v>
          </cell>
          <cell r="U204">
            <v>0</v>
          </cell>
          <cell r="Y204">
            <v>32</v>
          </cell>
        </row>
        <row r="205">
          <cell r="F205">
            <v>0</v>
          </cell>
          <cell r="G205">
            <v>0</v>
          </cell>
          <cell r="H205">
            <v>0</v>
          </cell>
          <cell r="I205">
            <v>6</v>
          </cell>
          <cell r="J205">
            <v>0</v>
          </cell>
          <cell r="K205">
            <v>0</v>
          </cell>
          <cell r="M205">
            <v>0</v>
          </cell>
          <cell r="O205">
            <v>3</v>
          </cell>
          <cell r="P205">
            <v>0</v>
          </cell>
          <cell r="T205">
            <v>2</v>
          </cell>
          <cell r="U205">
            <v>0</v>
          </cell>
          <cell r="Y205">
            <v>11</v>
          </cell>
        </row>
        <row r="206">
          <cell r="F206">
            <v>0</v>
          </cell>
          <cell r="G206">
            <v>0</v>
          </cell>
          <cell r="H206">
            <v>4</v>
          </cell>
          <cell r="I206">
            <v>4</v>
          </cell>
          <cell r="J206">
            <v>3</v>
          </cell>
          <cell r="K206">
            <v>1</v>
          </cell>
          <cell r="M206">
            <v>0</v>
          </cell>
          <cell r="O206">
            <v>5</v>
          </cell>
          <cell r="P206">
            <v>2</v>
          </cell>
          <cell r="T206">
            <v>2</v>
          </cell>
          <cell r="U206">
            <v>0</v>
          </cell>
          <cell r="Y206">
            <v>21</v>
          </cell>
        </row>
        <row r="207">
          <cell r="F207">
            <v>0</v>
          </cell>
          <cell r="G207">
            <v>1</v>
          </cell>
          <cell r="H207">
            <v>1</v>
          </cell>
          <cell r="I207">
            <v>1</v>
          </cell>
          <cell r="J207">
            <v>2</v>
          </cell>
          <cell r="K207">
            <v>0</v>
          </cell>
          <cell r="M207">
            <v>1</v>
          </cell>
          <cell r="O207">
            <v>9</v>
          </cell>
          <cell r="P207">
            <v>0</v>
          </cell>
          <cell r="T207">
            <v>3</v>
          </cell>
          <cell r="U207">
            <v>0</v>
          </cell>
          <cell r="Y207">
            <v>18</v>
          </cell>
        </row>
        <row r="208">
          <cell r="F208">
            <v>0</v>
          </cell>
          <cell r="G208">
            <v>0</v>
          </cell>
          <cell r="H208">
            <v>0</v>
          </cell>
          <cell r="I208">
            <v>0</v>
          </cell>
          <cell r="J208">
            <v>0</v>
          </cell>
          <cell r="K208">
            <v>1</v>
          </cell>
          <cell r="M208">
            <v>0</v>
          </cell>
          <cell r="O208">
            <v>1</v>
          </cell>
          <cell r="P208">
            <v>0</v>
          </cell>
          <cell r="T208">
            <v>0</v>
          </cell>
          <cell r="U208">
            <v>0</v>
          </cell>
          <cell r="Y208">
            <v>2</v>
          </cell>
        </row>
        <row r="209">
          <cell r="F209">
            <v>0</v>
          </cell>
          <cell r="G209">
            <v>0</v>
          </cell>
          <cell r="H209">
            <v>1</v>
          </cell>
          <cell r="I209">
            <v>0</v>
          </cell>
          <cell r="J209">
            <v>0</v>
          </cell>
          <cell r="K209">
            <v>0</v>
          </cell>
          <cell r="M209">
            <v>0</v>
          </cell>
          <cell r="O209">
            <v>4</v>
          </cell>
          <cell r="P209">
            <v>0</v>
          </cell>
          <cell r="T209">
            <v>1</v>
          </cell>
          <cell r="U209">
            <v>0</v>
          </cell>
          <cell r="Y209">
            <v>6</v>
          </cell>
        </row>
        <row r="210">
          <cell r="F210">
            <v>24</v>
          </cell>
          <cell r="H210">
            <v>109</v>
          </cell>
          <cell r="I210">
            <v>36</v>
          </cell>
          <cell r="J210">
            <v>284</v>
          </cell>
          <cell r="K210">
            <v>16</v>
          </cell>
          <cell r="M210">
            <v>21</v>
          </cell>
          <cell r="O210">
            <v>96</v>
          </cell>
          <cell r="P210">
            <v>71</v>
          </cell>
          <cell r="T210">
            <v>222</v>
          </cell>
          <cell r="U210">
            <v>9</v>
          </cell>
          <cell r="Y210">
            <v>888</v>
          </cell>
        </row>
        <row r="211">
          <cell r="F211">
            <v>28</v>
          </cell>
          <cell r="H211">
            <v>131</v>
          </cell>
          <cell r="I211">
            <v>48</v>
          </cell>
          <cell r="J211">
            <v>147</v>
          </cell>
          <cell r="K211">
            <v>32</v>
          </cell>
          <cell r="M211">
            <v>54</v>
          </cell>
          <cell r="O211">
            <v>3</v>
          </cell>
          <cell r="P211">
            <v>36</v>
          </cell>
          <cell r="T211">
            <v>366</v>
          </cell>
          <cell r="U211">
            <v>55</v>
          </cell>
          <cell r="Y211">
            <v>900</v>
          </cell>
        </row>
        <row r="212">
          <cell r="F212">
            <v>4</v>
          </cell>
          <cell r="H212">
            <v>64</v>
          </cell>
          <cell r="I212">
            <v>24</v>
          </cell>
          <cell r="J212">
            <v>85</v>
          </cell>
          <cell r="K212">
            <v>27</v>
          </cell>
          <cell r="M212">
            <v>8</v>
          </cell>
          <cell r="O212">
            <v>31</v>
          </cell>
          <cell r="P212">
            <v>23</v>
          </cell>
          <cell r="T212">
            <v>97</v>
          </cell>
          <cell r="U212">
            <v>8</v>
          </cell>
          <cell r="Y212">
            <v>371</v>
          </cell>
        </row>
        <row r="213">
          <cell r="F213">
            <v>0</v>
          </cell>
          <cell r="H213">
            <v>10</v>
          </cell>
          <cell r="I213">
            <v>3</v>
          </cell>
          <cell r="J213">
            <v>7</v>
          </cell>
          <cell r="K213">
            <v>1</v>
          </cell>
          <cell r="M213">
            <v>2</v>
          </cell>
          <cell r="O213">
            <v>0</v>
          </cell>
          <cell r="P213">
            <v>2</v>
          </cell>
          <cell r="T213">
            <v>15</v>
          </cell>
          <cell r="U213">
            <v>4</v>
          </cell>
          <cell r="Y213">
            <v>44</v>
          </cell>
        </row>
        <row r="214">
          <cell r="F214">
            <v>10</v>
          </cell>
          <cell r="H214">
            <v>90</v>
          </cell>
          <cell r="I214">
            <v>22</v>
          </cell>
          <cell r="J214">
            <v>298</v>
          </cell>
          <cell r="K214">
            <v>17</v>
          </cell>
          <cell r="M214">
            <v>41</v>
          </cell>
          <cell r="O214">
            <v>0</v>
          </cell>
          <cell r="P214">
            <v>24</v>
          </cell>
          <cell r="T214">
            <v>146</v>
          </cell>
          <cell r="U214">
            <v>23</v>
          </cell>
          <cell r="Y214">
            <v>671</v>
          </cell>
        </row>
        <row r="215">
          <cell r="F215">
            <v>5</v>
          </cell>
          <cell r="H215">
            <v>45</v>
          </cell>
          <cell r="I215">
            <v>27</v>
          </cell>
          <cell r="J215">
            <v>202</v>
          </cell>
          <cell r="K215">
            <v>6</v>
          </cell>
          <cell r="M215">
            <v>37</v>
          </cell>
          <cell r="O215">
            <v>49</v>
          </cell>
          <cell r="P215">
            <v>17</v>
          </cell>
          <cell r="T215">
            <v>222</v>
          </cell>
          <cell r="U215">
            <v>13</v>
          </cell>
          <cell r="Y215">
            <v>623</v>
          </cell>
        </row>
        <row r="216">
          <cell r="F216">
            <v>3</v>
          </cell>
          <cell r="H216">
            <v>30</v>
          </cell>
          <cell r="I216">
            <v>28</v>
          </cell>
          <cell r="J216">
            <v>80</v>
          </cell>
          <cell r="K216">
            <v>2</v>
          </cell>
          <cell r="M216">
            <v>2</v>
          </cell>
          <cell r="O216">
            <v>30</v>
          </cell>
          <cell r="P216">
            <v>12</v>
          </cell>
          <cell r="T216">
            <v>53</v>
          </cell>
          <cell r="U216">
            <v>10</v>
          </cell>
          <cell r="Y216">
            <v>250</v>
          </cell>
        </row>
        <row r="217">
          <cell r="F217">
            <v>15</v>
          </cell>
          <cell r="H217">
            <v>73</v>
          </cell>
          <cell r="I217">
            <v>25</v>
          </cell>
          <cell r="J217">
            <v>139</v>
          </cell>
          <cell r="K217">
            <v>6</v>
          </cell>
          <cell r="M217">
            <v>9</v>
          </cell>
          <cell r="O217">
            <v>64</v>
          </cell>
          <cell r="P217">
            <v>10</v>
          </cell>
          <cell r="T217">
            <v>117</v>
          </cell>
          <cell r="U217">
            <v>22</v>
          </cell>
          <cell r="Y217">
            <v>480</v>
          </cell>
        </row>
        <row r="218">
          <cell r="F218">
            <v>0</v>
          </cell>
          <cell r="H218">
            <v>5</v>
          </cell>
          <cell r="I218">
            <v>0</v>
          </cell>
          <cell r="J218">
            <v>8</v>
          </cell>
          <cell r="K218">
            <v>1</v>
          </cell>
          <cell r="M218">
            <v>3</v>
          </cell>
          <cell r="O218">
            <v>47</v>
          </cell>
          <cell r="P218">
            <v>2</v>
          </cell>
          <cell r="T218">
            <v>10</v>
          </cell>
          <cell r="U218">
            <v>2</v>
          </cell>
          <cell r="Y218">
            <v>78</v>
          </cell>
        </row>
        <row r="219">
          <cell r="F219">
            <v>0</v>
          </cell>
          <cell r="H219">
            <v>11</v>
          </cell>
          <cell r="I219">
            <v>1</v>
          </cell>
          <cell r="J219">
            <v>16</v>
          </cell>
          <cell r="K219">
            <v>3</v>
          </cell>
          <cell r="M219">
            <v>1</v>
          </cell>
          <cell r="O219">
            <v>4</v>
          </cell>
          <cell r="P219">
            <v>5</v>
          </cell>
          <cell r="T219">
            <v>13</v>
          </cell>
          <cell r="U219">
            <v>1</v>
          </cell>
          <cell r="Y219">
            <v>55</v>
          </cell>
        </row>
        <row r="220">
          <cell r="F220">
            <v>1</v>
          </cell>
          <cell r="H220">
            <v>5</v>
          </cell>
          <cell r="I220">
            <v>0</v>
          </cell>
          <cell r="J220">
            <v>0</v>
          </cell>
          <cell r="K220">
            <v>0</v>
          </cell>
          <cell r="M220">
            <v>1</v>
          </cell>
          <cell r="O220">
            <v>26</v>
          </cell>
          <cell r="P220">
            <v>1</v>
          </cell>
          <cell r="T220">
            <v>5</v>
          </cell>
          <cell r="U220">
            <v>0</v>
          </cell>
          <cell r="Y220">
            <v>39</v>
          </cell>
        </row>
        <row r="221">
          <cell r="F221">
            <v>6</v>
          </cell>
          <cell r="H221">
            <v>20</v>
          </cell>
          <cell r="I221">
            <v>9</v>
          </cell>
          <cell r="J221">
            <v>26</v>
          </cell>
          <cell r="K221">
            <v>0</v>
          </cell>
          <cell r="M221">
            <v>8</v>
          </cell>
          <cell r="O221">
            <v>12</v>
          </cell>
          <cell r="P221">
            <v>4</v>
          </cell>
          <cell r="T221">
            <v>32</v>
          </cell>
          <cell r="U221">
            <v>2</v>
          </cell>
          <cell r="Y221">
            <v>119</v>
          </cell>
        </row>
        <row r="222">
          <cell r="F222">
            <v>2</v>
          </cell>
          <cell r="H222">
            <v>10</v>
          </cell>
          <cell r="I222">
            <v>6</v>
          </cell>
          <cell r="J222">
            <v>6</v>
          </cell>
          <cell r="K222">
            <v>1</v>
          </cell>
          <cell r="M222">
            <v>5</v>
          </cell>
          <cell r="O222">
            <v>2</v>
          </cell>
          <cell r="P222">
            <v>1</v>
          </cell>
          <cell r="T222">
            <v>17</v>
          </cell>
          <cell r="U222">
            <v>2</v>
          </cell>
          <cell r="Y222">
            <v>52</v>
          </cell>
        </row>
        <row r="223">
          <cell r="F223">
            <v>0</v>
          </cell>
          <cell r="H223">
            <v>11</v>
          </cell>
          <cell r="I223">
            <v>13</v>
          </cell>
          <cell r="J223">
            <v>11</v>
          </cell>
          <cell r="K223">
            <v>2</v>
          </cell>
          <cell r="M223">
            <v>2</v>
          </cell>
          <cell r="O223">
            <v>7</v>
          </cell>
          <cell r="P223">
            <v>2</v>
          </cell>
          <cell r="T223">
            <v>9</v>
          </cell>
          <cell r="U223">
            <v>0</v>
          </cell>
          <cell r="Y223">
            <v>57</v>
          </cell>
        </row>
        <row r="224">
          <cell r="F224">
            <v>1</v>
          </cell>
          <cell r="H224">
            <v>2</v>
          </cell>
          <cell r="I224">
            <v>1</v>
          </cell>
          <cell r="J224">
            <v>0</v>
          </cell>
          <cell r="K224">
            <v>0</v>
          </cell>
          <cell r="M224">
            <v>1</v>
          </cell>
          <cell r="O224">
            <v>0</v>
          </cell>
          <cell r="P224">
            <v>0</v>
          </cell>
          <cell r="T224">
            <v>0</v>
          </cell>
          <cell r="U224">
            <v>0</v>
          </cell>
          <cell r="Y224">
            <v>5</v>
          </cell>
        </row>
        <row r="225">
          <cell r="F225">
            <v>2</v>
          </cell>
          <cell r="H225">
            <v>14</v>
          </cell>
          <cell r="I225">
            <v>6</v>
          </cell>
          <cell r="J225">
            <v>12</v>
          </cell>
          <cell r="K225">
            <v>0</v>
          </cell>
          <cell r="M225">
            <v>3</v>
          </cell>
          <cell r="O225">
            <v>0</v>
          </cell>
          <cell r="P225">
            <v>3</v>
          </cell>
          <cell r="T225">
            <v>9</v>
          </cell>
          <cell r="U225">
            <v>0</v>
          </cell>
          <cell r="Y225">
            <v>49</v>
          </cell>
        </row>
        <row r="226">
          <cell r="F226">
            <v>1</v>
          </cell>
          <cell r="H226">
            <v>0</v>
          </cell>
          <cell r="I226">
            <v>2</v>
          </cell>
          <cell r="J226">
            <v>6</v>
          </cell>
          <cell r="K226">
            <v>2</v>
          </cell>
          <cell r="M226">
            <v>0</v>
          </cell>
          <cell r="O226">
            <v>3</v>
          </cell>
          <cell r="P226">
            <v>0</v>
          </cell>
          <cell r="T226">
            <v>3</v>
          </cell>
          <cell r="U226">
            <v>0</v>
          </cell>
          <cell r="Y226">
            <v>17</v>
          </cell>
        </row>
        <row r="227">
          <cell r="F227">
            <v>1</v>
          </cell>
          <cell r="H227">
            <v>0</v>
          </cell>
          <cell r="I227">
            <v>1</v>
          </cell>
          <cell r="J227">
            <v>0</v>
          </cell>
          <cell r="K227">
            <v>0</v>
          </cell>
          <cell r="M227">
            <v>0</v>
          </cell>
          <cell r="O227">
            <v>1</v>
          </cell>
          <cell r="P227">
            <v>0</v>
          </cell>
          <cell r="T227">
            <v>0</v>
          </cell>
          <cell r="U227">
            <v>0</v>
          </cell>
          <cell r="Y227">
            <v>3</v>
          </cell>
        </row>
        <row r="228">
          <cell r="F228">
            <v>0</v>
          </cell>
          <cell r="H228">
            <v>3</v>
          </cell>
          <cell r="I228">
            <v>0</v>
          </cell>
          <cell r="J228">
            <v>1</v>
          </cell>
          <cell r="K228">
            <v>0</v>
          </cell>
          <cell r="M228">
            <v>1</v>
          </cell>
          <cell r="O228">
            <v>5</v>
          </cell>
          <cell r="P228">
            <v>0</v>
          </cell>
          <cell r="T228">
            <v>3</v>
          </cell>
          <cell r="U228">
            <v>0</v>
          </cell>
          <cell r="Y228">
            <v>13</v>
          </cell>
        </row>
        <row r="229">
          <cell r="F229">
            <v>0</v>
          </cell>
          <cell r="H229">
            <v>1</v>
          </cell>
          <cell r="I229">
            <v>1</v>
          </cell>
          <cell r="J229">
            <v>1</v>
          </cell>
          <cell r="K229">
            <v>0</v>
          </cell>
          <cell r="M229">
            <v>0</v>
          </cell>
          <cell r="O229">
            <v>20</v>
          </cell>
          <cell r="P229">
            <v>0</v>
          </cell>
          <cell r="T229">
            <v>0</v>
          </cell>
          <cell r="U229">
            <v>0</v>
          </cell>
          <cell r="Y229">
            <v>23</v>
          </cell>
        </row>
        <row r="230">
          <cell r="F230">
            <v>0</v>
          </cell>
          <cell r="H230">
            <v>3</v>
          </cell>
          <cell r="I230">
            <v>0</v>
          </cell>
          <cell r="J230">
            <v>2</v>
          </cell>
          <cell r="K230">
            <v>0</v>
          </cell>
          <cell r="M230">
            <v>0</v>
          </cell>
          <cell r="O230">
            <v>0</v>
          </cell>
          <cell r="P230">
            <v>0</v>
          </cell>
          <cell r="T230">
            <v>0</v>
          </cell>
          <cell r="U230">
            <v>0</v>
          </cell>
          <cell r="Y230">
            <v>5</v>
          </cell>
        </row>
        <row r="231">
          <cell r="F231">
            <v>0</v>
          </cell>
          <cell r="H231">
            <v>0</v>
          </cell>
          <cell r="I231">
            <v>0</v>
          </cell>
          <cell r="J231">
            <v>0</v>
          </cell>
          <cell r="K231">
            <v>0</v>
          </cell>
          <cell r="M231">
            <v>0</v>
          </cell>
          <cell r="O231">
            <v>3</v>
          </cell>
          <cell r="P231">
            <v>0</v>
          </cell>
          <cell r="T231">
            <v>0</v>
          </cell>
          <cell r="U231">
            <v>0</v>
          </cell>
          <cell r="Y231">
            <v>3</v>
          </cell>
        </row>
        <row r="232">
          <cell r="F232">
            <v>20</v>
          </cell>
          <cell r="H232">
            <v>40</v>
          </cell>
          <cell r="I232">
            <v>111</v>
          </cell>
          <cell r="J232">
            <v>107</v>
          </cell>
          <cell r="K232">
            <v>14</v>
          </cell>
          <cell r="M232">
            <v>65</v>
          </cell>
          <cell r="O232">
            <v>1</v>
          </cell>
          <cell r="P232">
            <v>41</v>
          </cell>
          <cell r="T232">
            <v>110</v>
          </cell>
          <cell r="U232">
            <v>13</v>
          </cell>
          <cell r="Y232">
            <v>522</v>
          </cell>
        </row>
        <row r="233">
          <cell r="F233">
            <v>6</v>
          </cell>
          <cell r="H233">
            <v>14</v>
          </cell>
          <cell r="I233">
            <v>27</v>
          </cell>
          <cell r="J233">
            <v>19</v>
          </cell>
          <cell r="K233">
            <v>1</v>
          </cell>
          <cell r="M233">
            <v>19</v>
          </cell>
          <cell r="O233">
            <v>0</v>
          </cell>
          <cell r="P233">
            <v>6</v>
          </cell>
          <cell r="T233">
            <v>68</v>
          </cell>
          <cell r="U233">
            <v>12</v>
          </cell>
          <cell r="Y233">
            <v>172</v>
          </cell>
        </row>
        <row r="234">
          <cell r="F234">
            <v>2</v>
          </cell>
          <cell r="H234">
            <v>13</v>
          </cell>
          <cell r="I234">
            <v>29</v>
          </cell>
          <cell r="J234">
            <v>10</v>
          </cell>
          <cell r="K234">
            <v>6</v>
          </cell>
          <cell r="M234">
            <v>7</v>
          </cell>
          <cell r="O234">
            <v>3</v>
          </cell>
          <cell r="P234">
            <v>5</v>
          </cell>
          <cell r="T234">
            <v>20</v>
          </cell>
          <cell r="U234">
            <v>1</v>
          </cell>
          <cell r="Y234">
            <v>96</v>
          </cell>
        </row>
        <row r="235">
          <cell r="F235">
            <v>0</v>
          </cell>
          <cell r="H235">
            <v>2</v>
          </cell>
          <cell r="I235">
            <v>4</v>
          </cell>
          <cell r="J235">
            <v>0</v>
          </cell>
          <cell r="K235">
            <v>0</v>
          </cell>
          <cell r="M235">
            <v>1</v>
          </cell>
          <cell r="O235">
            <v>0</v>
          </cell>
          <cell r="P235">
            <v>1</v>
          </cell>
          <cell r="T235">
            <v>4</v>
          </cell>
          <cell r="U235">
            <v>1</v>
          </cell>
          <cell r="Y235">
            <v>13</v>
          </cell>
        </row>
        <row r="236">
          <cell r="F236">
            <v>8</v>
          </cell>
          <cell r="H236">
            <v>11</v>
          </cell>
          <cell r="I236">
            <v>23</v>
          </cell>
          <cell r="J236">
            <v>75</v>
          </cell>
          <cell r="K236">
            <v>1</v>
          </cell>
          <cell r="M236">
            <v>18</v>
          </cell>
          <cell r="O236">
            <v>0</v>
          </cell>
          <cell r="P236">
            <v>8</v>
          </cell>
          <cell r="T236">
            <v>42</v>
          </cell>
          <cell r="U236">
            <v>3</v>
          </cell>
          <cell r="Y236">
            <v>189</v>
          </cell>
        </row>
        <row r="237">
          <cell r="F237">
            <v>1</v>
          </cell>
          <cell r="H237">
            <v>8</v>
          </cell>
          <cell r="I237">
            <v>11</v>
          </cell>
          <cell r="J237">
            <v>15</v>
          </cell>
          <cell r="K237">
            <v>1</v>
          </cell>
          <cell r="M237">
            <v>7</v>
          </cell>
          <cell r="O237">
            <v>1</v>
          </cell>
          <cell r="P237">
            <v>2</v>
          </cell>
          <cell r="T237">
            <v>29</v>
          </cell>
          <cell r="U237">
            <v>0</v>
          </cell>
          <cell r="Y237">
            <v>75</v>
          </cell>
        </row>
        <row r="238">
          <cell r="F238">
            <v>0</v>
          </cell>
          <cell r="H238">
            <v>3</v>
          </cell>
          <cell r="I238">
            <v>12</v>
          </cell>
          <cell r="J238">
            <v>4</v>
          </cell>
          <cell r="K238">
            <v>0</v>
          </cell>
          <cell r="M238">
            <v>2</v>
          </cell>
          <cell r="O238">
            <v>0</v>
          </cell>
          <cell r="P238">
            <v>2</v>
          </cell>
          <cell r="T238">
            <v>19</v>
          </cell>
          <cell r="U238">
            <v>1</v>
          </cell>
          <cell r="Y238">
            <v>43</v>
          </cell>
        </row>
        <row r="239">
          <cell r="F239">
            <v>0</v>
          </cell>
          <cell r="H239">
            <v>5</v>
          </cell>
          <cell r="I239">
            <v>6</v>
          </cell>
          <cell r="J239">
            <v>6</v>
          </cell>
          <cell r="K239">
            <v>1</v>
          </cell>
          <cell r="M239">
            <v>1</v>
          </cell>
          <cell r="O239">
            <v>1</v>
          </cell>
          <cell r="P239">
            <v>0</v>
          </cell>
          <cell r="T239">
            <v>3</v>
          </cell>
          <cell r="U239">
            <v>0</v>
          </cell>
          <cell r="Y239">
            <v>23</v>
          </cell>
        </row>
        <row r="240">
          <cell r="F240">
            <v>0</v>
          </cell>
          <cell r="H240">
            <v>1</v>
          </cell>
          <cell r="I240">
            <v>0</v>
          </cell>
          <cell r="J240">
            <v>0</v>
          </cell>
          <cell r="K240">
            <v>0</v>
          </cell>
          <cell r="M240">
            <v>1</v>
          </cell>
          <cell r="O240">
            <v>4</v>
          </cell>
          <cell r="P240">
            <v>2</v>
          </cell>
          <cell r="T240">
            <v>1</v>
          </cell>
          <cell r="U240">
            <v>0</v>
          </cell>
          <cell r="Y240">
            <v>9</v>
          </cell>
        </row>
        <row r="241">
          <cell r="F241">
            <v>1</v>
          </cell>
          <cell r="H241">
            <v>0</v>
          </cell>
          <cell r="I241">
            <v>0</v>
          </cell>
          <cell r="J241">
            <v>2</v>
          </cell>
          <cell r="K241">
            <v>2</v>
          </cell>
          <cell r="M241">
            <v>0</v>
          </cell>
          <cell r="O241">
            <v>0</v>
          </cell>
          <cell r="P241">
            <v>2</v>
          </cell>
          <cell r="T241">
            <v>2</v>
          </cell>
          <cell r="U241">
            <v>0</v>
          </cell>
          <cell r="Y241">
            <v>9</v>
          </cell>
        </row>
        <row r="242">
          <cell r="F242">
            <v>0</v>
          </cell>
          <cell r="H242">
            <v>1</v>
          </cell>
          <cell r="I242">
            <v>0</v>
          </cell>
          <cell r="J242">
            <v>0</v>
          </cell>
          <cell r="K242">
            <v>0</v>
          </cell>
          <cell r="M242">
            <v>0</v>
          </cell>
          <cell r="O242">
            <v>1</v>
          </cell>
          <cell r="P242">
            <v>0</v>
          </cell>
          <cell r="T242">
            <v>2</v>
          </cell>
          <cell r="U242">
            <v>0</v>
          </cell>
          <cell r="Y242">
            <v>4</v>
          </cell>
        </row>
        <row r="243">
          <cell r="G243">
            <v>29</v>
          </cell>
          <cell r="H243">
            <v>9</v>
          </cell>
          <cell r="I243">
            <v>20</v>
          </cell>
          <cell r="J243">
            <v>22</v>
          </cell>
          <cell r="K243">
            <v>1</v>
          </cell>
          <cell r="M243">
            <v>15</v>
          </cell>
          <cell r="O243">
            <v>0</v>
          </cell>
          <cell r="P243">
            <v>7</v>
          </cell>
          <cell r="T243">
            <v>13</v>
          </cell>
          <cell r="Y243">
            <v>116</v>
          </cell>
        </row>
        <row r="244">
          <cell r="G244">
            <v>4</v>
          </cell>
          <cell r="H244">
            <v>12</v>
          </cell>
          <cell r="I244">
            <v>14</v>
          </cell>
          <cell r="J244">
            <v>11</v>
          </cell>
          <cell r="K244">
            <v>1</v>
          </cell>
          <cell r="M244">
            <v>9</v>
          </cell>
          <cell r="O244">
            <v>0</v>
          </cell>
          <cell r="P244">
            <v>3</v>
          </cell>
          <cell r="T244">
            <v>26</v>
          </cell>
          <cell r="Y244">
            <v>80</v>
          </cell>
        </row>
        <row r="245">
          <cell r="G245">
            <v>9</v>
          </cell>
          <cell r="H245">
            <v>1</v>
          </cell>
          <cell r="I245">
            <v>7</v>
          </cell>
          <cell r="J245">
            <v>1</v>
          </cell>
          <cell r="K245">
            <v>2</v>
          </cell>
          <cell r="M245">
            <v>1</v>
          </cell>
          <cell r="O245">
            <v>0</v>
          </cell>
          <cell r="P245">
            <v>1</v>
          </cell>
          <cell r="T245">
            <v>2</v>
          </cell>
          <cell r="Y245">
            <v>24</v>
          </cell>
        </row>
        <row r="246">
          <cell r="G246">
            <v>1</v>
          </cell>
          <cell r="H246">
            <v>0</v>
          </cell>
          <cell r="I246">
            <v>0</v>
          </cell>
          <cell r="J246">
            <v>0</v>
          </cell>
          <cell r="K246">
            <v>0</v>
          </cell>
          <cell r="M246">
            <v>0</v>
          </cell>
          <cell r="O246">
            <v>0</v>
          </cell>
          <cell r="P246">
            <v>0</v>
          </cell>
          <cell r="T246">
            <v>0</v>
          </cell>
          <cell r="Y246">
            <v>1</v>
          </cell>
        </row>
        <row r="247">
          <cell r="G247">
            <v>4</v>
          </cell>
          <cell r="H247">
            <v>2</v>
          </cell>
          <cell r="I247">
            <v>1</v>
          </cell>
          <cell r="J247">
            <v>15</v>
          </cell>
          <cell r="K247">
            <v>0</v>
          </cell>
          <cell r="M247">
            <v>2</v>
          </cell>
          <cell r="O247">
            <v>0</v>
          </cell>
          <cell r="P247">
            <v>0</v>
          </cell>
          <cell r="T247">
            <v>3</v>
          </cell>
          <cell r="Y247">
            <v>27</v>
          </cell>
        </row>
        <row r="248">
          <cell r="G248">
            <v>15</v>
          </cell>
          <cell r="H248">
            <v>6</v>
          </cell>
          <cell r="I248">
            <v>8</v>
          </cell>
          <cell r="J248">
            <v>6</v>
          </cell>
          <cell r="K248">
            <v>0</v>
          </cell>
          <cell r="M248">
            <v>3</v>
          </cell>
          <cell r="O248">
            <v>0</v>
          </cell>
          <cell r="P248">
            <v>1</v>
          </cell>
          <cell r="T248">
            <v>14</v>
          </cell>
          <cell r="Y248">
            <v>53</v>
          </cell>
        </row>
        <row r="249">
          <cell r="G249">
            <v>4</v>
          </cell>
          <cell r="H249">
            <v>2</v>
          </cell>
          <cell r="I249">
            <v>2</v>
          </cell>
          <cell r="J249">
            <v>3</v>
          </cell>
          <cell r="K249">
            <v>0</v>
          </cell>
          <cell r="M249">
            <v>1</v>
          </cell>
          <cell r="O249">
            <v>0</v>
          </cell>
          <cell r="P249">
            <v>0</v>
          </cell>
          <cell r="T249">
            <v>10</v>
          </cell>
          <cell r="Y249">
            <v>22</v>
          </cell>
        </row>
        <row r="250">
          <cell r="G250">
            <v>1</v>
          </cell>
          <cell r="H250">
            <v>2</v>
          </cell>
          <cell r="I250">
            <v>1</v>
          </cell>
          <cell r="J250">
            <v>2</v>
          </cell>
          <cell r="K250">
            <v>0</v>
          </cell>
          <cell r="M250">
            <v>1</v>
          </cell>
          <cell r="O250">
            <v>0</v>
          </cell>
          <cell r="P250">
            <v>0</v>
          </cell>
          <cell r="T250">
            <v>1</v>
          </cell>
          <cell r="Y250">
            <v>8</v>
          </cell>
        </row>
        <row r="251">
          <cell r="G251">
            <v>1</v>
          </cell>
          <cell r="H251">
            <v>0</v>
          </cell>
          <cell r="I251">
            <v>0</v>
          </cell>
          <cell r="J251">
            <v>0</v>
          </cell>
          <cell r="K251">
            <v>0</v>
          </cell>
          <cell r="M251">
            <v>0</v>
          </cell>
          <cell r="O251">
            <v>2</v>
          </cell>
          <cell r="P251">
            <v>0</v>
          </cell>
          <cell r="T251">
            <v>1</v>
          </cell>
          <cell r="Y251">
            <v>4</v>
          </cell>
        </row>
        <row r="252">
          <cell r="G252">
            <v>0</v>
          </cell>
          <cell r="H252">
            <v>0</v>
          </cell>
          <cell r="I252">
            <v>0</v>
          </cell>
          <cell r="J252">
            <v>1</v>
          </cell>
          <cell r="K252">
            <v>0</v>
          </cell>
          <cell r="M252">
            <v>0</v>
          </cell>
          <cell r="O252">
            <v>0</v>
          </cell>
          <cell r="P252">
            <v>0</v>
          </cell>
          <cell r="T252">
            <v>1</v>
          </cell>
          <cell r="Y252">
            <v>2</v>
          </cell>
        </row>
        <row r="253">
          <cell r="G253">
            <v>0</v>
          </cell>
          <cell r="H253">
            <v>1</v>
          </cell>
          <cell r="I253">
            <v>0</v>
          </cell>
          <cell r="J253">
            <v>0</v>
          </cell>
          <cell r="K253">
            <v>0</v>
          </cell>
          <cell r="M253">
            <v>0</v>
          </cell>
          <cell r="O253">
            <v>0</v>
          </cell>
          <cell r="P253">
            <v>0</v>
          </cell>
          <cell r="T253">
            <v>0</v>
          </cell>
          <cell r="Y253">
            <v>1</v>
          </cell>
        </row>
        <row r="254">
          <cell r="F254">
            <v>8</v>
          </cell>
          <cell r="H254">
            <v>15</v>
          </cell>
          <cell r="I254">
            <v>35</v>
          </cell>
          <cell r="J254">
            <v>35</v>
          </cell>
          <cell r="K254">
            <v>0</v>
          </cell>
          <cell r="M254">
            <v>0</v>
          </cell>
          <cell r="O254">
            <v>4</v>
          </cell>
          <cell r="P254">
            <v>5</v>
          </cell>
          <cell r="T254">
            <v>19</v>
          </cell>
          <cell r="U254">
            <v>0</v>
          </cell>
          <cell r="Y254">
            <v>121</v>
          </cell>
        </row>
        <row r="255">
          <cell r="F255">
            <v>5</v>
          </cell>
          <cell r="H255">
            <v>8</v>
          </cell>
          <cell r="I255">
            <v>3</v>
          </cell>
          <cell r="J255">
            <v>10</v>
          </cell>
          <cell r="K255">
            <v>1</v>
          </cell>
          <cell r="M255">
            <v>0</v>
          </cell>
          <cell r="O255">
            <v>0</v>
          </cell>
          <cell r="P255">
            <v>0</v>
          </cell>
          <cell r="T255">
            <v>21</v>
          </cell>
          <cell r="U255">
            <v>0</v>
          </cell>
          <cell r="Y255">
            <v>48</v>
          </cell>
        </row>
        <row r="256">
          <cell r="F256">
            <v>0</v>
          </cell>
          <cell r="H256">
            <v>2</v>
          </cell>
          <cell r="I256">
            <v>6</v>
          </cell>
          <cell r="J256">
            <v>11</v>
          </cell>
          <cell r="K256">
            <v>4</v>
          </cell>
          <cell r="M256">
            <v>0</v>
          </cell>
          <cell r="O256">
            <v>0</v>
          </cell>
          <cell r="P256">
            <v>0</v>
          </cell>
          <cell r="T256">
            <v>1</v>
          </cell>
          <cell r="U256">
            <v>0</v>
          </cell>
          <cell r="Y256">
            <v>24</v>
          </cell>
        </row>
        <row r="257">
          <cell r="F257">
            <v>0</v>
          </cell>
          <cell r="H257">
            <v>0</v>
          </cell>
          <cell r="I257">
            <v>4</v>
          </cell>
          <cell r="J257">
            <v>1</v>
          </cell>
          <cell r="K257">
            <v>0</v>
          </cell>
          <cell r="M257">
            <v>0</v>
          </cell>
          <cell r="O257">
            <v>0</v>
          </cell>
          <cell r="P257">
            <v>0</v>
          </cell>
          <cell r="T257">
            <v>1</v>
          </cell>
          <cell r="U257">
            <v>0</v>
          </cell>
          <cell r="Y257">
            <v>6</v>
          </cell>
        </row>
        <row r="258">
          <cell r="F258">
            <v>1</v>
          </cell>
          <cell r="H258">
            <v>5</v>
          </cell>
          <cell r="I258">
            <v>4</v>
          </cell>
          <cell r="J258">
            <v>28</v>
          </cell>
          <cell r="K258">
            <v>0</v>
          </cell>
          <cell r="M258">
            <v>0</v>
          </cell>
          <cell r="O258">
            <v>0</v>
          </cell>
          <cell r="P258">
            <v>0</v>
          </cell>
          <cell r="T258">
            <v>9</v>
          </cell>
          <cell r="U258">
            <v>0</v>
          </cell>
          <cell r="Y258">
            <v>47</v>
          </cell>
        </row>
        <row r="259">
          <cell r="F259">
            <v>2</v>
          </cell>
          <cell r="H259">
            <v>2</v>
          </cell>
          <cell r="I259">
            <v>0</v>
          </cell>
          <cell r="J259">
            <v>21</v>
          </cell>
          <cell r="K259">
            <v>0</v>
          </cell>
          <cell r="M259">
            <v>0</v>
          </cell>
          <cell r="O259">
            <v>0</v>
          </cell>
          <cell r="P259">
            <v>0</v>
          </cell>
          <cell r="T259">
            <v>6</v>
          </cell>
          <cell r="U259">
            <v>0</v>
          </cell>
          <cell r="Y259">
            <v>31</v>
          </cell>
        </row>
        <row r="260">
          <cell r="F260">
            <v>0</v>
          </cell>
          <cell r="H260">
            <v>0</v>
          </cell>
          <cell r="I260">
            <v>0</v>
          </cell>
          <cell r="J260">
            <v>6</v>
          </cell>
          <cell r="K260">
            <v>0</v>
          </cell>
          <cell r="M260">
            <v>0</v>
          </cell>
          <cell r="O260">
            <v>0</v>
          </cell>
          <cell r="P260">
            <v>0</v>
          </cell>
          <cell r="T260">
            <v>4</v>
          </cell>
          <cell r="U260">
            <v>1</v>
          </cell>
          <cell r="Y260">
            <v>11</v>
          </cell>
        </row>
        <row r="261">
          <cell r="F261">
            <v>0</v>
          </cell>
          <cell r="H261">
            <v>0</v>
          </cell>
          <cell r="I261">
            <v>0</v>
          </cell>
          <cell r="J261">
            <v>3</v>
          </cell>
          <cell r="K261">
            <v>0</v>
          </cell>
          <cell r="M261">
            <v>0</v>
          </cell>
          <cell r="O261">
            <v>0</v>
          </cell>
          <cell r="P261">
            <v>0</v>
          </cell>
          <cell r="T261">
            <v>0</v>
          </cell>
          <cell r="U261">
            <v>0</v>
          </cell>
          <cell r="Y261">
            <v>3</v>
          </cell>
        </row>
        <row r="262">
          <cell r="F262">
            <v>0</v>
          </cell>
          <cell r="H262">
            <v>0</v>
          </cell>
          <cell r="I262">
            <v>0</v>
          </cell>
          <cell r="J262">
            <v>2</v>
          </cell>
          <cell r="K262">
            <v>0</v>
          </cell>
          <cell r="M262">
            <v>0</v>
          </cell>
          <cell r="O262">
            <v>1</v>
          </cell>
          <cell r="P262">
            <v>0</v>
          </cell>
          <cell r="T262">
            <v>0</v>
          </cell>
          <cell r="U262">
            <v>0</v>
          </cell>
          <cell r="Y262">
            <v>3</v>
          </cell>
        </row>
        <row r="263">
          <cell r="F263">
            <v>0</v>
          </cell>
          <cell r="H263">
            <v>0</v>
          </cell>
          <cell r="I263">
            <v>0</v>
          </cell>
          <cell r="J263">
            <v>1</v>
          </cell>
          <cell r="K263">
            <v>1</v>
          </cell>
          <cell r="M263">
            <v>0</v>
          </cell>
          <cell r="O263">
            <v>0</v>
          </cell>
          <cell r="P263">
            <v>1</v>
          </cell>
          <cell r="T263">
            <v>0</v>
          </cell>
          <cell r="U263">
            <v>1</v>
          </cell>
          <cell r="Y263">
            <v>4</v>
          </cell>
        </row>
        <row r="264">
          <cell r="F264">
            <v>0</v>
          </cell>
          <cell r="H264">
            <v>0</v>
          </cell>
          <cell r="I264">
            <v>0</v>
          </cell>
          <cell r="J264">
            <v>0</v>
          </cell>
          <cell r="K264">
            <v>0</v>
          </cell>
          <cell r="M264">
            <v>0</v>
          </cell>
          <cell r="O264">
            <v>0</v>
          </cell>
          <cell r="P264">
            <v>0</v>
          </cell>
          <cell r="T264">
            <v>1</v>
          </cell>
          <cell r="U264">
            <v>0</v>
          </cell>
          <cell r="Y264">
            <v>1</v>
          </cell>
        </row>
        <row r="265">
          <cell r="F265">
            <v>5</v>
          </cell>
          <cell r="G265">
            <v>2</v>
          </cell>
          <cell r="H265">
            <v>35</v>
          </cell>
          <cell r="I265">
            <v>6</v>
          </cell>
          <cell r="J265">
            <v>15</v>
          </cell>
          <cell r="K265">
            <v>9</v>
          </cell>
          <cell r="M265">
            <v>7</v>
          </cell>
          <cell r="O265">
            <v>11</v>
          </cell>
          <cell r="P265">
            <v>6</v>
          </cell>
          <cell r="T265">
            <v>39</v>
          </cell>
          <cell r="U265">
            <v>6</v>
          </cell>
          <cell r="Y265">
            <v>141</v>
          </cell>
        </row>
        <row r="266">
          <cell r="F266">
            <v>188</v>
          </cell>
          <cell r="G266">
            <v>512</v>
          </cell>
          <cell r="H266">
            <v>800</v>
          </cell>
          <cell r="I266">
            <v>503</v>
          </cell>
          <cell r="J266">
            <v>1967</v>
          </cell>
          <cell r="K266">
            <v>349</v>
          </cell>
          <cell r="M266">
            <v>110</v>
          </cell>
          <cell r="O266">
            <v>417</v>
          </cell>
          <cell r="P266">
            <v>202</v>
          </cell>
          <cell r="S266">
            <v>420</v>
          </cell>
          <cell r="T266">
            <v>1312</v>
          </cell>
          <cell r="U266">
            <v>194</v>
          </cell>
          <cell r="Y266">
            <v>6974</v>
          </cell>
        </row>
        <row r="267">
          <cell r="F267">
            <v>0</v>
          </cell>
          <cell r="G267">
            <v>35</v>
          </cell>
          <cell r="H267">
            <v>46</v>
          </cell>
          <cell r="I267">
            <v>13</v>
          </cell>
          <cell r="J267">
            <v>0</v>
          </cell>
          <cell r="K267">
            <v>0</v>
          </cell>
          <cell r="M267">
            <v>6</v>
          </cell>
          <cell r="O267">
            <v>0</v>
          </cell>
          <cell r="P267">
            <v>40</v>
          </cell>
          <cell r="S267">
            <v>0</v>
          </cell>
          <cell r="T267">
            <v>184</v>
          </cell>
          <cell r="Y267">
            <v>324</v>
          </cell>
        </row>
        <row r="268">
          <cell r="F268">
            <v>2</v>
          </cell>
          <cell r="G268">
            <v>42</v>
          </cell>
          <cell r="H268">
            <v>67</v>
          </cell>
          <cell r="I268">
            <v>78</v>
          </cell>
          <cell r="J268">
            <v>386</v>
          </cell>
          <cell r="K268">
            <v>0</v>
          </cell>
          <cell r="M268">
            <v>0</v>
          </cell>
          <cell r="O268">
            <v>4</v>
          </cell>
          <cell r="P268">
            <v>8</v>
          </cell>
          <cell r="S268">
            <v>34</v>
          </cell>
          <cell r="T268">
            <v>46</v>
          </cell>
          <cell r="U268">
            <v>40</v>
          </cell>
          <cell r="Y268">
            <v>707</v>
          </cell>
        </row>
        <row r="269">
          <cell r="F269">
            <v>121</v>
          </cell>
          <cell r="G269">
            <v>53</v>
          </cell>
          <cell r="H269">
            <v>679</v>
          </cell>
          <cell r="I269">
            <v>430</v>
          </cell>
          <cell r="J269">
            <v>501</v>
          </cell>
          <cell r="K269">
            <v>98</v>
          </cell>
          <cell r="M269">
            <v>258</v>
          </cell>
          <cell r="O269">
            <v>886</v>
          </cell>
          <cell r="P269">
            <v>322</v>
          </cell>
          <cell r="S269">
            <v>173</v>
          </cell>
          <cell r="T269">
            <v>1697</v>
          </cell>
          <cell r="U269">
            <v>123</v>
          </cell>
          <cell r="Y269">
            <v>5341</v>
          </cell>
        </row>
        <row r="270">
          <cell r="F270">
            <v>0</v>
          </cell>
          <cell r="G270">
            <v>19</v>
          </cell>
          <cell r="H270">
            <v>44</v>
          </cell>
          <cell r="I270">
            <v>14</v>
          </cell>
          <cell r="J270">
            <v>0</v>
          </cell>
          <cell r="K270">
            <v>4</v>
          </cell>
          <cell r="M270">
            <v>344</v>
          </cell>
          <cell r="O270">
            <v>12</v>
          </cell>
          <cell r="P270">
            <v>26</v>
          </cell>
          <cell r="S270">
            <v>0</v>
          </cell>
          <cell r="T270">
            <v>129</v>
          </cell>
          <cell r="Y270">
            <v>592</v>
          </cell>
        </row>
        <row r="271">
          <cell r="F271">
            <v>0</v>
          </cell>
          <cell r="G271">
            <v>0</v>
          </cell>
          <cell r="H271">
            <v>41</v>
          </cell>
          <cell r="I271">
            <v>65</v>
          </cell>
          <cell r="J271">
            <v>42</v>
          </cell>
          <cell r="K271">
            <v>0</v>
          </cell>
          <cell r="M271">
            <v>0</v>
          </cell>
          <cell r="O271">
            <v>64</v>
          </cell>
          <cell r="P271">
            <v>4</v>
          </cell>
          <cell r="S271">
            <v>0</v>
          </cell>
          <cell r="T271">
            <v>221</v>
          </cell>
          <cell r="U271">
            <v>69</v>
          </cell>
          <cell r="Y271">
            <v>506</v>
          </cell>
        </row>
        <row r="272">
          <cell r="F272">
            <v>10</v>
          </cell>
          <cell r="G272">
            <v>17</v>
          </cell>
          <cell r="H272">
            <v>19</v>
          </cell>
          <cell r="I272">
            <v>25</v>
          </cell>
          <cell r="J272">
            <v>5</v>
          </cell>
          <cell r="K272">
            <v>18</v>
          </cell>
          <cell r="M272">
            <v>0</v>
          </cell>
          <cell r="O272">
            <v>24</v>
          </cell>
          <cell r="P272">
            <v>0</v>
          </cell>
          <cell r="S272">
            <v>3</v>
          </cell>
          <cell r="T272">
            <v>79</v>
          </cell>
          <cell r="U272">
            <v>1</v>
          </cell>
          <cell r="Y272">
            <v>201</v>
          </cell>
        </row>
        <row r="273">
          <cell r="F273">
            <v>10</v>
          </cell>
          <cell r="G273">
            <v>26</v>
          </cell>
          <cell r="H273">
            <v>46</v>
          </cell>
          <cell r="I273">
            <v>19</v>
          </cell>
          <cell r="J273">
            <v>108</v>
          </cell>
          <cell r="K273">
            <v>6</v>
          </cell>
          <cell r="M273">
            <v>24</v>
          </cell>
          <cell r="O273">
            <v>57</v>
          </cell>
          <cell r="P273">
            <v>4</v>
          </cell>
          <cell r="S273">
            <v>2</v>
          </cell>
          <cell r="T273">
            <v>203</v>
          </cell>
          <cell r="U273">
            <v>6</v>
          </cell>
          <cell r="Y273">
            <v>511</v>
          </cell>
        </row>
        <row r="274">
          <cell r="F274">
            <v>199</v>
          </cell>
          <cell r="G274">
            <v>425</v>
          </cell>
          <cell r="H274">
            <v>1141</v>
          </cell>
          <cell r="I274">
            <v>171</v>
          </cell>
          <cell r="J274">
            <v>2497</v>
          </cell>
          <cell r="K274">
            <v>267</v>
          </cell>
          <cell r="M274">
            <v>208</v>
          </cell>
          <cell r="O274">
            <v>679</v>
          </cell>
          <cell r="P274">
            <v>104</v>
          </cell>
          <cell r="S274">
            <v>627</v>
          </cell>
          <cell r="T274">
            <v>1529</v>
          </cell>
          <cell r="U274">
            <v>274</v>
          </cell>
          <cell r="Y274">
            <v>8121</v>
          </cell>
        </row>
        <row r="275">
          <cell r="F275">
            <v>38</v>
          </cell>
          <cell r="G275">
            <v>3</v>
          </cell>
          <cell r="H275">
            <v>322</v>
          </cell>
          <cell r="I275">
            <v>918</v>
          </cell>
          <cell r="J275">
            <v>508</v>
          </cell>
          <cell r="K275">
            <v>8</v>
          </cell>
          <cell r="M275">
            <v>669</v>
          </cell>
          <cell r="O275">
            <v>514</v>
          </cell>
          <cell r="P275">
            <v>409</v>
          </cell>
          <cell r="S275">
            <v>46</v>
          </cell>
          <cell r="T275">
            <v>925</v>
          </cell>
          <cell r="U275">
            <v>20</v>
          </cell>
          <cell r="Y275">
            <v>4380</v>
          </cell>
        </row>
        <row r="276">
          <cell r="F276">
            <v>31</v>
          </cell>
          <cell r="G276">
            <v>12</v>
          </cell>
          <cell r="H276">
            <v>44</v>
          </cell>
          <cell r="I276">
            <v>98</v>
          </cell>
          <cell r="J276">
            <v>83</v>
          </cell>
          <cell r="K276">
            <v>39</v>
          </cell>
          <cell r="M276">
            <v>23</v>
          </cell>
          <cell r="O276">
            <v>30</v>
          </cell>
          <cell r="P276">
            <v>8</v>
          </cell>
          <cell r="S276">
            <v>1</v>
          </cell>
          <cell r="T276">
            <v>301</v>
          </cell>
          <cell r="U276">
            <v>23</v>
          </cell>
          <cell r="Y276">
            <v>693</v>
          </cell>
        </row>
        <row r="277">
          <cell r="F277">
            <v>64</v>
          </cell>
          <cell r="G277">
            <v>42</v>
          </cell>
          <cell r="H277">
            <v>91</v>
          </cell>
          <cell r="I277">
            <v>110</v>
          </cell>
          <cell r="J277">
            <v>334</v>
          </cell>
          <cell r="K277">
            <v>0</v>
          </cell>
          <cell r="M277">
            <v>194</v>
          </cell>
          <cell r="O277">
            <v>227</v>
          </cell>
          <cell r="P277">
            <v>28</v>
          </cell>
          <cell r="S277">
            <v>13</v>
          </cell>
          <cell r="T277">
            <v>775</v>
          </cell>
          <cell r="U277">
            <v>48</v>
          </cell>
          <cell r="Y277">
            <v>1926</v>
          </cell>
        </row>
        <row r="278">
          <cell r="F278">
            <v>14</v>
          </cell>
          <cell r="G278">
            <v>21</v>
          </cell>
          <cell r="H278">
            <v>12</v>
          </cell>
          <cell r="I278">
            <v>13</v>
          </cell>
          <cell r="J278">
            <v>2</v>
          </cell>
          <cell r="K278">
            <v>9</v>
          </cell>
          <cell r="M278">
            <v>0</v>
          </cell>
          <cell r="O278">
            <v>0</v>
          </cell>
          <cell r="P278">
            <v>18</v>
          </cell>
          <cell r="S278">
            <v>13</v>
          </cell>
          <cell r="T278">
            <v>19</v>
          </cell>
          <cell r="U278">
            <v>21</v>
          </cell>
          <cell r="Y278">
            <v>142</v>
          </cell>
        </row>
        <row r="279">
          <cell r="F279">
            <v>1</v>
          </cell>
          <cell r="G279">
            <v>0</v>
          </cell>
          <cell r="H279">
            <v>26</v>
          </cell>
          <cell r="J279">
            <v>7</v>
          </cell>
          <cell r="K279">
            <v>0</v>
          </cell>
          <cell r="M279">
            <v>4</v>
          </cell>
          <cell r="O279">
            <v>6</v>
          </cell>
          <cell r="P279">
            <v>0</v>
          </cell>
          <cell r="S279">
            <v>0</v>
          </cell>
          <cell r="T279">
            <v>2</v>
          </cell>
          <cell r="Y279">
            <v>46</v>
          </cell>
        </row>
        <row r="280">
          <cell r="F280">
            <v>0</v>
          </cell>
          <cell r="G280">
            <v>0</v>
          </cell>
          <cell r="H280">
            <v>1</v>
          </cell>
          <cell r="J280">
            <v>0</v>
          </cell>
          <cell r="K280">
            <v>0</v>
          </cell>
          <cell r="M280">
            <v>0</v>
          </cell>
          <cell r="O280">
            <v>0</v>
          </cell>
          <cell r="P280">
            <v>0</v>
          </cell>
          <cell r="T280">
            <v>1</v>
          </cell>
          <cell r="Y280">
            <v>2</v>
          </cell>
        </row>
        <row r="281">
          <cell r="F281">
            <v>126</v>
          </cell>
          <cell r="G281">
            <v>245</v>
          </cell>
          <cell r="H281">
            <v>312</v>
          </cell>
          <cell r="I281">
            <v>790</v>
          </cell>
          <cell r="J281">
            <v>1316</v>
          </cell>
          <cell r="K281">
            <v>244</v>
          </cell>
          <cell r="M281">
            <v>283</v>
          </cell>
          <cell r="O281">
            <v>578</v>
          </cell>
          <cell r="P281">
            <v>230</v>
          </cell>
          <cell r="S281">
            <v>181</v>
          </cell>
          <cell r="T281">
            <v>1258</v>
          </cell>
          <cell r="U281">
            <v>122</v>
          </cell>
          <cell r="Y281">
            <v>5685</v>
          </cell>
        </row>
        <row r="282">
          <cell r="F282">
            <v>1</v>
          </cell>
          <cell r="G282">
            <v>36</v>
          </cell>
          <cell r="H282">
            <v>0</v>
          </cell>
          <cell r="I282">
            <v>12</v>
          </cell>
          <cell r="J282">
            <v>0</v>
          </cell>
          <cell r="K282">
            <v>0</v>
          </cell>
          <cell r="M282">
            <v>22</v>
          </cell>
          <cell r="O282">
            <v>25</v>
          </cell>
          <cell r="P282">
            <v>6</v>
          </cell>
          <cell r="T282">
            <v>0</v>
          </cell>
          <cell r="Y282">
            <v>102</v>
          </cell>
        </row>
        <row r="283">
          <cell r="F283">
            <v>3</v>
          </cell>
          <cell r="G283">
            <v>25</v>
          </cell>
          <cell r="H283">
            <v>2</v>
          </cell>
          <cell r="I283">
            <v>80</v>
          </cell>
          <cell r="J283">
            <v>435</v>
          </cell>
          <cell r="K283">
            <v>0</v>
          </cell>
          <cell r="M283">
            <v>0</v>
          </cell>
          <cell r="O283">
            <v>20</v>
          </cell>
          <cell r="P283">
            <v>103</v>
          </cell>
          <cell r="S283">
            <v>17</v>
          </cell>
          <cell r="T283">
            <v>98</v>
          </cell>
          <cell r="U283">
            <v>2</v>
          </cell>
          <cell r="Y283">
            <v>785</v>
          </cell>
        </row>
        <row r="284">
          <cell r="F284">
            <v>4</v>
          </cell>
          <cell r="G284">
            <v>50</v>
          </cell>
          <cell r="H284">
            <v>26</v>
          </cell>
          <cell r="I284">
            <v>3</v>
          </cell>
          <cell r="J284">
            <v>45</v>
          </cell>
          <cell r="K284">
            <v>4</v>
          </cell>
          <cell r="M284">
            <v>58</v>
          </cell>
          <cell r="O284">
            <v>35</v>
          </cell>
          <cell r="P284">
            <v>0</v>
          </cell>
          <cell r="S284">
            <v>18</v>
          </cell>
          <cell r="T284">
            <v>78</v>
          </cell>
          <cell r="U284">
            <v>8</v>
          </cell>
          <cell r="Y284">
            <v>329</v>
          </cell>
        </row>
        <row r="285">
          <cell r="F285">
            <v>4</v>
          </cell>
          <cell r="G285">
            <v>6</v>
          </cell>
          <cell r="H285">
            <v>35</v>
          </cell>
          <cell r="I285">
            <v>8</v>
          </cell>
          <cell r="J285">
            <v>94</v>
          </cell>
          <cell r="K285">
            <v>28</v>
          </cell>
          <cell r="M285">
            <v>55</v>
          </cell>
          <cell r="O285">
            <v>27</v>
          </cell>
          <cell r="P285">
            <v>0</v>
          </cell>
          <cell r="S285">
            <v>5</v>
          </cell>
          <cell r="T285">
            <v>102</v>
          </cell>
          <cell r="Y285">
            <v>364</v>
          </cell>
        </row>
        <row r="286">
          <cell r="F286">
            <v>3</v>
          </cell>
          <cell r="G286">
            <v>16</v>
          </cell>
          <cell r="H286">
            <v>101</v>
          </cell>
          <cell r="I286">
            <v>44</v>
          </cell>
          <cell r="J286">
            <v>85</v>
          </cell>
          <cell r="K286">
            <v>22</v>
          </cell>
          <cell r="M286">
            <v>14</v>
          </cell>
          <cell r="O286">
            <v>39</v>
          </cell>
          <cell r="P286">
            <v>10</v>
          </cell>
          <cell r="S286">
            <v>12</v>
          </cell>
          <cell r="T286">
            <v>84</v>
          </cell>
          <cell r="U286">
            <v>14</v>
          </cell>
          <cell r="Y286">
            <v>444</v>
          </cell>
        </row>
        <row r="287">
          <cell r="F287">
            <v>0</v>
          </cell>
          <cell r="G287">
            <v>0</v>
          </cell>
          <cell r="I287">
            <v>3</v>
          </cell>
          <cell r="J287">
            <v>0</v>
          </cell>
          <cell r="K287">
            <v>0</v>
          </cell>
          <cell r="M287">
            <v>0</v>
          </cell>
          <cell r="O287">
            <v>0</v>
          </cell>
          <cell r="P287">
            <v>0</v>
          </cell>
          <cell r="T287">
            <v>1</v>
          </cell>
          <cell r="Y287">
            <v>4</v>
          </cell>
        </row>
        <row r="288">
          <cell r="F288">
            <v>21</v>
          </cell>
          <cell r="G288">
            <v>31</v>
          </cell>
          <cell r="I288">
            <v>78</v>
          </cell>
          <cell r="J288">
            <v>103</v>
          </cell>
          <cell r="K288">
            <v>2</v>
          </cell>
          <cell r="M288">
            <v>43</v>
          </cell>
          <cell r="O288">
            <v>0</v>
          </cell>
          <cell r="P288">
            <v>29</v>
          </cell>
          <cell r="S288">
            <v>2</v>
          </cell>
          <cell r="T288">
            <v>51</v>
          </cell>
          <cell r="Y288">
            <v>360</v>
          </cell>
        </row>
        <row r="289">
          <cell r="F289">
            <v>8</v>
          </cell>
          <cell r="G289">
            <v>38</v>
          </cell>
          <cell r="I289">
            <v>21</v>
          </cell>
          <cell r="J289">
            <v>276</v>
          </cell>
          <cell r="K289">
            <v>0</v>
          </cell>
          <cell r="M289">
            <v>0</v>
          </cell>
          <cell r="O289">
            <v>0</v>
          </cell>
          <cell r="P289">
            <v>27</v>
          </cell>
          <cell r="S289">
            <v>106</v>
          </cell>
          <cell r="T289">
            <v>180</v>
          </cell>
          <cell r="U289">
            <v>50</v>
          </cell>
          <cell r="Y289">
            <v>706</v>
          </cell>
        </row>
        <row r="290">
          <cell r="F290">
            <v>0</v>
          </cell>
          <cell r="G290">
            <v>7</v>
          </cell>
          <cell r="I290">
            <v>18</v>
          </cell>
          <cell r="J290">
            <v>0</v>
          </cell>
          <cell r="K290">
            <v>63</v>
          </cell>
          <cell r="M290">
            <v>0</v>
          </cell>
          <cell r="O290">
            <v>225</v>
          </cell>
          <cell r="P290">
            <v>1</v>
          </cell>
          <cell r="S290">
            <v>1</v>
          </cell>
          <cell r="T290">
            <v>29</v>
          </cell>
          <cell r="Y290">
            <v>344</v>
          </cell>
        </row>
        <row r="291">
          <cell r="F291">
            <v>3</v>
          </cell>
          <cell r="G291">
            <v>3</v>
          </cell>
          <cell r="I291">
            <v>17</v>
          </cell>
          <cell r="J291">
            <v>1</v>
          </cell>
          <cell r="K291">
            <v>2</v>
          </cell>
          <cell r="M291">
            <v>11</v>
          </cell>
          <cell r="O291">
            <v>0</v>
          </cell>
          <cell r="P291">
            <v>1</v>
          </cell>
          <cell r="T291">
            <v>24</v>
          </cell>
          <cell r="U291">
            <v>7</v>
          </cell>
          <cell r="Y291">
            <v>69</v>
          </cell>
        </row>
        <row r="292">
          <cell r="F292">
            <v>0</v>
          </cell>
          <cell r="G292">
            <v>4</v>
          </cell>
          <cell r="I292">
            <v>4</v>
          </cell>
          <cell r="J292">
            <v>2</v>
          </cell>
          <cell r="K292">
            <v>0</v>
          </cell>
          <cell r="M292">
            <v>11</v>
          </cell>
          <cell r="O292">
            <v>20</v>
          </cell>
          <cell r="P292">
            <v>2</v>
          </cell>
          <cell r="T292">
            <v>0</v>
          </cell>
          <cell r="Y292">
            <v>43</v>
          </cell>
        </row>
        <row r="293">
          <cell r="F293">
            <v>3</v>
          </cell>
          <cell r="G293">
            <v>13</v>
          </cell>
          <cell r="I293">
            <v>6</v>
          </cell>
          <cell r="J293">
            <v>40</v>
          </cell>
          <cell r="K293">
            <v>16</v>
          </cell>
          <cell r="M293">
            <v>0</v>
          </cell>
          <cell r="O293">
            <v>22</v>
          </cell>
          <cell r="P293">
            <v>8</v>
          </cell>
          <cell r="T293">
            <v>21</v>
          </cell>
          <cell r="U293">
            <v>1</v>
          </cell>
          <cell r="Y293">
            <v>130</v>
          </cell>
        </row>
        <row r="294">
          <cell r="F294">
            <v>544</v>
          </cell>
          <cell r="G294">
            <v>1471</v>
          </cell>
          <cell r="H294">
            <v>3317</v>
          </cell>
          <cell r="I294">
            <v>3100</v>
          </cell>
          <cell r="J294">
            <v>7397</v>
          </cell>
          <cell r="K294">
            <v>1163</v>
          </cell>
          <cell r="M294">
            <v>1908</v>
          </cell>
          <cell r="O294">
            <v>3424</v>
          </cell>
          <cell r="P294">
            <v>1381</v>
          </cell>
          <cell r="S294">
            <v>1661</v>
          </cell>
          <cell r="T294">
            <v>8093</v>
          </cell>
          <cell r="U294">
            <v>822</v>
          </cell>
          <cell r="Y294">
            <v>34281</v>
          </cell>
        </row>
        <row r="295">
          <cell r="F295">
            <v>250</v>
          </cell>
          <cell r="G295">
            <v>173</v>
          </cell>
          <cell r="H295">
            <v>421</v>
          </cell>
          <cell r="I295">
            <v>216</v>
          </cell>
          <cell r="K295">
            <v>2</v>
          </cell>
          <cell r="M295">
            <v>268</v>
          </cell>
          <cell r="O295">
            <v>166</v>
          </cell>
          <cell r="P295">
            <v>187</v>
          </cell>
          <cell r="S295">
            <v>39</v>
          </cell>
          <cell r="T295">
            <v>955</v>
          </cell>
          <cell r="U295">
            <v>109</v>
          </cell>
          <cell r="Y295">
            <v>2786</v>
          </cell>
        </row>
        <row r="296">
          <cell r="F296">
            <v>34</v>
          </cell>
          <cell r="G296">
            <v>15</v>
          </cell>
          <cell r="H296">
            <v>104</v>
          </cell>
          <cell r="I296">
            <v>18</v>
          </cell>
          <cell r="J296">
            <v>1160</v>
          </cell>
          <cell r="K296">
            <v>5</v>
          </cell>
          <cell r="M296">
            <v>51</v>
          </cell>
          <cell r="O296">
            <v>332</v>
          </cell>
          <cell r="P296">
            <v>28</v>
          </cell>
          <cell r="S296">
            <v>13</v>
          </cell>
          <cell r="T296">
            <v>263</v>
          </cell>
          <cell r="U296">
            <v>22</v>
          </cell>
          <cell r="Y296">
            <v>2045</v>
          </cell>
        </row>
        <row r="297">
          <cell r="F297">
            <v>0</v>
          </cell>
          <cell r="G297">
            <v>0</v>
          </cell>
          <cell r="H297">
            <v>4</v>
          </cell>
          <cell r="J297">
            <v>1</v>
          </cell>
          <cell r="K297">
            <v>0</v>
          </cell>
          <cell r="M297">
            <v>0</v>
          </cell>
          <cell r="O297">
            <v>0</v>
          </cell>
          <cell r="P297">
            <v>1</v>
          </cell>
          <cell r="T297">
            <v>1</v>
          </cell>
          <cell r="U297">
            <v>2</v>
          </cell>
          <cell r="Y297">
            <v>9</v>
          </cell>
        </row>
        <row r="298">
          <cell r="F298">
            <v>7</v>
          </cell>
          <cell r="G298">
            <v>2</v>
          </cell>
          <cell r="H298">
            <v>19</v>
          </cell>
          <cell r="I298">
            <v>17</v>
          </cell>
          <cell r="J298">
            <v>71</v>
          </cell>
          <cell r="K298">
            <v>1</v>
          </cell>
          <cell r="M298">
            <v>21</v>
          </cell>
          <cell r="O298">
            <v>14</v>
          </cell>
          <cell r="P298">
            <v>22</v>
          </cell>
          <cell r="S298">
            <v>29</v>
          </cell>
          <cell r="T298">
            <v>81</v>
          </cell>
          <cell r="U298">
            <v>10</v>
          </cell>
          <cell r="Y298">
            <v>294</v>
          </cell>
        </row>
        <row r="299">
          <cell r="F299">
            <v>0</v>
          </cell>
          <cell r="G299">
            <v>0</v>
          </cell>
          <cell r="H299">
            <v>0</v>
          </cell>
          <cell r="I299">
            <v>1</v>
          </cell>
          <cell r="J299">
            <v>0</v>
          </cell>
          <cell r="K299">
            <v>0</v>
          </cell>
          <cell r="M299">
            <v>6</v>
          </cell>
          <cell r="O299">
            <v>0</v>
          </cell>
          <cell r="P299">
            <v>2</v>
          </cell>
          <cell r="S299">
            <v>0</v>
          </cell>
          <cell r="T299">
            <v>3</v>
          </cell>
          <cell r="Y299">
            <v>12</v>
          </cell>
        </row>
        <row r="300">
          <cell r="F300">
            <v>0</v>
          </cell>
          <cell r="G300">
            <v>4</v>
          </cell>
          <cell r="H300">
            <v>2</v>
          </cell>
          <cell r="I300">
            <v>1</v>
          </cell>
          <cell r="J300">
            <v>2</v>
          </cell>
          <cell r="K300">
            <v>0</v>
          </cell>
          <cell r="M300">
            <v>0</v>
          </cell>
          <cell r="O300">
            <v>0</v>
          </cell>
          <cell r="P300">
            <v>3</v>
          </cell>
          <cell r="S300">
            <v>0</v>
          </cell>
          <cell r="T300">
            <v>0</v>
          </cell>
          <cell r="U300">
            <v>2</v>
          </cell>
          <cell r="Y300">
            <v>14</v>
          </cell>
        </row>
        <row r="301">
          <cell r="F301">
            <v>26</v>
          </cell>
          <cell r="G301">
            <v>5</v>
          </cell>
          <cell r="H301">
            <v>71</v>
          </cell>
          <cell r="I301">
            <v>17</v>
          </cell>
          <cell r="J301">
            <v>42</v>
          </cell>
          <cell r="K301">
            <v>0</v>
          </cell>
          <cell r="M301">
            <v>8</v>
          </cell>
          <cell r="O301">
            <v>11</v>
          </cell>
          <cell r="P301">
            <v>12</v>
          </cell>
          <cell r="S301">
            <v>0</v>
          </cell>
          <cell r="T301">
            <v>60</v>
          </cell>
          <cell r="U301">
            <v>5</v>
          </cell>
          <cell r="Y301">
            <v>257</v>
          </cell>
        </row>
        <row r="302">
          <cell r="F302">
            <v>0</v>
          </cell>
          <cell r="G302">
            <v>0</v>
          </cell>
          <cell r="H302">
            <v>0</v>
          </cell>
          <cell r="I302">
            <v>3</v>
          </cell>
          <cell r="J302">
            <v>0</v>
          </cell>
          <cell r="K302">
            <v>0</v>
          </cell>
          <cell r="M302">
            <v>10</v>
          </cell>
          <cell r="O302">
            <v>0</v>
          </cell>
          <cell r="P302">
            <v>0</v>
          </cell>
          <cell r="S302">
            <v>0</v>
          </cell>
          <cell r="T302">
            <v>2</v>
          </cell>
          <cell r="Y302">
            <v>15</v>
          </cell>
        </row>
        <row r="303">
          <cell r="F303">
            <v>0</v>
          </cell>
          <cell r="G303">
            <v>0</v>
          </cell>
          <cell r="H303">
            <v>4</v>
          </cell>
          <cell r="J303">
            <v>0</v>
          </cell>
          <cell r="K303">
            <v>0</v>
          </cell>
          <cell r="M303">
            <v>0</v>
          </cell>
          <cell r="O303">
            <v>0</v>
          </cell>
          <cell r="P303">
            <v>0</v>
          </cell>
          <cell r="S303">
            <v>0</v>
          </cell>
          <cell r="T303">
            <v>0</v>
          </cell>
          <cell r="U303">
            <v>4</v>
          </cell>
          <cell r="Y303">
            <v>8</v>
          </cell>
        </row>
        <row r="304">
          <cell r="F304">
            <v>9</v>
          </cell>
          <cell r="G304">
            <v>0</v>
          </cell>
          <cell r="H304">
            <v>2</v>
          </cell>
          <cell r="I304">
            <v>1</v>
          </cell>
          <cell r="J304">
            <v>5</v>
          </cell>
          <cell r="K304">
            <v>1</v>
          </cell>
          <cell r="M304">
            <v>0</v>
          </cell>
          <cell r="O304">
            <v>1</v>
          </cell>
          <cell r="P304">
            <v>0</v>
          </cell>
          <cell r="S304">
            <v>0</v>
          </cell>
          <cell r="T304">
            <v>3</v>
          </cell>
          <cell r="U304">
            <v>1</v>
          </cell>
          <cell r="Y304">
            <v>23</v>
          </cell>
        </row>
        <row r="305">
          <cell r="F305">
            <v>10</v>
          </cell>
          <cell r="G305">
            <v>2</v>
          </cell>
          <cell r="H305">
            <v>37</v>
          </cell>
          <cell r="I305">
            <v>8</v>
          </cell>
          <cell r="J305">
            <v>28</v>
          </cell>
          <cell r="K305">
            <v>0</v>
          </cell>
          <cell r="M305">
            <v>17</v>
          </cell>
          <cell r="O305">
            <v>10</v>
          </cell>
          <cell r="P305">
            <v>2</v>
          </cell>
          <cell r="S305">
            <v>0</v>
          </cell>
          <cell r="T305">
            <v>77</v>
          </cell>
          <cell r="U305">
            <v>3</v>
          </cell>
          <cell r="Y305">
            <v>194</v>
          </cell>
        </row>
        <row r="306">
          <cell r="F306">
            <v>39</v>
          </cell>
          <cell r="G306">
            <v>8</v>
          </cell>
          <cell r="H306">
            <v>65</v>
          </cell>
          <cell r="I306">
            <v>58</v>
          </cell>
          <cell r="J306">
            <v>98</v>
          </cell>
          <cell r="K306">
            <v>1</v>
          </cell>
          <cell r="M306">
            <v>34</v>
          </cell>
          <cell r="O306">
            <v>17</v>
          </cell>
          <cell r="P306">
            <v>15</v>
          </cell>
          <cell r="S306">
            <v>13</v>
          </cell>
          <cell r="T306">
            <v>123</v>
          </cell>
          <cell r="U306">
            <v>14</v>
          </cell>
          <cell r="Y306">
            <v>485</v>
          </cell>
        </row>
        <row r="307">
          <cell r="F307">
            <v>37</v>
          </cell>
          <cell r="G307">
            <v>3</v>
          </cell>
          <cell r="H307">
            <v>45</v>
          </cell>
          <cell r="J307">
            <v>172</v>
          </cell>
          <cell r="K307">
            <v>0</v>
          </cell>
          <cell r="M307">
            <v>5</v>
          </cell>
          <cell r="O307">
            <v>23</v>
          </cell>
          <cell r="P307">
            <v>4</v>
          </cell>
          <cell r="S307">
            <v>0</v>
          </cell>
          <cell r="T307">
            <v>107</v>
          </cell>
          <cell r="U307">
            <v>20</v>
          </cell>
          <cell r="Y307">
            <v>416</v>
          </cell>
        </row>
        <row r="308">
          <cell r="F308">
            <v>31</v>
          </cell>
          <cell r="G308">
            <v>10</v>
          </cell>
          <cell r="H308">
            <v>43</v>
          </cell>
          <cell r="I308">
            <v>33</v>
          </cell>
          <cell r="J308">
            <v>58</v>
          </cell>
          <cell r="K308">
            <v>0</v>
          </cell>
          <cell r="M308">
            <v>21</v>
          </cell>
          <cell r="O308">
            <v>15</v>
          </cell>
          <cell r="P308">
            <v>8</v>
          </cell>
          <cell r="S308">
            <v>0</v>
          </cell>
          <cell r="T308">
            <v>137</v>
          </cell>
          <cell r="U308">
            <v>12</v>
          </cell>
          <cell r="Y308">
            <v>368</v>
          </cell>
        </row>
        <row r="309">
          <cell r="F309">
            <v>56</v>
          </cell>
          <cell r="G309">
            <v>38</v>
          </cell>
          <cell r="H309">
            <v>62</v>
          </cell>
          <cell r="I309">
            <v>21</v>
          </cell>
          <cell r="J309">
            <v>191</v>
          </cell>
          <cell r="K309">
            <v>2</v>
          </cell>
          <cell r="M309">
            <v>58</v>
          </cell>
          <cell r="O309">
            <v>69</v>
          </cell>
          <cell r="P309">
            <v>28</v>
          </cell>
          <cell r="S309">
            <v>33</v>
          </cell>
          <cell r="T309">
            <v>308</v>
          </cell>
          <cell r="U309">
            <v>15</v>
          </cell>
          <cell r="Y309">
            <v>881</v>
          </cell>
        </row>
        <row r="310">
          <cell r="F310">
            <v>0</v>
          </cell>
          <cell r="G310">
            <v>0</v>
          </cell>
          <cell r="H310">
            <v>0</v>
          </cell>
          <cell r="J310">
            <v>1</v>
          </cell>
          <cell r="K310">
            <v>0</v>
          </cell>
          <cell r="M310">
            <v>0</v>
          </cell>
          <cell r="O310">
            <v>0</v>
          </cell>
          <cell r="P310">
            <v>0</v>
          </cell>
          <cell r="S310">
            <v>0</v>
          </cell>
          <cell r="T310">
            <v>5</v>
          </cell>
          <cell r="U310">
            <v>1</v>
          </cell>
          <cell r="Y310">
            <v>7</v>
          </cell>
        </row>
        <row r="311">
          <cell r="F311">
            <v>1</v>
          </cell>
          <cell r="G311">
            <v>0</v>
          </cell>
          <cell r="H311">
            <v>2</v>
          </cell>
          <cell r="J311">
            <v>1</v>
          </cell>
          <cell r="K311">
            <v>0</v>
          </cell>
          <cell r="M311">
            <v>0</v>
          </cell>
          <cell r="O311">
            <v>0</v>
          </cell>
          <cell r="P311">
            <v>0</v>
          </cell>
          <cell r="S311">
            <v>0</v>
          </cell>
          <cell r="T311">
            <v>1</v>
          </cell>
          <cell r="Y311">
            <v>5</v>
          </cell>
        </row>
        <row r="312">
          <cell r="F312">
            <v>0</v>
          </cell>
          <cell r="G312">
            <v>0</v>
          </cell>
          <cell r="H312">
            <v>1</v>
          </cell>
          <cell r="J312">
            <v>0</v>
          </cell>
          <cell r="K312">
            <v>0</v>
          </cell>
          <cell r="M312">
            <v>0</v>
          </cell>
          <cell r="O312">
            <v>0</v>
          </cell>
          <cell r="P312">
            <v>0</v>
          </cell>
          <cell r="S312">
            <v>0</v>
          </cell>
          <cell r="T312">
            <v>0</v>
          </cell>
          <cell r="Y312">
            <v>1</v>
          </cell>
        </row>
        <row r="313">
          <cell r="F313">
            <v>57</v>
          </cell>
          <cell r="G313">
            <v>113</v>
          </cell>
          <cell r="H313">
            <v>81</v>
          </cell>
          <cell r="I313">
            <v>63</v>
          </cell>
          <cell r="J313">
            <v>194</v>
          </cell>
          <cell r="K313">
            <v>2</v>
          </cell>
          <cell r="M313">
            <v>76</v>
          </cell>
          <cell r="O313">
            <v>0</v>
          </cell>
          <cell r="P313">
            <v>86</v>
          </cell>
          <cell r="S313">
            <v>63</v>
          </cell>
          <cell r="T313">
            <v>245</v>
          </cell>
          <cell r="U313">
            <v>48</v>
          </cell>
          <cell r="Y313">
            <v>1028</v>
          </cell>
        </row>
        <row r="314">
          <cell r="F314">
            <v>1</v>
          </cell>
          <cell r="G314">
            <v>0</v>
          </cell>
          <cell r="H314">
            <v>0</v>
          </cell>
          <cell r="I314">
            <v>2</v>
          </cell>
          <cell r="J314">
            <v>0</v>
          </cell>
          <cell r="K314">
            <v>0</v>
          </cell>
          <cell r="M314">
            <v>0</v>
          </cell>
          <cell r="O314">
            <v>0</v>
          </cell>
          <cell r="P314">
            <v>0</v>
          </cell>
          <cell r="S314">
            <v>0</v>
          </cell>
          <cell r="T314">
            <v>0</v>
          </cell>
          <cell r="Y314">
            <v>3</v>
          </cell>
        </row>
        <row r="315">
          <cell r="F315">
            <v>3</v>
          </cell>
          <cell r="G315">
            <v>0</v>
          </cell>
          <cell r="H315">
            <v>2</v>
          </cell>
          <cell r="I315">
            <v>7</v>
          </cell>
          <cell r="J315">
            <v>35</v>
          </cell>
          <cell r="K315">
            <v>0</v>
          </cell>
          <cell r="M315">
            <v>0</v>
          </cell>
          <cell r="O315">
            <v>0</v>
          </cell>
          <cell r="P315">
            <v>20</v>
          </cell>
          <cell r="S315">
            <v>0</v>
          </cell>
          <cell r="T315">
            <v>3</v>
          </cell>
          <cell r="U315">
            <v>2</v>
          </cell>
          <cell r="Y315">
            <v>72</v>
          </cell>
        </row>
        <row r="316">
          <cell r="F316">
            <v>4</v>
          </cell>
          <cell r="G316">
            <v>0</v>
          </cell>
          <cell r="H316">
            <v>24</v>
          </cell>
          <cell r="I316">
            <v>2</v>
          </cell>
          <cell r="J316">
            <v>32</v>
          </cell>
          <cell r="K316">
            <v>1</v>
          </cell>
          <cell r="M316">
            <v>25</v>
          </cell>
          <cell r="O316">
            <v>38</v>
          </cell>
          <cell r="P316">
            <v>0</v>
          </cell>
          <cell r="S316">
            <v>0</v>
          </cell>
          <cell r="T316">
            <v>51</v>
          </cell>
          <cell r="U316">
            <v>6</v>
          </cell>
          <cell r="Y316">
            <v>183</v>
          </cell>
        </row>
        <row r="317">
          <cell r="F317">
            <v>1</v>
          </cell>
          <cell r="G317">
            <v>3</v>
          </cell>
          <cell r="H317">
            <v>22</v>
          </cell>
          <cell r="J317">
            <v>2</v>
          </cell>
          <cell r="K317">
            <v>0</v>
          </cell>
          <cell r="M317">
            <v>38</v>
          </cell>
          <cell r="O317">
            <v>0</v>
          </cell>
          <cell r="P317">
            <v>0</v>
          </cell>
          <cell r="S317">
            <v>0</v>
          </cell>
          <cell r="T317">
            <v>8</v>
          </cell>
          <cell r="Y317">
            <v>74</v>
          </cell>
        </row>
        <row r="318">
          <cell r="F318">
            <v>0</v>
          </cell>
          <cell r="G318">
            <v>0</v>
          </cell>
          <cell r="H318">
            <v>39</v>
          </cell>
          <cell r="J318">
            <v>0</v>
          </cell>
          <cell r="K318">
            <v>0</v>
          </cell>
          <cell r="M318">
            <v>0</v>
          </cell>
          <cell r="O318">
            <v>0</v>
          </cell>
          <cell r="P318">
            <v>0</v>
          </cell>
          <cell r="S318">
            <v>0</v>
          </cell>
          <cell r="T318">
            <v>0</v>
          </cell>
          <cell r="Y318">
            <v>39</v>
          </cell>
        </row>
        <row r="319">
          <cell r="F319">
            <v>0</v>
          </cell>
          <cell r="G319">
            <v>0</v>
          </cell>
          <cell r="H319">
            <v>0</v>
          </cell>
          <cell r="J319">
            <v>0</v>
          </cell>
          <cell r="K319">
            <v>0</v>
          </cell>
          <cell r="M319">
            <v>0</v>
          </cell>
          <cell r="O319">
            <v>0</v>
          </cell>
          <cell r="P319">
            <v>0</v>
          </cell>
          <cell r="S319">
            <v>0</v>
          </cell>
          <cell r="T319">
            <v>0</v>
          </cell>
          <cell r="Y319">
            <v>0</v>
          </cell>
        </row>
        <row r="320">
          <cell r="F320">
            <v>0</v>
          </cell>
          <cell r="G320">
            <v>0</v>
          </cell>
          <cell r="H320">
            <v>0</v>
          </cell>
          <cell r="J320">
            <v>30</v>
          </cell>
          <cell r="K320">
            <v>0</v>
          </cell>
          <cell r="M320">
            <v>0</v>
          </cell>
          <cell r="O320">
            <v>0</v>
          </cell>
          <cell r="P320">
            <v>6</v>
          </cell>
          <cell r="S320">
            <v>0</v>
          </cell>
          <cell r="T320">
            <v>0</v>
          </cell>
          <cell r="Y320">
            <v>36</v>
          </cell>
        </row>
        <row r="321">
          <cell r="F321">
            <v>0</v>
          </cell>
          <cell r="G321">
            <v>0</v>
          </cell>
          <cell r="H321">
            <v>0</v>
          </cell>
          <cell r="J321">
            <v>276</v>
          </cell>
          <cell r="K321">
            <v>0</v>
          </cell>
          <cell r="M321">
            <v>0</v>
          </cell>
          <cell r="O321">
            <v>0</v>
          </cell>
          <cell r="P321">
            <v>0</v>
          </cell>
          <cell r="S321">
            <v>0</v>
          </cell>
          <cell r="T321">
            <v>0</v>
          </cell>
          <cell r="Y321">
            <v>276</v>
          </cell>
        </row>
        <row r="322">
          <cell r="F322">
            <v>0</v>
          </cell>
          <cell r="G322">
            <v>0</v>
          </cell>
          <cell r="H322">
            <v>0</v>
          </cell>
          <cell r="J322">
            <v>0</v>
          </cell>
          <cell r="K322">
            <v>1</v>
          </cell>
          <cell r="M322">
            <v>0</v>
          </cell>
          <cell r="O322">
            <v>0</v>
          </cell>
          <cell r="P322">
            <v>1</v>
          </cell>
          <cell r="S322">
            <v>0</v>
          </cell>
          <cell r="T322">
            <v>0</v>
          </cell>
          <cell r="Y322">
            <v>2</v>
          </cell>
        </row>
        <row r="323">
          <cell r="F323">
            <v>2</v>
          </cell>
          <cell r="G323">
            <v>13</v>
          </cell>
          <cell r="I323">
            <v>19</v>
          </cell>
          <cell r="K323">
            <v>17</v>
          </cell>
          <cell r="M323">
            <v>21</v>
          </cell>
          <cell r="O323">
            <v>330</v>
          </cell>
          <cell r="P323">
            <v>9</v>
          </cell>
          <cell r="S323">
            <v>5</v>
          </cell>
          <cell r="T323">
            <v>92</v>
          </cell>
          <cell r="U323">
            <v>8</v>
          </cell>
          <cell r="Y323">
            <v>516</v>
          </cell>
        </row>
        <row r="324">
          <cell r="F324">
            <v>2</v>
          </cell>
          <cell r="G324">
            <v>7</v>
          </cell>
          <cell r="I324">
            <v>11</v>
          </cell>
          <cell r="K324">
            <v>3</v>
          </cell>
          <cell r="M324">
            <v>4</v>
          </cell>
          <cell r="O324">
            <v>47</v>
          </cell>
          <cell r="P324">
            <v>9</v>
          </cell>
          <cell r="S324">
            <v>0</v>
          </cell>
          <cell r="T324">
            <v>27</v>
          </cell>
          <cell r="U324">
            <v>8</v>
          </cell>
          <cell r="Y324">
            <v>118</v>
          </cell>
        </row>
        <row r="325">
          <cell r="F325">
            <v>0</v>
          </cell>
          <cell r="G325">
            <v>0</v>
          </cell>
          <cell r="H325">
            <v>0</v>
          </cell>
          <cell r="I325">
            <v>0</v>
          </cell>
          <cell r="J325">
            <v>0</v>
          </cell>
          <cell r="K325">
            <v>1</v>
          </cell>
          <cell r="P325">
            <v>0</v>
          </cell>
          <cell r="T325">
            <v>0</v>
          </cell>
          <cell r="U325">
            <v>0</v>
          </cell>
          <cell r="Y325">
            <v>1</v>
          </cell>
        </row>
        <row r="326">
          <cell r="F326">
            <v>10</v>
          </cell>
          <cell r="G326">
            <v>52</v>
          </cell>
          <cell r="H326">
            <v>243</v>
          </cell>
          <cell r="I326">
            <v>60</v>
          </cell>
          <cell r="J326">
            <v>302</v>
          </cell>
          <cell r="K326">
            <v>56</v>
          </cell>
          <cell r="P326">
            <v>15</v>
          </cell>
          <cell r="T326">
            <v>62</v>
          </cell>
          <cell r="U326">
            <v>44</v>
          </cell>
          <cell r="Y326">
            <v>844</v>
          </cell>
        </row>
        <row r="327">
          <cell r="F327">
            <v>270</v>
          </cell>
          <cell r="G327">
            <v>376</v>
          </cell>
          <cell r="H327">
            <v>933</v>
          </cell>
          <cell r="I327">
            <v>564</v>
          </cell>
          <cell r="J327">
            <v>2162</v>
          </cell>
          <cell r="K327">
            <v>299</v>
          </cell>
          <cell r="M327">
            <v>483</v>
          </cell>
          <cell r="O327">
            <v>961</v>
          </cell>
          <cell r="P327">
            <v>267</v>
          </cell>
          <cell r="S327">
            <v>348</v>
          </cell>
          <cell r="T327">
            <v>2227</v>
          </cell>
          <cell r="U327">
            <v>221</v>
          </cell>
          <cell r="Y327">
            <v>9111</v>
          </cell>
        </row>
        <row r="328">
          <cell r="F328">
            <v>198</v>
          </cell>
          <cell r="G328">
            <v>244</v>
          </cell>
          <cell r="H328">
            <v>612</v>
          </cell>
          <cell r="I328">
            <v>306</v>
          </cell>
          <cell r="J328">
            <v>1488</v>
          </cell>
          <cell r="K328">
            <v>190</v>
          </cell>
          <cell r="M328">
            <v>231</v>
          </cell>
          <cell r="O328">
            <v>663</v>
          </cell>
          <cell r="P328">
            <v>233</v>
          </cell>
          <cell r="S328">
            <v>192</v>
          </cell>
          <cell r="T328">
            <v>1462</v>
          </cell>
          <cell r="U328">
            <v>152</v>
          </cell>
          <cell r="Y328">
            <v>5971</v>
          </cell>
        </row>
        <row r="329">
          <cell r="F329">
            <v>72</v>
          </cell>
          <cell r="G329">
            <v>128</v>
          </cell>
          <cell r="H329">
            <v>321</v>
          </cell>
          <cell r="I329">
            <v>250</v>
          </cell>
          <cell r="J329">
            <v>175</v>
          </cell>
          <cell r="K329">
            <v>109</v>
          </cell>
          <cell r="M329">
            <v>240</v>
          </cell>
          <cell r="O329">
            <v>292</v>
          </cell>
          <cell r="P329">
            <v>34</v>
          </cell>
          <cell r="S329">
            <v>114</v>
          </cell>
          <cell r="T329">
            <v>474</v>
          </cell>
          <cell r="U329">
            <v>67</v>
          </cell>
          <cell r="Y329">
            <v>2276</v>
          </cell>
        </row>
        <row r="330">
          <cell r="F330">
            <v>167</v>
          </cell>
          <cell r="G330">
            <v>214</v>
          </cell>
          <cell r="H330">
            <v>489</v>
          </cell>
          <cell r="I330">
            <v>252</v>
          </cell>
          <cell r="J330">
            <v>774</v>
          </cell>
          <cell r="K330">
            <v>116</v>
          </cell>
          <cell r="M330">
            <v>178</v>
          </cell>
          <cell r="O330">
            <v>657</v>
          </cell>
          <cell r="P330">
            <v>228</v>
          </cell>
          <cell r="S330">
            <v>190</v>
          </cell>
          <cell r="T330">
            <v>1192</v>
          </cell>
          <cell r="U330">
            <v>133</v>
          </cell>
          <cell r="Y330">
            <v>4590</v>
          </cell>
        </row>
        <row r="331">
          <cell r="G331">
            <v>7</v>
          </cell>
          <cell r="H331">
            <v>15</v>
          </cell>
          <cell r="I331">
            <v>45</v>
          </cell>
          <cell r="J331">
            <v>16</v>
          </cell>
          <cell r="K331">
            <v>34</v>
          </cell>
          <cell r="M331">
            <v>23</v>
          </cell>
          <cell r="O331">
            <v>3</v>
          </cell>
          <cell r="P331">
            <v>6</v>
          </cell>
          <cell r="S331">
            <v>2</v>
          </cell>
          <cell r="T331">
            <v>63</v>
          </cell>
          <cell r="U331">
            <v>2</v>
          </cell>
          <cell r="Y331">
            <v>216</v>
          </cell>
        </row>
        <row r="333">
          <cell r="H333">
            <v>129</v>
          </cell>
          <cell r="I333">
            <v>25</v>
          </cell>
          <cell r="J333">
            <v>37</v>
          </cell>
          <cell r="K333">
            <v>58</v>
          </cell>
          <cell r="M333">
            <v>40</v>
          </cell>
          <cell r="O333">
            <v>93</v>
          </cell>
          <cell r="P333">
            <v>5</v>
          </cell>
          <cell r="T333">
            <v>894</v>
          </cell>
          <cell r="U333">
            <v>29</v>
          </cell>
          <cell r="Y333">
            <v>1310</v>
          </cell>
        </row>
        <row r="334">
          <cell r="F334">
            <v>181</v>
          </cell>
          <cell r="G334">
            <v>262</v>
          </cell>
          <cell r="H334">
            <v>717</v>
          </cell>
          <cell r="I334">
            <v>286</v>
          </cell>
          <cell r="J334">
            <v>1639</v>
          </cell>
          <cell r="K334">
            <v>184</v>
          </cell>
          <cell r="M334">
            <v>274</v>
          </cell>
          <cell r="O334">
            <v>740</v>
          </cell>
          <cell r="P334">
            <v>221</v>
          </cell>
          <cell r="T334">
            <v>1778</v>
          </cell>
          <cell r="U334">
            <v>171</v>
          </cell>
          <cell r="Y334">
            <v>6453</v>
          </cell>
        </row>
        <row r="335">
          <cell r="F335">
            <v>82</v>
          </cell>
          <cell r="G335">
            <v>96</v>
          </cell>
          <cell r="H335">
            <v>214</v>
          </cell>
          <cell r="I335">
            <v>158</v>
          </cell>
          <cell r="J335">
            <v>490</v>
          </cell>
          <cell r="K335">
            <v>99</v>
          </cell>
          <cell r="M335">
            <v>198</v>
          </cell>
          <cell r="O335">
            <v>209</v>
          </cell>
          <cell r="P335">
            <v>40</v>
          </cell>
          <cell r="T335">
            <v>434</v>
          </cell>
          <cell r="U335">
            <v>41</v>
          </cell>
          <cell r="Y335">
            <v>2061</v>
          </cell>
        </row>
        <row r="336">
          <cell r="F336">
            <v>0</v>
          </cell>
          <cell r="G336">
            <v>1</v>
          </cell>
          <cell r="H336">
            <v>1</v>
          </cell>
          <cell r="I336">
            <v>2</v>
          </cell>
          <cell r="J336">
            <v>19</v>
          </cell>
          <cell r="K336">
            <v>13</v>
          </cell>
          <cell r="M336">
            <v>4</v>
          </cell>
          <cell r="O336">
            <v>3</v>
          </cell>
          <cell r="P336">
            <v>2</v>
          </cell>
          <cell r="T336">
            <v>5</v>
          </cell>
          <cell r="U336">
            <v>0</v>
          </cell>
          <cell r="Y336">
            <v>50</v>
          </cell>
        </row>
        <row r="337">
          <cell r="F337">
            <v>7</v>
          </cell>
          <cell r="G337">
            <v>17</v>
          </cell>
          <cell r="H337">
            <v>1</v>
          </cell>
          <cell r="I337">
            <v>118</v>
          </cell>
          <cell r="J337">
            <v>14</v>
          </cell>
          <cell r="K337">
            <v>36</v>
          </cell>
          <cell r="M337">
            <v>7</v>
          </cell>
          <cell r="O337">
            <v>9</v>
          </cell>
          <cell r="P337">
            <v>4</v>
          </cell>
          <cell r="T337">
            <v>10</v>
          </cell>
          <cell r="U337">
            <v>9</v>
          </cell>
          <cell r="Y337">
            <v>232</v>
          </cell>
        </row>
        <row r="338">
          <cell r="F338">
            <v>167</v>
          </cell>
          <cell r="G338">
            <v>248</v>
          </cell>
          <cell r="H338">
            <v>676</v>
          </cell>
          <cell r="I338">
            <v>327</v>
          </cell>
          <cell r="J338">
            <v>855</v>
          </cell>
          <cell r="K338">
            <v>153</v>
          </cell>
          <cell r="M338">
            <v>323</v>
          </cell>
          <cell r="O338">
            <v>611</v>
          </cell>
          <cell r="P338">
            <v>186</v>
          </cell>
          <cell r="S338">
            <v>177</v>
          </cell>
          <cell r="T338">
            <v>1400</v>
          </cell>
          <cell r="U338">
            <v>151</v>
          </cell>
          <cell r="Y338">
            <v>5274</v>
          </cell>
        </row>
        <row r="339">
          <cell r="F339">
            <v>125</v>
          </cell>
          <cell r="G339">
            <v>157</v>
          </cell>
          <cell r="H339">
            <v>194</v>
          </cell>
          <cell r="I339">
            <v>137</v>
          </cell>
          <cell r="J339">
            <v>271</v>
          </cell>
          <cell r="K339">
            <v>111</v>
          </cell>
          <cell r="M339">
            <v>133</v>
          </cell>
          <cell r="O339">
            <v>321</v>
          </cell>
          <cell r="P339">
            <v>175</v>
          </cell>
          <cell r="T339">
            <v>873</v>
          </cell>
          <cell r="U339">
            <v>149</v>
          </cell>
          <cell r="Y339">
            <v>2646</v>
          </cell>
        </row>
        <row r="340">
          <cell r="F340">
            <v>146</v>
          </cell>
          <cell r="G340">
            <v>241</v>
          </cell>
          <cell r="H340">
            <v>654</v>
          </cell>
          <cell r="I340">
            <v>279</v>
          </cell>
          <cell r="J340">
            <v>848</v>
          </cell>
          <cell r="K340">
            <v>139</v>
          </cell>
          <cell r="M340">
            <v>270</v>
          </cell>
          <cell r="O340">
            <v>604</v>
          </cell>
          <cell r="P340">
            <v>172</v>
          </cell>
          <cell r="T340">
            <v>1395</v>
          </cell>
          <cell r="U340">
            <v>151</v>
          </cell>
          <cell r="Y340">
            <v>4899</v>
          </cell>
        </row>
        <row r="341">
          <cell r="F341">
            <v>125</v>
          </cell>
          <cell r="G341">
            <v>157</v>
          </cell>
          <cell r="H341">
            <v>188</v>
          </cell>
          <cell r="I341">
            <v>126</v>
          </cell>
          <cell r="J341">
            <v>271</v>
          </cell>
          <cell r="K341">
            <v>104</v>
          </cell>
          <cell r="M341">
            <v>130</v>
          </cell>
          <cell r="O341">
            <v>317</v>
          </cell>
          <cell r="P341">
            <v>172</v>
          </cell>
          <cell r="T341">
            <v>873</v>
          </cell>
          <cell r="U341">
            <v>130</v>
          </cell>
          <cell r="Y341">
            <v>2593</v>
          </cell>
        </row>
        <row r="342">
          <cell r="Y342">
            <v>0</v>
          </cell>
        </row>
        <row r="386">
          <cell r="F386">
            <v>828</v>
          </cell>
          <cell r="G386">
            <v>1659</v>
          </cell>
          <cell r="H386">
            <v>3842</v>
          </cell>
          <cell r="I386">
            <v>3334</v>
          </cell>
          <cell r="J386">
            <v>8557</v>
          </cell>
          <cell r="K386">
            <v>1170</v>
          </cell>
          <cell r="L386" t="str">
            <v/>
          </cell>
          <cell r="M386">
            <v>2227</v>
          </cell>
          <cell r="N386" t="str">
            <v/>
          </cell>
          <cell r="O386">
            <v>3922</v>
          </cell>
          <cell r="P386">
            <v>1596</v>
          </cell>
          <cell r="Q386" t="str">
            <v/>
          </cell>
          <cell r="R386" t="str">
            <v/>
          </cell>
          <cell r="S386">
            <v>1713</v>
          </cell>
          <cell r="T386">
            <v>9311</v>
          </cell>
          <cell r="U386">
            <v>953</v>
          </cell>
          <cell r="V386" t="str">
            <v/>
          </cell>
          <cell r="W386" t="str">
            <v/>
          </cell>
          <cell r="X386" t="str">
            <v/>
          </cell>
          <cell r="Y386">
            <v>39112</v>
          </cell>
          <cell r="Z386" t="str">
            <v/>
          </cell>
        </row>
      </sheetData>
      <sheetData sheetId="3"/>
      <sheetData sheetId="4" refreshError="1"/>
      <sheetData sheetId="5" refreshError="1"/>
      <sheetData sheetId="6">
        <row r="9">
          <cell r="AB9" t="str">
            <v>(none)</v>
          </cell>
        </row>
        <row r="10">
          <cell r="AB10" t="str">
            <v>Bracknell Forest</v>
          </cell>
        </row>
        <row r="11">
          <cell r="AB11" t="str">
            <v>Brighton &amp; Hove</v>
          </cell>
        </row>
        <row r="12">
          <cell r="AB12" t="str">
            <v>Buckinghamshire</v>
          </cell>
        </row>
        <row r="13">
          <cell r="AB13" t="str">
            <v>East Sussex</v>
          </cell>
        </row>
        <row r="14">
          <cell r="AB14" t="str">
            <v>Hampshire</v>
          </cell>
        </row>
        <row r="15">
          <cell r="AB15" t="str">
            <v>Isle of Wight</v>
          </cell>
        </row>
        <row r="16">
          <cell r="AB16" t="str">
            <v>Kent</v>
          </cell>
        </row>
        <row r="17">
          <cell r="AB17" t="str">
            <v>Medway</v>
          </cell>
        </row>
        <row r="18">
          <cell r="AB18" t="str">
            <v>Milton Keynes</v>
          </cell>
        </row>
        <row r="19">
          <cell r="AB19" t="str">
            <v>Oxfordshire</v>
          </cell>
        </row>
        <row r="20">
          <cell r="AB20" t="str">
            <v>Portsmouth</v>
          </cell>
        </row>
        <row r="21">
          <cell r="AB21" t="str">
            <v>Reading</v>
          </cell>
        </row>
        <row r="22">
          <cell r="AB22" t="str">
            <v>Slough</v>
          </cell>
        </row>
        <row r="23">
          <cell r="AB23" t="str">
            <v>Southampton</v>
          </cell>
        </row>
        <row r="24">
          <cell r="AB24" t="str">
            <v>Surrey</v>
          </cell>
        </row>
        <row r="25">
          <cell r="AB25" t="str">
            <v>West Berkshire</v>
          </cell>
        </row>
        <row r="26">
          <cell r="AB26" t="str">
            <v>West Sussex</v>
          </cell>
        </row>
        <row r="27">
          <cell r="AB27" t="str">
            <v>Windsor &amp; Maidenhead</v>
          </cell>
        </row>
        <row r="28">
          <cell r="AB28" t="str">
            <v>Wokingham</v>
          </cell>
        </row>
        <row r="29">
          <cell r="AB29" t="str">
            <v>South East</v>
          </cell>
        </row>
        <row r="30">
          <cell r="AB30" t="str">
            <v>England</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ral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85100"/>
        </a:solidFill>
        <a:ln w="19050">
          <a:solidFill>
            <a:srgbClr val="C85100"/>
          </a:solidFill>
          <a:round/>
          <a:headEnd/>
          <a:tailEnd/>
        </a:ln>
      </a:spPr>
      <a:bodyPr vertOverflow="clip" wrap="square" lIns="27432" tIns="22860" rIns="27432" bIns="0" anchor="ctr" upright="1"/>
      <a:lstStyle>
        <a:defPPr algn="ctr" rtl="0">
          <a:defRPr sz="1200" b="1" i="0" u="none" strike="noStrike" baseline="0">
            <a:solidFill>
              <a:srgbClr val="FFFFFF"/>
            </a:solidFill>
            <a:latin typeface="Arial"/>
            <a:cs typeface="Arial"/>
          </a:defRPr>
        </a:defPPr>
      </a:lstStyle>
    </a:sp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7.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26" Type="http://schemas.openxmlformats.org/officeDocument/2006/relationships/ctrlProp" Target="../ctrlProps/ctrlProp45.xml"/><Relationship Id="rId3" Type="http://schemas.openxmlformats.org/officeDocument/2006/relationships/printerSettings" Target="../printerSettings/printerSettings15.bin"/><Relationship Id="rId21" Type="http://schemas.openxmlformats.org/officeDocument/2006/relationships/ctrlProp" Target="../ctrlProps/ctrlProp40.x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2" Type="http://schemas.openxmlformats.org/officeDocument/2006/relationships/hyperlink" Target="https://www.myonlinetraininghub.com/excel-ignore-blanks-in-data-validation-list" TargetMode="External"/><Relationship Id="rId16" Type="http://schemas.openxmlformats.org/officeDocument/2006/relationships/ctrlProp" Target="../ctrlProps/ctrlProp35.xml"/><Relationship Id="rId20" Type="http://schemas.openxmlformats.org/officeDocument/2006/relationships/ctrlProp" Target="../ctrlProps/ctrlProp39.xml"/><Relationship Id="rId1" Type="http://schemas.openxmlformats.org/officeDocument/2006/relationships/hyperlink" Target="https://www.myonlinetraininghub.com/excel-remove-blank-cells-from-a-range" TargetMode="External"/><Relationship Id="rId6" Type="http://schemas.openxmlformats.org/officeDocument/2006/relationships/ctrlProp" Target="../ctrlProps/ctrlProp25.xml"/><Relationship Id="rId11" Type="http://schemas.openxmlformats.org/officeDocument/2006/relationships/ctrlProp" Target="../ctrlProps/ctrlProp30.xml"/><Relationship Id="rId24" Type="http://schemas.openxmlformats.org/officeDocument/2006/relationships/ctrlProp" Target="../ctrlProps/ctrlProp43.xml"/><Relationship Id="rId5" Type="http://schemas.openxmlformats.org/officeDocument/2006/relationships/vmlDrawing" Target="../drawings/vmlDrawing2.vml"/><Relationship Id="rId15" Type="http://schemas.openxmlformats.org/officeDocument/2006/relationships/ctrlProp" Target="../ctrlProps/ctrlProp34.xml"/><Relationship Id="rId23" Type="http://schemas.openxmlformats.org/officeDocument/2006/relationships/ctrlProp" Target="../ctrlProps/ctrlProp42.xml"/><Relationship Id="rId28" Type="http://schemas.openxmlformats.org/officeDocument/2006/relationships/ctrlProp" Target="../ctrlProps/ctrlProp47.xml"/><Relationship Id="rId10" Type="http://schemas.openxmlformats.org/officeDocument/2006/relationships/ctrlProp" Target="../ctrlProps/ctrlProp29.xml"/><Relationship Id="rId19" Type="http://schemas.openxmlformats.org/officeDocument/2006/relationships/ctrlProp" Target="../ctrlProps/ctrlProp38.xml"/><Relationship Id="rId4" Type="http://schemas.openxmlformats.org/officeDocument/2006/relationships/drawing" Target="../drawings/drawing8.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 Id="rId27" Type="http://schemas.openxmlformats.org/officeDocument/2006/relationships/ctrlProp" Target="../ctrlProps/ctrlProp46.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52.xml"/><Relationship Id="rId13" Type="http://schemas.openxmlformats.org/officeDocument/2006/relationships/ctrlProp" Target="../ctrlProps/ctrlProp57.xml"/><Relationship Id="rId18" Type="http://schemas.openxmlformats.org/officeDocument/2006/relationships/ctrlProp" Target="../ctrlProps/ctrlProp62.xml"/><Relationship Id="rId26" Type="http://schemas.openxmlformats.org/officeDocument/2006/relationships/ctrlProp" Target="../ctrlProps/ctrlProp70.xml"/><Relationship Id="rId3" Type="http://schemas.openxmlformats.org/officeDocument/2006/relationships/vmlDrawing" Target="../drawings/vmlDrawing3.vml"/><Relationship Id="rId21" Type="http://schemas.openxmlformats.org/officeDocument/2006/relationships/ctrlProp" Target="../ctrlProps/ctrlProp65.xml"/><Relationship Id="rId7" Type="http://schemas.openxmlformats.org/officeDocument/2006/relationships/ctrlProp" Target="../ctrlProps/ctrlProp51.xml"/><Relationship Id="rId12" Type="http://schemas.openxmlformats.org/officeDocument/2006/relationships/ctrlProp" Target="../ctrlProps/ctrlProp56.xml"/><Relationship Id="rId17" Type="http://schemas.openxmlformats.org/officeDocument/2006/relationships/ctrlProp" Target="../ctrlProps/ctrlProp61.xml"/><Relationship Id="rId25" Type="http://schemas.openxmlformats.org/officeDocument/2006/relationships/ctrlProp" Target="../ctrlProps/ctrlProp69.xml"/><Relationship Id="rId2" Type="http://schemas.openxmlformats.org/officeDocument/2006/relationships/drawing" Target="../drawings/drawing9.xml"/><Relationship Id="rId16" Type="http://schemas.openxmlformats.org/officeDocument/2006/relationships/ctrlProp" Target="../ctrlProps/ctrlProp60.xml"/><Relationship Id="rId20" Type="http://schemas.openxmlformats.org/officeDocument/2006/relationships/ctrlProp" Target="../ctrlProps/ctrlProp64.xml"/><Relationship Id="rId1" Type="http://schemas.openxmlformats.org/officeDocument/2006/relationships/printerSettings" Target="../printerSettings/printerSettings16.bin"/><Relationship Id="rId6" Type="http://schemas.openxmlformats.org/officeDocument/2006/relationships/ctrlProp" Target="../ctrlProps/ctrlProp50.xml"/><Relationship Id="rId11" Type="http://schemas.openxmlformats.org/officeDocument/2006/relationships/ctrlProp" Target="../ctrlProps/ctrlProp55.xml"/><Relationship Id="rId24" Type="http://schemas.openxmlformats.org/officeDocument/2006/relationships/ctrlProp" Target="../ctrlProps/ctrlProp68.xml"/><Relationship Id="rId5" Type="http://schemas.openxmlformats.org/officeDocument/2006/relationships/ctrlProp" Target="../ctrlProps/ctrlProp49.xml"/><Relationship Id="rId15" Type="http://schemas.openxmlformats.org/officeDocument/2006/relationships/ctrlProp" Target="../ctrlProps/ctrlProp59.xml"/><Relationship Id="rId23" Type="http://schemas.openxmlformats.org/officeDocument/2006/relationships/ctrlProp" Target="../ctrlProps/ctrlProp67.xml"/><Relationship Id="rId10" Type="http://schemas.openxmlformats.org/officeDocument/2006/relationships/ctrlProp" Target="../ctrlProps/ctrlProp54.xml"/><Relationship Id="rId19" Type="http://schemas.openxmlformats.org/officeDocument/2006/relationships/ctrlProp" Target="../ctrlProps/ctrlProp63.xml"/><Relationship Id="rId4" Type="http://schemas.openxmlformats.org/officeDocument/2006/relationships/ctrlProp" Target="../ctrlProps/ctrlProp48.xml"/><Relationship Id="rId9" Type="http://schemas.openxmlformats.org/officeDocument/2006/relationships/ctrlProp" Target="../ctrlProps/ctrlProp53.xml"/><Relationship Id="rId14" Type="http://schemas.openxmlformats.org/officeDocument/2006/relationships/ctrlProp" Target="../ctrlProps/ctrlProp58.xml"/><Relationship Id="rId22" Type="http://schemas.openxmlformats.org/officeDocument/2006/relationships/ctrlProp" Target="../ctrlProps/ctrlProp66.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75.xml"/><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3" Type="http://schemas.openxmlformats.org/officeDocument/2006/relationships/vmlDrawing" Target="../drawings/vmlDrawing4.vml"/><Relationship Id="rId21" Type="http://schemas.openxmlformats.org/officeDocument/2006/relationships/ctrlProp" Target="../ctrlProps/ctrlProp88.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2" Type="http://schemas.openxmlformats.org/officeDocument/2006/relationships/drawing" Target="../drawings/drawing10.xml"/><Relationship Id="rId16" Type="http://schemas.openxmlformats.org/officeDocument/2006/relationships/ctrlProp" Target="../ctrlProps/ctrlProp83.xml"/><Relationship Id="rId20" Type="http://schemas.openxmlformats.org/officeDocument/2006/relationships/ctrlProp" Target="../ctrlProps/ctrlProp87.xml"/><Relationship Id="rId1" Type="http://schemas.openxmlformats.org/officeDocument/2006/relationships/printerSettings" Target="../printerSettings/printerSettings17.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10" Type="http://schemas.openxmlformats.org/officeDocument/2006/relationships/ctrlProp" Target="../ctrlProps/ctrlProp77.xml"/><Relationship Id="rId19" Type="http://schemas.openxmlformats.org/officeDocument/2006/relationships/ctrlProp" Target="../ctrlProps/ctrlProp86.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98.xml"/><Relationship Id="rId13" Type="http://schemas.openxmlformats.org/officeDocument/2006/relationships/ctrlProp" Target="../ctrlProps/ctrlProp103.xml"/><Relationship Id="rId18" Type="http://schemas.openxmlformats.org/officeDocument/2006/relationships/ctrlProp" Target="../ctrlProps/ctrlProp108.xml"/><Relationship Id="rId26" Type="http://schemas.openxmlformats.org/officeDocument/2006/relationships/ctrlProp" Target="../ctrlProps/ctrlProp116.xml"/><Relationship Id="rId3" Type="http://schemas.openxmlformats.org/officeDocument/2006/relationships/vmlDrawing" Target="../drawings/vmlDrawing5.vml"/><Relationship Id="rId21" Type="http://schemas.openxmlformats.org/officeDocument/2006/relationships/ctrlProp" Target="../ctrlProps/ctrlProp111.xml"/><Relationship Id="rId7" Type="http://schemas.openxmlformats.org/officeDocument/2006/relationships/ctrlProp" Target="../ctrlProps/ctrlProp97.xml"/><Relationship Id="rId12" Type="http://schemas.openxmlformats.org/officeDocument/2006/relationships/ctrlProp" Target="../ctrlProps/ctrlProp102.xml"/><Relationship Id="rId17" Type="http://schemas.openxmlformats.org/officeDocument/2006/relationships/ctrlProp" Target="../ctrlProps/ctrlProp107.xml"/><Relationship Id="rId25" Type="http://schemas.openxmlformats.org/officeDocument/2006/relationships/ctrlProp" Target="../ctrlProps/ctrlProp115.xml"/><Relationship Id="rId2" Type="http://schemas.openxmlformats.org/officeDocument/2006/relationships/drawing" Target="../drawings/drawing11.xml"/><Relationship Id="rId16" Type="http://schemas.openxmlformats.org/officeDocument/2006/relationships/ctrlProp" Target="../ctrlProps/ctrlProp106.xml"/><Relationship Id="rId20" Type="http://schemas.openxmlformats.org/officeDocument/2006/relationships/ctrlProp" Target="../ctrlProps/ctrlProp110.xml"/><Relationship Id="rId1" Type="http://schemas.openxmlformats.org/officeDocument/2006/relationships/printerSettings" Target="../printerSettings/printerSettings18.bin"/><Relationship Id="rId6" Type="http://schemas.openxmlformats.org/officeDocument/2006/relationships/ctrlProp" Target="../ctrlProps/ctrlProp96.xml"/><Relationship Id="rId11" Type="http://schemas.openxmlformats.org/officeDocument/2006/relationships/ctrlProp" Target="../ctrlProps/ctrlProp101.xml"/><Relationship Id="rId24" Type="http://schemas.openxmlformats.org/officeDocument/2006/relationships/ctrlProp" Target="../ctrlProps/ctrlProp114.xml"/><Relationship Id="rId5" Type="http://schemas.openxmlformats.org/officeDocument/2006/relationships/ctrlProp" Target="../ctrlProps/ctrlProp95.xml"/><Relationship Id="rId15" Type="http://schemas.openxmlformats.org/officeDocument/2006/relationships/ctrlProp" Target="../ctrlProps/ctrlProp105.xml"/><Relationship Id="rId23" Type="http://schemas.openxmlformats.org/officeDocument/2006/relationships/ctrlProp" Target="../ctrlProps/ctrlProp113.xml"/><Relationship Id="rId10" Type="http://schemas.openxmlformats.org/officeDocument/2006/relationships/ctrlProp" Target="../ctrlProps/ctrlProp100.xml"/><Relationship Id="rId19" Type="http://schemas.openxmlformats.org/officeDocument/2006/relationships/ctrlProp" Target="../ctrlProps/ctrlProp109.xml"/><Relationship Id="rId4" Type="http://schemas.openxmlformats.org/officeDocument/2006/relationships/ctrlProp" Target="../ctrlProps/ctrlProp94.xml"/><Relationship Id="rId9" Type="http://schemas.openxmlformats.org/officeDocument/2006/relationships/ctrlProp" Target="../ctrlProps/ctrlProp99.xml"/><Relationship Id="rId14" Type="http://schemas.openxmlformats.org/officeDocument/2006/relationships/ctrlProp" Target="../ctrlProps/ctrlProp104.xml"/><Relationship Id="rId22" Type="http://schemas.openxmlformats.org/officeDocument/2006/relationships/ctrlProp" Target="../ctrlProps/ctrlProp112.xml"/><Relationship Id="rId27" Type="http://schemas.openxmlformats.org/officeDocument/2006/relationships/ctrlProp" Target="../ctrlProps/ctrlProp1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22.xml"/><Relationship Id="rId13" Type="http://schemas.openxmlformats.org/officeDocument/2006/relationships/ctrlProp" Target="../ctrlProps/ctrlProp127.xml"/><Relationship Id="rId18" Type="http://schemas.openxmlformats.org/officeDocument/2006/relationships/ctrlProp" Target="../ctrlProps/ctrlProp132.xml"/><Relationship Id="rId26" Type="http://schemas.openxmlformats.org/officeDocument/2006/relationships/ctrlProp" Target="../ctrlProps/ctrlProp140.xml"/><Relationship Id="rId3" Type="http://schemas.openxmlformats.org/officeDocument/2006/relationships/vmlDrawing" Target="../drawings/vmlDrawing6.vml"/><Relationship Id="rId21" Type="http://schemas.openxmlformats.org/officeDocument/2006/relationships/ctrlProp" Target="../ctrlProps/ctrlProp135.xml"/><Relationship Id="rId7" Type="http://schemas.openxmlformats.org/officeDocument/2006/relationships/ctrlProp" Target="../ctrlProps/ctrlProp121.xml"/><Relationship Id="rId12" Type="http://schemas.openxmlformats.org/officeDocument/2006/relationships/ctrlProp" Target="../ctrlProps/ctrlProp126.xml"/><Relationship Id="rId17" Type="http://schemas.openxmlformats.org/officeDocument/2006/relationships/ctrlProp" Target="../ctrlProps/ctrlProp131.xml"/><Relationship Id="rId25" Type="http://schemas.openxmlformats.org/officeDocument/2006/relationships/ctrlProp" Target="../ctrlProps/ctrlProp139.xml"/><Relationship Id="rId2" Type="http://schemas.openxmlformats.org/officeDocument/2006/relationships/drawing" Target="../drawings/drawing13.xml"/><Relationship Id="rId16" Type="http://schemas.openxmlformats.org/officeDocument/2006/relationships/ctrlProp" Target="../ctrlProps/ctrlProp130.xml"/><Relationship Id="rId20" Type="http://schemas.openxmlformats.org/officeDocument/2006/relationships/ctrlProp" Target="../ctrlProps/ctrlProp134.xml"/><Relationship Id="rId1" Type="http://schemas.openxmlformats.org/officeDocument/2006/relationships/printerSettings" Target="../printerSettings/printerSettings20.bin"/><Relationship Id="rId6" Type="http://schemas.openxmlformats.org/officeDocument/2006/relationships/ctrlProp" Target="../ctrlProps/ctrlProp120.xml"/><Relationship Id="rId11" Type="http://schemas.openxmlformats.org/officeDocument/2006/relationships/ctrlProp" Target="../ctrlProps/ctrlProp125.xml"/><Relationship Id="rId24" Type="http://schemas.openxmlformats.org/officeDocument/2006/relationships/ctrlProp" Target="../ctrlProps/ctrlProp138.xml"/><Relationship Id="rId5" Type="http://schemas.openxmlformats.org/officeDocument/2006/relationships/ctrlProp" Target="../ctrlProps/ctrlProp119.xml"/><Relationship Id="rId15" Type="http://schemas.openxmlformats.org/officeDocument/2006/relationships/ctrlProp" Target="../ctrlProps/ctrlProp129.xml"/><Relationship Id="rId23" Type="http://schemas.openxmlformats.org/officeDocument/2006/relationships/ctrlProp" Target="../ctrlProps/ctrlProp137.xml"/><Relationship Id="rId10" Type="http://schemas.openxmlformats.org/officeDocument/2006/relationships/ctrlProp" Target="../ctrlProps/ctrlProp124.xml"/><Relationship Id="rId19" Type="http://schemas.openxmlformats.org/officeDocument/2006/relationships/ctrlProp" Target="../ctrlProps/ctrlProp133.xml"/><Relationship Id="rId4" Type="http://schemas.openxmlformats.org/officeDocument/2006/relationships/ctrlProp" Target="../ctrlProps/ctrlProp118.xml"/><Relationship Id="rId9" Type="http://schemas.openxmlformats.org/officeDocument/2006/relationships/ctrlProp" Target="../ctrlProps/ctrlProp123.xml"/><Relationship Id="rId14" Type="http://schemas.openxmlformats.org/officeDocument/2006/relationships/ctrlProp" Target="../ctrlProps/ctrlProp128.xml"/><Relationship Id="rId22" Type="http://schemas.openxmlformats.org/officeDocument/2006/relationships/ctrlProp" Target="../ctrlProps/ctrlProp136.xml"/><Relationship Id="rId27" Type="http://schemas.openxmlformats.org/officeDocument/2006/relationships/ctrlProp" Target="../ctrlProps/ctrlProp141.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146.xml"/><Relationship Id="rId13" Type="http://schemas.openxmlformats.org/officeDocument/2006/relationships/ctrlProp" Target="../ctrlProps/ctrlProp151.xml"/><Relationship Id="rId18" Type="http://schemas.openxmlformats.org/officeDocument/2006/relationships/ctrlProp" Target="../ctrlProps/ctrlProp156.xml"/><Relationship Id="rId26" Type="http://schemas.openxmlformats.org/officeDocument/2006/relationships/ctrlProp" Target="../ctrlProps/ctrlProp164.xml"/><Relationship Id="rId3" Type="http://schemas.openxmlformats.org/officeDocument/2006/relationships/vmlDrawing" Target="../drawings/vmlDrawing7.vml"/><Relationship Id="rId21" Type="http://schemas.openxmlformats.org/officeDocument/2006/relationships/ctrlProp" Target="../ctrlProps/ctrlProp159.xml"/><Relationship Id="rId7" Type="http://schemas.openxmlformats.org/officeDocument/2006/relationships/ctrlProp" Target="../ctrlProps/ctrlProp145.xml"/><Relationship Id="rId12" Type="http://schemas.openxmlformats.org/officeDocument/2006/relationships/ctrlProp" Target="../ctrlProps/ctrlProp150.xml"/><Relationship Id="rId17" Type="http://schemas.openxmlformats.org/officeDocument/2006/relationships/ctrlProp" Target="../ctrlProps/ctrlProp155.xml"/><Relationship Id="rId25" Type="http://schemas.openxmlformats.org/officeDocument/2006/relationships/ctrlProp" Target="../ctrlProps/ctrlProp163.xml"/><Relationship Id="rId2" Type="http://schemas.openxmlformats.org/officeDocument/2006/relationships/drawing" Target="../drawings/drawing14.xml"/><Relationship Id="rId16" Type="http://schemas.openxmlformats.org/officeDocument/2006/relationships/ctrlProp" Target="../ctrlProps/ctrlProp154.xml"/><Relationship Id="rId20" Type="http://schemas.openxmlformats.org/officeDocument/2006/relationships/ctrlProp" Target="../ctrlProps/ctrlProp158.xml"/><Relationship Id="rId1" Type="http://schemas.openxmlformats.org/officeDocument/2006/relationships/printerSettings" Target="../printerSettings/printerSettings21.bin"/><Relationship Id="rId6" Type="http://schemas.openxmlformats.org/officeDocument/2006/relationships/ctrlProp" Target="../ctrlProps/ctrlProp144.xml"/><Relationship Id="rId11" Type="http://schemas.openxmlformats.org/officeDocument/2006/relationships/ctrlProp" Target="../ctrlProps/ctrlProp149.xml"/><Relationship Id="rId24" Type="http://schemas.openxmlformats.org/officeDocument/2006/relationships/ctrlProp" Target="../ctrlProps/ctrlProp162.xml"/><Relationship Id="rId5" Type="http://schemas.openxmlformats.org/officeDocument/2006/relationships/ctrlProp" Target="../ctrlProps/ctrlProp143.xml"/><Relationship Id="rId15" Type="http://schemas.openxmlformats.org/officeDocument/2006/relationships/ctrlProp" Target="../ctrlProps/ctrlProp153.xml"/><Relationship Id="rId23" Type="http://schemas.openxmlformats.org/officeDocument/2006/relationships/ctrlProp" Target="../ctrlProps/ctrlProp161.xml"/><Relationship Id="rId10" Type="http://schemas.openxmlformats.org/officeDocument/2006/relationships/ctrlProp" Target="../ctrlProps/ctrlProp148.xml"/><Relationship Id="rId19" Type="http://schemas.openxmlformats.org/officeDocument/2006/relationships/ctrlProp" Target="../ctrlProps/ctrlProp157.xml"/><Relationship Id="rId4" Type="http://schemas.openxmlformats.org/officeDocument/2006/relationships/ctrlProp" Target="../ctrlProps/ctrlProp142.xml"/><Relationship Id="rId9" Type="http://schemas.openxmlformats.org/officeDocument/2006/relationships/ctrlProp" Target="../ctrlProps/ctrlProp147.xml"/><Relationship Id="rId14" Type="http://schemas.openxmlformats.org/officeDocument/2006/relationships/ctrlProp" Target="../ctrlProps/ctrlProp152.xml"/><Relationship Id="rId22" Type="http://schemas.openxmlformats.org/officeDocument/2006/relationships/ctrlProp" Target="../ctrlProps/ctrlProp160.xml"/><Relationship Id="rId27" Type="http://schemas.openxmlformats.org/officeDocument/2006/relationships/ctrlProp" Target="../ctrlProps/ctrlProp165.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70.xml"/><Relationship Id="rId13" Type="http://schemas.openxmlformats.org/officeDocument/2006/relationships/ctrlProp" Target="../ctrlProps/ctrlProp175.xml"/><Relationship Id="rId18" Type="http://schemas.openxmlformats.org/officeDocument/2006/relationships/ctrlProp" Target="../ctrlProps/ctrlProp180.xml"/><Relationship Id="rId26" Type="http://schemas.openxmlformats.org/officeDocument/2006/relationships/ctrlProp" Target="../ctrlProps/ctrlProp188.xml"/><Relationship Id="rId3" Type="http://schemas.openxmlformats.org/officeDocument/2006/relationships/vmlDrawing" Target="../drawings/vmlDrawing8.vml"/><Relationship Id="rId21" Type="http://schemas.openxmlformats.org/officeDocument/2006/relationships/ctrlProp" Target="../ctrlProps/ctrlProp183.xml"/><Relationship Id="rId7" Type="http://schemas.openxmlformats.org/officeDocument/2006/relationships/ctrlProp" Target="../ctrlProps/ctrlProp169.xml"/><Relationship Id="rId12" Type="http://schemas.openxmlformats.org/officeDocument/2006/relationships/ctrlProp" Target="../ctrlProps/ctrlProp174.xml"/><Relationship Id="rId17" Type="http://schemas.openxmlformats.org/officeDocument/2006/relationships/ctrlProp" Target="../ctrlProps/ctrlProp179.xml"/><Relationship Id="rId25" Type="http://schemas.openxmlformats.org/officeDocument/2006/relationships/ctrlProp" Target="../ctrlProps/ctrlProp187.xml"/><Relationship Id="rId2" Type="http://schemas.openxmlformats.org/officeDocument/2006/relationships/drawing" Target="../drawings/drawing15.xml"/><Relationship Id="rId16" Type="http://schemas.openxmlformats.org/officeDocument/2006/relationships/ctrlProp" Target="../ctrlProps/ctrlProp178.xml"/><Relationship Id="rId20" Type="http://schemas.openxmlformats.org/officeDocument/2006/relationships/ctrlProp" Target="../ctrlProps/ctrlProp182.xml"/><Relationship Id="rId1" Type="http://schemas.openxmlformats.org/officeDocument/2006/relationships/printerSettings" Target="../printerSettings/printerSettings22.bin"/><Relationship Id="rId6" Type="http://schemas.openxmlformats.org/officeDocument/2006/relationships/ctrlProp" Target="../ctrlProps/ctrlProp168.xml"/><Relationship Id="rId11" Type="http://schemas.openxmlformats.org/officeDocument/2006/relationships/ctrlProp" Target="../ctrlProps/ctrlProp173.xml"/><Relationship Id="rId24" Type="http://schemas.openxmlformats.org/officeDocument/2006/relationships/ctrlProp" Target="../ctrlProps/ctrlProp186.xml"/><Relationship Id="rId5" Type="http://schemas.openxmlformats.org/officeDocument/2006/relationships/ctrlProp" Target="../ctrlProps/ctrlProp167.xml"/><Relationship Id="rId15" Type="http://schemas.openxmlformats.org/officeDocument/2006/relationships/ctrlProp" Target="../ctrlProps/ctrlProp177.xml"/><Relationship Id="rId23" Type="http://schemas.openxmlformats.org/officeDocument/2006/relationships/ctrlProp" Target="../ctrlProps/ctrlProp185.xml"/><Relationship Id="rId10" Type="http://schemas.openxmlformats.org/officeDocument/2006/relationships/ctrlProp" Target="../ctrlProps/ctrlProp172.xml"/><Relationship Id="rId19" Type="http://schemas.openxmlformats.org/officeDocument/2006/relationships/ctrlProp" Target="../ctrlProps/ctrlProp181.xml"/><Relationship Id="rId4" Type="http://schemas.openxmlformats.org/officeDocument/2006/relationships/ctrlProp" Target="../ctrlProps/ctrlProp166.xml"/><Relationship Id="rId9" Type="http://schemas.openxmlformats.org/officeDocument/2006/relationships/ctrlProp" Target="../ctrlProps/ctrlProp171.xml"/><Relationship Id="rId14" Type="http://schemas.openxmlformats.org/officeDocument/2006/relationships/ctrlProp" Target="../ctrlProps/ctrlProp176.xml"/><Relationship Id="rId22" Type="http://schemas.openxmlformats.org/officeDocument/2006/relationships/ctrlProp" Target="../ctrlProps/ctrlProp184.xml"/><Relationship Id="rId27" Type="http://schemas.openxmlformats.org/officeDocument/2006/relationships/ctrlProp" Target="../ctrlProps/ctrlProp189.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194.xml"/><Relationship Id="rId13" Type="http://schemas.openxmlformats.org/officeDocument/2006/relationships/ctrlProp" Target="../ctrlProps/ctrlProp199.xml"/><Relationship Id="rId18" Type="http://schemas.openxmlformats.org/officeDocument/2006/relationships/ctrlProp" Target="../ctrlProps/ctrlProp204.xml"/><Relationship Id="rId26" Type="http://schemas.openxmlformats.org/officeDocument/2006/relationships/ctrlProp" Target="../ctrlProps/ctrlProp212.xml"/><Relationship Id="rId3" Type="http://schemas.openxmlformats.org/officeDocument/2006/relationships/vmlDrawing" Target="../drawings/vmlDrawing9.vml"/><Relationship Id="rId21" Type="http://schemas.openxmlformats.org/officeDocument/2006/relationships/ctrlProp" Target="../ctrlProps/ctrlProp207.xml"/><Relationship Id="rId7" Type="http://schemas.openxmlformats.org/officeDocument/2006/relationships/ctrlProp" Target="../ctrlProps/ctrlProp193.xml"/><Relationship Id="rId12" Type="http://schemas.openxmlformats.org/officeDocument/2006/relationships/ctrlProp" Target="../ctrlProps/ctrlProp198.xml"/><Relationship Id="rId17" Type="http://schemas.openxmlformats.org/officeDocument/2006/relationships/ctrlProp" Target="../ctrlProps/ctrlProp203.xml"/><Relationship Id="rId25" Type="http://schemas.openxmlformats.org/officeDocument/2006/relationships/ctrlProp" Target="../ctrlProps/ctrlProp211.xml"/><Relationship Id="rId2" Type="http://schemas.openxmlformats.org/officeDocument/2006/relationships/drawing" Target="../drawings/drawing16.xml"/><Relationship Id="rId16" Type="http://schemas.openxmlformats.org/officeDocument/2006/relationships/ctrlProp" Target="../ctrlProps/ctrlProp202.xml"/><Relationship Id="rId20" Type="http://schemas.openxmlformats.org/officeDocument/2006/relationships/ctrlProp" Target="../ctrlProps/ctrlProp206.xml"/><Relationship Id="rId1" Type="http://schemas.openxmlformats.org/officeDocument/2006/relationships/printerSettings" Target="../printerSettings/printerSettings23.bin"/><Relationship Id="rId6" Type="http://schemas.openxmlformats.org/officeDocument/2006/relationships/ctrlProp" Target="../ctrlProps/ctrlProp192.xml"/><Relationship Id="rId11" Type="http://schemas.openxmlformats.org/officeDocument/2006/relationships/ctrlProp" Target="../ctrlProps/ctrlProp197.xml"/><Relationship Id="rId24" Type="http://schemas.openxmlformats.org/officeDocument/2006/relationships/ctrlProp" Target="../ctrlProps/ctrlProp210.xml"/><Relationship Id="rId5" Type="http://schemas.openxmlformats.org/officeDocument/2006/relationships/ctrlProp" Target="../ctrlProps/ctrlProp191.xml"/><Relationship Id="rId15" Type="http://schemas.openxmlformats.org/officeDocument/2006/relationships/ctrlProp" Target="../ctrlProps/ctrlProp201.xml"/><Relationship Id="rId23" Type="http://schemas.openxmlformats.org/officeDocument/2006/relationships/ctrlProp" Target="../ctrlProps/ctrlProp209.xml"/><Relationship Id="rId10" Type="http://schemas.openxmlformats.org/officeDocument/2006/relationships/ctrlProp" Target="../ctrlProps/ctrlProp196.xml"/><Relationship Id="rId19" Type="http://schemas.openxmlformats.org/officeDocument/2006/relationships/ctrlProp" Target="../ctrlProps/ctrlProp205.xml"/><Relationship Id="rId4" Type="http://schemas.openxmlformats.org/officeDocument/2006/relationships/ctrlProp" Target="../ctrlProps/ctrlProp190.xml"/><Relationship Id="rId9" Type="http://schemas.openxmlformats.org/officeDocument/2006/relationships/ctrlProp" Target="../ctrlProps/ctrlProp195.xml"/><Relationship Id="rId14" Type="http://schemas.openxmlformats.org/officeDocument/2006/relationships/ctrlProp" Target="../ctrlProps/ctrlProp200.xml"/><Relationship Id="rId22" Type="http://schemas.openxmlformats.org/officeDocument/2006/relationships/ctrlProp" Target="../ctrlProps/ctrlProp208.xml"/><Relationship Id="rId27" Type="http://schemas.openxmlformats.org/officeDocument/2006/relationships/ctrlProp" Target="../ctrlProps/ctrlProp213.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218.xml"/><Relationship Id="rId13" Type="http://schemas.openxmlformats.org/officeDocument/2006/relationships/ctrlProp" Target="../ctrlProps/ctrlProp223.xml"/><Relationship Id="rId18" Type="http://schemas.openxmlformats.org/officeDocument/2006/relationships/ctrlProp" Target="../ctrlProps/ctrlProp228.xml"/><Relationship Id="rId26" Type="http://schemas.openxmlformats.org/officeDocument/2006/relationships/ctrlProp" Target="../ctrlProps/ctrlProp236.xml"/><Relationship Id="rId3" Type="http://schemas.openxmlformats.org/officeDocument/2006/relationships/vmlDrawing" Target="../drawings/vmlDrawing10.vml"/><Relationship Id="rId21" Type="http://schemas.openxmlformats.org/officeDocument/2006/relationships/ctrlProp" Target="../ctrlProps/ctrlProp231.xml"/><Relationship Id="rId7" Type="http://schemas.openxmlformats.org/officeDocument/2006/relationships/ctrlProp" Target="../ctrlProps/ctrlProp217.xml"/><Relationship Id="rId12" Type="http://schemas.openxmlformats.org/officeDocument/2006/relationships/ctrlProp" Target="../ctrlProps/ctrlProp222.xml"/><Relationship Id="rId17" Type="http://schemas.openxmlformats.org/officeDocument/2006/relationships/ctrlProp" Target="../ctrlProps/ctrlProp227.xml"/><Relationship Id="rId25" Type="http://schemas.openxmlformats.org/officeDocument/2006/relationships/ctrlProp" Target="../ctrlProps/ctrlProp235.xml"/><Relationship Id="rId2" Type="http://schemas.openxmlformats.org/officeDocument/2006/relationships/drawing" Target="../drawings/drawing17.xml"/><Relationship Id="rId16" Type="http://schemas.openxmlformats.org/officeDocument/2006/relationships/ctrlProp" Target="../ctrlProps/ctrlProp226.xml"/><Relationship Id="rId20" Type="http://schemas.openxmlformats.org/officeDocument/2006/relationships/ctrlProp" Target="../ctrlProps/ctrlProp230.xml"/><Relationship Id="rId1" Type="http://schemas.openxmlformats.org/officeDocument/2006/relationships/printerSettings" Target="../printerSettings/printerSettings24.bin"/><Relationship Id="rId6" Type="http://schemas.openxmlformats.org/officeDocument/2006/relationships/ctrlProp" Target="../ctrlProps/ctrlProp216.xml"/><Relationship Id="rId11" Type="http://schemas.openxmlformats.org/officeDocument/2006/relationships/ctrlProp" Target="../ctrlProps/ctrlProp221.xml"/><Relationship Id="rId24" Type="http://schemas.openxmlformats.org/officeDocument/2006/relationships/ctrlProp" Target="../ctrlProps/ctrlProp234.xml"/><Relationship Id="rId5" Type="http://schemas.openxmlformats.org/officeDocument/2006/relationships/ctrlProp" Target="../ctrlProps/ctrlProp215.xml"/><Relationship Id="rId15" Type="http://schemas.openxmlformats.org/officeDocument/2006/relationships/ctrlProp" Target="../ctrlProps/ctrlProp225.xml"/><Relationship Id="rId23" Type="http://schemas.openxmlformats.org/officeDocument/2006/relationships/ctrlProp" Target="../ctrlProps/ctrlProp233.xml"/><Relationship Id="rId10" Type="http://schemas.openxmlformats.org/officeDocument/2006/relationships/ctrlProp" Target="../ctrlProps/ctrlProp220.xml"/><Relationship Id="rId19" Type="http://schemas.openxmlformats.org/officeDocument/2006/relationships/ctrlProp" Target="../ctrlProps/ctrlProp229.xml"/><Relationship Id="rId4" Type="http://schemas.openxmlformats.org/officeDocument/2006/relationships/ctrlProp" Target="../ctrlProps/ctrlProp214.xml"/><Relationship Id="rId9" Type="http://schemas.openxmlformats.org/officeDocument/2006/relationships/ctrlProp" Target="../ctrlProps/ctrlProp219.xml"/><Relationship Id="rId14" Type="http://schemas.openxmlformats.org/officeDocument/2006/relationships/ctrlProp" Target="../ctrlProps/ctrlProp224.xml"/><Relationship Id="rId22" Type="http://schemas.openxmlformats.org/officeDocument/2006/relationships/ctrlProp" Target="../ctrlProps/ctrlProp232.xml"/><Relationship Id="rId27" Type="http://schemas.openxmlformats.org/officeDocument/2006/relationships/ctrlProp" Target="../ctrlProps/ctrlProp237.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242.xml"/><Relationship Id="rId13" Type="http://schemas.openxmlformats.org/officeDocument/2006/relationships/ctrlProp" Target="../ctrlProps/ctrlProp247.xml"/><Relationship Id="rId18" Type="http://schemas.openxmlformats.org/officeDocument/2006/relationships/ctrlProp" Target="../ctrlProps/ctrlProp252.xml"/><Relationship Id="rId26" Type="http://schemas.openxmlformats.org/officeDocument/2006/relationships/ctrlProp" Target="../ctrlProps/ctrlProp260.xml"/><Relationship Id="rId3" Type="http://schemas.openxmlformats.org/officeDocument/2006/relationships/vmlDrawing" Target="../drawings/vmlDrawing11.vml"/><Relationship Id="rId21" Type="http://schemas.openxmlformats.org/officeDocument/2006/relationships/ctrlProp" Target="../ctrlProps/ctrlProp255.xml"/><Relationship Id="rId7" Type="http://schemas.openxmlformats.org/officeDocument/2006/relationships/ctrlProp" Target="../ctrlProps/ctrlProp241.xml"/><Relationship Id="rId12" Type="http://schemas.openxmlformats.org/officeDocument/2006/relationships/ctrlProp" Target="../ctrlProps/ctrlProp246.xml"/><Relationship Id="rId17" Type="http://schemas.openxmlformats.org/officeDocument/2006/relationships/ctrlProp" Target="../ctrlProps/ctrlProp251.xml"/><Relationship Id="rId25" Type="http://schemas.openxmlformats.org/officeDocument/2006/relationships/ctrlProp" Target="../ctrlProps/ctrlProp259.xml"/><Relationship Id="rId2" Type="http://schemas.openxmlformats.org/officeDocument/2006/relationships/drawing" Target="../drawings/drawing18.xml"/><Relationship Id="rId16" Type="http://schemas.openxmlformats.org/officeDocument/2006/relationships/ctrlProp" Target="../ctrlProps/ctrlProp250.xml"/><Relationship Id="rId20" Type="http://schemas.openxmlformats.org/officeDocument/2006/relationships/ctrlProp" Target="../ctrlProps/ctrlProp254.xml"/><Relationship Id="rId1" Type="http://schemas.openxmlformats.org/officeDocument/2006/relationships/printerSettings" Target="../printerSettings/printerSettings25.bin"/><Relationship Id="rId6" Type="http://schemas.openxmlformats.org/officeDocument/2006/relationships/ctrlProp" Target="../ctrlProps/ctrlProp240.xml"/><Relationship Id="rId11" Type="http://schemas.openxmlformats.org/officeDocument/2006/relationships/ctrlProp" Target="../ctrlProps/ctrlProp245.xml"/><Relationship Id="rId24" Type="http://schemas.openxmlformats.org/officeDocument/2006/relationships/ctrlProp" Target="../ctrlProps/ctrlProp258.xml"/><Relationship Id="rId5" Type="http://schemas.openxmlformats.org/officeDocument/2006/relationships/ctrlProp" Target="../ctrlProps/ctrlProp239.xml"/><Relationship Id="rId15" Type="http://schemas.openxmlformats.org/officeDocument/2006/relationships/ctrlProp" Target="../ctrlProps/ctrlProp249.xml"/><Relationship Id="rId23" Type="http://schemas.openxmlformats.org/officeDocument/2006/relationships/ctrlProp" Target="../ctrlProps/ctrlProp257.xml"/><Relationship Id="rId10" Type="http://schemas.openxmlformats.org/officeDocument/2006/relationships/ctrlProp" Target="../ctrlProps/ctrlProp244.xml"/><Relationship Id="rId19" Type="http://schemas.openxmlformats.org/officeDocument/2006/relationships/ctrlProp" Target="../ctrlProps/ctrlProp253.xml"/><Relationship Id="rId4" Type="http://schemas.openxmlformats.org/officeDocument/2006/relationships/ctrlProp" Target="../ctrlProps/ctrlProp238.xml"/><Relationship Id="rId9" Type="http://schemas.openxmlformats.org/officeDocument/2006/relationships/ctrlProp" Target="../ctrlProps/ctrlProp243.xml"/><Relationship Id="rId14" Type="http://schemas.openxmlformats.org/officeDocument/2006/relationships/ctrlProp" Target="../ctrlProps/ctrlProp248.xml"/><Relationship Id="rId22" Type="http://schemas.openxmlformats.org/officeDocument/2006/relationships/ctrlProp" Target="../ctrlProps/ctrlProp256.xml"/><Relationship Id="rId27" Type="http://schemas.openxmlformats.org/officeDocument/2006/relationships/ctrlProp" Target="../ctrlProps/ctrlProp261.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266.xml"/><Relationship Id="rId13" Type="http://schemas.openxmlformats.org/officeDocument/2006/relationships/ctrlProp" Target="../ctrlProps/ctrlProp271.xml"/><Relationship Id="rId18" Type="http://schemas.openxmlformats.org/officeDocument/2006/relationships/ctrlProp" Target="../ctrlProps/ctrlProp276.xml"/><Relationship Id="rId26" Type="http://schemas.openxmlformats.org/officeDocument/2006/relationships/ctrlProp" Target="../ctrlProps/ctrlProp284.xml"/><Relationship Id="rId3" Type="http://schemas.openxmlformats.org/officeDocument/2006/relationships/vmlDrawing" Target="../drawings/vmlDrawing12.vml"/><Relationship Id="rId21" Type="http://schemas.openxmlformats.org/officeDocument/2006/relationships/ctrlProp" Target="../ctrlProps/ctrlProp279.xml"/><Relationship Id="rId7" Type="http://schemas.openxmlformats.org/officeDocument/2006/relationships/ctrlProp" Target="../ctrlProps/ctrlProp265.xml"/><Relationship Id="rId12" Type="http://schemas.openxmlformats.org/officeDocument/2006/relationships/ctrlProp" Target="../ctrlProps/ctrlProp270.xml"/><Relationship Id="rId17" Type="http://schemas.openxmlformats.org/officeDocument/2006/relationships/ctrlProp" Target="../ctrlProps/ctrlProp275.xml"/><Relationship Id="rId25" Type="http://schemas.openxmlformats.org/officeDocument/2006/relationships/ctrlProp" Target="../ctrlProps/ctrlProp283.xml"/><Relationship Id="rId2" Type="http://schemas.openxmlformats.org/officeDocument/2006/relationships/drawing" Target="../drawings/drawing19.xml"/><Relationship Id="rId16" Type="http://schemas.openxmlformats.org/officeDocument/2006/relationships/ctrlProp" Target="../ctrlProps/ctrlProp274.xml"/><Relationship Id="rId20" Type="http://schemas.openxmlformats.org/officeDocument/2006/relationships/ctrlProp" Target="../ctrlProps/ctrlProp278.xml"/><Relationship Id="rId1" Type="http://schemas.openxmlformats.org/officeDocument/2006/relationships/printerSettings" Target="../printerSettings/printerSettings26.bin"/><Relationship Id="rId6" Type="http://schemas.openxmlformats.org/officeDocument/2006/relationships/ctrlProp" Target="../ctrlProps/ctrlProp264.xml"/><Relationship Id="rId11" Type="http://schemas.openxmlformats.org/officeDocument/2006/relationships/ctrlProp" Target="../ctrlProps/ctrlProp269.xml"/><Relationship Id="rId24" Type="http://schemas.openxmlformats.org/officeDocument/2006/relationships/ctrlProp" Target="../ctrlProps/ctrlProp282.xml"/><Relationship Id="rId5" Type="http://schemas.openxmlformats.org/officeDocument/2006/relationships/ctrlProp" Target="../ctrlProps/ctrlProp263.xml"/><Relationship Id="rId15" Type="http://schemas.openxmlformats.org/officeDocument/2006/relationships/ctrlProp" Target="../ctrlProps/ctrlProp273.xml"/><Relationship Id="rId23" Type="http://schemas.openxmlformats.org/officeDocument/2006/relationships/ctrlProp" Target="../ctrlProps/ctrlProp281.xml"/><Relationship Id="rId10" Type="http://schemas.openxmlformats.org/officeDocument/2006/relationships/ctrlProp" Target="../ctrlProps/ctrlProp268.xml"/><Relationship Id="rId19" Type="http://schemas.openxmlformats.org/officeDocument/2006/relationships/ctrlProp" Target="../ctrlProps/ctrlProp277.xml"/><Relationship Id="rId4" Type="http://schemas.openxmlformats.org/officeDocument/2006/relationships/ctrlProp" Target="../ctrlProps/ctrlProp262.xml"/><Relationship Id="rId9" Type="http://schemas.openxmlformats.org/officeDocument/2006/relationships/ctrlProp" Target="../ctrlProps/ctrlProp267.xml"/><Relationship Id="rId14" Type="http://schemas.openxmlformats.org/officeDocument/2006/relationships/ctrlProp" Target="../ctrlProps/ctrlProp272.xml"/><Relationship Id="rId22" Type="http://schemas.openxmlformats.org/officeDocument/2006/relationships/ctrlProp" Target="../ctrlProps/ctrlProp280.xml"/><Relationship Id="rId27" Type="http://schemas.openxmlformats.org/officeDocument/2006/relationships/ctrlProp" Target="../ctrlProps/ctrlProp285.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290.xml"/><Relationship Id="rId13" Type="http://schemas.openxmlformats.org/officeDocument/2006/relationships/ctrlProp" Target="../ctrlProps/ctrlProp295.xml"/><Relationship Id="rId18" Type="http://schemas.openxmlformats.org/officeDocument/2006/relationships/ctrlProp" Target="../ctrlProps/ctrlProp300.xml"/><Relationship Id="rId26" Type="http://schemas.openxmlformats.org/officeDocument/2006/relationships/ctrlProp" Target="../ctrlProps/ctrlProp308.xml"/><Relationship Id="rId3" Type="http://schemas.openxmlformats.org/officeDocument/2006/relationships/vmlDrawing" Target="../drawings/vmlDrawing13.vml"/><Relationship Id="rId21" Type="http://schemas.openxmlformats.org/officeDocument/2006/relationships/ctrlProp" Target="../ctrlProps/ctrlProp303.xml"/><Relationship Id="rId7" Type="http://schemas.openxmlformats.org/officeDocument/2006/relationships/ctrlProp" Target="../ctrlProps/ctrlProp289.xml"/><Relationship Id="rId12" Type="http://schemas.openxmlformats.org/officeDocument/2006/relationships/ctrlProp" Target="../ctrlProps/ctrlProp294.xml"/><Relationship Id="rId17" Type="http://schemas.openxmlformats.org/officeDocument/2006/relationships/ctrlProp" Target="../ctrlProps/ctrlProp299.xml"/><Relationship Id="rId25" Type="http://schemas.openxmlformats.org/officeDocument/2006/relationships/ctrlProp" Target="../ctrlProps/ctrlProp307.xml"/><Relationship Id="rId2" Type="http://schemas.openxmlformats.org/officeDocument/2006/relationships/drawing" Target="../drawings/drawing20.xml"/><Relationship Id="rId16" Type="http://schemas.openxmlformats.org/officeDocument/2006/relationships/ctrlProp" Target="../ctrlProps/ctrlProp298.xml"/><Relationship Id="rId20" Type="http://schemas.openxmlformats.org/officeDocument/2006/relationships/ctrlProp" Target="../ctrlProps/ctrlProp302.xml"/><Relationship Id="rId1" Type="http://schemas.openxmlformats.org/officeDocument/2006/relationships/printerSettings" Target="../printerSettings/printerSettings27.bin"/><Relationship Id="rId6" Type="http://schemas.openxmlformats.org/officeDocument/2006/relationships/ctrlProp" Target="../ctrlProps/ctrlProp288.xml"/><Relationship Id="rId11" Type="http://schemas.openxmlformats.org/officeDocument/2006/relationships/ctrlProp" Target="../ctrlProps/ctrlProp293.xml"/><Relationship Id="rId24" Type="http://schemas.openxmlformats.org/officeDocument/2006/relationships/ctrlProp" Target="../ctrlProps/ctrlProp306.xml"/><Relationship Id="rId5" Type="http://schemas.openxmlformats.org/officeDocument/2006/relationships/ctrlProp" Target="../ctrlProps/ctrlProp287.xml"/><Relationship Id="rId15" Type="http://schemas.openxmlformats.org/officeDocument/2006/relationships/ctrlProp" Target="../ctrlProps/ctrlProp297.xml"/><Relationship Id="rId23" Type="http://schemas.openxmlformats.org/officeDocument/2006/relationships/ctrlProp" Target="../ctrlProps/ctrlProp305.xml"/><Relationship Id="rId10" Type="http://schemas.openxmlformats.org/officeDocument/2006/relationships/ctrlProp" Target="../ctrlProps/ctrlProp292.xml"/><Relationship Id="rId19" Type="http://schemas.openxmlformats.org/officeDocument/2006/relationships/ctrlProp" Target="../ctrlProps/ctrlProp301.xml"/><Relationship Id="rId4" Type="http://schemas.openxmlformats.org/officeDocument/2006/relationships/ctrlProp" Target="../ctrlProps/ctrlProp286.xml"/><Relationship Id="rId9" Type="http://schemas.openxmlformats.org/officeDocument/2006/relationships/ctrlProp" Target="../ctrlProps/ctrlProp291.xml"/><Relationship Id="rId14" Type="http://schemas.openxmlformats.org/officeDocument/2006/relationships/ctrlProp" Target="../ctrlProps/ctrlProp296.xml"/><Relationship Id="rId22" Type="http://schemas.openxmlformats.org/officeDocument/2006/relationships/ctrlProp" Target="../ctrlProps/ctrlProp304.xml"/><Relationship Id="rId27" Type="http://schemas.openxmlformats.org/officeDocument/2006/relationships/ctrlProp" Target="../ctrlProps/ctrlProp309.xml"/></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314.xml"/><Relationship Id="rId13" Type="http://schemas.openxmlformats.org/officeDocument/2006/relationships/ctrlProp" Target="../ctrlProps/ctrlProp319.xml"/><Relationship Id="rId18" Type="http://schemas.openxmlformats.org/officeDocument/2006/relationships/ctrlProp" Target="../ctrlProps/ctrlProp324.xml"/><Relationship Id="rId26" Type="http://schemas.openxmlformats.org/officeDocument/2006/relationships/ctrlProp" Target="../ctrlProps/ctrlProp332.xml"/><Relationship Id="rId3" Type="http://schemas.openxmlformats.org/officeDocument/2006/relationships/vmlDrawing" Target="../drawings/vmlDrawing14.vml"/><Relationship Id="rId21" Type="http://schemas.openxmlformats.org/officeDocument/2006/relationships/ctrlProp" Target="../ctrlProps/ctrlProp327.xml"/><Relationship Id="rId7" Type="http://schemas.openxmlformats.org/officeDocument/2006/relationships/ctrlProp" Target="../ctrlProps/ctrlProp313.xml"/><Relationship Id="rId12" Type="http://schemas.openxmlformats.org/officeDocument/2006/relationships/ctrlProp" Target="../ctrlProps/ctrlProp318.xml"/><Relationship Id="rId17" Type="http://schemas.openxmlformats.org/officeDocument/2006/relationships/ctrlProp" Target="../ctrlProps/ctrlProp323.xml"/><Relationship Id="rId25" Type="http://schemas.openxmlformats.org/officeDocument/2006/relationships/ctrlProp" Target="../ctrlProps/ctrlProp331.xml"/><Relationship Id="rId2" Type="http://schemas.openxmlformats.org/officeDocument/2006/relationships/drawing" Target="../drawings/drawing21.xml"/><Relationship Id="rId16" Type="http://schemas.openxmlformats.org/officeDocument/2006/relationships/ctrlProp" Target="../ctrlProps/ctrlProp322.xml"/><Relationship Id="rId20" Type="http://schemas.openxmlformats.org/officeDocument/2006/relationships/ctrlProp" Target="../ctrlProps/ctrlProp326.xml"/><Relationship Id="rId1" Type="http://schemas.openxmlformats.org/officeDocument/2006/relationships/printerSettings" Target="../printerSettings/printerSettings28.bin"/><Relationship Id="rId6" Type="http://schemas.openxmlformats.org/officeDocument/2006/relationships/ctrlProp" Target="../ctrlProps/ctrlProp312.xml"/><Relationship Id="rId11" Type="http://schemas.openxmlformats.org/officeDocument/2006/relationships/ctrlProp" Target="../ctrlProps/ctrlProp317.xml"/><Relationship Id="rId24" Type="http://schemas.openxmlformats.org/officeDocument/2006/relationships/ctrlProp" Target="../ctrlProps/ctrlProp330.xml"/><Relationship Id="rId5" Type="http://schemas.openxmlformats.org/officeDocument/2006/relationships/ctrlProp" Target="../ctrlProps/ctrlProp311.xml"/><Relationship Id="rId15" Type="http://schemas.openxmlformats.org/officeDocument/2006/relationships/ctrlProp" Target="../ctrlProps/ctrlProp321.xml"/><Relationship Id="rId23" Type="http://schemas.openxmlformats.org/officeDocument/2006/relationships/ctrlProp" Target="../ctrlProps/ctrlProp329.xml"/><Relationship Id="rId10" Type="http://schemas.openxmlformats.org/officeDocument/2006/relationships/ctrlProp" Target="../ctrlProps/ctrlProp316.xml"/><Relationship Id="rId19" Type="http://schemas.openxmlformats.org/officeDocument/2006/relationships/ctrlProp" Target="../ctrlProps/ctrlProp325.xml"/><Relationship Id="rId4" Type="http://schemas.openxmlformats.org/officeDocument/2006/relationships/ctrlProp" Target="../ctrlProps/ctrlProp310.xml"/><Relationship Id="rId9" Type="http://schemas.openxmlformats.org/officeDocument/2006/relationships/ctrlProp" Target="../ctrlProps/ctrlProp315.xml"/><Relationship Id="rId14" Type="http://schemas.openxmlformats.org/officeDocument/2006/relationships/ctrlProp" Target="../ctrlProps/ctrlProp320.xml"/><Relationship Id="rId22" Type="http://schemas.openxmlformats.org/officeDocument/2006/relationships/ctrlProp" Target="../ctrlProps/ctrlProp328.xml"/><Relationship Id="rId27" Type="http://schemas.openxmlformats.org/officeDocument/2006/relationships/ctrlProp" Target="../ctrlProps/ctrlProp333.xml"/></Relationships>
</file>

<file path=xl/worksheets/_rels/sheet29.xml.rels><?xml version="1.0" encoding="UTF-8" standalone="yes"?>
<Relationships xmlns="http://schemas.openxmlformats.org/package/2006/relationships"><Relationship Id="rId8" Type="http://schemas.openxmlformats.org/officeDocument/2006/relationships/ctrlProp" Target="../ctrlProps/ctrlProp338.xml"/><Relationship Id="rId13" Type="http://schemas.openxmlformats.org/officeDocument/2006/relationships/ctrlProp" Target="../ctrlProps/ctrlProp343.xml"/><Relationship Id="rId18" Type="http://schemas.openxmlformats.org/officeDocument/2006/relationships/ctrlProp" Target="../ctrlProps/ctrlProp348.xml"/><Relationship Id="rId26" Type="http://schemas.openxmlformats.org/officeDocument/2006/relationships/ctrlProp" Target="../ctrlProps/ctrlProp356.xml"/><Relationship Id="rId3" Type="http://schemas.openxmlformats.org/officeDocument/2006/relationships/vmlDrawing" Target="../drawings/vmlDrawing15.vml"/><Relationship Id="rId21" Type="http://schemas.openxmlformats.org/officeDocument/2006/relationships/ctrlProp" Target="../ctrlProps/ctrlProp351.xml"/><Relationship Id="rId7" Type="http://schemas.openxmlformats.org/officeDocument/2006/relationships/ctrlProp" Target="../ctrlProps/ctrlProp337.xml"/><Relationship Id="rId12" Type="http://schemas.openxmlformats.org/officeDocument/2006/relationships/ctrlProp" Target="../ctrlProps/ctrlProp342.xml"/><Relationship Id="rId17" Type="http://schemas.openxmlformats.org/officeDocument/2006/relationships/ctrlProp" Target="../ctrlProps/ctrlProp347.xml"/><Relationship Id="rId25" Type="http://schemas.openxmlformats.org/officeDocument/2006/relationships/ctrlProp" Target="../ctrlProps/ctrlProp355.xml"/><Relationship Id="rId2" Type="http://schemas.openxmlformats.org/officeDocument/2006/relationships/drawing" Target="../drawings/drawing22.xml"/><Relationship Id="rId16" Type="http://schemas.openxmlformats.org/officeDocument/2006/relationships/ctrlProp" Target="../ctrlProps/ctrlProp346.xml"/><Relationship Id="rId20" Type="http://schemas.openxmlformats.org/officeDocument/2006/relationships/ctrlProp" Target="../ctrlProps/ctrlProp350.xml"/><Relationship Id="rId1" Type="http://schemas.openxmlformats.org/officeDocument/2006/relationships/printerSettings" Target="../printerSettings/printerSettings29.bin"/><Relationship Id="rId6" Type="http://schemas.openxmlformats.org/officeDocument/2006/relationships/ctrlProp" Target="../ctrlProps/ctrlProp336.xml"/><Relationship Id="rId11" Type="http://schemas.openxmlformats.org/officeDocument/2006/relationships/ctrlProp" Target="../ctrlProps/ctrlProp341.xml"/><Relationship Id="rId24" Type="http://schemas.openxmlformats.org/officeDocument/2006/relationships/ctrlProp" Target="../ctrlProps/ctrlProp354.xml"/><Relationship Id="rId5" Type="http://schemas.openxmlformats.org/officeDocument/2006/relationships/ctrlProp" Target="../ctrlProps/ctrlProp335.xml"/><Relationship Id="rId15" Type="http://schemas.openxmlformats.org/officeDocument/2006/relationships/ctrlProp" Target="../ctrlProps/ctrlProp345.xml"/><Relationship Id="rId23" Type="http://schemas.openxmlformats.org/officeDocument/2006/relationships/ctrlProp" Target="../ctrlProps/ctrlProp353.xml"/><Relationship Id="rId10" Type="http://schemas.openxmlformats.org/officeDocument/2006/relationships/ctrlProp" Target="../ctrlProps/ctrlProp340.xml"/><Relationship Id="rId19" Type="http://schemas.openxmlformats.org/officeDocument/2006/relationships/ctrlProp" Target="../ctrlProps/ctrlProp349.xml"/><Relationship Id="rId4" Type="http://schemas.openxmlformats.org/officeDocument/2006/relationships/ctrlProp" Target="../ctrlProps/ctrlProp334.xml"/><Relationship Id="rId9" Type="http://schemas.openxmlformats.org/officeDocument/2006/relationships/ctrlProp" Target="../ctrlProps/ctrlProp339.xml"/><Relationship Id="rId14" Type="http://schemas.openxmlformats.org/officeDocument/2006/relationships/ctrlProp" Target="../ctrlProps/ctrlProp344.xml"/><Relationship Id="rId22" Type="http://schemas.openxmlformats.org/officeDocument/2006/relationships/ctrlProp" Target="../ctrlProps/ctrlProp352.xml"/><Relationship Id="rId27" Type="http://schemas.openxmlformats.org/officeDocument/2006/relationships/ctrlProp" Target="../ctrlProps/ctrlProp35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362.xml"/><Relationship Id="rId13" Type="http://schemas.openxmlformats.org/officeDocument/2006/relationships/ctrlProp" Target="../ctrlProps/ctrlProp367.xml"/><Relationship Id="rId18" Type="http://schemas.openxmlformats.org/officeDocument/2006/relationships/ctrlProp" Target="../ctrlProps/ctrlProp372.xml"/><Relationship Id="rId26" Type="http://schemas.openxmlformats.org/officeDocument/2006/relationships/ctrlProp" Target="../ctrlProps/ctrlProp380.xml"/><Relationship Id="rId3" Type="http://schemas.openxmlformats.org/officeDocument/2006/relationships/vmlDrawing" Target="../drawings/vmlDrawing16.vml"/><Relationship Id="rId21" Type="http://schemas.openxmlformats.org/officeDocument/2006/relationships/ctrlProp" Target="../ctrlProps/ctrlProp375.xml"/><Relationship Id="rId7" Type="http://schemas.openxmlformats.org/officeDocument/2006/relationships/ctrlProp" Target="../ctrlProps/ctrlProp361.xml"/><Relationship Id="rId12" Type="http://schemas.openxmlformats.org/officeDocument/2006/relationships/ctrlProp" Target="../ctrlProps/ctrlProp366.xml"/><Relationship Id="rId17" Type="http://schemas.openxmlformats.org/officeDocument/2006/relationships/ctrlProp" Target="../ctrlProps/ctrlProp371.xml"/><Relationship Id="rId25" Type="http://schemas.openxmlformats.org/officeDocument/2006/relationships/ctrlProp" Target="../ctrlProps/ctrlProp379.xml"/><Relationship Id="rId2" Type="http://schemas.openxmlformats.org/officeDocument/2006/relationships/drawing" Target="../drawings/drawing23.xml"/><Relationship Id="rId16" Type="http://schemas.openxmlformats.org/officeDocument/2006/relationships/ctrlProp" Target="../ctrlProps/ctrlProp370.xml"/><Relationship Id="rId20" Type="http://schemas.openxmlformats.org/officeDocument/2006/relationships/ctrlProp" Target="../ctrlProps/ctrlProp374.xml"/><Relationship Id="rId1" Type="http://schemas.openxmlformats.org/officeDocument/2006/relationships/printerSettings" Target="../printerSettings/printerSettings30.bin"/><Relationship Id="rId6" Type="http://schemas.openxmlformats.org/officeDocument/2006/relationships/ctrlProp" Target="../ctrlProps/ctrlProp360.xml"/><Relationship Id="rId11" Type="http://schemas.openxmlformats.org/officeDocument/2006/relationships/ctrlProp" Target="../ctrlProps/ctrlProp365.xml"/><Relationship Id="rId24" Type="http://schemas.openxmlformats.org/officeDocument/2006/relationships/ctrlProp" Target="../ctrlProps/ctrlProp378.xml"/><Relationship Id="rId5" Type="http://schemas.openxmlformats.org/officeDocument/2006/relationships/ctrlProp" Target="../ctrlProps/ctrlProp359.xml"/><Relationship Id="rId15" Type="http://schemas.openxmlformats.org/officeDocument/2006/relationships/ctrlProp" Target="../ctrlProps/ctrlProp369.xml"/><Relationship Id="rId23" Type="http://schemas.openxmlformats.org/officeDocument/2006/relationships/ctrlProp" Target="../ctrlProps/ctrlProp377.xml"/><Relationship Id="rId10" Type="http://schemas.openxmlformats.org/officeDocument/2006/relationships/ctrlProp" Target="../ctrlProps/ctrlProp364.xml"/><Relationship Id="rId19" Type="http://schemas.openxmlformats.org/officeDocument/2006/relationships/ctrlProp" Target="../ctrlProps/ctrlProp373.xml"/><Relationship Id="rId4" Type="http://schemas.openxmlformats.org/officeDocument/2006/relationships/ctrlProp" Target="../ctrlProps/ctrlProp358.xml"/><Relationship Id="rId9" Type="http://schemas.openxmlformats.org/officeDocument/2006/relationships/ctrlProp" Target="../ctrlProps/ctrlProp363.xml"/><Relationship Id="rId14" Type="http://schemas.openxmlformats.org/officeDocument/2006/relationships/ctrlProp" Target="../ctrlProps/ctrlProp368.xml"/><Relationship Id="rId22" Type="http://schemas.openxmlformats.org/officeDocument/2006/relationships/ctrlProp" Target="../ctrlProps/ctrlProp376.xml"/></Relationships>
</file>

<file path=xl/worksheets/_rels/sheet31.xml.rels><?xml version="1.0" encoding="UTF-8" standalone="yes"?>
<Relationships xmlns="http://schemas.openxmlformats.org/package/2006/relationships"><Relationship Id="rId8" Type="http://schemas.openxmlformats.org/officeDocument/2006/relationships/ctrlProp" Target="../ctrlProps/ctrlProp385.xml"/><Relationship Id="rId13" Type="http://schemas.openxmlformats.org/officeDocument/2006/relationships/ctrlProp" Target="../ctrlProps/ctrlProp390.xml"/><Relationship Id="rId18" Type="http://schemas.openxmlformats.org/officeDocument/2006/relationships/ctrlProp" Target="../ctrlProps/ctrlProp395.xml"/><Relationship Id="rId26" Type="http://schemas.openxmlformats.org/officeDocument/2006/relationships/ctrlProp" Target="../ctrlProps/ctrlProp403.xml"/><Relationship Id="rId3" Type="http://schemas.openxmlformats.org/officeDocument/2006/relationships/vmlDrawing" Target="../drawings/vmlDrawing17.vml"/><Relationship Id="rId21" Type="http://schemas.openxmlformats.org/officeDocument/2006/relationships/ctrlProp" Target="../ctrlProps/ctrlProp398.xml"/><Relationship Id="rId7" Type="http://schemas.openxmlformats.org/officeDocument/2006/relationships/ctrlProp" Target="../ctrlProps/ctrlProp384.xml"/><Relationship Id="rId12" Type="http://schemas.openxmlformats.org/officeDocument/2006/relationships/ctrlProp" Target="../ctrlProps/ctrlProp389.xml"/><Relationship Id="rId17" Type="http://schemas.openxmlformats.org/officeDocument/2006/relationships/ctrlProp" Target="../ctrlProps/ctrlProp394.xml"/><Relationship Id="rId25" Type="http://schemas.openxmlformats.org/officeDocument/2006/relationships/ctrlProp" Target="../ctrlProps/ctrlProp402.xml"/><Relationship Id="rId2" Type="http://schemas.openxmlformats.org/officeDocument/2006/relationships/drawing" Target="../drawings/drawing24.xml"/><Relationship Id="rId16" Type="http://schemas.openxmlformats.org/officeDocument/2006/relationships/ctrlProp" Target="../ctrlProps/ctrlProp393.xml"/><Relationship Id="rId20" Type="http://schemas.openxmlformats.org/officeDocument/2006/relationships/ctrlProp" Target="../ctrlProps/ctrlProp397.xml"/><Relationship Id="rId1" Type="http://schemas.openxmlformats.org/officeDocument/2006/relationships/printerSettings" Target="../printerSettings/printerSettings31.bin"/><Relationship Id="rId6" Type="http://schemas.openxmlformats.org/officeDocument/2006/relationships/ctrlProp" Target="../ctrlProps/ctrlProp383.xml"/><Relationship Id="rId11" Type="http://schemas.openxmlformats.org/officeDocument/2006/relationships/ctrlProp" Target="../ctrlProps/ctrlProp388.xml"/><Relationship Id="rId24" Type="http://schemas.openxmlformats.org/officeDocument/2006/relationships/ctrlProp" Target="../ctrlProps/ctrlProp401.xml"/><Relationship Id="rId5" Type="http://schemas.openxmlformats.org/officeDocument/2006/relationships/ctrlProp" Target="../ctrlProps/ctrlProp382.xml"/><Relationship Id="rId15" Type="http://schemas.openxmlformats.org/officeDocument/2006/relationships/ctrlProp" Target="../ctrlProps/ctrlProp392.xml"/><Relationship Id="rId23" Type="http://schemas.openxmlformats.org/officeDocument/2006/relationships/ctrlProp" Target="../ctrlProps/ctrlProp400.xml"/><Relationship Id="rId10" Type="http://schemas.openxmlformats.org/officeDocument/2006/relationships/ctrlProp" Target="../ctrlProps/ctrlProp387.xml"/><Relationship Id="rId19" Type="http://schemas.openxmlformats.org/officeDocument/2006/relationships/ctrlProp" Target="../ctrlProps/ctrlProp396.xml"/><Relationship Id="rId4" Type="http://schemas.openxmlformats.org/officeDocument/2006/relationships/ctrlProp" Target="../ctrlProps/ctrlProp381.xml"/><Relationship Id="rId9" Type="http://schemas.openxmlformats.org/officeDocument/2006/relationships/ctrlProp" Target="../ctrlProps/ctrlProp386.xml"/><Relationship Id="rId14" Type="http://schemas.openxmlformats.org/officeDocument/2006/relationships/ctrlProp" Target="../ctrlProps/ctrlProp391.xml"/><Relationship Id="rId22" Type="http://schemas.openxmlformats.org/officeDocument/2006/relationships/ctrlProp" Target="../ctrlProps/ctrlProp399.xml"/></Relationships>
</file>

<file path=xl/worksheets/_rels/sheet32.xml.rels><?xml version="1.0" encoding="UTF-8" standalone="yes"?>
<Relationships xmlns="http://schemas.openxmlformats.org/package/2006/relationships"><Relationship Id="rId8" Type="http://schemas.openxmlformats.org/officeDocument/2006/relationships/ctrlProp" Target="../ctrlProps/ctrlProp408.xml"/><Relationship Id="rId13" Type="http://schemas.openxmlformats.org/officeDocument/2006/relationships/ctrlProp" Target="../ctrlProps/ctrlProp413.xml"/><Relationship Id="rId18" Type="http://schemas.openxmlformats.org/officeDocument/2006/relationships/ctrlProp" Target="../ctrlProps/ctrlProp418.xml"/><Relationship Id="rId26" Type="http://schemas.openxmlformats.org/officeDocument/2006/relationships/ctrlProp" Target="../ctrlProps/ctrlProp426.xml"/><Relationship Id="rId3" Type="http://schemas.openxmlformats.org/officeDocument/2006/relationships/vmlDrawing" Target="../drawings/vmlDrawing18.vml"/><Relationship Id="rId21" Type="http://schemas.openxmlformats.org/officeDocument/2006/relationships/ctrlProp" Target="../ctrlProps/ctrlProp421.xml"/><Relationship Id="rId7" Type="http://schemas.openxmlformats.org/officeDocument/2006/relationships/ctrlProp" Target="../ctrlProps/ctrlProp407.xml"/><Relationship Id="rId12" Type="http://schemas.openxmlformats.org/officeDocument/2006/relationships/ctrlProp" Target="../ctrlProps/ctrlProp412.xml"/><Relationship Id="rId17" Type="http://schemas.openxmlformats.org/officeDocument/2006/relationships/ctrlProp" Target="../ctrlProps/ctrlProp417.xml"/><Relationship Id="rId25" Type="http://schemas.openxmlformats.org/officeDocument/2006/relationships/ctrlProp" Target="../ctrlProps/ctrlProp425.xml"/><Relationship Id="rId2" Type="http://schemas.openxmlformats.org/officeDocument/2006/relationships/drawing" Target="../drawings/drawing25.xml"/><Relationship Id="rId16" Type="http://schemas.openxmlformats.org/officeDocument/2006/relationships/ctrlProp" Target="../ctrlProps/ctrlProp416.xml"/><Relationship Id="rId20" Type="http://schemas.openxmlformats.org/officeDocument/2006/relationships/ctrlProp" Target="../ctrlProps/ctrlProp420.xml"/><Relationship Id="rId1" Type="http://schemas.openxmlformats.org/officeDocument/2006/relationships/printerSettings" Target="../printerSettings/printerSettings32.bin"/><Relationship Id="rId6" Type="http://schemas.openxmlformats.org/officeDocument/2006/relationships/ctrlProp" Target="../ctrlProps/ctrlProp406.xml"/><Relationship Id="rId11" Type="http://schemas.openxmlformats.org/officeDocument/2006/relationships/ctrlProp" Target="../ctrlProps/ctrlProp411.xml"/><Relationship Id="rId24" Type="http://schemas.openxmlformats.org/officeDocument/2006/relationships/ctrlProp" Target="../ctrlProps/ctrlProp424.xml"/><Relationship Id="rId5" Type="http://schemas.openxmlformats.org/officeDocument/2006/relationships/ctrlProp" Target="../ctrlProps/ctrlProp405.xml"/><Relationship Id="rId15" Type="http://schemas.openxmlformats.org/officeDocument/2006/relationships/ctrlProp" Target="../ctrlProps/ctrlProp415.xml"/><Relationship Id="rId23" Type="http://schemas.openxmlformats.org/officeDocument/2006/relationships/ctrlProp" Target="../ctrlProps/ctrlProp423.xml"/><Relationship Id="rId10" Type="http://schemas.openxmlformats.org/officeDocument/2006/relationships/ctrlProp" Target="../ctrlProps/ctrlProp410.xml"/><Relationship Id="rId19" Type="http://schemas.openxmlformats.org/officeDocument/2006/relationships/ctrlProp" Target="../ctrlProps/ctrlProp419.xml"/><Relationship Id="rId4" Type="http://schemas.openxmlformats.org/officeDocument/2006/relationships/ctrlProp" Target="../ctrlProps/ctrlProp404.xml"/><Relationship Id="rId9" Type="http://schemas.openxmlformats.org/officeDocument/2006/relationships/ctrlProp" Target="../ctrlProps/ctrlProp409.xml"/><Relationship Id="rId14" Type="http://schemas.openxmlformats.org/officeDocument/2006/relationships/ctrlProp" Target="../ctrlProps/ctrlProp414.xml"/><Relationship Id="rId22" Type="http://schemas.openxmlformats.org/officeDocument/2006/relationships/ctrlProp" Target="../ctrlProps/ctrlProp422.xml"/><Relationship Id="rId27" Type="http://schemas.openxmlformats.org/officeDocument/2006/relationships/ctrlProp" Target="../ctrlProps/ctrlProp427.xml"/></Relationships>
</file>

<file path=xl/worksheets/_rels/sheet33.xml.rels><?xml version="1.0" encoding="UTF-8" standalone="yes"?>
<Relationships xmlns="http://schemas.openxmlformats.org/package/2006/relationships"><Relationship Id="rId8" Type="http://schemas.openxmlformats.org/officeDocument/2006/relationships/ctrlProp" Target="../ctrlProps/ctrlProp432.xml"/><Relationship Id="rId13" Type="http://schemas.openxmlformats.org/officeDocument/2006/relationships/ctrlProp" Target="../ctrlProps/ctrlProp437.xml"/><Relationship Id="rId18" Type="http://schemas.openxmlformats.org/officeDocument/2006/relationships/ctrlProp" Target="../ctrlProps/ctrlProp442.xml"/><Relationship Id="rId26" Type="http://schemas.openxmlformats.org/officeDocument/2006/relationships/ctrlProp" Target="../ctrlProps/ctrlProp450.xml"/><Relationship Id="rId3" Type="http://schemas.openxmlformats.org/officeDocument/2006/relationships/vmlDrawing" Target="../drawings/vmlDrawing19.vml"/><Relationship Id="rId21" Type="http://schemas.openxmlformats.org/officeDocument/2006/relationships/ctrlProp" Target="../ctrlProps/ctrlProp445.xml"/><Relationship Id="rId7" Type="http://schemas.openxmlformats.org/officeDocument/2006/relationships/ctrlProp" Target="../ctrlProps/ctrlProp431.xml"/><Relationship Id="rId12" Type="http://schemas.openxmlformats.org/officeDocument/2006/relationships/ctrlProp" Target="../ctrlProps/ctrlProp436.xml"/><Relationship Id="rId17" Type="http://schemas.openxmlformats.org/officeDocument/2006/relationships/ctrlProp" Target="../ctrlProps/ctrlProp441.xml"/><Relationship Id="rId25" Type="http://schemas.openxmlformats.org/officeDocument/2006/relationships/ctrlProp" Target="../ctrlProps/ctrlProp449.xml"/><Relationship Id="rId2" Type="http://schemas.openxmlformats.org/officeDocument/2006/relationships/drawing" Target="../drawings/drawing26.xml"/><Relationship Id="rId16" Type="http://schemas.openxmlformats.org/officeDocument/2006/relationships/ctrlProp" Target="../ctrlProps/ctrlProp440.xml"/><Relationship Id="rId20" Type="http://schemas.openxmlformats.org/officeDocument/2006/relationships/ctrlProp" Target="../ctrlProps/ctrlProp444.xml"/><Relationship Id="rId1" Type="http://schemas.openxmlformats.org/officeDocument/2006/relationships/printerSettings" Target="../printerSettings/printerSettings33.bin"/><Relationship Id="rId6" Type="http://schemas.openxmlformats.org/officeDocument/2006/relationships/ctrlProp" Target="../ctrlProps/ctrlProp430.xml"/><Relationship Id="rId11" Type="http://schemas.openxmlformats.org/officeDocument/2006/relationships/ctrlProp" Target="../ctrlProps/ctrlProp435.xml"/><Relationship Id="rId24" Type="http://schemas.openxmlformats.org/officeDocument/2006/relationships/ctrlProp" Target="../ctrlProps/ctrlProp448.xml"/><Relationship Id="rId5" Type="http://schemas.openxmlformats.org/officeDocument/2006/relationships/ctrlProp" Target="../ctrlProps/ctrlProp429.xml"/><Relationship Id="rId15" Type="http://schemas.openxmlformats.org/officeDocument/2006/relationships/ctrlProp" Target="../ctrlProps/ctrlProp439.xml"/><Relationship Id="rId23" Type="http://schemas.openxmlformats.org/officeDocument/2006/relationships/ctrlProp" Target="../ctrlProps/ctrlProp447.xml"/><Relationship Id="rId10" Type="http://schemas.openxmlformats.org/officeDocument/2006/relationships/ctrlProp" Target="../ctrlProps/ctrlProp434.xml"/><Relationship Id="rId19" Type="http://schemas.openxmlformats.org/officeDocument/2006/relationships/ctrlProp" Target="../ctrlProps/ctrlProp443.xml"/><Relationship Id="rId4" Type="http://schemas.openxmlformats.org/officeDocument/2006/relationships/ctrlProp" Target="../ctrlProps/ctrlProp428.xml"/><Relationship Id="rId9" Type="http://schemas.openxmlformats.org/officeDocument/2006/relationships/ctrlProp" Target="../ctrlProps/ctrlProp433.xml"/><Relationship Id="rId14" Type="http://schemas.openxmlformats.org/officeDocument/2006/relationships/ctrlProp" Target="../ctrlProps/ctrlProp438.xml"/><Relationship Id="rId22" Type="http://schemas.openxmlformats.org/officeDocument/2006/relationships/ctrlProp" Target="../ctrlProps/ctrlProp446.xml"/><Relationship Id="rId27" Type="http://schemas.openxmlformats.org/officeDocument/2006/relationships/ctrlProp" Target="../ctrlProps/ctrlProp451.xml"/></Relationships>
</file>

<file path=xl/worksheets/_rels/sheet34.xml.rels><?xml version="1.0" encoding="UTF-8" standalone="yes"?>
<Relationships xmlns="http://schemas.openxmlformats.org/package/2006/relationships"><Relationship Id="rId8" Type="http://schemas.openxmlformats.org/officeDocument/2006/relationships/ctrlProp" Target="../ctrlProps/ctrlProp456.xml"/><Relationship Id="rId13" Type="http://schemas.openxmlformats.org/officeDocument/2006/relationships/ctrlProp" Target="../ctrlProps/ctrlProp461.xml"/><Relationship Id="rId18" Type="http://schemas.openxmlformats.org/officeDocument/2006/relationships/ctrlProp" Target="../ctrlProps/ctrlProp466.xml"/><Relationship Id="rId26" Type="http://schemas.openxmlformats.org/officeDocument/2006/relationships/ctrlProp" Target="../ctrlProps/ctrlProp474.xml"/><Relationship Id="rId3" Type="http://schemas.openxmlformats.org/officeDocument/2006/relationships/vmlDrawing" Target="../drawings/vmlDrawing20.vml"/><Relationship Id="rId21" Type="http://schemas.openxmlformats.org/officeDocument/2006/relationships/ctrlProp" Target="../ctrlProps/ctrlProp469.xml"/><Relationship Id="rId7" Type="http://schemas.openxmlformats.org/officeDocument/2006/relationships/ctrlProp" Target="../ctrlProps/ctrlProp455.xml"/><Relationship Id="rId12" Type="http://schemas.openxmlformats.org/officeDocument/2006/relationships/ctrlProp" Target="../ctrlProps/ctrlProp460.xml"/><Relationship Id="rId17" Type="http://schemas.openxmlformats.org/officeDocument/2006/relationships/ctrlProp" Target="../ctrlProps/ctrlProp465.xml"/><Relationship Id="rId25" Type="http://schemas.openxmlformats.org/officeDocument/2006/relationships/ctrlProp" Target="../ctrlProps/ctrlProp473.xml"/><Relationship Id="rId2" Type="http://schemas.openxmlformats.org/officeDocument/2006/relationships/drawing" Target="../drawings/drawing27.xml"/><Relationship Id="rId16" Type="http://schemas.openxmlformats.org/officeDocument/2006/relationships/ctrlProp" Target="../ctrlProps/ctrlProp464.xml"/><Relationship Id="rId20" Type="http://schemas.openxmlformats.org/officeDocument/2006/relationships/ctrlProp" Target="../ctrlProps/ctrlProp468.xml"/><Relationship Id="rId1" Type="http://schemas.openxmlformats.org/officeDocument/2006/relationships/printerSettings" Target="../printerSettings/printerSettings34.bin"/><Relationship Id="rId6" Type="http://schemas.openxmlformats.org/officeDocument/2006/relationships/ctrlProp" Target="../ctrlProps/ctrlProp454.xml"/><Relationship Id="rId11" Type="http://schemas.openxmlformats.org/officeDocument/2006/relationships/ctrlProp" Target="../ctrlProps/ctrlProp459.xml"/><Relationship Id="rId24" Type="http://schemas.openxmlformats.org/officeDocument/2006/relationships/ctrlProp" Target="../ctrlProps/ctrlProp472.xml"/><Relationship Id="rId5" Type="http://schemas.openxmlformats.org/officeDocument/2006/relationships/ctrlProp" Target="../ctrlProps/ctrlProp453.xml"/><Relationship Id="rId15" Type="http://schemas.openxmlformats.org/officeDocument/2006/relationships/ctrlProp" Target="../ctrlProps/ctrlProp463.xml"/><Relationship Id="rId23" Type="http://schemas.openxmlformats.org/officeDocument/2006/relationships/ctrlProp" Target="../ctrlProps/ctrlProp471.xml"/><Relationship Id="rId10" Type="http://schemas.openxmlformats.org/officeDocument/2006/relationships/ctrlProp" Target="../ctrlProps/ctrlProp458.xml"/><Relationship Id="rId19" Type="http://schemas.openxmlformats.org/officeDocument/2006/relationships/ctrlProp" Target="../ctrlProps/ctrlProp467.xml"/><Relationship Id="rId4" Type="http://schemas.openxmlformats.org/officeDocument/2006/relationships/ctrlProp" Target="../ctrlProps/ctrlProp452.xml"/><Relationship Id="rId9" Type="http://schemas.openxmlformats.org/officeDocument/2006/relationships/ctrlProp" Target="../ctrlProps/ctrlProp457.xml"/><Relationship Id="rId14" Type="http://schemas.openxmlformats.org/officeDocument/2006/relationships/ctrlProp" Target="../ctrlProps/ctrlProp462.xml"/><Relationship Id="rId22" Type="http://schemas.openxmlformats.org/officeDocument/2006/relationships/ctrlProp" Target="../ctrlProps/ctrlProp470.xml"/><Relationship Id="rId27" Type="http://schemas.openxmlformats.org/officeDocument/2006/relationships/ctrlProp" Target="../ctrlProps/ctrlProp475.xml"/></Relationships>
</file>

<file path=xl/worksheets/_rels/sheet35.xml.rels><?xml version="1.0" encoding="UTF-8" standalone="yes"?>
<Relationships xmlns="http://schemas.openxmlformats.org/package/2006/relationships"><Relationship Id="rId8" Type="http://schemas.openxmlformats.org/officeDocument/2006/relationships/ctrlProp" Target="../ctrlProps/ctrlProp480.xml"/><Relationship Id="rId13" Type="http://schemas.openxmlformats.org/officeDocument/2006/relationships/ctrlProp" Target="../ctrlProps/ctrlProp485.xml"/><Relationship Id="rId18" Type="http://schemas.openxmlformats.org/officeDocument/2006/relationships/ctrlProp" Target="../ctrlProps/ctrlProp490.xml"/><Relationship Id="rId26" Type="http://schemas.openxmlformats.org/officeDocument/2006/relationships/ctrlProp" Target="../ctrlProps/ctrlProp498.xml"/><Relationship Id="rId3" Type="http://schemas.openxmlformats.org/officeDocument/2006/relationships/vmlDrawing" Target="../drawings/vmlDrawing21.vml"/><Relationship Id="rId21" Type="http://schemas.openxmlformats.org/officeDocument/2006/relationships/ctrlProp" Target="../ctrlProps/ctrlProp493.xml"/><Relationship Id="rId7" Type="http://schemas.openxmlformats.org/officeDocument/2006/relationships/ctrlProp" Target="../ctrlProps/ctrlProp479.xml"/><Relationship Id="rId12" Type="http://schemas.openxmlformats.org/officeDocument/2006/relationships/ctrlProp" Target="../ctrlProps/ctrlProp484.xml"/><Relationship Id="rId17" Type="http://schemas.openxmlformats.org/officeDocument/2006/relationships/ctrlProp" Target="../ctrlProps/ctrlProp489.xml"/><Relationship Id="rId25" Type="http://schemas.openxmlformats.org/officeDocument/2006/relationships/ctrlProp" Target="../ctrlProps/ctrlProp497.xml"/><Relationship Id="rId2" Type="http://schemas.openxmlformats.org/officeDocument/2006/relationships/drawing" Target="../drawings/drawing28.xml"/><Relationship Id="rId16" Type="http://schemas.openxmlformats.org/officeDocument/2006/relationships/ctrlProp" Target="../ctrlProps/ctrlProp488.xml"/><Relationship Id="rId20" Type="http://schemas.openxmlformats.org/officeDocument/2006/relationships/ctrlProp" Target="../ctrlProps/ctrlProp492.xml"/><Relationship Id="rId1" Type="http://schemas.openxmlformats.org/officeDocument/2006/relationships/printerSettings" Target="../printerSettings/printerSettings35.bin"/><Relationship Id="rId6" Type="http://schemas.openxmlformats.org/officeDocument/2006/relationships/ctrlProp" Target="../ctrlProps/ctrlProp478.xml"/><Relationship Id="rId11" Type="http://schemas.openxmlformats.org/officeDocument/2006/relationships/ctrlProp" Target="../ctrlProps/ctrlProp483.xml"/><Relationship Id="rId24" Type="http://schemas.openxmlformats.org/officeDocument/2006/relationships/ctrlProp" Target="../ctrlProps/ctrlProp496.xml"/><Relationship Id="rId5" Type="http://schemas.openxmlformats.org/officeDocument/2006/relationships/ctrlProp" Target="../ctrlProps/ctrlProp477.xml"/><Relationship Id="rId15" Type="http://schemas.openxmlformats.org/officeDocument/2006/relationships/ctrlProp" Target="../ctrlProps/ctrlProp487.xml"/><Relationship Id="rId23" Type="http://schemas.openxmlformats.org/officeDocument/2006/relationships/ctrlProp" Target="../ctrlProps/ctrlProp495.xml"/><Relationship Id="rId10" Type="http://schemas.openxmlformats.org/officeDocument/2006/relationships/ctrlProp" Target="../ctrlProps/ctrlProp482.xml"/><Relationship Id="rId19" Type="http://schemas.openxmlformats.org/officeDocument/2006/relationships/ctrlProp" Target="../ctrlProps/ctrlProp491.xml"/><Relationship Id="rId4" Type="http://schemas.openxmlformats.org/officeDocument/2006/relationships/ctrlProp" Target="../ctrlProps/ctrlProp476.xml"/><Relationship Id="rId9" Type="http://schemas.openxmlformats.org/officeDocument/2006/relationships/ctrlProp" Target="../ctrlProps/ctrlProp481.xml"/><Relationship Id="rId14" Type="http://schemas.openxmlformats.org/officeDocument/2006/relationships/ctrlProp" Target="../ctrlProps/ctrlProp486.xml"/><Relationship Id="rId22" Type="http://schemas.openxmlformats.org/officeDocument/2006/relationships/ctrlProp" Target="../ctrlProps/ctrlProp494.xml"/><Relationship Id="rId27" Type="http://schemas.openxmlformats.org/officeDocument/2006/relationships/ctrlProp" Target="../ctrlProps/ctrlProp49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CSDataBenchmarking@eastsussex.gov.uk" TargetMode="External"/><Relationship Id="rId1" Type="http://schemas.openxmlformats.org/officeDocument/2006/relationships/hyperlink" Target="mailto:CSBenchmarking@eastsussex.gcsx.gov.uk" TargetMode="External"/><Relationship Id="rId4"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99FFCC"/>
    <pageSetUpPr fitToPage="1"/>
  </sheetPr>
  <dimension ref="A1:AO109"/>
  <sheetViews>
    <sheetView workbookViewId="0">
      <pane xSplit="2" ySplit="1" topLeftCell="C71" activePane="bottomRight" state="frozen"/>
      <selection activeCell="A19" sqref="A19"/>
      <selection pane="topRight" activeCell="A19" sqref="A19"/>
      <selection pane="bottomLeft" activeCell="A19" sqref="A19"/>
      <selection pane="bottomRight" activeCell="A19" sqref="A19"/>
    </sheetView>
  </sheetViews>
  <sheetFormatPr defaultColWidth="9.140625" defaultRowHeight="13.5" customHeight="1" x14ac:dyDescent="0.2"/>
  <cols>
    <col min="1" max="1" width="4.5703125" style="470" customWidth="1"/>
    <col min="2" max="2" width="41.42578125" style="557" customWidth="1"/>
    <col min="3" max="24" width="4.85546875" style="558" customWidth="1"/>
    <col min="25" max="25" width="6.42578125" style="830" customWidth="1"/>
    <col min="26" max="26" width="7.85546875" style="470" customWidth="1"/>
    <col min="27" max="16384" width="9.140625" style="470"/>
  </cols>
  <sheetData>
    <row r="1" spans="1:26" s="555" customFormat="1" ht="75" customHeight="1" x14ac:dyDescent="0.2">
      <c r="A1" s="831" t="str">
        <f>IF(Sheet1!$C$3="Quarterly",Sheet1!$D$24&amp;" "&amp;Sheet1!$D$25,Sheet1!$D$22)</f>
        <v>2015-16</v>
      </c>
      <c r="B1" s="831"/>
      <c r="C1" s="1365" t="s">
        <v>1096</v>
      </c>
      <c r="D1" s="1365" t="s">
        <v>1097</v>
      </c>
      <c r="E1" s="1365" t="s">
        <v>1098</v>
      </c>
      <c r="F1" s="1365" t="s">
        <v>1099</v>
      </c>
      <c r="G1" s="1365" t="s">
        <v>1100</v>
      </c>
      <c r="H1" s="1365" t="s">
        <v>1101</v>
      </c>
      <c r="I1" s="1365" t="s">
        <v>1102</v>
      </c>
      <c r="J1" s="1365" t="s">
        <v>1103</v>
      </c>
      <c r="K1" s="1365" t="s">
        <v>1104</v>
      </c>
      <c r="L1" s="1365" t="s">
        <v>1105</v>
      </c>
      <c r="M1" s="1365" t="s">
        <v>1106</v>
      </c>
      <c r="N1" s="1365" t="s">
        <v>1107</v>
      </c>
      <c r="O1" s="1365" t="s">
        <v>1108</v>
      </c>
      <c r="P1" s="1365" t="s">
        <v>1109</v>
      </c>
      <c r="Q1" s="1365" t="s">
        <v>1110</v>
      </c>
      <c r="R1" s="1365" t="s">
        <v>1111</v>
      </c>
      <c r="S1" s="1367" t="s">
        <v>1112</v>
      </c>
      <c r="T1" s="1367" t="s">
        <v>1113</v>
      </c>
      <c r="U1" s="1365" t="s">
        <v>1114</v>
      </c>
      <c r="V1" s="1365" t="s">
        <v>1115</v>
      </c>
      <c r="W1" s="1365" t="s">
        <v>1116</v>
      </c>
      <c r="X1" s="1365" t="s">
        <v>1117</v>
      </c>
      <c r="Y1" s="615" t="s">
        <v>1118</v>
      </c>
      <c r="Z1" s="616" t="s">
        <v>1119</v>
      </c>
    </row>
    <row r="2" spans="1:26" s="556" customFormat="1" ht="13.5" customHeight="1" x14ac:dyDescent="0.2">
      <c r="A2" s="622">
        <v>1</v>
      </c>
      <c r="B2" s="832" t="s">
        <v>990</v>
      </c>
      <c r="C2" s="1478"/>
      <c r="D2" s="1478"/>
      <c r="E2" s="1478"/>
      <c r="F2" s="1478"/>
      <c r="G2" s="1478"/>
      <c r="H2" s="1478"/>
      <c r="I2" s="1478"/>
      <c r="J2" s="1478"/>
      <c r="K2" s="1478"/>
      <c r="L2" s="1478"/>
      <c r="M2" s="1478"/>
      <c r="N2" s="1478"/>
      <c r="O2" s="1478"/>
      <c r="P2" s="1478"/>
      <c r="Q2" s="1478"/>
      <c r="R2" s="1478"/>
      <c r="S2" s="1478"/>
      <c r="T2" s="1478"/>
      <c r="U2" s="1478"/>
      <c r="V2" s="1478"/>
      <c r="W2" s="1482"/>
      <c r="X2" s="1551"/>
      <c r="Y2" s="1481"/>
      <c r="Z2" s="1483"/>
    </row>
    <row r="3" spans="1:26" s="556" customFormat="1" ht="13.5" customHeight="1" x14ac:dyDescent="0.2">
      <c r="A3" s="622">
        <v>2</v>
      </c>
      <c r="B3" s="832" t="s">
        <v>991</v>
      </c>
      <c r="C3" s="1470"/>
      <c r="D3" s="1470"/>
      <c r="E3" s="1470"/>
      <c r="F3" s="1470"/>
      <c r="G3" s="1470"/>
      <c r="H3" s="1470"/>
      <c r="I3" s="1470"/>
      <c r="J3" s="1470"/>
      <c r="K3" s="1470"/>
      <c r="L3" s="1470"/>
      <c r="M3" s="1470"/>
      <c r="N3" s="1470"/>
      <c r="O3" s="1470"/>
      <c r="P3" s="1470"/>
      <c r="Q3" s="1470"/>
      <c r="R3" s="1470"/>
      <c r="S3" s="1470"/>
      <c r="T3" s="1470"/>
      <c r="U3" s="1470"/>
      <c r="V3" s="1470"/>
      <c r="W3" s="1470"/>
      <c r="X3" s="1471"/>
      <c r="Y3" s="1472"/>
      <c r="Z3" s="1473"/>
    </row>
    <row r="4" spans="1:26" s="556" customFormat="1" ht="13.5" customHeight="1" x14ac:dyDescent="0.2">
      <c r="A4" s="622">
        <v>3</v>
      </c>
      <c r="B4" s="832" t="s">
        <v>992</v>
      </c>
      <c r="C4" s="1470"/>
      <c r="D4" s="1470"/>
      <c r="E4" s="1470"/>
      <c r="F4" s="1470"/>
      <c r="G4" s="1470"/>
      <c r="H4" s="1470"/>
      <c r="I4" s="1470"/>
      <c r="J4" s="1470"/>
      <c r="K4" s="1470"/>
      <c r="L4" s="1470"/>
      <c r="M4" s="1470"/>
      <c r="N4" s="1470"/>
      <c r="O4" s="1470"/>
      <c r="P4" s="1470"/>
      <c r="Q4" s="1470"/>
      <c r="R4" s="1470"/>
      <c r="S4" s="1470"/>
      <c r="T4" s="1470"/>
      <c r="U4" s="1470"/>
      <c r="V4" s="1470"/>
      <c r="W4" s="1470"/>
      <c r="X4" s="1471"/>
      <c r="Y4" s="1472"/>
      <c r="Z4" s="1473"/>
    </row>
    <row r="5" spans="1:26" s="556" customFormat="1" ht="13.5" customHeight="1" x14ac:dyDescent="0.2">
      <c r="A5" s="622">
        <v>4</v>
      </c>
      <c r="B5" s="832" t="s">
        <v>993</v>
      </c>
      <c r="C5" s="1470"/>
      <c r="D5" s="1470"/>
      <c r="E5" s="1470"/>
      <c r="F5" s="1470"/>
      <c r="G5" s="1470"/>
      <c r="H5" s="1470"/>
      <c r="I5" s="1470"/>
      <c r="J5" s="1470"/>
      <c r="K5" s="1470"/>
      <c r="L5" s="1470"/>
      <c r="M5" s="1470"/>
      <c r="N5" s="1470"/>
      <c r="O5" s="1470"/>
      <c r="P5" s="1470"/>
      <c r="Q5" s="1470"/>
      <c r="R5" s="1470"/>
      <c r="S5" s="1470"/>
      <c r="T5" s="1470"/>
      <c r="U5" s="1470"/>
      <c r="V5" s="1470"/>
      <c r="W5" s="1470"/>
      <c r="X5" s="1471"/>
      <c r="Y5" s="1472"/>
      <c r="Z5" s="1473"/>
    </row>
    <row r="6" spans="1:26" s="556" customFormat="1" ht="13.5" customHeight="1" x14ac:dyDescent="0.2">
      <c r="A6" s="622">
        <v>5</v>
      </c>
      <c r="B6" s="832" t="s">
        <v>994</v>
      </c>
      <c r="C6" s="1470"/>
      <c r="D6" s="1470"/>
      <c r="E6" s="1470"/>
      <c r="F6" s="1470"/>
      <c r="G6" s="1470"/>
      <c r="H6" s="1470"/>
      <c r="I6" s="1470"/>
      <c r="J6" s="1470"/>
      <c r="K6" s="1470"/>
      <c r="L6" s="1470"/>
      <c r="M6" s="1470"/>
      <c r="N6" s="1474"/>
      <c r="O6" s="1470"/>
      <c r="P6" s="1470"/>
      <c r="Q6" s="1470"/>
      <c r="R6" s="1470"/>
      <c r="S6" s="1470"/>
      <c r="T6" s="1470"/>
      <c r="U6" s="1469"/>
      <c r="V6" s="1470"/>
      <c r="W6" s="1470"/>
      <c r="X6" s="1471"/>
      <c r="Y6" s="1472"/>
      <c r="Z6" s="1473"/>
    </row>
    <row r="7" spans="1:26" s="556" customFormat="1" ht="13.5" customHeight="1" x14ac:dyDescent="0.2">
      <c r="A7" s="622">
        <v>6</v>
      </c>
      <c r="B7" s="832" t="s">
        <v>995</v>
      </c>
      <c r="C7" s="1470"/>
      <c r="D7" s="1470"/>
      <c r="E7" s="1470"/>
      <c r="F7" s="1470"/>
      <c r="G7" s="1470"/>
      <c r="H7" s="1470"/>
      <c r="I7" s="1470"/>
      <c r="J7" s="1470"/>
      <c r="K7" s="1470"/>
      <c r="L7" s="1470"/>
      <c r="M7" s="1470"/>
      <c r="N7" s="1474"/>
      <c r="O7" s="1470"/>
      <c r="P7" s="1470"/>
      <c r="Q7" s="1470"/>
      <c r="R7" s="1470"/>
      <c r="S7" s="1470"/>
      <c r="T7" s="1470"/>
      <c r="U7" s="1469"/>
      <c r="V7" s="1470"/>
      <c r="W7" s="1470"/>
      <c r="X7" s="1471"/>
      <c r="Y7" s="1472"/>
      <c r="Z7" s="1473"/>
    </row>
    <row r="8" spans="1:26" s="556" customFormat="1" ht="13.5" customHeight="1" x14ac:dyDescent="0.2">
      <c r="A8" s="1451"/>
      <c r="B8" s="1452" t="s">
        <v>243</v>
      </c>
      <c r="C8" s="1552"/>
      <c r="D8" s="1552"/>
      <c r="E8" s="1552"/>
      <c r="F8" s="1552"/>
      <c r="G8" s="1552"/>
      <c r="H8" s="1552"/>
      <c r="I8" s="1552"/>
      <c r="J8" s="1552"/>
      <c r="K8" s="1552"/>
      <c r="L8" s="1552"/>
      <c r="M8" s="1552"/>
      <c r="N8" s="1552"/>
      <c r="O8" s="1552"/>
      <c r="P8" s="1552"/>
      <c r="Q8" s="1552"/>
      <c r="R8" s="1552"/>
      <c r="S8" s="1552"/>
      <c r="T8" s="1552"/>
      <c r="U8" s="1552"/>
      <c r="V8" s="1552"/>
      <c r="W8" s="1552"/>
      <c r="X8" s="1552"/>
      <c r="Y8" s="1552"/>
      <c r="Z8" s="1461"/>
    </row>
    <row r="9" spans="1:26" s="556" customFormat="1" ht="13.5" customHeight="1" x14ac:dyDescent="0.2">
      <c r="A9" s="622">
        <v>7</v>
      </c>
      <c r="B9" s="832" t="s">
        <v>996</v>
      </c>
      <c r="C9" s="1470"/>
      <c r="D9" s="1470"/>
      <c r="E9" s="1470"/>
      <c r="F9" s="1470"/>
      <c r="G9" s="1470"/>
      <c r="H9" s="1470"/>
      <c r="I9" s="1470"/>
      <c r="J9" s="1470"/>
      <c r="K9" s="1470"/>
      <c r="L9" s="1470"/>
      <c r="M9" s="1470"/>
      <c r="N9" s="1474"/>
      <c r="O9" s="1470"/>
      <c r="P9" s="1470"/>
      <c r="Q9" s="1470"/>
      <c r="R9" s="1470"/>
      <c r="S9" s="1470"/>
      <c r="T9" s="1470"/>
      <c r="U9" s="1469"/>
      <c r="V9" s="1470"/>
      <c r="W9" s="1470"/>
      <c r="X9" s="1471"/>
      <c r="Y9" s="1472"/>
      <c r="Z9" s="1473"/>
    </row>
    <row r="10" spans="1:26" s="556" customFormat="1" ht="13.5" customHeight="1" x14ac:dyDescent="0.2">
      <c r="A10" s="940">
        <v>8</v>
      </c>
      <c r="B10" s="833" t="s">
        <v>997</v>
      </c>
      <c r="C10" s="1470"/>
      <c r="D10" s="1470"/>
      <c r="E10" s="1470"/>
      <c r="F10" s="1470"/>
      <c r="G10" s="1470"/>
      <c r="H10" s="1470"/>
      <c r="I10" s="1470"/>
      <c r="J10" s="1470"/>
      <c r="K10" s="1470"/>
      <c r="L10" s="1470"/>
      <c r="M10" s="1470"/>
      <c r="N10" s="1474"/>
      <c r="O10" s="1470"/>
      <c r="P10" s="1470"/>
      <c r="Q10" s="1470"/>
      <c r="R10" s="1470"/>
      <c r="S10" s="1470"/>
      <c r="T10" s="1470"/>
      <c r="U10" s="1469"/>
      <c r="V10" s="1470"/>
      <c r="W10" s="1470"/>
      <c r="X10" s="1471"/>
      <c r="Y10" s="1472"/>
      <c r="Z10" s="1473"/>
    </row>
    <row r="11" spans="1:26" s="556" customFormat="1" ht="13.5" customHeight="1" x14ac:dyDescent="0.2">
      <c r="A11" s="622">
        <v>9</v>
      </c>
      <c r="B11" s="832" t="s">
        <v>998</v>
      </c>
      <c r="C11" s="1470"/>
      <c r="D11" s="1470"/>
      <c r="E11" s="1470"/>
      <c r="F11" s="1470"/>
      <c r="G11" s="1470"/>
      <c r="H11" s="1470"/>
      <c r="I11" s="1470"/>
      <c r="J11" s="1470"/>
      <c r="K11" s="1470"/>
      <c r="L11" s="1470"/>
      <c r="M11" s="1470"/>
      <c r="N11" s="1474"/>
      <c r="O11" s="1470"/>
      <c r="P11" s="1470"/>
      <c r="Q11" s="1470"/>
      <c r="R11" s="1470"/>
      <c r="S11" s="1470"/>
      <c r="T11" s="1470"/>
      <c r="U11" s="1469"/>
      <c r="V11" s="1470"/>
      <c r="W11" s="1470"/>
      <c r="X11" s="1471"/>
      <c r="Y11" s="1472"/>
      <c r="Z11" s="1473"/>
    </row>
    <row r="12" spans="1:26" s="556" customFormat="1" ht="13.5" customHeight="1" x14ac:dyDescent="0.2">
      <c r="A12" s="622">
        <v>10</v>
      </c>
      <c r="B12" s="832" t="s">
        <v>999</v>
      </c>
      <c r="C12" s="1459">
        <v>1306</v>
      </c>
      <c r="D12" s="1459">
        <v>3426</v>
      </c>
      <c r="E12" s="1459">
        <v>6958</v>
      </c>
      <c r="F12" s="1459">
        <v>3198</v>
      </c>
      <c r="G12" s="1459">
        <v>16666</v>
      </c>
      <c r="H12" s="1459">
        <v>2389</v>
      </c>
      <c r="I12" s="1459">
        <v>15342</v>
      </c>
      <c r="J12" s="1459">
        <v>3368</v>
      </c>
      <c r="K12" s="1459">
        <v>2769</v>
      </c>
      <c r="L12" s="1459">
        <v>6750</v>
      </c>
      <c r="M12" s="1459">
        <v>2093</v>
      </c>
      <c r="N12" s="1459">
        <v>3078</v>
      </c>
      <c r="O12" s="1459">
        <v>2774</v>
      </c>
      <c r="P12" s="1459">
        <v>4133</v>
      </c>
      <c r="Q12" s="1459">
        <v>4116</v>
      </c>
      <c r="R12" s="1459">
        <v>11768</v>
      </c>
      <c r="S12" s="1459">
        <v>3405</v>
      </c>
      <c r="T12" s="1459">
        <v>1988</v>
      </c>
      <c r="U12" s="1459">
        <v>1365</v>
      </c>
      <c r="V12" s="1459">
        <v>8147</v>
      </c>
      <c r="W12" s="1459">
        <v>1115</v>
      </c>
      <c r="X12" s="1468">
        <v>1131</v>
      </c>
      <c r="Y12" s="1460">
        <v>97760</v>
      </c>
      <c r="Z12" s="617">
        <v>621470</v>
      </c>
    </row>
    <row r="13" spans="1:26" s="556" customFormat="1" ht="13.5" customHeight="1" x14ac:dyDescent="0.2">
      <c r="A13" s="622">
        <v>11</v>
      </c>
      <c r="B13" s="832" t="s">
        <v>1000</v>
      </c>
      <c r="C13" s="1470"/>
      <c r="D13" s="1470"/>
      <c r="E13" s="1470"/>
      <c r="F13" s="1470"/>
      <c r="G13" s="1470"/>
      <c r="H13" s="1470"/>
      <c r="I13" s="1470"/>
      <c r="J13" s="1470"/>
      <c r="K13" s="1470"/>
      <c r="L13" s="1470"/>
      <c r="M13" s="1470"/>
      <c r="N13" s="1470"/>
      <c r="O13" s="1470"/>
      <c r="P13" s="1470"/>
      <c r="Q13" s="1470"/>
      <c r="R13" s="1470"/>
      <c r="S13" s="1470"/>
      <c r="T13" s="1470"/>
      <c r="U13" s="1470"/>
      <c r="V13" s="1470"/>
      <c r="W13" s="1470"/>
      <c r="X13" s="1471"/>
      <c r="Y13" s="1472"/>
      <c r="Z13" s="1473"/>
    </row>
    <row r="14" spans="1:26" s="556" customFormat="1" ht="13.5" customHeight="1" x14ac:dyDescent="0.2">
      <c r="A14" s="622">
        <v>12</v>
      </c>
      <c r="B14" s="832" t="s">
        <v>1001</v>
      </c>
      <c r="C14" s="1459">
        <v>1080</v>
      </c>
      <c r="D14" s="1459">
        <v>3099</v>
      </c>
      <c r="E14" s="1459">
        <v>5824</v>
      </c>
      <c r="F14" s="1459">
        <v>3117</v>
      </c>
      <c r="G14" s="1459">
        <v>14993</v>
      </c>
      <c r="H14" s="1459">
        <v>2133</v>
      </c>
      <c r="I14" s="1459">
        <v>15235</v>
      </c>
      <c r="J14" s="1459">
        <v>2964</v>
      </c>
      <c r="K14" s="1459">
        <v>2126</v>
      </c>
      <c r="L14" s="1459">
        <v>6185</v>
      </c>
      <c r="M14" s="1459">
        <v>2041</v>
      </c>
      <c r="N14" s="1459">
        <v>2770</v>
      </c>
      <c r="O14" s="1459">
        <v>2745</v>
      </c>
      <c r="P14" s="1459">
        <v>4108</v>
      </c>
      <c r="Q14" s="1459">
        <v>4116</v>
      </c>
      <c r="R14" s="1459">
        <v>11586</v>
      </c>
      <c r="S14" s="1459">
        <v>2993</v>
      </c>
      <c r="T14" s="1459">
        <v>1698</v>
      </c>
      <c r="U14" s="1459">
        <v>1365</v>
      </c>
      <c r="V14" s="1459">
        <v>7152</v>
      </c>
      <c r="W14" s="1459">
        <v>908</v>
      </c>
      <c r="X14" s="1468">
        <v>1131</v>
      </c>
      <c r="Y14" s="1460">
        <f t="shared" ref="Y14:Y40" si="0">SUM(C14:O14,Q14:R14,U14:X14)</f>
        <v>90570</v>
      </c>
      <c r="Z14" s="617">
        <v>559670</v>
      </c>
    </row>
    <row r="15" spans="1:26" s="556" customFormat="1" ht="13.5" customHeight="1" x14ac:dyDescent="0.2">
      <c r="A15" s="1451"/>
      <c r="B15" s="1452" t="s">
        <v>244</v>
      </c>
      <c r="C15" s="1552"/>
      <c r="D15" s="1552"/>
      <c r="E15" s="1552"/>
      <c r="F15" s="1552"/>
      <c r="G15" s="1552"/>
      <c r="H15" s="1552"/>
      <c r="I15" s="1552"/>
      <c r="J15" s="1552"/>
      <c r="K15" s="1552"/>
      <c r="L15" s="1552"/>
      <c r="M15" s="1552"/>
      <c r="N15" s="1552"/>
      <c r="O15" s="1552"/>
      <c r="P15" s="1552"/>
      <c r="Q15" s="1552"/>
      <c r="R15" s="1552"/>
      <c r="S15" s="1552"/>
      <c r="T15" s="1552"/>
      <c r="U15" s="1552"/>
      <c r="V15" s="1552"/>
      <c r="W15" s="1552"/>
      <c r="X15" s="1552"/>
      <c r="Y15" s="1552"/>
      <c r="Z15" s="1461"/>
    </row>
    <row r="16" spans="1:26" s="556" customFormat="1" ht="13.5" customHeight="1" x14ac:dyDescent="0.2">
      <c r="A16" s="942">
        <v>13</v>
      </c>
      <c r="B16" s="834" t="s">
        <v>1002</v>
      </c>
      <c r="C16" s="1458">
        <v>153</v>
      </c>
      <c r="D16" s="1459">
        <v>179</v>
      </c>
      <c r="E16" s="1459">
        <v>560</v>
      </c>
      <c r="F16" s="1459">
        <v>157</v>
      </c>
      <c r="G16" s="1459">
        <v>1835</v>
      </c>
      <c r="H16" s="1459">
        <v>248</v>
      </c>
      <c r="I16" s="1459">
        <v>1577</v>
      </c>
      <c r="J16" s="1459">
        <v>375</v>
      </c>
      <c r="K16" s="1459">
        <v>219</v>
      </c>
      <c r="L16" s="1459">
        <v>490</v>
      </c>
      <c r="M16" s="1459">
        <v>228</v>
      </c>
      <c r="N16" s="1459">
        <v>231</v>
      </c>
      <c r="O16" s="1459">
        <v>177</v>
      </c>
      <c r="P16" s="1459">
        <v>512</v>
      </c>
      <c r="Q16" s="1459">
        <v>143</v>
      </c>
      <c r="R16" s="1459">
        <v>707</v>
      </c>
      <c r="S16" s="1459">
        <v>323</v>
      </c>
      <c r="T16" s="1459">
        <v>134</v>
      </c>
      <c r="U16" s="1459">
        <v>79</v>
      </c>
      <c r="V16" s="1459">
        <v>2017</v>
      </c>
      <c r="W16" s="1459">
        <v>105</v>
      </c>
      <c r="X16" s="1468">
        <v>368</v>
      </c>
      <c r="Y16" s="1460">
        <v>9850</v>
      </c>
      <c r="Z16" s="617">
        <v>57050</v>
      </c>
    </row>
    <row r="17" spans="1:26" s="556" customFormat="1" ht="13.5" customHeight="1" x14ac:dyDescent="0.2">
      <c r="A17" s="942">
        <v>14</v>
      </c>
      <c r="B17" s="834" t="s">
        <v>1003</v>
      </c>
      <c r="C17" s="1469"/>
      <c r="D17" s="1470"/>
      <c r="E17" s="1470"/>
      <c r="F17" s="1470"/>
      <c r="G17" s="1470"/>
      <c r="H17" s="1470"/>
      <c r="I17" s="1470"/>
      <c r="J17" s="1470"/>
      <c r="K17" s="1470"/>
      <c r="L17" s="1470"/>
      <c r="M17" s="1470"/>
      <c r="N17" s="1470"/>
      <c r="O17" s="1470"/>
      <c r="P17" s="1470"/>
      <c r="Q17" s="1470"/>
      <c r="R17" s="1470"/>
      <c r="S17" s="1470"/>
      <c r="T17" s="1470"/>
      <c r="U17" s="1470"/>
      <c r="V17" s="1470"/>
      <c r="W17" s="1470"/>
      <c r="X17" s="1471"/>
      <c r="Y17" s="1472"/>
      <c r="Z17" s="1473"/>
    </row>
    <row r="18" spans="1:26" s="556" customFormat="1" ht="13.5" customHeight="1" x14ac:dyDescent="0.2">
      <c r="A18" s="942">
        <v>15</v>
      </c>
      <c r="B18" s="834" t="s">
        <v>1004</v>
      </c>
      <c r="C18" s="1469"/>
      <c r="D18" s="1470"/>
      <c r="E18" s="1470"/>
      <c r="F18" s="1470"/>
      <c r="G18" s="1470"/>
      <c r="H18" s="1470"/>
      <c r="I18" s="1470"/>
      <c r="J18" s="1470"/>
      <c r="K18" s="1470"/>
      <c r="L18" s="1470"/>
      <c r="M18" s="1470"/>
      <c r="N18" s="1470"/>
      <c r="O18" s="1470"/>
      <c r="P18" s="1470"/>
      <c r="Q18" s="1470"/>
      <c r="R18" s="1470"/>
      <c r="S18" s="1470"/>
      <c r="T18" s="1470"/>
      <c r="U18" s="1470"/>
      <c r="V18" s="1470"/>
      <c r="W18" s="1470"/>
      <c r="X18" s="1471"/>
      <c r="Y18" s="1472"/>
      <c r="Z18" s="1473"/>
    </row>
    <row r="19" spans="1:26" s="556" customFormat="1" ht="13.5" customHeight="1" x14ac:dyDescent="0.2">
      <c r="A19" s="942">
        <v>16</v>
      </c>
      <c r="B19" s="834" t="s">
        <v>1005</v>
      </c>
      <c r="C19" s="1469"/>
      <c r="D19" s="1470"/>
      <c r="E19" s="1470"/>
      <c r="F19" s="1470"/>
      <c r="G19" s="1470"/>
      <c r="H19" s="1470"/>
      <c r="I19" s="1470"/>
      <c r="J19" s="1470"/>
      <c r="K19" s="1470"/>
      <c r="L19" s="1470"/>
      <c r="M19" s="1470"/>
      <c r="N19" s="1470"/>
      <c r="O19" s="1470"/>
      <c r="P19" s="1470"/>
      <c r="Q19" s="1470"/>
      <c r="R19" s="1470"/>
      <c r="S19" s="1470"/>
      <c r="T19" s="1470"/>
      <c r="U19" s="1470"/>
      <c r="V19" s="1470"/>
      <c r="W19" s="1470"/>
      <c r="X19" s="1471"/>
      <c r="Y19" s="1472"/>
      <c r="Z19" s="1473"/>
    </row>
    <row r="20" spans="1:26" s="556" customFormat="1" ht="13.5" customHeight="1" x14ac:dyDescent="0.2">
      <c r="A20" s="942">
        <v>17</v>
      </c>
      <c r="B20" s="834" t="s">
        <v>1006</v>
      </c>
      <c r="C20" s="1458">
        <v>343</v>
      </c>
      <c r="D20" s="1459">
        <v>523</v>
      </c>
      <c r="E20" s="1459">
        <v>1650</v>
      </c>
      <c r="F20" s="1459">
        <v>241</v>
      </c>
      <c r="G20" s="1459">
        <v>4149</v>
      </c>
      <c r="H20" s="1459">
        <v>672</v>
      </c>
      <c r="I20" s="1459">
        <v>2617</v>
      </c>
      <c r="J20" s="1459">
        <v>848</v>
      </c>
      <c r="K20" s="1459">
        <v>620</v>
      </c>
      <c r="L20" s="1459">
        <v>964</v>
      </c>
      <c r="M20" s="1459">
        <v>341</v>
      </c>
      <c r="N20" s="1457">
        <v>590</v>
      </c>
      <c r="O20" s="1459">
        <v>524</v>
      </c>
      <c r="P20" s="1459">
        <v>733</v>
      </c>
      <c r="Q20" s="1459">
        <v>819</v>
      </c>
      <c r="R20" s="1459">
        <v>1850</v>
      </c>
      <c r="S20" s="1459">
        <v>597</v>
      </c>
      <c r="T20" s="1459">
        <v>307</v>
      </c>
      <c r="U20" s="1458">
        <v>224</v>
      </c>
      <c r="V20" s="1459">
        <v>1204</v>
      </c>
      <c r="W20" s="1459">
        <v>128</v>
      </c>
      <c r="X20" s="1468">
        <v>179</v>
      </c>
      <c r="Y20" s="1460">
        <v>18490</v>
      </c>
      <c r="Z20" s="617">
        <v>103670</v>
      </c>
    </row>
    <row r="21" spans="1:26" s="556" customFormat="1" ht="13.5" customHeight="1" x14ac:dyDescent="0.2">
      <c r="A21" s="942">
        <v>18</v>
      </c>
      <c r="B21" s="834" t="s">
        <v>1007</v>
      </c>
      <c r="C21" s="1458">
        <v>19</v>
      </c>
      <c r="D21" s="1459">
        <v>76</v>
      </c>
      <c r="E21" s="1459" t="s">
        <v>73</v>
      </c>
      <c r="F21" s="1459">
        <v>20</v>
      </c>
      <c r="G21" s="1459">
        <v>0</v>
      </c>
      <c r="H21" s="1459">
        <v>0</v>
      </c>
      <c r="I21" s="1459">
        <v>216</v>
      </c>
      <c r="J21" s="1459">
        <v>57</v>
      </c>
      <c r="K21" s="1459">
        <v>69</v>
      </c>
      <c r="L21" s="1459">
        <v>322</v>
      </c>
      <c r="M21" s="1459">
        <v>45</v>
      </c>
      <c r="N21" s="1457">
        <v>56</v>
      </c>
      <c r="O21" s="1459">
        <v>48</v>
      </c>
      <c r="P21" s="1459">
        <v>85</v>
      </c>
      <c r="Q21" s="1459">
        <v>11</v>
      </c>
      <c r="R21" s="1459">
        <v>126</v>
      </c>
      <c r="S21" s="1459">
        <v>22</v>
      </c>
      <c r="T21" s="1459">
        <v>0</v>
      </c>
      <c r="U21" s="1458">
        <v>33</v>
      </c>
      <c r="V21" s="1459">
        <v>0</v>
      </c>
      <c r="W21" s="1459" t="s">
        <v>73</v>
      </c>
      <c r="X21" s="1468">
        <v>18</v>
      </c>
      <c r="Y21" s="1460">
        <v>1120</v>
      </c>
      <c r="Z21" s="617">
        <v>16900</v>
      </c>
    </row>
    <row r="22" spans="1:26" s="556" customFormat="1" ht="13.5" customHeight="1" x14ac:dyDescent="0.2">
      <c r="A22" s="942">
        <v>19</v>
      </c>
      <c r="B22" s="834" t="s">
        <v>1008</v>
      </c>
      <c r="C22" s="1458">
        <v>118</v>
      </c>
      <c r="D22" s="1459">
        <v>488</v>
      </c>
      <c r="E22" s="1459">
        <v>1150</v>
      </c>
      <c r="F22" s="1459">
        <v>191</v>
      </c>
      <c r="G22" s="1459">
        <v>2148</v>
      </c>
      <c r="H22" s="1459">
        <v>278</v>
      </c>
      <c r="I22" s="1459">
        <v>2128</v>
      </c>
      <c r="J22" s="1459">
        <v>350</v>
      </c>
      <c r="K22" s="1459">
        <v>270</v>
      </c>
      <c r="L22" s="1459">
        <v>1035</v>
      </c>
      <c r="M22" s="1459">
        <v>300</v>
      </c>
      <c r="N22" s="1457">
        <v>402</v>
      </c>
      <c r="O22" s="1459">
        <v>346</v>
      </c>
      <c r="P22" s="1459">
        <v>686</v>
      </c>
      <c r="Q22" s="1459">
        <v>585</v>
      </c>
      <c r="R22" s="1459">
        <v>1597</v>
      </c>
      <c r="S22" s="1459">
        <v>392</v>
      </c>
      <c r="T22" s="1459">
        <v>260</v>
      </c>
      <c r="U22" s="1458">
        <v>146</v>
      </c>
      <c r="V22" s="1459">
        <v>765</v>
      </c>
      <c r="W22" s="1459">
        <v>111</v>
      </c>
      <c r="X22" s="1468">
        <v>53</v>
      </c>
      <c r="Y22" s="1460">
        <v>12460</v>
      </c>
      <c r="Z22" s="617">
        <v>89080</v>
      </c>
    </row>
    <row r="23" spans="1:26" s="556" customFormat="1" ht="13.5" customHeight="1" x14ac:dyDescent="0.2">
      <c r="A23" s="942">
        <v>20</v>
      </c>
      <c r="B23" s="834" t="s">
        <v>1009</v>
      </c>
      <c r="C23" s="1469"/>
      <c r="D23" s="1470"/>
      <c r="E23" s="1470"/>
      <c r="F23" s="1470"/>
      <c r="G23" s="1470"/>
      <c r="H23" s="1470"/>
      <c r="I23" s="1470"/>
      <c r="J23" s="1470"/>
      <c r="K23" s="1470"/>
      <c r="L23" s="1470"/>
      <c r="M23" s="1470"/>
      <c r="N23" s="1474"/>
      <c r="O23" s="1470"/>
      <c r="P23" s="1470"/>
      <c r="Q23" s="1470"/>
      <c r="R23" s="1470"/>
      <c r="S23" s="1470"/>
      <c r="T23" s="1470"/>
      <c r="U23" s="1469"/>
      <c r="V23" s="1470"/>
      <c r="W23" s="1470"/>
      <c r="X23" s="1471"/>
      <c r="Y23" s="1472"/>
      <c r="Z23" s="1473"/>
    </row>
    <row r="24" spans="1:26" s="556" customFormat="1" ht="13.5" customHeight="1" x14ac:dyDescent="0.2">
      <c r="A24" s="942">
        <v>21</v>
      </c>
      <c r="B24" s="834" t="s">
        <v>1010</v>
      </c>
      <c r="C24" s="1469"/>
      <c r="D24" s="1470"/>
      <c r="E24" s="1470"/>
      <c r="F24" s="1470"/>
      <c r="G24" s="1470"/>
      <c r="H24" s="1470"/>
      <c r="I24" s="1470"/>
      <c r="J24" s="1470"/>
      <c r="K24" s="1470"/>
      <c r="L24" s="1470"/>
      <c r="M24" s="1470"/>
      <c r="N24" s="1474"/>
      <c r="O24" s="1470"/>
      <c r="P24" s="1470"/>
      <c r="Q24" s="1470"/>
      <c r="R24" s="1470"/>
      <c r="S24" s="1470"/>
      <c r="T24" s="1470"/>
      <c r="U24" s="1469"/>
      <c r="V24" s="1470"/>
      <c r="W24" s="1470"/>
      <c r="X24" s="1471"/>
      <c r="Y24" s="1472"/>
      <c r="Z24" s="1473"/>
    </row>
    <row r="25" spans="1:26" s="556" customFormat="1" ht="13.5" customHeight="1" x14ac:dyDescent="0.2">
      <c r="A25" s="942">
        <v>22</v>
      </c>
      <c r="B25" s="834" t="s">
        <v>1011</v>
      </c>
      <c r="C25" s="1469"/>
      <c r="D25" s="1470"/>
      <c r="E25" s="1470"/>
      <c r="F25" s="1470"/>
      <c r="G25" s="1470"/>
      <c r="H25" s="1470"/>
      <c r="I25" s="1470"/>
      <c r="J25" s="1470"/>
      <c r="K25" s="1470"/>
      <c r="L25" s="1470"/>
      <c r="M25" s="1470"/>
      <c r="N25" s="1474"/>
      <c r="O25" s="1470"/>
      <c r="P25" s="1470"/>
      <c r="Q25" s="1470"/>
      <c r="R25" s="1470"/>
      <c r="S25" s="1470"/>
      <c r="T25" s="1470"/>
      <c r="U25" s="1469"/>
      <c r="V25" s="1470"/>
      <c r="W25" s="1470"/>
      <c r="X25" s="1471"/>
      <c r="Y25" s="1472"/>
      <c r="Z25" s="1473"/>
    </row>
    <row r="26" spans="1:26" s="556" customFormat="1" ht="13.5" customHeight="1" x14ac:dyDescent="0.2">
      <c r="A26" s="942">
        <v>23</v>
      </c>
      <c r="B26" s="834" t="s">
        <v>1012</v>
      </c>
      <c r="C26" s="1469"/>
      <c r="D26" s="1470"/>
      <c r="E26" s="1470"/>
      <c r="F26" s="1470"/>
      <c r="G26" s="1470"/>
      <c r="H26" s="1470"/>
      <c r="I26" s="1470"/>
      <c r="J26" s="1470"/>
      <c r="K26" s="1470"/>
      <c r="L26" s="1470"/>
      <c r="M26" s="1470"/>
      <c r="N26" s="1474"/>
      <c r="O26" s="1470"/>
      <c r="P26" s="1470"/>
      <c r="Q26" s="1470"/>
      <c r="R26" s="1470"/>
      <c r="S26" s="1470"/>
      <c r="T26" s="1470"/>
      <c r="U26" s="1469"/>
      <c r="V26" s="1470"/>
      <c r="W26" s="1470"/>
      <c r="X26" s="1471"/>
      <c r="Y26" s="1472"/>
      <c r="Z26" s="1473"/>
    </row>
    <row r="27" spans="1:26" s="556" customFormat="1" ht="13.5" customHeight="1" x14ac:dyDescent="0.2">
      <c r="A27" s="942">
        <v>24</v>
      </c>
      <c r="B27" s="834" t="s">
        <v>1013</v>
      </c>
      <c r="C27" s="1469"/>
      <c r="D27" s="1470"/>
      <c r="E27" s="1470"/>
      <c r="F27" s="1470"/>
      <c r="G27" s="1470"/>
      <c r="H27" s="1470"/>
      <c r="I27" s="1470"/>
      <c r="J27" s="1470"/>
      <c r="K27" s="1470"/>
      <c r="L27" s="1470"/>
      <c r="M27" s="1470"/>
      <c r="N27" s="1474"/>
      <c r="O27" s="1470"/>
      <c r="P27" s="1470"/>
      <c r="Q27" s="1470"/>
      <c r="R27" s="1470"/>
      <c r="S27" s="1470"/>
      <c r="T27" s="1470"/>
      <c r="U27" s="1469"/>
      <c r="V27" s="1470"/>
      <c r="W27" s="1470"/>
      <c r="X27" s="1471"/>
      <c r="Y27" s="1472"/>
      <c r="Z27" s="1473"/>
    </row>
    <row r="28" spans="1:26" s="556" customFormat="1" ht="13.5" customHeight="1" x14ac:dyDescent="0.2">
      <c r="A28" s="942">
        <v>25</v>
      </c>
      <c r="B28" s="834" t="s">
        <v>1014</v>
      </c>
      <c r="C28" s="1458">
        <v>10</v>
      </c>
      <c r="D28" s="1459">
        <v>0</v>
      </c>
      <c r="E28" s="1459">
        <v>54</v>
      </c>
      <c r="F28" s="1459">
        <v>18</v>
      </c>
      <c r="G28" s="1459">
        <v>277</v>
      </c>
      <c r="H28" s="1459">
        <v>13</v>
      </c>
      <c r="I28" s="1459">
        <v>395</v>
      </c>
      <c r="J28" s="1459">
        <v>102</v>
      </c>
      <c r="K28" s="1459" t="s">
        <v>73</v>
      </c>
      <c r="L28" s="1459">
        <v>89</v>
      </c>
      <c r="M28" s="1459">
        <v>45</v>
      </c>
      <c r="N28" s="1457">
        <v>123</v>
      </c>
      <c r="O28" s="1459">
        <v>21</v>
      </c>
      <c r="P28" s="1459" t="s">
        <v>73</v>
      </c>
      <c r="Q28" s="1459">
        <v>47</v>
      </c>
      <c r="R28" s="1459">
        <v>84</v>
      </c>
      <c r="S28" s="1459">
        <v>67</v>
      </c>
      <c r="T28" s="1459">
        <v>10</v>
      </c>
      <c r="U28" s="1458">
        <v>54</v>
      </c>
      <c r="V28" s="1459">
        <v>141</v>
      </c>
      <c r="W28" s="1459">
        <v>11</v>
      </c>
      <c r="X28" s="1468" t="s">
        <v>73</v>
      </c>
      <c r="Y28" s="1460">
        <v>1540</v>
      </c>
      <c r="Z28" s="617">
        <v>9710</v>
      </c>
    </row>
    <row r="29" spans="1:26" s="556" customFormat="1" ht="13.5" customHeight="1" x14ac:dyDescent="0.2">
      <c r="A29" s="942">
        <v>26</v>
      </c>
      <c r="B29" s="834" t="s">
        <v>1015</v>
      </c>
      <c r="C29" s="1458">
        <v>229</v>
      </c>
      <c r="D29" s="1459">
        <v>709</v>
      </c>
      <c r="E29" s="1459">
        <v>937</v>
      </c>
      <c r="F29" s="1459">
        <v>300</v>
      </c>
      <c r="G29" s="1459">
        <v>1596</v>
      </c>
      <c r="H29" s="1459">
        <v>214</v>
      </c>
      <c r="I29" s="1459">
        <v>1670</v>
      </c>
      <c r="J29" s="1459">
        <v>515</v>
      </c>
      <c r="K29" s="1459">
        <v>462</v>
      </c>
      <c r="L29" s="1459">
        <v>655</v>
      </c>
      <c r="M29" s="1459">
        <v>246</v>
      </c>
      <c r="N29" s="1457">
        <v>254</v>
      </c>
      <c r="O29" s="1459">
        <v>553</v>
      </c>
      <c r="P29" s="1459">
        <v>624</v>
      </c>
      <c r="Q29" s="1459">
        <v>417</v>
      </c>
      <c r="R29" s="1459">
        <v>1079</v>
      </c>
      <c r="S29" s="1459">
        <v>266</v>
      </c>
      <c r="T29" s="1459">
        <v>466</v>
      </c>
      <c r="U29" s="1458">
        <v>310</v>
      </c>
      <c r="V29" s="1459">
        <v>779</v>
      </c>
      <c r="W29" s="1459">
        <v>423</v>
      </c>
      <c r="X29" s="1468">
        <v>46</v>
      </c>
      <c r="Y29" s="1460">
        <v>11390</v>
      </c>
      <c r="Z29" s="617">
        <v>83250</v>
      </c>
    </row>
    <row r="30" spans="1:26" s="556" customFormat="1" ht="13.5" customHeight="1" x14ac:dyDescent="0.2">
      <c r="A30" s="942">
        <v>27</v>
      </c>
      <c r="B30" s="834" t="s">
        <v>1016</v>
      </c>
      <c r="C30" s="1469"/>
      <c r="D30" s="1470"/>
      <c r="E30" s="1470"/>
      <c r="F30" s="1470"/>
      <c r="G30" s="1470"/>
      <c r="H30" s="1470"/>
      <c r="I30" s="1470"/>
      <c r="J30" s="1470"/>
      <c r="K30" s="1470"/>
      <c r="L30" s="1470"/>
      <c r="M30" s="1470"/>
      <c r="N30" s="1474"/>
      <c r="O30" s="1470"/>
      <c r="P30" s="1470"/>
      <c r="Q30" s="1470"/>
      <c r="R30" s="1470"/>
      <c r="S30" s="1470"/>
      <c r="T30" s="1470"/>
      <c r="U30" s="1469"/>
      <c r="V30" s="1470"/>
      <c r="W30" s="1470"/>
      <c r="X30" s="1471"/>
      <c r="Y30" s="1472"/>
      <c r="Z30" s="1473"/>
    </row>
    <row r="31" spans="1:26" s="556" customFormat="1" ht="13.5" customHeight="1" x14ac:dyDescent="0.2">
      <c r="A31" s="942">
        <v>28</v>
      </c>
      <c r="B31" s="834" t="s">
        <v>1017</v>
      </c>
      <c r="C31" s="1469"/>
      <c r="D31" s="1470"/>
      <c r="E31" s="1470"/>
      <c r="F31" s="1470"/>
      <c r="G31" s="1470"/>
      <c r="H31" s="1470"/>
      <c r="I31" s="1470"/>
      <c r="J31" s="1470"/>
      <c r="K31" s="1470"/>
      <c r="L31" s="1470"/>
      <c r="M31" s="1470"/>
      <c r="N31" s="1474"/>
      <c r="O31" s="1470"/>
      <c r="P31" s="1470"/>
      <c r="Q31" s="1470"/>
      <c r="R31" s="1470"/>
      <c r="S31" s="1470"/>
      <c r="T31" s="1470"/>
      <c r="U31" s="1469"/>
      <c r="V31" s="1470"/>
      <c r="W31" s="1470"/>
      <c r="X31" s="1471"/>
      <c r="Y31" s="1472"/>
      <c r="Z31" s="1473"/>
    </row>
    <row r="32" spans="1:26" s="556" customFormat="1" ht="13.5" customHeight="1" x14ac:dyDescent="0.2">
      <c r="A32" s="942">
        <v>29</v>
      </c>
      <c r="B32" s="834" t="s">
        <v>1018</v>
      </c>
      <c r="C32" s="1458">
        <v>317</v>
      </c>
      <c r="D32" s="1459">
        <v>844</v>
      </c>
      <c r="E32" s="1459">
        <v>1884</v>
      </c>
      <c r="F32" s="1459">
        <v>552</v>
      </c>
      <c r="G32" s="1459">
        <v>4346</v>
      </c>
      <c r="H32" s="1459">
        <v>606</v>
      </c>
      <c r="I32" s="1459">
        <v>3886</v>
      </c>
      <c r="J32" s="1459">
        <v>718</v>
      </c>
      <c r="K32" s="1459">
        <v>718</v>
      </c>
      <c r="L32" s="1459">
        <v>2323</v>
      </c>
      <c r="M32" s="1459">
        <v>655</v>
      </c>
      <c r="N32" s="1457">
        <v>1014</v>
      </c>
      <c r="O32" s="1459">
        <v>917</v>
      </c>
      <c r="P32" s="1459">
        <v>955</v>
      </c>
      <c r="Q32" s="1459">
        <v>951</v>
      </c>
      <c r="R32" s="1459">
        <v>4858</v>
      </c>
      <c r="S32" s="1459">
        <v>1099</v>
      </c>
      <c r="T32" s="1459">
        <v>520</v>
      </c>
      <c r="U32" s="1458">
        <v>285</v>
      </c>
      <c r="V32" s="1459">
        <v>2562</v>
      </c>
      <c r="W32" s="1459">
        <v>265</v>
      </c>
      <c r="X32" s="1468">
        <v>420</v>
      </c>
      <c r="Y32" s="1460">
        <v>28120</v>
      </c>
      <c r="Z32" s="617">
        <v>171380</v>
      </c>
    </row>
    <row r="33" spans="1:26" s="556" customFormat="1" ht="13.5" customHeight="1" x14ac:dyDescent="0.2">
      <c r="A33" s="942">
        <v>30</v>
      </c>
      <c r="B33" s="834" t="s">
        <v>1019</v>
      </c>
      <c r="C33" s="1458">
        <v>21</v>
      </c>
      <c r="D33" s="1459">
        <v>69</v>
      </c>
      <c r="E33" s="1459">
        <v>158</v>
      </c>
      <c r="F33" s="1459">
        <v>57</v>
      </c>
      <c r="G33" s="1459">
        <v>370</v>
      </c>
      <c r="H33" s="1459">
        <v>53</v>
      </c>
      <c r="I33" s="1459">
        <v>1321</v>
      </c>
      <c r="J33" s="1459">
        <v>142</v>
      </c>
      <c r="K33" s="1459">
        <v>160</v>
      </c>
      <c r="L33" s="1459">
        <v>128</v>
      </c>
      <c r="M33" s="1459">
        <v>70</v>
      </c>
      <c r="N33" s="1457">
        <v>135</v>
      </c>
      <c r="O33" s="1459">
        <v>68</v>
      </c>
      <c r="P33" s="1459">
        <v>107</v>
      </c>
      <c r="Q33" s="1459">
        <v>67</v>
      </c>
      <c r="R33" s="1459">
        <v>319</v>
      </c>
      <c r="S33" s="1459">
        <v>72</v>
      </c>
      <c r="T33" s="1459">
        <v>33</v>
      </c>
      <c r="U33" s="1458">
        <v>24</v>
      </c>
      <c r="V33" s="1459">
        <v>336</v>
      </c>
      <c r="W33" s="1459">
        <v>28</v>
      </c>
      <c r="X33" s="1468">
        <v>0</v>
      </c>
      <c r="Y33" s="1460">
        <v>3530</v>
      </c>
      <c r="Z33" s="617">
        <v>20840</v>
      </c>
    </row>
    <row r="34" spans="1:26" s="556" customFormat="1" ht="13.5" customHeight="1" x14ac:dyDescent="0.2">
      <c r="A34" s="942">
        <v>31</v>
      </c>
      <c r="B34" s="834" t="s">
        <v>1020</v>
      </c>
      <c r="C34" s="1458">
        <v>84</v>
      </c>
      <c r="D34" s="1459">
        <v>99</v>
      </c>
      <c r="E34" s="1459">
        <v>421</v>
      </c>
      <c r="F34" s="1459">
        <v>153</v>
      </c>
      <c r="G34" s="1459">
        <v>1255</v>
      </c>
      <c r="H34" s="1459">
        <v>241</v>
      </c>
      <c r="I34" s="1459">
        <v>1244</v>
      </c>
      <c r="J34" s="1459">
        <v>150</v>
      </c>
      <c r="K34" s="1459">
        <v>123</v>
      </c>
      <c r="L34" s="1459">
        <v>371</v>
      </c>
      <c r="M34" s="1459">
        <v>117</v>
      </c>
      <c r="N34" s="1457">
        <v>204</v>
      </c>
      <c r="O34" s="1459">
        <v>89</v>
      </c>
      <c r="P34" s="1459">
        <v>185</v>
      </c>
      <c r="Q34" s="1459">
        <v>188</v>
      </c>
      <c r="R34" s="1459">
        <v>878</v>
      </c>
      <c r="S34" s="1459">
        <v>59</v>
      </c>
      <c r="T34" s="1459">
        <v>165</v>
      </c>
      <c r="U34" s="1458">
        <v>207</v>
      </c>
      <c r="V34" s="1459">
        <v>67</v>
      </c>
      <c r="W34" s="1459">
        <v>33</v>
      </c>
      <c r="X34" s="1468" t="s">
        <v>73</v>
      </c>
      <c r="Y34" s="1460">
        <v>5930</v>
      </c>
      <c r="Z34" s="617">
        <v>38740</v>
      </c>
    </row>
    <row r="35" spans="1:26" s="556" customFormat="1" ht="13.5" customHeight="1" x14ac:dyDescent="0.2">
      <c r="A35" s="942">
        <v>32</v>
      </c>
      <c r="B35" s="834" t="s">
        <v>1021</v>
      </c>
      <c r="C35" s="1458" t="s">
        <v>73</v>
      </c>
      <c r="D35" s="1459">
        <v>87</v>
      </c>
      <c r="E35" s="1459">
        <v>100</v>
      </c>
      <c r="F35" s="1459">
        <v>28</v>
      </c>
      <c r="G35" s="1459">
        <v>400</v>
      </c>
      <c r="H35" s="1459">
        <v>64</v>
      </c>
      <c r="I35" s="1459">
        <v>230</v>
      </c>
      <c r="J35" s="1459">
        <v>96</v>
      </c>
      <c r="K35" s="1459">
        <v>73</v>
      </c>
      <c r="L35" s="1459">
        <v>198</v>
      </c>
      <c r="M35" s="1459">
        <v>46</v>
      </c>
      <c r="N35" s="1457">
        <v>22</v>
      </c>
      <c r="O35" s="1459">
        <v>31</v>
      </c>
      <c r="P35" s="1459">
        <v>184</v>
      </c>
      <c r="Q35" s="1459">
        <v>108</v>
      </c>
      <c r="R35" s="1459">
        <v>270</v>
      </c>
      <c r="S35" s="1459">
        <v>122</v>
      </c>
      <c r="T35" s="1459">
        <v>71</v>
      </c>
      <c r="U35" s="1458" t="s">
        <v>73</v>
      </c>
      <c r="V35" s="1459">
        <v>0</v>
      </c>
      <c r="W35" s="1459">
        <v>7</v>
      </c>
      <c r="X35" s="1468">
        <v>39</v>
      </c>
      <c r="Y35" s="1460">
        <v>1810</v>
      </c>
      <c r="Z35" s="617">
        <v>13770</v>
      </c>
    </row>
    <row r="36" spans="1:26" s="556" customFormat="1" ht="13.5" customHeight="1" x14ac:dyDescent="0.2">
      <c r="A36" s="942">
        <v>33</v>
      </c>
      <c r="B36" s="834" t="s">
        <v>1022</v>
      </c>
      <c r="C36" s="1458" t="s">
        <v>73</v>
      </c>
      <c r="D36" s="1459">
        <v>352</v>
      </c>
      <c r="E36" s="1459" t="s">
        <v>73</v>
      </c>
      <c r="F36" s="1459">
        <v>1481</v>
      </c>
      <c r="G36" s="1459">
        <v>290</v>
      </c>
      <c r="H36" s="1459">
        <v>0</v>
      </c>
      <c r="I36" s="1459">
        <v>58</v>
      </c>
      <c r="J36" s="1459">
        <v>15</v>
      </c>
      <c r="K36" s="1459" t="s">
        <v>73</v>
      </c>
      <c r="L36" s="1459">
        <v>175</v>
      </c>
      <c r="M36" s="1459">
        <v>0</v>
      </c>
      <c r="N36" s="1457">
        <v>47</v>
      </c>
      <c r="O36" s="1459">
        <v>0</v>
      </c>
      <c r="P36" s="1459" t="s">
        <v>73</v>
      </c>
      <c r="Q36" s="1459">
        <v>780</v>
      </c>
      <c r="R36" s="1459">
        <v>0</v>
      </c>
      <c r="S36" s="1459">
        <v>386</v>
      </c>
      <c r="T36" s="1459">
        <v>22</v>
      </c>
      <c r="U36" s="1458" t="s">
        <v>73</v>
      </c>
      <c r="V36" s="1459">
        <v>276</v>
      </c>
      <c r="W36" s="1459" t="s">
        <v>73</v>
      </c>
      <c r="X36" s="1468">
        <v>0</v>
      </c>
      <c r="Y36" s="1460">
        <v>3520</v>
      </c>
      <c r="Z36" s="617">
        <v>17080</v>
      </c>
    </row>
    <row r="37" spans="1:26" s="556" customFormat="1" ht="13.5" customHeight="1" x14ac:dyDescent="0.2">
      <c r="A37" s="622">
        <v>34</v>
      </c>
      <c r="B37" s="835" t="s">
        <v>1023</v>
      </c>
      <c r="C37" s="620">
        <v>224.99999999999991</v>
      </c>
      <c r="D37" s="1459">
        <v>1101.0000000000007</v>
      </c>
      <c r="E37" s="1459">
        <v>1840.9999999999973</v>
      </c>
      <c r="F37" s="1459">
        <v>465.00000000000011</v>
      </c>
      <c r="G37" s="1459">
        <v>4695</v>
      </c>
      <c r="H37" s="1459">
        <v>786</v>
      </c>
      <c r="I37" s="1459">
        <v>3197.0000000000027</v>
      </c>
      <c r="J37" s="1459">
        <v>556</v>
      </c>
      <c r="K37" s="1459">
        <v>580</v>
      </c>
      <c r="L37" s="1459">
        <v>1712</v>
      </c>
      <c r="M37" s="1459">
        <v>406.99999999999989</v>
      </c>
      <c r="N37" s="621">
        <v>646</v>
      </c>
      <c r="O37" s="1459">
        <v>522.00000000000011</v>
      </c>
      <c r="P37" s="1459">
        <v>985</v>
      </c>
      <c r="Q37" s="1459">
        <v>790</v>
      </c>
      <c r="R37" s="1459">
        <v>2840</v>
      </c>
      <c r="S37" s="1459">
        <v>948.99999999999989</v>
      </c>
      <c r="T37" s="1459">
        <v>574.00000000000011</v>
      </c>
      <c r="U37" s="620">
        <v>219</v>
      </c>
      <c r="V37" s="1459">
        <v>1986.999999999997</v>
      </c>
      <c r="W37" s="1459">
        <v>193</v>
      </c>
      <c r="X37" s="1468">
        <v>195</v>
      </c>
      <c r="Y37" s="1460">
        <v>22960</v>
      </c>
      <c r="Z37" s="617">
        <v>138700</v>
      </c>
    </row>
    <row r="38" spans="1:26" s="556" customFormat="1" ht="13.5" customHeight="1" x14ac:dyDescent="0.2">
      <c r="A38" s="622">
        <v>35</v>
      </c>
      <c r="B38" s="835" t="s">
        <v>1024</v>
      </c>
      <c r="C38" s="620">
        <v>1099</v>
      </c>
      <c r="D38" s="1459">
        <v>2868</v>
      </c>
      <c r="E38" s="1459">
        <v>5597</v>
      </c>
      <c r="F38" s="1459">
        <v>2485</v>
      </c>
      <c r="G38" s="1459">
        <v>16931</v>
      </c>
      <c r="H38" s="1459">
        <v>2395</v>
      </c>
      <c r="I38" s="1459">
        <v>16440</v>
      </c>
      <c r="J38" s="1459">
        <v>3114</v>
      </c>
      <c r="K38" s="1459">
        <v>2087</v>
      </c>
      <c r="L38" s="1459">
        <v>5516</v>
      </c>
      <c r="M38" s="1459">
        <v>1865</v>
      </c>
      <c r="N38" s="621">
        <v>2171</v>
      </c>
      <c r="O38" s="1459">
        <v>2588</v>
      </c>
      <c r="P38" s="1459">
        <v>4413</v>
      </c>
      <c r="Q38" s="1459">
        <v>3035</v>
      </c>
      <c r="R38" s="1459">
        <v>12174</v>
      </c>
      <c r="S38" s="1459">
        <v>3139</v>
      </c>
      <c r="T38" s="1459">
        <v>1558</v>
      </c>
      <c r="U38" s="620">
        <v>1434</v>
      </c>
      <c r="V38" s="1459">
        <v>7465</v>
      </c>
      <c r="W38" s="1459">
        <v>924</v>
      </c>
      <c r="X38" s="1468">
        <v>1128</v>
      </c>
      <c r="Y38" s="1460">
        <v>91320</v>
      </c>
      <c r="Z38" s="617">
        <v>571640</v>
      </c>
    </row>
    <row r="39" spans="1:26" s="556" customFormat="1" ht="13.5" customHeight="1" x14ac:dyDescent="0.2">
      <c r="A39" s="1451"/>
      <c r="B39" s="1452" t="s">
        <v>245</v>
      </c>
      <c r="C39" s="1552"/>
      <c r="D39" s="1552"/>
      <c r="E39" s="1552"/>
      <c r="F39" s="1552"/>
      <c r="G39" s="1552"/>
      <c r="H39" s="1552"/>
      <c r="I39" s="1552"/>
      <c r="J39" s="1552"/>
      <c r="K39" s="1552"/>
      <c r="L39" s="1552"/>
      <c r="M39" s="1552"/>
      <c r="N39" s="1552"/>
      <c r="O39" s="1552"/>
      <c r="P39" s="1552"/>
      <c r="Q39" s="1552"/>
      <c r="R39" s="1552"/>
      <c r="S39" s="1552"/>
      <c r="T39" s="1552"/>
      <c r="U39" s="1552"/>
      <c r="V39" s="1552"/>
      <c r="W39" s="1552"/>
      <c r="X39" s="1552"/>
      <c r="Y39" s="1552"/>
      <c r="Z39" s="1461"/>
    </row>
    <row r="40" spans="1:26" s="556" customFormat="1" ht="13.5" customHeight="1" x14ac:dyDescent="0.2">
      <c r="A40" s="943">
        <v>36</v>
      </c>
      <c r="B40" s="832" t="s">
        <v>1025</v>
      </c>
      <c r="C40" s="1458">
        <v>268</v>
      </c>
      <c r="D40" s="1459">
        <v>358</v>
      </c>
      <c r="E40" s="1459">
        <v>601</v>
      </c>
      <c r="F40" s="1459">
        <v>322</v>
      </c>
      <c r="G40" s="1459">
        <v>3811</v>
      </c>
      <c r="H40" s="1459">
        <v>473</v>
      </c>
      <c r="I40" s="1459">
        <v>2185</v>
      </c>
      <c r="J40" s="1459">
        <v>211</v>
      </c>
      <c r="K40" s="1459">
        <v>543</v>
      </c>
      <c r="L40" s="1459">
        <v>585</v>
      </c>
      <c r="M40" s="1459">
        <v>812</v>
      </c>
      <c r="N40" s="1457">
        <v>1042</v>
      </c>
      <c r="O40" s="1459">
        <v>135</v>
      </c>
      <c r="P40" s="1459">
        <v>733</v>
      </c>
      <c r="Q40" s="1459">
        <v>586</v>
      </c>
      <c r="R40" s="1459">
        <v>1162</v>
      </c>
      <c r="S40" s="1459">
        <v>653</v>
      </c>
      <c r="T40" s="1459">
        <v>461</v>
      </c>
      <c r="U40" s="1458">
        <v>172</v>
      </c>
      <c r="V40" s="1459">
        <v>4808</v>
      </c>
      <c r="W40" s="1459">
        <v>188</v>
      </c>
      <c r="X40" s="1468">
        <v>678</v>
      </c>
      <c r="Y40" s="1460">
        <f t="shared" si="0"/>
        <v>18940</v>
      </c>
      <c r="Z40" s="617">
        <v>111520</v>
      </c>
    </row>
    <row r="41" spans="1:26" s="556" customFormat="1" ht="13.5" customHeight="1" x14ac:dyDescent="0.2">
      <c r="A41" s="943">
        <v>37</v>
      </c>
      <c r="B41" s="832" t="s">
        <v>1026</v>
      </c>
      <c r="C41" s="1458">
        <v>320</v>
      </c>
      <c r="D41" s="1459">
        <v>247</v>
      </c>
      <c r="E41" s="1459">
        <v>1000</v>
      </c>
      <c r="F41" s="1459">
        <v>225</v>
      </c>
      <c r="G41" s="1459">
        <v>6196</v>
      </c>
      <c r="H41" s="1459">
        <v>777</v>
      </c>
      <c r="I41" s="1459">
        <v>2362</v>
      </c>
      <c r="J41" s="1459">
        <v>312</v>
      </c>
      <c r="K41" s="1459">
        <v>558</v>
      </c>
      <c r="L41" s="1459">
        <v>756</v>
      </c>
      <c r="M41" s="1459">
        <v>423</v>
      </c>
      <c r="N41" s="1457">
        <v>274</v>
      </c>
      <c r="O41" s="1459">
        <v>233</v>
      </c>
      <c r="P41" s="1459">
        <v>666</v>
      </c>
      <c r="Q41" s="1459">
        <v>857</v>
      </c>
      <c r="R41" s="1459">
        <v>1791</v>
      </c>
      <c r="S41" s="1459">
        <v>365</v>
      </c>
      <c r="T41" s="1459">
        <v>369</v>
      </c>
      <c r="U41" s="1458">
        <v>192</v>
      </c>
      <c r="V41" s="1459">
        <v>982</v>
      </c>
      <c r="W41" s="1459">
        <v>203</v>
      </c>
      <c r="X41" s="1468">
        <v>173</v>
      </c>
      <c r="Y41" s="1460">
        <v>17880</v>
      </c>
      <c r="Z41" s="617">
        <v>103480</v>
      </c>
    </row>
    <row r="42" spans="1:26" s="556" customFormat="1" ht="13.5" customHeight="1" x14ac:dyDescent="0.2">
      <c r="A42" s="943">
        <v>38</v>
      </c>
      <c r="B42" s="832" t="s">
        <v>1027</v>
      </c>
      <c r="C42" s="1458">
        <v>184</v>
      </c>
      <c r="D42" s="1459">
        <v>275</v>
      </c>
      <c r="E42" s="1459">
        <v>1813</v>
      </c>
      <c r="F42" s="1459">
        <v>232</v>
      </c>
      <c r="G42" s="1459">
        <v>2819</v>
      </c>
      <c r="H42" s="1459">
        <v>407</v>
      </c>
      <c r="I42" s="1459">
        <v>4163</v>
      </c>
      <c r="J42" s="1459">
        <v>361</v>
      </c>
      <c r="K42" s="1459">
        <v>478</v>
      </c>
      <c r="L42" s="1459">
        <v>789</v>
      </c>
      <c r="M42" s="1459">
        <v>316</v>
      </c>
      <c r="N42" s="1457">
        <v>193</v>
      </c>
      <c r="O42" s="1459">
        <v>287</v>
      </c>
      <c r="P42" s="1459">
        <v>694</v>
      </c>
      <c r="Q42" s="1459">
        <v>582</v>
      </c>
      <c r="R42" s="1459">
        <v>1648</v>
      </c>
      <c r="S42" s="1459">
        <v>387</v>
      </c>
      <c r="T42" s="1459">
        <v>261</v>
      </c>
      <c r="U42" s="1458">
        <v>215</v>
      </c>
      <c r="V42" s="1459">
        <v>705</v>
      </c>
      <c r="W42" s="1459">
        <v>165</v>
      </c>
      <c r="X42" s="1468">
        <v>135</v>
      </c>
      <c r="Y42" s="1460">
        <v>15770</v>
      </c>
      <c r="Z42" s="617">
        <v>91190</v>
      </c>
    </row>
    <row r="43" spans="1:26" s="556" customFormat="1" ht="13.5" customHeight="1" x14ac:dyDescent="0.2">
      <c r="A43" s="943">
        <v>39</v>
      </c>
      <c r="B43" s="832" t="s">
        <v>1028</v>
      </c>
      <c r="C43" s="1458">
        <v>289</v>
      </c>
      <c r="D43" s="1459">
        <v>520</v>
      </c>
      <c r="E43" s="1459">
        <v>1472</v>
      </c>
      <c r="F43" s="1459">
        <v>560</v>
      </c>
      <c r="G43" s="1459">
        <v>2116</v>
      </c>
      <c r="H43" s="1459">
        <v>410</v>
      </c>
      <c r="I43" s="1459">
        <v>6284</v>
      </c>
      <c r="J43" s="1459">
        <v>1712</v>
      </c>
      <c r="K43" s="1459">
        <v>368</v>
      </c>
      <c r="L43" s="1459">
        <v>1341</v>
      </c>
      <c r="M43" s="1459">
        <v>303</v>
      </c>
      <c r="N43" s="1457">
        <v>301</v>
      </c>
      <c r="O43" s="1459">
        <v>1748</v>
      </c>
      <c r="P43" s="1459">
        <v>913</v>
      </c>
      <c r="Q43" s="1558">
        <v>550</v>
      </c>
      <c r="R43" s="1459">
        <v>3332</v>
      </c>
      <c r="S43" s="1459">
        <v>500</v>
      </c>
      <c r="T43" s="1459">
        <v>313</v>
      </c>
      <c r="U43" s="1458">
        <v>655</v>
      </c>
      <c r="V43" s="1459">
        <v>708</v>
      </c>
      <c r="W43" s="1459">
        <v>193</v>
      </c>
      <c r="X43" s="1468">
        <v>88</v>
      </c>
      <c r="Y43" s="1460">
        <v>22950</v>
      </c>
      <c r="Z43" s="617">
        <v>170760</v>
      </c>
    </row>
    <row r="44" spans="1:26" s="556" customFormat="1" ht="13.5" customHeight="1" x14ac:dyDescent="0.2">
      <c r="A44" s="943">
        <v>40</v>
      </c>
      <c r="B44" s="832" t="s">
        <v>1029</v>
      </c>
      <c r="C44" s="1458">
        <v>38</v>
      </c>
      <c r="D44" s="1459">
        <v>1468</v>
      </c>
      <c r="E44" s="1459">
        <v>711</v>
      </c>
      <c r="F44" s="1459">
        <v>1146</v>
      </c>
      <c r="G44" s="1459">
        <v>1989</v>
      </c>
      <c r="H44" s="1459">
        <v>328</v>
      </c>
      <c r="I44" s="1459">
        <v>1446</v>
      </c>
      <c r="J44" s="1459">
        <v>518</v>
      </c>
      <c r="K44" s="1459">
        <v>140</v>
      </c>
      <c r="L44" s="1459">
        <v>2045</v>
      </c>
      <c r="M44" s="1459">
        <v>9</v>
      </c>
      <c r="N44" s="1457">
        <v>361</v>
      </c>
      <c r="O44" s="1459">
        <v>185</v>
      </c>
      <c r="P44" s="1459">
        <v>1407</v>
      </c>
      <c r="Q44" s="1558">
        <v>460</v>
      </c>
      <c r="R44" s="1459">
        <v>4241</v>
      </c>
      <c r="S44" s="1459">
        <v>1234</v>
      </c>
      <c r="T44" s="1459">
        <v>154</v>
      </c>
      <c r="U44" s="1458">
        <v>200</v>
      </c>
      <c r="V44" s="1459">
        <v>262</v>
      </c>
      <c r="W44" s="1459">
        <v>175</v>
      </c>
      <c r="X44" s="1468">
        <v>54</v>
      </c>
      <c r="Y44" s="1460">
        <v>15790</v>
      </c>
      <c r="Z44" s="617">
        <v>94690</v>
      </c>
    </row>
    <row r="45" spans="1:26" s="556" customFormat="1" ht="13.5" customHeight="1" x14ac:dyDescent="0.2">
      <c r="A45" s="622">
        <v>41</v>
      </c>
      <c r="B45" s="835" t="s">
        <v>1030</v>
      </c>
      <c r="C45" s="1469"/>
      <c r="D45" s="1470"/>
      <c r="E45" s="1470"/>
      <c r="F45" s="1470"/>
      <c r="G45" s="1470"/>
      <c r="H45" s="1470"/>
      <c r="I45" s="1470"/>
      <c r="J45" s="1470"/>
      <c r="K45" s="1470"/>
      <c r="L45" s="1470"/>
      <c r="M45" s="1470"/>
      <c r="N45" s="1474"/>
      <c r="O45" s="1470"/>
      <c r="P45" s="1470"/>
      <c r="Q45" s="1470"/>
      <c r="R45" s="1470"/>
      <c r="S45" s="1470"/>
      <c r="T45" s="1470"/>
      <c r="U45" s="1469"/>
      <c r="V45" s="1470"/>
      <c r="W45" s="1470"/>
      <c r="X45" s="1471"/>
      <c r="Y45" s="1472"/>
      <c r="Z45" s="1473"/>
    </row>
    <row r="46" spans="1:26" s="556" customFormat="1" ht="13.5" customHeight="1" x14ac:dyDescent="0.2">
      <c r="A46" s="622">
        <v>42</v>
      </c>
      <c r="B46" s="835" t="s">
        <v>1031</v>
      </c>
      <c r="C46" s="1469"/>
      <c r="D46" s="1470"/>
      <c r="E46" s="1470"/>
      <c r="F46" s="1470"/>
      <c r="G46" s="1470"/>
      <c r="H46" s="1470"/>
      <c r="I46" s="1470"/>
      <c r="J46" s="1470"/>
      <c r="K46" s="1470"/>
      <c r="L46" s="1470"/>
      <c r="M46" s="1470"/>
      <c r="N46" s="1474"/>
      <c r="O46" s="1470"/>
      <c r="P46" s="1470"/>
      <c r="Q46" s="1470"/>
      <c r="R46" s="1470"/>
      <c r="S46" s="1470"/>
      <c r="T46" s="1470"/>
      <c r="U46" s="1469"/>
      <c r="V46" s="1470"/>
      <c r="W46" s="1470"/>
      <c r="X46" s="1471"/>
      <c r="Y46" s="1472"/>
      <c r="Z46" s="1473"/>
    </row>
    <row r="47" spans="1:26" s="556" customFormat="1" ht="13.5" customHeight="1" x14ac:dyDescent="0.2">
      <c r="A47" s="622">
        <v>43</v>
      </c>
      <c r="B47" s="835" t="s">
        <v>1032</v>
      </c>
      <c r="C47" s="620">
        <v>839</v>
      </c>
      <c r="D47" s="1459">
        <v>2347</v>
      </c>
      <c r="E47" s="1459">
        <v>2635</v>
      </c>
      <c r="F47" s="1459">
        <v>2999</v>
      </c>
      <c r="G47" s="1459">
        <v>8732</v>
      </c>
      <c r="H47" s="1459">
        <v>1302</v>
      </c>
      <c r="I47" s="1459">
        <v>9290</v>
      </c>
      <c r="J47" s="1459">
        <v>2618</v>
      </c>
      <c r="K47" s="1459">
        <v>1730</v>
      </c>
      <c r="L47" s="1459">
        <v>4636</v>
      </c>
      <c r="M47" s="1459">
        <v>1331</v>
      </c>
      <c r="N47" s="621">
        <v>1869</v>
      </c>
      <c r="O47" s="1459">
        <v>1601</v>
      </c>
      <c r="P47" s="1459">
        <v>2903</v>
      </c>
      <c r="Q47" s="1459">
        <v>3444</v>
      </c>
      <c r="R47" s="1459">
        <v>6227</v>
      </c>
      <c r="S47" s="1459">
        <v>1968</v>
      </c>
      <c r="T47" s="1459">
        <v>1180</v>
      </c>
      <c r="U47" s="620">
        <v>1054</v>
      </c>
      <c r="V47" s="1459">
        <v>3877</v>
      </c>
      <c r="W47" s="1459">
        <v>1013</v>
      </c>
      <c r="X47" s="1468">
        <v>563</v>
      </c>
      <c r="Y47" s="1460">
        <v>58110</v>
      </c>
      <c r="Z47" s="617">
        <v>394400</v>
      </c>
    </row>
    <row r="48" spans="1:26" s="556" customFormat="1" ht="13.5" customHeight="1" x14ac:dyDescent="0.2">
      <c r="A48" s="622">
        <v>44</v>
      </c>
      <c r="B48" s="835" t="s">
        <v>1033</v>
      </c>
      <c r="C48" s="620">
        <v>394</v>
      </c>
      <c r="D48" s="1459">
        <v>1143</v>
      </c>
      <c r="E48" s="1459">
        <v>1924</v>
      </c>
      <c r="F48" s="1459">
        <v>868</v>
      </c>
      <c r="G48" s="1459">
        <v>4182</v>
      </c>
      <c r="H48" s="1459">
        <v>676</v>
      </c>
      <c r="I48" s="1459">
        <v>4760</v>
      </c>
      <c r="J48" s="1459">
        <v>1631</v>
      </c>
      <c r="K48" s="1459">
        <v>569</v>
      </c>
      <c r="L48" s="1459">
        <v>1864</v>
      </c>
      <c r="M48" s="1459">
        <v>1148</v>
      </c>
      <c r="N48" s="621">
        <v>973</v>
      </c>
      <c r="O48" s="1459">
        <v>900</v>
      </c>
      <c r="P48" s="1459">
        <v>1297</v>
      </c>
      <c r="Q48" s="1459">
        <v>1888</v>
      </c>
      <c r="R48" s="1459">
        <v>4489</v>
      </c>
      <c r="S48" s="1459">
        <v>766</v>
      </c>
      <c r="T48" s="1459">
        <v>789</v>
      </c>
      <c r="U48" s="620">
        <v>644</v>
      </c>
      <c r="V48" s="1459">
        <v>1805</v>
      </c>
      <c r="W48" s="1459">
        <v>437</v>
      </c>
      <c r="X48" s="1468">
        <v>346</v>
      </c>
      <c r="Y48" s="1460">
        <v>30640</v>
      </c>
      <c r="Z48" s="617">
        <v>172290</v>
      </c>
    </row>
    <row r="49" spans="1:26" s="556" customFormat="1" ht="13.5" customHeight="1" x14ac:dyDescent="0.2">
      <c r="A49" s="622">
        <v>45</v>
      </c>
      <c r="B49" s="835" t="s">
        <v>1034</v>
      </c>
      <c r="C49" s="620">
        <v>158</v>
      </c>
      <c r="D49" s="1459">
        <v>544</v>
      </c>
      <c r="E49" s="1459">
        <v>749</v>
      </c>
      <c r="F49" s="1459">
        <v>483</v>
      </c>
      <c r="G49" s="1459">
        <v>1900</v>
      </c>
      <c r="H49" s="1459">
        <v>375</v>
      </c>
      <c r="I49" s="1459">
        <v>1549</v>
      </c>
      <c r="J49" s="1459">
        <v>607</v>
      </c>
      <c r="K49" s="1459">
        <v>120</v>
      </c>
      <c r="L49" s="1459">
        <v>778</v>
      </c>
      <c r="M49" s="1459">
        <v>336</v>
      </c>
      <c r="N49" s="621">
        <v>430</v>
      </c>
      <c r="O49" s="1459">
        <v>351</v>
      </c>
      <c r="P49" s="1459">
        <v>478</v>
      </c>
      <c r="Q49" s="1459">
        <v>555</v>
      </c>
      <c r="R49" s="1459">
        <v>1220</v>
      </c>
      <c r="S49" s="1459">
        <v>346</v>
      </c>
      <c r="T49" s="1459">
        <v>325</v>
      </c>
      <c r="U49" s="620">
        <v>240</v>
      </c>
      <c r="V49" s="1459">
        <v>671</v>
      </c>
      <c r="W49" s="1459">
        <v>200</v>
      </c>
      <c r="X49" s="1468">
        <v>145</v>
      </c>
      <c r="Y49" s="1460">
        <v>11410</v>
      </c>
      <c r="Z49" s="617">
        <v>73050</v>
      </c>
    </row>
    <row r="50" spans="1:26" s="556" customFormat="1" ht="13.5" customHeight="1" x14ac:dyDescent="0.2">
      <c r="A50" s="622">
        <v>46</v>
      </c>
      <c r="B50" s="835" t="s">
        <v>1035</v>
      </c>
      <c r="C50" s="620">
        <v>105</v>
      </c>
      <c r="D50" s="1459">
        <v>346</v>
      </c>
      <c r="E50" s="1459">
        <v>516</v>
      </c>
      <c r="F50" s="1463">
        <v>292</v>
      </c>
      <c r="G50" s="1459">
        <v>1346</v>
      </c>
      <c r="H50" s="1459">
        <v>214</v>
      </c>
      <c r="I50" s="1459">
        <v>1285</v>
      </c>
      <c r="J50" s="1459">
        <v>539</v>
      </c>
      <c r="K50" s="1459">
        <v>112</v>
      </c>
      <c r="L50" s="1459">
        <v>637</v>
      </c>
      <c r="M50" s="1459">
        <v>226</v>
      </c>
      <c r="N50" s="621">
        <v>290</v>
      </c>
      <c r="O50" s="1459">
        <v>286</v>
      </c>
      <c r="P50" s="1459">
        <v>461</v>
      </c>
      <c r="Q50" s="1459">
        <v>343</v>
      </c>
      <c r="R50" s="1459">
        <v>810</v>
      </c>
      <c r="S50" s="1459">
        <v>270</v>
      </c>
      <c r="T50" s="1459">
        <v>262</v>
      </c>
      <c r="U50" s="620">
        <v>226</v>
      </c>
      <c r="V50" s="1459">
        <v>355</v>
      </c>
      <c r="W50" s="1459">
        <v>172</v>
      </c>
      <c r="X50" s="1468">
        <v>140</v>
      </c>
      <c r="Y50" s="1460">
        <v>8240</v>
      </c>
      <c r="Z50" s="617">
        <v>56000</v>
      </c>
    </row>
    <row r="51" spans="1:26" s="556" customFormat="1" ht="13.5" customHeight="1" x14ac:dyDescent="0.2">
      <c r="A51" s="622">
        <v>47</v>
      </c>
      <c r="B51" s="835" t="s">
        <v>1036</v>
      </c>
      <c r="C51" s="620">
        <v>115</v>
      </c>
      <c r="D51" s="1459">
        <v>392</v>
      </c>
      <c r="E51" s="1459">
        <v>454</v>
      </c>
      <c r="F51" s="1459">
        <v>456</v>
      </c>
      <c r="G51" s="1459">
        <v>1441</v>
      </c>
      <c r="H51" s="1459">
        <v>214</v>
      </c>
      <c r="I51" s="1459">
        <v>1049</v>
      </c>
      <c r="J51" s="1459">
        <v>539</v>
      </c>
      <c r="K51" s="1459">
        <v>92</v>
      </c>
      <c r="L51" s="1459">
        <v>571</v>
      </c>
      <c r="M51" s="1459">
        <v>275</v>
      </c>
      <c r="N51" s="621">
        <v>252</v>
      </c>
      <c r="O51" s="1459">
        <v>230</v>
      </c>
      <c r="P51" s="1459">
        <v>280</v>
      </c>
      <c r="Q51" s="1459">
        <v>333</v>
      </c>
      <c r="R51" s="1459">
        <v>881</v>
      </c>
      <c r="S51" s="1459">
        <v>238</v>
      </c>
      <c r="T51" s="1459">
        <v>130</v>
      </c>
      <c r="U51" s="620">
        <v>145</v>
      </c>
      <c r="V51" s="1459">
        <v>417</v>
      </c>
      <c r="W51" s="1459">
        <v>145</v>
      </c>
      <c r="X51" s="1468">
        <v>65</v>
      </c>
      <c r="Y51" s="1460">
        <v>8070</v>
      </c>
      <c r="Z51" s="617">
        <v>50310</v>
      </c>
    </row>
    <row r="52" spans="1:26" s="556" customFormat="1" ht="13.5" customHeight="1" x14ac:dyDescent="0.2">
      <c r="A52" s="622">
        <v>48</v>
      </c>
      <c r="B52" s="832" t="s">
        <v>1037</v>
      </c>
      <c r="C52" s="620">
        <v>66</v>
      </c>
      <c r="D52" s="1459">
        <v>301</v>
      </c>
      <c r="E52" s="1459">
        <v>294</v>
      </c>
      <c r="F52" s="1459">
        <v>343</v>
      </c>
      <c r="G52" s="1459">
        <v>1117</v>
      </c>
      <c r="H52" s="1459">
        <v>145</v>
      </c>
      <c r="I52" s="1459">
        <v>710</v>
      </c>
      <c r="J52" s="1459">
        <v>395</v>
      </c>
      <c r="K52" s="1459">
        <v>46</v>
      </c>
      <c r="L52" s="1459">
        <v>393</v>
      </c>
      <c r="M52" s="1459">
        <v>218</v>
      </c>
      <c r="N52" s="621">
        <v>149</v>
      </c>
      <c r="O52" s="1459">
        <v>127</v>
      </c>
      <c r="P52" s="1459">
        <v>187</v>
      </c>
      <c r="Q52" s="1459">
        <v>200</v>
      </c>
      <c r="R52" s="1459">
        <v>618</v>
      </c>
      <c r="S52" s="1459">
        <v>160</v>
      </c>
      <c r="T52" s="1459">
        <v>106</v>
      </c>
      <c r="U52" s="620">
        <v>94</v>
      </c>
      <c r="V52" s="1459">
        <v>278</v>
      </c>
      <c r="W52" s="1459">
        <v>83</v>
      </c>
      <c r="X52" s="1468">
        <v>38</v>
      </c>
      <c r="Y52" s="1460">
        <v>5620</v>
      </c>
      <c r="Z52" s="617">
        <v>34580</v>
      </c>
    </row>
    <row r="53" spans="1:26" s="556" customFormat="1" ht="13.5" customHeight="1" x14ac:dyDescent="0.2">
      <c r="A53" s="622">
        <v>49</v>
      </c>
      <c r="B53" s="832" t="s">
        <v>1038</v>
      </c>
      <c r="C53" s="620">
        <v>65</v>
      </c>
      <c r="D53" s="1459">
        <v>295</v>
      </c>
      <c r="E53" s="1459">
        <v>273</v>
      </c>
      <c r="F53" s="1463">
        <v>335</v>
      </c>
      <c r="G53" s="1459">
        <v>987</v>
      </c>
      <c r="H53" s="1459">
        <v>141</v>
      </c>
      <c r="I53" s="1459">
        <v>710</v>
      </c>
      <c r="J53" s="1459">
        <v>391</v>
      </c>
      <c r="K53" s="1459">
        <v>44</v>
      </c>
      <c r="L53" s="1459">
        <v>376</v>
      </c>
      <c r="M53" s="1459">
        <v>204</v>
      </c>
      <c r="N53" s="621">
        <v>117</v>
      </c>
      <c r="O53" s="1459">
        <v>122</v>
      </c>
      <c r="P53" s="1459">
        <v>182</v>
      </c>
      <c r="Q53" s="1459">
        <v>144</v>
      </c>
      <c r="R53" s="1459">
        <v>601</v>
      </c>
      <c r="S53" s="1459">
        <v>151</v>
      </c>
      <c r="T53" s="1459">
        <v>96</v>
      </c>
      <c r="U53" s="620">
        <v>93</v>
      </c>
      <c r="V53" s="1459">
        <v>256</v>
      </c>
      <c r="W53" s="1459">
        <v>83</v>
      </c>
      <c r="X53" s="1468">
        <v>36</v>
      </c>
      <c r="Y53" s="1460">
        <v>5270</v>
      </c>
      <c r="Z53" s="617">
        <v>32410</v>
      </c>
    </row>
    <row r="54" spans="1:26" s="556" customFormat="1" ht="13.5" customHeight="1" x14ac:dyDescent="0.2">
      <c r="A54" s="622">
        <v>50</v>
      </c>
      <c r="B54" s="832" t="s">
        <v>1039</v>
      </c>
      <c r="C54" s="1477"/>
      <c r="D54" s="1478"/>
      <c r="E54" s="1478"/>
      <c r="F54" s="1478"/>
      <c r="G54" s="1478"/>
      <c r="H54" s="1478"/>
      <c r="I54" s="1478"/>
      <c r="J54" s="1478"/>
      <c r="K54" s="1478"/>
      <c r="L54" s="1478"/>
      <c r="M54" s="1478"/>
      <c r="N54" s="1479"/>
      <c r="O54" s="1478"/>
      <c r="P54" s="1478"/>
      <c r="Q54" s="1478"/>
      <c r="R54" s="1478"/>
      <c r="S54" s="1478"/>
      <c r="T54" s="1478"/>
      <c r="U54" s="1477"/>
      <c r="V54" s="1478"/>
      <c r="W54" s="1478"/>
      <c r="X54" s="1480"/>
      <c r="Y54" s="1481"/>
      <c r="Z54" s="1482"/>
    </row>
    <row r="55" spans="1:26" s="556" customFormat="1" ht="13.5" customHeight="1" x14ac:dyDescent="0.2">
      <c r="A55" s="622">
        <v>51</v>
      </c>
      <c r="B55" s="832" t="s">
        <v>1040</v>
      </c>
      <c r="C55" s="1477"/>
      <c r="D55" s="1478"/>
      <c r="E55" s="1478"/>
      <c r="F55" s="1478"/>
      <c r="G55" s="1478"/>
      <c r="H55" s="1478"/>
      <c r="I55" s="1478"/>
      <c r="J55" s="1478"/>
      <c r="K55" s="1478"/>
      <c r="L55" s="1478"/>
      <c r="M55" s="1478"/>
      <c r="N55" s="1479"/>
      <c r="O55" s="1478"/>
      <c r="P55" s="1478"/>
      <c r="Q55" s="1478"/>
      <c r="R55" s="1478"/>
      <c r="S55" s="1478"/>
      <c r="T55" s="1478"/>
      <c r="U55" s="1477"/>
      <c r="V55" s="1478"/>
      <c r="W55" s="1478"/>
      <c r="X55" s="1480"/>
      <c r="Y55" s="1481"/>
      <c r="Z55" s="1482"/>
    </row>
    <row r="56" spans="1:26" s="556" customFormat="1" ht="13.5" customHeight="1" x14ac:dyDescent="0.2">
      <c r="A56" s="622">
        <v>52</v>
      </c>
      <c r="B56" s="832" t="s">
        <v>1041</v>
      </c>
      <c r="C56" s="620">
        <v>148</v>
      </c>
      <c r="D56" s="1459">
        <v>352</v>
      </c>
      <c r="E56" s="1459">
        <v>479</v>
      </c>
      <c r="F56" s="1459">
        <v>469</v>
      </c>
      <c r="G56" s="1459">
        <v>1585</v>
      </c>
      <c r="H56" s="1459">
        <v>332</v>
      </c>
      <c r="I56" s="1459">
        <v>1511</v>
      </c>
      <c r="J56" s="1459">
        <v>492</v>
      </c>
      <c r="K56" s="1459">
        <v>74</v>
      </c>
      <c r="L56" s="1459">
        <v>705</v>
      </c>
      <c r="M56" s="1459">
        <v>260</v>
      </c>
      <c r="N56" s="621">
        <v>287</v>
      </c>
      <c r="O56" s="1459">
        <v>311</v>
      </c>
      <c r="P56" s="1459">
        <v>653</v>
      </c>
      <c r="Q56" s="1459">
        <v>553</v>
      </c>
      <c r="R56" s="1459">
        <v>1115</v>
      </c>
      <c r="S56" s="1459">
        <v>256</v>
      </c>
      <c r="T56" s="1459">
        <v>292</v>
      </c>
      <c r="U56" s="620">
        <v>183</v>
      </c>
      <c r="V56" s="1459">
        <v>595</v>
      </c>
      <c r="W56" s="1459">
        <v>94</v>
      </c>
      <c r="X56" s="1468">
        <v>97</v>
      </c>
      <c r="Y56" s="1460">
        <v>9640</v>
      </c>
      <c r="Z56" s="617">
        <v>62750</v>
      </c>
    </row>
    <row r="57" spans="1:26" s="556" customFormat="1" ht="13.5" customHeight="1" x14ac:dyDescent="0.2">
      <c r="A57" s="622">
        <v>53</v>
      </c>
      <c r="B57" s="835" t="s">
        <v>1042</v>
      </c>
      <c r="C57" s="620">
        <v>18</v>
      </c>
      <c r="D57" s="1459">
        <v>27</v>
      </c>
      <c r="E57" s="1459">
        <v>17</v>
      </c>
      <c r="F57" s="1459">
        <v>35</v>
      </c>
      <c r="G57" s="1459">
        <v>65</v>
      </c>
      <c r="H57" s="1459">
        <v>15</v>
      </c>
      <c r="I57" s="1459">
        <v>44</v>
      </c>
      <c r="J57" s="1459">
        <v>22</v>
      </c>
      <c r="K57" s="1459" t="s">
        <v>73</v>
      </c>
      <c r="L57" s="1459">
        <v>35</v>
      </c>
      <c r="M57" s="1459" t="s">
        <v>73</v>
      </c>
      <c r="N57" s="621">
        <v>9</v>
      </c>
      <c r="O57" s="1459" t="s">
        <v>73</v>
      </c>
      <c r="P57" s="1459">
        <v>31</v>
      </c>
      <c r="Q57" s="1459">
        <v>6</v>
      </c>
      <c r="R57" s="1459">
        <v>110</v>
      </c>
      <c r="S57" s="1459">
        <v>8</v>
      </c>
      <c r="T57" s="1459" t="s">
        <v>73</v>
      </c>
      <c r="U57" s="620" t="s">
        <v>73</v>
      </c>
      <c r="V57" s="1459">
        <v>21</v>
      </c>
      <c r="W57" s="1459">
        <v>0</v>
      </c>
      <c r="X57" s="1468" t="s">
        <v>73</v>
      </c>
      <c r="Y57" s="1460">
        <v>440</v>
      </c>
      <c r="Z57" s="617">
        <v>2410</v>
      </c>
    </row>
    <row r="58" spans="1:26" s="556" customFormat="1" ht="13.5" customHeight="1" x14ac:dyDescent="0.2">
      <c r="A58" s="622">
        <v>54</v>
      </c>
      <c r="B58" s="835" t="s">
        <v>1043</v>
      </c>
      <c r="C58" s="620">
        <v>141</v>
      </c>
      <c r="D58" s="1459">
        <v>435</v>
      </c>
      <c r="E58" s="1459">
        <v>612</v>
      </c>
      <c r="F58" s="1459">
        <v>445</v>
      </c>
      <c r="G58" s="1459">
        <v>1672</v>
      </c>
      <c r="H58" s="1459">
        <v>292</v>
      </c>
      <c r="I58" s="1459">
        <v>1319</v>
      </c>
      <c r="J58" s="1459">
        <v>556</v>
      </c>
      <c r="K58" s="1459">
        <v>109</v>
      </c>
      <c r="L58" s="1459">
        <v>708</v>
      </c>
      <c r="M58" s="1459">
        <v>297</v>
      </c>
      <c r="N58" s="621">
        <v>335</v>
      </c>
      <c r="O58" s="1459">
        <v>316</v>
      </c>
      <c r="P58" s="1459">
        <v>411</v>
      </c>
      <c r="Q58" s="1459">
        <v>490</v>
      </c>
      <c r="R58" s="1459">
        <v>1005</v>
      </c>
      <c r="S58" s="1459">
        <v>289</v>
      </c>
      <c r="T58" s="1459">
        <v>268</v>
      </c>
      <c r="U58" s="620">
        <v>204</v>
      </c>
      <c r="V58" s="1459">
        <v>544</v>
      </c>
      <c r="W58" s="1459">
        <v>175</v>
      </c>
      <c r="X58" s="1468">
        <v>114</v>
      </c>
      <c r="Y58" s="1460">
        <v>9770</v>
      </c>
      <c r="Z58" s="617">
        <v>63310</v>
      </c>
    </row>
    <row r="59" spans="1:26" s="556" customFormat="1" ht="13.5" customHeight="1" x14ac:dyDescent="0.2">
      <c r="A59" s="622">
        <v>55</v>
      </c>
      <c r="B59" s="835" t="s">
        <v>1044</v>
      </c>
      <c r="C59" s="620">
        <v>35</v>
      </c>
      <c r="D59" s="1459">
        <v>111</v>
      </c>
      <c r="E59" s="1459">
        <v>118</v>
      </c>
      <c r="F59" s="1459">
        <v>111</v>
      </c>
      <c r="G59" s="1459">
        <v>336</v>
      </c>
      <c r="H59" s="1459">
        <v>43</v>
      </c>
      <c r="I59" s="1459">
        <v>265</v>
      </c>
      <c r="J59" s="1459">
        <v>101</v>
      </c>
      <c r="K59" s="1459" t="s">
        <v>73</v>
      </c>
      <c r="L59" s="1459">
        <v>151</v>
      </c>
      <c r="M59" s="1459">
        <v>60</v>
      </c>
      <c r="N59" s="621">
        <v>73</v>
      </c>
      <c r="O59" s="1459">
        <v>53</v>
      </c>
      <c r="P59" s="1459">
        <v>104</v>
      </c>
      <c r="Q59" s="1459">
        <v>145</v>
      </c>
      <c r="R59" s="1459">
        <v>232</v>
      </c>
      <c r="S59" s="1459">
        <v>55</v>
      </c>
      <c r="T59" s="1459">
        <v>62</v>
      </c>
      <c r="U59" s="620">
        <v>22</v>
      </c>
      <c r="V59" s="1459">
        <v>124</v>
      </c>
      <c r="W59" s="1459">
        <v>24</v>
      </c>
      <c r="X59" s="1468">
        <v>17</v>
      </c>
      <c r="Y59" s="1460">
        <v>2020</v>
      </c>
      <c r="Z59" s="617">
        <v>11350</v>
      </c>
    </row>
    <row r="60" spans="1:26" s="556" customFormat="1" ht="13.5" customHeight="1" x14ac:dyDescent="0.2">
      <c r="A60" s="622">
        <v>56</v>
      </c>
      <c r="B60" s="835" t="s">
        <v>1045</v>
      </c>
      <c r="C60" s="1469"/>
      <c r="D60" s="1470"/>
      <c r="E60" s="1470"/>
      <c r="F60" s="1470"/>
      <c r="G60" s="1470"/>
      <c r="H60" s="1470"/>
      <c r="I60" s="1470"/>
      <c r="J60" s="1470"/>
      <c r="K60" s="1470"/>
      <c r="L60" s="1470"/>
      <c r="M60" s="1470"/>
      <c r="N60" s="1474"/>
      <c r="O60" s="1470"/>
      <c r="P60" s="1470"/>
      <c r="Q60" s="1470"/>
      <c r="R60" s="1470"/>
      <c r="S60" s="1470"/>
      <c r="T60" s="1470"/>
      <c r="U60" s="1469"/>
      <c r="V60" s="1470"/>
      <c r="W60" s="1470"/>
      <c r="X60" s="1471"/>
      <c r="Y60" s="1472"/>
      <c r="Z60" s="1473"/>
    </row>
    <row r="61" spans="1:26" s="556" customFormat="1" ht="13.5" customHeight="1" x14ac:dyDescent="0.2">
      <c r="A61" s="622">
        <v>57</v>
      </c>
      <c r="B61" s="835" t="s">
        <v>1046</v>
      </c>
      <c r="C61" s="620">
        <v>98</v>
      </c>
      <c r="D61" s="1459">
        <v>438</v>
      </c>
      <c r="E61" s="1459">
        <v>459</v>
      </c>
      <c r="F61" s="1459">
        <v>543</v>
      </c>
      <c r="G61" s="1459">
        <v>1305</v>
      </c>
      <c r="H61" s="1459">
        <v>204</v>
      </c>
      <c r="I61" s="1459">
        <v>2314</v>
      </c>
      <c r="J61" s="1459">
        <v>430</v>
      </c>
      <c r="K61" s="1459">
        <v>345</v>
      </c>
      <c r="L61" s="1459">
        <v>593</v>
      </c>
      <c r="M61" s="1459">
        <v>322</v>
      </c>
      <c r="N61" s="621">
        <v>220</v>
      </c>
      <c r="O61" s="1459">
        <v>179</v>
      </c>
      <c r="P61" s="1459">
        <v>501</v>
      </c>
      <c r="Q61" s="1459">
        <v>591</v>
      </c>
      <c r="R61" s="1459">
        <v>867</v>
      </c>
      <c r="S61" s="1459">
        <v>293</v>
      </c>
      <c r="T61" s="1459">
        <v>279</v>
      </c>
      <c r="U61" s="620">
        <v>157</v>
      </c>
      <c r="V61" s="1459">
        <v>639</v>
      </c>
      <c r="W61" s="1459">
        <v>89</v>
      </c>
      <c r="X61" s="1468">
        <v>81</v>
      </c>
      <c r="Y61" s="1460">
        <v>9870</v>
      </c>
      <c r="Z61" s="617">
        <v>70410</v>
      </c>
    </row>
    <row r="62" spans="1:26" s="556" customFormat="1" ht="13.5" customHeight="1" x14ac:dyDescent="0.2">
      <c r="A62" s="1451"/>
      <c r="B62" s="1450" t="s">
        <v>908</v>
      </c>
      <c r="C62" s="1458"/>
      <c r="D62" s="1066"/>
      <c r="E62" s="1066"/>
      <c r="F62" s="1066"/>
      <c r="G62" s="1066"/>
      <c r="H62" s="1066"/>
      <c r="I62" s="1066"/>
      <c r="J62" s="1066"/>
      <c r="K62" s="1066"/>
      <c r="L62" s="1066"/>
      <c r="M62" s="1066"/>
      <c r="N62" s="1457"/>
      <c r="O62" s="1066"/>
      <c r="P62" s="1066"/>
      <c r="Q62" s="1066"/>
      <c r="R62" s="1066"/>
      <c r="S62" s="1066"/>
      <c r="T62" s="1066"/>
      <c r="U62" s="1458"/>
      <c r="V62" s="1066"/>
      <c r="W62" s="1066"/>
      <c r="X62" s="1066"/>
      <c r="Y62" s="1460">
        <f t="shared" ref="Y62:Y67" si="1">SUM(C62:O62,Q62:R62,U62:X62)</f>
        <v>0</v>
      </c>
      <c r="Z62" s="1291"/>
    </row>
    <row r="63" spans="1:26" s="556" customFormat="1" ht="13.5" customHeight="1" x14ac:dyDescent="0.2">
      <c r="A63" s="622">
        <v>58</v>
      </c>
      <c r="B63" s="836" t="s">
        <v>1047</v>
      </c>
      <c r="C63" s="620" t="s">
        <v>73</v>
      </c>
      <c r="D63" s="1459">
        <v>35</v>
      </c>
      <c r="E63" s="1459">
        <v>25</v>
      </c>
      <c r="F63" s="1459">
        <v>30</v>
      </c>
      <c r="G63" s="1459">
        <v>60</v>
      </c>
      <c r="H63" s="1459">
        <v>5</v>
      </c>
      <c r="I63" s="1459">
        <v>45</v>
      </c>
      <c r="J63" s="1459">
        <v>30</v>
      </c>
      <c r="K63" s="1459">
        <v>15</v>
      </c>
      <c r="L63" s="1459">
        <v>35</v>
      </c>
      <c r="M63" s="1459">
        <v>15</v>
      </c>
      <c r="N63" s="621">
        <v>20</v>
      </c>
      <c r="O63" s="1459">
        <v>15</v>
      </c>
      <c r="P63" s="1459">
        <v>30</v>
      </c>
      <c r="Q63" s="1459">
        <v>30</v>
      </c>
      <c r="R63" s="1459">
        <v>30</v>
      </c>
      <c r="S63" s="1459">
        <v>15</v>
      </c>
      <c r="T63" s="1459">
        <v>10</v>
      </c>
      <c r="U63" s="620" t="s">
        <v>73</v>
      </c>
      <c r="V63" s="1459">
        <v>30</v>
      </c>
      <c r="W63" s="1459" t="s">
        <v>73</v>
      </c>
      <c r="X63" s="1468" t="s">
        <v>73</v>
      </c>
      <c r="Y63" s="1460">
        <f t="shared" si="1"/>
        <v>420</v>
      </c>
      <c r="Z63" s="617">
        <v>3540</v>
      </c>
    </row>
    <row r="64" spans="1:26" s="556" customFormat="1" ht="13.5" customHeight="1" x14ac:dyDescent="0.2">
      <c r="A64" s="622">
        <v>59</v>
      </c>
      <c r="B64" s="836" t="s">
        <v>1048</v>
      </c>
      <c r="C64" s="620" t="s">
        <v>73</v>
      </c>
      <c r="D64" s="1459">
        <v>45</v>
      </c>
      <c r="E64" s="1459">
        <v>65</v>
      </c>
      <c r="F64" s="1459">
        <v>55</v>
      </c>
      <c r="G64" s="1459">
        <v>160</v>
      </c>
      <c r="H64" s="1459">
        <v>35</v>
      </c>
      <c r="I64" s="1459">
        <v>120</v>
      </c>
      <c r="J64" s="1459">
        <v>65</v>
      </c>
      <c r="K64" s="1459">
        <v>35</v>
      </c>
      <c r="L64" s="1459">
        <v>65</v>
      </c>
      <c r="M64" s="1459">
        <v>45</v>
      </c>
      <c r="N64" s="621">
        <v>25</v>
      </c>
      <c r="O64" s="1459">
        <v>20</v>
      </c>
      <c r="P64" s="1459">
        <v>50</v>
      </c>
      <c r="Q64" s="1459">
        <v>130</v>
      </c>
      <c r="R64" s="1459">
        <v>95</v>
      </c>
      <c r="S64" s="1459">
        <v>45</v>
      </c>
      <c r="T64" s="1459">
        <v>30</v>
      </c>
      <c r="U64" s="620">
        <v>15</v>
      </c>
      <c r="V64" s="1459">
        <v>75</v>
      </c>
      <c r="W64" s="1459" t="s">
        <v>73</v>
      </c>
      <c r="X64" s="1468">
        <v>10</v>
      </c>
      <c r="Y64" s="1460">
        <f t="shared" si="1"/>
        <v>1060</v>
      </c>
      <c r="Z64" s="617">
        <v>9140</v>
      </c>
    </row>
    <row r="65" spans="1:26" s="556" customFormat="1" ht="13.5" customHeight="1" x14ac:dyDescent="0.2">
      <c r="A65" s="622">
        <v>60</v>
      </c>
      <c r="B65" s="836" t="s">
        <v>1049</v>
      </c>
      <c r="C65" s="620">
        <v>15</v>
      </c>
      <c r="D65" s="1459">
        <v>60</v>
      </c>
      <c r="E65" s="1459">
        <v>85</v>
      </c>
      <c r="F65" s="1459">
        <v>125</v>
      </c>
      <c r="G65" s="1459">
        <v>290</v>
      </c>
      <c r="H65" s="1459">
        <v>35</v>
      </c>
      <c r="I65" s="1459">
        <v>305</v>
      </c>
      <c r="J65" s="1459">
        <v>85</v>
      </c>
      <c r="K65" s="1459">
        <v>60</v>
      </c>
      <c r="L65" s="1459">
        <v>100</v>
      </c>
      <c r="M65" s="1459">
        <v>70</v>
      </c>
      <c r="N65" s="621">
        <v>45</v>
      </c>
      <c r="O65" s="1459">
        <v>40</v>
      </c>
      <c r="P65" s="1459">
        <v>100</v>
      </c>
      <c r="Q65" s="1459">
        <v>165</v>
      </c>
      <c r="R65" s="1459">
        <v>135</v>
      </c>
      <c r="S65" s="1459">
        <v>50</v>
      </c>
      <c r="T65" s="1459">
        <v>70</v>
      </c>
      <c r="U65" s="620">
        <v>25</v>
      </c>
      <c r="V65" s="1459">
        <v>80</v>
      </c>
      <c r="W65" s="1459">
        <v>10</v>
      </c>
      <c r="X65" s="1468" t="s">
        <v>73</v>
      </c>
      <c r="Y65" s="1460">
        <f t="shared" si="1"/>
        <v>1730</v>
      </c>
      <c r="Z65" s="617">
        <v>14090</v>
      </c>
    </row>
    <row r="66" spans="1:26" s="556" customFormat="1" ht="13.5" customHeight="1" x14ac:dyDescent="0.2">
      <c r="A66" s="622">
        <v>61</v>
      </c>
      <c r="B66" s="836" t="s">
        <v>1050</v>
      </c>
      <c r="C66" s="620">
        <v>45</v>
      </c>
      <c r="D66" s="1459">
        <v>180</v>
      </c>
      <c r="E66" s="1459">
        <v>180</v>
      </c>
      <c r="F66" s="1459">
        <v>240</v>
      </c>
      <c r="G66" s="1459">
        <v>535</v>
      </c>
      <c r="H66" s="1459">
        <v>70</v>
      </c>
      <c r="I66" s="1459">
        <v>840</v>
      </c>
      <c r="J66" s="1459">
        <v>165</v>
      </c>
      <c r="K66" s="1459">
        <v>140</v>
      </c>
      <c r="L66" s="1459">
        <v>235</v>
      </c>
      <c r="M66" s="1459">
        <v>130</v>
      </c>
      <c r="N66" s="621">
        <v>85</v>
      </c>
      <c r="O66" s="1459">
        <v>75</v>
      </c>
      <c r="P66" s="1459">
        <v>210</v>
      </c>
      <c r="Q66" s="1459">
        <v>190</v>
      </c>
      <c r="R66" s="1459">
        <v>340</v>
      </c>
      <c r="S66" s="1459">
        <v>115</v>
      </c>
      <c r="T66" s="1459">
        <v>115</v>
      </c>
      <c r="U66" s="620">
        <v>60</v>
      </c>
      <c r="V66" s="1459">
        <v>270</v>
      </c>
      <c r="W66" s="1459">
        <v>40</v>
      </c>
      <c r="X66" s="1468">
        <v>40</v>
      </c>
      <c r="Y66" s="1460">
        <f t="shared" si="1"/>
        <v>3860</v>
      </c>
      <c r="Z66" s="617">
        <v>27220</v>
      </c>
    </row>
    <row r="67" spans="1:26" s="556" customFormat="1" ht="13.5" customHeight="1" x14ac:dyDescent="0.2">
      <c r="A67" s="622">
        <v>62</v>
      </c>
      <c r="B67" s="836" t="s">
        <v>1051</v>
      </c>
      <c r="C67" s="620">
        <v>30</v>
      </c>
      <c r="D67" s="1459">
        <v>120</v>
      </c>
      <c r="E67" s="1459">
        <v>100</v>
      </c>
      <c r="F67" s="1459">
        <v>95</v>
      </c>
      <c r="G67" s="1459">
        <v>260</v>
      </c>
      <c r="H67" s="1459">
        <v>55</v>
      </c>
      <c r="I67" s="1459">
        <v>995</v>
      </c>
      <c r="J67" s="1459">
        <v>80</v>
      </c>
      <c r="K67" s="1459">
        <v>90</v>
      </c>
      <c r="L67" s="1459">
        <v>155</v>
      </c>
      <c r="M67" s="1459">
        <v>65</v>
      </c>
      <c r="N67" s="621">
        <v>45</v>
      </c>
      <c r="O67" s="1459">
        <v>45</v>
      </c>
      <c r="P67" s="1459">
        <v>110</v>
      </c>
      <c r="Q67" s="1459">
        <v>75</v>
      </c>
      <c r="R67" s="1459">
        <v>275</v>
      </c>
      <c r="S67" s="1459">
        <v>75</v>
      </c>
      <c r="T67" s="1459">
        <v>50</v>
      </c>
      <c r="U67" s="620">
        <v>50</v>
      </c>
      <c r="V67" s="1459">
        <v>185</v>
      </c>
      <c r="W67" s="1459">
        <v>25</v>
      </c>
      <c r="X67" s="1468">
        <v>25</v>
      </c>
      <c r="Y67" s="1460">
        <f t="shared" si="1"/>
        <v>2770</v>
      </c>
      <c r="Z67" s="617">
        <v>16460</v>
      </c>
    </row>
    <row r="68" spans="1:26" s="556" customFormat="1" ht="13.5" customHeight="1" x14ac:dyDescent="0.2">
      <c r="A68" s="622">
        <v>63</v>
      </c>
      <c r="B68" s="832" t="s">
        <v>1052</v>
      </c>
      <c r="C68" s="620">
        <v>60</v>
      </c>
      <c r="D68" s="620">
        <v>320</v>
      </c>
      <c r="E68" s="620">
        <v>355</v>
      </c>
      <c r="F68" s="620">
        <v>450</v>
      </c>
      <c r="G68" s="620">
        <v>1045</v>
      </c>
      <c r="H68" s="620">
        <v>145</v>
      </c>
      <c r="I68" s="620">
        <v>1310</v>
      </c>
      <c r="J68" s="620">
        <v>345</v>
      </c>
      <c r="K68" s="620">
        <v>250</v>
      </c>
      <c r="L68" s="620">
        <v>435</v>
      </c>
      <c r="M68" s="620">
        <v>260</v>
      </c>
      <c r="N68" s="620">
        <v>175</v>
      </c>
      <c r="O68" s="620">
        <v>150</v>
      </c>
      <c r="P68" s="620">
        <v>390</v>
      </c>
      <c r="Q68" s="620">
        <v>515</v>
      </c>
      <c r="R68" s="620">
        <v>600</v>
      </c>
      <c r="S68" s="620">
        <v>225</v>
      </c>
      <c r="T68" s="620">
        <v>225</v>
      </c>
      <c r="U68" s="620">
        <v>100</v>
      </c>
      <c r="V68" s="620">
        <v>455</v>
      </c>
      <c r="W68" s="620">
        <v>50</v>
      </c>
      <c r="X68" s="620">
        <v>50</v>
      </c>
      <c r="Y68" s="1460">
        <v>7070</v>
      </c>
      <c r="Z68" s="620">
        <v>53990</v>
      </c>
    </row>
    <row r="69" spans="1:26" s="556" customFormat="1" ht="13.5" customHeight="1" x14ac:dyDescent="0.2">
      <c r="A69" s="622">
        <v>64</v>
      </c>
      <c r="B69" s="832" t="s">
        <v>1053</v>
      </c>
      <c r="C69" s="620">
        <v>25</v>
      </c>
      <c r="D69" s="1459">
        <v>140</v>
      </c>
      <c r="E69" s="1459">
        <v>150</v>
      </c>
      <c r="F69" s="1459">
        <v>240</v>
      </c>
      <c r="G69" s="1459">
        <v>420</v>
      </c>
      <c r="H69" s="1459">
        <v>60</v>
      </c>
      <c r="I69" s="1459">
        <v>565</v>
      </c>
      <c r="J69" s="1459">
        <v>130</v>
      </c>
      <c r="K69" s="1459">
        <v>110</v>
      </c>
      <c r="L69" s="1459">
        <v>120</v>
      </c>
      <c r="M69" s="1459">
        <v>110</v>
      </c>
      <c r="N69" s="621">
        <v>65</v>
      </c>
      <c r="O69" s="1459">
        <v>55</v>
      </c>
      <c r="P69" s="1459">
        <v>150</v>
      </c>
      <c r="Q69" s="1459">
        <v>195</v>
      </c>
      <c r="R69" s="1459">
        <v>235</v>
      </c>
      <c r="S69" s="1459">
        <v>65</v>
      </c>
      <c r="T69" s="1459">
        <v>120</v>
      </c>
      <c r="U69" s="620">
        <v>45</v>
      </c>
      <c r="V69" s="1459">
        <v>170</v>
      </c>
      <c r="W69" s="1459">
        <v>35</v>
      </c>
      <c r="X69" s="1468">
        <v>20</v>
      </c>
      <c r="Y69" s="1460">
        <v>2890</v>
      </c>
      <c r="Z69" s="617">
        <v>23640</v>
      </c>
    </row>
    <row r="70" spans="1:26" s="556" customFormat="1" ht="13.5" customHeight="1" x14ac:dyDescent="0.2">
      <c r="A70" s="622">
        <v>65</v>
      </c>
      <c r="B70" s="832" t="s">
        <v>1054</v>
      </c>
      <c r="C70" s="1458">
        <v>15</v>
      </c>
      <c r="D70" s="1459">
        <v>90</v>
      </c>
      <c r="E70" s="1459">
        <v>95</v>
      </c>
      <c r="F70" s="1459">
        <v>155</v>
      </c>
      <c r="G70" s="1459">
        <v>280</v>
      </c>
      <c r="H70" s="1459">
        <v>40</v>
      </c>
      <c r="I70" s="1459">
        <v>390</v>
      </c>
      <c r="J70" s="1459">
        <v>95</v>
      </c>
      <c r="K70" s="1459">
        <v>60</v>
      </c>
      <c r="L70" s="1459">
        <v>80</v>
      </c>
      <c r="M70" s="1459">
        <v>60</v>
      </c>
      <c r="N70" s="621">
        <v>40</v>
      </c>
      <c r="O70" s="1459">
        <v>30</v>
      </c>
      <c r="P70" s="1459">
        <v>85</v>
      </c>
      <c r="Q70" s="1459">
        <v>135</v>
      </c>
      <c r="R70" s="1459">
        <v>165</v>
      </c>
      <c r="S70" s="1459">
        <v>40</v>
      </c>
      <c r="T70" s="1459">
        <v>55</v>
      </c>
      <c r="U70" s="620">
        <v>35</v>
      </c>
      <c r="V70" s="1459">
        <v>125</v>
      </c>
      <c r="W70" s="1459">
        <v>25</v>
      </c>
      <c r="X70" s="1468">
        <v>10</v>
      </c>
      <c r="Y70" s="1460">
        <v>1925</v>
      </c>
      <c r="Z70" s="617">
        <v>16190</v>
      </c>
    </row>
    <row r="71" spans="1:26" s="556" customFormat="1" ht="13.5" customHeight="1" x14ac:dyDescent="0.2">
      <c r="A71" s="622">
        <v>66</v>
      </c>
      <c r="B71" s="832" t="s">
        <v>1055</v>
      </c>
      <c r="C71" s="620" t="s">
        <v>1281</v>
      </c>
      <c r="D71" s="1459">
        <v>34</v>
      </c>
      <c r="E71" s="1459">
        <v>19</v>
      </c>
      <c r="F71" s="1459">
        <v>17</v>
      </c>
      <c r="G71" s="1459">
        <v>29</v>
      </c>
      <c r="H71" s="1459">
        <v>0</v>
      </c>
      <c r="I71" s="1459">
        <v>868</v>
      </c>
      <c r="J71" s="1459" t="s">
        <v>1281</v>
      </c>
      <c r="K71" s="1459">
        <v>41</v>
      </c>
      <c r="L71" s="1459">
        <v>58</v>
      </c>
      <c r="M71" s="1459">
        <v>32</v>
      </c>
      <c r="N71" s="621">
        <v>6</v>
      </c>
      <c r="O71" s="1459">
        <v>12</v>
      </c>
      <c r="P71" s="1459" t="s">
        <v>1281</v>
      </c>
      <c r="Q71" s="1459" t="s">
        <v>1281</v>
      </c>
      <c r="R71" s="1459">
        <v>151</v>
      </c>
      <c r="S71" s="1459">
        <v>14</v>
      </c>
      <c r="T71" s="1459">
        <v>0</v>
      </c>
      <c r="U71" s="620">
        <v>13</v>
      </c>
      <c r="V71" s="1459">
        <v>64</v>
      </c>
      <c r="W71" s="1459" t="s">
        <v>1281</v>
      </c>
      <c r="X71" s="1468" t="s">
        <v>1281</v>
      </c>
      <c r="Y71" s="1456">
        <v>1360</v>
      </c>
      <c r="Z71" s="617">
        <v>4340</v>
      </c>
    </row>
    <row r="72" spans="1:26" s="556" customFormat="1" ht="13.5" customHeight="1" x14ac:dyDescent="0.2">
      <c r="A72" s="622">
        <v>67</v>
      </c>
      <c r="B72" s="832" t="s">
        <v>1056</v>
      </c>
      <c r="C72" s="620">
        <v>15</v>
      </c>
      <c r="D72" s="1459">
        <v>65</v>
      </c>
      <c r="E72" s="1459">
        <v>35</v>
      </c>
      <c r="F72" s="1459">
        <v>60</v>
      </c>
      <c r="G72" s="1459">
        <v>225</v>
      </c>
      <c r="H72" s="1459">
        <v>25</v>
      </c>
      <c r="I72" s="1459">
        <v>290</v>
      </c>
      <c r="J72" s="1459">
        <v>40</v>
      </c>
      <c r="K72" s="1459">
        <v>40</v>
      </c>
      <c r="L72" s="1459">
        <v>40</v>
      </c>
      <c r="M72" s="1459">
        <v>50</v>
      </c>
      <c r="N72" s="621">
        <v>20</v>
      </c>
      <c r="O72" s="1459">
        <v>25</v>
      </c>
      <c r="P72" s="1459">
        <v>65</v>
      </c>
      <c r="Q72" s="1459">
        <v>80</v>
      </c>
      <c r="R72" s="1459">
        <v>90</v>
      </c>
      <c r="S72" s="1459">
        <v>30</v>
      </c>
      <c r="T72" s="1459">
        <v>60</v>
      </c>
      <c r="U72" s="620">
        <v>10</v>
      </c>
      <c r="V72" s="1459">
        <v>70</v>
      </c>
      <c r="W72" s="1459">
        <v>15</v>
      </c>
      <c r="X72" s="1468">
        <v>10</v>
      </c>
      <c r="Y72" s="1460">
        <f t="shared" ref="Y72" si="2">SUM(C72:O72,Q72:R72,U72:X72)</f>
        <v>1205</v>
      </c>
      <c r="Z72" s="617">
        <v>7250</v>
      </c>
    </row>
    <row r="73" spans="1:26" s="556" customFormat="1" ht="13.5" customHeight="1" x14ac:dyDescent="0.2">
      <c r="A73" s="622">
        <v>68</v>
      </c>
      <c r="B73" s="832" t="s">
        <v>1057</v>
      </c>
      <c r="C73" s="1469"/>
      <c r="D73" s="1470"/>
      <c r="E73" s="1470"/>
      <c r="F73" s="1470"/>
      <c r="G73" s="1470"/>
      <c r="H73" s="1470"/>
      <c r="I73" s="1470"/>
      <c r="J73" s="1470"/>
      <c r="K73" s="1470"/>
      <c r="L73" s="1470"/>
      <c r="M73" s="1470"/>
      <c r="N73" s="1474"/>
      <c r="O73" s="1470"/>
      <c r="P73" s="1470"/>
      <c r="Q73" s="1470"/>
      <c r="R73" s="1470"/>
      <c r="S73" s="1470"/>
      <c r="T73" s="1470"/>
      <c r="U73" s="1469"/>
      <c r="V73" s="1470"/>
      <c r="W73" s="1470"/>
      <c r="X73" s="1471"/>
      <c r="Y73" s="1472"/>
      <c r="Z73" s="1473"/>
    </row>
    <row r="74" spans="1:26" s="556" customFormat="1" ht="13.5" customHeight="1" x14ac:dyDescent="0.2">
      <c r="A74" s="622">
        <v>69</v>
      </c>
      <c r="B74" s="832" t="s">
        <v>1058</v>
      </c>
      <c r="C74" s="1469"/>
      <c r="D74" s="1470"/>
      <c r="E74" s="1470"/>
      <c r="F74" s="1470"/>
      <c r="G74" s="1470"/>
      <c r="H74" s="1470"/>
      <c r="I74" s="1470"/>
      <c r="J74" s="1470"/>
      <c r="K74" s="1470"/>
      <c r="L74" s="1470"/>
      <c r="M74" s="1470"/>
      <c r="N74" s="1474"/>
      <c r="O74" s="1470"/>
      <c r="P74" s="1470"/>
      <c r="Q74" s="1470"/>
      <c r="R74" s="1470"/>
      <c r="S74" s="1470"/>
      <c r="T74" s="1470"/>
      <c r="U74" s="1469"/>
      <c r="V74" s="1470"/>
      <c r="W74" s="1470"/>
      <c r="X74" s="1471"/>
      <c r="Y74" s="1472"/>
      <c r="Z74" s="1473"/>
    </row>
    <row r="75" spans="1:26" s="556" customFormat="1" ht="13.5" customHeight="1" x14ac:dyDescent="0.2">
      <c r="A75" s="622">
        <v>70</v>
      </c>
      <c r="B75" s="832" t="s">
        <v>1059</v>
      </c>
      <c r="C75" s="620">
        <v>60</v>
      </c>
      <c r="D75" s="1459">
        <v>204</v>
      </c>
      <c r="E75" s="1459">
        <v>249</v>
      </c>
      <c r="F75" s="1459">
        <v>184</v>
      </c>
      <c r="G75" s="1459">
        <v>507</v>
      </c>
      <c r="H75" s="1459">
        <v>73</v>
      </c>
      <c r="I75" s="1459">
        <v>1504</v>
      </c>
      <c r="J75" s="1459">
        <v>208</v>
      </c>
      <c r="K75" s="1459">
        <v>183</v>
      </c>
      <c r="L75" s="1459">
        <v>357</v>
      </c>
      <c r="M75" s="1459">
        <v>128</v>
      </c>
      <c r="N75" s="1457">
        <v>130</v>
      </c>
      <c r="O75" s="1459">
        <v>129</v>
      </c>
      <c r="P75" s="1459">
        <v>235</v>
      </c>
      <c r="Q75" s="1459">
        <v>214</v>
      </c>
      <c r="R75" s="1459">
        <v>489</v>
      </c>
      <c r="S75" s="1459">
        <v>181</v>
      </c>
      <c r="T75" s="1459">
        <v>96</v>
      </c>
      <c r="U75" s="1458">
        <v>54</v>
      </c>
      <c r="V75" s="1459">
        <v>380</v>
      </c>
      <c r="W75" s="1459">
        <v>32</v>
      </c>
      <c r="X75" s="1468">
        <v>38</v>
      </c>
      <c r="Y75" s="1460">
        <v>5120</v>
      </c>
      <c r="Z75" s="617">
        <v>32170</v>
      </c>
    </row>
    <row r="76" spans="1:26" s="556" customFormat="1" ht="13.5" customHeight="1" x14ac:dyDescent="0.2">
      <c r="A76" s="622">
        <v>71</v>
      </c>
      <c r="B76" s="832" t="s">
        <v>1060</v>
      </c>
      <c r="C76" s="620"/>
      <c r="D76" s="1459"/>
      <c r="E76" s="1459"/>
      <c r="F76" s="1459"/>
      <c r="G76" s="1459"/>
      <c r="H76" s="1459"/>
      <c r="I76" s="1459"/>
      <c r="J76" s="1459"/>
      <c r="K76" s="1459"/>
      <c r="L76" s="1459"/>
      <c r="M76" s="1459"/>
      <c r="N76" s="621"/>
      <c r="O76" s="1459"/>
      <c r="P76" s="1459"/>
      <c r="Q76" s="1459"/>
      <c r="R76" s="1459"/>
      <c r="S76" s="1459"/>
      <c r="T76" s="1459"/>
      <c r="U76" s="620"/>
      <c r="V76" s="1459"/>
      <c r="W76" s="1459"/>
      <c r="X76" s="1459"/>
      <c r="Y76" s="1460"/>
      <c r="Z76" s="617"/>
    </row>
    <row r="77" spans="1:26" s="556" customFormat="1" ht="13.5" customHeight="1" x14ac:dyDescent="0.2">
      <c r="A77" s="622">
        <v>72</v>
      </c>
      <c r="B77" s="832" t="s">
        <v>1061</v>
      </c>
      <c r="C77" s="1464"/>
      <c r="D77" s="1459"/>
      <c r="E77" s="1459"/>
      <c r="F77" s="1459"/>
      <c r="G77" s="1459"/>
      <c r="H77" s="1459"/>
      <c r="I77" s="1459"/>
      <c r="J77" s="1459"/>
      <c r="K77" s="1459"/>
      <c r="L77" s="1459"/>
      <c r="M77" s="1459"/>
      <c r="N77" s="621"/>
      <c r="O77" s="1459"/>
      <c r="P77" s="1459"/>
      <c r="Q77" s="1459"/>
      <c r="R77" s="1459"/>
      <c r="S77" s="1459"/>
      <c r="T77" s="1459"/>
      <c r="U77" s="620"/>
      <c r="V77" s="1459"/>
      <c r="W77" s="1459"/>
      <c r="X77" s="1459"/>
      <c r="Y77" s="1460"/>
      <c r="Z77" s="617"/>
    </row>
    <row r="78" spans="1:26" s="556" customFormat="1" ht="13.5" customHeight="1" x14ac:dyDescent="0.2">
      <c r="A78" s="622">
        <v>73</v>
      </c>
      <c r="B78" s="832" t="s">
        <v>1062</v>
      </c>
      <c r="C78" s="1464">
        <v>5</v>
      </c>
      <c r="D78" s="1459">
        <v>15</v>
      </c>
      <c r="E78" s="1459">
        <v>25</v>
      </c>
      <c r="F78" s="1459">
        <v>30</v>
      </c>
      <c r="G78" s="1459">
        <v>60</v>
      </c>
      <c r="H78" s="1459" t="s">
        <v>73</v>
      </c>
      <c r="I78" s="1459">
        <v>50</v>
      </c>
      <c r="J78" s="1459">
        <v>25</v>
      </c>
      <c r="K78" s="1459" t="s">
        <v>73</v>
      </c>
      <c r="L78" s="1459">
        <v>20</v>
      </c>
      <c r="M78" s="1459">
        <v>20</v>
      </c>
      <c r="N78" s="621">
        <v>5</v>
      </c>
      <c r="O78" s="1459">
        <v>5</v>
      </c>
      <c r="P78" s="1459">
        <v>15</v>
      </c>
      <c r="Q78" s="1459">
        <v>60</v>
      </c>
      <c r="R78" s="1459">
        <v>35</v>
      </c>
      <c r="S78" s="1459">
        <v>5</v>
      </c>
      <c r="T78" s="1459">
        <v>10</v>
      </c>
      <c r="U78" s="620">
        <v>10</v>
      </c>
      <c r="V78" s="1459">
        <v>45</v>
      </c>
      <c r="W78" s="1459" t="s">
        <v>73</v>
      </c>
      <c r="X78" s="1468" t="s">
        <v>73</v>
      </c>
      <c r="Y78" s="1460">
        <f t="shared" ref="Y78" si="3">SUM(C78:O78,Q78:R78,U78:X78)</f>
        <v>410</v>
      </c>
      <c r="Z78" s="617">
        <v>2940</v>
      </c>
    </row>
    <row r="79" spans="1:26" s="556" customFormat="1" ht="13.5" customHeight="1" x14ac:dyDescent="0.2">
      <c r="A79" s="622">
        <v>74</v>
      </c>
      <c r="B79" s="832" t="s">
        <v>1063</v>
      </c>
      <c r="C79" s="1458">
        <v>68</v>
      </c>
      <c r="D79" s="1459">
        <v>245</v>
      </c>
      <c r="E79" s="1459">
        <v>227</v>
      </c>
      <c r="F79" s="1459">
        <v>192</v>
      </c>
      <c r="G79" s="1459">
        <v>545</v>
      </c>
      <c r="H79" s="1459">
        <v>73</v>
      </c>
      <c r="I79" s="1459">
        <v>1079</v>
      </c>
      <c r="J79" s="1459">
        <v>210</v>
      </c>
      <c r="K79" s="1459">
        <v>186</v>
      </c>
      <c r="L79" s="1459">
        <v>280</v>
      </c>
      <c r="M79" s="1459">
        <v>126</v>
      </c>
      <c r="N79" s="621">
        <v>123</v>
      </c>
      <c r="O79" s="1459">
        <v>154</v>
      </c>
      <c r="P79" s="1459">
        <v>229</v>
      </c>
      <c r="Q79" s="1459">
        <v>205</v>
      </c>
      <c r="R79" s="1459">
        <v>405</v>
      </c>
      <c r="S79" s="1459">
        <v>139</v>
      </c>
      <c r="T79" s="1459">
        <v>125</v>
      </c>
      <c r="U79" s="620">
        <v>69</v>
      </c>
      <c r="V79" s="1459">
        <v>386</v>
      </c>
      <c r="W79" s="1459">
        <v>43</v>
      </c>
      <c r="X79" s="1468">
        <v>34</v>
      </c>
      <c r="Y79" s="1456">
        <v>4650</v>
      </c>
      <c r="Z79" s="617">
        <v>31860</v>
      </c>
    </row>
    <row r="80" spans="1:26" s="556" customFormat="1" ht="13.5" customHeight="1" x14ac:dyDescent="0.2">
      <c r="A80" s="622">
        <v>75</v>
      </c>
      <c r="B80" s="832" t="s">
        <v>1230</v>
      </c>
      <c r="C80" s="1458"/>
      <c r="D80" s="1459"/>
      <c r="E80" s="1459"/>
      <c r="F80" s="1459"/>
      <c r="G80" s="1459"/>
      <c r="H80" s="1459"/>
      <c r="I80" s="1459"/>
      <c r="J80" s="1459"/>
      <c r="K80" s="1459"/>
      <c r="L80" s="1459"/>
      <c r="M80" s="1459"/>
      <c r="N80" s="621"/>
      <c r="O80" s="1459"/>
      <c r="P80" s="1459"/>
      <c r="Q80" s="1459"/>
      <c r="R80" s="1459"/>
      <c r="S80" s="1459"/>
      <c r="T80" s="1459"/>
      <c r="U80" s="620"/>
      <c r="V80" s="1459"/>
      <c r="W80" s="1459"/>
      <c r="X80" s="1459"/>
      <c r="Y80" s="1460"/>
      <c r="Z80" s="617"/>
    </row>
    <row r="81" spans="1:41" s="556" customFormat="1" ht="13.5" customHeight="1" x14ac:dyDescent="0.2">
      <c r="A81" s="622">
        <v>76</v>
      </c>
      <c r="B81" s="832" t="s">
        <v>1231</v>
      </c>
      <c r="C81" s="1458"/>
      <c r="D81" s="1459"/>
      <c r="E81" s="1459"/>
      <c r="F81" s="1459"/>
      <c r="G81" s="1459"/>
      <c r="H81" s="1459"/>
      <c r="I81" s="1459"/>
      <c r="J81" s="1459"/>
      <c r="K81" s="1459"/>
      <c r="L81" s="1459"/>
      <c r="M81" s="1459"/>
      <c r="N81" s="621"/>
      <c r="O81" s="1459"/>
      <c r="P81" s="1459"/>
      <c r="Q81" s="1459"/>
      <c r="R81" s="1459"/>
      <c r="S81" s="1459"/>
      <c r="T81" s="1459"/>
      <c r="U81" s="620"/>
      <c r="V81" s="1459"/>
      <c r="W81" s="1459"/>
      <c r="X81" s="1459"/>
      <c r="Y81" s="1460"/>
      <c r="Z81" s="617"/>
    </row>
    <row r="82" spans="1:41" s="556" customFormat="1" ht="13.5" customHeight="1" x14ac:dyDescent="0.2">
      <c r="A82" s="622">
        <v>77</v>
      </c>
      <c r="B82" s="832" t="s">
        <v>1064</v>
      </c>
      <c r="C82" s="1464">
        <v>9</v>
      </c>
      <c r="D82" s="1459">
        <v>39</v>
      </c>
      <c r="E82" s="1459">
        <v>38</v>
      </c>
      <c r="F82" s="1459">
        <v>47</v>
      </c>
      <c r="G82" s="1459">
        <v>84</v>
      </c>
      <c r="H82" s="1459">
        <v>9</v>
      </c>
      <c r="I82" s="1459">
        <v>108</v>
      </c>
      <c r="J82" s="1459">
        <v>24</v>
      </c>
      <c r="K82" s="1459">
        <v>19</v>
      </c>
      <c r="L82" s="1459">
        <v>50</v>
      </c>
      <c r="M82" s="1459">
        <v>27</v>
      </c>
      <c r="N82" s="1465">
        <v>25</v>
      </c>
      <c r="O82" s="1459">
        <v>16</v>
      </c>
      <c r="P82" s="1459">
        <v>51</v>
      </c>
      <c r="Q82" s="1459">
        <v>63</v>
      </c>
      <c r="R82" s="1459">
        <v>51</v>
      </c>
      <c r="S82" s="1459">
        <v>7</v>
      </c>
      <c r="T82" s="1459">
        <v>28</v>
      </c>
      <c r="U82" s="1464">
        <v>7</v>
      </c>
      <c r="V82" s="1459">
        <v>33</v>
      </c>
      <c r="W82" s="1459">
        <v>7</v>
      </c>
      <c r="X82" s="1468" t="s">
        <v>1281</v>
      </c>
      <c r="Y82" s="1460">
        <v>660</v>
      </c>
      <c r="Z82" s="617">
        <v>4710</v>
      </c>
    </row>
    <row r="83" spans="1:41" s="556" customFormat="1" ht="13.5" customHeight="1" x14ac:dyDescent="0.2">
      <c r="A83" s="622">
        <v>78</v>
      </c>
      <c r="B83" s="832" t="s">
        <v>1065</v>
      </c>
      <c r="C83" s="1459" t="s">
        <v>73</v>
      </c>
      <c r="D83" s="1459">
        <f t="shared" ref="D83:Z83" si="4">D82*D109</f>
        <v>19266</v>
      </c>
      <c r="E83" s="1459">
        <f t="shared" si="4"/>
        <v>24092</v>
      </c>
      <c r="F83" s="1459">
        <f t="shared" si="4"/>
        <v>20774</v>
      </c>
      <c r="G83" s="1459">
        <f t="shared" si="4"/>
        <v>38724</v>
      </c>
      <c r="H83" s="1459" t="s">
        <v>73</v>
      </c>
      <c r="I83" s="1459">
        <f t="shared" si="4"/>
        <v>44388</v>
      </c>
      <c r="J83" s="1459">
        <f t="shared" si="4"/>
        <v>9528</v>
      </c>
      <c r="K83" s="1459">
        <f t="shared" si="4"/>
        <v>8740</v>
      </c>
      <c r="L83" s="1459">
        <f t="shared" si="4"/>
        <v>18750</v>
      </c>
      <c r="M83" s="1459">
        <f t="shared" si="4"/>
        <v>9315</v>
      </c>
      <c r="N83" s="1459">
        <f t="shared" si="4"/>
        <v>12250</v>
      </c>
      <c r="O83" s="1459">
        <f t="shared" si="4"/>
        <v>5792</v>
      </c>
      <c r="P83" s="1459">
        <f t="shared" si="4"/>
        <v>17034</v>
      </c>
      <c r="Q83" s="1459">
        <f t="shared" si="4"/>
        <v>30996</v>
      </c>
      <c r="R83" s="1459">
        <f t="shared" si="4"/>
        <v>22389</v>
      </c>
      <c r="S83" s="1459" t="s">
        <v>73</v>
      </c>
      <c r="T83" s="1459">
        <f t="shared" si="4"/>
        <v>9800</v>
      </c>
      <c r="U83" s="1459" t="s">
        <v>73</v>
      </c>
      <c r="V83" s="1459">
        <f t="shared" si="4"/>
        <v>13431</v>
      </c>
      <c r="W83" s="1459" t="s">
        <v>73</v>
      </c>
      <c r="X83" s="1459" t="s">
        <v>73</v>
      </c>
      <c r="Y83" s="1459">
        <f>SUM(C83:O83,Q83:R83,U83:X83)</f>
        <v>278435</v>
      </c>
      <c r="Z83" s="1459">
        <f t="shared" si="4"/>
        <v>2048850</v>
      </c>
    </row>
    <row r="84" spans="1:41" s="556" customFormat="1" ht="13.5" customHeight="1" x14ac:dyDescent="0.2">
      <c r="A84" s="622">
        <v>79</v>
      </c>
      <c r="B84" s="832" t="s">
        <v>1066</v>
      </c>
      <c r="C84" s="1459"/>
      <c r="D84" s="1459"/>
      <c r="E84" s="1459"/>
      <c r="F84" s="1459"/>
      <c r="G84" s="1459"/>
      <c r="H84" s="1459"/>
      <c r="I84" s="1459"/>
      <c r="J84" s="1459"/>
      <c r="K84" s="1459"/>
      <c r="L84" s="1459"/>
      <c r="M84" s="1459"/>
      <c r="N84" s="1459"/>
      <c r="O84" s="1459"/>
      <c r="P84" s="1459"/>
      <c r="Q84" s="1459"/>
      <c r="R84" s="1459"/>
      <c r="S84" s="1459"/>
      <c r="T84" s="1459"/>
      <c r="U84" s="1459"/>
      <c r="V84" s="1459"/>
      <c r="W84" s="1459"/>
      <c r="X84" s="1459"/>
      <c r="Y84" s="1460"/>
      <c r="Z84" s="617"/>
    </row>
    <row r="85" spans="1:41" s="556" customFormat="1" ht="13.5" customHeight="1" x14ac:dyDescent="0.2">
      <c r="A85" s="622">
        <v>80</v>
      </c>
      <c r="B85" s="832" t="s">
        <v>1232</v>
      </c>
      <c r="C85" s="1066"/>
      <c r="D85" s="1066"/>
      <c r="E85" s="1066"/>
      <c r="F85" s="1066"/>
      <c r="G85" s="1066"/>
      <c r="H85" s="1066"/>
      <c r="I85" s="1066"/>
      <c r="J85" s="1066"/>
      <c r="K85" s="1066"/>
      <c r="L85" s="1066"/>
      <c r="M85" s="1066"/>
      <c r="N85" s="1066"/>
      <c r="O85" s="1066"/>
      <c r="P85" s="1066"/>
      <c r="Q85" s="1066"/>
      <c r="R85" s="1066"/>
      <c r="S85" s="1066"/>
      <c r="T85" s="1066"/>
      <c r="U85" s="1066"/>
      <c r="V85" s="1066"/>
      <c r="W85" s="1066"/>
      <c r="X85" s="1066"/>
      <c r="Y85" s="1456"/>
      <c r="Z85" s="1067"/>
    </row>
    <row r="86" spans="1:41" s="556" customFormat="1" ht="13.5" customHeight="1" x14ac:dyDescent="0.2">
      <c r="A86" s="622">
        <v>81</v>
      </c>
      <c r="B86" s="832" t="s">
        <v>1067</v>
      </c>
      <c r="C86" s="1066">
        <v>40</v>
      </c>
      <c r="D86" s="1066">
        <v>161</v>
      </c>
      <c r="E86" s="1066">
        <v>151</v>
      </c>
      <c r="F86" s="1066">
        <v>152</v>
      </c>
      <c r="G86" s="1066">
        <v>498</v>
      </c>
      <c r="H86" s="1066">
        <v>90</v>
      </c>
      <c r="I86" s="1066">
        <v>945</v>
      </c>
      <c r="J86" s="1066">
        <v>156</v>
      </c>
      <c r="K86" s="1066">
        <v>117</v>
      </c>
      <c r="L86" s="1066">
        <v>254</v>
      </c>
      <c r="M86" s="1066">
        <v>106</v>
      </c>
      <c r="N86" s="1066">
        <v>68</v>
      </c>
      <c r="O86" s="1066">
        <v>89</v>
      </c>
      <c r="P86" s="1066">
        <v>260</v>
      </c>
      <c r="Q86" s="1066">
        <v>130</v>
      </c>
      <c r="R86" s="1066">
        <v>363</v>
      </c>
      <c r="S86" s="1066">
        <v>142</v>
      </c>
      <c r="T86" s="1066">
        <v>96</v>
      </c>
      <c r="U86" s="1066">
        <v>55</v>
      </c>
      <c r="V86" s="1066">
        <v>305</v>
      </c>
      <c r="W86" s="1066">
        <v>42</v>
      </c>
      <c r="X86" s="1066">
        <v>31</v>
      </c>
      <c r="Y86" s="1456">
        <v>3750</v>
      </c>
      <c r="Z86" s="1067">
        <v>26340</v>
      </c>
    </row>
    <row r="87" spans="1:41" s="556" customFormat="1" ht="13.5" customHeight="1" x14ac:dyDescent="0.2">
      <c r="A87" s="622">
        <v>82</v>
      </c>
      <c r="B87" s="832" t="s">
        <v>1068</v>
      </c>
      <c r="C87" s="1066"/>
      <c r="D87" s="1066"/>
      <c r="E87" s="1066"/>
      <c r="F87" s="1066"/>
      <c r="G87" s="1066"/>
      <c r="H87" s="1066"/>
      <c r="I87" s="1066"/>
      <c r="J87" s="1066"/>
      <c r="K87" s="1066"/>
      <c r="L87" s="1066"/>
      <c r="M87" s="1066"/>
      <c r="N87" s="1066"/>
      <c r="O87" s="1066"/>
      <c r="P87" s="1066"/>
      <c r="Q87" s="1066"/>
      <c r="R87" s="1066"/>
      <c r="S87" s="1066"/>
      <c r="T87" s="1066"/>
      <c r="U87" s="1066"/>
      <c r="V87" s="1066"/>
      <c r="W87" s="1066"/>
      <c r="X87" s="1066"/>
      <c r="Y87" s="1456"/>
      <c r="Z87" s="1067"/>
    </row>
    <row r="88" spans="1:41" s="556" customFormat="1" ht="13.5" customHeight="1" x14ac:dyDescent="0.2">
      <c r="A88" s="622">
        <v>83</v>
      </c>
      <c r="B88" s="832" t="s">
        <v>1069</v>
      </c>
      <c r="C88" s="1066">
        <v>36</v>
      </c>
      <c r="D88" s="1066">
        <v>154</v>
      </c>
      <c r="E88" s="1066">
        <v>120</v>
      </c>
      <c r="F88" s="1066">
        <v>124</v>
      </c>
      <c r="G88" s="1066">
        <v>354</v>
      </c>
      <c r="H88" s="1066">
        <v>82</v>
      </c>
      <c r="I88" s="1066">
        <v>638</v>
      </c>
      <c r="J88" s="1066">
        <v>140</v>
      </c>
      <c r="K88" s="1066">
        <v>91</v>
      </c>
      <c r="L88" s="1066">
        <v>179</v>
      </c>
      <c r="M88" s="1066">
        <v>67</v>
      </c>
      <c r="N88" s="1066">
        <v>61</v>
      </c>
      <c r="O88" s="1066">
        <v>60</v>
      </c>
      <c r="P88" s="1066">
        <v>231</v>
      </c>
      <c r="Q88" s="1066">
        <v>82</v>
      </c>
      <c r="R88" s="1066">
        <v>306</v>
      </c>
      <c r="S88" s="1066">
        <v>120</v>
      </c>
      <c r="T88" s="1066">
        <v>90</v>
      </c>
      <c r="U88" s="1066">
        <v>38</v>
      </c>
      <c r="V88" s="1066">
        <v>259</v>
      </c>
      <c r="W88" s="1066">
        <v>29</v>
      </c>
      <c r="X88" s="1066">
        <v>24</v>
      </c>
      <c r="Y88" s="1456">
        <v>2840</v>
      </c>
      <c r="Z88" s="1067">
        <v>21500</v>
      </c>
    </row>
    <row r="89" spans="1:41" s="556" customFormat="1" ht="13.5" customHeight="1" x14ac:dyDescent="0.2">
      <c r="A89" s="622">
        <v>84</v>
      </c>
      <c r="B89" s="832" t="s">
        <v>1070</v>
      </c>
      <c r="C89" s="1066"/>
      <c r="D89" s="1066"/>
      <c r="E89" s="1066"/>
      <c r="F89" s="1066"/>
      <c r="G89" s="1066"/>
      <c r="H89" s="1066"/>
      <c r="I89" s="1066"/>
      <c r="J89" s="1066"/>
      <c r="K89" s="1066"/>
      <c r="L89" s="1066"/>
      <c r="M89" s="1066"/>
      <c r="N89" s="1066"/>
      <c r="O89" s="1066"/>
      <c r="P89" s="1066"/>
      <c r="Q89" s="1066"/>
      <c r="R89" s="1066"/>
      <c r="S89" s="1066"/>
      <c r="T89" s="1066"/>
      <c r="U89" s="1066"/>
      <c r="V89" s="1066"/>
      <c r="W89" s="1066"/>
      <c r="X89" s="1066"/>
      <c r="Y89" s="1456"/>
      <c r="Z89" s="1067"/>
    </row>
    <row r="90" spans="1:41" s="556" customFormat="1" ht="13.5" customHeight="1" x14ac:dyDescent="0.2">
      <c r="A90" s="622">
        <v>85</v>
      </c>
      <c r="B90" s="836" t="s">
        <v>1071</v>
      </c>
      <c r="C90" s="1459" t="s">
        <v>73</v>
      </c>
      <c r="D90" s="1459" t="s">
        <v>73</v>
      </c>
      <c r="E90" s="1459">
        <v>5</v>
      </c>
      <c r="F90" s="1459" t="s">
        <v>73</v>
      </c>
      <c r="G90" s="1459">
        <v>5</v>
      </c>
      <c r="H90" s="1459" t="s">
        <v>73</v>
      </c>
      <c r="I90" s="1459">
        <v>10</v>
      </c>
      <c r="J90" s="1459">
        <v>20</v>
      </c>
      <c r="K90" s="1459">
        <v>5</v>
      </c>
      <c r="L90" s="1459">
        <v>10</v>
      </c>
      <c r="M90" s="1459">
        <v>15</v>
      </c>
      <c r="N90" s="1459">
        <v>10</v>
      </c>
      <c r="O90" s="1459">
        <v>10</v>
      </c>
      <c r="P90" s="1459" t="s">
        <v>73</v>
      </c>
      <c r="Q90" s="1459" t="s">
        <v>73</v>
      </c>
      <c r="R90" s="1459">
        <v>15</v>
      </c>
      <c r="S90" s="1459" t="s">
        <v>73</v>
      </c>
      <c r="T90" s="1459">
        <v>5</v>
      </c>
      <c r="U90" s="1459">
        <v>10</v>
      </c>
      <c r="V90" s="1459" t="s">
        <v>73</v>
      </c>
      <c r="W90" s="1459" t="s">
        <v>73</v>
      </c>
      <c r="X90" s="1468">
        <v>0</v>
      </c>
      <c r="Y90" s="1460">
        <v>130</v>
      </c>
      <c r="Z90" s="1466">
        <v>1120</v>
      </c>
    </row>
    <row r="91" spans="1:41" s="556" customFormat="1" ht="13.5" customHeight="1" x14ac:dyDescent="0.2">
      <c r="A91" s="622">
        <v>86</v>
      </c>
      <c r="B91" s="836" t="s">
        <v>1072</v>
      </c>
      <c r="C91" s="1459">
        <v>10</v>
      </c>
      <c r="D91" s="1459">
        <v>40</v>
      </c>
      <c r="E91" s="1459">
        <v>20</v>
      </c>
      <c r="F91" s="1459">
        <v>20</v>
      </c>
      <c r="G91" s="1459">
        <v>45</v>
      </c>
      <c r="H91" s="1459">
        <v>10</v>
      </c>
      <c r="I91" s="1459">
        <v>45</v>
      </c>
      <c r="J91" s="1459">
        <v>25</v>
      </c>
      <c r="K91" s="1459">
        <v>20</v>
      </c>
      <c r="L91" s="1459">
        <v>30</v>
      </c>
      <c r="M91" s="1459">
        <v>15</v>
      </c>
      <c r="N91" s="1459">
        <v>20</v>
      </c>
      <c r="O91" s="1459">
        <v>25</v>
      </c>
      <c r="P91" s="1459">
        <v>15</v>
      </c>
      <c r="Q91" s="1459">
        <v>30</v>
      </c>
      <c r="R91" s="1459">
        <v>40</v>
      </c>
      <c r="S91" s="1459">
        <v>10</v>
      </c>
      <c r="T91" s="1459">
        <v>10</v>
      </c>
      <c r="U91" s="1459">
        <v>10</v>
      </c>
      <c r="V91" s="1459">
        <v>45</v>
      </c>
      <c r="W91" s="1459" t="s">
        <v>1249</v>
      </c>
      <c r="X91" s="1468" t="s">
        <v>1249</v>
      </c>
      <c r="Y91" s="1460">
        <f t="shared" ref="Y91" si="5">SUM(C91:O91,Q91:R91,U91:X91)</f>
        <v>450</v>
      </c>
      <c r="Z91" s="1466">
        <v>3860</v>
      </c>
    </row>
    <row r="92" spans="1:41" s="556" customFormat="1" ht="13.5" customHeight="1" x14ac:dyDescent="0.2">
      <c r="A92" s="622">
        <v>87</v>
      </c>
      <c r="B92" s="836" t="s">
        <v>1073</v>
      </c>
      <c r="C92" s="1459"/>
      <c r="D92" s="1459"/>
      <c r="E92" s="1459"/>
      <c r="F92" s="1459"/>
      <c r="G92" s="1459"/>
      <c r="H92" s="1459"/>
      <c r="I92" s="1459"/>
      <c r="J92" s="1459"/>
      <c r="K92" s="1459"/>
      <c r="L92" s="1459"/>
      <c r="M92" s="1459"/>
      <c r="N92" s="1459"/>
      <c r="O92" s="1459"/>
      <c r="P92" s="1459"/>
      <c r="Q92" s="1459"/>
      <c r="R92" s="1459"/>
      <c r="S92" s="1459"/>
      <c r="T92" s="1459"/>
      <c r="U92" s="1459"/>
      <c r="V92" s="1459"/>
      <c r="W92" s="1459"/>
      <c r="X92" s="1459"/>
      <c r="Y92" s="1460"/>
      <c r="Z92" s="1466"/>
    </row>
    <row r="93" spans="1:41" s="556" customFormat="1" ht="13.5" customHeight="1" x14ac:dyDescent="0.2">
      <c r="A93" s="622">
        <v>88</v>
      </c>
      <c r="B93" s="836" t="s">
        <v>1074</v>
      </c>
      <c r="C93" s="1459"/>
      <c r="D93" s="1459"/>
      <c r="E93" s="1459"/>
      <c r="F93" s="1459"/>
      <c r="G93" s="1459"/>
      <c r="H93" s="1459"/>
      <c r="I93" s="1459"/>
      <c r="J93" s="1459"/>
      <c r="K93" s="1459"/>
      <c r="L93" s="1459"/>
      <c r="M93" s="1459"/>
      <c r="N93" s="1459"/>
      <c r="O93" s="1459"/>
      <c r="P93" s="1459"/>
      <c r="Q93" s="1459"/>
      <c r="R93" s="1459"/>
      <c r="S93" s="1459"/>
      <c r="T93" s="1459"/>
      <c r="U93" s="1459"/>
      <c r="V93" s="1459"/>
      <c r="W93" s="1459"/>
      <c r="X93" s="1459"/>
      <c r="Y93" s="1460"/>
      <c r="Z93" s="1466"/>
    </row>
    <row r="94" spans="1:41" s="556" customFormat="1" ht="13.5" customHeight="1" x14ac:dyDescent="0.2">
      <c r="A94" s="622">
        <v>89</v>
      </c>
      <c r="B94" s="832" t="s">
        <v>1075</v>
      </c>
      <c r="C94" s="1066"/>
      <c r="D94" s="1066"/>
      <c r="E94" s="1066"/>
      <c r="F94" s="1066"/>
      <c r="G94" s="1066"/>
      <c r="H94" s="1066"/>
      <c r="I94" s="1066"/>
      <c r="J94" s="1066"/>
      <c r="K94" s="1066"/>
      <c r="L94" s="1066"/>
      <c r="M94" s="1066"/>
      <c r="N94" s="1066"/>
      <c r="O94" s="1066"/>
      <c r="P94" s="1066"/>
      <c r="Q94" s="1066"/>
      <c r="R94" s="1066"/>
      <c r="S94" s="1066"/>
      <c r="T94" s="1066"/>
      <c r="U94" s="1066"/>
      <c r="V94" s="1066"/>
      <c r="W94" s="1066"/>
      <c r="X94" s="1066"/>
      <c r="Y94" s="1456"/>
      <c r="Z94" s="1067"/>
    </row>
    <row r="95" spans="1:41" s="1303" customFormat="1" ht="13.5" customHeight="1" x14ac:dyDescent="0.2">
      <c r="A95" s="622">
        <v>90</v>
      </c>
      <c r="B95" s="832" t="s">
        <v>1076</v>
      </c>
      <c r="C95" s="1066"/>
      <c r="D95" s="1066"/>
      <c r="E95" s="1066"/>
      <c r="F95" s="1066"/>
      <c r="G95" s="1066"/>
      <c r="H95" s="1066"/>
      <c r="I95" s="1066"/>
      <c r="J95" s="1066"/>
      <c r="K95" s="1066"/>
      <c r="L95" s="1066"/>
      <c r="M95" s="1066"/>
      <c r="N95" s="1066"/>
      <c r="O95" s="1066"/>
      <c r="P95" s="1066"/>
      <c r="Q95" s="1066"/>
      <c r="R95" s="1066"/>
      <c r="S95" s="1066"/>
      <c r="T95" s="1066"/>
      <c r="U95" s="1066"/>
      <c r="V95" s="1066"/>
      <c r="W95" s="1066"/>
      <c r="X95" s="1066"/>
      <c r="Y95" s="1467"/>
      <c r="Z95" s="1067"/>
      <c r="AC95" s="1369"/>
      <c r="AD95" s="1369"/>
      <c r="AE95" s="1369"/>
      <c r="AF95" s="1369"/>
      <c r="AG95" s="1369"/>
      <c r="AH95" s="1369"/>
      <c r="AI95" s="1369"/>
      <c r="AJ95" s="1369"/>
      <c r="AK95" s="1369"/>
      <c r="AL95" s="1369"/>
      <c r="AM95" s="1369"/>
      <c r="AN95" s="1369"/>
      <c r="AO95" s="1369"/>
    </row>
    <row r="96" spans="1:41" s="556" customFormat="1" ht="13.5" customHeight="1" x14ac:dyDescent="0.2">
      <c r="A96" s="622">
        <v>91</v>
      </c>
      <c r="B96" s="832" t="s">
        <v>1077</v>
      </c>
      <c r="C96" s="1066"/>
      <c r="D96" s="1066"/>
      <c r="E96" s="1066"/>
      <c r="F96" s="1066"/>
      <c r="G96" s="1066"/>
      <c r="H96" s="1066"/>
      <c r="I96" s="1066"/>
      <c r="J96" s="1066"/>
      <c r="K96" s="1066"/>
      <c r="L96" s="1066"/>
      <c r="M96" s="1066"/>
      <c r="N96" s="1066"/>
      <c r="O96" s="1066"/>
      <c r="P96" s="1066"/>
      <c r="Q96" s="1066"/>
      <c r="R96" s="1066"/>
      <c r="S96" s="1066"/>
      <c r="T96" s="1066"/>
      <c r="U96" s="1066"/>
      <c r="V96" s="1066"/>
      <c r="W96" s="1066"/>
      <c r="X96" s="1066"/>
      <c r="Y96" s="1456"/>
      <c r="Z96" s="1067"/>
      <c r="AC96" s="1370"/>
      <c r="AD96" s="1370"/>
      <c r="AE96" s="1370"/>
      <c r="AF96" s="1370"/>
      <c r="AG96" s="1370"/>
      <c r="AH96" s="1370"/>
      <c r="AI96" s="1370"/>
      <c r="AJ96" s="1370"/>
      <c r="AK96" s="1370"/>
      <c r="AL96" s="1370"/>
      <c r="AM96" s="1370"/>
      <c r="AN96" s="1370"/>
      <c r="AO96" s="1370"/>
    </row>
    <row r="97" spans="1:41" s="556" customFormat="1" ht="13.5" customHeight="1" x14ac:dyDescent="0.2">
      <c r="A97" s="622">
        <v>92</v>
      </c>
      <c r="B97" s="832" t="s">
        <v>1078</v>
      </c>
      <c r="C97" s="1066"/>
      <c r="D97" s="1066"/>
      <c r="E97" s="1066"/>
      <c r="F97" s="1066"/>
      <c r="G97" s="1066"/>
      <c r="H97" s="1066"/>
      <c r="I97" s="1066"/>
      <c r="J97" s="1066"/>
      <c r="K97" s="1066"/>
      <c r="L97" s="1066"/>
      <c r="M97" s="1066"/>
      <c r="N97" s="1066"/>
      <c r="O97" s="1066"/>
      <c r="P97" s="1066"/>
      <c r="Q97" s="1066"/>
      <c r="R97" s="1066"/>
      <c r="S97" s="1066"/>
      <c r="T97" s="1066"/>
      <c r="U97" s="1066"/>
      <c r="V97" s="1066"/>
      <c r="W97" s="1066"/>
      <c r="X97" s="1066"/>
      <c r="Y97" s="1456"/>
      <c r="Z97" s="1067"/>
      <c r="AC97" s="1370"/>
      <c r="AD97" s="1370"/>
      <c r="AE97" s="1370"/>
      <c r="AF97" s="1370"/>
      <c r="AG97" s="1370"/>
      <c r="AH97" s="1370"/>
      <c r="AI97" s="1370"/>
      <c r="AJ97" s="1370"/>
      <c r="AK97" s="1370"/>
      <c r="AL97" s="1370"/>
      <c r="AM97" s="1370"/>
      <c r="AN97" s="1370"/>
      <c r="AO97" s="1370"/>
    </row>
    <row r="98" spans="1:41" s="556" customFormat="1" ht="13.5" customHeight="1" x14ac:dyDescent="0.2">
      <c r="A98" s="622">
        <v>93</v>
      </c>
      <c r="B98" s="832" t="s">
        <v>1079</v>
      </c>
      <c r="C98" s="1066"/>
      <c r="D98" s="1066"/>
      <c r="E98" s="1066"/>
      <c r="F98" s="1066"/>
      <c r="G98" s="1066"/>
      <c r="H98" s="1066"/>
      <c r="I98" s="1066"/>
      <c r="J98" s="1066"/>
      <c r="K98" s="1066"/>
      <c r="L98" s="1066"/>
      <c r="M98" s="1066"/>
      <c r="N98" s="1066"/>
      <c r="O98" s="1066"/>
      <c r="P98" s="1066"/>
      <c r="Q98" s="1066"/>
      <c r="R98" s="1066"/>
      <c r="S98" s="1066"/>
      <c r="T98" s="1066"/>
      <c r="U98" s="1066"/>
      <c r="V98" s="1066"/>
      <c r="W98" s="1066"/>
      <c r="X98" s="1066"/>
      <c r="Y98" s="1456"/>
      <c r="Z98" s="1067"/>
      <c r="AC98" s="1370"/>
      <c r="AD98" s="1370"/>
      <c r="AE98" s="1370"/>
      <c r="AF98" s="1370"/>
      <c r="AG98" s="1370"/>
      <c r="AH98" s="1370"/>
      <c r="AI98" s="1370"/>
      <c r="AJ98" s="1370"/>
      <c r="AK98" s="1370"/>
      <c r="AL98" s="1370"/>
      <c r="AM98" s="1370"/>
      <c r="AN98" s="1370"/>
      <c r="AO98" s="1370"/>
    </row>
    <row r="99" spans="1:41" s="556" customFormat="1" ht="13.5" customHeight="1" x14ac:dyDescent="0.2">
      <c r="A99" s="1292">
        <v>94</v>
      </c>
      <c r="B99" s="832" t="s">
        <v>1086</v>
      </c>
      <c r="C99" s="1066">
        <v>35</v>
      </c>
      <c r="D99" s="1066">
        <v>99</v>
      </c>
      <c r="E99" s="1066">
        <v>120</v>
      </c>
      <c r="F99" s="1066">
        <v>82</v>
      </c>
      <c r="G99" s="1066">
        <v>194</v>
      </c>
      <c r="H99" s="1066">
        <v>32</v>
      </c>
      <c r="I99" s="1066">
        <v>260</v>
      </c>
      <c r="J99" s="1066">
        <v>142</v>
      </c>
      <c r="K99" s="1066">
        <v>61</v>
      </c>
      <c r="L99" s="1066">
        <v>154</v>
      </c>
      <c r="M99" s="1066">
        <v>45</v>
      </c>
      <c r="N99" s="1066">
        <v>67</v>
      </c>
      <c r="O99" s="1066">
        <v>57</v>
      </c>
      <c r="P99" s="1066">
        <v>149</v>
      </c>
      <c r="Q99" s="1066">
        <v>93</v>
      </c>
      <c r="R99" s="1066">
        <v>141</v>
      </c>
      <c r="S99" s="1066">
        <v>53</v>
      </c>
      <c r="T99" s="1066">
        <v>55</v>
      </c>
      <c r="U99" s="1066">
        <v>49</v>
      </c>
      <c r="V99" s="1066">
        <v>138</v>
      </c>
      <c r="W99" s="1066">
        <v>17</v>
      </c>
      <c r="X99" s="1066">
        <v>21</v>
      </c>
      <c r="Y99" s="1456">
        <v>1807</v>
      </c>
      <c r="Z99" s="1067">
        <v>12792</v>
      </c>
    </row>
    <row r="100" spans="1:41" s="556" customFormat="1" ht="13.5" customHeight="1" x14ac:dyDescent="0.2">
      <c r="A100" s="1292">
        <v>95</v>
      </c>
      <c r="B100" s="832" t="s">
        <v>1087</v>
      </c>
      <c r="C100" s="1066">
        <v>51</v>
      </c>
      <c r="D100" s="1066">
        <v>147</v>
      </c>
      <c r="E100" s="1066">
        <v>189</v>
      </c>
      <c r="F100" s="1066">
        <v>134</v>
      </c>
      <c r="G100" s="1066">
        <v>331</v>
      </c>
      <c r="H100" s="1066">
        <v>49</v>
      </c>
      <c r="I100" s="1066">
        <v>500</v>
      </c>
      <c r="J100" s="1066">
        <v>250</v>
      </c>
      <c r="K100" s="1066">
        <v>114</v>
      </c>
      <c r="L100" s="1066">
        <v>273</v>
      </c>
      <c r="M100" s="1066">
        <v>64</v>
      </c>
      <c r="N100" s="1066">
        <v>112</v>
      </c>
      <c r="O100" s="1066">
        <v>96</v>
      </c>
      <c r="P100" s="1066">
        <v>235</v>
      </c>
      <c r="Q100" s="1066">
        <v>155</v>
      </c>
      <c r="R100" s="1066">
        <v>245</v>
      </c>
      <c r="S100" s="1066">
        <v>94</v>
      </c>
      <c r="T100" s="1066">
        <v>91</v>
      </c>
      <c r="U100" s="1066">
        <v>74</v>
      </c>
      <c r="V100" s="1066">
        <v>216</v>
      </c>
      <c r="W100" s="1066">
        <v>21</v>
      </c>
      <c r="X100" s="1066">
        <v>31</v>
      </c>
      <c r="Y100" s="1456">
        <f t="shared" ref="Y100" si="6">SUM(C100:O100,Q100:R100,U100:X100)</f>
        <v>3052</v>
      </c>
      <c r="Z100" s="1067">
        <v>21264</v>
      </c>
    </row>
    <row r="101" spans="1:41" s="556" customFormat="1" ht="13.5" customHeight="1" x14ac:dyDescent="0.2">
      <c r="A101" s="1292">
        <v>96</v>
      </c>
      <c r="B101" s="832" t="s">
        <v>1080</v>
      </c>
      <c r="C101" s="1478"/>
      <c r="D101" s="1478"/>
      <c r="E101" s="1478"/>
      <c r="F101" s="1478"/>
      <c r="G101" s="1478"/>
      <c r="H101" s="1478"/>
      <c r="I101" s="1478"/>
      <c r="J101" s="1478"/>
      <c r="K101" s="1478"/>
      <c r="L101" s="1478"/>
      <c r="M101" s="1478"/>
      <c r="N101" s="1478"/>
      <c r="O101" s="1478"/>
      <c r="P101" s="1478"/>
      <c r="Q101" s="1478"/>
      <c r="R101" s="1478"/>
      <c r="S101" s="1478"/>
      <c r="T101" s="1478"/>
      <c r="U101" s="1478"/>
      <c r="V101" s="1478"/>
      <c r="W101" s="1478"/>
      <c r="X101" s="1480"/>
      <c r="Y101" s="1481"/>
      <c r="Z101" s="1483"/>
    </row>
    <row r="102" spans="1:41" s="556" customFormat="1" ht="13.5" customHeight="1" x14ac:dyDescent="0.2">
      <c r="A102" s="1292">
        <v>97</v>
      </c>
      <c r="B102" s="832" t="s">
        <v>1233</v>
      </c>
      <c r="C102" s="1478"/>
      <c r="D102" s="1478"/>
      <c r="E102" s="1478"/>
      <c r="F102" s="1478"/>
      <c r="G102" s="1478"/>
      <c r="H102" s="1478"/>
      <c r="I102" s="1478"/>
      <c r="J102" s="1478"/>
      <c r="K102" s="1478"/>
      <c r="L102" s="1478"/>
      <c r="M102" s="1478"/>
      <c r="N102" s="1478"/>
      <c r="O102" s="1478"/>
      <c r="P102" s="1478"/>
      <c r="Q102" s="1478"/>
      <c r="R102" s="1478"/>
      <c r="S102" s="1478"/>
      <c r="T102" s="1478"/>
      <c r="U102" s="1478"/>
      <c r="V102" s="1478"/>
      <c r="W102" s="1478"/>
      <c r="X102" s="1480"/>
      <c r="Y102" s="1481"/>
      <c r="Z102" s="1483"/>
    </row>
    <row r="103" spans="1:41" s="556" customFormat="1" ht="13.5" customHeight="1" x14ac:dyDescent="0.2">
      <c r="A103" s="1292">
        <v>98</v>
      </c>
      <c r="B103" s="832" t="s">
        <v>1081</v>
      </c>
      <c r="C103" s="1478"/>
      <c r="D103" s="1478"/>
      <c r="E103" s="1478"/>
      <c r="F103" s="1478"/>
      <c r="G103" s="1478"/>
      <c r="H103" s="1478"/>
      <c r="I103" s="1478"/>
      <c r="J103" s="1478"/>
      <c r="K103" s="1478"/>
      <c r="L103" s="1478"/>
      <c r="M103" s="1478"/>
      <c r="N103" s="1478"/>
      <c r="O103" s="1478"/>
      <c r="P103" s="1478"/>
      <c r="Q103" s="1478"/>
      <c r="R103" s="1478"/>
      <c r="S103" s="1478"/>
      <c r="T103" s="1478"/>
      <c r="U103" s="1478"/>
      <c r="V103" s="1478"/>
      <c r="W103" s="1478"/>
      <c r="X103" s="1480"/>
      <c r="Y103" s="1481"/>
      <c r="Z103" s="1483"/>
    </row>
    <row r="104" spans="1:41" s="556" customFormat="1" ht="13.5" customHeight="1" x14ac:dyDescent="0.2">
      <c r="A104" s="1292">
        <v>99</v>
      </c>
      <c r="B104" s="832" t="s">
        <v>1082</v>
      </c>
      <c r="C104" s="1478">
        <v>72</v>
      </c>
      <c r="D104" s="1478">
        <v>248</v>
      </c>
      <c r="E104" s="1478">
        <v>277</v>
      </c>
      <c r="F104" s="1478">
        <v>424</v>
      </c>
      <c r="G104" s="1478">
        <v>1042</v>
      </c>
      <c r="H104" s="1478">
        <v>201</v>
      </c>
      <c r="I104" s="1478">
        <v>1751</v>
      </c>
      <c r="J104" s="1478">
        <v>281</v>
      </c>
      <c r="K104" s="1478">
        <v>231</v>
      </c>
      <c r="L104" s="1478">
        <v>404</v>
      </c>
      <c r="M104" s="1478">
        <v>300</v>
      </c>
      <c r="N104" s="1478">
        <v>127</v>
      </c>
      <c r="O104" s="1478">
        <v>156</v>
      </c>
      <c r="P104" s="1478">
        <v>525</v>
      </c>
      <c r="Q104" s="1478">
        <v>421</v>
      </c>
      <c r="R104" s="1478">
        <v>417</v>
      </c>
      <c r="S104" s="1478">
        <v>303</v>
      </c>
      <c r="T104" s="1478">
        <v>118</v>
      </c>
      <c r="U104" s="1478">
        <v>120</v>
      </c>
      <c r="V104" s="1478">
        <v>777</v>
      </c>
      <c r="W104" s="1478">
        <v>72</v>
      </c>
      <c r="X104" s="1480">
        <v>71</v>
      </c>
      <c r="Y104" s="1481">
        <v>7392</v>
      </c>
      <c r="Z104" s="1483">
        <v>52339</v>
      </c>
    </row>
    <row r="105" spans="1:41" s="556" customFormat="1" ht="13.5" customHeight="1" x14ac:dyDescent="0.2">
      <c r="A105" s="1292">
        <v>100</v>
      </c>
      <c r="B105" s="832" t="s">
        <v>1083</v>
      </c>
      <c r="C105" s="1478">
        <v>29</v>
      </c>
      <c r="D105" s="1478">
        <v>133</v>
      </c>
      <c r="E105" s="1478">
        <v>112</v>
      </c>
      <c r="F105" s="1478">
        <v>174</v>
      </c>
      <c r="G105" s="1478">
        <v>447</v>
      </c>
      <c r="H105" s="1478">
        <v>106</v>
      </c>
      <c r="I105" s="1478">
        <v>747</v>
      </c>
      <c r="J105" s="1478">
        <v>114</v>
      </c>
      <c r="K105" s="1478">
        <v>71</v>
      </c>
      <c r="L105" s="1478">
        <v>134</v>
      </c>
      <c r="M105" s="1478">
        <v>163</v>
      </c>
      <c r="N105" s="1478">
        <v>67</v>
      </c>
      <c r="O105" s="1478">
        <v>64</v>
      </c>
      <c r="P105" s="1478">
        <v>194</v>
      </c>
      <c r="Q105" s="1478">
        <v>178</v>
      </c>
      <c r="R105" s="1478">
        <v>198</v>
      </c>
      <c r="S105" s="1478">
        <v>136</v>
      </c>
      <c r="T105" s="1478">
        <v>40</v>
      </c>
      <c r="U105" s="1478">
        <v>52</v>
      </c>
      <c r="V105" s="1478">
        <v>357</v>
      </c>
      <c r="W105" s="1478">
        <v>30</v>
      </c>
      <c r="X105" s="1480">
        <v>22</v>
      </c>
      <c r="Y105" s="1481">
        <v>3198</v>
      </c>
      <c r="Z105" s="1483">
        <v>22462</v>
      </c>
    </row>
    <row r="106" spans="1:41" ht="13.5" customHeight="1" x14ac:dyDescent="0.2">
      <c r="A106" s="941" t="s">
        <v>557</v>
      </c>
      <c r="B106" s="1383" t="s">
        <v>1084</v>
      </c>
      <c r="C106" s="617">
        <f>IF(SUM(C40:C43)&gt;0,SUM(C40:C43),NA())</f>
        <v>1061</v>
      </c>
      <c r="D106" s="617">
        <f t="shared" ref="D106:Z106" si="7">IF(SUM(D40:D43)&gt;0,SUM(D40:D43),NA())</f>
        <v>1400</v>
      </c>
      <c r="E106" s="617">
        <v>720</v>
      </c>
      <c r="F106" s="617">
        <f t="shared" si="7"/>
        <v>1339</v>
      </c>
      <c r="G106" s="617">
        <f t="shared" si="7"/>
        <v>14942</v>
      </c>
      <c r="H106" s="617">
        <f t="shared" si="7"/>
        <v>2067</v>
      </c>
      <c r="I106" s="617">
        <f t="shared" si="7"/>
        <v>14994</v>
      </c>
      <c r="J106" s="617">
        <f t="shared" si="7"/>
        <v>2596</v>
      </c>
      <c r="K106" s="617">
        <f t="shared" si="7"/>
        <v>1947</v>
      </c>
      <c r="L106" s="617">
        <f t="shared" si="7"/>
        <v>3471</v>
      </c>
      <c r="M106" s="617">
        <f t="shared" si="7"/>
        <v>1854</v>
      </c>
      <c r="N106" s="617">
        <f t="shared" si="7"/>
        <v>1810</v>
      </c>
      <c r="O106" s="617">
        <f t="shared" si="7"/>
        <v>2403</v>
      </c>
      <c r="P106" s="617">
        <f t="shared" si="7"/>
        <v>3006</v>
      </c>
      <c r="Q106" s="617">
        <f t="shared" si="7"/>
        <v>2575</v>
      </c>
      <c r="R106" s="617">
        <f t="shared" si="7"/>
        <v>7933</v>
      </c>
      <c r="S106" s="617">
        <f t="shared" si="7"/>
        <v>1905</v>
      </c>
      <c r="T106" s="617">
        <f t="shared" si="7"/>
        <v>1404</v>
      </c>
      <c r="U106" s="617">
        <f t="shared" si="7"/>
        <v>1234</v>
      </c>
      <c r="V106" s="617">
        <f t="shared" si="7"/>
        <v>7203</v>
      </c>
      <c r="W106" s="617">
        <f t="shared" si="7"/>
        <v>749</v>
      </c>
      <c r="X106" s="617">
        <f t="shared" si="7"/>
        <v>1074</v>
      </c>
      <c r="Y106" s="617">
        <f t="shared" si="7"/>
        <v>75540</v>
      </c>
      <c r="Z106" s="617">
        <f t="shared" si="7"/>
        <v>476950</v>
      </c>
    </row>
    <row r="107" spans="1:41" ht="13.5" customHeight="1" x14ac:dyDescent="0.2">
      <c r="A107" s="941" t="s">
        <v>557</v>
      </c>
      <c r="B107" s="1383" t="s">
        <v>1085</v>
      </c>
      <c r="C107" s="617">
        <f>SUM(C40:C44)</f>
        <v>1099</v>
      </c>
      <c r="D107" s="617">
        <f t="shared" ref="D107:Z107" si="8">SUM(D40:D44)</f>
        <v>2868</v>
      </c>
      <c r="E107" s="617">
        <v>1328</v>
      </c>
      <c r="F107" s="617">
        <f t="shared" si="8"/>
        <v>2485</v>
      </c>
      <c r="G107" s="617">
        <f t="shared" si="8"/>
        <v>16931</v>
      </c>
      <c r="H107" s="617">
        <f t="shared" si="8"/>
        <v>2395</v>
      </c>
      <c r="I107" s="617">
        <f t="shared" si="8"/>
        <v>16440</v>
      </c>
      <c r="J107" s="617">
        <f t="shared" si="8"/>
        <v>3114</v>
      </c>
      <c r="K107" s="617">
        <f t="shared" si="8"/>
        <v>2087</v>
      </c>
      <c r="L107" s="617">
        <f t="shared" si="8"/>
        <v>5516</v>
      </c>
      <c r="M107" s="617">
        <f t="shared" si="8"/>
        <v>1863</v>
      </c>
      <c r="N107" s="617">
        <f t="shared" si="8"/>
        <v>2171</v>
      </c>
      <c r="O107" s="617">
        <f t="shared" si="8"/>
        <v>2588</v>
      </c>
      <c r="P107" s="617">
        <f t="shared" si="8"/>
        <v>4413</v>
      </c>
      <c r="Q107" s="617">
        <f t="shared" si="8"/>
        <v>3035</v>
      </c>
      <c r="R107" s="617">
        <f t="shared" si="8"/>
        <v>12174</v>
      </c>
      <c r="S107" s="617">
        <f t="shared" si="8"/>
        <v>3139</v>
      </c>
      <c r="T107" s="617">
        <f t="shared" si="8"/>
        <v>1558</v>
      </c>
      <c r="U107" s="617">
        <f t="shared" si="8"/>
        <v>1434</v>
      </c>
      <c r="V107" s="617">
        <f t="shared" si="8"/>
        <v>7465</v>
      </c>
      <c r="W107" s="617">
        <f t="shared" si="8"/>
        <v>924</v>
      </c>
      <c r="X107" s="617">
        <f t="shared" si="8"/>
        <v>1128</v>
      </c>
      <c r="Y107" s="617">
        <f t="shared" si="8"/>
        <v>91330</v>
      </c>
      <c r="Z107" s="617">
        <f t="shared" si="8"/>
        <v>571640</v>
      </c>
    </row>
    <row r="109" spans="1:41" ht="13.5" customHeight="1" x14ac:dyDescent="0.2">
      <c r="B109" s="557" t="s">
        <v>1293</v>
      </c>
      <c r="C109" s="558" t="s">
        <v>1281</v>
      </c>
      <c r="D109" s="558">
        <v>494</v>
      </c>
      <c r="E109" s="558">
        <v>634</v>
      </c>
      <c r="F109" s="558">
        <v>442</v>
      </c>
      <c r="G109" s="558">
        <v>461</v>
      </c>
      <c r="H109" s="558" t="s">
        <v>1281</v>
      </c>
      <c r="I109" s="558">
        <v>411</v>
      </c>
      <c r="J109" s="558">
        <v>397</v>
      </c>
      <c r="K109" s="558">
        <v>460</v>
      </c>
      <c r="L109" s="558">
        <v>375</v>
      </c>
      <c r="M109" s="558">
        <v>345</v>
      </c>
      <c r="N109" s="558">
        <v>490</v>
      </c>
      <c r="O109" s="558">
        <v>362</v>
      </c>
      <c r="P109" s="558">
        <v>334</v>
      </c>
      <c r="Q109" s="558">
        <v>492</v>
      </c>
      <c r="R109" s="558">
        <v>439</v>
      </c>
      <c r="S109" s="558" t="s">
        <v>1281</v>
      </c>
      <c r="T109" s="558">
        <v>350</v>
      </c>
      <c r="U109" s="558" t="s">
        <v>1281</v>
      </c>
      <c r="V109" s="558">
        <v>407</v>
      </c>
      <c r="W109" s="558" t="s">
        <v>1281</v>
      </c>
      <c r="X109" s="558" t="s">
        <v>1281</v>
      </c>
      <c r="Y109" s="830">
        <f>Y83/Y82</f>
        <v>421.87121212121212</v>
      </c>
      <c r="Z109" s="470">
        <v>435</v>
      </c>
    </row>
  </sheetData>
  <conditionalFormatting sqref="C1:X1">
    <cfRule type="expression" dxfId="1135" priority="8">
      <formula>SUM(C$2:C$98)=0</formula>
    </cfRule>
    <cfRule type="containsErrors" dxfId="1134" priority="9">
      <formula>ISERROR(C1)</formula>
    </cfRule>
  </conditionalFormatting>
  <conditionalFormatting sqref="Q43:Q44">
    <cfRule type="containsErrors" dxfId="1133" priority="1">
      <formula>ISERROR(Q43)</formula>
    </cfRule>
  </conditionalFormatting>
  <pageMargins left="0.70866141732283472" right="0.70866141732283472" top="0.35433070866141736" bottom="0.35433070866141736" header="0.31496062992125984" footer="0.31496062992125984"/>
  <pageSetup scale="49" orientation="portrait" r:id="rId1"/>
  <extLst>
    <ext xmlns:x14="http://schemas.microsoft.com/office/spreadsheetml/2009/9/main" uri="{78C0D931-6437-407d-A8EE-F0AAD7539E65}">
      <x14:conditionalFormattings>
        <x14:conditionalFormatting xmlns:xm="http://schemas.microsoft.com/office/excel/2006/main">
          <x14:cfRule type="expression" priority="7" id="{98FA8376-F690-468B-922C-710FA8F4382E}">
            <xm:f>C$1=Sheet1!$AR$3</xm:f>
            <x14:dxf>
              <fill>
                <patternFill>
                  <bgColor rgb="FF66FF99"/>
                </patternFill>
              </fill>
            </x14:dxf>
          </x14:cfRule>
          <xm:sqref>C1:X1</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rgb="FFFFC000"/>
  </sheetPr>
  <dimension ref="A1:AX149"/>
  <sheetViews>
    <sheetView showRowColHeaders="0" workbookViewId="0"/>
  </sheetViews>
  <sheetFormatPr defaultColWidth="9.140625" defaultRowHeight="11.25" x14ac:dyDescent="0.2"/>
  <cols>
    <col min="1" max="1" width="2.140625" style="75" customWidth="1"/>
    <col min="2" max="2" width="11" style="1251" customWidth="1"/>
    <col min="3" max="3" width="52.85546875" style="75" customWidth="1"/>
    <col min="4" max="4" width="69.7109375" style="75" customWidth="1"/>
    <col min="5" max="5" width="2.140625" style="75" customWidth="1"/>
    <col min="6" max="6" width="6.42578125" style="75" customWidth="1"/>
    <col min="7" max="16384" width="9.140625" style="75"/>
  </cols>
  <sheetData>
    <row r="1" spans="1:6" s="74" customFormat="1" ht="18.75" customHeight="1" x14ac:dyDescent="0.2">
      <c r="A1" s="112"/>
      <c r="B1" s="1244"/>
      <c r="C1" s="218"/>
      <c r="D1" s="218"/>
      <c r="E1" s="220"/>
      <c r="F1" s="275"/>
    </row>
    <row r="2" spans="1:6" s="74" customFormat="1" ht="18.75" customHeight="1" x14ac:dyDescent="0.2">
      <c r="A2" s="118"/>
      <c r="B2" s="270" t="s">
        <v>800</v>
      </c>
      <c r="C2" s="58"/>
      <c r="D2" s="58"/>
      <c r="E2" s="244"/>
      <c r="F2" s="161"/>
    </row>
    <row r="3" spans="1:6" s="74" customFormat="1" ht="18.75" customHeight="1" x14ac:dyDescent="0.2">
      <c r="A3" s="266"/>
      <c r="B3" s="1245"/>
      <c r="C3" s="271"/>
      <c r="D3" s="287"/>
      <c r="E3" s="274"/>
      <c r="F3" s="161"/>
    </row>
    <row r="4" spans="1:6" ht="11.45" customHeight="1" x14ac:dyDescent="0.2">
      <c r="A4" s="237"/>
      <c r="B4" s="1246"/>
      <c r="C4" s="238"/>
      <c r="D4" s="238"/>
      <c r="E4" s="256"/>
      <c r="F4" s="236"/>
    </row>
    <row r="5" spans="1:6" s="86" customFormat="1" ht="13.5" customHeight="1" x14ac:dyDescent="0.2">
      <c r="A5" s="283"/>
      <c r="B5" s="1262"/>
      <c r="C5" s="1262" t="s">
        <v>801</v>
      </c>
      <c r="D5" s="1263" t="s">
        <v>804</v>
      </c>
      <c r="E5" s="259"/>
      <c r="F5" s="253"/>
    </row>
    <row r="6" spans="1:6" ht="22.5" hidden="1" x14ac:dyDescent="0.2">
      <c r="A6" s="280"/>
      <c r="B6" s="1117" t="s">
        <v>658</v>
      </c>
      <c r="C6" s="1252" t="s">
        <v>807</v>
      </c>
      <c r="D6" s="1253" t="s">
        <v>808</v>
      </c>
      <c r="E6" s="258"/>
      <c r="F6" s="252"/>
    </row>
    <row r="7" spans="1:6" ht="12.75" hidden="1" customHeight="1" x14ac:dyDescent="0.2">
      <c r="A7" s="280"/>
      <c r="B7" s="1682" t="s">
        <v>890</v>
      </c>
      <c r="C7" s="1254" t="s">
        <v>805</v>
      </c>
      <c r="D7" s="1686" t="s">
        <v>809</v>
      </c>
      <c r="E7" s="258"/>
      <c r="F7" s="252"/>
    </row>
    <row r="8" spans="1:6" ht="12" hidden="1" customHeight="1" x14ac:dyDescent="0.2">
      <c r="A8" s="280"/>
      <c r="B8" s="1684"/>
      <c r="C8" s="1254" t="s">
        <v>214</v>
      </c>
      <c r="D8" s="1687"/>
      <c r="E8" s="258"/>
      <c r="F8" s="252"/>
    </row>
    <row r="9" spans="1:6" ht="12.75" hidden="1" customHeight="1" x14ac:dyDescent="0.2">
      <c r="A9" s="280"/>
      <c r="B9" s="1684"/>
      <c r="C9" s="1254" t="s">
        <v>806</v>
      </c>
      <c r="D9" s="1688"/>
      <c r="E9" s="258"/>
      <c r="F9" s="252"/>
    </row>
    <row r="10" spans="1:6" ht="22.5" hidden="1" customHeight="1" x14ac:dyDescent="0.2">
      <c r="A10" s="280"/>
      <c r="B10" s="1684"/>
      <c r="C10" s="1254" t="s">
        <v>215</v>
      </c>
      <c r="D10" s="1252" t="s">
        <v>811</v>
      </c>
      <c r="E10" s="258"/>
      <c r="F10" s="252"/>
    </row>
    <row r="11" spans="1:6" ht="22.5" hidden="1" x14ac:dyDescent="0.2">
      <c r="A11" s="280"/>
      <c r="B11" s="1684"/>
      <c r="C11" s="1254" t="s">
        <v>810</v>
      </c>
      <c r="D11" s="1253" t="s">
        <v>809</v>
      </c>
      <c r="E11" s="258"/>
      <c r="F11" s="252"/>
    </row>
    <row r="12" spans="1:6" ht="12.75" hidden="1" customHeight="1" x14ac:dyDescent="0.2">
      <c r="A12" s="280"/>
      <c r="B12" s="1684"/>
      <c r="C12" s="1254" t="s">
        <v>812</v>
      </c>
      <c r="D12" s="1252" t="s">
        <v>813</v>
      </c>
      <c r="E12" s="258"/>
      <c r="F12" s="252"/>
    </row>
    <row r="13" spans="1:6" ht="12" hidden="1" customHeight="1" x14ac:dyDescent="0.2">
      <c r="A13" s="280"/>
      <c r="B13" s="1684"/>
      <c r="C13" s="1254" t="s">
        <v>814</v>
      </c>
      <c r="D13" s="1252" t="s">
        <v>816</v>
      </c>
      <c r="E13" s="258"/>
      <c r="F13" s="252"/>
    </row>
    <row r="14" spans="1:6" ht="12.75" hidden="1" customHeight="1" x14ac:dyDescent="0.2">
      <c r="A14" s="280"/>
      <c r="B14" s="1683"/>
      <c r="C14" s="1254" t="s">
        <v>815</v>
      </c>
      <c r="D14" s="1252" t="s">
        <v>898</v>
      </c>
      <c r="E14" s="258"/>
      <c r="F14" s="252"/>
    </row>
    <row r="15" spans="1:6" ht="12" customHeight="1" x14ac:dyDescent="0.2">
      <c r="A15" s="280"/>
      <c r="B15" s="1682" t="s">
        <v>80</v>
      </c>
      <c r="C15" s="1254" t="s">
        <v>817</v>
      </c>
      <c r="D15" s="1252" t="s">
        <v>818</v>
      </c>
      <c r="E15" s="258"/>
      <c r="F15" s="252"/>
    </row>
    <row r="16" spans="1:6" ht="22.5" x14ac:dyDescent="0.2">
      <c r="A16" s="280"/>
      <c r="B16" s="1684"/>
      <c r="C16" s="1254" t="s">
        <v>819</v>
      </c>
      <c r="D16" s="1252" t="s">
        <v>820</v>
      </c>
      <c r="E16" s="258"/>
      <c r="F16" s="252"/>
    </row>
    <row r="17" spans="1:6" ht="22.5" x14ac:dyDescent="0.2">
      <c r="A17" s="280"/>
      <c r="B17" s="1684"/>
      <c r="C17" s="1254" t="s">
        <v>1299</v>
      </c>
      <c r="D17" s="1252" t="s">
        <v>897</v>
      </c>
      <c r="E17" s="258"/>
      <c r="F17" s="252"/>
    </row>
    <row r="18" spans="1:6" ht="22.5" x14ac:dyDescent="0.2">
      <c r="A18" s="280"/>
      <c r="B18" s="1684"/>
      <c r="C18" s="1254" t="s">
        <v>821</v>
      </c>
      <c r="D18" s="1252" t="s">
        <v>822</v>
      </c>
      <c r="E18" s="258"/>
      <c r="F18" s="252"/>
    </row>
    <row r="19" spans="1:6" ht="22.5" x14ac:dyDescent="0.2">
      <c r="A19" s="280"/>
      <c r="B19" s="1683"/>
      <c r="C19" s="1254" t="s">
        <v>24</v>
      </c>
      <c r="D19" s="1252" t="s">
        <v>823</v>
      </c>
      <c r="E19" s="258"/>
      <c r="F19" s="252"/>
    </row>
    <row r="20" spans="1:6" x14ac:dyDescent="0.2">
      <c r="A20" s="280"/>
      <c r="B20" s="1682" t="s">
        <v>891</v>
      </c>
      <c r="C20" s="1254" t="s">
        <v>22</v>
      </c>
      <c r="D20" s="1252" t="s">
        <v>824</v>
      </c>
      <c r="E20" s="258"/>
      <c r="F20" s="252"/>
    </row>
    <row r="21" spans="1:6" ht="33" customHeight="1" x14ac:dyDescent="0.2">
      <c r="A21" s="280"/>
      <c r="B21" s="1684"/>
      <c r="C21" s="1254" t="s">
        <v>825</v>
      </c>
      <c r="D21" s="1252" t="s">
        <v>826</v>
      </c>
      <c r="E21" s="258"/>
      <c r="F21" s="252"/>
    </row>
    <row r="22" spans="1:6" ht="12.75" customHeight="1" x14ac:dyDescent="0.2">
      <c r="A22" s="280"/>
      <c r="B22" s="1684"/>
      <c r="C22" s="1254" t="s">
        <v>827</v>
      </c>
      <c r="D22" s="1252" t="s">
        <v>829</v>
      </c>
      <c r="E22" s="258"/>
      <c r="F22" s="252"/>
    </row>
    <row r="23" spans="1:6" ht="12.75" customHeight="1" x14ac:dyDescent="0.2">
      <c r="A23" s="280"/>
      <c r="B23" s="1684"/>
      <c r="C23" s="1254" t="s">
        <v>830</v>
      </c>
      <c r="D23" s="1252" t="s">
        <v>828</v>
      </c>
      <c r="E23" s="258"/>
      <c r="F23" s="252"/>
    </row>
    <row r="24" spans="1:6" ht="12.75" customHeight="1" x14ac:dyDescent="0.2">
      <c r="A24" s="280"/>
      <c r="B24" s="1683"/>
      <c r="C24" s="1254" t="s">
        <v>25</v>
      </c>
      <c r="D24" s="1252" t="s">
        <v>832</v>
      </c>
      <c r="E24" s="258"/>
      <c r="F24" s="252"/>
    </row>
    <row r="25" spans="1:6" ht="12.75" customHeight="1" x14ac:dyDescent="0.2">
      <c r="A25" s="280"/>
      <c r="B25" s="1681" t="s">
        <v>892</v>
      </c>
      <c r="C25" s="1560" t="s">
        <v>18</v>
      </c>
      <c r="D25" s="1252" t="s">
        <v>831</v>
      </c>
      <c r="E25" s="258"/>
      <c r="F25" s="252"/>
    </row>
    <row r="26" spans="1:6" ht="12.75" customHeight="1" x14ac:dyDescent="0.2">
      <c r="A26" s="280"/>
      <c r="B26" s="1681"/>
      <c r="C26" s="1560" t="s">
        <v>833</v>
      </c>
      <c r="D26" s="1252" t="s">
        <v>835</v>
      </c>
      <c r="E26" s="258"/>
      <c r="F26" s="252"/>
    </row>
    <row r="27" spans="1:6" ht="22.5" x14ac:dyDescent="0.2">
      <c r="A27" s="280"/>
      <c r="B27" s="1681"/>
      <c r="C27" s="1560" t="s">
        <v>834</v>
      </c>
      <c r="D27" s="1252" t="s">
        <v>836</v>
      </c>
      <c r="E27" s="258"/>
      <c r="F27" s="252"/>
    </row>
    <row r="28" spans="1:6" ht="12.75" customHeight="1" x14ac:dyDescent="0.2">
      <c r="A28" s="280"/>
      <c r="B28" s="1681"/>
      <c r="C28" s="1560" t="s">
        <v>839</v>
      </c>
      <c r="D28" s="1252" t="s">
        <v>837</v>
      </c>
      <c r="E28" s="258"/>
      <c r="F28" s="252"/>
    </row>
    <row r="29" spans="1:6" ht="33" hidden="1" customHeight="1" x14ac:dyDescent="0.2">
      <c r="A29" s="280"/>
      <c r="B29" s="1681"/>
      <c r="C29" s="1560" t="s">
        <v>841</v>
      </c>
      <c r="D29" s="1252" t="s">
        <v>842</v>
      </c>
      <c r="E29" s="258"/>
      <c r="F29" s="252"/>
    </row>
    <row r="30" spans="1:6" ht="30" hidden="1" customHeight="1" x14ac:dyDescent="0.2">
      <c r="A30" s="1258"/>
      <c r="B30" s="1681"/>
      <c r="C30" s="1260"/>
      <c r="D30" s="1260"/>
      <c r="E30" s="1261"/>
      <c r="F30" s="252"/>
    </row>
    <row r="31" spans="1:6" ht="11.25" hidden="1" customHeight="1" x14ac:dyDescent="0.2">
      <c r="A31" s="280"/>
      <c r="B31" s="1681"/>
      <c r="C31" s="1256"/>
      <c r="D31" s="1256"/>
      <c r="E31" s="258"/>
      <c r="F31" s="252"/>
    </row>
    <row r="32" spans="1:6" s="86" customFormat="1" ht="13.5" hidden="1" customHeight="1" x14ac:dyDescent="0.2">
      <c r="A32" s="283"/>
      <c r="B32" s="1681"/>
      <c r="C32" s="1561" t="s">
        <v>801</v>
      </c>
      <c r="D32" s="1263" t="s">
        <v>804</v>
      </c>
      <c r="E32" s="259"/>
      <c r="F32" s="253"/>
    </row>
    <row r="33" spans="1:6" ht="22.5" customHeight="1" x14ac:dyDescent="0.2">
      <c r="A33" s="280"/>
      <c r="B33" s="1681"/>
      <c r="C33" s="1560" t="s">
        <v>843</v>
      </c>
      <c r="D33" s="1252" t="s">
        <v>871</v>
      </c>
      <c r="E33" s="258"/>
      <c r="F33" s="252"/>
    </row>
    <row r="34" spans="1:6" ht="22.5" customHeight="1" x14ac:dyDescent="0.2">
      <c r="A34" s="280"/>
      <c r="B34" s="1681"/>
      <c r="C34" s="1560" t="s">
        <v>844</v>
      </c>
      <c r="D34" s="1252" t="s">
        <v>838</v>
      </c>
      <c r="E34" s="258"/>
      <c r="F34" s="252"/>
    </row>
    <row r="35" spans="1:6" ht="33.75" x14ac:dyDescent="0.2">
      <c r="A35" s="280"/>
      <c r="B35" s="1681"/>
      <c r="C35" s="1560" t="s">
        <v>840</v>
      </c>
      <c r="D35" s="1252" t="s">
        <v>845</v>
      </c>
      <c r="E35" s="258"/>
      <c r="F35" s="252"/>
    </row>
    <row r="36" spans="1:6" ht="33.75" x14ac:dyDescent="0.2">
      <c r="A36" s="280"/>
      <c r="B36" s="1681"/>
      <c r="C36" s="1560" t="s">
        <v>847</v>
      </c>
      <c r="D36" s="1252" t="s">
        <v>846</v>
      </c>
      <c r="E36" s="258"/>
      <c r="F36" s="252"/>
    </row>
    <row r="37" spans="1:6" ht="23.25" customHeight="1" x14ac:dyDescent="0.2">
      <c r="A37" s="280"/>
      <c r="B37" s="1682" t="s">
        <v>892</v>
      </c>
      <c r="C37" s="1254" t="s">
        <v>850</v>
      </c>
      <c r="D37" s="1252" t="s">
        <v>848</v>
      </c>
      <c r="E37" s="258"/>
      <c r="F37" s="252"/>
    </row>
    <row r="38" spans="1:6" ht="22.5" x14ac:dyDescent="0.2">
      <c r="A38" s="280"/>
      <c r="B38" s="1683"/>
      <c r="C38" s="1254" t="s">
        <v>849</v>
      </c>
      <c r="D38" s="1252" t="s">
        <v>1300</v>
      </c>
      <c r="E38" s="258"/>
      <c r="F38" s="252"/>
    </row>
    <row r="39" spans="1:6" ht="46.5" customHeight="1" x14ac:dyDescent="0.2">
      <c r="A39" s="1258"/>
      <c r="B39" s="1259"/>
      <c r="C39" s="1260"/>
      <c r="D39" s="1260"/>
      <c r="E39" s="1261"/>
      <c r="F39" s="252"/>
    </row>
    <row r="40" spans="1:6" ht="11.25" customHeight="1" x14ac:dyDescent="0.2">
      <c r="A40" s="280"/>
      <c r="B40" s="1257"/>
      <c r="C40" s="1256"/>
      <c r="D40" s="1256"/>
      <c r="E40" s="258"/>
      <c r="F40" s="252"/>
    </row>
    <row r="41" spans="1:6" s="86" customFormat="1" ht="13.5" customHeight="1" x14ac:dyDescent="0.2">
      <c r="A41" s="283"/>
      <c r="B41" s="1262"/>
      <c r="C41" s="1262" t="s">
        <v>801</v>
      </c>
      <c r="D41" s="1263" t="s">
        <v>804</v>
      </c>
      <c r="E41" s="259"/>
      <c r="F41" s="253"/>
    </row>
    <row r="42" spans="1:6" ht="12" customHeight="1" x14ac:dyDescent="0.2">
      <c r="A42" s="280"/>
      <c r="B42" s="1681" t="s">
        <v>21</v>
      </c>
      <c r="C42" s="1254" t="s">
        <v>851</v>
      </c>
      <c r="D42" s="1253" t="s">
        <v>853</v>
      </c>
      <c r="E42" s="258"/>
      <c r="F42" s="252"/>
    </row>
    <row r="43" spans="1:6" ht="12" customHeight="1" x14ac:dyDescent="0.2">
      <c r="A43" s="280"/>
      <c r="B43" s="1681"/>
      <c r="C43" s="1254" t="s">
        <v>852</v>
      </c>
      <c r="D43" s="1253" t="s">
        <v>853</v>
      </c>
      <c r="E43" s="258"/>
      <c r="F43" s="252"/>
    </row>
    <row r="44" spans="1:6" ht="23.25" customHeight="1" x14ac:dyDescent="0.2">
      <c r="A44" s="280"/>
      <c r="B44" s="1681"/>
      <c r="C44" s="1254" t="s">
        <v>21</v>
      </c>
      <c r="D44" s="1252" t="s">
        <v>870</v>
      </c>
      <c r="E44" s="258"/>
      <c r="F44" s="252"/>
    </row>
    <row r="45" spans="1:6" ht="22.5" customHeight="1" x14ac:dyDescent="0.2">
      <c r="A45" s="280"/>
      <c r="B45" s="1681"/>
      <c r="C45" s="1254" t="s">
        <v>854</v>
      </c>
      <c r="D45" s="1252" t="s">
        <v>857</v>
      </c>
      <c r="E45" s="258"/>
      <c r="F45" s="252"/>
    </row>
    <row r="46" spans="1:6" ht="56.25" customHeight="1" x14ac:dyDescent="0.2">
      <c r="A46" s="280"/>
      <c r="B46" s="1681"/>
      <c r="C46" s="1254" t="s">
        <v>855</v>
      </c>
      <c r="D46" s="1252" t="s">
        <v>858</v>
      </c>
      <c r="E46" s="258"/>
      <c r="F46" s="252"/>
    </row>
    <row r="47" spans="1:6" ht="23.25" customHeight="1" x14ac:dyDescent="0.2">
      <c r="A47" s="280"/>
      <c r="B47" s="1681"/>
      <c r="C47" s="1254" t="s">
        <v>856</v>
      </c>
      <c r="D47" s="1252" t="s">
        <v>859</v>
      </c>
      <c r="E47" s="258"/>
      <c r="F47" s="252"/>
    </row>
    <row r="48" spans="1:6" ht="23.25" customHeight="1" x14ac:dyDescent="0.2">
      <c r="A48" s="280"/>
      <c r="B48" s="1681"/>
      <c r="C48" s="1254" t="s">
        <v>860</v>
      </c>
      <c r="D48" s="1252" t="s">
        <v>861</v>
      </c>
      <c r="E48" s="258"/>
      <c r="F48" s="252"/>
    </row>
    <row r="49" spans="1:6" ht="23.25" customHeight="1" x14ac:dyDescent="0.2">
      <c r="A49" s="280"/>
      <c r="B49" s="1681"/>
      <c r="C49" s="1254" t="s">
        <v>862</v>
      </c>
      <c r="D49" s="1252" t="s">
        <v>863</v>
      </c>
      <c r="E49" s="258"/>
      <c r="F49" s="252"/>
    </row>
    <row r="50" spans="1:6" ht="23.25" customHeight="1" x14ac:dyDescent="0.2">
      <c r="A50" s="280"/>
      <c r="B50" s="1681"/>
      <c r="C50" s="1254" t="s">
        <v>864</v>
      </c>
      <c r="D50" s="1252" t="s">
        <v>869</v>
      </c>
      <c r="E50" s="258"/>
      <c r="F50" s="252"/>
    </row>
    <row r="51" spans="1:6" ht="21.75" customHeight="1" x14ac:dyDescent="0.2">
      <c r="A51" s="280"/>
      <c r="B51" s="1681"/>
      <c r="C51" s="1254" t="s">
        <v>865</v>
      </c>
      <c r="D51" s="1252"/>
      <c r="E51" s="258"/>
      <c r="F51" s="252"/>
    </row>
    <row r="52" spans="1:6" ht="22.5" customHeight="1" x14ac:dyDescent="0.2">
      <c r="A52" s="280"/>
      <c r="B52" s="1681"/>
      <c r="C52" s="1254" t="s">
        <v>731</v>
      </c>
      <c r="D52" s="1252" t="s">
        <v>868</v>
      </c>
      <c r="E52" s="258"/>
      <c r="F52" s="252"/>
    </row>
    <row r="53" spans="1:6" ht="22.5" customHeight="1" x14ac:dyDescent="0.2">
      <c r="A53" s="280"/>
      <c r="B53" s="1681"/>
      <c r="C53" s="1254" t="s">
        <v>1301</v>
      </c>
      <c r="D53" s="1252" t="s">
        <v>1303</v>
      </c>
      <c r="E53" s="258"/>
      <c r="F53" s="252"/>
    </row>
    <row r="54" spans="1:6" ht="22.5" customHeight="1" x14ac:dyDescent="0.2">
      <c r="A54" s="280"/>
      <c r="B54" s="1681"/>
      <c r="C54" s="1254" t="s">
        <v>1302</v>
      </c>
      <c r="D54" s="1252" t="s">
        <v>1304</v>
      </c>
      <c r="E54" s="258"/>
      <c r="F54" s="252"/>
    </row>
    <row r="55" spans="1:6" ht="22.5" customHeight="1" x14ac:dyDescent="0.2">
      <c r="A55" s="280"/>
      <c r="B55" s="1682" t="s">
        <v>666</v>
      </c>
      <c r="C55" s="1254" t="s">
        <v>866</v>
      </c>
      <c r="D55" s="1252" t="s">
        <v>867</v>
      </c>
      <c r="E55" s="258"/>
      <c r="F55" s="252"/>
    </row>
    <row r="56" spans="1:6" ht="13.5" customHeight="1" x14ac:dyDescent="0.2">
      <c r="A56" s="280"/>
      <c r="B56" s="1684"/>
      <c r="C56" s="1254" t="s">
        <v>872</v>
      </c>
      <c r="D56" s="1252" t="s">
        <v>873</v>
      </c>
      <c r="E56" s="258"/>
      <c r="F56" s="252"/>
    </row>
    <row r="57" spans="1:6" ht="13.5" customHeight="1" x14ac:dyDescent="0.2">
      <c r="A57" s="280"/>
      <c r="B57" s="1683"/>
      <c r="C57" s="1254" t="s">
        <v>874</v>
      </c>
      <c r="D57" s="1252" t="s">
        <v>875</v>
      </c>
      <c r="E57" s="258"/>
      <c r="F57" s="252"/>
    </row>
    <row r="58" spans="1:6" ht="22.5" x14ac:dyDescent="0.2">
      <c r="A58" s="280"/>
      <c r="B58" s="1682" t="s">
        <v>666</v>
      </c>
      <c r="C58" s="1254" t="s">
        <v>876</v>
      </c>
      <c r="D58" s="1252" t="s">
        <v>877</v>
      </c>
      <c r="E58" s="258"/>
      <c r="F58" s="252"/>
    </row>
    <row r="59" spans="1:6" ht="23.25" customHeight="1" x14ac:dyDescent="0.2">
      <c r="A59" s="280"/>
      <c r="B59" s="1683"/>
      <c r="C59" s="1254" t="s">
        <v>802</v>
      </c>
      <c r="D59" s="1252" t="s">
        <v>878</v>
      </c>
      <c r="E59" s="258"/>
      <c r="F59" s="252"/>
    </row>
    <row r="60" spans="1:6" ht="46.5" customHeight="1" x14ac:dyDescent="0.2">
      <c r="A60" s="1258"/>
      <c r="B60" s="1264"/>
      <c r="C60" s="1265"/>
      <c r="D60" s="1265"/>
      <c r="E60" s="1261"/>
      <c r="F60" s="252"/>
    </row>
    <row r="61" spans="1:6" ht="11.1" customHeight="1" x14ac:dyDescent="0.2">
      <c r="A61" s="280"/>
      <c r="B61" s="1257"/>
      <c r="C61" s="1256"/>
      <c r="D61" s="1256"/>
      <c r="E61" s="258"/>
      <c r="F61" s="252"/>
    </row>
    <row r="62" spans="1:6" s="86" customFormat="1" ht="13.5" customHeight="1" x14ac:dyDescent="0.2">
      <c r="A62" s="283"/>
      <c r="B62" s="1262"/>
      <c r="C62" s="1262" t="s">
        <v>801</v>
      </c>
      <c r="D62" s="1263" t="s">
        <v>804</v>
      </c>
      <c r="E62" s="259"/>
      <c r="F62" s="253"/>
    </row>
    <row r="63" spans="1:6" ht="14.25" customHeight="1" x14ac:dyDescent="0.2">
      <c r="A63" s="280"/>
      <c r="B63" s="1682" t="s">
        <v>893</v>
      </c>
      <c r="C63" s="1252" t="s">
        <v>879</v>
      </c>
      <c r="D63" s="1255" t="s">
        <v>880</v>
      </c>
      <c r="E63" s="258"/>
      <c r="F63" s="252"/>
    </row>
    <row r="64" spans="1:6" ht="58.5" customHeight="1" x14ac:dyDescent="0.2">
      <c r="A64" s="280"/>
      <c r="B64" s="1684"/>
      <c r="C64" s="1254" t="s">
        <v>882</v>
      </c>
      <c r="D64" s="1255" t="s">
        <v>883</v>
      </c>
      <c r="E64" s="258"/>
      <c r="F64" s="252"/>
    </row>
    <row r="65" spans="1:50" ht="33.75" x14ac:dyDescent="0.2">
      <c r="A65" s="280"/>
      <c r="B65" s="1684"/>
      <c r="C65" s="1254" t="s">
        <v>1305</v>
      </c>
      <c r="D65" s="1252" t="s">
        <v>881</v>
      </c>
      <c r="E65" s="258"/>
      <c r="F65" s="252"/>
    </row>
    <row r="66" spans="1:50" ht="13.5" customHeight="1" x14ac:dyDescent="0.2">
      <c r="A66" s="280"/>
      <c r="B66" s="1682" t="s">
        <v>894</v>
      </c>
      <c r="C66" s="1254" t="s">
        <v>884</v>
      </c>
      <c r="D66" s="1252" t="s">
        <v>885</v>
      </c>
      <c r="E66" s="258"/>
      <c r="F66" s="252"/>
    </row>
    <row r="67" spans="1:50" ht="21.75" customHeight="1" x14ac:dyDescent="0.2">
      <c r="A67" s="280"/>
      <c r="B67" s="1683"/>
      <c r="C67" s="1254" t="s">
        <v>887</v>
      </c>
      <c r="D67" s="1252" t="s">
        <v>886</v>
      </c>
      <c r="E67" s="258"/>
      <c r="F67" s="252"/>
    </row>
    <row r="68" spans="1:50" ht="22.5" x14ac:dyDescent="0.2">
      <c r="A68" s="280"/>
      <c r="B68" s="1266" t="s">
        <v>895</v>
      </c>
      <c r="C68" s="1252" t="s">
        <v>751</v>
      </c>
      <c r="D68" s="1252" t="s">
        <v>889</v>
      </c>
      <c r="E68" s="258"/>
      <c r="F68" s="252"/>
    </row>
    <row r="69" spans="1:50" ht="22.5" x14ac:dyDescent="0.2">
      <c r="A69" s="280"/>
      <c r="B69" s="1538" t="s">
        <v>896</v>
      </c>
      <c r="C69" s="1252" t="s">
        <v>803</v>
      </c>
      <c r="D69" s="1252" t="s">
        <v>888</v>
      </c>
      <c r="E69" s="258"/>
      <c r="F69" s="252"/>
    </row>
    <row r="70" spans="1:50" ht="92.25" customHeight="1" x14ac:dyDescent="0.2">
      <c r="A70" s="280"/>
      <c r="B70" s="1115"/>
      <c r="C70" s="1267"/>
      <c r="D70" s="1267"/>
      <c r="E70" s="258"/>
      <c r="F70" s="252"/>
    </row>
    <row r="71" spans="1:50" ht="136.5" customHeight="1" x14ac:dyDescent="0.2">
      <c r="A71" s="239"/>
      <c r="B71" s="1247"/>
      <c r="C71" s="21"/>
      <c r="D71" s="21"/>
      <c r="E71" s="258"/>
      <c r="F71" s="252"/>
    </row>
    <row r="72" spans="1:50" ht="7.5" customHeight="1" x14ac:dyDescent="0.2">
      <c r="A72" s="280"/>
      <c r="B72" s="1247"/>
      <c r="C72" s="21"/>
      <c r="D72" s="21"/>
      <c r="E72" s="258"/>
      <c r="F72" s="252"/>
      <c r="AA72" s="81"/>
      <c r="AB72" s="81"/>
      <c r="AC72" s="81"/>
    </row>
    <row r="73" spans="1:50" ht="15" customHeight="1" x14ac:dyDescent="0.2">
      <c r="A73" s="260"/>
      <c r="B73" s="1248"/>
      <c r="C73" s="71"/>
      <c r="D73" s="71"/>
      <c r="E73" s="261"/>
      <c r="F73" s="252"/>
    </row>
    <row r="74" spans="1:50" ht="11.25" customHeight="1" x14ac:dyDescent="0.2">
      <c r="A74" s="262"/>
      <c r="B74" s="1249"/>
      <c r="C74" s="263"/>
      <c r="D74" s="243"/>
      <c r="E74" s="265"/>
      <c r="F74" s="252"/>
    </row>
    <row r="75" spans="1:50" s="74" customFormat="1" ht="11.25" customHeight="1" x14ac:dyDescent="0.2">
      <c r="A75" s="142"/>
      <c r="B75" s="9"/>
      <c r="C75" s="9"/>
      <c r="D75" s="9"/>
      <c r="E75" s="9"/>
      <c r="F75" s="157"/>
      <c r="G75" s="75"/>
      <c r="H75" s="75"/>
      <c r="I75" s="75"/>
      <c r="J75" s="81"/>
      <c r="K75" s="81"/>
      <c r="L75" s="81"/>
      <c r="M75" s="81"/>
      <c r="N75" s="81"/>
      <c r="O75" s="81"/>
      <c r="P75" s="81"/>
      <c r="Q75" s="81"/>
      <c r="R75" s="81"/>
      <c r="S75" s="81"/>
      <c r="T75" s="81"/>
      <c r="U75" s="81"/>
      <c r="V75" s="82"/>
      <c r="W75" s="81"/>
      <c r="X75" s="81"/>
      <c r="Y75" s="184"/>
      <c r="Z75" s="184"/>
      <c r="AA75" s="81"/>
      <c r="AB75" s="81"/>
      <c r="AC75" s="81"/>
      <c r="AJ75" s="81"/>
      <c r="AK75" s="81"/>
      <c r="AL75" s="81"/>
      <c r="AM75" s="81"/>
      <c r="AN75" s="81"/>
      <c r="AO75" s="81"/>
      <c r="AP75" s="81"/>
      <c r="AQ75" s="81"/>
      <c r="AR75" s="81"/>
      <c r="AS75" s="81"/>
      <c r="AT75" s="81"/>
      <c r="AU75" s="81"/>
      <c r="AV75" s="81"/>
      <c r="AW75" s="81"/>
      <c r="AX75" s="81"/>
    </row>
    <row r="76" spans="1:50" s="74" customFormat="1" ht="11.25" customHeight="1" x14ac:dyDescent="0.2">
      <c r="A76" s="142"/>
      <c r="B76" s="1685" t="s">
        <v>82</v>
      </c>
      <c r="C76" s="1685"/>
      <c r="D76" s="1685"/>
      <c r="E76" s="1685"/>
      <c r="F76" s="2009"/>
      <c r="G76" s="75"/>
      <c r="H76" s="75"/>
      <c r="I76" s="75"/>
      <c r="J76" s="81"/>
      <c r="K76" s="81"/>
      <c r="L76" s="81"/>
      <c r="M76" s="81"/>
      <c r="N76" s="81"/>
      <c r="O76" s="81"/>
      <c r="P76" s="81"/>
      <c r="Q76" s="81"/>
      <c r="R76" s="81"/>
      <c r="S76" s="81"/>
      <c r="T76" s="81"/>
      <c r="U76" s="81"/>
      <c r="V76" s="82"/>
      <c r="W76" s="81"/>
      <c r="X76" s="81"/>
      <c r="Y76" s="184"/>
      <c r="Z76" s="184"/>
      <c r="AA76" s="75"/>
      <c r="AB76" s="75"/>
      <c r="AC76" s="75"/>
      <c r="AD76" s="81"/>
      <c r="AE76" s="81"/>
      <c r="AF76" s="81"/>
      <c r="AG76" s="81"/>
      <c r="AH76" s="81"/>
      <c r="AI76" s="81"/>
    </row>
    <row r="77" spans="1:50" s="74" customFormat="1" ht="11.25" customHeight="1" x14ac:dyDescent="0.2">
      <c r="A77" s="142"/>
      <c r="B77" s="1685"/>
      <c r="C77" s="1685"/>
      <c r="D77" s="1685"/>
      <c r="E77" s="1685"/>
      <c r="F77" s="2009"/>
      <c r="G77" s="75"/>
      <c r="H77" s="75"/>
      <c r="I77" s="75"/>
      <c r="J77" s="81"/>
      <c r="K77" s="81"/>
      <c r="L77" s="81"/>
      <c r="M77" s="81"/>
      <c r="N77" s="81"/>
      <c r="O77" s="81"/>
      <c r="P77" s="81"/>
      <c r="Q77" s="81"/>
      <c r="R77" s="81"/>
      <c r="S77" s="81"/>
      <c r="T77" s="81"/>
      <c r="U77" s="81"/>
      <c r="V77" s="82"/>
      <c r="W77" s="81"/>
      <c r="X77" s="81"/>
      <c r="Y77" s="184"/>
      <c r="Z77" s="184"/>
      <c r="AA77" s="75"/>
      <c r="AB77" s="75"/>
      <c r="AC77" s="75"/>
    </row>
    <row r="78" spans="1:50" s="74" customFormat="1" ht="11.25" customHeight="1" x14ac:dyDescent="0.2">
      <c r="A78" s="142"/>
      <c r="B78" s="1680" t="s">
        <v>800</v>
      </c>
      <c r="C78" s="1680"/>
      <c r="D78" s="1680"/>
      <c r="E78" s="1680"/>
      <c r="F78" s="2010"/>
      <c r="G78" s="75"/>
      <c r="H78" s="75"/>
      <c r="I78" s="75"/>
      <c r="J78" s="81"/>
      <c r="K78" s="81"/>
      <c r="L78" s="81"/>
      <c r="M78" s="81"/>
      <c r="N78" s="81"/>
      <c r="O78" s="81"/>
      <c r="P78" s="81"/>
      <c r="Q78" s="81"/>
      <c r="R78" s="81"/>
      <c r="S78" s="81"/>
      <c r="T78" s="81"/>
      <c r="U78" s="81"/>
      <c r="V78" s="82"/>
      <c r="W78" s="81"/>
      <c r="X78" s="81"/>
      <c r="Y78" s="184"/>
      <c r="Z78" s="184"/>
      <c r="AA78" s="81"/>
      <c r="AB78" s="81"/>
      <c r="AC78" s="81"/>
    </row>
    <row r="79" spans="1:50" s="74" customFormat="1" ht="11.25" customHeight="1" x14ac:dyDescent="0.2">
      <c r="A79" s="142"/>
      <c r="B79" s="1680"/>
      <c r="C79" s="1680"/>
      <c r="D79" s="1680"/>
      <c r="E79" s="1680"/>
      <c r="F79" s="2010"/>
      <c r="G79" s="75"/>
      <c r="H79" s="75"/>
      <c r="I79" s="75"/>
      <c r="J79" s="81"/>
      <c r="K79" s="81"/>
      <c r="L79" s="81"/>
      <c r="M79" s="81"/>
      <c r="N79" s="81"/>
      <c r="O79" s="81"/>
      <c r="P79" s="81"/>
      <c r="Q79" s="81"/>
      <c r="R79" s="81"/>
      <c r="S79" s="81"/>
      <c r="T79" s="81"/>
      <c r="U79" s="81"/>
      <c r="V79" s="82"/>
      <c r="W79" s="81"/>
      <c r="X79" s="81"/>
      <c r="Y79" s="188"/>
      <c r="Z79" s="188"/>
      <c r="AA79" s="75"/>
      <c r="AB79" s="75"/>
      <c r="AC79" s="75"/>
    </row>
    <row r="80" spans="1:50" s="76" customFormat="1" ht="11.25" hidden="1" customHeight="1" x14ac:dyDescent="0.2">
      <c r="A80" s="142"/>
      <c r="B80" s="1680" t="s">
        <v>81</v>
      </c>
      <c r="C80" s="1680"/>
      <c r="D80" s="1680"/>
      <c r="E80" s="1680"/>
      <c r="F80" s="2010"/>
      <c r="G80" s="75"/>
      <c r="H80" s="75"/>
      <c r="I80" s="75"/>
      <c r="J80" s="81"/>
      <c r="K80" s="81"/>
      <c r="L80" s="81"/>
      <c r="M80" s="81"/>
      <c r="N80" s="81"/>
      <c r="O80" s="81"/>
      <c r="P80" s="81"/>
      <c r="Q80" s="81"/>
      <c r="R80" s="81"/>
      <c r="S80" s="81"/>
      <c r="T80" s="81"/>
      <c r="U80" s="81"/>
      <c r="V80" s="82"/>
      <c r="W80" s="81"/>
      <c r="X80" s="81"/>
      <c r="Y80" s="184"/>
      <c r="Z80" s="184"/>
      <c r="AA80" s="75"/>
      <c r="AB80" s="75"/>
      <c r="AC80" s="75"/>
    </row>
    <row r="81" spans="1:30" s="74" customFormat="1" ht="11.25" hidden="1" customHeight="1" x14ac:dyDescent="0.2">
      <c r="A81" s="142"/>
      <c r="B81" s="1680"/>
      <c r="C81" s="1680"/>
      <c r="D81" s="1680"/>
      <c r="E81" s="1680"/>
      <c r="F81" s="2010"/>
      <c r="G81" s="75"/>
      <c r="H81" s="75"/>
      <c r="I81" s="75"/>
      <c r="J81" s="81"/>
      <c r="K81" s="81"/>
      <c r="L81" s="81"/>
      <c r="M81" s="81"/>
      <c r="N81" s="81"/>
      <c r="O81" s="81"/>
      <c r="P81" s="81"/>
      <c r="Q81" s="81"/>
      <c r="R81" s="81"/>
      <c r="S81" s="81"/>
      <c r="T81" s="81"/>
      <c r="U81" s="81"/>
      <c r="V81" s="82"/>
      <c r="W81" s="81"/>
      <c r="X81" s="81"/>
      <c r="Y81" s="184"/>
      <c r="Z81" s="184"/>
      <c r="AA81" s="81"/>
      <c r="AB81" s="81"/>
      <c r="AC81" s="81"/>
    </row>
    <row r="82" spans="1:30" s="74" customFormat="1" ht="11.25" customHeight="1" x14ac:dyDescent="0.2">
      <c r="A82" s="142"/>
      <c r="B82" s="1680" t="s">
        <v>78</v>
      </c>
      <c r="C82" s="1680"/>
      <c r="D82" s="1680"/>
      <c r="E82" s="1680"/>
      <c r="F82" s="2010"/>
      <c r="G82" s="75"/>
      <c r="H82" s="75"/>
      <c r="I82" s="75"/>
      <c r="J82" s="81"/>
      <c r="K82" s="81"/>
      <c r="L82" s="81"/>
      <c r="M82" s="81"/>
      <c r="N82" s="81"/>
      <c r="O82" s="81"/>
      <c r="P82" s="81"/>
      <c r="Q82" s="81"/>
      <c r="R82" s="81"/>
      <c r="S82" s="81"/>
      <c r="T82" s="81"/>
      <c r="U82" s="81"/>
      <c r="V82" s="82"/>
      <c r="W82" s="81"/>
      <c r="X82" s="81"/>
      <c r="Y82" s="184"/>
      <c r="Z82" s="184"/>
      <c r="AA82" s="75"/>
      <c r="AB82" s="75"/>
      <c r="AC82" s="75"/>
      <c r="AD82" s="76"/>
    </row>
    <row r="83" spans="1:30" s="74" customFormat="1" ht="11.25" customHeight="1" x14ac:dyDescent="0.2">
      <c r="A83" s="142"/>
      <c r="B83" s="1680"/>
      <c r="C83" s="1680"/>
      <c r="D83" s="1680"/>
      <c r="E83" s="1680"/>
      <c r="F83" s="2010"/>
      <c r="G83" s="75"/>
      <c r="H83" s="75"/>
      <c r="I83" s="75"/>
      <c r="J83" s="81"/>
      <c r="K83" s="81"/>
      <c r="L83" s="81"/>
      <c r="M83" s="81"/>
      <c r="N83" s="81"/>
      <c r="O83" s="81"/>
      <c r="P83" s="81"/>
      <c r="Q83" s="81"/>
      <c r="R83" s="81"/>
      <c r="S83" s="81"/>
      <c r="T83" s="81"/>
      <c r="U83" s="81"/>
      <c r="V83" s="82"/>
      <c r="W83" s="81"/>
      <c r="X83" s="81"/>
      <c r="Y83" s="184"/>
      <c r="Z83" s="184"/>
      <c r="AA83" s="75"/>
      <c r="AB83" s="75"/>
      <c r="AC83" s="75"/>
    </row>
    <row r="84" spans="1:30" s="74" customFormat="1" ht="11.25" customHeight="1" x14ac:dyDescent="0.2">
      <c r="A84" s="142"/>
      <c r="B84" s="1680" t="s">
        <v>17</v>
      </c>
      <c r="C84" s="1680"/>
      <c r="D84" s="1680"/>
      <c r="E84" s="1680"/>
      <c r="F84" s="2010"/>
      <c r="G84" s="75"/>
      <c r="H84" s="75"/>
      <c r="I84" s="75"/>
      <c r="J84" s="81"/>
      <c r="M84" s="81"/>
      <c r="N84" s="81"/>
      <c r="O84" s="81"/>
      <c r="P84" s="81"/>
      <c r="Q84" s="81"/>
      <c r="R84" s="81"/>
      <c r="S84" s="81"/>
      <c r="T84" s="81"/>
      <c r="U84" s="81"/>
      <c r="V84" s="82"/>
      <c r="W84" s="81"/>
      <c r="X84" s="81"/>
      <c r="Y84" s="184"/>
      <c r="Z84" s="184"/>
      <c r="AA84" s="81"/>
      <c r="AB84" s="81"/>
      <c r="AC84" s="81"/>
      <c r="AD84" s="76"/>
    </row>
    <row r="85" spans="1:30" s="74" customFormat="1" ht="11.25" customHeight="1" x14ac:dyDescent="0.2">
      <c r="A85" s="142"/>
      <c r="B85" s="1680"/>
      <c r="C85" s="1680"/>
      <c r="D85" s="1680"/>
      <c r="E85" s="1680"/>
      <c r="F85" s="2010"/>
      <c r="G85" s="75"/>
      <c r="H85" s="75"/>
      <c r="I85" s="75"/>
      <c r="J85" s="81"/>
      <c r="M85" s="81"/>
      <c r="N85" s="81"/>
      <c r="O85" s="81"/>
      <c r="P85" s="81"/>
      <c r="Q85" s="81"/>
      <c r="R85" s="81"/>
      <c r="S85" s="81"/>
      <c r="T85" s="81"/>
      <c r="U85" s="81"/>
      <c r="V85" s="82"/>
      <c r="W85" s="81"/>
      <c r="X85" s="81"/>
      <c r="Y85" s="184"/>
      <c r="Z85" s="184"/>
      <c r="AA85" s="75"/>
      <c r="AB85" s="75"/>
      <c r="AC85" s="75"/>
    </row>
    <row r="86" spans="1:30" s="74" customFormat="1" ht="11.25" customHeight="1" x14ac:dyDescent="0.2">
      <c r="A86" s="142"/>
      <c r="B86" s="1680" t="s">
        <v>80</v>
      </c>
      <c r="C86" s="1680"/>
      <c r="D86" s="1680"/>
      <c r="E86" s="1680"/>
      <c r="F86" s="2010"/>
      <c r="G86" s="75"/>
      <c r="H86" s="75"/>
      <c r="I86" s="75"/>
      <c r="J86" s="81"/>
      <c r="M86" s="81"/>
      <c r="N86" s="81"/>
      <c r="O86" s="81"/>
      <c r="P86" s="81"/>
      <c r="Q86" s="81"/>
      <c r="R86" s="81"/>
      <c r="S86" s="81"/>
      <c r="T86" s="81"/>
      <c r="U86" s="81"/>
      <c r="V86" s="82"/>
      <c r="W86" s="81"/>
      <c r="X86" s="81"/>
      <c r="Y86" s="184"/>
      <c r="Z86" s="184"/>
      <c r="AA86" s="75"/>
      <c r="AB86" s="75"/>
      <c r="AC86" s="75"/>
      <c r="AD86" s="76"/>
    </row>
    <row r="87" spans="1:30" s="74" customFormat="1" ht="11.25" customHeight="1" x14ac:dyDescent="0.2">
      <c r="A87" s="142"/>
      <c r="B87" s="1680"/>
      <c r="C87" s="1680"/>
      <c r="D87" s="1680"/>
      <c r="E87" s="1680"/>
      <c r="F87" s="2010"/>
      <c r="G87" s="75"/>
      <c r="H87" s="75"/>
      <c r="I87" s="75"/>
      <c r="J87" s="81"/>
      <c r="M87" s="81"/>
      <c r="N87" s="81"/>
      <c r="O87" s="81"/>
      <c r="P87" s="81"/>
      <c r="Q87" s="81"/>
      <c r="R87" s="81"/>
      <c r="S87" s="81"/>
      <c r="T87" s="81"/>
      <c r="U87" s="81"/>
      <c r="V87" s="82"/>
      <c r="W87" s="81"/>
      <c r="X87" s="81"/>
      <c r="Y87" s="184"/>
      <c r="Z87" s="184"/>
      <c r="AA87" s="81"/>
      <c r="AB87" s="81"/>
      <c r="AC87" s="81"/>
    </row>
    <row r="88" spans="1:30" s="74" customFormat="1" ht="11.25" customHeight="1" x14ac:dyDescent="0.2">
      <c r="A88" s="142"/>
      <c r="B88" s="1680" t="s">
        <v>69</v>
      </c>
      <c r="C88" s="1680"/>
      <c r="D88" s="1680"/>
      <c r="E88" s="1680"/>
      <c r="F88" s="2010"/>
      <c r="G88" s="75"/>
      <c r="H88" s="75"/>
      <c r="I88" s="75"/>
      <c r="J88" s="81"/>
      <c r="M88" s="81"/>
      <c r="N88" s="81"/>
      <c r="O88" s="81"/>
      <c r="P88" s="81"/>
      <c r="Q88" s="81"/>
      <c r="R88" s="81"/>
      <c r="S88" s="81"/>
      <c r="T88" s="81"/>
      <c r="U88" s="81"/>
      <c r="V88" s="82"/>
      <c r="W88" s="81"/>
      <c r="X88" s="81"/>
      <c r="Y88" s="184"/>
      <c r="Z88" s="184"/>
      <c r="AA88" s="75"/>
      <c r="AB88" s="75"/>
      <c r="AC88" s="75"/>
      <c r="AD88" s="76"/>
    </row>
    <row r="89" spans="1:30" s="74" customFormat="1" ht="11.25" customHeight="1" x14ac:dyDescent="0.2">
      <c r="A89" s="142"/>
      <c r="B89" s="1680"/>
      <c r="C89" s="1680"/>
      <c r="D89" s="1680"/>
      <c r="E89" s="1680"/>
      <c r="F89" s="2010"/>
      <c r="G89" s="75"/>
      <c r="H89" s="75"/>
      <c r="I89" s="75"/>
      <c r="J89" s="81"/>
      <c r="M89" s="81"/>
      <c r="N89" s="81"/>
      <c r="O89" s="81"/>
      <c r="P89" s="81"/>
      <c r="Q89" s="81"/>
      <c r="R89" s="81"/>
      <c r="S89" s="81"/>
      <c r="T89" s="81"/>
      <c r="U89" s="81"/>
      <c r="V89" s="82"/>
      <c r="W89" s="81"/>
      <c r="X89" s="81"/>
      <c r="Y89" s="184"/>
      <c r="Z89" s="184"/>
      <c r="AA89" s="75"/>
      <c r="AB89" s="75"/>
      <c r="AC89" s="75"/>
    </row>
    <row r="90" spans="1:30" s="74" customFormat="1" ht="11.25" customHeight="1" x14ac:dyDescent="0.2">
      <c r="A90" s="142"/>
      <c r="B90" s="1680" t="s">
        <v>24</v>
      </c>
      <c r="C90" s="1680"/>
      <c r="D90" s="1680"/>
      <c r="E90" s="1680"/>
      <c r="F90" s="2010"/>
      <c r="G90" s="75"/>
      <c r="H90" s="75"/>
      <c r="I90" s="75"/>
      <c r="J90" s="81"/>
      <c r="K90" s="81"/>
      <c r="L90" s="81"/>
      <c r="M90" s="81"/>
      <c r="N90" s="81"/>
      <c r="O90" s="81"/>
      <c r="P90" s="81"/>
      <c r="Q90" s="81"/>
      <c r="R90" s="81"/>
      <c r="S90" s="81"/>
      <c r="T90" s="81"/>
      <c r="U90" s="81"/>
      <c r="V90" s="82"/>
      <c r="W90" s="81"/>
      <c r="X90" s="81"/>
      <c r="Y90" s="184"/>
      <c r="Z90" s="184"/>
      <c r="AA90" s="81"/>
      <c r="AB90" s="81"/>
      <c r="AC90" s="81"/>
      <c r="AD90" s="76"/>
    </row>
    <row r="91" spans="1:30" s="74" customFormat="1" ht="11.25" customHeight="1" x14ac:dyDescent="0.2">
      <c r="A91" s="142"/>
      <c r="B91" s="1680"/>
      <c r="C91" s="1680"/>
      <c r="D91" s="1680"/>
      <c r="E91" s="1680"/>
      <c r="F91" s="2010"/>
      <c r="G91" s="75"/>
      <c r="H91" s="75"/>
      <c r="I91" s="75"/>
      <c r="J91" s="81"/>
      <c r="K91" s="81"/>
      <c r="L91" s="81"/>
      <c r="M91" s="81"/>
      <c r="N91" s="81"/>
      <c r="O91" s="81"/>
      <c r="P91" s="81"/>
      <c r="Q91" s="81"/>
      <c r="R91" s="81"/>
      <c r="S91" s="81"/>
      <c r="T91" s="81"/>
      <c r="U91" s="81"/>
      <c r="V91" s="82"/>
      <c r="W91" s="81"/>
      <c r="X91" s="81"/>
      <c r="Y91" s="184"/>
      <c r="Z91" s="184"/>
      <c r="AA91" s="75"/>
      <c r="AB91" s="75"/>
      <c r="AC91" s="75"/>
    </row>
    <row r="92" spans="1:30" s="74" customFormat="1" ht="11.25" customHeight="1" x14ac:dyDescent="0.2">
      <c r="A92" s="142"/>
      <c r="B92" s="1680" t="s">
        <v>22</v>
      </c>
      <c r="C92" s="1680"/>
      <c r="D92" s="1680"/>
      <c r="E92" s="1680"/>
      <c r="F92" s="2010"/>
      <c r="G92" s="75"/>
      <c r="H92" s="75"/>
      <c r="I92" s="75"/>
      <c r="J92" s="81"/>
      <c r="K92" s="81"/>
      <c r="L92" s="81"/>
      <c r="M92" s="81"/>
      <c r="N92" s="81"/>
      <c r="O92" s="81"/>
      <c r="P92" s="81"/>
      <c r="Q92" s="81"/>
      <c r="R92" s="81"/>
      <c r="S92" s="81"/>
      <c r="T92" s="81"/>
      <c r="U92" s="81"/>
      <c r="V92" s="82"/>
      <c r="W92" s="81"/>
      <c r="X92" s="81"/>
      <c r="Y92" s="184"/>
      <c r="Z92" s="184"/>
      <c r="AA92" s="75"/>
      <c r="AB92" s="75"/>
      <c r="AC92" s="75"/>
      <c r="AD92" s="76"/>
    </row>
    <row r="93" spans="1:30" s="74" customFormat="1" ht="11.25" customHeight="1" x14ac:dyDescent="0.2">
      <c r="A93" s="142"/>
      <c r="B93" s="1680"/>
      <c r="C93" s="1680"/>
      <c r="D93" s="1680"/>
      <c r="E93" s="1680"/>
      <c r="F93" s="2010"/>
      <c r="G93" s="75"/>
      <c r="H93" s="75"/>
      <c r="I93" s="75"/>
      <c r="J93" s="81"/>
      <c r="K93" s="81"/>
      <c r="L93" s="81"/>
      <c r="M93" s="81"/>
      <c r="N93" s="81"/>
      <c r="O93" s="81"/>
      <c r="P93" s="81"/>
      <c r="Q93" s="81"/>
      <c r="R93" s="81"/>
      <c r="S93" s="81"/>
      <c r="T93" s="81"/>
      <c r="U93" s="81"/>
      <c r="V93" s="82"/>
      <c r="W93" s="81"/>
      <c r="X93" s="81"/>
      <c r="Y93" s="184"/>
      <c r="Z93" s="184"/>
      <c r="AA93" s="81"/>
      <c r="AB93" s="81"/>
      <c r="AC93" s="81"/>
    </row>
    <row r="94" spans="1:30" s="74" customFormat="1" ht="11.25" customHeight="1" x14ac:dyDescent="0.2">
      <c r="A94" s="142"/>
      <c r="B94" s="1680" t="s">
        <v>25</v>
      </c>
      <c r="C94" s="1680"/>
      <c r="D94" s="1680"/>
      <c r="E94" s="1680"/>
      <c r="F94" s="2010"/>
      <c r="G94" s="75"/>
      <c r="H94" s="75"/>
      <c r="I94" s="75"/>
      <c r="J94" s="81"/>
      <c r="K94" s="81"/>
      <c r="L94" s="81"/>
      <c r="M94" s="81"/>
      <c r="N94" s="81"/>
      <c r="O94" s="81"/>
      <c r="P94" s="81"/>
      <c r="Q94" s="81"/>
      <c r="R94" s="81"/>
      <c r="S94" s="81"/>
      <c r="T94" s="81"/>
      <c r="U94" s="81"/>
      <c r="V94" s="82"/>
      <c r="W94" s="81"/>
      <c r="X94" s="81"/>
      <c r="Y94" s="184"/>
      <c r="Z94" s="184"/>
      <c r="AA94" s="75"/>
      <c r="AB94" s="75"/>
      <c r="AC94" s="75"/>
      <c r="AD94" s="76"/>
    </row>
    <row r="95" spans="1:30" s="74" customFormat="1" ht="11.25" customHeight="1" x14ac:dyDescent="0.2">
      <c r="A95" s="142"/>
      <c r="B95" s="1680"/>
      <c r="C95" s="1680"/>
      <c r="D95" s="1680"/>
      <c r="E95" s="1680"/>
      <c r="F95" s="2010"/>
      <c r="G95" s="75"/>
      <c r="H95" s="75"/>
      <c r="I95" s="75"/>
      <c r="J95" s="81"/>
      <c r="K95" s="81"/>
      <c r="L95" s="81"/>
      <c r="M95" s="81"/>
      <c r="N95" s="81"/>
      <c r="O95" s="81"/>
      <c r="P95" s="81"/>
      <c r="Q95" s="81"/>
      <c r="R95" s="81"/>
      <c r="S95" s="81"/>
      <c r="T95" s="81"/>
      <c r="U95" s="81"/>
      <c r="V95" s="82"/>
      <c r="W95" s="81"/>
      <c r="X95" s="81"/>
      <c r="Y95" s="184"/>
      <c r="Z95" s="184"/>
      <c r="AA95" s="75"/>
      <c r="AB95" s="75"/>
      <c r="AC95" s="75"/>
    </row>
    <row r="96" spans="1:30" s="74" customFormat="1" ht="11.25" customHeight="1" x14ac:dyDescent="0.2">
      <c r="A96" s="142"/>
      <c r="B96" s="1680" t="s">
        <v>18</v>
      </c>
      <c r="C96" s="1680"/>
      <c r="D96" s="1680"/>
      <c r="E96" s="1680"/>
      <c r="F96" s="2010"/>
      <c r="G96" s="75"/>
      <c r="H96" s="75"/>
      <c r="I96" s="75"/>
      <c r="J96" s="81"/>
      <c r="K96" s="81"/>
      <c r="L96" s="81"/>
      <c r="M96" s="81"/>
      <c r="N96" s="81"/>
      <c r="O96" s="81"/>
      <c r="P96" s="81"/>
      <c r="Q96" s="81"/>
      <c r="R96" s="81"/>
      <c r="S96" s="81"/>
      <c r="T96" s="81"/>
      <c r="U96" s="81"/>
      <c r="V96" s="82"/>
      <c r="W96" s="81"/>
      <c r="X96" s="81"/>
      <c r="Y96" s="184"/>
      <c r="Z96" s="184"/>
      <c r="AA96" s="81"/>
      <c r="AB96" s="81"/>
      <c r="AC96" s="81"/>
    </row>
    <row r="97" spans="1:29" s="74" customFormat="1" ht="11.25" customHeight="1" x14ac:dyDescent="0.2">
      <c r="A97" s="142"/>
      <c r="B97" s="1680"/>
      <c r="C97" s="1680"/>
      <c r="D97" s="1680"/>
      <c r="E97" s="1680"/>
      <c r="F97" s="2010"/>
      <c r="G97" s="75"/>
      <c r="H97" s="75"/>
      <c r="I97" s="75"/>
      <c r="J97" s="81"/>
      <c r="K97" s="81"/>
      <c r="L97" s="81"/>
      <c r="M97" s="81"/>
      <c r="N97" s="81"/>
      <c r="O97" s="81"/>
      <c r="P97" s="81"/>
      <c r="Q97" s="81"/>
      <c r="R97" s="81"/>
      <c r="S97" s="81"/>
      <c r="T97" s="81"/>
      <c r="U97" s="81"/>
      <c r="V97" s="82"/>
      <c r="W97" s="81"/>
      <c r="X97" s="81"/>
      <c r="Y97" s="184"/>
      <c r="Z97" s="184"/>
      <c r="AA97" s="75"/>
      <c r="AB97" s="75"/>
      <c r="AC97" s="75"/>
    </row>
    <row r="98" spans="1:29" s="74" customFormat="1" ht="11.25" customHeight="1" x14ac:dyDescent="0.2">
      <c r="A98" s="142"/>
      <c r="B98" s="1680" t="s">
        <v>19</v>
      </c>
      <c r="C98" s="1680"/>
      <c r="D98" s="1680"/>
      <c r="E98" s="1680"/>
      <c r="F98" s="2010"/>
      <c r="G98" s="75"/>
      <c r="H98" s="75"/>
      <c r="I98" s="75"/>
      <c r="J98" s="81"/>
      <c r="K98" s="81"/>
      <c r="L98" s="81"/>
      <c r="M98" s="81"/>
      <c r="N98" s="81"/>
      <c r="O98" s="81"/>
      <c r="P98" s="81"/>
      <c r="Q98" s="81"/>
      <c r="R98" s="81"/>
      <c r="S98" s="81"/>
      <c r="T98" s="81"/>
      <c r="U98" s="81"/>
      <c r="V98" s="82"/>
      <c r="W98" s="81"/>
      <c r="X98" s="81"/>
      <c r="Y98" s="184"/>
      <c r="Z98" s="184"/>
      <c r="AA98" s="75"/>
      <c r="AB98" s="75"/>
      <c r="AC98" s="75"/>
    </row>
    <row r="99" spans="1:29" s="74" customFormat="1" ht="11.25" customHeight="1" x14ac:dyDescent="0.2">
      <c r="A99" s="142"/>
      <c r="B99" s="1680"/>
      <c r="C99" s="1680"/>
      <c r="D99" s="1680"/>
      <c r="E99" s="1680"/>
      <c r="F99" s="2010"/>
      <c r="G99" s="75"/>
      <c r="H99" s="75"/>
      <c r="I99" s="75"/>
      <c r="J99" s="81"/>
      <c r="K99" s="81"/>
      <c r="L99" s="81"/>
      <c r="M99" s="81"/>
      <c r="N99" s="81"/>
      <c r="O99" s="81"/>
      <c r="P99" s="81"/>
      <c r="Q99" s="81"/>
      <c r="R99" s="81"/>
      <c r="S99" s="81"/>
      <c r="T99" s="81"/>
      <c r="U99" s="81"/>
      <c r="V99" s="82"/>
      <c r="W99" s="81"/>
      <c r="X99" s="81"/>
      <c r="Y99" s="184"/>
      <c r="Z99" s="184"/>
      <c r="AA99" s="81"/>
      <c r="AB99" s="81"/>
      <c r="AC99" s="81"/>
    </row>
    <row r="100" spans="1:29" s="74" customFormat="1" ht="11.25" customHeight="1" x14ac:dyDescent="0.2">
      <c r="A100" s="142"/>
      <c r="B100" s="1680" t="s">
        <v>20</v>
      </c>
      <c r="C100" s="1680"/>
      <c r="D100" s="1680"/>
      <c r="E100" s="1680"/>
      <c r="F100" s="2010"/>
      <c r="G100" s="75"/>
      <c r="H100" s="75"/>
      <c r="I100" s="75"/>
      <c r="J100" s="81"/>
      <c r="K100" s="81"/>
      <c r="L100" s="81"/>
      <c r="M100" s="81"/>
      <c r="N100" s="81"/>
      <c r="O100" s="81"/>
      <c r="P100" s="81"/>
      <c r="Q100" s="81"/>
      <c r="R100" s="81"/>
      <c r="S100" s="81"/>
      <c r="T100" s="81"/>
      <c r="U100" s="81"/>
      <c r="V100" s="82"/>
      <c r="W100" s="81"/>
      <c r="X100" s="81"/>
      <c r="Y100" s="184"/>
      <c r="Z100" s="184"/>
      <c r="AA100" s="75"/>
      <c r="AB100" s="75"/>
      <c r="AC100" s="75"/>
    </row>
    <row r="101" spans="1:29" s="74" customFormat="1" ht="11.25" customHeight="1" x14ac:dyDescent="0.2">
      <c r="A101" s="142"/>
      <c r="B101" s="1680"/>
      <c r="C101" s="1680"/>
      <c r="D101" s="1680"/>
      <c r="E101" s="1680"/>
      <c r="F101" s="2010"/>
      <c r="G101" s="75"/>
      <c r="H101" s="75"/>
      <c r="I101" s="75"/>
      <c r="J101" s="81"/>
      <c r="K101" s="81"/>
      <c r="L101" s="81"/>
      <c r="M101" s="81"/>
      <c r="N101" s="81"/>
      <c r="O101" s="81"/>
      <c r="P101" s="81"/>
      <c r="Q101" s="81"/>
      <c r="R101" s="81"/>
      <c r="S101" s="81"/>
      <c r="T101" s="81"/>
      <c r="U101" s="81"/>
      <c r="V101" s="82"/>
      <c r="W101" s="81"/>
      <c r="X101" s="81"/>
      <c r="Y101" s="184"/>
      <c r="Z101" s="184"/>
      <c r="AA101" s="75"/>
      <c r="AB101" s="75"/>
      <c r="AC101" s="75"/>
    </row>
    <row r="102" spans="1:29" s="74" customFormat="1" ht="11.25" customHeight="1" x14ac:dyDescent="0.2">
      <c r="A102" s="142"/>
      <c r="B102" s="1680" t="s">
        <v>26</v>
      </c>
      <c r="C102" s="1680"/>
      <c r="D102" s="1680"/>
      <c r="E102" s="1680"/>
      <c r="F102" s="2010"/>
      <c r="G102" s="75"/>
      <c r="H102" s="75"/>
      <c r="I102" s="75"/>
      <c r="J102" s="81"/>
      <c r="K102" s="81"/>
      <c r="L102" s="81"/>
      <c r="M102" s="81"/>
      <c r="N102" s="81"/>
      <c r="O102" s="81"/>
      <c r="P102" s="81"/>
      <c r="Q102" s="81"/>
      <c r="R102" s="81"/>
      <c r="S102" s="81"/>
      <c r="T102" s="81"/>
      <c r="U102" s="81"/>
      <c r="V102" s="82"/>
      <c r="W102" s="81"/>
      <c r="X102" s="81"/>
      <c r="Y102" s="184"/>
      <c r="Z102" s="184"/>
      <c r="AA102" s="81"/>
      <c r="AB102" s="81"/>
      <c r="AC102" s="81"/>
    </row>
    <row r="103" spans="1:29" s="74" customFormat="1" ht="11.25" customHeight="1" x14ac:dyDescent="0.2">
      <c r="A103" s="142"/>
      <c r="B103" s="1680"/>
      <c r="C103" s="1680"/>
      <c r="D103" s="1680"/>
      <c r="E103" s="1680"/>
      <c r="F103" s="2010"/>
      <c r="G103" s="75"/>
      <c r="H103" s="75"/>
      <c r="I103" s="75"/>
      <c r="J103" s="81"/>
      <c r="K103" s="81"/>
      <c r="L103" s="81"/>
      <c r="M103" s="81"/>
      <c r="N103" s="81"/>
      <c r="O103" s="81"/>
      <c r="P103" s="81"/>
      <c r="Q103" s="81"/>
      <c r="R103" s="81"/>
      <c r="S103" s="81"/>
      <c r="T103" s="81"/>
      <c r="U103" s="81"/>
      <c r="V103" s="82"/>
      <c r="W103" s="81"/>
      <c r="X103" s="81"/>
      <c r="Y103" s="184"/>
      <c r="Z103" s="184"/>
      <c r="AA103" s="75"/>
      <c r="AB103" s="75"/>
      <c r="AC103" s="75"/>
    </row>
    <row r="104" spans="1:29" s="74" customFormat="1" ht="11.25" customHeight="1" x14ac:dyDescent="0.2">
      <c r="A104" s="142"/>
      <c r="B104" s="1680" t="s">
        <v>21</v>
      </c>
      <c r="C104" s="1680"/>
      <c r="D104" s="1680"/>
      <c r="E104" s="1680"/>
      <c r="F104" s="2010"/>
      <c r="G104" s="75"/>
      <c r="H104" s="75"/>
      <c r="I104" s="75"/>
      <c r="J104" s="81"/>
      <c r="K104" s="81"/>
      <c r="L104" s="81"/>
      <c r="M104" s="81"/>
      <c r="N104" s="81"/>
      <c r="O104" s="81"/>
      <c r="P104" s="81"/>
      <c r="Q104" s="81"/>
      <c r="R104" s="81"/>
      <c r="S104" s="81"/>
      <c r="T104" s="81"/>
      <c r="U104" s="81"/>
      <c r="V104" s="82"/>
      <c r="W104" s="81"/>
      <c r="X104" s="81"/>
      <c r="Y104" s="184"/>
      <c r="Z104" s="184"/>
      <c r="AA104" s="75"/>
      <c r="AB104" s="75"/>
      <c r="AC104" s="75"/>
    </row>
    <row r="105" spans="1:29" s="74" customFormat="1" ht="11.25" customHeight="1" x14ac:dyDescent="0.2">
      <c r="A105" s="142"/>
      <c r="B105" s="1680"/>
      <c r="C105" s="1680"/>
      <c r="D105" s="1680"/>
      <c r="E105" s="1680"/>
      <c r="F105" s="2010"/>
      <c r="G105" s="75"/>
      <c r="H105" s="75"/>
      <c r="I105" s="75"/>
      <c r="J105" s="81"/>
      <c r="K105" s="81"/>
      <c r="L105" s="81"/>
      <c r="M105" s="81"/>
      <c r="N105" s="81"/>
      <c r="O105" s="81"/>
      <c r="P105" s="81"/>
      <c r="Q105" s="81"/>
      <c r="R105" s="81"/>
      <c r="S105" s="81"/>
      <c r="T105" s="81"/>
      <c r="U105" s="81"/>
      <c r="V105" s="82"/>
      <c r="W105" s="81"/>
      <c r="X105" s="81"/>
      <c r="Y105" s="184"/>
      <c r="Z105" s="184"/>
      <c r="AA105" s="81"/>
      <c r="AB105" s="81"/>
      <c r="AC105" s="81"/>
    </row>
    <row r="106" spans="1:29" s="74" customFormat="1" ht="11.25" customHeight="1" x14ac:dyDescent="0.2">
      <c r="A106" s="142"/>
      <c r="B106" s="1680" t="s">
        <v>905</v>
      </c>
      <c r="C106" s="1680"/>
      <c r="D106" s="1680"/>
      <c r="E106" s="1680"/>
      <c r="F106" s="2010"/>
      <c r="G106" s="75"/>
      <c r="H106" s="75"/>
      <c r="I106" s="75"/>
      <c r="J106" s="81"/>
      <c r="K106" s="81"/>
      <c r="L106" s="81"/>
      <c r="M106" s="81"/>
      <c r="N106" s="81"/>
      <c r="O106" s="81"/>
      <c r="P106" s="81"/>
      <c r="Q106" s="81"/>
      <c r="R106" s="81"/>
      <c r="S106" s="81"/>
      <c r="T106" s="81"/>
      <c r="U106" s="81"/>
      <c r="V106" s="82"/>
      <c r="W106" s="81"/>
      <c r="X106" s="81"/>
      <c r="Y106" s="184"/>
      <c r="Z106" s="184"/>
      <c r="AA106" s="75"/>
      <c r="AB106" s="75"/>
      <c r="AC106" s="75"/>
    </row>
    <row r="107" spans="1:29" s="74" customFormat="1" ht="11.25" customHeight="1" x14ac:dyDescent="0.2">
      <c r="A107" s="142"/>
      <c r="B107" s="1680"/>
      <c r="C107" s="1680"/>
      <c r="D107" s="1680"/>
      <c r="E107" s="1680"/>
      <c r="F107" s="2010"/>
      <c r="G107" s="75"/>
      <c r="H107" s="75"/>
      <c r="I107" s="75"/>
      <c r="J107" s="81"/>
      <c r="K107" s="81"/>
      <c r="L107" s="81"/>
      <c r="M107" s="81"/>
      <c r="N107" s="81"/>
      <c r="O107" s="81"/>
      <c r="P107" s="81"/>
      <c r="Q107" s="81"/>
      <c r="R107" s="81"/>
      <c r="S107" s="81"/>
      <c r="T107" s="81"/>
      <c r="U107" s="81"/>
      <c r="V107" s="82"/>
      <c r="W107" s="81"/>
      <c r="X107" s="81"/>
      <c r="Y107" s="184"/>
      <c r="Z107" s="184"/>
      <c r="AA107" s="75"/>
      <c r="AB107" s="75"/>
      <c r="AC107" s="75"/>
    </row>
    <row r="108" spans="1:29" s="74" customFormat="1" ht="11.25" customHeight="1" x14ac:dyDescent="0.2">
      <c r="A108" s="142"/>
      <c r="B108" s="1680" t="s">
        <v>32</v>
      </c>
      <c r="C108" s="1680"/>
      <c r="D108" s="1680"/>
      <c r="E108" s="1680"/>
      <c r="F108" s="2010"/>
      <c r="G108" s="75"/>
      <c r="H108" s="75"/>
      <c r="I108" s="75"/>
      <c r="J108" s="81"/>
      <c r="K108" s="81"/>
      <c r="L108" s="81"/>
      <c r="M108" s="81"/>
      <c r="N108" s="81"/>
      <c r="O108" s="81"/>
      <c r="P108" s="81"/>
      <c r="Q108" s="81"/>
      <c r="R108" s="81"/>
      <c r="S108" s="81"/>
      <c r="T108" s="81"/>
      <c r="U108" s="81"/>
      <c r="V108" s="82"/>
      <c r="W108" s="81"/>
      <c r="X108" s="81"/>
      <c r="Y108" s="184"/>
      <c r="Z108" s="184"/>
      <c r="AA108" s="81"/>
      <c r="AB108" s="81"/>
      <c r="AC108" s="81"/>
    </row>
    <row r="109" spans="1:29" s="74" customFormat="1" ht="11.25" customHeight="1" x14ac:dyDescent="0.2">
      <c r="A109" s="142"/>
      <c r="B109" s="1680"/>
      <c r="C109" s="1680"/>
      <c r="D109" s="1680"/>
      <c r="E109" s="1680"/>
      <c r="F109" s="2010"/>
      <c r="G109" s="75"/>
      <c r="H109" s="75"/>
      <c r="I109" s="75"/>
      <c r="J109" s="81"/>
      <c r="K109" s="81"/>
      <c r="L109" s="81"/>
      <c r="M109" s="81"/>
      <c r="N109" s="81"/>
      <c r="O109" s="81"/>
      <c r="P109" s="81"/>
      <c r="Q109" s="81"/>
      <c r="R109" s="81"/>
      <c r="S109" s="81"/>
      <c r="T109" s="81"/>
      <c r="U109" s="81"/>
      <c r="V109" s="82"/>
      <c r="W109" s="81"/>
      <c r="X109" s="81"/>
      <c r="Y109" s="184"/>
      <c r="Z109" s="184"/>
      <c r="AA109" s="75"/>
      <c r="AB109" s="75"/>
      <c r="AC109" s="75"/>
    </row>
    <row r="110" spans="1:29" s="74" customFormat="1" ht="11.25" customHeight="1" x14ac:dyDescent="0.2">
      <c r="A110" s="142"/>
      <c r="B110" s="1680" t="s">
        <v>666</v>
      </c>
      <c r="C110" s="1680"/>
      <c r="D110" s="1680"/>
      <c r="E110" s="1680"/>
      <c r="F110" s="2010"/>
      <c r="G110" s="75"/>
      <c r="H110" s="75"/>
      <c r="I110" s="75"/>
      <c r="J110" s="81"/>
      <c r="K110" s="81"/>
      <c r="L110" s="81"/>
      <c r="M110" s="81"/>
      <c r="N110" s="81"/>
      <c r="O110" s="81"/>
      <c r="P110" s="81"/>
      <c r="Q110" s="81"/>
      <c r="R110" s="81"/>
      <c r="S110" s="81"/>
      <c r="T110" s="81"/>
      <c r="U110" s="81"/>
      <c r="V110" s="82"/>
      <c r="W110" s="81"/>
      <c r="X110" s="81"/>
      <c r="Y110" s="184"/>
      <c r="Z110" s="184"/>
      <c r="AA110" s="75"/>
      <c r="AB110" s="75"/>
      <c r="AC110" s="75"/>
    </row>
    <row r="111" spans="1:29" s="74" customFormat="1" ht="11.25" customHeight="1" x14ac:dyDescent="0.2">
      <c r="A111" s="142"/>
      <c r="B111" s="1680"/>
      <c r="C111" s="1680"/>
      <c r="D111" s="1680"/>
      <c r="E111" s="1680"/>
      <c r="F111" s="2010"/>
      <c r="G111" s="75"/>
      <c r="H111" s="75"/>
      <c r="I111" s="75"/>
      <c r="J111" s="81"/>
      <c r="K111" s="81"/>
      <c r="L111" s="81"/>
      <c r="M111" s="81"/>
      <c r="N111" s="81"/>
      <c r="O111" s="81"/>
      <c r="P111" s="81"/>
      <c r="Q111" s="81"/>
      <c r="R111" s="81"/>
      <c r="S111" s="81"/>
      <c r="T111" s="81"/>
      <c r="U111" s="81"/>
      <c r="V111" s="82"/>
      <c r="W111" s="81"/>
      <c r="X111" s="81"/>
      <c r="Y111" s="184"/>
      <c r="Z111" s="184"/>
      <c r="AA111" s="81"/>
      <c r="AB111" s="81"/>
      <c r="AC111" s="81"/>
    </row>
    <row r="112" spans="1:29" s="74" customFormat="1" ht="11.25" customHeight="1" x14ac:dyDescent="0.2">
      <c r="A112" s="142"/>
      <c r="B112" s="1680" t="s">
        <v>906</v>
      </c>
      <c r="C112" s="1680"/>
      <c r="D112" s="1680"/>
      <c r="E112" s="1680"/>
      <c r="F112" s="2010"/>
      <c r="G112" s="75"/>
      <c r="H112" s="75"/>
      <c r="I112" s="75"/>
      <c r="J112" s="81"/>
      <c r="K112" s="81"/>
      <c r="L112" s="81"/>
      <c r="M112" s="81"/>
      <c r="N112" s="81"/>
      <c r="O112" s="81"/>
      <c r="P112" s="81"/>
      <c r="Q112" s="81"/>
      <c r="R112" s="81"/>
      <c r="S112" s="81"/>
      <c r="T112" s="81"/>
      <c r="U112" s="81"/>
      <c r="V112" s="82"/>
      <c r="W112" s="81"/>
      <c r="X112" s="81"/>
      <c r="Y112" s="184"/>
      <c r="Z112" s="184"/>
      <c r="AA112" s="75"/>
      <c r="AB112" s="75"/>
      <c r="AC112" s="75"/>
    </row>
    <row r="113" spans="1:42" s="74" customFormat="1" ht="11.25" customHeight="1" x14ac:dyDescent="0.2">
      <c r="A113" s="142"/>
      <c r="B113" s="1680"/>
      <c r="C113" s="1680"/>
      <c r="D113" s="1680"/>
      <c r="E113" s="1680"/>
      <c r="F113" s="2010"/>
      <c r="G113" s="75"/>
      <c r="H113" s="75"/>
      <c r="I113" s="75"/>
      <c r="J113" s="81"/>
      <c r="K113" s="81"/>
      <c r="L113" s="81"/>
      <c r="M113" s="81"/>
      <c r="N113" s="81"/>
      <c r="O113" s="81"/>
      <c r="P113" s="81"/>
      <c r="Q113" s="81"/>
      <c r="R113" s="81"/>
      <c r="S113" s="81"/>
      <c r="T113" s="81"/>
      <c r="U113" s="81"/>
      <c r="V113" s="82"/>
      <c r="W113" s="81"/>
      <c r="X113" s="81"/>
      <c r="Y113" s="184"/>
      <c r="Z113" s="184"/>
      <c r="AA113" s="75"/>
      <c r="AB113" s="75"/>
      <c r="AC113" s="75"/>
    </row>
    <row r="114" spans="1:42" s="74" customFormat="1" ht="11.25" customHeight="1" x14ac:dyDescent="0.2">
      <c r="A114" s="142"/>
      <c r="B114" s="1680" t="s">
        <v>672</v>
      </c>
      <c r="C114" s="1680"/>
      <c r="D114" s="1680"/>
      <c r="E114" s="1680"/>
      <c r="F114" s="2010"/>
      <c r="G114" s="75"/>
      <c r="H114" s="75"/>
      <c r="I114" s="75"/>
      <c r="J114" s="81"/>
      <c r="K114" s="81"/>
      <c r="L114" s="81"/>
      <c r="M114" s="81"/>
      <c r="N114" s="81"/>
      <c r="O114" s="81"/>
      <c r="P114" s="81"/>
      <c r="Q114" s="81"/>
      <c r="R114" s="81"/>
      <c r="S114" s="81"/>
      <c r="T114" s="81"/>
      <c r="U114" s="81"/>
      <c r="V114" s="82"/>
      <c r="W114" s="81"/>
      <c r="X114" s="81"/>
      <c r="Y114" s="184"/>
      <c r="Z114" s="184"/>
      <c r="AA114" s="81"/>
      <c r="AB114" s="81"/>
      <c r="AC114" s="81"/>
    </row>
    <row r="115" spans="1:42" s="80" customFormat="1" ht="11.25" customHeight="1" x14ac:dyDescent="0.2">
      <c r="A115" s="142"/>
      <c r="B115" s="1680"/>
      <c r="C115" s="1680"/>
      <c r="D115" s="1680"/>
      <c r="E115" s="1680"/>
      <c r="F115" s="2010"/>
      <c r="G115" s="75"/>
      <c r="H115" s="75"/>
      <c r="I115" s="75"/>
      <c r="J115" s="75"/>
      <c r="K115" s="75"/>
      <c r="L115" s="75"/>
      <c r="M115" s="75"/>
      <c r="N115" s="75"/>
      <c r="O115" s="75"/>
      <c r="P115" s="75"/>
      <c r="Q115" s="75"/>
      <c r="R115" s="75"/>
      <c r="S115" s="75"/>
      <c r="T115" s="75"/>
      <c r="U115" s="75"/>
      <c r="V115" s="75"/>
      <c r="W115" s="75"/>
      <c r="X115" s="75"/>
      <c r="Y115" s="75"/>
      <c r="Z115" s="75"/>
      <c r="AA115" s="75"/>
      <c r="AB115" s="75"/>
      <c r="AC115" s="75"/>
      <c r="AD115" s="75"/>
      <c r="AE115" s="74"/>
      <c r="AF115" s="74"/>
      <c r="AG115" s="74"/>
      <c r="AH115" s="74"/>
      <c r="AI115" s="74"/>
      <c r="AJ115" s="74"/>
      <c r="AK115" s="74"/>
      <c r="AL115" s="74"/>
      <c r="AM115" s="74"/>
      <c r="AN115" s="74"/>
      <c r="AO115" s="74"/>
      <c r="AP115" s="74"/>
    </row>
    <row r="116" spans="1:42" s="74" customFormat="1" ht="11.25" customHeight="1" x14ac:dyDescent="0.2">
      <c r="A116" s="1273"/>
      <c r="B116" s="2011"/>
      <c r="C116" s="2012"/>
      <c r="D116" s="2012"/>
      <c r="E116" s="2012"/>
      <c r="F116" s="2013"/>
      <c r="G116" s="75"/>
      <c r="H116" s="75"/>
      <c r="I116" s="75"/>
      <c r="J116" s="75"/>
      <c r="K116" s="75"/>
      <c r="L116" s="75"/>
      <c r="M116" s="75"/>
      <c r="N116" s="75"/>
      <c r="O116" s="75"/>
      <c r="P116" s="75"/>
      <c r="Q116" s="75"/>
      <c r="R116" s="75"/>
      <c r="S116" s="75"/>
      <c r="T116" s="75"/>
      <c r="U116" s="75"/>
      <c r="V116" s="75"/>
      <c r="W116" s="75"/>
      <c r="X116" s="75"/>
      <c r="Y116" s="75"/>
      <c r="Z116" s="75"/>
      <c r="AA116" s="75"/>
      <c r="AB116" s="75"/>
      <c r="AC116" s="75"/>
      <c r="AD116" s="75"/>
    </row>
    <row r="117" spans="1:42" s="74" customFormat="1" ht="11.25" customHeight="1" x14ac:dyDescent="0.2">
      <c r="G117" s="80"/>
      <c r="H117" s="80"/>
      <c r="I117" s="81"/>
      <c r="J117" s="81"/>
      <c r="K117" s="81"/>
      <c r="L117" s="81"/>
      <c r="M117" s="81"/>
      <c r="N117" s="81"/>
      <c r="O117" s="81"/>
      <c r="P117" s="81"/>
      <c r="Q117" s="81"/>
      <c r="R117" s="81"/>
      <c r="S117" s="81"/>
      <c r="T117" s="81"/>
      <c r="U117" s="81"/>
      <c r="V117" s="81"/>
      <c r="W117" s="81"/>
      <c r="X117" s="81"/>
      <c r="Y117" s="81"/>
      <c r="Z117" s="81"/>
      <c r="AA117" s="81"/>
      <c r="AB117" s="81"/>
      <c r="AC117" s="81"/>
      <c r="AD117" s="81"/>
    </row>
    <row r="118" spans="1:42" s="74" customFormat="1" ht="11.25" customHeight="1" x14ac:dyDescent="0.2">
      <c r="G118" s="80"/>
      <c r="H118" s="80"/>
      <c r="I118" s="81"/>
      <c r="J118" s="81"/>
      <c r="K118" s="81"/>
      <c r="L118" s="81"/>
      <c r="M118" s="81"/>
      <c r="N118" s="81"/>
      <c r="O118" s="81"/>
      <c r="P118" s="81"/>
      <c r="Q118" s="81"/>
      <c r="R118" s="81"/>
      <c r="S118" s="81"/>
      <c r="T118" s="81"/>
      <c r="U118" s="81"/>
      <c r="V118" s="81"/>
      <c r="W118" s="81"/>
      <c r="X118" s="81"/>
      <c r="Y118" s="81"/>
      <c r="Z118" s="81"/>
      <c r="AA118" s="81"/>
      <c r="AB118" s="81"/>
      <c r="AC118" s="81"/>
      <c r="AD118" s="81"/>
    </row>
    <row r="119" spans="1:42" s="74" customFormat="1" ht="11.25" customHeight="1" x14ac:dyDescent="0.2">
      <c r="G119" s="80"/>
      <c r="H119" s="80"/>
      <c r="I119" s="81"/>
      <c r="J119" s="81"/>
      <c r="K119" s="81"/>
      <c r="L119" s="81"/>
      <c r="M119" s="81"/>
      <c r="N119" s="81"/>
      <c r="O119" s="81"/>
      <c r="P119" s="81"/>
      <c r="Q119" s="81"/>
      <c r="R119" s="81"/>
      <c r="S119" s="81"/>
      <c r="T119" s="81"/>
      <c r="U119" s="81"/>
      <c r="V119" s="81"/>
      <c r="W119" s="81"/>
      <c r="X119" s="81"/>
      <c r="Y119" s="81"/>
      <c r="AB119" s="184"/>
    </row>
    <row r="120" spans="1:42" s="74" customFormat="1" ht="11.25" customHeight="1" x14ac:dyDescent="0.2">
      <c r="G120" s="80"/>
      <c r="H120" s="80"/>
      <c r="I120" s="81"/>
      <c r="J120" s="81"/>
      <c r="K120" s="81"/>
      <c r="L120" s="81"/>
      <c r="M120" s="81"/>
      <c r="N120" s="81"/>
      <c r="O120" s="81"/>
      <c r="P120" s="81"/>
      <c r="Q120" s="81"/>
      <c r="R120" s="81"/>
      <c r="S120" s="81"/>
      <c r="T120" s="81"/>
      <c r="U120" s="81"/>
      <c r="V120" s="81"/>
      <c r="W120" s="81"/>
      <c r="X120" s="81"/>
      <c r="Y120" s="81"/>
      <c r="AB120" s="184"/>
    </row>
    <row r="121" spans="1:42" s="74" customFormat="1" ht="11.25" customHeight="1" x14ac:dyDescent="0.2">
      <c r="G121" s="80"/>
      <c r="H121" s="80"/>
      <c r="I121" s="81"/>
      <c r="J121" s="81"/>
      <c r="K121" s="81"/>
      <c r="L121" s="81"/>
      <c r="M121" s="81"/>
      <c r="N121" s="81"/>
      <c r="O121" s="81"/>
      <c r="P121" s="81"/>
      <c r="Q121" s="81"/>
      <c r="R121" s="81"/>
      <c r="S121" s="81"/>
      <c r="T121" s="81"/>
      <c r="U121" s="81"/>
      <c r="V121" s="81"/>
      <c r="W121" s="81"/>
      <c r="X121" s="81"/>
      <c r="Y121" s="81"/>
      <c r="AB121" s="184"/>
    </row>
    <row r="122" spans="1:42" s="74" customFormat="1" ht="11.25" customHeight="1" x14ac:dyDescent="0.2">
      <c r="G122" s="80"/>
      <c r="H122" s="80"/>
      <c r="I122" s="81"/>
      <c r="J122" s="81"/>
      <c r="K122" s="81"/>
      <c r="L122" s="81"/>
      <c r="M122" s="81"/>
      <c r="N122" s="81"/>
      <c r="O122" s="81"/>
      <c r="P122" s="81"/>
      <c r="Q122" s="81"/>
      <c r="R122" s="81"/>
      <c r="S122" s="81"/>
      <c r="T122" s="81"/>
      <c r="U122" s="81"/>
      <c r="V122" s="81"/>
      <c r="W122" s="81"/>
      <c r="X122" s="81"/>
      <c r="Y122" s="81"/>
      <c r="AB122" s="184"/>
    </row>
    <row r="123" spans="1:42" s="74" customFormat="1" ht="11.25" customHeight="1" x14ac:dyDescent="0.2">
      <c r="G123" s="80"/>
      <c r="H123" s="80"/>
      <c r="I123" s="81"/>
      <c r="J123" s="81"/>
      <c r="K123" s="81"/>
      <c r="L123" s="81"/>
      <c r="M123" s="81"/>
      <c r="N123" s="81"/>
      <c r="O123" s="81"/>
      <c r="P123" s="81"/>
      <c r="Q123" s="81"/>
      <c r="R123" s="81"/>
      <c r="S123" s="81"/>
      <c r="T123" s="81"/>
      <c r="U123" s="81"/>
      <c r="V123" s="81"/>
      <c r="W123" s="81"/>
      <c r="X123" s="81"/>
      <c r="Y123" s="81"/>
      <c r="AB123" s="184"/>
    </row>
    <row r="124" spans="1:42" s="74" customFormat="1" ht="11.25" customHeight="1" x14ac:dyDescent="0.2">
      <c r="G124" s="80"/>
      <c r="H124" s="80"/>
      <c r="I124" s="81"/>
      <c r="J124" s="81"/>
      <c r="K124" s="81"/>
      <c r="L124" s="81"/>
      <c r="M124" s="81"/>
      <c r="N124" s="81"/>
      <c r="O124" s="81"/>
      <c r="P124" s="81"/>
      <c r="Q124" s="81"/>
      <c r="R124" s="81"/>
      <c r="S124" s="81"/>
      <c r="T124" s="81"/>
      <c r="U124" s="81"/>
      <c r="V124" s="81"/>
      <c r="W124" s="81"/>
      <c r="X124" s="81"/>
      <c r="Y124" s="81"/>
      <c r="AB124" s="184"/>
    </row>
    <row r="125" spans="1:42" s="74" customFormat="1" ht="11.25" customHeight="1" x14ac:dyDescent="0.2">
      <c r="G125" s="80"/>
      <c r="H125" s="80"/>
      <c r="I125" s="81"/>
      <c r="J125" s="81"/>
      <c r="K125" s="81"/>
      <c r="L125" s="81"/>
      <c r="M125" s="81"/>
      <c r="N125" s="81"/>
      <c r="O125" s="81"/>
      <c r="P125" s="81"/>
      <c r="Q125" s="81"/>
      <c r="R125" s="81"/>
      <c r="S125" s="81"/>
      <c r="T125" s="81"/>
      <c r="U125" s="81"/>
      <c r="V125" s="81"/>
      <c r="W125" s="81"/>
      <c r="X125" s="81"/>
      <c r="Y125" s="81"/>
      <c r="AB125" s="184"/>
    </row>
    <row r="126" spans="1:42" s="74" customFormat="1" ht="11.25" customHeight="1" x14ac:dyDescent="0.2">
      <c r="G126" s="80"/>
      <c r="H126" s="80"/>
      <c r="I126" s="81"/>
      <c r="J126" s="81"/>
      <c r="K126" s="81"/>
      <c r="L126" s="81"/>
      <c r="M126" s="81"/>
      <c r="N126" s="81"/>
      <c r="O126" s="81"/>
      <c r="P126" s="81"/>
      <c r="Q126" s="81"/>
      <c r="R126" s="81"/>
      <c r="S126" s="81"/>
      <c r="T126" s="81"/>
      <c r="U126" s="81"/>
      <c r="V126" s="81"/>
      <c r="W126" s="81"/>
      <c r="X126" s="81"/>
      <c r="Y126" s="81"/>
      <c r="AB126" s="184"/>
    </row>
    <row r="127" spans="1:42" s="74" customFormat="1" ht="11.25" customHeight="1" x14ac:dyDescent="0.2">
      <c r="G127" s="80"/>
      <c r="H127" s="80"/>
      <c r="I127" s="81"/>
      <c r="J127" s="81"/>
      <c r="K127" s="81"/>
      <c r="L127" s="81"/>
      <c r="M127" s="81"/>
      <c r="N127" s="81"/>
      <c r="O127" s="81"/>
      <c r="P127" s="81"/>
      <c r="Q127" s="81"/>
      <c r="R127" s="81"/>
      <c r="S127" s="81"/>
      <c r="T127" s="81"/>
      <c r="U127" s="81"/>
      <c r="V127" s="81"/>
      <c r="W127" s="81"/>
      <c r="X127" s="81"/>
      <c r="Y127" s="81"/>
      <c r="AB127" s="184"/>
    </row>
    <row r="128" spans="1:42" s="74" customFormat="1" ht="11.25" customHeight="1" x14ac:dyDescent="0.2">
      <c r="G128" s="80"/>
      <c r="H128" s="80"/>
      <c r="I128" s="81"/>
      <c r="J128" s="81"/>
      <c r="K128" s="81"/>
      <c r="L128" s="81"/>
      <c r="M128" s="81"/>
      <c r="N128" s="81"/>
      <c r="O128" s="81"/>
      <c r="P128" s="81"/>
      <c r="Q128" s="81"/>
      <c r="R128" s="81"/>
      <c r="S128" s="81"/>
      <c r="T128" s="81"/>
      <c r="U128" s="81"/>
      <c r="V128" s="81"/>
      <c r="W128" s="81"/>
      <c r="X128" s="81"/>
      <c r="Y128" s="81"/>
      <c r="AB128" s="184"/>
    </row>
    <row r="129" spans="7:28" s="74" customFormat="1" ht="11.25" customHeight="1" x14ac:dyDescent="0.2">
      <c r="G129" s="80"/>
      <c r="H129" s="80"/>
      <c r="I129" s="81"/>
      <c r="J129" s="81"/>
      <c r="K129" s="81"/>
      <c r="L129" s="81"/>
      <c r="M129" s="81"/>
      <c r="N129" s="81"/>
      <c r="O129" s="81"/>
      <c r="P129" s="81"/>
      <c r="Q129" s="81"/>
      <c r="R129" s="81"/>
      <c r="S129" s="81"/>
      <c r="T129" s="81"/>
      <c r="U129" s="81"/>
      <c r="V129" s="81"/>
      <c r="W129" s="81"/>
      <c r="X129" s="81"/>
      <c r="Y129" s="81"/>
      <c r="AB129" s="184"/>
    </row>
    <row r="130" spans="7:28" s="74" customFormat="1" ht="11.25" customHeight="1" x14ac:dyDescent="0.2">
      <c r="G130" s="80"/>
      <c r="H130" s="80"/>
      <c r="I130" s="81"/>
      <c r="J130" s="81"/>
      <c r="K130" s="81"/>
      <c r="L130" s="81"/>
      <c r="M130" s="81"/>
      <c r="N130" s="81"/>
      <c r="O130" s="81"/>
      <c r="P130" s="81"/>
      <c r="Q130" s="81"/>
      <c r="R130" s="81"/>
      <c r="S130" s="81"/>
      <c r="T130" s="81"/>
      <c r="U130" s="81"/>
      <c r="V130" s="81"/>
      <c r="W130" s="81"/>
      <c r="X130" s="81"/>
      <c r="Y130" s="81"/>
      <c r="AB130" s="184"/>
    </row>
    <row r="131" spans="7:28" s="74" customFormat="1" ht="11.25" customHeight="1" x14ac:dyDescent="0.2">
      <c r="G131" s="80"/>
      <c r="H131" s="80"/>
      <c r="I131" s="81"/>
      <c r="J131" s="81"/>
      <c r="K131" s="81"/>
      <c r="L131" s="81"/>
      <c r="M131" s="81"/>
      <c r="N131" s="81"/>
      <c r="O131" s="81"/>
      <c r="P131" s="81"/>
      <c r="Q131" s="81"/>
      <c r="R131" s="81"/>
      <c r="S131" s="81"/>
      <c r="T131" s="81"/>
      <c r="U131" s="81"/>
      <c r="V131" s="81"/>
      <c r="W131" s="81"/>
      <c r="X131" s="81"/>
      <c r="Y131" s="81"/>
      <c r="AB131" s="184"/>
    </row>
    <row r="132" spans="7:28" s="74" customFormat="1" ht="11.25" customHeight="1" x14ac:dyDescent="0.2">
      <c r="G132" s="80"/>
      <c r="H132" s="80"/>
      <c r="I132" s="81"/>
      <c r="J132" s="81"/>
      <c r="K132" s="81"/>
      <c r="L132" s="81"/>
      <c r="M132" s="81"/>
      <c r="N132" s="81"/>
      <c r="O132" s="81"/>
      <c r="P132" s="81"/>
      <c r="Q132" s="81"/>
      <c r="R132" s="81"/>
      <c r="S132" s="81"/>
      <c r="T132" s="81"/>
      <c r="U132" s="81"/>
      <c r="V132" s="81"/>
      <c r="W132" s="81"/>
      <c r="X132" s="81"/>
      <c r="Y132" s="81"/>
      <c r="AB132" s="184"/>
    </row>
    <row r="133" spans="7:28" s="74" customFormat="1" ht="11.25" customHeight="1" x14ac:dyDescent="0.2">
      <c r="G133" s="80"/>
      <c r="H133" s="80"/>
      <c r="I133" s="81"/>
      <c r="J133" s="81"/>
      <c r="K133" s="81"/>
      <c r="L133" s="81"/>
      <c r="M133" s="81"/>
      <c r="N133" s="81"/>
      <c r="O133" s="81"/>
      <c r="P133" s="81"/>
      <c r="Q133" s="81"/>
      <c r="R133" s="81"/>
      <c r="S133" s="81"/>
      <c r="T133" s="81"/>
      <c r="U133" s="81"/>
      <c r="V133" s="81"/>
      <c r="W133" s="81"/>
      <c r="X133" s="81"/>
      <c r="Y133" s="81"/>
      <c r="AB133" s="184"/>
    </row>
    <row r="134" spans="7:28" s="74" customFormat="1" ht="11.25" customHeight="1" x14ac:dyDescent="0.2">
      <c r="G134" s="80"/>
      <c r="H134" s="80"/>
      <c r="I134" s="81"/>
      <c r="J134" s="81"/>
      <c r="K134" s="81"/>
      <c r="L134" s="81"/>
      <c r="M134" s="81"/>
      <c r="N134" s="81"/>
      <c r="O134" s="81"/>
      <c r="P134" s="81"/>
      <c r="Q134" s="81"/>
      <c r="R134" s="81"/>
      <c r="S134" s="81"/>
      <c r="T134" s="81"/>
      <c r="U134" s="81"/>
      <c r="V134" s="81"/>
      <c r="W134" s="81"/>
      <c r="X134" s="81"/>
      <c r="Y134" s="81"/>
      <c r="AB134" s="184"/>
    </row>
    <row r="135" spans="7:28" s="74" customFormat="1" ht="11.25" customHeight="1" x14ac:dyDescent="0.2">
      <c r="G135" s="80"/>
      <c r="H135" s="80"/>
      <c r="I135" s="81"/>
      <c r="J135" s="81"/>
      <c r="K135" s="81"/>
      <c r="L135" s="81"/>
      <c r="M135" s="81"/>
      <c r="N135" s="81"/>
      <c r="O135" s="81"/>
      <c r="P135" s="81"/>
      <c r="Q135" s="81"/>
      <c r="R135" s="81"/>
      <c r="S135" s="81"/>
      <c r="T135" s="81"/>
      <c r="U135" s="81"/>
      <c r="V135" s="81"/>
      <c r="W135" s="81"/>
      <c r="X135" s="81"/>
      <c r="Y135" s="81"/>
      <c r="AB135" s="184"/>
    </row>
    <row r="136" spans="7:28" s="74" customFormat="1" ht="11.25" customHeight="1" x14ac:dyDescent="0.2">
      <c r="G136" s="80"/>
      <c r="H136" s="80"/>
      <c r="I136" s="81"/>
      <c r="J136" s="81"/>
      <c r="K136" s="81"/>
      <c r="L136" s="81"/>
      <c r="M136" s="81"/>
      <c r="N136" s="81"/>
      <c r="O136" s="81"/>
      <c r="P136" s="81"/>
      <c r="Q136" s="81"/>
      <c r="R136" s="81"/>
      <c r="S136" s="81"/>
      <c r="T136" s="81"/>
      <c r="U136" s="81"/>
      <c r="V136" s="81"/>
      <c r="W136" s="81"/>
      <c r="X136" s="81"/>
      <c r="Y136" s="81"/>
      <c r="AB136" s="184"/>
    </row>
    <row r="137" spans="7:28" s="74" customFormat="1" ht="11.25" customHeight="1" x14ac:dyDescent="0.2">
      <c r="G137" s="80"/>
      <c r="H137" s="80"/>
      <c r="I137" s="81"/>
      <c r="J137" s="81"/>
      <c r="K137" s="81"/>
      <c r="L137" s="81"/>
      <c r="M137" s="81"/>
      <c r="N137" s="81"/>
      <c r="O137" s="81"/>
      <c r="P137" s="81"/>
      <c r="Q137" s="81"/>
      <c r="R137" s="81"/>
      <c r="S137" s="81"/>
      <c r="T137" s="81"/>
      <c r="U137" s="81"/>
      <c r="V137" s="81"/>
      <c r="W137" s="81"/>
      <c r="X137" s="81"/>
      <c r="Y137" s="81"/>
      <c r="AB137" s="184"/>
    </row>
    <row r="138" spans="7:28" s="74" customFormat="1" ht="11.25" customHeight="1" x14ac:dyDescent="0.2">
      <c r="G138" s="80"/>
      <c r="H138" s="80"/>
      <c r="I138" s="81"/>
      <c r="J138" s="81"/>
      <c r="K138" s="81"/>
      <c r="L138" s="81"/>
      <c r="M138" s="81"/>
      <c r="N138" s="81"/>
      <c r="O138" s="81"/>
      <c r="P138" s="81"/>
      <c r="Q138" s="81"/>
      <c r="R138" s="81"/>
      <c r="S138" s="81"/>
      <c r="T138" s="81"/>
      <c r="U138" s="81"/>
      <c r="V138" s="81"/>
      <c r="W138" s="81"/>
      <c r="X138" s="81"/>
      <c r="Y138" s="81"/>
      <c r="AB138" s="184"/>
    </row>
    <row r="139" spans="7:28" s="74" customFormat="1" ht="11.25" customHeight="1" x14ac:dyDescent="0.2">
      <c r="G139" s="80"/>
      <c r="H139" s="80"/>
      <c r="I139" s="81"/>
      <c r="J139" s="81"/>
      <c r="K139" s="81"/>
      <c r="L139" s="81"/>
      <c r="M139" s="81"/>
      <c r="N139" s="81"/>
      <c r="O139" s="81"/>
      <c r="P139" s="81"/>
      <c r="Q139" s="81"/>
      <c r="R139" s="81"/>
      <c r="S139" s="81"/>
      <c r="T139" s="81"/>
      <c r="U139" s="81"/>
      <c r="V139" s="81"/>
      <c r="W139" s="81"/>
      <c r="X139" s="81"/>
      <c r="Y139" s="81"/>
      <c r="AB139" s="184"/>
    </row>
    <row r="140" spans="7:28" s="74" customFormat="1" ht="11.25" customHeight="1" x14ac:dyDescent="0.2">
      <c r="G140" s="80"/>
      <c r="H140" s="80"/>
      <c r="I140" s="81"/>
      <c r="J140" s="81"/>
      <c r="K140" s="81"/>
      <c r="L140" s="81"/>
      <c r="M140" s="81"/>
      <c r="N140" s="81"/>
      <c r="O140" s="81"/>
      <c r="P140" s="81"/>
      <c r="Q140" s="81"/>
      <c r="R140" s="81"/>
      <c r="S140" s="81"/>
      <c r="T140" s="81"/>
      <c r="U140" s="81"/>
      <c r="V140" s="81"/>
      <c r="W140" s="81"/>
      <c r="X140" s="81"/>
      <c r="Y140" s="81"/>
      <c r="AB140" s="184"/>
    </row>
    <row r="141" spans="7:28" s="74" customFormat="1" ht="11.25" customHeight="1" x14ac:dyDescent="0.2">
      <c r="G141" s="80"/>
      <c r="H141" s="80"/>
      <c r="I141" s="81"/>
      <c r="J141" s="81"/>
      <c r="K141" s="81"/>
      <c r="L141" s="81"/>
      <c r="M141" s="81"/>
      <c r="N141" s="81"/>
      <c r="O141" s="81"/>
      <c r="P141" s="81"/>
      <c r="Q141" s="81"/>
      <c r="R141" s="81"/>
      <c r="S141" s="81"/>
      <c r="T141" s="81"/>
      <c r="U141" s="81"/>
      <c r="V141" s="81"/>
      <c r="W141" s="81"/>
      <c r="X141" s="81"/>
      <c r="Y141" s="81"/>
      <c r="AB141" s="184"/>
    </row>
    <row r="142" spans="7:28" s="74" customFormat="1" ht="11.25" customHeight="1" x14ac:dyDescent="0.2">
      <c r="G142" s="80"/>
      <c r="H142" s="80"/>
      <c r="I142" s="81"/>
      <c r="J142" s="81"/>
      <c r="K142" s="81"/>
      <c r="L142" s="81"/>
      <c r="M142" s="81"/>
      <c r="N142" s="81"/>
      <c r="O142" s="81"/>
      <c r="P142" s="81"/>
      <c r="Q142" s="81"/>
      <c r="R142" s="81"/>
      <c r="S142" s="81"/>
      <c r="T142" s="81"/>
      <c r="U142" s="81"/>
      <c r="V142" s="81"/>
      <c r="W142" s="81"/>
      <c r="X142" s="81"/>
      <c r="Y142" s="81"/>
      <c r="AB142" s="184"/>
    </row>
    <row r="143" spans="7:28" s="74" customFormat="1" ht="11.25" customHeight="1" x14ac:dyDescent="0.2">
      <c r="G143" s="80"/>
      <c r="H143" s="80"/>
      <c r="I143" s="81"/>
      <c r="J143" s="81"/>
      <c r="K143" s="81"/>
      <c r="L143" s="81"/>
      <c r="M143" s="81"/>
      <c r="N143" s="81"/>
      <c r="O143" s="81"/>
      <c r="P143" s="81"/>
      <c r="Q143" s="81"/>
      <c r="R143" s="81"/>
      <c r="S143" s="81"/>
      <c r="T143" s="81"/>
      <c r="U143" s="81"/>
      <c r="V143" s="81"/>
      <c r="W143" s="81"/>
      <c r="X143" s="81"/>
      <c r="Y143" s="81"/>
      <c r="AB143" s="184"/>
    </row>
    <row r="144" spans="7:28" s="74" customFormat="1" ht="11.25" customHeight="1" x14ac:dyDescent="0.2">
      <c r="G144" s="80"/>
      <c r="H144" s="80"/>
      <c r="I144" s="81"/>
      <c r="J144" s="81"/>
      <c r="K144" s="81"/>
      <c r="L144" s="81"/>
      <c r="M144" s="81"/>
      <c r="N144" s="81"/>
      <c r="O144" s="81"/>
      <c r="P144" s="81"/>
      <c r="Q144" s="81"/>
      <c r="R144" s="81"/>
      <c r="S144" s="81"/>
      <c r="T144" s="81"/>
      <c r="U144" s="81"/>
      <c r="V144" s="81"/>
      <c r="W144" s="81"/>
      <c r="X144" s="81"/>
      <c r="Y144" s="81"/>
      <c r="AB144" s="184"/>
    </row>
    <row r="145" spans="7:28" s="74" customFormat="1" ht="11.25" customHeight="1" x14ac:dyDescent="0.2">
      <c r="G145" s="80"/>
      <c r="H145" s="80"/>
      <c r="I145" s="81"/>
      <c r="J145" s="81"/>
      <c r="K145" s="81"/>
      <c r="L145" s="81"/>
      <c r="M145" s="81"/>
      <c r="N145" s="81"/>
      <c r="O145" s="81"/>
      <c r="P145" s="81"/>
      <c r="Q145" s="81"/>
      <c r="R145" s="81"/>
      <c r="S145" s="81"/>
      <c r="T145" s="81"/>
      <c r="U145" s="81"/>
      <c r="V145" s="81"/>
      <c r="W145" s="81"/>
      <c r="X145" s="81"/>
      <c r="Y145" s="81"/>
      <c r="AB145" s="184"/>
    </row>
    <row r="146" spans="7:28" s="74" customFormat="1" ht="11.25" customHeight="1" x14ac:dyDescent="0.2">
      <c r="G146" s="80"/>
      <c r="H146" s="80"/>
      <c r="I146" s="81"/>
      <c r="J146" s="81"/>
      <c r="K146" s="81"/>
      <c r="L146" s="81"/>
      <c r="M146" s="81"/>
      <c r="N146" s="81"/>
      <c r="O146" s="81"/>
      <c r="P146" s="81"/>
      <c r="Q146" s="81"/>
      <c r="R146" s="81"/>
      <c r="S146" s="81"/>
      <c r="T146" s="81"/>
      <c r="U146" s="81"/>
      <c r="V146" s="81"/>
      <c r="W146" s="81"/>
      <c r="X146" s="81"/>
      <c r="Y146" s="81"/>
      <c r="AB146" s="184"/>
    </row>
    <row r="147" spans="7:28" s="74" customFormat="1" ht="11.25" customHeight="1" x14ac:dyDescent="0.2">
      <c r="G147" s="80"/>
      <c r="H147" s="80"/>
      <c r="I147" s="81"/>
      <c r="J147" s="81"/>
      <c r="K147" s="81"/>
      <c r="L147" s="81"/>
      <c r="M147" s="81"/>
      <c r="N147" s="81"/>
      <c r="O147" s="81"/>
      <c r="P147" s="81"/>
      <c r="Q147" s="81"/>
      <c r="R147" s="81"/>
      <c r="S147" s="81"/>
      <c r="T147" s="81"/>
      <c r="U147" s="81"/>
      <c r="V147" s="81"/>
      <c r="W147" s="81"/>
      <c r="X147" s="81"/>
      <c r="Y147" s="81"/>
      <c r="AB147" s="184"/>
    </row>
    <row r="148" spans="7:28" s="74" customFormat="1" ht="11.25" customHeight="1" x14ac:dyDescent="0.2">
      <c r="G148" s="80"/>
      <c r="H148" s="80"/>
      <c r="I148" s="81"/>
      <c r="J148" s="81"/>
      <c r="K148" s="81"/>
      <c r="L148" s="81"/>
      <c r="M148" s="81"/>
      <c r="N148" s="81"/>
      <c r="O148" s="81"/>
      <c r="P148" s="81"/>
      <c r="Q148" s="81"/>
      <c r="R148" s="81"/>
      <c r="S148" s="81"/>
      <c r="T148" s="81"/>
      <c r="U148" s="81"/>
      <c r="V148" s="81"/>
      <c r="W148" s="81"/>
      <c r="X148" s="81"/>
      <c r="Y148" s="81"/>
      <c r="AB148" s="184"/>
    </row>
    <row r="149" spans="7:28" s="74" customFormat="1" ht="11.25" customHeight="1" x14ac:dyDescent="0.2">
      <c r="G149" s="80"/>
      <c r="H149" s="80"/>
      <c r="I149" s="81"/>
      <c r="J149" s="81"/>
      <c r="K149" s="81"/>
      <c r="L149" s="81"/>
      <c r="M149" s="81"/>
      <c r="N149" s="81"/>
      <c r="O149" s="81"/>
      <c r="P149" s="81"/>
      <c r="Q149" s="81"/>
      <c r="R149" s="81"/>
      <c r="S149" s="81"/>
      <c r="T149" s="81"/>
      <c r="U149" s="81"/>
      <c r="V149" s="81"/>
      <c r="W149" s="81"/>
      <c r="X149" s="81"/>
      <c r="Y149" s="81"/>
      <c r="AB149" s="184"/>
    </row>
  </sheetData>
  <sheetProtection sheet="1" objects="1" scenarios="1"/>
  <mergeCells count="31">
    <mergeCell ref="B106:F107"/>
    <mergeCell ref="B108:F109"/>
    <mergeCell ref="B110:F111"/>
    <mergeCell ref="B112:F113"/>
    <mergeCell ref="B96:F97"/>
    <mergeCell ref="B98:F99"/>
    <mergeCell ref="B100:F101"/>
    <mergeCell ref="B102:F103"/>
    <mergeCell ref="B104:F105"/>
    <mergeCell ref="B63:B65"/>
    <mergeCell ref="B66:B67"/>
    <mergeCell ref="D7:D9"/>
    <mergeCell ref="B15:B19"/>
    <mergeCell ref="B7:B14"/>
    <mergeCell ref="B20:B24"/>
    <mergeCell ref="B114:F115"/>
    <mergeCell ref="B25:B36"/>
    <mergeCell ref="B37:B38"/>
    <mergeCell ref="B42:B54"/>
    <mergeCell ref="B55:B57"/>
    <mergeCell ref="B58:B59"/>
    <mergeCell ref="B86:F87"/>
    <mergeCell ref="B88:F89"/>
    <mergeCell ref="B90:F91"/>
    <mergeCell ref="B92:F93"/>
    <mergeCell ref="B94:F95"/>
    <mergeCell ref="B76:F77"/>
    <mergeCell ref="B78:F79"/>
    <mergeCell ref="B80:F81"/>
    <mergeCell ref="B82:F83"/>
    <mergeCell ref="B84:F85"/>
  </mergeCells>
  <conditionalFormatting sqref="A117:A149">
    <cfRule type="containsErrors" dxfId="1069" priority="1">
      <formula>ISERROR(A117)</formula>
    </cfRule>
  </conditionalFormatting>
  <hyperlinks>
    <hyperlink ref="B80:F81" location="IDACI!A1" display="IDACI" xr:uid="{AEDA2E02-822E-4ECB-A89C-418A956F95D0}"/>
    <hyperlink ref="B104:F105" location="ROSGO!A1" display="Child Arrangement &amp; Special Guardianship Orders" xr:uid="{F03A3B4F-8507-47FD-8402-4A28F676BF0D}"/>
    <hyperlink ref="B84:F85" location="EH_Referrals!A1" display="Early Help Referrals" xr:uid="{2CF1156E-9D95-4529-AA63-4BF133AB097F}"/>
    <hyperlink ref="B104:E105" location="ROSGO!A1" display="Child Arrangement &amp; Special Guardianship Orders" xr:uid="{3CF3880F-0E39-419A-8B56-5E5D6C3A9DA0}"/>
    <hyperlink ref="B84:E85" location="EH_Referrals!A1" display="Early Help Referrals" xr:uid="{1A39AA5B-0888-423E-B235-427AD9DAC392}"/>
    <hyperlink ref="B82:D83" location="IDACI!A1" display="IDACI" xr:uid="{5FCA2992-923E-45E4-BEB1-F1F3A25AB976}"/>
    <hyperlink ref="B78:D79" location="Indicators!A1" display="Indicators" xr:uid="{EBD61954-E4AA-4BF7-A750-B409C839ADA0}"/>
    <hyperlink ref="B106:D107" location="New_Ceased_LAC!A1" display="New/ Ceased Looked After Children" xr:uid="{0B563AAE-4B6D-46AE-9E13-06CFBEEC914D}"/>
    <hyperlink ref="B110:D111" location="Care_Leavers!A1" display="Care Leavers" xr:uid="{34352085-2E10-4DCC-BA1A-C0D635BAC321}"/>
    <hyperlink ref="B114:D115" location="Offending!A1" display="Offending" xr:uid="{1EF23758-8156-46AC-B264-671E1CB56BFE}"/>
    <hyperlink ref="B112:D113" location="EHCP!A1" display="Education Health and Care Plans (EHCP)" xr:uid="{BB6405A9-A386-4B66-86A5-EF9CD3A4D73C}"/>
    <hyperlink ref="B80:B81" location="Coverage!A1" display="Participating LA's" xr:uid="{F19FC2AC-7EC2-48B1-939A-763A4FE29A86}"/>
    <hyperlink ref="B82:B83" location="IDACI!A1" display="IDACI" xr:uid="{31107718-F93B-4ED6-AA7F-97A6C14834D9}"/>
    <hyperlink ref="B108:B109" location="Adoption!A1" display="Adoption" xr:uid="{81EE810B-3A50-4928-B64B-3704154770A3}"/>
    <hyperlink ref="B104:B105" location="'Looked After Children'!A1" display="Looked After Children" xr:uid="{84E130BB-0B74-4361-A789-4BADBE34B389}"/>
    <hyperlink ref="B102:B103" location="'Court Applications'!A1" display="Court Applications" xr:uid="{30E82D78-4AD5-4819-B3FA-EFE5E3D7B0D3}"/>
    <hyperlink ref="B100:B101" location="'Child Protection Plans'!A1" display="Child Protection Plans" xr:uid="{7B288ABF-EAB7-4367-9ED4-0C1B3EEEE60E}"/>
    <hyperlink ref="B98:B99" location="'Initial CP Conferences'!A1" display="Initial Child Protection Conferences" xr:uid="{016E3E9F-DC6F-488F-ADCE-50F0B76B531F}"/>
    <hyperlink ref="B96:B97" location="'Section 47 Enquiries'!A1" display="Section 47 Enquiries" xr:uid="{8CF76CBD-5DF8-4605-875B-F3BA07121AA1}"/>
    <hyperlink ref="B94:B95" location="'Children in Need'!A1" display="Children in Need" xr:uid="{7FBDD106-FA95-4985-9346-C13C79D2C3B3}"/>
    <hyperlink ref="B92:B93" location="Assessments!A1" display="Assessments" xr:uid="{2985BAB7-DD83-4889-AFC5-580F57343D40}"/>
    <hyperlink ref="B90:B91" location="'Re-referrals'!A1" display="Re-referrals" xr:uid="{31A1AD6A-E8F6-4901-831D-51E140B8527B}"/>
    <hyperlink ref="B88:B89" location="Referral_Source!A1" display="Referral Source" xr:uid="{6CFE7002-7B61-4C92-8B55-50D87EFBDBD6}"/>
    <hyperlink ref="B86:B87" location="Referrals!A1" display="Referrals" xr:uid="{BD480C61-6944-4D3A-B050-7161BF67FC01}"/>
    <hyperlink ref="B84:B85" location="Population!A1" display="Population" xr:uid="{0377B345-2B49-4210-A8D6-C424303CE43F}"/>
    <hyperlink ref="B82:C83" location="IDACI!A1" display="IDACI" xr:uid="{6727DA08-F133-4647-BA0E-78FA64963045}"/>
    <hyperlink ref="B78:B79" location="Coverage!A1" display="Participating LA's" xr:uid="{BC486CE3-9718-4C6F-8629-F1CB21EC9926}"/>
    <hyperlink ref="B78:C79" location="Indicators!A1" display="Indicators" xr:uid="{8B6E138B-FEBC-40E5-A4E8-1BBC3D8B8DCE}"/>
    <hyperlink ref="B110:B111" location="'Looked After Children'!A1" display="Looked After Children" xr:uid="{C068A047-6B2C-45EB-B746-E25EE0085E83}"/>
    <hyperlink ref="B106:B107" location="'Court Applications'!A1" display="Court Applications" xr:uid="{9DA1B091-0C70-45CE-93DE-94F09B1175A4}"/>
    <hyperlink ref="B106:C107" location="New_Ceased_LAC!A1" display="New/ Ceased Looked After Children" xr:uid="{A57B58A9-DCF5-4E50-8B42-CAC8D768A6DA}"/>
    <hyperlink ref="B110:C111" location="Care_Leavers!A1" display="Care Leavers" xr:uid="{6FB3C9D1-FFEE-4000-BB6C-C76620E570D1}"/>
    <hyperlink ref="B113:B115" location="Adoption!A1" display="Adoption" xr:uid="{8846D79B-91D2-4F18-B2E0-7EF09108EC66}"/>
    <hyperlink ref="B114:B115" location="'Looked After Children'!A1" display="Looked After Children" xr:uid="{19A13C2A-2E1D-4306-8601-8D71F7174686}"/>
    <hyperlink ref="B114:C115" location="Offending!A1" display="Offending" xr:uid="{F46EACBE-B59F-463C-B8B7-F94BE87933FF}"/>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FFC000"/>
  </sheetPr>
  <dimension ref="A1:BN403"/>
  <sheetViews>
    <sheetView showRowColHeaders="0" workbookViewId="0">
      <selection activeCell="O21" sqref="O21"/>
    </sheetView>
  </sheetViews>
  <sheetFormatPr defaultColWidth="9.140625" defaultRowHeight="11.25" customHeight="1" x14ac:dyDescent="0.2"/>
  <cols>
    <col min="1" max="1" width="2.140625" style="75" customWidth="1"/>
    <col min="2" max="2" width="11.42578125" style="75" customWidth="1"/>
    <col min="3" max="3" width="18.85546875" style="75" bestFit="1" customWidth="1"/>
    <col min="4" max="4" width="14.5703125" style="75" customWidth="1"/>
    <col min="5" max="5" width="10.140625" style="75" customWidth="1"/>
    <col min="6" max="27" width="3.5703125" style="75" customWidth="1"/>
    <col min="28" max="28" width="2.28515625" style="75" customWidth="1"/>
    <col min="29" max="29" width="6.42578125" style="75" customWidth="1"/>
    <col min="30" max="30" width="12.140625" style="75" hidden="1" customWidth="1"/>
    <col min="31" max="31" width="9.140625" style="75" hidden="1" customWidth="1"/>
    <col min="32" max="32" width="12.140625" style="75" hidden="1" customWidth="1"/>
    <col min="33" max="36" width="9.140625" style="75" customWidth="1"/>
    <col min="37" max="16384" width="9.140625" style="75"/>
  </cols>
  <sheetData>
    <row r="1" spans="1:40" s="74" customFormat="1" ht="18.75" customHeight="1" x14ac:dyDescent="0.2">
      <c r="A1" s="112"/>
      <c r="B1" s="218"/>
      <c r="C1" s="218"/>
      <c r="D1" s="218"/>
      <c r="E1" s="218"/>
      <c r="F1" s="218"/>
      <c r="G1" s="218"/>
      <c r="H1" s="218"/>
      <c r="I1" s="218"/>
      <c r="J1" s="218"/>
      <c r="K1" s="219"/>
      <c r="L1" s="218"/>
      <c r="M1" s="218"/>
      <c r="N1" s="218"/>
      <c r="O1" s="218"/>
      <c r="P1" s="218"/>
      <c r="Q1" s="218"/>
      <c r="R1" s="218"/>
      <c r="S1" s="218"/>
      <c r="T1" s="218"/>
      <c r="U1" s="218"/>
      <c r="V1" s="218"/>
      <c r="W1" s="218"/>
      <c r="X1" s="218"/>
      <c r="Y1" s="218"/>
      <c r="Z1" s="269"/>
      <c r="AA1" s="269"/>
      <c r="AB1" s="220"/>
      <c r="AC1" s="275"/>
      <c r="AD1" s="180"/>
      <c r="AE1" s="180"/>
      <c r="AF1" s="180"/>
      <c r="AG1" s="180"/>
      <c r="AH1" s="180"/>
      <c r="AI1" s="180"/>
      <c r="AJ1" s="180"/>
      <c r="AK1" s="180"/>
      <c r="AL1" s="184"/>
      <c r="AM1" s="184"/>
      <c r="AN1" s="184"/>
    </row>
    <row r="2" spans="1:40" s="74" customFormat="1" ht="18.75" customHeight="1" x14ac:dyDescent="0.2">
      <c r="A2" s="118"/>
      <c r="B2" s="270" t="s">
        <v>112</v>
      </c>
      <c r="C2" s="58"/>
      <c r="D2" s="58"/>
      <c r="E2" s="58"/>
      <c r="F2" s="58"/>
      <c r="G2" s="58"/>
      <c r="H2" s="58"/>
      <c r="I2" s="58"/>
      <c r="J2" s="58"/>
      <c r="K2" s="66"/>
      <c r="L2" s="58"/>
      <c r="M2" s="58"/>
      <c r="N2" s="58"/>
      <c r="O2" s="58"/>
      <c r="P2" s="58"/>
      <c r="Q2" s="58"/>
      <c r="R2" s="58"/>
      <c r="S2" s="58"/>
      <c r="T2" s="58"/>
      <c r="U2" s="58"/>
      <c r="V2" s="58"/>
      <c r="W2" s="58"/>
      <c r="X2" s="58"/>
      <c r="Y2" s="58"/>
      <c r="Z2" s="64"/>
      <c r="AA2" s="64"/>
      <c r="AB2" s="244"/>
      <c r="AC2" s="161"/>
      <c r="AD2" s="81"/>
      <c r="AE2" s="77" t="str">
        <f>Home!$D$10</f>
        <v>(none)</v>
      </c>
      <c r="AF2" s="81"/>
      <c r="AG2" s="81"/>
      <c r="AH2" s="81"/>
      <c r="AI2" s="81"/>
      <c r="AJ2" s="81"/>
      <c r="AK2" s="81"/>
      <c r="AL2" s="184"/>
      <c r="AM2" s="184"/>
      <c r="AN2" s="184"/>
    </row>
    <row r="3" spans="1:40" s="74" customFormat="1" ht="18.75" customHeight="1" x14ac:dyDescent="0.2">
      <c r="A3" s="266"/>
      <c r="B3" s="271"/>
      <c r="C3" s="271"/>
      <c r="D3" s="287"/>
      <c r="E3" s="271"/>
      <c r="F3" s="271"/>
      <c r="G3" s="271"/>
      <c r="H3" s="271"/>
      <c r="I3" s="271"/>
      <c r="J3" s="271"/>
      <c r="K3" s="272"/>
      <c r="L3" s="271"/>
      <c r="M3" s="271"/>
      <c r="N3" s="271"/>
      <c r="O3" s="271"/>
      <c r="P3" s="271"/>
      <c r="Q3" s="271"/>
      <c r="R3" s="271"/>
      <c r="S3" s="271"/>
      <c r="T3" s="271"/>
      <c r="U3" s="271"/>
      <c r="V3" s="271"/>
      <c r="W3" s="287"/>
      <c r="X3" s="271"/>
      <c r="Y3" s="271"/>
      <c r="Z3" s="273"/>
      <c r="AA3" s="273"/>
      <c r="AB3" s="274"/>
      <c r="AC3" s="161"/>
      <c r="AD3" s="81"/>
      <c r="AE3" s="81"/>
      <c r="AF3" s="81"/>
      <c r="AG3" s="81"/>
      <c r="AH3" s="81"/>
      <c r="AI3" s="81"/>
      <c r="AJ3" s="81"/>
      <c r="AK3" s="81"/>
      <c r="AL3" s="184"/>
      <c r="AM3" s="184"/>
      <c r="AN3" s="184"/>
    </row>
    <row r="4" spans="1:40" ht="11.25" customHeight="1" x14ac:dyDescent="0.2">
      <c r="A4" s="237"/>
      <c r="B4" s="238"/>
      <c r="C4" s="238"/>
      <c r="D4" s="238"/>
      <c r="E4" s="238"/>
      <c r="F4" s="238"/>
      <c r="G4" s="238"/>
      <c r="H4" s="238"/>
      <c r="I4" s="238"/>
      <c r="J4" s="238"/>
      <c r="K4" s="238"/>
      <c r="L4" s="238"/>
      <c r="M4" s="238"/>
      <c r="N4" s="238"/>
      <c r="O4" s="238"/>
      <c r="P4" s="238"/>
      <c r="Q4" s="238"/>
      <c r="R4" s="238"/>
      <c r="S4" s="238"/>
      <c r="T4" s="238"/>
      <c r="U4" s="238"/>
      <c r="V4" s="238"/>
      <c r="W4" s="238"/>
      <c r="X4" s="238"/>
      <c r="Y4" s="238"/>
      <c r="Z4" s="238"/>
      <c r="AA4" s="238"/>
      <c r="AB4" s="256"/>
      <c r="AC4" s="236"/>
    </row>
    <row r="5" spans="1:40" s="78" customFormat="1" ht="15" x14ac:dyDescent="0.2">
      <c r="A5" s="240"/>
      <c r="B5" s="59" t="s">
        <v>81</v>
      </c>
      <c r="C5" s="60"/>
      <c r="D5" s="60"/>
      <c r="E5" s="60"/>
      <c r="F5" s="60"/>
      <c r="G5" s="60"/>
      <c r="H5" s="60"/>
      <c r="I5" s="60"/>
      <c r="J5" s="60"/>
      <c r="K5" s="60"/>
      <c r="L5" s="60"/>
      <c r="M5" s="60"/>
      <c r="N5" s="60"/>
      <c r="O5" s="60"/>
      <c r="P5" s="60"/>
      <c r="Q5" s="60"/>
      <c r="R5" s="60"/>
      <c r="S5" s="60"/>
      <c r="T5" s="60"/>
      <c r="U5" s="60"/>
      <c r="V5" s="60"/>
      <c r="W5" s="60"/>
      <c r="X5" s="60"/>
      <c r="Y5" s="60"/>
      <c r="Z5" s="60"/>
      <c r="AA5" s="60"/>
      <c r="AB5" s="257"/>
      <c r="AC5" s="276"/>
    </row>
    <row r="6" spans="1:40" ht="20.25" customHeight="1" x14ac:dyDescent="0.2">
      <c r="A6" s="239"/>
      <c r="B6" s="1703" t="s">
        <v>99</v>
      </c>
      <c r="C6" s="1704"/>
      <c r="D6" s="1704"/>
      <c r="E6" s="1704"/>
      <c r="F6" s="1704"/>
      <c r="G6" s="1704"/>
      <c r="H6" s="1704"/>
      <c r="I6" s="1704"/>
      <c r="J6" s="1704"/>
      <c r="K6" s="1704"/>
      <c r="L6" s="1704"/>
      <c r="M6" s="1704"/>
      <c r="N6" s="1704"/>
      <c r="O6" s="1704"/>
      <c r="P6" s="1704"/>
      <c r="Q6" s="1704"/>
      <c r="R6" s="1704"/>
      <c r="S6" s="1704"/>
      <c r="T6" s="1704"/>
      <c r="U6" s="1704"/>
      <c r="V6" s="1704"/>
      <c r="W6" s="1704"/>
      <c r="X6" s="1704"/>
      <c r="Y6" s="1704"/>
      <c r="Z6" s="1704"/>
      <c r="AA6" s="1704"/>
      <c r="AB6" s="258"/>
      <c r="AC6" s="236"/>
    </row>
    <row r="7" spans="1:40" s="86" customFormat="1" ht="13.5" customHeight="1" x14ac:dyDescent="0.2">
      <c r="A7" s="241"/>
      <c r="B7" s="1698" t="s">
        <v>83</v>
      </c>
      <c r="C7" s="1710" t="s">
        <v>29</v>
      </c>
      <c r="D7" s="1692" t="s">
        <v>117</v>
      </c>
      <c r="E7" s="1689" t="s">
        <v>118</v>
      </c>
      <c r="F7" s="1695" t="s">
        <v>75</v>
      </c>
      <c r="G7" s="1696"/>
      <c r="H7" s="1696"/>
      <c r="I7" s="1696"/>
      <c r="J7" s="1696"/>
      <c r="K7" s="1696"/>
      <c r="L7" s="1696"/>
      <c r="M7" s="1696"/>
      <c r="N7" s="1696"/>
      <c r="O7" s="1696"/>
      <c r="P7" s="1696"/>
      <c r="Q7" s="1696"/>
      <c r="R7" s="1696"/>
      <c r="S7" s="1696"/>
      <c r="T7" s="1696"/>
      <c r="U7" s="1696"/>
      <c r="V7" s="1696"/>
      <c r="W7" s="1696"/>
      <c r="X7" s="1696"/>
      <c r="Y7" s="1696"/>
      <c r="Z7" s="1696"/>
      <c r="AA7" s="1697"/>
      <c r="AB7" s="259"/>
      <c r="AC7" s="253"/>
    </row>
    <row r="8" spans="1:40" ht="57" customHeight="1" x14ac:dyDescent="0.2">
      <c r="A8" s="239"/>
      <c r="B8" s="1699"/>
      <c r="C8" s="1711"/>
      <c r="D8" s="1693"/>
      <c r="E8" s="1690"/>
      <c r="F8" s="1707" t="s">
        <v>0</v>
      </c>
      <c r="G8" s="1701" t="s">
        <v>31</v>
      </c>
      <c r="H8" s="1701" t="s">
        <v>8</v>
      </c>
      <c r="I8" s="1701" t="s">
        <v>4</v>
      </c>
      <c r="J8" s="1701" t="s">
        <v>6</v>
      </c>
      <c r="K8" s="1701" t="s">
        <v>1</v>
      </c>
      <c r="L8" s="1701" t="s">
        <v>9</v>
      </c>
      <c r="M8" s="1701" t="s">
        <v>2</v>
      </c>
      <c r="N8" s="1701" t="s">
        <v>10</v>
      </c>
      <c r="O8" s="1701" t="s">
        <v>11</v>
      </c>
      <c r="P8" s="1701" t="s">
        <v>12</v>
      </c>
      <c r="Q8" s="1701" t="s">
        <v>3</v>
      </c>
      <c r="R8" s="1701" t="s">
        <v>13</v>
      </c>
      <c r="S8" s="1701" t="s">
        <v>95</v>
      </c>
      <c r="T8" s="1701" t="s">
        <v>14</v>
      </c>
      <c r="U8" s="1701" t="s">
        <v>7</v>
      </c>
      <c r="V8" s="1709" t="s">
        <v>113</v>
      </c>
      <c r="W8" s="1709" t="s">
        <v>114</v>
      </c>
      <c r="X8" s="1701" t="s">
        <v>15</v>
      </c>
      <c r="Y8" s="1701" t="s">
        <v>5</v>
      </c>
      <c r="Z8" s="1701" t="s">
        <v>30</v>
      </c>
      <c r="AA8" s="1705" t="s">
        <v>16</v>
      </c>
      <c r="AB8" s="258"/>
      <c r="AC8" s="252"/>
      <c r="AD8" s="1564"/>
      <c r="AE8" s="1564"/>
      <c r="AF8" s="1564"/>
      <c r="AG8" s="1565"/>
    </row>
    <row r="9" spans="1:40" ht="11.25" customHeight="1" x14ac:dyDescent="0.2">
      <c r="A9" s="239"/>
      <c r="B9" s="1700"/>
      <c r="C9" s="1712"/>
      <c r="D9" s="1694"/>
      <c r="E9" s="1691"/>
      <c r="F9" s="1708"/>
      <c r="G9" s="1702"/>
      <c r="H9" s="1702"/>
      <c r="I9" s="1702"/>
      <c r="J9" s="1702"/>
      <c r="K9" s="1702"/>
      <c r="L9" s="1702"/>
      <c r="M9" s="1702"/>
      <c r="N9" s="1702"/>
      <c r="O9" s="1702"/>
      <c r="P9" s="1702"/>
      <c r="Q9" s="1702"/>
      <c r="R9" s="1702"/>
      <c r="S9" s="1702"/>
      <c r="T9" s="1702"/>
      <c r="U9" s="1702"/>
      <c r="V9" s="1702"/>
      <c r="W9" s="1702"/>
      <c r="X9" s="1702"/>
      <c r="Y9" s="1702"/>
      <c r="Z9" s="1702"/>
      <c r="AA9" s="1706"/>
      <c r="AB9" s="258"/>
      <c r="AC9" s="252"/>
      <c r="AD9" s="1564"/>
      <c r="AE9" s="1564"/>
      <c r="AF9" s="1564"/>
      <c r="AG9" s="1565"/>
    </row>
    <row r="10" spans="1:40" ht="13.5" customHeight="1" x14ac:dyDescent="0.2">
      <c r="A10" s="239"/>
      <c r="B10" s="733" t="s">
        <v>74</v>
      </c>
      <c r="C10" s="305" t="s">
        <v>0</v>
      </c>
      <c r="D10" s="418" t="s">
        <v>899</v>
      </c>
      <c r="E10" s="310" t="s">
        <v>120</v>
      </c>
      <c r="F10" s="303"/>
      <c r="G10" s="25"/>
      <c r="H10" s="26" t="s">
        <v>33</v>
      </c>
      <c r="I10" s="27"/>
      <c r="J10" s="26" t="s">
        <v>33</v>
      </c>
      <c r="K10" s="27"/>
      <c r="L10" s="27"/>
      <c r="M10" s="27"/>
      <c r="N10" s="27"/>
      <c r="O10" s="27"/>
      <c r="P10" s="27"/>
      <c r="Q10" s="27"/>
      <c r="R10" s="27"/>
      <c r="S10" s="27"/>
      <c r="T10" s="27"/>
      <c r="U10" s="26" t="s">
        <v>33</v>
      </c>
      <c r="V10" s="289"/>
      <c r="W10" s="289"/>
      <c r="X10" s="27"/>
      <c r="Y10" s="27"/>
      <c r="Z10" s="26" t="s">
        <v>33</v>
      </c>
      <c r="AA10" s="28"/>
      <c r="AB10" s="258"/>
      <c r="AC10" s="252"/>
      <c r="AD10" s="1564"/>
      <c r="AE10" s="1564"/>
      <c r="AF10" s="1564"/>
      <c r="AG10" s="1565"/>
    </row>
    <row r="11" spans="1:40" ht="13.5" customHeight="1" x14ac:dyDescent="0.2">
      <c r="A11" s="239"/>
      <c r="B11" s="733" t="s">
        <v>74</v>
      </c>
      <c r="C11" s="306" t="s">
        <v>31</v>
      </c>
      <c r="D11" s="418" t="s">
        <v>185</v>
      </c>
      <c r="E11" s="309" t="s">
        <v>125</v>
      </c>
      <c r="F11" s="303"/>
      <c r="G11" s="25"/>
      <c r="H11" s="27"/>
      <c r="I11" s="27"/>
      <c r="J11" s="27"/>
      <c r="K11" s="27"/>
      <c r="L11" s="27"/>
      <c r="M11" s="27"/>
      <c r="N11" s="27"/>
      <c r="O11" s="27"/>
      <c r="P11" s="26" t="s">
        <v>33</v>
      </c>
      <c r="Q11" s="26" t="s">
        <v>33</v>
      </c>
      <c r="R11" s="27"/>
      <c r="S11" s="27"/>
      <c r="T11" s="26" t="s">
        <v>33</v>
      </c>
      <c r="U11" s="27"/>
      <c r="V11" s="290"/>
      <c r="W11" s="290"/>
      <c r="X11" s="27"/>
      <c r="Y11" s="27"/>
      <c r="Z11" s="29"/>
      <c r="AA11" s="30"/>
      <c r="AB11" s="258"/>
      <c r="AC11" s="252"/>
      <c r="AD11" s="1564"/>
      <c r="AE11" s="1564"/>
      <c r="AF11" s="1564"/>
      <c r="AG11" s="1565"/>
    </row>
    <row r="12" spans="1:40" ht="13.5" customHeight="1" x14ac:dyDescent="0.2">
      <c r="A12" s="239"/>
      <c r="B12" s="733" t="s">
        <v>74</v>
      </c>
      <c r="C12" s="306" t="s">
        <v>8</v>
      </c>
      <c r="D12" s="418" t="s">
        <v>121</v>
      </c>
      <c r="E12" s="309" t="s">
        <v>120</v>
      </c>
      <c r="F12" s="304" t="s">
        <v>33</v>
      </c>
      <c r="G12" s="25"/>
      <c r="H12" s="27"/>
      <c r="I12" s="27"/>
      <c r="J12" s="26" t="s">
        <v>33</v>
      </c>
      <c r="K12" s="27"/>
      <c r="L12" s="27"/>
      <c r="M12" s="27"/>
      <c r="N12" s="27"/>
      <c r="O12" s="26" t="s">
        <v>33</v>
      </c>
      <c r="P12" s="27"/>
      <c r="Q12" s="27"/>
      <c r="R12" s="27"/>
      <c r="S12" s="27"/>
      <c r="T12" s="27"/>
      <c r="U12" s="26" t="s">
        <v>33</v>
      </c>
      <c r="V12" s="289"/>
      <c r="W12" s="289"/>
      <c r="X12" s="26" t="s">
        <v>33</v>
      </c>
      <c r="Y12" s="27"/>
      <c r="Z12" s="26" t="s">
        <v>33</v>
      </c>
      <c r="AA12" s="31" t="s">
        <v>33</v>
      </c>
      <c r="AB12" s="258"/>
      <c r="AC12" s="252"/>
      <c r="AD12" s="1564"/>
      <c r="AE12" s="1564"/>
      <c r="AF12" s="1564"/>
      <c r="AG12" s="1565"/>
    </row>
    <row r="13" spans="1:40" ht="13.5" customHeight="1" x14ac:dyDescent="0.2">
      <c r="A13" s="239"/>
      <c r="B13" s="733" t="s">
        <v>74</v>
      </c>
      <c r="C13" s="306" t="s">
        <v>4</v>
      </c>
      <c r="D13" s="418" t="s">
        <v>121</v>
      </c>
      <c r="E13" s="309" t="s">
        <v>120</v>
      </c>
      <c r="F13" s="303"/>
      <c r="G13" s="25"/>
      <c r="H13" s="27"/>
      <c r="I13" s="27"/>
      <c r="J13" s="27"/>
      <c r="K13" s="27"/>
      <c r="L13" s="26" t="s">
        <v>33</v>
      </c>
      <c r="M13" s="27"/>
      <c r="N13" s="27"/>
      <c r="O13" s="27"/>
      <c r="P13" s="27"/>
      <c r="Q13" s="27"/>
      <c r="R13" s="27"/>
      <c r="S13" s="26" t="s">
        <v>33</v>
      </c>
      <c r="T13" s="27"/>
      <c r="U13" s="27"/>
      <c r="V13" s="290"/>
      <c r="W13" s="290"/>
      <c r="X13" s="27"/>
      <c r="Y13" s="26" t="s">
        <v>33</v>
      </c>
      <c r="Z13" s="29"/>
      <c r="AA13" s="30"/>
      <c r="AB13" s="258"/>
      <c r="AC13" s="252"/>
      <c r="AD13" s="1564"/>
      <c r="AE13" s="1564"/>
      <c r="AF13" s="1564"/>
      <c r="AG13" s="1565"/>
    </row>
    <row r="14" spans="1:40" ht="13.5" customHeight="1" x14ac:dyDescent="0.2">
      <c r="A14" s="239"/>
      <c r="B14" s="733" t="s">
        <v>74</v>
      </c>
      <c r="C14" s="306" t="s">
        <v>6</v>
      </c>
      <c r="D14" s="418" t="s">
        <v>123</v>
      </c>
      <c r="E14" s="309" t="s">
        <v>125</v>
      </c>
      <c r="F14" s="303"/>
      <c r="G14" s="25"/>
      <c r="H14" s="27"/>
      <c r="I14" s="27"/>
      <c r="J14" s="27"/>
      <c r="K14" s="27"/>
      <c r="L14" s="27"/>
      <c r="M14" s="27"/>
      <c r="N14" s="27"/>
      <c r="O14" s="27"/>
      <c r="P14" s="27"/>
      <c r="Q14" s="27"/>
      <c r="R14" s="27"/>
      <c r="S14" s="27"/>
      <c r="T14" s="27"/>
      <c r="U14" s="27"/>
      <c r="V14" s="290"/>
      <c r="W14" s="290"/>
      <c r="X14" s="26" t="s">
        <v>33</v>
      </c>
      <c r="Y14" s="26" t="s">
        <v>33</v>
      </c>
      <c r="Z14" s="29"/>
      <c r="AA14" s="30"/>
      <c r="AB14" s="258"/>
      <c r="AC14" s="252"/>
      <c r="AD14" s="1564"/>
      <c r="AE14" s="1564"/>
      <c r="AF14" s="1564"/>
      <c r="AG14" s="1565"/>
    </row>
    <row r="15" spans="1:40" ht="13.5" customHeight="1" x14ac:dyDescent="0.2">
      <c r="A15" s="239"/>
      <c r="B15" s="733" t="s">
        <v>74</v>
      </c>
      <c r="C15" s="306" t="s">
        <v>1</v>
      </c>
      <c r="D15" s="418" t="s">
        <v>900</v>
      </c>
      <c r="E15" s="309" t="s">
        <v>125</v>
      </c>
      <c r="F15" s="303"/>
      <c r="G15" s="25"/>
      <c r="H15" s="27"/>
      <c r="I15" s="26" t="s">
        <v>33</v>
      </c>
      <c r="J15" s="27"/>
      <c r="K15" s="27"/>
      <c r="L15" s="27"/>
      <c r="M15" s="27"/>
      <c r="N15" s="27"/>
      <c r="O15" s="27"/>
      <c r="P15" s="27"/>
      <c r="Q15" s="27"/>
      <c r="R15" s="27"/>
      <c r="S15" s="27"/>
      <c r="T15" s="27"/>
      <c r="U15" s="27"/>
      <c r="V15" s="290"/>
      <c r="W15" s="26" t="s">
        <v>33</v>
      </c>
      <c r="X15" s="27"/>
      <c r="Y15" s="27"/>
      <c r="Z15" s="29"/>
      <c r="AA15" s="30"/>
      <c r="AB15" s="258"/>
      <c r="AC15" s="252"/>
      <c r="AD15" s="1564"/>
      <c r="AE15" s="1564"/>
      <c r="AF15" s="1564"/>
      <c r="AG15" s="1565"/>
    </row>
    <row r="16" spans="1:40" ht="13.5" customHeight="1" x14ac:dyDescent="0.2">
      <c r="A16" s="239"/>
      <c r="B16" s="733" t="s">
        <v>74</v>
      </c>
      <c r="C16" s="306" t="s">
        <v>9</v>
      </c>
      <c r="D16" s="418" t="s">
        <v>121</v>
      </c>
      <c r="E16" s="309" t="s">
        <v>120</v>
      </c>
      <c r="F16" s="303"/>
      <c r="G16" s="25"/>
      <c r="H16" s="27"/>
      <c r="I16" s="26" t="s">
        <v>33</v>
      </c>
      <c r="J16" s="27"/>
      <c r="K16" s="27"/>
      <c r="L16" s="27"/>
      <c r="M16" s="27"/>
      <c r="N16" s="27"/>
      <c r="O16" s="27"/>
      <c r="P16" s="27"/>
      <c r="Q16" s="27"/>
      <c r="R16" s="27"/>
      <c r="S16" s="27"/>
      <c r="T16" s="27"/>
      <c r="U16" s="27"/>
      <c r="V16" s="26" t="s">
        <v>33</v>
      </c>
      <c r="W16" s="290"/>
      <c r="X16" s="27"/>
      <c r="Y16" s="26" t="s">
        <v>33</v>
      </c>
      <c r="Z16" s="29"/>
      <c r="AA16" s="30"/>
      <c r="AB16" s="258"/>
      <c r="AC16" s="252"/>
      <c r="AD16" s="1564"/>
      <c r="AE16" s="1564"/>
      <c r="AF16" s="1564"/>
      <c r="AG16" s="1565"/>
    </row>
    <row r="17" spans="1:45" ht="13.5" customHeight="1" x14ac:dyDescent="0.2">
      <c r="A17" s="239"/>
      <c r="B17" s="733" t="s">
        <v>74</v>
      </c>
      <c r="C17" s="306" t="s">
        <v>2</v>
      </c>
      <c r="D17" s="418" t="s">
        <v>124</v>
      </c>
      <c r="E17" s="309" t="s">
        <v>125</v>
      </c>
      <c r="F17" s="303"/>
      <c r="G17" s="25"/>
      <c r="H17" s="27"/>
      <c r="I17" s="27"/>
      <c r="J17" s="27"/>
      <c r="K17" s="27"/>
      <c r="L17" s="26" t="s">
        <v>33</v>
      </c>
      <c r="M17" s="27"/>
      <c r="N17" s="27"/>
      <c r="O17" s="27"/>
      <c r="P17" s="27"/>
      <c r="Q17" s="27"/>
      <c r="R17" s="27"/>
      <c r="S17" s="27"/>
      <c r="T17" s="27"/>
      <c r="U17" s="27"/>
      <c r="V17" s="26" t="s">
        <v>33</v>
      </c>
      <c r="W17" s="290"/>
      <c r="X17" s="27"/>
      <c r="Y17" s="27"/>
      <c r="Z17" s="29"/>
      <c r="AA17" s="30"/>
      <c r="AB17" s="258"/>
      <c r="AC17" s="252"/>
      <c r="AD17" s="1564"/>
      <c r="AE17" s="1564"/>
      <c r="AF17" s="1564"/>
      <c r="AG17" s="1565"/>
    </row>
    <row r="18" spans="1:45" ht="13.5" customHeight="1" x14ac:dyDescent="0.2">
      <c r="A18" s="239"/>
      <c r="B18" s="733" t="s">
        <v>74</v>
      </c>
      <c r="C18" s="306" t="s">
        <v>10</v>
      </c>
      <c r="D18" s="418" t="s">
        <v>121</v>
      </c>
      <c r="E18" s="309" t="s">
        <v>120</v>
      </c>
      <c r="F18" s="303"/>
      <c r="G18" s="25"/>
      <c r="H18" s="27"/>
      <c r="I18" s="27"/>
      <c r="J18" s="27"/>
      <c r="K18" s="27"/>
      <c r="L18" s="26" t="s">
        <v>33</v>
      </c>
      <c r="M18" s="27"/>
      <c r="N18" s="27"/>
      <c r="O18" s="27"/>
      <c r="P18" s="27"/>
      <c r="Q18" s="27"/>
      <c r="R18" s="27"/>
      <c r="S18" s="27"/>
      <c r="T18" s="27"/>
      <c r="U18" s="27"/>
      <c r="V18" s="26" t="s">
        <v>33</v>
      </c>
      <c r="W18" s="290"/>
      <c r="X18" s="27"/>
      <c r="Y18" s="27"/>
      <c r="Z18" s="29"/>
      <c r="AA18" s="30"/>
      <c r="AB18" s="258"/>
      <c r="AC18" s="252"/>
      <c r="AD18" s="1564"/>
      <c r="AE18" s="1564"/>
      <c r="AF18" s="1564"/>
      <c r="AG18" s="1565"/>
    </row>
    <row r="19" spans="1:45" ht="13.5" customHeight="1" x14ac:dyDescent="0.2">
      <c r="A19" s="239"/>
      <c r="B19" s="733" t="s">
        <v>74</v>
      </c>
      <c r="C19" s="306" t="s">
        <v>11</v>
      </c>
      <c r="D19" s="418" t="s">
        <v>186</v>
      </c>
      <c r="E19" s="308"/>
      <c r="F19" s="304" t="s">
        <v>33</v>
      </c>
      <c r="G19" s="25"/>
      <c r="H19" s="26" t="s">
        <v>33</v>
      </c>
      <c r="I19" s="27"/>
      <c r="J19" s="26" t="s">
        <v>33</v>
      </c>
      <c r="K19" s="27"/>
      <c r="L19" s="27"/>
      <c r="M19" s="27"/>
      <c r="N19" s="27"/>
      <c r="O19" s="27"/>
      <c r="P19" s="27"/>
      <c r="Q19" s="27"/>
      <c r="R19" s="27"/>
      <c r="S19" s="27"/>
      <c r="T19" s="27"/>
      <c r="U19" s="26" t="s">
        <v>33</v>
      </c>
      <c r="V19" s="289"/>
      <c r="W19" s="289"/>
      <c r="X19" s="26" t="s">
        <v>33</v>
      </c>
      <c r="Y19" s="27"/>
      <c r="Z19" s="29"/>
      <c r="AA19" s="30"/>
      <c r="AB19" s="258"/>
      <c r="AC19" s="252"/>
      <c r="AD19" s="1564"/>
      <c r="AE19" s="1564"/>
      <c r="AF19" s="1564"/>
      <c r="AG19" s="1565"/>
    </row>
    <row r="20" spans="1:45" ht="13.5" customHeight="1" x14ac:dyDescent="0.2">
      <c r="A20" s="239"/>
      <c r="B20" s="733" t="s">
        <v>74</v>
      </c>
      <c r="C20" s="306" t="s">
        <v>12</v>
      </c>
      <c r="D20" s="418"/>
      <c r="E20" s="308"/>
      <c r="F20" s="303"/>
      <c r="G20" s="25"/>
      <c r="H20" s="27"/>
      <c r="I20" s="27"/>
      <c r="J20" s="27"/>
      <c r="K20" s="27"/>
      <c r="L20" s="27"/>
      <c r="M20" s="27"/>
      <c r="N20" s="27"/>
      <c r="O20" s="27"/>
      <c r="P20" s="27"/>
      <c r="Q20" s="27"/>
      <c r="R20" s="27"/>
      <c r="S20" s="27"/>
      <c r="T20" s="26" t="s">
        <v>33</v>
      </c>
      <c r="U20" s="27"/>
      <c r="V20" s="290"/>
      <c r="W20" s="290"/>
      <c r="X20" s="27"/>
      <c r="Y20" s="27"/>
      <c r="Z20" s="29"/>
      <c r="AA20" s="30"/>
      <c r="AB20" s="258"/>
      <c r="AC20" s="252"/>
      <c r="AD20" s="1564"/>
      <c r="AE20" s="1564"/>
      <c r="AF20" s="1564"/>
      <c r="AG20" s="1565"/>
    </row>
    <row r="21" spans="1:45" ht="13.5" customHeight="1" x14ac:dyDescent="0.2">
      <c r="A21" s="239"/>
      <c r="B21" s="733" t="s">
        <v>74</v>
      </c>
      <c r="C21" s="306" t="s">
        <v>3</v>
      </c>
      <c r="D21" s="418" t="s">
        <v>901</v>
      </c>
      <c r="E21" s="309" t="s">
        <v>120</v>
      </c>
      <c r="F21" s="303"/>
      <c r="G21" s="26" t="s">
        <v>33</v>
      </c>
      <c r="H21" s="27"/>
      <c r="I21" s="27"/>
      <c r="J21" s="27"/>
      <c r="K21" s="27"/>
      <c r="L21" s="27"/>
      <c r="M21" s="27"/>
      <c r="N21" s="26" t="s">
        <v>33</v>
      </c>
      <c r="O21" s="27"/>
      <c r="P21" s="27"/>
      <c r="Q21" s="27"/>
      <c r="R21" s="27"/>
      <c r="S21" s="27"/>
      <c r="T21" s="27"/>
      <c r="U21" s="27"/>
      <c r="V21" s="290"/>
      <c r="W21" s="290"/>
      <c r="X21" s="27"/>
      <c r="Y21" s="27"/>
      <c r="Z21" s="29"/>
      <c r="AA21" s="32"/>
      <c r="AB21" s="258"/>
      <c r="AC21" s="252"/>
      <c r="AD21" s="1564"/>
      <c r="AE21" s="1564"/>
      <c r="AF21" s="1564"/>
      <c r="AG21" s="1565"/>
    </row>
    <row r="22" spans="1:45" ht="13.5" customHeight="1" x14ac:dyDescent="0.2">
      <c r="A22" s="239"/>
      <c r="B22" s="733" t="s">
        <v>74</v>
      </c>
      <c r="C22" s="306" t="s">
        <v>13</v>
      </c>
      <c r="D22" s="418" t="s">
        <v>121</v>
      </c>
      <c r="E22" s="309" t="s">
        <v>120</v>
      </c>
      <c r="F22" s="303"/>
      <c r="G22" s="25"/>
      <c r="H22" s="27"/>
      <c r="I22" s="27"/>
      <c r="J22" s="27"/>
      <c r="K22" s="27"/>
      <c r="L22" s="27"/>
      <c r="M22" s="27"/>
      <c r="N22" s="27"/>
      <c r="O22" s="27"/>
      <c r="P22" s="27"/>
      <c r="Q22" s="27"/>
      <c r="R22" s="27"/>
      <c r="S22" s="27"/>
      <c r="T22" s="27"/>
      <c r="U22" s="27"/>
      <c r="V22" s="290"/>
      <c r="W22" s="290"/>
      <c r="X22" s="27"/>
      <c r="Y22" s="27"/>
      <c r="Z22" s="29"/>
      <c r="AA22" s="32"/>
      <c r="AB22" s="258"/>
      <c r="AC22" s="252"/>
      <c r="AD22" s="1564"/>
      <c r="AE22" s="1564"/>
      <c r="AF22" s="1564"/>
      <c r="AG22" s="1565"/>
    </row>
    <row r="23" spans="1:45" ht="13.5" customHeight="1" x14ac:dyDescent="0.2">
      <c r="A23" s="239"/>
      <c r="B23" s="734" t="s">
        <v>84</v>
      </c>
      <c r="C23" s="307" t="s">
        <v>95</v>
      </c>
      <c r="D23" s="418" t="s">
        <v>121</v>
      </c>
      <c r="E23" s="309" t="s">
        <v>120</v>
      </c>
      <c r="F23" s="303"/>
      <c r="G23" s="25"/>
      <c r="H23" s="27"/>
      <c r="I23" s="26" t="s">
        <v>33</v>
      </c>
      <c r="J23" s="27"/>
      <c r="K23" s="27"/>
      <c r="L23" s="27"/>
      <c r="M23" s="27"/>
      <c r="N23" s="27"/>
      <c r="O23" s="27"/>
      <c r="P23" s="27"/>
      <c r="Q23" s="27"/>
      <c r="R23" s="27"/>
      <c r="S23" s="27"/>
      <c r="T23" s="27"/>
      <c r="U23" s="27"/>
      <c r="V23" s="290"/>
      <c r="W23" s="290"/>
      <c r="X23" s="27"/>
      <c r="Y23" s="27"/>
      <c r="Z23" s="27"/>
      <c r="AA23" s="30"/>
      <c r="AB23" s="258"/>
      <c r="AC23" s="252"/>
      <c r="AD23" s="1564"/>
      <c r="AE23" s="1564"/>
      <c r="AF23" s="1564"/>
      <c r="AG23" s="1565"/>
    </row>
    <row r="24" spans="1:45" ht="13.5" customHeight="1" x14ac:dyDescent="0.2">
      <c r="A24" s="239"/>
      <c r="B24" s="733" t="s">
        <v>74</v>
      </c>
      <c r="C24" s="306" t="s">
        <v>14</v>
      </c>
      <c r="D24" s="418" t="s">
        <v>119</v>
      </c>
      <c r="E24" s="309" t="s">
        <v>125</v>
      </c>
      <c r="F24" s="303"/>
      <c r="G24" s="25"/>
      <c r="H24" s="27"/>
      <c r="I24" s="27"/>
      <c r="J24" s="27"/>
      <c r="K24" s="26" t="s">
        <v>33</v>
      </c>
      <c r="L24" s="27"/>
      <c r="M24" s="27"/>
      <c r="N24" s="27"/>
      <c r="O24" s="27"/>
      <c r="P24" s="27"/>
      <c r="Q24" s="27"/>
      <c r="R24" s="27"/>
      <c r="S24" s="27"/>
      <c r="T24" s="26" t="s">
        <v>33</v>
      </c>
      <c r="U24" s="27"/>
      <c r="V24" s="290"/>
      <c r="W24" s="290"/>
      <c r="X24" s="27"/>
      <c r="Y24" s="27"/>
      <c r="Z24" s="29"/>
      <c r="AA24" s="32"/>
      <c r="AB24" s="258"/>
      <c r="AC24" s="252"/>
      <c r="AD24" s="1564"/>
      <c r="AE24" s="1564"/>
      <c r="AF24" s="1564"/>
      <c r="AG24" s="1565"/>
    </row>
    <row r="25" spans="1:45" ht="13.5" customHeight="1" x14ac:dyDescent="0.2">
      <c r="A25" s="239"/>
      <c r="B25" s="733" t="s">
        <v>74</v>
      </c>
      <c r="C25" s="306" t="s">
        <v>7</v>
      </c>
      <c r="D25" s="418" t="s">
        <v>121</v>
      </c>
      <c r="E25" s="308"/>
      <c r="F25" s="304" t="s">
        <v>33</v>
      </c>
      <c r="G25" s="33"/>
      <c r="H25" s="26" t="s">
        <v>33</v>
      </c>
      <c r="I25" s="27"/>
      <c r="J25" s="26" t="s">
        <v>33</v>
      </c>
      <c r="K25" s="27"/>
      <c r="L25" s="27"/>
      <c r="M25" s="27"/>
      <c r="N25" s="27"/>
      <c r="O25" s="26" t="s">
        <v>33</v>
      </c>
      <c r="P25" s="27"/>
      <c r="Q25" s="27"/>
      <c r="R25" s="27"/>
      <c r="S25" s="27"/>
      <c r="T25" s="27"/>
      <c r="U25" s="27"/>
      <c r="V25" s="290"/>
      <c r="W25" s="290"/>
      <c r="X25" s="26" t="s">
        <v>33</v>
      </c>
      <c r="Y25" s="27"/>
      <c r="Z25" s="26" t="s">
        <v>33</v>
      </c>
      <c r="AA25" s="31" t="s">
        <v>33</v>
      </c>
      <c r="AB25" s="258"/>
      <c r="AC25" s="252"/>
      <c r="AD25" s="1564"/>
      <c r="AE25" s="1564"/>
      <c r="AF25" s="1564"/>
      <c r="AG25" s="1565"/>
    </row>
    <row r="26" spans="1:45" ht="13.5" customHeight="1" x14ac:dyDescent="0.2">
      <c r="A26" s="239"/>
      <c r="B26" s="734" t="s">
        <v>84</v>
      </c>
      <c r="C26" s="307" t="s">
        <v>113</v>
      </c>
      <c r="D26" s="418" t="s">
        <v>122</v>
      </c>
      <c r="E26" s="309"/>
      <c r="F26" s="303"/>
      <c r="G26" s="25"/>
      <c r="H26" s="27"/>
      <c r="I26" s="27"/>
      <c r="J26" s="27"/>
      <c r="K26" s="27"/>
      <c r="L26" s="26" t="s">
        <v>33</v>
      </c>
      <c r="M26" s="26" t="s">
        <v>33</v>
      </c>
      <c r="N26" s="27"/>
      <c r="O26" s="27"/>
      <c r="P26" s="27"/>
      <c r="Q26" s="27"/>
      <c r="R26" s="27"/>
      <c r="S26" s="27"/>
      <c r="T26" s="27"/>
      <c r="U26" s="27"/>
      <c r="V26" s="290"/>
      <c r="W26" s="290"/>
      <c r="X26" s="27"/>
      <c r="Y26" s="27"/>
      <c r="Z26" s="27"/>
      <c r="AA26" s="30"/>
      <c r="AB26" s="258"/>
      <c r="AC26" s="252"/>
      <c r="AD26" s="1564"/>
      <c r="AE26" s="1564"/>
      <c r="AF26" s="1564"/>
      <c r="AG26" s="1565"/>
    </row>
    <row r="27" spans="1:45" ht="13.5" customHeight="1" x14ac:dyDescent="0.2">
      <c r="A27" s="239"/>
      <c r="B27" s="734" t="s">
        <v>84</v>
      </c>
      <c r="C27" s="307" t="s">
        <v>114</v>
      </c>
      <c r="D27" s="418"/>
      <c r="E27" s="309"/>
      <c r="F27" s="303"/>
      <c r="G27" s="25"/>
      <c r="H27" s="25"/>
      <c r="I27" s="25"/>
      <c r="J27" s="25"/>
      <c r="K27" s="26" t="s">
        <v>33</v>
      </c>
      <c r="L27" s="25"/>
      <c r="M27" s="25"/>
      <c r="N27" s="25"/>
      <c r="O27" s="25"/>
      <c r="P27" s="25"/>
      <c r="Q27" s="25"/>
      <c r="R27" s="25"/>
      <c r="S27" s="25"/>
      <c r="T27" s="25"/>
      <c r="U27" s="25"/>
      <c r="V27" s="291"/>
      <c r="W27" s="291"/>
      <c r="X27" s="25"/>
      <c r="Y27" s="27"/>
      <c r="Z27" s="27"/>
      <c r="AA27" s="30"/>
      <c r="AB27" s="258"/>
      <c r="AC27" s="252"/>
      <c r="AD27" s="1564"/>
      <c r="AE27" s="1564"/>
      <c r="AF27" s="1564"/>
      <c r="AG27" s="1565"/>
    </row>
    <row r="28" spans="1:45" ht="13.5" customHeight="1" x14ac:dyDescent="0.2">
      <c r="A28" s="239"/>
      <c r="B28" s="733" t="s">
        <v>74</v>
      </c>
      <c r="C28" s="306" t="s">
        <v>15</v>
      </c>
      <c r="D28" s="418" t="s">
        <v>902</v>
      </c>
      <c r="E28" s="309" t="s">
        <v>120</v>
      </c>
      <c r="F28" s="304" t="s">
        <v>33</v>
      </c>
      <c r="G28" s="33"/>
      <c r="H28" s="26" t="s">
        <v>33</v>
      </c>
      <c r="I28" s="27"/>
      <c r="J28" s="26" t="s">
        <v>33</v>
      </c>
      <c r="K28" s="27"/>
      <c r="L28" s="27"/>
      <c r="M28" s="27"/>
      <c r="N28" s="27"/>
      <c r="O28" s="26" t="s">
        <v>33</v>
      </c>
      <c r="P28" s="27"/>
      <c r="Q28" s="27"/>
      <c r="R28" s="27"/>
      <c r="S28" s="27"/>
      <c r="T28" s="27"/>
      <c r="U28" s="26" t="s">
        <v>33</v>
      </c>
      <c r="V28" s="289"/>
      <c r="W28" s="289"/>
      <c r="X28" s="27"/>
      <c r="Y28" s="27"/>
      <c r="Z28" s="34"/>
      <c r="AA28" s="32"/>
      <c r="AB28" s="258"/>
      <c r="AC28" s="252"/>
      <c r="AD28" s="1564"/>
      <c r="AE28" s="1564"/>
      <c r="AF28" s="1564"/>
      <c r="AG28" s="1565"/>
    </row>
    <row r="29" spans="1:45" ht="13.5" customHeight="1" x14ac:dyDescent="0.2">
      <c r="A29" s="239"/>
      <c r="B29" s="733" t="s">
        <v>74</v>
      </c>
      <c r="C29" s="306" t="s">
        <v>5</v>
      </c>
      <c r="D29" s="418" t="s">
        <v>903</v>
      </c>
      <c r="E29" s="309" t="s">
        <v>120</v>
      </c>
      <c r="F29" s="303"/>
      <c r="G29" s="25"/>
      <c r="H29" s="35"/>
      <c r="I29" s="26" t="s">
        <v>33</v>
      </c>
      <c r="J29" s="26" t="s">
        <v>33</v>
      </c>
      <c r="K29" s="27"/>
      <c r="L29" s="27"/>
      <c r="M29" s="27"/>
      <c r="N29" s="27"/>
      <c r="O29" s="27"/>
      <c r="P29" s="27"/>
      <c r="Q29" s="27"/>
      <c r="R29" s="27"/>
      <c r="S29" s="27"/>
      <c r="T29" s="27"/>
      <c r="U29" s="27"/>
      <c r="V29" s="290"/>
      <c r="W29" s="290"/>
      <c r="X29" s="27"/>
      <c r="Y29" s="27"/>
      <c r="Z29" s="29"/>
      <c r="AA29" s="32"/>
      <c r="AB29" s="258"/>
      <c r="AC29" s="252"/>
      <c r="AD29" s="1564"/>
      <c r="AE29" s="1564"/>
      <c r="AF29" s="1564"/>
      <c r="AG29" s="1565"/>
    </row>
    <row r="30" spans="1:45" ht="13.5" customHeight="1" x14ac:dyDescent="0.2">
      <c r="A30" s="239"/>
      <c r="B30" s="733" t="s">
        <v>74</v>
      </c>
      <c r="C30" s="306" t="s">
        <v>30</v>
      </c>
      <c r="D30" s="418" t="s">
        <v>119</v>
      </c>
      <c r="E30" s="309" t="s">
        <v>120</v>
      </c>
      <c r="F30" s="304" t="s">
        <v>33</v>
      </c>
      <c r="G30" s="33"/>
      <c r="H30" s="26" t="s">
        <v>33</v>
      </c>
      <c r="I30" s="27"/>
      <c r="J30" s="26" t="s">
        <v>33</v>
      </c>
      <c r="K30" s="27"/>
      <c r="L30" s="27"/>
      <c r="M30" s="27"/>
      <c r="N30" s="27"/>
      <c r="O30" s="26" t="s">
        <v>33</v>
      </c>
      <c r="P30" s="27"/>
      <c r="Q30" s="27"/>
      <c r="R30" s="27"/>
      <c r="S30" s="27"/>
      <c r="T30" s="27"/>
      <c r="U30" s="26" t="s">
        <v>33</v>
      </c>
      <c r="V30" s="289"/>
      <c r="W30" s="289"/>
      <c r="X30" s="26" t="s">
        <v>33</v>
      </c>
      <c r="Y30" s="27"/>
      <c r="Z30" s="29"/>
      <c r="AA30" s="31" t="s">
        <v>33</v>
      </c>
      <c r="AB30" s="258"/>
      <c r="AC30" s="252"/>
      <c r="AD30" s="1564"/>
      <c r="AE30" s="1564"/>
      <c r="AF30" s="1564"/>
      <c r="AG30" s="1565"/>
    </row>
    <row r="31" spans="1:45" ht="13.5" customHeight="1" x14ac:dyDescent="0.2">
      <c r="A31" s="239"/>
      <c r="B31" s="733" t="s">
        <v>74</v>
      </c>
      <c r="C31" s="306" t="s">
        <v>16</v>
      </c>
      <c r="D31" s="418"/>
      <c r="E31" s="308"/>
      <c r="F31" s="304" t="s">
        <v>33</v>
      </c>
      <c r="G31" s="33"/>
      <c r="H31" s="26" t="s">
        <v>33</v>
      </c>
      <c r="I31" s="27"/>
      <c r="J31" s="26" t="s">
        <v>33</v>
      </c>
      <c r="K31" s="27"/>
      <c r="L31" s="27"/>
      <c r="M31" s="27"/>
      <c r="N31" s="27"/>
      <c r="O31" s="26" t="s">
        <v>33</v>
      </c>
      <c r="P31" s="27"/>
      <c r="Q31" s="27"/>
      <c r="R31" s="27"/>
      <c r="S31" s="27"/>
      <c r="T31" s="27"/>
      <c r="U31" s="26" t="s">
        <v>33</v>
      </c>
      <c r="V31" s="289"/>
      <c r="W31" s="289"/>
      <c r="X31" s="26" t="s">
        <v>33</v>
      </c>
      <c r="Y31" s="27"/>
      <c r="Z31" s="26" t="s">
        <v>33</v>
      </c>
      <c r="AA31" s="32"/>
      <c r="AB31" s="258"/>
      <c r="AC31" s="252"/>
      <c r="AD31" s="1564"/>
      <c r="AE31" s="1564"/>
      <c r="AF31" s="1564"/>
      <c r="AG31" s="1565"/>
      <c r="AH31" s="247"/>
      <c r="AI31" s="247"/>
      <c r="AJ31" s="247"/>
      <c r="AK31" s="247"/>
      <c r="AL31" s="247"/>
      <c r="AM31" s="247"/>
      <c r="AN31" s="247"/>
      <c r="AO31" s="247"/>
      <c r="AP31" s="247"/>
      <c r="AQ31" s="247"/>
      <c r="AR31" s="247"/>
      <c r="AS31" s="247"/>
    </row>
    <row r="32" spans="1:45" ht="23.25" customHeight="1" x14ac:dyDescent="0.2">
      <c r="A32" s="239"/>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2"/>
      <c r="AB32" s="258"/>
      <c r="AC32" s="252"/>
      <c r="AD32" s="1564"/>
      <c r="AE32" s="1564"/>
      <c r="AF32" s="1564"/>
      <c r="AG32" s="1565"/>
      <c r="AH32" s="247"/>
      <c r="AI32" s="247"/>
      <c r="AJ32" s="247"/>
      <c r="AK32" s="247"/>
      <c r="AL32" s="247"/>
      <c r="AM32" s="247"/>
      <c r="AN32" s="247"/>
      <c r="AO32" s="247"/>
      <c r="AP32" s="247"/>
      <c r="AQ32" s="247"/>
      <c r="AR32" s="247"/>
      <c r="AS32" s="247"/>
    </row>
    <row r="33" spans="1:66" ht="15" customHeight="1" x14ac:dyDescent="0.2">
      <c r="A33" s="260"/>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261"/>
      <c r="AC33" s="252"/>
      <c r="AD33" s="1564"/>
      <c r="AE33" s="1564"/>
      <c r="AF33" s="1564"/>
      <c r="AG33" s="1565"/>
      <c r="AH33" s="247"/>
      <c r="AI33" s="247"/>
      <c r="AJ33" s="247"/>
      <c r="AK33" s="247"/>
      <c r="AL33" s="247"/>
      <c r="AM33" s="247"/>
      <c r="AN33" s="247"/>
      <c r="AO33" s="247"/>
      <c r="AP33" s="247"/>
      <c r="AQ33" s="247"/>
      <c r="AR33" s="247"/>
      <c r="AS33" s="247"/>
    </row>
    <row r="34" spans="1:66" ht="11.45" customHeight="1" x14ac:dyDescent="0.2">
      <c r="A34" s="262"/>
      <c r="B34" s="263"/>
      <c r="C34" s="263"/>
      <c r="D34" s="243"/>
      <c r="E34" s="263"/>
      <c r="F34" s="263"/>
      <c r="G34" s="263"/>
      <c r="H34" s="263"/>
      <c r="I34" s="263"/>
      <c r="J34" s="263"/>
      <c r="K34" s="263"/>
      <c r="L34" s="263"/>
      <c r="M34" s="263"/>
      <c r="N34" s="263"/>
      <c r="O34" s="263"/>
      <c r="P34" s="263"/>
      <c r="Q34" s="263"/>
      <c r="R34" s="263"/>
      <c r="S34" s="263"/>
      <c r="T34" s="264"/>
      <c r="U34" s="264"/>
      <c r="V34" s="264"/>
      <c r="W34" s="288"/>
      <c r="X34" s="264"/>
      <c r="Y34" s="264"/>
      <c r="Z34" s="264"/>
      <c r="AA34" s="264"/>
      <c r="AB34" s="265"/>
      <c r="AC34" s="252"/>
      <c r="AD34" s="1564"/>
      <c r="AE34" s="1564"/>
      <c r="AF34" s="1564"/>
      <c r="AG34" s="1565"/>
      <c r="AH34" s="247"/>
      <c r="AI34" s="247"/>
      <c r="AJ34" s="247"/>
      <c r="AK34" s="247"/>
      <c r="AL34" s="247"/>
      <c r="AM34" s="247"/>
      <c r="AN34" s="247"/>
      <c r="AO34" s="247"/>
      <c r="AP34" s="247"/>
      <c r="AQ34" s="247"/>
      <c r="AR34" s="247"/>
      <c r="AS34" s="247"/>
    </row>
    <row r="35" spans="1:66" s="74" customFormat="1" ht="11.25" customHeight="1" x14ac:dyDescent="0.2">
      <c r="A35" s="142"/>
      <c r="B35" s="9"/>
      <c r="C35" s="9"/>
      <c r="D35" s="9"/>
      <c r="E35" s="9"/>
      <c r="F35" s="58"/>
      <c r="G35" s="58"/>
      <c r="H35" s="58"/>
      <c r="I35" s="58"/>
      <c r="J35" s="114"/>
      <c r="K35" s="113"/>
      <c r="L35" s="113"/>
      <c r="M35" s="113"/>
      <c r="N35" s="113"/>
      <c r="O35" s="113"/>
      <c r="P35" s="113"/>
      <c r="Q35" s="113"/>
      <c r="R35" s="113"/>
      <c r="S35" s="113"/>
      <c r="T35" s="113"/>
      <c r="U35" s="113"/>
      <c r="V35" s="113"/>
      <c r="W35" s="58"/>
      <c r="X35" s="58"/>
      <c r="Y35" s="65"/>
      <c r="Z35" s="65"/>
      <c r="AA35" s="65"/>
      <c r="AB35" s="65"/>
      <c r="AC35" s="161"/>
      <c r="AD35" s="1566"/>
      <c r="AE35" s="1566"/>
      <c r="AF35" s="1567"/>
      <c r="AG35" s="1565"/>
      <c r="AH35" s="81"/>
      <c r="AI35" s="81"/>
      <c r="AJ35" s="81"/>
      <c r="AK35" s="81"/>
      <c r="AL35" s="82"/>
      <c r="AM35" s="81"/>
      <c r="AN35" s="81"/>
      <c r="AO35" s="184"/>
      <c r="AP35" s="184"/>
      <c r="AQ35" s="184"/>
      <c r="AR35" s="184"/>
      <c r="AS35" s="184"/>
      <c r="AZ35" s="81"/>
      <c r="BA35" s="81"/>
      <c r="BB35" s="81"/>
      <c r="BC35" s="81"/>
      <c r="BD35" s="81"/>
      <c r="BE35" s="81"/>
      <c r="BF35" s="81"/>
      <c r="BG35" s="81"/>
      <c r="BH35" s="81"/>
      <c r="BI35" s="81"/>
      <c r="BJ35" s="81"/>
      <c r="BK35" s="81"/>
      <c r="BL35" s="81"/>
      <c r="BM35" s="81"/>
      <c r="BN35" s="81"/>
    </row>
    <row r="36" spans="1:66" s="74" customFormat="1" ht="11.25" customHeight="1" x14ac:dyDescent="0.2">
      <c r="A36" s="142"/>
      <c r="B36" s="1685" t="s">
        <v>82</v>
      </c>
      <c r="C36" s="1685"/>
      <c r="D36" s="1685"/>
      <c r="E36" s="1685"/>
      <c r="F36" s="1685"/>
      <c r="G36" s="1685"/>
      <c r="H36" s="1685"/>
      <c r="I36" s="1685"/>
      <c r="J36" s="12"/>
      <c r="K36" s="9"/>
      <c r="L36" s="9"/>
      <c r="M36" s="9"/>
      <c r="N36" s="9"/>
      <c r="O36" s="9"/>
      <c r="P36" s="9"/>
      <c r="Q36" s="9"/>
      <c r="R36" s="9"/>
      <c r="S36" s="9"/>
      <c r="T36" s="9"/>
      <c r="U36" s="9"/>
      <c r="V36" s="9"/>
      <c r="W36" s="58"/>
      <c r="X36" s="58"/>
      <c r="Y36" s="65"/>
      <c r="Z36" s="65"/>
      <c r="AA36" s="65"/>
      <c r="AB36" s="65"/>
      <c r="AC36" s="161"/>
      <c r="AD36" s="1566"/>
      <c r="AE36" s="1566"/>
      <c r="AF36" s="1567"/>
      <c r="AG36" s="1565"/>
      <c r="AH36" s="81"/>
      <c r="AI36" s="81"/>
      <c r="AJ36" s="81"/>
      <c r="AK36" s="81"/>
      <c r="AL36" s="82"/>
      <c r="AM36" s="81"/>
      <c r="AN36" s="81"/>
      <c r="AO36" s="184"/>
      <c r="AP36" s="184"/>
      <c r="AQ36" s="184"/>
      <c r="AR36" s="184"/>
      <c r="AS36" s="184"/>
      <c r="AT36" s="81"/>
      <c r="AU36" s="81"/>
      <c r="AV36" s="81"/>
      <c r="AW36" s="81"/>
      <c r="AX36" s="81"/>
      <c r="AY36" s="81"/>
    </row>
    <row r="37" spans="1:66" s="74" customFormat="1" ht="11.25" customHeight="1" x14ac:dyDescent="0.2">
      <c r="A37" s="142"/>
      <c r="B37" s="1685"/>
      <c r="C37" s="1685"/>
      <c r="D37" s="1685"/>
      <c r="E37" s="1685"/>
      <c r="F37" s="1685"/>
      <c r="G37" s="1685"/>
      <c r="H37" s="1685"/>
      <c r="I37" s="1685"/>
      <c r="J37" s="12"/>
      <c r="K37" s="9"/>
      <c r="L37" s="9"/>
      <c r="M37" s="9"/>
      <c r="N37" s="9"/>
      <c r="O37" s="9"/>
      <c r="P37" s="9"/>
      <c r="Q37" s="9"/>
      <c r="R37" s="9"/>
      <c r="S37" s="9"/>
      <c r="T37" s="9"/>
      <c r="U37" s="9"/>
      <c r="V37" s="9"/>
      <c r="W37" s="58"/>
      <c r="X37" s="58"/>
      <c r="Y37" s="65"/>
      <c r="Z37" s="65"/>
      <c r="AA37" s="65"/>
      <c r="AB37" s="65"/>
      <c r="AC37" s="161"/>
      <c r="AD37" s="1566"/>
      <c r="AE37" s="1566"/>
      <c r="AF37" s="1567"/>
      <c r="AG37" s="1565"/>
      <c r="AH37" s="81"/>
      <c r="AI37" s="81"/>
      <c r="AJ37" s="81"/>
      <c r="AK37" s="81"/>
      <c r="AL37" s="82"/>
      <c r="AM37" s="81"/>
      <c r="AN37" s="81"/>
      <c r="AO37" s="184"/>
      <c r="AP37" s="184"/>
      <c r="AQ37" s="184"/>
      <c r="AR37" s="184"/>
      <c r="AS37" s="184"/>
    </row>
    <row r="38" spans="1:66" s="74" customFormat="1" ht="11.25" customHeight="1" x14ac:dyDescent="0.2">
      <c r="A38" s="142"/>
      <c r="B38" s="1680" t="s">
        <v>800</v>
      </c>
      <c r="C38" s="1680"/>
      <c r="D38" s="1680"/>
      <c r="E38" s="1680"/>
      <c r="F38" s="1680"/>
      <c r="G38" s="1680"/>
      <c r="H38" s="1680"/>
      <c r="I38" s="1680"/>
      <c r="J38" s="12"/>
      <c r="K38" s="9"/>
      <c r="L38" s="9"/>
      <c r="M38" s="9"/>
      <c r="N38" s="9"/>
      <c r="O38" s="9"/>
      <c r="P38" s="9"/>
      <c r="Q38" s="9"/>
      <c r="R38" s="9"/>
      <c r="S38" s="9"/>
      <c r="T38" s="9"/>
      <c r="U38" s="9"/>
      <c r="V38" s="9"/>
      <c r="W38" s="58"/>
      <c r="X38" s="58"/>
      <c r="Y38" s="65"/>
      <c r="Z38" s="65"/>
      <c r="AA38" s="65"/>
      <c r="AB38" s="65"/>
      <c r="AC38" s="161"/>
      <c r="AD38" s="1566"/>
      <c r="AE38" s="1566"/>
      <c r="AF38" s="1567"/>
      <c r="AG38" s="1565"/>
      <c r="AH38" s="81"/>
      <c r="AI38" s="81"/>
      <c r="AJ38" s="81"/>
      <c r="AK38" s="81"/>
      <c r="AL38" s="82"/>
      <c r="AM38" s="81"/>
      <c r="AN38" s="81"/>
      <c r="AO38" s="184"/>
      <c r="AP38" s="184"/>
      <c r="AQ38" s="184"/>
      <c r="AR38" s="184"/>
      <c r="AS38" s="184"/>
    </row>
    <row r="39" spans="1:66" s="74" customFormat="1" ht="11.25" customHeight="1" x14ac:dyDescent="0.2">
      <c r="A39" s="142"/>
      <c r="B39" s="1680"/>
      <c r="C39" s="1680"/>
      <c r="D39" s="1680"/>
      <c r="E39" s="1680"/>
      <c r="F39" s="1680"/>
      <c r="G39" s="1680"/>
      <c r="H39" s="1680"/>
      <c r="I39" s="1680"/>
      <c r="J39" s="12"/>
      <c r="K39" s="9"/>
      <c r="L39" s="9"/>
      <c r="M39" s="9"/>
      <c r="N39" s="9"/>
      <c r="O39" s="9"/>
      <c r="P39" s="9"/>
      <c r="Q39" s="9"/>
      <c r="R39" s="9"/>
      <c r="S39" s="9"/>
      <c r="T39" s="9"/>
      <c r="U39" s="9"/>
      <c r="V39" s="9"/>
      <c r="W39" s="58"/>
      <c r="X39" s="58"/>
      <c r="Y39" s="65"/>
      <c r="Z39" s="65"/>
      <c r="AA39" s="65"/>
      <c r="AB39" s="65"/>
      <c r="AC39" s="161"/>
      <c r="AD39" s="1566"/>
      <c r="AE39" s="1566"/>
      <c r="AF39" s="1567"/>
      <c r="AG39" s="1565"/>
      <c r="AH39" s="81"/>
      <c r="AI39" s="81"/>
      <c r="AJ39" s="81"/>
      <c r="AK39" s="81"/>
      <c r="AL39" s="82"/>
      <c r="AM39" s="81"/>
      <c r="AN39" s="81"/>
      <c r="AO39" s="188"/>
      <c r="AP39" s="188"/>
      <c r="AQ39" s="188"/>
      <c r="AR39" s="188"/>
      <c r="AS39" s="184"/>
    </row>
    <row r="40" spans="1:66" s="76" customFormat="1" ht="11.25" customHeight="1" x14ac:dyDescent="0.2">
      <c r="A40" s="142"/>
      <c r="B40" s="1680" t="s">
        <v>81</v>
      </c>
      <c r="C40" s="1680"/>
      <c r="D40" s="1680"/>
      <c r="E40" s="1680"/>
      <c r="F40" s="1680"/>
      <c r="G40" s="1680"/>
      <c r="H40" s="1680"/>
      <c r="I40" s="1680"/>
      <c r="J40" s="14"/>
      <c r="K40" s="14"/>
      <c r="L40" s="14"/>
      <c r="M40" s="14"/>
      <c r="N40" s="14"/>
      <c r="O40" s="14"/>
      <c r="P40" s="14"/>
      <c r="Q40" s="14"/>
      <c r="R40" s="14"/>
      <c r="S40" s="14"/>
      <c r="T40" s="14"/>
      <c r="U40" s="14"/>
      <c r="V40" s="14"/>
      <c r="W40" s="62"/>
      <c r="X40" s="62"/>
      <c r="Y40" s="65"/>
      <c r="Z40" s="65"/>
      <c r="AA40" s="65"/>
      <c r="AB40" s="65"/>
      <c r="AC40" s="161"/>
      <c r="AD40" s="1566"/>
      <c r="AE40" s="1566"/>
      <c r="AF40" s="1568"/>
      <c r="AG40" s="1565"/>
      <c r="AH40" s="81"/>
      <c r="AI40" s="81"/>
      <c r="AJ40" s="81"/>
      <c r="AK40" s="81"/>
      <c r="AL40" s="82"/>
      <c r="AM40" s="81"/>
      <c r="AN40" s="81"/>
      <c r="AO40" s="184"/>
      <c r="AP40" s="184"/>
      <c r="AQ40" s="184"/>
      <c r="AR40" s="184"/>
      <c r="AS40" s="188"/>
    </row>
    <row r="41" spans="1:66" s="74" customFormat="1" ht="11.25" customHeight="1" x14ac:dyDescent="0.2">
      <c r="A41" s="142"/>
      <c r="B41" s="1680"/>
      <c r="C41" s="1680"/>
      <c r="D41" s="1680"/>
      <c r="E41" s="1680"/>
      <c r="F41" s="1680"/>
      <c r="G41" s="1680"/>
      <c r="H41" s="1680"/>
      <c r="I41" s="1680"/>
      <c r="J41" s="12"/>
      <c r="K41" s="9"/>
      <c r="L41" s="9"/>
      <c r="M41" s="9"/>
      <c r="N41" s="9"/>
      <c r="O41" s="9"/>
      <c r="P41" s="9"/>
      <c r="Q41" s="9"/>
      <c r="R41" s="9"/>
      <c r="S41" s="9"/>
      <c r="T41" s="9"/>
      <c r="U41" s="9"/>
      <c r="V41" s="9"/>
      <c r="W41" s="58"/>
      <c r="X41" s="58"/>
      <c r="Y41" s="65"/>
      <c r="Z41" s="65"/>
      <c r="AA41" s="65"/>
      <c r="AB41" s="65"/>
      <c r="AC41" s="161"/>
      <c r="AD41" s="1566"/>
      <c r="AE41" s="1566"/>
      <c r="AF41" s="1567"/>
      <c r="AG41" s="1565"/>
      <c r="AH41" s="81"/>
      <c r="AI41" s="81"/>
      <c r="AJ41" s="81"/>
      <c r="AK41" s="81"/>
      <c r="AL41" s="82"/>
      <c r="AM41" s="81"/>
      <c r="AN41" s="81"/>
      <c r="AO41" s="184"/>
      <c r="AP41" s="184"/>
      <c r="AQ41" s="184"/>
      <c r="AR41" s="184"/>
      <c r="AS41" s="184"/>
    </row>
    <row r="42" spans="1:66" s="74" customFormat="1" ht="11.25" customHeight="1" x14ac:dyDescent="0.2">
      <c r="A42" s="142"/>
      <c r="B42" s="1680" t="s">
        <v>78</v>
      </c>
      <c r="C42" s="1680"/>
      <c r="D42" s="1680"/>
      <c r="E42" s="1680"/>
      <c r="F42" s="1680"/>
      <c r="G42" s="1680"/>
      <c r="H42" s="1680"/>
      <c r="I42" s="1680"/>
      <c r="J42" s="12"/>
      <c r="K42" s="9"/>
      <c r="L42" s="9"/>
      <c r="M42" s="9"/>
      <c r="N42" s="9"/>
      <c r="O42" s="9"/>
      <c r="P42" s="9"/>
      <c r="Q42" s="9"/>
      <c r="R42" s="9"/>
      <c r="S42" s="9"/>
      <c r="T42" s="9"/>
      <c r="U42" s="9"/>
      <c r="V42" s="9"/>
      <c r="W42" s="58"/>
      <c r="X42" s="58"/>
      <c r="Y42" s="65"/>
      <c r="Z42" s="65"/>
      <c r="AA42" s="65"/>
      <c r="AB42" s="65"/>
      <c r="AC42" s="161"/>
      <c r="AD42" s="1566"/>
      <c r="AE42" s="1566"/>
      <c r="AF42" s="1567"/>
      <c r="AG42" s="1565"/>
      <c r="AH42" s="81"/>
      <c r="AI42" s="81"/>
      <c r="AJ42" s="81"/>
      <c r="AK42" s="81"/>
      <c r="AL42" s="82"/>
      <c r="AM42" s="81"/>
      <c r="AN42" s="81"/>
      <c r="AO42" s="184"/>
      <c r="AP42" s="184"/>
      <c r="AQ42" s="184"/>
      <c r="AR42" s="184"/>
      <c r="AS42" s="188"/>
      <c r="AT42" s="76"/>
    </row>
    <row r="43" spans="1:66" s="74" customFormat="1" ht="11.25" customHeight="1" x14ac:dyDescent="0.2">
      <c r="A43" s="142"/>
      <c r="B43" s="1680"/>
      <c r="C43" s="1680"/>
      <c r="D43" s="1680"/>
      <c r="E43" s="1680"/>
      <c r="F43" s="1680"/>
      <c r="G43" s="1680"/>
      <c r="H43" s="1680"/>
      <c r="I43" s="1680"/>
      <c r="J43" s="12"/>
      <c r="K43" s="9"/>
      <c r="L43" s="9"/>
      <c r="M43" s="9"/>
      <c r="N43" s="9"/>
      <c r="O43" s="9"/>
      <c r="P43" s="9"/>
      <c r="Q43" s="9"/>
      <c r="R43" s="9"/>
      <c r="S43" s="9"/>
      <c r="T43" s="9"/>
      <c r="U43" s="9"/>
      <c r="V43" s="9"/>
      <c r="W43" s="58"/>
      <c r="X43" s="58"/>
      <c r="Y43" s="65"/>
      <c r="Z43" s="65"/>
      <c r="AA43" s="65"/>
      <c r="AB43" s="65"/>
      <c r="AC43" s="161"/>
      <c r="AD43" s="1566"/>
      <c r="AE43" s="1566"/>
      <c r="AF43" s="1567"/>
      <c r="AG43" s="1565"/>
      <c r="AH43" s="81"/>
      <c r="AI43" s="81"/>
      <c r="AJ43" s="81"/>
      <c r="AK43" s="81"/>
      <c r="AL43" s="82"/>
      <c r="AM43" s="81"/>
      <c r="AN43" s="81"/>
      <c r="AO43" s="184"/>
      <c r="AP43" s="184"/>
      <c r="AQ43" s="184"/>
      <c r="AR43" s="184"/>
      <c r="AS43" s="184"/>
    </row>
    <row r="44" spans="1:66" s="74" customFormat="1" ht="11.25" customHeight="1" x14ac:dyDescent="0.2">
      <c r="A44" s="142"/>
      <c r="B44" s="1680" t="s">
        <v>17</v>
      </c>
      <c r="C44" s="1680"/>
      <c r="D44" s="1680"/>
      <c r="E44" s="1680"/>
      <c r="F44" s="1680"/>
      <c r="G44" s="1680"/>
      <c r="H44" s="1680"/>
      <c r="I44" s="1680"/>
      <c r="J44" s="12"/>
      <c r="K44" s="9"/>
      <c r="L44" s="9"/>
      <c r="M44" s="9"/>
      <c r="N44" s="9"/>
      <c r="O44" s="9"/>
      <c r="P44" s="9"/>
      <c r="Q44" s="9"/>
      <c r="R44" s="9"/>
      <c r="S44" s="9"/>
      <c r="T44" s="9"/>
      <c r="U44" s="9"/>
      <c r="V44" s="11"/>
      <c r="W44" s="58"/>
      <c r="X44" s="58"/>
      <c r="Y44" s="65"/>
      <c r="Z44" s="65"/>
      <c r="AA44" s="58"/>
      <c r="AB44" s="58"/>
      <c r="AC44" s="161"/>
      <c r="AD44" s="1566"/>
      <c r="AE44" s="1566"/>
      <c r="AF44" s="1569"/>
      <c r="AG44" s="1565"/>
      <c r="AH44" s="81"/>
      <c r="AI44" s="81"/>
      <c r="AJ44" s="81"/>
      <c r="AK44" s="81"/>
      <c r="AL44" s="82"/>
      <c r="AM44" s="81"/>
      <c r="AN44" s="81"/>
      <c r="AO44" s="184"/>
      <c r="AP44" s="184"/>
      <c r="AQ44" s="184"/>
      <c r="AR44" s="184"/>
      <c r="AS44" s="188"/>
      <c r="AT44" s="76"/>
    </row>
    <row r="45" spans="1:66" s="74" customFormat="1" ht="11.25" customHeight="1" x14ac:dyDescent="0.2">
      <c r="A45" s="142"/>
      <c r="B45" s="1680"/>
      <c r="C45" s="1680"/>
      <c r="D45" s="1680"/>
      <c r="E45" s="1680"/>
      <c r="F45" s="1680"/>
      <c r="G45" s="1680"/>
      <c r="H45" s="1680"/>
      <c r="I45" s="1680"/>
      <c r="J45" s="12"/>
      <c r="K45" s="9"/>
      <c r="L45" s="9"/>
      <c r="M45" s="9"/>
      <c r="N45" s="9"/>
      <c r="O45" s="9"/>
      <c r="P45" s="9"/>
      <c r="Q45" s="9"/>
      <c r="R45" s="9"/>
      <c r="S45" s="9"/>
      <c r="T45" s="9"/>
      <c r="U45" s="9"/>
      <c r="V45" s="11"/>
      <c r="W45" s="58"/>
      <c r="X45" s="58"/>
      <c r="Y45" s="65"/>
      <c r="Z45" s="65"/>
      <c r="AA45" s="58"/>
      <c r="AB45" s="58"/>
      <c r="AC45" s="161"/>
      <c r="AD45" s="1566"/>
      <c r="AE45" s="1566"/>
      <c r="AF45" s="1569"/>
      <c r="AG45" s="1565"/>
      <c r="AH45" s="81"/>
      <c r="AI45" s="81"/>
      <c r="AJ45" s="81"/>
      <c r="AK45" s="81"/>
      <c r="AL45" s="82"/>
      <c r="AM45" s="81"/>
      <c r="AN45" s="81"/>
      <c r="AO45" s="184"/>
      <c r="AP45" s="184"/>
      <c r="AQ45" s="184"/>
      <c r="AR45" s="184"/>
      <c r="AS45" s="184"/>
    </row>
    <row r="46" spans="1:66" s="74" customFormat="1" ht="11.25" customHeight="1" x14ac:dyDescent="0.2">
      <c r="A46" s="142"/>
      <c r="B46" s="1680" t="s">
        <v>80</v>
      </c>
      <c r="C46" s="1680"/>
      <c r="D46" s="1680"/>
      <c r="E46" s="1680"/>
      <c r="F46" s="1680"/>
      <c r="G46" s="1680"/>
      <c r="H46" s="1680"/>
      <c r="I46" s="1680"/>
      <c r="J46" s="12"/>
      <c r="K46" s="9"/>
      <c r="L46" s="9"/>
      <c r="M46" s="9"/>
      <c r="N46" s="9"/>
      <c r="O46" s="9"/>
      <c r="P46" s="9"/>
      <c r="Q46" s="9"/>
      <c r="R46" s="9"/>
      <c r="S46" s="9"/>
      <c r="T46" s="9"/>
      <c r="U46" s="9"/>
      <c r="V46" s="11"/>
      <c r="W46" s="58"/>
      <c r="X46" s="58"/>
      <c r="Y46" s="65"/>
      <c r="Z46" s="65"/>
      <c r="AA46" s="58"/>
      <c r="AB46" s="58"/>
      <c r="AC46" s="161"/>
      <c r="AD46" s="1566"/>
      <c r="AE46" s="1566"/>
      <c r="AF46" s="1569"/>
      <c r="AG46" s="1565"/>
      <c r="AH46" s="81"/>
      <c r="AI46" s="81"/>
      <c r="AJ46" s="81"/>
      <c r="AK46" s="81"/>
      <c r="AL46" s="82"/>
      <c r="AM46" s="81"/>
      <c r="AN46" s="81"/>
      <c r="AO46" s="184"/>
      <c r="AP46" s="184"/>
      <c r="AQ46" s="184"/>
      <c r="AR46" s="184"/>
      <c r="AS46" s="188"/>
      <c r="AT46" s="76"/>
    </row>
    <row r="47" spans="1:66" s="74" customFormat="1" ht="11.25" customHeight="1" x14ac:dyDescent="0.2">
      <c r="A47" s="142"/>
      <c r="B47" s="1680"/>
      <c r="C47" s="1680"/>
      <c r="D47" s="1680"/>
      <c r="E47" s="1680"/>
      <c r="F47" s="1680"/>
      <c r="G47" s="1680"/>
      <c r="H47" s="1680"/>
      <c r="I47" s="1680"/>
      <c r="J47" s="12"/>
      <c r="K47" s="9"/>
      <c r="L47" s="9"/>
      <c r="M47" s="9"/>
      <c r="N47" s="9"/>
      <c r="O47" s="9"/>
      <c r="P47" s="9"/>
      <c r="Q47" s="9"/>
      <c r="R47" s="9"/>
      <c r="S47" s="9"/>
      <c r="T47" s="9"/>
      <c r="U47" s="9"/>
      <c r="V47" s="11"/>
      <c r="W47" s="58"/>
      <c r="X47" s="58"/>
      <c r="Y47" s="65"/>
      <c r="Z47" s="65"/>
      <c r="AA47" s="58"/>
      <c r="AB47" s="58"/>
      <c r="AC47" s="161"/>
      <c r="AD47" s="1566"/>
      <c r="AE47" s="1566"/>
      <c r="AF47" s="1569"/>
      <c r="AG47" s="1565"/>
      <c r="AH47" s="81"/>
      <c r="AI47" s="81"/>
      <c r="AJ47" s="81"/>
      <c r="AK47" s="81"/>
      <c r="AL47" s="82"/>
      <c r="AM47" s="81"/>
      <c r="AN47" s="81"/>
      <c r="AO47" s="184"/>
      <c r="AP47" s="184"/>
      <c r="AQ47" s="184"/>
      <c r="AR47" s="184"/>
      <c r="AS47" s="184"/>
    </row>
    <row r="48" spans="1:66" s="74" customFormat="1" ht="11.25" customHeight="1" x14ac:dyDescent="0.2">
      <c r="A48" s="142"/>
      <c r="B48" s="1680" t="s">
        <v>69</v>
      </c>
      <c r="C48" s="1680"/>
      <c r="D48" s="1680"/>
      <c r="E48" s="1680"/>
      <c r="F48" s="1680"/>
      <c r="G48" s="1680"/>
      <c r="H48" s="1680"/>
      <c r="I48" s="1680"/>
      <c r="J48" s="12"/>
      <c r="K48" s="9"/>
      <c r="L48" s="9"/>
      <c r="M48" s="9"/>
      <c r="N48" s="9"/>
      <c r="O48" s="9"/>
      <c r="P48" s="9"/>
      <c r="Q48" s="9"/>
      <c r="R48" s="9"/>
      <c r="S48" s="9"/>
      <c r="T48" s="9"/>
      <c r="U48" s="9"/>
      <c r="V48" s="11"/>
      <c r="W48" s="58"/>
      <c r="X48" s="58"/>
      <c r="Y48" s="65"/>
      <c r="Z48" s="65"/>
      <c r="AA48" s="58"/>
      <c r="AB48" s="58"/>
      <c r="AC48" s="161"/>
      <c r="AD48" s="1566"/>
      <c r="AE48" s="1566"/>
      <c r="AF48" s="1569"/>
      <c r="AG48" s="1565"/>
      <c r="AH48" s="81"/>
      <c r="AI48" s="81"/>
      <c r="AJ48" s="81"/>
      <c r="AK48" s="81"/>
      <c r="AL48" s="82"/>
      <c r="AM48" s="81"/>
      <c r="AN48" s="81"/>
      <c r="AO48" s="184"/>
      <c r="AP48" s="184"/>
      <c r="AQ48" s="184"/>
      <c r="AR48" s="184"/>
      <c r="AS48" s="188"/>
      <c r="AT48" s="76"/>
    </row>
    <row r="49" spans="1:46" s="74" customFormat="1" ht="11.25" customHeight="1" x14ac:dyDescent="0.2">
      <c r="A49" s="142"/>
      <c r="B49" s="1680"/>
      <c r="C49" s="1680"/>
      <c r="D49" s="1680"/>
      <c r="E49" s="1680"/>
      <c r="F49" s="1680"/>
      <c r="G49" s="1680"/>
      <c r="H49" s="1680"/>
      <c r="I49" s="1680"/>
      <c r="J49" s="12"/>
      <c r="K49" s="9"/>
      <c r="L49" s="9"/>
      <c r="M49" s="9"/>
      <c r="N49" s="9"/>
      <c r="O49" s="9"/>
      <c r="P49" s="9"/>
      <c r="Q49" s="9"/>
      <c r="R49" s="9"/>
      <c r="S49" s="9"/>
      <c r="T49" s="9"/>
      <c r="U49" s="9"/>
      <c r="V49" s="11"/>
      <c r="W49" s="58"/>
      <c r="X49" s="58"/>
      <c r="Y49" s="65"/>
      <c r="Z49" s="65"/>
      <c r="AA49" s="58"/>
      <c r="AB49" s="58"/>
      <c r="AC49" s="161"/>
      <c r="AD49" s="1566"/>
      <c r="AE49" s="1566"/>
      <c r="AF49" s="1569"/>
      <c r="AG49" s="1565"/>
      <c r="AH49" s="81"/>
      <c r="AI49" s="81"/>
      <c r="AJ49" s="81"/>
      <c r="AK49" s="81"/>
      <c r="AL49" s="82"/>
      <c r="AM49" s="81"/>
      <c r="AN49" s="81"/>
      <c r="AO49" s="184"/>
      <c r="AP49" s="184"/>
      <c r="AQ49" s="184"/>
      <c r="AR49" s="184"/>
      <c r="AS49" s="184"/>
    </row>
    <row r="50" spans="1:46" s="74" customFormat="1" ht="11.25" customHeight="1" x14ac:dyDescent="0.2">
      <c r="A50" s="142"/>
      <c r="B50" s="1680" t="s">
        <v>24</v>
      </c>
      <c r="C50" s="1680"/>
      <c r="D50" s="1680"/>
      <c r="E50" s="1680"/>
      <c r="F50" s="1680"/>
      <c r="G50" s="1680"/>
      <c r="H50" s="1680"/>
      <c r="I50" s="1680"/>
      <c r="J50" s="12"/>
      <c r="K50" s="9"/>
      <c r="L50" s="9"/>
      <c r="M50" s="9"/>
      <c r="N50" s="9"/>
      <c r="O50" s="9"/>
      <c r="P50" s="9"/>
      <c r="Q50" s="9"/>
      <c r="R50" s="9"/>
      <c r="S50" s="9"/>
      <c r="T50" s="9"/>
      <c r="U50" s="9"/>
      <c r="V50" s="9"/>
      <c r="W50" s="58"/>
      <c r="X50" s="58"/>
      <c r="Y50" s="65"/>
      <c r="Z50" s="65"/>
      <c r="AA50" s="65"/>
      <c r="AB50" s="65"/>
      <c r="AC50" s="161"/>
      <c r="AD50" s="1566"/>
      <c r="AE50" s="1566"/>
      <c r="AF50" s="1567"/>
      <c r="AG50" s="1565"/>
      <c r="AH50" s="81"/>
      <c r="AI50" s="81"/>
      <c r="AJ50" s="81"/>
      <c r="AK50" s="81"/>
      <c r="AL50" s="82"/>
      <c r="AM50" s="81"/>
      <c r="AN50" s="81"/>
      <c r="AO50" s="184"/>
      <c r="AP50" s="184"/>
      <c r="AQ50" s="184"/>
      <c r="AR50" s="184"/>
      <c r="AS50" s="188"/>
      <c r="AT50" s="76"/>
    </row>
    <row r="51" spans="1:46" s="74" customFormat="1" ht="11.25" customHeight="1" x14ac:dyDescent="0.2">
      <c r="A51" s="142"/>
      <c r="B51" s="1680"/>
      <c r="C51" s="1680"/>
      <c r="D51" s="1680"/>
      <c r="E51" s="1680"/>
      <c r="F51" s="1680"/>
      <c r="G51" s="1680"/>
      <c r="H51" s="1680"/>
      <c r="I51" s="1680"/>
      <c r="J51" s="12"/>
      <c r="K51" s="9"/>
      <c r="L51" s="9"/>
      <c r="M51" s="9"/>
      <c r="N51" s="9"/>
      <c r="O51" s="9"/>
      <c r="P51" s="9"/>
      <c r="Q51" s="9"/>
      <c r="R51" s="9"/>
      <c r="S51" s="9"/>
      <c r="T51" s="9"/>
      <c r="U51" s="9"/>
      <c r="V51" s="9"/>
      <c r="W51" s="58"/>
      <c r="X51" s="58"/>
      <c r="Y51" s="65"/>
      <c r="Z51" s="65"/>
      <c r="AA51" s="65"/>
      <c r="AB51" s="65"/>
      <c r="AC51" s="161"/>
      <c r="AD51" s="1566"/>
      <c r="AE51" s="1566"/>
      <c r="AF51" s="1567"/>
      <c r="AG51" s="1565"/>
      <c r="AH51" s="81"/>
      <c r="AI51" s="81"/>
      <c r="AJ51" s="81"/>
      <c r="AK51" s="81"/>
      <c r="AL51" s="82"/>
      <c r="AM51" s="81"/>
      <c r="AN51" s="81"/>
      <c r="AO51" s="184"/>
      <c r="AP51" s="184"/>
      <c r="AQ51" s="184"/>
      <c r="AR51" s="184"/>
      <c r="AS51" s="184"/>
    </row>
    <row r="52" spans="1:46" s="74" customFormat="1" ht="11.25" customHeight="1" x14ac:dyDescent="0.2">
      <c r="A52" s="142"/>
      <c r="B52" s="1680" t="s">
        <v>22</v>
      </c>
      <c r="C52" s="1680"/>
      <c r="D52" s="1680"/>
      <c r="E52" s="1680"/>
      <c r="F52" s="1680"/>
      <c r="G52" s="1680"/>
      <c r="H52" s="1680"/>
      <c r="I52" s="1680"/>
      <c r="J52" s="12"/>
      <c r="K52" s="9"/>
      <c r="L52" s="9"/>
      <c r="M52" s="9"/>
      <c r="N52" s="9"/>
      <c r="O52" s="9"/>
      <c r="P52" s="9"/>
      <c r="Q52" s="9"/>
      <c r="R52" s="9"/>
      <c r="S52" s="9"/>
      <c r="T52" s="9"/>
      <c r="U52" s="9"/>
      <c r="V52" s="9"/>
      <c r="W52" s="58"/>
      <c r="X52" s="58"/>
      <c r="Y52" s="65"/>
      <c r="Z52" s="65"/>
      <c r="AA52" s="65"/>
      <c r="AB52" s="65"/>
      <c r="AC52" s="161"/>
      <c r="AD52" s="1566"/>
      <c r="AE52" s="1566"/>
      <c r="AF52" s="1567"/>
      <c r="AG52" s="1565"/>
      <c r="AH52" s="81"/>
      <c r="AI52" s="81"/>
      <c r="AJ52" s="81"/>
      <c r="AK52" s="81"/>
      <c r="AL52" s="82"/>
      <c r="AM52" s="81"/>
      <c r="AN52" s="81"/>
      <c r="AO52" s="184"/>
      <c r="AP52" s="184"/>
      <c r="AQ52" s="184"/>
      <c r="AR52" s="184"/>
      <c r="AS52" s="188"/>
      <c r="AT52" s="76"/>
    </row>
    <row r="53" spans="1:46" s="74" customFormat="1" ht="11.25" customHeight="1" x14ac:dyDescent="0.2">
      <c r="A53" s="142"/>
      <c r="B53" s="1680"/>
      <c r="C53" s="1680"/>
      <c r="D53" s="1680"/>
      <c r="E53" s="1680"/>
      <c r="F53" s="1680"/>
      <c r="G53" s="1680"/>
      <c r="H53" s="1680"/>
      <c r="I53" s="1680"/>
      <c r="J53" s="12"/>
      <c r="K53" s="9"/>
      <c r="L53" s="9"/>
      <c r="M53" s="9"/>
      <c r="N53" s="9"/>
      <c r="O53" s="9"/>
      <c r="P53" s="9"/>
      <c r="Q53" s="9"/>
      <c r="R53" s="9"/>
      <c r="S53" s="9"/>
      <c r="T53" s="9"/>
      <c r="U53" s="9"/>
      <c r="V53" s="9"/>
      <c r="W53" s="58"/>
      <c r="X53" s="58"/>
      <c r="Y53" s="65"/>
      <c r="Z53" s="65"/>
      <c r="AA53" s="65"/>
      <c r="AB53" s="65"/>
      <c r="AC53" s="161"/>
      <c r="AD53" s="1566"/>
      <c r="AE53" s="1566"/>
      <c r="AF53" s="1567"/>
      <c r="AG53" s="1565"/>
      <c r="AH53" s="81"/>
      <c r="AI53" s="81"/>
      <c r="AJ53" s="81"/>
      <c r="AK53" s="81"/>
      <c r="AL53" s="82"/>
      <c r="AM53" s="81"/>
      <c r="AN53" s="81"/>
      <c r="AO53" s="184"/>
      <c r="AP53" s="184"/>
      <c r="AQ53" s="184"/>
      <c r="AR53" s="184"/>
      <c r="AS53" s="184"/>
    </row>
    <row r="54" spans="1:46" s="74" customFormat="1" ht="11.25" customHeight="1" x14ac:dyDescent="0.2">
      <c r="A54" s="142"/>
      <c r="B54" s="1680" t="s">
        <v>25</v>
      </c>
      <c r="C54" s="1680"/>
      <c r="D54" s="1680"/>
      <c r="E54" s="1680"/>
      <c r="F54" s="1680"/>
      <c r="G54" s="1680"/>
      <c r="H54" s="1680"/>
      <c r="I54" s="1680"/>
      <c r="J54" s="12"/>
      <c r="K54" s="9"/>
      <c r="L54" s="9"/>
      <c r="M54" s="9"/>
      <c r="N54" s="9"/>
      <c r="O54" s="9"/>
      <c r="P54" s="9"/>
      <c r="Q54" s="9"/>
      <c r="R54" s="9"/>
      <c r="S54" s="9"/>
      <c r="T54" s="9"/>
      <c r="U54" s="9"/>
      <c r="V54" s="9"/>
      <c r="W54" s="58"/>
      <c r="X54" s="58"/>
      <c r="Y54" s="65"/>
      <c r="Z54" s="65"/>
      <c r="AA54" s="65"/>
      <c r="AB54" s="65"/>
      <c r="AC54" s="161"/>
      <c r="AD54" s="1566"/>
      <c r="AE54" s="1566"/>
      <c r="AF54" s="1567"/>
      <c r="AG54" s="1565"/>
      <c r="AH54" s="81"/>
      <c r="AI54" s="81"/>
      <c r="AJ54" s="81"/>
      <c r="AK54" s="81"/>
      <c r="AL54" s="82"/>
      <c r="AM54" s="81"/>
      <c r="AN54" s="81"/>
      <c r="AO54" s="184"/>
      <c r="AP54" s="184"/>
      <c r="AQ54" s="184"/>
      <c r="AR54" s="184"/>
      <c r="AS54" s="188"/>
      <c r="AT54" s="76"/>
    </row>
    <row r="55" spans="1:46" s="74" customFormat="1" ht="11.25" customHeight="1" x14ac:dyDescent="0.2">
      <c r="A55" s="142"/>
      <c r="B55" s="1680"/>
      <c r="C55" s="1680"/>
      <c r="D55" s="1680"/>
      <c r="E55" s="1680"/>
      <c r="F55" s="1680"/>
      <c r="G55" s="1680"/>
      <c r="H55" s="1680"/>
      <c r="I55" s="1680"/>
      <c r="J55" s="12"/>
      <c r="K55" s="9"/>
      <c r="L55" s="9"/>
      <c r="M55" s="9"/>
      <c r="N55" s="9"/>
      <c r="O55" s="9"/>
      <c r="P55" s="9"/>
      <c r="Q55" s="9"/>
      <c r="R55" s="9"/>
      <c r="S55" s="9"/>
      <c r="T55" s="9"/>
      <c r="U55" s="9"/>
      <c r="V55" s="9"/>
      <c r="W55" s="58"/>
      <c r="X55" s="58"/>
      <c r="Y55" s="65"/>
      <c r="Z55" s="65"/>
      <c r="AA55" s="65"/>
      <c r="AB55" s="65"/>
      <c r="AC55" s="161"/>
      <c r="AD55" s="1566"/>
      <c r="AE55" s="1566"/>
      <c r="AF55" s="1567"/>
      <c r="AG55" s="1565"/>
      <c r="AH55" s="81"/>
      <c r="AI55" s="81"/>
      <c r="AJ55" s="81"/>
      <c r="AK55" s="81"/>
      <c r="AL55" s="82"/>
      <c r="AM55" s="81"/>
      <c r="AN55" s="81"/>
      <c r="AO55" s="184"/>
      <c r="AP55" s="184"/>
      <c r="AQ55" s="184"/>
      <c r="AR55" s="184"/>
      <c r="AS55" s="184"/>
    </row>
    <row r="56" spans="1:46" s="74" customFormat="1" ht="11.25" customHeight="1" x14ac:dyDescent="0.2">
      <c r="A56" s="142"/>
      <c r="B56" s="1680" t="s">
        <v>18</v>
      </c>
      <c r="C56" s="1680"/>
      <c r="D56" s="1680"/>
      <c r="E56" s="1680"/>
      <c r="F56" s="1680"/>
      <c r="G56" s="1680"/>
      <c r="H56" s="1680"/>
      <c r="I56" s="1680"/>
      <c r="J56" s="12"/>
      <c r="K56" s="9"/>
      <c r="L56" s="9"/>
      <c r="M56" s="9"/>
      <c r="N56" s="9"/>
      <c r="O56" s="9"/>
      <c r="P56" s="9"/>
      <c r="Q56" s="9"/>
      <c r="R56" s="9"/>
      <c r="S56" s="9"/>
      <c r="T56" s="9"/>
      <c r="U56" s="9"/>
      <c r="V56" s="9"/>
      <c r="W56" s="58"/>
      <c r="X56" s="58"/>
      <c r="Y56" s="65"/>
      <c r="Z56" s="65"/>
      <c r="AA56" s="65"/>
      <c r="AB56" s="65"/>
      <c r="AC56" s="161"/>
      <c r="AD56" s="1566"/>
      <c r="AE56" s="1566"/>
      <c r="AF56" s="1567"/>
      <c r="AG56" s="1565"/>
      <c r="AH56" s="81"/>
      <c r="AI56" s="81"/>
      <c r="AJ56" s="81"/>
      <c r="AK56" s="81"/>
      <c r="AL56" s="82"/>
      <c r="AM56" s="81"/>
      <c r="AN56" s="81"/>
      <c r="AO56" s="184"/>
      <c r="AP56" s="184"/>
      <c r="AQ56" s="184"/>
      <c r="AR56" s="184"/>
      <c r="AS56" s="184"/>
    </row>
    <row r="57" spans="1:46" s="74" customFormat="1" ht="11.25" customHeight="1" x14ac:dyDescent="0.2">
      <c r="A57" s="142"/>
      <c r="B57" s="1680"/>
      <c r="C57" s="1680"/>
      <c r="D57" s="1680"/>
      <c r="E57" s="1680"/>
      <c r="F57" s="1680"/>
      <c r="G57" s="1680"/>
      <c r="H57" s="1680"/>
      <c r="I57" s="1680"/>
      <c r="J57" s="12"/>
      <c r="K57" s="9"/>
      <c r="L57" s="9"/>
      <c r="M57" s="9"/>
      <c r="N57" s="9"/>
      <c r="O57" s="9"/>
      <c r="P57" s="9"/>
      <c r="Q57" s="9"/>
      <c r="R57" s="9"/>
      <c r="S57" s="9"/>
      <c r="T57" s="9"/>
      <c r="U57" s="9"/>
      <c r="V57" s="9"/>
      <c r="W57" s="58"/>
      <c r="X57" s="58"/>
      <c r="Y57" s="65"/>
      <c r="Z57" s="65"/>
      <c r="AA57" s="65"/>
      <c r="AB57" s="65"/>
      <c r="AC57" s="161"/>
      <c r="AD57" s="1566"/>
      <c r="AE57" s="1566"/>
      <c r="AF57" s="1567"/>
      <c r="AG57" s="1565"/>
      <c r="AH57" s="81"/>
      <c r="AI57" s="81"/>
      <c r="AJ57" s="81"/>
      <c r="AK57" s="81"/>
      <c r="AL57" s="82"/>
      <c r="AM57" s="81"/>
      <c r="AN57" s="81"/>
      <c r="AO57" s="184"/>
      <c r="AP57" s="184"/>
      <c r="AQ57" s="184"/>
      <c r="AR57" s="184"/>
      <c r="AS57" s="184"/>
    </row>
    <row r="58" spans="1:46" s="74" customFormat="1" ht="11.25" customHeight="1" x14ac:dyDescent="0.2">
      <c r="A58" s="142"/>
      <c r="B58" s="1680" t="s">
        <v>19</v>
      </c>
      <c r="C58" s="1680"/>
      <c r="D58" s="1680"/>
      <c r="E58" s="1680"/>
      <c r="F58" s="1680"/>
      <c r="G58" s="1680"/>
      <c r="H58" s="1680"/>
      <c r="I58" s="1680"/>
      <c r="J58" s="12"/>
      <c r="K58" s="9"/>
      <c r="L58" s="9"/>
      <c r="M58" s="9"/>
      <c r="N58" s="9"/>
      <c r="O58" s="9"/>
      <c r="P58" s="9"/>
      <c r="Q58" s="9"/>
      <c r="R58" s="9"/>
      <c r="S58" s="9"/>
      <c r="T58" s="9"/>
      <c r="U58" s="9"/>
      <c r="V58" s="9"/>
      <c r="W58" s="58"/>
      <c r="X58" s="58"/>
      <c r="Y58" s="65"/>
      <c r="Z58" s="65"/>
      <c r="AA58" s="65"/>
      <c r="AB58" s="65"/>
      <c r="AC58" s="161"/>
      <c r="AD58" s="1566"/>
      <c r="AE58" s="1566"/>
      <c r="AF58" s="1567"/>
      <c r="AG58" s="1565"/>
      <c r="AH58" s="81"/>
      <c r="AI58" s="81"/>
      <c r="AJ58" s="81"/>
      <c r="AK58" s="81"/>
      <c r="AL58" s="82"/>
      <c r="AM58" s="81"/>
      <c r="AN58" s="81"/>
      <c r="AO58" s="184"/>
      <c r="AP58" s="184"/>
      <c r="AQ58" s="184"/>
      <c r="AR58" s="184"/>
      <c r="AS58" s="184"/>
    </row>
    <row r="59" spans="1:46" s="74" customFormat="1" ht="11.25" customHeight="1" x14ac:dyDescent="0.2">
      <c r="A59" s="142"/>
      <c r="B59" s="1680"/>
      <c r="C59" s="1680"/>
      <c r="D59" s="1680"/>
      <c r="E59" s="1680"/>
      <c r="F59" s="1680"/>
      <c r="G59" s="1680"/>
      <c r="H59" s="1680"/>
      <c r="I59" s="1680"/>
      <c r="J59" s="12"/>
      <c r="K59" s="9"/>
      <c r="L59" s="9"/>
      <c r="M59" s="9"/>
      <c r="N59" s="9"/>
      <c r="O59" s="9"/>
      <c r="P59" s="9"/>
      <c r="Q59" s="9"/>
      <c r="R59" s="9"/>
      <c r="S59" s="9"/>
      <c r="T59" s="9"/>
      <c r="U59" s="9"/>
      <c r="V59" s="9"/>
      <c r="W59" s="58"/>
      <c r="X59" s="58"/>
      <c r="Y59" s="65"/>
      <c r="Z59" s="65"/>
      <c r="AA59" s="65"/>
      <c r="AB59" s="65"/>
      <c r="AC59" s="161"/>
      <c r="AD59" s="1566"/>
      <c r="AE59" s="1566"/>
      <c r="AF59" s="1567"/>
      <c r="AG59" s="1565"/>
      <c r="AH59" s="81"/>
      <c r="AI59" s="81"/>
      <c r="AJ59" s="81"/>
      <c r="AK59" s="81"/>
      <c r="AL59" s="82"/>
      <c r="AM59" s="81"/>
      <c r="AN59" s="81"/>
      <c r="AO59" s="184"/>
      <c r="AP59" s="184"/>
      <c r="AQ59" s="184"/>
      <c r="AR59" s="184"/>
      <c r="AS59" s="184"/>
    </row>
    <row r="60" spans="1:46" s="74" customFormat="1" ht="11.25" customHeight="1" x14ac:dyDescent="0.2">
      <c r="A60" s="142"/>
      <c r="B60" s="1680" t="s">
        <v>20</v>
      </c>
      <c r="C60" s="1680"/>
      <c r="D60" s="1680"/>
      <c r="E60" s="1680"/>
      <c r="F60" s="1680"/>
      <c r="G60" s="1680"/>
      <c r="H60" s="1680"/>
      <c r="I60" s="1680"/>
      <c r="J60" s="12"/>
      <c r="K60" s="9"/>
      <c r="L60" s="9"/>
      <c r="M60" s="9"/>
      <c r="N60" s="9"/>
      <c r="O60" s="9"/>
      <c r="P60" s="9"/>
      <c r="Q60" s="9"/>
      <c r="R60" s="9"/>
      <c r="S60" s="9"/>
      <c r="T60" s="9"/>
      <c r="U60" s="9"/>
      <c r="V60" s="9"/>
      <c r="W60" s="58"/>
      <c r="X60" s="58"/>
      <c r="Y60" s="65"/>
      <c r="Z60" s="65"/>
      <c r="AA60" s="65"/>
      <c r="AB60" s="65"/>
      <c r="AC60" s="161"/>
      <c r="AD60" s="1566"/>
      <c r="AE60" s="1566"/>
      <c r="AF60" s="1567"/>
      <c r="AG60" s="1565"/>
      <c r="AH60" s="81"/>
      <c r="AI60" s="81"/>
      <c r="AJ60" s="81"/>
      <c r="AK60" s="81"/>
      <c r="AL60" s="82"/>
      <c r="AM60" s="81"/>
      <c r="AN60" s="81"/>
      <c r="AO60" s="184"/>
      <c r="AP60" s="184"/>
      <c r="AQ60" s="184"/>
      <c r="AR60" s="184"/>
      <c r="AS60" s="184"/>
    </row>
    <row r="61" spans="1:46" s="74" customFormat="1" ht="11.25" customHeight="1" x14ac:dyDescent="0.2">
      <c r="A61" s="142"/>
      <c r="B61" s="1680"/>
      <c r="C61" s="1680"/>
      <c r="D61" s="1680"/>
      <c r="E61" s="1680"/>
      <c r="F61" s="1680"/>
      <c r="G61" s="1680"/>
      <c r="H61" s="1680"/>
      <c r="I61" s="1680"/>
      <c r="J61" s="12"/>
      <c r="K61" s="9"/>
      <c r="L61" s="9"/>
      <c r="M61" s="9"/>
      <c r="N61" s="9"/>
      <c r="O61" s="9"/>
      <c r="P61" s="9"/>
      <c r="Q61" s="9"/>
      <c r="R61" s="9"/>
      <c r="S61" s="9"/>
      <c r="T61" s="9"/>
      <c r="U61" s="9"/>
      <c r="V61" s="9"/>
      <c r="W61" s="58"/>
      <c r="X61" s="58"/>
      <c r="Y61" s="65"/>
      <c r="Z61" s="65"/>
      <c r="AA61" s="65"/>
      <c r="AB61" s="65"/>
      <c r="AC61" s="161"/>
      <c r="AD61" s="1566"/>
      <c r="AE61" s="1566"/>
      <c r="AF61" s="1567"/>
      <c r="AG61" s="1565"/>
      <c r="AH61" s="81"/>
      <c r="AI61" s="81"/>
      <c r="AJ61" s="81"/>
      <c r="AK61" s="81"/>
      <c r="AL61" s="82"/>
      <c r="AM61" s="81"/>
      <c r="AN61" s="81"/>
      <c r="AO61" s="184"/>
      <c r="AP61" s="184"/>
      <c r="AQ61" s="184"/>
      <c r="AR61" s="184"/>
      <c r="AS61" s="184"/>
    </row>
    <row r="62" spans="1:46" s="74" customFormat="1" ht="11.25" customHeight="1" x14ac:dyDescent="0.2">
      <c r="A62" s="142"/>
      <c r="B62" s="1680" t="s">
        <v>26</v>
      </c>
      <c r="C62" s="1680"/>
      <c r="D62" s="1680"/>
      <c r="E62" s="1680"/>
      <c r="F62" s="1680"/>
      <c r="G62" s="1680"/>
      <c r="H62" s="1680"/>
      <c r="I62" s="1680"/>
      <c r="J62" s="12"/>
      <c r="K62" s="9"/>
      <c r="L62" s="9"/>
      <c r="M62" s="9"/>
      <c r="N62" s="9"/>
      <c r="O62" s="9"/>
      <c r="P62" s="9"/>
      <c r="Q62" s="9"/>
      <c r="R62" s="9"/>
      <c r="S62" s="9"/>
      <c r="T62" s="9"/>
      <c r="U62" s="9"/>
      <c r="V62" s="9"/>
      <c r="W62" s="58"/>
      <c r="X62" s="58"/>
      <c r="Y62" s="65"/>
      <c r="Z62" s="65"/>
      <c r="AA62" s="65"/>
      <c r="AB62" s="65"/>
      <c r="AC62" s="161"/>
      <c r="AD62" s="1566"/>
      <c r="AE62" s="1566"/>
      <c r="AF62" s="1567"/>
      <c r="AG62" s="1565"/>
      <c r="AH62" s="81"/>
      <c r="AI62" s="81"/>
      <c r="AJ62" s="81"/>
      <c r="AK62" s="81"/>
      <c r="AL62" s="82"/>
      <c r="AM62" s="81"/>
      <c r="AN62" s="81"/>
      <c r="AO62" s="184"/>
      <c r="AP62" s="184"/>
      <c r="AQ62" s="184"/>
      <c r="AR62" s="184"/>
      <c r="AS62" s="184"/>
    </row>
    <row r="63" spans="1:46" s="74" customFormat="1" ht="11.25" customHeight="1" x14ac:dyDescent="0.2">
      <c r="A63" s="142"/>
      <c r="B63" s="1680"/>
      <c r="C63" s="1680"/>
      <c r="D63" s="1680"/>
      <c r="E63" s="1680"/>
      <c r="F63" s="1680"/>
      <c r="G63" s="1680"/>
      <c r="H63" s="1680"/>
      <c r="I63" s="1680"/>
      <c r="J63" s="12"/>
      <c r="K63" s="9"/>
      <c r="L63" s="9"/>
      <c r="M63" s="9"/>
      <c r="N63" s="9"/>
      <c r="O63" s="9"/>
      <c r="P63" s="9"/>
      <c r="Q63" s="9"/>
      <c r="R63" s="9"/>
      <c r="S63" s="9"/>
      <c r="T63" s="9"/>
      <c r="U63" s="9"/>
      <c r="V63" s="9"/>
      <c r="W63" s="58"/>
      <c r="X63" s="58"/>
      <c r="Y63" s="65"/>
      <c r="Z63" s="65"/>
      <c r="AA63" s="65"/>
      <c r="AB63" s="65"/>
      <c r="AC63" s="161"/>
      <c r="AD63" s="1566"/>
      <c r="AE63" s="1566"/>
      <c r="AF63" s="1567"/>
      <c r="AG63" s="1565"/>
      <c r="AH63" s="81"/>
      <c r="AI63" s="81"/>
      <c r="AJ63" s="81"/>
      <c r="AK63" s="81"/>
      <c r="AL63" s="82"/>
      <c r="AM63" s="81"/>
      <c r="AN63" s="81"/>
      <c r="AO63" s="184"/>
      <c r="AP63" s="184"/>
      <c r="AQ63" s="184"/>
      <c r="AR63" s="184"/>
      <c r="AS63" s="184"/>
    </row>
    <row r="64" spans="1:46" s="74" customFormat="1" ht="11.25" customHeight="1" x14ac:dyDescent="0.2">
      <c r="A64" s="142"/>
      <c r="B64" s="1680" t="s">
        <v>21</v>
      </c>
      <c r="C64" s="1680"/>
      <c r="D64" s="1680"/>
      <c r="E64" s="1680"/>
      <c r="F64" s="1680"/>
      <c r="G64" s="1680"/>
      <c r="H64" s="1680"/>
      <c r="I64" s="1680"/>
      <c r="J64" s="12"/>
      <c r="K64" s="9"/>
      <c r="L64" s="9"/>
      <c r="M64" s="9"/>
      <c r="N64" s="9"/>
      <c r="O64" s="9"/>
      <c r="P64" s="9"/>
      <c r="Q64" s="9"/>
      <c r="R64" s="9"/>
      <c r="S64" s="9"/>
      <c r="T64" s="9"/>
      <c r="U64" s="9"/>
      <c r="V64" s="9"/>
      <c r="W64" s="58"/>
      <c r="X64" s="58"/>
      <c r="Y64" s="65"/>
      <c r="Z64" s="65"/>
      <c r="AA64" s="65"/>
      <c r="AB64" s="65"/>
      <c r="AC64" s="161"/>
      <c r="AD64" s="1566"/>
      <c r="AE64" s="1566"/>
      <c r="AF64" s="1567"/>
      <c r="AG64" s="1565"/>
      <c r="AH64" s="81"/>
      <c r="AI64" s="81"/>
      <c r="AJ64" s="81"/>
      <c r="AK64" s="81"/>
      <c r="AL64" s="82"/>
      <c r="AM64" s="81"/>
      <c r="AN64" s="81"/>
      <c r="AO64" s="184"/>
      <c r="AP64" s="184"/>
      <c r="AQ64" s="184"/>
      <c r="AR64" s="184"/>
      <c r="AS64" s="184"/>
    </row>
    <row r="65" spans="1:58" s="74" customFormat="1" ht="11.25" customHeight="1" x14ac:dyDescent="0.2">
      <c r="A65" s="142"/>
      <c r="B65" s="1680"/>
      <c r="C65" s="1680"/>
      <c r="D65" s="1680"/>
      <c r="E65" s="1680"/>
      <c r="F65" s="1680"/>
      <c r="G65" s="1680"/>
      <c r="H65" s="1680"/>
      <c r="I65" s="1680"/>
      <c r="J65" s="12"/>
      <c r="K65" s="9"/>
      <c r="L65" s="9"/>
      <c r="M65" s="9"/>
      <c r="N65" s="9"/>
      <c r="O65" s="9"/>
      <c r="P65" s="9"/>
      <c r="Q65" s="9"/>
      <c r="R65" s="9"/>
      <c r="S65" s="9"/>
      <c r="T65" s="9"/>
      <c r="U65" s="9"/>
      <c r="V65" s="9"/>
      <c r="W65" s="58"/>
      <c r="X65" s="58"/>
      <c r="Y65" s="65"/>
      <c r="Z65" s="65"/>
      <c r="AA65" s="65"/>
      <c r="AB65" s="65"/>
      <c r="AC65" s="161"/>
      <c r="AD65" s="1566"/>
      <c r="AE65" s="1566"/>
      <c r="AF65" s="1567"/>
      <c r="AG65" s="1565"/>
      <c r="AH65" s="81"/>
      <c r="AI65" s="81"/>
      <c r="AJ65" s="81"/>
      <c r="AK65" s="81"/>
      <c r="AL65" s="82"/>
      <c r="AM65" s="81"/>
      <c r="AN65" s="81"/>
      <c r="AO65" s="184"/>
      <c r="AP65" s="184"/>
      <c r="AQ65" s="184"/>
      <c r="AR65" s="184"/>
      <c r="AS65" s="184"/>
    </row>
    <row r="66" spans="1:58" s="74" customFormat="1" ht="11.25" customHeight="1" x14ac:dyDescent="0.2">
      <c r="A66" s="142"/>
      <c r="B66" s="1680" t="s">
        <v>905</v>
      </c>
      <c r="C66" s="1680"/>
      <c r="D66" s="1680"/>
      <c r="E66" s="1680"/>
      <c r="F66" s="1680"/>
      <c r="G66" s="1680"/>
      <c r="H66" s="1680"/>
      <c r="I66" s="1680"/>
      <c r="J66" s="12"/>
      <c r="K66" s="9"/>
      <c r="L66" s="9"/>
      <c r="M66" s="9"/>
      <c r="N66" s="9"/>
      <c r="O66" s="9"/>
      <c r="P66" s="9"/>
      <c r="Q66" s="9"/>
      <c r="R66" s="9"/>
      <c r="S66" s="9"/>
      <c r="T66" s="9"/>
      <c r="U66" s="9"/>
      <c r="V66" s="9"/>
      <c r="W66" s="58"/>
      <c r="X66" s="58"/>
      <c r="Y66" s="65"/>
      <c r="Z66" s="65"/>
      <c r="AA66" s="65"/>
      <c r="AB66" s="65"/>
      <c r="AC66" s="161"/>
      <c r="AD66" s="1566"/>
      <c r="AE66" s="1566"/>
      <c r="AF66" s="1567"/>
      <c r="AG66" s="1565"/>
      <c r="AH66" s="81"/>
      <c r="AI66" s="81"/>
      <c r="AJ66" s="81"/>
      <c r="AK66" s="81"/>
      <c r="AL66" s="82"/>
      <c r="AM66" s="81"/>
      <c r="AN66" s="81"/>
      <c r="AO66" s="184"/>
      <c r="AP66" s="184"/>
      <c r="AQ66" s="184"/>
      <c r="AR66" s="184"/>
      <c r="AS66" s="184"/>
    </row>
    <row r="67" spans="1:58" s="74" customFormat="1" ht="11.25" customHeight="1" x14ac:dyDescent="0.2">
      <c r="A67" s="142"/>
      <c r="B67" s="1680"/>
      <c r="C67" s="1680"/>
      <c r="D67" s="1680"/>
      <c r="E67" s="1680"/>
      <c r="F67" s="1680"/>
      <c r="G67" s="1680"/>
      <c r="H67" s="1680"/>
      <c r="I67" s="1680"/>
      <c r="J67" s="12"/>
      <c r="K67" s="9"/>
      <c r="L67" s="9"/>
      <c r="M67" s="9"/>
      <c r="N67" s="9"/>
      <c r="O67" s="9"/>
      <c r="P67" s="9"/>
      <c r="Q67" s="9"/>
      <c r="R67" s="9"/>
      <c r="S67" s="9"/>
      <c r="T67" s="9"/>
      <c r="U67" s="9"/>
      <c r="V67" s="9"/>
      <c r="W67" s="58"/>
      <c r="X67" s="58"/>
      <c r="Y67" s="65"/>
      <c r="Z67" s="65"/>
      <c r="AA67" s="65"/>
      <c r="AB67" s="65"/>
      <c r="AC67" s="161"/>
      <c r="AD67" s="1566"/>
      <c r="AE67" s="1566"/>
      <c r="AF67" s="1567"/>
      <c r="AG67" s="1565"/>
      <c r="AH67" s="81"/>
      <c r="AI67" s="81"/>
      <c r="AJ67" s="81"/>
      <c r="AK67" s="81"/>
      <c r="AL67" s="82"/>
      <c r="AM67" s="81"/>
      <c r="AN67" s="81"/>
      <c r="AO67" s="184"/>
      <c r="AP67" s="184"/>
      <c r="AQ67" s="184"/>
      <c r="AR67" s="184"/>
      <c r="AS67" s="184"/>
    </row>
    <row r="68" spans="1:58" s="74" customFormat="1" ht="11.25" customHeight="1" x14ac:dyDescent="0.2">
      <c r="A68" s="142"/>
      <c r="B68" s="1680" t="s">
        <v>32</v>
      </c>
      <c r="C68" s="1680"/>
      <c r="D68" s="1680"/>
      <c r="E68" s="1680"/>
      <c r="F68" s="1680"/>
      <c r="G68" s="1680"/>
      <c r="H68" s="1680"/>
      <c r="I68" s="1680"/>
      <c r="J68" s="12"/>
      <c r="K68" s="9"/>
      <c r="L68" s="9"/>
      <c r="M68" s="9"/>
      <c r="N68" s="9"/>
      <c r="O68" s="9"/>
      <c r="P68" s="9"/>
      <c r="Q68" s="9"/>
      <c r="R68" s="9"/>
      <c r="S68" s="9"/>
      <c r="T68" s="9"/>
      <c r="U68" s="9"/>
      <c r="V68" s="9"/>
      <c r="W68" s="58"/>
      <c r="X68" s="58"/>
      <c r="Y68" s="65"/>
      <c r="Z68" s="65"/>
      <c r="AA68" s="65"/>
      <c r="AB68" s="65"/>
      <c r="AC68" s="161"/>
      <c r="AD68" s="1566"/>
      <c r="AE68" s="1566"/>
      <c r="AF68" s="1567"/>
      <c r="AG68" s="1565"/>
      <c r="AH68" s="81"/>
      <c r="AI68" s="81"/>
      <c r="AJ68" s="81"/>
      <c r="AK68" s="81"/>
      <c r="AL68" s="82"/>
      <c r="AM68" s="81"/>
      <c r="AN68" s="81"/>
      <c r="AO68" s="184"/>
      <c r="AP68" s="184"/>
      <c r="AQ68" s="184"/>
      <c r="AR68" s="184"/>
      <c r="AS68" s="184"/>
    </row>
    <row r="69" spans="1:58" s="74" customFormat="1" ht="11.25" customHeight="1" x14ac:dyDescent="0.2">
      <c r="A69" s="142"/>
      <c r="B69" s="1680"/>
      <c r="C69" s="1680"/>
      <c r="D69" s="1680"/>
      <c r="E69" s="1680"/>
      <c r="F69" s="1680"/>
      <c r="G69" s="1680"/>
      <c r="H69" s="1680"/>
      <c r="I69" s="1680"/>
      <c r="J69" s="12"/>
      <c r="K69" s="9"/>
      <c r="L69" s="9"/>
      <c r="M69" s="9"/>
      <c r="N69" s="9"/>
      <c r="O69" s="9"/>
      <c r="P69" s="9"/>
      <c r="Q69" s="9"/>
      <c r="R69" s="9"/>
      <c r="S69" s="9"/>
      <c r="T69" s="9"/>
      <c r="U69" s="9"/>
      <c r="V69" s="9"/>
      <c r="W69" s="58"/>
      <c r="X69" s="58"/>
      <c r="Y69" s="65"/>
      <c r="Z69" s="65"/>
      <c r="AA69" s="65"/>
      <c r="AB69" s="65"/>
      <c r="AC69" s="161"/>
      <c r="AD69" s="1566"/>
      <c r="AE69" s="1566"/>
      <c r="AF69" s="1567"/>
      <c r="AG69" s="1565"/>
      <c r="AH69" s="81"/>
      <c r="AI69" s="81"/>
      <c r="AJ69" s="81"/>
      <c r="AK69" s="81"/>
      <c r="AL69" s="82"/>
      <c r="AM69" s="81"/>
      <c r="AN69" s="81"/>
      <c r="AO69" s="184"/>
      <c r="AP69" s="184"/>
      <c r="AQ69" s="184"/>
      <c r="AR69" s="184"/>
      <c r="AS69" s="184"/>
    </row>
    <row r="70" spans="1:58" s="74" customFormat="1" ht="11.25" customHeight="1" x14ac:dyDescent="0.2">
      <c r="A70" s="142"/>
      <c r="B70" s="1680" t="s">
        <v>666</v>
      </c>
      <c r="C70" s="1680"/>
      <c r="D70" s="1680"/>
      <c r="E70" s="1680"/>
      <c r="F70" s="1680"/>
      <c r="G70" s="1680"/>
      <c r="H70" s="1680"/>
      <c r="I70" s="1680"/>
      <c r="J70" s="12"/>
      <c r="K70" s="9"/>
      <c r="L70" s="9"/>
      <c r="M70" s="9"/>
      <c r="N70" s="9"/>
      <c r="O70" s="9"/>
      <c r="P70" s="9"/>
      <c r="Q70" s="9"/>
      <c r="R70" s="9"/>
      <c r="S70" s="9"/>
      <c r="T70" s="9"/>
      <c r="U70" s="9"/>
      <c r="V70" s="9"/>
      <c r="W70" s="58"/>
      <c r="X70" s="58"/>
      <c r="Y70" s="65"/>
      <c r="Z70" s="65"/>
      <c r="AA70" s="65"/>
      <c r="AB70" s="65"/>
      <c r="AC70" s="161"/>
      <c r="AD70" s="1566"/>
      <c r="AE70" s="1566"/>
      <c r="AF70" s="1567"/>
      <c r="AG70" s="1565"/>
      <c r="AH70" s="81"/>
      <c r="AI70" s="81"/>
      <c r="AJ70" s="81"/>
      <c r="AK70" s="81"/>
      <c r="AL70" s="82"/>
      <c r="AM70" s="81"/>
      <c r="AN70" s="81"/>
      <c r="AO70" s="184"/>
      <c r="AP70" s="184"/>
      <c r="AQ70" s="184"/>
      <c r="AR70" s="184"/>
      <c r="AS70" s="184"/>
    </row>
    <row r="71" spans="1:58" s="74" customFormat="1" ht="11.25" customHeight="1" x14ac:dyDescent="0.2">
      <c r="A71" s="142"/>
      <c r="B71" s="1680"/>
      <c r="C71" s="1680"/>
      <c r="D71" s="1680"/>
      <c r="E71" s="1680"/>
      <c r="F71" s="1680"/>
      <c r="G71" s="1680"/>
      <c r="H71" s="1680"/>
      <c r="I71" s="1680"/>
      <c r="J71" s="12"/>
      <c r="K71" s="9"/>
      <c r="L71" s="9"/>
      <c r="M71" s="9"/>
      <c r="N71" s="9"/>
      <c r="O71" s="9"/>
      <c r="P71" s="9"/>
      <c r="Q71" s="9"/>
      <c r="R71" s="9"/>
      <c r="S71" s="9"/>
      <c r="T71" s="9"/>
      <c r="U71" s="9"/>
      <c r="V71" s="9"/>
      <c r="W71" s="58"/>
      <c r="X71" s="58"/>
      <c r="Y71" s="65"/>
      <c r="Z71" s="65"/>
      <c r="AA71" s="65"/>
      <c r="AB71" s="65"/>
      <c r="AC71" s="161"/>
      <c r="AD71" s="1566"/>
      <c r="AE71" s="1566"/>
      <c r="AF71" s="1567"/>
      <c r="AG71" s="1565"/>
      <c r="AH71" s="81"/>
      <c r="AI71" s="81"/>
      <c r="AJ71" s="81"/>
      <c r="AK71" s="81"/>
      <c r="AL71" s="82"/>
      <c r="AM71" s="81"/>
      <c r="AN71" s="81"/>
      <c r="AO71" s="184"/>
      <c r="AP71" s="184"/>
      <c r="AQ71" s="184"/>
      <c r="AR71" s="184"/>
      <c r="AS71" s="184"/>
    </row>
    <row r="72" spans="1:58" s="74" customFormat="1" ht="11.25" customHeight="1" x14ac:dyDescent="0.2">
      <c r="A72" s="142"/>
      <c r="B72" s="1680" t="s">
        <v>906</v>
      </c>
      <c r="C72" s="1680"/>
      <c r="D72" s="1680"/>
      <c r="E72" s="1680"/>
      <c r="F72" s="1680"/>
      <c r="G72" s="1680"/>
      <c r="H72" s="1680"/>
      <c r="I72" s="1680"/>
      <c r="J72" s="12"/>
      <c r="K72" s="9"/>
      <c r="L72" s="9"/>
      <c r="M72" s="9"/>
      <c r="N72" s="9"/>
      <c r="O72" s="9"/>
      <c r="P72" s="9"/>
      <c r="Q72" s="9"/>
      <c r="R72" s="9"/>
      <c r="S72" s="9"/>
      <c r="T72" s="9"/>
      <c r="U72" s="9"/>
      <c r="V72" s="9"/>
      <c r="W72" s="58"/>
      <c r="X72" s="58"/>
      <c r="Y72" s="65"/>
      <c r="Z72" s="65"/>
      <c r="AA72" s="65"/>
      <c r="AB72" s="65"/>
      <c r="AC72" s="161"/>
      <c r="AD72" s="1566"/>
      <c r="AE72" s="1566"/>
      <c r="AF72" s="1567"/>
      <c r="AG72" s="1565"/>
      <c r="AH72" s="81"/>
      <c r="AI72" s="81"/>
      <c r="AJ72" s="81"/>
      <c r="AK72" s="81"/>
      <c r="AL72" s="82"/>
      <c r="AM72" s="81"/>
      <c r="AN72" s="81"/>
      <c r="AO72" s="184"/>
      <c r="AP72" s="184"/>
      <c r="AQ72" s="184"/>
      <c r="AR72" s="184"/>
      <c r="AS72" s="184"/>
    </row>
    <row r="73" spans="1:58" s="74" customFormat="1" ht="11.25" customHeight="1" x14ac:dyDescent="0.2">
      <c r="A73" s="142"/>
      <c r="B73" s="1680"/>
      <c r="C73" s="1680"/>
      <c r="D73" s="1680"/>
      <c r="E73" s="1680"/>
      <c r="F73" s="1680"/>
      <c r="G73" s="1680"/>
      <c r="H73" s="1680"/>
      <c r="I73" s="1680"/>
      <c r="J73" s="12"/>
      <c r="K73" s="9"/>
      <c r="L73" s="9"/>
      <c r="M73" s="9"/>
      <c r="N73" s="9"/>
      <c r="O73" s="9"/>
      <c r="P73" s="9"/>
      <c r="Q73" s="9"/>
      <c r="R73" s="9"/>
      <c r="S73" s="9"/>
      <c r="T73" s="9"/>
      <c r="U73" s="9"/>
      <c r="V73" s="9"/>
      <c r="W73" s="58"/>
      <c r="X73" s="58"/>
      <c r="Y73" s="65"/>
      <c r="Z73" s="65"/>
      <c r="AA73" s="65"/>
      <c r="AB73" s="65"/>
      <c r="AC73" s="161"/>
      <c r="AD73" s="1566"/>
      <c r="AE73" s="1566"/>
      <c r="AF73" s="1567"/>
      <c r="AG73" s="1565"/>
      <c r="AH73" s="81"/>
      <c r="AI73" s="81"/>
      <c r="AJ73" s="81"/>
      <c r="AK73" s="81"/>
      <c r="AL73" s="82"/>
      <c r="AM73" s="81"/>
      <c r="AN73" s="81"/>
      <c r="AO73" s="184"/>
      <c r="AP73" s="184"/>
      <c r="AQ73" s="184"/>
      <c r="AR73" s="184"/>
      <c r="AS73" s="184"/>
    </row>
    <row r="74" spans="1:58" s="74" customFormat="1" ht="11.25" customHeight="1" x14ac:dyDescent="0.2">
      <c r="A74" s="142"/>
      <c r="B74" s="1680" t="s">
        <v>672</v>
      </c>
      <c r="C74" s="1680"/>
      <c r="D74" s="1680"/>
      <c r="E74" s="1680"/>
      <c r="F74" s="1680"/>
      <c r="G74" s="1680"/>
      <c r="H74" s="1680"/>
      <c r="I74" s="1680"/>
      <c r="J74" s="12"/>
      <c r="K74" s="9"/>
      <c r="L74" s="9"/>
      <c r="M74" s="9"/>
      <c r="N74" s="9"/>
      <c r="O74" s="9"/>
      <c r="P74" s="9"/>
      <c r="Q74" s="9"/>
      <c r="R74" s="9"/>
      <c r="S74" s="9"/>
      <c r="T74" s="9"/>
      <c r="U74" s="9"/>
      <c r="V74" s="9"/>
      <c r="W74" s="58"/>
      <c r="X74" s="58"/>
      <c r="Y74" s="65"/>
      <c r="Z74" s="65"/>
      <c r="AA74" s="65"/>
      <c r="AB74" s="65"/>
      <c r="AC74" s="161"/>
      <c r="AD74" s="1566"/>
      <c r="AE74" s="1566"/>
      <c r="AF74" s="1567"/>
      <c r="AG74" s="1565"/>
      <c r="AH74" s="81"/>
      <c r="AI74" s="81"/>
      <c r="AJ74" s="81"/>
      <c r="AK74" s="81"/>
      <c r="AL74" s="82"/>
      <c r="AM74" s="81"/>
      <c r="AN74" s="81"/>
      <c r="AO74" s="184"/>
      <c r="AP74" s="184"/>
      <c r="AQ74" s="184"/>
      <c r="AR74" s="184"/>
      <c r="AS74" s="184"/>
    </row>
    <row r="75" spans="1:58" s="80" customFormat="1" ht="11.25" customHeight="1" x14ac:dyDescent="0.2">
      <c r="A75" s="142"/>
      <c r="B75" s="1680"/>
      <c r="C75" s="1680"/>
      <c r="D75" s="1680"/>
      <c r="E75" s="1680"/>
      <c r="F75" s="1680"/>
      <c r="G75" s="1680"/>
      <c r="H75" s="1680"/>
      <c r="I75" s="1680"/>
      <c r="J75" s="12"/>
      <c r="K75" s="9"/>
      <c r="L75" s="9"/>
      <c r="M75" s="9"/>
      <c r="N75" s="9"/>
      <c r="O75" s="9"/>
      <c r="P75" s="9"/>
      <c r="Q75" s="9"/>
      <c r="R75" s="9"/>
      <c r="S75" s="9"/>
      <c r="T75" s="9"/>
      <c r="U75" s="9"/>
      <c r="V75" s="9"/>
      <c r="W75" s="64"/>
      <c r="X75" s="64"/>
      <c r="Y75" s="65"/>
      <c r="Z75" s="65"/>
      <c r="AA75" s="65"/>
      <c r="AB75" s="65"/>
      <c r="AC75" s="161"/>
      <c r="AD75" s="1566"/>
      <c r="AE75" s="1566"/>
      <c r="AF75" s="1567"/>
      <c r="AG75" s="1565"/>
      <c r="AH75" s="81"/>
      <c r="AI75" s="81"/>
      <c r="AJ75" s="81"/>
      <c r="AK75" s="81"/>
      <c r="AL75" s="82"/>
      <c r="AM75" s="81"/>
      <c r="AN75" s="81"/>
      <c r="AO75" s="184"/>
      <c r="AP75" s="184"/>
      <c r="AQ75" s="184"/>
      <c r="AR75" s="184"/>
      <c r="AS75" s="184"/>
      <c r="AT75" s="74"/>
      <c r="AU75" s="74"/>
      <c r="AV75" s="74"/>
      <c r="AW75" s="74"/>
      <c r="AX75" s="74"/>
      <c r="AY75" s="74"/>
      <c r="AZ75" s="74"/>
      <c r="BA75" s="74"/>
      <c r="BB75" s="74"/>
      <c r="BC75" s="74"/>
      <c r="BD75" s="74"/>
      <c r="BE75" s="74"/>
      <c r="BF75" s="74"/>
    </row>
    <row r="76" spans="1:58" s="74" customFormat="1" ht="11.25" customHeight="1" x14ac:dyDescent="0.2">
      <c r="A76" s="1273"/>
      <c r="B76" s="1274"/>
      <c r="C76" s="1275"/>
      <c r="D76" s="1275"/>
      <c r="E76" s="1275"/>
      <c r="F76" s="1275"/>
      <c r="G76" s="1275"/>
      <c r="H76" s="1275"/>
      <c r="I76" s="1275"/>
      <c r="J76" s="1276"/>
      <c r="K76" s="201"/>
      <c r="L76" s="201"/>
      <c r="M76" s="201"/>
      <c r="N76" s="201"/>
      <c r="O76" s="201"/>
      <c r="P76" s="201"/>
      <c r="Q76" s="201"/>
      <c r="R76" s="201"/>
      <c r="S76" s="201"/>
      <c r="T76" s="201"/>
      <c r="U76" s="201"/>
      <c r="V76" s="201"/>
      <c r="W76" s="1562"/>
      <c r="X76" s="1562"/>
      <c r="Y76" s="1563"/>
      <c r="Z76" s="1563"/>
      <c r="AA76" s="1563"/>
      <c r="AB76" s="1563"/>
      <c r="AC76" s="1570"/>
      <c r="AD76" s="1571"/>
      <c r="AE76" s="1571"/>
      <c r="AF76" s="1572"/>
      <c r="AG76" s="1565"/>
      <c r="AH76" s="81"/>
      <c r="AI76" s="81"/>
      <c r="AJ76" s="81"/>
      <c r="AK76" s="81"/>
      <c r="AL76" s="82"/>
      <c r="AM76" s="81"/>
      <c r="AN76" s="81"/>
      <c r="AO76" s="184"/>
      <c r="AP76" s="184"/>
      <c r="AQ76" s="184"/>
      <c r="AR76" s="184"/>
      <c r="AS76" s="184"/>
    </row>
    <row r="77" spans="1:58" s="74" customFormat="1" ht="11.25" customHeight="1" x14ac:dyDescent="0.2">
      <c r="J77" s="88"/>
      <c r="W77" s="80"/>
      <c r="X77" s="80"/>
      <c r="Y77" s="81"/>
      <c r="Z77" s="81"/>
      <c r="AA77" s="81"/>
      <c r="AB77" s="81"/>
      <c r="AC77" s="81"/>
      <c r="AD77" s="81"/>
      <c r="AE77" s="81"/>
      <c r="AF77" s="81"/>
      <c r="AG77" s="81"/>
      <c r="AH77" s="81"/>
      <c r="AI77" s="81"/>
      <c r="AJ77" s="81"/>
      <c r="AK77" s="81"/>
      <c r="AL77" s="81"/>
      <c r="AM77" s="81"/>
      <c r="AN77" s="81"/>
      <c r="AO77" s="81"/>
      <c r="AP77" s="184"/>
      <c r="AQ77" s="184"/>
      <c r="AR77" s="184"/>
      <c r="AS77" s="184"/>
    </row>
    <row r="78" spans="1:58" s="74" customFormat="1" ht="11.25" customHeight="1" x14ac:dyDescent="0.2">
      <c r="J78" s="88"/>
      <c r="W78" s="80"/>
      <c r="X78" s="80"/>
      <c r="Y78" s="81"/>
      <c r="Z78" s="81"/>
      <c r="AA78" s="81"/>
      <c r="AB78" s="81"/>
      <c r="AC78" s="81"/>
      <c r="AD78" s="81"/>
      <c r="AE78" s="81"/>
      <c r="AF78" s="81"/>
      <c r="AG78" s="81"/>
      <c r="AH78" s="81"/>
      <c r="AI78" s="81"/>
      <c r="AJ78" s="81"/>
      <c r="AK78" s="81"/>
      <c r="AL78" s="81"/>
      <c r="AM78" s="81"/>
      <c r="AN78" s="81"/>
      <c r="AO78" s="81"/>
      <c r="AP78" s="184"/>
      <c r="AQ78" s="184"/>
      <c r="AR78" s="184"/>
      <c r="AS78" s="184"/>
    </row>
    <row r="79" spans="1:58" s="74" customFormat="1" ht="11.25" customHeight="1" x14ac:dyDescent="0.2">
      <c r="J79" s="88"/>
      <c r="W79" s="80"/>
      <c r="X79" s="80"/>
      <c r="Y79" s="81"/>
      <c r="Z79" s="81"/>
      <c r="AA79" s="81"/>
      <c r="AB79" s="81"/>
      <c r="AC79" s="81"/>
      <c r="AD79" s="81"/>
      <c r="AE79" s="81"/>
      <c r="AF79" s="81"/>
      <c r="AG79" s="81"/>
      <c r="AH79" s="81"/>
      <c r="AI79" s="81"/>
      <c r="AJ79" s="81"/>
      <c r="AK79" s="81"/>
      <c r="AL79" s="81"/>
      <c r="AM79" s="81"/>
      <c r="AN79" s="81"/>
      <c r="AO79" s="81"/>
      <c r="AP79" s="184"/>
      <c r="AQ79" s="184"/>
      <c r="AR79" s="184"/>
      <c r="AS79" s="184"/>
    </row>
    <row r="80" spans="1:58" s="74" customFormat="1" ht="11.25" customHeight="1" x14ac:dyDescent="0.2">
      <c r="J80" s="88"/>
      <c r="W80" s="80"/>
      <c r="X80" s="80"/>
      <c r="Y80" s="81"/>
      <c r="Z80" s="81"/>
      <c r="AA80" s="81"/>
      <c r="AB80" s="81"/>
      <c r="AC80" s="81"/>
      <c r="AD80" s="81"/>
      <c r="AE80" s="81"/>
      <c r="AF80" s="81"/>
      <c r="AG80" s="81"/>
      <c r="AH80" s="81"/>
      <c r="AI80" s="81"/>
      <c r="AJ80" s="81"/>
      <c r="AK80" s="81"/>
      <c r="AL80" s="81"/>
      <c r="AM80" s="81"/>
      <c r="AN80" s="81"/>
      <c r="AO80" s="81"/>
      <c r="AR80" s="184"/>
    </row>
    <row r="81" spans="10:44" s="74" customFormat="1" ht="11.25" customHeight="1" x14ac:dyDescent="0.2">
      <c r="J81" s="88"/>
      <c r="W81" s="80"/>
      <c r="X81" s="80"/>
      <c r="Y81" s="81"/>
      <c r="Z81" s="81"/>
      <c r="AA81" s="81"/>
      <c r="AB81" s="81"/>
      <c r="AC81" s="81"/>
      <c r="AD81" s="81"/>
      <c r="AE81" s="81"/>
      <c r="AF81" s="81"/>
      <c r="AG81" s="81"/>
      <c r="AH81" s="81"/>
      <c r="AI81" s="81"/>
      <c r="AJ81" s="81"/>
      <c r="AK81" s="81"/>
      <c r="AL81" s="81"/>
      <c r="AM81" s="81"/>
      <c r="AN81" s="81"/>
      <c r="AO81" s="81"/>
      <c r="AR81" s="184"/>
    </row>
    <row r="82" spans="10:44" s="74" customFormat="1" ht="11.25" customHeight="1" x14ac:dyDescent="0.2">
      <c r="J82" s="88"/>
      <c r="W82" s="80"/>
      <c r="X82" s="80"/>
      <c r="Y82" s="81"/>
      <c r="Z82" s="81"/>
      <c r="AA82" s="81"/>
      <c r="AB82" s="81"/>
      <c r="AC82" s="81"/>
      <c r="AD82" s="81"/>
      <c r="AE82" s="81"/>
      <c r="AF82" s="81"/>
      <c r="AG82" s="81"/>
      <c r="AH82" s="81"/>
      <c r="AI82" s="81"/>
      <c r="AJ82" s="81"/>
      <c r="AK82" s="81"/>
      <c r="AL82" s="81"/>
      <c r="AM82" s="81"/>
      <c r="AN82" s="81"/>
      <c r="AO82" s="81"/>
      <c r="AR82" s="184"/>
    </row>
    <row r="83" spans="10:44" s="74" customFormat="1" ht="11.25" customHeight="1" x14ac:dyDescent="0.2">
      <c r="J83" s="88"/>
      <c r="W83" s="80"/>
      <c r="X83" s="80"/>
      <c r="Y83" s="81"/>
      <c r="Z83" s="81"/>
      <c r="AA83" s="81"/>
      <c r="AB83" s="81"/>
      <c r="AC83" s="81"/>
      <c r="AD83" s="81"/>
      <c r="AE83" s="81"/>
      <c r="AF83" s="81"/>
      <c r="AG83" s="81"/>
      <c r="AH83" s="81"/>
      <c r="AI83" s="81"/>
      <c r="AJ83" s="81"/>
      <c r="AK83" s="81"/>
      <c r="AL83" s="81"/>
      <c r="AM83" s="81"/>
      <c r="AN83" s="81"/>
      <c r="AO83" s="81"/>
      <c r="AR83" s="184"/>
    </row>
    <row r="84" spans="10:44" s="74" customFormat="1" ht="11.25" customHeight="1" x14ac:dyDescent="0.2">
      <c r="J84" s="88"/>
      <c r="W84" s="80"/>
      <c r="X84" s="80"/>
      <c r="Y84" s="81"/>
      <c r="Z84" s="81"/>
      <c r="AA84" s="81"/>
      <c r="AB84" s="81"/>
      <c r="AC84" s="81"/>
      <c r="AD84" s="81"/>
      <c r="AE84" s="81"/>
      <c r="AF84" s="81"/>
      <c r="AG84" s="81"/>
      <c r="AH84" s="81"/>
      <c r="AI84" s="81"/>
      <c r="AJ84" s="81"/>
      <c r="AK84" s="81"/>
      <c r="AL84" s="81"/>
      <c r="AM84" s="81"/>
      <c r="AN84" s="81"/>
      <c r="AO84" s="81"/>
      <c r="AR84" s="184"/>
    </row>
    <row r="85" spans="10:44" s="74" customFormat="1" ht="11.25" customHeight="1" x14ac:dyDescent="0.2">
      <c r="J85" s="88"/>
      <c r="W85" s="80"/>
      <c r="X85" s="80"/>
      <c r="Y85" s="81"/>
      <c r="Z85" s="81"/>
      <c r="AA85" s="81"/>
      <c r="AB85" s="81"/>
      <c r="AC85" s="81"/>
      <c r="AD85" s="81"/>
      <c r="AE85" s="81"/>
      <c r="AF85" s="81"/>
      <c r="AG85" s="81"/>
      <c r="AH85" s="81"/>
      <c r="AI85" s="81"/>
      <c r="AJ85" s="81"/>
      <c r="AK85" s="81"/>
      <c r="AL85" s="81"/>
      <c r="AM85" s="81"/>
      <c r="AN85" s="81"/>
      <c r="AO85" s="81"/>
      <c r="AR85" s="184"/>
    </row>
    <row r="86" spans="10:44" s="74" customFormat="1" ht="11.25" customHeight="1" x14ac:dyDescent="0.2">
      <c r="J86" s="88"/>
      <c r="W86" s="80"/>
      <c r="X86" s="80"/>
      <c r="Y86" s="81"/>
      <c r="Z86" s="81"/>
      <c r="AA86" s="81"/>
      <c r="AB86" s="81"/>
      <c r="AC86" s="81"/>
      <c r="AD86" s="81"/>
      <c r="AE86" s="81"/>
      <c r="AF86" s="81"/>
      <c r="AG86" s="81"/>
      <c r="AH86" s="81"/>
      <c r="AI86" s="81"/>
      <c r="AJ86" s="81"/>
      <c r="AK86" s="81"/>
      <c r="AL86" s="81"/>
      <c r="AM86" s="81"/>
      <c r="AN86" s="81"/>
      <c r="AO86" s="81"/>
      <c r="AR86" s="184"/>
    </row>
    <row r="87" spans="10:44" s="74" customFormat="1" ht="11.25" customHeight="1" x14ac:dyDescent="0.2">
      <c r="J87" s="88"/>
      <c r="W87" s="80"/>
      <c r="X87" s="80"/>
      <c r="Y87" s="81"/>
      <c r="Z87" s="81"/>
      <c r="AA87" s="81"/>
      <c r="AB87" s="81"/>
      <c r="AC87" s="81"/>
      <c r="AD87" s="81"/>
      <c r="AE87" s="81"/>
      <c r="AF87" s="81"/>
      <c r="AG87" s="81"/>
      <c r="AH87" s="81"/>
      <c r="AI87" s="81"/>
      <c r="AJ87" s="81"/>
      <c r="AK87" s="81"/>
      <c r="AL87" s="81"/>
      <c r="AM87" s="81"/>
      <c r="AN87" s="81"/>
      <c r="AO87" s="81"/>
      <c r="AR87" s="184"/>
    </row>
    <row r="88" spans="10:44" s="74" customFormat="1" ht="11.25" customHeight="1" x14ac:dyDescent="0.2">
      <c r="J88" s="88"/>
      <c r="W88" s="80"/>
      <c r="X88" s="80"/>
      <c r="Y88" s="81"/>
      <c r="Z88" s="81"/>
      <c r="AA88" s="81"/>
      <c r="AB88" s="81"/>
      <c r="AC88" s="81"/>
      <c r="AD88" s="81"/>
      <c r="AE88" s="81"/>
      <c r="AF88" s="81"/>
      <c r="AG88" s="81"/>
      <c r="AH88" s="81"/>
      <c r="AI88" s="81"/>
      <c r="AJ88" s="81"/>
      <c r="AK88" s="81"/>
      <c r="AL88" s="81"/>
      <c r="AM88" s="81"/>
      <c r="AN88" s="81"/>
      <c r="AO88" s="81"/>
      <c r="AR88" s="184"/>
    </row>
    <row r="89" spans="10:44" s="74" customFormat="1" ht="11.25" customHeight="1" x14ac:dyDescent="0.2">
      <c r="J89" s="88"/>
      <c r="W89" s="80"/>
      <c r="X89" s="80"/>
      <c r="Y89" s="81"/>
      <c r="Z89" s="81"/>
      <c r="AA89" s="81"/>
      <c r="AB89" s="81"/>
      <c r="AC89" s="81"/>
      <c r="AD89" s="81"/>
      <c r="AE89" s="81"/>
      <c r="AF89" s="81"/>
      <c r="AG89" s="81"/>
      <c r="AH89" s="81"/>
      <c r="AI89" s="81"/>
      <c r="AJ89" s="81"/>
      <c r="AK89" s="81"/>
      <c r="AL89" s="81"/>
      <c r="AM89" s="81"/>
      <c r="AN89" s="81"/>
      <c r="AO89" s="81"/>
      <c r="AR89" s="184"/>
    </row>
    <row r="90" spans="10:44" s="74" customFormat="1" ht="11.25" customHeight="1" x14ac:dyDescent="0.2">
      <c r="J90" s="88"/>
      <c r="W90" s="80"/>
      <c r="X90" s="80"/>
      <c r="Y90" s="81"/>
      <c r="Z90" s="81"/>
      <c r="AA90" s="81"/>
      <c r="AB90" s="81"/>
      <c r="AC90" s="81"/>
      <c r="AD90" s="81"/>
      <c r="AE90" s="81"/>
      <c r="AF90" s="81"/>
      <c r="AG90" s="81"/>
      <c r="AH90" s="81"/>
      <c r="AI90" s="81"/>
      <c r="AJ90" s="81"/>
      <c r="AK90" s="81"/>
      <c r="AL90" s="81"/>
      <c r="AM90" s="81"/>
      <c r="AN90" s="81"/>
      <c r="AO90" s="81"/>
      <c r="AR90" s="184"/>
    </row>
    <row r="91" spans="10:44" s="74" customFormat="1" ht="11.25" customHeight="1" x14ac:dyDescent="0.2">
      <c r="J91" s="88"/>
      <c r="W91" s="80"/>
      <c r="X91" s="80"/>
      <c r="Y91" s="81"/>
      <c r="Z91" s="81"/>
      <c r="AA91" s="81"/>
      <c r="AB91" s="81"/>
      <c r="AC91" s="81"/>
      <c r="AD91" s="81"/>
      <c r="AE91" s="81"/>
      <c r="AF91" s="81"/>
      <c r="AG91" s="81"/>
      <c r="AH91" s="81"/>
      <c r="AI91" s="81"/>
      <c r="AJ91" s="81"/>
      <c r="AK91" s="81"/>
      <c r="AL91" s="81"/>
      <c r="AM91" s="81"/>
      <c r="AN91" s="81"/>
      <c r="AO91" s="81"/>
      <c r="AR91" s="184"/>
    </row>
    <row r="92" spans="10:44" s="74" customFormat="1" ht="11.25" customHeight="1" x14ac:dyDescent="0.2">
      <c r="J92" s="88"/>
      <c r="W92" s="80"/>
      <c r="X92" s="80"/>
      <c r="Y92" s="81"/>
      <c r="Z92" s="81"/>
      <c r="AA92" s="81"/>
      <c r="AB92" s="81"/>
      <c r="AC92" s="81"/>
      <c r="AD92" s="81"/>
      <c r="AE92" s="81"/>
      <c r="AF92" s="81"/>
      <c r="AG92" s="81"/>
      <c r="AH92" s="81"/>
      <c r="AI92" s="81"/>
      <c r="AJ92" s="81"/>
      <c r="AK92" s="81"/>
      <c r="AL92" s="81"/>
      <c r="AM92" s="81"/>
      <c r="AN92" s="81"/>
      <c r="AO92" s="81"/>
      <c r="AR92" s="184"/>
    </row>
    <row r="93" spans="10:44" s="74" customFormat="1" ht="11.25" customHeight="1" x14ac:dyDescent="0.2">
      <c r="J93" s="88"/>
      <c r="W93" s="80"/>
      <c r="X93" s="80"/>
      <c r="Y93" s="81"/>
      <c r="Z93" s="81"/>
      <c r="AA93" s="81"/>
      <c r="AB93" s="81"/>
      <c r="AC93" s="81"/>
      <c r="AD93" s="81"/>
      <c r="AE93" s="81"/>
      <c r="AF93" s="81"/>
      <c r="AG93" s="81"/>
      <c r="AH93" s="81"/>
      <c r="AI93" s="81"/>
      <c r="AJ93" s="81"/>
      <c r="AK93" s="81"/>
      <c r="AL93" s="81"/>
      <c r="AM93" s="81"/>
      <c r="AN93" s="81"/>
      <c r="AO93" s="81"/>
      <c r="AR93" s="184"/>
    </row>
    <row r="94" spans="10:44" s="74" customFormat="1" ht="11.25" customHeight="1" x14ac:dyDescent="0.2">
      <c r="J94" s="88"/>
      <c r="W94" s="80"/>
      <c r="X94" s="80"/>
      <c r="Y94" s="81"/>
      <c r="Z94" s="81"/>
      <c r="AA94" s="81"/>
      <c r="AB94" s="81"/>
      <c r="AC94" s="81"/>
      <c r="AD94" s="81"/>
      <c r="AE94" s="81"/>
      <c r="AF94" s="81"/>
      <c r="AG94" s="81"/>
      <c r="AH94" s="81"/>
      <c r="AI94" s="81"/>
      <c r="AJ94" s="81"/>
      <c r="AK94" s="81"/>
      <c r="AL94" s="81"/>
      <c r="AM94" s="81"/>
      <c r="AN94" s="81"/>
      <c r="AO94" s="81"/>
      <c r="AR94" s="184"/>
    </row>
    <row r="95" spans="10:44" s="74" customFormat="1" ht="11.25" customHeight="1" x14ac:dyDescent="0.2">
      <c r="J95" s="88"/>
      <c r="W95" s="80"/>
      <c r="X95" s="80"/>
      <c r="Y95" s="81"/>
      <c r="Z95" s="81"/>
      <c r="AA95" s="81"/>
      <c r="AB95" s="81"/>
      <c r="AC95" s="81"/>
      <c r="AD95" s="81"/>
      <c r="AE95" s="81"/>
      <c r="AF95" s="81"/>
      <c r="AG95" s="81"/>
      <c r="AH95" s="81"/>
      <c r="AI95" s="81"/>
      <c r="AJ95" s="81"/>
      <c r="AK95" s="81"/>
      <c r="AL95" s="81"/>
      <c r="AM95" s="81"/>
      <c r="AN95" s="81"/>
      <c r="AO95" s="81"/>
      <c r="AR95" s="184"/>
    </row>
    <row r="96" spans="10:44" s="74" customFormat="1" ht="11.25" customHeight="1" x14ac:dyDescent="0.2">
      <c r="J96" s="88"/>
      <c r="W96" s="80"/>
      <c r="X96" s="80"/>
      <c r="Y96" s="81"/>
      <c r="Z96" s="81"/>
      <c r="AA96" s="81"/>
      <c r="AB96" s="81"/>
      <c r="AC96" s="81"/>
      <c r="AD96" s="81"/>
      <c r="AE96" s="81"/>
      <c r="AF96" s="81"/>
      <c r="AG96" s="81"/>
      <c r="AH96" s="81"/>
      <c r="AI96" s="81"/>
      <c r="AJ96" s="81"/>
      <c r="AK96" s="81"/>
      <c r="AL96" s="81"/>
      <c r="AM96" s="81"/>
      <c r="AN96" s="81"/>
      <c r="AO96" s="81"/>
      <c r="AR96" s="184"/>
    </row>
    <row r="97" spans="10:44" s="74" customFormat="1" ht="11.25" customHeight="1" x14ac:dyDescent="0.2">
      <c r="J97" s="88"/>
      <c r="W97" s="80"/>
      <c r="X97" s="80"/>
      <c r="Y97" s="81"/>
      <c r="Z97" s="81"/>
      <c r="AA97" s="81"/>
      <c r="AB97" s="81"/>
      <c r="AC97" s="81"/>
      <c r="AD97" s="81"/>
      <c r="AE97" s="81"/>
      <c r="AF97" s="81"/>
      <c r="AG97" s="81"/>
      <c r="AH97" s="81"/>
      <c r="AI97" s="81"/>
      <c r="AJ97" s="81"/>
      <c r="AK97" s="81"/>
      <c r="AL97" s="81"/>
      <c r="AM97" s="81"/>
      <c r="AN97" s="81"/>
      <c r="AO97" s="81"/>
      <c r="AR97" s="184"/>
    </row>
    <row r="98" spans="10:44" s="74" customFormat="1" ht="11.25" customHeight="1" x14ac:dyDescent="0.2">
      <c r="J98" s="88"/>
      <c r="W98" s="80"/>
      <c r="X98" s="80"/>
      <c r="Y98" s="81"/>
      <c r="Z98" s="81"/>
      <c r="AA98" s="81"/>
      <c r="AB98" s="81"/>
      <c r="AC98" s="81"/>
      <c r="AD98" s="81"/>
      <c r="AE98" s="81"/>
      <c r="AF98" s="81"/>
      <c r="AG98" s="81"/>
      <c r="AH98" s="81"/>
      <c r="AI98" s="81"/>
      <c r="AJ98" s="81"/>
      <c r="AK98" s="81"/>
      <c r="AL98" s="81"/>
      <c r="AM98" s="81"/>
      <c r="AN98" s="81"/>
      <c r="AO98" s="81"/>
      <c r="AR98" s="184"/>
    </row>
    <row r="99" spans="10:44" s="74" customFormat="1" ht="11.25" customHeight="1" x14ac:dyDescent="0.2">
      <c r="J99" s="88"/>
      <c r="W99" s="80"/>
      <c r="X99" s="80"/>
      <c r="Y99" s="81"/>
      <c r="Z99" s="81"/>
      <c r="AA99" s="81"/>
      <c r="AB99" s="81"/>
      <c r="AC99" s="81"/>
      <c r="AD99" s="81"/>
      <c r="AE99" s="81"/>
      <c r="AF99" s="81"/>
      <c r="AG99" s="81"/>
      <c r="AH99" s="81"/>
      <c r="AI99" s="81"/>
      <c r="AJ99" s="81"/>
      <c r="AK99" s="81"/>
      <c r="AL99" s="81"/>
      <c r="AM99" s="81"/>
      <c r="AN99" s="81"/>
      <c r="AO99" s="81"/>
      <c r="AR99" s="184"/>
    </row>
    <row r="100" spans="10:44" s="74" customFormat="1" ht="11.25" customHeight="1" x14ac:dyDescent="0.2">
      <c r="J100" s="88"/>
      <c r="W100" s="80"/>
      <c r="X100" s="80"/>
      <c r="Y100" s="81"/>
      <c r="Z100" s="81"/>
      <c r="AA100" s="81"/>
      <c r="AB100" s="81"/>
      <c r="AC100" s="81"/>
      <c r="AD100" s="81"/>
      <c r="AE100" s="81"/>
      <c r="AF100" s="81"/>
      <c r="AG100" s="81"/>
      <c r="AH100" s="81"/>
      <c r="AI100" s="81"/>
      <c r="AJ100" s="81"/>
      <c r="AK100" s="81"/>
      <c r="AL100" s="81"/>
      <c r="AM100" s="81"/>
      <c r="AN100" s="81"/>
      <c r="AO100" s="81"/>
      <c r="AR100" s="184"/>
    </row>
    <row r="101" spans="10:44" s="74" customFormat="1" ht="11.25" customHeight="1" x14ac:dyDescent="0.2">
      <c r="J101" s="88"/>
      <c r="W101" s="80"/>
      <c r="X101" s="80"/>
      <c r="Y101" s="81"/>
      <c r="Z101" s="81"/>
      <c r="AA101" s="81"/>
      <c r="AB101" s="81"/>
      <c r="AC101" s="81"/>
      <c r="AD101" s="81"/>
      <c r="AE101" s="81"/>
      <c r="AF101" s="81"/>
      <c r="AG101" s="81"/>
      <c r="AH101" s="81"/>
      <c r="AI101" s="81"/>
      <c r="AJ101" s="81"/>
      <c r="AK101" s="81"/>
      <c r="AL101" s="81"/>
      <c r="AM101" s="81"/>
      <c r="AN101" s="81"/>
      <c r="AO101" s="81"/>
      <c r="AR101" s="184"/>
    </row>
    <row r="102" spans="10:44" s="74" customFormat="1" ht="11.25" customHeight="1" x14ac:dyDescent="0.2">
      <c r="J102" s="88"/>
      <c r="W102" s="80"/>
      <c r="X102" s="80"/>
      <c r="Y102" s="81"/>
      <c r="Z102" s="81"/>
      <c r="AA102" s="81"/>
      <c r="AB102" s="81"/>
      <c r="AC102" s="81"/>
      <c r="AD102" s="81"/>
      <c r="AE102" s="81"/>
      <c r="AF102" s="81"/>
      <c r="AG102" s="81"/>
      <c r="AH102" s="81"/>
      <c r="AI102" s="81"/>
      <c r="AJ102" s="81"/>
      <c r="AK102" s="81"/>
      <c r="AL102" s="81"/>
      <c r="AM102" s="81"/>
      <c r="AN102" s="81"/>
      <c r="AO102" s="81"/>
      <c r="AR102" s="184"/>
    </row>
    <row r="103" spans="10:44" s="74" customFormat="1" ht="11.25" customHeight="1" x14ac:dyDescent="0.2">
      <c r="J103" s="88"/>
      <c r="W103" s="80"/>
      <c r="X103" s="80"/>
      <c r="Y103" s="81"/>
      <c r="Z103" s="81"/>
      <c r="AA103" s="81"/>
      <c r="AB103" s="81"/>
      <c r="AC103" s="81"/>
      <c r="AD103" s="81"/>
      <c r="AE103" s="81"/>
      <c r="AF103" s="81"/>
      <c r="AG103" s="81"/>
      <c r="AH103" s="81"/>
      <c r="AI103" s="81"/>
      <c r="AJ103" s="81"/>
      <c r="AK103" s="81"/>
      <c r="AL103" s="81"/>
      <c r="AM103" s="81"/>
      <c r="AN103" s="81"/>
      <c r="AO103" s="81"/>
      <c r="AR103" s="184"/>
    </row>
    <row r="104" spans="10:44" s="74" customFormat="1" ht="11.25" customHeight="1" x14ac:dyDescent="0.2">
      <c r="J104" s="88"/>
      <c r="W104" s="80"/>
      <c r="X104" s="80"/>
      <c r="Y104" s="81"/>
      <c r="Z104" s="81"/>
      <c r="AA104" s="81"/>
      <c r="AB104" s="81"/>
      <c r="AC104" s="81"/>
      <c r="AD104" s="81"/>
      <c r="AE104" s="81"/>
      <c r="AF104" s="81"/>
      <c r="AG104" s="81"/>
      <c r="AH104" s="81"/>
      <c r="AI104" s="81"/>
      <c r="AJ104" s="81"/>
      <c r="AK104" s="81"/>
      <c r="AL104" s="81"/>
      <c r="AM104" s="81"/>
      <c r="AN104" s="81"/>
      <c r="AO104" s="81"/>
      <c r="AR104" s="184"/>
    </row>
    <row r="105" spans="10:44" s="74" customFormat="1" ht="11.25" customHeight="1" x14ac:dyDescent="0.2">
      <c r="J105" s="88"/>
      <c r="W105" s="80"/>
      <c r="X105" s="80"/>
      <c r="Y105" s="81"/>
      <c r="Z105" s="81"/>
      <c r="AA105" s="81"/>
      <c r="AB105" s="81"/>
      <c r="AC105" s="81"/>
      <c r="AD105" s="81"/>
      <c r="AE105" s="81"/>
      <c r="AF105" s="81"/>
      <c r="AG105" s="81"/>
      <c r="AH105" s="81"/>
      <c r="AI105" s="81"/>
      <c r="AJ105" s="81"/>
      <c r="AK105" s="81"/>
      <c r="AL105" s="81"/>
      <c r="AM105" s="81"/>
      <c r="AN105" s="81"/>
      <c r="AO105" s="81"/>
      <c r="AR105" s="184"/>
    </row>
    <row r="106" spans="10:44" s="74" customFormat="1" ht="11.25" customHeight="1" x14ac:dyDescent="0.2">
      <c r="J106" s="88"/>
      <c r="W106" s="80"/>
      <c r="X106" s="80"/>
      <c r="Y106" s="81"/>
      <c r="Z106" s="81"/>
      <c r="AA106" s="81"/>
      <c r="AB106" s="81"/>
      <c r="AC106" s="81"/>
      <c r="AD106" s="81"/>
      <c r="AE106" s="81"/>
      <c r="AF106" s="81"/>
      <c r="AG106" s="81"/>
      <c r="AH106" s="81"/>
      <c r="AI106" s="81"/>
      <c r="AJ106" s="81"/>
      <c r="AK106" s="81"/>
      <c r="AL106" s="81"/>
      <c r="AM106" s="81"/>
      <c r="AN106" s="81"/>
      <c r="AO106" s="81"/>
      <c r="AR106" s="184"/>
    </row>
    <row r="107" spans="10:44" s="74" customFormat="1" ht="11.25" customHeight="1" x14ac:dyDescent="0.2">
      <c r="J107" s="88"/>
      <c r="W107" s="80"/>
      <c r="X107" s="80"/>
      <c r="Y107" s="81"/>
      <c r="Z107" s="81"/>
      <c r="AA107" s="81"/>
      <c r="AB107" s="81"/>
      <c r="AC107" s="81"/>
      <c r="AD107" s="81"/>
      <c r="AE107" s="81"/>
      <c r="AF107" s="81"/>
      <c r="AG107" s="81"/>
      <c r="AH107" s="81"/>
      <c r="AI107" s="81"/>
      <c r="AJ107" s="81"/>
      <c r="AK107" s="81"/>
      <c r="AL107" s="81"/>
      <c r="AM107" s="81"/>
      <c r="AN107" s="81"/>
      <c r="AO107" s="81"/>
      <c r="AR107" s="184"/>
    </row>
    <row r="108" spans="10:44" s="74" customFormat="1" ht="11.25" customHeight="1" x14ac:dyDescent="0.2">
      <c r="J108" s="88"/>
      <c r="W108" s="80"/>
      <c r="X108" s="80"/>
      <c r="Y108" s="81"/>
      <c r="Z108" s="81"/>
      <c r="AA108" s="81"/>
      <c r="AB108" s="81"/>
      <c r="AC108" s="81"/>
      <c r="AD108" s="81"/>
      <c r="AE108" s="81"/>
      <c r="AF108" s="81"/>
      <c r="AG108" s="81"/>
      <c r="AH108" s="81"/>
      <c r="AI108" s="81"/>
      <c r="AJ108" s="81"/>
      <c r="AK108" s="81"/>
      <c r="AL108" s="81"/>
      <c r="AM108" s="81"/>
      <c r="AN108" s="81"/>
      <c r="AO108" s="81"/>
      <c r="AR108" s="184"/>
    </row>
    <row r="109" spans="10:44" s="74" customFormat="1" ht="11.25" customHeight="1" x14ac:dyDescent="0.2">
      <c r="J109" s="88"/>
      <c r="W109" s="80"/>
      <c r="X109" s="80"/>
      <c r="Y109" s="81"/>
      <c r="Z109" s="81"/>
      <c r="AA109" s="81"/>
      <c r="AB109" s="81"/>
      <c r="AC109" s="81"/>
      <c r="AD109" s="81"/>
      <c r="AE109" s="81"/>
      <c r="AF109" s="81"/>
      <c r="AG109" s="81"/>
      <c r="AH109" s="81"/>
      <c r="AI109" s="81"/>
      <c r="AJ109" s="81"/>
      <c r="AK109" s="81"/>
      <c r="AL109" s="81"/>
      <c r="AM109" s="81"/>
      <c r="AN109" s="81"/>
      <c r="AO109" s="81"/>
      <c r="AR109" s="184"/>
    </row>
    <row r="134" spans="30:32" ht="11.25" customHeight="1" x14ac:dyDescent="0.2">
      <c r="AD134" s="74"/>
      <c r="AE134" s="74"/>
    </row>
    <row r="135" spans="30:32" ht="11.25" customHeight="1" x14ac:dyDescent="0.2">
      <c r="AD135" s="74"/>
      <c r="AE135" s="74"/>
    </row>
    <row r="136" spans="30:32" ht="11.25" customHeight="1" x14ac:dyDescent="0.2">
      <c r="AD136" s="74"/>
      <c r="AE136" s="74"/>
    </row>
    <row r="139" spans="30:32" ht="11.25" customHeight="1" x14ac:dyDescent="0.2">
      <c r="AD139" s="78"/>
      <c r="AE139" s="78"/>
      <c r="AF139" s="78"/>
    </row>
    <row r="178" spans="30:32" ht="11.25" customHeight="1" x14ac:dyDescent="0.2">
      <c r="AD178" s="74"/>
      <c r="AE178" s="74"/>
    </row>
    <row r="179" spans="30:32" ht="11.25" customHeight="1" x14ac:dyDescent="0.2">
      <c r="AD179" s="74"/>
      <c r="AE179" s="74"/>
    </row>
    <row r="180" spans="30:32" ht="11.25" customHeight="1" x14ac:dyDescent="0.2">
      <c r="AD180" s="74"/>
      <c r="AE180" s="74"/>
    </row>
    <row r="183" spans="30:32" ht="11.25" customHeight="1" x14ac:dyDescent="0.2">
      <c r="AD183" s="78"/>
      <c r="AE183" s="78"/>
      <c r="AF183" s="78"/>
    </row>
    <row r="222" spans="30:31" ht="11.25" customHeight="1" x14ac:dyDescent="0.2">
      <c r="AD222" s="74"/>
      <c r="AE222" s="74"/>
    </row>
    <row r="223" spans="30:31" ht="11.25" customHeight="1" x14ac:dyDescent="0.2">
      <c r="AD223" s="74"/>
      <c r="AE223" s="74"/>
    </row>
    <row r="224" spans="30:31" ht="11.25" customHeight="1" x14ac:dyDescent="0.2">
      <c r="AD224" s="74"/>
      <c r="AE224" s="74"/>
    </row>
    <row r="227" spans="30:32" ht="11.25" customHeight="1" x14ac:dyDescent="0.2">
      <c r="AD227" s="78"/>
      <c r="AE227" s="78"/>
      <c r="AF227" s="78"/>
    </row>
    <row r="266" spans="30:32" ht="11.25" customHeight="1" x14ac:dyDescent="0.2">
      <c r="AD266" s="74"/>
      <c r="AE266" s="74"/>
    </row>
    <row r="267" spans="30:32" ht="11.25" customHeight="1" x14ac:dyDescent="0.2">
      <c r="AD267" s="74"/>
      <c r="AE267" s="74"/>
    </row>
    <row r="268" spans="30:32" ht="11.25" customHeight="1" x14ac:dyDescent="0.2">
      <c r="AD268" s="74"/>
      <c r="AE268" s="74"/>
    </row>
    <row r="271" spans="30:32" ht="11.25" customHeight="1" x14ac:dyDescent="0.2">
      <c r="AD271" s="78"/>
      <c r="AE271" s="78"/>
      <c r="AF271" s="78"/>
    </row>
    <row r="310" spans="30:32" ht="11.25" customHeight="1" x14ac:dyDescent="0.2">
      <c r="AD310" s="74"/>
      <c r="AE310" s="74"/>
    </row>
    <row r="311" spans="30:32" ht="11.25" customHeight="1" x14ac:dyDescent="0.2">
      <c r="AD311" s="74"/>
      <c r="AE311" s="74"/>
    </row>
    <row r="312" spans="30:32" ht="11.25" customHeight="1" x14ac:dyDescent="0.2">
      <c r="AD312" s="74"/>
      <c r="AE312" s="74"/>
    </row>
    <row r="315" spans="30:32" ht="11.25" customHeight="1" x14ac:dyDescent="0.2">
      <c r="AD315" s="78"/>
      <c r="AE315" s="78"/>
      <c r="AF315" s="78"/>
    </row>
    <row r="354" spans="30:32" ht="11.25" customHeight="1" x14ac:dyDescent="0.2">
      <c r="AD354" s="74"/>
      <c r="AE354" s="74"/>
    </row>
    <row r="355" spans="30:32" ht="11.25" customHeight="1" x14ac:dyDescent="0.2">
      <c r="AD355" s="74"/>
      <c r="AE355" s="74"/>
    </row>
    <row r="356" spans="30:32" ht="11.25" customHeight="1" x14ac:dyDescent="0.2">
      <c r="AD356" s="74"/>
      <c r="AE356" s="74"/>
    </row>
    <row r="359" spans="30:32" ht="11.25" customHeight="1" x14ac:dyDescent="0.2">
      <c r="AD359" s="78"/>
      <c r="AE359" s="78"/>
      <c r="AF359" s="78"/>
    </row>
    <row r="398" spans="30:31" ht="11.25" customHeight="1" x14ac:dyDescent="0.2">
      <c r="AD398" s="74"/>
      <c r="AE398" s="74"/>
    </row>
    <row r="399" spans="30:31" ht="11.25" customHeight="1" x14ac:dyDescent="0.2">
      <c r="AD399" s="74"/>
      <c r="AE399" s="74"/>
    </row>
    <row r="400" spans="30:31" ht="11.25" customHeight="1" x14ac:dyDescent="0.2">
      <c r="AD400" s="74"/>
      <c r="AE400" s="74"/>
    </row>
    <row r="403" spans="30:32" ht="11.25" customHeight="1" x14ac:dyDescent="0.2">
      <c r="AD403" s="78"/>
      <c r="AE403" s="78"/>
      <c r="AF403" s="78"/>
    </row>
  </sheetData>
  <mergeCells count="48">
    <mergeCell ref="B56:I57"/>
    <mergeCell ref="B58:I59"/>
    <mergeCell ref="B60:I61"/>
    <mergeCell ref="B72:I73"/>
    <mergeCell ref="B74:I75"/>
    <mergeCell ref="B46:I47"/>
    <mergeCell ref="B48:I49"/>
    <mergeCell ref="B50:I51"/>
    <mergeCell ref="B52:I53"/>
    <mergeCell ref="B54:I55"/>
    <mergeCell ref="B36:I37"/>
    <mergeCell ref="B38:I39"/>
    <mergeCell ref="B40:I41"/>
    <mergeCell ref="B42:I43"/>
    <mergeCell ref="B44:I45"/>
    <mergeCell ref="B6:AA6"/>
    <mergeCell ref="Z8:Z9"/>
    <mergeCell ref="AA8:AA9"/>
    <mergeCell ref="F8:F9"/>
    <mergeCell ref="G8:G9"/>
    <mergeCell ref="H8:H9"/>
    <mergeCell ref="X8:X9"/>
    <mergeCell ref="Y8:Y9"/>
    <mergeCell ref="N8:N9"/>
    <mergeCell ref="R8:R9"/>
    <mergeCell ref="O8:O9"/>
    <mergeCell ref="P8:P9"/>
    <mergeCell ref="V8:V9"/>
    <mergeCell ref="W8:W9"/>
    <mergeCell ref="C7:C9"/>
    <mergeCell ref="S8:S9"/>
    <mergeCell ref="E7:E9"/>
    <mergeCell ref="D7:D9"/>
    <mergeCell ref="F7:AA7"/>
    <mergeCell ref="B7:B9"/>
    <mergeCell ref="K8:K9"/>
    <mergeCell ref="L8:L9"/>
    <mergeCell ref="M8:M9"/>
    <mergeCell ref="Q8:Q9"/>
    <mergeCell ref="T8:T9"/>
    <mergeCell ref="U8:U9"/>
    <mergeCell ref="I8:I9"/>
    <mergeCell ref="J8:J9"/>
    <mergeCell ref="B62:I63"/>
    <mergeCell ref="B64:I65"/>
    <mergeCell ref="B66:I67"/>
    <mergeCell ref="B68:I69"/>
    <mergeCell ref="B70:I71"/>
  </mergeCells>
  <phoneticPr fontId="4" type="noConversion"/>
  <conditionalFormatting sqref="C10:E31">
    <cfRule type="expression" dxfId="1068" priority="3">
      <formula>$C10=$AE$2</formula>
    </cfRule>
  </conditionalFormatting>
  <conditionalFormatting sqref="B10:B31 F10:AA31">
    <cfRule type="expression" dxfId="1067" priority="2">
      <formula>$C10=$AE$2</formula>
    </cfRule>
  </conditionalFormatting>
  <conditionalFormatting sqref="A77:A109">
    <cfRule type="containsErrors" dxfId="1066" priority="1">
      <formula>ISERROR(A77)</formula>
    </cfRule>
  </conditionalFormatting>
  <hyperlinks>
    <hyperlink ref="B40:H41" location="IDACI!A1" display="IDACI" xr:uid="{EE1CFFC8-CFD2-4F8C-A0DD-3F51F0751D0A}"/>
    <hyperlink ref="B64:I65" location="ROSGO!A1" display="Child Arrangement &amp; Special Guardianship Orders" xr:uid="{78617FFA-AFF3-4CC7-9F17-1CDCE9A7B134}"/>
    <hyperlink ref="B44:G45" location="EH_Referrals!A1" display="Early Help Referrals" xr:uid="{967D9962-0D0E-4CCD-A1CB-DF65D1172D40}"/>
    <hyperlink ref="B64:E65" location="ROSGO!A1" display="Child Arrangement &amp; Special Guardianship Orders" xr:uid="{5040E1E4-29CA-4A77-97CF-B018AA9DD39E}"/>
    <hyperlink ref="B44:E45" location="EH_Referrals!A1" display="Early Help Referrals" xr:uid="{8BD27511-F675-4229-B76B-EAB6AE37B62A}"/>
    <hyperlink ref="B42:D43" location="IDACI!A1" display="IDACI" xr:uid="{92799DDD-3766-4F34-9794-E279513D22A5}"/>
    <hyperlink ref="B38:D39" location="Indicators!A1" display="Indicators" xr:uid="{F14D24D4-C95C-4327-94BE-C0761D4319E7}"/>
    <hyperlink ref="B66:D67" location="New_Ceased_LAC!A1" display="New/ Ceased Looked After Children" xr:uid="{882D9DEF-1619-4C42-8227-EAFDD3968394}"/>
    <hyperlink ref="B70:D71" location="Care_Leavers!A1" display="Care Leavers" xr:uid="{C080D7EC-7112-4DDB-9203-22A7309CF2DF}"/>
    <hyperlink ref="B74:D75" location="Offending!A1" display="Offending" xr:uid="{36ECDD25-6F8A-4BA0-AAD7-046803F84B60}"/>
    <hyperlink ref="B72:D73" location="EHCP!A1" display="Education Health and Care Plans (EHCP)" xr:uid="{16A0E68D-D808-4B7E-871E-B90CEFB95062}"/>
    <hyperlink ref="B40:B41" location="Coverage!A1" display="Participating LA's" xr:uid="{C98578EB-7C51-437B-B743-2C2540E6B4BC}"/>
    <hyperlink ref="B42:B43" location="IDACI!A1" display="IDACI" xr:uid="{4E60F101-3F3C-49B5-85E2-44E2E9873CFF}"/>
    <hyperlink ref="B68:B69" location="Adoption!A1" display="Adoption" xr:uid="{C657E42C-EEE8-4A77-B0C1-9C43702202CC}"/>
    <hyperlink ref="B64:B65" location="'Looked After Children'!A1" display="Looked After Children" xr:uid="{CFDE5547-8943-40DB-A100-2B057A45B6B0}"/>
    <hyperlink ref="B62:B63" location="'Court Applications'!A1" display="Court Applications" xr:uid="{828D2404-410B-4927-8FDB-FD662F040054}"/>
    <hyperlink ref="B60:B61" location="'Child Protection Plans'!A1" display="Child Protection Plans" xr:uid="{C3825619-066B-49B7-BF77-C32F9062D8DE}"/>
    <hyperlink ref="B58:B59" location="'Initial CP Conferences'!A1" display="Initial Child Protection Conferences" xr:uid="{3CE51193-7B7A-4291-B822-6CE4CAC9C558}"/>
    <hyperlink ref="B56:B57" location="'Section 47 Enquiries'!A1" display="Section 47 Enquiries" xr:uid="{46FF651E-4025-48E2-AD66-7CA7A8C24530}"/>
    <hyperlink ref="B54:B55" location="'Children in Need'!A1" display="Children in Need" xr:uid="{0C01EAF4-D65B-42B2-90C3-F6EE31FB84FD}"/>
    <hyperlink ref="B52:B53" location="Assessments!A1" display="Assessments" xr:uid="{7E8099EF-3C1E-4E20-BDD4-0468785E1563}"/>
    <hyperlink ref="B50:B51" location="'Re-referrals'!A1" display="Re-referrals" xr:uid="{99B8D71F-9CFF-487F-9329-C8E7BA85B017}"/>
    <hyperlink ref="B48:B49" location="Referral_Source!A1" display="Referral Source" xr:uid="{1112E11A-6973-4718-8E62-C79AFF72D311}"/>
    <hyperlink ref="B46:B47" location="Referrals!A1" display="Referrals" xr:uid="{D4F0FFC3-A97E-4B2F-A842-A19094A0182A}"/>
    <hyperlink ref="B44:B45" location="Population!A1" display="Population" xr:uid="{51C77469-2755-45CF-8CFB-26EFCB364FD4}"/>
    <hyperlink ref="B42:C43" location="IDACI!A1" display="IDACI" xr:uid="{FF95A4FD-2BF5-4D00-90A5-14DC57A22D10}"/>
    <hyperlink ref="B38:B39" location="Coverage!A1" display="Participating LA's" xr:uid="{187E6CCB-F528-489E-A333-6E834B5A3341}"/>
    <hyperlink ref="B38:C39" location="Indicators!A1" display="Indicators" xr:uid="{08BED9AE-8D8D-4E4F-B8E2-A4235F7B1E2F}"/>
    <hyperlink ref="B70:B71" location="'Looked After Children'!A1" display="Looked After Children" xr:uid="{BF0A7E76-E144-43FB-95BF-76FBA791818F}"/>
    <hyperlink ref="B66:B67" location="'Court Applications'!A1" display="Court Applications" xr:uid="{D797A261-3F52-428F-B423-F74F2C9F6D95}"/>
    <hyperlink ref="B66:C67" location="New_Ceased_LAC!A1" display="New/ Ceased Looked After Children" xr:uid="{7C9DF81D-C786-42CF-87DB-B67A840CAB2C}"/>
    <hyperlink ref="B70:C71" location="Care_Leavers!A1" display="Care Leavers" xr:uid="{0FA82030-B973-46F0-912E-C0C546D2D7C2}"/>
    <hyperlink ref="B73:B75" location="Adoption!A1" display="Adoption" xr:uid="{D4A7F4DC-A4F3-4812-97D4-C56A61618B64}"/>
    <hyperlink ref="B74:B75" location="'Looked After Children'!A1" display="Looked After Children" xr:uid="{06B79592-60EE-4A38-A39F-DDEFD22BA706}"/>
    <hyperlink ref="B74:C75" location="Offending!A1" display="Offending" xr:uid="{8F6DC648-B175-40CE-A635-C7CEC262ED2D}"/>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tabColor rgb="FFFFC000"/>
  </sheetPr>
  <dimension ref="A1:BN400"/>
  <sheetViews>
    <sheetView showRowColHeaders="0" workbookViewId="0"/>
  </sheetViews>
  <sheetFormatPr defaultColWidth="9.140625" defaultRowHeight="11.25" customHeight="1" x14ac:dyDescent="0.2"/>
  <cols>
    <col min="1" max="1" width="2.140625" style="74" customWidth="1"/>
    <col min="2" max="2" width="17" style="74" bestFit="1" customWidth="1"/>
    <col min="3" max="3" width="11.5703125" style="74" customWidth="1"/>
    <col min="4" max="5" width="12.42578125" style="74" customWidth="1"/>
    <col min="6" max="6" width="1.42578125" style="74" customWidth="1"/>
    <col min="7" max="7" width="10.140625" style="74" customWidth="1"/>
    <col min="8" max="8" width="6.5703125" style="74" customWidth="1"/>
    <col min="9" max="9" width="8.140625" style="74" customWidth="1"/>
    <col min="10" max="10" width="3.42578125" style="74" customWidth="1"/>
    <col min="11" max="15" width="8.42578125" style="74" customWidth="1"/>
    <col min="16" max="16" width="8.28515625" style="74" customWidth="1"/>
    <col min="17" max="17" width="2.140625" style="74" customWidth="1"/>
    <col min="18" max="18" width="6.42578125" style="74" customWidth="1"/>
    <col min="19" max="19" width="12.140625" style="74" hidden="1" customWidth="1"/>
    <col min="20" max="20" width="15.42578125" style="74" hidden="1" customWidth="1"/>
    <col min="21" max="21" width="20.42578125" style="74" hidden="1" customWidth="1"/>
    <col min="22" max="22" width="4.42578125" style="74" hidden="1" customWidth="1"/>
    <col min="23" max="23" width="13.5703125" style="74" hidden="1" customWidth="1"/>
    <col min="24" max="24" width="4.42578125" style="74" customWidth="1"/>
    <col min="25" max="25" width="9.140625" style="74"/>
    <col min="26" max="26" width="12.140625" style="75" customWidth="1"/>
    <col min="27" max="27" width="9.140625" style="75"/>
    <col min="28" max="28" width="12.140625" style="75" customWidth="1"/>
    <col min="29" max="31" width="9.140625" style="74"/>
    <col min="32" max="32" width="9.140625" style="74" customWidth="1"/>
    <col min="33" max="34" width="9.140625" style="74"/>
    <col min="35" max="37" width="9.140625" style="184"/>
    <col min="38" max="16384" width="9.140625" style="74"/>
  </cols>
  <sheetData>
    <row r="1" spans="1:37" ht="18.75" customHeight="1" x14ac:dyDescent="0.2">
      <c r="A1" s="112"/>
      <c r="B1" s="113"/>
      <c r="C1" s="113"/>
      <c r="D1" s="113"/>
      <c r="E1" s="113"/>
      <c r="F1" s="113"/>
      <c r="G1" s="113"/>
      <c r="H1" s="113"/>
      <c r="I1" s="114"/>
      <c r="J1" s="113"/>
      <c r="K1" s="113"/>
      <c r="L1" s="113"/>
      <c r="M1" s="113"/>
      <c r="N1" s="113"/>
      <c r="O1" s="113"/>
      <c r="P1" s="113"/>
      <c r="Q1" s="115"/>
      <c r="R1" s="275"/>
      <c r="S1" s="184"/>
      <c r="T1" s="184"/>
      <c r="U1" s="184"/>
      <c r="V1" s="80"/>
      <c r="W1" s="80"/>
      <c r="X1" s="180"/>
      <c r="Y1" s="180"/>
      <c r="Z1" s="180"/>
      <c r="AA1" s="180"/>
      <c r="AB1" s="180"/>
      <c r="AC1" s="180"/>
      <c r="AD1" s="180"/>
      <c r="AE1" s="180"/>
      <c r="AF1" s="180"/>
      <c r="AG1" s="180"/>
      <c r="AH1" s="180"/>
    </row>
    <row r="2" spans="1:37" ht="18.75" customHeight="1" x14ac:dyDescent="0.2">
      <c r="A2" s="118"/>
      <c r="B2" s="128" t="s">
        <v>78</v>
      </c>
      <c r="C2" s="9"/>
      <c r="D2" s="9"/>
      <c r="E2" s="9"/>
      <c r="F2" s="9"/>
      <c r="G2" s="9"/>
      <c r="H2" s="9"/>
      <c r="I2" s="12"/>
      <c r="J2" s="9"/>
      <c r="K2" s="9"/>
      <c r="L2" s="9"/>
      <c r="M2" s="9"/>
      <c r="N2" s="9"/>
      <c r="O2" s="9"/>
      <c r="P2" s="9"/>
      <c r="Q2" s="117"/>
      <c r="R2" s="161"/>
      <c r="S2" s="184"/>
      <c r="T2" s="184"/>
      <c r="U2" s="184"/>
      <c r="V2" s="80"/>
      <c r="W2" s="80"/>
      <c r="X2" s="81"/>
      <c r="Y2" s="81"/>
      <c r="Z2" s="81"/>
      <c r="AA2" s="81"/>
      <c r="AB2" s="81"/>
      <c r="AC2" s="81"/>
      <c r="AD2" s="81"/>
      <c r="AE2" s="81"/>
      <c r="AF2" s="81"/>
      <c r="AG2" s="81"/>
      <c r="AH2" s="81"/>
    </row>
    <row r="3" spans="1:37" ht="18.75" customHeight="1" x14ac:dyDescent="0.2">
      <c r="A3" s="118"/>
      <c r="B3" s="9"/>
      <c r="C3" s="9"/>
      <c r="D3" s="9"/>
      <c r="E3" s="9"/>
      <c r="F3" s="9"/>
      <c r="G3" s="9"/>
      <c r="H3" s="9"/>
      <c r="I3" s="12"/>
      <c r="J3" s="9"/>
      <c r="K3" s="9"/>
      <c r="L3" s="9"/>
      <c r="M3" s="9"/>
      <c r="N3" s="9"/>
      <c r="O3" s="9"/>
      <c r="P3" s="9"/>
      <c r="Q3" s="117"/>
      <c r="R3" s="161"/>
      <c r="S3" s="184"/>
      <c r="T3" s="184"/>
      <c r="U3" s="184"/>
      <c r="V3" s="80"/>
      <c r="W3" s="80"/>
      <c r="X3" s="81"/>
      <c r="Y3" s="81"/>
      <c r="Z3" s="81"/>
      <c r="AA3" s="81"/>
      <c r="AB3" s="81"/>
      <c r="AC3" s="81"/>
      <c r="AD3" s="81"/>
      <c r="AE3" s="81"/>
      <c r="AF3" s="81"/>
      <c r="AG3" s="81"/>
      <c r="AH3" s="81"/>
    </row>
    <row r="4" spans="1:37" ht="11.25" customHeight="1" x14ac:dyDescent="0.2">
      <c r="A4" s="112"/>
      <c r="B4" s="113"/>
      <c r="C4" s="113"/>
      <c r="D4" s="113"/>
      <c r="E4" s="113"/>
      <c r="F4" s="113"/>
      <c r="G4" s="113"/>
      <c r="H4" s="113"/>
      <c r="I4" s="113"/>
      <c r="J4" s="113"/>
      <c r="K4" s="113"/>
      <c r="L4" s="113"/>
      <c r="M4" s="113"/>
      <c r="N4" s="113"/>
      <c r="O4" s="113"/>
      <c r="P4" s="113"/>
      <c r="Q4" s="220"/>
      <c r="R4" s="157"/>
      <c r="X4" s="75"/>
      <c r="Y4" s="75"/>
      <c r="AA4" s="74"/>
      <c r="AB4" s="74"/>
    </row>
    <row r="5" spans="1:37" s="76" customFormat="1" ht="18.75" customHeight="1" x14ac:dyDescent="0.2">
      <c r="A5" s="119"/>
      <c r="B5" s="59" t="s">
        <v>97</v>
      </c>
      <c r="C5" s="227"/>
      <c r="D5" s="227"/>
      <c r="E5" s="227"/>
      <c r="F5" s="227"/>
      <c r="G5" s="227"/>
      <c r="H5" s="227"/>
      <c r="I5" s="227"/>
      <c r="J5" s="227"/>
      <c r="K5" s="227"/>
      <c r="L5" s="227"/>
      <c r="M5" s="227"/>
      <c r="N5" s="62"/>
      <c r="O5" s="62"/>
      <c r="P5" s="14"/>
      <c r="Q5" s="221"/>
      <c r="R5" s="158"/>
      <c r="S5" s="83" t="e">
        <f>VLOOKUP(T5,$S$9:$T$30,2,FALSE)</f>
        <v>#N/A</v>
      </c>
      <c r="T5" s="77" t="str">
        <f>Home!$D$10</f>
        <v>(none)</v>
      </c>
      <c r="U5" s="248" t="str">
        <f>"Selected LA- "&amp;T5</f>
        <v>Selected LA- (none)</v>
      </c>
      <c r="V5" s="184"/>
      <c r="X5" s="78"/>
      <c r="Y5" s="246"/>
      <c r="Z5" s="78"/>
      <c r="AI5" s="188"/>
      <c r="AJ5" s="188"/>
      <c r="AK5" s="188"/>
    </row>
    <row r="6" spans="1:37" ht="49.5" customHeight="1" x14ac:dyDescent="0.2">
      <c r="A6" s="118"/>
      <c r="B6" s="1703" t="s">
        <v>1214</v>
      </c>
      <c r="C6" s="1713"/>
      <c r="D6" s="1713"/>
      <c r="E6" s="1713"/>
      <c r="F6" s="1713"/>
      <c r="G6" s="1713"/>
      <c r="H6" s="1713"/>
      <c r="I6" s="1713"/>
      <c r="J6" s="1713"/>
      <c r="K6" s="1713"/>
      <c r="L6" s="1713"/>
      <c r="M6" s="1713"/>
      <c r="N6" s="1713"/>
      <c r="O6" s="1713"/>
      <c r="P6" s="9"/>
      <c r="Q6" s="244"/>
      <c r="R6" s="157"/>
      <c r="U6" s="76"/>
      <c r="V6" s="188"/>
      <c r="W6" s="76"/>
      <c r="X6" s="76"/>
      <c r="Y6" s="184"/>
    </row>
    <row r="7" spans="1:37" ht="7.5" customHeight="1" x14ac:dyDescent="0.2">
      <c r="A7" s="278"/>
      <c r="B7" s="1717"/>
      <c r="C7" s="1717"/>
      <c r="D7" s="1717"/>
      <c r="E7" s="1717"/>
      <c r="F7" s="1717"/>
      <c r="G7" s="1717"/>
      <c r="H7" s="1717"/>
      <c r="I7" s="1717"/>
      <c r="J7" s="1717"/>
      <c r="K7" s="1717"/>
      <c r="L7" s="1717"/>
      <c r="M7" s="1717"/>
      <c r="N7" s="1717"/>
      <c r="O7" s="1717"/>
      <c r="P7" s="1717"/>
      <c r="Q7" s="244"/>
      <c r="R7" s="157"/>
      <c r="U7" s="76"/>
      <c r="V7" s="188"/>
      <c r="W7" s="76"/>
      <c r="X7" s="76"/>
      <c r="Y7" s="184"/>
    </row>
    <row r="8" spans="1:37" ht="37.5" customHeight="1" x14ac:dyDescent="0.2">
      <c r="A8" s="118"/>
      <c r="B8" s="469" t="s">
        <v>205</v>
      </c>
      <c r="C8" s="1372" t="s">
        <v>1213</v>
      </c>
      <c r="D8" s="1373" t="s">
        <v>1243</v>
      </c>
      <c r="E8" s="1374" t="s">
        <v>98</v>
      </c>
      <c r="F8" s="38"/>
      <c r="G8" s="38"/>
      <c r="H8" s="38"/>
      <c r="I8" s="38"/>
      <c r="J8" s="38"/>
      <c r="K8" s="228"/>
      <c r="L8" s="37"/>
      <c r="M8" s="37"/>
      <c r="N8" s="37"/>
      <c r="O8" s="9"/>
      <c r="P8" s="9"/>
      <c r="Q8" s="244"/>
      <c r="R8" s="157"/>
      <c r="V8" s="184"/>
      <c r="Y8" s="184"/>
    </row>
    <row r="9" spans="1:37" ht="12.75" customHeight="1" x14ac:dyDescent="0.2">
      <c r="A9" s="488">
        <f>VLOOKUP(B9,Sheet1!$AQ$4:$AR$25,2,FALSE)</f>
        <v>0</v>
      </c>
      <c r="B9" s="93" t="s">
        <v>0</v>
      </c>
      <c r="C9" s="1375">
        <v>8.9</v>
      </c>
      <c r="D9" s="1376">
        <v>24849</v>
      </c>
      <c r="E9" s="1377">
        <f t="shared" ref="E9:E30" si="0">D9*(C9/100)</f>
        <v>2211.5610000000001</v>
      </c>
      <c r="F9" s="228"/>
      <c r="G9" s="228"/>
      <c r="H9" s="39"/>
      <c r="I9" s="14"/>
      <c r="J9" s="14"/>
      <c r="K9" s="14"/>
      <c r="L9" s="36"/>
      <c r="M9" s="37"/>
      <c r="N9" s="36"/>
      <c r="O9" s="9"/>
      <c r="P9" s="9"/>
      <c r="Q9" s="244"/>
      <c r="R9" s="157"/>
      <c r="S9" s="84" t="str">
        <f>B9</f>
        <v>Bracknell Forest</v>
      </c>
      <c r="T9" s="79">
        <v>1</v>
      </c>
      <c r="U9" s="249" t="str">
        <f>IF(B9=$T$5,C9," ")</f>
        <v xml:space="preserve"> </v>
      </c>
      <c r="V9" s="184"/>
      <c r="X9" s="75"/>
      <c r="Y9" s="247"/>
      <c r="AA9" s="74"/>
      <c r="AB9" s="74"/>
    </row>
    <row r="10" spans="1:37" ht="12.75" customHeight="1" x14ac:dyDescent="0.2">
      <c r="A10" s="488">
        <f>VLOOKUP(B10,Sheet1!$AQ$4:$AR$25,2,FALSE)</f>
        <v>0</v>
      </c>
      <c r="B10" s="735" t="s">
        <v>31</v>
      </c>
      <c r="C10" s="1375">
        <v>15.299999999999999</v>
      </c>
      <c r="D10" s="1376">
        <v>45576</v>
      </c>
      <c r="E10" s="1377">
        <f t="shared" si="0"/>
        <v>6973.1279999999997</v>
      </c>
      <c r="F10" s="228"/>
      <c r="G10" s="228"/>
      <c r="H10" s="39"/>
      <c r="I10" s="40"/>
      <c r="J10" s="14"/>
      <c r="K10" s="9"/>
      <c r="L10" s="9"/>
      <c r="M10" s="9"/>
      <c r="N10" s="9"/>
      <c r="O10" s="9"/>
      <c r="P10" s="9"/>
      <c r="Q10" s="244"/>
      <c r="R10" s="157"/>
      <c r="S10" s="84" t="str">
        <f t="shared" ref="S10:S30" si="1">B10</f>
        <v>Brighton &amp; Hove</v>
      </c>
      <c r="T10" s="79">
        <v>2</v>
      </c>
      <c r="U10" s="249" t="str">
        <f t="shared" ref="U10:U30" si="2">IF(B10=$T$5,C10," ")</f>
        <v xml:space="preserve"> </v>
      </c>
      <c r="V10" s="184"/>
      <c r="X10" s="75"/>
      <c r="Y10" s="247"/>
      <c r="AA10" s="74"/>
      <c r="AB10" s="74"/>
    </row>
    <row r="11" spans="1:37" ht="12.75" customHeight="1" x14ac:dyDescent="0.2">
      <c r="A11" s="488">
        <f>VLOOKUP(B11,Sheet1!$AQ$4:$AR$25,2,FALSE)</f>
        <v>0</v>
      </c>
      <c r="B11" s="735" t="s">
        <v>8</v>
      </c>
      <c r="C11" s="1375">
        <v>8.5</v>
      </c>
      <c r="D11" s="1376">
        <v>107385</v>
      </c>
      <c r="E11" s="1377">
        <f t="shared" si="0"/>
        <v>9127.7250000000004</v>
      </c>
      <c r="F11" s="228"/>
      <c r="G11" s="39"/>
      <c r="H11" s="39"/>
      <c r="I11" s="14"/>
      <c r="J11" s="14"/>
      <c r="K11" s="9"/>
      <c r="L11" s="36"/>
      <c r="M11" s="37"/>
      <c r="N11" s="36"/>
      <c r="O11" s="9"/>
      <c r="P11" s="9"/>
      <c r="Q11" s="244"/>
      <c r="R11" s="157"/>
      <c r="S11" s="84" t="str">
        <f t="shared" si="1"/>
        <v>Buckinghamshire</v>
      </c>
      <c r="T11" s="79">
        <v>3</v>
      </c>
      <c r="U11" s="249" t="str">
        <f t="shared" si="2"/>
        <v xml:space="preserve"> </v>
      </c>
      <c r="V11" s="184"/>
      <c r="X11" s="75"/>
      <c r="Y11" s="247"/>
      <c r="AA11" s="74"/>
      <c r="AB11" s="74"/>
    </row>
    <row r="12" spans="1:37" ht="12.75" customHeight="1" x14ac:dyDescent="0.2">
      <c r="A12" s="488">
        <f>VLOOKUP(B12,Sheet1!$AQ$4:$AR$25,2,FALSE)</f>
        <v>0</v>
      </c>
      <c r="B12" s="735" t="s">
        <v>4</v>
      </c>
      <c r="C12" s="1375">
        <v>16.100000000000001</v>
      </c>
      <c r="D12" s="1376">
        <v>93130</v>
      </c>
      <c r="E12" s="1377">
        <f t="shared" si="0"/>
        <v>14993.93</v>
      </c>
      <c r="F12" s="228"/>
      <c r="G12" s="228"/>
      <c r="H12" s="228"/>
      <c r="I12" s="14"/>
      <c r="J12" s="14"/>
      <c r="K12" s="9"/>
      <c r="L12" s="36"/>
      <c r="M12" s="37"/>
      <c r="N12" s="36"/>
      <c r="O12" s="9"/>
      <c r="P12" s="9"/>
      <c r="Q12" s="244"/>
      <c r="R12" s="157"/>
      <c r="S12" s="84" t="str">
        <f t="shared" si="1"/>
        <v>East Sussex</v>
      </c>
      <c r="T12" s="79">
        <v>4</v>
      </c>
      <c r="U12" s="249" t="str">
        <f t="shared" si="2"/>
        <v xml:space="preserve"> </v>
      </c>
      <c r="V12" s="184"/>
      <c r="X12" s="75"/>
      <c r="Y12" s="247"/>
      <c r="AA12" s="74"/>
      <c r="AB12" s="74"/>
    </row>
    <row r="13" spans="1:37" ht="12.75" customHeight="1" x14ac:dyDescent="0.2">
      <c r="A13" s="488">
        <f>VLOOKUP(B13,Sheet1!$AQ$4:$AR$25,2,FALSE)</f>
        <v>0</v>
      </c>
      <c r="B13" s="735" t="s">
        <v>6</v>
      </c>
      <c r="C13" s="1375">
        <v>10.100000000000001</v>
      </c>
      <c r="D13" s="1376">
        <v>249483</v>
      </c>
      <c r="E13" s="1377">
        <f t="shared" si="0"/>
        <v>25197.783000000007</v>
      </c>
      <c r="F13" s="228"/>
      <c r="G13" s="228"/>
      <c r="H13" s="228"/>
      <c r="I13" s="14"/>
      <c r="J13" s="14"/>
      <c r="K13" s="9"/>
      <c r="L13" s="36"/>
      <c r="M13" s="37"/>
      <c r="N13" s="36"/>
      <c r="O13" s="9"/>
      <c r="P13" s="9"/>
      <c r="Q13" s="244"/>
      <c r="R13" s="157"/>
      <c r="S13" s="84" t="str">
        <f t="shared" si="1"/>
        <v>Hampshire</v>
      </c>
      <c r="T13" s="79">
        <v>5</v>
      </c>
      <c r="U13" s="249" t="str">
        <f t="shared" si="2"/>
        <v xml:space="preserve"> </v>
      </c>
      <c r="V13" s="184"/>
      <c r="X13" s="75"/>
      <c r="Y13" s="247"/>
      <c r="AA13" s="74"/>
      <c r="AB13" s="74"/>
    </row>
    <row r="14" spans="1:37" ht="12.75" customHeight="1" x14ac:dyDescent="0.2">
      <c r="A14" s="488">
        <f>VLOOKUP(B14,Sheet1!$AQ$4:$AR$25,2,FALSE)</f>
        <v>0</v>
      </c>
      <c r="B14" s="735" t="s">
        <v>1</v>
      </c>
      <c r="C14" s="1375">
        <v>18</v>
      </c>
      <c r="D14" s="1376">
        <v>22123</v>
      </c>
      <c r="E14" s="1377">
        <f t="shared" si="0"/>
        <v>3982.14</v>
      </c>
      <c r="F14" s="228"/>
      <c r="G14" s="228"/>
      <c r="H14" s="228"/>
      <c r="I14" s="14"/>
      <c r="J14" s="14"/>
      <c r="K14" s="9"/>
      <c r="L14" s="36"/>
      <c r="M14" s="37"/>
      <c r="N14" s="36"/>
      <c r="O14" s="9"/>
      <c r="P14" s="9"/>
      <c r="Q14" s="244"/>
      <c r="R14" s="157"/>
      <c r="S14" s="84" t="str">
        <f t="shared" si="1"/>
        <v>Isle of Wight</v>
      </c>
      <c r="T14" s="79">
        <v>6</v>
      </c>
      <c r="U14" s="249" t="str">
        <f t="shared" si="2"/>
        <v xml:space="preserve"> </v>
      </c>
      <c r="V14" s="184"/>
      <c r="X14" s="75"/>
      <c r="Y14" s="247"/>
      <c r="AA14" s="74"/>
      <c r="AB14" s="74"/>
    </row>
    <row r="15" spans="1:37" ht="12.75" customHeight="1" x14ac:dyDescent="0.2">
      <c r="A15" s="488">
        <f>VLOOKUP(B15,Sheet1!$AQ$4:$AR$25,2,FALSE)</f>
        <v>0</v>
      </c>
      <c r="B15" s="735" t="s">
        <v>9</v>
      </c>
      <c r="C15" s="1375">
        <v>15.8</v>
      </c>
      <c r="D15" s="1376">
        <v>291866</v>
      </c>
      <c r="E15" s="1377">
        <f t="shared" si="0"/>
        <v>46114.828000000001</v>
      </c>
      <c r="F15" s="39"/>
      <c r="G15" s="39"/>
      <c r="H15" s="228"/>
      <c r="I15" s="14"/>
      <c r="J15" s="14"/>
      <c r="K15" s="9"/>
      <c r="L15" s="36"/>
      <c r="M15" s="37"/>
      <c r="N15" s="36"/>
      <c r="O15" s="9"/>
      <c r="P15" s="9"/>
      <c r="Q15" s="244"/>
      <c r="R15" s="157"/>
      <c r="S15" s="84" t="str">
        <f t="shared" si="1"/>
        <v>Kent</v>
      </c>
      <c r="T15" s="79">
        <v>7</v>
      </c>
      <c r="U15" s="249" t="str">
        <f t="shared" si="2"/>
        <v xml:space="preserve"> </v>
      </c>
      <c r="V15" s="184"/>
      <c r="X15" s="75"/>
      <c r="Y15" s="247"/>
      <c r="AA15" s="74"/>
      <c r="AB15" s="74"/>
    </row>
    <row r="16" spans="1:37" ht="12.75" customHeight="1" x14ac:dyDescent="0.2">
      <c r="A16" s="488">
        <f>VLOOKUP(B16,Sheet1!$AQ$4:$AR$25,2,FALSE)</f>
        <v>0</v>
      </c>
      <c r="B16" s="735" t="s">
        <v>2</v>
      </c>
      <c r="C16" s="1375">
        <v>18.899999999999999</v>
      </c>
      <c r="D16" s="1376">
        <v>55993</v>
      </c>
      <c r="E16" s="1377">
        <f t="shared" si="0"/>
        <v>10582.676999999998</v>
      </c>
      <c r="F16" s="228"/>
      <c r="G16" s="228"/>
      <c r="H16" s="228"/>
      <c r="I16" s="14"/>
      <c r="J16" s="14"/>
      <c r="K16" s="9"/>
      <c r="L16" s="36"/>
      <c r="M16" s="37"/>
      <c r="N16" s="36"/>
      <c r="O16" s="9"/>
      <c r="P16" s="9"/>
      <c r="Q16" s="244"/>
      <c r="R16" s="157"/>
      <c r="S16" s="84" t="str">
        <f t="shared" si="1"/>
        <v>Medway</v>
      </c>
      <c r="T16" s="79">
        <v>8</v>
      </c>
      <c r="U16" s="249" t="str">
        <f t="shared" si="2"/>
        <v xml:space="preserve"> </v>
      </c>
      <c r="V16" s="184"/>
      <c r="X16" s="75"/>
      <c r="Y16" s="247"/>
      <c r="AA16" s="74"/>
      <c r="AB16" s="74"/>
    </row>
    <row r="17" spans="1:28" ht="12.75" customHeight="1" x14ac:dyDescent="0.2">
      <c r="A17" s="488">
        <f>VLOOKUP(B17,Sheet1!$AQ$4:$AR$25,2,FALSE)</f>
        <v>0</v>
      </c>
      <c r="B17" s="735" t="s">
        <v>10</v>
      </c>
      <c r="C17" s="1375">
        <v>15</v>
      </c>
      <c r="D17" s="1376">
        <v>59903</v>
      </c>
      <c r="E17" s="1377">
        <f t="shared" si="0"/>
        <v>8985.4499999999989</v>
      </c>
      <c r="F17" s="228"/>
      <c r="G17" s="228"/>
      <c r="H17" s="228"/>
      <c r="I17" s="14"/>
      <c r="J17" s="14"/>
      <c r="K17" s="9"/>
      <c r="L17" s="36"/>
      <c r="M17" s="37"/>
      <c r="N17" s="36"/>
      <c r="O17" s="9"/>
      <c r="P17" s="9"/>
      <c r="Q17" s="244"/>
      <c r="R17" s="157"/>
      <c r="S17" s="84" t="str">
        <f t="shared" si="1"/>
        <v>Milton Keynes</v>
      </c>
      <c r="T17" s="79">
        <v>9</v>
      </c>
      <c r="U17" s="249" t="str">
        <f t="shared" si="2"/>
        <v xml:space="preserve"> </v>
      </c>
      <c r="V17" s="184"/>
      <c r="X17" s="75"/>
      <c r="Y17" s="247"/>
      <c r="AA17" s="74"/>
      <c r="AB17" s="74"/>
    </row>
    <row r="18" spans="1:28" ht="12.75" customHeight="1" x14ac:dyDescent="0.2">
      <c r="A18" s="488">
        <f>VLOOKUP(B18,Sheet1!$AQ$4:$AR$25,2,FALSE)</f>
        <v>0</v>
      </c>
      <c r="B18" s="735" t="s">
        <v>11</v>
      </c>
      <c r="C18" s="1375">
        <v>10.100000000000001</v>
      </c>
      <c r="D18" s="1376">
        <v>126119</v>
      </c>
      <c r="E18" s="1377">
        <f t="shared" si="0"/>
        <v>12738.019000000002</v>
      </c>
      <c r="F18" s="228"/>
      <c r="G18" s="228"/>
      <c r="H18" s="228"/>
      <c r="I18" s="14"/>
      <c r="J18" s="14"/>
      <c r="K18" s="9"/>
      <c r="L18" s="36"/>
      <c r="M18" s="37"/>
      <c r="N18" s="36"/>
      <c r="O18" s="9"/>
      <c r="P18" s="9"/>
      <c r="Q18" s="244"/>
      <c r="R18" s="157"/>
      <c r="S18" s="84" t="str">
        <f t="shared" si="1"/>
        <v>Oxfordshire</v>
      </c>
      <c r="T18" s="79">
        <v>10</v>
      </c>
      <c r="U18" s="249" t="str">
        <f t="shared" si="2"/>
        <v xml:space="preserve"> </v>
      </c>
      <c r="V18" s="184"/>
      <c r="X18" s="75"/>
      <c r="Y18" s="247"/>
      <c r="AA18" s="74"/>
      <c r="AB18" s="74"/>
    </row>
    <row r="19" spans="1:28" ht="12.75" customHeight="1" x14ac:dyDescent="0.2">
      <c r="A19" s="488">
        <f>VLOOKUP(B19,Sheet1!$AQ$4:$AR$25,2,FALSE)</f>
        <v>0</v>
      </c>
      <c r="B19" s="735" t="s">
        <v>12</v>
      </c>
      <c r="C19" s="1375">
        <v>20.200000000000003</v>
      </c>
      <c r="D19" s="1376">
        <v>39325</v>
      </c>
      <c r="E19" s="1377">
        <f t="shared" si="0"/>
        <v>7943.6500000000015</v>
      </c>
      <c r="F19" s="228"/>
      <c r="G19" s="228"/>
      <c r="H19" s="228"/>
      <c r="I19" s="14"/>
      <c r="J19" s="14"/>
      <c r="K19" s="9"/>
      <c r="L19" s="36"/>
      <c r="M19" s="37"/>
      <c r="N19" s="36"/>
      <c r="O19" s="9"/>
      <c r="P19" s="9"/>
      <c r="Q19" s="244"/>
      <c r="R19" s="157"/>
      <c r="S19" s="84" t="str">
        <f t="shared" si="1"/>
        <v>Portsmouth</v>
      </c>
      <c r="T19" s="79">
        <v>11</v>
      </c>
      <c r="U19" s="249" t="str">
        <f t="shared" si="2"/>
        <v xml:space="preserve"> </v>
      </c>
      <c r="V19" s="184"/>
      <c r="X19" s="75"/>
      <c r="Y19" s="247"/>
      <c r="AA19" s="74"/>
      <c r="AB19" s="74"/>
    </row>
    <row r="20" spans="1:28" ht="12.75" customHeight="1" x14ac:dyDescent="0.2">
      <c r="A20" s="488">
        <f>VLOOKUP(B20,Sheet1!$AQ$4:$AR$25,2,FALSE)</f>
        <v>0</v>
      </c>
      <c r="B20" s="735" t="s">
        <v>3</v>
      </c>
      <c r="C20" s="1375">
        <v>16</v>
      </c>
      <c r="D20" s="1376">
        <v>33203</v>
      </c>
      <c r="E20" s="1377">
        <f t="shared" si="0"/>
        <v>5312.4800000000005</v>
      </c>
      <c r="F20" s="228"/>
      <c r="G20" s="39"/>
      <c r="H20" s="228"/>
      <c r="I20" s="39"/>
      <c r="J20" s="39"/>
      <c r="K20" s="9"/>
      <c r="L20" s="36"/>
      <c r="M20" s="37"/>
      <c r="N20" s="36"/>
      <c r="O20" s="9"/>
      <c r="P20" s="9"/>
      <c r="Q20" s="244"/>
      <c r="R20" s="157"/>
      <c r="S20" s="84" t="str">
        <f t="shared" si="1"/>
        <v>Reading</v>
      </c>
      <c r="T20" s="79">
        <v>12</v>
      </c>
      <c r="U20" s="249" t="str">
        <f t="shared" si="2"/>
        <v xml:space="preserve"> </v>
      </c>
      <c r="V20" s="184"/>
      <c r="X20" s="75"/>
      <c r="Y20" s="247"/>
      <c r="AA20" s="74"/>
      <c r="AB20" s="74"/>
    </row>
    <row r="21" spans="1:28" ht="12.75" customHeight="1" x14ac:dyDescent="0.2">
      <c r="A21" s="488">
        <f>VLOOKUP(B21,Sheet1!$AQ$4:$AR$25,2,FALSE)</f>
        <v>0</v>
      </c>
      <c r="B21" s="735" t="s">
        <v>13</v>
      </c>
      <c r="C21" s="1375">
        <v>14.7</v>
      </c>
      <c r="D21" s="1376">
        <v>37031</v>
      </c>
      <c r="E21" s="1377">
        <f t="shared" si="0"/>
        <v>5443.5569999999998</v>
      </c>
      <c r="F21" s="39"/>
      <c r="G21" s="228"/>
      <c r="H21" s="228"/>
      <c r="I21" s="14"/>
      <c r="J21" s="14"/>
      <c r="K21" s="9"/>
      <c r="L21" s="36"/>
      <c r="M21" s="37"/>
      <c r="N21" s="36"/>
      <c r="O21" s="9"/>
      <c r="P21" s="9"/>
      <c r="Q21" s="244"/>
      <c r="R21" s="157"/>
      <c r="S21" s="84" t="str">
        <f t="shared" si="1"/>
        <v>Slough</v>
      </c>
      <c r="T21" s="79">
        <v>13</v>
      </c>
      <c r="U21" s="249" t="str">
        <f t="shared" si="2"/>
        <v xml:space="preserve"> </v>
      </c>
      <c r="V21" s="184"/>
      <c r="X21" s="75"/>
      <c r="Y21" s="247"/>
      <c r="AA21" s="74"/>
      <c r="AB21" s="74"/>
    </row>
    <row r="22" spans="1:28" ht="12.75" customHeight="1" x14ac:dyDescent="0.2">
      <c r="A22" s="488">
        <f>VLOOKUP(B22,Sheet1!$AQ$4:$AR$25,2,FALSE)</f>
        <v>0</v>
      </c>
      <c r="B22" s="735" t="s">
        <v>95</v>
      </c>
      <c r="C22" s="1375">
        <v>13.600000000000001</v>
      </c>
      <c r="D22" s="1376">
        <v>95875</v>
      </c>
      <c r="E22" s="1377">
        <f t="shared" si="0"/>
        <v>13039.000000000002</v>
      </c>
      <c r="F22" s="39"/>
      <c r="G22" s="228"/>
      <c r="H22" s="228"/>
      <c r="I22" s="14"/>
      <c r="J22" s="14"/>
      <c r="K22" s="9"/>
      <c r="L22" s="36"/>
      <c r="M22" s="37"/>
      <c r="N22" s="36"/>
      <c r="O22" s="9"/>
      <c r="P22" s="9"/>
      <c r="Q22" s="244"/>
      <c r="R22" s="157"/>
      <c r="S22" s="84" t="str">
        <f t="shared" si="1"/>
        <v>Somerset</v>
      </c>
      <c r="T22" s="79">
        <v>14</v>
      </c>
      <c r="U22" s="249" t="str">
        <f t="shared" si="2"/>
        <v xml:space="preserve"> </v>
      </c>
      <c r="V22" s="184"/>
      <c r="X22" s="75"/>
      <c r="Y22" s="247"/>
      <c r="AA22" s="74"/>
      <c r="AB22" s="74"/>
    </row>
    <row r="23" spans="1:28" ht="12.75" customHeight="1" x14ac:dyDescent="0.2">
      <c r="A23" s="488">
        <f>VLOOKUP(B23,Sheet1!$AQ$4:$AR$25,2,FALSE)</f>
        <v>0</v>
      </c>
      <c r="B23" s="735" t="s">
        <v>14</v>
      </c>
      <c r="C23" s="1375">
        <v>20.5</v>
      </c>
      <c r="D23" s="1376">
        <v>44295</v>
      </c>
      <c r="E23" s="1377">
        <f t="shared" si="0"/>
        <v>9080.4750000000004</v>
      </c>
      <c r="F23" s="228"/>
      <c r="G23" s="228"/>
      <c r="H23" s="228"/>
      <c r="I23" s="14"/>
      <c r="J23" s="14"/>
      <c r="K23" s="9"/>
      <c r="L23" s="36"/>
      <c r="M23" s="37"/>
      <c r="N23" s="36"/>
      <c r="O23" s="9"/>
      <c r="P23" s="9"/>
      <c r="Q23" s="244"/>
      <c r="R23" s="157"/>
      <c r="S23" s="84" t="str">
        <f t="shared" si="1"/>
        <v>Southampton</v>
      </c>
      <c r="T23" s="79">
        <v>15</v>
      </c>
      <c r="U23" s="249" t="str">
        <f t="shared" si="2"/>
        <v xml:space="preserve"> </v>
      </c>
      <c r="V23" s="184"/>
      <c r="X23" s="75"/>
      <c r="Y23" s="247"/>
      <c r="AA23" s="74"/>
      <c r="AB23" s="74"/>
    </row>
    <row r="24" spans="1:28" ht="12.75" customHeight="1" x14ac:dyDescent="0.2">
      <c r="A24" s="488">
        <f>VLOOKUP(B24,Sheet1!$AQ$4:$AR$25,2,FALSE)</f>
        <v>0</v>
      </c>
      <c r="B24" s="735" t="s">
        <v>7</v>
      </c>
      <c r="C24" s="1375">
        <v>8.3000000000000007</v>
      </c>
      <c r="D24" s="1376">
        <v>228466</v>
      </c>
      <c r="E24" s="1377">
        <f t="shared" si="0"/>
        <v>18962.678</v>
      </c>
      <c r="F24" s="39"/>
      <c r="G24" s="39"/>
      <c r="H24" s="228"/>
      <c r="I24" s="14"/>
      <c r="J24" s="39"/>
      <c r="K24" s="9"/>
      <c r="L24" s="36"/>
      <c r="M24" s="37"/>
      <c r="N24" s="36"/>
      <c r="O24" s="9"/>
      <c r="P24" s="9"/>
      <c r="Q24" s="244"/>
      <c r="R24" s="157"/>
      <c r="S24" s="84" t="str">
        <f t="shared" si="1"/>
        <v>Surrey</v>
      </c>
      <c r="T24" s="79">
        <v>16</v>
      </c>
      <c r="U24" s="249" t="str">
        <f t="shared" si="2"/>
        <v xml:space="preserve"> </v>
      </c>
      <c r="V24" s="184"/>
      <c r="X24" s="75"/>
      <c r="Y24" s="247"/>
      <c r="AA24" s="74"/>
      <c r="AB24" s="74"/>
    </row>
    <row r="25" spans="1:28" ht="12.75" customHeight="1" x14ac:dyDescent="0.2">
      <c r="A25" s="488">
        <f>VLOOKUP(B25,Sheet1!$AQ$4:$AR$25,2,FALSE)</f>
        <v>0</v>
      </c>
      <c r="B25" s="735" t="s">
        <v>113</v>
      </c>
      <c r="C25" s="1375">
        <v>14.899999999999999</v>
      </c>
      <c r="D25" s="1376">
        <v>43899</v>
      </c>
      <c r="E25" s="1377">
        <f t="shared" si="0"/>
        <v>6540.951</v>
      </c>
      <c r="F25" s="39"/>
      <c r="G25" s="39"/>
      <c r="H25" s="228"/>
      <c r="I25" s="14"/>
      <c r="J25" s="39"/>
      <c r="K25" s="9"/>
      <c r="L25" s="36"/>
      <c r="M25" s="37"/>
      <c r="N25" s="36"/>
      <c r="O25" s="9"/>
      <c r="P25" s="9"/>
      <c r="Q25" s="244"/>
      <c r="R25" s="157"/>
      <c r="S25" s="84" t="str">
        <f>B25</f>
        <v>Swindon</v>
      </c>
      <c r="T25" s="79"/>
      <c r="U25" s="249" t="str">
        <f t="shared" si="2"/>
        <v xml:space="preserve"> </v>
      </c>
      <c r="V25" s="184"/>
      <c r="X25" s="75"/>
      <c r="Y25" s="247"/>
      <c r="AA25" s="74"/>
      <c r="AB25" s="74"/>
    </row>
    <row r="26" spans="1:28" ht="12.75" customHeight="1" x14ac:dyDescent="0.2">
      <c r="A26" s="488">
        <f>VLOOKUP(B26,Sheet1!$AQ$4:$AR$25,2,FALSE)</f>
        <v>0</v>
      </c>
      <c r="B26" s="735" t="s">
        <v>114</v>
      </c>
      <c r="C26" s="1375">
        <v>21.9</v>
      </c>
      <c r="D26" s="1376">
        <v>22257</v>
      </c>
      <c r="E26" s="1377">
        <f t="shared" si="0"/>
        <v>4874.2829999999994</v>
      </c>
      <c r="F26" s="39"/>
      <c r="G26" s="39"/>
      <c r="H26" s="228"/>
      <c r="I26" s="14"/>
      <c r="J26" s="39"/>
      <c r="K26" s="9"/>
      <c r="L26" s="36"/>
      <c r="M26" s="37"/>
      <c r="N26" s="36"/>
      <c r="O26" s="9"/>
      <c r="P26" s="9"/>
      <c r="Q26" s="244"/>
      <c r="R26" s="157"/>
      <c r="S26" s="84" t="str">
        <f t="shared" si="1"/>
        <v>Torbay</v>
      </c>
      <c r="T26" s="79"/>
      <c r="U26" s="249" t="str">
        <f t="shared" si="2"/>
        <v xml:space="preserve"> </v>
      </c>
      <c r="V26" s="184"/>
      <c r="X26" s="75"/>
      <c r="Y26" s="247"/>
      <c r="AA26" s="74"/>
      <c r="AB26" s="74"/>
    </row>
    <row r="27" spans="1:28" ht="12.75" customHeight="1" x14ac:dyDescent="0.2">
      <c r="A27" s="488">
        <f>VLOOKUP(B27,Sheet1!$AQ$4:$AR$25,2,FALSE)</f>
        <v>0</v>
      </c>
      <c r="B27" s="735" t="s">
        <v>15</v>
      </c>
      <c r="C27" s="1375">
        <v>8.6999999999999993</v>
      </c>
      <c r="D27" s="1376">
        <v>31625</v>
      </c>
      <c r="E27" s="1377">
        <f t="shared" si="0"/>
        <v>2751.375</v>
      </c>
      <c r="F27" s="39"/>
      <c r="G27" s="39"/>
      <c r="H27" s="228"/>
      <c r="I27" s="39"/>
      <c r="J27" s="14"/>
      <c r="K27" s="9"/>
      <c r="L27" s="36"/>
      <c r="M27" s="37"/>
      <c r="N27" s="36"/>
      <c r="O27" s="9"/>
      <c r="P27" s="9"/>
      <c r="Q27" s="244"/>
      <c r="R27" s="157"/>
      <c r="S27" s="84" t="str">
        <f t="shared" si="1"/>
        <v>West Berkshire</v>
      </c>
      <c r="T27" s="79">
        <v>17</v>
      </c>
      <c r="U27" s="249" t="str">
        <f t="shared" si="2"/>
        <v xml:space="preserve"> </v>
      </c>
      <c r="V27" s="184"/>
      <c r="X27" s="75"/>
      <c r="Y27" s="247"/>
      <c r="AA27" s="74"/>
      <c r="AB27" s="74"/>
    </row>
    <row r="28" spans="1:28" ht="12.75" customHeight="1" x14ac:dyDescent="0.2">
      <c r="A28" s="488">
        <f>VLOOKUP(B28,Sheet1!$AQ$4:$AR$25,2,FALSE)</f>
        <v>0</v>
      </c>
      <c r="B28" s="735" t="s">
        <v>5</v>
      </c>
      <c r="C28" s="1375">
        <v>11</v>
      </c>
      <c r="D28" s="1376">
        <v>151487</v>
      </c>
      <c r="E28" s="1377">
        <f t="shared" si="0"/>
        <v>16663.57</v>
      </c>
      <c r="F28" s="9"/>
      <c r="G28" s="9"/>
      <c r="H28" s="9"/>
      <c r="I28" s="9"/>
      <c r="J28" s="14"/>
      <c r="K28" s="9"/>
      <c r="L28" s="36"/>
      <c r="M28" s="37"/>
      <c r="N28" s="36"/>
      <c r="O28" s="9"/>
      <c r="P28" s="9"/>
      <c r="Q28" s="244"/>
      <c r="R28" s="157"/>
      <c r="S28" s="84" t="str">
        <f t="shared" si="1"/>
        <v>West Sussex</v>
      </c>
      <c r="T28" s="79">
        <v>18</v>
      </c>
      <c r="U28" s="249" t="str">
        <f t="shared" si="2"/>
        <v xml:space="preserve"> </v>
      </c>
      <c r="V28" s="184"/>
      <c r="X28" s="75"/>
      <c r="Y28" s="247"/>
      <c r="AA28" s="74"/>
      <c r="AB28" s="74"/>
    </row>
    <row r="29" spans="1:28" ht="12.75" customHeight="1" x14ac:dyDescent="0.2">
      <c r="A29" s="488">
        <f>VLOOKUP(B29,Sheet1!$AQ$4:$AR$25,2,FALSE)</f>
        <v>0</v>
      </c>
      <c r="B29" s="735" t="s">
        <v>30</v>
      </c>
      <c r="C29" s="1375">
        <v>6.7</v>
      </c>
      <c r="D29" s="1376">
        <v>29792</v>
      </c>
      <c r="E29" s="1377">
        <f t="shared" si="0"/>
        <v>1996.0640000000001</v>
      </c>
      <c r="F29" s="9"/>
      <c r="G29" s="9"/>
      <c r="H29" s="9"/>
      <c r="I29" s="9"/>
      <c r="J29" s="14"/>
      <c r="K29" s="9"/>
      <c r="L29" s="36"/>
      <c r="M29" s="37"/>
      <c r="N29" s="36"/>
      <c r="O29" s="9"/>
      <c r="P29" s="9"/>
      <c r="Q29" s="244"/>
      <c r="R29" s="157"/>
      <c r="S29" s="84" t="str">
        <f t="shared" si="1"/>
        <v>Windsor &amp; Maidenhead</v>
      </c>
      <c r="T29" s="79">
        <v>19</v>
      </c>
      <c r="U29" s="249" t="str">
        <f t="shared" si="2"/>
        <v xml:space="preserve"> </v>
      </c>
      <c r="V29" s="184"/>
      <c r="X29" s="75"/>
      <c r="Y29" s="247"/>
      <c r="AA29" s="74"/>
      <c r="AB29" s="74"/>
    </row>
    <row r="30" spans="1:28" ht="12.75" customHeight="1" x14ac:dyDescent="0.2">
      <c r="A30" s="488">
        <f>VLOOKUP(B30,Sheet1!$AQ$4:$AR$25,2,FALSE)</f>
        <v>0</v>
      </c>
      <c r="B30" s="735" t="s">
        <v>16</v>
      </c>
      <c r="C30" s="1375">
        <v>5.6000000000000005</v>
      </c>
      <c r="D30" s="1376">
        <v>33327</v>
      </c>
      <c r="E30" s="1377">
        <f t="shared" si="0"/>
        <v>1866.3120000000004</v>
      </c>
      <c r="F30" s="20"/>
      <c r="G30" s="20"/>
      <c r="H30" s="20"/>
      <c r="I30" s="20"/>
      <c r="J30" s="20"/>
      <c r="K30" s="20"/>
      <c r="L30" s="20"/>
      <c r="M30" s="20"/>
      <c r="N30" s="20"/>
      <c r="O30" s="15"/>
      <c r="P30" s="9"/>
      <c r="Q30" s="244"/>
      <c r="R30" s="157"/>
      <c r="S30" s="84" t="str">
        <f t="shared" si="1"/>
        <v>Wokingham</v>
      </c>
      <c r="T30" s="79">
        <v>20</v>
      </c>
      <c r="U30" s="249" t="str">
        <f t="shared" si="2"/>
        <v xml:space="preserve"> </v>
      </c>
      <c r="V30" s="184"/>
      <c r="X30" s="75"/>
      <c r="Y30" s="247"/>
      <c r="AA30" s="74"/>
      <c r="AB30" s="74"/>
    </row>
    <row r="31" spans="1:28" ht="12.75" customHeight="1" x14ac:dyDescent="0.2">
      <c r="A31" s="239"/>
      <c r="B31" s="129" t="s">
        <v>74</v>
      </c>
      <c r="C31" s="1378">
        <f>E31/D31*100</f>
        <v>12.371268250968637</v>
      </c>
      <c r="D31" s="335">
        <f>SUM(D9:D21,D23:D24,D27:D30)</f>
        <v>1704978</v>
      </c>
      <c r="E31" s="1379">
        <f>SUM(E9:E21,E23:E24,E27:E30)</f>
        <v>210927.40200000003</v>
      </c>
      <c r="F31" s="9"/>
      <c r="G31" s="9"/>
      <c r="H31" s="9"/>
      <c r="I31" s="9"/>
      <c r="J31" s="14"/>
      <c r="K31" s="9"/>
      <c r="L31" s="36"/>
      <c r="M31" s="37"/>
      <c r="N31" s="36"/>
      <c r="O31" s="9"/>
      <c r="P31" s="9"/>
      <c r="Q31" s="244"/>
      <c r="R31" s="157"/>
      <c r="X31" s="75"/>
      <c r="Y31" s="247"/>
      <c r="AA31" s="74"/>
      <c r="AB31" s="74"/>
    </row>
    <row r="32" spans="1:28" ht="12.75" customHeight="1" x14ac:dyDescent="0.2">
      <c r="A32" s="280"/>
      <c r="B32" s="736" t="s">
        <v>127</v>
      </c>
      <c r="C32" s="1380">
        <f>E32/D32*100</f>
        <v>17.084413405029373</v>
      </c>
      <c r="D32" s="334">
        <v>10405050</v>
      </c>
      <c r="E32" s="1381">
        <v>1777641.7570000088</v>
      </c>
      <c r="F32" s="9"/>
      <c r="G32" s="9"/>
      <c r="H32" s="9"/>
      <c r="I32" s="9"/>
      <c r="J32" s="14"/>
      <c r="K32" s="9"/>
      <c r="L32" s="36"/>
      <c r="M32" s="37"/>
      <c r="N32" s="36"/>
      <c r="O32" s="9"/>
      <c r="P32" s="9"/>
      <c r="Q32" s="244"/>
      <c r="R32" s="157"/>
      <c r="X32" s="75"/>
      <c r="Y32" s="247"/>
      <c r="AA32" s="74"/>
      <c r="AB32" s="74"/>
    </row>
    <row r="33" spans="1:66" ht="18.75" customHeight="1" x14ac:dyDescent="0.2">
      <c r="A33" s="278"/>
      <c r="B33" s="635"/>
      <c r="C33" s="635"/>
      <c r="D33" s="635"/>
      <c r="E33" s="635"/>
      <c r="F33" s="92"/>
      <c r="G33" s="92"/>
      <c r="H33" s="92"/>
      <c r="I33" s="92"/>
      <c r="J33" s="92"/>
      <c r="K33" s="92"/>
      <c r="L33" s="92"/>
      <c r="M33" s="92"/>
      <c r="N33" s="92"/>
      <c r="O33" s="92"/>
      <c r="P33" s="9"/>
      <c r="Q33" s="244"/>
      <c r="R33" s="157"/>
    </row>
    <row r="34" spans="1:66" ht="15" customHeight="1" x14ac:dyDescent="0.2">
      <c r="A34" s="1716"/>
      <c r="B34" s="1713"/>
      <c r="C34" s="1713"/>
      <c r="D34" s="1713"/>
      <c r="E34" s="1713"/>
      <c r="F34" s="1713"/>
      <c r="G34" s="1713"/>
      <c r="H34" s="1713"/>
      <c r="I34" s="1713"/>
      <c r="J34" s="1713"/>
      <c r="K34" s="1713"/>
      <c r="L34" s="1713"/>
      <c r="M34" s="1713"/>
      <c r="N34" s="1713"/>
      <c r="O34" s="1713"/>
      <c r="P34" s="1713"/>
      <c r="Q34" s="244"/>
      <c r="R34" s="157"/>
      <c r="X34" s="184"/>
      <c r="Y34" s="184"/>
      <c r="Z34" s="247"/>
      <c r="AA34" s="247"/>
      <c r="AB34" s="247"/>
      <c r="AC34" s="184"/>
      <c r="AD34" s="184"/>
      <c r="AE34" s="184"/>
      <c r="AF34" s="184"/>
      <c r="AG34" s="184"/>
      <c r="AH34" s="184"/>
      <c r="AL34" s="184"/>
      <c r="AM34" s="184"/>
      <c r="AN34" s="184"/>
      <c r="AO34" s="184"/>
      <c r="AP34" s="184"/>
      <c r="AQ34" s="184"/>
      <c r="AR34" s="184"/>
      <c r="AS34" s="184"/>
      <c r="AT34" s="184"/>
      <c r="AU34" s="184"/>
      <c r="AV34" s="184"/>
      <c r="AW34" s="184"/>
    </row>
    <row r="35" spans="1:66" ht="11.1" customHeight="1" x14ac:dyDescent="0.2">
      <c r="A35" s="1714"/>
      <c r="B35" s="1715"/>
      <c r="C35" s="1715"/>
      <c r="D35" s="1715"/>
      <c r="E35" s="1715"/>
      <c r="F35" s="1715"/>
      <c r="G35" s="1715"/>
      <c r="H35" s="1715"/>
      <c r="I35" s="1715"/>
      <c r="J35" s="1715"/>
      <c r="K35" s="1715"/>
      <c r="L35" s="1715"/>
      <c r="M35" s="1715"/>
      <c r="N35" s="1715"/>
      <c r="O35" s="1715"/>
      <c r="P35" s="1715"/>
      <c r="Q35" s="245"/>
      <c r="R35" s="1574"/>
      <c r="X35" s="184"/>
      <c r="Y35" s="184"/>
      <c r="Z35" s="247"/>
      <c r="AA35" s="247"/>
      <c r="AB35" s="247"/>
      <c r="AC35" s="184"/>
      <c r="AD35" s="184"/>
      <c r="AE35" s="184"/>
      <c r="AF35" s="184"/>
      <c r="AG35" s="184"/>
      <c r="AH35" s="184"/>
      <c r="AL35" s="184"/>
      <c r="AM35" s="184"/>
      <c r="AN35" s="184"/>
      <c r="AO35" s="184"/>
      <c r="AP35" s="184"/>
      <c r="AQ35" s="184"/>
      <c r="AR35" s="184"/>
      <c r="AS35" s="184"/>
      <c r="AT35" s="184"/>
      <c r="AU35" s="184"/>
      <c r="AV35" s="184"/>
      <c r="AW35" s="184"/>
    </row>
    <row r="36" spans="1:66" ht="11.25" customHeight="1" x14ac:dyDescent="0.2">
      <c r="A36" s="142"/>
      <c r="B36" s="9"/>
      <c r="C36" s="9"/>
      <c r="D36" s="9"/>
      <c r="E36" s="9"/>
      <c r="F36" s="58"/>
      <c r="G36" s="58"/>
      <c r="H36" s="58"/>
      <c r="I36" s="58"/>
      <c r="J36" s="114"/>
      <c r="K36" s="113"/>
      <c r="L36" s="113"/>
      <c r="M36" s="113"/>
      <c r="N36" s="113"/>
      <c r="O36" s="113"/>
      <c r="P36" s="113"/>
      <c r="Q36" s="113"/>
      <c r="R36" s="250"/>
      <c r="S36" s="113"/>
      <c r="T36" s="113"/>
      <c r="U36" s="113"/>
      <c r="V36" s="113"/>
      <c r="W36" s="11"/>
      <c r="X36" s="80"/>
      <c r="Y36" s="81"/>
      <c r="Z36" s="81"/>
      <c r="AA36" s="81"/>
      <c r="AB36" s="81"/>
      <c r="AC36" s="81"/>
      <c r="AD36" s="81"/>
      <c r="AE36" s="81"/>
      <c r="AF36" s="81"/>
      <c r="AG36" s="81"/>
      <c r="AH36" s="81"/>
      <c r="AI36" s="81"/>
      <c r="AJ36" s="81"/>
      <c r="AK36" s="81"/>
      <c r="AL36" s="82"/>
      <c r="AM36" s="81"/>
      <c r="AN36" s="81"/>
      <c r="AO36" s="184"/>
      <c r="AP36" s="184"/>
      <c r="AQ36" s="184"/>
      <c r="AR36" s="184"/>
      <c r="AS36" s="184"/>
      <c r="AT36" s="184"/>
      <c r="AU36" s="184"/>
      <c r="AV36" s="184"/>
      <c r="AW36" s="184"/>
      <c r="AZ36" s="81"/>
      <c r="BA36" s="81"/>
      <c r="BB36" s="81"/>
      <c r="BC36" s="81"/>
      <c r="BD36" s="81"/>
      <c r="BE36" s="81"/>
      <c r="BF36" s="81"/>
      <c r="BG36" s="81"/>
      <c r="BH36" s="81"/>
      <c r="BI36" s="81"/>
      <c r="BJ36" s="81"/>
      <c r="BK36" s="81"/>
      <c r="BL36" s="81"/>
      <c r="BM36" s="81"/>
      <c r="BN36" s="81"/>
    </row>
    <row r="37" spans="1:66" ht="11.25" customHeight="1" x14ac:dyDescent="0.2">
      <c r="A37" s="142"/>
      <c r="B37" s="1685" t="s">
        <v>82</v>
      </c>
      <c r="C37" s="1685"/>
      <c r="D37" s="1685"/>
      <c r="E37" s="1685"/>
      <c r="F37" s="1685"/>
      <c r="G37" s="1685"/>
      <c r="H37" s="1685"/>
      <c r="I37" s="1685"/>
      <c r="J37" s="12"/>
      <c r="K37" s="9"/>
      <c r="L37" s="9"/>
      <c r="M37" s="9"/>
      <c r="N37" s="9"/>
      <c r="O37" s="9"/>
      <c r="P37" s="9"/>
      <c r="Q37" s="9"/>
      <c r="R37" s="250"/>
      <c r="S37" s="9"/>
      <c r="T37" s="9"/>
      <c r="U37" s="9"/>
      <c r="V37" s="9"/>
      <c r="W37" s="11"/>
      <c r="X37" s="80"/>
      <c r="Y37" s="81"/>
      <c r="Z37" s="81"/>
      <c r="AA37" s="81"/>
      <c r="AB37" s="81"/>
      <c r="AC37" s="81"/>
      <c r="AD37" s="81"/>
      <c r="AE37" s="81"/>
      <c r="AF37" s="81"/>
      <c r="AG37" s="81"/>
      <c r="AH37" s="81"/>
      <c r="AI37" s="81"/>
      <c r="AJ37" s="81"/>
      <c r="AK37" s="81"/>
      <c r="AL37" s="82"/>
      <c r="AM37" s="81"/>
      <c r="AN37" s="81"/>
      <c r="AO37" s="184"/>
      <c r="AP37" s="184"/>
      <c r="AQ37" s="184"/>
      <c r="AR37" s="184"/>
      <c r="AS37" s="184"/>
      <c r="AT37" s="81"/>
      <c r="AU37" s="81"/>
      <c r="AV37" s="81"/>
      <c r="AW37" s="81"/>
      <c r="AX37" s="81"/>
      <c r="AY37" s="81"/>
    </row>
    <row r="38" spans="1:66" ht="11.25" customHeight="1" x14ac:dyDescent="0.2">
      <c r="A38" s="142"/>
      <c r="B38" s="1685"/>
      <c r="C38" s="1685"/>
      <c r="D38" s="1685"/>
      <c r="E38" s="1685"/>
      <c r="F38" s="1685"/>
      <c r="G38" s="1685"/>
      <c r="H38" s="1685"/>
      <c r="I38" s="1685"/>
      <c r="J38" s="12"/>
      <c r="K38" s="9"/>
      <c r="L38" s="9"/>
      <c r="M38" s="9"/>
      <c r="N38" s="9"/>
      <c r="O38" s="9"/>
      <c r="P38" s="9"/>
      <c r="Q38" s="9"/>
      <c r="R38" s="250"/>
      <c r="S38" s="9"/>
      <c r="T38" s="9"/>
      <c r="U38" s="9"/>
      <c r="V38" s="9"/>
      <c r="W38" s="11"/>
      <c r="X38" s="80"/>
      <c r="Y38" s="81"/>
      <c r="Z38" s="81"/>
      <c r="AA38" s="81"/>
      <c r="AB38" s="81"/>
      <c r="AC38" s="81"/>
      <c r="AD38" s="81"/>
      <c r="AE38" s="81"/>
      <c r="AF38" s="81"/>
      <c r="AG38" s="81"/>
      <c r="AH38" s="81"/>
      <c r="AI38" s="81"/>
      <c r="AJ38" s="81"/>
      <c r="AK38" s="81"/>
      <c r="AL38" s="82"/>
      <c r="AM38" s="81"/>
      <c r="AN38" s="81"/>
      <c r="AO38" s="184"/>
      <c r="AP38" s="184"/>
      <c r="AQ38" s="184"/>
      <c r="AR38" s="184"/>
      <c r="AS38" s="184"/>
      <c r="AT38" s="184"/>
      <c r="AU38" s="184"/>
      <c r="AV38" s="184"/>
      <c r="AW38" s="184"/>
    </row>
    <row r="39" spans="1:66" ht="11.25" customHeight="1" x14ac:dyDescent="0.2">
      <c r="A39" s="142"/>
      <c r="B39" s="1680" t="s">
        <v>800</v>
      </c>
      <c r="C39" s="1680"/>
      <c r="D39" s="1680"/>
      <c r="E39" s="1680"/>
      <c r="F39" s="1680"/>
      <c r="G39" s="1680"/>
      <c r="H39" s="1680"/>
      <c r="I39" s="1680"/>
      <c r="J39" s="12"/>
      <c r="K39" s="9"/>
      <c r="L39" s="9"/>
      <c r="M39" s="9"/>
      <c r="N39" s="9"/>
      <c r="O39" s="9"/>
      <c r="P39" s="9"/>
      <c r="Q39" s="9"/>
      <c r="R39" s="250"/>
      <c r="S39" s="9"/>
      <c r="T39" s="9"/>
      <c r="U39" s="9"/>
      <c r="V39" s="9"/>
      <c r="W39" s="11"/>
      <c r="X39" s="80"/>
      <c r="Y39" s="81"/>
      <c r="Z39" s="81"/>
      <c r="AA39" s="81"/>
      <c r="AB39" s="81"/>
      <c r="AC39" s="81"/>
      <c r="AD39" s="81"/>
      <c r="AE39" s="81"/>
      <c r="AF39" s="81"/>
      <c r="AG39" s="81"/>
      <c r="AH39" s="81"/>
      <c r="AI39" s="81"/>
      <c r="AJ39" s="81"/>
      <c r="AK39" s="81"/>
      <c r="AL39" s="82"/>
      <c r="AM39" s="81"/>
      <c r="AN39" s="81"/>
      <c r="AO39" s="184"/>
      <c r="AP39" s="184"/>
      <c r="AQ39" s="184"/>
      <c r="AR39" s="184"/>
      <c r="AS39" s="184"/>
      <c r="AT39" s="184"/>
      <c r="AU39" s="184"/>
      <c r="AV39" s="184"/>
      <c r="AW39" s="184"/>
    </row>
    <row r="40" spans="1:66" ht="11.25" customHeight="1" x14ac:dyDescent="0.2">
      <c r="A40" s="142"/>
      <c r="B40" s="1680"/>
      <c r="C40" s="1680"/>
      <c r="D40" s="1680"/>
      <c r="E40" s="1680"/>
      <c r="F40" s="1680"/>
      <c r="G40" s="1680"/>
      <c r="H40" s="1680"/>
      <c r="I40" s="1680"/>
      <c r="J40" s="12"/>
      <c r="K40" s="9"/>
      <c r="L40" s="9"/>
      <c r="M40" s="9"/>
      <c r="N40" s="9"/>
      <c r="O40" s="9"/>
      <c r="P40" s="9"/>
      <c r="Q40" s="9"/>
      <c r="R40" s="250"/>
      <c r="S40" s="9"/>
      <c r="T40" s="9"/>
      <c r="U40" s="9"/>
      <c r="V40" s="9"/>
      <c r="W40" s="11"/>
      <c r="X40" s="80"/>
      <c r="Y40" s="81"/>
      <c r="Z40" s="81"/>
      <c r="AA40" s="81"/>
      <c r="AB40" s="81"/>
      <c r="AC40" s="81"/>
      <c r="AD40" s="81"/>
      <c r="AE40" s="81"/>
      <c r="AF40" s="81"/>
      <c r="AG40" s="81"/>
      <c r="AH40" s="81"/>
      <c r="AI40" s="81"/>
      <c r="AJ40" s="81"/>
      <c r="AK40" s="81"/>
      <c r="AL40" s="82"/>
      <c r="AM40" s="81"/>
      <c r="AN40" s="81"/>
      <c r="AO40" s="188"/>
      <c r="AP40" s="188"/>
      <c r="AQ40" s="188"/>
      <c r="AR40" s="188"/>
      <c r="AS40" s="184"/>
      <c r="AT40" s="184"/>
      <c r="AU40" s="184"/>
      <c r="AV40" s="184"/>
      <c r="AW40" s="184"/>
    </row>
    <row r="41" spans="1:66" s="76" customFormat="1" ht="11.25" hidden="1" customHeight="1" x14ac:dyDescent="0.2">
      <c r="A41" s="142"/>
      <c r="B41" s="1680" t="s">
        <v>81</v>
      </c>
      <c r="C41" s="1680"/>
      <c r="D41" s="1680"/>
      <c r="E41" s="1680"/>
      <c r="F41" s="1680"/>
      <c r="G41" s="1680"/>
      <c r="H41" s="1680"/>
      <c r="I41" s="1680"/>
      <c r="J41" s="14"/>
      <c r="K41" s="14"/>
      <c r="L41" s="14"/>
      <c r="M41" s="14"/>
      <c r="N41" s="14"/>
      <c r="O41" s="14"/>
      <c r="P41" s="14"/>
      <c r="Q41" s="14"/>
      <c r="R41" s="140"/>
      <c r="S41" s="14"/>
      <c r="T41" s="14"/>
      <c r="U41" s="14"/>
      <c r="V41" s="14"/>
      <c r="W41" s="14"/>
      <c r="X41" s="188"/>
      <c r="Y41" s="81"/>
      <c r="Z41" s="81"/>
      <c r="AA41" s="81"/>
      <c r="AB41" s="81"/>
      <c r="AC41" s="81"/>
      <c r="AD41" s="81"/>
      <c r="AE41" s="81"/>
      <c r="AF41" s="81"/>
      <c r="AG41" s="81"/>
      <c r="AH41" s="81"/>
      <c r="AI41" s="81"/>
      <c r="AJ41" s="81"/>
      <c r="AK41" s="81"/>
      <c r="AL41" s="82"/>
      <c r="AM41" s="81"/>
      <c r="AN41" s="81"/>
      <c r="AO41" s="184"/>
      <c r="AP41" s="184"/>
      <c r="AQ41" s="184"/>
      <c r="AR41" s="184"/>
      <c r="AS41" s="188"/>
      <c r="AT41" s="188"/>
      <c r="AU41" s="188"/>
      <c r="AV41" s="188"/>
      <c r="AW41" s="188"/>
    </row>
    <row r="42" spans="1:66" ht="11.25" hidden="1" customHeight="1" x14ac:dyDescent="0.2">
      <c r="A42" s="142"/>
      <c r="B42" s="1680"/>
      <c r="C42" s="1680"/>
      <c r="D42" s="1680"/>
      <c r="E42" s="1680"/>
      <c r="F42" s="1680"/>
      <c r="G42" s="1680"/>
      <c r="H42" s="1680"/>
      <c r="I42" s="1680"/>
      <c r="J42" s="12"/>
      <c r="K42" s="9"/>
      <c r="L42" s="9"/>
      <c r="M42" s="9"/>
      <c r="N42" s="9"/>
      <c r="O42" s="9"/>
      <c r="P42" s="9"/>
      <c r="Q42" s="9"/>
      <c r="R42" s="250"/>
      <c r="S42" s="9"/>
      <c r="T42" s="9"/>
      <c r="U42" s="9"/>
      <c r="V42" s="9"/>
      <c r="W42" s="11"/>
      <c r="X42" s="80"/>
      <c r="Y42" s="81"/>
      <c r="Z42" s="81"/>
      <c r="AA42" s="81"/>
      <c r="AB42" s="81"/>
      <c r="AC42" s="81"/>
      <c r="AD42" s="81"/>
      <c r="AE42" s="81"/>
      <c r="AF42" s="81"/>
      <c r="AG42" s="81"/>
      <c r="AH42" s="81"/>
      <c r="AI42" s="81"/>
      <c r="AJ42" s="81"/>
      <c r="AK42" s="81"/>
      <c r="AL42" s="82"/>
      <c r="AM42" s="81"/>
      <c r="AN42" s="81"/>
      <c r="AO42" s="184"/>
      <c r="AP42" s="184"/>
      <c r="AQ42" s="184"/>
      <c r="AR42" s="184"/>
      <c r="AS42" s="184"/>
      <c r="AT42" s="184"/>
      <c r="AU42" s="184"/>
      <c r="AV42" s="184"/>
      <c r="AW42" s="184"/>
    </row>
    <row r="43" spans="1:66" ht="11.25" customHeight="1" x14ac:dyDescent="0.2">
      <c r="A43" s="142"/>
      <c r="B43" s="1680" t="s">
        <v>78</v>
      </c>
      <c r="C43" s="1680"/>
      <c r="D43" s="1680"/>
      <c r="E43" s="1680"/>
      <c r="F43" s="1680"/>
      <c r="G43" s="1680"/>
      <c r="H43" s="1680"/>
      <c r="I43" s="1680"/>
      <c r="J43" s="12"/>
      <c r="K43" s="9"/>
      <c r="L43" s="9"/>
      <c r="M43" s="9"/>
      <c r="N43" s="9"/>
      <c r="O43" s="9"/>
      <c r="P43" s="9"/>
      <c r="Q43" s="9"/>
      <c r="R43" s="250"/>
      <c r="S43" s="9"/>
      <c r="T43" s="9"/>
      <c r="U43" s="9"/>
      <c r="V43" s="9"/>
      <c r="W43" s="11"/>
      <c r="X43" s="80"/>
      <c r="Y43" s="81"/>
      <c r="Z43" s="81"/>
      <c r="AA43" s="81"/>
      <c r="AB43" s="81"/>
      <c r="AC43" s="81"/>
      <c r="AD43" s="81"/>
      <c r="AE43" s="81"/>
      <c r="AF43" s="81"/>
      <c r="AG43" s="81"/>
      <c r="AH43" s="81"/>
      <c r="AI43" s="81"/>
      <c r="AJ43" s="81"/>
      <c r="AK43" s="81"/>
      <c r="AL43" s="82"/>
      <c r="AM43" s="81"/>
      <c r="AN43" s="81"/>
      <c r="AO43" s="184"/>
      <c r="AP43" s="184"/>
      <c r="AQ43" s="184"/>
      <c r="AR43" s="184"/>
      <c r="AS43" s="188"/>
      <c r="AT43" s="188"/>
      <c r="AU43" s="184"/>
      <c r="AV43" s="184"/>
      <c r="AW43" s="184"/>
    </row>
    <row r="44" spans="1:66" ht="11.25" customHeight="1" x14ac:dyDescent="0.2">
      <c r="A44" s="142"/>
      <c r="B44" s="1680"/>
      <c r="C44" s="1680"/>
      <c r="D44" s="1680"/>
      <c r="E44" s="1680"/>
      <c r="F44" s="1680"/>
      <c r="G44" s="1680"/>
      <c r="H44" s="1680"/>
      <c r="I44" s="1680"/>
      <c r="J44" s="12"/>
      <c r="K44" s="9"/>
      <c r="L44" s="9"/>
      <c r="M44" s="9"/>
      <c r="N44" s="9"/>
      <c r="O44" s="9"/>
      <c r="P44" s="9"/>
      <c r="Q44" s="9"/>
      <c r="R44" s="250"/>
      <c r="S44" s="9"/>
      <c r="T44" s="9"/>
      <c r="U44" s="9"/>
      <c r="V44" s="9"/>
      <c r="W44" s="11"/>
      <c r="X44" s="80"/>
      <c r="Y44" s="81"/>
      <c r="Z44" s="81"/>
      <c r="AA44" s="81"/>
      <c r="AB44" s="81"/>
      <c r="AC44" s="81"/>
      <c r="AD44" s="81"/>
      <c r="AE44" s="81"/>
      <c r="AF44" s="81"/>
      <c r="AG44" s="81"/>
      <c r="AH44" s="81"/>
      <c r="AI44" s="81"/>
      <c r="AJ44" s="81"/>
      <c r="AK44" s="81"/>
      <c r="AL44" s="82"/>
      <c r="AM44" s="81"/>
      <c r="AN44" s="81"/>
      <c r="AO44" s="184"/>
      <c r="AP44" s="184"/>
      <c r="AQ44" s="184"/>
      <c r="AR44" s="184"/>
      <c r="AS44" s="184"/>
      <c r="AT44" s="184"/>
      <c r="AU44" s="184"/>
      <c r="AV44" s="184"/>
      <c r="AW44" s="184"/>
    </row>
    <row r="45" spans="1:66" ht="11.25" customHeight="1" x14ac:dyDescent="0.2">
      <c r="A45" s="142"/>
      <c r="B45" s="1680" t="s">
        <v>17</v>
      </c>
      <c r="C45" s="1680"/>
      <c r="D45" s="1680"/>
      <c r="E45" s="1680"/>
      <c r="F45" s="1680"/>
      <c r="G45" s="1680"/>
      <c r="H45" s="1680"/>
      <c r="I45" s="1680"/>
      <c r="J45" s="12"/>
      <c r="K45" s="9"/>
      <c r="L45" s="9"/>
      <c r="M45" s="9"/>
      <c r="N45" s="9"/>
      <c r="O45" s="9"/>
      <c r="P45" s="9"/>
      <c r="Q45" s="9"/>
      <c r="R45" s="250"/>
      <c r="S45" s="9"/>
      <c r="T45" s="9"/>
      <c r="U45" s="9"/>
      <c r="V45" s="11"/>
      <c r="W45" s="21"/>
      <c r="X45" s="80"/>
      <c r="Y45" s="81"/>
      <c r="Z45" s="81"/>
      <c r="AA45" s="184"/>
      <c r="AB45" s="184"/>
      <c r="AC45" s="81"/>
      <c r="AD45" s="81"/>
      <c r="AE45" s="81"/>
      <c r="AF45" s="81"/>
      <c r="AG45" s="81"/>
      <c r="AH45" s="81"/>
      <c r="AI45" s="81"/>
      <c r="AJ45" s="81"/>
      <c r="AK45" s="81"/>
      <c r="AL45" s="82"/>
      <c r="AM45" s="81"/>
      <c r="AN45" s="81"/>
      <c r="AO45" s="184"/>
      <c r="AP45" s="184"/>
      <c r="AQ45" s="184"/>
      <c r="AR45" s="184"/>
      <c r="AS45" s="188"/>
      <c r="AT45" s="188"/>
      <c r="AU45" s="184"/>
      <c r="AV45" s="184"/>
      <c r="AW45" s="184"/>
    </row>
    <row r="46" spans="1:66" ht="11.25" customHeight="1" x14ac:dyDescent="0.2">
      <c r="A46" s="142"/>
      <c r="B46" s="1680"/>
      <c r="C46" s="1680"/>
      <c r="D46" s="1680"/>
      <c r="E46" s="1680"/>
      <c r="F46" s="1680"/>
      <c r="G46" s="1680"/>
      <c r="H46" s="1680"/>
      <c r="I46" s="1680"/>
      <c r="J46" s="12"/>
      <c r="K46" s="9"/>
      <c r="L46" s="9"/>
      <c r="M46" s="9"/>
      <c r="N46" s="9"/>
      <c r="O46" s="9"/>
      <c r="P46" s="9"/>
      <c r="Q46" s="9"/>
      <c r="R46" s="250"/>
      <c r="S46" s="9"/>
      <c r="T46" s="9"/>
      <c r="U46" s="9"/>
      <c r="V46" s="11"/>
      <c r="W46" s="21"/>
      <c r="X46" s="80"/>
      <c r="Y46" s="81"/>
      <c r="Z46" s="81"/>
      <c r="AA46" s="184"/>
      <c r="AB46" s="184"/>
      <c r="AC46" s="81"/>
      <c r="AD46" s="81"/>
      <c r="AE46" s="81"/>
      <c r="AF46" s="81"/>
      <c r="AG46" s="81"/>
      <c r="AH46" s="81"/>
      <c r="AI46" s="81"/>
      <c r="AJ46" s="81"/>
      <c r="AK46" s="81"/>
      <c r="AL46" s="82"/>
      <c r="AM46" s="81"/>
      <c r="AN46" s="81"/>
      <c r="AO46" s="184"/>
      <c r="AP46" s="184"/>
      <c r="AQ46" s="184"/>
      <c r="AR46" s="184"/>
      <c r="AS46" s="184"/>
      <c r="AT46" s="184"/>
      <c r="AU46" s="184"/>
      <c r="AV46" s="184"/>
      <c r="AW46" s="184"/>
    </row>
    <row r="47" spans="1:66" ht="11.25" customHeight="1" x14ac:dyDescent="0.2">
      <c r="A47" s="142"/>
      <c r="B47" s="1680" t="s">
        <v>80</v>
      </c>
      <c r="C47" s="1680"/>
      <c r="D47" s="1680"/>
      <c r="E47" s="1680"/>
      <c r="F47" s="1680"/>
      <c r="G47" s="1680"/>
      <c r="H47" s="1680"/>
      <c r="I47" s="1680"/>
      <c r="J47" s="12"/>
      <c r="K47" s="9"/>
      <c r="L47" s="9"/>
      <c r="M47" s="9"/>
      <c r="N47" s="9"/>
      <c r="O47" s="9"/>
      <c r="P47" s="9"/>
      <c r="Q47" s="9"/>
      <c r="R47" s="250"/>
      <c r="S47" s="9"/>
      <c r="T47" s="9"/>
      <c r="U47" s="9"/>
      <c r="V47" s="11"/>
      <c r="W47" s="21"/>
      <c r="X47" s="80"/>
      <c r="Y47" s="81"/>
      <c r="Z47" s="81"/>
      <c r="AA47" s="184"/>
      <c r="AB47" s="184"/>
      <c r="AC47" s="81"/>
      <c r="AD47" s="81"/>
      <c r="AE47" s="81"/>
      <c r="AF47" s="81"/>
      <c r="AG47" s="81"/>
      <c r="AH47" s="81"/>
      <c r="AI47" s="81"/>
      <c r="AJ47" s="81"/>
      <c r="AK47" s="81"/>
      <c r="AL47" s="82"/>
      <c r="AM47" s="81"/>
      <c r="AN47" s="81"/>
      <c r="AO47" s="184"/>
      <c r="AP47" s="184"/>
      <c r="AQ47" s="184"/>
      <c r="AR47" s="184"/>
      <c r="AS47" s="188"/>
      <c r="AT47" s="188"/>
      <c r="AU47" s="184"/>
      <c r="AV47" s="184"/>
      <c r="AW47" s="184"/>
    </row>
    <row r="48" spans="1:66" ht="11.25" customHeight="1" x14ac:dyDescent="0.2">
      <c r="A48" s="142"/>
      <c r="B48" s="1680"/>
      <c r="C48" s="1680"/>
      <c r="D48" s="1680"/>
      <c r="E48" s="1680"/>
      <c r="F48" s="1680"/>
      <c r="G48" s="1680"/>
      <c r="H48" s="1680"/>
      <c r="I48" s="1680"/>
      <c r="J48" s="12"/>
      <c r="K48" s="9"/>
      <c r="L48" s="9"/>
      <c r="M48" s="9"/>
      <c r="N48" s="9"/>
      <c r="O48" s="9"/>
      <c r="P48" s="9"/>
      <c r="Q48" s="9"/>
      <c r="R48" s="250"/>
      <c r="S48" s="9"/>
      <c r="T48" s="9"/>
      <c r="U48" s="9"/>
      <c r="V48" s="11"/>
      <c r="W48" s="21"/>
      <c r="X48" s="80"/>
      <c r="Y48" s="81"/>
      <c r="Z48" s="81"/>
      <c r="AA48" s="184"/>
      <c r="AB48" s="184"/>
      <c r="AC48" s="81"/>
      <c r="AD48" s="81"/>
      <c r="AE48" s="81"/>
      <c r="AF48" s="81"/>
      <c r="AG48" s="81"/>
      <c r="AH48" s="81"/>
      <c r="AI48" s="81"/>
      <c r="AJ48" s="81"/>
      <c r="AK48" s="81"/>
      <c r="AL48" s="82"/>
      <c r="AM48" s="81"/>
      <c r="AN48" s="81"/>
      <c r="AO48" s="184"/>
      <c r="AP48" s="184"/>
      <c r="AQ48" s="184"/>
      <c r="AR48" s="184"/>
      <c r="AS48" s="184"/>
      <c r="AT48" s="184"/>
      <c r="AU48" s="184"/>
      <c r="AV48" s="184"/>
      <c r="AW48" s="184"/>
    </row>
    <row r="49" spans="1:49" ht="11.25" customHeight="1" x14ac:dyDescent="0.2">
      <c r="A49" s="142"/>
      <c r="B49" s="1680" t="s">
        <v>69</v>
      </c>
      <c r="C49" s="1680"/>
      <c r="D49" s="1680"/>
      <c r="E49" s="1680"/>
      <c r="F49" s="1680"/>
      <c r="G49" s="1680"/>
      <c r="H49" s="1680"/>
      <c r="I49" s="1680"/>
      <c r="J49" s="12"/>
      <c r="K49" s="9"/>
      <c r="L49" s="9"/>
      <c r="M49" s="9"/>
      <c r="N49" s="9"/>
      <c r="O49" s="9"/>
      <c r="P49" s="9"/>
      <c r="Q49" s="9"/>
      <c r="R49" s="250"/>
      <c r="S49" s="9"/>
      <c r="T49" s="9"/>
      <c r="U49" s="9"/>
      <c r="V49" s="11"/>
      <c r="W49" s="21"/>
      <c r="X49" s="80"/>
      <c r="Y49" s="81"/>
      <c r="Z49" s="81"/>
      <c r="AA49" s="184"/>
      <c r="AB49" s="184"/>
      <c r="AC49" s="81"/>
      <c r="AD49" s="81"/>
      <c r="AE49" s="81"/>
      <c r="AF49" s="81"/>
      <c r="AG49" s="81"/>
      <c r="AH49" s="81"/>
      <c r="AI49" s="81"/>
      <c r="AJ49" s="81"/>
      <c r="AK49" s="81"/>
      <c r="AL49" s="82"/>
      <c r="AM49" s="81"/>
      <c r="AN49" s="81"/>
      <c r="AO49" s="184"/>
      <c r="AP49" s="184"/>
      <c r="AQ49" s="184"/>
      <c r="AR49" s="184"/>
      <c r="AS49" s="188"/>
      <c r="AT49" s="188"/>
      <c r="AU49" s="184"/>
      <c r="AV49" s="184"/>
      <c r="AW49" s="184"/>
    </row>
    <row r="50" spans="1:49" ht="11.25" customHeight="1" x14ac:dyDescent="0.2">
      <c r="A50" s="142"/>
      <c r="B50" s="1680"/>
      <c r="C50" s="1680"/>
      <c r="D50" s="1680"/>
      <c r="E50" s="1680"/>
      <c r="F50" s="1680"/>
      <c r="G50" s="1680"/>
      <c r="H50" s="1680"/>
      <c r="I50" s="1680"/>
      <c r="J50" s="12"/>
      <c r="K50" s="9"/>
      <c r="L50" s="9"/>
      <c r="M50" s="9"/>
      <c r="N50" s="9"/>
      <c r="O50" s="9"/>
      <c r="P50" s="9"/>
      <c r="Q50" s="9"/>
      <c r="R50" s="250"/>
      <c r="S50" s="9"/>
      <c r="T50" s="9"/>
      <c r="U50" s="9"/>
      <c r="V50" s="11"/>
      <c r="W50" s="21"/>
      <c r="X50" s="80"/>
      <c r="Y50" s="81"/>
      <c r="Z50" s="81"/>
      <c r="AA50" s="184"/>
      <c r="AB50" s="184"/>
      <c r="AC50" s="81"/>
      <c r="AD50" s="81"/>
      <c r="AE50" s="81"/>
      <c r="AF50" s="81"/>
      <c r="AG50" s="81"/>
      <c r="AH50" s="81"/>
      <c r="AI50" s="81"/>
      <c r="AJ50" s="81"/>
      <c r="AK50" s="81"/>
      <c r="AL50" s="82"/>
      <c r="AM50" s="81"/>
      <c r="AN50" s="81"/>
      <c r="AO50" s="184"/>
      <c r="AP50" s="184"/>
      <c r="AQ50" s="184"/>
      <c r="AR50" s="184"/>
      <c r="AS50" s="184"/>
      <c r="AT50" s="184"/>
      <c r="AU50" s="184"/>
      <c r="AV50" s="184"/>
      <c r="AW50" s="184"/>
    </row>
    <row r="51" spans="1:49" ht="11.25" customHeight="1" x14ac:dyDescent="0.2">
      <c r="A51" s="142"/>
      <c r="B51" s="1680" t="s">
        <v>24</v>
      </c>
      <c r="C51" s="1680"/>
      <c r="D51" s="1680"/>
      <c r="E51" s="1680"/>
      <c r="F51" s="1680"/>
      <c r="G51" s="1680"/>
      <c r="H51" s="1680"/>
      <c r="I51" s="1680"/>
      <c r="J51" s="12"/>
      <c r="K51" s="9"/>
      <c r="L51" s="9"/>
      <c r="M51" s="9"/>
      <c r="N51" s="9"/>
      <c r="O51" s="9"/>
      <c r="P51" s="9"/>
      <c r="Q51" s="9"/>
      <c r="R51" s="250"/>
      <c r="S51" s="9"/>
      <c r="T51" s="9"/>
      <c r="U51" s="9"/>
      <c r="V51" s="9"/>
      <c r="W51" s="11"/>
      <c r="X51" s="80"/>
      <c r="Y51" s="81"/>
      <c r="Z51" s="81"/>
      <c r="AA51" s="81"/>
      <c r="AB51" s="81"/>
      <c r="AC51" s="81"/>
      <c r="AD51" s="81"/>
      <c r="AE51" s="81"/>
      <c r="AF51" s="81"/>
      <c r="AG51" s="81"/>
      <c r="AH51" s="81"/>
      <c r="AI51" s="81"/>
      <c r="AJ51" s="81"/>
      <c r="AK51" s="81"/>
      <c r="AL51" s="82"/>
      <c r="AM51" s="81"/>
      <c r="AN51" s="81"/>
      <c r="AO51" s="184"/>
      <c r="AP51" s="184"/>
      <c r="AQ51" s="184"/>
      <c r="AR51" s="184"/>
      <c r="AS51" s="188"/>
      <c r="AT51" s="188"/>
      <c r="AU51" s="184"/>
      <c r="AV51" s="184"/>
      <c r="AW51" s="184"/>
    </row>
    <row r="52" spans="1:49" ht="11.25" customHeight="1" x14ac:dyDescent="0.2">
      <c r="A52" s="142"/>
      <c r="B52" s="1680"/>
      <c r="C52" s="1680"/>
      <c r="D52" s="1680"/>
      <c r="E52" s="1680"/>
      <c r="F52" s="1680"/>
      <c r="G52" s="1680"/>
      <c r="H52" s="1680"/>
      <c r="I52" s="1680"/>
      <c r="J52" s="12"/>
      <c r="K52" s="9"/>
      <c r="L52" s="9"/>
      <c r="M52" s="9"/>
      <c r="N52" s="9"/>
      <c r="O52" s="9"/>
      <c r="P52" s="9"/>
      <c r="Q52" s="9"/>
      <c r="R52" s="250"/>
      <c r="S52" s="9"/>
      <c r="T52" s="9"/>
      <c r="U52" s="9"/>
      <c r="V52" s="9"/>
      <c r="W52" s="11"/>
      <c r="X52" s="80"/>
      <c r="Y52" s="81"/>
      <c r="Z52" s="81"/>
      <c r="AA52" s="81"/>
      <c r="AB52" s="81"/>
      <c r="AC52" s="81"/>
      <c r="AD52" s="81"/>
      <c r="AE52" s="81"/>
      <c r="AF52" s="81"/>
      <c r="AG52" s="81"/>
      <c r="AH52" s="81"/>
      <c r="AI52" s="81"/>
      <c r="AJ52" s="81"/>
      <c r="AK52" s="81"/>
      <c r="AL52" s="82"/>
      <c r="AM52" s="81"/>
      <c r="AN52" s="81"/>
      <c r="AO52" s="184"/>
      <c r="AP52" s="184"/>
      <c r="AQ52" s="184"/>
      <c r="AR52" s="184"/>
      <c r="AS52" s="184"/>
      <c r="AT52" s="184"/>
      <c r="AU52" s="184"/>
      <c r="AV52" s="184"/>
      <c r="AW52" s="184"/>
    </row>
    <row r="53" spans="1:49" ht="11.25" customHeight="1" x14ac:dyDescent="0.2">
      <c r="A53" s="142"/>
      <c r="B53" s="1680" t="s">
        <v>22</v>
      </c>
      <c r="C53" s="1680"/>
      <c r="D53" s="1680"/>
      <c r="E53" s="1680"/>
      <c r="F53" s="1680"/>
      <c r="G53" s="1680"/>
      <c r="H53" s="1680"/>
      <c r="I53" s="1680"/>
      <c r="J53" s="12"/>
      <c r="K53" s="9"/>
      <c r="L53" s="9"/>
      <c r="M53" s="9"/>
      <c r="N53" s="9"/>
      <c r="O53" s="9"/>
      <c r="P53" s="9"/>
      <c r="Q53" s="9"/>
      <c r="R53" s="250"/>
      <c r="S53" s="9"/>
      <c r="T53" s="9"/>
      <c r="U53" s="9"/>
      <c r="V53" s="9"/>
      <c r="W53" s="11"/>
      <c r="X53" s="80"/>
      <c r="Y53" s="81"/>
      <c r="Z53" s="81"/>
      <c r="AA53" s="81"/>
      <c r="AB53" s="81"/>
      <c r="AC53" s="81"/>
      <c r="AD53" s="81"/>
      <c r="AE53" s="81"/>
      <c r="AF53" s="81"/>
      <c r="AG53" s="81"/>
      <c r="AH53" s="81"/>
      <c r="AI53" s="81"/>
      <c r="AJ53" s="81"/>
      <c r="AK53" s="81"/>
      <c r="AL53" s="82"/>
      <c r="AM53" s="81"/>
      <c r="AN53" s="81"/>
      <c r="AO53" s="184"/>
      <c r="AP53" s="184"/>
      <c r="AQ53" s="184"/>
      <c r="AR53" s="184"/>
      <c r="AS53" s="188"/>
      <c r="AT53" s="188"/>
      <c r="AU53" s="184"/>
      <c r="AV53" s="184"/>
      <c r="AW53" s="184"/>
    </row>
    <row r="54" spans="1:49" ht="11.25" customHeight="1" x14ac:dyDescent="0.2">
      <c r="A54" s="142"/>
      <c r="B54" s="1680"/>
      <c r="C54" s="1680"/>
      <c r="D54" s="1680"/>
      <c r="E54" s="1680"/>
      <c r="F54" s="1680"/>
      <c r="G54" s="1680"/>
      <c r="H54" s="1680"/>
      <c r="I54" s="1680"/>
      <c r="J54" s="12"/>
      <c r="K54" s="9"/>
      <c r="L54" s="9"/>
      <c r="M54" s="9"/>
      <c r="N54" s="9"/>
      <c r="O54" s="9"/>
      <c r="P54" s="9"/>
      <c r="Q54" s="9"/>
      <c r="R54" s="250"/>
      <c r="S54" s="9"/>
      <c r="T54" s="9"/>
      <c r="U54" s="9"/>
      <c r="V54" s="9"/>
      <c r="W54" s="11"/>
      <c r="X54" s="80"/>
      <c r="Y54" s="81"/>
      <c r="Z54" s="81"/>
      <c r="AA54" s="81"/>
      <c r="AB54" s="81"/>
      <c r="AC54" s="81"/>
      <c r="AD54" s="81"/>
      <c r="AE54" s="81"/>
      <c r="AF54" s="81"/>
      <c r="AG54" s="81"/>
      <c r="AH54" s="81"/>
      <c r="AI54" s="81"/>
      <c r="AJ54" s="81"/>
      <c r="AK54" s="81"/>
      <c r="AL54" s="82"/>
      <c r="AM54" s="81"/>
      <c r="AN54" s="81"/>
      <c r="AO54" s="184"/>
      <c r="AP54" s="184"/>
      <c r="AQ54" s="184"/>
      <c r="AR54" s="184"/>
      <c r="AS54" s="184"/>
      <c r="AT54" s="184"/>
      <c r="AU54" s="184"/>
      <c r="AV54" s="184"/>
      <c r="AW54" s="184"/>
    </row>
    <row r="55" spans="1:49" ht="11.25" customHeight="1" x14ac:dyDescent="0.2">
      <c r="A55" s="142"/>
      <c r="B55" s="1680" t="s">
        <v>25</v>
      </c>
      <c r="C55" s="1680"/>
      <c r="D55" s="1680"/>
      <c r="E55" s="1680"/>
      <c r="F55" s="1680"/>
      <c r="G55" s="1680"/>
      <c r="H55" s="1680"/>
      <c r="I55" s="1680"/>
      <c r="J55" s="12"/>
      <c r="K55" s="9"/>
      <c r="L55" s="9"/>
      <c r="M55" s="9"/>
      <c r="N55" s="9"/>
      <c r="O55" s="9"/>
      <c r="P55" s="9"/>
      <c r="Q55" s="9"/>
      <c r="R55" s="250"/>
      <c r="S55" s="9"/>
      <c r="T55" s="9"/>
      <c r="U55" s="9"/>
      <c r="V55" s="9"/>
      <c r="W55" s="11"/>
      <c r="X55" s="80"/>
      <c r="Y55" s="81"/>
      <c r="Z55" s="81"/>
      <c r="AA55" s="81"/>
      <c r="AB55" s="81"/>
      <c r="AC55" s="81"/>
      <c r="AD55" s="81"/>
      <c r="AE55" s="81"/>
      <c r="AF55" s="81"/>
      <c r="AG55" s="81"/>
      <c r="AH55" s="81"/>
      <c r="AI55" s="81"/>
      <c r="AJ55" s="81"/>
      <c r="AK55" s="81"/>
      <c r="AL55" s="82"/>
      <c r="AM55" s="81"/>
      <c r="AN55" s="81"/>
      <c r="AO55" s="184"/>
      <c r="AP55" s="184"/>
      <c r="AQ55" s="184"/>
      <c r="AR55" s="184"/>
      <c r="AS55" s="188"/>
      <c r="AT55" s="188"/>
      <c r="AU55" s="184"/>
      <c r="AV55" s="184"/>
      <c r="AW55" s="184"/>
    </row>
    <row r="56" spans="1:49" ht="11.25" customHeight="1" x14ac:dyDescent="0.2">
      <c r="A56" s="142"/>
      <c r="B56" s="1680"/>
      <c r="C56" s="1680"/>
      <c r="D56" s="1680"/>
      <c r="E56" s="1680"/>
      <c r="F56" s="1680"/>
      <c r="G56" s="1680"/>
      <c r="H56" s="1680"/>
      <c r="I56" s="1680"/>
      <c r="J56" s="12"/>
      <c r="K56" s="9"/>
      <c r="L56" s="9"/>
      <c r="M56" s="9"/>
      <c r="N56" s="9"/>
      <c r="O56" s="9"/>
      <c r="P56" s="9"/>
      <c r="Q56" s="9"/>
      <c r="R56" s="250"/>
      <c r="S56" s="9"/>
      <c r="T56" s="9"/>
      <c r="U56" s="9"/>
      <c r="V56" s="9"/>
      <c r="W56" s="11"/>
      <c r="X56" s="80"/>
      <c r="Y56" s="81"/>
      <c r="Z56" s="81"/>
      <c r="AA56" s="81"/>
      <c r="AB56" s="81"/>
      <c r="AC56" s="81"/>
      <c r="AD56" s="81"/>
      <c r="AE56" s="81"/>
      <c r="AF56" s="81"/>
      <c r="AG56" s="81"/>
      <c r="AH56" s="81"/>
      <c r="AI56" s="81"/>
      <c r="AJ56" s="81"/>
      <c r="AK56" s="81"/>
      <c r="AL56" s="82"/>
      <c r="AM56" s="81"/>
      <c r="AN56" s="81"/>
      <c r="AO56" s="184"/>
      <c r="AP56" s="184"/>
      <c r="AQ56" s="184"/>
      <c r="AR56" s="184"/>
      <c r="AS56" s="184"/>
      <c r="AT56" s="184"/>
      <c r="AU56" s="184"/>
      <c r="AV56" s="184"/>
      <c r="AW56" s="184"/>
    </row>
    <row r="57" spans="1:49" ht="11.25" customHeight="1" x14ac:dyDescent="0.2">
      <c r="A57" s="142"/>
      <c r="B57" s="1680" t="s">
        <v>18</v>
      </c>
      <c r="C57" s="1680"/>
      <c r="D57" s="1680"/>
      <c r="E57" s="1680"/>
      <c r="F57" s="1680"/>
      <c r="G57" s="1680"/>
      <c r="H57" s="1680"/>
      <c r="I57" s="1680"/>
      <c r="J57" s="12"/>
      <c r="K57" s="9"/>
      <c r="L57" s="9"/>
      <c r="M57" s="9"/>
      <c r="N57" s="9"/>
      <c r="O57" s="9"/>
      <c r="P57" s="9"/>
      <c r="Q57" s="9"/>
      <c r="R57" s="250"/>
      <c r="S57" s="9"/>
      <c r="T57" s="9"/>
      <c r="U57" s="9"/>
      <c r="V57" s="9"/>
      <c r="W57" s="11"/>
      <c r="X57" s="80"/>
      <c r="Y57" s="81"/>
      <c r="Z57" s="81"/>
      <c r="AA57" s="81"/>
      <c r="AB57" s="81"/>
      <c r="AC57" s="81"/>
      <c r="AD57" s="81"/>
      <c r="AE57" s="81"/>
      <c r="AF57" s="81"/>
      <c r="AG57" s="81"/>
      <c r="AH57" s="81"/>
      <c r="AI57" s="81"/>
      <c r="AJ57" s="81"/>
      <c r="AK57" s="81"/>
      <c r="AL57" s="82"/>
      <c r="AM57" s="81"/>
      <c r="AN57" s="81"/>
      <c r="AO57" s="184"/>
      <c r="AP57" s="184"/>
      <c r="AQ57" s="184"/>
      <c r="AR57" s="184"/>
      <c r="AS57" s="184"/>
      <c r="AT57" s="184"/>
      <c r="AU57" s="184"/>
      <c r="AV57" s="184"/>
      <c r="AW57" s="184"/>
    </row>
    <row r="58" spans="1:49" ht="11.25" customHeight="1" x14ac:dyDescent="0.2">
      <c r="A58" s="142"/>
      <c r="B58" s="1680"/>
      <c r="C58" s="1680"/>
      <c r="D58" s="1680"/>
      <c r="E58" s="1680"/>
      <c r="F58" s="1680"/>
      <c r="G58" s="1680"/>
      <c r="H58" s="1680"/>
      <c r="I58" s="1680"/>
      <c r="J58" s="12"/>
      <c r="K58" s="9"/>
      <c r="L58" s="9"/>
      <c r="M58" s="9"/>
      <c r="N58" s="9"/>
      <c r="O58" s="9"/>
      <c r="P58" s="9"/>
      <c r="Q58" s="9"/>
      <c r="R58" s="250"/>
      <c r="S58" s="9"/>
      <c r="T58" s="9"/>
      <c r="U58" s="9"/>
      <c r="V58" s="9"/>
      <c r="W58" s="11"/>
      <c r="X58" s="80"/>
      <c r="Y58" s="81"/>
      <c r="Z58" s="81"/>
      <c r="AA58" s="81"/>
      <c r="AB58" s="81"/>
      <c r="AC58" s="81"/>
      <c r="AD58" s="81"/>
      <c r="AE58" s="81"/>
      <c r="AF58" s="81"/>
      <c r="AG58" s="81"/>
      <c r="AH58" s="81"/>
      <c r="AI58" s="81"/>
      <c r="AJ58" s="81"/>
      <c r="AK58" s="81"/>
      <c r="AL58" s="82"/>
      <c r="AM58" s="81"/>
      <c r="AN58" s="81"/>
      <c r="AO58" s="184"/>
      <c r="AP58" s="184"/>
      <c r="AQ58" s="184"/>
      <c r="AR58" s="184"/>
      <c r="AS58" s="184"/>
      <c r="AT58" s="184"/>
      <c r="AU58" s="184"/>
      <c r="AV58" s="184"/>
      <c r="AW58" s="184"/>
    </row>
    <row r="59" spans="1:49" ht="11.25" customHeight="1" x14ac:dyDescent="0.2">
      <c r="A59" s="142"/>
      <c r="B59" s="1680" t="s">
        <v>19</v>
      </c>
      <c r="C59" s="1680"/>
      <c r="D59" s="1680"/>
      <c r="E59" s="1680"/>
      <c r="F59" s="1680"/>
      <c r="G59" s="1680"/>
      <c r="H59" s="1680"/>
      <c r="I59" s="1680"/>
      <c r="J59" s="12"/>
      <c r="K59" s="9"/>
      <c r="L59" s="9"/>
      <c r="M59" s="9"/>
      <c r="N59" s="9"/>
      <c r="O59" s="9"/>
      <c r="P59" s="9"/>
      <c r="Q59" s="9"/>
      <c r="R59" s="250"/>
      <c r="S59" s="9"/>
      <c r="T59" s="9"/>
      <c r="U59" s="9"/>
      <c r="V59" s="9"/>
      <c r="W59" s="11"/>
      <c r="X59" s="80"/>
      <c r="Y59" s="81"/>
      <c r="Z59" s="81"/>
      <c r="AA59" s="81"/>
      <c r="AB59" s="81"/>
      <c r="AC59" s="81"/>
      <c r="AD59" s="81"/>
      <c r="AE59" s="81"/>
      <c r="AF59" s="81"/>
      <c r="AG59" s="81"/>
      <c r="AH59" s="81"/>
      <c r="AI59" s="81"/>
      <c r="AJ59" s="81"/>
      <c r="AK59" s="81"/>
      <c r="AL59" s="82"/>
      <c r="AM59" s="81"/>
      <c r="AN59" s="81"/>
      <c r="AO59" s="184"/>
      <c r="AP59" s="184"/>
      <c r="AQ59" s="184"/>
      <c r="AR59" s="184"/>
      <c r="AS59" s="184"/>
      <c r="AT59" s="184"/>
      <c r="AU59" s="184"/>
      <c r="AV59" s="184"/>
      <c r="AW59" s="184"/>
    </row>
    <row r="60" spans="1:49" ht="11.25" customHeight="1" x14ac:dyDescent="0.2">
      <c r="A60" s="142"/>
      <c r="B60" s="1680"/>
      <c r="C60" s="1680"/>
      <c r="D60" s="1680"/>
      <c r="E60" s="1680"/>
      <c r="F60" s="1680"/>
      <c r="G60" s="1680"/>
      <c r="H60" s="1680"/>
      <c r="I60" s="1680"/>
      <c r="J60" s="12"/>
      <c r="K60" s="9"/>
      <c r="L60" s="9"/>
      <c r="M60" s="9"/>
      <c r="N60" s="9"/>
      <c r="O60" s="9"/>
      <c r="P60" s="9"/>
      <c r="Q60" s="9"/>
      <c r="R60" s="250"/>
      <c r="S60" s="9"/>
      <c r="T60" s="9"/>
      <c r="U60" s="9"/>
      <c r="V60" s="9"/>
      <c r="W60" s="11"/>
      <c r="X60" s="80"/>
      <c r="Y60" s="81"/>
      <c r="Z60" s="81"/>
      <c r="AA60" s="81"/>
      <c r="AB60" s="81"/>
      <c r="AC60" s="81"/>
      <c r="AD60" s="81"/>
      <c r="AE60" s="81"/>
      <c r="AF60" s="81"/>
      <c r="AG60" s="81"/>
      <c r="AH60" s="81"/>
      <c r="AI60" s="81"/>
      <c r="AJ60" s="81"/>
      <c r="AK60" s="81"/>
      <c r="AL60" s="82"/>
      <c r="AM60" s="81"/>
      <c r="AN60" s="81"/>
      <c r="AO60" s="184"/>
      <c r="AP60" s="184"/>
      <c r="AQ60" s="184"/>
      <c r="AR60" s="184"/>
      <c r="AS60" s="184"/>
      <c r="AT60" s="184"/>
      <c r="AU60" s="184"/>
      <c r="AV60" s="184"/>
      <c r="AW60" s="184"/>
    </row>
    <row r="61" spans="1:49" ht="11.25" customHeight="1" x14ac:dyDescent="0.2">
      <c r="A61" s="142"/>
      <c r="B61" s="1680" t="s">
        <v>20</v>
      </c>
      <c r="C61" s="1680"/>
      <c r="D61" s="1680"/>
      <c r="E61" s="1680"/>
      <c r="F61" s="1680"/>
      <c r="G61" s="1680"/>
      <c r="H61" s="1680"/>
      <c r="I61" s="1680"/>
      <c r="J61" s="12"/>
      <c r="K61" s="9"/>
      <c r="L61" s="9"/>
      <c r="M61" s="9"/>
      <c r="N61" s="9"/>
      <c r="O61" s="9"/>
      <c r="P61" s="9"/>
      <c r="Q61" s="9"/>
      <c r="R61" s="250"/>
      <c r="S61" s="9"/>
      <c r="T61" s="9"/>
      <c r="U61" s="9"/>
      <c r="V61" s="9"/>
      <c r="W61" s="11"/>
      <c r="X61" s="80"/>
      <c r="Y61" s="81"/>
      <c r="Z61" s="81"/>
      <c r="AA61" s="81"/>
      <c r="AB61" s="81"/>
      <c r="AC61" s="81"/>
      <c r="AD61" s="81"/>
      <c r="AE61" s="81"/>
      <c r="AF61" s="81"/>
      <c r="AG61" s="81"/>
      <c r="AH61" s="81"/>
      <c r="AI61" s="81"/>
      <c r="AJ61" s="81"/>
      <c r="AK61" s="81"/>
      <c r="AL61" s="82"/>
      <c r="AM61" s="81"/>
      <c r="AN61" s="81"/>
      <c r="AO61" s="184"/>
      <c r="AP61" s="184"/>
      <c r="AQ61" s="184"/>
      <c r="AR61" s="184"/>
      <c r="AS61" s="184"/>
      <c r="AT61" s="184"/>
      <c r="AU61" s="184"/>
      <c r="AV61" s="184"/>
      <c r="AW61" s="184"/>
    </row>
    <row r="62" spans="1:49" ht="11.25" customHeight="1" x14ac:dyDescent="0.2">
      <c r="A62" s="142"/>
      <c r="B62" s="1680"/>
      <c r="C62" s="1680"/>
      <c r="D62" s="1680"/>
      <c r="E62" s="1680"/>
      <c r="F62" s="1680"/>
      <c r="G62" s="1680"/>
      <c r="H62" s="1680"/>
      <c r="I62" s="1680"/>
      <c r="J62" s="12"/>
      <c r="K62" s="9"/>
      <c r="L62" s="9"/>
      <c r="M62" s="9"/>
      <c r="N62" s="9"/>
      <c r="O62" s="9"/>
      <c r="P62" s="9"/>
      <c r="Q62" s="9"/>
      <c r="R62" s="250"/>
      <c r="S62" s="9"/>
      <c r="T62" s="9"/>
      <c r="U62" s="9"/>
      <c r="V62" s="9"/>
      <c r="W62" s="11"/>
      <c r="X62" s="80"/>
      <c r="Y62" s="81"/>
      <c r="Z62" s="81"/>
      <c r="AA62" s="81"/>
      <c r="AB62" s="81"/>
      <c r="AC62" s="81"/>
      <c r="AD62" s="81"/>
      <c r="AE62" s="81"/>
      <c r="AF62" s="81"/>
      <c r="AG62" s="81"/>
      <c r="AH62" s="81"/>
      <c r="AI62" s="81"/>
      <c r="AJ62" s="81"/>
      <c r="AK62" s="81"/>
      <c r="AL62" s="82"/>
      <c r="AM62" s="81"/>
      <c r="AN62" s="81"/>
      <c r="AO62" s="184"/>
      <c r="AP62" s="184"/>
      <c r="AQ62" s="184"/>
      <c r="AR62" s="184"/>
      <c r="AS62" s="184"/>
      <c r="AT62" s="184"/>
      <c r="AU62" s="184"/>
      <c r="AV62" s="184"/>
      <c r="AW62" s="184"/>
    </row>
    <row r="63" spans="1:49" ht="11.25" customHeight="1" x14ac:dyDescent="0.2">
      <c r="A63" s="142"/>
      <c r="B63" s="1680" t="s">
        <v>26</v>
      </c>
      <c r="C63" s="1680"/>
      <c r="D63" s="1680"/>
      <c r="E63" s="1680"/>
      <c r="F63" s="1680"/>
      <c r="G63" s="1680"/>
      <c r="H63" s="1680"/>
      <c r="I63" s="1680"/>
      <c r="J63" s="12"/>
      <c r="K63" s="9"/>
      <c r="L63" s="9"/>
      <c r="M63" s="9"/>
      <c r="N63" s="9"/>
      <c r="O63" s="9"/>
      <c r="P63" s="9"/>
      <c r="Q63" s="9"/>
      <c r="R63" s="250"/>
      <c r="S63" s="9"/>
      <c r="T63" s="9"/>
      <c r="U63" s="9"/>
      <c r="V63" s="9"/>
      <c r="W63" s="11"/>
      <c r="X63" s="80"/>
      <c r="Y63" s="81"/>
      <c r="Z63" s="81"/>
      <c r="AA63" s="81"/>
      <c r="AB63" s="81"/>
      <c r="AC63" s="81"/>
      <c r="AD63" s="81"/>
      <c r="AE63" s="81"/>
      <c r="AF63" s="81"/>
      <c r="AG63" s="81"/>
      <c r="AH63" s="81"/>
      <c r="AI63" s="81"/>
      <c r="AJ63" s="81"/>
      <c r="AK63" s="81"/>
      <c r="AL63" s="82"/>
      <c r="AM63" s="81"/>
      <c r="AN63" s="81"/>
      <c r="AO63" s="184"/>
      <c r="AP63" s="184"/>
      <c r="AQ63" s="184"/>
      <c r="AR63" s="184"/>
      <c r="AS63" s="184"/>
      <c r="AT63" s="184"/>
      <c r="AU63" s="184"/>
      <c r="AV63" s="184"/>
      <c r="AW63" s="184"/>
    </row>
    <row r="64" spans="1:49" ht="11.25" customHeight="1" x14ac:dyDescent="0.2">
      <c r="A64" s="142"/>
      <c r="B64" s="1680"/>
      <c r="C64" s="1680"/>
      <c r="D64" s="1680"/>
      <c r="E64" s="1680"/>
      <c r="F64" s="1680"/>
      <c r="G64" s="1680"/>
      <c r="H64" s="1680"/>
      <c r="I64" s="1680"/>
      <c r="J64" s="12"/>
      <c r="K64" s="9"/>
      <c r="L64" s="9"/>
      <c r="M64" s="9"/>
      <c r="N64" s="9"/>
      <c r="O64" s="9"/>
      <c r="P64" s="9"/>
      <c r="Q64" s="9"/>
      <c r="R64" s="250"/>
      <c r="S64" s="9"/>
      <c r="T64" s="9"/>
      <c r="U64" s="9"/>
      <c r="V64" s="9"/>
      <c r="W64" s="11"/>
      <c r="X64" s="80"/>
      <c r="Y64" s="81"/>
      <c r="Z64" s="81"/>
      <c r="AA64" s="81"/>
      <c r="AB64" s="81"/>
      <c r="AC64" s="81"/>
      <c r="AD64" s="81"/>
      <c r="AE64" s="81"/>
      <c r="AF64" s="81"/>
      <c r="AG64" s="81"/>
      <c r="AH64" s="81"/>
      <c r="AI64" s="81"/>
      <c r="AJ64" s="81"/>
      <c r="AK64" s="81"/>
      <c r="AL64" s="82"/>
      <c r="AM64" s="81"/>
      <c r="AN64" s="81"/>
      <c r="AO64" s="184"/>
      <c r="AP64" s="184"/>
      <c r="AQ64" s="184"/>
      <c r="AR64" s="184"/>
      <c r="AS64" s="184"/>
      <c r="AT64" s="184"/>
      <c r="AU64" s="184"/>
      <c r="AV64" s="184"/>
      <c r="AW64" s="184"/>
    </row>
    <row r="65" spans="1:58" ht="11.25" customHeight="1" x14ac:dyDescent="0.2">
      <c r="A65" s="142"/>
      <c r="B65" s="1680" t="s">
        <v>21</v>
      </c>
      <c r="C65" s="1680"/>
      <c r="D65" s="1680"/>
      <c r="E65" s="1680"/>
      <c r="F65" s="1680"/>
      <c r="G65" s="1680"/>
      <c r="H65" s="1680"/>
      <c r="I65" s="1680"/>
      <c r="J65" s="12"/>
      <c r="K65" s="9"/>
      <c r="L65" s="9"/>
      <c r="M65" s="9"/>
      <c r="N65" s="9"/>
      <c r="O65" s="9"/>
      <c r="P65" s="9"/>
      <c r="Q65" s="9"/>
      <c r="R65" s="250"/>
      <c r="S65" s="9"/>
      <c r="T65" s="9"/>
      <c r="U65" s="9"/>
      <c r="V65" s="9"/>
      <c r="W65" s="11"/>
      <c r="X65" s="80"/>
      <c r="Y65" s="81"/>
      <c r="Z65" s="81"/>
      <c r="AA65" s="81"/>
      <c r="AB65" s="81"/>
      <c r="AC65" s="81"/>
      <c r="AD65" s="81"/>
      <c r="AE65" s="81"/>
      <c r="AF65" s="81"/>
      <c r="AG65" s="81"/>
      <c r="AH65" s="81"/>
      <c r="AI65" s="81"/>
      <c r="AJ65" s="81"/>
      <c r="AK65" s="81"/>
      <c r="AL65" s="82"/>
      <c r="AM65" s="81"/>
      <c r="AN65" s="81"/>
      <c r="AO65" s="184"/>
      <c r="AP65" s="184"/>
      <c r="AQ65" s="184"/>
      <c r="AR65" s="184"/>
      <c r="AS65" s="184"/>
      <c r="AT65" s="184"/>
      <c r="AU65" s="184"/>
      <c r="AV65" s="184"/>
      <c r="AW65" s="184"/>
    </row>
    <row r="66" spans="1:58" ht="11.25" customHeight="1" x14ac:dyDescent="0.2">
      <c r="A66" s="142"/>
      <c r="B66" s="1680"/>
      <c r="C66" s="1680"/>
      <c r="D66" s="1680"/>
      <c r="E66" s="1680"/>
      <c r="F66" s="1680"/>
      <c r="G66" s="1680"/>
      <c r="H66" s="1680"/>
      <c r="I66" s="1680"/>
      <c r="J66" s="12"/>
      <c r="K66" s="9"/>
      <c r="L66" s="9"/>
      <c r="M66" s="9"/>
      <c r="N66" s="9"/>
      <c r="O66" s="9"/>
      <c r="P66" s="9"/>
      <c r="Q66" s="9"/>
      <c r="R66" s="250"/>
      <c r="S66" s="9"/>
      <c r="T66" s="9"/>
      <c r="U66" s="9"/>
      <c r="V66" s="9"/>
      <c r="W66" s="11"/>
      <c r="X66" s="80"/>
      <c r="Y66" s="81"/>
      <c r="Z66" s="81"/>
      <c r="AA66" s="81"/>
      <c r="AB66" s="81"/>
      <c r="AC66" s="81"/>
      <c r="AD66" s="81"/>
      <c r="AE66" s="81"/>
      <c r="AF66" s="81"/>
      <c r="AG66" s="81"/>
      <c r="AH66" s="81"/>
      <c r="AI66" s="81"/>
      <c r="AJ66" s="81"/>
      <c r="AK66" s="81"/>
      <c r="AL66" s="82"/>
      <c r="AM66" s="81"/>
      <c r="AN66" s="81"/>
      <c r="AO66" s="184"/>
      <c r="AP66" s="184"/>
      <c r="AQ66" s="184"/>
      <c r="AR66" s="184"/>
      <c r="AS66" s="184"/>
      <c r="AT66" s="184"/>
      <c r="AU66" s="184"/>
      <c r="AV66" s="184"/>
      <c r="AW66" s="184"/>
    </row>
    <row r="67" spans="1:58" ht="11.25" customHeight="1" x14ac:dyDescent="0.2">
      <c r="A67" s="142"/>
      <c r="B67" s="1680" t="s">
        <v>905</v>
      </c>
      <c r="C67" s="1680"/>
      <c r="D67" s="1680"/>
      <c r="E67" s="1680"/>
      <c r="F67" s="1680"/>
      <c r="G67" s="1680"/>
      <c r="H67" s="1680"/>
      <c r="I67" s="1680"/>
      <c r="J67" s="12"/>
      <c r="K67" s="9"/>
      <c r="L67" s="9"/>
      <c r="M67" s="9"/>
      <c r="N67" s="9"/>
      <c r="O67" s="9"/>
      <c r="P67" s="9"/>
      <c r="Q67" s="9"/>
      <c r="R67" s="250"/>
      <c r="S67" s="9"/>
      <c r="T67" s="9"/>
      <c r="U67" s="9"/>
      <c r="V67" s="9"/>
      <c r="W67" s="11"/>
      <c r="X67" s="80"/>
      <c r="Y67" s="81"/>
      <c r="Z67" s="81"/>
      <c r="AA67" s="81"/>
      <c r="AB67" s="81"/>
      <c r="AC67" s="81"/>
      <c r="AD67" s="81"/>
      <c r="AE67" s="81"/>
      <c r="AF67" s="81"/>
      <c r="AG67" s="81"/>
      <c r="AH67" s="81"/>
      <c r="AI67" s="81"/>
      <c r="AJ67" s="81"/>
      <c r="AK67" s="81"/>
      <c r="AL67" s="82"/>
      <c r="AM67" s="81"/>
      <c r="AN67" s="81"/>
      <c r="AO67" s="184"/>
      <c r="AP67" s="184"/>
      <c r="AQ67" s="184"/>
      <c r="AR67" s="184"/>
      <c r="AS67" s="184"/>
      <c r="AT67" s="184"/>
      <c r="AU67" s="184"/>
      <c r="AV67" s="184"/>
      <c r="AW67" s="184"/>
    </row>
    <row r="68" spans="1:58" ht="11.25" customHeight="1" x14ac:dyDescent="0.2">
      <c r="A68" s="142"/>
      <c r="B68" s="1680"/>
      <c r="C68" s="1680"/>
      <c r="D68" s="1680"/>
      <c r="E68" s="1680"/>
      <c r="F68" s="1680"/>
      <c r="G68" s="1680"/>
      <c r="H68" s="1680"/>
      <c r="I68" s="1680"/>
      <c r="J68" s="12"/>
      <c r="K68" s="9"/>
      <c r="L68" s="9"/>
      <c r="M68" s="9"/>
      <c r="N68" s="9"/>
      <c r="O68" s="9"/>
      <c r="P68" s="9"/>
      <c r="Q68" s="9"/>
      <c r="R68" s="250"/>
      <c r="S68" s="9"/>
      <c r="T68" s="9"/>
      <c r="U68" s="9"/>
      <c r="V68" s="9"/>
      <c r="W68" s="11"/>
      <c r="X68" s="80"/>
      <c r="Y68" s="81"/>
      <c r="Z68" s="81"/>
      <c r="AA68" s="81"/>
      <c r="AB68" s="81"/>
      <c r="AC68" s="81"/>
      <c r="AD68" s="81"/>
      <c r="AE68" s="81"/>
      <c r="AF68" s="81"/>
      <c r="AG68" s="81"/>
      <c r="AH68" s="81"/>
      <c r="AI68" s="81"/>
      <c r="AJ68" s="81"/>
      <c r="AK68" s="81"/>
      <c r="AL68" s="82"/>
      <c r="AM68" s="81"/>
      <c r="AN68" s="81"/>
      <c r="AO68" s="184"/>
      <c r="AP68" s="184"/>
      <c r="AQ68" s="184"/>
      <c r="AR68" s="184"/>
      <c r="AS68" s="184"/>
      <c r="AT68" s="184"/>
      <c r="AU68" s="184"/>
      <c r="AV68" s="184"/>
      <c r="AW68" s="184"/>
    </row>
    <row r="69" spans="1:58" ht="11.25" customHeight="1" x14ac:dyDescent="0.2">
      <c r="A69" s="142"/>
      <c r="B69" s="1680" t="s">
        <v>32</v>
      </c>
      <c r="C69" s="1680"/>
      <c r="D69" s="1680"/>
      <c r="E69" s="1680"/>
      <c r="F69" s="1680"/>
      <c r="G69" s="1680"/>
      <c r="H69" s="1680"/>
      <c r="I69" s="1680"/>
      <c r="J69" s="12"/>
      <c r="K69" s="9"/>
      <c r="L69" s="9"/>
      <c r="M69" s="9"/>
      <c r="N69" s="9"/>
      <c r="O69" s="9"/>
      <c r="P69" s="9"/>
      <c r="Q69" s="9"/>
      <c r="R69" s="250"/>
      <c r="S69" s="9"/>
      <c r="T69" s="9"/>
      <c r="U69" s="9"/>
      <c r="V69" s="9"/>
      <c r="W69" s="11"/>
      <c r="X69" s="80"/>
      <c r="Y69" s="81"/>
      <c r="Z69" s="81"/>
      <c r="AA69" s="81"/>
      <c r="AB69" s="81"/>
      <c r="AC69" s="81"/>
      <c r="AD69" s="81"/>
      <c r="AE69" s="81"/>
      <c r="AF69" s="81"/>
      <c r="AG69" s="81"/>
      <c r="AH69" s="81"/>
      <c r="AI69" s="81"/>
      <c r="AJ69" s="81"/>
      <c r="AK69" s="81"/>
      <c r="AL69" s="82"/>
      <c r="AM69" s="81"/>
      <c r="AN69" s="81"/>
      <c r="AO69" s="184"/>
      <c r="AP69" s="184"/>
      <c r="AQ69" s="184"/>
      <c r="AR69" s="184"/>
      <c r="AS69" s="184"/>
      <c r="AT69" s="184"/>
      <c r="AU69" s="184"/>
      <c r="AV69" s="184"/>
      <c r="AW69" s="184"/>
    </row>
    <row r="70" spans="1:58" ht="11.25" customHeight="1" x14ac:dyDescent="0.2">
      <c r="A70" s="142"/>
      <c r="B70" s="1680"/>
      <c r="C70" s="1680"/>
      <c r="D70" s="1680"/>
      <c r="E70" s="1680"/>
      <c r="F70" s="1680"/>
      <c r="G70" s="1680"/>
      <c r="H70" s="1680"/>
      <c r="I70" s="1680"/>
      <c r="J70" s="12"/>
      <c r="K70" s="9"/>
      <c r="L70" s="9"/>
      <c r="M70" s="9"/>
      <c r="N70" s="9"/>
      <c r="O70" s="9"/>
      <c r="P70" s="9"/>
      <c r="Q70" s="9"/>
      <c r="R70" s="250"/>
      <c r="S70" s="9"/>
      <c r="T70" s="9"/>
      <c r="U70" s="9"/>
      <c r="V70" s="9"/>
      <c r="W70" s="11"/>
      <c r="X70" s="80"/>
      <c r="Y70" s="81"/>
      <c r="Z70" s="81"/>
      <c r="AA70" s="81"/>
      <c r="AB70" s="81"/>
      <c r="AC70" s="81"/>
      <c r="AD70" s="81"/>
      <c r="AE70" s="81"/>
      <c r="AF70" s="81"/>
      <c r="AG70" s="81"/>
      <c r="AH70" s="81"/>
      <c r="AI70" s="81"/>
      <c r="AJ70" s="81"/>
      <c r="AK70" s="81"/>
      <c r="AL70" s="82"/>
      <c r="AM70" s="81"/>
      <c r="AN70" s="81"/>
      <c r="AO70" s="184"/>
      <c r="AP70" s="184"/>
      <c r="AQ70" s="184"/>
      <c r="AR70" s="184"/>
      <c r="AS70" s="184"/>
      <c r="AT70" s="184"/>
      <c r="AU70" s="184"/>
      <c r="AV70" s="184"/>
      <c r="AW70" s="184"/>
    </row>
    <row r="71" spans="1:58" ht="11.25" customHeight="1" x14ac:dyDescent="0.2">
      <c r="A71" s="142"/>
      <c r="B71" s="1680" t="s">
        <v>666</v>
      </c>
      <c r="C71" s="1680"/>
      <c r="D71" s="1680"/>
      <c r="E71" s="1680"/>
      <c r="F71" s="1680"/>
      <c r="G71" s="1680"/>
      <c r="H71" s="1680"/>
      <c r="I71" s="1680"/>
      <c r="J71" s="12"/>
      <c r="K71" s="9"/>
      <c r="L71" s="9"/>
      <c r="M71" s="9"/>
      <c r="N71" s="9"/>
      <c r="O71" s="9"/>
      <c r="P71" s="9"/>
      <c r="Q71" s="9"/>
      <c r="R71" s="250"/>
      <c r="S71" s="9"/>
      <c r="T71" s="9"/>
      <c r="U71" s="9"/>
      <c r="V71" s="9"/>
      <c r="W71" s="11"/>
      <c r="X71" s="80"/>
      <c r="Y71" s="81"/>
      <c r="Z71" s="81"/>
      <c r="AA71" s="81"/>
      <c r="AB71" s="81"/>
      <c r="AC71" s="81"/>
      <c r="AD71" s="81"/>
      <c r="AE71" s="81"/>
      <c r="AF71" s="81"/>
      <c r="AG71" s="81"/>
      <c r="AH71" s="81"/>
      <c r="AI71" s="81"/>
      <c r="AJ71" s="81"/>
      <c r="AK71" s="81"/>
      <c r="AL71" s="82"/>
      <c r="AM71" s="81"/>
      <c r="AN71" s="81"/>
      <c r="AO71" s="184"/>
      <c r="AP71" s="184"/>
      <c r="AQ71" s="184"/>
      <c r="AR71" s="184"/>
      <c r="AS71" s="184"/>
      <c r="AT71" s="184"/>
      <c r="AU71" s="184"/>
      <c r="AV71" s="184"/>
      <c r="AW71" s="184"/>
    </row>
    <row r="72" spans="1:58" ht="11.25" customHeight="1" x14ac:dyDescent="0.2">
      <c r="A72" s="142"/>
      <c r="B72" s="1680"/>
      <c r="C72" s="1680"/>
      <c r="D72" s="1680"/>
      <c r="E72" s="1680"/>
      <c r="F72" s="1680"/>
      <c r="G72" s="1680"/>
      <c r="H72" s="1680"/>
      <c r="I72" s="1680"/>
      <c r="J72" s="12"/>
      <c r="K72" s="9"/>
      <c r="L72" s="9"/>
      <c r="M72" s="9"/>
      <c r="N72" s="9"/>
      <c r="O72" s="9"/>
      <c r="P72" s="9"/>
      <c r="Q72" s="9"/>
      <c r="R72" s="250"/>
      <c r="S72" s="9"/>
      <c r="T72" s="9"/>
      <c r="U72" s="9"/>
      <c r="V72" s="9"/>
      <c r="W72" s="11"/>
      <c r="X72" s="80"/>
      <c r="Y72" s="81"/>
      <c r="Z72" s="81"/>
      <c r="AA72" s="81"/>
      <c r="AB72" s="81"/>
      <c r="AC72" s="81"/>
      <c r="AD72" s="81"/>
      <c r="AE72" s="81"/>
      <c r="AF72" s="81"/>
      <c r="AG72" s="81"/>
      <c r="AH72" s="81"/>
      <c r="AI72" s="81"/>
      <c r="AJ72" s="81"/>
      <c r="AK72" s="81"/>
      <c r="AL72" s="82"/>
      <c r="AM72" s="81"/>
      <c r="AN72" s="81"/>
      <c r="AO72" s="184"/>
      <c r="AP72" s="184"/>
      <c r="AQ72" s="184"/>
      <c r="AR72" s="184"/>
      <c r="AS72" s="184"/>
      <c r="AT72" s="184"/>
      <c r="AU72" s="184"/>
      <c r="AV72" s="184"/>
      <c r="AW72" s="184"/>
    </row>
    <row r="73" spans="1:58" ht="11.25" customHeight="1" x14ac:dyDescent="0.2">
      <c r="A73" s="142"/>
      <c r="B73" s="1680" t="s">
        <v>906</v>
      </c>
      <c r="C73" s="1680"/>
      <c r="D73" s="1680"/>
      <c r="E73" s="1680"/>
      <c r="F73" s="1680"/>
      <c r="G73" s="1680"/>
      <c r="H73" s="1680"/>
      <c r="I73" s="1680"/>
      <c r="J73" s="12"/>
      <c r="K73" s="9"/>
      <c r="L73" s="9"/>
      <c r="M73" s="9"/>
      <c r="N73" s="9"/>
      <c r="O73" s="9"/>
      <c r="P73" s="9"/>
      <c r="Q73" s="9"/>
      <c r="R73" s="250"/>
      <c r="S73" s="9"/>
      <c r="T73" s="9"/>
      <c r="U73" s="9"/>
      <c r="V73" s="9"/>
      <c r="W73" s="11"/>
      <c r="X73" s="80"/>
      <c r="Y73" s="81"/>
      <c r="Z73" s="81"/>
      <c r="AA73" s="81"/>
      <c r="AB73" s="81"/>
      <c r="AC73" s="81"/>
      <c r="AD73" s="81"/>
      <c r="AE73" s="81"/>
      <c r="AF73" s="81"/>
      <c r="AG73" s="81"/>
      <c r="AH73" s="81"/>
      <c r="AI73" s="81"/>
      <c r="AJ73" s="81"/>
      <c r="AK73" s="81"/>
      <c r="AL73" s="82"/>
      <c r="AM73" s="81"/>
      <c r="AN73" s="81"/>
      <c r="AO73" s="184"/>
      <c r="AP73" s="184"/>
      <c r="AQ73" s="184"/>
      <c r="AR73" s="184"/>
      <c r="AS73" s="184"/>
      <c r="AT73" s="184"/>
      <c r="AU73" s="184"/>
      <c r="AV73" s="184"/>
      <c r="AW73" s="184"/>
    </row>
    <row r="74" spans="1:58" ht="11.25" customHeight="1" x14ac:dyDescent="0.2">
      <c r="A74" s="142"/>
      <c r="B74" s="1680"/>
      <c r="C74" s="1680"/>
      <c r="D74" s="1680"/>
      <c r="E74" s="1680"/>
      <c r="F74" s="1680"/>
      <c r="G74" s="1680"/>
      <c r="H74" s="1680"/>
      <c r="I74" s="1680"/>
      <c r="J74" s="12"/>
      <c r="K74" s="9"/>
      <c r="L74" s="9"/>
      <c r="M74" s="9"/>
      <c r="N74" s="9"/>
      <c r="O74" s="9"/>
      <c r="P74" s="9"/>
      <c r="Q74" s="9"/>
      <c r="R74" s="250"/>
      <c r="S74" s="9"/>
      <c r="T74" s="9"/>
      <c r="U74" s="9"/>
      <c r="V74" s="9"/>
      <c r="W74" s="11"/>
      <c r="X74" s="80"/>
      <c r="Y74" s="81"/>
      <c r="Z74" s="81"/>
      <c r="AA74" s="81"/>
      <c r="AB74" s="81"/>
      <c r="AC74" s="81"/>
      <c r="AD74" s="81"/>
      <c r="AE74" s="81"/>
      <c r="AF74" s="81"/>
      <c r="AG74" s="81"/>
      <c r="AH74" s="81"/>
      <c r="AI74" s="81"/>
      <c r="AJ74" s="81"/>
      <c r="AK74" s="81"/>
      <c r="AL74" s="82"/>
      <c r="AM74" s="81"/>
      <c r="AN74" s="81"/>
      <c r="AO74" s="184"/>
      <c r="AP74" s="184"/>
      <c r="AQ74" s="184"/>
      <c r="AR74" s="184"/>
      <c r="AS74" s="184"/>
      <c r="AT74" s="184"/>
      <c r="AU74" s="184"/>
      <c r="AV74" s="184"/>
      <c r="AW74" s="184"/>
    </row>
    <row r="75" spans="1:58" ht="11.25" customHeight="1" x14ac:dyDescent="0.2">
      <c r="A75" s="142"/>
      <c r="B75" s="1680" t="s">
        <v>672</v>
      </c>
      <c r="C75" s="1680"/>
      <c r="D75" s="1680"/>
      <c r="E75" s="1680"/>
      <c r="F75" s="1680"/>
      <c r="G75" s="1680"/>
      <c r="H75" s="1680"/>
      <c r="I75" s="1680"/>
      <c r="J75" s="12"/>
      <c r="K75" s="9"/>
      <c r="L75" s="9"/>
      <c r="M75" s="9"/>
      <c r="N75" s="9"/>
      <c r="O75" s="9"/>
      <c r="P75" s="9"/>
      <c r="Q75" s="9"/>
      <c r="R75" s="250"/>
      <c r="S75" s="9"/>
      <c r="T75" s="9"/>
      <c r="U75" s="9"/>
      <c r="V75" s="9"/>
      <c r="W75" s="11"/>
      <c r="X75" s="80"/>
      <c r="Y75" s="81"/>
      <c r="Z75" s="81"/>
      <c r="AA75" s="81"/>
      <c r="AB75" s="81"/>
      <c r="AC75" s="81"/>
      <c r="AD75" s="81"/>
      <c r="AE75" s="81"/>
      <c r="AF75" s="81"/>
      <c r="AG75" s="81"/>
      <c r="AH75" s="81"/>
      <c r="AI75" s="81"/>
      <c r="AJ75" s="81"/>
      <c r="AK75" s="81"/>
      <c r="AL75" s="82"/>
      <c r="AM75" s="81"/>
      <c r="AN75" s="81"/>
      <c r="AO75" s="184"/>
      <c r="AP75" s="184"/>
      <c r="AQ75" s="184"/>
      <c r="AR75" s="184"/>
      <c r="AS75" s="184"/>
      <c r="AT75" s="184"/>
      <c r="AU75" s="184"/>
      <c r="AV75" s="184"/>
      <c r="AW75" s="184"/>
    </row>
    <row r="76" spans="1:58" s="80" customFormat="1" ht="11.25" customHeight="1" x14ac:dyDescent="0.2">
      <c r="A76" s="142"/>
      <c r="B76" s="1680"/>
      <c r="C76" s="1680"/>
      <c r="D76" s="1680"/>
      <c r="E76" s="1680"/>
      <c r="F76" s="1680"/>
      <c r="G76" s="1680"/>
      <c r="H76" s="1680"/>
      <c r="I76" s="1680"/>
      <c r="J76" s="12"/>
      <c r="K76" s="9"/>
      <c r="L76" s="9"/>
      <c r="M76" s="9"/>
      <c r="N76" s="9"/>
      <c r="O76" s="9"/>
      <c r="P76" s="9"/>
      <c r="Q76" s="9"/>
      <c r="R76" s="250"/>
      <c r="S76" s="9"/>
      <c r="T76" s="9"/>
      <c r="U76" s="9"/>
      <c r="V76" s="9"/>
      <c r="W76" s="11"/>
      <c r="Y76" s="81"/>
      <c r="Z76" s="81"/>
      <c r="AA76" s="81"/>
      <c r="AB76" s="81"/>
      <c r="AC76" s="81"/>
      <c r="AD76" s="81"/>
      <c r="AE76" s="81"/>
      <c r="AF76" s="81"/>
      <c r="AG76" s="81"/>
      <c r="AH76" s="81"/>
      <c r="AI76" s="81"/>
      <c r="AJ76" s="81"/>
      <c r="AK76" s="81"/>
      <c r="AL76" s="82"/>
      <c r="AM76" s="81"/>
      <c r="AN76" s="81"/>
      <c r="AO76" s="184"/>
      <c r="AP76" s="184"/>
      <c r="AQ76" s="184"/>
      <c r="AR76" s="184"/>
      <c r="AS76" s="184"/>
      <c r="AT76" s="184"/>
      <c r="AU76" s="184"/>
      <c r="AV76" s="184"/>
      <c r="AW76" s="184"/>
      <c r="AX76" s="74"/>
      <c r="AY76" s="74"/>
      <c r="AZ76" s="74"/>
      <c r="BA76" s="74"/>
      <c r="BB76" s="74"/>
      <c r="BC76" s="74"/>
      <c r="BD76" s="74"/>
      <c r="BE76" s="74"/>
      <c r="BF76" s="74"/>
    </row>
    <row r="77" spans="1:58" ht="11.25" customHeight="1" x14ac:dyDescent="0.2">
      <c r="A77" s="1273"/>
      <c r="B77" s="1274"/>
      <c r="C77" s="1275"/>
      <c r="D77" s="1275"/>
      <c r="E77" s="1275"/>
      <c r="F77" s="1275"/>
      <c r="G77" s="1275"/>
      <c r="H77" s="1275"/>
      <c r="I77" s="1275"/>
      <c r="J77" s="1276"/>
      <c r="K77" s="201"/>
      <c r="L77" s="201"/>
      <c r="M77" s="201"/>
      <c r="N77" s="201"/>
      <c r="O77" s="201"/>
      <c r="P77" s="201"/>
      <c r="Q77" s="201"/>
      <c r="R77" s="1576"/>
      <c r="S77" s="201"/>
      <c r="T77" s="201"/>
      <c r="U77" s="201"/>
      <c r="V77" s="201"/>
      <c r="W77" s="1575"/>
      <c r="X77" s="80"/>
      <c r="Y77" s="81"/>
      <c r="Z77" s="81"/>
      <c r="AA77" s="81"/>
      <c r="AB77" s="81"/>
      <c r="AC77" s="81"/>
      <c r="AD77" s="81"/>
      <c r="AE77" s="81"/>
      <c r="AF77" s="81"/>
      <c r="AG77" s="81"/>
      <c r="AH77" s="81"/>
      <c r="AI77" s="81"/>
      <c r="AJ77" s="81"/>
      <c r="AK77" s="81"/>
      <c r="AL77" s="82"/>
      <c r="AM77" s="81"/>
      <c r="AN77" s="81"/>
      <c r="AO77" s="184"/>
      <c r="AP77" s="184"/>
      <c r="AQ77" s="184"/>
      <c r="AR77" s="184"/>
      <c r="AS77" s="184"/>
      <c r="AT77" s="184"/>
      <c r="AU77" s="184"/>
      <c r="AV77" s="184"/>
      <c r="AW77" s="184"/>
    </row>
    <row r="78" spans="1:58" ht="11.25" customHeight="1" x14ac:dyDescent="0.2">
      <c r="J78" s="88"/>
      <c r="W78" s="80"/>
      <c r="X78" s="80"/>
      <c r="Y78" s="81"/>
      <c r="Z78" s="81"/>
      <c r="AA78" s="81"/>
      <c r="AB78" s="81"/>
      <c r="AC78" s="81"/>
      <c r="AD78" s="81"/>
      <c r="AE78" s="81"/>
      <c r="AF78" s="81"/>
      <c r="AG78" s="81"/>
      <c r="AH78" s="81"/>
      <c r="AI78" s="81"/>
      <c r="AJ78" s="81"/>
      <c r="AK78" s="81"/>
      <c r="AL78" s="81"/>
      <c r="AM78" s="81"/>
      <c r="AN78" s="81"/>
      <c r="AO78" s="81"/>
      <c r="AP78" s="184"/>
      <c r="AQ78" s="184"/>
      <c r="AR78" s="184"/>
      <c r="AS78" s="184"/>
      <c r="AT78" s="184"/>
      <c r="AU78" s="184"/>
      <c r="AV78" s="184"/>
      <c r="AW78" s="184"/>
    </row>
    <row r="79" spans="1:58" ht="11.25" customHeight="1" x14ac:dyDescent="0.2">
      <c r="J79" s="88"/>
      <c r="W79" s="80"/>
      <c r="X79" s="80"/>
      <c r="Y79" s="81"/>
      <c r="Z79" s="81"/>
      <c r="AA79" s="81"/>
      <c r="AB79" s="81"/>
      <c r="AC79" s="81"/>
      <c r="AD79" s="81"/>
      <c r="AE79" s="81"/>
      <c r="AF79" s="81"/>
      <c r="AG79" s="81"/>
      <c r="AH79" s="81"/>
      <c r="AI79" s="81"/>
      <c r="AJ79" s="81"/>
      <c r="AK79" s="81"/>
      <c r="AL79" s="81"/>
      <c r="AM79" s="81"/>
      <c r="AN79" s="81"/>
      <c r="AO79" s="81"/>
      <c r="AP79" s="184"/>
      <c r="AQ79" s="184"/>
      <c r="AR79" s="184"/>
      <c r="AS79" s="184"/>
      <c r="AT79" s="184"/>
      <c r="AU79" s="184"/>
      <c r="AV79" s="184"/>
      <c r="AW79" s="184"/>
    </row>
    <row r="80" spans="1:58" ht="11.25" customHeight="1" x14ac:dyDescent="0.2">
      <c r="J80" s="88"/>
      <c r="W80" s="80"/>
      <c r="X80" s="80"/>
      <c r="Y80" s="81"/>
      <c r="Z80" s="81"/>
      <c r="AA80" s="81"/>
      <c r="AB80" s="81"/>
      <c r="AC80" s="81"/>
      <c r="AD80" s="81"/>
      <c r="AE80" s="81"/>
      <c r="AF80" s="81"/>
      <c r="AG80" s="81"/>
      <c r="AH80" s="81"/>
      <c r="AI80" s="81"/>
      <c r="AJ80" s="81"/>
      <c r="AK80" s="81"/>
      <c r="AL80" s="81"/>
      <c r="AM80" s="81"/>
      <c r="AN80" s="81"/>
      <c r="AO80" s="81"/>
      <c r="AP80" s="184"/>
      <c r="AQ80" s="184"/>
      <c r="AR80" s="184"/>
      <c r="AS80" s="184"/>
      <c r="AT80" s="184"/>
      <c r="AU80" s="184"/>
      <c r="AV80" s="184"/>
      <c r="AW80" s="184"/>
    </row>
    <row r="81" spans="10:49" ht="11.25" customHeight="1" x14ac:dyDescent="0.2">
      <c r="J81" s="88"/>
      <c r="W81" s="80"/>
      <c r="X81" s="80"/>
      <c r="Y81" s="81"/>
      <c r="Z81" s="81"/>
      <c r="AA81" s="81"/>
      <c r="AB81" s="81"/>
      <c r="AC81" s="81"/>
      <c r="AD81" s="81"/>
      <c r="AE81" s="81"/>
      <c r="AF81" s="81"/>
      <c r="AG81" s="81"/>
      <c r="AH81" s="81"/>
      <c r="AI81" s="81"/>
      <c r="AJ81" s="81"/>
      <c r="AK81" s="81"/>
      <c r="AL81" s="81"/>
      <c r="AM81" s="81"/>
      <c r="AN81" s="81"/>
      <c r="AO81" s="81"/>
      <c r="AP81" s="184"/>
      <c r="AQ81" s="184"/>
      <c r="AR81" s="184"/>
      <c r="AS81" s="184"/>
      <c r="AT81" s="184"/>
      <c r="AU81" s="184"/>
      <c r="AV81" s="184"/>
      <c r="AW81" s="184"/>
    </row>
    <row r="82" spans="10:49" ht="11.25" customHeight="1" x14ac:dyDescent="0.2">
      <c r="J82" s="88"/>
      <c r="W82" s="80"/>
      <c r="X82" s="80"/>
      <c r="Y82" s="81"/>
      <c r="Z82" s="81"/>
      <c r="AA82" s="81"/>
      <c r="AB82" s="81"/>
      <c r="AC82" s="81"/>
      <c r="AD82" s="81"/>
      <c r="AE82" s="81"/>
      <c r="AF82" s="81"/>
      <c r="AG82" s="81"/>
      <c r="AH82" s="81"/>
      <c r="AI82" s="81"/>
      <c r="AJ82" s="81"/>
      <c r="AK82" s="81"/>
      <c r="AL82" s="81"/>
      <c r="AM82" s="81"/>
      <c r="AN82" s="81"/>
      <c r="AO82" s="81"/>
      <c r="AP82" s="184"/>
      <c r="AQ82" s="184"/>
      <c r="AR82" s="184"/>
      <c r="AS82" s="184"/>
      <c r="AT82" s="184"/>
      <c r="AU82" s="184"/>
      <c r="AV82" s="184"/>
      <c r="AW82" s="184"/>
    </row>
    <row r="83" spans="10:49" ht="11.25" customHeight="1" x14ac:dyDescent="0.2">
      <c r="J83" s="88"/>
      <c r="W83" s="80"/>
      <c r="X83" s="80"/>
      <c r="Y83" s="81"/>
      <c r="Z83" s="81"/>
      <c r="AA83" s="81"/>
      <c r="AB83" s="81"/>
      <c r="AC83" s="81"/>
      <c r="AD83" s="81"/>
      <c r="AE83" s="81"/>
      <c r="AF83" s="81"/>
      <c r="AG83" s="81"/>
      <c r="AH83" s="81"/>
      <c r="AI83" s="81"/>
      <c r="AJ83" s="81"/>
      <c r="AK83" s="81"/>
      <c r="AL83" s="81"/>
      <c r="AM83" s="81"/>
      <c r="AN83" s="81"/>
      <c r="AO83" s="81"/>
      <c r="AP83" s="184"/>
      <c r="AQ83" s="184"/>
      <c r="AR83" s="184"/>
      <c r="AS83" s="184"/>
      <c r="AT83" s="184"/>
      <c r="AU83" s="184"/>
      <c r="AV83" s="184"/>
      <c r="AW83" s="184"/>
    </row>
    <row r="84" spans="10:49" ht="11.25" customHeight="1" x14ac:dyDescent="0.2">
      <c r="J84" s="88"/>
      <c r="W84" s="80"/>
      <c r="X84" s="80"/>
      <c r="Y84" s="81"/>
      <c r="Z84" s="81"/>
      <c r="AA84" s="81"/>
      <c r="AB84" s="81"/>
      <c r="AC84" s="81"/>
      <c r="AD84" s="81"/>
      <c r="AE84" s="81"/>
      <c r="AF84" s="81"/>
      <c r="AG84" s="81"/>
      <c r="AH84" s="81"/>
      <c r="AI84" s="81"/>
      <c r="AJ84" s="81"/>
      <c r="AK84" s="81"/>
      <c r="AL84" s="81"/>
      <c r="AM84" s="81"/>
      <c r="AN84" s="81"/>
      <c r="AO84" s="81"/>
      <c r="AP84" s="184"/>
      <c r="AQ84" s="184"/>
      <c r="AR84" s="184"/>
      <c r="AS84" s="184"/>
      <c r="AT84" s="184"/>
      <c r="AU84" s="184"/>
      <c r="AV84" s="184"/>
      <c r="AW84" s="184"/>
    </row>
    <row r="85" spans="10:49" ht="11.25" customHeight="1" x14ac:dyDescent="0.2">
      <c r="J85" s="88"/>
      <c r="W85" s="80"/>
      <c r="X85" s="80"/>
      <c r="Y85" s="81"/>
      <c r="Z85" s="81"/>
      <c r="AA85" s="81"/>
      <c r="AB85" s="81"/>
      <c r="AC85" s="81"/>
      <c r="AD85" s="81"/>
      <c r="AE85" s="81"/>
      <c r="AF85" s="81"/>
      <c r="AG85" s="81"/>
      <c r="AH85" s="81"/>
      <c r="AI85" s="81"/>
      <c r="AJ85" s="81"/>
      <c r="AK85" s="81"/>
      <c r="AL85" s="81"/>
      <c r="AM85" s="81"/>
      <c r="AN85" s="81"/>
      <c r="AO85" s="81"/>
      <c r="AP85" s="184"/>
      <c r="AQ85" s="184"/>
      <c r="AR85" s="184"/>
      <c r="AS85" s="184"/>
      <c r="AT85" s="184"/>
      <c r="AU85" s="184"/>
      <c r="AV85" s="184"/>
      <c r="AW85" s="184"/>
    </row>
    <row r="86" spans="10:49" ht="11.25" customHeight="1" x14ac:dyDescent="0.2">
      <c r="J86" s="88"/>
      <c r="W86" s="80"/>
      <c r="X86" s="80"/>
      <c r="Y86" s="81"/>
      <c r="Z86" s="81"/>
      <c r="AA86" s="81"/>
      <c r="AB86" s="81"/>
      <c r="AC86" s="81"/>
      <c r="AD86" s="81"/>
      <c r="AE86" s="81"/>
      <c r="AF86" s="81"/>
      <c r="AG86" s="81"/>
      <c r="AH86" s="81"/>
      <c r="AI86" s="81"/>
      <c r="AJ86" s="81"/>
      <c r="AK86" s="81"/>
      <c r="AL86" s="81"/>
      <c r="AM86" s="81"/>
      <c r="AN86" s="81"/>
      <c r="AO86" s="81"/>
      <c r="AP86" s="184"/>
      <c r="AQ86" s="184"/>
      <c r="AR86" s="184"/>
      <c r="AS86" s="184"/>
      <c r="AT86" s="184"/>
      <c r="AU86" s="184"/>
      <c r="AV86" s="184"/>
      <c r="AW86" s="184"/>
    </row>
    <row r="87" spans="10:49" ht="11.25" customHeight="1" x14ac:dyDescent="0.2">
      <c r="J87" s="88"/>
      <c r="W87" s="80"/>
      <c r="X87" s="80"/>
      <c r="Y87" s="81"/>
      <c r="Z87" s="81"/>
      <c r="AA87" s="81"/>
      <c r="AB87" s="81"/>
      <c r="AC87" s="81"/>
      <c r="AD87" s="81"/>
      <c r="AE87" s="81"/>
      <c r="AF87" s="81"/>
      <c r="AG87" s="81"/>
      <c r="AH87" s="81"/>
      <c r="AI87" s="81"/>
      <c r="AJ87" s="81"/>
      <c r="AK87" s="81"/>
      <c r="AL87" s="81"/>
      <c r="AM87" s="81"/>
      <c r="AN87" s="81"/>
      <c r="AO87" s="81"/>
      <c r="AP87" s="184"/>
      <c r="AQ87" s="184"/>
      <c r="AR87" s="184"/>
      <c r="AS87" s="184"/>
      <c r="AT87" s="184"/>
      <c r="AU87" s="184"/>
      <c r="AV87" s="184"/>
      <c r="AW87" s="184"/>
    </row>
    <row r="88" spans="10:49" ht="11.25" customHeight="1" x14ac:dyDescent="0.2">
      <c r="J88" s="88"/>
      <c r="W88" s="80"/>
      <c r="X88" s="80"/>
      <c r="Y88" s="81"/>
      <c r="Z88" s="81"/>
      <c r="AA88" s="81"/>
      <c r="AB88" s="81"/>
      <c r="AC88" s="81"/>
      <c r="AD88" s="81"/>
      <c r="AE88" s="81"/>
      <c r="AF88" s="81"/>
      <c r="AG88" s="81"/>
      <c r="AH88" s="81"/>
      <c r="AI88" s="81"/>
      <c r="AJ88" s="81"/>
      <c r="AK88" s="81"/>
      <c r="AL88" s="81"/>
      <c r="AM88" s="81"/>
      <c r="AN88" s="81"/>
      <c r="AO88" s="81"/>
      <c r="AP88" s="184"/>
      <c r="AQ88" s="184"/>
      <c r="AR88" s="184"/>
      <c r="AS88" s="184"/>
      <c r="AT88" s="184"/>
      <c r="AU88" s="184"/>
      <c r="AV88" s="184"/>
      <c r="AW88" s="184"/>
    </row>
    <row r="89" spans="10:49" ht="11.25" customHeight="1" x14ac:dyDescent="0.2">
      <c r="J89" s="88"/>
      <c r="W89" s="80"/>
      <c r="X89" s="80"/>
      <c r="Y89" s="81"/>
      <c r="Z89" s="81"/>
      <c r="AA89" s="81"/>
      <c r="AB89" s="81"/>
      <c r="AC89" s="81"/>
      <c r="AD89" s="81"/>
      <c r="AE89" s="81"/>
      <c r="AF89" s="81"/>
      <c r="AG89" s="81"/>
      <c r="AH89" s="81"/>
      <c r="AI89" s="81"/>
      <c r="AJ89" s="81"/>
      <c r="AK89" s="81"/>
      <c r="AL89" s="81"/>
      <c r="AM89" s="81"/>
      <c r="AN89" s="81"/>
      <c r="AO89" s="81"/>
      <c r="AP89" s="184"/>
      <c r="AQ89" s="184"/>
      <c r="AR89" s="184"/>
      <c r="AS89" s="184"/>
      <c r="AT89" s="184"/>
      <c r="AU89" s="184"/>
      <c r="AV89" s="184"/>
      <c r="AW89" s="184"/>
    </row>
    <row r="90" spans="10:49" ht="11.25" customHeight="1" x14ac:dyDescent="0.2">
      <c r="J90" s="88"/>
      <c r="W90" s="80"/>
      <c r="X90" s="80"/>
      <c r="Y90" s="81"/>
      <c r="Z90" s="81"/>
      <c r="AA90" s="81"/>
      <c r="AB90" s="81"/>
      <c r="AC90" s="81"/>
      <c r="AD90" s="81"/>
      <c r="AE90" s="81"/>
      <c r="AF90" s="81"/>
      <c r="AG90" s="81"/>
      <c r="AH90" s="81"/>
      <c r="AI90" s="81"/>
      <c r="AJ90" s="81"/>
      <c r="AK90" s="81"/>
      <c r="AL90" s="81"/>
      <c r="AM90" s="81"/>
      <c r="AN90" s="81"/>
      <c r="AO90" s="81"/>
      <c r="AP90" s="184"/>
      <c r="AQ90" s="184"/>
      <c r="AR90" s="184"/>
      <c r="AS90" s="184"/>
      <c r="AT90" s="184"/>
      <c r="AU90" s="184"/>
      <c r="AV90" s="184"/>
      <c r="AW90" s="184"/>
    </row>
    <row r="91" spans="10:49" ht="11.25" customHeight="1" x14ac:dyDescent="0.2">
      <c r="J91" s="88"/>
      <c r="W91" s="80"/>
      <c r="X91" s="80"/>
      <c r="Y91" s="81"/>
      <c r="Z91" s="81"/>
      <c r="AA91" s="81"/>
      <c r="AB91" s="81"/>
      <c r="AC91" s="81"/>
      <c r="AD91" s="81"/>
      <c r="AE91" s="81"/>
      <c r="AF91" s="81"/>
      <c r="AG91" s="81"/>
      <c r="AH91" s="81"/>
      <c r="AI91" s="81"/>
      <c r="AJ91" s="81"/>
      <c r="AK91" s="81"/>
      <c r="AL91" s="81"/>
      <c r="AM91" s="81"/>
      <c r="AN91" s="81"/>
      <c r="AO91" s="81"/>
      <c r="AP91" s="184"/>
      <c r="AQ91" s="184"/>
      <c r="AR91" s="184"/>
      <c r="AS91" s="184"/>
      <c r="AT91" s="184"/>
      <c r="AU91" s="184"/>
      <c r="AV91" s="184"/>
      <c r="AW91" s="184"/>
    </row>
    <row r="92" spans="10:49" ht="11.25" customHeight="1" x14ac:dyDescent="0.2">
      <c r="J92" s="88"/>
      <c r="W92" s="80"/>
      <c r="X92" s="80"/>
      <c r="Y92" s="81"/>
      <c r="Z92" s="81"/>
      <c r="AA92" s="81"/>
      <c r="AB92" s="81"/>
      <c r="AC92" s="81"/>
      <c r="AD92" s="81"/>
      <c r="AE92" s="81"/>
      <c r="AF92" s="81"/>
      <c r="AG92" s="81"/>
      <c r="AH92" s="81"/>
      <c r="AI92" s="81"/>
      <c r="AJ92" s="81"/>
      <c r="AK92" s="81"/>
      <c r="AL92" s="81"/>
      <c r="AM92" s="81"/>
      <c r="AN92" s="81"/>
      <c r="AO92" s="81"/>
      <c r="AP92" s="184"/>
      <c r="AQ92" s="184"/>
      <c r="AR92" s="184"/>
      <c r="AS92" s="184"/>
      <c r="AT92" s="184"/>
      <c r="AU92" s="184"/>
      <c r="AV92" s="184"/>
      <c r="AW92" s="184"/>
    </row>
    <row r="93" spans="10:49" ht="11.25" customHeight="1" x14ac:dyDescent="0.2">
      <c r="J93" s="88"/>
      <c r="W93" s="80"/>
      <c r="X93" s="80"/>
      <c r="Y93" s="81"/>
      <c r="Z93" s="81"/>
      <c r="AA93" s="81"/>
      <c r="AB93" s="81"/>
      <c r="AC93" s="81"/>
      <c r="AD93" s="81"/>
      <c r="AE93" s="81"/>
      <c r="AF93" s="81"/>
      <c r="AG93" s="81"/>
      <c r="AH93" s="81"/>
      <c r="AI93" s="81"/>
      <c r="AJ93" s="81"/>
      <c r="AK93" s="81"/>
      <c r="AL93" s="81"/>
      <c r="AM93" s="81"/>
      <c r="AN93" s="81"/>
      <c r="AO93" s="81"/>
      <c r="AP93" s="184"/>
      <c r="AQ93" s="184"/>
      <c r="AR93" s="184"/>
      <c r="AS93" s="184"/>
      <c r="AT93" s="184"/>
      <c r="AU93" s="184"/>
      <c r="AV93" s="184"/>
      <c r="AW93" s="184"/>
    </row>
    <row r="94" spans="10:49" ht="11.25" customHeight="1" x14ac:dyDescent="0.2">
      <c r="J94" s="88"/>
      <c r="W94" s="80"/>
      <c r="X94" s="80"/>
      <c r="Y94" s="81"/>
      <c r="Z94" s="81"/>
      <c r="AA94" s="81"/>
      <c r="AB94" s="81"/>
      <c r="AC94" s="81"/>
      <c r="AD94" s="81"/>
      <c r="AE94" s="81"/>
      <c r="AF94" s="81"/>
      <c r="AG94" s="81"/>
      <c r="AH94" s="81"/>
      <c r="AI94" s="81"/>
      <c r="AJ94" s="81"/>
      <c r="AK94" s="81"/>
      <c r="AL94" s="81"/>
      <c r="AM94" s="81"/>
      <c r="AN94" s="81"/>
      <c r="AO94" s="81"/>
      <c r="AP94" s="184"/>
      <c r="AQ94" s="184"/>
      <c r="AR94" s="184"/>
      <c r="AS94" s="184"/>
      <c r="AT94" s="184"/>
      <c r="AU94" s="184"/>
      <c r="AV94" s="184"/>
      <c r="AW94" s="184"/>
    </row>
    <row r="95" spans="10:49" ht="11.25" customHeight="1" x14ac:dyDescent="0.2">
      <c r="J95" s="88"/>
      <c r="W95" s="80"/>
      <c r="X95" s="80"/>
      <c r="Y95" s="81"/>
      <c r="Z95" s="81"/>
      <c r="AA95" s="81"/>
      <c r="AB95" s="81"/>
      <c r="AC95" s="81"/>
      <c r="AD95" s="81"/>
      <c r="AE95" s="81"/>
      <c r="AF95" s="81"/>
      <c r="AG95" s="81"/>
      <c r="AH95" s="81"/>
      <c r="AI95" s="81"/>
      <c r="AJ95" s="81"/>
      <c r="AK95" s="81"/>
      <c r="AL95" s="81"/>
      <c r="AM95" s="81"/>
      <c r="AN95" s="81"/>
      <c r="AO95" s="81"/>
      <c r="AP95" s="184"/>
      <c r="AQ95" s="184"/>
      <c r="AR95" s="184"/>
      <c r="AS95" s="184"/>
      <c r="AT95" s="184"/>
      <c r="AU95" s="184"/>
      <c r="AV95" s="184"/>
      <c r="AW95" s="184"/>
    </row>
    <row r="96" spans="10:49" ht="11.25" customHeight="1" x14ac:dyDescent="0.2">
      <c r="J96" s="88"/>
      <c r="W96" s="80"/>
      <c r="X96" s="80"/>
      <c r="Y96" s="81"/>
      <c r="Z96" s="81"/>
      <c r="AA96" s="81"/>
      <c r="AB96" s="81"/>
      <c r="AC96" s="81"/>
      <c r="AD96" s="81"/>
      <c r="AE96" s="81"/>
      <c r="AF96" s="81"/>
      <c r="AG96" s="81"/>
      <c r="AH96" s="81"/>
      <c r="AI96" s="81"/>
      <c r="AJ96" s="81"/>
      <c r="AK96" s="81"/>
      <c r="AL96" s="81"/>
      <c r="AM96" s="81"/>
      <c r="AN96" s="81"/>
      <c r="AO96" s="81"/>
      <c r="AP96" s="184"/>
      <c r="AQ96" s="184"/>
      <c r="AR96" s="184"/>
      <c r="AS96" s="184"/>
      <c r="AT96" s="184"/>
      <c r="AU96" s="184"/>
      <c r="AV96" s="184"/>
      <c r="AW96" s="184"/>
    </row>
    <row r="97" spans="10:49" ht="11.25" customHeight="1" x14ac:dyDescent="0.2">
      <c r="J97" s="88"/>
      <c r="W97" s="80"/>
      <c r="X97" s="80"/>
      <c r="Y97" s="81"/>
      <c r="Z97" s="81"/>
      <c r="AA97" s="81"/>
      <c r="AB97" s="81"/>
      <c r="AC97" s="81"/>
      <c r="AD97" s="81"/>
      <c r="AE97" s="81"/>
      <c r="AF97" s="81"/>
      <c r="AG97" s="81"/>
      <c r="AH97" s="81"/>
      <c r="AI97" s="81"/>
      <c r="AJ97" s="81"/>
      <c r="AK97" s="81"/>
      <c r="AL97" s="81"/>
      <c r="AM97" s="81"/>
      <c r="AN97" s="81"/>
      <c r="AO97" s="81"/>
      <c r="AP97" s="184"/>
      <c r="AQ97" s="184"/>
      <c r="AR97" s="184"/>
      <c r="AS97" s="184"/>
      <c r="AT97" s="184"/>
      <c r="AU97" s="184"/>
      <c r="AV97" s="184"/>
      <c r="AW97" s="184"/>
    </row>
    <row r="98" spans="10:49" ht="11.25" customHeight="1" x14ac:dyDescent="0.2">
      <c r="J98" s="88"/>
      <c r="W98" s="80"/>
      <c r="X98" s="80"/>
      <c r="Y98" s="81"/>
      <c r="Z98" s="81"/>
      <c r="AA98" s="81"/>
      <c r="AB98" s="81"/>
      <c r="AC98" s="81"/>
      <c r="AD98" s="81"/>
      <c r="AE98" s="81"/>
      <c r="AF98" s="81"/>
      <c r="AG98" s="81"/>
      <c r="AH98" s="81"/>
      <c r="AI98" s="81"/>
      <c r="AJ98" s="81"/>
      <c r="AK98" s="81"/>
      <c r="AL98" s="81"/>
      <c r="AM98" s="81"/>
      <c r="AN98" s="81"/>
      <c r="AO98" s="81"/>
      <c r="AP98" s="184"/>
      <c r="AQ98" s="184"/>
      <c r="AR98" s="184"/>
      <c r="AS98" s="184"/>
      <c r="AT98" s="184"/>
      <c r="AU98" s="184"/>
      <c r="AV98" s="184"/>
      <c r="AW98" s="184"/>
    </row>
    <row r="99" spans="10:49" ht="11.25" customHeight="1" x14ac:dyDescent="0.2">
      <c r="J99" s="88"/>
      <c r="W99" s="80"/>
      <c r="X99" s="80"/>
      <c r="Y99" s="81"/>
      <c r="Z99" s="81"/>
      <c r="AA99" s="81"/>
      <c r="AB99" s="81"/>
      <c r="AC99" s="81"/>
      <c r="AD99" s="81"/>
      <c r="AE99" s="81"/>
      <c r="AF99" s="81"/>
      <c r="AG99" s="81"/>
      <c r="AH99" s="81"/>
      <c r="AI99" s="81"/>
      <c r="AJ99" s="81"/>
      <c r="AK99" s="81"/>
      <c r="AL99" s="81"/>
      <c r="AM99" s="81"/>
      <c r="AN99" s="81"/>
      <c r="AO99" s="81"/>
      <c r="AP99" s="184"/>
      <c r="AQ99" s="184"/>
      <c r="AR99" s="184"/>
      <c r="AS99" s="184"/>
      <c r="AT99" s="184"/>
      <c r="AU99" s="184"/>
      <c r="AV99" s="184"/>
      <c r="AW99" s="184"/>
    </row>
    <row r="100" spans="10:49" ht="11.25" customHeight="1" x14ac:dyDescent="0.2">
      <c r="J100" s="88"/>
      <c r="W100" s="80"/>
      <c r="X100" s="80"/>
      <c r="Y100" s="81"/>
      <c r="Z100" s="81"/>
      <c r="AA100" s="81"/>
      <c r="AB100" s="81"/>
      <c r="AC100" s="81"/>
      <c r="AD100" s="81"/>
      <c r="AE100" s="81"/>
      <c r="AF100" s="81"/>
      <c r="AG100" s="81"/>
      <c r="AH100" s="81"/>
      <c r="AI100" s="81"/>
      <c r="AJ100" s="81"/>
      <c r="AK100" s="81"/>
      <c r="AL100" s="81"/>
      <c r="AM100" s="81"/>
      <c r="AN100" s="81"/>
      <c r="AO100" s="81"/>
      <c r="AP100" s="184"/>
      <c r="AQ100" s="184"/>
      <c r="AR100" s="184"/>
      <c r="AS100" s="184"/>
      <c r="AT100" s="184"/>
      <c r="AU100" s="184"/>
      <c r="AV100" s="184"/>
      <c r="AW100" s="184"/>
    </row>
    <row r="101" spans="10:49" ht="11.25" customHeight="1" x14ac:dyDescent="0.2">
      <c r="J101" s="88"/>
      <c r="W101" s="80"/>
      <c r="X101" s="80"/>
      <c r="Y101" s="81"/>
      <c r="Z101" s="81"/>
      <c r="AA101" s="81"/>
      <c r="AB101" s="81"/>
      <c r="AC101" s="81"/>
      <c r="AD101" s="81"/>
      <c r="AE101" s="81"/>
      <c r="AF101" s="81"/>
      <c r="AG101" s="81"/>
      <c r="AH101" s="81"/>
      <c r="AI101" s="81"/>
      <c r="AJ101" s="81"/>
      <c r="AK101" s="81"/>
      <c r="AL101" s="81"/>
      <c r="AM101" s="81"/>
      <c r="AN101" s="81"/>
      <c r="AO101" s="81"/>
      <c r="AP101" s="184"/>
      <c r="AQ101" s="184"/>
      <c r="AR101" s="184"/>
      <c r="AS101" s="184"/>
      <c r="AT101" s="184"/>
      <c r="AU101" s="184"/>
      <c r="AV101" s="184"/>
      <c r="AW101" s="184"/>
    </row>
    <row r="102" spans="10:49" ht="11.25" customHeight="1" x14ac:dyDescent="0.2">
      <c r="J102" s="88"/>
      <c r="W102" s="80"/>
      <c r="X102" s="80"/>
      <c r="Y102" s="81"/>
      <c r="Z102" s="81"/>
      <c r="AA102" s="81"/>
      <c r="AB102" s="81"/>
      <c r="AC102" s="81"/>
      <c r="AD102" s="81"/>
      <c r="AE102" s="81"/>
      <c r="AF102" s="81"/>
      <c r="AG102" s="81"/>
      <c r="AH102" s="81"/>
      <c r="AI102" s="81"/>
      <c r="AJ102" s="81"/>
      <c r="AK102" s="81"/>
      <c r="AL102" s="81"/>
      <c r="AM102" s="81"/>
      <c r="AN102" s="81"/>
      <c r="AO102" s="81"/>
      <c r="AP102" s="184"/>
      <c r="AQ102" s="184"/>
      <c r="AR102" s="184"/>
      <c r="AS102" s="184"/>
      <c r="AT102" s="184"/>
      <c r="AU102" s="184"/>
      <c r="AV102" s="184"/>
      <c r="AW102" s="184"/>
    </row>
    <row r="103" spans="10:49" ht="11.25" customHeight="1" x14ac:dyDescent="0.2">
      <c r="J103" s="88"/>
      <c r="W103" s="80"/>
      <c r="X103" s="80"/>
      <c r="Y103" s="81"/>
      <c r="Z103" s="81"/>
      <c r="AA103" s="81"/>
      <c r="AB103" s="81"/>
      <c r="AC103" s="81"/>
      <c r="AD103" s="81"/>
      <c r="AE103" s="81"/>
      <c r="AF103" s="81"/>
      <c r="AG103" s="81"/>
      <c r="AH103" s="81"/>
      <c r="AI103" s="81"/>
      <c r="AJ103" s="81"/>
      <c r="AK103" s="81"/>
      <c r="AL103" s="81"/>
      <c r="AM103" s="81"/>
      <c r="AN103" s="81"/>
      <c r="AO103" s="81"/>
      <c r="AP103" s="184"/>
      <c r="AQ103" s="184"/>
      <c r="AR103" s="184"/>
      <c r="AS103" s="184"/>
      <c r="AT103" s="184"/>
      <c r="AU103" s="184"/>
      <c r="AV103" s="184"/>
      <c r="AW103" s="184"/>
    </row>
    <row r="104" spans="10:49" ht="11.25" customHeight="1" x14ac:dyDescent="0.2">
      <c r="J104" s="88"/>
      <c r="W104" s="80"/>
      <c r="X104" s="80"/>
      <c r="Y104" s="81"/>
      <c r="Z104" s="81"/>
      <c r="AA104" s="81"/>
      <c r="AB104" s="81"/>
      <c r="AC104" s="81"/>
      <c r="AD104" s="81"/>
      <c r="AE104" s="81"/>
      <c r="AF104" s="81"/>
      <c r="AG104" s="81"/>
      <c r="AH104" s="81"/>
      <c r="AI104" s="81"/>
      <c r="AJ104" s="81"/>
      <c r="AK104" s="81"/>
      <c r="AL104" s="81"/>
      <c r="AM104" s="81"/>
      <c r="AN104" s="81"/>
      <c r="AO104" s="81"/>
      <c r="AP104" s="184"/>
      <c r="AQ104" s="184"/>
      <c r="AR104" s="184"/>
      <c r="AS104" s="184"/>
      <c r="AT104" s="184"/>
      <c r="AU104" s="184"/>
      <c r="AV104" s="184"/>
      <c r="AW104" s="184"/>
    </row>
    <row r="105" spans="10:49" ht="11.25" customHeight="1" x14ac:dyDescent="0.2">
      <c r="J105" s="88"/>
      <c r="W105" s="80"/>
      <c r="X105" s="80"/>
      <c r="Y105" s="81"/>
      <c r="Z105" s="81"/>
      <c r="AA105" s="81"/>
      <c r="AB105" s="81"/>
      <c r="AC105" s="81"/>
      <c r="AD105" s="81"/>
      <c r="AE105" s="81"/>
      <c r="AF105" s="81"/>
      <c r="AG105" s="81"/>
      <c r="AH105" s="81"/>
      <c r="AI105" s="81"/>
      <c r="AJ105" s="81"/>
      <c r="AK105" s="81"/>
      <c r="AL105" s="81"/>
      <c r="AM105" s="81"/>
      <c r="AN105" s="81"/>
      <c r="AO105" s="81"/>
      <c r="AP105" s="184"/>
      <c r="AQ105" s="184"/>
      <c r="AR105" s="184"/>
      <c r="AS105" s="184"/>
      <c r="AT105" s="184"/>
      <c r="AU105" s="184"/>
      <c r="AV105" s="184"/>
      <c r="AW105" s="184"/>
    </row>
    <row r="106" spans="10:49" ht="11.25" customHeight="1" x14ac:dyDescent="0.2">
      <c r="J106" s="88"/>
      <c r="W106" s="80"/>
      <c r="X106" s="80"/>
      <c r="Y106" s="81"/>
      <c r="Z106" s="81"/>
      <c r="AA106" s="81"/>
      <c r="AB106" s="81"/>
      <c r="AC106" s="81"/>
      <c r="AD106" s="81"/>
      <c r="AE106" s="81"/>
      <c r="AF106" s="81"/>
      <c r="AG106" s="81"/>
      <c r="AH106" s="81"/>
      <c r="AI106" s="81"/>
      <c r="AJ106" s="81"/>
      <c r="AK106" s="81"/>
      <c r="AL106" s="81"/>
      <c r="AM106" s="81"/>
      <c r="AN106" s="81"/>
      <c r="AO106" s="81"/>
      <c r="AP106" s="184"/>
      <c r="AQ106" s="184"/>
      <c r="AR106" s="184"/>
      <c r="AS106" s="184"/>
      <c r="AT106" s="184"/>
      <c r="AU106" s="184"/>
      <c r="AV106" s="184"/>
      <c r="AW106" s="184"/>
    </row>
    <row r="107" spans="10:49" ht="11.25" customHeight="1" x14ac:dyDescent="0.2">
      <c r="J107" s="88"/>
      <c r="W107" s="80"/>
      <c r="X107" s="80"/>
      <c r="Y107" s="81"/>
      <c r="Z107" s="81"/>
      <c r="AA107" s="81"/>
      <c r="AB107" s="81"/>
      <c r="AC107" s="81"/>
      <c r="AD107" s="81"/>
      <c r="AE107" s="81"/>
      <c r="AF107" s="81"/>
      <c r="AG107" s="81"/>
      <c r="AH107" s="81"/>
      <c r="AI107" s="81"/>
      <c r="AJ107" s="81"/>
      <c r="AK107" s="81"/>
      <c r="AL107" s="81"/>
      <c r="AM107" s="81"/>
      <c r="AN107" s="81"/>
      <c r="AO107" s="81"/>
      <c r="AP107" s="184"/>
      <c r="AQ107" s="184"/>
      <c r="AR107" s="184"/>
      <c r="AS107" s="184"/>
      <c r="AT107" s="184"/>
      <c r="AU107" s="184"/>
      <c r="AV107" s="184"/>
      <c r="AW107" s="184"/>
    </row>
    <row r="108" spans="10:49" ht="11.25" customHeight="1" x14ac:dyDescent="0.2">
      <c r="J108" s="88"/>
      <c r="W108" s="80"/>
      <c r="X108" s="80"/>
      <c r="Y108" s="81"/>
      <c r="Z108" s="81"/>
      <c r="AA108" s="81"/>
      <c r="AB108" s="81"/>
      <c r="AC108" s="81"/>
      <c r="AD108" s="81"/>
      <c r="AE108" s="81"/>
      <c r="AF108" s="81"/>
      <c r="AG108" s="81"/>
      <c r="AH108" s="81"/>
      <c r="AI108" s="81"/>
      <c r="AJ108" s="81"/>
      <c r="AK108" s="81"/>
      <c r="AL108" s="81"/>
      <c r="AM108" s="81"/>
      <c r="AN108" s="81"/>
      <c r="AO108" s="81"/>
      <c r="AP108" s="184"/>
      <c r="AQ108" s="184"/>
      <c r="AR108" s="184"/>
      <c r="AS108" s="184"/>
      <c r="AT108" s="184"/>
      <c r="AU108" s="184"/>
      <c r="AV108" s="184"/>
      <c r="AW108" s="184"/>
    </row>
    <row r="109" spans="10:49" ht="11.25" customHeight="1" x14ac:dyDescent="0.2">
      <c r="J109" s="88"/>
      <c r="W109" s="80"/>
      <c r="X109" s="80"/>
      <c r="Y109" s="81"/>
      <c r="Z109" s="81"/>
      <c r="AA109" s="81"/>
      <c r="AB109" s="81"/>
      <c r="AC109" s="81"/>
      <c r="AD109" s="81"/>
      <c r="AE109" s="81"/>
      <c r="AF109" s="81"/>
      <c r="AG109" s="81"/>
      <c r="AH109" s="81"/>
      <c r="AI109" s="81"/>
      <c r="AJ109" s="81"/>
      <c r="AK109" s="81"/>
      <c r="AL109" s="81"/>
      <c r="AM109" s="81"/>
      <c r="AN109" s="81"/>
      <c r="AO109" s="81"/>
      <c r="AP109" s="184"/>
      <c r="AQ109" s="184"/>
      <c r="AR109" s="184"/>
      <c r="AS109" s="184"/>
      <c r="AT109" s="184"/>
      <c r="AU109" s="184"/>
      <c r="AV109" s="184"/>
      <c r="AW109" s="184"/>
    </row>
    <row r="110" spans="10:49" ht="11.25" customHeight="1" x14ac:dyDescent="0.2">
      <c r="J110" s="88"/>
      <c r="W110" s="80"/>
      <c r="X110" s="80"/>
      <c r="Y110" s="81"/>
      <c r="Z110" s="81"/>
      <c r="AA110" s="81"/>
      <c r="AB110" s="81"/>
      <c r="AC110" s="81"/>
      <c r="AD110" s="81"/>
      <c r="AE110" s="81"/>
      <c r="AF110" s="81"/>
      <c r="AG110" s="81"/>
      <c r="AH110" s="81"/>
      <c r="AI110" s="81"/>
      <c r="AJ110" s="81"/>
      <c r="AK110" s="81"/>
      <c r="AL110" s="81"/>
      <c r="AM110" s="81"/>
      <c r="AN110" s="81"/>
      <c r="AO110" s="81"/>
      <c r="AP110" s="184"/>
      <c r="AQ110" s="184"/>
      <c r="AR110" s="184"/>
      <c r="AS110" s="184"/>
      <c r="AT110" s="184"/>
      <c r="AU110" s="184"/>
      <c r="AV110" s="184"/>
      <c r="AW110" s="184"/>
    </row>
    <row r="111" spans="10:49" ht="11.25" customHeight="1" x14ac:dyDescent="0.2">
      <c r="X111" s="184"/>
      <c r="Y111" s="184"/>
      <c r="Z111" s="247"/>
      <c r="AA111" s="247"/>
      <c r="AB111" s="247"/>
      <c r="AC111" s="184"/>
      <c r="AD111" s="184"/>
      <c r="AE111" s="184"/>
      <c r="AF111" s="184"/>
      <c r="AG111" s="184"/>
      <c r="AH111" s="184"/>
      <c r="AL111" s="184"/>
      <c r="AM111" s="184"/>
      <c r="AN111" s="184"/>
      <c r="AO111" s="184"/>
      <c r="AP111" s="184"/>
      <c r="AQ111" s="184"/>
      <c r="AR111" s="184"/>
      <c r="AS111" s="184"/>
      <c r="AT111" s="184"/>
      <c r="AU111" s="184"/>
      <c r="AV111" s="184"/>
      <c r="AW111" s="184"/>
    </row>
    <row r="112" spans="10:49" ht="11.25" customHeight="1" x14ac:dyDescent="0.2">
      <c r="X112" s="184"/>
      <c r="Y112" s="184"/>
      <c r="Z112" s="247"/>
      <c r="AA112" s="247"/>
      <c r="AB112" s="247"/>
      <c r="AC112" s="184"/>
      <c r="AD112" s="184"/>
      <c r="AE112" s="184"/>
      <c r="AF112" s="184"/>
      <c r="AG112" s="184"/>
      <c r="AH112" s="184"/>
      <c r="AL112" s="184"/>
      <c r="AM112" s="184"/>
      <c r="AN112" s="184"/>
      <c r="AO112" s="184"/>
      <c r="AP112" s="184"/>
      <c r="AQ112" s="184"/>
      <c r="AR112" s="184"/>
      <c r="AS112" s="184"/>
      <c r="AT112" s="184"/>
      <c r="AU112" s="184"/>
      <c r="AV112" s="184"/>
      <c r="AW112" s="184"/>
    </row>
    <row r="113" spans="24:49" ht="11.25" customHeight="1" x14ac:dyDescent="0.2">
      <c r="X113" s="184"/>
      <c r="Y113" s="184"/>
      <c r="Z113" s="247"/>
      <c r="AA113" s="247"/>
      <c r="AB113" s="247"/>
      <c r="AC113" s="184"/>
      <c r="AD113" s="184"/>
      <c r="AE113" s="184"/>
      <c r="AF113" s="184"/>
      <c r="AG113" s="184"/>
      <c r="AH113" s="184"/>
      <c r="AL113" s="184"/>
      <c r="AM113" s="184"/>
      <c r="AN113" s="184"/>
      <c r="AO113" s="184"/>
      <c r="AP113" s="184"/>
      <c r="AQ113" s="184"/>
      <c r="AR113" s="184"/>
      <c r="AS113" s="184"/>
      <c r="AT113" s="184"/>
      <c r="AU113" s="184"/>
      <c r="AV113" s="184"/>
      <c r="AW113" s="184"/>
    </row>
    <row r="114" spans="24:49" ht="11.25" customHeight="1" x14ac:dyDescent="0.2">
      <c r="X114" s="184"/>
      <c r="Y114" s="184"/>
      <c r="Z114" s="247"/>
      <c r="AA114" s="247"/>
      <c r="AB114" s="247"/>
      <c r="AC114" s="184"/>
      <c r="AD114" s="184"/>
      <c r="AE114" s="184"/>
      <c r="AF114" s="184"/>
      <c r="AG114" s="184"/>
      <c r="AH114" s="184"/>
      <c r="AL114" s="184"/>
      <c r="AM114" s="184"/>
      <c r="AN114" s="184"/>
      <c r="AO114" s="184"/>
      <c r="AP114" s="184"/>
      <c r="AQ114" s="184"/>
      <c r="AR114" s="184"/>
      <c r="AS114" s="184"/>
      <c r="AT114" s="184"/>
      <c r="AU114" s="184"/>
      <c r="AV114" s="184"/>
      <c r="AW114" s="184"/>
    </row>
    <row r="115" spans="24:49" ht="11.25" customHeight="1" x14ac:dyDescent="0.2">
      <c r="X115" s="184"/>
      <c r="Y115" s="184"/>
      <c r="Z115" s="247"/>
      <c r="AA115" s="247"/>
      <c r="AB115" s="247"/>
      <c r="AC115" s="184"/>
      <c r="AD115" s="184"/>
      <c r="AE115" s="184"/>
      <c r="AF115" s="184"/>
      <c r="AG115" s="184"/>
      <c r="AH115" s="184"/>
      <c r="AL115" s="184"/>
      <c r="AM115" s="184"/>
      <c r="AN115" s="184"/>
      <c r="AO115" s="184"/>
      <c r="AP115" s="184"/>
      <c r="AQ115" s="184"/>
      <c r="AR115" s="184"/>
      <c r="AS115" s="184"/>
      <c r="AT115" s="184"/>
      <c r="AU115" s="184"/>
      <c r="AV115" s="184"/>
      <c r="AW115" s="184"/>
    </row>
    <row r="116" spans="24:49" ht="11.25" customHeight="1" x14ac:dyDescent="0.2">
      <c r="X116" s="184"/>
      <c r="Y116" s="184"/>
      <c r="Z116" s="247"/>
      <c r="AA116" s="247"/>
      <c r="AB116" s="247"/>
      <c r="AC116" s="184"/>
      <c r="AD116" s="184"/>
      <c r="AE116" s="184"/>
      <c r="AF116" s="184"/>
      <c r="AG116" s="184"/>
      <c r="AH116" s="184"/>
      <c r="AL116" s="184"/>
      <c r="AM116" s="184"/>
      <c r="AN116" s="184"/>
      <c r="AO116" s="184"/>
      <c r="AP116" s="184"/>
      <c r="AQ116" s="184"/>
      <c r="AR116" s="184"/>
      <c r="AS116" s="184"/>
      <c r="AT116" s="184"/>
      <c r="AU116" s="184"/>
      <c r="AV116" s="184"/>
      <c r="AW116" s="184"/>
    </row>
    <row r="117" spans="24:49" ht="11.25" customHeight="1" x14ac:dyDescent="0.2">
      <c r="X117" s="184"/>
      <c r="Y117" s="184"/>
      <c r="Z117" s="247"/>
      <c r="AA117" s="247"/>
      <c r="AB117" s="247"/>
      <c r="AC117" s="184"/>
      <c r="AD117" s="184"/>
      <c r="AE117" s="184"/>
      <c r="AF117" s="184"/>
      <c r="AG117" s="184"/>
      <c r="AH117" s="184"/>
      <c r="AL117" s="184"/>
      <c r="AM117" s="184"/>
      <c r="AN117" s="184"/>
      <c r="AO117" s="184"/>
      <c r="AP117" s="184"/>
      <c r="AQ117" s="184"/>
      <c r="AR117" s="184"/>
      <c r="AS117" s="184"/>
      <c r="AT117" s="184"/>
      <c r="AU117" s="184"/>
      <c r="AV117" s="184"/>
      <c r="AW117" s="184"/>
    </row>
    <row r="118" spans="24:49" ht="11.25" customHeight="1" x14ac:dyDescent="0.2">
      <c r="X118" s="184"/>
      <c r="Y118" s="184"/>
      <c r="Z118" s="247"/>
      <c r="AA118" s="247"/>
      <c r="AB118" s="247"/>
      <c r="AC118" s="184"/>
      <c r="AD118" s="184"/>
      <c r="AE118" s="184"/>
      <c r="AF118" s="184"/>
      <c r="AG118" s="184"/>
      <c r="AH118" s="184"/>
      <c r="AL118" s="184"/>
      <c r="AM118" s="184"/>
      <c r="AN118" s="184"/>
      <c r="AO118" s="184"/>
      <c r="AP118" s="184"/>
      <c r="AQ118" s="184"/>
      <c r="AR118" s="184"/>
      <c r="AS118" s="184"/>
      <c r="AT118" s="184"/>
      <c r="AU118" s="184"/>
      <c r="AV118" s="184"/>
      <c r="AW118" s="184"/>
    </row>
    <row r="119" spans="24:49" ht="11.25" customHeight="1" x14ac:dyDescent="0.2">
      <c r="X119" s="184"/>
      <c r="Y119" s="184"/>
      <c r="Z119" s="247"/>
      <c r="AA119" s="247"/>
      <c r="AB119" s="247"/>
      <c r="AC119" s="184"/>
      <c r="AD119" s="184"/>
      <c r="AE119" s="184"/>
      <c r="AF119" s="184"/>
      <c r="AG119" s="184"/>
      <c r="AH119" s="184"/>
      <c r="AL119" s="184"/>
      <c r="AM119" s="184"/>
      <c r="AN119" s="184"/>
      <c r="AO119" s="184"/>
      <c r="AP119" s="184"/>
      <c r="AQ119" s="184"/>
      <c r="AR119" s="184"/>
      <c r="AS119" s="184"/>
      <c r="AT119" s="184"/>
      <c r="AU119" s="184"/>
      <c r="AV119" s="184"/>
      <c r="AW119" s="184"/>
    </row>
    <row r="120" spans="24:49" ht="11.25" customHeight="1" x14ac:dyDescent="0.2">
      <c r="X120" s="184"/>
      <c r="Y120" s="184"/>
      <c r="Z120" s="247"/>
      <c r="AA120" s="247"/>
      <c r="AB120" s="247"/>
      <c r="AC120" s="184"/>
      <c r="AD120" s="184"/>
      <c r="AE120" s="184"/>
      <c r="AF120" s="184"/>
      <c r="AG120" s="184"/>
      <c r="AH120" s="184"/>
      <c r="AL120" s="184"/>
      <c r="AM120" s="184"/>
      <c r="AN120" s="184"/>
      <c r="AO120" s="184"/>
      <c r="AP120" s="184"/>
      <c r="AQ120" s="184"/>
      <c r="AR120" s="184"/>
      <c r="AS120" s="184"/>
      <c r="AT120" s="184"/>
      <c r="AU120" s="184"/>
      <c r="AV120" s="184"/>
      <c r="AW120" s="184"/>
    </row>
    <row r="121" spans="24:49" ht="11.25" customHeight="1" x14ac:dyDescent="0.2">
      <c r="X121" s="184"/>
      <c r="Y121" s="184"/>
      <c r="Z121" s="247"/>
      <c r="AA121" s="247"/>
      <c r="AB121" s="247"/>
      <c r="AC121" s="184"/>
      <c r="AD121" s="184"/>
      <c r="AE121" s="184"/>
      <c r="AF121" s="184"/>
      <c r="AG121" s="184"/>
      <c r="AH121" s="184"/>
      <c r="AL121" s="184"/>
      <c r="AM121" s="184"/>
      <c r="AN121" s="184"/>
      <c r="AO121" s="184"/>
      <c r="AP121" s="184"/>
      <c r="AQ121" s="184"/>
      <c r="AR121" s="184"/>
      <c r="AS121" s="184"/>
      <c r="AT121" s="184"/>
      <c r="AU121" s="184"/>
      <c r="AV121" s="184"/>
      <c r="AW121" s="184"/>
    </row>
    <row r="122" spans="24:49" ht="11.25" customHeight="1" x14ac:dyDescent="0.2">
      <c r="X122" s="184"/>
      <c r="Y122" s="184"/>
      <c r="Z122" s="247"/>
      <c r="AA122" s="247"/>
      <c r="AB122" s="247"/>
      <c r="AC122" s="184"/>
      <c r="AD122" s="184"/>
      <c r="AE122" s="184"/>
      <c r="AF122" s="184"/>
      <c r="AG122" s="184"/>
      <c r="AH122" s="184"/>
      <c r="AL122" s="184"/>
      <c r="AM122" s="184"/>
      <c r="AN122" s="184"/>
      <c r="AO122" s="184"/>
      <c r="AP122" s="184"/>
      <c r="AQ122" s="184"/>
      <c r="AR122" s="184"/>
      <c r="AS122" s="184"/>
      <c r="AT122" s="184"/>
      <c r="AU122" s="184"/>
      <c r="AV122" s="184"/>
      <c r="AW122" s="184"/>
    </row>
    <row r="123" spans="24:49" ht="11.25" customHeight="1" x14ac:dyDescent="0.2">
      <c r="X123" s="184"/>
      <c r="Y123" s="184"/>
      <c r="Z123" s="247"/>
      <c r="AA123" s="247"/>
      <c r="AB123" s="247"/>
      <c r="AC123" s="184"/>
      <c r="AD123" s="184"/>
      <c r="AE123" s="184"/>
      <c r="AF123" s="184"/>
      <c r="AG123" s="184"/>
      <c r="AH123" s="184"/>
      <c r="AL123" s="184"/>
      <c r="AM123" s="184"/>
      <c r="AN123" s="184"/>
      <c r="AO123" s="184"/>
      <c r="AP123" s="184"/>
      <c r="AQ123" s="184"/>
      <c r="AR123" s="184"/>
      <c r="AS123" s="184"/>
      <c r="AT123" s="184"/>
      <c r="AU123" s="184"/>
      <c r="AV123" s="184"/>
      <c r="AW123" s="184"/>
    </row>
    <row r="124" spans="24:49" ht="11.25" customHeight="1" x14ac:dyDescent="0.2">
      <c r="X124" s="184"/>
      <c r="Y124" s="184"/>
      <c r="Z124" s="247"/>
      <c r="AA124" s="247"/>
      <c r="AB124" s="247"/>
      <c r="AC124" s="184"/>
      <c r="AD124" s="184"/>
      <c r="AE124" s="184"/>
      <c r="AF124" s="184"/>
      <c r="AG124" s="184"/>
      <c r="AH124" s="184"/>
      <c r="AL124" s="184"/>
      <c r="AM124" s="184"/>
      <c r="AN124" s="184"/>
      <c r="AO124" s="184"/>
      <c r="AP124" s="184"/>
      <c r="AQ124" s="184"/>
      <c r="AR124" s="184"/>
      <c r="AS124" s="184"/>
      <c r="AT124" s="184"/>
      <c r="AU124" s="184"/>
      <c r="AV124" s="184"/>
      <c r="AW124" s="184"/>
    </row>
    <row r="125" spans="24:49" ht="11.25" customHeight="1" x14ac:dyDescent="0.2">
      <c r="X125" s="184"/>
      <c r="Y125" s="184"/>
      <c r="Z125" s="247"/>
      <c r="AA125" s="247"/>
      <c r="AB125" s="247"/>
      <c r="AC125" s="184"/>
      <c r="AD125" s="184"/>
      <c r="AE125" s="184"/>
      <c r="AF125" s="184"/>
      <c r="AG125" s="184"/>
      <c r="AH125" s="184"/>
      <c r="AL125" s="184"/>
      <c r="AM125" s="184"/>
      <c r="AN125" s="184"/>
      <c r="AO125" s="184"/>
      <c r="AP125" s="184"/>
      <c r="AQ125" s="184"/>
      <c r="AR125" s="184"/>
      <c r="AS125" s="184"/>
      <c r="AT125" s="184"/>
      <c r="AU125" s="184"/>
      <c r="AV125" s="184"/>
      <c r="AW125" s="184"/>
    </row>
    <row r="126" spans="24:49" ht="11.25" customHeight="1" x14ac:dyDescent="0.2">
      <c r="X126" s="184"/>
      <c r="Y126" s="184"/>
      <c r="Z126" s="247"/>
      <c r="AA126" s="247"/>
      <c r="AB126" s="247"/>
      <c r="AC126" s="184"/>
      <c r="AD126" s="184"/>
      <c r="AE126" s="184"/>
      <c r="AF126" s="184"/>
      <c r="AG126" s="184"/>
      <c r="AH126" s="184"/>
      <c r="AL126" s="184"/>
      <c r="AM126" s="184"/>
      <c r="AN126" s="184"/>
      <c r="AO126" s="184"/>
      <c r="AP126" s="184"/>
      <c r="AQ126" s="184"/>
      <c r="AR126" s="184"/>
      <c r="AS126" s="184"/>
      <c r="AT126" s="184"/>
      <c r="AU126" s="184"/>
      <c r="AV126" s="184"/>
      <c r="AW126" s="184"/>
    </row>
    <row r="127" spans="24:49" ht="11.25" customHeight="1" x14ac:dyDescent="0.2">
      <c r="X127" s="184"/>
      <c r="Y127" s="184"/>
      <c r="Z127" s="247"/>
      <c r="AA127" s="247"/>
      <c r="AB127" s="247"/>
      <c r="AC127" s="184"/>
      <c r="AD127" s="184"/>
      <c r="AE127" s="184"/>
      <c r="AF127" s="184"/>
      <c r="AG127" s="184"/>
      <c r="AH127" s="184"/>
      <c r="AL127" s="184"/>
      <c r="AM127" s="184"/>
      <c r="AN127" s="184"/>
      <c r="AO127" s="184"/>
      <c r="AP127" s="184"/>
      <c r="AQ127" s="184"/>
      <c r="AR127" s="184"/>
      <c r="AS127" s="184"/>
      <c r="AT127" s="184"/>
      <c r="AU127" s="184"/>
      <c r="AV127" s="184"/>
      <c r="AW127" s="184"/>
    </row>
    <row r="128" spans="24:49" ht="11.25" customHeight="1" x14ac:dyDescent="0.2">
      <c r="X128" s="184"/>
      <c r="Y128" s="184"/>
      <c r="Z128" s="247"/>
      <c r="AA128" s="247"/>
      <c r="AB128" s="247"/>
      <c r="AC128" s="184"/>
      <c r="AD128" s="184"/>
      <c r="AE128" s="184"/>
      <c r="AF128" s="184"/>
      <c r="AG128" s="184"/>
      <c r="AH128" s="184"/>
      <c r="AL128" s="184"/>
      <c r="AM128" s="184"/>
      <c r="AN128" s="184"/>
      <c r="AO128" s="184"/>
      <c r="AP128" s="184"/>
      <c r="AQ128" s="184"/>
      <c r="AR128" s="184"/>
      <c r="AS128" s="184"/>
      <c r="AT128" s="184"/>
      <c r="AU128" s="184"/>
      <c r="AV128" s="184"/>
      <c r="AW128" s="184"/>
    </row>
    <row r="129" spans="24:49" ht="11.25" customHeight="1" x14ac:dyDescent="0.2">
      <c r="X129" s="184"/>
      <c r="Y129" s="184"/>
      <c r="Z129" s="247"/>
      <c r="AA129" s="247"/>
      <c r="AB129" s="247"/>
      <c r="AC129" s="184"/>
      <c r="AD129" s="184"/>
      <c r="AE129" s="184"/>
      <c r="AF129" s="184"/>
      <c r="AG129" s="184"/>
      <c r="AH129" s="184"/>
      <c r="AL129" s="184"/>
      <c r="AM129" s="184"/>
      <c r="AN129" s="184"/>
      <c r="AO129" s="184"/>
      <c r="AP129" s="184"/>
      <c r="AQ129" s="184"/>
      <c r="AR129" s="184"/>
      <c r="AS129" s="184"/>
      <c r="AT129" s="184"/>
      <c r="AU129" s="184"/>
      <c r="AV129" s="184"/>
      <c r="AW129" s="184"/>
    </row>
    <row r="130" spans="24:49" ht="11.25" customHeight="1" x14ac:dyDescent="0.2">
      <c r="X130" s="184"/>
      <c r="Y130" s="184"/>
      <c r="Z130" s="247"/>
      <c r="AA130" s="247"/>
      <c r="AB130" s="247"/>
      <c r="AC130" s="184"/>
      <c r="AD130" s="184"/>
      <c r="AE130" s="184"/>
      <c r="AF130" s="184"/>
      <c r="AG130" s="184"/>
      <c r="AH130" s="184"/>
      <c r="AL130" s="184"/>
      <c r="AM130" s="184"/>
      <c r="AN130" s="184"/>
      <c r="AO130" s="184"/>
      <c r="AP130" s="184"/>
      <c r="AQ130" s="184"/>
      <c r="AR130" s="184"/>
      <c r="AS130" s="184"/>
      <c r="AT130" s="184"/>
      <c r="AU130" s="184"/>
      <c r="AV130" s="184"/>
      <c r="AW130" s="184"/>
    </row>
    <row r="131" spans="24:49" ht="11.25" customHeight="1" x14ac:dyDescent="0.2">
      <c r="X131" s="184"/>
      <c r="Y131" s="184"/>
      <c r="Z131" s="184"/>
      <c r="AA131" s="184"/>
      <c r="AB131" s="247"/>
      <c r="AC131" s="184"/>
      <c r="AD131" s="184"/>
      <c r="AE131" s="184"/>
      <c r="AF131" s="184"/>
      <c r="AG131" s="184"/>
      <c r="AH131" s="184"/>
      <c r="AL131" s="184"/>
      <c r="AM131" s="184"/>
      <c r="AN131" s="184"/>
      <c r="AO131" s="184"/>
      <c r="AP131" s="184"/>
      <c r="AQ131" s="184"/>
      <c r="AR131" s="184"/>
      <c r="AS131" s="184"/>
      <c r="AT131" s="184"/>
      <c r="AU131" s="184"/>
      <c r="AV131" s="184"/>
      <c r="AW131" s="184"/>
    </row>
    <row r="132" spans="24:49" ht="11.25" customHeight="1" x14ac:dyDescent="0.2">
      <c r="X132" s="184"/>
      <c r="Y132" s="184"/>
      <c r="Z132" s="184"/>
      <c r="AA132" s="184"/>
      <c r="AB132" s="247"/>
      <c r="AC132" s="184"/>
      <c r="AD132" s="184"/>
      <c r="AE132" s="184"/>
      <c r="AF132" s="184"/>
      <c r="AG132" s="184"/>
      <c r="AH132" s="184"/>
      <c r="AL132" s="184"/>
      <c r="AM132" s="184"/>
      <c r="AN132" s="184"/>
      <c r="AO132" s="184"/>
      <c r="AP132" s="184"/>
      <c r="AQ132" s="184"/>
      <c r="AR132" s="184"/>
      <c r="AS132" s="184"/>
      <c r="AT132" s="184"/>
      <c r="AU132" s="184"/>
      <c r="AV132" s="184"/>
      <c r="AW132" s="184"/>
    </row>
    <row r="133" spans="24:49" ht="11.25" customHeight="1" x14ac:dyDescent="0.2">
      <c r="X133" s="184"/>
      <c r="Y133" s="184"/>
      <c r="Z133" s="184"/>
      <c r="AA133" s="184"/>
      <c r="AB133" s="247"/>
      <c r="AC133" s="184"/>
      <c r="AD133" s="184"/>
      <c r="AE133" s="184"/>
      <c r="AF133" s="184"/>
      <c r="AG133" s="184"/>
      <c r="AH133" s="184"/>
      <c r="AL133" s="184"/>
      <c r="AM133" s="184"/>
      <c r="AN133" s="184"/>
      <c r="AO133" s="184"/>
      <c r="AP133" s="184"/>
      <c r="AQ133" s="184"/>
      <c r="AR133" s="184"/>
      <c r="AS133" s="184"/>
      <c r="AT133" s="184"/>
      <c r="AU133" s="184"/>
      <c r="AV133" s="184"/>
      <c r="AW133" s="184"/>
    </row>
    <row r="134" spans="24:49" ht="11.25" customHeight="1" x14ac:dyDescent="0.2">
      <c r="X134" s="184"/>
      <c r="Y134" s="184"/>
      <c r="Z134" s="247"/>
      <c r="AA134" s="247"/>
      <c r="AB134" s="247"/>
      <c r="AC134" s="184"/>
      <c r="AD134" s="184"/>
      <c r="AE134" s="184"/>
      <c r="AF134" s="184"/>
      <c r="AG134" s="184"/>
      <c r="AH134" s="184"/>
      <c r="AL134" s="184"/>
      <c r="AM134" s="184"/>
      <c r="AN134" s="184"/>
      <c r="AO134" s="184"/>
      <c r="AP134" s="184"/>
      <c r="AQ134" s="184"/>
      <c r="AR134" s="184"/>
      <c r="AS134" s="184"/>
      <c r="AT134" s="184"/>
      <c r="AU134" s="184"/>
      <c r="AV134" s="184"/>
      <c r="AW134" s="184"/>
    </row>
    <row r="135" spans="24:49" ht="11.25" customHeight="1" x14ac:dyDescent="0.2">
      <c r="X135" s="184"/>
      <c r="Y135" s="184"/>
      <c r="Z135" s="247"/>
      <c r="AA135" s="247"/>
      <c r="AB135" s="247"/>
      <c r="AC135" s="184"/>
      <c r="AD135" s="184"/>
      <c r="AE135" s="184"/>
      <c r="AF135" s="184"/>
      <c r="AG135" s="184"/>
      <c r="AH135" s="184"/>
      <c r="AL135" s="184"/>
      <c r="AM135" s="184"/>
      <c r="AN135" s="184"/>
      <c r="AO135" s="184"/>
      <c r="AP135" s="184"/>
      <c r="AQ135" s="184"/>
      <c r="AR135" s="184"/>
      <c r="AS135" s="184"/>
      <c r="AT135" s="184"/>
      <c r="AU135" s="184"/>
      <c r="AV135" s="184"/>
      <c r="AW135" s="184"/>
    </row>
    <row r="136" spans="24:49" ht="11.25" customHeight="1" x14ac:dyDescent="0.2">
      <c r="X136" s="184"/>
      <c r="Y136" s="184"/>
      <c r="Z136" s="246"/>
      <c r="AA136" s="246"/>
      <c r="AB136" s="246"/>
      <c r="AC136" s="184"/>
      <c r="AD136" s="184"/>
      <c r="AE136" s="184"/>
      <c r="AF136" s="184"/>
      <c r="AG136" s="184"/>
      <c r="AH136" s="184"/>
      <c r="AL136" s="184"/>
      <c r="AM136" s="184"/>
      <c r="AN136" s="184"/>
      <c r="AO136" s="184"/>
      <c r="AP136" s="184"/>
      <c r="AQ136" s="184"/>
      <c r="AR136" s="184"/>
      <c r="AS136" s="184"/>
      <c r="AT136" s="184"/>
      <c r="AU136" s="184"/>
      <c r="AV136" s="184"/>
      <c r="AW136" s="184"/>
    </row>
    <row r="137" spans="24:49" ht="11.25" customHeight="1" x14ac:dyDescent="0.2">
      <c r="X137" s="184"/>
      <c r="Y137" s="184"/>
      <c r="Z137" s="247"/>
      <c r="AA137" s="247"/>
      <c r="AB137" s="247"/>
      <c r="AC137" s="184"/>
      <c r="AD137" s="184"/>
      <c r="AE137" s="184"/>
      <c r="AF137" s="184"/>
      <c r="AG137" s="184"/>
      <c r="AH137" s="184"/>
      <c r="AL137" s="184"/>
      <c r="AM137" s="184"/>
      <c r="AN137" s="184"/>
      <c r="AO137" s="184"/>
      <c r="AP137" s="184"/>
      <c r="AQ137" s="184"/>
      <c r="AR137" s="184"/>
      <c r="AS137" s="184"/>
      <c r="AT137" s="184"/>
      <c r="AU137" s="184"/>
      <c r="AV137" s="184"/>
      <c r="AW137" s="184"/>
    </row>
    <row r="138" spans="24:49" ht="11.25" customHeight="1" x14ac:dyDescent="0.2">
      <c r="X138" s="184"/>
      <c r="Y138" s="184"/>
      <c r="Z138" s="247"/>
      <c r="AA138" s="247"/>
      <c r="AB138" s="247"/>
      <c r="AC138" s="184"/>
      <c r="AD138" s="184"/>
      <c r="AE138" s="184"/>
      <c r="AF138" s="184"/>
      <c r="AG138" s="184"/>
      <c r="AH138" s="184"/>
      <c r="AL138" s="184"/>
      <c r="AM138" s="184"/>
      <c r="AN138" s="184"/>
      <c r="AO138" s="184"/>
      <c r="AP138" s="184"/>
      <c r="AQ138" s="184"/>
      <c r="AR138" s="184"/>
      <c r="AS138" s="184"/>
      <c r="AT138" s="184"/>
      <c r="AU138" s="184"/>
      <c r="AV138" s="184"/>
      <c r="AW138" s="184"/>
    </row>
    <row r="139" spans="24:49" ht="11.25" customHeight="1" x14ac:dyDescent="0.2">
      <c r="X139" s="184"/>
      <c r="Y139" s="184"/>
      <c r="Z139" s="247"/>
      <c r="AA139" s="247"/>
      <c r="AB139" s="247"/>
      <c r="AC139" s="184"/>
      <c r="AD139" s="184"/>
      <c r="AE139" s="184"/>
      <c r="AF139" s="184"/>
      <c r="AG139" s="184"/>
      <c r="AH139" s="184"/>
      <c r="AL139" s="184"/>
      <c r="AM139" s="184"/>
      <c r="AN139" s="184"/>
      <c r="AO139" s="184"/>
      <c r="AP139" s="184"/>
      <c r="AQ139" s="184"/>
      <c r="AR139" s="184"/>
      <c r="AS139" s="184"/>
      <c r="AT139" s="184"/>
      <c r="AU139" s="184"/>
      <c r="AV139" s="184"/>
      <c r="AW139" s="184"/>
    </row>
    <row r="140" spans="24:49" ht="11.25" customHeight="1" x14ac:dyDescent="0.2">
      <c r="X140" s="184"/>
      <c r="Y140" s="184"/>
      <c r="Z140" s="247"/>
      <c r="AA140" s="247"/>
      <c r="AB140" s="247"/>
      <c r="AC140" s="184"/>
      <c r="AD140" s="184"/>
      <c r="AE140" s="184"/>
      <c r="AF140" s="184"/>
      <c r="AG140" s="184"/>
      <c r="AH140" s="184"/>
      <c r="AL140" s="184"/>
      <c r="AM140" s="184"/>
      <c r="AN140" s="184"/>
      <c r="AO140" s="184"/>
      <c r="AP140" s="184"/>
      <c r="AQ140" s="184"/>
      <c r="AR140" s="184"/>
      <c r="AS140" s="184"/>
      <c r="AT140" s="184"/>
      <c r="AU140" s="184"/>
      <c r="AV140" s="184"/>
      <c r="AW140" s="184"/>
    </row>
    <row r="141" spans="24:49" ht="11.25" customHeight="1" x14ac:dyDescent="0.2">
      <c r="X141" s="184"/>
      <c r="Y141" s="184"/>
      <c r="Z141" s="247"/>
      <c r="AA141" s="247"/>
      <c r="AB141" s="247"/>
      <c r="AC141" s="184"/>
      <c r="AD141" s="184"/>
      <c r="AE141" s="184"/>
      <c r="AF141" s="184"/>
      <c r="AG141" s="184"/>
      <c r="AH141" s="184"/>
      <c r="AL141" s="184"/>
      <c r="AM141" s="184"/>
      <c r="AN141" s="184"/>
      <c r="AO141" s="184"/>
      <c r="AP141" s="184"/>
      <c r="AQ141" s="184"/>
      <c r="AR141" s="184"/>
      <c r="AS141" s="184"/>
      <c r="AT141" s="184"/>
      <c r="AU141" s="184"/>
      <c r="AV141" s="184"/>
      <c r="AW141" s="184"/>
    </row>
    <row r="142" spans="24:49" ht="11.25" customHeight="1" x14ac:dyDescent="0.2">
      <c r="X142" s="184"/>
      <c r="Y142" s="184"/>
      <c r="Z142" s="247"/>
      <c r="AA142" s="247"/>
      <c r="AB142" s="247"/>
      <c r="AC142" s="184"/>
      <c r="AD142" s="184"/>
      <c r="AE142" s="184"/>
      <c r="AF142" s="184"/>
      <c r="AG142" s="184"/>
      <c r="AH142" s="184"/>
      <c r="AL142" s="184"/>
      <c r="AM142" s="184"/>
      <c r="AN142" s="184"/>
      <c r="AO142" s="184"/>
      <c r="AP142" s="184"/>
      <c r="AQ142" s="184"/>
      <c r="AR142" s="184"/>
      <c r="AS142" s="184"/>
      <c r="AT142" s="184"/>
      <c r="AU142" s="184"/>
      <c r="AV142" s="184"/>
      <c r="AW142" s="184"/>
    </row>
    <row r="143" spans="24:49" ht="11.25" customHeight="1" x14ac:dyDescent="0.2">
      <c r="X143" s="184"/>
      <c r="Y143" s="184"/>
      <c r="Z143" s="247"/>
      <c r="AA143" s="247"/>
      <c r="AB143" s="247"/>
      <c r="AC143" s="184"/>
      <c r="AD143" s="184"/>
      <c r="AE143" s="184"/>
      <c r="AF143" s="184"/>
      <c r="AG143" s="184"/>
      <c r="AH143" s="184"/>
      <c r="AL143" s="184"/>
      <c r="AM143" s="184"/>
      <c r="AN143" s="184"/>
      <c r="AO143" s="184"/>
      <c r="AP143" s="184"/>
      <c r="AQ143" s="184"/>
      <c r="AR143" s="184"/>
      <c r="AS143" s="184"/>
      <c r="AT143" s="184"/>
      <c r="AU143" s="184"/>
      <c r="AV143" s="184"/>
      <c r="AW143" s="184"/>
    </row>
    <row r="144" spans="24:49" ht="11.25" customHeight="1" x14ac:dyDescent="0.2">
      <c r="X144" s="184"/>
      <c r="Y144" s="184"/>
      <c r="Z144" s="247"/>
      <c r="AA144" s="247"/>
      <c r="AB144" s="247"/>
      <c r="AC144" s="184"/>
      <c r="AD144" s="184"/>
      <c r="AE144" s="184"/>
      <c r="AF144" s="184"/>
      <c r="AG144" s="184"/>
      <c r="AH144" s="184"/>
      <c r="AL144" s="184"/>
      <c r="AM144" s="184"/>
      <c r="AN144" s="184"/>
      <c r="AO144" s="184"/>
      <c r="AP144" s="184"/>
      <c r="AQ144" s="184"/>
      <c r="AR144" s="184"/>
      <c r="AS144" s="184"/>
      <c r="AT144" s="184"/>
      <c r="AU144" s="184"/>
      <c r="AV144" s="184"/>
      <c r="AW144" s="184"/>
    </row>
    <row r="145" spans="24:49" ht="11.25" customHeight="1" x14ac:dyDescent="0.2">
      <c r="X145" s="184"/>
      <c r="Y145" s="184"/>
      <c r="Z145" s="247"/>
      <c r="AA145" s="247"/>
      <c r="AB145" s="247"/>
      <c r="AC145" s="184"/>
      <c r="AD145" s="184"/>
      <c r="AE145" s="184"/>
      <c r="AF145" s="184"/>
      <c r="AG145" s="184"/>
      <c r="AH145" s="184"/>
      <c r="AL145" s="184"/>
      <c r="AM145" s="184"/>
      <c r="AN145" s="184"/>
      <c r="AO145" s="184"/>
      <c r="AP145" s="184"/>
      <c r="AQ145" s="184"/>
      <c r="AR145" s="184"/>
      <c r="AS145" s="184"/>
      <c r="AT145" s="184"/>
      <c r="AU145" s="184"/>
      <c r="AV145" s="184"/>
      <c r="AW145" s="184"/>
    </row>
    <row r="146" spans="24:49" ht="11.25" customHeight="1" x14ac:dyDescent="0.2">
      <c r="X146" s="184"/>
      <c r="Y146" s="184"/>
      <c r="Z146" s="247"/>
      <c r="AA146" s="247"/>
      <c r="AB146" s="247"/>
      <c r="AC146" s="184"/>
      <c r="AD146" s="184"/>
      <c r="AE146" s="184"/>
      <c r="AF146" s="184"/>
      <c r="AG146" s="184"/>
      <c r="AH146" s="184"/>
      <c r="AL146" s="184"/>
      <c r="AM146" s="184"/>
      <c r="AN146" s="184"/>
      <c r="AO146" s="184"/>
      <c r="AP146" s="184"/>
      <c r="AQ146" s="184"/>
      <c r="AR146" s="184"/>
      <c r="AS146" s="184"/>
      <c r="AT146" s="184"/>
      <c r="AU146" s="184"/>
      <c r="AV146" s="184"/>
      <c r="AW146" s="184"/>
    </row>
    <row r="147" spans="24:49" ht="11.25" customHeight="1" x14ac:dyDescent="0.2">
      <c r="X147" s="184"/>
      <c r="Y147" s="184"/>
      <c r="Z147" s="247"/>
      <c r="AA147" s="247"/>
      <c r="AB147" s="247"/>
      <c r="AC147" s="184"/>
      <c r="AD147" s="184"/>
      <c r="AE147" s="184"/>
      <c r="AF147" s="184"/>
      <c r="AG147" s="184"/>
      <c r="AH147" s="184"/>
      <c r="AL147" s="184"/>
      <c r="AM147" s="184"/>
      <c r="AN147" s="184"/>
      <c r="AO147" s="184"/>
      <c r="AP147" s="184"/>
      <c r="AQ147" s="184"/>
      <c r="AR147" s="184"/>
      <c r="AS147" s="184"/>
      <c r="AT147" s="184"/>
      <c r="AU147" s="184"/>
      <c r="AV147" s="184"/>
      <c r="AW147" s="184"/>
    </row>
    <row r="148" spans="24:49" ht="11.25" customHeight="1" x14ac:dyDescent="0.2">
      <c r="X148" s="184"/>
      <c r="Y148" s="184"/>
      <c r="Z148" s="247"/>
      <c r="AA148" s="247"/>
      <c r="AB148" s="247"/>
      <c r="AC148" s="184"/>
      <c r="AD148" s="184"/>
      <c r="AE148" s="184"/>
      <c r="AF148" s="184"/>
      <c r="AG148" s="184"/>
      <c r="AH148" s="184"/>
      <c r="AL148" s="184"/>
      <c r="AM148" s="184"/>
      <c r="AN148" s="184"/>
      <c r="AO148" s="184"/>
      <c r="AP148" s="184"/>
      <c r="AQ148" s="184"/>
      <c r="AR148" s="184"/>
      <c r="AS148" s="184"/>
      <c r="AT148" s="184"/>
      <c r="AU148" s="184"/>
      <c r="AV148" s="184"/>
      <c r="AW148" s="184"/>
    </row>
    <row r="149" spans="24:49" ht="11.25" customHeight="1" x14ac:dyDescent="0.2">
      <c r="X149" s="184"/>
      <c r="Y149" s="184"/>
      <c r="Z149" s="247"/>
      <c r="AA149" s="247"/>
      <c r="AB149" s="247"/>
      <c r="AC149" s="184"/>
      <c r="AD149" s="184"/>
      <c r="AE149" s="184"/>
      <c r="AF149" s="184"/>
      <c r="AG149" s="184"/>
      <c r="AH149" s="184"/>
      <c r="AL149" s="184"/>
      <c r="AM149" s="184"/>
      <c r="AN149" s="184"/>
      <c r="AO149" s="184"/>
      <c r="AP149" s="184"/>
      <c r="AQ149" s="184"/>
      <c r="AR149" s="184"/>
      <c r="AS149" s="184"/>
      <c r="AT149" s="184"/>
      <c r="AU149" s="184"/>
      <c r="AV149" s="184"/>
      <c r="AW149" s="184"/>
    </row>
    <row r="150" spans="24:49" ht="11.25" customHeight="1" x14ac:dyDescent="0.2">
      <c r="X150" s="184"/>
      <c r="Y150" s="184"/>
      <c r="Z150" s="247"/>
      <c r="AA150" s="247"/>
      <c r="AB150" s="247"/>
      <c r="AC150" s="184"/>
      <c r="AD150" s="184"/>
      <c r="AE150" s="184"/>
      <c r="AF150" s="184"/>
      <c r="AG150" s="184"/>
      <c r="AH150" s="184"/>
      <c r="AL150" s="184"/>
      <c r="AM150" s="184"/>
      <c r="AN150" s="184"/>
      <c r="AO150" s="184"/>
      <c r="AP150" s="184"/>
      <c r="AQ150" s="184"/>
      <c r="AR150" s="184"/>
      <c r="AS150" s="184"/>
      <c r="AT150" s="184"/>
      <c r="AU150" s="184"/>
      <c r="AV150" s="184"/>
      <c r="AW150" s="184"/>
    </row>
    <row r="151" spans="24:49" ht="11.25" customHeight="1" x14ac:dyDescent="0.2">
      <c r="X151" s="184"/>
      <c r="Y151" s="184"/>
      <c r="Z151" s="247"/>
      <c r="AA151" s="247"/>
      <c r="AB151" s="247"/>
      <c r="AC151" s="184"/>
      <c r="AD151" s="184"/>
      <c r="AE151" s="184"/>
      <c r="AF151" s="184"/>
      <c r="AG151" s="184"/>
      <c r="AH151" s="184"/>
      <c r="AL151" s="184"/>
      <c r="AM151" s="184"/>
      <c r="AN151" s="184"/>
      <c r="AO151" s="184"/>
      <c r="AP151" s="184"/>
      <c r="AQ151" s="184"/>
      <c r="AR151" s="184"/>
      <c r="AS151" s="184"/>
      <c r="AT151" s="184"/>
      <c r="AU151" s="184"/>
      <c r="AV151" s="184"/>
      <c r="AW151" s="184"/>
    </row>
    <row r="152" spans="24:49" ht="11.25" customHeight="1" x14ac:dyDescent="0.2">
      <c r="X152" s="184"/>
      <c r="Y152" s="184"/>
      <c r="Z152" s="247"/>
      <c r="AA152" s="247"/>
      <c r="AB152" s="247"/>
      <c r="AC152" s="184"/>
      <c r="AD152" s="184"/>
      <c r="AE152" s="184"/>
      <c r="AF152" s="184"/>
      <c r="AG152" s="184"/>
      <c r="AH152" s="184"/>
      <c r="AL152" s="184"/>
      <c r="AM152" s="184"/>
      <c r="AN152" s="184"/>
      <c r="AO152" s="184"/>
      <c r="AP152" s="184"/>
      <c r="AQ152" s="184"/>
      <c r="AR152" s="184"/>
      <c r="AS152" s="184"/>
      <c r="AT152" s="184"/>
      <c r="AU152" s="184"/>
      <c r="AV152" s="184"/>
      <c r="AW152" s="184"/>
    </row>
    <row r="153" spans="24:49" ht="11.25" customHeight="1" x14ac:dyDescent="0.2">
      <c r="X153" s="184"/>
      <c r="Y153" s="184"/>
      <c r="Z153" s="247"/>
      <c r="AA153" s="247"/>
      <c r="AB153" s="247"/>
      <c r="AC153" s="184"/>
      <c r="AD153" s="184"/>
      <c r="AE153" s="184"/>
      <c r="AF153" s="184"/>
      <c r="AG153" s="184"/>
      <c r="AH153" s="184"/>
      <c r="AL153" s="184"/>
      <c r="AM153" s="184"/>
      <c r="AN153" s="184"/>
      <c r="AO153" s="184"/>
      <c r="AP153" s="184"/>
      <c r="AQ153" s="184"/>
      <c r="AR153" s="184"/>
      <c r="AS153" s="184"/>
      <c r="AT153" s="184"/>
      <c r="AU153" s="184"/>
      <c r="AV153" s="184"/>
      <c r="AW153" s="184"/>
    </row>
    <row r="154" spans="24:49" ht="11.25" customHeight="1" x14ac:dyDescent="0.2">
      <c r="X154" s="184"/>
      <c r="Y154" s="184"/>
      <c r="Z154" s="247"/>
      <c r="AA154" s="247"/>
      <c r="AB154" s="247"/>
      <c r="AC154" s="184"/>
      <c r="AD154" s="184"/>
      <c r="AE154" s="184"/>
      <c r="AF154" s="184"/>
      <c r="AG154" s="184"/>
      <c r="AH154" s="184"/>
      <c r="AL154" s="184"/>
      <c r="AM154" s="184"/>
      <c r="AN154" s="184"/>
      <c r="AO154" s="184"/>
      <c r="AP154" s="184"/>
      <c r="AQ154" s="184"/>
      <c r="AR154" s="184"/>
      <c r="AS154" s="184"/>
      <c r="AT154" s="184"/>
      <c r="AU154" s="184"/>
      <c r="AV154" s="184"/>
      <c r="AW154" s="184"/>
    </row>
    <row r="155" spans="24:49" ht="11.25" customHeight="1" x14ac:dyDescent="0.2">
      <c r="X155" s="184"/>
      <c r="Y155" s="184"/>
      <c r="Z155" s="247"/>
      <c r="AA155" s="247"/>
      <c r="AB155" s="247"/>
      <c r="AC155" s="184"/>
      <c r="AD155" s="184"/>
      <c r="AE155" s="184"/>
      <c r="AF155" s="184"/>
      <c r="AG155" s="184"/>
      <c r="AH155" s="184"/>
      <c r="AL155" s="184"/>
      <c r="AM155" s="184"/>
      <c r="AN155" s="184"/>
      <c r="AO155" s="184"/>
      <c r="AP155" s="184"/>
      <c r="AQ155" s="184"/>
      <c r="AR155" s="184"/>
      <c r="AS155" s="184"/>
      <c r="AT155" s="184"/>
      <c r="AU155" s="184"/>
      <c r="AV155" s="184"/>
      <c r="AW155" s="184"/>
    </row>
    <row r="156" spans="24:49" ht="11.25" customHeight="1" x14ac:dyDescent="0.2">
      <c r="X156" s="184"/>
      <c r="Y156" s="184"/>
      <c r="Z156" s="247"/>
      <c r="AA156" s="247"/>
      <c r="AB156" s="247"/>
      <c r="AC156" s="184"/>
      <c r="AD156" s="184"/>
      <c r="AE156" s="184"/>
      <c r="AF156" s="184"/>
      <c r="AG156" s="184"/>
      <c r="AH156" s="184"/>
      <c r="AL156" s="184"/>
      <c r="AM156" s="184"/>
      <c r="AN156" s="184"/>
      <c r="AO156" s="184"/>
      <c r="AP156" s="184"/>
      <c r="AQ156" s="184"/>
      <c r="AR156" s="184"/>
      <c r="AS156" s="184"/>
      <c r="AT156" s="184"/>
      <c r="AU156" s="184"/>
      <c r="AV156" s="184"/>
      <c r="AW156" s="184"/>
    </row>
    <row r="157" spans="24:49" ht="11.25" customHeight="1" x14ac:dyDescent="0.2">
      <c r="X157" s="184"/>
      <c r="Y157" s="184"/>
      <c r="Z157" s="247"/>
      <c r="AA157" s="247"/>
      <c r="AB157" s="247"/>
      <c r="AC157" s="184"/>
      <c r="AD157" s="184"/>
      <c r="AE157" s="184"/>
      <c r="AF157" s="184"/>
      <c r="AG157" s="184"/>
      <c r="AH157" s="184"/>
      <c r="AL157" s="184"/>
      <c r="AM157" s="184"/>
      <c r="AN157" s="184"/>
      <c r="AO157" s="184"/>
      <c r="AP157" s="184"/>
      <c r="AQ157" s="184"/>
      <c r="AR157" s="184"/>
      <c r="AS157" s="184"/>
      <c r="AT157" s="184"/>
      <c r="AU157" s="184"/>
      <c r="AV157" s="184"/>
      <c r="AW157" s="184"/>
    </row>
    <row r="158" spans="24:49" ht="11.25" customHeight="1" x14ac:dyDescent="0.2">
      <c r="X158" s="184"/>
      <c r="Y158" s="184"/>
      <c r="Z158" s="247"/>
      <c r="AA158" s="247"/>
      <c r="AB158" s="247"/>
      <c r="AC158" s="184"/>
      <c r="AD158" s="184"/>
      <c r="AE158" s="184"/>
      <c r="AF158" s="184"/>
      <c r="AG158" s="184"/>
      <c r="AH158" s="184"/>
      <c r="AL158" s="184"/>
      <c r="AM158" s="184"/>
      <c r="AN158" s="184"/>
      <c r="AO158" s="184"/>
      <c r="AP158" s="184"/>
      <c r="AQ158" s="184"/>
      <c r="AR158" s="184"/>
      <c r="AS158" s="184"/>
      <c r="AT158" s="184"/>
      <c r="AU158" s="184"/>
      <c r="AV158" s="184"/>
      <c r="AW158" s="184"/>
    </row>
    <row r="159" spans="24:49" ht="11.25" customHeight="1" x14ac:dyDescent="0.2">
      <c r="X159" s="184"/>
      <c r="Y159" s="184"/>
      <c r="Z159" s="247"/>
      <c r="AA159" s="247"/>
      <c r="AB159" s="247"/>
      <c r="AC159" s="184"/>
      <c r="AD159" s="184"/>
      <c r="AE159" s="184"/>
      <c r="AF159" s="184"/>
      <c r="AG159" s="184"/>
      <c r="AH159" s="184"/>
      <c r="AL159" s="184"/>
      <c r="AM159" s="184"/>
      <c r="AN159" s="184"/>
      <c r="AO159" s="184"/>
      <c r="AP159" s="184"/>
      <c r="AQ159" s="184"/>
      <c r="AR159" s="184"/>
      <c r="AS159" s="184"/>
      <c r="AT159" s="184"/>
      <c r="AU159" s="184"/>
      <c r="AV159" s="184"/>
      <c r="AW159" s="184"/>
    </row>
    <row r="160" spans="24:49" ht="11.25" customHeight="1" x14ac:dyDescent="0.2">
      <c r="X160" s="184"/>
      <c r="Y160" s="184"/>
      <c r="Z160" s="247"/>
      <c r="AA160" s="247"/>
      <c r="AB160" s="247"/>
      <c r="AC160" s="184"/>
      <c r="AD160" s="184"/>
      <c r="AE160" s="184"/>
      <c r="AF160" s="184"/>
      <c r="AG160" s="184"/>
      <c r="AH160" s="184"/>
      <c r="AL160" s="184"/>
      <c r="AM160" s="184"/>
      <c r="AN160" s="184"/>
      <c r="AO160" s="184"/>
      <c r="AP160" s="184"/>
      <c r="AQ160" s="184"/>
      <c r="AR160" s="184"/>
      <c r="AS160" s="184"/>
      <c r="AT160" s="184"/>
      <c r="AU160" s="184"/>
      <c r="AV160" s="184"/>
      <c r="AW160" s="184"/>
    </row>
    <row r="161" spans="24:49" ht="11.25" customHeight="1" x14ac:dyDescent="0.2">
      <c r="X161" s="184"/>
      <c r="Y161" s="184"/>
      <c r="Z161" s="247"/>
      <c r="AA161" s="247"/>
      <c r="AB161" s="247"/>
      <c r="AC161" s="184"/>
      <c r="AD161" s="184"/>
      <c r="AE161" s="184"/>
      <c r="AF161" s="184"/>
      <c r="AG161" s="184"/>
      <c r="AH161" s="184"/>
      <c r="AL161" s="184"/>
      <c r="AM161" s="184"/>
      <c r="AN161" s="184"/>
      <c r="AO161" s="184"/>
      <c r="AP161" s="184"/>
      <c r="AQ161" s="184"/>
      <c r="AR161" s="184"/>
      <c r="AS161" s="184"/>
      <c r="AT161" s="184"/>
      <c r="AU161" s="184"/>
      <c r="AV161" s="184"/>
      <c r="AW161" s="184"/>
    </row>
    <row r="162" spans="24:49" ht="11.25" customHeight="1" x14ac:dyDescent="0.2">
      <c r="X162" s="184"/>
      <c r="Y162" s="184"/>
      <c r="Z162" s="247"/>
      <c r="AA162" s="247"/>
      <c r="AB162" s="247"/>
      <c r="AC162" s="184"/>
      <c r="AD162" s="184"/>
      <c r="AE162" s="184"/>
      <c r="AF162" s="184"/>
      <c r="AG162" s="184"/>
      <c r="AH162" s="184"/>
      <c r="AL162" s="184"/>
      <c r="AM162" s="184"/>
      <c r="AN162" s="184"/>
      <c r="AO162" s="184"/>
      <c r="AP162" s="184"/>
      <c r="AQ162" s="184"/>
      <c r="AR162" s="184"/>
      <c r="AS162" s="184"/>
      <c r="AT162" s="184"/>
      <c r="AU162" s="184"/>
      <c r="AV162" s="184"/>
      <c r="AW162" s="184"/>
    </row>
    <row r="163" spans="24:49" ht="11.25" customHeight="1" x14ac:dyDescent="0.2">
      <c r="X163" s="184"/>
      <c r="Y163" s="184"/>
      <c r="Z163" s="247"/>
      <c r="AA163" s="247"/>
      <c r="AB163" s="247"/>
      <c r="AC163" s="184"/>
      <c r="AD163" s="184"/>
      <c r="AE163" s="184"/>
      <c r="AF163" s="184"/>
      <c r="AG163" s="184"/>
      <c r="AH163" s="184"/>
      <c r="AL163" s="184"/>
      <c r="AM163" s="184"/>
      <c r="AN163" s="184"/>
      <c r="AO163" s="184"/>
      <c r="AP163" s="184"/>
      <c r="AQ163" s="184"/>
      <c r="AR163" s="184"/>
      <c r="AS163" s="184"/>
      <c r="AT163" s="184"/>
      <c r="AU163" s="184"/>
      <c r="AV163" s="184"/>
      <c r="AW163" s="184"/>
    </row>
    <row r="164" spans="24:49" ht="11.25" customHeight="1" x14ac:dyDescent="0.2">
      <c r="X164" s="184"/>
      <c r="Y164" s="184"/>
      <c r="Z164" s="247"/>
      <c r="AA164" s="247"/>
      <c r="AB164" s="247"/>
      <c r="AC164" s="184"/>
      <c r="AD164" s="184"/>
      <c r="AE164" s="184"/>
      <c r="AF164" s="184"/>
      <c r="AG164" s="184"/>
      <c r="AH164" s="184"/>
      <c r="AL164" s="184"/>
      <c r="AM164" s="184"/>
      <c r="AN164" s="184"/>
      <c r="AO164" s="184"/>
      <c r="AP164" s="184"/>
      <c r="AQ164" s="184"/>
      <c r="AR164" s="184"/>
      <c r="AS164" s="184"/>
      <c r="AT164" s="184"/>
      <c r="AU164" s="184"/>
      <c r="AV164" s="184"/>
      <c r="AW164" s="184"/>
    </row>
    <row r="165" spans="24:49" ht="11.25" customHeight="1" x14ac:dyDescent="0.2">
      <c r="X165" s="184"/>
      <c r="Y165" s="184"/>
      <c r="Z165" s="247"/>
      <c r="AA165" s="247"/>
      <c r="AB165" s="247"/>
      <c r="AC165" s="184"/>
      <c r="AD165" s="184"/>
      <c r="AE165" s="184"/>
      <c r="AF165" s="184"/>
      <c r="AG165" s="184"/>
      <c r="AH165" s="184"/>
      <c r="AL165" s="184"/>
      <c r="AM165" s="184"/>
      <c r="AN165" s="184"/>
      <c r="AO165" s="184"/>
      <c r="AP165" s="184"/>
      <c r="AQ165" s="184"/>
      <c r="AR165" s="184"/>
      <c r="AS165" s="184"/>
      <c r="AT165" s="184"/>
      <c r="AU165" s="184"/>
      <c r="AV165" s="184"/>
      <c r="AW165" s="184"/>
    </row>
    <row r="166" spans="24:49" ht="11.25" customHeight="1" x14ac:dyDescent="0.2">
      <c r="X166" s="184"/>
      <c r="Y166" s="184"/>
      <c r="Z166" s="247"/>
      <c r="AA166" s="247"/>
      <c r="AB166" s="247"/>
      <c r="AC166" s="184"/>
      <c r="AD166" s="184"/>
      <c r="AE166" s="184"/>
      <c r="AF166" s="184"/>
      <c r="AG166" s="184"/>
      <c r="AH166" s="184"/>
      <c r="AL166" s="184"/>
      <c r="AM166" s="184"/>
      <c r="AN166" s="184"/>
      <c r="AO166" s="184"/>
      <c r="AP166" s="184"/>
      <c r="AQ166" s="184"/>
      <c r="AR166" s="184"/>
      <c r="AS166" s="184"/>
      <c r="AT166" s="184"/>
      <c r="AU166" s="184"/>
      <c r="AV166" s="184"/>
      <c r="AW166" s="184"/>
    </row>
    <row r="167" spans="24:49" ht="11.25" customHeight="1" x14ac:dyDescent="0.2">
      <c r="X167" s="184"/>
      <c r="Y167" s="184"/>
      <c r="Z167" s="247"/>
      <c r="AA167" s="247"/>
      <c r="AB167" s="247"/>
      <c r="AC167" s="184"/>
      <c r="AD167" s="184"/>
      <c r="AE167" s="184"/>
      <c r="AF167" s="184"/>
      <c r="AG167" s="184"/>
      <c r="AH167" s="184"/>
      <c r="AL167" s="184"/>
      <c r="AM167" s="184"/>
      <c r="AN167" s="184"/>
      <c r="AO167" s="184"/>
      <c r="AP167" s="184"/>
      <c r="AQ167" s="184"/>
      <c r="AR167" s="184"/>
      <c r="AS167" s="184"/>
      <c r="AT167" s="184"/>
      <c r="AU167" s="184"/>
      <c r="AV167" s="184"/>
      <c r="AW167" s="184"/>
    </row>
    <row r="168" spans="24:49" ht="11.25" customHeight="1" x14ac:dyDescent="0.2">
      <c r="X168" s="184"/>
      <c r="Y168" s="184"/>
      <c r="Z168" s="247"/>
      <c r="AA168" s="247"/>
      <c r="AB168" s="247"/>
      <c r="AC168" s="184"/>
      <c r="AD168" s="184"/>
      <c r="AE168" s="184"/>
      <c r="AF168" s="184"/>
      <c r="AG168" s="184"/>
      <c r="AH168" s="184"/>
      <c r="AL168" s="184"/>
      <c r="AM168" s="184"/>
      <c r="AN168" s="184"/>
      <c r="AO168" s="184"/>
      <c r="AP168" s="184"/>
      <c r="AQ168" s="184"/>
      <c r="AR168" s="184"/>
      <c r="AS168" s="184"/>
      <c r="AT168" s="184"/>
      <c r="AU168" s="184"/>
      <c r="AV168" s="184"/>
      <c r="AW168" s="184"/>
    </row>
    <row r="169" spans="24:49" ht="11.25" customHeight="1" x14ac:dyDescent="0.2">
      <c r="X169" s="184"/>
      <c r="Y169" s="184"/>
      <c r="Z169" s="247"/>
      <c r="AA169" s="247"/>
      <c r="AB169" s="247"/>
      <c r="AC169" s="184"/>
      <c r="AD169" s="184"/>
      <c r="AE169" s="184"/>
      <c r="AF169" s="184"/>
      <c r="AG169" s="184"/>
      <c r="AH169" s="184"/>
      <c r="AL169" s="184"/>
      <c r="AM169" s="184"/>
      <c r="AN169" s="184"/>
      <c r="AO169" s="184"/>
      <c r="AP169" s="184"/>
      <c r="AQ169" s="184"/>
      <c r="AR169" s="184"/>
      <c r="AS169" s="184"/>
      <c r="AT169" s="184"/>
      <c r="AU169" s="184"/>
      <c r="AV169" s="184"/>
      <c r="AW169" s="184"/>
    </row>
    <row r="170" spans="24:49" ht="11.25" customHeight="1" x14ac:dyDescent="0.2">
      <c r="X170" s="184"/>
      <c r="Y170" s="184"/>
      <c r="Z170" s="247"/>
      <c r="AA170" s="247"/>
      <c r="AB170" s="247"/>
      <c r="AC170" s="184"/>
      <c r="AD170" s="184"/>
      <c r="AE170" s="184"/>
      <c r="AF170" s="184"/>
      <c r="AG170" s="184"/>
      <c r="AH170" s="184"/>
      <c r="AL170" s="184"/>
      <c r="AM170" s="184"/>
      <c r="AN170" s="184"/>
      <c r="AO170" s="184"/>
      <c r="AP170" s="184"/>
      <c r="AQ170" s="184"/>
      <c r="AR170" s="184"/>
      <c r="AS170" s="184"/>
      <c r="AT170" s="184"/>
      <c r="AU170" s="184"/>
      <c r="AV170" s="184"/>
      <c r="AW170" s="184"/>
    </row>
    <row r="171" spans="24:49" ht="11.25" customHeight="1" x14ac:dyDescent="0.2">
      <c r="X171" s="184"/>
      <c r="Y171" s="184"/>
      <c r="Z171" s="247"/>
      <c r="AA171" s="247"/>
      <c r="AB171" s="247"/>
      <c r="AC171" s="184"/>
      <c r="AD171" s="184"/>
      <c r="AE171" s="184"/>
      <c r="AF171" s="184"/>
      <c r="AG171" s="184"/>
      <c r="AH171" s="184"/>
      <c r="AL171" s="184"/>
      <c r="AM171" s="184"/>
      <c r="AN171" s="184"/>
      <c r="AO171" s="184"/>
      <c r="AP171" s="184"/>
      <c r="AQ171" s="184"/>
      <c r="AR171" s="184"/>
      <c r="AS171" s="184"/>
      <c r="AT171" s="184"/>
      <c r="AU171" s="184"/>
      <c r="AV171" s="184"/>
      <c r="AW171" s="184"/>
    </row>
    <row r="172" spans="24:49" ht="11.25" customHeight="1" x14ac:dyDescent="0.2">
      <c r="X172" s="184"/>
      <c r="Y172" s="184"/>
      <c r="Z172" s="247"/>
      <c r="AA172" s="247"/>
      <c r="AB172" s="247"/>
      <c r="AC172" s="184"/>
      <c r="AD172" s="184"/>
      <c r="AE172" s="184"/>
      <c r="AF172" s="184"/>
      <c r="AG172" s="184"/>
      <c r="AH172" s="184"/>
      <c r="AL172" s="184"/>
      <c r="AM172" s="184"/>
      <c r="AN172" s="184"/>
      <c r="AO172" s="184"/>
      <c r="AP172" s="184"/>
      <c r="AQ172" s="184"/>
      <c r="AR172" s="184"/>
      <c r="AS172" s="184"/>
      <c r="AT172" s="184"/>
      <c r="AU172" s="184"/>
      <c r="AV172" s="184"/>
      <c r="AW172" s="184"/>
    </row>
    <row r="173" spans="24:49" ht="11.25" customHeight="1" x14ac:dyDescent="0.2">
      <c r="X173" s="184"/>
      <c r="Y173" s="184"/>
      <c r="Z173" s="247"/>
      <c r="AA173" s="247"/>
      <c r="AB173" s="247"/>
      <c r="AC173" s="184"/>
      <c r="AD173" s="184"/>
      <c r="AE173" s="184"/>
      <c r="AF173" s="184"/>
      <c r="AG173" s="184"/>
      <c r="AH173" s="184"/>
      <c r="AL173" s="184"/>
      <c r="AM173" s="184"/>
      <c r="AN173" s="184"/>
      <c r="AO173" s="184"/>
      <c r="AP173" s="184"/>
      <c r="AQ173" s="184"/>
      <c r="AR173" s="184"/>
      <c r="AS173" s="184"/>
      <c r="AT173" s="184"/>
      <c r="AU173" s="184"/>
      <c r="AV173" s="184"/>
      <c r="AW173" s="184"/>
    </row>
    <row r="174" spans="24:49" ht="11.25" customHeight="1" x14ac:dyDescent="0.2">
      <c r="X174" s="184"/>
      <c r="Y174" s="184"/>
      <c r="Z174" s="247"/>
      <c r="AA174" s="247"/>
      <c r="AB174" s="247"/>
      <c r="AC174" s="184"/>
      <c r="AD174" s="184"/>
      <c r="AE174" s="184"/>
      <c r="AF174" s="184"/>
      <c r="AG174" s="184"/>
      <c r="AH174" s="184"/>
      <c r="AL174" s="184"/>
      <c r="AM174" s="184"/>
      <c r="AN174" s="184"/>
      <c r="AO174" s="184"/>
      <c r="AP174" s="184"/>
      <c r="AQ174" s="184"/>
      <c r="AR174" s="184"/>
      <c r="AS174" s="184"/>
      <c r="AT174" s="184"/>
      <c r="AU174" s="184"/>
      <c r="AV174" s="184"/>
      <c r="AW174" s="184"/>
    </row>
    <row r="175" spans="24:49" ht="11.25" customHeight="1" x14ac:dyDescent="0.2">
      <c r="X175" s="184"/>
      <c r="Y175" s="184"/>
      <c r="Z175" s="184"/>
      <c r="AA175" s="184"/>
      <c r="AB175" s="247"/>
      <c r="AC175" s="184"/>
      <c r="AD175" s="184"/>
      <c r="AE175" s="184"/>
      <c r="AF175" s="184"/>
      <c r="AG175" s="184"/>
      <c r="AH175" s="184"/>
      <c r="AL175" s="184"/>
      <c r="AM175" s="184"/>
      <c r="AN175" s="184"/>
      <c r="AO175" s="184"/>
      <c r="AP175" s="184"/>
      <c r="AQ175" s="184"/>
      <c r="AR175" s="184"/>
      <c r="AS175" s="184"/>
      <c r="AT175" s="184"/>
      <c r="AU175" s="184"/>
      <c r="AV175" s="184"/>
      <c r="AW175" s="184"/>
    </row>
    <row r="176" spans="24:49" ht="11.25" customHeight="1" x14ac:dyDescent="0.2">
      <c r="X176" s="184"/>
      <c r="Y176" s="184"/>
      <c r="Z176" s="184"/>
      <c r="AA176" s="184"/>
      <c r="AB176" s="247"/>
      <c r="AC176" s="184"/>
      <c r="AD176" s="184"/>
      <c r="AE176" s="184"/>
      <c r="AF176" s="184"/>
      <c r="AG176" s="184"/>
      <c r="AH176" s="184"/>
      <c r="AL176" s="184"/>
      <c r="AM176" s="184"/>
      <c r="AN176" s="184"/>
      <c r="AO176" s="184"/>
      <c r="AP176" s="184"/>
      <c r="AQ176" s="184"/>
      <c r="AR176" s="184"/>
      <c r="AS176" s="184"/>
      <c r="AT176" s="184"/>
      <c r="AU176" s="184"/>
      <c r="AV176" s="184"/>
      <c r="AW176" s="184"/>
    </row>
    <row r="177" spans="24:49" ht="11.25" customHeight="1" x14ac:dyDescent="0.2">
      <c r="X177" s="184"/>
      <c r="Y177" s="184"/>
      <c r="Z177" s="184"/>
      <c r="AA177" s="184"/>
      <c r="AB177" s="247"/>
      <c r="AC177" s="184"/>
      <c r="AD177" s="184"/>
      <c r="AE177" s="184"/>
      <c r="AF177" s="184"/>
      <c r="AG177" s="184"/>
      <c r="AH177" s="184"/>
      <c r="AL177" s="184"/>
      <c r="AM177" s="184"/>
      <c r="AN177" s="184"/>
      <c r="AO177" s="184"/>
      <c r="AP177" s="184"/>
      <c r="AQ177" s="184"/>
      <c r="AR177" s="184"/>
      <c r="AS177" s="184"/>
      <c r="AT177" s="184"/>
      <c r="AU177" s="184"/>
      <c r="AV177" s="184"/>
      <c r="AW177" s="184"/>
    </row>
    <row r="178" spans="24:49" ht="11.25" customHeight="1" x14ac:dyDescent="0.2">
      <c r="X178" s="184"/>
      <c r="Y178" s="184"/>
      <c r="Z178" s="247"/>
      <c r="AA178" s="247"/>
      <c r="AB178" s="247"/>
      <c r="AC178" s="184"/>
      <c r="AD178" s="184"/>
      <c r="AE178" s="184"/>
      <c r="AF178" s="184"/>
      <c r="AG178" s="184"/>
      <c r="AH178" s="184"/>
      <c r="AL178" s="184"/>
      <c r="AM178" s="184"/>
      <c r="AN178" s="184"/>
      <c r="AO178" s="184"/>
      <c r="AP178" s="184"/>
      <c r="AQ178" s="184"/>
      <c r="AR178" s="184"/>
      <c r="AS178" s="184"/>
      <c r="AT178" s="184"/>
      <c r="AU178" s="184"/>
      <c r="AV178" s="184"/>
      <c r="AW178" s="184"/>
    </row>
    <row r="179" spans="24:49" ht="11.25" customHeight="1" x14ac:dyDescent="0.2">
      <c r="X179" s="184"/>
      <c r="Y179" s="184"/>
      <c r="Z179" s="247"/>
      <c r="AA179" s="247"/>
      <c r="AB179" s="247"/>
      <c r="AC179" s="184"/>
      <c r="AD179" s="184"/>
      <c r="AE179" s="184"/>
      <c r="AF179" s="184"/>
      <c r="AG179" s="184"/>
      <c r="AH179" s="184"/>
      <c r="AL179" s="184"/>
      <c r="AM179" s="184"/>
      <c r="AN179" s="184"/>
      <c r="AO179" s="184"/>
      <c r="AP179" s="184"/>
      <c r="AQ179" s="184"/>
      <c r="AR179" s="184"/>
      <c r="AS179" s="184"/>
      <c r="AT179" s="184"/>
      <c r="AU179" s="184"/>
      <c r="AV179" s="184"/>
      <c r="AW179" s="184"/>
    </row>
    <row r="180" spans="24:49" ht="11.25" customHeight="1" x14ac:dyDescent="0.2">
      <c r="X180" s="184"/>
      <c r="Y180" s="184"/>
      <c r="Z180" s="246"/>
      <c r="AA180" s="246"/>
      <c r="AB180" s="246"/>
      <c r="AC180" s="184"/>
      <c r="AD180" s="184"/>
      <c r="AE180" s="184"/>
      <c r="AF180" s="184"/>
      <c r="AG180" s="184"/>
      <c r="AH180" s="184"/>
      <c r="AL180" s="184"/>
      <c r="AM180" s="184"/>
      <c r="AN180" s="184"/>
      <c r="AO180" s="184"/>
      <c r="AP180" s="184"/>
      <c r="AQ180" s="184"/>
      <c r="AR180" s="184"/>
      <c r="AS180" s="184"/>
      <c r="AT180" s="184"/>
      <c r="AU180" s="184"/>
      <c r="AV180" s="184"/>
      <c r="AW180" s="184"/>
    </row>
    <row r="181" spans="24:49" ht="11.25" customHeight="1" x14ac:dyDescent="0.2">
      <c r="X181" s="184"/>
      <c r="Y181" s="184"/>
      <c r="Z181" s="247"/>
      <c r="AA181" s="247"/>
      <c r="AB181" s="247"/>
      <c r="AC181" s="184"/>
      <c r="AD181" s="184"/>
      <c r="AE181" s="184"/>
      <c r="AF181" s="184"/>
      <c r="AG181" s="184"/>
      <c r="AH181" s="184"/>
      <c r="AL181" s="184"/>
      <c r="AM181" s="184"/>
      <c r="AN181" s="184"/>
      <c r="AO181" s="184"/>
      <c r="AP181" s="184"/>
      <c r="AQ181" s="184"/>
      <c r="AR181" s="184"/>
      <c r="AS181" s="184"/>
      <c r="AT181" s="184"/>
      <c r="AU181" s="184"/>
      <c r="AV181" s="184"/>
      <c r="AW181" s="184"/>
    </row>
    <row r="219" spans="26:28" ht="11.25" customHeight="1" x14ac:dyDescent="0.2">
      <c r="Z219" s="74"/>
      <c r="AA219" s="74"/>
    </row>
    <row r="220" spans="26:28" ht="11.25" customHeight="1" x14ac:dyDescent="0.2">
      <c r="Z220" s="74"/>
      <c r="AA220" s="74"/>
    </row>
    <row r="221" spans="26:28" ht="11.25" customHeight="1" x14ac:dyDescent="0.2">
      <c r="Z221" s="74"/>
      <c r="AA221" s="74"/>
    </row>
    <row r="224" spans="26:28" ht="11.25" customHeight="1" x14ac:dyDescent="0.2">
      <c r="Z224" s="78"/>
      <c r="AA224" s="78"/>
      <c r="AB224" s="78"/>
    </row>
    <row r="263" spans="26:28" ht="11.25" customHeight="1" x14ac:dyDescent="0.2">
      <c r="Z263" s="74"/>
      <c r="AA263" s="74"/>
    </row>
    <row r="264" spans="26:28" ht="11.25" customHeight="1" x14ac:dyDescent="0.2">
      <c r="Z264" s="74"/>
      <c r="AA264" s="74"/>
    </row>
    <row r="265" spans="26:28" ht="11.25" customHeight="1" x14ac:dyDescent="0.2">
      <c r="Z265" s="74"/>
      <c r="AA265" s="74"/>
    </row>
    <row r="268" spans="26:28" ht="11.25" customHeight="1" x14ac:dyDescent="0.2">
      <c r="Z268" s="78"/>
      <c r="AA268" s="78"/>
      <c r="AB268" s="78"/>
    </row>
    <row r="307" spans="26:28" ht="11.25" customHeight="1" x14ac:dyDescent="0.2">
      <c r="Z307" s="74"/>
      <c r="AA307" s="74"/>
    </row>
    <row r="308" spans="26:28" ht="11.25" customHeight="1" x14ac:dyDescent="0.2">
      <c r="Z308" s="74"/>
      <c r="AA308" s="74"/>
    </row>
    <row r="309" spans="26:28" ht="11.25" customHeight="1" x14ac:dyDescent="0.2">
      <c r="Z309" s="74"/>
      <c r="AA309" s="74"/>
    </row>
    <row r="312" spans="26:28" ht="11.25" customHeight="1" x14ac:dyDescent="0.2">
      <c r="Z312" s="78"/>
      <c r="AA312" s="78"/>
      <c r="AB312" s="78"/>
    </row>
    <row r="351" spans="26:27" ht="11.25" customHeight="1" x14ac:dyDescent="0.2">
      <c r="Z351" s="74"/>
      <c r="AA351" s="74"/>
    </row>
    <row r="352" spans="26:27" ht="11.25" customHeight="1" x14ac:dyDescent="0.2">
      <c r="Z352" s="74"/>
      <c r="AA352" s="74"/>
    </row>
    <row r="353" spans="26:28" ht="11.25" customHeight="1" x14ac:dyDescent="0.2">
      <c r="Z353" s="74"/>
      <c r="AA353" s="74"/>
    </row>
    <row r="356" spans="26:28" ht="11.25" customHeight="1" x14ac:dyDescent="0.2">
      <c r="Z356" s="78"/>
      <c r="AA356" s="78"/>
      <c r="AB356" s="78"/>
    </row>
    <row r="395" spans="26:28" ht="11.25" customHeight="1" x14ac:dyDescent="0.2">
      <c r="Z395" s="74"/>
      <c r="AA395" s="74"/>
    </row>
    <row r="396" spans="26:28" ht="11.25" customHeight="1" x14ac:dyDescent="0.2">
      <c r="Z396" s="74"/>
      <c r="AA396" s="74"/>
    </row>
    <row r="397" spans="26:28" ht="11.25" customHeight="1" x14ac:dyDescent="0.2">
      <c r="Z397" s="74"/>
      <c r="AA397" s="74"/>
    </row>
    <row r="400" spans="26:28" ht="11.25" customHeight="1" x14ac:dyDescent="0.2">
      <c r="Z400" s="78"/>
      <c r="AA400" s="78"/>
      <c r="AB400" s="78"/>
    </row>
  </sheetData>
  <sheetProtection sheet="1" objects="1" scenarios="1"/>
  <mergeCells count="24">
    <mergeCell ref="B69:I70"/>
    <mergeCell ref="B71:I72"/>
    <mergeCell ref="B73:I74"/>
    <mergeCell ref="B75:I76"/>
    <mergeCell ref="B59:I60"/>
    <mergeCell ref="B61:I62"/>
    <mergeCell ref="B63:I64"/>
    <mergeCell ref="B65:I66"/>
    <mergeCell ref="B67:I68"/>
    <mergeCell ref="B6:O6"/>
    <mergeCell ref="A35:P35"/>
    <mergeCell ref="A34:P34"/>
    <mergeCell ref="B7:P7"/>
    <mergeCell ref="B37:I38"/>
    <mergeCell ref="B39:I40"/>
    <mergeCell ref="B41:I42"/>
    <mergeCell ref="B43:I44"/>
    <mergeCell ref="B45:I46"/>
    <mergeCell ref="B47:I48"/>
    <mergeCell ref="B49:I50"/>
    <mergeCell ref="B51:I52"/>
    <mergeCell ref="B53:I54"/>
    <mergeCell ref="B55:I56"/>
    <mergeCell ref="B57:I58"/>
  </mergeCells>
  <phoneticPr fontId="4" type="noConversion"/>
  <conditionalFormatting sqref="B9:B30">
    <cfRule type="expression" dxfId="1065" priority="22" stopIfTrue="1">
      <formula>$B9=$T$5</formula>
    </cfRule>
  </conditionalFormatting>
  <conditionalFormatting sqref="A9:A30">
    <cfRule type="containsErrors" dxfId="1064" priority="3">
      <formula>ISERROR(A9)</formula>
    </cfRule>
    <cfRule type="cellIs" dxfId="1063" priority="4" operator="equal">
      <formula>0</formula>
    </cfRule>
  </conditionalFormatting>
  <conditionalFormatting sqref="C9:E30">
    <cfRule type="expression" dxfId="1062" priority="2" stopIfTrue="1">
      <formula>$B9=$T$5</formula>
    </cfRule>
  </conditionalFormatting>
  <conditionalFormatting sqref="A78:A110">
    <cfRule type="containsErrors" dxfId="1061" priority="1">
      <formula>ISERROR(A78)</formula>
    </cfRule>
  </conditionalFormatting>
  <hyperlinks>
    <hyperlink ref="B41:H42" location="IDACI!A1" display="IDACI" xr:uid="{1B1F5B2B-7BB5-4114-A131-41BBB5BE1D49}"/>
    <hyperlink ref="B65:I66" location="ROSGO!A1" display="Child Arrangement &amp; Special Guardianship Orders" xr:uid="{7822DE90-C6D2-47DE-B706-972F58B7013A}"/>
    <hyperlink ref="B45:G46" location="EH_Referrals!A1" display="Early Help Referrals" xr:uid="{A6A2BA34-9D26-4D52-BFDD-A76D29B98D91}"/>
    <hyperlink ref="B65:E66" location="ROSGO!A1" display="Child Arrangement &amp; Special Guardianship Orders" xr:uid="{96B4A41D-CB4C-4D8B-AA18-7FD620478874}"/>
    <hyperlink ref="B45:E46" location="EH_Referrals!A1" display="Early Help Referrals" xr:uid="{A8C82F31-5AC2-4E56-B4B8-632DAE49F137}"/>
    <hyperlink ref="B43:D44" location="IDACI!A1" display="IDACI" xr:uid="{19BF2B4E-3112-40D4-AC81-787B7FAC249F}"/>
    <hyperlink ref="B39:D40" location="Indicators!A1" display="Indicators" xr:uid="{9AFBA898-69DE-4FF2-8D09-8B7843574B33}"/>
    <hyperlink ref="B67:D68" location="New_Ceased_LAC!A1" display="New/ Ceased Looked After Children" xr:uid="{7845E513-6F43-4E10-83A6-BA728E635B45}"/>
    <hyperlink ref="B71:D72" location="Care_Leavers!A1" display="Care Leavers" xr:uid="{68C6E218-FE7E-49D4-95A6-ABD12F2EB76B}"/>
    <hyperlink ref="B75:D76" location="Offending!A1" display="Offending" xr:uid="{83449093-56AF-48BB-ACD1-439E7A1FC733}"/>
    <hyperlink ref="B73:D74" location="EHCP!A1" display="Education Health and Care Plans (EHCP)" xr:uid="{D35F0E79-E607-4038-AAEE-6B0DF82427D4}"/>
    <hyperlink ref="B41:B42" location="Coverage!A1" display="Participating LA's" xr:uid="{C11357F8-F90F-4D6A-BEEA-66354C4D7D85}"/>
    <hyperlink ref="B43:B44" location="IDACI!A1" display="IDACI" xr:uid="{6090A346-912B-4224-A8CE-580BA573D0B0}"/>
    <hyperlink ref="B69:B70" location="Adoption!A1" display="Adoption" xr:uid="{2E056028-7A6A-4110-9EEB-3EECD26F3530}"/>
    <hyperlink ref="B65:B66" location="'Looked After Children'!A1" display="Looked After Children" xr:uid="{9CABD16A-C52F-4268-85DE-126B6344EDEB}"/>
    <hyperlink ref="B63:B64" location="'Court Applications'!A1" display="Court Applications" xr:uid="{35DC18C1-7586-4976-8F0D-3D04E54FCCB9}"/>
    <hyperlink ref="B61:B62" location="'Child Protection Plans'!A1" display="Child Protection Plans" xr:uid="{A19B2932-C8DF-4169-BA1C-F6AB4B8DE0B1}"/>
    <hyperlink ref="B59:B60" location="'Initial CP Conferences'!A1" display="Initial Child Protection Conferences" xr:uid="{6B178683-EB55-4AC3-BB0A-6BF8458B6B7A}"/>
    <hyperlink ref="B57:B58" location="'Section 47 Enquiries'!A1" display="Section 47 Enquiries" xr:uid="{5C8714DD-8C87-4E5E-8C03-4DB9760565AA}"/>
    <hyperlink ref="B55:B56" location="'Children in Need'!A1" display="Children in Need" xr:uid="{9C21725E-0014-49AF-8C36-A6956ACB3F19}"/>
    <hyperlink ref="B53:B54" location="Assessments!A1" display="Assessments" xr:uid="{2205021A-2823-428E-A50A-AB752B1EBF88}"/>
    <hyperlink ref="B51:B52" location="'Re-referrals'!A1" display="Re-referrals" xr:uid="{8727E447-024A-42E3-A0D9-FC7052BC000E}"/>
    <hyperlink ref="B49:B50" location="Referral_Source!A1" display="Referral Source" xr:uid="{E8915191-189A-439E-80A0-EE3CC7E05146}"/>
    <hyperlink ref="B47:B48" location="Referrals!A1" display="Referrals" xr:uid="{CA90D2BE-B051-4C04-A65E-105CF5D70BCD}"/>
    <hyperlink ref="B45:B46" location="Population!A1" display="Population" xr:uid="{17376AE8-F4E8-49D6-ACA5-E9923186245F}"/>
    <hyperlink ref="B43:C44" location="IDACI!A1" display="IDACI" xr:uid="{34F20DB4-6195-432A-BB89-321673D9760D}"/>
    <hyperlink ref="B39:B40" location="Coverage!A1" display="Participating LA's" xr:uid="{706AAA14-8154-45E9-83BF-65682F8F35B6}"/>
    <hyperlink ref="B39:C40" location="Indicators!A1" display="Indicators" xr:uid="{090089F0-6C53-4A64-9688-ABEE842031BD}"/>
    <hyperlink ref="B71:B72" location="'Looked After Children'!A1" display="Looked After Children" xr:uid="{BFA93425-8D60-424B-912F-5BD4F4FB6D0A}"/>
    <hyperlink ref="B67:B68" location="'Court Applications'!A1" display="Court Applications" xr:uid="{140D3E75-6CED-4D0C-B893-9BDB47C61B76}"/>
    <hyperlink ref="B67:C68" location="New_Ceased_LAC!A1" display="New/ Ceased Looked After Children" xr:uid="{4E8B7E53-A4F5-4C64-85D9-A0C9944F9DCC}"/>
    <hyperlink ref="B71:C72" location="Care_Leavers!A1" display="Care Leavers" xr:uid="{B7231FFC-5EF6-4B76-BC2B-82A9BEB72352}"/>
    <hyperlink ref="B74:B76" location="Adoption!A1" display="Adoption" xr:uid="{79E4E918-D770-41A8-AD30-4E64F37C6AB9}"/>
    <hyperlink ref="B75:B76" location="'Looked After Children'!A1" display="Looked After Children" xr:uid="{0CF1DB72-C455-40FF-BFDB-84BD914D4991}"/>
    <hyperlink ref="B75:C76" location="Offending!A1" display="Offending" xr:uid="{E2D39EFC-2ED1-439B-B3F1-D511FBCE51BF}"/>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ignoredErrors>
    <ignoredError sqref="A9:A30" evalError="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rgb="FFFFC000"/>
  </sheetPr>
  <dimension ref="A1:BN434"/>
  <sheetViews>
    <sheetView showRowColHeaders="0" workbookViewId="0"/>
  </sheetViews>
  <sheetFormatPr defaultColWidth="9.140625" defaultRowHeight="11.25" customHeight="1" x14ac:dyDescent="0.2"/>
  <cols>
    <col min="1" max="1" width="2.140625" style="75" customWidth="1"/>
    <col min="2" max="2" width="17.140625" style="75" customWidth="1"/>
    <col min="3" max="3" width="1" style="75" customWidth="1"/>
    <col min="4" max="8" width="7.5703125" style="75" customWidth="1"/>
    <col min="9" max="9" width="1" style="75" customWidth="1"/>
    <col min="10" max="14" width="7.5703125" style="75" customWidth="1"/>
    <col min="15" max="15" width="1" style="75" customWidth="1"/>
    <col min="16" max="20" width="7.5703125" style="75" customWidth="1"/>
    <col min="21" max="21" width="2.140625" style="75" customWidth="1"/>
    <col min="22" max="22" width="6.42578125" style="75" customWidth="1"/>
    <col min="23" max="23" width="16.140625" style="74" customWidth="1"/>
    <col min="24" max="24" width="9.5703125" style="74" customWidth="1"/>
    <col min="25" max="25" width="20.42578125" style="74" customWidth="1"/>
    <col min="26" max="26" width="14" style="74" customWidth="1"/>
    <col min="27" max="27" width="5.42578125" style="74" customWidth="1"/>
    <col min="28" max="28" width="12.140625" style="75" customWidth="1"/>
    <col min="29" max="29" width="9.140625" style="75" customWidth="1"/>
    <col min="30" max="30" width="12.140625" style="75" customWidth="1"/>
    <col min="31" max="31" width="9.140625" style="75" customWidth="1"/>
    <col min="32" max="16384" width="9.140625" style="75"/>
  </cols>
  <sheetData>
    <row r="1" spans="1:40" s="74" customFormat="1" ht="18.600000000000001" customHeight="1" x14ac:dyDescent="0.2">
      <c r="A1" s="112"/>
      <c r="B1" s="113"/>
      <c r="C1" s="113"/>
      <c r="D1" s="113"/>
      <c r="E1" s="113"/>
      <c r="F1" s="113"/>
      <c r="G1" s="113"/>
      <c r="H1" s="113"/>
      <c r="I1" s="113"/>
      <c r="J1" s="113"/>
      <c r="K1" s="113"/>
      <c r="L1" s="113"/>
      <c r="M1" s="113"/>
      <c r="N1" s="113"/>
      <c r="O1" s="113"/>
      <c r="P1" s="113"/>
      <c r="Q1" s="113"/>
      <c r="R1" s="113"/>
      <c r="S1" s="113"/>
      <c r="T1" s="113"/>
      <c r="U1" s="115"/>
      <c r="V1" s="275"/>
      <c r="Y1" s="180"/>
      <c r="Z1" s="180"/>
      <c r="AA1" s="180"/>
      <c r="AB1" s="180"/>
      <c r="AC1" s="180"/>
      <c r="AD1" s="180"/>
      <c r="AE1" s="180"/>
      <c r="AF1" s="180"/>
      <c r="AG1" s="180"/>
      <c r="AH1" s="180"/>
      <c r="AI1" s="180"/>
      <c r="AJ1" s="180"/>
      <c r="AK1" s="180"/>
      <c r="AL1" s="181"/>
      <c r="AM1" s="181"/>
      <c r="AN1" s="181"/>
    </row>
    <row r="2" spans="1:40" s="74" customFormat="1" ht="18.600000000000001" customHeight="1" x14ac:dyDescent="0.2">
      <c r="A2" s="278"/>
      <c r="B2" s="128" t="s">
        <v>17</v>
      </c>
      <c r="C2" s="128"/>
      <c r="D2" s="9"/>
      <c r="E2" s="9"/>
      <c r="F2" s="9"/>
      <c r="G2" s="9"/>
      <c r="H2" s="9"/>
      <c r="I2" s="9"/>
      <c r="J2" s="9"/>
      <c r="K2" s="9"/>
      <c r="L2" s="9"/>
      <c r="M2" s="9"/>
      <c r="N2" s="9"/>
      <c r="O2" s="9"/>
      <c r="P2" s="9"/>
      <c r="Q2" s="9"/>
      <c r="R2" s="9"/>
      <c r="S2" s="9"/>
      <c r="T2" s="9"/>
      <c r="U2" s="117"/>
      <c r="V2" s="161"/>
      <c r="Y2" s="81"/>
      <c r="Z2" s="81"/>
      <c r="AA2" s="81"/>
      <c r="AB2" s="81"/>
      <c r="AC2" s="81"/>
      <c r="AD2" s="81"/>
      <c r="AE2" s="81"/>
      <c r="AF2" s="81"/>
      <c r="AG2" s="81"/>
      <c r="AH2" s="81"/>
      <c r="AI2" s="81"/>
      <c r="AJ2" s="81"/>
      <c r="AK2" s="81"/>
      <c r="AL2" s="184"/>
      <c r="AM2" s="184"/>
      <c r="AN2" s="184"/>
    </row>
    <row r="3" spans="1:40" s="74" customFormat="1" ht="18.600000000000001" customHeight="1" x14ac:dyDescent="0.2">
      <c r="A3" s="278"/>
      <c r="B3" s="9"/>
      <c r="C3" s="9"/>
      <c r="D3" s="9"/>
      <c r="E3" s="9"/>
      <c r="F3" s="9"/>
      <c r="G3" s="9"/>
      <c r="H3" s="9"/>
      <c r="I3" s="9"/>
      <c r="J3" s="9"/>
      <c r="K3" s="9"/>
      <c r="L3" s="9"/>
      <c r="M3" s="9"/>
      <c r="N3" s="9"/>
      <c r="O3" s="9"/>
      <c r="P3" s="9"/>
      <c r="Q3" s="9"/>
      <c r="R3" s="9"/>
      <c r="S3" s="9"/>
      <c r="T3" s="9"/>
      <c r="U3" s="268"/>
      <c r="V3" s="161"/>
      <c r="Y3" s="81"/>
      <c r="Z3" s="81"/>
      <c r="AA3" s="81"/>
      <c r="AB3" s="81"/>
      <c r="AC3" s="81"/>
      <c r="AD3" s="81"/>
      <c r="AE3" s="81"/>
      <c r="AF3" s="81"/>
      <c r="AG3" s="81"/>
      <c r="AH3" s="81"/>
      <c r="AI3" s="81"/>
      <c r="AJ3" s="81"/>
      <c r="AK3" s="81"/>
      <c r="AL3" s="184"/>
      <c r="AM3" s="184"/>
      <c r="AN3" s="184"/>
    </row>
    <row r="4" spans="1:40" ht="13.5" customHeight="1" x14ac:dyDescent="0.2">
      <c r="A4" s="237"/>
      <c r="B4" s="238"/>
      <c r="C4" s="238"/>
      <c r="D4" s="999" t="s">
        <v>714</v>
      </c>
      <c r="E4" s="999" t="s">
        <v>714</v>
      </c>
      <c r="F4" s="999" t="s">
        <v>714</v>
      </c>
      <c r="G4" s="999" t="s">
        <v>714</v>
      </c>
      <c r="H4" s="999" t="s">
        <v>714</v>
      </c>
      <c r="I4" s="999"/>
      <c r="J4" s="999" t="s">
        <v>715</v>
      </c>
      <c r="K4" s="999" t="s">
        <v>715</v>
      </c>
      <c r="L4" s="999" t="s">
        <v>715</v>
      </c>
      <c r="M4" s="999" t="s">
        <v>715</v>
      </c>
      <c r="N4" s="999" t="s">
        <v>715</v>
      </c>
      <c r="O4" s="999"/>
      <c r="P4" s="999" t="s">
        <v>716</v>
      </c>
      <c r="Q4" s="999" t="s">
        <v>716</v>
      </c>
      <c r="R4" s="999" t="s">
        <v>716</v>
      </c>
      <c r="S4" s="999" t="s">
        <v>716</v>
      </c>
      <c r="T4" s="999" t="s">
        <v>716</v>
      </c>
      <c r="U4" s="279"/>
      <c r="V4" s="89"/>
      <c r="Y4" s="81"/>
      <c r="Z4" s="81"/>
    </row>
    <row r="5" spans="1:40" s="78" customFormat="1" ht="15" customHeight="1" x14ac:dyDescent="0.2">
      <c r="A5" s="281"/>
      <c r="C5" s="975"/>
      <c r="D5" s="1718" t="s">
        <v>713</v>
      </c>
      <c r="E5" s="1719"/>
      <c r="F5" s="1719"/>
      <c r="G5" s="1719"/>
      <c r="H5" s="1720"/>
      <c r="I5" s="969"/>
      <c r="J5" s="1718" t="s">
        <v>712</v>
      </c>
      <c r="K5" s="1719"/>
      <c r="L5" s="1719"/>
      <c r="M5" s="1719"/>
      <c r="N5" s="1720"/>
      <c r="O5" s="969"/>
      <c r="P5" s="1718" t="s">
        <v>711</v>
      </c>
      <c r="Q5" s="1719"/>
      <c r="R5" s="1719"/>
      <c r="S5" s="1719"/>
      <c r="T5" s="1720"/>
      <c r="U5" s="282"/>
      <c r="V5" s="90"/>
      <c r="W5" s="74"/>
      <c r="X5" s="74"/>
      <c r="Y5" s="81"/>
      <c r="Z5" s="81"/>
      <c r="AA5" s="76"/>
      <c r="AB5" s="75"/>
      <c r="AC5" s="75"/>
      <c r="AD5" s="75"/>
    </row>
    <row r="6" spans="1:40" ht="13.5" customHeight="1" x14ac:dyDescent="0.2">
      <c r="A6" s="280"/>
      <c r="B6" s="973"/>
      <c r="C6" s="975"/>
      <c r="D6" s="1721"/>
      <c r="E6" s="1722"/>
      <c r="F6" s="1722"/>
      <c r="G6" s="1722"/>
      <c r="H6" s="1723"/>
      <c r="I6" s="969"/>
      <c r="J6" s="1721"/>
      <c r="K6" s="1722"/>
      <c r="L6" s="1722"/>
      <c r="M6" s="1722"/>
      <c r="N6" s="1723"/>
      <c r="O6" s="969"/>
      <c r="P6" s="1721"/>
      <c r="Q6" s="1722"/>
      <c r="R6" s="1722"/>
      <c r="S6" s="1722"/>
      <c r="T6" s="1723"/>
      <c r="U6" s="279"/>
      <c r="V6" s="89"/>
      <c r="Y6" s="81"/>
      <c r="Z6" s="81"/>
    </row>
    <row r="7" spans="1:40" ht="13.5" customHeight="1" x14ac:dyDescent="0.2">
      <c r="A7" s="280"/>
      <c r="B7" s="1724" t="s">
        <v>709</v>
      </c>
      <c r="C7" s="975"/>
      <c r="D7" s="786" t="str">
        <f>Sheet1!$D$27</f>
        <v>2015-16</v>
      </c>
      <c r="E7" s="787" t="str">
        <f>Sheet1!$E$27</f>
        <v>2016-17</v>
      </c>
      <c r="F7" s="787" t="str">
        <f>Sheet1!$F$27</f>
        <v>2017-18</v>
      </c>
      <c r="G7" s="787" t="str">
        <f>Sheet1!$G$27</f>
        <v>2018-19</v>
      </c>
      <c r="H7" s="788" t="str">
        <f>Sheet1!$H$27</f>
        <v>2019-20</v>
      </c>
      <c r="I7" s="969"/>
      <c r="J7" s="786" t="str">
        <f>Sheet1!$D$27</f>
        <v>2015-16</v>
      </c>
      <c r="K7" s="787" t="str">
        <f>Sheet1!$E$27</f>
        <v>2016-17</v>
      </c>
      <c r="L7" s="787" t="str">
        <f>Sheet1!$F$27</f>
        <v>2017-18</v>
      </c>
      <c r="M7" s="787" t="str">
        <f>Sheet1!$G$27</f>
        <v>2018-19</v>
      </c>
      <c r="N7" s="788" t="str">
        <f>Sheet1!$H$27</f>
        <v>2019-20</v>
      </c>
      <c r="O7" s="969"/>
      <c r="P7" s="786" t="str">
        <f>Sheet1!$D$27</f>
        <v>2015-16</v>
      </c>
      <c r="Q7" s="787" t="str">
        <f>Sheet1!$E$27</f>
        <v>2016-17</v>
      </c>
      <c r="R7" s="787" t="str">
        <f>Sheet1!$F$27</f>
        <v>2017-18</v>
      </c>
      <c r="S7" s="787" t="str">
        <f>Sheet1!$G$27</f>
        <v>2018-19</v>
      </c>
      <c r="T7" s="788" t="str">
        <f>Sheet1!$H$27</f>
        <v>2019-20</v>
      </c>
      <c r="U7" s="279"/>
      <c r="V7" s="89"/>
      <c r="Y7" s="81"/>
      <c r="Z7" s="81"/>
    </row>
    <row r="8" spans="1:40" ht="13.5" customHeight="1" x14ac:dyDescent="0.2">
      <c r="A8" s="280"/>
      <c r="B8" s="1724"/>
      <c r="C8" s="975"/>
      <c r="D8" s="782" t="str">
        <f>IF(Sheet1!$C$3="Annual","",Sheet1!$D$28)</f>
        <v/>
      </c>
      <c r="E8" s="782" t="str">
        <f>IF(Sheet1!$C$3="Annual","",Sheet1!$E$28)</f>
        <v/>
      </c>
      <c r="F8" s="782" t="str">
        <f>IF(Sheet1!$C$3="Annual","",Sheet1!$F$28)</f>
        <v/>
      </c>
      <c r="G8" s="782" t="str">
        <f>IF(Sheet1!$C$3="Annual","",Sheet1!$G$28)</f>
        <v/>
      </c>
      <c r="H8" s="783" t="str">
        <f>IF(Sheet1!$C$3="Annual","",Sheet1!$H$28)</f>
        <v/>
      </c>
      <c r="I8" s="969"/>
      <c r="J8" s="782" t="str">
        <f>IF(Sheet1!$C$3="Annual","",Sheet1!$D$28)</f>
        <v/>
      </c>
      <c r="K8" s="782" t="str">
        <f>IF(Sheet1!$C$3="Annual","",Sheet1!$E$28)</f>
        <v/>
      </c>
      <c r="L8" s="782" t="str">
        <f>IF(Sheet1!$C$3="Annual","",Sheet1!$F$28)</f>
        <v/>
      </c>
      <c r="M8" s="782" t="str">
        <f>IF(Sheet1!$C$3="Annual","",Sheet1!$G$28)</f>
        <v/>
      </c>
      <c r="N8" s="783" t="str">
        <f>IF(Sheet1!$C$3="Annual","",Sheet1!$H$28)</f>
        <v/>
      </c>
      <c r="O8" s="969"/>
      <c r="P8" s="782" t="str">
        <f>IF(Sheet1!$C$3="Annual","",Sheet1!$D$28)</f>
        <v/>
      </c>
      <c r="Q8" s="782" t="str">
        <f>IF(Sheet1!$C$3="Annual","",Sheet1!$E$28)</f>
        <v/>
      </c>
      <c r="R8" s="782" t="str">
        <f>IF(Sheet1!$C$3="Annual","",Sheet1!$F$28)</f>
        <v/>
      </c>
      <c r="S8" s="782" t="str">
        <f>IF(Sheet1!$C$3="Annual","",Sheet1!$G$28)</f>
        <v/>
      </c>
      <c r="T8" s="783" t="str">
        <f>IF(Sheet1!$C$3="Annual","",Sheet1!$H$28)</f>
        <v/>
      </c>
      <c r="U8" s="279"/>
      <c r="V8" s="89"/>
      <c r="Y8" s="81"/>
      <c r="Z8" s="81"/>
    </row>
    <row r="9" spans="1:40" ht="36.75" customHeight="1" x14ac:dyDescent="0.2">
      <c r="A9" s="966"/>
      <c r="B9" s="967" t="s">
        <v>710</v>
      </c>
      <c r="C9" s="1000"/>
      <c r="D9" s="957" t="str">
        <f>VLOOKUP(CONCATENATE(D$4,Sheet1!$C$3,Population!$A9),Sheet1!$B$33:$H$337,D$34,FALSE)</f>
        <v>mid-2015</v>
      </c>
      <c r="E9" s="177" t="str">
        <f>VLOOKUP(CONCATENATE(E$4,Sheet1!$C$3,Population!$A9),Sheet1!$B$33:$H$337,E$34,FALSE)</f>
        <v>mid-2016</v>
      </c>
      <c r="F9" s="177" t="str">
        <f>VLOOKUP(CONCATENATE(F$4,Sheet1!$C$3,Population!$A9),Sheet1!$B$33:$H$337,F$34,FALSE)</f>
        <v>mid-2017</v>
      </c>
      <c r="G9" s="177" t="str">
        <f>VLOOKUP(CONCATENATE(G$4,Sheet1!$C$3,Population!$A9),Sheet1!$B$33:$H$337,G$34,FALSE)</f>
        <v>mid-2018</v>
      </c>
      <c r="H9" s="958" t="str">
        <f>VLOOKUP(CONCATENATE(H$4,Sheet1!$C$3,Population!$A9),Sheet1!$B$33:$H$337,H$34,FALSE)</f>
        <v>mid-2019</v>
      </c>
      <c r="I9" s="969"/>
      <c r="J9" s="957" t="str">
        <f>VLOOKUP(CONCATENATE(J$4,Sheet1!$C$3,Population!$A9),Sheet1!$B$33:$H$337,J$34,FALSE)</f>
        <v>mid-2015</v>
      </c>
      <c r="K9" s="177" t="str">
        <f>VLOOKUP(CONCATENATE(K$4,Sheet1!$C$3,Population!$A9),Sheet1!$B$33:$H$337,K$34,FALSE)</f>
        <v>mid-2016</v>
      </c>
      <c r="L9" s="177" t="str">
        <f>VLOOKUP(CONCATENATE(L$4,Sheet1!$C$3,Population!$A9),Sheet1!$B$33:$H$337,L$34,FALSE)</f>
        <v>mid-2017</v>
      </c>
      <c r="M9" s="177" t="str">
        <f>VLOOKUP(CONCATENATE(M$4,Sheet1!$C$3,Population!$A9),Sheet1!$B$33:$H$337,M$34,FALSE)</f>
        <v>mid-2018</v>
      </c>
      <c r="N9" s="958" t="str">
        <f>VLOOKUP(CONCATENATE(N$4,Sheet1!$C$3,Population!$A9),Sheet1!$B$33:$H$337,N$34,FALSE)</f>
        <v>mid-2019</v>
      </c>
      <c r="O9" s="969"/>
      <c r="P9" s="957" t="str">
        <f>VLOOKUP(CONCATENATE(P$4,Sheet1!$C$3,Population!$A9),Sheet1!$B$33:$H$337,P$34,FALSE)</f>
        <v>mid-2015</v>
      </c>
      <c r="Q9" s="177" t="str">
        <f>VLOOKUP(CONCATENATE(Q$4,Sheet1!$C$3,Population!$A9),Sheet1!$B$33:$H$337,Q$34,FALSE)</f>
        <v>mid-2016</v>
      </c>
      <c r="R9" s="177" t="str">
        <f>VLOOKUP(CONCATENATE(R$4,Sheet1!$C$3,Population!$A9),Sheet1!$B$33:$H$337,R$34,FALSE)</f>
        <v>mid-2017</v>
      </c>
      <c r="S9" s="177" t="str">
        <f>VLOOKUP(CONCATENATE(S$4,Sheet1!$C$3,Population!$A9),Sheet1!$B$33:$H$337,S$34,FALSE)</f>
        <v>mid-2018</v>
      </c>
      <c r="T9" s="958" t="str">
        <f>VLOOKUP(CONCATENATE(T$4,Sheet1!$C$3,Population!$A9),Sheet1!$B$33:$H$337,T$34,FALSE)</f>
        <v>mid-2019</v>
      </c>
      <c r="U9" s="279"/>
      <c r="V9" s="89"/>
    </row>
    <row r="10" spans="1:40" s="86" customFormat="1" ht="13.5" customHeight="1" x14ac:dyDescent="0.2">
      <c r="A10" s="488">
        <f>VLOOKUP(B10,Sheet1!$AQ$4:$AR$25,2,FALSE)</f>
        <v>0</v>
      </c>
      <c r="B10" s="737" t="s">
        <v>0</v>
      </c>
      <c r="C10" s="975"/>
      <c r="D10" s="326">
        <f>VLOOKUP(CONCATENATE(D$4,Sheet1!$C$3,Population!$B10),Sheet1!$B$33:$H$337,D$34,FALSE)</f>
        <v>28200</v>
      </c>
      <c r="E10" s="326">
        <f>VLOOKUP(CONCATENATE(E$4,Sheet1!$C$3,Population!$B10),Sheet1!$B$33:$H$337,E$34,FALSE)</f>
        <v>28200</v>
      </c>
      <c r="F10" s="326">
        <f>VLOOKUP(CONCATENATE(F$4,Sheet1!$C$3,Population!$B10),Sheet1!$B$33:$H$337,F$34,FALSE)</f>
        <v>28100</v>
      </c>
      <c r="G10" s="326">
        <f>VLOOKUP(CONCATENATE(G$4,Sheet1!$C$3,Population!$B10),Sheet1!$B$33:$H$337,G$34,FALSE)</f>
        <v>28300</v>
      </c>
      <c r="H10" s="976">
        <f>VLOOKUP(CONCATENATE(H$4,Sheet1!$C$3,Population!$B10),Sheet1!$B$33:$H$337,H$34,FALSE)</f>
        <v>28400</v>
      </c>
      <c r="I10" s="969"/>
      <c r="J10" s="326">
        <f>VLOOKUP(CONCATENATE(J$4,Sheet1!$C$3,Population!$B10),Sheet1!$B$33:$H$337,J$34,FALSE)</f>
        <v>38300</v>
      </c>
      <c r="K10" s="326">
        <f>VLOOKUP(CONCATENATE(K$4,Sheet1!$C$3,Population!$B10),Sheet1!$B$33:$H$337,K$34,FALSE)</f>
        <v>38300</v>
      </c>
      <c r="L10" s="326">
        <f>VLOOKUP(CONCATENATE(L$4,Sheet1!$C$3,Population!$B10),Sheet1!$B$33:$H$337,L$34,FALSE)</f>
        <v>38200</v>
      </c>
      <c r="M10" s="326">
        <f>VLOOKUP(CONCATENATE(M$4,Sheet1!$C$3,Population!$B10),Sheet1!$B$33:$H$337,M$34,FALSE)</f>
        <v>38700</v>
      </c>
      <c r="N10" s="327">
        <f>VLOOKUP(CONCATENATE(N$4,Sheet1!$C$3,Population!$B10),Sheet1!$B$33:$H$337,N$34,FALSE)</f>
        <v>38800</v>
      </c>
      <c r="O10" s="969"/>
      <c r="P10" s="326">
        <f>VLOOKUP(CONCATENATE(P$4,Sheet1!$C$3,Population!$B10),Sheet1!$B$33:$H$337,P$34,FALSE)</f>
        <v>3300</v>
      </c>
      <c r="Q10" s="326">
        <f>VLOOKUP(CONCATENATE(Q$4,Sheet1!$C$3,Population!$B10),Sheet1!$B$33:$H$337,Q$34,FALSE)</f>
        <v>3100</v>
      </c>
      <c r="R10" s="326">
        <f>VLOOKUP(CONCATENATE(R$4,Sheet1!$C$3,Population!$B10),Sheet1!$B$33:$H$337,R$34,FALSE)</f>
        <v>3200</v>
      </c>
      <c r="S10" s="326">
        <f>VLOOKUP(CONCATENATE(S$4,Sheet1!$C$3,Population!$B10),Sheet1!$B$33:$H$337,S$34,FALSE)</f>
        <v>3300</v>
      </c>
      <c r="T10" s="327">
        <f>VLOOKUP(CONCATENATE(T$4,Sheet1!$C$3,Population!$B10),Sheet1!$B$33:$H$337,T$34,FALSE)</f>
        <v>3370</v>
      </c>
      <c r="U10" s="284"/>
      <c r="V10" s="91"/>
      <c r="W10" s="74"/>
      <c r="X10" s="74"/>
      <c r="Y10" s="74"/>
      <c r="Z10" s="74"/>
      <c r="AA10" s="74"/>
      <c r="AB10" s="75"/>
      <c r="AC10" s="75"/>
    </row>
    <row r="11" spans="1:40" s="86" customFormat="1" ht="13.5" customHeight="1" x14ac:dyDescent="0.2">
      <c r="A11" s="488">
        <f>VLOOKUP(B11,Sheet1!$AQ$4:$AR$25,2,FALSE)</f>
        <v>0</v>
      </c>
      <c r="B11" s="93" t="s">
        <v>31</v>
      </c>
      <c r="C11" s="975"/>
      <c r="D11" s="326">
        <f>VLOOKUP(CONCATENATE(D$4,Sheet1!$C$3,Population!$B11),Sheet1!$B$33:$H$337,D$34,FALSE)</f>
        <v>51200</v>
      </c>
      <c r="E11" s="326">
        <f>VLOOKUP(CONCATENATE(E$4,Sheet1!$C$3,Population!$B11),Sheet1!$B$33:$H$337,E$34,FALSE)</f>
        <v>51300</v>
      </c>
      <c r="F11" s="326">
        <f>VLOOKUP(CONCATENATE(F$4,Sheet1!$C$3,Population!$B11),Sheet1!$B$33:$H$337,F$34,FALSE)</f>
        <v>51000</v>
      </c>
      <c r="G11" s="326">
        <f>VLOOKUP(CONCATENATE(G$4,Sheet1!$C$3,Population!$B11),Sheet1!$B$33:$H$337,G$34,FALSE)</f>
        <v>51000</v>
      </c>
      <c r="H11" s="327">
        <f>VLOOKUP(CONCATENATE(H$4,Sheet1!$C$3,Population!$B11),Sheet1!$B$33:$H$337,H$34,FALSE)</f>
        <v>50300</v>
      </c>
      <c r="I11" s="969"/>
      <c r="J11" s="326">
        <f>VLOOKUP(CONCATENATE(J$4,Sheet1!$C$3,Population!$B11),Sheet1!$B$33:$H$337,J$34,FALSE)</f>
        <v>97600</v>
      </c>
      <c r="K11" s="326">
        <f>VLOOKUP(CONCATENATE(K$4,Sheet1!$C$3,Population!$B11),Sheet1!$B$33:$H$337,K$34,FALSE)</f>
        <v>98800</v>
      </c>
      <c r="L11" s="326">
        <f>VLOOKUP(CONCATENATE(L$4,Sheet1!$C$3,Population!$B11),Sheet1!$B$33:$H$337,L$34,FALSE)</f>
        <v>98800</v>
      </c>
      <c r="M11" s="326">
        <f>VLOOKUP(CONCATENATE(M$4,Sheet1!$C$3,Population!$B11),Sheet1!$B$33:$H$337,M$34,FALSE)</f>
        <v>99700</v>
      </c>
      <c r="N11" s="327">
        <f>VLOOKUP(CONCATENATE(N$4,Sheet1!$C$3,Population!$B11),Sheet1!$B$33:$H$337,N$34,FALSE)</f>
        <v>99500</v>
      </c>
      <c r="O11" s="969"/>
      <c r="P11" s="326">
        <f>VLOOKUP(CONCATENATE(P$4,Sheet1!$C$3,Population!$B11),Sheet1!$B$33:$H$337,P$34,FALSE)</f>
        <v>18200</v>
      </c>
      <c r="Q11" s="326">
        <f>VLOOKUP(CONCATENATE(Q$4,Sheet1!$C$3,Population!$B11),Sheet1!$B$33:$H$337,Q$34,FALSE)</f>
        <v>19300</v>
      </c>
      <c r="R11" s="326">
        <f>VLOOKUP(CONCATENATE(R$4,Sheet1!$C$3,Population!$B11),Sheet1!$B$33:$H$337,R$34,FALSE)</f>
        <v>20400</v>
      </c>
      <c r="S11" s="326">
        <f>VLOOKUP(CONCATENATE(S$4,Sheet1!$C$3,Population!$B11),Sheet1!$B$33:$H$337,S$34,FALSE)</f>
        <v>21100</v>
      </c>
      <c r="T11" s="327">
        <f>VLOOKUP(CONCATENATE(T$4,Sheet1!$C$3,Population!$B11),Sheet1!$B$33:$H$337,T$34,FALSE)</f>
        <v>20940</v>
      </c>
      <c r="U11" s="284"/>
      <c r="V11" s="91"/>
      <c r="W11" s="74"/>
      <c r="X11" s="74"/>
      <c r="Y11" s="74"/>
      <c r="Z11" s="74"/>
      <c r="AA11" s="74"/>
      <c r="AB11" s="75"/>
      <c r="AC11" s="75"/>
    </row>
    <row r="12" spans="1:40" s="86" customFormat="1" ht="13.5" customHeight="1" x14ac:dyDescent="0.2">
      <c r="A12" s="488">
        <f>VLOOKUP(B12,Sheet1!$AQ$4:$AR$25,2,FALSE)</f>
        <v>0</v>
      </c>
      <c r="B12" s="737" t="s">
        <v>8</v>
      </c>
      <c r="C12" s="975"/>
      <c r="D12" s="326">
        <f>VLOOKUP(CONCATENATE(D$4,Sheet1!$C$3,Population!$B12),Sheet1!$B$33:$H$337,D$34,FALSE)</f>
        <v>120600</v>
      </c>
      <c r="E12" s="326">
        <f>VLOOKUP(CONCATENATE(E$4,Sheet1!$C$3,Population!$B12),Sheet1!$B$33:$H$337,E$34,FALSE)</f>
        <v>122200</v>
      </c>
      <c r="F12" s="326">
        <f>VLOOKUP(CONCATENATE(F$4,Sheet1!$C$3,Population!$B12),Sheet1!$B$33:$H$337,F$34,FALSE)</f>
        <v>123100</v>
      </c>
      <c r="G12" s="326">
        <f>VLOOKUP(CONCATENATE(G$4,Sheet1!$C$3,Population!$B12),Sheet1!$B$33:$H$337,G$34,FALSE)</f>
        <v>124300</v>
      </c>
      <c r="H12" s="327">
        <f>VLOOKUP(CONCATENATE(H$4,Sheet1!$C$3,Population!$B12),Sheet1!$B$33:$H$337,H$34,FALSE)</f>
        <v>125700</v>
      </c>
      <c r="I12" s="969"/>
      <c r="J12" s="326">
        <f>VLOOKUP(CONCATENATE(J$4,Sheet1!$C$3,Population!$B12),Sheet1!$B$33:$H$337,J$34,FALSE)</f>
        <v>164200</v>
      </c>
      <c r="K12" s="326">
        <f>VLOOKUP(CONCATENATE(K$4,Sheet1!$C$3,Population!$B12),Sheet1!$B$33:$H$337,K$34,FALSE)</f>
        <v>165500</v>
      </c>
      <c r="L12" s="326">
        <f>VLOOKUP(CONCATENATE(L$4,Sheet1!$C$3,Population!$B12),Sheet1!$B$33:$H$337,L$34,FALSE)</f>
        <v>165300</v>
      </c>
      <c r="M12" s="326">
        <f>VLOOKUP(CONCATENATE(M$4,Sheet1!$C$3,Population!$B12),Sheet1!$B$33:$H$337,M$34,FALSE)</f>
        <v>166200</v>
      </c>
      <c r="N12" s="327">
        <f>VLOOKUP(CONCATENATE(N$4,Sheet1!$C$3,Population!$B12),Sheet1!$B$33:$H$337,N$34,FALSE)</f>
        <v>166900</v>
      </c>
      <c r="O12" s="969"/>
      <c r="P12" s="326">
        <f>VLOOKUP(CONCATENATE(P$4,Sheet1!$C$3,Population!$B12),Sheet1!$B$33:$H$337,P$34,FALSE)</f>
        <v>14700</v>
      </c>
      <c r="Q12" s="326">
        <f>VLOOKUP(CONCATENATE(Q$4,Sheet1!$C$3,Population!$B12),Sheet1!$B$33:$H$337,Q$34,FALSE)</f>
        <v>14400</v>
      </c>
      <c r="R12" s="326">
        <f>VLOOKUP(CONCATENATE(R$4,Sheet1!$C$3,Population!$B12),Sheet1!$B$33:$H$337,R$34,FALSE)</f>
        <v>13700</v>
      </c>
      <c r="S12" s="326">
        <f>VLOOKUP(CONCATENATE(S$4,Sheet1!$C$3,Population!$B12),Sheet1!$B$33:$H$337,S$34,FALSE)</f>
        <v>13300</v>
      </c>
      <c r="T12" s="327">
        <f>VLOOKUP(CONCATENATE(T$4,Sheet1!$C$3,Population!$B12),Sheet1!$B$33:$H$337,T$34,FALSE)</f>
        <v>12800</v>
      </c>
      <c r="U12" s="284"/>
      <c r="V12" s="91"/>
      <c r="W12" s="74"/>
      <c r="X12" s="74"/>
      <c r="Y12" s="74"/>
      <c r="Z12" s="74"/>
      <c r="AA12" s="74"/>
      <c r="AB12" s="75"/>
      <c r="AC12" s="75"/>
    </row>
    <row r="13" spans="1:40" s="86" customFormat="1" ht="13.5" customHeight="1" x14ac:dyDescent="0.2">
      <c r="A13" s="488">
        <f>VLOOKUP(B13,Sheet1!$AQ$4:$AR$25,2,FALSE)</f>
        <v>0</v>
      </c>
      <c r="B13" s="737" t="s">
        <v>4</v>
      </c>
      <c r="C13" s="975"/>
      <c r="D13" s="326">
        <f>VLOOKUP(CONCATENATE(D$4,Sheet1!$C$3,Population!$B13),Sheet1!$B$33:$H$337,D$34,FALSE)</f>
        <v>105900</v>
      </c>
      <c r="E13" s="326">
        <f>VLOOKUP(CONCATENATE(E$4,Sheet1!$C$3,Population!$B13),Sheet1!$B$33:$H$337,E$34,FALSE)</f>
        <v>105900</v>
      </c>
      <c r="F13" s="326">
        <f>VLOOKUP(CONCATENATE(F$4,Sheet1!$C$3,Population!$B13),Sheet1!$B$33:$H$337,F$34,FALSE)</f>
        <v>106000</v>
      </c>
      <c r="G13" s="326">
        <f>VLOOKUP(CONCATENATE(G$4,Sheet1!$C$3,Population!$B13),Sheet1!$B$33:$H$337,G$34,FALSE)</f>
        <v>106400</v>
      </c>
      <c r="H13" s="327">
        <f>VLOOKUP(CONCATENATE(H$4,Sheet1!$C$3,Population!$B13),Sheet1!$B$33:$H$337,H$34,FALSE)</f>
        <v>106300</v>
      </c>
      <c r="I13" s="969"/>
      <c r="J13" s="326">
        <f>VLOOKUP(CONCATENATE(J$4,Sheet1!$C$3,Population!$B13),Sheet1!$B$33:$H$337,J$34,FALSE)</f>
        <v>150100</v>
      </c>
      <c r="K13" s="326">
        <f>VLOOKUP(CONCATENATE(K$4,Sheet1!$C$3,Population!$B13),Sheet1!$B$33:$H$337,K$34,FALSE)</f>
        <v>150200</v>
      </c>
      <c r="L13" s="326">
        <f>VLOOKUP(CONCATENATE(L$4,Sheet1!$C$3,Population!$B13),Sheet1!$B$33:$H$337,L$34,FALSE)</f>
        <v>149300</v>
      </c>
      <c r="M13" s="326">
        <f>VLOOKUP(CONCATENATE(M$4,Sheet1!$C$3,Population!$B13),Sheet1!$B$33:$H$337,M$34,FALSE)</f>
        <v>148900</v>
      </c>
      <c r="N13" s="327">
        <f>VLOOKUP(CONCATENATE(N$4,Sheet1!$C$3,Population!$B13),Sheet1!$B$33:$H$337,N$34,FALSE)</f>
        <v>148400</v>
      </c>
      <c r="O13" s="969"/>
      <c r="P13" s="326">
        <f>VLOOKUP(CONCATENATE(P$4,Sheet1!$C$3,Population!$B13),Sheet1!$B$33:$H$337,P$34,FALSE)</f>
        <v>15900</v>
      </c>
      <c r="Q13" s="326">
        <f>VLOOKUP(CONCATENATE(Q$4,Sheet1!$C$3,Population!$B13),Sheet1!$B$33:$H$337,Q$34,FALSE)</f>
        <v>15700</v>
      </c>
      <c r="R13" s="326">
        <f>VLOOKUP(CONCATENATE(R$4,Sheet1!$C$3,Population!$B13),Sheet1!$B$33:$H$337,R$34,FALSE)</f>
        <v>15500</v>
      </c>
      <c r="S13" s="326">
        <f>VLOOKUP(CONCATENATE(S$4,Sheet1!$C$3,Population!$B13),Sheet1!$B$33:$H$337,S$34,FALSE)</f>
        <v>15200</v>
      </c>
      <c r="T13" s="327">
        <f>VLOOKUP(CONCATENATE(T$4,Sheet1!$C$3,Population!$B13),Sheet1!$B$33:$H$337,T$34,FALSE)</f>
        <v>14484</v>
      </c>
      <c r="U13" s="284"/>
      <c r="V13" s="91"/>
      <c r="W13" s="74"/>
      <c r="X13" s="74"/>
      <c r="Y13" s="74"/>
      <c r="Z13" s="74"/>
      <c r="AA13" s="74"/>
      <c r="AB13" s="75"/>
      <c r="AC13" s="75"/>
    </row>
    <row r="14" spans="1:40" s="86" customFormat="1" ht="13.5" customHeight="1" x14ac:dyDescent="0.2">
      <c r="A14" s="488">
        <f>VLOOKUP(B14,Sheet1!$AQ$4:$AR$25,2,FALSE)</f>
        <v>0</v>
      </c>
      <c r="B14" s="93" t="s">
        <v>6</v>
      </c>
      <c r="C14" s="975"/>
      <c r="D14" s="326">
        <f>VLOOKUP(CONCATENATE(D$4,Sheet1!$C$3,Population!$B14),Sheet1!$B$33:$H$337,D$34,FALSE)</f>
        <v>281900</v>
      </c>
      <c r="E14" s="326">
        <f>VLOOKUP(CONCATENATE(E$4,Sheet1!$C$3,Population!$B14),Sheet1!$B$33:$H$337,E$34,FALSE)</f>
        <v>282800</v>
      </c>
      <c r="F14" s="326">
        <f>VLOOKUP(CONCATENATE(F$4,Sheet1!$C$3,Population!$B14),Sheet1!$B$33:$H$337,F$34,FALSE)</f>
        <v>283300</v>
      </c>
      <c r="G14" s="326">
        <f>VLOOKUP(CONCATENATE(G$4,Sheet1!$C$3,Population!$B14),Sheet1!$B$33:$H$337,G$34,FALSE)</f>
        <v>284000</v>
      </c>
      <c r="H14" s="327">
        <f>VLOOKUP(CONCATENATE(H$4,Sheet1!$C$3,Population!$B14),Sheet1!$B$33:$H$337,H$34,FALSE)</f>
        <v>284300</v>
      </c>
      <c r="I14" s="969"/>
      <c r="J14" s="326">
        <f>VLOOKUP(CONCATENATE(J$4,Sheet1!$C$3,Population!$B14),Sheet1!$B$33:$H$337,J$34,FALSE)</f>
        <v>398100</v>
      </c>
      <c r="K14" s="326">
        <f>VLOOKUP(CONCATENATE(K$4,Sheet1!$C$3,Population!$B14),Sheet1!$B$33:$H$337,K$34,FALSE)</f>
        <v>397500</v>
      </c>
      <c r="L14" s="326">
        <f>VLOOKUP(CONCATENATE(L$4,Sheet1!$C$3,Population!$B14),Sheet1!$B$33:$H$337,L$34,FALSE)</f>
        <v>395900</v>
      </c>
      <c r="M14" s="326">
        <f>VLOOKUP(CONCATENATE(M$4,Sheet1!$C$3,Population!$B14),Sheet1!$B$33:$H$337,M$34,FALSE)</f>
        <v>395300</v>
      </c>
      <c r="N14" s="327">
        <f>VLOOKUP(CONCATENATE(N$4,Sheet1!$C$3,Population!$B14),Sheet1!$B$33:$H$337,N$34,FALSE)</f>
        <v>394500</v>
      </c>
      <c r="O14" s="969"/>
      <c r="P14" s="326">
        <f>VLOOKUP(CONCATENATE(P$4,Sheet1!$C$3,Population!$B14),Sheet1!$B$33:$H$337,P$34,FALSE)</f>
        <v>41000</v>
      </c>
      <c r="Q14" s="326">
        <f>VLOOKUP(CONCATENATE(Q$4,Sheet1!$C$3,Population!$B14),Sheet1!$B$33:$H$337,Q$34,FALSE)</f>
        <v>40800</v>
      </c>
      <c r="R14" s="326">
        <f>VLOOKUP(CONCATENATE(R$4,Sheet1!$C$3,Population!$B14),Sheet1!$B$33:$H$337,R$34,FALSE)</f>
        <v>39700</v>
      </c>
      <c r="S14" s="326">
        <f>VLOOKUP(CONCATENATE(S$4,Sheet1!$C$3,Population!$B14),Sheet1!$B$33:$H$337,S$34,FALSE)</f>
        <v>39200</v>
      </c>
      <c r="T14" s="327">
        <f>VLOOKUP(CONCATENATE(T$4,Sheet1!$C$3,Population!$B14),Sheet1!$B$33:$H$337,T$34,FALSE)</f>
        <v>38339</v>
      </c>
      <c r="U14" s="284"/>
      <c r="V14" s="91"/>
      <c r="W14" s="74"/>
      <c r="X14" s="74"/>
      <c r="Y14" s="74"/>
      <c r="Z14" s="74"/>
      <c r="AA14" s="74"/>
      <c r="AB14" s="75"/>
      <c r="AC14" s="75"/>
    </row>
    <row r="15" spans="1:40" s="86" customFormat="1" ht="13.5" customHeight="1" x14ac:dyDescent="0.2">
      <c r="A15" s="488">
        <f>VLOOKUP(B15,Sheet1!$AQ$4:$AR$25,2,FALSE)</f>
        <v>0</v>
      </c>
      <c r="B15" s="737" t="s">
        <v>1</v>
      </c>
      <c r="C15" s="975"/>
      <c r="D15" s="326">
        <f>VLOOKUP(CONCATENATE(D$4,Sheet1!$C$3,Population!$B15),Sheet1!$B$33:$H$337,D$34,FALSE)</f>
        <v>25300</v>
      </c>
      <c r="E15" s="326">
        <f>VLOOKUP(CONCATENATE(E$4,Sheet1!$C$3,Population!$B15),Sheet1!$B$33:$H$337,E$34,FALSE)</f>
        <v>25200</v>
      </c>
      <c r="F15" s="326">
        <f>VLOOKUP(CONCATENATE(F$4,Sheet1!$C$3,Population!$B15),Sheet1!$B$33:$H$337,F$34,FALSE)</f>
        <v>25100</v>
      </c>
      <c r="G15" s="326">
        <f>VLOOKUP(CONCATENATE(G$4,Sheet1!$C$3,Population!$B15),Sheet1!$B$33:$H$337,G$34,FALSE)</f>
        <v>24900</v>
      </c>
      <c r="H15" s="327">
        <f>VLOOKUP(CONCATENATE(H$4,Sheet1!$C$3,Population!$B15),Sheet1!$B$33:$H$337,H$34,FALSE)</f>
        <v>24700</v>
      </c>
      <c r="I15" s="969"/>
      <c r="J15" s="326">
        <f>VLOOKUP(CONCATENATE(J$4,Sheet1!$C$3,Population!$B15),Sheet1!$B$33:$H$337,J$34,FALSE)</f>
        <v>36500</v>
      </c>
      <c r="K15" s="326">
        <f>VLOOKUP(CONCATENATE(K$4,Sheet1!$C$3,Population!$B15),Sheet1!$B$33:$H$337,K$34,FALSE)</f>
        <v>36300</v>
      </c>
      <c r="L15" s="326">
        <f>VLOOKUP(CONCATENATE(L$4,Sheet1!$C$3,Population!$B15),Sheet1!$B$33:$H$337,L$34,FALSE)</f>
        <v>36000</v>
      </c>
      <c r="M15" s="326">
        <f>VLOOKUP(CONCATENATE(M$4,Sheet1!$C$3,Population!$B15),Sheet1!$B$33:$H$337,M$34,FALSE)</f>
        <v>35600</v>
      </c>
      <c r="N15" s="327">
        <f>VLOOKUP(CONCATENATE(N$4,Sheet1!$C$3,Population!$B15),Sheet1!$B$33:$H$337,N$34,FALSE)</f>
        <v>35300</v>
      </c>
      <c r="O15" s="969"/>
      <c r="P15" s="326">
        <f>VLOOKUP(CONCATENATE(P$4,Sheet1!$C$3,Population!$B15),Sheet1!$B$33:$H$337,P$34,FALSE)</f>
        <v>4100</v>
      </c>
      <c r="Q15" s="326">
        <f>VLOOKUP(CONCATENATE(Q$4,Sheet1!$C$3,Population!$B15),Sheet1!$B$33:$H$337,Q$34,FALSE)</f>
        <v>4000</v>
      </c>
      <c r="R15" s="326">
        <f>VLOOKUP(CONCATENATE(R$4,Sheet1!$C$3,Population!$B15),Sheet1!$B$33:$H$337,R$34,FALSE)</f>
        <v>3800</v>
      </c>
      <c r="S15" s="326">
        <f>VLOOKUP(CONCATENATE(S$4,Sheet1!$C$3,Population!$B15),Sheet1!$B$33:$H$337,S$34,FALSE)</f>
        <v>3800</v>
      </c>
      <c r="T15" s="327">
        <f>VLOOKUP(CONCATENATE(T$4,Sheet1!$C$3,Population!$B15),Sheet1!$B$33:$H$337,T$34,FALSE)</f>
        <v>3573</v>
      </c>
      <c r="U15" s="284"/>
      <c r="V15" s="91"/>
      <c r="W15" s="74"/>
      <c r="X15" s="74"/>
      <c r="Y15" s="74"/>
      <c r="Z15" s="74"/>
      <c r="AA15" s="74"/>
      <c r="AB15" s="75"/>
      <c r="AC15" s="75"/>
    </row>
    <row r="16" spans="1:40" s="86" customFormat="1" ht="13.5" customHeight="1" x14ac:dyDescent="0.2">
      <c r="A16" s="488">
        <f>VLOOKUP(B16,Sheet1!$AQ$4:$AR$25,2,FALSE)</f>
        <v>0</v>
      </c>
      <c r="B16" s="737" t="s">
        <v>9</v>
      </c>
      <c r="C16" s="975"/>
      <c r="D16" s="326">
        <f>VLOOKUP(CONCATENATE(D$4,Sheet1!$C$3,Population!$B16),Sheet1!$B$33:$H$337,D$34,FALSE)</f>
        <v>330400</v>
      </c>
      <c r="E16" s="326">
        <f>VLOOKUP(CONCATENATE(E$4,Sheet1!$C$3,Population!$B16),Sheet1!$B$33:$H$337,E$34,FALSE)</f>
        <v>333000</v>
      </c>
      <c r="F16" s="326">
        <f>VLOOKUP(CONCATENATE(F$4,Sheet1!$C$3,Population!$B16),Sheet1!$B$33:$H$337,F$34,FALSE)</f>
        <v>336100</v>
      </c>
      <c r="G16" s="326">
        <f>VLOOKUP(CONCATENATE(G$4,Sheet1!$C$3,Population!$B16),Sheet1!$B$33:$H$337,G$34,FALSE)</f>
        <v>340100</v>
      </c>
      <c r="H16" s="327">
        <f>VLOOKUP(CONCATENATE(H$4,Sheet1!$C$3,Population!$B16),Sheet1!$B$33:$H$337,H$34,FALSE)</f>
        <v>343800</v>
      </c>
      <c r="I16" s="969"/>
      <c r="J16" s="326">
        <f>VLOOKUP(CONCATENATE(J$4,Sheet1!$C$3,Population!$B16),Sheet1!$B$33:$H$337,J$34,FALSE)</f>
        <v>477000</v>
      </c>
      <c r="K16" s="326">
        <f>VLOOKUP(CONCATENATE(K$4,Sheet1!$C$3,Population!$B16),Sheet1!$B$33:$H$337,K$34,FALSE)</f>
        <v>480100</v>
      </c>
      <c r="L16" s="326">
        <f>VLOOKUP(CONCATENATE(L$4,Sheet1!$C$3,Population!$B16),Sheet1!$B$33:$H$337,L$34,FALSE)</f>
        <v>481500</v>
      </c>
      <c r="M16" s="326">
        <f>VLOOKUP(CONCATENATE(M$4,Sheet1!$C$3,Population!$B16),Sheet1!$B$33:$H$337,M$34,FALSE)</f>
        <v>482700</v>
      </c>
      <c r="N16" s="327">
        <f>VLOOKUP(CONCATENATE(N$4,Sheet1!$C$3,Population!$B16),Sheet1!$B$33:$H$337,N$34,FALSE)</f>
        <v>483800</v>
      </c>
      <c r="O16" s="969"/>
      <c r="P16" s="326">
        <f>VLOOKUP(CONCATENATE(P$4,Sheet1!$C$3,Population!$B16),Sheet1!$B$33:$H$337,P$34,FALSE)</f>
        <v>54200</v>
      </c>
      <c r="Q16" s="326">
        <f>VLOOKUP(CONCATENATE(Q$4,Sheet1!$C$3,Population!$B16),Sheet1!$B$33:$H$337,Q$34,FALSE)</f>
        <v>53400</v>
      </c>
      <c r="R16" s="326">
        <f>VLOOKUP(CONCATENATE(R$4,Sheet1!$C$3,Population!$B16),Sheet1!$B$33:$H$337,R$34,FALSE)</f>
        <v>52800</v>
      </c>
      <c r="S16" s="326">
        <f>VLOOKUP(CONCATENATE(S$4,Sheet1!$C$3,Population!$B16),Sheet1!$B$33:$H$337,S$34,FALSE)</f>
        <v>52300</v>
      </c>
      <c r="T16" s="327">
        <f>VLOOKUP(CONCATENATE(T$4,Sheet1!$C$3,Population!$B16),Sheet1!$B$33:$H$337,T$34,FALSE)</f>
        <v>50859</v>
      </c>
      <c r="U16" s="284"/>
      <c r="V16" s="91"/>
      <c r="W16" s="74"/>
      <c r="X16" s="74"/>
      <c r="Y16" s="74"/>
      <c r="Z16" s="74"/>
      <c r="AA16" s="74"/>
      <c r="AB16" s="75"/>
      <c r="AC16" s="75"/>
    </row>
    <row r="17" spans="1:29" s="86" customFormat="1" ht="13.5" customHeight="1" x14ac:dyDescent="0.2">
      <c r="A17" s="488">
        <f>VLOOKUP(B17,Sheet1!$AQ$4:$AR$25,2,FALSE)</f>
        <v>0</v>
      </c>
      <c r="B17" s="737" t="s">
        <v>2</v>
      </c>
      <c r="C17" s="975"/>
      <c r="D17" s="326">
        <f>VLOOKUP(CONCATENATE(D$4,Sheet1!$C$3,Population!$B17),Sheet1!$B$33:$H$337,D$34,FALSE)</f>
        <v>63200</v>
      </c>
      <c r="E17" s="326">
        <f>VLOOKUP(CONCATENATE(E$4,Sheet1!$C$3,Population!$B17),Sheet1!$B$33:$H$337,E$34,FALSE)</f>
        <v>63700</v>
      </c>
      <c r="F17" s="326">
        <f>VLOOKUP(CONCATENATE(F$4,Sheet1!$C$3,Population!$B17),Sheet1!$B$33:$H$337,F$34,FALSE)</f>
        <v>63900</v>
      </c>
      <c r="G17" s="326">
        <f>VLOOKUP(CONCATENATE(G$4,Sheet1!$C$3,Population!$B17),Sheet1!$B$33:$H$337,G$34,FALSE)</f>
        <v>64400</v>
      </c>
      <c r="H17" s="327">
        <f>VLOOKUP(CONCATENATE(H$4,Sheet1!$C$3,Population!$B17),Sheet1!$B$33:$H$337,H$34,FALSE)</f>
        <v>65000</v>
      </c>
      <c r="I17" s="969"/>
      <c r="J17" s="326">
        <f>VLOOKUP(CONCATENATE(J$4,Sheet1!$C$3,Population!$B17),Sheet1!$B$33:$H$337,J$34,FALSE)</f>
        <v>93700</v>
      </c>
      <c r="K17" s="326">
        <f>VLOOKUP(CONCATENATE(K$4,Sheet1!$C$3,Population!$B17),Sheet1!$B$33:$H$337,K$34,FALSE)</f>
        <v>93400</v>
      </c>
      <c r="L17" s="326">
        <f>VLOOKUP(CONCATENATE(L$4,Sheet1!$C$3,Population!$B17),Sheet1!$B$33:$H$337,L$34,FALSE)</f>
        <v>92500</v>
      </c>
      <c r="M17" s="326">
        <f>VLOOKUP(CONCATENATE(M$4,Sheet1!$C$3,Population!$B17),Sheet1!$B$33:$H$337,M$34,FALSE)</f>
        <v>91500</v>
      </c>
      <c r="N17" s="327">
        <f>VLOOKUP(CONCATENATE(N$4,Sheet1!$C$3,Population!$B17),Sheet1!$B$33:$H$337,N$34,FALSE)</f>
        <v>91100</v>
      </c>
      <c r="O17" s="969"/>
      <c r="P17" s="326">
        <f>VLOOKUP(CONCATENATE(P$4,Sheet1!$C$3,Population!$B17),Sheet1!$B$33:$H$337,P$34,FALSE)</f>
        <v>10700</v>
      </c>
      <c r="Q17" s="326">
        <f>VLOOKUP(CONCATENATE(Q$4,Sheet1!$C$3,Population!$B17),Sheet1!$B$33:$H$337,Q$34,FALSE)</f>
        <v>10300</v>
      </c>
      <c r="R17" s="326">
        <f>VLOOKUP(CONCATENATE(R$4,Sheet1!$C$3,Population!$B17),Sheet1!$B$33:$H$337,R$34,FALSE)</f>
        <v>9900</v>
      </c>
      <c r="S17" s="326">
        <f>VLOOKUP(CONCATENATE(S$4,Sheet1!$C$3,Population!$B17),Sheet1!$B$33:$H$337,S$34,FALSE)</f>
        <v>9600</v>
      </c>
      <c r="T17" s="327">
        <f>VLOOKUP(CONCATENATE(T$4,Sheet1!$C$3,Population!$B17),Sheet1!$B$33:$H$337,T$34,FALSE)</f>
        <v>9343</v>
      </c>
      <c r="U17" s="284"/>
      <c r="V17" s="91"/>
      <c r="W17" s="74"/>
      <c r="X17" s="74"/>
      <c r="Y17" s="74"/>
      <c r="Z17" s="74"/>
      <c r="AA17" s="74"/>
      <c r="AB17" s="75"/>
      <c r="AC17" s="75"/>
    </row>
    <row r="18" spans="1:29" s="86" customFormat="1" ht="13.5" customHeight="1" x14ac:dyDescent="0.2">
      <c r="A18" s="488">
        <f>VLOOKUP(B18,Sheet1!$AQ$4:$AR$25,2,FALSE)</f>
        <v>0</v>
      </c>
      <c r="B18" s="737" t="s">
        <v>10</v>
      </c>
      <c r="C18" s="975"/>
      <c r="D18" s="326">
        <f>VLOOKUP(CONCATENATE(D$4,Sheet1!$C$3,Population!$B18),Sheet1!$B$33:$H$337,D$34,FALSE)</f>
        <v>66100</v>
      </c>
      <c r="E18" s="326">
        <f>VLOOKUP(CONCATENATE(E$4,Sheet1!$C$3,Population!$B18),Sheet1!$B$33:$H$337,E$34,FALSE)</f>
        <v>67100</v>
      </c>
      <c r="F18" s="326">
        <f>VLOOKUP(CONCATENATE(F$4,Sheet1!$C$3,Population!$B18),Sheet1!$B$33:$H$337,F$34,FALSE)</f>
        <v>67600</v>
      </c>
      <c r="G18" s="326">
        <f>VLOOKUP(CONCATENATE(G$4,Sheet1!$C$3,Population!$B18),Sheet1!$B$33:$H$337,G$34,FALSE)</f>
        <v>68300</v>
      </c>
      <c r="H18" s="327">
        <f>VLOOKUP(CONCATENATE(H$4,Sheet1!$C$3,Population!$B18),Sheet1!$B$33:$H$337,H$34,FALSE)</f>
        <v>68800</v>
      </c>
      <c r="I18" s="969"/>
      <c r="J18" s="326">
        <f>VLOOKUP(CONCATENATE(J$4,Sheet1!$C$3,Population!$B18),Sheet1!$B$33:$H$337,J$34,FALSE)</f>
        <v>88100</v>
      </c>
      <c r="K18" s="326">
        <f>VLOOKUP(CONCATENATE(K$4,Sheet1!$C$3,Population!$B18),Sheet1!$B$33:$H$337,K$34,FALSE)</f>
        <v>89000</v>
      </c>
      <c r="L18" s="326">
        <f>VLOOKUP(CONCATENATE(L$4,Sheet1!$C$3,Population!$B18),Sheet1!$B$33:$H$337,L$34,FALSE)</f>
        <v>89100</v>
      </c>
      <c r="M18" s="326">
        <f>VLOOKUP(CONCATENATE(M$4,Sheet1!$C$3,Population!$B18),Sheet1!$B$33:$H$337,M$34,FALSE)</f>
        <v>89400</v>
      </c>
      <c r="N18" s="327">
        <f>VLOOKUP(CONCATENATE(N$4,Sheet1!$C$3,Population!$B18),Sheet1!$B$33:$H$337,N$34,FALSE)</f>
        <v>89700</v>
      </c>
      <c r="O18" s="969"/>
      <c r="P18" s="326">
        <f>VLOOKUP(CONCATENATE(P$4,Sheet1!$C$3,Population!$B18),Sheet1!$B$33:$H$337,P$34,FALSE)</f>
        <v>7100</v>
      </c>
      <c r="Q18" s="326">
        <f>VLOOKUP(CONCATENATE(Q$4,Sheet1!$C$3,Population!$B18),Sheet1!$B$33:$H$337,Q$34,FALSE)</f>
        <v>6700</v>
      </c>
      <c r="R18" s="326">
        <f>VLOOKUP(CONCATENATE(R$4,Sheet1!$C$3,Population!$B18),Sheet1!$B$33:$H$337,R$34,FALSE)</f>
        <v>6700</v>
      </c>
      <c r="S18" s="326">
        <f>VLOOKUP(CONCATENATE(S$4,Sheet1!$C$3,Population!$B18),Sheet1!$B$33:$H$337,S$34,FALSE)</f>
        <v>6500</v>
      </c>
      <c r="T18" s="327">
        <f>VLOOKUP(CONCATENATE(T$4,Sheet1!$C$3,Population!$B18),Sheet1!$B$33:$H$337,T$34,FALSE)</f>
        <v>6330</v>
      </c>
      <c r="U18" s="284"/>
      <c r="V18" s="91"/>
      <c r="W18" s="74"/>
      <c r="X18" s="74"/>
      <c r="Y18" s="74"/>
      <c r="Z18" s="74"/>
      <c r="AA18" s="74"/>
      <c r="AB18" s="75"/>
      <c r="AC18" s="75"/>
    </row>
    <row r="19" spans="1:29" s="86" customFormat="1" ht="13.5" customHeight="1" x14ac:dyDescent="0.2">
      <c r="A19" s="488">
        <f>VLOOKUP(B19,Sheet1!$AQ$4:$AR$25,2,FALSE)</f>
        <v>0</v>
      </c>
      <c r="B19" s="737" t="s">
        <v>11</v>
      </c>
      <c r="C19" s="975"/>
      <c r="D19" s="326">
        <f>VLOOKUP(CONCATENATE(D$4,Sheet1!$C$3,Population!$B19),Sheet1!$B$33:$H$337,D$34,FALSE)</f>
        <v>141800</v>
      </c>
      <c r="E19" s="326">
        <f>VLOOKUP(CONCATENATE(E$4,Sheet1!$C$3,Population!$B19),Sheet1!$B$33:$H$337,E$34,FALSE)</f>
        <v>142900</v>
      </c>
      <c r="F19" s="326">
        <f>VLOOKUP(CONCATENATE(F$4,Sheet1!$C$3,Population!$B19),Sheet1!$B$33:$H$337,F$34,FALSE)</f>
        <v>143400</v>
      </c>
      <c r="G19" s="326">
        <f>VLOOKUP(CONCATENATE(G$4,Sheet1!$C$3,Population!$B19),Sheet1!$B$33:$H$337,G$34,FALSE)</f>
        <v>144800</v>
      </c>
      <c r="H19" s="327">
        <f>VLOOKUP(CONCATENATE(H$4,Sheet1!$C$3,Population!$B19),Sheet1!$B$33:$H$337,H$34,FALSE)</f>
        <v>146100</v>
      </c>
      <c r="I19" s="969"/>
      <c r="J19" s="326">
        <f>VLOOKUP(CONCATENATE(J$4,Sheet1!$C$3,Population!$B19),Sheet1!$B$33:$H$337,J$34,FALSE)</f>
        <v>218500</v>
      </c>
      <c r="K19" s="326">
        <f>VLOOKUP(CONCATENATE(K$4,Sheet1!$C$3,Population!$B19),Sheet1!$B$33:$H$337,K$34,FALSE)</f>
        <v>219900</v>
      </c>
      <c r="L19" s="326">
        <f>VLOOKUP(CONCATENATE(L$4,Sheet1!$C$3,Population!$B19),Sheet1!$B$33:$H$337,L$34,FALSE)</f>
        <v>220400</v>
      </c>
      <c r="M19" s="326">
        <f>VLOOKUP(CONCATENATE(M$4,Sheet1!$C$3,Population!$B19),Sheet1!$B$33:$H$337,M$34,FALSE)</f>
        <v>221800</v>
      </c>
      <c r="N19" s="327">
        <f>VLOOKUP(CONCATENATE(N$4,Sheet1!$C$3,Population!$B19),Sheet1!$B$33:$H$337,N$34,FALSE)</f>
        <v>222300</v>
      </c>
      <c r="O19" s="969"/>
      <c r="P19" s="326">
        <f>VLOOKUP(CONCATENATE(P$4,Sheet1!$C$3,Population!$B19),Sheet1!$B$33:$H$337,P$34,FALSE)</f>
        <v>30300</v>
      </c>
      <c r="Q19" s="326">
        <f>VLOOKUP(CONCATENATE(Q$4,Sheet1!$C$3,Population!$B19),Sheet1!$B$33:$H$337,Q$34,FALSE)</f>
        <v>30400</v>
      </c>
      <c r="R19" s="326">
        <f>VLOOKUP(CONCATENATE(R$4,Sheet1!$C$3,Population!$B19),Sheet1!$B$33:$H$337,R$34,FALSE)</f>
        <v>29900</v>
      </c>
      <c r="S19" s="326">
        <f>VLOOKUP(CONCATENATE(S$4,Sheet1!$C$3,Population!$B19),Sheet1!$B$33:$H$337,S$34,FALSE)</f>
        <v>29900</v>
      </c>
      <c r="T19" s="327">
        <f>VLOOKUP(CONCATENATE(T$4,Sheet1!$C$3,Population!$B19),Sheet1!$B$33:$H$337,T$34,FALSE)</f>
        <v>29923</v>
      </c>
      <c r="U19" s="284"/>
      <c r="V19" s="91"/>
      <c r="W19" s="74"/>
      <c r="X19" s="74"/>
      <c r="Y19" s="74"/>
      <c r="Z19" s="74"/>
      <c r="AA19" s="74"/>
      <c r="AB19" s="75"/>
      <c r="AC19" s="75"/>
    </row>
    <row r="20" spans="1:29" s="86" customFormat="1" ht="13.5" customHeight="1" x14ac:dyDescent="0.2">
      <c r="A20" s="488">
        <f>VLOOKUP(B20,Sheet1!$AQ$4:$AR$25,2,FALSE)</f>
        <v>0</v>
      </c>
      <c r="B20" s="737" t="s">
        <v>12</v>
      </c>
      <c r="C20" s="975"/>
      <c r="D20" s="326">
        <f>VLOOKUP(CONCATENATE(D$4,Sheet1!$C$3,Population!$B20),Sheet1!$B$33:$H$337,D$34,FALSE)</f>
        <v>43800</v>
      </c>
      <c r="E20" s="326">
        <f>VLOOKUP(CONCATENATE(E$4,Sheet1!$C$3,Population!$B20),Sheet1!$B$33:$H$337,E$34,FALSE)</f>
        <v>44000</v>
      </c>
      <c r="F20" s="326">
        <f>VLOOKUP(CONCATENATE(F$4,Sheet1!$C$3,Population!$B20),Sheet1!$B$33:$H$337,F$34,FALSE)</f>
        <v>44200</v>
      </c>
      <c r="G20" s="326">
        <f>VLOOKUP(CONCATENATE(G$4,Sheet1!$C$3,Population!$B20),Sheet1!$B$33:$H$337,G$34,FALSE)</f>
        <v>44000</v>
      </c>
      <c r="H20" s="327">
        <f>VLOOKUP(CONCATENATE(H$4,Sheet1!$C$3,Population!$B20),Sheet1!$B$33:$H$337,H$34,FALSE)</f>
        <v>43800</v>
      </c>
      <c r="I20" s="969"/>
      <c r="J20" s="326">
        <f>VLOOKUP(CONCATENATE(J$4,Sheet1!$C$3,Population!$B20),Sheet1!$B$33:$H$337,J$34,FALSE)</f>
        <v>79300</v>
      </c>
      <c r="K20" s="326">
        <f>VLOOKUP(CONCATENATE(K$4,Sheet1!$C$3,Population!$B20),Sheet1!$B$33:$H$337,K$34,FALSE)</f>
        <v>80300</v>
      </c>
      <c r="L20" s="326">
        <f>VLOOKUP(CONCATENATE(L$4,Sheet1!$C$3,Population!$B20),Sheet1!$B$33:$H$337,L$34,FALSE)</f>
        <v>80700</v>
      </c>
      <c r="M20" s="326">
        <f>VLOOKUP(CONCATENATE(M$4,Sheet1!$C$3,Population!$B20),Sheet1!$B$33:$H$337,M$34,FALSE)</f>
        <v>80200</v>
      </c>
      <c r="N20" s="327">
        <f>VLOOKUP(CONCATENATE(N$4,Sheet1!$C$3,Population!$B20),Sheet1!$B$33:$H$337,N$34,FALSE)</f>
        <v>79500</v>
      </c>
      <c r="O20" s="969"/>
      <c r="P20" s="326">
        <f>VLOOKUP(CONCATENATE(P$4,Sheet1!$C$3,Population!$B20),Sheet1!$B$33:$H$337,P$34,FALSE)</f>
        <v>15200</v>
      </c>
      <c r="Q20" s="326">
        <f>VLOOKUP(CONCATENATE(Q$4,Sheet1!$C$3,Population!$B20),Sheet1!$B$33:$H$337,Q$34,FALSE)</f>
        <v>15500</v>
      </c>
      <c r="R20" s="326">
        <f>VLOOKUP(CONCATENATE(R$4,Sheet1!$C$3,Population!$B20),Sheet1!$B$33:$H$337,R$34,FALSE)</f>
        <v>16200</v>
      </c>
      <c r="S20" s="326">
        <f>VLOOKUP(CONCATENATE(S$4,Sheet1!$C$3,Population!$B20),Sheet1!$B$33:$H$337,S$34,FALSE)</f>
        <v>16400</v>
      </c>
      <c r="T20" s="327">
        <f>VLOOKUP(CONCATENATE(T$4,Sheet1!$C$3,Population!$B20),Sheet1!$B$33:$H$337,T$34,FALSE)</f>
        <v>16626</v>
      </c>
      <c r="U20" s="284"/>
      <c r="V20" s="91"/>
      <c r="W20" s="74"/>
      <c r="X20" s="74"/>
      <c r="Y20" s="74"/>
      <c r="Z20" s="74"/>
      <c r="AA20" s="74"/>
      <c r="AB20" s="75"/>
      <c r="AC20" s="75"/>
    </row>
    <row r="21" spans="1:29" s="86" customFormat="1" ht="13.5" customHeight="1" x14ac:dyDescent="0.2">
      <c r="A21" s="488">
        <f>VLOOKUP(B21,Sheet1!$AQ$4:$AR$25,2,FALSE)</f>
        <v>0</v>
      </c>
      <c r="B21" s="737" t="s">
        <v>3</v>
      </c>
      <c r="C21" s="975"/>
      <c r="D21" s="326">
        <f>VLOOKUP(CONCATENATE(D$4,Sheet1!$C$3,Population!$B21),Sheet1!$B$33:$H$337,D$34,FALSE)</f>
        <v>36400</v>
      </c>
      <c r="E21" s="326">
        <f>VLOOKUP(CONCATENATE(E$4,Sheet1!$C$3,Population!$B21),Sheet1!$B$33:$H$337,E$34,FALSE)</f>
        <v>36600</v>
      </c>
      <c r="F21" s="326">
        <f>VLOOKUP(CONCATENATE(F$4,Sheet1!$C$3,Population!$B21),Sheet1!$B$33:$H$337,F$34,FALSE)</f>
        <v>37100</v>
      </c>
      <c r="G21" s="326">
        <f>VLOOKUP(CONCATENATE(G$4,Sheet1!$C$3,Population!$B21),Sheet1!$B$33:$H$337,G$34,FALSE)</f>
        <v>37100</v>
      </c>
      <c r="H21" s="327">
        <f>VLOOKUP(CONCATENATE(H$4,Sheet1!$C$3,Population!$B21),Sheet1!$B$33:$H$337,H$34,FALSE)</f>
        <v>37000</v>
      </c>
      <c r="I21" s="969"/>
      <c r="J21" s="326">
        <f>VLOOKUP(CONCATENATE(J$4,Sheet1!$C$3,Population!$B21),Sheet1!$B$33:$H$337,J$34,FALSE)</f>
        <v>58500</v>
      </c>
      <c r="K21" s="326">
        <f>VLOOKUP(CONCATENATE(K$4,Sheet1!$C$3,Population!$B21),Sheet1!$B$33:$H$337,K$34,FALSE)</f>
        <v>58700</v>
      </c>
      <c r="L21" s="326">
        <f>VLOOKUP(CONCATENATE(L$4,Sheet1!$C$3,Population!$B21),Sheet1!$B$33:$H$337,L$34,FALSE)</f>
        <v>58800</v>
      </c>
      <c r="M21" s="326">
        <f>VLOOKUP(CONCATENATE(M$4,Sheet1!$C$3,Population!$B21),Sheet1!$B$33:$H$337,M$34,FALSE)</f>
        <v>59100</v>
      </c>
      <c r="N21" s="327">
        <f>VLOOKUP(CONCATENATE(N$4,Sheet1!$C$3,Population!$B21),Sheet1!$B$33:$H$337,N$34,FALSE)</f>
        <v>58000</v>
      </c>
      <c r="O21" s="969"/>
      <c r="P21" s="326">
        <f>VLOOKUP(CONCATENATE(P$4,Sheet1!$C$3,Population!$B21),Sheet1!$B$33:$H$337,P$34,FALSE)</f>
        <v>8800</v>
      </c>
      <c r="Q21" s="326">
        <f>VLOOKUP(CONCATENATE(Q$4,Sheet1!$C$3,Population!$B21),Sheet1!$B$33:$H$337,Q$34,FALSE)</f>
        <v>8800</v>
      </c>
      <c r="R21" s="326">
        <f>VLOOKUP(CONCATENATE(R$4,Sheet1!$C$3,Population!$B21),Sheet1!$B$33:$H$337,R$34,FALSE)</f>
        <v>9100</v>
      </c>
      <c r="S21" s="326">
        <f>VLOOKUP(CONCATENATE(S$4,Sheet1!$C$3,Population!$B21),Sheet1!$B$33:$H$337,S$34,FALSE)</f>
        <v>9400</v>
      </c>
      <c r="T21" s="327">
        <f>VLOOKUP(CONCATENATE(T$4,Sheet1!$C$3,Population!$B21),Sheet1!$B$33:$H$337,T$34,FALSE)</f>
        <v>8844</v>
      </c>
      <c r="U21" s="284"/>
      <c r="V21" s="91"/>
      <c r="W21" s="74"/>
      <c r="X21" s="74"/>
      <c r="Y21" s="74"/>
      <c r="Z21" s="74"/>
      <c r="AA21" s="74"/>
      <c r="AB21" s="75"/>
      <c r="AC21" s="75"/>
    </row>
    <row r="22" spans="1:29" s="86" customFormat="1" ht="13.5" customHeight="1" x14ac:dyDescent="0.2">
      <c r="A22" s="488">
        <f>VLOOKUP(B22,Sheet1!$AQ$4:$AR$25,2,FALSE)</f>
        <v>0</v>
      </c>
      <c r="B22" s="737" t="s">
        <v>13</v>
      </c>
      <c r="C22" s="975"/>
      <c r="D22" s="326">
        <f>VLOOKUP(CONCATENATE(D$4,Sheet1!$C$3,Population!$B22),Sheet1!$B$33:$H$337,D$34,FALSE)</f>
        <v>40600</v>
      </c>
      <c r="E22" s="326">
        <f>VLOOKUP(CONCATENATE(E$4,Sheet1!$C$3,Population!$B22),Sheet1!$B$33:$H$337,E$34,FALSE)</f>
        <v>41400</v>
      </c>
      <c r="F22" s="326">
        <f>VLOOKUP(CONCATENATE(F$4,Sheet1!$C$3,Population!$B22),Sheet1!$B$33:$H$337,F$34,FALSE)</f>
        <v>42200</v>
      </c>
      <c r="G22" s="326">
        <f>VLOOKUP(CONCATENATE(G$4,Sheet1!$C$3,Population!$B22),Sheet1!$B$33:$H$337,G$34,FALSE)</f>
        <v>42700</v>
      </c>
      <c r="H22" s="327">
        <f>VLOOKUP(CONCATENATE(H$4,Sheet1!$C$3,Population!$B22),Sheet1!$B$33:$H$337,H$34,FALSE)</f>
        <v>43100</v>
      </c>
      <c r="I22" s="969"/>
      <c r="J22" s="326">
        <f>VLOOKUP(CONCATENATE(J$4,Sheet1!$C$3,Population!$B22),Sheet1!$B$33:$H$337,J$34,FALSE)</f>
        <v>53700</v>
      </c>
      <c r="K22" s="326">
        <f>VLOOKUP(CONCATENATE(K$4,Sheet1!$C$3,Population!$B22),Sheet1!$B$33:$H$337,K$34,FALSE)</f>
        <v>54500</v>
      </c>
      <c r="L22" s="326">
        <f>VLOOKUP(CONCATENATE(L$4,Sheet1!$C$3,Population!$B22),Sheet1!$B$33:$H$337,L$34,FALSE)</f>
        <v>54900</v>
      </c>
      <c r="M22" s="326">
        <f>VLOOKUP(CONCATENATE(M$4,Sheet1!$C$3,Population!$B22),Sheet1!$B$33:$H$337,M$34,FALSE)</f>
        <v>55300</v>
      </c>
      <c r="N22" s="327">
        <f>VLOOKUP(CONCATENATE(N$4,Sheet1!$C$3,Population!$B22),Sheet1!$B$33:$H$337,N$34,FALSE)</f>
        <v>55800</v>
      </c>
      <c r="O22" s="969"/>
      <c r="P22" s="326">
        <f>VLOOKUP(CONCATENATE(P$4,Sheet1!$C$3,Population!$B22),Sheet1!$B$33:$H$337,P$34,FALSE)</f>
        <v>4500</v>
      </c>
      <c r="Q22" s="326">
        <f>VLOOKUP(CONCATENATE(Q$4,Sheet1!$C$3,Population!$B22),Sheet1!$B$33:$H$337,Q$34,FALSE)</f>
        <v>4400</v>
      </c>
      <c r="R22" s="326">
        <f>VLOOKUP(CONCATENATE(R$4,Sheet1!$C$3,Population!$B22),Sheet1!$B$33:$H$337,R$34,FALSE)</f>
        <v>4300</v>
      </c>
      <c r="S22" s="326">
        <f>VLOOKUP(CONCATENATE(S$4,Sheet1!$C$3,Population!$B22),Sheet1!$B$33:$H$337,S$34,FALSE)</f>
        <v>4200</v>
      </c>
      <c r="T22" s="327">
        <f>VLOOKUP(CONCATENATE(T$4,Sheet1!$C$3,Population!$B22),Sheet1!$B$33:$H$337,T$34,FALSE)</f>
        <v>4095</v>
      </c>
      <c r="U22" s="284"/>
      <c r="V22" s="91"/>
      <c r="W22" s="74"/>
      <c r="X22" s="74"/>
      <c r="Y22" s="74"/>
      <c r="Z22" s="74"/>
      <c r="AA22" s="74"/>
      <c r="AB22" s="75"/>
      <c r="AC22" s="75"/>
    </row>
    <row r="23" spans="1:29" s="86" customFormat="1" ht="13.5" customHeight="1" x14ac:dyDescent="0.2">
      <c r="A23" s="488">
        <f>VLOOKUP(B23,Sheet1!$AQ$4:$AR$25,2,FALSE)</f>
        <v>0</v>
      </c>
      <c r="B23" s="737" t="s">
        <v>95</v>
      </c>
      <c r="C23" s="975"/>
      <c r="D23" s="326">
        <f>VLOOKUP(CONCATENATE(D$4,Sheet1!$C$3,Population!$B23),Sheet1!$B$33:$H$337,D$34,FALSE)</f>
        <v>109200</v>
      </c>
      <c r="E23" s="326">
        <f>VLOOKUP(CONCATENATE(E$4,Sheet1!$C$3,Population!$B23),Sheet1!$B$33:$H$337,E$34,FALSE)</f>
        <v>109700</v>
      </c>
      <c r="F23" s="326">
        <f>VLOOKUP(CONCATENATE(F$4,Sheet1!$C$3,Population!$B23),Sheet1!$B$33:$H$337,F$34,FALSE)</f>
        <v>110100</v>
      </c>
      <c r="G23" s="326">
        <f>VLOOKUP(CONCATENATE(G$4,Sheet1!$C$3,Population!$B23),Sheet1!$B$33:$H$337,G$34,FALSE)</f>
        <v>110700</v>
      </c>
      <c r="H23" s="327">
        <f>VLOOKUP(CONCATENATE(H$4,Sheet1!$C$3,Population!$B23),Sheet1!$B$33:$H$337,H$34,FALSE)</f>
        <v>111200</v>
      </c>
      <c r="I23" s="969"/>
      <c r="J23" s="326">
        <f>VLOOKUP(CONCATENATE(J$4,Sheet1!$C$3,Population!$B23),Sheet1!$B$33:$H$337,J$34,FALSE)</f>
        <v>153800</v>
      </c>
      <c r="K23" s="326">
        <f>VLOOKUP(CONCATENATE(K$4,Sheet1!$C$3,Population!$B23),Sheet1!$B$33:$H$337,K$34,FALSE)</f>
        <v>153700</v>
      </c>
      <c r="L23" s="326">
        <f>VLOOKUP(CONCATENATE(L$4,Sheet1!$C$3,Population!$B23),Sheet1!$B$33:$H$337,L$34,FALSE)</f>
        <v>153200</v>
      </c>
      <c r="M23" s="326">
        <f>VLOOKUP(CONCATENATE(M$4,Sheet1!$C$3,Population!$B23),Sheet1!$B$33:$H$337,M$34,FALSE)</f>
        <v>153200</v>
      </c>
      <c r="N23" s="327">
        <f>VLOOKUP(CONCATENATE(N$4,Sheet1!$C$3,Population!$B23),Sheet1!$B$33:$H$337,N$34,FALSE)</f>
        <v>152700</v>
      </c>
      <c r="O23" s="969"/>
      <c r="P23" s="326">
        <f>VLOOKUP(CONCATENATE(P$4,Sheet1!$C$3,Population!$B23),Sheet1!$B$33:$H$337,P$34,FALSE)</f>
        <v>15300</v>
      </c>
      <c r="Q23" s="326">
        <f>VLOOKUP(CONCATENATE(Q$4,Sheet1!$C$3,Population!$B23),Sheet1!$B$33:$H$337,Q$34,FALSE)</f>
        <v>14900</v>
      </c>
      <c r="R23" s="326">
        <f>VLOOKUP(CONCATENATE(R$4,Sheet1!$C$3,Population!$B23),Sheet1!$B$33:$H$337,R$34,FALSE)</f>
        <v>14800</v>
      </c>
      <c r="S23" s="326">
        <f>VLOOKUP(CONCATENATE(S$4,Sheet1!$C$3,Population!$B23),Sheet1!$B$33:$H$337,S$34,FALSE)</f>
        <v>14500</v>
      </c>
      <c r="T23" s="327">
        <f>VLOOKUP(CONCATENATE(T$4,Sheet1!$C$3,Population!$B23),Sheet1!$B$33:$H$337,T$34,FALSE)</f>
        <v>13953</v>
      </c>
      <c r="U23" s="284"/>
      <c r="V23" s="91"/>
      <c r="W23" s="74"/>
      <c r="X23" s="74"/>
      <c r="Y23" s="74"/>
      <c r="Z23" s="74"/>
      <c r="AA23" s="74"/>
      <c r="AB23" s="75"/>
      <c r="AC23" s="75"/>
    </row>
    <row r="24" spans="1:29" s="86" customFormat="1" ht="13.5" customHeight="1" x14ac:dyDescent="0.2">
      <c r="A24" s="488">
        <f>VLOOKUP(B24,Sheet1!$AQ$4:$AR$25,2,FALSE)</f>
        <v>0</v>
      </c>
      <c r="B24" s="737" t="s">
        <v>14</v>
      </c>
      <c r="C24" s="975"/>
      <c r="D24" s="326">
        <f>VLOOKUP(CONCATENATE(D$4,Sheet1!$C$3,Population!$B24),Sheet1!$B$33:$H$337,D$34,FALSE)</f>
        <v>49200</v>
      </c>
      <c r="E24" s="326">
        <f>VLOOKUP(CONCATENATE(E$4,Sheet1!$C$3,Population!$B24),Sheet1!$B$33:$H$337,E$34,FALSE)</f>
        <v>49900</v>
      </c>
      <c r="F24" s="326">
        <f>VLOOKUP(CONCATENATE(F$4,Sheet1!$C$3,Population!$B24),Sheet1!$B$33:$H$337,F$34,FALSE)</f>
        <v>50300</v>
      </c>
      <c r="G24" s="326">
        <f>VLOOKUP(CONCATENATE(G$4,Sheet1!$C$3,Population!$B24),Sheet1!$B$33:$H$337,G$34,FALSE)</f>
        <v>50800</v>
      </c>
      <c r="H24" s="327">
        <f>VLOOKUP(CONCATENATE(H$4,Sheet1!$C$3,Population!$B24),Sheet1!$B$33:$H$337,H$34,FALSE)</f>
        <v>51300</v>
      </c>
      <c r="I24" s="969"/>
      <c r="J24" s="326">
        <f>VLOOKUP(CONCATENATE(J$4,Sheet1!$C$3,Population!$B24),Sheet1!$B$33:$H$337,J$34,FALSE)</f>
        <v>96600</v>
      </c>
      <c r="K24" s="326">
        <f>VLOOKUP(CONCATENATE(K$4,Sheet1!$C$3,Population!$B24),Sheet1!$B$33:$H$337,K$34,FALSE)</f>
        <v>98900</v>
      </c>
      <c r="L24" s="326">
        <f>VLOOKUP(CONCATENATE(L$4,Sheet1!$C$3,Population!$B24),Sheet1!$B$33:$H$337,L$34,FALSE)</f>
        <v>99700</v>
      </c>
      <c r="M24" s="326">
        <f>VLOOKUP(CONCATENATE(M$4,Sheet1!$C$3,Population!$B24),Sheet1!$B$33:$H$337,M$34,FALSE)</f>
        <v>99100</v>
      </c>
      <c r="N24" s="327">
        <f>VLOOKUP(CONCATENATE(N$4,Sheet1!$C$3,Population!$B24),Sheet1!$B$33:$H$337,N$34,FALSE)</f>
        <v>97400</v>
      </c>
      <c r="O24" s="969"/>
      <c r="P24" s="326">
        <f>VLOOKUP(CONCATENATE(P$4,Sheet1!$C$3,Population!$B24),Sheet1!$B$33:$H$337,P$34,FALSE)</f>
        <v>20800</v>
      </c>
      <c r="Q24" s="326">
        <f>VLOOKUP(CONCATENATE(Q$4,Sheet1!$C$3,Population!$B24),Sheet1!$B$33:$H$337,Q$34,FALSE)</f>
        <v>21800</v>
      </c>
      <c r="R24" s="326">
        <f>VLOOKUP(CONCATENATE(R$4,Sheet1!$C$3,Population!$B24),Sheet1!$B$33:$H$337,R$34,FALSE)</f>
        <v>22100</v>
      </c>
      <c r="S24" s="326">
        <f>VLOOKUP(CONCATENATE(S$4,Sheet1!$C$3,Population!$B24),Sheet1!$B$33:$H$337,S$34,FALSE)</f>
        <v>22000</v>
      </c>
      <c r="T24" s="327">
        <f>VLOOKUP(CONCATENATE(T$4,Sheet1!$C$3,Population!$B24),Sheet1!$B$33:$H$337,T$34,FALSE)</f>
        <v>20481</v>
      </c>
      <c r="U24" s="284"/>
      <c r="V24" s="91"/>
      <c r="W24" s="74"/>
      <c r="X24" s="74"/>
      <c r="Y24" s="74"/>
      <c r="Z24" s="74"/>
      <c r="AA24" s="74"/>
      <c r="AB24" s="75"/>
      <c r="AC24" s="75"/>
    </row>
    <row r="25" spans="1:29" s="86" customFormat="1" ht="13.5" customHeight="1" x14ac:dyDescent="0.2">
      <c r="A25" s="488">
        <f>VLOOKUP(B25,Sheet1!$AQ$4:$AR$25,2,FALSE)</f>
        <v>0</v>
      </c>
      <c r="B25" s="737" t="s">
        <v>7</v>
      </c>
      <c r="C25" s="975"/>
      <c r="D25" s="326">
        <f>VLOOKUP(CONCATENATE(D$4,Sheet1!$C$3,Population!$B25),Sheet1!$B$33:$H$337,D$34,FALSE)</f>
        <v>256400</v>
      </c>
      <c r="E25" s="326">
        <f>VLOOKUP(CONCATENATE(E$4,Sheet1!$C$3,Population!$B25),Sheet1!$B$33:$H$337,E$34,FALSE)</f>
        <v>259000</v>
      </c>
      <c r="F25" s="326">
        <f>VLOOKUP(CONCATENATE(F$4,Sheet1!$C$3,Population!$B25),Sheet1!$B$33:$H$337,F$34,FALSE)</f>
        <v>260300</v>
      </c>
      <c r="G25" s="326">
        <f>VLOOKUP(CONCATENATE(G$4,Sheet1!$C$3,Population!$B25),Sheet1!$B$33:$H$337,G$34,FALSE)</f>
        <v>261900</v>
      </c>
      <c r="H25" s="327">
        <f>VLOOKUP(CONCATENATE(H$4,Sheet1!$C$3,Population!$B25),Sheet1!$B$33:$H$337,H$34,FALSE)</f>
        <v>263800</v>
      </c>
      <c r="I25" s="969"/>
      <c r="J25" s="326">
        <f>VLOOKUP(CONCATENATE(J$4,Sheet1!$C$3,Population!$B25),Sheet1!$B$33:$H$337,J$34,FALSE)</f>
        <v>361000</v>
      </c>
      <c r="K25" s="326">
        <f>VLOOKUP(CONCATENATE(K$4,Sheet1!$C$3,Population!$B25),Sheet1!$B$33:$H$337,K$34,FALSE)</f>
        <v>363700</v>
      </c>
      <c r="L25" s="326">
        <f>VLOOKUP(CONCATENATE(L$4,Sheet1!$C$3,Population!$B25),Sheet1!$B$33:$H$337,L$34,FALSE)</f>
        <v>364500</v>
      </c>
      <c r="M25" s="326">
        <f>VLOOKUP(CONCATENATE(M$4,Sheet1!$C$3,Population!$B25),Sheet1!$B$33:$H$337,M$34,FALSE)</f>
        <v>366100</v>
      </c>
      <c r="N25" s="327">
        <f>VLOOKUP(CONCATENATE(N$4,Sheet1!$C$3,Population!$B25),Sheet1!$B$33:$H$337,N$34,FALSE)</f>
        <v>368400</v>
      </c>
      <c r="O25" s="969"/>
      <c r="P25" s="326">
        <f>VLOOKUP(CONCATENATE(P$4,Sheet1!$C$3,Population!$B25),Sheet1!$B$33:$H$337,P$34,FALSE)</f>
        <v>36700</v>
      </c>
      <c r="Q25" s="326">
        <f>VLOOKUP(CONCATENATE(Q$4,Sheet1!$C$3,Population!$B25),Sheet1!$B$33:$H$337,Q$34,FALSE)</f>
        <v>36600</v>
      </c>
      <c r="R25" s="326">
        <f>VLOOKUP(CONCATENATE(R$4,Sheet1!$C$3,Population!$B25),Sheet1!$B$33:$H$337,R$34,FALSE)</f>
        <v>37200</v>
      </c>
      <c r="S25" s="326">
        <f>VLOOKUP(CONCATENATE(S$4,Sheet1!$C$3,Population!$B25),Sheet1!$B$33:$H$337,S$34,FALSE)</f>
        <v>37500</v>
      </c>
      <c r="T25" s="327">
        <f>VLOOKUP(CONCATENATE(T$4,Sheet1!$C$3,Population!$B25),Sheet1!$B$33:$H$337,T$34,FALSE)</f>
        <v>37488</v>
      </c>
      <c r="U25" s="284"/>
      <c r="V25" s="91"/>
      <c r="W25" s="74"/>
      <c r="X25" s="74"/>
      <c r="Y25" s="74"/>
      <c r="Z25" s="74"/>
      <c r="AA25" s="74"/>
      <c r="AB25" s="75"/>
      <c r="AC25" s="75"/>
    </row>
    <row r="26" spans="1:29" s="86" customFormat="1" ht="13.5" customHeight="1" x14ac:dyDescent="0.2">
      <c r="A26" s="488">
        <f>VLOOKUP(B26,Sheet1!$AQ$4:$AR$25,2,FALSE)</f>
        <v>0</v>
      </c>
      <c r="B26" s="737" t="s">
        <v>113</v>
      </c>
      <c r="C26" s="975"/>
      <c r="D26" s="326">
        <f>VLOOKUP(CONCATENATE(D$4,Sheet1!$C$3,Population!$B26),Sheet1!$B$33:$H$337,D$34,FALSE)</f>
        <v>49000</v>
      </c>
      <c r="E26" s="326">
        <f>VLOOKUP(CONCATENATE(E$4,Sheet1!$C$3,Population!$B26),Sheet1!$B$33:$H$337,E$34,FALSE)</f>
        <v>49500</v>
      </c>
      <c r="F26" s="326">
        <f>VLOOKUP(CONCATENATE(F$4,Sheet1!$C$3,Population!$B26),Sheet1!$B$33:$H$337,F$34,FALSE)</f>
        <v>49900</v>
      </c>
      <c r="G26" s="326">
        <f>VLOOKUP(CONCATENATE(G$4,Sheet1!$C$3,Population!$B26),Sheet1!$B$33:$H$337,G$34,FALSE)</f>
        <v>50200</v>
      </c>
      <c r="H26" s="327">
        <f>VLOOKUP(CONCATENATE(H$4,Sheet1!$C$3,Population!$B26),Sheet1!$B$33:$H$337,H$34,FALSE)</f>
        <v>50400</v>
      </c>
      <c r="I26" s="969"/>
      <c r="J26" s="326">
        <f>VLOOKUP(CONCATENATE(J$4,Sheet1!$C$3,Population!$B26),Sheet1!$B$33:$H$337,J$34,FALSE)</f>
        <v>68100</v>
      </c>
      <c r="K26" s="326">
        <f>VLOOKUP(CONCATENATE(K$4,Sheet1!$C$3,Population!$B26),Sheet1!$B$33:$H$337,K$34,FALSE)</f>
        <v>68000</v>
      </c>
      <c r="L26" s="326">
        <f>VLOOKUP(CONCATENATE(L$4,Sheet1!$C$3,Population!$B26),Sheet1!$B$33:$H$337,L$34,FALSE)</f>
        <v>68300</v>
      </c>
      <c r="M26" s="326">
        <f>VLOOKUP(CONCATENATE(M$4,Sheet1!$C$3,Population!$B26),Sheet1!$B$33:$H$337,M$34,FALSE)</f>
        <v>68700</v>
      </c>
      <c r="N26" s="327">
        <f>VLOOKUP(CONCATENATE(N$4,Sheet1!$C$3,Population!$B26),Sheet1!$B$33:$H$337,N$34,FALSE)</f>
        <v>68400</v>
      </c>
      <c r="O26" s="969"/>
      <c r="P26" s="326">
        <f>VLOOKUP(CONCATENATE(P$4,Sheet1!$C$3,Population!$B26),Sheet1!$B$33:$H$337,P$34,FALSE)</f>
        <v>6500</v>
      </c>
      <c r="Q26" s="326">
        <f>VLOOKUP(CONCATENATE(Q$4,Sheet1!$C$3,Population!$B26),Sheet1!$B$33:$H$337,Q$34,FALSE)</f>
        <v>6300</v>
      </c>
      <c r="R26" s="326">
        <f>VLOOKUP(CONCATENATE(R$4,Sheet1!$C$3,Population!$B26),Sheet1!$B$33:$H$337,R$34,FALSE)</f>
        <v>6300</v>
      </c>
      <c r="S26" s="326">
        <f>VLOOKUP(CONCATENATE(S$4,Sheet1!$C$3,Population!$B26),Sheet1!$B$33:$H$337,S$34,FALSE)</f>
        <v>6300</v>
      </c>
      <c r="T26" s="327">
        <f>VLOOKUP(CONCATENATE(T$4,Sheet1!$C$3,Population!$B26),Sheet1!$B$33:$H$337,T$34,FALSE)</f>
        <v>6173</v>
      </c>
      <c r="U26" s="284"/>
      <c r="V26" s="91"/>
      <c r="W26" s="74"/>
      <c r="X26" s="74"/>
      <c r="Y26" s="74"/>
      <c r="Z26" s="74"/>
      <c r="AA26" s="74"/>
      <c r="AB26" s="75"/>
      <c r="AC26" s="75"/>
    </row>
    <row r="27" spans="1:29" s="86" customFormat="1" ht="13.5" customHeight="1" x14ac:dyDescent="0.2">
      <c r="A27" s="488">
        <f>VLOOKUP(B27,Sheet1!$AQ$4:$AR$25,2,FALSE)</f>
        <v>0</v>
      </c>
      <c r="B27" s="737" t="s">
        <v>114</v>
      </c>
      <c r="C27" s="975"/>
      <c r="D27" s="326">
        <f>VLOOKUP(CONCATENATE(D$4,Sheet1!$C$3,Population!$B27),Sheet1!$B$33:$H$337,D$34,FALSE)</f>
        <v>25200</v>
      </c>
      <c r="E27" s="326">
        <f>VLOOKUP(CONCATENATE(E$4,Sheet1!$C$3,Population!$B27),Sheet1!$B$33:$H$337,E$34,FALSE)</f>
        <v>25400</v>
      </c>
      <c r="F27" s="326">
        <f>VLOOKUP(CONCATENATE(F$4,Sheet1!$C$3,Population!$B27),Sheet1!$B$33:$H$337,F$34,FALSE)</f>
        <v>25400</v>
      </c>
      <c r="G27" s="326">
        <f>VLOOKUP(CONCATENATE(G$4,Sheet1!$C$3,Population!$B27),Sheet1!$B$33:$H$337,G$34,FALSE)</f>
        <v>25400</v>
      </c>
      <c r="H27" s="327">
        <f>VLOOKUP(CONCATENATE(H$4,Sheet1!$C$3,Population!$B27),Sheet1!$B$33:$H$337,H$34,FALSE)</f>
        <v>25600</v>
      </c>
      <c r="I27" s="969"/>
      <c r="J27" s="326">
        <f>VLOOKUP(CONCATENATE(J$4,Sheet1!$C$3,Population!$B27),Sheet1!$B$33:$H$337,J$34,FALSE)</f>
        <v>36100</v>
      </c>
      <c r="K27" s="326">
        <f>VLOOKUP(CONCATENATE(K$4,Sheet1!$C$3,Population!$B27),Sheet1!$B$33:$H$337,K$34,FALSE)</f>
        <v>36000</v>
      </c>
      <c r="L27" s="326">
        <f>VLOOKUP(CONCATENATE(L$4,Sheet1!$C$3,Population!$B27),Sheet1!$B$33:$H$337,L$34,FALSE)</f>
        <v>35900</v>
      </c>
      <c r="M27" s="326">
        <f>VLOOKUP(CONCATENATE(M$4,Sheet1!$C$3,Population!$B27),Sheet1!$B$33:$H$337,M$34,FALSE)</f>
        <v>35700</v>
      </c>
      <c r="N27" s="327">
        <f>VLOOKUP(CONCATENATE(N$4,Sheet1!$C$3,Population!$B27),Sheet1!$B$33:$H$337,N$34,FALSE)</f>
        <v>35300</v>
      </c>
      <c r="O27" s="969"/>
      <c r="P27" s="326">
        <f>VLOOKUP(CONCATENATE(P$4,Sheet1!$C$3,Population!$B27),Sheet1!$B$33:$H$337,P$34,FALSE)</f>
        <v>3800</v>
      </c>
      <c r="Q27" s="326">
        <f>VLOOKUP(CONCATENATE(Q$4,Sheet1!$C$3,Population!$B27),Sheet1!$B$33:$H$337,Q$34,FALSE)</f>
        <v>3700</v>
      </c>
      <c r="R27" s="326">
        <f>VLOOKUP(CONCATENATE(R$4,Sheet1!$C$3,Population!$B27),Sheet1!$B$33:$H$337,R$34,FALSE)</f>
        <v>3600</v>
      </c>
      <c r="S27" s="326">
        <f>VLOOKUP(CONCATENATE(S$4,Sheet1!$C$3,Population!$B27),Sheet1!$B$33:$H$337,S$34,FALSE)</f>
        <v>3500</v>
      </c>
      <c r="T27" s="327">
        <f>VLOOKUP(CONCATENATE(T$4,Sheet1!$C$3,Population!$B27),Sheet1!$B$33:$H$337,T$34,FALSE)</f>
        <v>3378</v>
      </c>
      <c r="U27" s="284"/>
      <c r="V27" s="91"/>
      <c r="W27" s="74"/>
      <c r="X27" s="74"/>
      <c r="Y27" s="74"/>
      <c r="Z27" s="74"/>
      <c r="AA27" s="74"/>
      <c r="AB27" s="75"/>
      <c r="AC27" s="75"/>
    </row>
    <row r="28" spans="1:29" s="86" customFormat="1" ht="13.5" customHeight="1" x14ac:dyDescent="0.2">
      <c r="A28" s="488">
        <f>VLOOKUP(B28,Sheet1!$AQ$4:$AR$25,2,FALSE)</f>
        <v>0</v>
      </c>
      <c r="B28" s="737" t="s">
        <v>15</v>
      </c>
      <c r="C28" s="975"/>
      <c r="D28" s="326">
        <f>VLOOKUP(CONCATENATE(D$4,Sheet1!$C$3,Population!$B28),Sheet1!$B$33:$H$337,D$34,FALSE)</f>
        <v>35700</v>
      </c>
      <c r="E28" s="326">
        <f>VLOOKUP(CONCATENATE(E$4,Sheet1!$C$3,Population!$B28),Sheet1!$B$33:$H$337,E$34,FALSE)</f>
        <v>35900</v>
      </c>
      <c r="F28" s="326">
        <f>VLOOKUP(CONCATENATE(F$4,Sheet1!$C$3,Population!$B28),Sheet1!$B$33:$H$337,F$34,FALSE)</f>
        <v>35800</v>
      </c>
      <c r="G28" s="326">
        <f>VLOOKUP(CONCATENATE(G$4,Sheet1!$C$3,Population!$B28),Sheet1!$B$33:$H$337,G$34,FALSE)</f>
        <v>35600</v>
      </c>
      <c r="H28" s="327">
        <f>VLOOKUP(CONCATENATE(H$4,Sheet1!$C$3,Population!$B28),Sheet1!$B$33:$H$337,H$34,FALSE)</f>
        <v>35600</v>
      </c>
      <c r="I28" s="969"/>
      <c r="J28" s="326">
        <f>VLOOKUP(CONCATENATE(J$4,Sheet1!$C$3,Population!$B28),Sheet1!$B$33:$H$337,J$34,FALSE)</f>
        <v>48200</v>
      </c>
      <c r="K28" s="326">
        <f>VLOOKUP(CONCATENATE(K$4,Sheet1!$C$3,Population!$B28),Sheet1!$B$33:$H$337,K$34,FALSE)</f>
        <v>48400</v>
      </c>
      <c r="L28" s="326">
        <f>VLOOKUP(CONCATENATE(L$4,Sheet1!$C$3,Population!$B28),Sheet1!$B$33:$H$337,L$34,FALSE)</f>
        <v>47900</v>
      </c>
      <c r="M28" s="326">
        <f>VLOOKUP(CONCATENATE(M$4,Sheet1!$C$3,Population!$B28),Sheet1!$B$33:$H$337,M$34,FALSE)</f>
        <v>47700</v>
      </c>
      <c r="N28" s="327">
        <f>VLOOKUP(CONCATENATE(N$4,Sheet1!$C$3,Population!$B28),Sheet1!$B$33:$H$337,N$34,FALSE)</f>
        <v>47400</v>
      </c>
      <c r="O28" s="969"/>
      <c r="P28" s="326">
        <f>VLOOKUP(CONCATENATE(P$4,Sheet1!$C$3,Population!$B28),Sheet1!$B$33:$H$337,P$34,FALSE)</f>
        <v>3800</v>
      </c>
      <c r="Q28" s="326">
        <f>VLOOKUP(CONCATENATE(Q$4,Sheet1!$C$3,Population!$B28),Sheet1!$B$33:$H$337,Q$34,FALSE)</f>
        <v>3900</v>
      </c>
      <c r="R28" s="326">
        <f>VLOOKUP(CONCATENATE(R$4,Sheet1!$C$3,Population!$B28),Sheet1!$B$33:$H$337,R$34,FALSE)</f>
        <v>3800</v>
      </c>
      <c r="S28" s="326">
        <f>VLOOKUP(CONCATENATE(S$4,Sheet1!$C$3,Population!$B28),Sheet1!$B$33:$H$337,S$34,FALSE)</f>
        <v>3800</v>
      </c>
      <c r="T28" s="327">
        <f>VLOOKUP(CONCATENATE(T$4,Sheet1!$C$3,Population!$B28),Sheet1!$B$33:$H$337,T$34,FALSE)</f>
        <v>3750</v>
      </c>
      <c r="U28" s="284"/>
      <c r="V28" s="91"/>
      <c r="W28" s="74"/>
      <c r="X28" s="74"/>
      <c r="Y28" s="74"/>
      <c r="Z28" s="74"/>
      <c r="AA28" s="74"/>
      <c r="AB28" s="75"/>
      <c r="AC28" s="75"/>
    </row>
    <row r="29" spans="1:29" s="86" customFormat="1" ht="13.5" customHeight="1" x14ac:dyDescent="0.2">
      <c r="A29" s="488">
        <f>VLOOKUP(B29,Sheet1!$AQ$4:$AR$25,2,FALSE)</f>
        <v>0</v>
      </c>
      <c r="B29" s="737" t="s">
        <v>5</v>
      </c>
      <c r="C29" s="975"/>
      <c r="D29" s="326">
        <f>VLOOKUP(CONCATENATE(D$4,Sheet1!$C$3,Population!$B29),Sheet1!$B$33:$H$337,D$34,FALSE)</f>
        <v>170400</v>
      </c>
      <c r="E29" s="326">
        <f>VLOOKUP(CONCATENATE(E$4,Sheet1!$C$3,Population!$B29),Sheet1!$B$33:$H$337,E$34,FALSE)</f>
        <v>171800</v>
      </c>
      <c r="F29" s="326">
        <f>VLOOKUP(CONCATENATE(F$4,Sheet1!$C$3,Population!$B29),Sheet1!$B$33:$H$337,F$34,FALSE)</f>
        <v>173300</v>
      </c>
      <c r="G29" s="326">
        <f>VLOOKUP(CONCATENATE(G$4,Sheet1!$C$3,Population!$B29),Sheet1!$B$33:$H$337,G$34,FALSE)</f>
        <v>174700</v>
      </c>
      <c r="H29" s="327">
        <f>VLOOKUP(CONCATENATE(H$4,Sheet1!$C$3,Population!$B29),Sheet1!$B$33:$H$337,H$34,FALSE)</f>
        <v>176100</v>
      </c>
      <c r="I29" s="969"/>
      <c r="J29" s="326">
        <f>VLOOKUP(CONCATENATE(J$4,Sheet1!$C$3,Population!$B29),Sheet1!$B$33:$H$337,J$34,FALSE)</f>
        <v>237300</v>
      </c>
      <c r="K29" s="326">
        <f>VLOOKUP(CONCATENATE(K$4,Sheet1!$C$3,Population!$B29),Sheet1!$B$33:$H$337,K$34,FALSE)</f>
        <v>238400</v>
      </c>
      <c r="L29" s="326">
        <f>VLOOKUP(CONCATENATE(L$4,Sheet1!$C$3,Population!$B29),Sheet1!$B$33:$H$337,L$34,FALSE)</f>
        <v>238300</v>
      </c>
      <c r="M29" s="326">
        <f>VLOOKUP(CONCATENATE(M$4,Sheet1!$C$3,Population!$B29),Sheet1!$B$33:$H$337,M$34,FALSE)</f>
        <v>239100</v>
      </c>
      <c r="N29" s="327">
        <f>VLOOKUP(CONCATENATE(N$4,Sheet1!$C$3,Population!$B29),Sheet1!$B$33:$H$337,N$34,FALSE)</f>
        <v>239200</v>
      </c>
      <c r="O29" s="969"/>
      <c r="P29" s="326">
        <f>VLOOKUP(CONCATENATE(P$4,Sheet1!$C$3,Population!$B29),Sheet1!$B$33:$H$337,P$34,FALSE)</f>
        <v>23500</v>
      </c>
      <c r="Q29" s="326">
        <f>VLOOKUP(CONCATENATE(Q$4,Sheet1!$C$3,Population!$B29),Sheet1!$B$33:$H$337,Q$34,FALSE)</f>
        <v>23100</v>
      </c>
      <c r="R29" s="326">
        <f>VLOOKUP(CONCATENATE(R$4,Sheet1!$C$3,Population!$B29),Sheet1!$B$33:$H$337,R$34,FALSE)</f>
        <v>22800</v>
      </c>
      <c r="S29" s="326">
        <f>VLOOKUP(CONCATENATE(S$4,Sheet1!$C$3,Population!$B29),Sheet1!$B$33:$H$337,S$34,FALSE)</f>
        <v>22500</v>
      </c>
      <c r="T29" s="327">
        <f>VLOOKUP(CONCATENATE(T$4,Sheet1!$C$3,Population!$B29),Sheet1!$B$33:$H$337,T$34,FALSE)</f>
        <v>21481</v>
      </c>
      <c r="U29" s="284"/>
      <c r="V29" s="91"/>
      <c r="W29" s="74"/>
      <c r="X29" s="74"/>
      <c r="Y29" s="74"/>
      <c r="Z29" s="74"/>
      <c r="AA29" s="74"/>
      <c r="AB29" s="75"/>
      <c r="AC29" s="75"/>
    </row>
    <row r="30" spans="1:29" s="86" customFormat="1" ht="13.5" customHeight="1" x14ac:dyDescent="0.2">
      <c r="A30" s="488">
        <f>VLOOKUP(B30,Sheet1!$AQ$4:$AR$25,2,FALSE)</f>
        <v>0</v>
      </c>
      <c r="B30" s="93" t="s">
        <v>30</v>
      </c>
      <c r="C30" s="975"/>
      <c r="D30" s="326">
        <f>VLOOKUP(CONCATENATE(D$4,Sheet1!$C$3,Population!$B30),Sheet1!$B$33:$H$337,D$34,FALSE)</f>
        <v>33700</v>
      </c>
      <c r="E30" s="326">
        <f>VLOOKUP(CONCATENATE(E$4,Sheet1!$C$3,Population!$B30),Sheet1!$B$33:$H$337,E$34,FALSE)</f>
        <v>34200</v>
      </c>
      <c r="F30" s="326">
        <f>VLOOKUP(CONCATENATE(F$4,Sheet1!$C$3,Population!$B30),Sheet1!$B$33:$H$337,F$34,FALSE)</f>
        <v>34400</v>
      </c>
      <c r="G30" s="326">
        <f>VLOOKUP(CONCATENATE(G$4,Sheet1!$C$3,Population!$B30),Sheet1!$B$33:$H$337,G$34,FALSE)</f>
        <v>34600</v>
      </c>
      <c r="H30" s="327">
        <f>VLOOKUP(CONCATENATE(H$4,Sheet1!$C$3,Population!$B30),Sheet1!$B$33:$H$337,H$34,FALSE)</f>
        <v>34700</v>
      </c>
      <c r="I30" s="969"/>
      <c r="J30" s="326">
        <f>VLOOKUP(CONCATENATE(J$4,Sheet1!$C$3,Population!$B30),Sheet1!$B$33:$H$337,J$34,FALSE)</f>
        <v>44500</v>
      </c>
      <c r="K30" s="326">
        <f>VLOOKUP(CONCATENATE(K$4,Sheet1!$C$3,Population!$B30),Sheet1!$B$33:$H$337,K$34,FALSE)</f>
        <v>45000</v>
      </c>
      <c r="L30" s="326">
        <f>VLOOKUP(CONCATENATE(L$4,Sheet1!$C$3,Population!$B30),Sheet1!$B$33:$H$337,L$34,FALSE)</f>
        <v>44900</v>
      </c>
      <c r="M30" s="326">
        <f>VLOOKUP(CONCATENATE(M$4,Sheet1!$C$3,Population!$B30),Sheet1!$B$33:$H$337,M$34,FALSE)</f>
        <v>45200</v>
      </c>
      <c r="N30" s="327">
        <f>VLOOKUP(CONCATENATE(N$4,Sheet1!$C$3,Population!$B30),Sheet1!$B$33:$H$337,N$34,FALSE)</f>
        <v>45500</v>
      </c>
      <c r="O30" s="969"/>
      <c r="P30" s="326">
        <f>VLOOKUP(CONCATENATE(P$4,Sheet1!$C$3,Population!$B30),Sheet1!$B$33:$H$337,P$34,FALSE)</f>
        <v>3100</v>
      </c>
      <c r="Q30" s="326">
        <f>VLOOKUP(CONCATENATE(Q$4,Sheet1!$C$3,Population!$B30),Sheet1!$B$33:$H$337,Q$34,FALSE)</f>
        <v>3100</v>
      </c>
      <c r="R30" s="326">
        <f>VLOOKUP(CONCATENATE(R$4,Sheet1!$C$3,Population!$B30),Sheet1!$B$33:$H$337,R$34,FALSE)</f>
        <v>3100</v>
      </c>
      <c r="S30" s="326">
        <f>VLOOKUP(CONCATENATE(S$4,Sheet1!$C$3,Population!$B30),Sheet1!$B$33:$H$337,S$34,FALSE)</f>
        <v>3200</v>
      </c>
      <c r="T30" s="327">
        <f>VLOOKUP(CONCATENATE(T$4,Sheet1!$C$3,Population!$B30),Sheet1!$B$33:$H$337,T$34,FALSE)</f>
        <v>3330</v>
      </c>
      <c r="U30" s="284"/>
      <c r="V30" s="91"/>
      <c r="W30" s="74"/>
      <c r="X30" s="74"/>
      <c r="Y30" s="74"/>
      <c r="Z30" s="74"/>
      <c r="AA30" s="74"/>
      <c r="AB30" s="75"/>
      <c r="AC30" s="75"/>
    </row>
    <row r="31" spans="1:29" s="86" customFormat="1" ht="13.5" customHeight="1" x14ac:dyDescent="0.2">
      <c r="A31" s="488">
        <f>VLOOKUP(B31,Sheet1!$AQ$4:$AR$25,2,FALSE)</f>
        <v>0</v>
      </c>
      <c r="B31" s="737" t="s">
        <v>16</v>
      </c>
      <c r="C31" s="975"/>
      <c r="D31" s="326">
        <f>VLOOKUP(CONCATENATE(D$4,Sheet1!$C$3,Population!$B31),Sheet1!$B$33:$H$337,D$34,FALSE)</f>
        <v>37300</v>
      </c>
      <c r="E31" s="326">
        <f>VLOOKUP(CONCATENATE(E$4,Sheet1!$C$3,Population!$B31),Sheet1!$B$33:$H$337,E$34,FALSE)</f>
        <v>38000</v>
      </c>
      <c r="F31" s="326">
        <f>VLOOKUP(CONCATENATE(F$4,Sheet1!$C$3,Population!$B31),Sheet1!$B$33:$H$337,F$34,FALSE)</f>
        <v>38700</v>
      </c>
      <c r="G31" s="326">
        <f>VLOOKUP(CONCATENATE(G$4,Sheet1!$C$3,Population!$B31),Sheet1!$B$33:$H$337,G$34,FALSE)</f>
        <v>39500</v>
      </c>
      <c r="H31" s="327">
        <f>VLOOKUP(CONCATENATE(H$4,Sheet1!$C$3,Population!$B31),Sheet1!$B$33:$H$337,H$34,FALSE)</f>
        <v>40400</v>
      </c>
      <c r="I31" s="969"/>
      <c r="J31" s="326">
        <f>VLOOKUP(CONCATENATE(J$4,Sheet1!$C$3,Population!$B31),Sheet1!$B$33:$H$337,J$34,FALSE)</f>
        <v>49600</v>
      </c>
      <c r="K31" s="326">
        <f>VLOOKUP(CONCATENATE(K$4,Sheet1!$C$3,Population!$B31),Sheet1!$B$33:$H$337,K$34,FALSE)</f>
        <v>50500</v>
      </c>
      <c r="L31" s="326">
        <f>VLOOKUP(CONCATENATE(L$4,Sheet1!$C$3,Population!$B31),Sheet1!$B$33:$H$337,L$34,FALSE)</f>
        <v>51500</v>
      </c>
      <c r="M31" s="326">
        <f>VLOOKUP(CONCATENATE(M$4,Sheet1!$C$3,Population!$B31),Sheet1!$B$33:$H$337,M$34,FALSE)</f>
        <v>52300</v>
      </c>
      <c r="N31" s="327">
        <f>VLOOKUP(CONCATENATE(N$4,Sheet1!$C$3,Population!$B31),Sheet1!$B$33:$H$337,N$34,FALSE)</f>
        <v>53500</v>
      </c>
      <c r="O31" s="969"/>
      <c r="P31" s="326">
        <f>VLOOKUP(CONCATENATE(P$4,Sheet1!$C$3,Population!$B31),Sheet1!$B$33:$H$337,P$34,FALSE)</f>
        <v>4400</v>
      </c>
      <c r="Q31" s="326">
        <f>VLOOKUP(CONCATENATE(Q$4,Sheet1!$C$3,Population!$B31),Sheet1!$B$33:$H$337,Q$34,FALSE)</f>
        <v>4300</v>
      </c>
      <c r="R31" s="326">
        <f>VLOOKUP(CONCATENATE(R$4,Sheet1!$C$3,Population!$B31),Sheet1!$B$33:$H$337,R$34,FALSE)</f>
        <v>4400</v>
      </c>
      <c r="S31" s="326">
        <f>VLOOKUP(CONCATENATE(S$4,Sheet1!$C$3,Population!$B31),Sheet1!$B$33:$H$337,S$34,FALSE)</f>
        <v>4400</v>
      </c>
      <c r="T31" s="327">
        <f>VLOOKUP(CONCATENATE(T$4,Sheet1!$C$3,Population!$B31),Sheet1!$B$33:$H$337,T$34,FALSE)</f>
        <v>4402</v>
      </c>
      <c r="U31" s="284"/>
      <c r="V31" s="91"/>
      <c r="W31" s="74"/>
      <c r="X31" s="74"/>
      <c r="Y31" s="74"/>
      <c r="Z31" s="74"/>
      <c r="AA31" s="74"/>
      <c r="AB31" s="75"/>
      <c r="AC31" s="75"/>
    </row>
    <row r="32" spans="1:29" s="86" customFormat="1" ht="13.5" customHeight="1" x14ac:dyDescent="0.2">
      <c r="A32" s="283"/>
      <c r="B32" s="129" t="s">
        <v>74</v>
      </c>
      <c r="C32" s="975"/>
      <c r="D32" s="978">
        <f>VLOOKUP(CONCATENATE(D$4,Sheet1!$C$3,Population!$B32),Sheet1!$B$33:$H$337,D$34,FALSE)</f>
        <v>1918100</v>
      </c>
      <c r="E32" s="978">
        <f>VLOOKUP(CONCATENATE(E$4,Sheet1!$C$3,Population!$B32),Sheet1!$B$33:$H$337,E$34,FALSE)</f>
        <v>1933200</v>
      </c>
      <c r="F32" s="978">
        <f>VLOOKUP(CONCATENATE(F$4,Sheet1!$C$3,Population!$B32),Sheet1!$B$33:$H$337,F$34,FALSE)</f>
        <v>1943900</v>
      </c>
      <c r="G32" s="978">
        <f>VLOOKUP(CONCATENATE(G$4,Sheet1!$C$3,Population!$B32),Sheet1!$B$33:$H$337,G$34,FALSE)</f>
        <v>1957500</v>
      </c>
      <c r="H32" s="979">
        <f>VLOOKUP(CONCATENATE(H$4,Sheet1!$C$3,Population!$B32),Sheet1!$B$33:$H$337,H$34,FALSE)</f>
        <v>1969300</v>
      </c>
      <c r="I32" s="969"/>
      <c r="J32" s="978">
        <f>VLOOKUP(CONCATENATE(J$4,Sheet1!$C$3,Population!$B32),Sheet1!$B$33:$H$337,J$34,FALSE)</f>
        <v>2790900</v>
      </c>
      <c r="K32" s="978">
        <f>VLOOKUP(CONCATENATE(K$4,Sheet1!$C$3,Population!$B32),Sheet1!$B$33:$H$337,K$34,FALSE)</f>
        <v>2807300</v>
      </c>
      <c r="L32" s="978">
        <f>VLOOKUP(CONCATENATE(L$4,Sheet1!$C$3,Population!$B32),Sheet1!$B$33:$H$337,L$34,FALSE)</f>
        <v>2808300</v>
      </c>
      <c r="M32" s="978">
        <f>VLOOKUP(CONCATENATE(M$4,Sheet1!$C$3,Population!$B32),Sheet1!$B$33:$H$337,M$34,FALSE)</f>
        <v>2813800</v>
      </c>
      <c r="N32" s="979">
        <f>VLOOKUP(CONCATENATE(N$4,Sheet1!$C$3,Population!$B32),Sheet1!$B$33:$H$337,N$34,FALSE)</f>
        <v>2814900</v>
      </c>
      <c r="O32" s="969"/>
      <c r="P32" s="978">
        <f>VLOOKUP(CONCATENATE(P$4,Sheet1!$C$3,Population!$B32),Sheet1!$B$33:$H$337,P$34,FALSE)</f>
        <v>320000</v>
      </c>
      <c r="Q32" s="978">
        <f>VLOOKUP(CONCATENATE(Q$4,Sheet1!$C$3,Population!$B32),Sheet1!$B$33:$H$337,Q$34,FALSE)</f>
        <v>319700</v>
      </c>
      <c r="R32" s="978">
        <f>VLOOKUP(CONCATENATE(R$4,Sheet1!$C$3,Population!$B32),Sheet1!$B$33:$H$337,R$34,FALSE)</f>
        <v>318600</v>
      </c>
      <c r="S32" s="978">
        <f>VLOOKUP(CONCATENATE(S$4,Sheet1!$C$3,Population!$B32),Sheet1!$B$33:$H$337,S$34,FALSE)</f>
        <v>317600</v>
      </c>
      <c r="T32" s="979">
        <f>VLOOKUP(CONCATENATE(T$4,Sheet1!$C$3,Population!$B32),Sheet1!$B$33:$H$337,T$34,FALSE)</f>
        <v>310458</v>
      </c>
      <c r="U32" s="284"/>
      <c r="V32" s="91"/>
      <c r="W32" s="74"/>
      <c r="X32" s="74"/>
      <c r="Y32" s="74"/>
      <c r="Z32" s="74"/>
      <c r="AA32" s="74"/>
      <c r="AB32" s="75"/>
      <c r="AC32" s="75"/>
    </row>
    <row r="33" spans="1:30" s="86" customFormat="1" ht="13.5" customHeight="1" x14ac:dyDescent="0.2">
      <c r="A33" s="283"/>
      <c r="B33" s="738" t="s">
        <v>127</v>
      </c>
      <c r="C33" s="975"/>
      <c r="D33" s="977">
        <f>VLOOKUP(CONCATENATE(D$4,Sheet1!$C$3,Population!$B33),Sheet1!$B$33:$H$337,D$34,FALSE)</f>
        <v>11677900</v>
      </c>
      <c r="E33" s="977">
        <f>VLOOKUP(CONCATENATE(E$4,Sheet1!$C$3,Population!$B33),Sheet1!$B$33:$H$337,E$34,FALSE)</f>
        <v>11785300</v>
      </c>
      <c r="F33" s="977">
        <f>VLOOKUP(CONCATENATE(F$4,Sheet1!$C$3,Population!$B33),Sheet1!$B$33:$H$337,F$34,FALSE)</f>
        <v>11867000</v>
      </c>
      <c r="G33" s="977">
        <f>VLOOKUP(CONCATENATE(G$4,Sheet1!$C$3,Population!$B33),Sheet1!$B$33:$H$337,G$34,FALSE)</f>
        <v>11954600</v>
      </c>
      <c r="H33" s="980">
        <f>VLOOKUP(CONCATENATE(H$4,Sheet1!$C$3,Population!$B33),Sheet1!$B$33:$H$337,H$34,FALSE)</f>
        <v>12023600</v>
      </c>
      <c r="I33" s="969"/>
      <c r="J33" s="977">
        <f>VLOOKUP(CONCATENATE(J$4,Sheet1!$C$3,Population!$B33),Sheet1!$B$33:$H$337,J$34,FALSE)</f>
        <v>17352600</v>
      </c>
      <c r="K33" s="977">
        <f>VLOOKUP(CONCATENATE(K$4,Sheet1!$C$3,Population!$B33),Sheet1!$B$33:$H$337,K$34,FALSE)</f>
        <v>17440500</v>
      </c>
      <c r="L33" s="977">
        <f>VLOOKUP(CONCATENATE(L$4,Sheet1!$C$3,Population!$B33),Sheet1!$B$33:$H$337,L$34,FALSE)</f>
        <v>17452600</v>
      </c>
      <c r="M33" s="977">
        <f>VLOOKUP(CONCATENATE(M$4,Sheet1!$C$3,Population!$B33),Sheet1!$B$33:$H$337,M$34,FALSE)</f>
        <v>17493000</v>
      </c>
      <c r="N33" s="980">
        <f>VLOOKUP(CONCATENATE(N$4,Sheet1!$C$3,Population!$B33),Sheet1!$B$33:$H$337,N$34,FALSE)</f>
        <v>17510800</v>
      </c>
      <c r="O33" s="969"/>
      <c r="P33" s="977">
        <f>VLOOKUP(CONCATENATE(P$4,Sheet1!$C$3,Population!$B33),Sheet1!$B$33:$H$337,P$34,FALSE)</f>
        <v>2042300</v>
      </c>
      <c r="Q33" s="977">
        <f>VLOOKUP(CONCATENATE(Q$4,Sheet1!$C$3,Population!$B33),Sheet1!$B$33:$H$337,Q$34,FALSE)</f>
        <v>2038900</v>
      </c>
      <c r="R33" s="977">
        <f>VLOOKUP(CONCATENATE(R$4,Sheet1!$C$3,Population!$B33),Sheet1!$B$33:$H$337,R$34,FALSE)</f>
        <v>2029700</v>
      </c>
      <c r="S33" s="977">
        <f>VLOOKUP(CONCATENATE(S$4,Sheet1!$C$3,Population!$B33),Sheet1!$B$33:$H$337,S$34,FALSE)</f>
        <v>2020500</v>
      </c>
      <c r="T33" s="980">
        <f>VLOOKUP(CONCATENATE(T$4,Sheet1!$C$3,Population!$B33),Sheet1!$B$33:$H$337,T$34,FALSE)</f>
        <v>1987585</v>
      </c>
      <c r="U33" s="284"/>
      <c r="V33" s="91"/>
      <c r="W33" s="74"/>
      <c r="X33" s="74"/>
      <c r="Y33" s="74"/>
      <c r="Z33" s="74"/>
      <c r="AA33" s="74"/>
      <c r="AB33" s="75"/>
      <c r="AC33" s="75"/>
    </row>
    <row r="34" spans="1:30" ht="3.95" customHeight="1" x14ac:dyDescent="0.2">
      <c r="A34" s="280"/>
      <c r="B34" s="968"/>
      <c r="C34" s="975"/>
      <c r="D34" s="969">
        <v>3</v>
      </c>
      <c r="E34" s="969">
        <v>4</v>
      </c>
      <c r="F34" s="969">
        <v>5</v>
      </c>
      <c r="G34" s="969">
        <v>6</v>
      </c>
      <c r="H34" s="969">
        <v>7</v>
      </c>
      <c r="I34" s="969"/>
      <c r="J34" s="969">
        <v>3</v>
      </c>
      <c r="K34" s="969">
        <v>4</v>
      </c>
      <c r="L34" s="969">
        <v>5</v>
      </c>
      <c r="M34" s="969">
        <v>6</v>
      </c>
      <c r="N34" s="969">
        <v>7</v>
      </c>
      <c r="O34" s="969"/>
      <c r="P34" s="969">
        <v>3</v>
      </c>
      <c r="Q34" s="969">
        <v>4</v>
      </c>
      <c r="R34" s="969">
        <v>5</v>
      </c>
      <c r="S34" s="969">
        <v>6</v>
      </c>
      <c r="T34" s="969">
        <v>7</v>
      </c>
      <c r="U34" s="279"/>
      <c r="V34" s="89"/>
    </row>
    <row r="35" spans="1:30" ht="13.5" customHeight="1" x14ac:dyDescent="0.2">
      <c r="A35" s="280"/>
      <c r="B35" s="20"/>
      <c r="C35" s="20"/>
      <c r="D35" s="20"/>
      <c r="E35" s="20"/>
      <c r="F35" s="20"/>
      <c r="G35" s="20"/>
      <c r="H35" s="20"/>
      <c r="I35" s="20"/>
      <c r="J35" s="20"/>
      <c r="K35" s="20"/>
      <c r="L35" s="20"/>
      <c r="M35" s="20"/>
      <c r="N35" s="20"/>
      <c r="O35" s="20"/>
      <c r="P35" s="20"/>
      <c r="Q35" s="20"/>
      <c r="R35" s="20"/>
      <c r="S35" s="20"/>
      <c r="T35" s="21"/>
      <c r="U35" s="279"/>
      <c r="V35" s="137"/>
    </row>
    <row r="36" spans="1:30" ht="15" customHeight="1" x14ac:dyDescent="0.2">
      <c r="A36" s="285"/>
      <c r="B36" s="15"/>
      <c r="C36" s="15"/>
      <c r="D36" s="15"/>
      <c r="E36" s="15"/>
      <c r="F36" s="15"/>
      <c r="G36" s="15"/>
      <c r="H36" s="15"/>
      <c r="I36" s="15"/>
      <c r="J36" s="15"/>
      <c r="K36" s="15"/>
      <c r="L36" s="15"/>
      <c r="M36" s="15"/>
      <c r="N36" s="15"/>
      <c r="O36" s="15"/>
      <c r="P36" s="15"/>
      <c r="Q36" s="15"/>
      <c r="R36" s="15"/>
      <c r="S36" s="15"/>
      <c r="T36" s="15"/>
      <c r="U36" s="279"/>
      <c r="V36" s="137"/>
    </row>
    <row r="37" spans="1:30" ht="13.5" customHeight="1" x14ac:dyDescent="0.2">
      <c r="A37" s="242"/>
      <c r="B37" s="243"/>
      <c r="C37" s="974"/>
      <c r="D37" s="263"/>
      <c r="E37" s="263"/>
      <c r="F37" s="263"/>
      <c r="G37" s="263"/>
      <c r="H37" s="243"/>
      <c r="I37" s="974"/>
      <c r="J37" s="243"/>
      <c r="K37" s="243"/>
      <c r="L37" s="243"/>
      <c r="M37" s="243"/>
      <c r="N37" s="243"/>
      <c r="O37" s="243"/>
      <c r="P37" s="974"/>
      <c r="Q37" s="974"/>
      <c r="R37" s="243"/>
      <c r="S37" s="974"/>
      <c r="T37" s="974"/>
      <c r="U37" s="1301"/>
      <c r="V37" s="137"/>
    </row>
    <row r="38" spans="1:30" ht="36.75" customHeight="1" x14ac:dyDescent="0.2">
      <c r="A38" s="237"/>
      <c r="B38" s="238"/>
      <c r="C38" s="238"/>
      <c r="D38" s="998" t="s">
        <v>717</v>
      </c>
      <c r="E38" s="998" t="s">
        <v>717</v>
      </c>
      <c r="F38" s="998" t="s">
        <v>717</v>
      </c>
      <c r="G38" s="998" t="s">
        <v>717</v>
      </c>
      <c r="H38" s="998" t="s">
        <v>717</v>
      </c>
      <c r="I38" s="998"/>
      <c r="J38" s="999" t="s">
        <v>167</v>
      </c>
      <c r="K38" s="999" t="s">
        <v>167</v>
      </c>
      <c r="L38" s="999" t="s">
        <v>167</v>
      </c>
      <c r="M38" s="999" t="s">
        <v>167</v>
      </c>
      <c r="N38" s="999" t="s">
        <v>167</v>
      </c>
      <c r="O38" s="999"/>
      <c r="P38" s="998" t="s">
        <v>763</v>
      </c>
      <c r="Q38" s="998" t="s">
        <v>763</v>
      </c>
      <c r="R38" s="998" t="s">
        <v>763</v>
      </c>
      <c r="S38" s="998" t="s">
        <v>763</v>
      </c>
      <c r="T38" s="998" t="s">
        <v>763</v>
      </c>
      <c r="U38" s="1302"/>
      <c r="V38" s="89"/>
    </row>
    <row r="39" spans="1:30" s="78" customFormat="1" ht="15" customHeight="1" x14ac:dyDescent="0.2">
      <c r="A39" s="281"/>
      <c r="C39" s="975"/>
      <c r="D39" s="1718" t="s">
        <v>722</v>
      </c>
      <c r="E39" s="1719"/>
      <c r="F39" s="1719"/>
      <c r="G39" s="1719"/>
      <c r="H39" s="1720"/>
      <c r="I39" s="20"/>
      <c r="J39" s="1718" t="s">
        <v>748</v>
      </c>
      <c r="K39" s="1719"/>
      <c r="L39" s="1719"/>
      <c r="M39" s="1719"/>
      <c r="N39" s="1720"/>
      <c r="O39" s="20"/>
      <c r="P39" s="1718" t="s">
        <v>765</v>
      </c>
      <c r="Q39" s="1719"/>
      <c r="R39" s="1719"/>
      <c r="S39" s="1719"/>
      <c r="T39" s="1720"/>
      <c r="U39" s="282"/>
      <c r="V39" s="90"/>
      <c r="W39" s="74"/>
      <c r="X39" s="74"/>
      <c r="Y39" s="74"/>
      <c r="Z39" s="74"/>
      <c r="AA39" s="74"/>
      <c r="AB39" s="75"/>
      <c r="AC39" s="75"/>
      <c r="AD39" s="75"/>
    </row>
    <row r="40" spans="1:30" ht="13.5" customHeight="1" x14ac:dyDescent="0.2">
      <c r="A40" s="280"/>
      <c r="B40" s="973"/>
      <c r="C40" s="975"/>
      <c r="D40" s="1721"/>
      <c r="E40" s="1722"/>
      <c r="F40" s="1722"/>
      <c r="G40" s="1722"/>
      <c r="H40" s="1723"/>
      <c r="I40" s="20"/>
      <c r="J40" s="1721"/>
      <c r="K40" s="1722"/>
      <c r="L40" s="1722"/>
      <c r="M40" s="1722"/>
      <c r="N40" s="1723"/>
      <c r="O40" s="20"/>
      <c r="P40" s="1721"/>
      <c r="Q40" s="1722"/>
      <c r="R40" s="1722"/>
      <c r="S40" s="1722"/>
      <c r="T40" s="1723"/>
      <c r="U40" s="279"/>
      <c r="V40" s="89"/>
    </row>
    <row r="41" spans="1:30" ht="13.5" customHeight="1" x14ac:dyDescent="0.2">
      <c r="A41" s="280"/>
      <c r="B41" s="1724" t="s">
        <v>709</v>
      </c>
      <c r="C41" s="975"/>
      <c r="D41" s="786" t="str">
        <f>Sheet1!D$27</f>
        <v>2015-16</v>
      </c>
      <c r="E41" s="786" t="str">
        <f>Sheet1!E$27</f>
        <v>2016-17</v>
      </c>
      <c r="F41" s="786" t="str">
        <f>Sheet1!F$27</f>
        <v>2017-18</v>
      </c>
      <c r="G41" s="786" t="str">
        <f>Sheet1!G$27</f>
        <v>2018-19</v>
      </c>
      <c r="H41" s="1489" t="str">
        <f>Sheet1!H$27</f>
        <v>2019-20</v>
      </c>
      <c r="I41" s="20"/>
      <c r="J41" s="786" t="str">
        <f>Sheet1!$D$27</f>
        <v>2015-16</v>
      </c>
      <c r="K41" s="787" t="str">
        <f>Sheet1!$E$27</f>
        <v>2016-17</v>
      </c>
      <c r="L41" s="787" t="str">
        <f>Sheet1!$F$27</f>
        <v>2017-18</v>
      </c>
      <c r="M41" s="787" t="str">
        <f>Sheet1!$G$27</f>
        <v>2018-19</v>
      </c>
      <c r="N41" s="788" t="str">
        <f>Sheet1!$H$27</f>
        <v>2019-20</v>
      </c>
      <c r="O41" s="20"/>
      <c r="P41" s="786" t="str">
        <f>Sheet1!$D$27</f>
        <v>2015-16</v>
      </c>
      <c r="Q41" s="787" t="str">
        <f>Sheet1!$E$27</f>
        <v>2016-17</v>
      </c>
      <c r="R41" s="787" t="str">
        <f>Sheet1!$F$27</f>
        <v>2017-18</v>
      </c>
      <c r="S41" s="787" t="str">
        <f>Sheet1!$G$27</f>
        <v>2018-19</v>
      </c>
      <c r="T41" s="788" t="str">
        <f>Sheet1!$H$27</f>
        <v>2019-20</v>
      </c>
      <c r="U41" s="279"/>
      <c r="V41" s="89"/>
    </row>
    <row r="42" spans="1:30" ht="13.5" customHeight="1" x14ac:dyDescent="0.2">
      <c r="A42" s="280"/>
      <c r="B42" s="1724"/>
      <c r="C42" s="975"/>
      <c r="D42" s="782" t="str">
        <f>IF(Sheet1!$C$3="Annual","",Sheet1!$D$28)</f>
        <v/>
      </c>
      <c r="E42" s="782" t="str">
        <f>IF(Sheet1!$C$3="Annual","",Sheet1!$E$28)</f>
        <v/>
      </c>
      <c r="F42" s="782" t="str">
        <f>IF(Sheet1!$C$3="Annual","",Sheet1!$F$28)</f>
        <v/>
      </c>
      <c r="G42" s="782" t="str">
        <f>IF(Sheet1!$C$3="Annual","",Sheet1!$G$28)</f>
        <v/>
      </c>
      <c r="H42" s="783" t="str">
        <f>IF(Sheet1!$C$3="Annual","",Sheet1!$H$28)</f>
        <v/>
      </c>
      <c r="I42" s="20"/>
      <c r="J42" s="782" t="str">
        <f>IF(Sheet1!$C$3="Annual","",Sheet1!$D$28)</f>
        <v/>
      </c>
      <c r="K42" s="782" t="str">
        <f>IF(Sheet1!$C$3="Annual","",Sheet1!$E$28)</f>
        <v/>
      </c>
      <c r="L42" s="782" t="str">
        <f>IF(Sheet1!$C$3="Annual","",Sheet1!$F$28)</f>
        <v/>
      </c>
      <c r="M42" s="782" t="str">
        <f>IF(Sheet1!$C$3="Annual","",Sheet1!$G$28)</f>
        <v/>
      </c>
      <c r="N42" s="783" t="str">
        <f>IF(Sheet1!$C$3="Annual","",Sheet1!$H$28)</f>
        <v/>
      </c>
      <c r="O42" s="20"/>
      <c r="P42" s="782" t="str">
        <f>IF(Sheet1!$C$3="Annual","",Sheet1!$D$28)</f>
        <v/>
      </c>
      <c r="Q42" s="782" t="str">
        <f>IF(Sheet1!$C$3="Annual","",Sheet1!$E$28)</f>
        <v/>
      </c>
      <c r="R42" s="782" t="str">
        <f>IF(Sheet1!$C$3="Annual","",Sheet1!$F$28)</f>
        <v/>
      </c>
      <c r="S42" s="782" t="str">
        <f>IF(Sheet1!$C$3="Annual","",Sheet1!$G$28)</f>
        <v/>
      </c>
      <c r="T42" s="783" t="str">
        <f>IF(Sheet1!$C$3="Annual","",Sheet1!$H$28)</f>
        <v/>
      </c>
      <c r="U42" s="279"/>
      <c r="V42" s="89"/>
    </row>
    <row r="43" spans="1:30" ht="21.75" customHeight="1" x14ac:dyDescent="0.2">
      <c r="A43" s="966"/>
      <c r="B43" s="1729" t="s">
        <v>710</v>
      </c>
      <c r="C43" s="975"/>
      <c r="D43" s="1733" t="str">
        <f>VLOOKUP(CONCATENATE(D$38,Sheet1!$C$3,Population!$A43),Sheet1!$B$33:$H$337,D$34,FALSE)</f>
        <v>mid-2015</v>
      </c>
      <c r="E43" s="1733" t="str">
        <f>VLOOKUP(CONCATENATE(E$38,Sheet1!$C$3,Population!$A43),Sheet1!$B$33:$H$337,E$34,FALSE)</f>
        <v>mid-2016</v>
      </c>
      <c r="F43" s="1733" t="str">
        <f>VLOOKUP(CONCATENATE(F$38,Sheet1!$C$3,Population!$A43),Sheet1!$B$33:$H$337,F$34,FALSE)</f>
        <v>mid-2017</v>
      </c>
      <c r="G43" s="1733" t="str">
        <f>VLOOKUP(CONCATENATE(G$38,Sheet1!$C$3,Population!$A43),Sheet1!$B$33:$H$337,G$34,FALSE)</f>
        <v>mid-2018</v>
      </c>
      <c r="H43" s="1731" t="str">
        <f>VLOOKUP(CONCATENATE(H$38,Sheet1!$C$3,Population!$A43),Sheet1!$B$33:$H$337,H$34,FALSE)</f>
        <v>mid-2019</v>
      </c>
      <c r="I43" s="20"/>
      <c r="J43" s="1725">
        <f>VLOOKUP(CONCATENATE(J$38,Sheet1!$C$3,Population!$A43),Sheet1!$B$33:$H$337,J$34,FALSE)</f>
        <v>42430</v>
      </c>
      <c r="K43" s="1725">
        <f>VLOOKUP(CONCATENATE(K$38,Sheet1!$C$3,Population!$A43),Sheet1!$B$33:$H$337,K$34,FALSE)</f>
        <v>42795</v>
      </c>
      <c r="L43" s="1725">
        <f>VLOOKUP(CONCATENATE(L$38,Sheet1!$C$3,Population!$A43),Sheet1!$B$33:$H$337,L$34,FALSE)</f>
        <v>43160</v>
      </c>
      <c r="M43" s="1725">
        <f>VLOOKUP(CONCATENATE(M$38,Sheet1!$C$3,Population!$A43),Sheet1!$B$33:$H$337,M$34,FALSE)</f>
        <v>43525</v>
      </c>
      <c r="N43" s="1727">
        <f>VLOOKUP(CONCATENATE(N$38,Sheet1!$C$3,Population!$A43),Sheet1!$B$33:$H$337,N$34,FALSE)</f>
        <v>43891</v>
      </c>
      <c r="O43" s="20"/>
      <c r="P43" s="1725" t="str">
        <f>VLOOKUP(CONCATENATE(P$38,Sheet1!$C$3,Population!$A43),Sheet1!$B$33:$H$437,P$34,FALSE)</f>
        <v>-</v>
      </c>
      <c r="Q43" s="1725" t="str">
        <f>VLOOKUP(CONCATENATE(Q$38,Sheet1!$C$3,Population!$A43),Sheet1!$B$33:$H$437,Q$34,FALSE)</f>
        <v>-</v>
      </c>
      <c r="R43" s="1725" t="str">
        <f>VLOOKUP(CONCATENATE(R$38,Sheet1!$C$3,Population!$A43),Sheet1!$B$33:$H$437,R$34,FALSE)</f>
        <v>mid-2017</v>
      </c>
      <c r="S43" s="1725" t="str">
        <f>VLOOKUP(CONCATENATE(S$38,Sheet1!$C$3,Population!$A43),Sheet1!$B$33:$H$437,S$34,FALSE)</f>
        <v>mid-2018</v>
      </c>
      <c r="T43" s="1727" t="str">
        <f>VLOOKUP(CONCATENATE(T$38,Sheet1!$C$3,Population!$A43),Sheet1!$B$33:$H$437,T$34,FALSE)</f>
        <v>mid-2019</v>
      </c>
      <c r="U43" s="279"/>
      <c r="V43" s="89"/>
    </row>
    <row r="44" spans="1:30" ht="15" customHeight="1" x14ac:dyDescent="0.2">
      <c r="A44" s="966"/>
      <c r="B44" s="1730"/>
      <c r="C44" s="975"/>
      <c r="D44" s="1734"/>
      <c r="E44" s="1734"/>
      <c r="F44" s="1734"/>
      <c r="G44" s="1734"/>
      <c r="H44" s="1732"/>
      <c r="I44" s="20"/>
      <c r="J44" s="1726"/>
      <c r="K44" s="1726"/>
      <c r="L44" s="1726"/>
      <c r="M44" s="1726"/>
      <c r="N44" s="1728"/>
      <c r="O44" s="20"/>
      <c r="P44" s="1726"/>
      <c r="Q44" s="1726"/>
      <c r="R44" s="1726"/>
      <c r="S44" s="1726"/>
      <c r="T44" s="1728"/>
      <c r="U44" s="279"/>
      <c r="V44" s="89"/>
    </row>
    <row r="45" spans="1:30" s="86" customFormat="1" ht="13.5" customHeight="1" x14ac:dyDescent="0.2">
      <c r="A45" s="488">
        <f>VLOOKUP(B45,Sheet1!$AQ$4:$AR$25,2,FALSE)</f>
        <v>0</v>
      </c>
      <c r="B45" s="737" t="s">
        <v>0</v>
      </c>
      <c r="C45" s="975"/>
      <c r="D45" s="326">
        <f>VLOOKUP(CONCATENATE(D$38,Sheet1!$C$3,Population!$B45),Sheet1!$B$33:$H$337,D$34,FALSE)</f>
        <v>11846</v>
      </c>
      <c r="E45" s="326">
        <f>VLOOKUP(CONCATENATE(E$38,Sheet1!$C$3,Population!$B45),Sheet1!$B$33:$H$337,E$34,FALSE)</f>
        <v>12000</v>
      </c>
      <c r="F45" s="326">
        <f>VLOOKUP(CONCATENATE(F$38,Sheet1!$C$3,Population!$B45),Sheet1!$B$33:$H$337,F$34,FALSE)</f>
        <v>12100</v>
      </c>
      <c r="G45" s="326">
        <f>VLOOKUP(CONCATENATE(G$38,Sheet1!$C$3,Population!$B45),Sheet1!$B$33:$H$337,G$34,FALSE)</f>
        <v>12447</v>
      </c>
      <c r="H45" s="976">
        <f>VLOOKUP(CONCATENATE(H$38,Sheet1!$C$3,Population!$B45),Sheet1!$B$33:$H$337,H$34,FALSE)</f>
        <v>12881</v>
      </c>
      <c r="I45" s="20"/>
      <c r="J45" s="326">
        <f>VLOOKUP(CONCATENATE(J$38,Sheet1!$C$3,Population!$B45),Sheet1!$B$33:$H$337,J$34,FALSE)</f>
        <v>2456</v>
      </c>
      <c r="K45" s="326">
        <f>VLOOKUP(CONCATENATE(K$38,Sheet1!$C$3,Population!$B45),Sheet1!$B$33:$H$337,K$34,FALSE)</f>
        <v>2359</v>
      </c>
      <c r="L45" s="326">
        <f>VLOOKUP(CONCATENATE(L$38,Sheet1!$C$3,Population!$B45),Sheet1!$B$33:$H$337,L$34,FALSE)</f>
        <v>2550</v>
      </c>
      <c r="M45" s="326">
        <f>VLOOKUP(CONCATENATE(M$38,Sheet1!$C$3,Population!$B45),Sheet1!$B$33:$H$337,M$34,FALSE)</f>
        <v>2186</v>
      </c>
      <c r="N45" s="327">
        <f>VLOOKUP(CONCATENATE(N$38,Sheet1!$C$3,Population!$B45),Sheet1!$B$33:$H$337,N$34,FALSE)</f>
        <v>2212</v>
      </c>
      <c r="O45" s="20"/>
      <c r="P45" s="326" t="str">
        <f>VLOOKUP(CONCATENATE(P$38,Sheet1!$C$3,Population!$B45),Sheet1!$B$33:$H$437,P$34,FALSE)</f>
        <v>-</v>
      </c>
      <c r="Q45" s="326" t="str">
        <f>VLOOKUP(CONCATENATE(Q$38,Sheet1!$C$3,Population!$B45),Sheet1!$B$33:$H$437,Q$34,FALSE)</f>
        <v>-</v>
      </c>
      <c r="R45" s="326">
        <f>VLOOKUP(CONCATENATE(R$38,Sheet1!$C$3,Population!$B45),Sheet1!$B$33:$H$437,R$34,FALSE)</f>
        <v>17400</v>
      </c>
      <c r="S45" s="326">
        <f>VLOOKUP(CONCATENATE(S$38,Sheet1!$C$3,Population!$B45),Sheet1!$B$33:$H$437,S$34,FALSE)</f>
        <v>17900</v>
      </c>
      <c r="T45" s="327">
        <f>VLOOKUP(CONCATENATE(T$38,Sheet1!$C$3,Population!$B45),Sheet1!$B$33:$H$437,T$34,FALSE)</f>
        <v>18075</v>
      </c>
      <c r="U45" s="284"/>
      <c r="V45" s="91"/>
      <c r="W45" s="74"/>
      <c r="X45" s="74"/>
      <c r="Y45" s="74"/>
      <c r="Z45" s="74"/>
      <c r="AA45" s="74"/>
      <c r="AB45" s="75"/>
    </row>
    <row r="46" spans="1:30" s="86" customFormat="1" ht="13.5" customHeight="1" x14ac:dyDescent="0.2">
      <c r="A46" s="488">
        <f>VLOOKUP(B46,Sheet1!$AQ$4:$AR$25,2,FALSE)</f>
        <v>0</v>
      </c>
      <c r="B46" s="93" t="s">
        <v>31</v>
      </c>
      <c r="C46" s="975"/>
      <c r="D46" s="326">
        <f>VLOOKUP(CONCATENATE(D$38,Sheet1!$C$3,Population!$B46),Sheet1!$B$33:$H$337,D$34,FALSE)</f>
        <v>21570</v>
      </c>
      <c r="E46" s="326">
        <f>VLOOKUP(CONCATENATE(E$38,Sheet1!$C$3,Population!$B46),Sheet1!$B$33:$H$337,E$34,FALSE)</f>
        <v>21800</v>
      </c>
      <c r="F46" s="326">
        <f>VLOOKUP(CONCATENATE(F$38,Sheet1!$C$3,Population!$B46),Sheet1!$B$33:$H$337,F$34,FALSE)</f>
        <v>22000</v>
      </c>
      <c r="G46" s="326">
        <f>VLOOKUP(CONCATENATE(G$38,Sheet1!$C$3,Population!$B46),Sheet1!$B$33:$H$337,G$34,FALSE)</f>
        <v>22524</v>
      </c>
      <c r="H46" s="327">
        <f>VLOOKUP(CONCATENATE(H$38,Sheet1!$C$3,Population!$B46),Sheet1!$B$33:$H$337,H$34,FALSE)</f>
        <v>22498</v>
      </c>
      <c r="I46" s="20"/>
      <c r="J46" s="326">
        <f>VLOOKUP(CONCATENATE(J$38,Sheet1!$C$3,Population!$B46),Sheet1!$B$33:$H$337,J$34,FALSE)</f>
        <v>4849</v>
      </c>
      <c r="K46" s="326">
        <f>VLOOKUP(CONCATENATE(K$38,Sheet1!$C$3,Population!$B46),Sheet1!$B$33:$H$337,K$34,FALSE)</f>
        <v>4769</v>
      </c>
      <c r="L46" s="326">
        <f>VLOOKUP(CONCATENATE(L$38,Sheet1!$C$3,Population!$B46),Sheet1!$B$33:$H$337,L$34,FALSE)</f>
        <v>4868</v>
      </c>
      <c r="M46" s="326">
        <f>VLOOKUP(CONCATENATE(M$38,Sheet1!$C$3,Population!$B46),Sheet1!$B$33:$H$337,M$34,FALSE)</f>
        <v>4902</v>
      </c>
      <c r="N46" s="327">
        <f>VLOOKUP(CONCATENATE(N$38,Sheet1!$C$3,Population!$B46),Sheet1!$B$33:$H$337,N$34,FALSE)</f>
        <v>4769</v>
      </c>
      <c r="O46" s="20"/>
      <c r="P46" s="326" t="str">
        <f>VLOOKUP(CONCATENATE(P$38,Sheet1!$C$3,Population!$B46),Sheet1!$B$33:$H$437,P$34,FALSE)</f>
        <v>-</v>
      </c>
      <c r="Q46" s="326" t="str">
        <f>VLOOKUP(CONCATENATE(Q$38,Sheet1!$C$3,Population!$B46),Sheet1!$B$33:$H$437,Q$34,FALSE)</f>
        <v>-</v>
      </c>
      <c r="R46" s="326">
        <f>VLOOKUP(CONCATENATE(R$38,Sheet1!$C$3,Population!$B46),Sheet1!$B$33:$H$437,R$34,FALSE)</f>
        <v>31200</v>
      </c>
      <c r="S46" s="326">
        <f>VLOOKUP(CONCATENATE(S$38,Sheet1!$C$3,Population!$B46),Sheet1!$B$33:$H$437,S$34,FALSE)</f>
        <v>31600</v>
      </c>
      <c r="T46" s="327">
        <f>VLOOKUP(CONCATENATE(T$38,Sheet1!$C$3,Population!$B46),Sheet1!$B$33:$H$437,T$34,FALSE)</f>
        <v>31487</v>
      </c>
      <c r="U46" s="284"/>
      <c r="V46" s="91"/>
      <c r="W46" s="74"/>
      <c r="X46" s="74"/>
      <c r="Y46" s="74"/>
      <c r="Z46" s="74"/>
      <c r="AA46" s="74"/>
      <c r="AB46" s="75"/>
    </row>
    <row r="47" spans="1:30" s="86" customFormat="1" ht="13.5" customHeight="1" x14ac:dyDescent="0.2">
      <c r="A47" s="488">
        <f>VLOOKUP(B47,Sheet1!$AQ$4:$AR$25,2,FALSE)</f>
        <v>0</v>
      </c>
      <c r="B47" s="737" t="s">
        <v>8</v>
      </c>
      <c r="C47" s="975"/>
      <c r="D47" s="326">
        <f>VLOOKUP(CONCATENATE(D$38,Sheet1!$C$3,Population!$B47),Sheet1!$B$33:$H$337,D$34,FALSE)</f>
        <v>52507</v>
      </c>
      <c r="E47" s="326">
        <f>VLOOKUP(CONCATENATE(E$38,Sheet1!$C$3,Population!$B47),Sheet1!$B$33:$H$337,E$34,FALSE)</f>
        <v>53100</v>
      </c>
      <c r="F47" s="326">
        <f>VLOOKUP(CONCATENATE(F$38,Sheet1!$C$3,Population!$B47),Sheet1!$B$33:$H$337,F$34,FALSE)</f>
        <v>53800</v>
      </c>
      <c r="G47" s="326">
        <f>VLOOKUP(CONCATENATE(G$38,Sheet1!$C$3,Population!$B47),Sheet1!$B$33:$H$337,G$34,FALSE)</f>
        <v>54966</v>
      </c>
      <c r="H47" s="327">
        <f>VLOOKUP(CONCATENATE(H$38,Sheet1!$C$3,Population!$B47),Sheet1!$B$33:$H$337,H$34,FALSE)</f>
        <v>56496</v>
      </c>
      <c r="I47" s="20"/>
      <c r="J47" s="326">
        <f>VLOOKUP(CONCATENATE(J$38,Sheet1!$C$3,Population!$B47),Sheet1!$B$33:$H$337,J$34,FALSE)</f>
        <v>12048</v>
      </c>
      <c r="K47" s="326">
        <f>VLOOKUP(CONCATENATE(K$38,Sheet1!$C$3,Population!$B47),Sheet1!$B$33:$H$337,K$34,FALSE)</f>
        <v>11702</v>
      </c>
      <c r="L47" s="326">
        <f>VLOOKUP(CONCATENATE(L$38,Sheet1!$C$3,Population!$B47),Sheet1!$B$33:$H$337,L$34,FALSE)</f>
        <v>11443</v>
      </c>
      <c r="M47" s="326">
        <f>VLOOKUP(CONCATENATE(M$38,Sheet1!$C$3,Population!$B47),Sheet1!$B$33:$H$337,M$34,FALSE)</f>
        <v>11580</v>
      </c>
      <c r="N47" s="327">
        <f>VLOOKUP(CONCATENATE(N$38,Sheet1!$C$3,Population!$B47),Sheet1!$B$33:$H$337,N$34,FALSE)</f>
        <v>11759</v>
      </c>
      <c r="O47" s="20"/>
      <c r="P47" s="326" t="str">
        <f>VLOOKUP(CONCATENATE(P$38,Sheet1!$C$3,Population!$B47),Sheet1!$B$33:$H$437,P$34,FALSE)</f>
        <v>-</v>
      </c>
      <c r="Q47" s="326" t="str">
        <f>VLOOKUP(CONCATENATE(Q$38,Sheet1!$C$3,Population!$B47),Sheet1!$B$33:$H$437,Q$34,FALSE)</f>
        <v>-</v>
      </c>
      <c r="R47" s="326">
        <f>VLOOKUP(CONCATENATE(R$38,Sheet1!$C$3,Population!$B47),Sheet1!$B$33:$H$437,R$34,FALSE)</f>
        <v>77300</v>
      </c>
      <c r="S47" s="326">
        <f>VLOOKUP(CONCATENATE(S$38,Sheet1!$C$3,Population!$B47),Sheet1!$B$33:$H$437,S$34,FALSE)</f>
        <v>78900</v>
      </c>
      <c r="T47" s="327">
        <f>VLOOKUP(CONCATENATE(T$38,Sheet1!$C$3,Population!$B47),Sheet1!$B$33:$H$437,T$34,FALSE)</f>
        <v>80401</v>
      </c>
      <c r="U47" s="284"/>
      <c r="V47" s="91"/>
      <c r="W47" s="74"/>
      <c r="X47" s="74"/>
      <c r="Y47" s="74"/>
      <c r="Z47" s="74"/>
      <c r="AA47" s="74"/>
      <c r="AB47" s="75"/>
    </row>
    <row r="48" spans="1:30" s="86" customFormat="1" ht="13.5" customHeight="1" x14ac:dyDescent="0.2">
      <c r="A48" s="488">
        <f>VLOOKUP(B48,Sheet1!$AQ$4:$AR$25,2,FALSE)</f>
        <v>0</v>
      </c>
      <c r="B48" s="737" t="s">
        <v>4</v>
      </c>
      <c r="C48" s="975"/>
      <c r="D48" s="326">
        <f>VLOOKUP(CONCATENATE(D$38,Sheet1!$C$3,Population!$B48),Sheet1!$B$33:$H$337,D$34,FALSE)</f>
        <v>47370</v>
      </c>
      <c r="E48" s="326">
        <f>VLOOKUP(CONCATENATE(E$38,Sheet1!$C$3,Population!$B48),Sheet1!$B$33:$H$337,E$34,FALSE)</f>
        <v>47400</v>
      </c>
      <c r="F48" s="326">
        <f>VLOOKUP(CONCATENATE(F$38,Sheet1!$C$3,Population!$B48),Sheet1!$B$33:$H$337,F$34,FALSE)</f>
        <v>47500</v>
      </c>
      <c r="G48" s="326">
        <f>VLOOKUP(CONCATENATE(G$38,Sheet1!$C$3,Population!$B48),Sheet1!$B$33:$H$337,G$34,FALSE)</f>
        <v>48105</v>
      </c>
      <c r="H48" s="327">
        <f>VLOOKUP(CONCATENATE(H$38,Sheet1!$C$3,Population!$B48),Sheet1!$B$33:$H$337,H$34,FALSE)</f>
        <v>48701</v>
      </c>
      <c r="I48" s="20"/>
      <c r="J48" s="326">
        <f>VLOOKUP(CONCATENATE(J$38,Sheet1!$C$3,Population!$B48),Sheet1!$B$33:$H$337,J$34,FALSE)</f>
        <v>11399</v>
      </c>
      <c r="K48" s="326">
        <f>VLOOKUP(CONCATENATE(K$38,Sheet1!$C$3,Population!$B48),Sheet1!$B$33:$H$337,K$34,FALSE)</f>
        <v>11146</v>
      </c>
      <c r="L48" s="326">
        <f>VLOOKUP(CONCATENATE(L$38,Sheet1!$C$3,Population!$B48),Sheet1!$B$33:$H$337,L$34,FALSE)</f>
        <v>10823</v>
      </c>
      <c r="M48" s="326">
        <f>VLOOKUP(CONCATENATE(M$38,Sheet1!$C$3,Population!$B48),Sheet1!$B$33:$H$337,M$34,FALSE)</f>
        <v>10539</v>
      </c>
      <c r="N48" s="327">
        <f>VLOOKUP(CONCATENATE(N$38,Sheet1!$C$3,Population!$B48),Sheet1!$B$33:$H$337,N$34,FALSE)</f>
        <v>10366</v>
      </c>
      <c r="O48" s="20"/>
      <c r="P48" s="326" t="str">
        <f>VLOOKUP(CONCATENATE(P$38,Sheet1!$C$3,Population!$B48),Sheet1!$B$33:$H$437,P$34,FALSE)</f>
        <v>-</v>
      </c>
      <c r="Q48" s="326" t="str">
        <f>VLOOKUP(CONCATENATE(Q$38,Sheet1!$C$3,Population!$B48),Sheet1!$B$33:$H$437,Q$34,FALSE)</f>
        <v>-</v>
      </c>
      <c r="R48" s="326">
        <f>VLOOKUP(CONCATENATE(R$38,Sheet1!$C$3,Population!$B48),Sheet1!$B$33:$H$437,R$34,FALSE)</f>
        <v>66500</v>
      </c>
      <c r="S48" s="326">
        <f>VLOOKUP(CONCATENATE(S$38,Sheet1!$C$3,Population!$B48),Sheet1!$B$33:$H$437,S$34,FALSE)</f>
        <v>67500</v>
      </c>
      <c r="T48" s="327">
        <f>VLOOKUP(CONCATENATE(T$38,Sheet1!$C$3,Population!$B48),Sheet1!$B$33:$H$437,T$34,FALSE)</f>
        <v>68185</v>
      </c>
      <c r="U48" s="284"/>
      <c r="V48" s="91"/>
      <c r="W48" s="74"/>
      <c r="X48" s="74"/>
      <c r="Y48" s="74"/>
      <c r="Z48" s="74"/>
      <c r="AA48" s="74"/>
      <c r="AB48" s="75"/>
    </row>
    <row r="49" spans="1:28" s="86" customFormat="1" ht="13.5" customHeight="1" x14ac:dyDescent="0.2">
      <c r="A49" s="488">
        <f>VLOOKUP(B49,Sheet1!$AQ$4:$AR$25,2,FALSE)</f>
        <v>0</v>
      </c>
      <c r="B49" s="93" t="s">
        <v>6</v>
      </c>
      <c r="C49" s="975"/>
      <c r="D49" s="326">
        <f>VLOOKUP(CONCATENATE(D$38,Sheet1!$C$3,Population!$B49),Sheet1!$B$33:$H$337,D$34,FALSE)</f>
        <v>123211</v>
      </c>
      <c r="E49" s="326">
        <f>VLOOKUP(CONCATENATE(E$38,Sheet1!$C$3,Population!$B49),Sheet1!$B$33:$H$337,E$34,FALSE)</f>
        <v>123600</v>
      </c>
      <c r="F49" s="326">
        <f>VLOOKUP(CONCATENATE(F$38,Sheet1!$C$3,Population!$B49),Sheet1!$B$33:$H$337,F$34,FALSE)</f>
        <v>124000</v>
      </c>
      <c r="G49" s="326">
        <f>VLOOKUP(CONCATENATE(G$38,Sheet1!$C$3,Population!$B49),Sheet1!$B$33:$H$337,G$34,FALSE)</f>
        <v>125760</v>
      </c>
      <c r="H49" s="327">
        <f>VLOOKUP(CONCATENATE(H$38,Sheet1!$C$3,Population!$B49),Sheet1!$B$33:$H$337,H$34,FALSE)</f>
        <v>127268</v>
      </c>
      <c r="I49" s="20"/>
      <c r="J49" s="326">
        <f>VLOOKUP(CONCATENATE(J$38,Sheet1!$C$3,Population!$B49),Sheet1!$B$33:$H$337,J$34,FALSE)</f>
        <v>27255</v>
      </c>
      <c r="K49" s="326">
        <f>VLOOKUP(CONCATENATE(K$38,Sheet1!$C$3,Population!$B49),Sheet1!$B$33:$H$337,K$34,FALSE)</f>
        <v>28093</v>
      </c>
      <c r="L49" s="326">
        <f>VLOOKUP(CONCATENATE(L$38,Sheet1!$C$3,Population!$B49),Sheet1!$B$33:$H$337,L$34,FALSE)</f>
        <v>28029</v>
      </c>
      <c r="M49" s="326">
        <f>VLOOKUP(CONCATENATE(M$38,Sheet1!$C$3,Population!$B49),Sheet1!$B$33:$H$337,M$34,FALSE)</f>
        <v>26921</v>
      </c>
      <c r="N49" s="327">
        <f>VLOOKUP(CONCATENATE(N$38,Sheet1!$C$3,Population!$B49),Sheet1!$B$33:$H$337,N$34,FALSE)</f>
        <v>27687</v>
      </c>
      <c r="O49" s="20"/>
      <c r="P49" s="326" t="str">
        <f>VLOOKUP(CONCATENATE(P$38,Sheet1!$C$3,Population!$B49),Sheet1!$B$33:$H$437,P$34,FALSE)</f>
        <v>-</v>
      </c>
      <c r="Q49" s="326" t="str">
        <f>VLOOKUP(CONCATENATE(Q$38,Sheet1!$C$3,Population!$B49),Sheet1!$B$33:$H$437,Q$34,FALSE)</f>
        <v>-</v>
      </c>
      <c r="R49" s="326">
        <f>VLOOKUP(CONCATENATE(R$38,Sheet1!$C$3,Population!$B49),Sheet1!$B$33:$H$437,R$34,FALSE)</f>
        <v>176600</v>
      </c>
      <c r="S49" s="326">
        <f>VLOOKUP(CONCATENATE(S$38,Sheet1!$C$3,Population!$B49),Sheet1!$B$33:$H$437,S$34,FALSE)</f>
        <v>179200</v>
      </c>
      <c r="T49" s="327">
        <f>VLOOKUP(CONCATENATE(T$38,Sheet1!$C$3,Population!$B49),Sheet1!$B$33:$H$437,T$34,FALSE)</f>
        <v>181233</v>
      </c>
      <c r="U49" s="284"/>
      <c r="V49" s="91"/>
      <c r="W49" s="74"/>
      <c r="X49" s="74"/>
      <c r="Y49" s="74"/>
      <c r="Z49" s="74"/>
      <c r="AA49" s="74"/>
      <c r="AB49" s="75"/>
    </row>
    <row r="50" spans="1:28" s="86" customFormat="1" ht="13.5" customHeight="1" x14ac:dyDescent="0.2">
      <c r="A50" s="488">
        <f>VLOOKUP(B50,Sheet1!$AQ$4:$AR$25,2,FALSE)</f>
        <v>0</v>
      </c>
      <c r="B50" s="737" t="s">
        <v>1</v>
      </c>
      <c r="C50" s="975"/>
      <c r="D50" s="326">
        <f>VLOOKUP(CONCATENATE(D$38,Sheet1!$C$3,Population!$B50),Sheet1!$B$33:$H$337,D$34,FALSE)</f>
        <v>11635</v>
      </c>
      <c r="E50" s="326">
        <f>VLOOKUP(CONCATENATE(E$38,Sheet1!$C$3,Population!$B50),Sheet1!$B$33:$H$337,E$34,FALSE)</f>
        <v>11600</v>
      </c>
      <c r="F50" s="326">
        <f>VLOOKUP(CONCATENATE(F$38,Sheet1!$C$3,Population!$B50),Sheet1!$B$33:$H$337,F$34,FALSE)</f>
        <v>11500</v>
      </c>
      <c r="G50" s="326">
        <f>VLOOKUP(CONCATENATE(G$38,Sheet1!$C$3,Population!$B50),Sheet1!$B$33:$H$337,G$34,FALSE)</f>
        <v>11376</v>
      </c>
      <c r="H50" s="327">
        <f>VLOOKUP(CONCATENATE(H$38,Sheet1!$C$3,Population!$B50),Sheet1!$B$33:$H$337,H$34,FALSE)</f>
        <v>11346</v>
      </c>
      <c r="I50" s="20"/>
      <c r="J50" s="326">
        <f>VLOOKUP(CONCATENATE(J$38,Sheet1!$C$3,Population!$B50),Sheet1!$B$33:$H$337,J$34,FALSE)</f>
        <v>2914</v>
      </c>
      <c r="K50" s="326">
        <f>VLOOKUP(CONCATENATE(K$38,Sheet1!$C$3,Population!$B50),Sheet1!$B$33:$H$337,K$34,FALSE)</f>
        <v>2870</v>
      </c>
      <c r="L50" s="326">
        <f>VLOOKUP(CONCATENATE(L$38,Sheet1!$C$3,Population!$B50),Sheet1!$B$33:$H$337,L$34,FALSE)</f>
        <v>2752</v>
      </c>
      <c r="M50" s="326">
        <f>VLOOKUP(CONCATENATE(M$38,Sheet1!$C$3,Population!$B50),Sheet1!$B$33:$H$337,M$34,FALSE)</f>
        <v>2523</v>
      </c>
      <c r="N50" s="327">
        <f>VLOOKUP(CONCATENATE(N$38,Sheet1!$C$3,Population!$B50),Sheet1!$B$33:$H$337,N$34,FALSE)</f>
        <v>2483</v>
      </c>
      <c r="O50" s="20"/>
      <c r="P50" s="326" t="str">
        <f>VLOOKUP(CONCATENATE(P$38,Sheet1!$C$3,Population!$B50),Sheet1!$B$33:$H$437,P$34,FALSE)</f>
        <v>-</v>
      </c>
      <c r="Q50" s="326" t="str">
        <f>VLOOKUP(CONCATENATE(Q$38,Sheet1!$C$3,Population!$B50),Sheet1!$B$33:$H$437,Q$34,FALSE)</f>
        <v>-</v>
      </c>
      <c r="R50" s="326">
        <f>VLOOKUP(CONCATENATE(R$38,Sheet1!$C$3,Population!$B50),Sheet1!$B$33:$H$437,R$34,FALSE)</f>
        <v>15400</v>
      </c>
      <c r="S50" s="326">
        <f>VLOOKUP(CONCATENATE(S$38,Sheet1!$C$3,Population!$B50),Sheet1!$B$33:$H$437,S$34,FALSE)</f>
        <v>15600</v>
      </c>
      <c r="T50" s="327">
        <f>VLOOKUP(CONCATENATE(T$38,Sheet1!$C$3,Population!$B50),Sheet1!$B$33:$H$437,T$34,FALSE)</f>
        <v>15801</v>
      </c>
      <c r="U50" s="284"/>
      <c r="V50" s="91"/>
      <c r="W50" s="74"/>
      <c r="X50" s="74"/>
      <c r="Y50" s="74"/>
      <c r="Z50" s="74"/>
      <c r="AA50" s="74"/>
      <c r="AB50" s="75"/>
    </row>
    <row r="51" spans="1:28" s="86" customFormat="1" ht="13.5" customHeight="1" x14ac:dyDescent="0.2">
      <c r="A51" s="488">
        <f>VLOOKUP(B51,Sheet1!$AQ$4:$AR$25,2,FALSE)</f>
        <v>0</v>
      </c>
      <c r="B51" s="737" t="s">
        <v>9</v>
      </c>
      <c r="C51" s="975"/>
      <c r="D51" s="326">
        <f>VLOOKUP(CONCATENATE(D$38,Sheet1!$C$3,Population!$B51),Sheet1!$B$33:$H$337,D$34,FALSE)</f>
        <v>144159</v>
      </c>
      <c r="E51" s="326">
        <f>VLOOKUP(CONCATENATE(E$38,Sheet1!$C$3,Population!$B51),Sheet1!$B$33:$H$337,E$34,FALSE)</f>
        <v>144500</v>
      </c>
      <c r="F51" s="326">
        <f>VLOOKUP(CONCATENATE(F$38,Sheet1!$C$3,Population!$B51),Sheet1!$B$33:$H$337,F$34,FALSE)</f>
        <v>146000</v>
      </c>
      <c r="G51" s="326">
        <f>VLOOKUP(CONCATENATE(G$38,Sheet1!$C$3,Population!$B51),Sheet1!$B$33:$H$337,G$34,FALSE)</f>
        <v>149135</v>
      </c>
      <c r="H51" s="327">
        <f>VLOOKUP(CONCATENATE(H$38,Sheet1!$C$3,Population!$B51),Sheet1!$B$33:$H$337,H$34,FALSE)</f>
        <v>152528</v>
      </c>
      <c r="I51" s="20"/>
      <c r="J51" s="326">
        <f>VLOOKUP(CONCATENATE(J$38,Sheet1!$C$3,Population!$B51),Sheet1!$B$33:$H$337,J$34,FALSE)</f>
        <v>35305</v>
      </c>
      <c r="K51" s="326">
        <f>VLOOKUP(CONCATENATE(K$38,Sheet1!$C$3,Population!$B51),Sheet1!$B$33:$H$337,K$34,FALSE)</f>
        <v>34055</v>
      </c>
      <c r="L51" s="326">
        <f>VLOOKUP(CONCATENATE(L$38,Sheet1!$C$3,Population!$B51),Sheet1!$B$33:$H$337,L$34,FALSE)</f>
        <v>33090</v>
      </c>
      <c r="M51" s="326">
        <f>VLOOKUP(CONCATENATE(M$38,Sheet1!$C$3,Population!$B51),Sheet1!$B$33:$H$337,M$34,FALSE)</f>
        <v>32582</v>
      </c>
      <c r="N51" s="327">
        <f>VLOOKUP(CONCATENATE(N$38,Sheet1!$C$3,Population!$B51),Sheet1!$B$33:$H$337,N$34,FALSE)</f>
        <v>32288</v>
      </c>
      <c r="O51" s="20"/>
      <c r="P51" s="326" t="str">
        <f>VLOOKUP(CONCATENATE(P$38,Sheet1!$C$3,Population!$B51),Sheet1!$B$33:$H$437,P$34,FALSE)</f>
        <v>-</v>
      </c>
      <c r="Q51" s="326" t="str">
        <f>VLOOKUP(CONCATENATE(Q$38,Sheet1!$C$3,Population!$B51),Sheet1!$B$33:$H$437,Q$34,FALSE)</f>
        <v>-</v>
      </c>
      <c r="R51" s="326">
        <f>VLOOKUP(CONCATENATE(R$38,Sheet1!$C$3,Population!$B51),Sheet1!$B$33:$H$437,R$34,FALSE)</f>
        <v>208500</v>
      </c>
      <c r="S51" s="326">
        <f>VLOOKUP(CONCATENATE(S$38,Sheet1!$C$3,Population!$B51),Sheet1!$B$33:$H$437,S$34,FALSE)</f>
        <v>213100</v>
      </c>
      <c r="T51" s="327">
        <f>VLOOKUP(CONCATENATE(T$38,Sheet1!$C$3,Population!$B51),Sheet1!$B$33:$H$437,T$34,FALSE)</f>
        <v>217345</v>
      </c>
      <c r="U51" s="284"/>
      <c r="V51" s="91"/>
      <c r="W51" s="74"/>
      <c r="X51" s="74"/>
      <c r="Y51" s="74"/>
      <c r="Z51" s="74"/>
      <c r="AA51" s="74"/>
      <c r="AB51" s="75"/>
    </row>
    <row r="52" spans="1:28" s="86" customFormat="1" ht="13.5" customHeight="1" x14ac:dyDescent="0.2">
      <c r="A52" s="488">
        <f>VLOOKUP(B52,Sheet1!$AQ$4:$AR$25,2,FALSE)</f>
        <v>0</v>
      </c>
      <c r="B52" s="737" t="s">
        <v>2</v>
      </c>
      <c r="C52" s="975"/>
      <c r="D52" s="326">
        <f>VLOOKUP(CONCATENATE(D$38,Sheet1!$C$3,Population!$B52),Sheet1!$B$33:$H$337,D$34,FALSE)</f>
        <v>26710</v>
      </c>
      <c r="E52" s="326">
        <f>VLOOKUP(CONCATENATE(E$38,Sheet1!$C$3,Population!$B52),Sheet1!$B$33:$H$337,E$34,FALSE)</f>
        <v>26800</v>
      </c>
      <c r="F52" s="326">
        <f>VLOOKUP(CONCATENATE(F$38,Sheet1!$C$3,Population!$B52),Sheet1!$B$33:$H$337,F$34,FALSE)</f>
        <v>26800</v>
      </c>
      <c r="G52" s="326">
        <f>VLOOKUP(CONCATENATE(G$38,Sheet1!$C$3,Population!$B52),Sheet1!$B$33:$H$337,G$34,FALSE)</f>
        <v>27033</v>
      </c>
      <c r="H52" s="327">
        <f>VLOOKUP(CONCATENATE(H$38,Sheet1!$C$3,Population!$B52),Sheet1!$B$33:$H$337,H$34,FALSE)</f>
        <v>27546</v>
      </c>
      <c r="I52" s="20"/>
      <c r="J52" s="326">
        <f>VLOOKUP(CONCATENATE(J$38,Sheet1!$C$3,Population!$B52),Sheet1!$B$33:$H$337,J$34,FALSE)</f>
        <v>6882</v>
      </c>
      <c r="K52" s="326">
        <f>VLOOKUP(CONCATENATE(K$38,Sheet1!$C$3,Population!$B52),Sheet1!$B$33:$H$337,K$34,FALSE)</f>
        <v>6765</v>
      </c>
      <c r="L52" s="326">
        <f>VLOOKUP(CONCATENATE(L$38,Sheet1!$C$3,Population!$B52),Sheet1!$B$33:$H$337,L$34,FALSE)</f>
        <v>6525</v>
      </c>
      <c r="M52" s="326">
        <f>VLOOKUP(CONCATENATE(M$38,Sheet1!$C$3,Population!$B52),Sheet1!$B$33:$H$337,M$34,FALSE)</f>
        <v>6374</v>
      </c>
      <c r="N52" s="327">
        <f>VLOOKUP(CONCATENATE(N$38,Sheet1!$C$3,Population!$B52),Sheet1!$B$33:$H$337,N$34,FALSE)</f>
        <v>6292</v>
      </c>
      <c r="O52" s="20"/>
      <c r="P52" s="326" t="str">
        <f>VLOOKUP(CONCATENATE(P$38,Sheet1!$C$3,Population!$B52),Sheet1!$B$33:$H$437,P$34,FALSE)</f>
        <v>-</v>
      </c>
      <c r="Q52" s="326" t="str">
        <f>VLOOKUP(CONCATENATE(Q$38,Sheet1!$C$3,Population!$B52),Sheet1!$B$33:$H$437,Q$34,FALSE)</f>
        <v>-</v>
      </c>
      <c r="R52" s="326">
        <f>VLOOKUP(CONCATENATE(R$38,Sheet1!$C$3,Population!$B52),Sheet1!$B$33:$H$437,R$34,FALSE)</f>
        <v>38700</v>
      </c>
      <c r="S52" s="326">
        <f>VLOOKUP(CONCATENATE(S$38,Sheet1!$C$3,Population!$B52),Sheet1!$B$33:$H$437,S$34,FALSE)</f>
        <v>39400</v>
      </c>
      <c r="T52" s="327">
        <f>VLOOKUP(CONCATENATE(T$38,Sheet1!$C$3,Population!$B52),Sheet1!$B$33:$H$437,T$34,FALSE)</f>
        <v>40103</v>
      </c>
      <c r="U52" s="284"/>
      <c r="V52" s="91"/>
      <c r="W52" s="74"/>
      <c r="X52" s="74"/>
      <c r="Y52" s="74"/>
      <c r="Z52" s="74"/>
      <c r="AA52" s="74"/>
      <c r="AB52" s="75"/>
    </row>
    <row r="53" spans="1:28" s="86" customFormat="1" ht="13.5" customHeight="1" x14ac:dyDescent="0.2">
      <c r="A53" s="488">
        <f>VLOOKUP(B53,Sheet1!$AQ$4:$AR$25,2,FALSE)</f>
        <v>0</v>
      </c>
      <c r="B53" s="737" t="s">
        <v>10</v>
      </c>
      <c r="C53" s="975"/>
      <c r="D53" s="326">
        <f>VLOOKUP(CONCATENATE(D$38,Sheet1!$C$3,Population!$B53),Sheet1!$B$33:$H$337,D$34,FALSE)</f>
        <v>25787</v>
      </c>
      <c r="E53" s="326">
        <f>VLOOKUP(CONCATENATE(E$38,Sheet1!$C$3,Population!$B53),Sheet1!$B$33:$H$337,E$34,FALSE)</f>
        <v>26400</v>
      </c>
      <c r="F53" s="326">
        <f>VLOOKUP(CONCATENATE(F$38,Sheet1!$C$3,Population!$B53),Sheet1!$B$33:$H$337,F$34,FALSE)</f>
        <v>27000</v>
      </c>
      <c r="G53" s="326">
        <f>VLOOKUP(CONCATENATE(G$38,Sheet1!$C$3,Population!$B53),Sheet1!$B$33:$H$337,G$34,FALSE)</f>
        <v>27995</v>
      </c>
      <c r="H53" s="327">
        <f>VLOOKUP(CONCATENATE(H$38,Sheet1!$C$3,Population!$B53),Sheet1!$B$33:$H$337,H$34,FALSE)</f>
        <v>29032</v>
      </c>
      <c r="I53" s="20"/>
      <c r="J53" s="326">
        <f>VLOOKUP(CONCATENATE(J$38,Sheet1!$C$3,Population!$B53),Sheet1!$B$33:$H$337,J$34,FALSE)</f>
        <v>6393</v>
      </c>
      <c r="K53" s="326">
        <f>VLOOKUP(CONCATENATE(K$38,Sheet1!$C$3,Population!$B53),Sheet1!$B$33:$H$337,K$34,FALSE)</f>
        <v>6165</v>
      </c>
      <c r="L53" s="326">
        <f>VLOOKUP(CONCATENATE(L$38,Sheet1!$C$3,Population!$B53),Sheet1!$B$33:$H$337,L$34,FALSE)</f>
        <v>6026</v>
      </c>
      <c r="M53" s="326">
        <f>VLOOKUP(CONCATENATE(M$38,Sheet1!$C$3,Population!$B53),Sheet1!$B$33:$H$337,M$34,FALSE)</f>
        <v>6073</v>
      </c>
      <c r="N53" s="327">
        <f>VLOOKUP(CONCATENATE(N$38,Sheet1!$C$3,Population!$B53),Sheet1!$B$33:$H$337,N$34,FALSE)</f>
        <v>6250</v>
      </c>
      <c r="O53" s="20"/>
      <c r="P53" s="326" t="str">
        <f>VLOOKUP(CONCATENATE(P$38,Sheet1!$C$3,Population!$B53),Sheet1!$B$33:$H$437,P$34,FALSE)</f>
        <v>-</v>
      </c>
      <c r="Q53" s="326" t="str">
        <f>VLOOKUP(CONCATENATE(Q$38,Sheet1!$C$3,Population!$B53),Sheet1!$B$33:$H$437,Q$34,FALSE)</f>
        <v>-</v>
      </c>
      <c r="R53" s="326">
        <f>VLOOKUP(CONCATENATE(R$38,Sheet1!$C$3,Population!$B53),Sheet1!$B$33:$H$437,R$34,FALSE)</f>
        <v>42000</v>
      </c>
      <c r="S53" s="326">
        <f>VLOOKUP(CONCATENATE(S$38,Sheet1!$C$3,Population!$B53),Sheet1!$B$33:$H$437,S$34,FALSE)</f>
        <v>43000</v>
      </c>
      <c r="T53" s="327">
        <f>VLOOKUP(CONCATENATE(T$38,Sheet1!$C$3,Population!$B53),Sheet1!$B$33:$H$437,T$34,FALSE)</f>
        <v>43815</v>
      </c>
      <c r="U53" s="284"/>
      <c r="V53" s="91"/>
      <c r="W53" s="74"/>
      <c r="X53" s="74"/>
      <c r="Y53" s="74"/>
      <c r="Z53" s="74"/>
      <c r="AA53" s="74"/>
      <c r="AB53" s="75"/>
    </row>
    <row r="54" spans="1:28" s="86" customFormat="1" ht="13.5" customHeight="1" x14ac:dyDescent="0.2">
      <c r="A54" s="488">
        <f>VLOOKUP(B54,Sheet1!$AQ$4:$AR$25,2,FALSE)</f>
        <v>0</v>
      </c>
      <c r="B54" s="737" t="s">
        <v>11</v>
      </c>
      <c r="C54" s="975"/>
      <c r="D54" s="326">
        <f>VLOOKUP(CONCATENATE(D$38,Sheet1!$C$3,Population!$B54),Sheet1!$B$33:$H$337,D$34,FALSE)</f>
        <v>59840</v>
      </c>
      <c r="E54" s="326">
        <f>VLOOKUP(CONCATENATE(E$38,Sheet1!$C$3,Population!$B54),Sheet1!$B$33:$H$337,E$34,FALSE)</f>
        <v>60500</v>
      </c>
      <c r="F54" s="326">
        <f>VLOOKUP(CONCATENATE(F$38,Sheet1!$C$3,Population!$B54),Sheet1!$B$33:$H$337,F$34,FALSE)</f>
        <v>61400</v>
      </c>
      <c r="G54" s="326">
        <f>VLOOKUP(CONCATENATE(G$38,Sheet1!$C$3,Population!$B54),Sheet1!$B$33:$H$337,G$34,FALSE)</f>
        <v>62607</v>
      </c>
      <c r="H54" s="327">
        <f>VLOOKUP(CONCATENATE(H$38,Sheet1!$C$3,Population!$B54),Sheet1!$B$33:$H$337,H$34,FALSE)</f>
        <v>63775</v>
      </c>
      <c r="I54" s="20"/>
      <c r="J54" s="326">
        <f>VLOOKUP(CONCATENATE(J$38,Sheet1!$C$3,Population!$B54),Sheet1!$B$33:$H$337,J$34,FALSE)</f>
        <v>12756</v>
      </c>
      <c r="K54" s="326">
        <f>VLOOKUP(CONCATENATE(K$38,Sheet1!$C$3,Population!$B54),Sheet1!$B$33:$H$337,K$34,FALSE)</f>
        <v>12707</v>
      </c>
      <c r="L54" s="326">
        <f>VLOOKUP(CONCATENATE(L$38,Sheet1!$C$3,Population!$B54),Sheet1!$B$33:$H$337,L$34,FALSE)</f>
        <v>12590</v>
      </c>
      <c r="M54" s="326">
        <f>VLOOKUP(CONCATENATE(M$38,Sheet1!$C$3,Population!$B54),Sheet1!$B$33:$H$337,M$34,FALSE)</f>
        <v>12451</v>
      </c>
      <c r="N54" s="327">
        <f>VLOOKUP(CONCATENATE(N$38,Sheet1!$C$3,Population!$B54),Sheet1!$B$33:$H$337,N$34,FALSE)</f>
        <v>12823</v>
      </c>
      <c r="O54" s="20"/>
      <c r="P54" s="326" t="str">
        <f>VLOOKUP(CONCATENATE(P$38,Sheet1!$C$3,Population!$B54),Sheet1!$B$33:$H$437,P$34,FALSE)</f>
        <v>-</v>
      </c>
      <c r="Q54" s="326" t="str">
        <f>VLOOKUP(CONCATENATE(Q$38,Sheet1!$C$3,Population!$B54),Sheet1!$B$33:$H$437,Q$34,FALSE)</f>
        <v>-</v>
      </c>
      <c r="R54" s="326">
        <f>VLOOKUP(CONCATENATE(R$38,Sheet1!$C$3,Population!$B54),Sheet1!$B$33:$H$437,R$34,FALSE)</f>
        <v>88700</v>
      </c>
      <c r="S54" s="326">
        <f>VLOOKUP(CONCATENATE(S$38,Sheet1!$C$3,Population!$B54),Sheet1!$B$33:$H$437,S$34,FALSE)</f>
        <v>90700</v>
      </c>
      <c r="T54" s="327">
        <f>VLOOKUP(CONCATENATE(T$38,Sheet1!$C$3,Population!$B54),Sheet1!$B$33:$H$437,T$34,FALSE)</f>
        <v>91941</v>
      </c>
      <c r="U54" s="284"/>
      <c r="V54" s="91"/>
      <c r="W54" s="74"/>
      <c r="X54" s="74"/>
      <c r="Y54" s="74"/>
      <c r="Z54" s="74"/>
      <c r="AA54" s="74"/>
      <c r="AB54" s="75"/>
    </row>
    <row r="55" spans="1:28" s="86" customFormat="1" ht="13.5" customHeight="1" x14ac:dyDescent="0.2">
      <c r="A55" s="488">
        <f>VLOOKUP(B55,Sheet1!$AQ$4:$AR$25,2,FALSE)</f>
        <v>0</v>
      </c>
      <c r="B55" s="737" t="s">
        <v>12</v>
      </c>
      <c r="C55" s="975"/>
      <c r="D55" s="326">
        <f>VLOOKUP(CONCATENATE(D$38,Sheet1!$C$3,Population!$B55),Sheet1!$B$33:$H$337,D$34,FALSE)</f>
        <v>17264</v>
      </c>
      <c r="E55" s="326">
        <f>VLOOKUP(CONCATENATE(E$38,Sheet1!$C$3,Population!$B55),Sheet1!$B$33:$H$337,E$34,FALSE)</f>
        <v>17500</v>
      </c>
      <c r="F55" s="326">
        <f>VLOOKUP(CONCATENATE(F$38,Sheet1!$C$3,Population!$B55),Sheet1!$B$33:$H$337,F$34,FALSE)</f>
        <v>17900</v>
      </c>
      <c r="G55" s="326">
        <f>VLOOKUP(CONCATENATE(G$38,Sheet1!$C$3,Population!$B55),Sheet1!$B$33:$H$337,G$34,FALSE)</f>
        <v>18124</v>
      </c>
      <c r="H55" s="327">
        <f>VLOOKUP(CONCATENATE(H$38,Sheet1!$C$3,Population!$B55),Sheet1!$B$33:$H$337,H$34,FALSE)</f>
        <v>18548</v>
      </c>
      <c r="I55" s="20"/>
      <c r="J55" s="326">
        <f>VLOOKUP(CONCATENATE(J$38,Sheet1!$C$3,Population!$B55),Sheet1!$B$33:$H$337,J$34,FALSE)</f>
        <v>3990</v>
      </c>
      <c r="K55" s="326">
        <f>VLOOKUP(CONCATENATE(K$38,Sheet1!$C$3,Population!$B55),Sheet1!$B$33:$H$337,K$34,FALSE)</f>
        <v>3982</v>
      </c>
      <c r="L55" s="326">
        <f>VLOOKUP(CONCATENATE(L$38,Sheet1!$C$3,Population!$B55),Sheet1!$B$33:$H$337,L$34,FALSE)</f>
        <v>3907</v>
      </c>
      <c r="M55" s="326">
        <f>VLOOKUP(CONCATENATE(M$38,Sheet1!$C$3,Population!$B55),Sheet1!$B$33:$H$337,M$34,FALSE)</f>
        <v>3719</v>
      </c>
      <c r="N55" s="327">
        <f>VLOOKUP(CONCATENATE(N$38,Sheet1!$C$3,Population!$B55),Sheet1!$B$33:$H$337,N$34,FALSE)</f>
        <v>3974</v>
      </c>
      <c r="O55" s="20"/>
      <c r="P55" s="326" t="str">
        <f>VLOOKUP(CONCATENATE(P$38,Sheet1!$C$3,Population!$B55),Sheet1!$B$33:$H$437,P$34,FALSE)</f>
        <v>-</v>
      </c>
      <c r="Q55" s="326" t="str">
        <f>VLOOKUP(CONCATENATE(Q$38,Sheet1!$C$3,Population!$B55),Sheet1!$B$33:$H$437,Q$34,FALSE)</f>
        <v>-</v>
      </c>
      <c r="R55" s="326">
        <f>VLOOKUP(CONCATENATE(R$38,Sheet1!$C$3,Population!$B55),Sheet1!$B$33:$H$437,R$34,FALSE)</f>
        <v>26800</v>
      </c>
      <c r="S55" s="326">
        <f>VLOOKUP(CONCATENATE(S$38,Sheet1!$C$3,Population!$B55),Sheet1!$B$33:$H$437,S$34,FALSE)</f>
        <v>27200</v>
      </c>
      <c r="T55" s="327">
        <f>VLOOKUP(CONCATENATE(T$38,Sheet1!$C$3,Population!$B55),Sheet1!$B$33:$H$437,T$34,FALSE)</f>
        <v>27399</v>
      </c>
      <c r="U55" s="284"/>
      <c r="V55" s="91"/>
      <c r="W55" s="74"/>
      <c r="X55" s="74"/>
      <c r="Y55" s="74"/>
      <c r="Z55" s="74"/>
      <c r="AA55" s="74"/>
      <c r="AB55" s="75"/>
    </row>
    <row r="56" spans="1:28" s="86" customFormat="1" ht="13.5" customHeight="1" x14ac:dyDescent="0.2">
      <c r="A56" s="488">
        <f>VLOOKUP(B56,Sheet1!$AQ$4:$AR$25,2,FALSE)</f>
        <v>0</v>
      </c>
      <c r="B56" s="737" t="s">
        <v>3</v>
      </c>
      <c r="C56" s="975"/>
      <c r="D56" s="326">
        <f>VLOOKUP(CONCATENATE(D$38,Sheet1!$C$3,Population!$B56),Sheet1!$B$33:$H$337,D$34,FALSE)</f>
        <v>13059</v>
      </c>
      <c r="E56" s="326">
        <f>VLOOKUP(CONCATENATE(E$38,Sheet1!$C$3,Population!$B56),Sheet1!$B$33:$H$337,E$34,FALSE)</f>
        <v>13400</v>
      </c>
      <c r="F56" s="326">
        <f>VLOOKUP(CONCATENATE(F$38,Sheet1!$C$3,Population!$B56),Sheet1!$B$33:$H$337,F$34,FALSE)</f>
        <v>13800</v>
      </c>
      <c r="G56" s="326">
        <f>VLOOKUP(CONCATENATE(G$38,Sheet1!$C$3,Population!$B56),Sheet1!$B$33:$H$337,G$34,FALSE)</f>
        <v>14250</v>
      </c>
      <c r="H56" s="327">
        <f>VLOOKUP(CONCATENATE(H$38,Sheet1!$C$3,Population!$B56),Sheet1!$B$33:$H$337,H$34,FALSE)</f>
        <v>14585</v>
      </c>
      <c r="I56" s="20"/>
      <c r="J56" s="326">
        <f>VLOOKUP(CONCATENATE(J$38,Sheet1!$C$3,Population!$B56),Sheet1!$B$33:$H$337,J$34,FALSE)</f>
        <v>3166</v>
      </c>
      <c r="K56" s="326">
        <f>VLOOKUP(CONCATENATE(K$38,Sheet1!$C$3,Population!$B56),Sheet1!$B$33:$H$337,K$34,FALSE)</f>
        <v>3116</v>
      </c>
      <c r="L56" s="326">
        <f>VLOOKUP(CONCATENATE(L$38,Sheet1!$C$3,Population!$B56),Sheet1!$B$33:$H$337,L$34,FALSE)</f>
        <v>3086</v>
      </c>
      <c r="M56" s="326">
        <f>VLOOKUP(CONCATENATE(M$38,Sheet1!$C$3,Population!$B56),Sheet1!$B$33:$H$337,M$34,FALSE)</f>
        <v>2916</v>
      </c>
      <c r="N56" s="327">
        <f>VLOOKUP(CONCATENATE(N$38,Sheet1!$C$3,Population!$B56),Sheet1!$B$33:$H$337,N$34,FALSE)</f>
        <v>3021</v>
      </c>
      <c r="O56" s="20"/>
      <c r="P56" s="326" t="str">
        <f>VLOOKUP(CONCATENATE(P$38,Sheet1!$C$3,Population!$B56),Sheet1!$B$33:$H$437,P$34,FALSE)</f>
        <v>-</v>
      </c>
      <c r="Q56" s="326" t="str">
        <f>VLOOKUP(CONCATENATE(Q$38,Sheet1!$C$3,Population!$B56),Sheet1!$B$33:$H$437,Q$34,FALSE)</f>
        <v>-</v>
      </c>
      <c r="R56" s="326">
        <f>VLOOKUP(CONCATENATE(R$38,Sheet1!$C$3,Population!$B56),Sheet1!$B$33:$H$437,R$34,FALSE)</f>
        <v>21600</v>
      </c>
      <c r="S56" s="326">
        <f>VLOOKUP(CONCATENATE(S$38,Sheet1!$C$3,Population!$B56),Sheet1!$B$33:$H$437,S$34,FALSE)</f>
        <v>22200</v>
      </c>
      <c r="T56" s="327">
        <f>VLOOKUP(CONCATENATE(T$38,Sheet1!$C$3,Population!$B56),Sheet1!$B$33:$H$437,T$34,FALSE)</f>
        <v>22525</v>
      </c>
      <c r="U56" s="284"/>
      <c r="V56" s="91"/>
      <c r="W56" s="74"/>
      <c r="X56" s="74"/>
      <c r="Y56" s="74"/>
      <c r="Z56" s="74"/>
      <c r="AA56" s="74"/>
      <c r="AB56" s="75"/>
    </row>
    <row r="57" spans="1:28" s="86" customFormat="1" ht="13.5" customHeight="1" x14ac:dyDescent="0.2">
      <c r="A57" s="488">
        <f>VLOOKUP(B57,Sheet1!$AQ$4:$AR$25,2,FALSE)</f>
        <v>0</v>
      </c>
      <c r="B57" s="737" t="s">
        <v>13</v>
      </c>
      <c r="C57" s="975"/>
      <c r="D57" s="326">
        <f>VLOOKUP(CONCATENATE(D$38,Sheet1!$C$3,Population!$B57),Sheet1!$B$33:$H$337,D$34,FALSE)</f>
        <v>15026</v>
      </c>
      <c r="E57" s="326">
        <f>VLOOKUP(CONCATENATE(E$38,Sheet1!$C$3,Population!$B57),Sheet1!$B$33:$H$337,E$34,FALSE)</f>
        <v>15500</v>
      </c>
      <c r="F57" s="326">
        <f>VLOOKUP(CONCATENATE(F$38,Sheet1!$C$3,Population!$B57),Sheet1!$B$33:$H$337,F$34,FALSE)</f>
        <v>16300</v>
      </c>
      <c r="G57" s="326">
        <f>VLOOKUP(CONCATENATE(G$38,Sheet1!$C$3,Population!$B57),Sheet1!$B$33:$H$337,G$34,FALSE)</f>
        <v>16845</v>
      </c>
      <c r="H57" s="327">
        <f>VLOOKUP(CONCATENATE(H$38,Sheet1!$C$3,Population!$B57),Sheet1!$B$33:$H$337,H$34,FALSE)</f>
        <v>17393</v>
      </c>
      <c r="I57" s="20"/>
      <c r="J57" s="326">
        <f>VLOOKUP(CONCATENATE(J$38,Sheet1!$C$3,Population!$B57),Sheet1!$B$33:$H$337,J$34,FALSE)</f>
        <v>3443</v>
      </c>
      <c r="K57" s="326">
        <f>VLOOKUP(CONCATENATE(K$38,Sheet1!$C$3,Population!$B57),Sheet1!$B$33:$H$337,K$34,FALSE)</f>
        <v>3494</v>
      </c>
      <c r="L57" s="326">
        <f>VLOOKUP(CONCATENATE(L$38,Sheet1!$C$3,Population!$B57),Sheet1!$B$33:$H$337,L$34,FALSE)</f>
        <v>3630</v>
      </c>
      <c r="M57" s="326">
        <f>VLOOKUP(CONCATENATE(M$38,Sheet1!$C$3,Population!$B57),Sheet1!$B$33:$H$337,M$34,FALSE)</f>
        <v>3722</v>
      </c>
      <c r="N57" s="327">
        <f>VLOOKUP(CONCATENATE(N$38,Sheet1!$C$3,Population!$B57),Sheet1!$B$33:$H$337,N$34,FALSE)</f>
        <v>3917</v>
      </c>
      <c r="O57" s="20"/>
      <c r="P57" s="326" t="str">
        <f>VLOOKUP(CONCATENATE(P$38,Sheet1!$C$3,Population!$B57),Sheet1!$B$33:$H$437,P$34,FALSE)</f>
        <v>-</v>
      </c>
      <c r="Q57" s="326" t="str">
        <f>VLOOKUP(CONCATENATE(Q$38,Sheet1!$C$3,Population!$B57),Sheet1!$B$33:$H$437,Q$34,FALSE)</f>
        <v>-</v>
      </c>
      <c r="R57" s="326">
        <f>VLOOKUP(CONCATENATE(R$38,Sheet1!$C$3,Population!$B57),Sheet1!$B$33:$H$437,R$34,FALSE)</f>
        <v>25500</v>
      </c>
      <c r="S57" s="326">
        <f>VLOOKUP(CONCATENATE(S$38,Sheet1!$C$3,Population!$B57),Sheet1!$B$33:$H$437,S$34,FALSE)</f>
        <v>26200</v>
      </c>
      <c r="T57" s="327">
        <f>VLOOKUP(CONCATENATE(T$38,Sheet1!$C$3,Population!$B57),Sheet1!$B$33:$H$437,T$34,FALSE)</f>
        <v>26803</v>
      </c>
      <c r="U57" s="284"/>
      <c r="V57" s="91"/>
      <c r="W57" s="74"/>
      <c r="X57" s="74"/>
      <c r="Y57" s="74"/>
      <c r="Z57" s="74"/>
      <c r="AA57" s="74"/>
      <c r="AB57" s="75"/>
    </row>
    <row r="58" spans="1:28" s="86" customFormat="1" ht="13.5" customHeight="1" x14ac:dyDescent="0.2">
      <c r="A58" s="488">
        <f>VLOOKUP(B58,Sheet1!$AQ$4:$AR$25,2,FALSE)</f>
        <v>0</v>
      </c>
      <c r="B58" s="737" t="s">
        <v>95</v>
      </c>
      <c r="C58" s="975"/>
      <c r="D58" s="326">
        <f>VLOOKUP(CONCATENATE(D$38,Sheet1!$C$3,Population!$B58),Sheet1!$B$33:$H$337,D$34,FALSE)</f>
        <v>48998</v>
      </c>
      <c r="E58" s="326">
        <f>VLOOKUP(CONCATENATE(E$38,Sheet1!$C$3,Population!$B58),Sheet1!$B$33:$H$337,E$34,FALSE)</f>
        <v>48900</v>
      </c>
      <c r="F58" s="326">
        <f>VLOOKUP(CONCATENATE(F$38,Sheet1!$C$3,Population!$B58),Sheet1!$B$33:$H$337,F$34,FALSE)</f>
        <v>49000</v>
      </c>
      <c r="G58" s="326">
        <f>VLOOKUP(CONCATENATE(G$38,Sheet1!$C$3,Population!$B58),Sheet1!$B$33:$H$337,G$34,FALSE)</f>
        <v>49514</v>
      </c>
      <c r="H58" s="327">
        <f>VLOOKUP(CONCATENATE(H$38,Sheet1!$C$3,Population!$B58),Sheet1!$B$33:$H$337,H$34,FALSE)</f>
        <v>50492</v>
      </c>
      <c r="I58" s="20"/>
      <c r="J58" s="326">
        <f>VLOOKUP(CONCATENATE(J$38,Sheet1!$C$3,Population!$B58),Sheet1!$B$33:$H$337,J$34,FALSE)</f>
        <v>11916</v>
      </c>
      <c r="K58" s="326">
        <f>VLOOKUP(CONCATENATE(K$38,Sheet1!$C$3,Population!$B58),Sheet1!$B$33:$H$337,K$34,FALSE)</f>
        <v>11647</v>
      </c>
      <c r="L58" s="326">
        <f>VLOOKUP(CONCATENATE(L$38,Sheet1!$C$3,Population!$B58),Sheet1!$B$33:$H$337,L$34,FALSE)</f>
        <v>11288</v>
      </c>
      <c r="M58" s="326">
        <f>VLOOKUP(CONCATENATE(M$38,Sheet1!$C$3,Population!$B58),Sheet1!$B$33:$H$337,M$34,FALSE)</f>
        <v>10965</v>
      </c>
      <c r="N58" s="327">
        <f>VLOOKUP(CONCATENATE(N$38,Sheet1!$C$3,Population!$B58),Sheet1!$B$33:$H$337,N$34,FALSE)</f>
        <v>11082</v>
      </c>
      <c r="O58" s="20"/>
      <c r="P58" s="326" t="str">
        <f>VLOOKUP(CONCATENATE(P$38,Sheet1!$C$3,Population!$B58),Sheet1!$B$33:$H$437,P$34,FALSE)</f>
        <v>-</v>
      </c>
      <c r="Q58" s="326" t="str">
        <f>VLOOKUP(CONCATENATE(Q$38,Sheet1!$C$3,Population!$B58),Sheet1!$B$33:$H$437,Q$34,FALSE)</f>
        <v>-</v>
      </c>
      <c r="R58" s="326">
        <f>VLOOKUP(CONCATENATE(R$38,Sheet1!$C$3,Population!$B58),Sheet1!$B$33:$H$437,R$34,FALSE)</f>
        <v>68300</v>
      </c>
      <c r="S58" s="326">
        <f>VLOOKUP(CONCATENATE(S$38,Sheet1!$C$3,Population!$B58),Sheet1!$B$33:$H$437,S$34,FALSE)</f>
        <v>69700</v>
      </c>
      <c r="T58" s="327">
        <f>VLOOKUP(CONCATENATE(T$38,Sheet1!$C$3,Population!$B58),Sheet1!$B$33:$H$437,T$34,FALSE)</f>
        <v>70505</v>
      </c>
      <c r="U58" s="284"/>
      <c r="V58" s="91"/>
      <c r="W58" s="74"/>
      <c r="X58" s="74"/>
      <c r="Y58" s="74"/>
      <c r="Z58" s="74"/>
      <c r="AA58" s="74"/>
      <c r="AB58" s="75"/>
    </row>
    <row r="59" spans="1:28" s="86" customFormat="1" ht="13.5" customHeight="1" x14ac:dyDescent="0.2">
      <c r="A59" s="488">
        <f>VLOOKUP(B59,Sheet1!$AQ$4:$AR$25,2,FALSE)</f>
        <v>0</v>
      </c>
      <c r="B59" s="737" t="s">
        <v>14</v>
      </c>
      <c r="C59" s="975"/>
      <c r="D59" s="326">
        <f>VLOOKUP(CONCATENATE(D$38,Sheet1!$C$3,Population!$B59),Sheet1!$B$33:$H$337,D$34,FALSE)</f>
        <v>18339</v>
      </c>
      <c r="E59" s="326">
        <f>VLOOKUP(CONCATENATE(E$38,Sheet1!$C$3,Population!$B59),Sheet1!$B$33:$H$337,E$34,FALSE)</f>
        <v>18600</v>
      </c>
      <c r="F59" s="326">
        <f>VLOOKUP(CONCATENATE(F$38,Sheet1!$C$3,Population!$B59),Sheet1!$B$33:$H$337,F$34,FALSE)</f>
        <v>19000</v>
      </c>
      <c r="G59" s="326">
        <f>VLOOKUP(CONCATENATE(G$38,Sheet1!$C$3,Population!$B59),Sheet1!$B$33:$H$337,G$34,FALSE)</f>
        <v>19591</v>
      </c>
      <c r="H59" s="327">
        <f>VLOOKUP(CONCATENATE(H$38,Sheet1!$C$3,Population!$B59),Sheet1!$B$33:$H$337,H$34,FALSE)</f>
        <v>20279</v>
      </c>
      <c r="I59" s="20"/>
      <c r="J59" s="326">
        <f>VLOOKUP(CONCATENATE(J$38,Sheet1!$C$3,Population!$B59),Sheet1!$B$33:$H$337,J$34,FALSE)</f>
        <v>4423</v>
      </c>
      <c r="K59" s="326">
        <f>VLOOKUP(CONCATENATE(K$38,Sheet1!$C$3,Population!$B59),Sheet1!$B$33:$H$337,K$34,FALSE)</f>
        <v>4426</v>
      </c>
      <c r="L59" s="326">
        <f>VLOOKUP(CONCATENATE(L$38,Sheet1!$C$3,Population!$B59),Sheet1!$B$33:$H$337,L$34,FALSE)</f>
        <v>4477</v>
      </c>
      <c r="M59" s="326">
        <f>VLOOKUP(CONCATENATE(M$38,Sheet1!$C$3,Population!$B59),Sheet1!$B$33:$H$337,M$34,FALSE)</f>
        <v>4263</v>
      </c>
      <c r="N59" s="327">
        <f>VLOOKUP(CONCATENATE(N$38,Sheet1!$C$3,Population!$B59),Sheet1!$B$33:$H$337,N$34,FALSE)</f>
        <v>4389</v>
      </c>
      <c r="O59" s="20"/>
      <c r="P59" s="326" t="str">
        <f>VLOOKUP(CONCATENATE(P$38,Sheet1!$C$3,Population!$B59),Sheet1!$B$33:$H$437,P$34,FALSE)</f>
        <v>-</v>
      </c>
      <c r="Q59" s="326" t="str">
        <f>VLOOKUP(CONCATENATE(Q$38,Sheet1!$C$3,Population!$B59),Sheet1!$B$33:$H$437,Q$34,FALSE)</f>
        <v>-</v>
      </c>
      <c r="R59" s="326">
        <f>VLOOKUP(CONCATENATE(R$38,Sheet1!$C$3,Population!$B59),Sheet1!$B$33:$H$437,R$34,FALSE)</f>
        <v>29700</v>
      </c>
      <c r="S59" s="326">
        <f>VLOOKUP(CONCATENATE(S$38,Sheet1!$C$3,Population!$B59),Sheet1!$B$33:$H$437,S$34,FALSE)</f>
        <v>30600</v>
      </c>
      <c r="T59" s="327">
        <f>VLOOKUP(CONCATENATE(T$38,Sheet1!$C$3,Population!$B59),Sheet1!$B$33:$H$437,T$34,FALSE)</f>
        <v>31345</v>
      </c>
      <c r="U59" s="284"/>
      <c r="V59" s="91"/>
      <c r="W59" s="74"/>
      <c r="X59" s="74"/>
      <c r="Y59" s="74"/>
      <c r="Z59" s="74"/>
      <c r="AA59" s="74"/>
      <c r="AB59" s="75"/>
    </row>
    <row r="60" spans="1:28" s="86" customFormat="1" ht="13.5" customHeight="1" x14ac:dyDescent="0.2">
      <c r="A60" s="488">
        <f>VLOOKUP(B60,Sheet1!$AQ$4:$AR$25,2,FALSE)</f>
        <v>0</v>
      </c>
      <c r="B60" s="737" t="s">
        <v>7</v>
      </c>
      <c r="C60" s="975"/>
      <c r="D60" s="326">
        <f>VLOOKUP(CONCATENATE(D$38,Sheet1!$C$3,Population!$B60),Sheet1!$B$33:$H$337,D$34,FALSE)</f>
        <v>108753</v>
      </c>
      <c r="E60" s="326">
        <f>VLOOKUP(CONCATENATE(E$38,Sheet1!$C$3,Population!$B60),Sheet1!$B$33:$H$337,E$34,FALSE)</f>
        <v>110200</v>
      </c>
      <c r="F60" s="326">
        <f>VLOOKUP(CONCATENATE(F$38,Sheet1!$C$3,Population!$B60),Sheet1!$B$33:$H$337,F$34,FALSE)</f>
        <v>111600</v>
      </c>
      <c r="G60" s="326">
        <f>VLOOKUP(CONCATENATE(G$38,Sheet1!$C$3,Population!$B60),Sheet1!$B$33:$H$337,G$34,FALSE)</f>
        <v>114104</v>
      </c>
      <c r="H60" s="327">
        <f>VLOOKUP(CONCATENATE(H$38,Sheet1!$C$3,Population!$B60),Sheet1!$B$33:$H$337,H$34,FALSE)</f>
        <v>116528</v>
      </c>
      <c r="I60" s="20"/>
      <c r="J60" s="326">
        <f>VLOOKUP(CONCATENATE(J$38,Sheet1!$C$3,Population!$B60),Sheet1!$B$33:$H$337,J$34,FALSE)</f>
        <v>22197</v>
      </c>
      <c r="K60" s="326">
        <f>VLOOKUP(CONCATENATE(K$38,Sheet1!$C$3,Population!$B60),Sheet1!$B$33:$H$337,K$34,FALSE)</f>
        <v>22595</v>
      </c>
      <c r="L60" s="326">
        <f>VLOOKUP(CONCATENATE(L$38,Sheet1!$C$3,Population!$B60),Sheet1!$B$33:$H$337,L$34,FALSE)</f>
        <v>21987</v>
      </c>
      <c r="M60" s="326">
        <f>VLOOKUP(CONCATENATE(M$38,Sheet1!$C$3,Population!$B60),Sheet1!$B$33:$H$337,M$34,FALSE)</f>
        <v>21342</v>
      </c>
      <c r="N60" s="327">
        <f>VLOOKUP(CONCATENATE(N$38,Sheet1!$C$3,Population!$B60),Sheet1!$B$33:$H$337,N$34,FALSE)</f>
        <v>21869</v>
      </c>
      <c r="O60" s="20"/>
      <c r="P60" s="326" t="str">
        <f>VLOOKUP(CONCATENATE(P$38,Sheet1!$C$3,Population!$B60),Sheet1!$B$33:$H$437,P$34,FALSE)</f>
        <v>-</v>
      </c>
      <c r="Q60" s="326" t="str">
        <f>VLOOKUP(CONCATENATE(Q$38,Sheet1!$C$3,Population!$B60),Sheet1!$B$33:$H$437,Q$34,FALSE)</f>
        <v>-</v>
      </c>
      <c r="R60" s="326">
        <f>VLOOKUP(CONCATENATE(R$38,Sheet1!$C$3,Population!$B60),Sheet1!$B$33:$H$437,R$34,FALSE)</f>
        <v>161700</v>
      </c>
      <c r="S60" s="326">
        <f>VLOOKUP(CONCATENATE(S$38,Sheet1!$C$3,Population!$B60),Sheet1!$B$33:$H$437,S$34,FALSE)</f>
        <v>164700</v>
      </c>
      <c r="T60" s="327">
        <f>VLOOKUP(CONCATENATE(T$38,Sheet1!$C$3,Population!$B60),Sheet1!$B$33:$H$437,T$34,FALSE)</f>
        <v>166980</v>
      </c>
      <c r="U60" s="284"/>
      <c r="V60" s="91"/>
      <c r="W60" s="74"/>
      <c r="X60" s="74"/>
      <c r="Y60" s="74"/>
      <c r="Z60" s="74"/>
      <c r="AA60" s="74"/>
      <c r="AB60" s="75"/>
    </row>
    <row r="61" spans="1:28" s="86" customFormat="1" ht="13.5" customHeight="1" x14ac:dyDescent="0.2">
      <c r="A61" s="488">
        <f>VLOOKUP(B61,Sheet1!$AQ$4:$AR$25,2,FALSE)</f>
        <v>0</v>
      </c>
      <c r="B61" s="737" t="s">
        <v>113</v>
      </c>
      <c r="C61" s="975"/>
      <c r="D61" s="326">
        <f>VLOOKUP(CONCATENATE(D$38,Sheet1!$C$3,Population!$B61),Sheet1!$B$33:$H$337,D$34,FALSE)</f>
        <v>19724</v>
      </c>
      <c r="E61" s="326">
        <f>VLOOKUP(CONCATENATE(E$38,Sheet1!$C$3,Population!$B61),Sheet1!$B$33:$H$337,E$34,FALSE)</f>
        <v>19900</v>
      </c>
      <c r="F61" s="326">
        <f>VLOOKUP(CONCATENATE(F$38,Sheet1!$C$3,Population!$B61),Sheet1!$B$33:$H$337,F$34,FALSE)</f>
        <v>20200</v>
      </c>
      <c r="G61" s="326">
        <f>VLOOKUP(CONCATENATE(G$38,Sheet1!$C$3,Population!$B61),Sheet1!$B$33:$H$337,G$34,FALSE)</f>
        <v>20663</v>
      </c>
      <c r="H61" s="327">
        <f>VLOOKUP(CONCATENATE(H$38,Sheet1!$C$3,Population!$B61),Sheet1!$B$33:$H$337,H$34,FALSE)</f>
        <v>20976</v>
      </c>
      <c r="I61" s="20"/>
      <c r="J61" s="326">
        <f>VLOOKUP(CONCATENATE(J$38,Sheet1!$C$3,Population!$B61),Sheet1!$B$33:$H$337,J$34,FALSE)</f>
        <v>5149</v>
      </c>
      <c r="K61" s="326">
        <f>VLOOKUP(CONCATENATE(K$38,Sheet1!$C$3,Population!$B61),Sheet1!$B$33:$H$337,K$34,FALSE)</f>
        <v>4940</v>
      </c>
      <c r="L61" s="326">
        <f>VLOOKUP(CONCATENATE(L$38,Sheet1!$C$3,Population!$B61),Sheet1!$B$33:$H$337,L$34,FALSE)</f>
        <v>4857</v>
      </c>
      <c r="M61" s="326">
        <f>VLOOKUP(CONCATENATE(M$38,Sheet1!$C$3,Population!$B61),Sheet1!$B$33:$H$337,M$34,FALSE)</f>
        <v>4817</v>
      </c>
      <c r="N61" s="327">
        <f>VLOOKUP(CONCATENATE(N$38,Sheet1!$C$3,Population!$B61),Sheet1!$B$33:$H$337,N$34,FALSE)</f>
        <v>5012</v>
      </c>
      <c r="O61" s="20"/>
      <c r="P61" s="326" t="str">
        <f>VLOOKUP(CONCATENATE(P$38,Sheet1!$C$3,Population!$B61),Sheet1!$B$33:$H$437,P$34,FALSE)</f>
        <v>-</v>
      </c>
      <c r="Q61" s="326" t="str">
        <f>VLOOKUP(CONCATENATE(Q$38,Sheet1!$C$3,Population!$B61),Sheet1!$B$33:$H$437,Q$34,FALSE)</f>
        <v>-</v>
      </c>
      <c r="R61" s="326">
        <f>VLOOKUP(CONCATENATE(R$38,Sheet1!$C$3,Population!$B61),Sheet1!$B$33:$H$437,R$34,FALSE)</f>
        <v>30200</v>
      </c>
      <c r="S61" s="326">
        <f>VLOOKUP(CONCATENATE(S$38,Sheet1!$C$3,Population!$B61),Sheet1!$B$33:$H$437,S$34,FALSE)</f>
        <v>30900</v>
      </c>
      <c r="T61" s="327">
        <f>VLOOKUP(CONCATENATE(T$38,Sheet1!$C$3,Population!$B61),Sheet1!$B$33:$H$437,T$34,FALSE)</f>
        <v>31387</v>
      </c>
      <c r="U61" s="284"/>
      <c r="V61" s="91"/>
      <c r="W61" s="74"/>
      <c r="X61" s="74"/>
      <c r="Y61" s="74"/>
      <c r="Z61" s="74"/>
      <c r="AA61" s="74"/>
      <c r="AB61" s="75"/>
    </row>
    <row r="62" spans="1:28" s="86" customFormat="1" ht="13.5" customHeight="1" x14ac:dyDescent="0.2">
      <c r="A62" s="488">
        <f>VLOOKUP(B62,Sheet1!$AQ$4:$AR$25,2,FALSE)</f>
        <v>0</v>
      </c>
      <c r="B62" s="737" t="s">
        <v>114</v>
      </c>
      <c r="C62" s="975"/>
      <c r="D62" s="326">
        <f>VLOOKUP(CONCATENATE(D$38,Sheet1!$C$3,Population!$B62),Sheet1!$B$33:$H$337,D$34,FALSE)</f>
        <v>10969</v>
      </c>
      <c r="E62" s="326">
        <f>VLOOKUP(CONCATENATE(E$38,Sheet1!$C$3,Population!$B62),Sheet1!$B$33:$H$337,E$34,FALSE)</f>
        <v>10900</v>
      </c>
      <c r="F62" s="326">
        <f>VLOOKUP(CONCATENATE(F$38,Sheet1!$C$3,Population!$B62),Sheet1!$B$33:$H$337,F$34,FALSE)</f>
        <v>10900</v>
      </c>
      <c r="G62" s="326">
        <f>VLOOKUP(CONCATENATE(G$38,Sheet1!$C$3,Population!$B62),Sheet1!$B$33:$H$337,G$34,FALSE)</f>
        <v>11055</v>
      </c>
      <c r="H62" s="327">
        <f>VLOOKUP(CONCATENATE(H$38,Sheet1!$C$3,Population!$B62),Sheet1!$B$33:$H$337,H$34,FALSE)</f>
        <v>11157</v>
      </c>
      <c r="I62" s="20"/>
      <c r="J62" s="326">
        <f>VLOOKUP(CONCATENATE(J$38,Sheet1!$C$3,Population!$B62),Sheet1!$B$33:$H$337,J$34,FALSE)</f>
        <v>3146</v>
      </c>
      <c r="K62" s="326">
        <f>VLOOKUP(CONCATENATE(K$38,Sheet1!$C$3,Population!$B62),Sheet1!$B$33:$H$337,K$34,FALSE)</f>
        <v>3041</v>
      </c>
      <c r="L62" s="326">
        <f>VLOOKUP(CONCATENATE(L$38,Sheet1!$C$3,Population!$B62),Sheet1!$B$33:$H$337,L$34,FALSE)</f>
        <v>2765</v>
      </c>
      <c r="M62" s="326">
        <f>VLOOKUP(CONCATENATE(M$38,Sheet1!$C$3,Population!$B62),Sheet1!$B$33:$H$337,M$34,FALSE)</f>
        <v>2678</v>
      </c>
      <c r="N62" s="327">
        <f>VLOOKUP(CONCATENATE(N$38,Sheet1!$C$3,Population!$B62),Sheet1!$B$33:$H$337,N$34,FALSE)</f>
        <v>2833</v>
      </c>
      <c r="O62" s="20"/>
      <c r="P62" s="326" t="str">
        <f>VLOOKUP(CONCATENATE(P$38,Sheet1!$C$3,Population!$B62),Sheet1!$B$33:$H$437,P$34,FALSE)</f>
        <v>-</v>
      </c>
      <c r="Q62" s="326" t="str">
        <f>VLOOKUP(CONCATENATE(Q$38,Sheet1!$C$3,Population!$B62),Sheet1!$B$33:$H$437,Q$34,FALSE)</f>
        <v>-</v>
      </c>
      <c r="R62" s="326">
        <f>VLOOKUP(CONCATENATE(R$38,Sheet1!$C$3,Population!$B62),Sheet1!$B$33:$H$437,R$34,FALSE)</f>
        <v>15500</v>
      </c>
      <c r="S62" s="326">
        <f>VLOOKUP(CONCATENATE(S$38,Sheet1!$C$3,Population!$B62),Sheet1!$B$33:$H$437,S$34,FALSE)</f>
        <v>15900</v>
      </c>
      <c r="T62" s="327">
        <f>VLOOKUP(CONCATENATE(T$38,Sheet1!$C$3,Population!$B62),Sheet1!$B$33:$H$437,T$34,FALSE)</f>
        <v>16132</v>
      </c>
      <c r="U62" s="284"/>
      <c r="V62" s="91"/>
      <c r="W62" s="74"/>
      <c r="X62" s="74"/>
      <c r="Y62" s="74"/>
      <c r="Z62" s="74"/>
      <c r="AA62" s="74"/>
      <c r="AB62" s="75"/>
    </row>
    <row r="63" spans="1:28" s="86" customFormat="1" ht="13.5" customHeight="1" x14ac:dyDescent="0.2">
      <c r="A63" s="488">
        <f>VLOOKUP(B63,Sheet1!$AQ$4:$AR$25,2,FALSE)</f>
        <v>0</v>
      </c>
      <c r="B63" s="737" t="s">
        <v>15</v>
      </c>
      <c r="C63" s="975"/>
      <c r="D63" s="326">
        <f>VLOOKUP(CONCATENATE(D$38,Sheet1!$C$3,Population!$B63),Sheet1!$B$33:$H$337,D$34,FALSE)</f>
        <v>15966</v>
      </c>
      <c r="E63" s="326">
        <f>VLOOKUP(CONCATENATE(E$38,Sheet1!$C$3,Population!$B63),Sheet1!$B$33:$H$337,E$34,FALSE)</f>
        <v>16100</v>
      </c>
      <c r="F63" s="326">
        <f>VLOOKUP(CONCATENATE(F$38,Sheet1!$C$3,Population!$B63),Sheet1!$B$33:$H$337,F$34,FALSE)</f>
        <v>16200</v>
      </c>
      <c r="G63" s="326">
        <f>VLOOKUP(CONCATENATE(G$38,Sheet1!$C$3,Population!$B63),Sheet1!$B$33:$H$337,G$34,FALSE)</f>
        <v>16328</v>
      </c>
      <c r="H63" s="327">
        <f>VLOOKUP(CONCATENATE(H$38,Sheet1!$C$3,Population!$B63),Sheet1!$B$33:$H$337,H$34,FALSE)</f>
        <v>16539</v>
      </c>
      <c r="I63" s="20"/>
      <c r="J63" s="326">
        <f>VLOOKUP(CONCATENATE(J$38,Sheet1!$C$3,Population!$B63),Sheet1!$B$33:$H$337,J$34,FALSE)</f>
        <v>3376</v>
      </c>
      <c r="K63" s="326">
        <f>VLOOKUP(CONCATENATE(K$38,Sheet1!$C$3,Population!$B63),Sheet1!$B$33:$H$337,K$34,FALSE)</f>
        <v>3531</v>
      </c>
      <c r="L63" s="326">
        <f>VLOOKUP(CONCATENATE(L$38,Sheet1!$C$3,Population!$B63),Sheet1!$B$33:$H$337,L$34,FALSE)</f>
        <v>3397</v>
      </c>
      <c r="M63" s="326">
        <f>VLOOKUP(CONCATENATE(M$38,Sheet1!$C$3,Population!$B63),Sheet1!$B$33:$H$337,M$34,FALSE)</f>
        <v>3245</v>
      </c>
      <c r="N63" s="327">
        <f>VLOOKUP(CONCATENATE(N$38,Sheet1!$C$3,Population!$B63),Sheet1!$B$33:$H$337,N$34,FALSE)</f>
        <v>3360</v>
      </c>
      <c r="O63" s="20"/>
      <c r="P63" s="326" t="str">
        <f>VLOOKUP(CONCATENATE(P$38,Sheet1!$C$3,Population!$B63),Sheet1!$B$33:$H$437,P$34,FALSE)</f>
        <v>-</v>
      </c>
      <c r="Q63" s="326" t="str">
        <f>VLOOKUP(CONCATENATE(Q$38,Sheet1!$C$3,Population!$B63),Sheet1!$B$33:$H$437,Q$34,FALSE)</f>
        <v>-</v>
      </c>
      <c r="R63" s="326">
        <f>VLOOKUP(CONCATENATE(R$38,Sheet1!$C$3,Population!$B63),Sheet1!$B$33:$H$437,R$34,FALSE)</f>
        <v>22400</v>
      </c>
      <c r="S63" s="326">
        <f>VLOOKUP(CONCATENATE(S$38,Sheet1!$C$3,Population!$B63),Sheet1!$B$33:$H$437,S$34,FALSE)</f>
        <v>22700</v>
      </c>
      <c r="T63" s="327">
        <f>VLOOKUP(CONCATENATE(T$38,Sheet1!$C$3,Population!$B63),Sheet1!$B$33:$H$437,T$34,FALSE)</f>
        <v>22769</v>
      </c>
      <c r="U63" s="284"/>
      <c r="V63" s="91"/>
      <c r="W63" s="74"/>
      <c r="X63" s="74"/>
      <c r="Y63" s="74"/>
      <c r="Z63" s="74"/>
      <c r="AA63" s="74"/>
      <c r="AB63" s="75"/>
    </row>
    <row r="64" spans="1:28" s="86" customFormat="1" ht="13.5" customHeight="1" x14ac:dyDescent="0.2">
      <c r="A64" s="488">
        <f>VLOOKUP(B64,Sheet1!$AQ$4:$AR$25,2,FALSE)</f>
        <v>0</v>
      </c>
      <c r="B64" s="737" t="s">
        <v>5</v>
      </c>
      <c r="C64" s="975"/>
      <c r="D64" s="326">
        <f>VLOOKUP(CONCATENATE(D$38,Sheet1!$C$3,Population!$B64),Sheet1!$B$33:$H$337,D$34,FALSE)</f>
        <v>73209</v>
      </c>
      <c r="E64" s="326">
        <f>VLOOKUP(CONCATENATE(E$38,Sheet1!$C$3,Population!$B64),Sheet1!$B$33:$H$337,E$34,FALSE)</f>
        <v>73400</v>
      </c>
      <c r="F64" s="326">
        <f>VLOOKUP(CONCATENATE(F$38,Sheet1!$C$3,Population!$B64),Sheet1!$B$33:$H$337,F$34,FALSE)</f>
        <v>74200</v>
      </c>
      <c r="G64" s="326">
        <f>VLOOKUP(CONCATENATE(G$38,Sheet1!$C$3,Population!$B64),Sheet1!$B$33:$H$337,G$34,FALSE)</f>
        <v>75679</v>
      </c>
      <c r="H64" s="327">
        <f>VLOOKUP(CONCATENATE(H$38,Sheet1!$C$3,Population!$B64),Sheet1!$B$33:$H$337,H$34,FALSE)</f>
        <v>77656</v>
      </c>
      <c r="I64" s="20"/>
      <c r="J64" s="326">
        <f>VLOOKUP(CONCATENATE(J$38,Sheet1!$C$3,Population!$B64),Sheet1!$B$33:$H$337,J$34,FALSE)</f>
        <v>18601</v>
      </c>
      <c r="K64" s="326">
        <f>VLOOKUP(CONCATENATE(K$38,Sheet1!$C$3,Population!$B64),Sheet1!$B$33:$H$337,K$34,FALSE)</f>
        <v>17640</v>
      </c>
      <c r="L64" s="326">
        <f>VLOOKUP(CONCATENATE(L$38,Sheet1!$C$3,Population!$B64),Sheet1!$B$33:$H$337,L$34,FALSE)</f>
        <v>17439</v>
      </c>
      <c r="M64" s="326">
        <f>VLOOKUP(CONCATENATE(M$38,Sheet1!$C$3,Population!$B64),Sheet1!$B$33:$H$337,M$34,FALSE)</f>
        <v>16302</v>
      </c>
      <c r="N64" s="327">
        <f>VLOOKUP(CONCATENATE(N$38,Sheet1!$C$3,Population!$B64),Sheet1!$B$33:$H$337,N$34,FALSE)</f>
        <v>16617</v>
      </c>
      <c r="O64" s="20"/>
      <c r="P64" s="326" t="str">
        <f>VLOOKUP(CONCATENATE(P$38,Sheet1!$C$3,Population!$B64),Sheet1!$B$33:$H$437,P$34,FALSE)</f>
        <v>-</v>
      </c>
      <c r="Q64" s="326" t="str">
        <f>VLOOKUP(CONCATENATE(Q$38,Sheet1!$C$3,Population!$B64),Sheet1!$B$33:$H$437,Q$34,FALSE)</f>
        <v>-</v>
      </c>
      <c r="R64" s="326">
        <f>VLOOKUP(CONCATENATE(R$38,Sheet1!$C$3,Population!$B64),Sheet1!$B$33:$H$437,R$34,FALSE)</f>
        <v>107800</v>
      </c>
      <c r="S64" s="326">
        <f>VLOOKUP(CONCATENATE(S$38,Sheet1!$C$3,Population!$B64),Sheet1!$B$33:$H$437,S$34,FALSE)</f>
        <v>110000</v>
      </c>
      <c r="T64" s="327">
        <f>VLOOKUP(CONCATENATE(T$38,Sheet1!$C$3,Population!$B64),Sheet1!$B$33:$H$437,T$34,FALSE)</f>
        <v>112029</v>
      </c>
      <c r="U64" s="284"/>
      <c r="V64" s="91"/>
      <c r="W64" s="74"/>
      <c r="X64" s="74"/>
      <c r="Y64" s="74"/>
      <c r="Z64" s="74"/>
      <c r="AA64" s="74"/>
      <c r="AB64" s="75"/>
    </row>
    <row r="65" spans="1:66" s="86" customFormat="1" ht="13.5" customHeight="1" x14ac:dyDescent="0.2">
      <c r="A65" s="488">
        <f>VLOOKUP(B65,Sheet1!$AQ$4:$AR$25,2,FALSE)</f>
        <v>0</v>
      </c>
      <c r="B65" s="93" t="s">
        <v>30</v>
      </c>
      <c r="C65" s="975"/>
      <c r="D65" s="326">
        <f>VLOOKUP(CONCATENATE(D$38,Sheet1!$C$3,Population!$B65),Sheet1!$B$33:$H$337,D$34,FALSE)</f>
        <v>15146</v>
      </c>
      <c r="E65" s="326">
        <f>VLOOKUP(CONCATENATE(E$38,Sheet1!$C$3,Population!$B65),Sheet1!$B$33:$H$337,E$34,FALSE)</f>
        <v>15400</v>
      </c>
      <c r="F65" s="326">
        <f>VLOOKUP(CONCATENATE(F$38,Sheet1!$C$3,Population!$B65),Sheet1!$B$33:$H$337,F$34,FALSE)</f>
        <v>15700</v>
      </c>
      <c r="G65" s="326">
        <f>VLOOKUP(CONCATENATE(G$38,Sheet1!$C$3,Population!$B65),Sheet1!$B$33:$H$337,G$34,FALSE)</f>
        <v>16074</v>
      </c>
      <c r="H65" s="327">
        <f>VLOOKUP(CONCATENATE(H$38,Sheet1!$C$3,Population!$B65),Sheet1!$B$33:$H$337,H$34,FALSE)</f>
        <v>16358</v>
      </c>
      <c r="I65" s="20"/>
      <c r="J65" s="326">
        <f>VLOOKUP(CONCATENATE(J$38,Sheet1!$C$3,Population!$B65),Sheet1!$B$33:$H$337,J$34,FALSE)</f>
        <v>2785</v>
      </c>
      <c r="K65" s="326">
        <f>VLOOKUP(CONCATENATE(K$38,Sheet1!$C$3,Population!$B65),Sheet1!$B$33:$H$337,K$34,FALSE)</f>
        <v>2543</v>
      </c>
      <c r="L65" s="326">
        <f>VLOOKUP(CONCATENATE(L$38,Sheet1!$C$3,Population!$B65),Sheet1!$B$33:$H$337,L$34,FALSE)</f>
        <v>2459</v>
      </c>
      <c r="M65" s="326">
        <f>VLOOKUP(CONCATENATE(M$38,Sheet1!$C$3,Population!$B65),Sheet1!$B$33:$H$337,M$34,FALSE)</f>
        <v>2909</v>
      </c>
      <c r="N65" s="327">
        <f>VLOOKUP(CONCATENATE(N$38,Sheet1!$C$3,Population!$B65),Sheet1!$B$33:$H$337,N$34,FALSE)</f>
        <v>2923</v>
      </c>
      <c r="O65" s="20"/>
      <c r="P65" s="326" t="str">
        <f>VLOOKUP(CONCATENATE(P$38,Sheet1!$C$3,Population!$B65),Sheet1!$B$33:$H$437,P$34,FALSE)</f>
        <v>-</v>
      </c>
      <c r="Q65" s="326" t="str">
        <f>VLOOKUP(CONCATENATE(Q$38,Sheet1!$C$3,Population!$B65),Sheet1!$B$33:$H$437,Q$34,FALSE)</f>
        <v>-</v>
      </c>
      <c r="R65" s="326">
        <f>VLOOKUP(CONCATENATE(R$38,Sheet1!$C$3,Population!$B65),Sheet1!$B$33:$H$437,R$34,FALSE)</f>
        <v>21600</v>
      </c>
      <c r="S65" s="326">
        <f>VLOOKUP(CONCATENATE(S$38,Sheet1!$C$3,Population!$B65),Sheet1!$B$33:$H$437,S$34,FALSE)</f>
        <v>21900</v>
      </c>
      <c r="T65" s="327">
        <f>VLOOKUP(CONCATENATE(T$38,Sheet1!$C$3,Population!$B65),Sheet1!$B$33:$H$437,T$34,FALSE)</f>
        <v>22111</v>
      </c>
      <c r="U65" s="284"/>
      <c r="V65" s="91"/>
      <c r="W65" s="74"/>
      <c r="X65" s="74"/>
      <c r="Y65" s="74"/>
      <c r="Z65" s="74"/>
      <c r="AA65" s="74"/>
      <c r="AB65" s="75"/>
    </row>
    <row r="66" spans="1:66" s="86" customFormat="1" ht="13.5" customHeight="1" x14ac:dyDescent="0.2">
      <c r="A66" s="488">
        <f>VLOOKUP(B66,Sheet1!$AQ$4:$AR$25,2,FALSE)</f>
        <v>0</v>
      </c>
      <c r="B66" s="737" t="s">
        <v>16</v>
      </c>
      <c r="C66" s="975"/>
      <c r="D66" s="326">
        <f>VLOOKUP(CONCATENATE(D$38,Sheet1!$C$3,Population!$B66),Sheet1!$B$33:$H$337,D$34,FALSE)</f>
        <v>16146</v>
      </c>
      <c r="E66" s="326">
        <f>VLOOKUP(CONCATENATE(E$38,Sheet1!$C$3,Population!$B66),Sheet1!$B$33:$H$337,E$34,FALSE)</f>
        <v>16400</v>
      </c>
      <c r="F66" s="326">
        <f>VLOOKUP(CONCATENATE(F$38,Sheet1!$C$3,Population!$B66),Sheet1!$B$33:$H$337,F$34,FALSE)</f>
        <v>16800</v>
      </c>
      <c r="G66" s="326">
        <f>VLOOKUP(CONCATENATE(G$38,Sheet1!$C$3,Population!$B66),Sheet1!$B$33:$H$337,G$34,FALSE)</f>
        <v>17471</v>
      </c>
      <c r="H66" s="327">
        <f>VLOOKUP(CONCATENATE(H$38,Sheet1!$C$3,Population!$B66),Sheet1!$B$33:$H$337,H$34,FALSE)</f>
        <v>18166</v>
      </c>
      <c r="I66" s="20"/>
      <c r="J66" s="326">
        <f>VLOOKUP(CONCATENATE(J$38,Sheet1!$C$3,Population!$B66),Sheet1!$B$33:$H$337,J$34,FALSE)</f>
        <v>3400</v>
      </c>
      <c r="K66" s="326">
        <f>VLOOKUP(CONCATENATE(K$38,Sheet1!$C$3,Population!$B66),Sheet1!$B$33:$H$337,K$34,FALSE)</f>
        <v>3293</v>
      </c>
      <c r="L66" s="326">
        <f>VLOOKUP(CONCATENATE(L$38,Sheet1!$C$3,Population!$B66),Sheet1!$B$33:$H$337,L$34,FALSE)</f>
        <v>3301</v>
      </c>
      <c r="M66" s="326">
        <f>VLOOKUP(CONCATENATE(M$38,Sheet1!$C$3,Population!$B66),Sheet1!$B$33:$H$337,M$34,FALSE)</f>
        <v>3424</v>
      </c>
      <c r="N66" s="327">
        <f>VLOOKUP(CONCATENATE(N$38,Sheet1!$C$3,Population!$B66),Sheet1!$B$33:$H$337,N$34,FALSE)</f>
        <v>3438</v>
      </c>
      <c r="O66" s="20"/>
      <c r="P66" s="326" t="str">
        <f>VLOOKUP(CONCATENATE(P$38,Sheet1!$C$3,Population!$B66),Sheet1!$B$33:$H$437,P$34,FALSE)</f>
        <v>-</v>
      </c>
      <c r="Q66" s="326" t="str">
        <f>VLOOKUP(CONCATENATE(Q$38,Sheet1!$C$3,Population!$B66),Sheet1!$B$33:$H$437,Q$34,FALSE)</f>
        <v>-</v>
      </c>
      <c r="R66" s="326">
        <f>VLOOKUP(CONCATENATE(R$38,Sheet1!$C$3,Population!$B66),Sheet1!$B$33:$H$437,R$34,FALSE)</f>
        <v>24800</v>
      </c>
      <c r="S66" s="326">
        <f>VLOOKUP(CONCATENATE(S$38,Sheet1!$C$3,Population!$B66),Sheet1!$B$33:$H$437,S$34,FALSE)</f>
        <v>25600</v>
      </c>
      <c r="T66" s="327">
        <f>VLOOKUP(CONCATENATE(T$38,Sheet1!$C$3,Population!$B66),Sheet1!$B$33:$H$437,T$34,FALSE)</f>
        <v>26398</v>
      </c>
      <c r="U66" s="284"/>
      <c r="V66" s="91"/>
      <c r="W66" s="74"/>
      <c r="X66" s="74"/>
      <c r="Y66" s="74"/>
      <c r="Z66" s="74"/>
      <c r="AA66" s="74"/>
      <c r="AB66" s="75"/>
    </row>
    <row r="67" spans="1:66" s="86" customFormat="1" ht="13.5" customHeight="1" x14ac:dyDescent="0.2">
      <c r="A67" s="283"/>
      <c r="B67" s="129" t="s">
        <v>74</v>
      </c>
      <c r="C67" s="975"/>
      <c r="D67" s="978">
        <f>VLOOKUP(CONCATENATE(D$38,Sheet1!$C$3,Population!$B67),Sheet1!$B$33:$H$337,D$34,FALSE)</f>
        <v>817543</v>
      </c>
      <c r="E67" s="978">
        <f>VLOOKUP(CONCATENATE(E$38,Sheet1!$C$3,Population!$B67),Sheet1!$B$33:$H$337,E$34,FALSE)</f>
        <v>824300</v>
      </c>
      <c r="F67" s="978">
        <f>VLOOKUP(CONCATENATE(F$38,Sheet1!$C$3,Population!$B67),Sheet1!$B$33:$H$337,F$34,FALSE)</f>
        <v>833500</v>
      </c>
      <c r="G67" s="978">
        <f>VLOOKUP(CONCATENATE(G$38,Sheet1!$C$3,Population!$B67),Sheet1!$B$33:$H$337,G$34,FALSE)</f>
        <v>850414</v>
      </c>
      <c r="H67" s="979">
        <f>VLOOKUP(CONCATENATE(H$38,Sheet1!$C$3,Population!$B67),Sheet1!$B$33:$H$337,H$34,FALSE)</f>
        <v>868123</v>
      </c>
      <c r="I67" s="20"/>
      <c r="J67" s="978">
        <f>VLOOKUP(CONCATENATE(J$38,Sheet1!$C$3,Population!$B67),Sheet1!$B$33:$H$337,J$34,FALSE)</f>
        <v>187638</v>
      </c>
      <c r="K67" s="978">
        <f>VLOOKUP(CONCATENATE(K$38,Sheet1!$C$3,Population!$B67),Sheet1!$B$33:$H$337,K$34,FALSE)</f>
        <v>185251</v>
      </c>
      <c r="L67" s="978">
        <f>VLOOKUP(CONCATENATE(L$38,Sheet1!$C$3,Population!$B67),Sheet1!$B$33:$H$337,L$34,FALSE)</f>
        <v>182379</v>
      </c>
      <c r="M67" s="978">
        <f>VLOOKUP(CONCATENATE(M$38,Sheet1!$C$3,Population!$B67),Sheet1!$B$33:$H$337,M$34,FALSE)</f>
        <v>177973</v>
      </c>
      <c r="N67" s="979">
        <f>VLOOKUP(CONCATENATE(N$38,Sheet1!$C$3,Population!$B67),Sheet1!$B$33:$H$337,N$34,FALSE)</f>
        <v>180437</v>
      </c>
      <c r="O67" s="20"/>
      <c r="P67" s="978" t="str">
        <f>VLOOKUP(CONCATENATE(P$38,Sheet1!$C$3,Population!$B67),Sheet1!$B$33:$H$437,P$34,FALSE)</f>
        <v>-</v>
      </c>
      <c r="Q67" s="978" t="str">
        <f>VLOOKUP(CONCATENATE(Q$38,Sheet1!$C$3,Population!$B67),Sheet1!$B$33:$H$437,Q$34,FALSE)</f>
        <v>-</v>
      </c>
      <c r="R67" s="978">
        <f>VLOOKUP(CONCATENATE(R$38,Sheet1!$C$3,Population!$B67),Sheet1!$B$33:$H$437,R$34,FALSE)</f>
        <v>1204300</v>
      </c>
      <c r="S67" s="978">
        <f>VLOOKUP(CONCATENATE(S$38,Sheet1!$C$3,Population!$B67),Sheet1!$B$33:$H$437,S$34,FALSE)</f>
        <v>1228000</v>
      </c>
      <c r="T67" s="979">
        <f>VLOOKUP(CONCATENATE(T$38,Sheet1!$C$3,Population!$B67),Sheet1!$B$33:$H$437,T$34,FALSE)</f>
        <v>1246745</v>
      </c>
      <c r="U67" s="284"/>
      <c r="V67" s="91"/>
      <c r="W67" s="74"/>
      <c r="X67" s="74"/>
      <c r="Y67" s="74"/>
      <c r="Z67" s="74"/>
      <c r="AA67" s="74"/>
      <c r="AB67" s="75"/>
    </row>
    <row r="68" spans="1:66" s="86" customFormat="1" ht="13.5" customHeight="1" x14ac:dyDescent="0.2">
      <c r="A68" s="283"/>
      <c r="B68" s="738" t="s">
        <v>127</v>
      </c>
      <c r="C68" s="975"/>
      <c r="D68" s="977">
        <f>VLOOKUP(CONCATENATE(D$38,Sheet1!$C$3,Population!$B68),Sheet1!$B$33:$H$337,D$34,FALSE)</f>
        <v>4885713</v>
      </c>
      <c r="E68" s="977">
        <f>VLOOKUP(CONCATENATE(E$38,Sheet1!$C$3,Population!$B68),Sheet1!$B$33:$H$337,E$34,FALSE)</f>
        <v>4928000</v>
      </c>
      <c r="F68" s="977">
        <f>VLOOKUP(CONCATENATE(F$38,Sheet1!$C$3,Population!$B68),Sheet1!$B$33:$H$337,F$34,FALSE)</f>
        <v>4984600</v>
      </c>
      <c r="G68" s="977">
        <f>VLOOKUP(CONCATENATE(G$38,Sheet1!$C$3,Population!$B68),Sheet1!$B$33:$H$337,G$34,FALSE)</f>
        <v>5084025</v>
      </c>
      <c r="H68" s="980">
        <f>VLOOKUP(CONCATENATE(H$38,Sheet1!$C$3,Population!$B68),Sheet1!$B$33:$H$337,H$34,FALSE)</f>
        <v>5185725</v>
      </c>
      <c r="I68" s="20"/>
      <c r="J68" s="977">
        <f>VLOOKUP(CONCATENATE(J$38,Sheet1!$C$3,Population!$B68),Sheet1!$B$33:$H$337,J$34,FALSE)</f>
        <v>1152097</v>
      </c>
      <c r="K68" s="977">
        <f>VLOOKUP(CONCATENATE(K$38,Sheet1!$C$3,Population!$B68),Sheet1!$B$33:$H$337,K$34,FALSE)</f>
        <v>1157456</v>
      </c>
      <c r="L68" s="977">
        <f>VLOOKUP(CONCATENATE(L$38,Sheet1!$C$3,Population!$B68),Sheet1!$B$33:$H$337,L$34,FALSE)</f>
        <v>1136681</v>
      </c>
      <c r="M68" s="977">
        <f>VLOOKUP(CONCATENATE(M$38,Sheet1!$C$3,Population!$B68),Sheet1!$B$33:$H$337,M$34,FALSE)</f>
        <v>1124120</v>
      </c>
      <c r="N68" s="980">
        <f>VLOOKUP(CONCATENATE(N$38,Sheet1!$C$3,Population!$B68),Sheet1!$B$33:$H$337,N$34,FALSE)</f>
        <v>1141042</v>
      </c>
      <c r="O68" s="20"/>
      <c r="P68" s="977" t="str">
        <f>VLOOKUP(CONCATENATE(P$38,Sheet1!$C$3,Population!$B68),Sheet1!$B$33:$H$437,P$34,FALSE)</f>
        <v>-</v>
      </c>
      <c r="Q68" s="977" t="str">
        <f>VLOOKUP(CONCATENATE(Q$38,Sheet1!$C$3,Population!$B68),Sheet1!$B$33:$H$437,Q$34,FALSE)</f>
        <v>-</v>
      </c>
      <c r="R68" s="977">
        <f>VLOOKUP(CONCATENATE(R$38,Sheet1!$C$3,Population!$B68),Sheet1!$B$33:$H$437,R$34,FALSE)</f>
        <v>7253000</v>
      </c>
      <c r="S68" s="977">
        <f>VLOOKUP(CONCATENATE(S$38,Sheet1!$C$3,Population!$B68),Sheet1!$B$33:$H$437,S$34,FALSE)</f>
        <v>7401700</v>
      </c>
      <c r="T68" s="980">
        <f>VLOOKUP(CONCATENATE(T$38,Sheet1!$C$3,Population!$B68),Sheet1!$B$33:$H$437,T$34,FALSE)</f>
        <v>7517042</v>
      </c>
      <c r="U68" s="284"/>
      <c r="V68" s="91"/>
      <c r="W68" s="74"/>
      <c r="X68" s="74"/>
      <c r="Y68" s="74"/>
      <c r="Z68" s="74"/>
      <c r="AA68" s="74"/>
      <c r="AB68" s="75"/>
    </row>
    <row r="69" spans="1:66" ht="45.75" customHeight="1" x14ac:dyDescent="0.2">
      <c r="A69" s="280"/>
      <c r="B69" s="968"/>
      <c r="C69" s="975"/>
      <c r="D69" s="969">
        <v>3</v>
      </c>
      <c r="E69" s="969">
        <v>4</v>
      </c>
      <c r="F69" s="969">
        <v>5</v>
      </c>
      <c r="G69" s="969">
        <v>6</v>
      </c>
      <c r="H69" s="969">
        <v>7</v>
      </c>
      <c r="I69" s="20"/>
      <c r="J69" s="969">
        <v>3</v>
      </c>
      <c r="K69" s="969">
        <v>4</v>
      </c>
      <c r="L69" s="969">
        <v>5</v>
      </c>
      <c r="M69" s="969">
        <v>6</v>
      </c>
      <c r="N69" s="969">
        <v>7</v>
      </c>
      <c r="O69" s="20"/>
      <c r="P69" s="969">
        <v>3</v>
      </c>
      <c r="Q69" s="969">
        <v>4</v>
      </c>
      <c r="R69" s="969">
        <v>5</v>
      </c>
      <c r="S69" s="969">
        <v>6</v>
      </c>
      <c r="T69" s="969">
        <v>7</v>
      </c>
      <c r="U69" s="279"/>
      <c r="V69" s="89"/>
      <c r="AC69" s="86"/>
      <c r="AD69" s="86"/>
      <c r="AE69" s="86"/>
      <c r="AF69" s="86"/>
      <c r="AG69" s="86"/>
      <c r="AH69" s="86"/>
      <c r="AI69" s="86"/>
      <c r="AJ69" s="86"/>
      <c r="AK69" s="86"/>
      <c r="AL69" s="86"/>
      <c r="AM69" s="86"/>
      <c r="AN69" s="86"/>
      <c r="AO69" s="86"/>
      <c r="AP69" s="86"/>
      <c r="AQ69" s="86"/>
      <c r="AR69" s="86"/>
      <c r="AS69" s="86"/>
      <c r="AT69" s="86"/>
      <c r="AU69" s="86"/>
      <c r="AV69" s="86"/>
      <c r="AW69" s="86"/>
      <c r="AX69" s="86"/>
      <c r="AY69" s="86"/>
    </row>
    <row r="70" spans="1:66" ht="7.5" customHeight="1" x14ac:dyDescent="0.2">
      <c r="A70" s="280"/>
      <c r="B70" s="20"/>
      <c r="C70" s="20"/>
      <c r="D70" s="20"/>
      <c r="E70" s="20"/>
      <c r="F70" s="20"/>
      <c r="G70" s="20"/>
      <c r="H70" s="20"/>
      <c r="I70" s="20"/>
      <c r="J70" s="20"/>
      <c r="K70" s="20"/>
      <c r="L70" s="20"/>
      <c r="M70" s="20"/>
      <c r="N70" s="20"/>
      <c r="O70" s="20"/>
      <c r="P70" s="20"/>
      <c r="Q70" s="20"/>
      <c r="R70" s="20"/>
      <c r="S70" s="20"/>
      <c r="T70" s="21"/>
      <c r="U70" s="279"/>
      <c r="V70" s="137"/>
      <c r="AC70" s="86"/>
      <c r="AD70" s="86"/>
      <c r="AE70" s="86"/>
      <c r="AF70" s="86"/>
      <c r="AG70" s="86"/>
      <c r="AH70" s="86"/>
      <c r="AI70" s="86"/>
      <c r="AJ70" s="86"/>
      <c r="AK70" s="86"/>
      <c r="AL70" s="86"/>
      <c r="AM70" s="86"/>
      <c r="AN70" s="86"/>
      <c r="AO70" s="86"/>
      <c r="AP70" s="86"/>
      <c r="AQ70" s="86"/>
      <c r="AR70" s="86"/>
      <c r="AS70" s="86"/>
      <c r="AT70" s="86"/>
      <c r="AU70" s="86"/>
      <c r="AV70" s="86"/>
      <c r="AW70" s="86"/>
      <c r="AX70" s="86"/>
      <c r="AY70" s="86"/>
    </row>
    <row r="71" spans="1:66" ht="15" customHeight="1" x14ac:dyDescent="0.2">
      <c r="A71" s="956"/>
      <c r="B71" s="15"/>
      <c r="C71" s="15"/>
      <c r="D71" s="15"/>
      <c r="E71" s="15"/>
      <c r="F71" s="15"/>
      <c r="G71" s="15"/>
      <c r="H71" s="15"/>
      <c r="I71" s="15"/>
      <c r="J71" s="15"/>
      <c r="K71" s="15"/>
      <c r="L71" s="15"/>
      <c r="M71" s="15"/>
      <c r="N71" s="15"/>
      <c r="O71" s="15"/>
      <c r="P71" s="15"/>
      <c r="Q71" s="15"/>
      <c r="R71" s="15"/>
      <c r="S71" s="15"/>
      <c r="T71" s="15"/>
      <c r="U71" s="279"/>
      <c r="V71" s="137"/>
      <c r="AC71" s="86"/>
      <c r="AD71" s="86"/>
      <c r="AE71" s="86"/>
      <c r="AF71" s="86"/>
      <c r="AG71" s="86"/>
      <c r="AH71" s="86"/>
      <c r="AI71" s="86"/>
      <c r="AJ71" s="86"/>
      <c r="AK71" s="86"/>
      <c r="AL71" s="86"/>
      <c r="AM71" s="86"/>
      <c r="AN71" s="86"/>
      <c r="AO71" s="86"/>
      <c r="AP71" s="86"/>
      <c r="AQ71" s="86"/>
      <c r="AR71" s="86"/>
      <c r="AS71" s="86"/>
      <c r="AT71" s="86"/>
      <c r="AU71" s="86"/>
      <c r="AV71" s="86"/>
      <c r="AW71" s="86"/>
      <c r="AX71" s="86"/>
      <c r="AY71" s="86"/>
    </row>
    <row r="72" spans="1:66" ht="9.9499999999999993" customHeight="1" x14ac:dyDescent="0.2">
      <c r="A72" s="242"/>
      <c r="B72" s="243"/>
      <c r="C72" s="974"/>
      <c r="D72" s="263"/>
      <c r="E72" s="263"/>
      <c r="F72" s="263"/>
      <c r="G72" s="263"/>
      <c r="H72" s="243"/>
      <c r="I72" s="974"/>
      <c r="J72" s="243"/>
      <c r="K72" s="243"/>
      <c r="L72" s="243"/>
      <c r="M72" s="243"/>
      <c r="N72" s="243"/>
      <c r="O72" s="974"/>
      <c r="P72" s="974"/>
      <c r="Q72" s="974"/>
      <c r="R72" s="243"/>
      <c r="S72" s="974"/>
      <c r="T72" s="243"/>
      <c r="U72" s="286"/>
      <c r="V72" s="137"/>
      <c r="AC72" s="86"/>
      <c r="AD72" s="86"/>
      <c r="AE72" s="86"/>
      <c r="AF72" s="86"/>
      <c r="AG72" s="86"/>
      <c r="AH72" s="86"/>
      <c r="AI72" s="86"/>
      <c r="AJ72" s="86"/>
      <c r="AK72" s="86"/>
      <c r="AL72" s="86"/>
      <c r="AM72" s="86"/>
      <c r="AN72" s="86"/>
      <c r="AO72" s="86"/>
      <c r="AP72" s="86"/>
      <c r="AQ72" s="86"/>
      <c r="AR72" s="86"/>
      <c r="AS72" s="86"/>
      <c r="AT72" s="86"/>
      <c r="AU72" s="86"/>
      <c r="AV72" s="86"/>
      <c r="AW72" s="86"/>
      <c r="AX72" s="86"/>
      <c r="AY72" s="86"/>
    </row>
    <row r="73" spans="1:66" s="74" customFormat="1" ht="11.25" customHeight="1" x14ac:dyDescent="0.2">
      <c r="A73" s="142"/>
      <c r="B73" s="9"/>
      <c r="C73" s="9"/>
      <c r="D73" s="9"/>
      <c r="E73" s="9"/>
      <c r="F73" s="58"/>
      <c r="G73" s="58"/>
      <c r="H73" s="58"/>
      <c r="I73" s="58"/>
      <c r="J73" s="114"/>
      <c r="K73" s="113"/>
      <c r="L73" s="113"/>
      <c r="M73" s="113"/>
      <c r="N73" s="113"/>
      <c r="O73" s="113"/>
      <c r="P73" s="113"/>
      <c r="Q73" s="113"/>
      <c r="R73" s="113"/>
      <c r="S73" s="113"/>
      <c r="T73" s="113"/>
      <c r="U73" s="113"/>
      <c r="V73" s="137"/>
      <c r="AB73" s="75"/>
      <c r="AC73" s="86"/>
      <c r="AD73" s="86"/>
      <c r="AE73" s="86"/>
      <c r="AF73" s="86"/>
      <c r="AG73" s="86"/>
      <c r="AH73" s="86"/>
      <c r="AI73" s="86"/>
      <c r="AJ73" s="86"/>
      <c r="AK73" s="86"/>
      <c r="AL73" s="86"/>
      <c r="AM73" s="86"/>
      <c r="AN73" s="86"/>
      <c r="AO73" s="86"/>
      <c r="AP73" s="86"/>
      <c r="AQ73" s="86"/>
      <c r="AR73" s="86"/>
      <c r="AS73" s="86"/>
      <c r="AT73" s="86"/>
      <c r="AU73" s="86"/>
      <c r="AV73" s="86"/>
      <c r="AW73" s="86"/>
      <c r="AX73" s="86"/>
      <c r="AY73" s="86"/>
      <c r="AZ73" s="81"/>
      <c r="BA73" s="81"/>
      <c r="BB73" s="81"/>
      <c r="BC73" s="81"/>
      <c r="BD73" s="81"/>
      <c r="BE73" s="81"/>
      <c r="BF73" s="81"/>
      <c r="BG73" s="81"/>
      <c r="BH73" s="81"/>
      <c r="BI73" s="81"/>
      <c r="BJ73" s="81"/>
      <c r="BK73" s="81"/>
      <c r="BL73" s="81"/>
      <c r="BM73" s="81"/>
      <c r="BN73" s="81"/>
    </row>
    <row r="74" spans="1:66" s="74" customFormat="1" ht="11.25" customHeight="1" x14ac:dyDescent="0.2">
      <c r="A74" s="142"/>
      <c r="B74" s="1685" t="s">
        <v>82</v>
      </c>
      <c r="C74" s="1685"/>
      <c r="D74" s="1685"/>
      <c r="E74" s="1685"/>
      <c r="F74" s="1685"/>
      <c r="G74" s="1685"/>
      <c r="H74" s="1685"/>
      <c r="I74" s="1685"/>
      <c r="J74" s="12"/>
      <c r="K74" s="9"/>
      <c r="L74" s="9"/>
      <c r="M74" s="9"/>
      <c r="N74" s="9"/>
      <c r="O74" s="9"/>
      <c r="P74" s="9"/>
      <c r="Q74" s="9"/>
      <c r="R74" s="9"/>
      <c r="S74" s="9"/>
      <c r="T74" s="9"/>
      <c r="U74" s="9"/>
      <c r="V74" s="137"/>
      <c r="AB74" s="75"/>
      <c r="AC74" s="86"/>
      <c r="AD74" s="86"/>
      <c r="AE74" s="86"/>
      <c r="AF74" s="86"/>
      <c r="AG74" s="86"/>
      <c r="AH74" s="86"/>
      <c r="AI74" s="86"/>
      <c r="AJ74" s="86"/>
      <c r="AK74" s="86"/>
      <c r="AL74" s="86"/>
      <c r="AM74" s="86"/>
      <c r="AN74" s="86"/>
      <c r="AO74" s="86"/>
      <c r="AP74" s="86"/>
      <c r="AQ74" s="86"/>
      <c r="AR74" s="86"/>
      <c r="AS74" s="86"/>
      <c r="AT74" s="86"/>
      <c r="AU74" s="86"/>
      <c r="AV74" s="86"/>
      <c r="AW74" s="86"/>
      <c r="AX74" s="86"/>
      <c r="AY74" s="86"/>
    </row>
    <row r="75" spans="1:66" s="74" customFormat="1" ht="11.25" customHeight="1" x14ac:dyDescent="0.2">
      <c r="A75" s="142"/>
      <c r="B75" s="1685"/>
      <c r="C75" s="1685"/>
      <c r="D75" s="1685"/>
      <c r="E75" s="1685"/>
      <c r="F75" s="1685"/>
      <c r="G75" s="1685"/>
      <c r="H75" s="1685"/>
      <c r="I75" s="1685"/>
      <c r="J75" s="12"/>
      <c r="K75" s="9"/>
      <c r="L75" s="9"/>
      <c r="M75" s="9"/>
      <c r="N75" s="9"/>
      <c r="O75" s="9"/>
      <c r="P75" s="9"/>
      <c r="Q75" s="9"/>
      <c r="R75" s="9"/>
      <c r="S75" s="9"/>
      <c r="T75" s="9"/>
      <c r="U75" s="9"/>
      <c r="V75" s="137"/>
      <c r="AB75" s="75"/>
      <c r="AC75" s="86"/>
      <c r="AD75" s="86"/>
      <c r="AE75" s="86"/>
      <c r="AF75" s="86"/>
      <c r="AG75" s="86"/>
      <c r="AH75" s="86"/>
      <c r="AI75" s="86"/>
      <c r="AJ75" s="86"/>
      <c r="AK75" s="86"/>
      <c r="AL75" s="86"/>
      <c r="AM75" s="86"/>
      <c r="AN75" s="86"/>
      <c r="AO75" s="86"/>
      <c r="AP75" s="86"/>
      <c r="AQ75" s="86"/>
      <c r="AR75" s="86"/>
      <c r="AS75" s="86"/>
      <c r="AT75" s="86"/>
      <c r="AU75" s="86"/>
      <c r="AV75" s="86"/>
      <c r="AW75" s="86"/>
      <c r="AX75" s="86"/>
      <c r="AY75" s="86"/>
    </row>
    <row r="76" spans="1:66" s="74" customFormat="1" ht="11.25" customHeight="1" x14ac:dyDescent="0.2">
      <c r="A76" s="142"/>
      <c r="B76" s="1680" t="s">
        <v>800</v>
      </c>
      <c r="C76" s="1680"/>
      <c r="D76" s="1680"/>
      <c r="E76" s="1680"/>
      <c r="F76" s="1680"/>
      <c r="G76" s="1680"/>
      <c r="H76" s="1680"/>
      <c r="I76" s="1680"/>
      <c r="J76" s="12"/>
      <c r="K76" s="9"/>
      <c r="L76" s="9"/>
      <c r="M76" s="9"/>
      <c r="N76" s="9"/>
      <c r="O76" s="9"/>
      <c r="P76" s="9"/>
      <c r="Q76" s="9"/>
      <c r="R76" s="9"/>
      <c r="S76" s="9"/>
      <c r="T76" s="9"/>
      <c r="U76" s="9"/>
      <c r="V76" s="137"/>
      <c r="AB76" s="75"/>
      <c r="AC76" s="86"/>
      <c r="AD76" s="86"/>
      <c r="AE76" s="86"/>
      <c r="AF76" s="86"/>
      <c r="AG76" s="86"/>
      <c r="AH76" s="86"/>
      <c r="AI76" s="86"/>
      <c r="AJ76" s="86"/>
      <c r="AK76" s="86"/>
      <c r="AL76" s="86"/>
      <c r="AM76" s="86"/>
      <c r="AN76" s="86"/>
      <c r="AO76" s="86"/>
      <c r="AP76" s="86"/>
      <c r="AQ76" s="86"/>
      <c r="AR76" s="86"/>
      <c r="AS76" s="86"/>
      <c r="AT76" s="86"/>
      <c r="AU76" s="86"/>
      <c r="AV76" s="86"/>
      <c r="AW76" s="86"/>
      <c r="AX76" s="86"/>
      <c r="AY76" s="86"/>
    </row>
    <row r="77" spans="1:66" s="74" customFormat="1" ht="11.25" customHeight="1" x14ac:dyDescent="0.2">
      <c r="A77" s="142"/>
      <c r="B77" s="1680"/>
      <c r="C77" s="1680"/>
      <c r="D77" s="1680"/>
      <c r="E77" s="1680"/>
      <c r="F77" s="1680"/>
      <c r="G77" s="1680"/>
      <c r="H77" s="1680"/>
      <c r="I77" s="1680"/>
      <c r="J77" s="12"/>
      <c r="K77" s="9"/>
      <c r="L77" s="9"/>
      <c r="M77" s="9"/>
      <c r="N77" s="9"/>
      <c r="O77" s="9"/>
      <c r="P77" s="9"/>
      <c r="Q77" s="9"/>
      <c r="R77" s="9"/>
      <c r="S77" s="9"/>
      <c r="T77" s="9"/>
      <c r="U77" s="9"/>
      <c r="V77" s="137"/>
      <c r="AB77" s="75"/>
      <c r="AC77" s="86"/>
      <c r="AD77" s="86"/>
      <c r="AE77" s="86"/>
      <c r="AF77" s="86"/>
      <c r="AG77" s="86"/>
      <c r="AH77" s="86"/>
      <c r="AI77" s="86"/>
      <c r="AJ77" s="86"/>
      <c r="AK77" s="86"/>
      <c r="AL77" s="86"/>
      <c r="AM77" s="86"/>
      <c r="AN77" s="86"/>
      <c r="AO77" s="86"/>
      <c r="AP77" s="86"/>
      <c r="AQ77" s="86"/>
      <c r="AR77" s="86"/>
      <c r="AS77" s="86"/>
      <c r="AT77" s="86"/>
      <c r="AU77" s="86"/>
      <c r="AV77" s="86"/>
      <c r="AW77" s="86"/>
      <c r="AX77" s="86"/>
      <c r="AY77" s="86"/>
    </row>
    <row r="78" spans="1:66" s="76" customFormat="1" ht="11.25" hidden="1" customHeight="1" x14ac:dyDescent="0.2">
      <c r="A78" s="142"/>
      <c r="B78" s="1680" t="s">
        <v>81</v>
      </c>
      <c r="C78" s="1680"/>
      <c r="D78" s="1680"/>
      <c r="E78" s="1680"/>
      <c r="F78" s="1680"/>
      <c r="G78" s="1680"/>
      <c r="H78" s="1680"/>
      <c r="I78" s="1680"/>
      <c r="J78" s="14"/>
      <c r="K78" s="14"/>
      <c r="L78" s="14"/>
      <c r="M78" s="14"/>
      <c r="N78" s="14"/>
      <c r="O78" s="14"/>
      <c r="P78" s="14"/>
      <c r="Q78" s="14"/>
      <c r="R78" s="14"/>
      <c r="S78" s="14"/>
      <c r="T78" s="14"/>
      <c r="U78" s="14"/>
      <c r="V78" s="140"/>
      <c r="W78" s="74"/>
      <c r="X78" s="74"/>
      <c r="Y78" s="74"/>
      <c r="Z78" s="74"/>
      <c r="AA78" s="74"/>
      <c r="AB78" s="75"/>
      <c r="AC78" s="86"/>
      <c r="AD78" s="86"/>
      <c r="AE78" s="86"/>
      <c r="AF78" s="86"/>
      <c r="AG78" s="86"/>
      <c r="AH78" s="86"/>
      <c r="AI78" s="86"/>
      <c r="AJ78" s="86"/>
      <c r="AK78" s="86"/>
      <c r="AL78" s="86"/>
      <c r="AM78" s="86"/>
      <c r="AN78" s="86"/>
      <c r="AO78" s="86"/>
      <c r="AP78" s="86"/>
      <c r="AQ78" s="86"/>
      <c r="AR78" s="86"/>
      <c r="AS78" s="86"/>
      <c r="AT78" s="86"/>
      <c r="AU78" s="86"/>
      <c r="AV78" s="86"/>
      <c r="AW78" s="86"/>
      <c r="AX78" s="86"/>
      <c r="AY78" s="86"/>
    </row>
    <row r="79" spans="1:66" s="74" customFormat="1" ht="11.25" hidden="1" customHeight="1" x14ac:dyDescent="0.2">
      <c r="A79" s="142"/>
      <c r="B79" s="1680"/>
      <c r="C79" s="1680"/>
      <c r="D79" s="1680"/>
      <c r="E79" s="1680"/>
      <c r="F79" s="1680"/>
      <c r="G79" s="1680"/>
      <c r="H79" s="1680"/>
      <c r="I79" s="1680"/>
      <c r="J79" s="12"/>
      <c r="K79" s="9"/>
      <c r="L79" s="9"/>
      <c r="M79" s="9"/>
      <c r="N79" s="9"/>
      <c r="O79" s="9"/>
      <c r="P79" s="9"/>
      <c r="Q79" s="9"/>
      <c r="R79" s="9"/>
      <c r="S79" s="9"/>
      <c r="T79" s="9"/>
      <c r="U79" s="9"/>
      <c r="V79" s="137"/>
      <c r="AB79" s="75"/>
      <c r="AC79" s="86"/>
      <c r="AD79" s="86"/>
      <c r="AE79" s="86"/>
      <c r="AF79" s="86"/>
      <c r="AG79" s="86"/>
      <c r="AH79" s="86"/>
      <c r="AI79" s="86"/>
      <c r="AJ79" s="86"/>
      <c r="AK79" s="86"/>
      <c r="AL79" s="86"/>
      <c r="AM79" s="86"/>
      <c r="AN79" s="86"/>
      <c r="AO79" s="86"/>
      <c r="AP79" s="86"/>
      <c r="AQ79" s="86"/>
      <c r="AR79" s="86"/>
      <c r="AS79" s="86"/>
      <c r="AT79" s="86"/>
      <c r="AU79" s="86"/>
      <c r="AV79" s="86"/>
      <c r="AW79" s="86"/>
      <c r="AX79" s="86"/>
      <c r="AY79" s="86"/>
    </row>
    <row r="80" spans="1:66" s="74" customFormat="1" ht="11.25" customHeight="1" x14ac:dyDescent="0.2">
      <c r="A80" s="142"/>
      <c r="B80" s="1680" t="s">
        <v>78</v>
      </c>
      <c r="C80" s="1680"/>
      <c r="D80" s="1680"/>
      <c r="E80" s="1680"/>
      <c r="F80" s="1680"/>
      <c r="G80" s="1680"/>
      <c r="H80" s="1680"/>
      <c r="I80" s="1680"/>
      <c r="J80" s="12"/>
      <c r="K80" s="9"/>
      <c r="L80" s="9"/>
      <c r="M80" s="9"/>
      <c r="N80" s="9"/>
      <c r="O80" s="9"/>
      <c r="P80" s="9"/>
      <c r="Q80" s="9"/>
      <c r="R80" s="9"/>
      <c r="S80" s="9"/>
      <c r="T80" s="9"/>
      <c r="U80" s="9"/>
      <c r="V80" s="137"/>
      <c r="AB80" s="75"/>
      <c r="AC80" s="86"/>
      <c r="AD80" s="86"/>
      <c r="AE80" s="86"/>
      <c r="AF80" s="86"/>
      <c r="AG80" s="86"/>
      <c r="AH80" s="86"/>
      <c r="AI80" s="86"/>
      <c r="AJ80" s="86"/>
      <c r="AK80" s="86"/>
      <c r="AL80" s="86"/>
      <c r="AM80" s="86"/>
      <c r="AN80" s="86"/>
      <c r="AO80" s="86"/>
      <c r="AP80" s="86"/>
      <c r="AQ80" s="86"/>
      <c r="AR80" s="86"/>
      <c r="AS80" s="86"/>
      <c r="AT80" s="86"/>
      <c r="AU80" s="86"/>
      <c r="AV80" s="86"/>
      <c r="AW80" s="86"/>
      <c r="AX80" s="86"/>
      <c r="AY80" s="86"/>
    </row>
    <row r="81" spans="1:51" s="74" customFormat="1" ht="11.25" customHeight="1" x14ac:dyDescent="0.2">
      <c r="A81" s="142"/>
      <c r="B81" s="1680"/>
      <c r="C81" s="1680"/>
      <c r="D81" s="1680"/>
      <c r="E81" s="1680"/>
      <c r="F81" s="1680"/>
      <c r="G81" s="1680"/>
      <c r="H81" s="1680"/>
      <c r="I81" s="1680"/>
      <c r="J81" s="12"/>
      <c r="K81" s="9"/>
      <c r="L81" s="9"/>
      <c r="M81" s="9"/>
      <c r="N81" s="9"/>
      <c r="O81" s="9"/>
      <c r="P81" s="9"/>
      <c r="Q81" s="9"/>
      <c r="R81" s="9"/>
      <c r="S81" s="9"/>
      <c r="T81" s="9"/>
      <c r="U81" s="9"/>
      <c r="V81" s="137"/>
      <c r="AB81" s="75"/>
      <c r="AC81" s="86"/>
      <c r="AD81" s="86"/>
      <c r="AE81" s="86"/>
      <c r="AF81" s="86"/>
      <c r="AG81" s="86"/>
      <c r="AH81" s="86"/>
      <c r="AI81" s="86"/>
      <c r="AJ81" s="86"/>
      <c r="AK81" s="86"/>
      <c r="AL81" s="86"/>
      <c r="AM81" s="86"/>
      <c r="AN81" s="86"/>
      <c r="AO81" s="86"/>
      <c r="AP81" s="86"/>
      <c r="AQ81" s="86"/>
      <c r="AR81" s="86"/>
      <c r="AS81" s="86"/>
      <c r="AT81" s="86"/>
      <c r="AU81" s="86"/>
      <c r="AV81" s="86"/>
      <c r="AW81" s="86"/>
      <c r="AX81" s="86"/>
      <c r="AY81" s="86"/>
    </row>
    <row r="82" spans="1:51" s="74" customFormat="1" ht="11.25" customHeight="1" x14ac:dyDescent="0.2">
      <c r="A82" s="142"/>
      <c r="B82" s="1680" t="s">
        <v>17</v>
      </c>
      <c r="C82" s="1680"/>
      <c r="D82" s="1680"/>
      <c r="E82" s="1680"/>
      <c r="F82" s="1680"/>
      <c r="G82" s="1680"/>
      <c r="H82" s="1680"/>
      <c r="I82" s="1680"/>
      <c r="J82" s="12"/>
      <c r="K82" s="9"/>
      <c r="L82" s="9"/>
      <c r="M82" s="9"/>
      <c r="N82" s="9"/>
      <c r="O82" s="9"/>
      <c r="P82" s="9"/>
      <c r="Q82" s="9"/>
      <c r="R82" s="9"/>
      <c r="S82" s="9"/>
      <c r="T82" s="9"/>
      <c r="U82" s="9"/>
      <c r="V82" s="252"/>
      <c r="AB82" s="75"/>
      <c r="AC82" s="86"/>
      <c r="AD82" s="86"/>
      <c r="AE82" s="86"/>
      <c r="AF82" s="86"/>
      <c r="AG82" s="86"/>
      <c r="AH82" s="86"/>
      <c r="AI82" s="86"/>
      <c r="AJ82" s="86"/>
      <c r="AK82" s="86"/>
      <c r="AL82" s="86"/>
      <c r="AM82" s="86"/>
      <c r="AN82" s="86"/>
      <c r="AO82" s="86"/>
      <c r="AP82" s="86"/>
      <c r="AQ82" s="86"/>
      <c r="AR82" s="86"/>
      <c r="AS82" s="86"/>
      <c r="AT82" s="86"/>
      <c r="AU82" s="86"/>
      <c r="AV82" s="86"/>
      <c r="AW82" s="86"/>
      <c r="AX82" s="86"/>
      <c r="AY82" s="86"/>
    </row>
    <row r="83" spans="1:51" s="74" customFormat="1" ht="11.25" customHeight="1" x14ac:dyDescent="0.2">
      <c r="A83" s="142"/>
      <c r="B83" s="1680"/>
      <c r="C83" s="1680"/>
      <c r="D83" s="1680"/>
      <c r="E83" s="1680"/>
      <c r="F83" s="1680"/>
      <c r="G83" s="1680"/>
      <c r="H83" s="1680"/>
      <c r="I83" s="1680"/>
      <c r="J83" s="12"/>
      <c r="K83" s="9"/>
      <c r="L83" s="9"/>
      <c r="M83" s="9"/>
      <c r="N83" s="9"/>
      <c r="O83" s="9"/>
      <c r="P83" s="9"/>
      <c r="Q83" s="9"/>
      <c r="R83" s="9"/>
      <c r="S83" s="9"/>
      <c r="T83" s="9"/>
      <c r="U83" s="9"/>
      <c r="V83" s="252"/>
      <c r="AB83" s="75"/>
      <c r="AC83" s="86"/>
      <c r="AD83" s="86"/>
      <c r="AE83" s="86"/>
      <c r="AF83" s="86"/>
      <c r="AG83" s="86"/>
      <c r="AH83" s="86"/>
      <c r="AI83" s="86"/>
      <c r="AJ83" s="86"/>
      <c r="AK83" s="86"/>
      <c r="AL83" s="86"/>
      <c r="AM83" s="86"/>
      <c r="AN83" s="86"/>
      <c r="AO83" s="86"/>
      <c r="AP83" s="86"/>
      <c r="AQ83" s="86"/>
      <c r="AR83" s="86"/>
      <c r="AS83" s="86"/>
      <c r="AT83" s="86"/>
      <c r="AU83" s="86"/>
      <c r="AV83" s="86"/>
      <c r="AW83" s="86"/>
      <c r="AX83" s="86"/>
      <c r="AY83" s="86"/>
    </row>
    <row r="84" spans="1:51" s="74" customFormat="1" ht="11.25" customHeight="1" x14ac:dyDescent="0.2">
      <c r="A84" s="142"/>
      <c r="B84" s="1680" t="s">
        <v>80</v>
      </c>
      <c r="C84" s="1680"/>
      <c r="D84" s="1680"/>
      <c r="E84" s="1680"/>
      <c r="F84" s="1680"/>
      <c r="G84" s="1680"/>
      <c r="H84" s="1680"/>
      <c r="I84" s="1680"/>
      <c r="J84" s="12"/>
      <c r="K84" s="9"/>
      <c r="L84" s="9"/>
      <c r="M84" s="9"/>
      <c r="N84" s="9"/>
      <c r="O84" s="9"/>
      <c r="P84" s="9"/>
      <c r="Q84" s="9"/>
      <c r="R84" s="9"/>
      <c r="S84" s="9"/>
      <c r="T84" s="9"/>
      <c r="U84" s="9"/>
      <c r="V84" s="252"/>
      <c r="AB84" s="75"/>
      <c r="AC84" s="86"/>
      <c r="AD84" s="86"/>
      <c r="AE84" s="86"/>
      <c r="AF84" s="86"/>
      <c r="AG84" s="86"/>
      <c r="AH84" s="86"/>
      <c r="AI84" s="86"/>
      <c r="AJ84" s="86"/>
      <c r="AK84" s="86"/>
      <c r="AL84" s="86"/>
      <c r="AM84" s="86"/>
      <c r="AN84" s="86"/>
      <c r="AO84" s="86"/>
      <c r="AP84" s="86"/>
      <c r="AQ84" s="86"/>
      <c r="AR84" s="86"/>
      <c r="AS84" s="86"/>
      <c r="AT84" s="86"/>
      <c r="AU84" s="86"/>
      <c r="AV84" s="86"/>
      <c r="AW84" s="86"/>
      <c r="AX84" s="86"/>
      <c r="AY84" s="86"/>
    </row>
    <row r="85" spans="1:51" s="74" customFormat="1" ht="11.25" customHeight="1" x14ac:dyDescent="0.2">
      <c r="A85" s="142"/>
      <c r="B85" s="1680"/>
      <c r="C85" s="1680"/>
      <c r="D85" s="1680"/>
      <c r="E85" s="1680"/>
      <c r="F85" s="1680"/>
      <c r="G85" s="1680"/>
      <c r="H85" s="1680"/>
      <c r="I85" s="1680"/>
      <c r="J85" s="12"/>
      <c r="K85" s="9"/>
      <c r="L85" s="9"/>
      <c r="M85" s="9"/>
      <c r="N85" s="9"/>
      <c r="O85" s="9"/>
      <c r="P85" s="9"/>
      <c r="Q85" s="9"/>
      <c r="R85" s="9"/>
      <c r="S85" s="9"/>
      <c r="T85" s="9"/>
      <c r="U85" s="9"/>
      <c r="V85" s="252"/>
      <c r="AB85" s="75"/>
      <c r="AC85" s="86"/>
      <c r="AD85" s="86"/>
      <c r="AE85" s="86"/>
      <c r="AF85" s="86"/>
      <c r="AG85" s="86"/>
      <c r="AH85" s="86"/>
      <c r="AI85" s="86"/>
      <c r="AJ85" s="86"/>
      <c r="AK85" s="86"/>
      <c r="AL85" s="86"/>
      <c r="AM85" s="86"/>
      <c r="AN85" s="86"/>
      <c r="AO85" s="86"/>
      <c r="AP85" s="86"/>
      <c r="AQ85" s="86"/>
      <c r="AR85" s="86"/>
      <c r="AS85" s="86"/>
      <c r="AT85" s="86"/>
      <c r="AU85" s="86"/>
      <c r="AV85" s="86"/>
      <c r="AW85" s="86"/>
      <c r="AX85" s="86"/>
      <c r="AY85" s="86"/>
    </row>
    <row r="86" spans="1:51" s="74" customFormat="1" ht="11.25" customHeight="1" x14ac:dyDescent="0.2">
      <c r="A86" s="142"/>
      <c r="B86" s="1680" t="s">
        <v>69</v>
      </c>
      <c r="C86" s="1680"/>
      <c r="D86" s="1680"/>
      <c r="E86" s="1680"/>
      <c r="F86" s="1680"/>
      <c r="G86" s="1680"/>
      <c r="H86" s="1680"/>
      <c r="I86" s="1680"/>
      <c r="J86" s="12"/>
      <c r="K86" s="9"/>
      <c r="L86" s="9"/>
      <c r="M86" s="9"/>
      <c r="N86" s="9"/>
      <c r="O86" s="9"/>
      <c r="P86" s="9"/>
      <c r="Q86" s="9"/>
      <c r="R86" s="9"/>
      <c r="S86" s="9"/>
      <c r="T86" s="9"/>
      <c r="U86" s="9"/>
      <c r="V86" s="252"/>
      <c r="AB86" s="75"/>
      <c r="AC86" s="86"/>
      <c r="AD86" s="86"/>
      <c r="AE86" s="86"/>
      <c r="AF86" s="86"/>
      <c r="AG86" s="86"/>
      <c r="AH86" s="86"/>
      <c r="AI86" s="86"/>
      <c r="AJ86" s="86"/>
      <c r="AK86" s="86"/>
      <c r="AL86" s="86"/>
      <c r="AM86" s="86"/>
      <c r="AN86" s="86"/>
      <c r="AO86" s="86"/>
      <c r="AP86" s="86"/>
      <c r="AQ86" s="86"/>
      <c r="AR86" s="86"/>
      <c r="AS86" s="86"/>
      <c r="AT86" s="86"/>
      <c r="AU86" s="86"/>
      <c r="AV86" s="86"/>
      <c r="AW86" s="86"/>
      <c r="AX86" s="86"/>
      <c r="AY86" s="86"/>
    </row>
    <row r="87" spans="1:51" s="74" customFormat="1" ht="11.25" customHeight="1" x14ac:dyDescent="0.2">
      <c r="A87" s="142"/>
      <c r="B87" s="1680"/>
      <c r="C87" s="1680"/>
      <c r="D87" s="1680"/>
      <c r="E87" s="1680"/>
      <c r="F87" s="1680"/>
      <c r="G87" s="1680"/>
      <c r="H87" s="1680"/>
      <c r="I87" s="1680"/>
      <c r="J87" s="12"/>
      <c r="K87" s="9"/>
      <c r="L87" s="9"/>
      <c r="M87" s="9"/>
      <c r="N87" s="9"/>
      <c r="O87" s="9"/>
      <c r="P87" s="9"/>
      <c r="Q87" s="9"/>
      <c r="R87" s="9"/>
      <c r="S87" s="9"/>
      <c r="T87" s="9"/>
      <c r="U87" s="9"/>
      <c r="V87" s="252"/>
      <c r="AB87" s="75"/>
      <c r="AC87" s="86"/>
      <c r="AD87" s="86"/>
      <c r="AE87" s="86"/>
      <c r="AF87" s="86"/>
      <c r="AG87" s="86"/>
      <c r="AH87" s="86"/>
      <c r="AI87" s="86"/>
      <c r="AJ87" s="86"/>
      <c r="AK87" s="86"/>
      <c r="AL87" s="86"/>
      <c r="AM87" s="86"/>
      <c r="AN87" s="86"/>
      <c r="AO87" s="86"/>
      <c r="AP87" s="86"/>
      <c r="AQ87" s="86"/>
      <c r="AR87" s="86"/>
      <c r="AS87" s="86"/>
      <c r="AT87" s="86"/>
      <c r="AU87" s="86"/>
      <c r="AV87" s="86"/>
      <c r="AW87" s="86"/>
      <c r="AX87" s="86"/>
      <c r="AY87" s="86"/>
    </row>
    <row r="88" spans="1:51" s="74" customFormat="1" ht="11.25" customHeight="1" x14ac:dyDescent="0.2">
      <c r="A88" s="142"/>
      <c r="B88" s="1680" t="s">
        <v>24</v>
      </c>
      <c r="C88" s="1680"/>
      <c r="D88" s="1680"/>
      <c r="E88" s="1680"/>
      <c r="F88" s="1680"/>
      <c r="G88" s="1680"/>
      <c r="H88" s="1680"/>
      <c r="I88" s="1680"/>
      <c r="J88" s="12"/>
      <c r="K88" s="9"/>
      <c r="L88" s="9"/>
      <c r="M88" s="9"/>
      <c r="N88" s="9"/>
      <c r="O88" s="9"/>
      <c r="P88" s="9"/>
      <c r="Q88" s="9"/>
      <c r="R88" s="9"/>
      <c r="S88" s="9"/>
      <c r="T88" s="9"/>
      <c r="U88" s="9"/>
      <c r="V88" s="137"/>
      <c r="AB88" s="75"/>
      <c r="AC88" s="86"/>
      <c r="AD88" s="86"/>
      <c r="AE88" s="86"/>
      <c r="AF88" s="86"/>
      <c r="AG88" s="86"/>
      <c r="AH88" s="86"/>
      <c r="AI88" s="86"/>
      <c r="AJ88" s="86"/>
      <c r="AK88" s="86"/>
      <c r="AL88" s="86"/>
      <c r="AM88" s="86"/>
      <c r="AN88" s="86"/>
      <c r="AO88" s="86"/>
      <c r="AP88" s="86"/>
      <c r="AQ88" s="86"/>
      <c r="AR88" s="86"/>
      <c r="AS88" s="86"/>
      <c r="AT88" s="86"/>
      <c r="AU88" s="86"/>
      <c r="AV88" s="86"/>
      <c r="AW88" s="86"/>
      <c r="AX88" s="86"/>
      <c r="AY88" s="86"/>
    </row>
    <row r="89" spans="1:51" s="74" customFormat="1" ht="11.25" customHeight="1" x14ac:dyDescent="0.2">
      <c r="A89" s="142"/>
      <c r="B89" s="1680"/>
      <c r="C89" s="1680"/>
      <c r="D89" s="1680"/>
      <c r="E89" s="1680"/>
      <c r="F89" s="1680"/>
      <c r="G89" s="1680"/>
      <c r="H89" s="1680"/>
      <c r="I89" s="1680"/>
      <c r="J89" s="12"/>
      <c r="K89" s="9"/>
      <c r="L89" s="9"/>
      <c r="M89" s="9"/>
      <c r="N89" s="9"/>
      <c r="O89" s="9"/>
      <c r="P89" s="9"/>
      <c r="Q89" s="9"/>
      <c r="R89" s="9"/>
      <c r="S89" s="9"/>
      <c r="T89" s="9"/>
      <c r="U89" s="9"/>
      <c r="V89" s="137"/>
      <c r="AB89" s="75"/>
      <c r="AC89" s="86"/>
      <c r="AD89" s="86"/>
      <c r="AE89" s="86"/>
      <c r="AF89" s="86"/>
      <c r="AG89" s="86"/>
      <c r="AH89" s="86"/>
      <c r="AI89" s="86"/>
      <c r="AJ89" s="86"/>
      <c r="AK89" s="86"/>
      <c r="AL89" s="86"/>
      <c r="AM89" s="86"/>
      <c r="AN89" s="86"/>
      <c r="AO89" s="86"/>
      <c r="AP89" s="86"/>
      <c r="AQ89" s="86"/>
      <c r="AR89" s="86"/>
      <c r="AS89" s="86"/>
      <c r="AT89" s="86"/>
      <c r="AU89" s="86"/>
      <c r="AV89" s="86"/>
      <c r="AW89" s="86"/>
      <c r="AX89" s="86"/>
      <c r="AY89" s="86"/>
    </row>
    <row r="90" spans="1:51" s="74" customFormat="1" ht="11.25" customHeight="1" x14ac:dyDescent="0.2">
      <c r="A90" s="142"/>
      <c r="B90" s="1680" t="s">
        <v>22</v>
      </c>
      <c r="C90" s="1680"/>
      <c r="D90" s="1680"/>
      <c r="E90" s="1680"/>
      <c r="F90" s="1680"/>
      <c r="G90" s="1680"/>
      <c r="H90" s="1680"/>
      <c r="I90" s="1680"/>
      <c r="J90" s="12"/>
      <c r="K90" s="9"/>
      <c r="L90" s="9"/>
      <c r="M90" s="9"/>
      <c r="N90" s="9"/>
      <c r="O90" s="9"/>
      <c r="P90" s="9"/>
      <c r="Q90" s="9"/>
      <c r="R90" s="9"/>
      <c r="S90" s="9"/>
      <c r="T90" s="9"/>
      <c r="U90" s="9"/>
      <c r="V90" s="137"/>
      <c r="AB90" s="75"/>
      <c r="AC90" s="86"/>
      <c r="AD90" s="86"/>
      <c r="AE90" s="86"/>
      <c r="AF90" s="86"/>
      <c r="AG90" s="86"/>
      <c r="AH90" s="86"/>
      <c r="AI90" s="86"/>
      <c r="AJ90" s="86"/>
      <c r="AK90" s="86"/>
      <c r="AL90" s="86"/>
      <c r="AM90" s="86"/>
      <c r="AN90" s="86"/>
      <c r="AO90" s="86"/>
      <c r="AP90" s="86"/>
      <c r="AQ90" s="86"/>
      <c r="AR90" s="86"/>
      <c r="AS90" s="86"/>
      <c r="AT90" s="86"/>
      <c r="AU90" s="86"/>
      <c r="AV90" s="86"/>
      <c r="AW90" s="86"/>
      <c r="AX90" s="86"/>
      <c r="AY90" s="86"/>
    </row>
    <row r="91" spans="1:51" s="74" customFormat="1" ht="11.25" customHeight="1" x14ac:dyDescent="0.2">
      <c r="A91" s="142"/>
      <c r="B91" s="1680"/>
      <c r="C91" s="1680"/>
      <c r="D91" s="1680"/>
      <c r="E91" s="1680"/>
      <c r="F91" s="1680"/>
      <c r="G91" s="1680"/>
      <c r="H91" s="1680"/>
      <c r="I91" s="1680"/>
      <c r="J91" s="12"/>
      <c r="K91" s="9"/>
      <c r="L91" s="9"/>
      <c r="M91" s="9"/>
      <c r="N91" s="9"/>
      <c r="O91" s="9"/>
      <c r="P91" s="9"/>
      <c r="Q91" s="9"/>
      <c r="R91" s="9"/>
      <c r="S91" s="9"/>
      <c r="T91" s="9"/>
      <c r="U91" s="9"/>
      <c r="V91" s="137"/>
      <c r="AB91" s="75"/>
      <c r="AC91" s="86"/>
      <c r="AD91" s="86"/>
      <c r="AE91" s="86"/>
      <c r="AF91" s="86"/>
      <c r="AG91" s="86"/>
      <c r="AH91" s="86"/>
      <c r="AI91" s="86"/>
      <c r="AJ91" s="86"/>
      <c r="AK91" s="86"/>
      <c r="AL91" s="86"/>
      <c r="AM91" s="86"/>
      <c r="AN91" s="86"/>
      <c r="AO91" s="86"/>
      <c r="AP91" s="86"/>
      <c r="AQ91" s="86"/>
      <c r="AR91" s="86"/>
      <c r="AS91" s="86"/>
      <c r="AT91" s="86"/>
      <c r="AU91" s="86"/>
      <c r="AV91" s="86"/>
      <c r="AW91" s="86"/>
      <c r="AX91" s="86"/>
      <c r="AY91" s="86"/>
    </row>
    <row r="92" spans="1:51" s="74" customFormat="1" ht="11.25" customHeight="1" x14ac:dyDescent="0.2">
      <c r="A92" s="142"/>
      <c r="B92" s="1680" t="s">
        <v>25</v>
      </c>
      <c r="C92" s="1680"/>
      <c r="D92" s="1680"/>
      <c r="E92" s="1680"/>
      <c r="F92" s="1680"/>
      <c r="G92" s="1680"/>
      <c r="H92" s="1680"/>
      <c r="I92" s="1680"/>
      <c r="J92" s="12"/>
      <c r="K92" s="9"/>
      <c r="L92" s="9"/>
      <c r="M92" s="9"/>
      <c r="N92" s="9"/>
      <c r="O92" s="9"/>
      <c r="P92" s="9"/>
      <c r="Q92" s="9"/>
      <c r="R92" s="9"/>
      <c r="S92" s="9"/>
      <c r="T92" s="9"/>
      <c r="U92" s="9"/>
      <c r="V92" s="137"/>
      <c r="AB92" s="75"/>
      <c r="AC92" s="86"/>
      <c r="AD92" s="86"/>
      <c r="AE92" s="86"/>
      <c r="AF92" s="86"/>
      <c r="AG92" s="86"/>
      <c r="AH92" s="86"/>
      <c r="AI92" s="86"/>
      <c r="AJ92" s="86"/>
      <c r="AK92" s="86"/>
      <c r="AL92" s="86"/>
      <c r="AM92" s="86"/>
      <c r="AN92" s="86"/>
      <c r="AO92" s="86"/>
      <c r="AP92" s="86"/>
      <c r="AQ92" s="86"/>
      <c r="AR92" s="86"/>
      <c r="AS92" s="86"/>
      <c r="AT92" s="86"/>
      <c r="AU92" s="86"/>
      <c r="AV92" s="86"/>
      <c r="AW92" s="86"/>
      <c r="AX92" s="86"/>
      <c r="AY92" s="86"/>
    </row>
    <row r="93" spans="1:51" s="74" customFormat="1" ht="11.25" customHeight="1" x14ac:dyDescent="0.2">
      <c r="A93" s="142"/>
      <c r="B93" s="1680"/>
      <c r="C93" s="1680"/>
      <c r="D93" s="1680"/>
      <c r="E93" s="1680"/>
      <c r="F93" s="1680"/>
      <c r="G93" s="1680"/>
      <c r="H93" s="1680"/>
      <c r="I93" s="1680"/>
      <c r="J93" s="12"/>
      <c r="K93" s="9"/>
      <c r="L93" s="9"/>
      <c r="M93" s="9"/>
      <c r="N93" s="9"/>
      <c r="O93" s="9"/>
      <c r="P93" s="9"/>
      <c r="Q93" s="9"/>
      <c r="R93" s="9"/>
      <c r="S93" s="9"/>
      <c r="T93" s="9"/>
      <c r="U93" s="9"/>
      <c r="V93" s="137"/>
      <c r="AB93" s="75"/>
      <c r="AC93" s="86"/>
      <c r="AD93" s="86"/>
      <c r="AE93" s="86"/>
      <c r="AF93" s="86"/>
      <c r="AG93" s="86"/>
      <c r="AH93" s="86"/>
      <c r="AI93" s="86"/>
      <c r="AJ93" s="86"/>
      <c r="AK93" s="86"/>
      <c r="AL93" s="86"/>
      <c r="AM93" s="86"/>
      <c r="AN93" s="86"/>
      <c r="AO93" s="86"/>
      <c r="AP93" s="86"/>
      <c r="AQ93" s="86"/>
      <c r="AR93" s="86"/>
      <c r="AS93" s="86"/>
      <c r="AT93" s="86"/>
      <c r="AU93" s="86"/>
      <c r="AV93" s="86"/>
      <c r="AW93" s="86"/>
      <c r="AX93" s="86"/>
      <c r="AY93" s="86"/>
    </row>
    <row r="94" spans="1:51" s="74" customFormat="1" ht="11.25" customHeight="1" x14ac:dyDescent="0.2">
      <c r="A94" s="142"/>
      <c r="B94" s="1680" t="s">
        <v>18</v>
      </c>
      <c r="C94" s="1680"/>
      <c r="D94" s="1680"/>
      <c r="E94" s="1680"/>
      <c r="F94" s="1680"/>
      <c r="G94" s="1680"/>
      <c r="H94" s="1680"/>
      <c r="I94" s="1680"/>
      <c r="J94" s="12"/>
      <c r="K94" s="9"/>
      <c r="L94" s="9"/>
      <c r="M94" s="9"/>
      <c r="N94" s="9"/>
      <c r="O94" s="9"/>
      <c r="P94" s="9"/>
      <c r="Q94" s="9"/>
      <c r="R94" s="9"/>
      <c r="S94" s="9"/>
      <c r="T94" s="9"/>
      <c r="U94" s="9"/>
      <c r="V94" s="137"/>
      <c r="AB94" s="75"/>
      <c r="AC94" s="86"/>
      <c r="AD94" s="86"/>
      <c r="AE94" s="86"/>
      <c r="AF94" s="86"/>
      <c r="AG94" s="86"/>
      <c r="AH94" s="86"/>
      <c r="AI94" s="86"/>
      <c r="AJ94" s="86"/>
      <c r="AK94" s="86"/>
      <c r="AL94" s="86"/>
      <c r="AM94" s="86"/>
      <c r="AN94" s="86"/>
      <c r="AO94" s="86"/>
      <c r="AP94" s="86"/>
      <c r="AQ94" s="86"/>
      <c r="AR94" s="86"/>
      <c r="AS94" s="86"/>
      <c r="AT94" s="86"/>
      <c r="AU94" s="86"/>
      <c r="AV94" s="86"/>
      <c r="AW94" s="86"/>
      <c r="AX94" s="86"/>
      <c r="AY94" s="86"/>
    </row>
    <row r="95" spans="1:51" s="74" customFormat="1" ht="11.25" customHeight="1" x14ac:dyDescent="0.2">
      <c r="A95" s="142"/>
      <c r="B95" s="1680"/>
      <c r="C95" s="1680"/>
      <c r="D95" s="1680"/>
      <c r="E95" s="1680"/>
      <c r="F95" s="1680"/>
      <c r="G95" s="1680"/>
      <c r="H95" s="1680"/>
      <c r="I95" s="1680"/>
      <c r="J95" s="12"/>
      <c r="K95" s="9"/>
      <c r="L95" s="9"/>
      <c r="M95" s="9"/>
      <c r="N95" s="9"/>
      <c r="O95" s="9"/>
      <c r="P95" s="9"/>
      <c r="Q95" s="9"/>
      <c r="R95" s="9"/>
      <c r="S95" s="9"/>
      <c r="T95" s="9"/>
      <c r="U95" s="9"/>
      <c r="V95" s="137"/>
      <c r="AB95" s="75"/>
      <c r="AC95" s="86"/>
      <c r="AD95" s="86"/>
      <c r="AE95" s="86"/>
      <c r="AF95" s="86"/>
      <c r="AG95" s="86"/>
      <c r="AH95" s="86"/>
      <c r="AI95" s="86"/>
      <c r="AJ95" s="86"/>
      <c r="AK95" s="86"/>
      <c r="AL95" s="86"/>
      <c r="AM95" s="86"/>
      <c r="AN95" s="86"/>
      <c r="AO95" s="86"/>
      <c r="AP95" s="86"/>
      <c r="AQ95" s="86"/>
      <c r="AR95" s="86"/>
      <c r="AS95" s="86"/>
      <c r="AT95" s="86"/>
      <c r="AU95" s="86"/>
      <c r="AV95" s="86"/>
      <c r="AW95" s="86"/>
      <c r="AX95" s="86"/>
      <c r="AY95" s="86"/>
    </row>
    <row r="96" spans="1:51" s="74" customFormat="1" ht="11.25" customHeight="1" x14ac:dyDescent="0.2">
      <c r="A96" s="142"/>
      <c r="B96" s="1680" t="s">
        <v>19</v>
      </c>
      <c r="C96" s="1680"/>
      <c r="D96" s="1680"/>
      <c r="E96" s="1680"/>
      <c r="F96" s="1680"/>
      <c r="G96" s="1680"/>
      <c r="H96" s="1680"/>
      <c r="I96" s="1680"/>
      <c r="J96" s="12"/>
      <c r="K96" s="9"/>
      <c r="L96" s="9"/>
      <c r="M96" s="9"/>
      <c r="N96" s="9"/>
      <c r="O96" s="9"/>
      <c r="P96" s="9"/>
      <c r="Q96" s="9"/>
      <c r="R96" s="9"/>
      <c r="S96" s="9"/>
      <c r="T96" s="9"/>
      <c r="U96" s="9"/>
      <c r="V96" s="137"/>
      <c r="AB96" s="75"/>
      <c r="AC96" s="86"/>
      <c r="AD96" s="86"/>
      <c r="AE96" s="86"/>
      <c r="AF96" s="86"/>
      <c r="AG96" s="86"/>
      <c r="AH96" s="86"/>
      <c r="AI96" s="86"/>
      <c r="AJ96" s="86"/>
      <c r="AK96" s="86"/>
      <c r="AL96" s="86"/>
      <c r="AM96" s="86"/>
      <c r="AN96" s="86"/>
      <c r="AO96" s="86"/>
      <c r="AP96" s="86"/>
      <c r="AQ96" s="86"/>
      <c r="AR96" s="86"/>
      <c r="AS96" s="86"/>
      <c r="AT96" s="86"/>
      <c r="AU96" s="86"/>
      <c r="AV96" s="86"/>
      <c r="AW96" s="86"/>
      <c r="AX96" s="86"/>
      <c r="AY96" s="86"/>
    </row>
    <row r="97" spans="1:51" s="74" customFormat="1" ht="11.25" customHeight="1" x14ac:dyDescent="0.2">
      <c r="A97" s="142"/>
      <c r="B97" s="1680"/>
      <c r="C97" s="1680"/>
      <c r="D97" s="1680"/>
      <c r="E97" s="1680"/>
      <c r="F97" s="1680"/>
      <c r="G97" s="1680"/>
      <c r="H97" s="1680"/>
      <c r="I97" s="1680"/>
      <c r="J97" s="12"/>
      <c r="K97" s="9"/>
      <c r="L97" s="9"/>
      <c r="M97" s="9"/>
      <c r="N97" s="9"/>
      <c r="O97" s="9"/>
      <c r="P97" s="9"/>
      <c r="Q97" s="9"/>
      <c r="R97" s="9"/>
      <c r="S97" s="9"/>
      <c r="T97" s="9"/>
      <c r="U97" s="9"/>
      <c r="V97" s="137"/>
      <c r="AB97" s="75"/>
      <c r="AC97" s="86"/>
      <c r="AD97" s="86"/>
      <c r="AE97" s="86"/>
      <c r="AF97" s="86"/>
      <c r="AG97" s="86"/>
      <c r="AH97" s="86"/>
      <c r="AI97" s="86"/>
      <c r="AJ97" s="86"/>
      <c r="AK97" s="86"/>
      <c r="AL97" s="86"/>
      <c r="AM97" s="86"/>
      <c r="AN97" s="86"/>
      <c r="AO97" s="86"/>
      <c r="AP97" s="86"/>
      <c r="AQ97" s="86"/>
      <c r="AR97" s="86"/>
      <c r="AS97" s="86"/>
      <c r="AT97" s="86"/>
      <c r="AU97" s="86"/>
      <c r="AV97" s="86"/>
      <c r="AW97" s="86"/>
      <c r="AX97" s="86"/>
      <c r="AY97" s="86"/>
    </row>
    <row r="98" spans="1:51" s="74" customFormat="1" ht="11.25" customHeight="1" x14ac:dyDescent="0.2">
      <c r="A98" s="142"/>
      <c r="B98" s="1680" t="s">
        <v>20</v>
      </c>
      <c r="C98" s="1680"/>
      <c r="D98" s="1680"/>
      <c r="E98" s="1680"/>
      <c r="F98" s="1680"/>
      <c r="G98" s="1680"/>
      <c r="H98" s="1680"/>
      <c r="I98" s="1680"/>
      <c r="J98" s="12"/>
      <c r="K98" s="9"/>
      <c r="L98" s="9"/>
      <c r="M98" s="9"/>
      <c r="N98" s="9"/>
      <c r="O98" s="9"/>
      <c r="P98" s="9"/>
      <c r="Q98" s="9"/>
      <c r="R98" s="9"/>
      <c r="S98" s="9"/>
      <c r="T98" s="9"/>
      <c r="U98" s="9"/>
      <c r="V98" s="137"/>
      <c r="AB98" s="75"/>
      <c r="AC98" s="86"/>
      <c r="AD98" s="86"/>
      <c r="AE98" s="86"/>
      <c r="AF98" s="86"/>
      <c r="AG98" s="86"/>
      <c r="AH98" s="86"/>
      <c r="AI98" s="86"/>
      <c r="AJ98" s="86"/>
      <c r="AK98" s="86"/>
      <c r="AL98" s="86"/>
      <c r="AM98" s="86"/>
      <c r="AN98" s="86"/>
      <c r="AO98" s="86"/>
      <c r="AP98" s="86"/>
      <c r="AQ98" s="86"/>
      <c r="AR98" s="86"/>
      <c r="AS98" s="86"/>
      <c r="AT98" s="86"/>
      <c r="AU98" s="86"/>
      <c r="AV98" s="86"/>
      <c r="AW98" s="86"/>
      <c r="AX98" s="86"/>
      <c r="AY98" s="86"/>
    </row>
    <row r="99" spans="1:51" s="74" customFormat="1" ht="11.25" customHeight="1" x14ac:dyDescent="0.2">
      <c r="A99" s="142"/>
      <c r="B99" s="1680"/>
      <c r="C99" s="1680"/>
      <c r="D99" s="1680"/>
      <c r="E99" s="1680"/>
      <c r="F99" s="1680"/>
      <c r="G99" s="1680"/>
      <c r="H99" s="1680"/>
      <c r="I99" s="1680"/>
      <c r="J99" s="12"/>
      <c r="K99" s="9"/>
      <c r="L99" s="9"/>
      <c r="M99" s="9"/>
      <c r="N99" s="9"/>
      <c r="O99" s="9"/>
      <c r="P99" s="9"/>
      <c r="Q99" s="9"/>
      <c r="R99" s="9"/>
      <c r="S99" s="9"/>
      <c r="T99" s="9"/>
      <c r="U99" s="9"/>
      <c r="V99" s="137"/>
      <c r="AB99" s="75"/>
      <c r="AC99" s="86"/>
      <c r="AD99" s="86"/>
      <c r="AE99" s="86"/>
      <c r="AF99" s="86"/>
      <c r="AG99" s="86"/>
      <c r="AH99" s="86"/>
      <c r="AI99" s="86"/>
      <c r="AJ99" s="86"/>
      <c r="AK99" s="86"/>
      <c r="AL99" s="86"/>
      <c r="AM99" s="86"/>
      <c r="AN99" s="86"/>
      <c r="AO99" s="86"/>
      <c r="AP99" s="86"/>
      <c r="AQ99" s="86"/>
      <c r="AR99" s="86"/>
      <c r="AS99" s="86"/>
      <c r="AT99" s="86"/>
      <c r="AU99" s="86"/>
      <c r="AV99" s="86"/>
      <c r="AW99" s="86"/>
      <c r="AX99" s="86"/>
      <c r="AY99" s="86"/>
    </row>
    <row r="100" spans="1:51" s="74" customFormat="1" ht="11.25" customHeight="1" x14ac:dyDescent="0.2">
      <c r="A100" s="142"/>
      <c r="B100" s="1680" t="s">
        <v>26</v>
      </c>
      <c r="C100" s="1680"/>
      <c r="D100" s="1680"/>
      <c r="E100" s="1680"/>
      <c r="F100" s="1680"/>
      <c r="G100" s="1680"/>
      <c r="H100" s="1680"/>
      <c r="I100" s="1680"/>
      <c r="J100" s="12"/>
      <c r="K100" s="9"/>
      <c r="L100" s="9"/>
      <c r="M100" s="9"/>
      <c r="N100" s="9"/>
      <c r="O100" s="9"/>
      <c r="P100" s="9"/>
      <c r="Q100" s="9"/>
      <c r="R100" s="9"/>
      <c r="S100" s="9"/>
      <c r="T100" s="9"/>
      <c r="U100" s="9"/>
      <c r="V100" s="137"/>
      <c r="AB100" s="75"/>
      <c r="AC100" s="86"/>
      <c r="AD100" s="86"/>
      <c r="AE100" s="86"/>
      <c r="AF100" s="86"/>
      <c r="AG100" s="86"/>
      <c r="AH100" s="86"/>
      <c r="AI100" s="86"/>
      <c r="AJ100" s="86"/>
      <c r="AK100" s="86"/>
      <c r="AL100" s="86"/>
      <c r="AM100" s="86"/>
      <c r="AN100" s="86"/>
      <c r="AO100" s="86"/>
      <c r="AP100" s="86"/>
      <c r="AQ100" s="86"/>
      <c r="AR100" s="86"/>
      <c r="AS100" s="86"/>
      <c r="AT100" s="86"/>
      <c r="AU100" s="86"/>
      <c r="AV100" s="86"/>
      <c r="AW100" s="86"/>
      <c r="AX100" s="86"/>
      <c r="AY100" s="86"/>
    </row>
    <row r="101" spans="1:51" s="74" customFormat="1" ht="11.25" customHeight="1" x14ac:dyDescent="0.2">
      <c r="A101" s="142"/>
      <c r="B101" s="1680"/>
      <c r="C101" s="1680"/>
      <c r="D101" s="1680"/>
      <c r="E101" s="1680"/>
      <c r="F101" s="1680"/>
      <c r="G101" s="1680"/>
      <c r="H101" s="1680"/>
      <c r="I101" s="1680"/>
      <c r="J101" s="12"/>
      <c r="K101" s="9"/>
      <c r="L101" s="9"/>
      <c r="M101" s="9"/>
      <c r="N101" s="9"/>
      <c r="O101" s="9"/>
      <c r="P101" s="9"/>
      <c r="Q101" s="9"/>
      <c r="R101" s="9"/>
      <c r="S101" s="9"/>
      <c r="T101" s="9"/>
      <c r="U101" s="9"/>
      <c r="V101" s="137"/>
      <c r="AB101" s="75"/>
      <c r="AC101" s="86"/>
      <c r="AD101" s="86"/>
      <c r="AE101" s="86"/>
      <c r="AF101" s="86"/>
      <c r="AG101" s="86"/>
      <c r="AH101" s="86"/>
      <c r="AI101" s="86"/>
      <c r="AJ101" s="86"/>
      <c r="AK101" s="86"/>
      <c r="AL101" s="86"/>
      <c r="AM101" s="86"/>
      <c r="AN101" s="86"/>
      <c r="AO101" s="86"/>
      <c r="AP101" s="86"/>
      <c r="AQ101" s="86"/>
      <c r="AR101" s="86"/>
      <c r="AS101" s="86"/>
      <c r="AT101" s="86"/>
      <c r="AU101" s="86"/>
      <c r="AV101" s="86"/>
      <c r="AW101" s="86"/>
      <c r="AX101" s="86"/>
      <c r="AY101" s="86"/>
    </row>
    <row r="102" spans="1:51" s="74" customFormat="1" ht="11.25" customHeight="1" x14ac:dyDescent="0.2">
      <c r="A102" s="142"/>
      <c r="B102" s="1680" t="s">
        <v>21</v>
      </c>
      <c r="C102" s="1680"/>
      <c r="D102" s="1680"/>
      <c r="E102" s="1680"/>
      <c r="F102" s="1680"/>
      <c r="G102" s="1680"/>
      <c r="H102" s="1680"/>
      <c r="I102" s="1680"/>
      <c r="J102" s="12"/>
      <c r="K102" s="9"/>
      <c r="L102" s="9"/>
      <c r="M102" s="9"/>
      <c r="N102" s="9"/>
      <c r="O102" s="9"/>
      <c r="P102" s="9"/>
      <c r="Q102" s="9"/>
      <c r="R102" s="9"/>
      <c r="S102" s="9"/>
      <c r="T102" s="9"/>
      <c r="U102" s="9"/>
      <c r="V102" s="137"/>
      <c r="AB102" s="75"/>
      <c r="AC102" s="86"/>
      <c r="AD102" s="86"/>
      <c r="AE102" s="86"/>
      <c r="AF102" s="86"/>
      <c r="AG102" s="86"/>
      <c r="AH102" s="86"/>
      <c r="AI102" s="86"/>
      <c r="AJ102" s="86"/>
      <c r="AK102" s="86"/>
      <c r="AL102" s="86"/>
      <c r="AM102" s="86"/>
      <c r="AN102" s="86"/>
      <c r="AO102" s="86"/>
      <c r="AP102" s="86"/>
      <c r="AQ102" s="86"/>
      <c r="AR102" s="86"/>
      <c r="AS102" s="86"/>
      <c r="AT102" s="86"/>
      <c r="AU102" s="86"/>
      <c r="AV102" s="86"/>
      <c r="AW102" s="86"/>
      <c r="AX102" s="86"/>
      <c r="AY102" s="86"/>
    </row>
    <row r="103" spans="1:51" s="74" customFormat="1" ht="11.25" customHeight="1" x14ac:dyDescent="0.2">
      <c r="A103" s="142"/>
      <c r="B103" s="1680"/>
      <c r="C103" s="1680"/>
      <c r="D103" s="1680"/>
      <c r="E103" s="1680"/>
      <c r="F103" s="1680"/>
      <c r="G103" s="1680"/>
      <c r="H103" s="1680"/>
      <c r="I103" s="1680"/>
      <c r="J103" s="12"/>
      <c r="K103" s="9"/>
      <c r="L103" s="9"/>
      <c r="M103" s="9"/>
      <c r="N103" s="9"/>
      <c r="O103" s="9"/>
      <c r="P103" s="9"/>
      <c r="Q103" s="9"/>
      <c r="R103" s="9"/>
      <c r="S103" s="9"/>
      <c r="T103" s="9"/>
      <c r="U103" s="9"/>
      <c r="V103" s="137"/>
      <c r="AB103" s="75"/>
      <c r="AC103" s="86"/>
      <c r="AD103" s="86"/>
      <c r="AE103" s="86"/>
      <c r="AF103" s="86"/>
      <c r="AG103" s="86"/>
      <c r="AH103" s="86"/>
      <c r="AI103" s="86"/>
      <c r="AJ103" s="86"/>
      <c r="AK103" s="86"/>
      <c r="AL103" s="86"/>
      <c r="AM103" s="86"/>
      <c r="AN103" s="86"/>
      <c r="AO103" s="86"/>
      <c r="AP103" s="86"/>
      <c r="AQ103" s="86"/>
      <c r="AR103" s="86"/>
      <c r="AS103" s="86"/>
      <c r="AT103" s="86"/>
      <c r="AU103" s="86"/>
      <c r="AV103" s="86"/>
      <c r="AW103" s="86"/>
      <c r="AX103" s="86"/>
      <c r="AY103" s="86"/>
    </row>
    <row r="104" spans="1:51" s="74" customFormat="1" ht="11.25" customHeight="1" x14ac:dyDescent="0.2">
      <c r="A104" s="142"/>
      <c r="B104" s="1680" t="s">
        <v>905</v>
      </c>
      <c r="C104" s="1680"/>
      <c r="D104" s="1680"/>
      <c r="E104" s="1680"/>
      <c r="F104" s="1680"/>
      <c r="G104" s="1680"/>
      <c r="H104" s="1680"/>
      <c r="I104" s="1680"/>
      <c r="J104" s="12"/>
      <c r="K104" s="9"/>
      <c r="L104" s="9"/>
      <c r="M104" s="9"/>
      <c r="N104" s="9"/>
      <c r="O104" s="9"/>
      <c r="P104" s="9"/>
      <c r="Q104" s="9"/>
      <c r="R104" s="9"/>
      <c r="S104" s="9"/>
      <c r="T104" s="9"/>
      <c r="U104" s="9"/>
      <c r="V104" s="137"/>
      <c r="AB104" s="75"/>
      <c r="AC104" s="86"/>
      <c r="AD104" s="86"/>
      <c r="AE104" s="86"/>
      <c r="AF104" s="86"/>
      <c r="AG104" s="86"/>
      <c r="AH104" s="86"/>
      <c r="AI104" s="86"/>
      <c r="AJ104" s="86"/>
      <c r="AK104" s="86"/>
      <c r="AL104" s="86"/>
      <c r="AM104" s="86"/>
      <c r="AN104" s="86"/>
      <c r="AO104" s="86"/>
      <c r="AP104" s="86"/>
      <c r="AQ104" s="86"/>
      <c r="AR104" s="86"/>
      <c r="AS104" s="86"/>
      <c r="AT104" s="86"/>
      <c r="AU104" s="86"/>
      <c r="AV104" s="86"/>
      <c r="AW104" s="86"/>
      <c r="AX104" s="86"/>
      <c r="AY104" s="86"/>
    </row>
    <row r="105" spans="1:51" s="74" customFormat="1" ht="11.25" customHeight="1" x14ac:dyDescent="0.2">
      <c r="A105" s="142"/>
      <c r="B105" s="1680"/>
      <c r="C105" s="1680"/>
      <c r="D105" s="1680"/>
      <c r="E105" s="1680"/>
      <c r="F105" s="1680"/>
      <c r="G105" s="1680"/>
      <c r="H105" s="1680"/>
      <c r="I105" s="1680"/>
      <c r="J105" s="12"/>
      <c r="K105" s="9"/>
      <c r="L105" s="9"/>
      <c r="M105" s="9"/>
      <c r="N105" s="9"/>
      <c r="O105" s="9"/>
      <c r="P105" s="9"/>
      <c r="Q105" s="9"/>
      <c r="R105" s="9"/>
      <c r="S105" s="9"/>
      <c r="T105" s="9"/>
      <c r="U105" s="9"/>
      <c r="V105" s="137"/>
      <c r="AB105" s="75"/>
      <c r="AC105" s="86"/>
      <c r="AD105" s="86"/>
      <c r="AE105" s="86"/>
      <c r="AF105" s="86"/>
      <c r="AG105" s="86"/>
      <c r="AH105" s="86"/>
      <c r="AI105" s="86"/>
      <c r="AJ105" s="86"/>
      <c r="AK105" s="86"/>
      <c r="AL105" s="86"/>
      <c r="AM105" s="86"/>
      <c r="AN105" s="86"/>
      <c r="AO105" s="86"/>
      <c r="AP105" s="86"/>
      <c r="AQ105" s="86"/>
      <c r="AR105" s="86"/>
      <c r="AS105" s="86"/>
      <c r="AT105" s="86"/>
      <c r="AU105" s="86"/>
      <c r="AV105" s="86"/>
      <c r="AW105" s="86"/>
      <c r="AX105" s="86"/>
      <c r="AY105" s="86"/>
    </row>
    <row r="106" spans="1:51" s="74" customFormat="1" ht="11.25" customHeight="1" x14ac:dyDescent="0.2">
      <c r="A106" s="142"/>
      <c r="B106" s="1680" t="s">
        <v>32</v>
      </c>
      <c r="C106" s="1680"/>
      <c r="D106" s="1680"/>
      <c r="E106" s="1680"/>
      <c r="F106" s="1680"/>
      <c r="G106" s="1680"/>
      <c r="H106" s="1680"/>
      <c r="I106" s="1680"/>
      <c r="J106" s="12"/>
      <c r="K106" s="9"/>
      <c r="L106" s="9"/>
      <c r="M106" s="9"/>
      <c r="N106" s="9"/>
      <c r="O106" s="9"/>
      <c r="P106" s="9"/>
      <c r="Q106" s="9"/>
      <c r="R106" s="9"/>
      <c r="S106" s="9"/>
      <c r="T106" s="9"/>
      <c r="U106" s="9"/>
      <c r="V106" s="137"/>
      <c r="AB106" s="75"/>
      <c r="AC106" s="86"/>
      <c r="AD106" s="86"/>
      <c r="AE106" s="86"/>
      <c r="AF106" s="86"/>
      <c r="AG106" s="86"/>
      <c r="AH106" s="86"/>
      <c r="AI106" s="86"/>
      <c r="AJ106" s="86"/>
      <c r="AK106" s="86"/>
      <c r="AL106" s="86"/>
      <c r="AM106" s="86"/>
      <c r="AN106" s="86"/>
      <c r="AO106" s="86"/>
      <c r="AP106" s="86"/>
      <c r="AQ106" s="86"/>
      <c r="AR106" s="86"/>
      <c r="AS106" s="86"/>
      <c r="AT106" s="86"/>
      <c r="AU106" s="86"/>
      <c r="AV106" s="86"/>
      <c r="AW106" s="86"/>
      <c r="AX106" s="86"/>
      <c r="AY106" s="86"/>
    </row>
    <row r="107" spans="1:51" s="74" customFormat="1" ht="11.25" customHeight="1" x14ac:dyDescent="0.2">
      <c r="A107" s="142"/>
      <c r="B107" s="1680"/>
      <c r="C107" s="1680"/>
      <c r="D107" s="1680"/>
      <c r="E107" s="1680"/>
      <c r="F107" s="1680"/>
      <c r="G107" s="1680"/>
      <c r="H107" s="1680"/>
      <c r="I107" s="1680"/>
      <c r="J107" s="12"/>
      <c r="K107" s="9"/>
      <c r="L107" s="9"/>
      <c r="M107" s="9"/>
      <c r="N107" s="9"/>
      <c r="O107" s="9"/>
      <c r="P107" s="9"/>
      <c r="Q107" s="9"/>
      <c r="R107" s="9"/>
      <c r="S107" s="9"/>
      <c r="T107" s="9"/>
      <c r="U107" s="9"/>
      <c r="V107" s="137"/>
      <c r="AB107" s="75"/>
      <c r="AC107" s="86"/>
      <c r="AD107" s="86"/>
      <c r="AE107" s="86"/>
      <c r="AF107" s="86"/>
      <c r="AG107" s="86"/>
      <c r="AH107" s="86"/>
      <c r="AI107" s="86"/>
      <c r="AJ107" s="86"/>
      <c r="AK107" s="86"/>
      <c r="AL107" s="86"/>
      <c r="AM107" s="86"/>
      <c r="AN107" s="86"/>
      <c r="AO107" s="86"/>
      <c r="AP107" s="86"/>
      <c r="AQ107" s="86"/>
      <c r="AR107" s="86"/>
      <c r="AS107" s="86"/>
      <c r="AT107" s="86"/>
      <c r="AU107" s="86"/>
      <c r="AV107" s="86"/>
      <c r="AW107" s="86"/>
      <c r="AX107" s="86"/>
      <c r="AY107" s="86"/>
    </row>
    <row r="108" spans="1:51" s="74" customFormat="1" ht="11.25" customHeight="1" x14ac:dyDescent="0.2">
      <c r="A108" s="142"/>
      <c r="B108" s="1680" t="s">
        <v>666</v>
      </c>
      <c r="C108" s="1680"/>
      <c r="D108" s="1680"/>
      <c r="E108" s="1680"/>
      <c r="F108" s="1680"/>
      <c r="G108" s="1680"/>
      <c r="H108" s="1680"/>
      <c r="I108" s="1680"/>
      <c r="J108" s="12"/>
      <c r="K108" s="9"/>
      <c r="L108" s="9"/>
      <c r="M108" s="9"/>
      <c r="N108" s="9"/>
      <c r="O108" s="9"/>
      <c r="P108" s="9"/>
      <c r="Q108" s="9"/>
      <c r="R108" s="9"/>
      <c r="S108" s="9"/>
      <c r="T108" s="9"/>
      <c r="U108" s="9"/>
      <c r="V108" s="137"/>
      <c r="AB108" s="75"/>
      <c r="AC108" s="86"/>
      <c r="AD108" s="86"/>
      <c r="AE108" s="86"/>
      <c r="AF108" s="86"/>
      <c r="AG108" s="86"/>
      <c r="AH108" s="86"/>
      <c r="AI108" s="86"/>
      <c r="AJ108" s="86"/>
      <c r="AK108" s="86"/>
      <c r="AL108" s="86"/>
      <c r="AM108" s="86"/>
      <c r="AN108" s="86"/>
      <c r="AO108" s="86"/>
      <c r="AP108" s="86"/>
      <c r="AQ108" s="86"/>
      <c r="AR108" s="86"/>
      <c r="AS108" s="86"/>
      <c r="AT108" s="86"/>
      <c r="AU108" s="86"/>
      <c r="AV108" s="86"/>
      <c r="AW108" s="86"/>
      <c r="AX108" s="86"/>
      <c r="AY108" s="86"/>
    </row>
    <row r="109" spans="1:51" s="74" customFormat="1" ht="11.25" customHeight="1" x14ac:dyDescent="0.2">
      <c r="A109" s="142"/>
      <c r="B109" s="1680"/>
      <c r="C109" s="1680"/>
      <c r="D109" s="1680"/>
      <c r="E109" s="1680"/>
      <c r="F109" s="1680"/>
      <c r="G109" s="1680"/>
      <c r="H109" s="1680"/>
      <c r="I109" s="1680"/>
      <c r="J109" s="12"/>
      <c r="K109" s="9"/>
      <c r="L109" s="9"/>
      <c r="M109" s="9"/>
      <c r="N109" s="9"/>
      <c r="O109" s="9"/>
      <c r="P109" s="9"/>
      <c r="Q109" s="9"/>
      <c r="R109" s="9"/>
      <c r="S109" s="9"/>
      <c r="T109" s="9"/>
      <c r="U109" s="9"/>
      <c r="V109" s="137"/>
      <c r="AB109" s="75"/>
      <c r="AC109" s="86"/>
      <c r="AD109" s="86"/>
      <c r="AE109" s="86"/>
      <c r="AF109" s="86"/>
      <c r="AG109" s="86"/>
      <c r="AH109" s="86"/>
      <c r="AI109" s="86"/>
      <c r="AJ109" s="86"/>
      <c r="AK109" s="86"/>
      <c r="AL109" s="86"/>
      <c r="AM109" s="86"/>
      <c r="AN109" s="86"/>
      <c r="AO109" s="86"/>
      <c r="AP109" s="86"/>
      <c r="AQ109" s="86"/>
      <c r="AR109" s="86"/>
      <c r="AS109" s="86"/>
      <c r="AT109" s="86"/>
      <c r="AU109" s="86"/>
      <c r="AV109" s="86"/>
      <c r="AW109" s="86"/>
      <c r="AX109" s="86"/>
      <c r="AY109" s="86"/>
    </row>
    <row r="110" spans="1:51" s="74" customFormat="1" ht="11.25" customHeight="1" x14ac:dyDescent="0.2">
      <c r="A110" s="142"/>
      <c r="B110" s="1680" t="s">
        <v>906</v>
      </c>
      <c r="C110" s="1680"/>
      <c r="D110" s="1680"/>
      <c r="E110" s="1680"/>
      <c r="F110" s="1680"/>
      <c r="G110" s="1680"/>
      <c r="H110" s="1680"/>
      <c r="I110" s="1680"/>
      <c r="J110" s="12"/>
      <c r="K110" s="9"/>
      <c r="L110" s="9"/>
      <c r="M110" s="9"/>
      <c r="N110" s="9"/>
      <c r="O110" s="9"/>
      <c r="P110" s="9"/>
      <c r="Q110" s="9"/>
      <c r="R110" s="9"/>
      <c r="S110" s="9"/>
      <c r="T110" s="9"/>
      <c r="U110" s="9"/>
      <c r="V110" s="137"/>
      <c r="AB110" s="75"/>
      <c r="AC110" s="86"/>
      <c r="AD110" s="86"/>
      <c r="AE110" s="86"/>
      <c r="AF110" s="86"/>
      <c r="AG110" s="86"/>
      <c r="AH110" s="86"/>
      <c r="AI110" s="86"/>
      <c r="AJ110" s="86"/>
      <c r="AK110" s="86"/>
      <c r="AL110" s="86"/>
      <c r="AM110" s="86"/>
      <c r="AN110" s="86"/>
      <c r="AO110" s="86"/>
      <c r="AP110" s="86"/>
      <c r="AQ110" s="86"/>
      <c r="AR110" s="86"/>
      <c r="AS110" s="86"/>
      <c r="AT110" s="86"/>
      <c r="AU110" s="86"/>
      <c r="AV110" s="86"/>
      <c r="AW110" s="86"/>
      <c r="AX110" s="86"/>
      <c r="AY110" s="86"/>
    </row>
    <row r="111" spans="1:51" s="74" customFormat="1" ht="11.25" customHeight="1" x14ac:dyDescent="0.2">
      <c r="A111" s="142"/>
      <c r="B111" s="1680"/>
      <c r="C111" s="1680"/>
      <c r="D111" s="1680"/>
      <c r="E111" s="1680"/>
      <c r="F111" s="1680"/>
      <c r="G111" s="1680"/>
      <c r="H111" s="1680"/>
      <c r="I111" s="1680"/>
      <c r="J111" s="12"/>
      <c r="K111" s="9"/>
      <c r="L111" s="9"/>
      <c r="M111" s="9"/>
      <c r="N111" s="9"/>
      <c r="O111" s="9"/>
      <c r="P111" s="9"/>
      <c r="Q111" s="9"/>
      <c r="R111" s="9"/>
      <c r="S111" s="9"/>
      <c r="T111" s="9"/>
      <c r="U111" s="9"/>
      <c r="V111" s="137"/>
      <c r="AB111" s="75"/>
      <c r="AC111" s="86"/>
      <c r="AD111" s="86"/>
      <c r="AE111" s="86"/>
      <c r="AF111" s="86"/>
      <c r="AG111" s="86"/>
      <c r="AH111" s="86"/>
      <c r="AI111" s="86"/>
      <c r="AJ111" s="86"/>
      <c r="AK111" s="86"/>
      <c r="AL111" s="86"/>
      <c r="AM111" s="86"/>
      <c r="AN111" s="86"/>
      <c r="AO111" s="86"/>
      <c r="AP111" s="86"/>
      <c r="AQ111" s="86"/>
      <c r="AR111" s="86"/>
      <c r="AS111" s="86"/>
      <c r="AT111" s="86"/>
      <c r="AU111" s="86"/>
      <c r="AV111" s="86"/>
      <c r="AW111" s="86"/>
      <c r="AX111" s="86"/>
      <c r="AY111" s="86"/>
    </row>
    <row r="112" spans="1:51" s="74" customFormat="1" ht="11.25" customHeight="1" x14ac:dyDescent="0.2">
      <c r="A112" s="142"/>
      <c r="B112" s="1680" t="s">
        <v>672</v>
      </c>
      <c r="C112" s="1680"/>
      <c r="D112" s="1680"/>
      <c r="E112" s="1680"/>
      <c r="F112" s="1680"/>
      <c r="G112" s="1680"/>
      <c r="H112" s="1680"/>
      <c r="I112" s="1680"/>
      <c r="J112" s="12"/>
      <c r="K112" s="9"/>
      <c r="L112" s="9"/>
      <c r="M112" s="9"/>
      <c r="N112" s="9"/>
      <c r="O112" s="9"/>
      <c r="P112" s="9"/>
      <c r="Q112" s="9"/>
      <c r="R112" s="9"/>
      <c r="S112" s="9"/>
      <c r="T112" s="9"/>
      <c r="U112" s="9"/>
      <c r="V112" s="137"/>
      <c r="AB112" s="75"/>
      <c r="AC112" s="86"/>
      <c r="AD112" s="86"/>
      <c r="AE112" s="86"/>
      <c r="AF112" s="86"/>
      <c r="AG112" s="86"/>
      <c r="AH112" s="86"/>
      <c r="AI112" s="86"/>
      <c r="AJ112" s="86"/>
      <c r="AK112" s="86"/>
      <c r="AL112" s="86"/>
      <c r="AM112" s="86"/>
      <c r="AN112" s="86"/>
      <c r="AO112" s="86"/>
      <c r="AP112" s="86"/>
      <c r="AQ112" s="86"/>
      <c r="AR112" s="86"/>
      <c r="AS112" s="86"/>
      <c r="AT112" s="86"/>
      <c r="AU112" s="86"/>
      <c r="AV112" s="86"/>
      <c r="AW112" s="86"/>
      <c r="AX112" s="86"/>
      <c r="AY112" s="86"/>
    </row>
    <row r="113" spans="1:58" s="80" customFormat="1" ht="11.25" customHeight="1" x14ac:dyDescent="0.2">
      <c r="A113" s="142"/>
      <c r="B113" s="1680"/>
      <c r="C113" s="1680"/>
      <c r="D113" s="1680"/>
      <c r="E113" s="1680"/>
      <c r="F113" s="1680"/>
      <c r="G113" s="1680"/>
      <c r="H113" s="1680"/>
      <c r="I113" s="1680"/>
      <c r="J113" s="12"/>
      <c r="K113" s="9"/>
      <c r="L113" s="9"/>
      <c r="M113" s="9"/>
      <c r="N113" s="9"/>
      <c r="O113" s="9"/>
      <c r="P113" s="9"/>
      <c r="Q113" s="9"/>
      <c r="R113" s="9"/>
      <c r="S113" s="9"/>
      <c r="T113" s="9"/>
      <c r="U113" s="9"/>
      <c r="V113" s="137"/>
      <c r="W113" s="74"/>
      <c r="X113" s="74"/>
      <c r="Y113" s="74"/>
      <c r="Z113" s="74"/>
      <c r="AA113" s="74"/>
      <c r="AB113" s="75"/>
      <c r="AC113" s="86"/>
      <c r="AD113" s="86"/>
      <c r="AE113" s="86"/>
      <c r="AF113" s="86"/>
      <c r="AG113" s="86"/>
      <c r="AH113" s="86"/>
      <c r="AI113" s="86"/>
      <c r="AJ113" s="86"/>
      <c r="AK113" s="86"/>
      <c r="AL113" s="86"/>
      <c r="AM113" s="86"/>
      <c r="AN113" s="86"/>
      <c r="AO113" s="86"/>
      <c r="AP113" s="86"/>
      <c r="AQ113" s="86"/>
      <c r="AR113" s="86"/>
      <c r="AS113" s="86"/>
      <c r="AT113" s="86"/>
      <c r="AU113" s="86"/>
      <c r="AV113" s="86"/>
      <c r="AW113" s="86"/>
      <c r="AX113" s="86"/>
      <c r="AY113" s="86"/>
      <c r="AZ113" s="74"/>
      <c r="BA113" s="74"/>
      <c r="BB113" s="74"/>
      <c r="BC113" s="74"/>
      <c r="BD113" s="74"/>
      <c r="BE113" s="74"/>
      <c r="BF113" s="74"/>
    </row>
    <row r="114" spans="1:58" s="74" customFormat="1" ht="11.25" customHeight="1" x14ac:dyDescent="0.2">
      <c r="A114" s="1273"/>
      <c r="B114" s="1274"/>
      <c r="C114" s="1275"/>
      <c r="D114" s="1275"/>
      <c r="E114" s="1275"/>
      <c r="F114" s="1275"/>
      <c r="G114" s="1275"/>
      <c r="H114" s="1275"/>
      <c r="I114" s="1275"/>
      <c r="J114" s="1276"/>
      <c r="K114" s="201"/>
      <c r="L114" s="201"/>
      <c r="M114" s="201"/>
      <c r="N114" s="201"/>
      <c r="O114" s="201"/>
      <c r="P114" s="201"/>
      <c r="Q114" s="201"/>
      <c r="R114" s="201"/>
      <c r="S114" s="201"/>
      <c r="T114" s="201"/>
      <c r="U114" s="201"/>
      <c r="V114" s="1277"/>
      <c r="AB114" s="75"/>
      <c r="AC114" s="86"/>
      <c r="AD114" s="86"/>
      <c r="AE114" s="86"/>
      <c r="AF114" s="86"/>
      <c r="AG114" s="86"/>
      <c r="AH114" s="86"/>
      <c r="AI114" s="86"/>
      <c r="AJ114" s="86"/>
      <c r="AK114" s="86"/>
      <c r="AL114" s="86"/>
      <c r="AM114" s="86"/>
      <c r="AN114" s="86"/>
      <c r="AO114" s="86"/>
      <c r="AP114" s="86"/>
      <c r="AQ114" s="86"/>
      <c r="AR114" s="86"/>
      <c r="AS114" s="86"/>
      <c r="AT114" s="86"/>
      <c r="AU114" s="86"/>
      <c r="AV114" s="86"/>
      <c r="AW114" s="86"/>
      <c r="AX114" s="86"/>
      <c r="AY114" s="86"/>
    </row>
    <row r="115" spans="1:58" s="74" customFormat="1" ht="11.25" customHeight="1" x14ac:dyDescent="0.2">
      <c r="J115" s="88"/>
      <c r="AB115" s="75"/>
      <c r="AC115" s="86"/>
      <c r="AD115" s="86"/>
      <c r="AE115" s="86"/>
      <c r="AF115" s="86"/>
      <c r="AG115" s="86"/>
      <c r="AH115" s="86"/>
      <c r="AI115" s="86"/>
      <c r="AJ115" s="86"/>
      <c r="AK115" s="86"/>
      <c r="AL115" s="86"/>
      <c r="AM115" s="86"/>
      <c r="AN115" s="86"/>
      <c r="AO115" s="86"/>
      <c r="AP115" s="86"/>
      <c r="AQ115" s="86"/>
      <c r="AR115" s="86"/>
      <c r="AS115" s="86"/>
      <c r="AT115" s="86"/>
      <c r="AU115" s="86"/>
      <c r="AV115" s="86"/>
      <c r="AW115" s="86"/>
      <c r="AX115" s="86"/>
      <c r="AY115" s="86"/>
    </row>
    <row r="116" spans="1:58" s="74" customFormat="1" ht="11.25" customHeight="1" x14ac:dyDescent="0.2">
      <c r="J116" s="88"/>
      <c r="AB116" s="75"/>
      <c r="AC116" s="86"/>
      <c r="AD116" s="86"/>
      <c r="AE116" s="86"/>
      <c r="AF116" s="86"/>
      <c r="AG116" s="86"/>
      <c r="AH116" s="86"/>
      <c r="AI116" s="86"/>
      <c r="AJ116" s="86"/>
      <c r="AK116" s="86"/>
      <c r="AL116" s="86"/>
      <c r="AM116" s="86"/>
      <c r="AN116" s="86"/>
      <c r="AO116" s="86"/>
      <c r="AP116" s="86"/>
      <c r="AQ116" s="86"/>
      <c r="AR116" s="86"/>
      <c r="AS116" s="86"/>
      <c r="AT116" s="86"/>
      <c r="AU116" s="86"/>
      <c r="AV116" s="86"/>
      <c r="AW116" s="86"/>
      <c r="AX116" s="86"/>
      <c r="AY116" s="86"/>
    </row>
    <row r="117" spans="1:58" s="74" customFormat="1" ht="11.25" customHeight="1" x14ac:dyDescent="0.2">
      <c r="J117" s="88"/>
      <c r="AB117" s="75"/>
      <c r="AC117" s="86"/>
      <c r="AD117" s="86"/>
      <c r="AE117" s="86"/>
      <c r="AF117" s="86"/>
      <c r="AG117" s="86"/>
      <c r="AH117" s="86"/>
      <c r="AI117" s="86"/>
      <c r="AJ117" s="86"/>
      <c r="AK117" s="86"/>
      <c r="AL117" s="86"/>
      <c r="AM117" s="86"/>
      <c r="AN117" s="86"/>
      <c r="AO117" s="86"/>
      <c r="AP117" s="86"/>
      <c r="AQ117" s="86"/>
      <c r="AR117" s="86"/>
      <c r="AS117" s="86"/>
      <c r="AT117" s="86"/>
      <c r="AU117" s="86"/>
      <c r="AV117" s="86"/>
      <c r="AW117" s="86"/>
      <c r="AX117" s="86"/>
      <c r="AY117" s="86"/>
    </row>
    <row r="118" spans="1:58" s="74" customFormat="1" ht="11.25" customHeight="1" x14ac:dyDescent="0.2">
      <c r="J118" s="88"/>
      <c r="AB118" s="75"/>
      <c r="AC118" s="86"/>
      <c r="AD118" s="86"/>
      <c r="AE118" s="86"/>
      <c r="AF118" s="86"/>
      <c r="AG118" s="86"/>
      <c r="AH118" s="86"/>
      <c r="AI118" s="86"/>
      <c r="AJ118" s="86"/>
      <c r="AK118" s="86"/>
      <c r="AL118" s="86"/>
      <c r="AM118" s="86"/>
      <c r="AN118" s="86"/>
      <c r="AO118" s="86"/>
      <c r="AP118" s="86"/>
      <c r="AQ118" s="86"/>
      <c r="AR118" s="86"/>
      <c r="AS118" s="86"/>
      <c r="AT118" s="86"/>
      <c r="AU118" s="86"/>
      <c r="AV118" s="86"/>
      <c r="AW118" s="86"/>
      <c r="AX118" s="86"/>
      <c r="AY118" s="86"/>
    </row>
    <row r="119" spans="1:58" s="74" customFormat="1" ht="11.25" customHeight="1" x14ac:dyDescent="0.2">
      <c r="J119" s="88"/>
      <c r="AB119" s="75"/>
      <c r="AC119" s="86"/>
      <c r="AD119" s="86"/>
      <c r="AE119" s="86"/>
      <c r="AF119" s="86"/>
      <c r="AG119" s="86"/>
      <c r="AH119" s="86"/>
      <c r="AI119" s="86"/>
      <c r="AJ119" s="86"/>
      <c r="AK119" s="86"/>
      <c r="AL119" s="86"/>
      <c r="AM119" s="86"/>
      <c r="AN119" s="86"/>
      <c r="AO119" s="86"/>
      <c r="AP119" s="86"/>
      <c r="AQ119" s="86"/>
      <c r="AR119" s="86"/>
      <c r="AS119" s="86"/>
      <c r="AT119" s="86"/>
      <c r="AU119" s="86"/>
      <c r="AV119" s="86"/>
      <c r="AW119" s="86"/>
      <c r="AX119" s="86"/>
      <c r="AY119" s="86"/>
    </row>
    <row r="120" spans="1:58" s="74" customFormat="1" ht="11.25" customHeight="1" x14ac:dyDescent="0.2">
      <c r="J120" s="88"/>
      <c r="AB120" s="75"/>
      <c r="AC120" s="86"/>
      <c r="AD120" s="86"/>
      <c r="AE120" s="86"/>
      <c r="AF120" s="86"/>
      <c r="AG120" s="86"/>
      <c r="AH120" s="86"/>
      <c r="AI120" s="86"/>
      <c r="AJ120" s="86"/>
      <c r="AK120" s="86"/>
      <c r="AL120" s="86"/>
      <c r="AM120" s="86"/>
      <c r="AN120" s="86"/>
      <c r="AO120" s="86"/>
      <c r="AP120" s="86"/>
      <c r="AQ120" s="86"/>
      <c r="AR120" s="86"/>
      <c r="AS120" s="86"/>
      <c r="AT120" s="86"/>
      <c r="AU120" s="86"/>
      <c r="AV120" s="86"/>
      <c r="AW120" s="86"/>
      <c r="AX120" s="86"/>
      <c r="AY120" s="86"/>
    </row>
    <row r="121" spans="1:58" s="74" customFormat="1" ht="11.25" customHeight="1" x14ac:dyDescent="0.2">
      <c r="J121" s="88"/>
      <c r="AB121" s="75"/>
      <c r="AC121" s="86"/>
      <c r="AD121" s="86"/>
      <c r="AE121" s="86"/>
      <c r="AF121" s="86"/>
      <c r="AG121" s="86"/>
      <c r="AH121" s="86"/>
      <c r="AI121" s="86"/>
      <c r="AJ121" s="86"/>
      <c r="AK121" s="86"/>
      <c r="AL121" s="86"/>
      <c r="AM121" s="86"/>
      <c r="AN121" s="86"/>
      <c r="AO121" s="86"/>
      <c r="AP121" s="86"/>
      <c r="AQ121" s="86"/>
      <c r="AR121" s="86"/>
      <c r="AS121" s="86"/>
      <c r="AT121" s="86"/>
      <c r="AU121" s="86"/>
      <c r="AV121" s="86"/>
      <c r="AW121" s="86"/>
      <c r="AX121" s="86"/>
      <c r="AY121" s="86"/>
    </row>
    <row r="122" spans="1:58" s="74" customFormat="1" ht="11.25" customHeight="1" x14ac:dyDescent="0.2">
      <c r="J122" s="88"/>
      <c r="AB122" s="75"/>
      <c r="AC122" s="86"/>
      <c r="AD122" s="86"/>
      <c r="AE122" s="86"/>
      <c r="AF122" s="86"/>
      <c r="AG122" s="86"/>
      <c r="AH122" s="86"/>
      <c r="AI122" s="86"/>
      <c r="AJ122" s="86"/>
      <c r="AK122" s="86"/>
      <c r="AL122" s="86"/>
      <c r="AM122" s="86"/>
      <c r="AN122" s="86"/>
      <c r="AO122" s="86"/>
      <c r="AP122" s="86"/>
      <c r="AQ122" s="86"/>
      <c r="AR122" s="86"/>
      <c r="AS122" s="86"/>
      <c r="AT122" s="86"/>
      <c r="AU122" s="86"/>
      <c r="AV122" s="86"/>
      <c r="AW122" s="86"/>
      <c r="AX122" s="86"/>
      <c r="AY122" s="86"/>
    </row>
    <row r="123" spans="1:58" s="74" customFormat="1" ht="11.25" customHeight="1" x14ac:dyDescent="0.2">
      <c r="J123" s="88"/>
      <c r="AB123" s="75"/>
      <c r="AC123" s="86"/>
      <c r="AD123" s="86"/>
      <c r="AE123" s="86"/>
      <c r="AF123" s="86"/>
      <c r="AG123" s="86"/>
      <c r="AH123" s="86"/>
      <c r="AI123" s="86"/>
      <c r="AJ123" s="86"/>
      <c r="AK123" s="86"/>
      <c r="AL123" s="86"/>
      <c r="AM123" s="86"/>
      <c r="AN123" s="86"/>
      <c r="AO123" s="86"/>
      <c r="AP123" s="86"/>
      <c r="AQ123" s="86"/>
      <c r="AR123" s="86"/>
      <c r="AS123" s="86"/>
      <c r="AT123" s="86"/>
      <c r="AU123" s="86"/>
      <c r="AV123" s="86"/>
      <c r="AW123" s="86"/>
      <c r="AX123" s="86"/>
      <c r="AY123" s="86"/>
    </row>
    <row r="124" spans="1:58" s="74" customFormat="1" ht="11.25" customHeight="1" x14ac:dyDescent="0.2">
      <c r="J124" s="88"/>
      <c r="AB124" s="75"/>
      <c r="AC124" s="86"/>
      <c r="AD124" s="86"/>
      <c r="AE124" s="86"/>
      <c r="AF124" s="86"/>
      <c r="AG124" s="86"/>
      <c r="AH124" s="86"/>
      <c r="AI124" s="86"/>
      <c r="AJ124" s="86"/>
      <c r="AK124" s="86"/>
      <c r="AL124" s="86"/>
      <c r="AM124" s="86"/>
      <c r="AN124" s="86"/>
      <c r="AO124" s="86"/>
      <c r="AP124" s="86"/>
      <c r="AQ124" s="86"/>
      <c r="AR124" s="86"/>
      <c r="AS124" s="86"/>
      <c r="AT124" s="86"/>
      <c r="AU124" s="86"/>
      <c r="AV124" s="86"/>
      <c r="AW124" s="86"/>
      <c r="AX124" s="86"/>
      <c r="AY124" s="86"/>
    </row>
    <row r="125" spans="1:58" s="74" customFormat="1" ht="11.25" customHeight="1" x14ac:dyDescent="0.2">
      <c r="J125" s="88"/>
      <c r="AB125" s="75"/>
      <c r="AC125" s="86"/>
      <c r="AD125" s="86"/>
      <c r="AE125" s="86"/>
      <c r="AF125" s="86"/>
      <c r="AG125" s="86"/>
      <c r="AH125" s="86"/>
      <c r="AI125" s="86"/>
      <c r="AJ125" s="86"/>
      <c r="AK125" s="86"/>
      <c r="AL125" s="86"/>
      <c r="AM125" s="86"/>
      <c r="AN125" s="86"/>
      <c r="AO125" s="86"/>
      <c r="AP125" s="86"/>
      <c r="AQ125" s="86"/>
      <c r="AR125" s="86"/>
      <c r="AS125" s="86"/>
      <c r="AT125" s="86"/>
      <c r="AU125" s="86"/>
      <c r="AV125" s="86"/>
      <c r="AW125" s="86"/>
      <c r="AX125" s="86"/>
      <c r="AY125" s="86"/>
    </row>
    <row r="126" spans="1:58" s="74" customFormat="1" ht="11.25" customHeight="1" x14ac:dyDescent="0.2">
      <c r="J126" s="88"/>
      <c r="AB126" s="75"/>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row>
    <row r="127" spans="1:58" s="74" customFormat="1" ht="11.25" customHeight="1" x14ac:dyDescent="0.2">
      <c r="J127" s="88"/>
      <c r="AB127" s="75"/>
      <c r="AC127" s="86"/>
      <c r="AD127" s="86"/>
      <c r="AE127" s="86"/>
      <c r="AF127" s="86"/>
      <c r="AG127" s="86"/>
      <c r="AH127" s="86"/>
      <c r="AI127" s="86"/>
      <c r="AJ127" s="86"/>
      <c r="AK127" s="86"/>
      <c r="AL127" s="86"/>
      <c r="AM127" s="86"/>
      <c r="AN127" s="86"/>
      <c r="AO127" s="86"/>
      <c r="AP127" s="86"/>
      <c r="AQ127" s="86"/>
      <c r="AR127" s="86"/>
      <c r="AS127" s="86"/>
      <c r="AT127" s="86"/>
      <c r="AU127" s="86"/>
      <c r="AV127" s="86"/>
      <c r="AW127" s="86"/>
      <c r="AX127" s="86"/>
      <c r="AY127" s="86"/>
    </row>
    <row r="128" spans="1:58" s="74" customFormat="1" ht="11.25" customHeight="1" x14ac:dyDescent="0.2">
      <c r="J128" s="88"/>
      <c r="AB128" s="75"/>
      <c r="AC128" s="86"/>
      <c r="AD128" s="86"/>
      <c r="AE128" s="86"/>
      <c r="AF128" s="86"/>
      <c r="AG128" s="86"/>
      <c r="AH128" s="86"/>
      <c r="AI128" s="86"/>
      <c r="AJ128" s="86"/>
      <c r="AK128" s="86"/>
      <c r="AL128" s="86"/>
      <c r="AM128" s="86"/>
      <c r="AN128" s="86"/>
      <c r="AO128" s="86"/>
      <c r="AP128" s="86"/>
      <c r="AQ128" s="86"/>
      <c r="AR128" s="86"/>
      <c r="AS128" s="86"/>
      <c r="AT128" s="86"/>
      <c r="AU128" s="86"/>
      <c r="AV128" s="86"/>
      <c r="AW128" s="86"/>
      <c r="AX128" s="86"/>
      <c r="AY128" s="86"/>
    </row>
    <row r="129" spans="10:51" s="74" customFormat="1" ht="11.25" customHeight="1" x14ac:dyDescent="0.2">
      <c r="J129" s="88"/>
      <c r="AB129" s="75"/>
      <c r="AC129" s="86"/>
      <c r="AD129" s="86"/>
      <c r="AE129" s="86"/>
      <c r="AF129" s="86"/>
      <c r="AG129" s="86"/>
      <c r="AH129" s="86"/>
      <c r="AI129" s="86"/>
      <c r="AJ129" s="86"/>
      <c r="AK129" s="86"/>
      <c r="AL129" s="86"/>
      <c r="AM129" s="86"/>
      <c r="AN129" s="86"/>
      <c r="AO129" s="86"/>
      <c r="AP129" s="86"/>
      <c r="AQ129" s="86"/>
      <c r="AR129" s="86"/>
      <c r="AS129" s="86"/>
      <c r="AT129" s="86"/>
      <c r="AU129" s="86"/>
      <c r="AV129" s="86"/>
      <c r="AW129" s="86"/>
      <c r="AX129" s="86"/>
      <c r="AY129" s="86"/>
    </row>
    <row r="130" spans="10:51" s="74" customFormat="1" ht="11.25" customHeight="1" x14ac:dyDescent="0.2">
      <c r="J130" s="88"/>
      <c r="AB130" s="75"/>
      <c r="AC130" s="86"/>
      <c r="AD130" s="86"/>
      <c r="AE130" s="86"/>
      <c r="AF130" s="86"/>
      <c r="AG130" s="86"/>
      <c r="AH130" s="86"/>
      <c r="AI130" s="86"/>
      <c r="AJ130" s="86"/>
      <c r="AK130" s="86"/>
      <c r="AL130" s="86"/>
      <c r="AM130" s="86"/>
      <c r="AN130" s="86"/>
      <c r="AO130" s="86"/>
      <c r="AP130" s="86"/>
      <c r="AQ130" s="86"/>
      <c r="AR130" s="86"/>
      <c r="AS130" s="86"/>
      <c r="AT130" s="86"/>
      <c r="AU130" s="86"/>
      <c r="AV130" s="86"/>
      <c r="AW130" s="86"/>
      <c r="AX130" s="86"/>
      <c r="AY130" s="86"/>
    </row>
    <row r="131" spans="10:51" s="74" customFormat="1" ht="11.25" customHeight="1" x14ac:dyDescent="0.2">
      <c r="J131" s="88"/>
      <c r="AB131" s="75"/>
      <c r="AC131" s="86"/>
      <c r="AD131" s="86"/>
      <c r="AE131" s="86"/>
      <c r="AF131" s="86"/>
      <c r="AG131" s="86"/>
      <c r="AH131" s="86"/>
      <c r="AI131" s="86"/>
      <c r="AJ131" s="86"/>
      <c r="AK131" s="86"/>
      <c r="AL131" s="86"/>
      <c r="AM131" s="86"/>
      <c r="AN131" s="86"/>
      <c r="AO131" s="86"/>
      <c r="AP131" s="86"/>
      <c r="AQ131" s="86"/>
      <c r="AR131" s="86"/>
      <c r="AS131" s="86"/>
      <c r="AT131" s="86"/>
      <c r="AU131" s="86"/>
      <c r="AV131" s="86"/>
      <c r="AW131" s="86"/>
      <c r="AX131" s="86"/>
      <c r="AY131" s="86"/>
    </row>
    <row r="132" spans="10:51" s="74" customFormat="1" ht="11.25" customHeight="1" x14ac:dyDescent="0.2">
      <c r="J132" s="88"/>
      <c r="AB132" s="75"/>
      <c r="AC132" s="86"/>
      <c r="AD132" s="86"/>
      <c r="AE132" s="86"/>
      <c r="AF132" s="86"/>
      <c r="AG132" s="86"/>
      <c r="AH132" s="86"/>
      <c r="AI132" s="86"/>
      <c r="AJ132" s="86"/>
      <c r="AK132" s="86"/>
      <c r="AL132" s="86"/>
      <c r="AM132" s="86"/>
      <c r="AN132" s="86"/>
      <c r="AO132" s="86"/>
      <c r="AP132" s="86"/>
      <c r="AQ132" s="86"/>
      <c r="AR132" s="86"/>
      <c r="AS132" s="86"/>
      <c r="AT132" s="86"/>
      <c r="AU132" s="86"/>
      <c r="AV132" s="86"/>
      <c r="AW132" s="86"/>
      <c r="AX132" s="86"/>
      <c r="AY132" s="86"/>
    </row>
    <row r="133" spans="10:51" s="74" customFormat="1" ht="11.25" customHeight="1" x14ac:dyDescent="0.2">
      <c r="J133" s="88"/>
      <c r="AB133" s="75"/>
      <c r="AC133" s="86"/>
      <c r="AD133" s="86"/>
      <c r="AE133" s="86"/>
      <c r="AF133" s="86"/>
      <c r="AG133" s="86"/>
      <c r="AH133" s="86"/>
      <c r="AI133" s="86"/>
      <c r="AJ133" s="86"/>
      <c r="AK133" s="86"/>
      <c r="AL133" s="86"/>
      <c r="AM133" s="86"/>
      <c r="AN133" s="86"/>
      <c r="AO133" s="86"/>
      <c r="AP133" s="86"/>
      <c r="AQ133" s="86"/>
      <c r="AR133" s="86"/>
      <c r="AS133" s="86"/>
      <c r="AT133" s="86"/>
      <c r="AU133" s="86"/>
      <c r="AV133" s="86"/>
      <c r="AW133" s="86"/>
      <c r="AX133" s="86"/>
      <c r="AY133" s="86"/>
    </row>
    <row r="134" spans="10:51" s="74" customFormat="1" ht="11.25" customHeight="1" x14ac:dyDescent="0.2">
      <c r="J134" s="88"/>
      <c r="AB134" s="75"/>
      <c r="AC134" s="86"/>
      <c r="AD134" s="86"/>
      <c r="AE134" s="86"/>
      <c r="AF134" s="86"/>
      <c r="AG134" s="86"/>
      <c r="AH134" s="86"/>
      <c r="AI134" s="86"/>
      <c r="AJ134" s="86"/>
      <c r="AK134" s="86"/>
      <c r="AL134" s="86"/>
      <c r="AM134" s="86"/>
      <c r="AN134" s="86"/>
      <c r="AO134" s="86"/>
      <c r="AP134" s="86"/>
      <c r="AQ134" s="86"/>
      <c r="AR134" s="86"/>
      <c r="AS134" s="86"/>
      <c r="AT134" s="86"/>
      <c r="AU134" s="86"/>
      <c r="AV134" s="86"/>
      <c r="AW134" s="86"/>
      <c r="AX134" s="86"/>
      <c r="AY134" s="86"/>
    </row>
    <row r="135" spans="10:51" s="74" customFormat="1" ht="11.25" customHeight="1" x14ac:dyDescent="0.2">
      <c r="J135" s="88"/>
      <c r="AB135" s="75"/>
      <c r="AC135" s="86"/>
      <c r="AD135" s="86"/>
      <c r="AE135" s="86"/>
      <c r="AF135" s="86"/>
      <c r="AG135" s="86"/>
      <c r="AH135" s="86"/>
      <c r="AI135" s="86"/>
      <c r="AJ135" s="86"/>
      <c r="AK135" s="86"/>
      <c r="AL135" s="86"/>
      <c r="AM135" s="86"/>
      <c r="AN135" s="86"/>
      <c r="AO135" s="86"/>
      <c r="AP135" s="86"/>
      <c r="AQ135" s="86"/>
      <c r="AR135" s="86"/>
      <c r="AS135" s="86"/>
      <c r="AT135" s="86"/>
      <c r="AU135" s="86"/>
      <c r="AV135" s="86"/>
      <c r="AW135" s="86"/>
      <c r="AX135" s="86"/>
      <c r="AY135" s="86"/>
    </row>
    <row r="136" spans="10:51" s="74" customFormat="1" ht="11.25" customHeight="1" x14ac:dyDescent="0.2">
      <c r="J136" s="88"/>
      <c r="AB136" s="75"/>
      <c r="AC136" s="86"/>
      <c r="AD136" s="86"/>
      <c r="AE136" s="86"/>
      <c r="AF136" s="86"/>
      <c r="AG136" s="86"/>
      <c r="AH136" s="86"/>
      <c r="AI136" s="86"/>
      <c r="AJ136" s="86"/>
      <c r="AK136" s="86"/>
      <c r="AL136" s="86"/>
      <c r="AM136" s="86"/>
      <c r="AN136" s="86"/>
      <c r="AO136" s="86"/>
      <c r="AP136" s="86"/>
      <c r="AQ136" s="86"/>
      <c r="AR136" s="86"/>
      <c r="AS136" s="86"/>
      <c r="AT136" s="86"/>
      <c r="AU136" s="86"/>
      <c r="AV136" s="86"/>
      <c r="AW136" s="86"/>
      <c r="AX136" s="86"/>
      <c r="AY136" s="86"/>
    </row>
    <row r="137" spans="10:51" s="74" customFormat="1" ht="11.25" customHeight="1" x14ac:dyDescent="0.2">
      <c r="J137" s="88"/>
      <c r="AB137" s="75"/>
      <c r="AC137" s="86"/>
      <c r="AD137" s="86"/>
      <c r="AE137" s="86"/>
      <c r="AF137" s="86"/>
      <c r="AG137" s="86"/>
      <c r="AH137" s="86"/>
      <c r="AI137" s="86"/>
      <c r="AJ137" s="86"/>
      <c r="AK137" s="86"/>
      <c r="AL137" s="86"/>
      <c r="AM137" s="86"/>
      <c r="AN137" s="86"/>
      <c r="AO137" s="86"/>
      <c r="AP137" s="86"/>
      <c r="AQ137" s="86"/>
      <c r="AR137" s="86"/>
      <c r="AS137" s="86"/>
      <c r="AT137" s="86"/>
      <c r="AU137" s="86"/>
      <c r="AV137" s="86"/>
      <c r="AW137" s="86"/>
      <c r="AX137" s="86"/>
      <c r="AY137" s="86"/>
    </row>
    <row r="138" spans="10:51" s="74" customFormat="1" ht="11.25" customHeight="1" x14ac:dyDescent="0.2">
      <c r="J138" s="88"/>
      <c r="AB138" s="75"/>
      <c r="AC138" s="86"/>
      <c r="AD138" s="86"/>
      <c r="AE138" s="86"/>
      <c r="AF138" s="86"/>
      <c r="AG138" s="86"/>
      <c r="AH138" s="86"/>
      <c r="AI138" s="86"/>
      <c r="AJ138" s="86"/>
      <c r="AK138" s="86"/>
      <c r="AL138" s="86"/>
      <c r="AM138" s="86"/>
      <c r="AN138" s="86"/>
      <c r="AO138" s="86"/>
      <c r="AP138" s="86"/>
      <c r="AQ138" s="86"/>
      <c r="AR138" s="86"/>
      <c r="AS138" s="86"/>
      <c r="AT138" s="86"/>
      <c r="AU138" s="86"/>
      <c r="AV138" s="86"/>
      <c r="AW138" s="86"/>
      <c r="AX138" s="86"/>
      <c r="AY138" s="86"/>
    </row>
    <row r="139" spans="10:51" s="74" customFormat="1" ht="11.25" customHeight="1" x14ac:dyDescent="0.2">
      <c r="J139" s="88"/>
      <c r="AB139" s="75"/>
      <c r="AC139" s="86"/>
      <c r="AD139" s="86"/>
      <c r="AE139" s="86"/>
      <c r="AF139" s="86"/>
      <c r="AG139" s="86"/>
      <c r="AH139" s="86"/>
      <c r="AI139" s="86"/>
      <c r="AJ139" s="86"/>
      <c r="AK139" s="86"/>
      <c r="AL139" s="86"/>
      <c r="AM139" s="86"/>
      <c r="AN139" s="86"/>
      <c r="AO139" s="86"/>
      <c r="AP139" s="86"/>
      <c r="AQ139" s="86"/>
      <c r="AR139" s="86"/>
      <c r="AS139" s="86"/>
      <c r="AT139" s="86"/>
      <c r="AU139" s="86"/>
      <c r="AV139" s="86"/>
      <c r="AW139" s="86"/>
      <c r="AX139" s="86"/>
      <c r="AY139" s="86"/>
    </row>
    <row r="140" spans="10:51" s="74" customFormat="1" ht="11.25" customHeight="1" x14ac:dyDescent="0.2">
      <c r="J140" s="88"/>
      <c r="AB140" s="75"/>
      <c r="AC140" s="86"/>
      <c r="AD140" s="86"/>
      <c r="AE140" s="86"/>
      <c r="AF140" s="86"/>
      <c r="AG140" s="86"/>
      <c r="AH140" s="86"/>
      <c r="AI140" s="86"/>
      <c r="AJ140" s="86"/>
      <c r="AK140" s="86"/>
      <c r="AL140" s="86"/>
      <c r="AM140" s="86"/>
      <c r="AN140" s="86"/>
      <c r="AO140" s="86"/>
      <c r="AP140" s="86"/>
      <c r="AQ140" s="86"/>
      <c r="AR140" s="86"/>
      <c r="AS140" s="86"/>
      <c r="AT140" s="86"/>
      <c r="AU140" s="86"/>
      <c r="AV140" s="86"/>
      <c r="AW140" s="86"/>
      <c r="AX140" s="86"/>
      <c r="AY140" s="86"/>
    </row>
    <row r="141" spans="10:51" s="74" customFormat="1" ht="11.25" customHeight="1" x14ac:dyDescent="0.2">
      <c r="J141" s="88"/>
      <c r="AB141" s="75"/>
      <c r="AC141" s="86"/>
      <c r="AD141" s="86"/>
      <c r="AE141" s="86"/>
      <c r="AF141" s="86"/>
      <c r="AG141" s="86"/>
      <c r="AH141" s="86"/>
      <c r="AI141" s="86"/>
      <c r="AJ141" s="86"/>
      <c r="AK141" s="86"/>
      <c r="AL141" s="86"/>
      <c r="AM141" s="86"/>
      <c r="AN141" s="86"/>
      <c r="AO141" s="86"/>
      <c r="AP141" s="86"/>
      <c r="AQ141" s="86"/>
      <c r="AR141" s="86"/>
      <c r="AS141" s="86"/>
      <c r="AT141" s="86"/>
      <c r="AU141" s="86"/>
      <c r="AV141" s="86"/>
      <c r="AW141" s="86"/>
      <c r="AX141" s="86"/>
      <c r="AY141" s="86"/>
    </row>
    <row r="142" spans="10:51" s="74" customFormat="1" ht="11.25" customHeight="1" x14ac:dyDescent="0.2">
      <c r="J142" s="88"/>
      <c r="AB142" s="75"/>
      <c r="AC142" s="86"/>
      <c r="AD142" s="86"/>
      <c r="AE142" s="86"/>
      <c r="AF142" s="86"/>
      <c r="AG142" s="86"/>
      <c r="AH142" s="86"/>
      <c r="AI142" s="86"/>
      <c r="AJ142" s="86"/>
      <c r="AK142" s="86"/>
      <c r="AL142" s="86"/>
      <c r="AM142" s="86"/>
      <c r="AN142" s="86"/>
      <c r="AO142" s="86"/>
      <c r="AP142" s="86"/>
      <c r="AQ142" s="86"/>
      <c r="AR142" s="86"/>
      <c r="AS142" s="86"/>
      <c r="AT142" s="86"/>
      <c r="AU142" s="86"/>
      <c r="AV142" s="86"/>
      <c r="AW142" s="86"/>
      <c r="AX142" s="86"/>
      <c r="AY142" s="86"/>
    </row>
    <row r="143" spans="10:51" s="74" customFormat="1" ht="11.25" customHeight="1" x14ac:dyDescent="0.2">
      <c r="J143" s="88"/>
      <c r="AB143" s="75"/>
      <c r="AC143" s="86"/>
      <c r="AD143" s="86"/>
      <c r="AE143" s="86"/>
      <c r="AF143" s="86"/>
      <c r="AG143" s="86"/>
      <c r="AH143" s="86"/>
      <c r="AI143" s="86"/>
      <c r="AJ143" s="86"/>
      <c r="AK143" s="86"/>
      <c r="AL143" s="86"/>
      <c r="AM143" s="86"/>
      <c r="AN143" s="86"/>
      <c r="AO143" s="86"/>
      <c r="AP143" s="86"/>
      <c r="AQ143" s="86"/>
      <c r="AR143" s="86"/>
      <c r="AS143" s="86"/>
      <c r="AT143" s="86"/>
      <c r="AU143" s="86"/>
      <c r="AV143" s="86"/>
      <c r="AW143" s="86"/>
      <c r="AX143" s="86"/>
      <c r="AY143" s="86"/>
    </row>
    <row r="144" spans="10:51" s="74" customFormat="1" ht="11.25" customHeight="1" x14ac:dyDescent="0.2">
      <c r="J144" s="88"/>
      <c r="AB144" s="75"/>
      <c r="AC144" s="86"/>
      <c r="AD144" s="86"/>
      <c r="AE144" s="86"/>
      <c r="AF144" s="86"/>
      <c r="AG144" s="86"/>
      <c r="AH144" s="86"/>
      <c r="AI144" s="86"/>
      <c r="AJ144" s="86"/>
      <c r="AK144" s="86"/>
      <c r="AL144" s="86"/>
      <c r="AM144" s="86"/>
      <c r="AN144" s="86"/>
      <c r="AO144" s="86"/>
      <c r="AP144" s="86"/>
      <c r="AQ144" s="86"/>
      <c r="AR144" s="86"/>
      <c r="AS144" s="86"/>
      <c r="AT144" s="86"/>
      <c r="AU144" s="86"/>
      <c r="AV144" s="86"/>
      <c r="AW144" s="86"/>
      <c r="AX144" s="86"/>
      <c r="AY144" s="86"/>
    </row>
    <row r="145" spans="10:51" s="74" customFormat="1" ht="11.25" customHeight="1" x14ac:dyDescent="0.2">
      <c r="J145" s="88"/>
      <c r="AB145" s="75"/>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row>
    <row r="146" spans="10:51" s="74" customFormat="1" ht="11.25" customHeight="1" x14ac:dyDescent="0.2">
      <c r="J146" s="88"/>
      <c r="AB146" s="75"/>
      <c r="AC146" s="86"/>
      <c r="AD146" s="86"/>
      <c r="AE146" s="86"/>
      <c r="AF146" s="86"/>
      <c r="AG146" s="86"/>
      <c r="AH146" s="86"/>
      <c r="AI146" s="86"/>
      <c r="AJ146" s="86"/>
      <c r="AK146" s="86"/>
      <c r="AL146" s="86"/>
      <c r="AM146" s="86"/>
      <c r="AN146" s="86"/>
      <c r="AO146" s="86"/>
      <c r="AP146" s="86"/>
      <c r="AQ146" s="86"/>
      <c r="AR146" s="86"/>
      <c r="AS146" s="86"/>
      <c r="AT146" s="86"/>
      <c r="AU146" s="86"/>
      <c r="AV146" s="86"/>
      <c r="AW146" s="86"/>
      <c r="AX146" s="86"/>
      <c r="AY146" s="86"/>
    </row>
    <row r="147" spans="10:51" s="74" customFormat="1" ht="11.25" customHeight="1" x14ac:dyDescent="0.2">
      <c r="J147" s="88"/>
      <c r="AB147" s="75"/>
      <c r="AC147" s="86"/>
      <c r="AD147" s="86"/>
      <c r="AE147" s="86"/>
      <c r="AF147" s="86"/>
      <c r="AG147" s="86"/>
      <c r="AH147" s="86"/>
      <c r="AI147" s="86"/>
      <c r="AJ147" s="86"/>
      <c r="AK147" s="86"/>
      <c r="AL147" s="86"/>
      <c r="AM147" s="86"/>
      <c r="AN147" s="86"/>
      <c r="AO147" s="86"/>
      <c r="AP147" s="86"/>
      <c r="AQ147" s="86"/>
      <c r="AR147" s="86"/>
      <c r="AS147" s="86"/>
      <c r="AT147" s="86"/>
      <c r="AU147" s="86"/>
      <c r="AV147" s="86"/>
      <c r="AW147" s="86"/>
      <c r="AX147" s="86"/>
      <c r="AY147" s="86"/>
    </row>
    <row r="148" spans="10:51" ht="11.25" customHeight="1" x14ac:dyDescent="0.2">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row>
    <row r="149" spans="10:51" ht="11.25" customHeight="1" x14ac:dyDescent="0.2">
      <c r="AC149" s="86"/>
      <c r="AD149" s="86"/>
      <c r="AE149" s="86"/>
      <c r="AF149" s="86"/>
      <c r="AG149" s="86"/>
      <c r="AH149" s="86"/>
      <c r="AI149" s="86"/>
      <c r="AJ149" s="86"/>
      <c r="AK149" s="86"/>
      <c r="AL149" s="86"/>
      <c r="AM149" s="86"/>
      <c r="AN149" s="86"/>
      <c r="AO149" s="86"/>
      <c r="AP149" s="86"/>
      <c r="AQ149" s="86"/>
      <c r="AR149" s="86"/>
      <c r="AS149" s="86"/>
      <c r="AT149" s="86"/>
      <c r="AU149" s="86"/>
      <c r="AV149" s="86"/>
      <c r="AW149" s="86"/>
      <c r="AX149" s="86"/>
      <c r="AY149" s="86"/>
    </row>
    <row r="150" spans="10:51" ht="11.25" customHeight="1" x14ac:dyDescent="0.2">
      <c r="AC150" s="86"/>
      <c r="AD150" s="86"/>
      <c r="AE150" s="86"/>
      <c r="AF150" s="86"/>
      <c r="AG150" s="86"/>
      <c r="AH150" s="86"/>
      <c r="AI150" s="86"/>
      <c r="AJ150" s="86"/>
      <c r="AK150" s="86"/>
      <c r="AL150" s="86"/>
      <c r="AM150" s="86"/>
      <c r="AN150" s="86"/>
      <c r="AO150" s="86"/>
      <c r="AP150" s="86"/>
      <c r="AQ150" s="86"/>
      <c r="AR150" s="86"/>
      <c r="AS150" s="86"/>
      <c r="AT150" s="86"/>
      <c r="AU150" s="86"/>
      <c r="AV150" s="86"/>
      <c r="AW150" s="86"/>
      <c r="AX150" s="86"/>
      <c r="AY150" s="86"/>
    </row>
    <row r="151" spans="10:51" ht="11.25" customHeight="1" x14ac:dyDescent="0.2">
      <c r="AC151" s="86"/>
      <c r="AD151" s="86"/>
      <c r="AE151" s="86"/>
      <c r="AF151" s="86"/>
      <c r="AG151" s="86"/>
      <c r="AH151" s="86"/>
      <c r="AI151" s="86"/>
      <c r="AJ151" s="86"/>
      <c r="AK151" s="86"/>
      <c r="AL151" s="86"/>
      <c r="AM151" s="86"/>
      <c r="AN151" s="86"/>
      <c r="AO151" s="86"/>
      <c r="AP151" s="86"/>
      <c r="AQ151" s="86"/>
      <c r="AR151" s="86"/>
      <c r="AS151" s="86"/>
      <c r="AT151" s="86"/>
      <c r="AU151" s="86"/>
      <c r="AV151" s="86"/>
      <c r="AW151" s="86"/>
      <c r="AX151" s="86"/>
      <c r="AY151" s="86"/>
    </row>
    <row r="152" spans="10:51" ht="11.25" customHeight="1" x14ac:dyDescent="0.2">
      <c r="AC152" s="86"/>
      <c r="AD152" s="86"/>
      <c r="AE152" s="86"/>
      <c r="AF152" s="86"/>
      <c r="AG152" s="86"/>
      <c r="AH152" s="86"/>
      <c r="AI152" s="86"/>
      <c r="AJ152" s="86"/>
      <c r="AK152" s="86"/>
      <c r="AL152" s="86"/>
      <c r="AM152" s="86"/>
      <c r="AN152" s="86"/>
      <c r="AO152" s="86"/>
      <c r="AP152" s="86"/>
      <c r="AQ152" s="86"/>
      <c r="AR152" s="86"/>
      <c r="AS152" s="86"/>
      <c r="AT152" s="86"/>
      <c r="AU152" s="86"/>
      <c r="AV152" s="86"/>
      <c r="AW152" s="86"/>
      <c r="AX152" s="86"/>
      <c r="AY152" s="86"/>
    </row>
    <row r="153" spans="10:51" ht="11.25" customHeight="1" x14ac:dyDescent="0.2">
      <c r="AC153" s="86"/>
      <c r="AD153" s="86"/>
      <c r="AE153" s="86"/>
      <c r="AF153" s="86"/>
      <c r="AG153" s="86"/>
      <c r="AH153" s="86"/>
      <c r="AI153" s="86"/>
      <c r="AJ153" s="86"/>
      <c r="AK153" s="86"/>
      <c r="AL153" s="86"/>
      <c r="AM153" s="86"/>
      <c r="AN153" s="86"/>
      <c r="AO153" s="86"/>
      <c r="AP153" s="86"/>
      <c r="AQ153" s="86"/>
      <c r="AR153" s="86"/>
      <c r="AS153" s="86"/>
      <c r="AT153" s="86"/>
      <c r="AU153" s="86"/>
      <c r="AV153" s="86"/>
      <c r="AW153" s="86"/>
      <c r="AX153" s="86"/>
      <c r="AY153" s="86"/>
    </row>
    <row r="154" spans="10:51" ht="11.25" customHeight="1" x14ac:dyDescent="0.2">
      <c r="AC154" s="86"/>
      <c r="AD154" s="86"/>
      <c r="AE154" s="86"/>
      <c r="AF154" s="86"/>
      <c r="AG154" s="86"/>
      <c r="AH154" s="86"/>
      <c r="AI154" s="86"/>
      <c r="AJ154" s="86"/>
      <c r="AK154" s="86"/>
      <c r="AL154" s="86"/>
      <c r="AM154" s="86"/>
      <c r="AN154" s="86"/>
      <c r="AO154" s="86"/>
      <c r="AP154" s="86"/>
      <c r="AQ154" s="86"/>
      <c r="AR154" s="86"/>
      <c r="AS154" s="86"/>
      <c r="AT154" s="86"/>
      <c r="AU154" s="86"/>
      <c r="AV154" s="86"/>
      <c r="AW154" s="86"/>
      <c r="AX154" s="86"/>
      <c r="AY154" s="86"/>
    </row>
    <row r="155" spans="10:51" ht="11.25" customHeight="1" x14ac:dyDescent="0.2">
      <c r="AC155" s="86"/>
      <c r="AD155" s="86"/>
      <c r="AE155" s="86"/>
      <c r="AF155" s="86"/>
      <c r="AG155" s="86"/>
      <c r="AH155" s="86"/>
      <c r="AI155" s="86"/>
      <c r="AJ155" s="86"/>
      <c r="AK155" s="86"/>
      <c r="AL155" s="86"/>
      <c r="AM155" s="86"/>
      <c r="AN155" s="86"/>
      <c r="AO155" s="86"/>
      <c r="AP155" s="86"/>
      <c r="AQ155" s="86"/>
      <c r="AR155" s="86"/>
      <c r="AS155" s="86"/>
      <c r="AT155" s="86"/>
      <c r="AU155" s="86"/>
      <c r="AV155" s="86"/>
      <c r="AW155" s="86"/>
      <c r="AX155" s="86"/>
      <c r="AY155" s="86"/>
    </row>
    <row r="156" spans="10:51" ht="11.25" customHeight="1" x14ac:dyDescent="0.2">
      <c r="AC156" s="86"/>
      <c r="AD156" s="86"/>
      <c r="AE156" s="86"/>
      <c r="AF156" s="86"/>
      <c r="AG156" s="86"/>
      <c r="AH156" s="86"/>
      <c r="AI156" s="86"/>
      <c r="AJ156" s="86"/>
      <c r="AK156" s="86"/>
      <c r="AL156" s="86"/>
      <c r="AM156" s="86"/>
      <c r="AN156" s="86"/>
      <c r="AO156" s="86"/>
      <c r="AP156" s="86"/>
      <c r="AQ156" s="86"/>
      <c r="AR156" s="86"/>
      <c r="AS156" s="86"/>
      <c r="AT156" s="86"/>
      <c r="AU156" s="86"/>
      <c r="AV156" s="86"/>
      <c r="AW156" s="86"/>
      <c r="AX156" s="86"/>
      <c r="AY156" s="86"/>
    </row>
    <row r="157" spans="10:51" ht="11.25" customHeight="1" x14ac:dyDescent="0.2">
      <c r="AC157" s="86"/>
      <c r="AD157" s="86"/>
      <c r="AE157" s="86"/>
      <c r="AF157" s="86"/>
      <c r="AG157" s="86"/>
      <c r="AH157" s="86"/>
      <c r="AI157" s="86"/>
      <c r="AJ157" s="86"/>
      <c r="AK157" s="86"/>
      <c r="AL157" s="86"/>
      <c r="AM157" s="86"/>
      <c r="AN157" s="86"/>
      <c r="AO157" s="86"/>
      <c r="AP157" s="86"/>
      <c r="AQ157" s="86"/>
      <c r="AR157" s="86"/>
      <c r="AS157" s="86"/>
      <c r="AT157" s="86"/>
      <c r="AU157" s="86"/>
      <c r="AV157" s="86"/>
      <c r="AW157" s="86"/>
      <c r="AX157" s="86"/>
      <c r="AY157" s="86"/>
    </row>
    <row r="158" spans="10:51" ht="11.25" customHeight="1" x14ac:dyDescent="0.2">
      <c r="AC158" s="86"/>
      <c r="AD158" s="86"/>
      <c r="AE158" s="86"/>
      <c r="AF158" s="86"/>
      <c r="AG158" s="86"/>
      <c r="AH158" s="86"/>
      <c r="AI158" s="86"/>
      <c r="AJ158" s="86"/>
      <c r="AK158" s="86"/>
      <c r="AL158" s="86"/>
      <c r="AM158" s="86"/>
      <c r="AN158" s="86"/>
      <c r="AO158" s="86"/>
      <c r="AP158" s="86"/>
      <c r="AQ158" s="86"/>
      <c r="AR158" s="86"/>
      <c r="AS158" s="86"/>
      <c r="AT158" s="86"/>
      <c r="AU158" s="86"/>
      <c r="AV158" s="86"/>
      <c r="AW158" s="86"/>
      <c r="AX158" s="86"/>
      <c r="AY158" s="86"/>
    </row>
    <row r="159" spans="10:51" ht="11.25" customHeight="1" x14ac:dyDescent="0.2">
      <c r="AC159" s="86"/>
      <c r="AD159" s="86"/>
      <c r="AE159" s="86"/>
      <c r="AF159" s="86"/>
      <c r="AG159" s="86"/>
      <c r="AH159" s="86"/>
      <c r="AI159" s="86"/>
      <c r="AJ159" s="86"/>
      <c r="AK159" s="86"/>
      <c r="AL159" s="86"/>
      <c r="AM159" s="86"/>
      <c r="AN159" s="86"/>
      <c r="AO159" s="86"/>
      <c r="AP159" s="86"/>
      <c r="AQ159" s="86"/>
      <c r="AR159" s="86"/>
      <c r="AS159" s="86"/>
      <c r="AT159" s="86"/>
      <c r="AU159" s="86"/>
      <c r="AV159" s="86"/>
      <c r="AW159" s="86"/>
      <c r="AX159" s="86"/>
      <c r="AY159" s="86"/>
    </row>
    <row r="160" spans="10:51" ht="11.25" customHeight="1" x14ac:dyDescent="0.2">
      <c r="AC160" s="86"/>
      <c r="AD160" s="86"/>
      <c r="AE160" s="86"/>
      <c r="AF160" s="86"/>
      <c r="AG160" s="86"/>
      <c r="AH160" s="86"/>
      <c r="AI160" s="86"/>
      <c r="AJ160" s="86"/>
      <c r="AK160" s="86"/>
      <c r="AL160" s="86"/>
      <c r="AM160" s="86"/>
      <c r="AN160" s="86"/>
      <c r="AO160" s="86"/>
      <c r="AP160" s="86"/>
      <c r="AQ160" s="86"/>
      <c r="AR160" s="86"/>
      <c r="AS160" s="86"/>
      <c r="AT160" s="86"/>
      <c r="AU160" s="86"/>
      <c r="AV160" s="86"/>
      <c r="AW160" s="86"/>
      <c r="AX160" s="86"/>
      <c r="AY160" s="86"/>
    </row>
    <row r="161" spans="29:51" ht="11.25" customHeight="1" x14ac:dyDescent="0.2">
      <c r="AC161" s="86"/>
      <c r="AD161" s="86"/>
      <c r="AE161" s="86"/>
      <c r="AF161" s="86"/>
      <c r="AG161" s="86"/>
      <c r="AH161" s="86"/>
      <c r="AI161" s="86"/>
      <c r="AJ161" s="86"/>
      <c r="AK161" s="86"/>
      <c r="AL161" s="86"/>
      <c r="AM161" s="86"/>
      <c r="AN161" s="86"/>
      <c r="AO161" s="86"/>
      <c r="AP161" s="86"/>
      <c r="AQ161" s="86"/>
      <c r="AR161" s="86"/>
      <c r="AS161" s="86"/>
      <c r="AT161" s="86"/>
      <c r="AU161" s="86"/>
      <c r="AV161" s="86"/>
      <c r="AW161" s="86"/>
      <c r="AX161" s="86"/>
      <c r="AY161" s="86"/>
    </row>
    <row r="162" spans="29:51" ht="11.25" customHeight="1" x14ac:dyDescent="0.2">
      <c r="AC162" s="86"/>
      <c r="AD162" s="86"/>
      <c r="AE162" s="86"/>
      <c r="AF162" s="86"/>
      <c r="AG162" s="86"/>
      <c r="AH162" s="86"/>
      <c r="AI162" s="86"/>
      <c r="AJ162" s="86"/>
      <c r="AK162" s="86"/>
      <c r="AL162" s="86"/>
      <c r="AM162" s="86"/>
      <c r="AN162" s="86"/>
      <c r="AO162" s="86"/>
      <c r="AP162" s="86"/>
      <c r="AQ162" s="86"/>
      <c r="AR162" s="86"/>
      <c r="AS162" s="86"/>
      <c r="AT162" s="86"/>
      <c r="AU162" s="86"/>
      <c r="AV162" s="86"/>
      <c r="AW162" s="86"/>
      <c r="AX162" s="86"/>
      <c r="AY162" s="86"/>
    </row>
    <row r="163" spans="29:51" ht="11.25" customHeight="1" x14ac:dyDescent="0.2">
      <c r="AC163" s="86"/>
      <c r="AD163" s="86"/>
      <c r="AE163" s="86"/>
      <c r="AF163" s="86"/>
      <c r="AG163" s="86"/>
      <c r="AH163" s="86"/>
      <c r="AI163" s="86"/>
      <c r="AJ163" s="86"/>
      <c r="AK163" s="86"/>
      <c r="AL163" s="86"/>
      <c r="AM163" s="86"/>
      <c r="AN163" s="86"/>
      <c r="AO163" s="86"/>
      <c r="AP163" s="86"/>
      <c r="AQ163" s="86"/>
      <c r="AR163" s="86"/>
      <c r="AS163" s="86"/>
      <c r="AT163" s="86"/>
      <c r="AU163" s="86"/>
      <c r="AV163" s="86"/>
      <c r="AW163" s="86"/>
      <c r="AX163" s="86"/>
      <c r="AY163" s="86"/>
    </row>
    <row r="164" spans="29:51" ht="11.25" customHeight="1" x14ac:dyDescent="0.2">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row>
    <row r="165" spans="29:51" ht="11.25" customHeight="1" x14ac:dyDescent="0.2">
      <c r="AC165" s="86"/>
      <c r="AD165" s="86"/>
      <c r="AE165" s="86"/>
      <c r="AF165" s="86"/>
      <c r="AG165" s="86"/>
      <c r="AH165" s="86"/>
      <c r="AI165" s="86"/>
      <c r="AJ165" s="86"/>
      <c r="AK165" s="86"/>
      <c r="AL165" s="86"/>
      <c r="AM165" s="86"/>
      <c r="AN165" s="86"/>
      <c r="AO165" s="86"/>
      <c r="AP165" s="86"/>
      <c r="AQ165" s="86"/>
      <c r="AR165" s="86"/>
      <c r="AS165" s="86"/>
      <c r="AT165" s="86"/>
      <c r="AU165" s="86"/>
      <c r="AV165" s="86"/>
      <c r="AW165" s="86"/>
      <c r="AX165" s="86"/>
      <c r="AY165" s="86"/>
    </row>
    <row r="166" spans="29:51" ht="11.25" customHeight="1" x14ac:dyDescent="0.2">
      <c r="AC166" s="86"/>
      <c r="AD166" s="86"/>
      <c r="AE166" s="86"/>
      <c r="AF166" s="86"/>
      <c r="AG166" s="86"/>
      <c r="AH166" s="86"/>
      <c r="AI166" s="86"/>
      <c r="AJ166" s="86"/>
      <c r="AK166" s="86"/>
      <c r="AL166" s="86"/>
      <c r="AM166" s="86"/>
      <c r="AN166" s="86"/>
      <c r="AO166" s="86"/>
      <c r="AP166" s="86"/>
      <c r="AQ166" s="86"/>
      <c r="AR166" s="86"/>
      <c r="AS166" s="86"/>
      <c r="AT166" s="86"/>
      <c r="AU166" s="86"/>
      <c r="AV166" s="86"/>
      <c r="AW166" s="86"/>
      <c r="AX166" s="86"/>
      <c r="AY166" s="86"/>
    </row>
    <row r="167" spans="29:51" ht="11.25" customHeight="1" x14ac:dyDescent="0.2">
      <c r="AC167" s="86"/>
      <c r="AD167" s="86"/>
      <c r="AE167" s="86"/>
      <c r="AF167" s="86"/>
      <c r="AG167" s="86"/>
      <c r="AH167" s="86"/>
      <c r="AI167" s="86"/>
      <c r="AJ167" s="86"/>
      <c r="AK167" s="86"/>
      <c r="AL167" s="86"/>
      <c r="AM167" s="86"/>
      <c r="AN167" s="86"/>
      <c r="AO167" s="86"/>
      <c r="AP167" s="86"/>
      <c r="AQ167" s="86"/>
      <c r="AR167" s="86"/>
      <c r="AS167" s="86"/>
      <c r="AT167" s="86"/>
      <c r="AU167" s="86"/>
      <c r="AV167" s="86"/>
      <c r="AW167" s="86"/>
      <c r="AX167" s="86"/>
      <c r="AY167" s="86"/>
    </row>
    <row r="168" spans="29:51" ht="11.25" customHeight="1" x14ac:dyDescent="0.2">
      <c r="AC168" s="86"/>
      <c r="AD168" s="86"/>
      <c r="AE168" s="86"/>
      <c r="AF168" s="86"/>
      <c r="AG168" s="86"/>
      <c r="AH168" s="86"/>
      <c r="AI168" s="86"/>
      <c r="AJ168" s="86"/>
      <c r="AK168" s="86"/>
      <c r="AL168" s="86"/>
      <c r="AM168" s="86"/>
      <c r="AN168" s="86"/>
      <c r="AO168" s="86"/>
      <c r="AP168" s="86"/>
      <c r="AQ168" s="86"/>
      <c r="AR168" s="86"/>
      <c r="AS168" s="86"/>
      <c r="AT168" s="86"/>
      <c r="AU168" s="86"/>
      <c r="AV168" s="86"/>
      <c r="AW168" s="86"/>
      <c r="AX168" s="86"/>
      <c r="AY168" s="86"/>
    </row>
    <row r="169" spans="29:51" ht="11.25" customHeight="1" x14ac:dyDescent="0.2">
      <c r="AC169" s="86"/>
      <c r="AD169" s="86"/>
      <c r="AE169" s="86"/>
      <c r="AF169" s="86"/>
      <c r="AG169" s="86"/>
      <c r="AH169" s="86"/>
      <c r="AI169" s="86"/>
      <c r="AJ169" s="86"/>
      <c r="AK169" s="86"/>
      <c r="AL169" s="86"/>
      <c r="AM169" s="86"/>
      <c r="AN169" s="86"/>
      <c r="AO169" s="86"/>
      <c r="AP169" s="86"/>
      <c r="AQ169" s="86"/>
      <c r="AR169" s="86"/>
      <c r="AS169" s="86"/>
      <c r="AT169" s="86"/>
      <c r="AU169" s="86"/>
      <c r="AV169" s="86"/>
      <c r="AW169" s="86"/>
      <c r="AX169" s="86"/>
      <c r="AY169" s="86"/>
    </row>
    <row r="170" spans="29:51" ht="11.25" customHeight="1" x14ac:dyDescent="0.2">
      <c r="AC170" s="86"/>
      <c r="AD170" s="86"/>
      <c r="AE170" s="86"/>
      <c r="AF170" s="86"/>
      <c r="AG170" s="86"/>
      <c r="AH170" s="86"/>
      <c r="AI170" s="86"/>
      <c r="AJ170" s="86"/>
      <c r="AK170" s="86"/>
      <c r="AL170" s="86"/>
      <c r="AM170" s="86"/>
      <c r="AN170" s="86"/>
      <c r="AO170" s="86"/>
      <c r="AP170" s="86"/>
      <c r="AQ170" s="86"/>
      <c r="AR170" s="86"/>
      <c r="AS170" s="86"/>
      <c r="AT170" s="86"/>
      <c r="AU170" s="86"/>
      <c r="AV170" s="86"/>
      <c r="AW170" s="86"/>
      <c r="AX170" s="86"/>
      <c r="AY170" s="86"/>
    </row>
    <row r="171" spans="29:51" ht="11.25" customHeight="1" x14ac:dyDescent="0.2">
      <c r="AC171" s="86"/>
      <c r="AD171" s="86"/>
      <c r="AE171" s="86"/>
      <c r="AF171" s="86"/>
      <c r="AG171" s="86"/>
      <c r="AH171" s="86"/>
      <c r="AI171" s="86"/>
      <c r="AJ171" s="86"/>
      <c r="AK171" s="86"/>
      <c r="AL171" s="86"/>
      <c r="AM171" s="86"/>
      <c r="AN171" s="86"/>
      <c r="AO171" s="86"/>
      <c r="AP171" s="86"/>
      <c r="AQ171" s="86"/>
      <c r="AR171" s="86"/>
      <c r="AS171" s="86"/>
      <c r="AT171" s="86"/>
      <c r="AU171" s="86"/>
      <c r="AV171" s="86"/>
      <c r="AW171" s="86"/>
      <c r="AX171" s="86"/>
      <c r="AY171" s="86"/>
    </row>
    <row r="172" spans="29:51" ht="11.25" customHeight="1" x14ac:dyDescent="0.2">
      <c r="AC172" s="86"/>
      <c r="AD172" s="86"/>
      <c r="AE172" s="86"/>
      <c r="AF172" s="86"/>
      <c r="AG172" s="86"/>
      <c r="AH172" s="86"/>
      <c r="AI172" s="86"/>
      <c r="AJ172" s="86"/>
      <c r="AK172" s="86"/>
      <c r="AL172" s="86"/>
      <c r="AM172" s="86"/>
      <c r="AN172" s="86"/>
      <c r="AO172" s="86"/>
      <c r="AP172" s="86"/>
      <c r="AQ172" s="86"/>
      <c r="AR172" s="86"/>
      <c r="AS172" s="86"/>
      <c r="AT172" s="86"/>
      <c r="AU172" s="86"/>
      <c r="AV172" s="86"/>
      <c r="AW172" s="86"/>
      <c r="AX172" s="86"/>
      <c r="AY172" s="86"/>
    </row>
    <row r="173" spans="29:51" ht="11.25" customHeight="1" x14ac:dyDescent="0.2">
      <c r="AC173" s="86"/>
      <c r="AD173" s="86"/>
      <c r="AE173" s="86"/>
      <c r="AF173" s="86"/>
      <c r="AG173" s="86"/>
      <c r="AH173" s="86"/>
      <c r="AI173" s="86"/>
      <c r="AJ173" s="86"/>
      <c r="AK173" s="86"/>
      <c r="AL173" s="86"/>
      <c r="AM173" s="86"/>
      <c r="AN173" s="86"/>
      <c r="AO173" s="86"/>
      <c r="AP173" s="86"/>
      <c r="AQ173" s="86"/>
      <c r="AR173" s="86"/>
      <c r="AS173" s="86"/>
      <c r="AT173" s="86"/>
      <c r="AU173" s="86"/>
      <c r="AV173" s="86"/>
      <c r="AW173" s="86"/>
      <c r="AX173" s="86"/>
      <c r="AY173" s="86"/>
    </row>
    <row r="174" spans="29:51" ht="11.25" customHeight="1" x14ac:dyDescent="0.2">
      <c r="AC174" s="86"/>
      <c r="AD174" s="86"/>
      <c r="AE174" s="86"/>
      <c r="AF174" s="86"/>
      <c r="AG174" s="86"/>
      <c r="AH174" s="86"/>
      <c r="AI174" s="86"/>
      <c r="AJ174" s="86"/>
      <c r="AK174" s="86"/>
      <c r="AL174" s="86"/>
      <c r="AM174" s="86"/>
      <c r="AN174" s="86"/>
      <c r="AO174" s="86"/>
      <c r="AP174" s="86"/>
      <c r="AQ174" s="86"/>
      <c r="AR174" s="86"/>
      <c r="AS174" s="86"/>
      <c r="AT174" s="86"/>
      <c r="AU174" s="86"/>
      <c r="AV174" s="86"/>
      <c r="AW174" s="86"/>
      <c r="AX174" s="86"/>
      <c r="AY174" s="86"/>
    </row>
    <row r="175" spans="29:51" ht="11.25" customHeight="1" x14ac:dyDescent="0.2">
      <c r="AC175" s="86"/>
      <c r="AD175" s="86"/>
      <c r="AE175" s="86"/>
      <c r="AF175" s="86"/>
      <c r="AG175" s="86"/>
      <c r="AH175" s="86"/>
      <c r="AI175" s="86"/>
      <c r="AJ175" s="86"/>
      <c r="AK175" s="86"/>
      <c r="AL175" s="86"/>
      <c r="AM175" s="86"/>
      <c r="AN175" s="86"/>
      <c r="AO175" s="86"/>
      <c r="AP175" s="86"/>
      <c r="AQ175" s="86"/>
      <c r="AR175" s="86"/>
      <c r="AS175" s="86"/>
      <c r="AT175" s="86"/>
      <c r="AU175" s="86"/>
      <c r="AV175" s="86"/>
      <c r="AW175" s="86"/>
      <c r="AX175" s="86"/>
      <c r="AY175" s="86"/>
    </row>
    <row r="176" spans="29:51" ht="11.25" customHeight="1" x14ac:dyDescent="0.2">
      <c r="AC176" s="86"/>
      <c r="AD176" s="86"/>
      <c r="AE176" s="86"/>
      <c r="AF176" s="86"/>
      <c r="AG176" s="86"/>
      <c r="AH176" s="86"/>
      <c r="AI176" s="86"/>
      <c r="AJ176" s="86"/>
      <c r="AK176" s="86"/>
      <c r="AL176" s="86"/>
      <c r="AM176" s="86"/>
      <c r="AN176" s="86"/>
      <c r="AO176" s="86"/>
      <c r="AP176" s="86"/>
      <c r="AQ176" s="86"/>
      <c r="AR176" s="86"/>
      <c r="AS176" s="86"/>
      <c r="AT176" s="86"/>
      <c r="AU176" s="86"/>
      <c r="AV176" s="86"/>
      <c r="AW176" s="86"/>
      <c r="AX176" s="86"/>
      <c r="AY176" s="86"/>
    </row>
    <row r="177" spans="29:51" ht="11.25" customHeight="1" x14ac:dyDescent="0.2">
      <c r="AC177" s="86"/>
      <c r="AD177" s="86"/>
      <c r="AE177" s="86"/>
      <c r="AF177" s="86"/>
      <c r="AG177" s="86"/>
      <c r="AH177" s="86"/>
      <c r="AI177" s="86"/>
      <c r="AJ177" s="86"/>
      <c r="AK177" s="86"/>
      <c r="AL177" s="86"/>
      <c r="AM177" s="86"/>
      <c r="AN177" s="86"/>
      <c r="AO177" s="86"/>
      <c r="AP177" s="86"/>
      <c r="AQ177" s="86"/>
      <c r="AR177" s="86"/>
      <c r="AS177" s="86"/>
      <c r="AT177" s="86"/>
      <c r="AU177" s="86"/>
      <c r="AV177" s="86"/>
      <c r="AW177" s="86"/>
      <c r="AX177" s="86"/>
      <c r="AY177" s="86"/>
    </row>
    <row r="178" spans="29:51" ht="11.25" customHeight="1" x14ac:dyDescent="0.2">
      <c r="AC178" s="86"/>
      <c r="AD178" s="86"/>
      <c r="AE178" s="86"/>
      <c r="AF178" s="86"/>
      <c r="AG178" s="86"/>
      <c r="AH178" s="86"/>
      <c r="AI178" s="86"/>
      <c r="AJ178" s="86"/>
      <c r="AK178" s="86"/>
      <c r="AL178" s="86"/>
      <c r="AM178" s="86"/>
      <c r="AN178" s="86"/>
      <c r="AO178" s="86"/>
      <c r="AP178" s="86"/>
      <c r="AQ178" s="86"/>
      <c r="AR178" s="86"/>
      <c r="AS178" s="86"/>
      <c r="AT178" s="86"/>
      <c r="AU178" s="86"/>
      <c r="AV178" s="86"/>
      <c r="AW178" s="86"/>
      <c r="AX178" s="86"/>
      <c r="AY178" s="86"/>
    </row>
    <row r="179" spans="29:51" ht="11.25" customHeight="1" x14ac:dyDescent="0.2">
      <c r="AC179" s="86"/>
      <c r="AD179" s="86"/>
      <c r="AE179" s="86"/>
      <c r="AF179" s="86"/>
      <c r="AG179" s="86"/>
      <c r="AH179" s="86"/>
      <c r="AI179" s="86"/>
      <c r="AJ179" s="86"/>
      <c r="AK179" s="86"/>
      <c r="AL179" s="86"/>
      <c r="AM179" s="86"/>
      <c r="AN179" s="86"/>
      <c r="AO179" s="86"/>
      <c r="AP179" s="86"/>
      <c r="AQ179" s="86"/>
      <c r="AR179" s="86"/>
      <c r="AS179" s="86"/>
      <c r="AT179" s="86"/>
      <c r="AU179" s="86"/>
      <c r="AV179" s="86"/>
      <c r="AW179" s="86"/>
      <c r="AX179" s="86"/>
      <c r="AY179" s="86"/>
    </row>
    <row r="180" spans="29:51" ht="11.25" customHeight="1" x14ac:dyDescent="0.2">
      <c r="AC180" s="86"/>
      <c r="AD180" s="86"/>
      <c r="AE180" s="86"/>
      <c r="AF180" s="86"/>
      <c r="AG180" s="86"/>
      <c r="AH180" s="86"/>
      <c r="AI180" s="86"/>
      <c r="AJ180" s="86"/>
      <c r="AK180" s="86"/>
      <c r="AL180" s="86"/>
      <c r="AM180" s="86"/>
      <c r="AN180" s="86"/>
      <c r="AO180" s="86"/>
      <c r="AP180" s="86"/>
      <c r="AQ180" s="86"/>
      <c r="AR180" s="86"/>
      <c r="AS180" s="86"/>
      <c r="AT180" s="86"/>
      <c r="AU180" s="86"/>
      <c r="AV180" s="86"/>
      <c r="AW180" s="86"/>
      <c r="AX180" s="86"/>
      <c r="AY180" s="86"/>
    </row>
    <row r="181" spans="29:51" ht="11.25" customHeight="1" x14ac:dyDescent="0.2">
      <c r="AC181" s="86"/>
      <c r="AD181" s="86"/>
      <c r="AE181" s="86"/>
      <c r="AF181" s="86"/>
      <c r="AG181" s="86"/>
      <c r="AH181" s="86"/>
      <c r="AI181" s="86"/>
      <c r="AJ181" s="86"/>
      <c r="AK181" s="86"/>
      <c r="AL181" s="86"/>
      <c r="AM181" s="86"/>
      <c r="AN181" s="86"/>
      <c r="AO181" s="86"/>
      <c r="AP181" s="86"/>
      <c r="AQ181" s="86"/>
      <c r="AR181" s="86"/>
      <c r="AS181" s="86"/>
      <c r="AT181" s="86"/>
      <c r="AU181" s="86"/>
      <c r="AV181" s="86"/>
      <c r="AW181" s="86"/>
      <c r="AX181" s="86"/>
      <c r="AY181" s="86"/>
    </row>
    <row r="182" spans="29:51" ht="11.25" customHeight="1" x14ac:dyDescent="0.2">
      <c r="AC182" s="86"/>
      <c r="AD182" s="86"/>
      <c r="AE182" s="86"/>
      <c r="AF182" s="86"/>
      <c r="AG182" s="86"/>
      <c r="AH182" s="86"/>
      <c r="AI182" s="86"/>
      <c r="AJ182" s="86"/>
      <c r="AK182" s="86"/>
      <c r="AL182" s="86"/>
      <c r="AM182" s="86"/>
      <c r="AN182" s="86"/>
      <c r="AO182" s="86"/>
      <c r="AP182" s="86"/>
      <c r="AQ182" s="86"/>
      <c r="AR182" s="86"/>
      <c r="AS182" s="86"/>
      <c r="AT182" s="86"/>
      <c r="AU182" s="86"/>
      <c r="AV182" s="86"/>
      <c r="AW182" s="86"/>
      <c r="AX182" s="86"/>
      <c r="AY182" s="86"/>
    </row>
    <row r="183" spans="29:51" ht="11.25" customHeight="1" x14ac:dyDescent="0.2">
      <c r="AC183" s="86"/>
      <c r="AD183" s="86"/>
      <c r="AE183" s="86"/>
      <c r="AF183" s="86"/>
      <c r="AG183" s="86"/>
      <c r="AH183" s="86"/>
      <c r="AI183" s="86"/>
      <c r="AJ183" s="86"/>
      <c r="AK183" s="86"/>
      <c r="AL183" s="86"/>
      <c r="AM183" s="86"/>
      <c r="AN183" s="86"/>
      <c r="AO183" s="86"/>
      <c r="AP183" s="86"/>
      <c r="AQ183" s="86"/>
      <c r="AR183" s="86"/>
      <c r="AS183" s="86"/>
      <c r="AT183" s="86"/>
      <c r="AU183" s="86"/>
      <c r="AV183" s="86"/>
      <c r="AW183" s="86"/>
      <c r="AX183" s="86"/>
      <c r="AY183" s="86"/>
    </row>
    <row r="184" spans="29:51" ht="11.25" customHeight="1" x14ac:dyDescent="0.2">
      <c r="AC184" s="86"/>
      <c r="AD184" s="86"/>
      <c r="AE184" s="86"/>
      <c r="AF184" s="86"/>
      <c r="AG184" s="86"/>
      <c r="AH184" s="86"/>
      <c r="AI184" s="86"/>
      <c r="AJ184" s="86"/>
      <c r="AK184" s="86"/>
      <c r="AL184" s="86"/>
      <c r="AM184" s="86"/>
      <c r="AN184" s="86"/>
      <c r="AO184" s="86"/>
      <c r="AP184" s="86"/>
      <c r="AQ184" s="86"/>
      <c r="AR184" s="86"/>
      <c r="AS184" s="86"/>
      <c r="AT184" s="86"/>
      <c r="AU184" s="86"/>
      <c r="AV184" s="86"/>
      <c r="AW184" s="86"/>
      <c r="AX184" s="86"/>
      <c r="AY184" s="86"/>
    </row>
    <row r="185" spans="29:51" ht="11.25" customHeight="1" x14ac:dyDescent="0.2">
      <c r="AC185" s="86"/>
      <c r="AD185" s="86"/>
      <c r="AE185" s="86"/>
      <c r="AF185" s="86"/>
      <c r="AG185" s="86"/>
      <c r="AH185" s="86"/>
      <c r="AI185" s="86"/>
      <c r="AJ185" s="86"/>
      <c r="AK185" s="86"/>
      <c r="AL185" s="86"/>
      <c r="AM185" s="86"/>
      <c r="AN185" s="86"/>
      <c r="AO185" s="86"/>
      <c r="AP185" s="86"/>
      <c r="AQ185" s="86"/>
      <c r="AR185" s="86"/>
      <c r="AS185" s="86"/>
      <c r="AT185" s="86"/>
      <c r="AU185" s="86"/>
      <c r="AV185" s="86"/>
      <c r="AW185" s="86"/>
      <c r="AX185" s="86"/>
      <c r="AY185" s="86"/>
    </row>
    <row r="186" spans="29:51" ht="11.25" customHeight="1" x14ac:dyDescent="0.2">
      <c r="AC186" s="86"/>
      <c r="AD186" s="86"/>
      <c r="AE186" s="86"/>
      <c r="AF186" s="86"/>
      <c r="AG186" s="86"/>
      <c r="AH186" s="86"/>
      <c r="AI186" s="86"/>
      <c r="AJ186" s="86"/>
      <c r="AK186" s="86"/>
      <c r="AL186" s="86"/>
      <c r="AM186" s="86"/>
      <c r="AN186" s="86"/>
      <c r="AO186" s="86"/>
      <c r="AP186" s="86"/>
      <c r="AQ186" s="86"/>
      <c r="AR186" s="86"/>
      <c r="AS186" s="86"/>
      <c r="AT186" s="86"/>
      <c r="AU186" s="86"/>
      <c r="AV186" s="86"/>
      <c r="AW186" s="86"/>
      <c r="AX186" s="86"/>
      <c r="AY186" s="86"/>
    </row>
    <row r="187" spans="29:51" ht="11.25" customHeight="1" x14ac:dyDescent="0.2">
      <c r="AC187" s="86"/>
      <c r="AD187" s="86"/>
      <c r="AE187" s="86"/>
      <c r="AF187" s="86"/>
      <c r="AG187" s="86"/>
      <c r="AH187" s="86"/>
      <c r="AI187" s="86"/>
      <c r="AJ187" s="86"/>
      <c r="AK187" s="86"/>
      <c r="AL187" s="86"/>
      <c r="AM187" s="86"/>
      <c r="AN187" s="86"/>
      <c r="AO187" s="86"/>
      <c r="AP187" s="86"/>
      <c r="AQ187" s="86"/>
      <c r="AR187" s="86"/>
      <c r="AS187" s="86"/>
      <c r="AT187" s="86"/>
      <c r="AU187" s="86"/>
      <c r="AV187" s="86"/>
      <c r="AW187" s="86"/>
      <c r="AX187" s="86"/>
      <c r="AY187" s="86"/>
    </row>
    <row r="188" spans="29:51" ht="11.25" customHeight="1" x14ac:dyDescent="0.2">
      <c r="AC188" s="86"/>
      <c r="AD188" s="86"/>
      <c r="AE188" s="86"/>
      <c r="AF188" s="86"/>
      <c r="AG188" s="86"/>
      <c r="AH188" s="86"/>
      <c r="AI188" s="86"/>
      <c r="AJ188" s="86"/>
      <c r="AK188" s="86"/>
      <c r="AL188" s="86"/>
      <c r="AM188" s="86"/>
      <c r="AN188" s="86"/>
      <c r="AO188" s="86"/>
      <c r="AP188" s="86"/>
      <c r="AQ188" s="86"/>
      <c r="AR188" s="86"/>
      <c r="AS188" s="86"/>
      <c r="AT188" s="86"/>
      <c r="AU188" s="86"/>
      <c r="AV188" s="86"/>
      <c r="AW188" s="86"/>
      <c r="AX188" s="86"/>
      <c r="AY188" s="86"/>
    </row>
    <row r="189" spans="29:51" ht="11.25" customHeight="1" x14ac:dyDescent="0.2">
      <c r="AC189" s="86"/>
      <c r="AD189" s="86"/>
      <c r="AE189" s="86"/>
      <c r="AF189" s="86"/>
      <c r="AG189" s="86"/>
      <c r="AH189" s="86"/>
      <c r="AI189" s="86"/>
      <c r="AJ189" s="86"/>
      <c r="AK189" s="86"/>
      <c r="AL189" s="86"/>
      <c r="AM189" s="86"/>
      <c r="AN189" s="86"/>
      <c r="AO189" s="86"/>
      <c r="AP189" s="86"/>
      <c r="AQ189" s="86"/>
      <c r="AR189" s="86"/>
      <c r="AS189" s="86"/>
      <c r="AT189" s="86"/>
      <c r="AU189" s="86"/>
      <c r="AV189" s="86"/>
      <c r="AW189" s="86"/>
      <c r="AX189" s="86"/>
      <c r="AY189" s="86"/>
    </row>
    <row r="190" spans="29:51" ht="11.25" customHeight="1" x14ac:dyDescent="0.2">
      <c r="AC190" s="86"/>
      <c r="AD190" s="86"/>
      <c r="AE190" s="86"/>
      <c r="AF190" s="86"/>
      <c r="AG190" s="86"/>
      <c r="AH190" s="86"/>
      <c r="AI190" s="86"/>
      <c r="AJ190" s="86"/>
      <c r="AK190" s="86"/>
      <c r="AL190" s="86"/>
      <c r="AM190" s="86"/>
      <c r="AN190" s="86"/>
      <c r="AO190" s="86"/>
      <c r="AP190" s="86"/>
      <c r="AQ190" s="86"/>
      <c r="AR190" s="86"/>
      <c r="AS190" s="86"/>
      <c r="AT190" s="86"/>
      <c r="AU190" s="86"/>
      <c r="AV190" s="86"/>
      <c r="AW190" s="86"/>
      <c r="AX190" s="86"/>
      <c r="AY190" s="86"/>
    </row>
    <row r="191" spans="29:51" ht="11.25" customHeight="1" x14ac:dyDescent="0.2">
      <c r="AC191" s="86"/>
      <c r="AD191" s="86"/>
      <c r="AE191" s="86"/>
      <c r="AF191" s="86"/>
      <c r="AG191" s="86"/>
      <c r="AH191" s="86"/>
      <c r="AI191" s="86"/>
      <c r="AJ191" s="86"/>
      <c r="AK191" s="86"/>
      <c r="AL191" s="86"/>
      <c r="AM191" s="86"/>
      <c r="AN191" s="86"/>
      <c r="AO191" s="86"/>
      <c r="AP191" s="86"/>
      <c r="AQ191" s="86"/>
      <c r="AR191" s="86"/>
      <c r="AS191" s="86"/>
      <c r="AT191" s="86"/>
      <c r="AU191" s="86"/>
      <c r="AV191" s="86"/>
      <c r="AW191" s="86"/>
      <c r="AX191" s="86"/>
      <c r="AY191" s="86"/>
    </row>
    <row r="192" spans="29:51" ht="11.25" customHeight="1" x14ac:dyDescent="0.2">
      <c r="AC192" s="86"/>
      <c r="AD192" s="86"/>
      <c r="AE192" s="86"/>
      <c r="AF192" s="86"/>
      <c r="AG192" s="86"/>
      <c r="AH192" s="86"/>
      <c r="AI192" s="86"/>
      <c r="AJ192" s="86"/>
      <c r="AK192" s="86"/>
      <c r="AL192" s="86"/>
      <c r="AM192" s="86"/>
      <c r="AN192" s="86"/>
      <c r="AO192" s="86"/>
      <c r="AP192" s="86"/>
      <c r="AQ192" s="86"/>
      <c r="AR192" s="86"/>
      <c r="AS192" s="86"/>
      <c r="AT192" s="86"/>
      <c r="AU192" s="86"/>
      <c r="AV192" s="86"/>
      <c r="AW192" s="86"/>
      <c r="AX192" s="86"/>
      <c r="AY192" s="86"/>
    </row>
    <row r="193" spans="29:51" ht="11.25" customHeight="1" x14ac:dyDescent="0.2">
      <c r="AC193" s="86"/>
      <c r="AD193" s="86"/>
      <c r="AE193" s="86"/>
      <c r="AF193" s="86"/>
      <c r="AG193" s="86"/>
      <c r="AH193" s="86"/>
      <c r="AI193" s="86"/>
      <c r="AJ193" s="86"/>
      <c r="AK193" s="86"/>
      <c r="AL193" s="86"/>
      <c r="AM193" s="86"/>
      <c r="AN193" s="86"/>
      <c r="AO193" s="86"/>
      <c r="AP193" s="86"/>
      <c r="AQ193" s="86"/>
      <c r="AR193" s="86"/>
      <c r="AS193" s="86"/>
      <c r="AT193" s="86"/>
      <c r="AU193" s="86"/>
      <c r="AV193" s="86"/>
      <c r="AW193" s="86"/>
      <c r="AX193" s="86"/>
      <c r="AY193" s="86"/>
    </row>
    <row r="194" spans="29:51" ht="11.25" customHeight="1" x14ac:dyDescent="0.2">
      <c r="AC194" s="86"/>
      <c r="AD194" s="86"/>
      <c r="AE194" s="86"/>
      <c r="AF194" s="86"/>
      <c r="AG194" s="86"/>
      <c r="AH194" s="86"/>
      <c r="AI194" s="86"/>
      <c r="AJ194" s="86"/>
      <c r="AK194" s="86"/>
      <c r="AL194" s="86"/>
      <c r="AM194" s="86"/>
      <c r="AN194" s="86"/>
      <c r="AO194" s="86"/>
      <c r="AP194" s="86"/>
      <c r="AQ194" s="86"/>
      <c r="AR194" s="86"/>
      <c r="AS194" s="86"/>
      <c r="AT194" s="86"/>
      <c r="AU194" s="86"/>
      <c r="AV194" s="86"/>
      <c r="AW194" s="86"/>
      <c r="AX194" s="86"/>
      <c r="AY194" s="86"/>
    </row>
    <row r="195" spans="29:51" ht="11.25" customHeight="1" x14ac:dyDescent="0.2">
      <c r="AC195" s="86"/>
      <c r="AD195" s="86"/>
      <c r="AE195" s="86"/>
      <c r="AF195" s="86"/>
      <c r="AG195" s="86"/>
      <c r="AH195" s="86"/>
      <c r="AI195" s="86"/>
      <c r="AJ195" s="86"/>
      <c r="AK195" s="86"/>
      <c r="AL195" s="86"/>
      <c r="AM195" s="86"/>
      <c r="AN195" s="86"/>
      <c r="AO195" s="86"/>
      <c r="AP195" s="86"/>
      <c r="AQ195" s="86"/>
      <c r="AR195" s="86"/>
      <c r="AS195" s="86"/>
      <c r="AT195" s="86"/>
      <c r="AU195" s="86"/>
      <c r="AV195" s="86"/>
      <c r="AW195" s="86"/>
      <c r="AX195" s="86"/>
      <c r="AY195" s="86"/>
    </row>
    <row r="196" spans="29:51" ht="11.25" customHeight="1" x14ac:dyDescent="0.2">
      <c r="AC196" s="86"/>
      <c r="AD196" s="86"/>
      <c r="AE196" s="86"/>
      <c r="AF196" s="86"/>
      <c r="AG196" s="86"/>
      <c r="AH196" s="86"/>
      <c r="AI196" s="86"/>
      <c r="AJ196" s="86"/>
      <c r="AK196" s="86"/>
      <c r="AL196" s="86"/>
      <c r="AM196" s="86"/>
      <c r="AN196" s="86"/>
      <c r="AO196" s="86"/>
      <c r="AP196" s="86"/>
      <c r="AQ196" s="86"/>
      <c r="AR196" s="86"/>
      <c r="AS196" s="86"/>
      <c r="AT196" s="86"/>
      <c r="AU196" s="86"/>
      <c r="AV196" s="86"/>
      <c r="AW196" s="86"/>
      <c r="AX196" s="86"/>
      <c r="AY196" s="86"/>
    </row>
    <row r="197" spans="29:51" ht="11.25" customHeight="1" x14ac:dyDescent="0.2">
      <c r="AC197" s="86"/>
      <c r="AD197" s="86"/>
      <c r="AE197" s="86"/>
      <c r="AF197" s="86"/>
      <c r="AG197" s="86"/>
      <c r="AH197" s="86"/>
      <c r="AI197" s="86"/>
      <c r="AJ197" s="86"/>
      <c r="AK197" s="86"/>
      <c r="AL197" s="86"/>
      <c r="AM197" s="86"/>
      <c r="AN197" s="86"/>
      <c r="AO197" s="86"/>
      <c r="AP197" s="86"/>
      <c r="AQ197" s="86"/>
      <c r="AR197" s="86"/>
      <c r="AS197" s="86"/>
      <c r="AT197" s="86"/>
      <c r="AU197" s="86"/>
      <c r="AV197" s="86"/>
      <c r="AW197" s="86"/>
      <c r="AX197" s="86"/>
      <c r="AY197" s="86"/>
    </row>
    <row r="198" spans="29:51" ht="11.25" customHeight="1" x14ac:dyDescent="0.2">
      <c r="AC198" s="86"/>
      <c r="AD198" s="86"/>
      <c r="AE198" s="86"/>
      <c r="AF198" s="86"/>
      <c r="AG198" s="86"/>
      <c r="AH198" s="86"/>
      <c r="AI198" s="86"/>
      <c r="AJ198" s="86"/>
      <c r="AK198" s="86"/>
      <c r="AL198" s="86"/>
      <c r="AM198" s="86"/>
      <c r="AN198" s="86"/>
      <c r="AO198" s="86"/>
      <c r="AP198" s="86"/>
      <c r="AQ198" s="86"/>
      <c r="AR198" s="86"/>
      <c r="AS198" s="86"/>
      <c r="AT198" s="86"/>
      <c r="AU198" s="86"/>
      <c r="AV198" s="86"/>
      <c r="AW198" s="86"/>
      <c r="AX198" s="86"/>
      <c r="AY198" s="86"/>
    </row>
    <row r="209" spans="28:30" ht="11.25" customHeight="1" x14ac:dyDescent="0.2">
      <c r="AB209" s="74"/>
      <c r="AC209" s="74"/>
    </row>
    <row r="210" spans="28:30" ht="11.25" customHeight="1" x14ac:dyDescent="0.2">
      <c r="AB210" s="74"/>
      <c r="AC210" s="74"/>
    </row>
    <row r="211" spans="28:30" ht="11.25" customHeight="1" x14ac:dyDescent="0.2">
      <c r="AB211" s="74"/>
      <c r="AC211" s="74"/>
    </row>
    <row r="214" spans="28:30" ht="11.25" customHeight="1" x14ac:dyDescent="0.2">
      <c r="AB214" s="78"/>
      <c r="AC214" s="78"/>
      <c r="AD214" s="78"/>
    </row>
    <row r="253" spans="28:29" ht="11.25" customHeight="1" x14ac:dyDescent="0.2">
      <c r="AB253" s="74"/>
      <c r="AC253" s="74"/>
    </row>
    <row r="254" spans="28:29" ht="11.25" customHeight="1" x14ac:dyDescent="0.2">
      <c r="AB254" s="74"/>
      <c r="AC254" s="74"/>
    </row>
    <row r="255" spans="28:29" ht="11.25" customHeight="1" x14ac:dyDescent="0.2">
      <c r="AB255" s="74"/>
      <c r="AC255" s="74"/>
    </row>
    <row r="258" spans="28:30" ht="11.25" customHeight="1" x14ac:dyDescent="0.2">
      <c r="AB258" s="78"/>
      <c r="AC258" s="78"/>
      <c r="AD258" s="78"/>
    </row>
    <row r="297" spans="28:30" ht="11.25" customHeight="1" x14ac:dyDescent="0.2">
      <c r="AB297" s="74"/>
      <c r="AC297" s="74"/>
    </row>
    <row r="298" spans="28:30" ht="11.25" customHeight="1" x14ac:dyDescent="0.2">
      <c r="AB298" s="74"/>
      <c r="AC298" s="74"/>
    </row>
    <row r="299" spans="28:30" ht="11.25" customHeight="1" x14ac:dyDescent="0.2">
      <c r="AB299" s="74"/>
      <c r="AC299" s="74"/>
    </row>
    <row r="302" spans="28:30" ht="11.25" customHeight="1" x14ac:dyDescent="0.2">
      <c r="AB302" s="78"/>
      <c r="AC302" s="78"/>
      <c r="AD302" s="78"/>
    </row>
    <row r="341" spans="28:30" ht="11.25" customHeight="1" x14ac:dyDescent="0.2">
      <c r="AB341" s="74"/>
      <c r="AC341" s="74"/>
    </row>
    <row r="342" spans="28:30" ht="11.25" customHeight="1" x14ac:dyDescent="0.2">
      <c r="AB342" s="74"/>
      <c r="AC342" s="74"/>
    </row>
    <row r="343" spans="28:30" ht="11.25" customHeight="1" x14ac:dyDescent="0.2">
      <c r="AB343" s="74"/>
      <c r="AC343" s="74"/>
    </row>
    <row r="346" spans="28:30" ht="11.25" customHeight="1" x14ac:dyDescent="0.2">
      <c r="AB346" s="78"/>
      <c r="AC346" s="78"/>
      <c r="AD346" s="78"/>
    </row>
    <row r="385" spans="28:30" ht="11.25" customHeight="1" x14ac:dyDescent="0.2">
      <c r="AB385" s="74"/>
      <c r="AC385" s="74"/>
    </row>
    <row r="386" spans="28:30" ht="11.25" customHeight="1" x14ac:dyDescent="0.2">
      <c r="AB386" s="74"/>
      <c r="AC386" s="74"/>
    </row>
    <row r="387" spans="28:30" ht="11.25" customHeight="1" x14ac:dyDescent="0.2">
      <c r="AB387" s="74"/>
      <c r="AC387" s="74"/>
    </row>
    <row r="390" spans="28:30" ht="11.25" customHeight="1" x14ac:dyDescent="0.2">
      <c r="AB390" s="78"/>
      <c r="AC390" s="78"/>
      <c r="AD390" s="78"/>
    </row>
    <row r="429" spans="28:29" ht="11.25" customHeight="1" x14ac:dyDescent="0.2">
      <c r="AB429" s="74"/>
      <c r="AC429" s="74"/>
    </row>
    <row r="430" spans="28:29" ht="11.25" customHeight="1" x14ac:dyDescent="0.2">
      <c r="AB430" s="74"/>
      <c r="AC430" s="74"/>
    </row>
    <row r="431" spans="28:29" ht="11.25" customHeight="1" x14ac:dyDescent="0.2">
      <c r="AB431" s="74"/>
      <c r="AC431" s="74"/>
    </row>
    <row r="434" spans="28:30" ht="11.25" customHeight="1" x14ac:dyDescent="0.2">
      <c r="AB434" s="78"/>
      <c r="AC434" s="78"/>
      <c r="AD434" s="78"/>
    </row>
  </sheetData>
  <sheetProtection sheet="1" objects="1" scenarios="1"/>
  <mergeCells count="44">
    <mergeCell ref="B112:I113"/>
    <mergeCell ref="B102:I103"/>
    <mergeCell ref="B104:I105"/>
    <mergeCell ref="B106:I107"/>
    <mergeCell ref="B108:I109"/>
    <mergeCell ref="B110:I111"/>
    <mergeCell ref="B92:I93"/>
    <mergeCell ref="B94:I95"/>
    <mergeCell ref="B96:I97"/>
    <mergeCell ref="B98:I99"/>
    <mergeCell ref="B100:I101"/>
    <mergeCell ref="B82:I83"/>
    <mergeCell ref="B84:I85"/>
    <mergeCell ref="B86:I87"/>
    <mergeCell ref="B88:I89"/>
    <mergeCell ref="B90:I91"/>
    <mergeCell ref="D43:D44"/>
    <mergeCell ref="B74:I75"/>
    <mergeCell ref="B76:I77"/>
    <mergeCell ref="B78:I79"/>
    <mergeCell ref="B80:I81"/>
    <mergeCell ref="B41:B42"/>
    <mergeCell ref="Q43:Q44"/>
    <mergeCell ref="R43:R44"/>
    <mergeCell ref="S43:S44"/>
    <mergeCell ref="T43:T44"/>
    <mergeCell ref="N43:N44"/>
    <mergeCell ref="M43:M44"/>
    <mergeCell ref="L43:L44"/>
    <mergeCell ref="K43:K44"/>
    <mergeCell ref="P43:P44"/>
    <mergeCell ref="B43:B44"/>
    <mergeCell ref="J43:J44"/>
    <mergeCell ref="H43:H44"/>
    <mergeCell ref="G43:G44"/>
    <mergeCell ref="F43:F44"/>
    <mergeCell ref="E43:E44"/>
    <mergeCell ref="J5:N6"/>
    <mergeCell ref="P5:T6"/>
    <mergeCell ref="B7:B8"/>
    <mergeCell ref="D5:H6"/>
    <mergeCell ref="D39:H40"/>
    <mergeCell ref="J39:N40"/>
    <mergeCell ref="P39:T40"/>
  </mergeCells>
  <phoneticPr fontId="4" type="noConversion"/>
  <conditionalFormatting sqref="A10:A31">
    <cfRule type="cellIs" dxfId="1060" priority="42" operator="equal">
      <formula>0</formula>
    </cfRule>
  </conditionalFormatting>
  <conditionalFormatting sqref="A10:A33">
    <cfRule type="containsErrors" dxfId="1059" priority="41">
      <formula>ISERROR(A10)</formula>
    </cfRule>
  </conditionalFormatting>
  <conditionalFormatting sqref="D7:H7">
    <cfRule type="containsErrors" dxfId="1058" priority="36">
      <formula>ISERROR(D7)</formula>
    </cfRule>
  </conditionalFormatting>
  <conditionalFormatting sqref="D8:H8">
    <cfRule type="containsErrors" dxfId="1057" priority="35">
      <formula>ISERROR(D8)</formula>
    </cfRule>
  </conditionalFormatting>
  <conditionalFormatting sqref="J7:N7">
    <cfRule type="containsErrors" dxfId="1056" priority="28">
      <formula>ISERROR(J7)</formula>
    </cfRule>
  </conditionalFormatting>
  <conditionalFormatting sqref="J8:N8">
    <cfRule type="containsErrors" dxfId="1055" priority="27">
      <formula>ISERROR(J8)</formula>
    </cfRule>
  </conditionalFormatting>
  <conditionalFormatting sqref="B10:B31 D10:H31 B45:B66 D45:H66 J10:N31 J45:N66 P45:T66">
    <cfRule type="expression" dxfId="1054" priority="1197" stopIfTrue="1">
      <formula>$B10=$X$4</formula>
    </cfRule>
  </conditionalFormatting>
  <conditionalFormatting sqref="B32 B67">
    <cfRule type="expression" dxfId="1053" priority="1207" stopIfTrue="1">
      <formula>$B32=$AC$4</formula>
    </cfRule>
  </conditionalFormatting>
  <conditionalFormatting sqref="P7:T7">
    <cfRule type="containsErrors" dxfId="1052" priority="25">
      <formula>ISERROR(P7)</formula>
    </cfRule>
  </conditionalFormatting>
  <conditionalFormatting sqref="P8:T8">
    <cfRule type="containsErrors" dxfId="1051" priority="24">
      <formula>ISERROR(P8)</formula>
    </cfRule>
  </conditionalFormatting>
  <conditionalFormatting sqref="P10:T31">
    <cfRule type="expression" dxfId="1050" priority="26" stopIfTrue="1">
      <formula>$B10=$X$4</formula>
    </cfRule>
  </conditionalFormatting>
  <conditionalFormatting sqref="A45:A66">
    <cfRule type="cellIs" dxfId="1049" priority="21" operator="equal">
      <formula>0</formula>
    </cfRule>
  </conditionalFormatting>
  <conditionalFormatting sqref="A45:A68">
    <cfRule type="containsErrors" dxfId="1048" priority="20">
      <formula>ISERROR(A45)</formula>
    </cfRule>
  </conditionalFormatting>
  <conditionalFormatting sqref="D41:H41">
    <cfRule type="containsErrors" dxfId="1047" priority="19">
      <formula>ISERROR(D41)</formula>
    </cfRule>
  </conditionalFormatting>
  <conditionalFormatting sqref="D42:H42">
    <cfRule type="containsErrors" dxfId="1046" priority="18">
      <formula>ISERROR(D42)</formula>
    </cfRule>
  </conditionalFormatting>
  <conditionalFormatting sqref="J41:N41">
    <cfRule type="containsErrors" dxfId="1045" priority="17">
      <formula>ISERROR(J41)</formula>
    </cfRule>
  </conditionalFormatting>
  <conditionalFormatting sqref="J42:N42">
    <cfRule type="containsErrors" dxfId="1044" priority="16">
      <formula>ISERROR(J42)</formula>
    </cfRule>
  </conditionalFormatting>
  <conditionalFormatting sqref="P41:T41">
    <cfRule type="containsErrors" dxfId="1043" priority="3">
      <formula>ISERROR(P41)</formula>
    </cfRule>
  </conditionalFormatting>
  <conditionalFormatting sqref="P42:T42">
    <cfRule type="containsErrors" dxfId="1042" priority="2">
      <formula>ISERROR(P42)</formula>
    </cfRule>
  </conditionalFormatting>
  <conditionalFormatting sqref="A115:A147">
    <cfRule type="containsErrors" dxfId="1041" priority="1">
      <formula>ISERROR(A115)</formula>
    </cfRule>
  </conditionalFormatting>
  <hyperlinks>
    <hyperlink ref="B78:H79" location="IDACI!A1" display="IDACI" xr:uid="{939B57E1-4E9E-4709-A526-580DF87D655F}"/>
    <hyperlink ref="B102:I103" location="ROSGO!A1" display="Child Arrangement &amp; Special Guardianship Orders" xr:uid="{ACB9D205-DF22-4181-8CE5-E89EEB7B3D9A}"/>
    <hyperlink ref="B82:G83" location="EH_Referrals!A1" display="Early Help Referrals" xr:uid="{13EC8769-230D-46A0-A712-A6B4E81F139A}"/>
    <hyperlink ref="B102:E103" location="ROSGO!A1" display="Child Arrangement &amp; Special Guardianship Orders" xr:uid="{C16533FC-5393-4325-B3CC-F50C76F84C1D}"/>
    <hyperlink ref="B82:E83" location="EH_Referrals!A1" display="Early Help Referrals" xr:uid="{FC3970C7-BB0A-40A1-B32E-F8497412B2B1}"/>
    <hyperlink ref="B80:D81" location="IDACI!A1" display="IDACI" xr:uid="{8F9C8748-F492-4E3E-941B-2E5B32ACFA23}"/>
    <hyperlink ref="B76:D77" location="Indicators!A1" display="Indicators" xr:uid="{44534103-4579-4561-A333-6142959BB384}"/>
    <hyperlink ref="B104:D105" location="New_Ceased_LAC!A1" display="New/ Ceased Looked After Children" xr:uid="{6AFAD0E6-4969-42C9-B16C-F589567319A8}"/>
    <hyperlink ref="B108:D109" location="Care_Leavers!A1" display="Care Leavers" xr:uid="{CC9FC068-CE0D-4B72-91C3-9BB5423F9FB5}"/>
    <hyperlink ref="B112:D113" location="Offending!A1" display="Offending" xr:uid="{626EC263-2934-43AE-A64D-66ABC7E70591}"/>
    <hyperlink ref="B110:D111" location="EHCP!A1" display="Education Health and Care Plans (EHCP)" xr:uid="{C39A0F71-8797-4DC5-AB12-6D36AF3D6355}"/>
    <hyperlink ref="B78:B79" location="Coverage!A1" display="Participating LA's" xr:uid="{C5A49B18-41E7-4986-B540-D5E1A55D01AD}"/>
    <hyperlink ref="B80:B81" location="IDACI!A1" display="IDACI" xr:uid="{5DB2655F-EDAA-42AF-BBF6-F857AED1398D}"/>
    <hyperlink ref="B106:B107" location="Adoption!A1" display="Adoption" xr:uid="{82CF8B94-C603-445B-8C60-34CE7B963C2B}"/>
    <hyperlink ref="B102:B103" location="'Looked After Children'!A1" display="Looked After Children" xr:uid="{BD7C5346-F433-462E-A139-73DE366C5518}"/>
    <hyperlink ref="B100:B101" location="'Court Applications'!A1" display="Court Applications" xr:uid="{DC7F7F03-1135-464A-B86D-2326F64930B0}"/>
    <hyperlink ref="B98:B99" location="'Child Protection Plans'!A1" display="Child Protection Plans" xr:uid="{C7D20C83-0F8C-4AD8-8052-2888F5098CFB}"/>
    <hyperlink ref="B96:B97" location="'Initial CP Conferences'!A1" display="Initial Child Protection Conferences" xr:uid="{BE64D972-06BA-4EB0-BB09-1408A7F45AAD}"/>
    <hyperlink ref="B94:B95" location="'Section 47 Enquiries'!A1" display="Section 47 Enquiries" xr:uid="{195ABBCA-85F5-416E-9242-E37DC0A581E8}"/>
    <hyperlink ref="B92:B93" location="'Children in Need'!A1" display="Children in Need" xr:uid="{FC6E097F-8843-4D12-82F6-8B0A0F6A3358}"/>
    <hyperlink ref="B90:B91" location="Assessments!A1" display="Assessments" xr:uid="{815AF180-4106-40ED-BA48-297AF0D613E8}"/>
    <hyperlink ref="B88:B89" location="'Re-referrals'!A1" display="Re-referrals" xr:uid="{9614BD40-07A1-45E7-9389-1FB343F3C9F4}"/>
    <hyperlink ref="B86:B87" location="Referral_Source!A1" display="Referral Source" xr:uid="{7F27D174-3A55-48A6-AAED-1D7BA0E5BA2B}"/>
    <hyperlink ref="B84:B85" location="Referrals!A1" display="Referrals" xr:uid="{5911ABA0-EB1B-4B1D-A890-9FF2D4532FCF}"/>
    <hyperlink ref="B82:B83" location="Population!A1" display="Population" xr:uid="{1196E8B3-E65E-4852-A1CF-73EBF7A0A4DE}"/>
    <hyperlink ref="B80:C81" location="IDACI!A1" display="IDACI" xr:uid="{F2CA497C-6521-4337-A502-437D478025AE}"/>
    <hyperlink ref="B76:B77" location="Coverage!A1" display="Participating LA's" xr:uid="{91CE046C-157C-45A3-865B-38F081FBF3AD}"/>
    <hyperlink ref="B76:C77" location="Indicators!A1" display="Indicators" xr:uid="{C1BACAA8-DC34-44EC-A16F-8C3124B4BB2C}"/>
    <hyperlink ref="B108:B109" location="'Looked After Children'!A1" display="Looked After Children" xr:uid="{CC812F68-9B6D-4CD3-BE34-399379EAD78D}"/>
    <hyperlink ref="B104:B105" location="'Court Applications'!A1" display="Court Applications" xr:uid="{3ABD52DF-6BAA-4E0A-9C8A-AE378513138B}"/>
    <hyperlink ref="B104:C105" location="New_Ceased_LAC!A1" display="New/ Ceased Looked After Children" xr:uid="{0C55A7EB-4744-4913-A6CB-7A37D699D112}"/>
    <hyperlink ref="B108:C109" location="Care_Leavers!A1" display="Care Leavers" xr:uid="{EDB45F27-A17D-459F-845C-0519BDF03048}"/>
    <hyperlink ref="B111:B113" location="Adoption!A1" display="Adoption" xr:uid="{44EFD4AA-BA62-43EC-98EE-D82ED9554F66}"/>
    <hyperlink ref="B112:B113" location="'Looked After Children'!A1" display="Looked After Children" xr:uid="{095AC78C-C050-4022-A9B8-56D172CBC975}"/>
    <hyperlink ref="B112:C113" location="Offending!A1" display="Offending" xr:uid="{5F57AC42-B1A8-48D7-AE27-4ECB482B9F05}"/>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ignoredErrors>
    <ignoredError sqref="A10:A33" evalError="1"/>
  </ignoredError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4">
    <tabColor rgb="FFFFC000"/>
  </sheetPr>
  <dimension ref="A1:BC273"/>
  <sheetViews>
    <sheetView showRowColHeaders="0" workbookViewId="0">
      <selection activeCell="B5" sqref="B5:T6"/>
    </sheetView>
  </sheetViews>
  <sheetFormatPr defaultColWidth="9.140625" defaultRowHeight="11.25" customHeight="1" x14ac:dyDescent="0.2"/>
  <cols>
    <col min="1" max="1" width="2.140625" style="74" customWidth="1"/>
    <col min="2" max="2" width="17.140625" style="74" customWidth="1"/>
    <col min="3" max="3" width="1.42578125" style="74" customWidth="1"/>
    <col min="4" max="10" width="7.42578125" style="74" customWidth="1"/>
    <col min="11" max="11" width="1.42578125" style="88" customWidth="1"/>
    <col min="12" max="18" width="7.42578125" style="74" customWidth="1"/>
    <col min="19" max="19" width="1.42578125" style="74" customWidth="1"/>
    <col min="20" max="20" width="8" style="74" customWidth="1"/>
    <col min="21" max="21" width="2.140625" style="74" customWidth="1"/>
    <col min="22" max="22" width="6.42578125" style="80" customWidth="1"/>
    <col min="23" max="23" width="4.85546875" style="80" customWidth="1"/>
    <col min="24" max="24" width="26.5703125" style="81" hidden="1" customWidth="1"/>
    <col min="25" max="25" width="19.42578125" style="81" hidden="1" customWidth="1"/>
    <col min="26" max="26" width="19.85546875" style="81" hidden="1" customWidth="1"/>
    <col min="27" max="28" width="16.5703125" style="81" hidden="1" customWidth="1"/>
    <col min="29" max="30" width="8.5703125" style="81" hidden="1" customWidth="1"/>
    <col min="31" max="31" width="3.5703125" style="81" hidden="1" customWidth="1"/>
    <col min="32" max="32" width="17" style="81" hidden="1" customWidth="1"/>
    <col min="33" max="33" width="5.5703125" style="81" hidden="1" customWidth="1"/>
    <col min="34" max="34" width="7.140625" style="81" hidden="1" customWidth="1"/>
    <col min="35" max="35" width="5.5703125" style="74" hidden="1" customWidth="1"/>
    <col min="36" max="36" width="31.5703125" style="74" customWidth="1"/>
    <col min="37" max="37" width="17" style="74" hidden="1" customWidth="1"/>
    <col min="38" max="42" width="13.5703125" style="74" hidden="1" customWidth="1"/>
    <col min="43" max="54" width="9.140625" style="74" hidden="1" customWidth="1"/>
    <col min="55" max="16384" width="9.140625" style="74"/>
  </cols>
  <sheetData>
    <row r="1" spans="1:44" ht="18.75" customHeight="1" thickBot="1" x14ac:dyDescent="0.25">
      <c r="A1" s="112"/>
      <c r="B1" s="113"/>
      <c r="C1" s="113"/>
      <c r="D1" s="113"/>
      <c r="E1" s="113"/>
      <c r="F1" s="113"/>
      <c r="G1" s="113"/>
      <c r="H1" s="113"/>
      <c r="I1" s="113"/>
      <c r="J1" s="113"/>
      <c r="K1" s="114"/>
      <c r="L1" s="113"/>
      <c r="M1" s="113"/>
      <c r="N1" s="113"/>
      <c r="O1" s="113"/>
      <c r="P1" s="113"/>
      <c r="Q1" s="113"/>
      <c r="R1" s="113"/>
      <c r="S1" s="113"/>
      <c r="T1" s="113"/>
      <c r="U1" s="115"/>
      <c r="V1" s="275"/>
      <c r="W1" s="155"/>
      <c r="X1" s="939" t="str">
        <f>IF(Sheet1!$C$3="Annual"," the year ending 31st March"," the quarter")</f>
        <v xml:space="preserve"> the year ending 31st March</v>
      </c>
      <c r="Y1" s="180"/>
      <c r="Z1" s="180"/>
      <c r="AA1" s="180"/>
      <c r="AB1" s="180"/>
      <c r="AC1" s="180"/>
      <c r="AD1" s="180"/>
      <c r="AE1" s="180"/>
      <c r="AF1" s="180"/>
      <c r="AG1" s="180"/>
      <c r="AH1" s="180"/>
      <c r="AI1" s="181"/>
      <c r="AJ1" s="156"/>
    </row>
    <row r="2" spans="1:44" ht="18.75" customHeight="1" x14ac:dyDescent="0.2">
      <c r="A2" s="118"/>
      <c r="B2" s="128" t="s">
        <v>658</v>
      </c>
      <c r="C2" s="9"/>
      <c r="D2" s="9"/>
      <c r="E2" s="9"/>
      <c r="F2" s="9"/>
      <c r="G2" s="9"/>
      <c r="H2" s="9"/>
      <c r="I2" s="9"/>
      <c r="J2" s="9"/>
      <c r="K2" s="12"/>
      <c r="L2" s="9"/>
      <c r="M2" s="9"/>
      <c r="N2" s="9"/>
      <c r="O2" s="9"/>
      <c r="P2" s="9"/>
      <c r="Q2" s="9"/>
      <c r="R2" s="9"/>
      <c r="S2" s="9"/>
      <c r="T2" s="9"/>
      <c r="U2" s="117"/>
      <c r="V2" s="161"/>
      <c r="W2" s="150"/>
      <c r="X2" s="800" t="str">
        <f>IF(Sheet1!$C$3="Annual","",Sheet1!D28)</f>
        <v/>
      </c>
      <c r="Y2" s="801" t="str">
        <f>IF(Sheet1!$C$3="Annual","",Sheet1!E28)</f>
        <v/>
      </c>
      <c r="Z2" s="801" t="str">
        <f>IF(Sheet1!$C$3="Annual","",Sheet1!F28)</f>
        <v/>
      </c>
      <c r="AA2" s="801" t="str">
        <f>IF(Sheet1!$C$3="Annual","",Sheet1!G28)</f>
        <v/>
      </c>
      <c r="AB2" s="802" t="str">
        <f>IF(Sheet1!$C$3="Annual","",Sheet1!H28)</f>
        <v/>
      </c>
      <c r="AI2" s="184"/>
      <c r="AJ2" s="157"/>
    </row>
    <row r="3" spans="1:44" ht="18.75" customHeight="1" thickBot="1" x14ac:dyDescent="0.25">
      <c r="A3" s="124"/>
      <c r="B3" s="125"/>
      <c r="C3" s="125"/>
      <c r="D3" s="125"/>
      <c r="E3" s="125"/>
      <c r="F3" s="125"/>
      <c r="G3" s="125"/>
      <c r="H3" s="125"/>
      <c r="I3" s="267"/>
      <c r="J3" s="553"/>
      <c r="K3" s="126"/>
      <c r="L3" s="125"/>
      <c r="M3" s="125"/>
      <c r="N3" s="125"/>
      <c r="O3" s="125"/>
      <c r="P3" s="125"/>
      <c r="Q3" s="553"/>
      <c r="R3" s="125"/>
      <c r="S3" s="125"/>
      <c r="T3" s="125"/>
      <c r="U3" s="127"/>
      <c r="V3" s="161"/>
      <c r="W3" s="150"/>
      <c r="X3" s="803" t="str">
        <f>Sheet1!$D$27</f>
        <v>2015-16</v>
      </c>
      <c r="Y3" s="804" t="str">
        <f>Sheet1!$E$27</f>
        <v>2016-17</v>
      </c>
      <c r="Z3" s="804" t="str">
        <f>Sheet1!$F$27</f>
        <v>2017-18</v>
      </c>
      <c r="AA3" s="804" t="str">
        <f>Sheet1!$G$27</f>
        <v>2018-19</v>
      </c>
      <c r="AB3" s="805" t="str">
        <f>Sheet1!$H$27</f>
        <v>2019-20</v>
      </c>
      <c r="AI3" s="184"/>
      <c r="AJ3" s="157"/>
    </row>
    <row r="4" spans="1:44" ht="11.25" customHeight="1" x14ac:dyDescent="0.2">
      <c r="A4" s="112"/>
      <c r="B4" s="113"/>
      <c r="C4" s="113"/>
      <c r="D4" s="113"/>
      <c r="E4" s="113"/>
      <c r="F4" s="113"/>
      <c r="G4" s="113"/>
      <c r="H4" s="113"/>
      <c r="I4" s="113"/>
      <c r="J4" s="113"/>
      <c r="K4" s="114"/>
      <c r="L4" s="113"/>
      <c r="M4" s="113"/>
      <c r="N4" s="113"/>
      <c r="O4" s="113"/>
      <c r="P4" s="113"/>
      <c r="Q4" s="113"/>
      <c r="R4" s="113"/>
      <c r="S4" s="113"/>
      <c r="T4" s="113"/>
      <c r="U4" s="115"/>
      <c r="V4" s="137"/>
      <c r="W4" s="150"/>
      <c r="X4" s="186"/>
      <c r="Y4" s="186" t="str">
        <f>Home!$D$10</f>
        <v>(none)</v>
      </c>
      <c r="Z4" s="42" t="str">
        <f>"Selected LA- "&amp;Y4</f>
        <v>Selected LA- (none)</v>
      </c>
      <c r="AI4" s="184"/>
      <c r="AJ4" s="157"/>
    </row>
    <row r="5" spans="1:44" s="76" customFormat="1" ht="15" customHeight="1" x14ac:dyDescent="0.2">
      <c r="A5" s="119"/>
      <c r="B5" s="1746" t="str">
        <f>"Contacts received in"&amp;X1</f>
        <v>Contacts received in the year ending 31st March</v>
      </c>
      <c r="C5" s="1746"/>
      <c r="D5" s="1746"/>
      <c r="E5" s="1746"/>
      <c r="F5" s="1746"/>
      <c r="G5" s="1746"/>
      <c r="H5" s="1746"/>
      <c r="I5" s="1746"/>
      <c r="J5" s="1746"/>
      <c r="K5" s="1746"/>
      <c r="L5" s="1746"/>
      <c r="M5" s="1746"/>
      <c r="N5" s="1746"/>
      <c r="O5" s="1746"/>
      <c r="P5" s="1746"/>
      <c r="Q5" s="1746"/>
      <c r="R5" s="1746"/>
      <c r="S5" s="1746"/>
      <c r="T5" s="1746"/>
      <c r="U5" s="120"/>
      <c r="V5" s="138"/>
      <c r="W5" s="151"/>
      <c r="X5" s="188"/>
      <c r="Y5" s="188"/>
      <c r="Z5" s="188"/>
      <c r="AA5" s="188"/>
      <c r="AB5" s="188"/>
      <c r="AC5" s="188"/>
      <c r="AD5" s="188"/>
      <c r="AE5" s="188"/>
      <c r="AF5" s="188"/>
      <c r="AG5" s="188"/>
      <c r="AH5" s="188"/>
      <c r="AI5" s="188"/>
      <c r="AJ5" s="158"/>
      <c r="AK5" s="854" t="s">
        <v>675</v>
      </c>
    </row>
    <row r="6" spans="1:44" ht="13.5" customHeight="1" x14ac:dyDescent="0.2">
      <c r="A6" s="118"/>
      <c r="B6" s="1746"/>
      <c r="C6" s="1746"/>
      <c r="D6" s="1746"/>
      <c r="E6" s="1746"/>
      <c r="F6" s="1746"/>
      <c r="G6" s="1746"/>
      <c r="H6" s="1746"/>
      <c r="I6" s="1746"/>
      <c r="J6" s="1746"/>
      <c r="K6" s="1746"/>
      <c r="L6" s="1746"/>
      <c r="M6" s="1746"/>
      <c r="N6" s="1746"/>
      <c r="O6" s="1746"/>
      <c r="P6" s="1746"/>
      <c r="Q6" s="1746"/>
      <c r="R6" s="1746"/>
      <c r="S6" s="1746"/>
      <c r="T6" s="1746"/>
      <c r="U6" s="117"/>
      <c r="V6" s="137"/>
      <c r="W6" s="150"/>
      <c r="Y6" s="190"/>
      <c r="AI6" s="184"/>
      <c r="AJ6" s="157"/>
    </row>
    <row r="7" spans="1:44" s="87" customFormat="1" ht="12.75" customHeight="1" x14ac:dyDescent="0.2">
      <c r="A7" s="121"/>
      <c r="B7" s="1737" t="s">
        <v>205</v>
      </c>
      <c r="C7" s="85"/>
      <c r="D7" s="1757" t="s">
        <v>88</v>
      </c>
      <c r="E7" s="1758"/>
      <c r="F7" s="1758"/>
      <c r="G7" s="1758"/>
      <c r="H7" s="1759"/>
      <c r="I7" s="1752" t="str">
        <f>"Average "&amp;Sheet1!C3&amp;" Change "</f>
        <v xml:space="preserve">Average Annual Change </v>
      </c>
      <c r="J7" s="1753"/>
      <c r="K7" s="96"/>
      <c r="L7" s="1747" t="s">
        <v>89</v>
      </c>
      <c r="M7" s="1748"/>
      <c r="N7" s="1748"/>
      <c r="O7" s="1748"/>
      <c r="P7" s="1748"/>
      <c r="Q7" s="1748"/>
      <c r="R7" s="1749"/>
      <c r="S7" s="70"/>
      <c r="T7" s="1731" t="s">
        <v>1213</v>
      </c>
      <c r="U7" s="122"/>
      <c r="V7" s="139"/>
      <c r="W7" s="152"/>
      <c r="X7" s="202"/>
      <c r="Y7" s="202"/>
      <c r="AA7" s="203" t="s">
        <v>79</v>
      </c>
      <c r="AB7" s="190"/>
      <c r="AC7" s="190"/>
      <c r="AD7" s="199"/>
      <c r="AE7" s="199"/>
      <c r="AF7" s="204" t="s">
        <v>94</v>
      </c>
      <c r="AG7" s="190"/>
      <c r="AH7" s="190"/>
      <c r="AI7" s="202"/>
      <c r="AJ7" s="160"/>
      <c r="AK7" s="575"/>
      <c r="AL7" s="575"/>
      <c r="AM7" s="575"/>
      <c r="AN7" s="575"/>
      <c r="AO7" s="575"/>
    </row>
    <row r="8" spans="1:44" s="87" customFormat="1" ht="12.75" customHeight="1" x14ac:dyDescent="0.2">
      <c r="A8" s="292"/>
      <c r="B8" s="1737"/>
      <c r="C8" s="85"/>
      <c r="D8" s="789" t="str">
        <f>Sheet1!$D$27</f>
        <v>2015-16</v>
      </c>
      <c r="E8" s="790" t="str">
        <f>Sheet1!$E$27</f>
        <v>2016-17</v>
      </c>
      <c r="F8" s="790" t="str">
        <f>Sheet1!$F$27</f>
        <v>2017-18</v>
      </c>
      <c r="G8" s="790" t="str">
        <f>Sheet1!$G$27</f>
        <v>2018-19</v>
      </c>
      <c r="H8" s="843" t="str">
        <f>Sheet1!$H$27</f>
        <v>2019-20</v>
      </c>
      <c r="I8" s="1754"/>
      <c r="J8" s="1755"/>
      <c r="K8" s="96"/>
      <c r="L8" s="820" t="str">
        <f>Sheet1!$D$27</f>
        <v>2015-16</v>
      </c>
      <c r="M8" s="821" t="str">
        <f>Sheet1!$E$27</f>
        <v>2016-17</v>
      </c>
      <c r="N8" s="821" t="str">
        <f>Sheet1!$F$27</f>
        <v>2017-18</v>
      </c>
      <c r="O8" s="821" t="str">
        <f>Sheet1!$G$27</f>
        <v>2018-19</v>
      </c>
      <c r="P8" s="1741" t="str">
        <f>Sheet1!$H$27</f>
        <v>2019-20</v>
      </c>
      <c r="Q8" s="1742"/>
      <c r="R8" s="1744" t="str">
        <f>IF(ISNA(P9),"SE Rank "&amp;P8,"SE Rank "&amp;P9)</f>
        <v>SE Rank 2019-20</v>
      </c>
      <c r="S8" s="70"/>
      <c r="T8" s="1743"/>
      <c r="U8" s="122"/>
      <c r="V8" s="139"/>
      <c r="W8" s="152"/>
      <c r="X8" s="202"/>
      <c r="Y8" s="1735" t="s">
        <v>76</v>
      </c>
      <c r="Z8" s="1735" t="s">
        <v>77</v>
      </c>
      <c r="AA8" s="43" t="str">
        <f>Sheet1!$D$27</f>
        <v>2015-16</v>
      </c>
      <c r="AB8" s="43" t="str">
        <f>Sheet1!$E$27</f>
        <v>2016-17</v>
      </c>
      <c r="AC8" s="43" t="str">
        <f>Sheet1!$F$27</f>
        <v>2017-18</v>
      </c>
      <c r="AD8" s="43" t="str">
        <f>Sheet1!$G$27</f>
        <v>2018-19</v>
      </c>
      <c r="AE8" s="43" t="str">
        <f>Sheet1!$H$27</f>
        <v>2019-20</v>
      </c>
      <c r="AF8" s="204"/>
      <c r="AG8" s="190"/>
      <c r="AH8" s="190"/>
      <c r="AI8" s="202"/>
      <c r="AJ8" s="160"/>
      <c r="AK8" s="845"/>
      <c r="AL8" s="845"/>
      <c r="AM8" s="845"/>
      <c r="AN8" s="845"/>
      <c r="AO8" s="845"/>
    </row>
    <row r="9" spans="1:44" s="87" customFormat="1" ht="12.75" customHeight="1" x14ac:dyDescent="0.2">
      <c r="A9" s="121"/>
      <c r="B9" s="1738"/>
      <c r="C9" s="85"/>
      <c r="D9" s="792" t="e">
        <f>Sheet1!$D$28</f>
        <v>#N/A</v>
      </c>
      <c r="E9" s="792" t="e">
        <f>Sheet1!$E$28</f>
        <v>#N/A</v>
      </c>
      <c r="F9" s="792" t="e">
        <f>Sheet1!$F$28</f>
        <v>#N/A</v>
      </c>
      <c r="G9" s="792" t="e">
        <f>Sheet1!$G$28</f>
        <v>#N/A</v>
      </c>
      <c r="H9" s="842" t="e">
        <f>Sheet1!$H$28</f>
        <v>#N/A</v>
      </c>
      <c r="I9" s="1754"/>
      <c r="J9" s="1756"/>
      <c r="K9" s="96"/>
      <c r="L9" s="792" t="e">
        <f>Sheet1!$D$28</f>
        <v>#N/A</v>
      </c>
      <c r="M9" s="792" t="e">
        <f>Sheet1!$E$28</f>
        <v>#N/A</v>
      </c>
      <c r="N9" s="792" t="e">
        <f>Sheet1!$F$28</f>
        <v>#N/A</v>
      </c>
      <c r="O9" s="792" t="e">
        <f>Sheet1!$G$28</f>
        <v>#N/A</v>
      </c>
      <c r="P9" s="1739" t="e">
        <f>Sheet1!$H$28</f>
        <v>#N/A</v>
      </c>
      <c r="Q9" s="1740"/>
      <c r="R9" s="1745"/>
      <c r="S9" s="70"/>
      <c r="T9" s="1732"/>
      <c r="U9" s="122"/>
      <c r="V9" s="139"/>
      <c r="W9" s="152"/>
      <c r="X9" s="202"/>
      <c r="Y9" s="1736"/>
      <c r="Z9" s="1736"/>
      <c r="AA9" s="43" t="e">
        <f>Sheet1!$D$28</f>
        <v>#N/A</v>
      </c>
      <c r="AB9" s="43" t="e">
        <f>Sheet1!$E$28</f>
        <v>#N/A</v>
      </c>
      <c r="AC9" s="43" t="e">
        <f>Sheet1!$F$28</f>
        <v>#N/A</v>
      </c>
      <c r="AD9" s="43" t="e">
        <f>Sheet1!$G$28</f>
        <v>#N/A</v>
      </c>
      <c r="AE9" s="43" t="e">
        <f>Sheet1!$H$28</f>
        <v>#N/A</v>
      </c>
      <c r="AF9" s="190"/>
      <c r="AG9" s="190">
        <f>COLUMNS(B$4:P$4)</f>
        <v>15</v>
      </c>
      <c r="AH9" s="190"/>
      <c r="AI9" s="202"/>
      <c r="AJ9" s="160"/>
      <c r="AK9" s="847" t="s">
        <v>676</v>
      </c>
      <c r="AL9" s="847" t="s">
        <v>677</v>
      </c>
      <c r="AM9" s="847" t="s">
        <v>678</v>
      </c>
      <c r="AN9" s="847" t="s">
        <v>679</v>
      </c>
      <c r="AO9" s="847" t="s">
        <v>680</v>
      </c>
    </row>
    <row r="10" spans="1:44" s="87" customFormat="1" ht="13.5" customHeight="1" x14ac:dyDescent="0.2">
      <c r="A10" s="488">
        <f>VLOOKUP(B10,Sheet1!$AQ$4:$AR$25,2,FALSE)</f>
        <v>0</v>
      </c>
      <c r="B10" s="93" t="str">
        <f>Sheet1!$K$4</f>
        <v>Bracknell Forest</v>
      </c>
      <c r="C10" s="85"/>
      <c r="D10" s="94" t="str">
        <f>IF(Year1_Bracknell_Forest Year1_Contacts="","",Year1_Bracknell_Forest Year1_Contacts)</f>
        <v/>
      </c>
      <c r="E10" s="94" t="str">
        <f>IF(Year2_Bracknell_Forest Year2_Contacts="","",Year2_Bracknell_Forest Year2_Contacts)</f>
        <v/>
      </c>
      <c r="F10" s="94" t="str">
        <f>IF(Year3_Bracknell_Forest Year3_Contacts="","",Year3_Bracknell_Forest Year3_Contacts)</f>
        <v/>
      </c>
      <c r="G10" s="94" t="str">
        <f>IF(Year4_Bracknell_Forest Year4_Contacts="","",Year4_Bracknell_Forest Year4_Contacts)</f>
        <v/>
      </c>
      <c r="H10" s="95" t="str">
        <f>IF(Year5_Bracknell_Forest Year5_Contacts="","",Year5_Bracknell_Forest Year5_Contacts)</f>
        <v/>
      </c>
      <c r="I10" s="860" t="str">
        <f>AO10</f>
        <v/>
      </c>
      <c r="J10" s="863" t="str">
        <f t="shared" ref="J10:J32" si="0">I10</f>
        <v/>
      </c>
      <c r="K10" s="96"/>
      <c r="L10" s="97" t="e">
        <f>IF(ISNUMBER(D10),D10/Population!D10*10000,NA())</f>
        <v>#N/A</v>
      </c>
      <c r="M10" s="97" t="e">
        <f>IF(ISNUMBER(E10),E10/Population!E10*10000,NA())</f>
        <v>#N/A</v>
      </c>
      <c r="N10" s="97" t="e">
        <f>IF(ISNUMBER(F10),F10/Population!F10*10000,NA())</f>
        <v>#N/A</v>
      </c>
      <c r="O10" s="97" t="e">
        <f>IF(ISNUMBER(G10),G10/Population!G10*10000,NA())</f>
        <v>#N/A</v>
      </c>
      <c r="P10" s="98" t="e">
        <f>IF(ISNUMBER(H10),H10/Population!H10*10000,NA())</f>
        <v>#N/A</v>
      </c>
      <c r="Q10" s="99" t="str">
        <f>IF(ISNUMBER(P10),P10,"")</f>
        <v/>
      </c>
      <c r="R10" s="822" t="e">
        <f t="shared" ref="R10:R32" si="1">IF(ISNA(VLOOKUP(B10,$AF$10:$AH$28,3,FALSE)),"--",IF(ISNUMBER(H10),VLOOKUP(B10,$AF$10:$AH$28,3,FALSE),NA()))</f>
        <v>#N/A</v>
      </c>
      <c r="S10" s="70"/>
      <c r="T10" s="752">
        <f>IDACI!C9</f>
        <v>8.9</v>
      </c>
      <c r="U10" s="122"/>
      <c r="V10" s="139"/>
      <c r="W10" s="152"/>
      <c r="X10" s="72" t="str">
        <f>Sheet1!$K$4</f>
        <v>Bracknell Forest</v>
      </c>
      <c r="Y10" s="44">
        <f>IF(ISNUMBER($H10),IDACI!D9,0)</f>
        <v>0</v>
      </c>
      <c r="Z10" s="44">
        <f>IF(ISNUMBER($H10),IDACI!E9,0)</f>
        <v>0</v>
      </c>
      <c r="AA10" s="205" t="str">
        <f>IF(ISNUMBER(D10),Population!D10,"")</f>
        <v/>
      </c>
      <c r="AB10" s="205" t="str">
        <f>IF(ISNUMBER(E10),Population!E10,"")</f>
        <v/>
      </c>
      <c r="AC10" s="205" t="str">
        <f>IF(ISNUMBER(F10),Population!F10,"")</f>
        <v/>
      </c>
      <c r="AD10" s="205" t="str">
        <f>IF(ISNUMBER(G10),Population!G10,"")</f>
        <v/>
      </c>
      <c r="AE10" s="205" t="str">
        <f>IF(ISNUMBER(H10),Population!H10,"")</f>
        <v/>
      </c>
      <c r="AF10" s="93" t="str">
        <f>Sheet1!$J$4</f>
        <v>Bracknell Forest</v>
      </c>
      <c r="AG10" s="231" t="str">
        <f>IFERROR(VLOOKUP(AF10,$B$10:$P$31,$AG$9,FALSE),"")</f>
        <v/>
      </c>
      <c r="AH10" s="206" t="e">
        <f>RANK(AG10,$AG$10:$AG$28,1)</f>
        <v>#VALUE!</v>
      </c>
      <c r="AI10" s="202"/>
      <c r="AJ10" s="160"/>
      <c r="AK10" s="853" t="str">
        <f>IF(ISERROR((E10-D10)/D10),"x",(E10-D10)/D10)</f>
        <v>x</v>
      </c>
      <c r="AL10" s="853" t="str">
        <f t="shared" ref="AL10:AN25" si="2">IF(ISERROR((F10-E10)/E10),"x",(F10-E10)/E10)</f>
        <v>x</v>
      </c>
      <c r="AM10" s="853" t="str">
        <f t="shared" si="2"/>
        <v>x</v>
      </c>
      <c r="AN10" s="853" t="str">
        <f t="shared" si="2"/>
        <v>x</v>
      </c>
      <c r="AO10" s="853" t="str">
        <f>IF(ISERROR(AVERAGE(AK10:AN10)),"",AVERAGE(AK10:AN10))</f>
        <v/>
      </c>
    </row>
    <row r="11" spans="1:44" s="87" customFormat="1" ht="13.5" customHeight="1" x14ac:dyDescent="0.2">
      <c r="A11" s="488">
        <f>VLOOKUP(B11,Sheet1!$AQ$4:$AR$25,2,FALSE)</f>
        <v>0</v>
      </c>
      <c r="B11" s="93" t="str">
        <f>Sheet1!$K$5</f>
        <v>Brighton &amp; Hove</v>
      </c>
      <c r="C11" s="85"/>
      <c r="D11" s="94" t="str">
        <f>IF(Year1_Brighton_Hove Year1_Contacts="","",Year1_Brighton_Hove Year1_Contacts)</f>
        <v/>
      </c>
      <c r="E11" s="94" t="str">
        <f>IF(Year2_Brighton_Hove Year2_Contacts="","",Year2_Brighton_Hove Year2_Contacts)</f>
        <v/>
      </c>
      <c r="F11" s="94" t="str">
        <f>IF(Year3_Brighton_Hove Year3_Contacts="","",Year3_Brighton_Hove Year3_Contacts)</f>
        <v/>
      </c>
      <c r="G11" s="94" t="str">
        <f>IF(Year4_Brighton_Hove Year4_Contacts="","",Year4_Brighton_Hove Year4_Contacts)</f>
        <v/>
      </c>
      <c r="H11" s="95" t="str">
        <f>IF(Year5_Brighton_Hove Year5_Contacts="","",Year5_Brighton_Hove Year5_Contacts)</f>
        <v/>
      </c>
      <c r="I11" s="861" t="str">
        <f t="shared" ref="I11:I32" si="3">AO11</f>
        <v/>
      </c>
      <c r="J11" s="863" t="str">
        <f t="shared" si="0"/>
        <v/>
      </c>
      <c r="K11" s="96"/>
      <c r="L11" s="97" t="e">
        <f>IF(ISNUMBER(D11),D11/Population!D11*10000,NA())</f>
        <v>#N/A</v>
      </c>
      <c r="M11" s="97" t="e">
        <f>IF(ISNUMBER(E11),E11/Population!E11*10000,NA())</f>
        <v>#N/A</v>
      </c>
      <c r="N11" s="97" t="e">
        <f>IF(ISNUMBER(F11),F11/Population!F11*10000,NA())</f>
        <v>#N/A</v>
      </c>
      <c r="O11" s="97" t="e">
        <f>IF(ISNUMBER(G11),G11/Population!G11*10000,NA())</f>
        <v>#N/A</v>
      </c>
      <c r="P11" s="98" t="e">
        <f>IF(ISNUMBER(H11),H11/Population!H11*10000,NA())</f>
        <v>#N/A</v>
      </c>
      <c r="Q11" s="99" t="str">
        <f t="shared" ref="Q11:Q32" si="4">IF(ISNUMBER(P11),P11,"")</f>
        <v/>
      </c>
      <c r="R11" s="822" t="e">
        <f t="shared" si="1"/>
        <v>#N/A</v>
      </c>
      <c r="S11" s="70"/>
      <c r="T11" s="752">
        <f>IDACI!C10</f>
        <v>15.299999999999999</v>
      </c>
      <c r="U11" s="122"/>
      <c r="V11" s="139"/>
      <c r="W11" s="152"/>
      <c r="X11" s="72" t="str">
        <f>Sheet1!$K$5</f>
        <v>Brighton &amp; Hove</v>
      </c>
      <c r="Y11" s="44">
        <f>IF(ISNUMBER($H11),IDACI!D10,0)</f>
        <v>0</v>
      </c>
      <c r="Z11" s="44">
        <f>IF(ISNUMBER($H11),IDACI!E10,0)</f>
        <v>0</v>
      </c>
      <c r="AA11" s="205" t="str">
        <f>IF(ISNUMBER(D11),Population!D11,"")</f>
        <v/>
      </c>
      <c r="AB11" s="205" t="str">
        <f>IF(ISNUMBER(E11),Population!E11,"")</f>
        <v/>
      </c>
      <c r="AC11" s="205" t="str">
        <f>IF(ISNUMBER(F11),Population!F11,"")</f>
        <v/>
      </c>
      <c r="AD11" s="205" t="str">
        <f>IF(ISNUMBER(G11),Population!G11,"")</f>
        <v/>
      </c>
      <c r="AE11" s="205" t="str">
        <f>IF(ISNUMBER(H11),Population!H11,"")</f>
        <v/>
      </c>
      <c r="AF11" s="93" t="str">
        <f>Sheet1!$J$5</f>
        <v>Brighton &amp; Hove</v>
      </c>
      <c r="AG11" s="231" t="str">
        <f t="shared" ref="AG11:AG28" si="5">IFERROR(VLOOKUP(AF11,$B$10:$P$31,$AG$9,FALSE),"")</f>
        <v/>
      </c>
      <c r="AH11" s="206" t="e">
        <f t="shared" ref="AH11:AH28" si="6">RANK(AG11,$AG$10:$AG$28,1)</f>
        <v>#VALUE!</v>
      </c>
      <c r="AI11" s="202"/>
      <c r="AJ11" s="160"/>
      <c r="AK11" s="853" t="str">
        <f t="shared" ref="AK11:AN31" si="7">IF(ISERROR((E11-D11)/D11),"x",(E11-D11)/D11)</f>
        <v>x</v>
      </c>
      <c r="AL11" s="853" t="str">
        <f t="shared" si="2"/>
        <v>x</v>
      </c>
      <c r="AM11" s="853" t="str">
        <f t="shared" si="2"/>
        <v>x</v>
      </c>
      <c r="AN11" s="853" t="str">
        <f t="shared" si="2"/>
        <v>x</v>
      </c>
      <c r="AO11" s="853" t="str">
        <f t="shared" ref="AO11:AO32" si="8">IF(ISERROR(AVERAGE(AK11:AN11)),"",AVERAGE(AK11:AN11))</f>
        <v/>
      </c>
    </row>
    <row r="12" spans="1:44" s="87" customFormat="1" ht="13.5" customHeight="1" x14ac:dyDescent="0.2">
      <c r="A12" s="488">
        <f>VLOOKUP(B12,Sheet1!$AQ$4:$AR$25,2,FALSE)</f>
        <v>0</v>
      </c>
      <c r="B12" s="93" t="str">
        <f>Sheet1!$K$6</f>
        <v>Buckinghamshire</v>
      </c>
      <c r="C12" s="85"/>
      <c r="D12" s="94" t="str">
        <f>IF(Year1_Buckinghamshire Year1_Contacts="","",Year1_Buckinghamshire Year1_Contacts)</f>
        <v/>
      </c>
      <c r="E12" s="94" t="str">
        <f>IF(Year2_Buckinghamshire Year2_Contacts="","",Year2_Buckinghamshire Year2_Contacts)</f>
        <v/>
      </c>
      <c r="F12" s="94" t="str">
        <f>IF(Year3_Buckinghamshire Year3_Contacts="","",Year3_Buckinghamshire Year3_Contacts)</f>
        <v/>
      </c>
      <c r="G12" s="94" t="str">
        <f>IF(Year4_Buckinghamshire Year4_Contacts="","",Year4_Buckinghamshire Year4_Contacts)</f>
        <v/>
      </c>
      <c r="H12" s="95" t="str">
        <f>IF(Year5_Buckinghamshire Year5_Contacts="","",Year5_Buckinghamshire Year5_Contacts)</f>
        <v/>
      </c>
      <c r="I12" s="861" t="str">
        <f t="shared" si="3"/>
        <v/>
      </c>
      <c r="J12" s="863" t="str">
        <f t="shared" si="0"/>
        <v/>
      </c>
      <c r="K12" s="96"/>
      <c r="L12" s="97" t="e">
        <f>IF(ISNUMBER(D12),D12/Population!D12*10000,NA())</f>
        <v>#N/A</v>
      </c>
      <c r="M12" s="97" t="e">
        <f>IF(ISNUMBER(E12),E12/Population!E12*10000,NA())</f>
        <v>#N/A</v>
      </c>
      <c r="N12" s="97" t="e">
        <f>IF(ISNUMBER(F12),F12/Population!F12*10000,NA())</f>
        <v>#N/A</v>
      </c>
      <c r="O12" s="97" t="e">
        <f>IF(ISNUMBER(G12),G12/Population!G12*10000,NA())</f>
        <v>#N/A</v>
      </c>
      <c r="P12" s="98" t="e">
        <f>IF(ISNUMBER(H12),H12/Population!H12*10000,NA())</f>
        <v>#N/A</v>
      </c>
      <c r="Q12" s="99" t="str">
        <f t="shared" si="4"/>
        <v/>
      </c>
      <c r="R12" s="822" t="e">
        <f t="shared" si="1"/>
        <v>#N/A</v>
      </c>
      <c r="S12" s="70"/>
      <c r="T12" s="752">
        <f>IDACI!C11</f>
        <v>8.5</v>
      </c>
      <c r="U12" s="122"/>
      <c r="V12" s="139"/>
      <c r="W12" s="152"/>
      <c r="X12" s="72" t="str">
        <f>Sheet1!$K$6</f>
        <v>Buckinghamshire</v>
      </c>
      <c r="Y12" s="44">
        <f>IF(ISNUMBER($H12),IDACI!D11,0)</f>
        <v>0</v>
      </c>
      <c r="Z12" s="44">
        <f>IF(ISNUMBER($H12),IDACI!E11,0)</f>
        <v>0</v>
      </c>
      <c r="AA12" s="205" t="str">
        <f>IF(ISNUMBER(D12),Population!D12,"")</f>
        <v/>
      </c>
      <c r="AB12" s="205" t="str">
        <f>IF(ISNUMBER(E12),Population!E12,"")</f>
        <v/>
      </c>
      <c r="AC12" s="205" t="str">
        <f>IF(ISNUMBER(F12),Population!F12,"")</f>
        <v/>
      </c>
      <c r="AD12" s="205" t="str">
        <f>IF(ISNUMBER(G12),Population!G12,"")</f>
        <v/>
      </c>
      <c r="AE12" s="205" t="str">
        <f>IF(ISNUMBER(H12),Population!H12,"")</f>
        <v/>
      </c>
      <c r="AF12" s="93" t="str">
        <f>Sheet1!$J$6</f>
        <v>Buckinghamshire</v>
      </c>
      <c r="AG12" s="231" t="str">
        <f t="shared" si="5"/>
        <v/>
      </c>
      <c r="AH12" s="206" t="e">
        <f t="shared" si="6"/>
        <v>#VALUE!</v>
      </c>
      <c r="AI12" s="202"/>
      <c r="AJ12" s="160"/>
      <c r="AK12" s="853" t="str">
        <f t="shared" si="7"/>
        <v>x</v>
      </c>
      <c r="AL12" s="853" t="str">
        <f t="shared" si="2"/>
        <v>x</v>
      </c>
      <c r="AM12" s="853" t="str">
        <f t="shared" si="2"/>
        <v>x</v>
      </c>
      <c r="AN12" s="853" t="str">
        <f t="shared" si="2"/>
        <v>x</v>
      </c>
      <c r="AO12" s="853" t="str">
        <f t="shared" si="8"/>
        <v/>
      </c>
    </row>
    <row r="13" spans="1:44" s="87" customFormat="1" ht="13.5" customHeight="1" x14ac:dyDescent="0.2">
      <c r="A13" s="488">
        <f>VLOOKUP(B13,Sheet1!$AQ$4:$AR$25,2,FALSE)</f>
        <v>0</v>
      </c>
      <c r="B13" s="93" t="str">
        <f>Sheet1!$K$7</f>
        <v>East Sussex</v>
      </c>
      <c r="C13" s="85"/>
      <c r="D13" s="94" t="str">
        <f>IF(Year1_East_Sussex Year1_Contacts="","",Year1_East_Sussex Year1_Contacts)</f>
        <v/>
      </c>
      <c r="E13" s="100" t="str">
        <f>IF(Year2_East_Sussex Year2_Contacts="","",Year2_East_Sussex Year2_Contacts)</f>
        <v/>
      </c>
      <c r="F13" s="94" t="str">
        <f>IF(Year3_East_Sussex Year3_Contacts="","",Year3_East_Sussex Year3_Contacts)</f>
        <v/>
      </c>
      <c r="G13" s="94" t="str">
        <f>IF(Year4_East_Sussex Year4_Contacts="","",Year4_East_Sussex Year4_Contacts)</f>
        <v/>
      </c>
      <c r="H13" s="95" t="str">
        <f>IF(Year5_East_Sussex Year5_Contacts="","",Year5_East_Sussex Year5_Contacts)</f>
        <v/>
      </c>
      <c r="I13" s="861" t="str">
        <f t="shared" si="3"/>
        <v/>
      </c>
      <c r="J13" s="863" t="str">
        <f t="shared" si="0"/>
        <v/>
      </c>
      <c r="K13" s="96"/>
      <c r="L13" s="97" t="e">
        <f>IF(ISNUMBER(D13),D13/Population!D13*10000,NA())</f>
        <v>#N/A</v>
      </c>
      <c r="M13" s="97" t="e">
        <f>IF(ISNUMBER(E13),E13/Population!E13*10000,NA())</f>
        <v>#N/A</v>
      </c>
      <c r="N13" s="97" t="e">
        <f>IF(ISNUMBER(F13),F13/Population!F13*10000,NA())</f>
        <v>#N/A</v>
      </c>
      <c r="O13" s="97" t="e">
        <f>IF(ISNUMBER(G13),G13/Population!G13*10000,NA())</f>
        <v>#N/A</v>
      </c>
      <c r="P13" s="98" t="e">
        <f>IF(ISNUMBER(H13),H13/Population!H13*10000,NA())</f>
        <v>#N/A</v>
      </c>
      <c r="Q13" s="99" t="str">
        <f t="shared" si="4"/>
        <v/>
      </c>
      <c r="R13" s="822" t="e">
        <f t="shared" si="1"/>
        <v>#N/A</v>
      </c>
      <c r="S13" s="70"/>
      <c r="T13" s="752">
        <f>IDACI!C12</f>
        <v>16.100000000000001</v>
      </c>
      <c r="U13" s="122"/>
      <c r="V13" s="139"/>
      <c r="W13" s="152"/>
      <c r="X13" s="72" t="str">
        <f>Sheet1!$K$7</f>
        <v>East Sussex</v>
      </c>
      <c r="Y13" s="44">
        <f>IF(ISNUMBER($H13),IDACI!D12,0)</f>
        <v>0</v>
      </c>
      <c r="Z13" s="44">
        <f>IF(ISNUMBER($H13),IDACI!E12,0)</f>
        <v>0</v>
      </c>
      <c r="AA13" s="205" t="str">
        <f>IF(ISNUMBER(D13),Population!D13,"")</f>
        <v/>
      </c>
      <c r="AB13" s="205" t="str">
        <f>IF(ISNUMBER(E13),Population!E13,"")</f>
        <v/>
      </c>
      <c r="AC13" s="205" t="str">
        <f>IF(ISNUMBER(F13),Population!F13,"")</f>
        <v/>
      </c>
      <c r="AD13" s="205" t="str">
        <f>IF(ISNUMBER(G13),Population!G13,"")</f>
        <v/>
      </c>
      <c r="AE13" s="205" t="str">
        <f>IF(ISNUMBER(H13),Population!H13,"")</f>
        <v/>
      </c>
      <c r="AF13" s="93" t="str">
        <f>Sheet1!$J$7</f>
        <v>East Sussex</v>
      </c>
      <c r="AG13" s="231" t="str">
        <f t="shared" si="5"/>
        <v/>
      </c>
      <c r="AH13" s="206" t="e">
        <f t="shared" si="6"/>
        <v>#VALUE!</v>
      </c>
      <c r="AI13" s="202"/>
      <c r="AJ13" s="160"/>
      <c r="AK13" s="853" t="str">
        <f t="shared" si="7"/>
        <v>x</v>
      </c>
      <c r="AL13" s="853" t="str">
        <f t="shared" si="2"/>
        <v>x</v>
      </c>
      <c r="AM13" s="853" t="str">
        <f t="shared" si="2"/>
        <v>x</v>
      </c>
      <c r="AN13" s="853" t="str">
        <f t="shared" si="2"/>
        <v>x</v>
      </c>
      <c r="AO13" s="853" t="str">
        <f t="shared" si="8"/>
        <v/>
      </c>
    </row>
    <row r="14" spans="1:44" s="87" customFormat="1" ht="13.5" customHeight="1" x14ac:dyDescent="0.2">
      <c r="A14" s="488">
        <f>VLOOKUP(B14,Sheet1!$AQ$4:$AR$25,2,FALSE)</f>
        <v>0</v>
      </c>
      <c r="B14" s="93" t="str">
        <f>Sheet1!$K$8</f>
        <v>Hampshire</v>
      </c>
      <c r="C14" s="85"/>
      <c r="D14" s="94" t="str">
        <f>IF(Year1_Hampshire Year1_Contacts="","",Year1_Hampshire Year1_Contacts)</f>
        <v/>
      </c>
      <c r="E14" s="94" t="str">
        <f>IF(Year2_Hampshire Year2_Contacts="","",Year2_Hampshire Year2_Contacts)</f>
        <v/>
      </c>
      <c r="F14" s="101" t="str">
        <f>IF(Year3_Hampshire Year3_Contacts="","",Year3_Hampshire Year3_Contacts)</f>
        <v/>
      </c>
      <c r="G14" s="101" t="str">
        <f>IF(Year4_Hampshire Year4_Contacts="","",Year4_Hampshire Year4_Contacts)</f>
        <v/>
      </c>
      <c r="H14" s="95" t="str">
        <f>IF(Year5_Hampshire Year5_Contacts="","",Year5_Hampshire Year5_Contacts)</f>
        <v/>
      </c>
      <c r="I14" s="861" t="str">
        <f t="shared" si="3"/>
        <v/>
      </c>
      <c r="J14" s="863" t="str">
        <f t="shared" si="0"/>
        <v/>
      </c>
      <c r="K14" s="96"/>
      <c r="L14" s="97" t="e">
        <f>IF(ISNUMBER(D14),D14/Population!D14*10000,NA())</f>
        <v>#N/A</v>
      </c>
      <c r="M14" s="97" t="e">
        <f>IF(ISNUMBER(E14),E14/Population!E14*10000,NA())</f>
        <v>#N/A</v>
      </c>
      <c r="N14" s="97" t="e">
        <f>IF(ISNUMBER(F14),F14/Population!F14*10000,NA())</f>
        <v>#N/A</v>
      </c>
      <c r="O14" s="97" t="e">
        <f>IF(ISNUMBER(G14),G14/Population!G14*10000,NA())</f>
        <v>#N/A</v>
      </c>
      <c r="P14" s="98" t="e">
        <f>IF(ISNUMBER(H14),H14/Population!H14*10000,NA())</f>
        <v>#N/A</v>
      </c>
      <c r="Q14" s="99" t="str">
        <f t="shared" si="4"/>
        <v/>
      </c>
      <c r="R14" s="822" t="e">
        <f t="shared" si="1"/>
        <v>#N/A</v>
      </c>
      <c r="S14" s="70"/>
      <c r="T14" s="752">
        <f>IDACI!C13</f>
        <v>10.100000000000001</v>
      </c>
      <c r="U14" s="122"/>
      <c r="V14" s="139"/>
      <c r="W14" s="152"/>
      <c r="X14" s="72" t="str">
        <f>Sheet1!$K$8</f>
        <v>Hampshire</v>
      </c>
      <c r="Y14" s="44">
        <f>IF(ISNUMBER($H14),IDACI!D13,0)</f>
        <v>0</v>
      </c>
      <c r="Z14" s="44">
        <f>IF(ISNUMBER($H14),IDACI!E13,0)</f>
        <v>0</v>
      </c>
      <c r="AA14" s="205" t="str">
        <f>IF(ISNUMBER(D14),Population!D14,"")</f>
        <v/>
      </c>
      <c r="AB14" s="205" t="str">
        <f>IF(ISNUMBER(E14),Population!E14,"")</f>
        <v/>
      </c>
      <c r="AC14" s="205" t="str">
        <f>IF(ISNUMBER(F14),Population!F14,"")</f>
        <v/>
      </c>
      <c r="AD14" s="205" t="str">
        <f>IF(ISNUMBER(G14),Population!G14,"")</f>
        <v/>
      </c>
      <c r="AE14" s="205" t="str">
        <f>IF(ISNUMBER(H14),Population!H14,"")</f>
        <v/>
      </c>
      <c r="AF14" s="93" t="str">
        <f>Sheet1!$J$8</f>
        <v>Hampshire</v>
      </c>
      <c r="AG14" s="231" t="str">
        <f t="shared" si="5"/>
        <v/>
      </c>
      <c r="AH14" s="206" t="e">
        <f t="shared" si="6"/>
        <v>#VALUE!</v>
      </c>
      <c r="AI14" s="202"/>
      <c r="AJ14" s="160"/>
      <c r="AK14" s="853" t="str">
        <f t="shared" si="7"/>
        <v>x</v>
      </c>
      <c r="AL14" s="853" t="str">
        <f t="shared" si="2"/>
        <v>x</v>
      </c>
      <c r="AM14" s="853" t="str">
        <f t="shared" si="2"/>
        <v>x</v>
      </c>
      <c r="AN14" s="853" t="str">
        <f t="shared" si="2"/>
        <v>x</v>
      </c>
      <c r="AO14" s="853" t="str">
        <f t="shared" si="8"/>
        <v/>
      </c>
    </row>
    <row r="15" spans="1:44" s="87" customFormat="1" ht="13.5" customHeight="1" x14ac:dyDescent="0.2">
      <c r="A15" s="488">
        <f>VLOOKUP(B15,Sheet1!$AQ$4:$AR$25,2,FALSE)</f>
        <v>0</v>
      </c>
      <c r="B15" s="93" t="str">
        <f>Sheet1!$K$9</f>
        <v>Isle of Wight</v>
      </c>
      <c r="C15" s="85"/>
      <c r="D15" s="94" t="str">
        <f>IF(Year1_Isle_of_Wight Year1_Contacts="","",Year1_Isle_of_Wight Year1_Contacts)</f>
        <v/>
      </c>
      <c r="E15" s="94" t="str">
        <f>IF(Year2_Isle_of_Wight Year2_Contacts="","",Year2_Isle_of_Wight Year2_Contacts)</f>
        <v/>
      </c>
      <c r="F15" s="94" t="str">
        <f>IF(Year3_Isle_of_Wight Year3_Contacts="","",Year3_Isle_of_Wight Year3_Contacts)</f>
        <v/>
      </c>
      <c r="G15" s="94" t="str">
        <f>IF(Year4_Isle_of_Wight Year4_Contacts="","",Year4_Isle_of_Wight Year4_Contacts)</f>
        <v/>
      </c>
      <c r="H15" s="95" t="str">
        <f>IF(Year5_Isle_of_Wight Year5_Contacts="","",Year5_Isle_of_Wight Year5_Contacts)</f>
        <v/>
      </c>
      <c r="I15" s="861" t="str">
        <f t="shared" si="3"/>
        <v/>
      </c>
      <c r="J15" s="863" t="str">
        <f t="shared" si="0"/>
        <v/>
      </c>
      <c r="K15" s="96"/>
      <c r="L15" s="97" t="e">
        <f>IF(ISNUMBER(D15),D15/Population!D15*10000,NA())</f>
        <v>#N/A</v>
      </c>
      <c r="M15" s="97" t="e">
        <f>IF(ISNUMBER(E15),E15/Population!E15*10000,NA())</f>
        <v>#N/A</v>
      </c>
      <c r="N15" s="97" t="e">
        <f>IF(ISNUMBER(F15),F15/Population!F15*10000,NA())</f>
        <v>#N/A</v>
      </c>
      <c r="O15" s="97" t="e">
        <f>IF(ISNUMBER(G15),G15/Population!G15*10000,NA())</f>
        <v>#N/A</v>
      </c>
      <c r="P15" s="98" t="e">
        <f>IF(ISNUMBER(H15),H15/Population!H15*10000,NA())</f>
        <v>#N/A</v>
      </c>
      <c r="Q15" s="99" t="str">
        <f t="shared" si="4"/>
        <v/>
      </c>
      <c r="R15" s="822" t="e">
        <f t="shared" si="1"/>
        <v>#N/A</v>
      </c>
      <c r="S15" s="70"/>
      <c r="T15" s="752">
        <f>IDACI!C14</f>
        <v>18</v>
      </c>
      <c r="U15" s="122"/>
      <c r="V15" s="139"/>
      <c r="W15" s="152"/>
      <c r="X15" s="72" t="str">
        <f>Sheet1!$K$9</f>
        <v>Isle of Wight</v>
      </c>
      <c r="Y15" s="44">
        <f>IF(ISNUMBER($H15),IDACI!D14,0)</f>
        <v>0</v>
      </c>
      <c r="Z15" s="44">
        <f>IF(ISNUMBER($H15),IDACI!E14,0)</f>
        <v>0</v>
      </c>
      <c r="AA15" s="205" t="str">
        <f>IF(ISNUMBER(D15),Population!D15,"")</f>
        <v/>
      </c>
      <c r="AB15" s="205" t="str">
        <f>IF(ISNUMBER(E15),Population!E15,"")</f>
        <v/>
      </c>
      <c r="AC15" s="205" t="str">
        <f>IF(ISNUMBER(F15),Population!F15,"")</f>
        <v/>
      </c>
      <c r="AD15" s="205" t="str">
        <f>IF(ISNUMBER(G15),Population!G15,"")</f>
        <v/>
      </c>
      <c r="AE15" s="205" t="str">
        <f>IF(ISNUMBER(H15),Population!H15,"")</f>
        <v/>
      </c>
      <c r="AF15" s="93" t="str">
        <f>Sheet1!$J$9</f>
        <v>Isle of Wight</v>
      </c>
      <c r="AG15" s="231" t="str">
        <f t="shared" si="5"/>
        <v/>
      </c>
      <c r="AH15" s="206" t="e">
        <f t="shared" si="6"/>
        <v>#VALUE!</v>
      </c>
      <c r="AI15" s="202"/>
      <c r="AJ15" s="160"/>
      <c r="AK15" s="853" t="str">
        <f t="shared" si="7"/>
        <v>x</v>
      </c>
      <c r="AL15" s="853" t="str">
        <f t="shared" si="2"/>
        <v>x</v>
      </c>
      <c r="AM15" s="853" t="str">
        <f t="shared" si="2"/>
        <v>x</v>
      </c>
      <c r="AN15" s="853" t="str">
        <f t="shared" si="2"/>
        <v>x</v>
      </c>
      <c r="AO15" s="853" t="str">
        <f t="shared" si="8"/>
        <v/>
      </c>
      <c r="AR15" s="87" t="s">
        <v>102</v>
      </c>
    </row>
    <row r="16" spans="1:44" s="87" customFormat="1" ht="13.5" customHeight="1" x14ac:dyDescent="0.2">
      <c r="A16" s="488">
        <f>VLOOKUP(B16,Sheet1!$AQ$4:$AR$25,2,FALSE)</f>
        <v>0</v>
      </c>
      <c r="B16" s="93" t="str">
        <f>Sheet1!$K$10</f>
        <v>Kent</v>
      </c>
      <c r="C16" s="85"/>
      <c r="D16" s="94" t="str">
        <f>IF(Year1_Kent Year1_Contacts="","",Year1_Kent Year1_Contacts)</f>
        <v/>
      </c>
      <c r="E16" s="94" t="str">
        <f>IF(Year2_Kent Year2_Contacts="","",Year2_Kent Year2_Contacts)</f>
        <v/>
      </c>
      <c r="F16" s="94" t="str">
        <f>IF(Year3_Kent Year3_Contacts="","",Year3_Kent Year3_Contacts)</f>
        <v/>
      </c>
      <c r="G16" s="94" t="str">
        <f>IF(Year4_Kent Year4_Contacts="","",Year4_Kent Year4_Contacts)</f>
        <v/>
      </c>
      <c r="H16" s="95" t="str">
        <f>IF(Year5_Kent Year5_Contacts="","",Year5_Kent Year5_Contacts)</f>
        <v/>
      </c>
      <c r="I16" s="861" t="str">
        <f t="shared" si="3"/>
        <v/>
      </c>
      <c r="J16" s="863" t="str">
        <f t="shared" si="0"/>
        <v/>
      </c>
      <c r="K16" s="96"/>
      <c r="L16" s="97" t="e">
        <f>IF(ISNUMBER(D16),D16/Population!D16*10000,NA())</f>
        <v>#N/A</v>
      </c>
      <c r="M16" s="97" t="e">
        <f>IF(ISNUMBER(E16),E16/Population!E16*10000,NA())</f>
        <v>#N/A</v>
      </c>
      <c r="N16" s="97" t="e">
        <f>IF(ISNUMBER(F16),F16/Population!F16*10000,NA())</f>
        <v>#N/A</v>
      </c>
      <c r="O16" s="97" t="e">
        <f>IF(ISNUMBER(G16),G16/Population!G16*10000,NA())</f>
        <v>#N/A</v>
      </c>
      <c r="P16" s="98" t="e">
        <f>IF(ISNUMBER(H16),H16/Population!H16*10000,NA())</f>
        <v>#N/A</v>
      </c>
      <c r="Q16" s="99" t="str">
        <f t="shared" si="4"/>
        <v/>
      </c>
      <c r="R16" s="822" t="e">
        <f t="shared" si="1"/>
        <v>#N/A</v>
      </c>
      <c r="S16" s="70"/>
      <c r="T16" s="752">
        <f>IDACI!C15</f>
        <v>15.8</v>
      </c>
      <c r="U16" s="122"/>
      <c r="V16" s="139"/>
      <c r="W16" s="152"/>
      <c r="X16" s="72" t="str">
        <f>Sheet1!$K$10</f>
        <v>Kent</v>
      </c>
      <c r="Y16" s="44">
        <f>IF(ISNUMBER($H16),IDACI!D15,0)</f>
        <v>0</v>
      </c>
      <c r="Z16" s="44">
        <f>IF(ISNUMBER($H16),IDACI!E15,0)</f>
        <v>0</v>
      </c>
      <c r="AA16" s="205" t="str">
        <f>IF(ISNUMBER(D16),Population!D16,"")</f>
        <v/>
      </c>
      <c r="AB16" s="205" t="str">
        <f>IF(ISNUMBER(E16),Population!E16,"")</f>
        <v/>
      </c>
      <c r="AC16" s="205" t="str">
        <f>IF(ISNUMBER(F16),Population!F16,"")</f>
        <v/>
      </c>
      <c r="AD16" s="205" t="str">
        <f>IF(ISNUMBER(G16),Population!G16,"")</f>
        <v/>
      </c>
      <c r="AE16" s="205" t="str">
        <f>IF(ISNUMBER(H16),Population!H16,"")</f>
        <v/>
      </c>
      <c r="AF16" s="93" t="str">
        <f>Sheet1!$J$10</f>
        <v>Kent</v>
      </c>
      <c r="AG16" s="231" t="str">
        <f t="shared" si="5"/>
        <v/>
      </c>
      <c r="AH16" s="206" t="e">
        <f t="shared" si="6"/>
        <v>#VALUE!</v>
      </c>
      <c r="AI16" s="202"/>
      <c r="AJ16" s="160"/>
      <c r="AK16" s="853" t="str">
        <f t="shared" si="7"/>
        <v>x</v>
      </c>
      <c r="AL16" s="853" t="str">
        <f t="shared" si="2"/>
        <v>x</v>
      </c>
      <c r="AM16" s="853" t="str">
        <f t="shared" si="2"/>
        <v>x</v>
      </c>
      <c r="AN16" s="853" t="str">
        <f t="shared" si="2"/>
        <v>x</v>
      </c>
      <c r="AO16" s="853" t="str">
        <f t="shared" si="8"/>
        <v/>
      </c>
    </row>
    <row r="17" spans="1:41" s="87" customFormat="1" ht="13.5" customHeight="1" x14ac:dyDescent="0.2">
      <c r="A17" s="488">
        <f>VLOOKUP(B17,Sheet1!$AQ$4:$AR$25,2,FALSE)</f>
        <v>0</v>
      </c>
      <c r="B17" s="93" t="str">
        <f>Sheet1!$K$11</f>
        <v>Medway</v>
      </c>
      <c r="C17" s="85"/>
      <c r="D17" s="94" t="str">
        <f>IF(Year1_Medway Year1_Contacts="","",Year1_Medway Year1_Contacts)</f>
        <v/>
      </c>
      <c r="E17" s="94" t="str">
        <f>IF(Year2_Medway Year2_Contacts="","",Year2_Medway Year2_Contacts)</f>
        <v/>
      </c>
      <c r="F17" s="94" t="str">
        <f>IF(Year3_Medway Year3_Contacts="","",Year3_Medway Year3_Contacts)</f>
        <v/>
      </c>
      <c r="G17" s="94" t="str">
        <f>IF(Year4_Medway Year4_Contacts="","",Year4_Medway Year4_Contacts)</f>
        <v/>
      </c>
      <c r="H17" s="95" t="str">
        <f>IF(Year5_Medway Year5_Contacts="","",Year5_Medway Year5_Contacts)</f>
        <v/>
      </c>
      <c r="I17" s="861" t="str">
        <f t="shared" si="3"/>
        <v/>
      </c>
      <c r="J17" s="863" t="str">
        <f t="shared" si="0"/>
        <v/>
      </c>
      <c r="K17" s="96"/>
      <c r="L17" s="97" t="e">
        <f>IF(ISNUMBER(D17),D17/Population!D17*10000,NA())</f>
        <v>#N/A</v>
      </c>
      <c r="M17" s="97" t="e">
        <f>IF(ISNUMBER(E17),E17/Population!E17*10000,NA())</f>
        <v>#N/A</v>
      </c>
      <c r="N17" s="97" t="e">
        <f>IF(ISNUMBER(F17),F17/Population!F17*10000,NA())</f>
        <v>#N/A</v>
      </c>
      <c r="O17" s="97" t="e">
        <f>IF(ISNUMBER(G17),G17/Population!G17*10000,NA())</f>
        <v>#N/A</v>
      </c>
      <c r="P17" s="98" t="e">
        <f>IF(ISNUMBER(H17),H17/Population!H17*10000,NA())</f>
        <v>#N/A</v>
      </c>
      <c r="Q17" s="99" t="str">
        <f t="shared" si="4"/>
        <v/>
      </c>
      <c r="R17" s="822" t="e">
        <f t="shared" si="1"/>
        <v>#N/A</v>
      </c>
      <c r="S17" s="70"/>
      <c r="T17" s="752">
        <f>IDACI!C16</f>
        <v>18.899999999999999</v>
      </c>
      <c r="U17" s="122"/>
      <c r="V17" s="139"/>
      <c r="W17" s="152"/>
      <c r="X17" s="72" t="str">
        <f>Sheet1!$K$11</f>
        <v>Medway</v>
      </c>
      <c r="Y17" s="44">
        <f>IF(ISNUMBER($H17),IDACI!D16,0)</f>
        <v>0</v>
      </c>
      <c r="Z17" s="44">
        <f>IF(ISNUMBER($H17),IDACI!E16,0)</f>
        <v>0</v>
      </c>
      <c r="AA17" s="205" t="str">
        <f>IF(ISNUMBER(D17),Population!D17,"")</f>
        <v/>
      </c>
      <c r="AB17" s="205" t="str">
        <f>IF(ISNUMBER(E17),Population!E17,"")</f>
        <v/>
      </c>
      <c r="AC17" s="205" t="str">
        <f>IF(ISNUMBER(F17),Population!F17,"")</f>
        <v/>
      </c>
      <c r="AD17" s="205" t="str">
        <f>IF(ISNUMBER(G17),Population!G17,"")</f>
        <v/>
      </c>
      <c r="AE17" s="205" t="str">
        <f>IF(ISNUMBER(H17),Population!H17,"")</f>
        <v/>
      </c>
      <c r="AF17" s="93" t="str">
        <f>Sheet1!$J$11</f>
        <v>Medway</v>
      </c>
      <c r="AG17" s="231" t="str">
        <f t="shared" si="5"/>
        <v/>
      </c>
      <c r="AH17" s="206" t="e">
        <f t="shared" si="6"/>
        <v>#VALUE!</v>
      </c>
      <c r="AI17" s="202"/>
      <c r="AJ17" s="160"/>
      <c r="AK17" s="853" t="str">
        <f t="shared" si="7"/>
        <v>x</v>
      </c>
      <c r="AL17" s="853" t="str">
        <f t="shared" si="2"/>
        <v>x</v>
      </c>
      <c r="AM17" s="853" t="str">
        <f t="shared" si="2"/>
        <v>x</v>
      </c>
      <c r="AN17" s="853" t="str">
        <f t="shared" si="2"/>
        <v>x</v>
      </c>
      <c r="AO17" s="853" t="str">
        <f t="shared" si="8"/>
        <v/>
      </c>
    </row>
    <row r="18" spans="1:41" s="87" customFormat="1" ht="13.5" customHeight="1" x14ac:dyDescent="0.2">
      <c r="A18" s="488">
        <f>VLOOKUP(B18,Sheet1!$AQ$4:$AR$25,2,FALSE)</f>
        <v>0</v>
      </c>
      <c r="B18" s="93" t="str">
        <f>Sheet1!$K$12</f>
        <v>Milton Keynes</v>
      </c>
      <c r="C18" s="85"/>
      <c r="D18" s="94" t="str">
        <f>IF(Year1_Milton_Keynes Year1_Contacts="","",Year1_Milton_Keynes Year1_Contacts)</f>
        <v/>
      </c>
      <c r="E18" s="94" t="str">
        <f>IF(Year2_Milton_Keynes Year2_Contacts="","",Year2_Milton_Keynes Year2_Contacts)</f>
        <v/>
      </c>
      <c r="F18" s="94" t="str">
        <f>IF(Year3_Milton_Keynes Year3_Contacts="","",Year3_Milton_Keynes Year3_Contacts)</f>
        <v/>
      </c>
      <c r="G18" s="94" t="str">
        <f>IF(Year4_Milton_Keynes Year4_Contacts="","",Year4_Milton_Keynes Year4_Contacts)</f>
        <v/>
      </c>
      <c r="H18" s="95" t="str">
        <f>IF(Year5_Milton_Keynes Year5_Contacts="","",Year5_Milton_Keynes Year5_Contacts)</f>
        <v/>
      </c>
      <c r="I18" s="861" t="str">
        <f t="shared" si="3"/>
        <v/>
      </c>
      <c r="J18" s="863" t="str">
        <f t="shared" si="0"/>
        <v/>
      </c>
      <c r="K18" s="96"/>
      <c r="L18" s="97" t="e">
        <f>IF(ISNUMBER(D18),D18/Population!D18*10000,NA())</f>
        <v>#N/A</v>
      </c>
      <c r="M18" s="97" t="e">
        <f>IF(ISNUMBER(E18),E18/Population!E18*10000,NA())</f>
        <v>#N/A</v>
      </c>
      <c r="N18" s="97" t="e">
        <f>IF(ISNUMBER(F18),F18/Population!F18*10000,NA())</f>
        <v>#N/A</v>
      </c>
      <c r="O18" s="97" t="e">
        <f>IF(ISNUMBER(G18),G18/Population!G18*10000,NA())</f>
        <v>#N/A</v>
      </c>
      <c r="P18" s="98" t="e">
        <f>IF(ISNUMBER(H18),H18/Population!H18*10000,NA())</f>
        <v>#N/A</v>
      </c>
      <c r="Q18" s="99" t="str">
        <f t="shared" si="4"/>
        <v/>
      </c>
      <c r="R18" s="822" t="e">
        <f t="shared" si="1"/>
        <v>#N/A</v>
      </c>
      <c r="S18" s="70"/>
      <c r="T18" s="752">
        <f>IDACI!C17</f>
        <v>15</v>
      </c>
      <c r="U18" s="122"/>
      <c r="V18" s="139"/>
      <c r="W18" s="152"/>
      <c r="X18" s="72" t="str">
        <f>Sheet1!$K$12</f>
        <v>Milton Keynes</v>
      </c>
      <c r="Y18" s="44">
        <f>IF(ISNUMBER($H18),IDACI!D17,0)</f>
        <v>0</v>
      </c>
      <c r="Z18" s="44">
        <f>IF(ISNUMBER($H18),IDACI!E17,0)</f>
        <v>0</v>
      </c>
      <c r="AA18" s="205" t="str">
        <f>IF(ISNUMBER(D18),Population!D18,"")</f>
        <v/>
      </c>
      <c r="AB18" s="205" t="str">
        <f>IF(ISNUMBER(E18),Population!E18,"")</f>
        <v/>
      </c>
      <c r="AC18" s="205" t="str">
        <f>IF(ISNUMBER(F18),Population!F18,"")</f>
        <v/>
      </c>
      <c r="AD18" s="205" t="str">
        <f>IF(ISNUMBER(G18),Population!G18,"")</f>
        <v/>
      </c>
      <c r="AE18" s="205" t="str">
        <f>IF(ISNUMBER(H18),Population!H18,"")</f>
        <v/>
      </c>
      <c r="AF18" s="93" t="str">
        <f>Sheet1!$J$12</f>
        <v>Milton Keynes</v>
      </c>
      <c r="AG18" s="231" t="str">
        <f t="shared" si="5"/>
        <v/>
      </c>
      <c r="AH18" s="206" t="e">
        <f t="shared" si="6"/>
        <v>#VALUE!</v>
      </c>
      <c r="AI18" s="202"/>
      <c r="AJ18" s="160"/>
      <c r="AK18" s="853" t="str">
        <f t="shared" si="7"/>
        <v>x</v>
      </c>
      <c r="AL18" s="853" t="str">
        <f t="shared" si="2"/>
        <v>x</v>
      </c>
      <c r="AM18" s="853" t="str">
        <f t="shared" si="2"/>
        <v>x</v>
      </c>
      <c r="AN18" s="853" t="str">
        <f t="shared" si="2"/>
        <v>x</v>
      </c>
      <c r="AO18" s="853" t="str">
        <f t="shared" si="8"/>
        <v/>
      </c>
    </row>
    <row r="19" spans="1:41" s="87" customFormat="1" ht="13.5" customHeight="1" x14ac:dyDescent="0.2">
      <c r="A19" s="488">
        <f>VLOOKUP(B19,Sheet1!$AQ$4:$AR$25,2,FALSE)</f>
        <v>0</v>
      </c>
      <c r="B19" s="93" t="str">
        <f>Sheet1!$K$13</f>
        <v>Oxfordshire</v>
      </c>
      <c r="C19" s="85"/>
      <c r="D19" s="94" t="str">
        <f>IF(Year1_Oxfordshire Year1_Contacts="","",Year1_Oxfordshire Year1_Contacts)</f>
        <v/>
      </c>
      <c r="E19" s="94" t="str">
        <f>IF(Year2_Oxfordshire Year2_Contacts="","",Year2_Oxfordshire Year2_Contacts)</f>
        <v/>
      </c>
      <c r="F19" s="94" t="str">
        <f>IF(Year3_Oxfordshire Year3_Contacts="","",Year3_Oxfordshire Year3_Contacts)</f>
        <v/>
      </c>
      <c r="G19" s="94" t="str">
        <f>IF(Year4_Oxfordshire Year4_Contacts="","",Year4_Oxfordshire Year4_Contacts)</f>
        <v/>
      </c>
      <c r="H19" s="95" t="str">
        <f>IF(Year5_Oxfordshire Year5_Contacts="","",Year5_Oxfordshire Year5_Contacts)</f>
        <v/>
      </c>
      <c r="I19" s="861" t="str">
        <f t="shared" si="3"/>
        <v/>
      </c>
      <c r="J19" s="863" t="str">
        <f t="shared" si="0"/>
        <v/>
      </c>
      <c r="K19" s="96"/>
      <c r="L19" s="97" t="e">
        <f>IF(ISNUMBER(D19),D19/Population!D19*10000,NA())</f>
        <v>#N/A</v>
      </c>
      <c r="M19" s="97" t="e">
        <f>IF(ISNUMBER(E19),E19/Population!E19*10000,NA())</f>
        <v>#N/A</v>
      </c>
      <c r="N19" s="97" t="e">
        <f>IF(ISNUMBER(F19),F19/Population!F19*10000,NA())</f>
        <v>#N/A</v>
      </c>
      <c r="O19" s="97" t="e">
        <f>IF(ISNUMBER(G19),G19/Population!G19*10000,NA())</f>
        <v>#N/A</v>
      </c>
      <c r="P19" s="98" t="e">
        <f>IF(ISNUMBER(H19),H19/Population!H19*10000,NA())</f>
        <v>#N/A</v>
      </c>
      <c r="Q19" s="99" t="str">
        <f t="shared" si="4"/>
        <v/>
      </c>
      <c r="R19" s="822" t="e">
        <f t="shared" si="1"/>
        <v>#N/A</v>
      </c>
      <c r="S19" s="70"/>
      <c r="T19" s="752">
        <f>IDACI!C18</f>
        <v>10.100000000000001</v>
      </c>
      <c r="U19" s="122"/>
      <c r="V19" s="139"/>
      <c r="W19" s="152"/>
      <c r="X19" s="72" t="str">
        <f>Sheet1!$K$13</f>
        <v>Oxfordshire</v>
      </c>
      <c r="Y19" s="44">
        <f>IF(ISNUMBER($H19),IDACI!D18,0)</f>
        <v>0</v>
      </c>
      <c r="Z19" s="44">
        <f>IF(ISNUMBER($H19),IDACI!E18,0)</f>
        <v>0</v>
      </c>
      <c r="AA19" s="205" t="str">
        <f>IF(ISNUMBER(D19),Population!D19,"")</f>
        <v/>
      </c>
      <c r="AB19" s="205" t="str">
        <f>IF(ISNUMBER(E19),Population!E19,"")</f>
        <v/>
      </c>
      <c r="AC19" s="205" t="str">
        <f>IF(ISNUMBER(F19),Population!F19,"")</f>
        <v/>
      </c>
      <c r="AD19" s="205" t="str">
        <f>IF(ISNUMBER(G19),Population!G19,"")</f>
        <v/>
      </c>
      <c r="AE19" s="205" t="str">
        <f>IF(ISNUMBER(H19),Population!H19,"")</f>
        <v/>
      </c>
      <c r="AF19" s="93" t="str">
        <f>Sheet1!$J$13</f>
        <v>Oxfordshire</v>
      </c>
      <c r="AG19" s="231" t="str">
        <f t="shared" si="5"/>
        <v/>
      </c>
      <c r="AH19" s="206" t="e">
        <f t="shared" si="6"/>
        <v>#VALUE!</v>
      </c>
      <c r="AI19" s="202"/>
      <c r="AJ19" s="160"/>
      <c r="AK19" s="853" t="str">
        <f t="shared" si="7"/>
        <v>x</v>
      </c>
      <c r="AL19" s="853" t="str">
        <f t="shared" si="2"/>
        <v>x</v>
      </c>
      <c r="AM19" s="853" t="str">
        <f t="shared" si="2"/>
        <v>x</v>
      </c>
      <c r="AN19" s="853" t="str">
        <f t="shared" si="2"/>
        <v>x</v>
      </c>
      <c r="AO19" s="853" t="str">
        <f t="shared" si="8"/>
        <v/>
      </c>
    </row>
    <row r="20" spans="1:41" s="87" customFormat="1" ht="13.5" customHeight="1" x14ac:dyDescent="0.2">
      <c r="A20" s="488">
        <f>VLOOKUP(B20,Sheet1!$AQ$4:$AR$25,2,FALSE)</f>
        <v>0</v>
      </c>
      <c r="B20" s="93" t="str">
        <f>Sheet1!$K$14</f>
        <v>Portsmouth</v>
      </c>
      <c r="C20" s="85"/>
      <c r="D20" s="94" t="str">
        <f>IF(Year1_Portsmouth Year1_Contacts="","",Year1_Portsmouth Year1_Contacts)</f>
        <v/>
      </c>
      <c r="E20" s="94" t="str">
        <f>IF(Year2_Portsmouth Year2_Contacts="","",Year2_Portsmouth Year2_Contacts)</f>
        <v/>
      </c>
      <c r="F20" s="94" t="str">
        <f>IF(Year3_Portsmouth Year3_Contacts="","",Year3_Portsmouth Year3_Contacts)</f>
        <v/>
      </c>
      <c r="G20" s="94" t="str">
        <f>IF(Year4_Portsmouth Year4_Contacts="","",Year4_Portsmouth Year4_Contacts)</f>
        <v/>
      </c>
      <c r="H20" s="95" t="str">
        <f>IF(Year5_Portsmouth Year5_Contacts="","",Year5_Portsmouth Year5_Contacts)</f>
        <v/>
      </c>
      <c r="I20" s="861" t="str">
        <f t="shared" si="3"/>
        <v/>
      </c>
      <c r="J20" s="863" t="str">
        <f t="shared" si="0"/>
        <v/>
      </c>
      <c r="K20" s="96"/>
      <c r="L20" s="97" t="e">
        <f>IF(ISNUMBER(D20),D20/Population!D20*10000,NA())</f>
        <v>#N/A</v>
      </c>
      <c r="M20" s="97" t="e">
        <f>IF(ISNUMBER(E20),E20/Population!E20*10000,NA())</f>
        <v>#N/A</v>
      </c>
      <c r="N20" s="97" t="e">
        <f>IF(ISNUMBER(F20),F20/Population!F20*10000,NA())</f>
        <v>#N/A</v>
      </c>
      <c r="O20" s="97" t="e">
        <f>IF(ISNUMBER(G20),G20/Population!G20*10000,NA())</f>
        <v>#N/A</v>
      </c>
      <c r="P20" s="98" t="e">
        <f>IF(ISNUMBER(H20),H20/Population!H20*10000,NA())</f>
        <v>#N/A</v>
      </c>
      <c r="Q20" s="99" t="str">
        <f t="shared" si="4"/>
        <v/>
      </c>
      <c r="R20" s="822" t="e">
        <f t="shared" si="1"/>
        <v>#N/A</v>
      </c>
      <c r="S20" s="70"/>
      <c r="T20" s="752">
        <f>IDACI!C19</f>
        <v>20.200000000000003</v>
      </c>
      <c r="U20" s="122"/>
      <c r="V20" s="139"/>
      <c r="W20" s="152"/>
      <c r="X20" s="72" t="str">
        <f>Sheet1!$K$14</f>
        <v>Portsmouth</v>
      </c>
      <c r="Y20" s="44">
        <f>IF(ISNUMBER($H20),IDACI!D19,0)</f>
        <v>0</v>
      </c>
      <c r="Z20" s="44">
        <f>IF(ISNUMBER($H20),IDACI!E19,0)</f>
        <v>0</v>
      </c>
      <c r="AA20" s="205" t="str">
        <f>IF(ISNUMBER(D20),Population!D20,"")</f>
        <v/>
      </c>
      <c r="AB20" s="205" t="str">
        <f>IF(ISNUMBER(E20),Population!E20,"")</f>
        <v/>
      </c>
      <c r="AC20" s="205" t="str">
        <f>IF(ISNUMBER(F20),Population!F20,"")</f>
        <v/>
      </c>
      <c r="AD20" s="205" t="str">
        <f>IF(ISNUMBER(G20),Population!G20,"")</f>
        <v/>
      </c>
      <c r="AE20" s="205" t="str">
        <f>IF(ISNUMBER(H20),Population!H20,"")</f>
        <v/>
      </c>
      <c r="AF20" s="93" t="str">
        <f>Sheet1!$J$14</f>
        <v>Portsmouth</v>
      </c>
      <c r="AG20" s="231" t="str">
        <f t="shared" si="5"/>
        <v/>
      </c>
      <c r="AH20" s="206" t="e">
        <f t="shared" si="6"/>
        <v>#VALUE!</v>
      </c>
      <c r="AI20" s="202"/>
      <c r="AJ20" s="160"/>
      <c r="AK20" s="853" t="str">
        <f t="shared" si="7"/>
        <v>x</v>
      </c>
      <c r="AL20" s="853" t="str">
        <f t="shared" si="2"/>
        <v>x</v>
      </c>
      <c r="AM20" s="853" t="str">
        <f t="shared" si="2"/>
        <v>x</v>
      </c>
      <c r="AN20" s="853" t="str">
        <f t="shared" si="2"/>
        <v>x</v>
      </c>
      <c r="AO20" s="853" t="str">
        <f t="shared" si="8"/>
        <v/>
      </c>
    </row>
    <row r="21" spans="1:41" s="87" customFormat="1" ht="13.5" customHeight="1" x14ac:dyDescent="0.2">
      <c r="A21" s="488">
        <f>VLOOKUP(B21,Sheet1!$AQ$4:$AR$25,2,FALSE)</f>
        <v>0</v>
      </c>
      <c r="B21" s="93" t="str">
        <f>Sheet1!$K$15</f>
        <v>Reading</v>
      </c>
      <c r="C21" s="85"/>
      <c r="D21" s="94" t="str">
        <f>IF(Year1_Reading Year1_Contacts="","",Year1_Reading Year1_Contacts)</f>
        <v/>
      </c>
      <c r="E21" s="94" t="str">
        <f>IF(Year2_Reading Year2_Contacts="","",Year2_Reading Year2_Contacts)</f>
        <v/>
      </c>
      <c r="F21" s="94" t="str">
        <f>IF(Year3_Reading Year3_Contacts="","",Year3_Reading Year3_Contacts)</f>
        <v/>
      </c>
      <c r="G21" s="94" t="str">
        <f>IF(Year4_Reading Year4_Contacts="","",Year4_Reading Year4_Contacts)</f>
        <v/>
      </c>
      <c r="H21" s="95" t="str">
        <f>IF(Year5_Reading Year5_Contacts="","",Year5_Reading Year5_Contacts)</f>
        <v/>
      </c>
      <c r="I21" s="861" t="str">
        <f t="shared" si="3"/>
        <v/>
      </c>
      <c r="J21" s="863" t="str">
        <f t="shared" si="0"/>
        <v/>
      </c>
      <c r="K21" s="96"/>
      <c r="L21" s="97" t="e">
        <f>IF(ISNUMBER(D21),D21/Population!D21*10000,NA())</f>
        <v>#N/A</v>
      </c>
      <c r="M21" s="97" t="e">
        <f>IF(ISNUMBER(E21),E21/Population!E21*10000,NA())</f>
        <v>#N/A</v>
      </c>
      <c r="N21" s="97" t="e">
        <f>IF(ISNUMBER(F21),F21/Population!F21*10000,NA())</f>
        <v>#N/A</v>
      </c>
      <c r="O21" s="97" t="e">
        <f>IF(ISNUMBER(G21),G21/Population!G21*10000,NA())</f>
        <v>#N/A</v>
      </c>
      <c r="P21" s="98" t="e">
        <f>IF(ISNUMBER(H21),H21/Population!H21*10000,NA())</f>
        <v>#N/A</v>
      </c>
      <c r="Q21" s="99" t="str">
        <f t="shared" si="4"/>
        <v/>
      </c>
      <c r="R21" s="822" t="e">
        <f t="shared" si="1"/>
        <v>#N/A</v>
      </c>
      <c r="S21" s="70"/>
      <c r="T21" s="752">
        <f>IDACI!C20</f>
        <v>16</v>
      </c>
      <c r="U21" s="122"/>
      <c r="V21" s="139"/>
      <c r="W21" s="152"/>
      <c r="X21" s="72" t="str">
        <f>Sheet1!$K$15</f>
        <v>Reading</v>
      </c>
      <c r="Y21" s="44">
        <f>IF(ISNUMBER($H21),IDACI!D20,0)</f>
        <v>0</v>
      </c>
      <c r="Z21" s="44">
        <f>IF(ISNUMBER($H21),IDACI!E20,0)</f>
        <v>0</v>
      </c>
      <c r="AA21" s="205" t="str">
        <f>IF(ISNUMBER(D21),Population!D21,"")</f>
        <v/>
      </c>
      <c r="AB21" s="205" t="str">
        <f>IF(ISNUMBER(E21),Population!E21,"")</f>
        <v/>
      </c>
      <c r="AC21" s="205" t="str">
        <f>IF(ISNUMBER(F21),Population!F21,"")</f>
        <v/>
      </c>
      <c r="AD21" s="205" t="str">
        <f>IF(ISNUMBER(G21),Population!G21,"")</f>
        <v/>
      </c>
      <c r="AE21" s="205" t="str">
        <f>IF(ISNUMBER(H21),Population!H21,"")</f>
        <v/>
      </c>
      <c r="AF21" s="93" t="str">
        <f>Sheet1!$J$15</f>
        <v>Reading</v>
      </c>
      <c r="AG21" s="231" t="str">
        <f t="shared" si="5"/>
        <v/>
      </c>
      <c r="AH21" s="206" t="e">
        <f t="shared" si="6"/>
        <v>#VALUE!</v>
      </c>
      <c r="AI21" s="202"/>
      <c r="AJ21" s="160"/>
      <c r="AK21" s="853" t="str">
        <f t="shared" si="7"/>
        <v>x</v>
      </c>
      <c r="AL21" s="853" t="str">
        <f t="shared" si="2"/>
        <v>x</v>
      </c>
      <c r="AM21" s="853" t="str">
        <f t="shared" si="2"/>
        <v>x</v>
      </c>
      <c r="AN21" s="853" t="str">
        <f t="shared" si="2"/>
        <v>x</v>
      </c>
      <c r="AO21" s="853" t="str">
        <f t="shared" si="8"/>
        <v/>
      </c>
    </row>
    <row r="22" spans="1:41" s="87" customFormat="1" ht="13.5" customHeight="1" x14ac:dyDescent="0.2">
      <c r="A22" s="488">
        <f>VLOOKUP(B22,Sheet1!$AQ$4:$AR$25,2,FALSE)</f>
        <v>0</v>
      </c>
      <c r="B22" s="93" t="str">
        <f>Sheet1!$K$16</f>
        <v>Slough</v>
      </c>
      <c r="C22" s="85"/>
      <c r="D22" s="94" t="str">
        <f>IF(Year1_Slough Year1_Contacts="","",Year1_Slough Year1_Contacts)</f>
        <v/>
      </c>
      <c r="E22" s="94" t="str">
        <f>IF(Year2_Slough Year2_Contacts="","",Year2_Slough Year2_Contacts)</f>
        <v/>
      </c>
      <c r="F22" s="94" t="str">
        <f>IF(Year3_Slough Year3_Contacts="","",Year3_Slough Year3_Contacts)</f>
        <v/>
      </c>
      <c r="G22" s="94" t="str">
        <f>IF(Year4_Slough Year4_Contacts="","",Year4_Slough Year4_Contacts)</f>
        <v/>
      </c>
      <c r="H22" s="95" t="str">
        <f>IF(Year5_Slough Year5_Contacts="","",Year5_Slough Year5_Contacts)</f>
        <v/>
      </c>
      <c r="I22" s="861" t="str">
        <f t="shared" si="3"/>
        <v/>
      </c>
      <c r="J22" s="863" t="str">
        <f t="shared" si="0"/>
        <v/>
      </c>
      <c r="K22" s="96"/>
      <c r="L22" s="97" t="e">
        <f>IF(ISNUMBER(D22),D22/Population!D22*10000,NA())</f>
        <v>#N/A</v>
      </c>
      <c r="M22" s="97" t="e">
        <f>IF(ISNUMBER(E22),E22/Population!E22*10000,NA())</f>
        <v>#N/A</v>
      </c>
      <c r="N22" s="97" t="e">
        <f>IF(ISNUMBER(F22),F22/Population!F22*10000,NA())</f>
        <v>#N/A</v>
      </c>
      <c r="O22" s="97" t="e">
        <f>IF(ISNUMBER(G22),G22/Population!G22*10000,NA())</f>
        <v>#N/A</v>
      </c>
      <c r="P22" s="98" t="e">
        <f>IF(ISNUMBER(H22),H22/Population!H22*10000,NA())</f>
        <v>#N/A</v>
      </c>
      <c r="Q22" s="99" t="str">
        <f t="shared" si="4"/>
        <v/>
      </c>
      <c r="R22" s="822" t="e">
        <f t="shared" si="1"/>
        <v>#N/A</v>
      </c>
      <c r="S22" s="70"/>
      <c r="T22" s="752">
        <f>IDACI!C21</f>
        <v>14.7</v>
      </c>
      <c r="U22" s="122"/>
      <c r="V22" s="139"/>
      <c r="W22" s="152"/>
      <c r="X22" s="72" t="str">
        <f>Sheet1!$K$16</f>
        <v>Slough</v>
      </c>
      <c r="Y22" s="44">
        <f>IF(ISNUMBER($H22),IDACI!D21,0)</f>
        <v>0</v>
      </c>
      <c r="Z22" s="44">
        <f>IF(ISNUMBER($H22),IDACI!E21,0)</f>
        <v>0</v>
      </c>
      <c r="AA22" s="205" t="str">
        <f>IF(ISNUMBER(D22),Population!D22,"")</f>
        <v/>
      </c>
      <c r="AB22" s="205" t="str">
        <f>IF(ISNUMBER(E22),Population!E22,"")</f>
        <v/>
      </c>
      <c r="AC22" s="205" t="str">
        <f>IF(ISNUMBER(F22),Population!F22,"")</f>
        <v/>
      </c>
      <c r="AD22" s="205" t="str">
        <f>IF(ISNUMBER(G22),Population!G22,"")</f>
        <v/>
      </c>
      <c r="AE22" s="205" t="str">
        <f>IF(ISNUMBER(H22),Population!H22,"")</f>
        <v/>
      </c>
      <c r="AF22" s="93" t="str">
        <f>Sheet1!$J$16</f>
        <v>Slough</v>
      </c>
      <c r="AG22" s="231" t="str">
        <f t="shared" si="5"/>
        <v/>
      </c>
      <c r="AH22" s="206" t="e">
        <f t="shared" si="6"/>
        <v>#VALUE!</v>
      </c>
      <c r="AI22" s="202"/>
      <c r="AJ22" s="160"/>
      <c r="AK22" s="853" t="str">
        <f t="shared" si="7"/>
        <v>x</v>
      </c>
      <c r="AL22" s="853" t="str">
        <f t="shared" si="2"/>
        <v>x</v>
      </c>
      <c r="AM22" s="853" t="str">
        <f t="shared" si="2"/>
        <v>x</v>
      </c>
      <c r="AN22" s="853" t="str">
        <f t="shared" si="2"/>
        <v>x</v>
      </c>
      <c r="AO22" s="853" t="str">
        <f t="shared" si="8"/>
        <v/>
      </c>
    </row>
    <row r="23" spans="1:41" s="87" customFormat="1" ht="13.5" customHeight="1" x14ac:dyDescent="0.2">
      <c r="A23" s="488">
        <f>VLOOKUP(B23,Sheet1!$AQ$4:$AR$25,2,FALSE)</f>
        <v>0</v>
      </c>
      <c r="B23" s="93" t="str">
        <f>Sheet1!$K$17</f>
        <v>Somerset</v>
      </c>
      <c r="C23" s="85"/>
      <c r="D23" s="94" t="str">
        <f>IF(Year1_Somerset Year1_Contacts="","",Year1_Somerset Year1_Contacts)</f>
        <v/>
      </c>
      <c r="E23" s="94" t="str">
        <f>IF(Year2_Somerset Year2_Contacts="","",Year2_Somerset Year2_Contacts)</f>
        <v/>
      </c>
      <c r="F23" s="94" t="str">
        <f>IF(Year3_Somerset Year3_Contacts="","",Year3_Somerset Year3_Contacts)</f>
        <v/>
      </c>
      <c r="G23" s="94" t="str">
        <f>IF(Year4_Somerset Year4_Contacts="","",Year4_Somerset Year4_Contacts)</f>
        <v/>
      </c>
      <c r="H23" s="95" t="str">
        <f>IF(Year5_Somerset Year5_Contacts="","",Year5_Somerset Year5_Contacts)</f>
        <v/>
      </c>
      <c r="I23" s="861" t="str">
        <f t="shared" si="3"/>
        <v/>
      </c>
      <c r="J23" s="863" t="str">
        <f t="shared" si="0"/>
        <v/>
      </c>
      <c r="K23" s="96"/>
      <c r="L23" s="97" t="e">
        <f>IF(ISNUMBER(D23),D23/Population!D23*10000,NA())</f>
        <v>#N/A</v>
      </c>
      <c r="M23" s="97" t="e">
        <f>IF(ISNUMBER(E23),E23/Population!E23*10000,NA())</f>
        <v>#N/A</v>
      </c>
      <c r="N23" s="97" t="e">
        <f>IF(ISNUMBER(F23),F23/Population!F23*10000,NA())</f>
        <v>#N/A</v>
      </c>
      <c r="O23" s="97" t="e">
        <f>IF(ISNUMBER(G23),G23/Population!G23*10000,NA())</f>
        <v>#N/A</v>
      </c>
      <c r="P23" s="98" t="e">
        <f>IF(ISNUMBER(H23),H23/Population!H23*10000,NA())</f>
        <v>#N/A</v>
      </c>
      <c r="Q23" s="99" t="str">
        <f t="shared" si="4"/>
        <v/>
      </c>
      <c r="R23" s="807" t="str">
        <f t="shared" si="1"/>
        <v>--</v>
      </c>
      <c r="S23" s="70"/>
      <c r="T23" s="752">
        <f>IDACI!C22</f>
        <v>13.600000000000001</v>
      </c>
      <c r="U23" s="122"/>
      <c r="V23" s="139"/>
      <c r="W23" s="152"/>
      <c r="X23" s="72" t="str">
        <f>Sheet1!$K$17</f>
        <v>Somerset</v>
      </c>
      <c r="Y23" s="44">
        <f>IF(ISNUMBER($H23),IDACI!D22,0)</f>
        <v>0</v>
      </c>
      <c r="Z23" s="44">
        <f>IF(ISNUMBER($H23),IDACI!E22,0)</f>
        <v>0</v>
      </c>
      <c r="AA23" s="205" t="str">
        <f>IF(ISNUMBER(D23),Population!D23,"")</f>
        <v/>
      </c>
      <c r="AB23" s="205" t="str">
        <f>IF(ISNUMBER(E23),Population!E23,"")</f>
        <v/>
      </c>
      <c r="AC23" s="205" t="str">
        <f>IF(ISNUMBER(F23),Population!F23,"")</f>
        <v/>
      </c>
      <c r="AD23" s="205" t="str">
        <f>IF(ISNUMBER(G23),Population!G23,"")</f>
        <v/>
      </c>
      <c r="AE23" s="205" t="str">
        <f>IF(ISNUMBER(H23),Population!H23,"")</f>
        <v/>
      </c>
      <c r="AF23" s="93" t="str">
        <f>Sheet1!$J$17</f>
        <v>Southampton</v>
      </c>
      <c r="AG23" s="231" t="str">
        <f t="shared" si="5"/>
        <v/>
      </c>
      <c r="AH23" s="206" t="e">
        <f t="shared" si="6"/>
        <v>#VALUE!</v>
      </c>
      <c r="AI23" s="202"/>
      <c r="AJ23" s="160"/>
      <c r="AK23" s="853" t="str">
        <f t="shared" si="7"/>
        <v>x</v>
      </c>
      <c r="AL23" s="853" t="str">
        <f t="shared" si="2"/>
        <v>x</v>
      </c>
      <c r="AM23" s="853" t="str">
        <f t="shared" si="2"/>
        <v>x</v>
      </c>
      <c r="AN23" s="853" t="str">
        <f t="shared" si="2"/>
        <v>x</v>
      </c>
      <c r="AO23" s="853" t="str">
        <f t="shared" si="8"/>
        <v/>
      </c>
    </row>
    <row r="24" spans="1:41" s="87" customFormat="1" ht="13.5" customHeight="1" x14ac:dyDescent="0.2">
      <c r="A24" s="488">
        <f>VLOOKUP(B24,Sheet1!$AQ$4:$AR$25,2,FALSE)</f>
        <v>0</v>
      </c>
      <c r="B24" s="93" t="str">
        <f>Sheet1!$K$18</f>
        <v>Southampton</v>
      </c>
      <c r="C24" s="85"/>
      <c r="D24" s="94" t="str">
        <f>IF(Year1_Southampton Year1_Contacts="","",Year1_Southampton Year1_Contacts)</f>
        <v/>
      </c>
      <c r="E24" s="94" t="str">
        <f>IF(Year2_Southampton Year2_Contacts="","",Year2_Southampton Year2_Contacts)</f>
        <v/>
      </c>
      <c r="F24" s="94" t="str">
        <f>IF(Year3_Southampton Year3_Contacts="","",Year3_Southampton Year3_Contacts)</f>
        <v/>
      </c>
      <c r="G24" s="94" t="str">
        <f>IF(Year4_Southampton Year4_Contacts="","",Year4_Southampton Year4_Contacts)</f>
        <v/>
      </c>
      <c r="H24" s="95" t="str">
        <f>IF(Year5_Southampton Year5_Contacts="","",Year5_Southampton Year5_Contacts)</f>
        <v/>
      </c>
      <c r="I24" s="861" t="str">
        <f t="shared" si="3"/>
        <v/>
      </c>
      <c r="J24" s="863" t="str">
        <f t="shared" si="0"/>
        <v/>
      </c>
      <c r="K24" s="96"/>
      <c r="L24" s="97" t="e">
        <f>IF(ISNUMBER(D24),D24/Population!D24*10000,NA())</f>
        <v>#N/A</v>
      </c>
      <c r="M24" s="97" t="e">
        <f>IF(ISNUMBER(E24),E24/Population!E24*10000,NA())</f>
        <v>#N/A</v>
      </c>
      <c r="N24" s="97" t="e">
        <f>IF(ISNUMBER(F24),F24/Population!F24*10000,NA())</f>
        <v>#N/A</v>
      </c>
      <c r="O24" s="97" t="e">
        <f>IF(ISNUMBER(G24),G24/Population!G24*10000,NA())</f>
        <v>#N/A</v>
      </c>
      <c r="P24" s="98" t="e">
        <f>IF(ISNUMBER(H24),H24/Population!H24*10000,NA())</f>
        <v>#N/A</v>
      </c>
      <c r="Q24" s="99" t="str">
        <f t="shared" si="4"/>
        <v/>
      </c>
      <c r="R24" s="822" t="e">
        <f t="shared" si="1"/>
        <v>#N/A</v>
      </c>
      <c r="S24" s="70"/>
      <c r="T24" s="752">
        <f>IDACI!C23</f>
        <v>20.5</v>
      </c>
      <c r="U24" s="122"/>
      <c r="V24" s="139"/>
      <c r="W24" s="152"/>
      <c r="X24" s="72" t="str">
        <f>Sheet1!$K$18</f>
        <v>Southampton</v>
      </c>
      <c r="Y24" s="44">
        <f>IF(ISNUMBER($H24),IDACI!D23,0)</f>
        <v>0</v>
      </c>
      <c r="Z24" s="44">
        <f>IF(ISNUMBER($H24),IDACI!E23,0)</f>
        <v>0</v>
      </c>
      <c r="AA24" s="205" t="str">
        <f>IF(ISNUMBER(D24),Population!D24,"")</f>
        <v/>
      </c>
      <c r="AB24" s="205" t="str">
        <f>IF(ISNUMBER(E24),Population!E24,"")</f>
        <v/>
      </c>
      <c r="AC24" s="205" t="str">
        <f>IF(ISNUMBER(F24),Population!F24,"")</f>
        <v/>
      </c>
      <c r="AD24" s="205" t="str">
        <f>IF(ISNUMBER(G24),Population!G24,"")</f>
        <v/>
      </c>
      <c r="AE24" s="205" t="str">
        <f>IF(ISNUMBER(H24),Population!H24,"")</f>
        <v/>
      </c>
      <c r="AF24" s="93" t="str">
        <f>Sheet1!$J$18</f>
        <v>Surrey</v>
      </c>
      <c r="AG24" s="231" t="str">
        <f t="shared" si="5"/>
        <v/>
      </c>
      <c r="AH24" s="206" t="e">
        <f t="shared" si="6"/>
        <v>#VALUE!</v>
      </c>
      <c r="AI24" s="202"/>
      <c r="AJ24" s="160"/>
      <c r="AK24" s="853" t="str">
        <f t="shared" si="7"/>
        <v>x</v>
      </c>
      <c r="AL24" s="853" t="str">
        <f t="shared" si="2"/>
        <v>x</v>
      </c>
      <c r="AM24" s="853" t="str">
        <f t="shared" si="2"/>
        <v>x</v>
      </c>
      <c r="AN24" s="853" t="str">
        <f t="shared" si="2"/>
        <v>x</v>
      </c>
      <c r="AO24" s="853" t="str">
        <f t="shared" si="8"/>
        <v/>
      </c>
    </row>
    <row r="25" spans="1:41" s="87" customFormat="1" ht="13.5" customHeight="1" x14ac:dyDescent="0.2">
      <c r="A25" s="488">
        <f>VLOOKUP(B25,Sheet1!$AQ$4:$AR$25,2,FALSE)</f>
        <v>0</v>
      </c>
      <c r="B25" s="93" t="str">
        <f>Sheet1!$K$19</f>
        <v>Surrey</v>
      </c>
      <c r="C25" s="85"/>
      <c r="D25" s="94" t="str">
        <f>IF(Year1_Surrey Year1_Contacts="","",Year1_Surrey Year1_Contacts)</f>
        <v/>
      </c>
      <c r="E25" s="94" t="str">
        <f>IF(Year2_Surrey Year2_Contacts="","",Year2_Surrey Year2_Contacts)</f>
        <v/>
      </c>
      <c r="F25" s="94" t="str">
        <f>IF(Year3_Surrey Year3_Contacts="","",Year3_Surrey Year3_Contacts)</f>
        <v/>
      </c>
      <c r="G25" s="94" t="str">
        <f>IF(Year4_Surrey Year4_Contacts="","",Year4_Surrey Year4_Contacts)</f>
        <v/>
      </c>
      <c r="H25" s="95" t="str">
        <f>IF(Year5_Surrey Year5_Contacts="","",Year5_Surrey Year5_Contacts)</f>
        <v/>
      </c>
      <c r="I25" s="861" t="str">
        <f t="shared" si="3"/>
        <v/>
      </c>
      <c r="J25" s="863" t="str">
        <f t="shared" si="0"/>
        <v/>
      </c>
      <c r="K25" s="96"/>
      <c r="L25" s="97" t="e">
        <f>IF(ISNUMBER(D25),D25/Population!D25*10000,NA())</f>
        <v>#N/A</v>
      </c>
      <c r="M25" s="97" t="e">
        <f>IF(ISNUMBER(E25),E25/Population!E25*10000,NA())</f>
        <v>#N/A</v>
      </c>
      <c r="N25" s="97" t="e">
        <f>IF(ISNUMBER(F25),F25/Population!F25*10000,NA())</f>
        <v>#N/A</v>
      </c>
      <c r="O25" s="97" t="e">
        <f>IF(ISNUMBER(G25),G25/Population!G25*10000,NA())</f>
        <v>#N/A</v>
      </c>
      <c r="P25" s="98" t="e">
        <f>IF(ISNUMBER(H25),H25/Population!H25*10000,NA())</f>
        <v>#N/A</v>
      </c>
      <c r="Q25" s="99" t="str">
        <f t="shared" si="4"/>
        <v/>
      </c>
      <c r="R25" s="822" t="e">
        <f t="shared" si="1"/>
        <v>#N/A</v>
      </c>
      <c r="S25" s="70"/>
      <c r="T25" s="752">
        <f>IDACI!C24</f>
        <v>8.3000000000000007</v>
      </c>
      <c r="U25" s="122"/>
      <c r="V25" s="139"/>
      <c r="W25" s="152"/>
      <c r="X25" s="72" t="str">
        <f>Sheet1!$K$19</f>
        <v>Surrey</v>
      </c>
      <c r="Y25" s="44">
        <f>IF(ISNUMBER($H25),IDACI!D24,0)</f>
        <v>0</v>
      </c>
      <c r="Z25" s="44">
        <f>IF(ISNUMBER($H25),IDACI!E24,0)</f>
        <v>0</v>
      </c>
      <c r="AA25" s="205" t="str">
        <f>IF(ISNUMBER(D25),Population!D25,"")</f>
        <v/>
      </c>
      <c r="AB25" s="205" t="str">
        <f>IF(ISNUMBER(E25),Population!E25,"")</f>
        <v/>
      </c>
      <c r="AC25" s="205" t="str">
        <f>IF(ISNUMBER(F25),Population!F25,"")</f>
        <v/>
      </c>
      <c r="AD25" s="205" t="str">
        <f>IF(ISNUMBER(G25),Population!G25,"")</f>
        <v/>
      </c>
      <c r="AE25" s="205" t="str">
        <f>IF(ISNUMBER(H25),Population!H25,"")</f>
        <v/>
      </c>
      <c r="AF25" s="93" t="str">
        <f>Sheet1!$J$19</f>
        <v>West Berkshire</v>
      </c>
      <c r="AG25" s="231" t="str">
        <f t="shared" si="5"/>
        <v/>
      </c>
      <c r="AH25" s="206" t="e">
        <f t="shared" si="6"/>
        <v>#VALUE!</v>
      </c>
      <c r="AI25" s="202"/>
      <c r="AJ25" s="160"/>
      <c r="AK25" s="853" t="str">
        <f t="shared" si="7"/>
        <v>x</v>
      </c>
      <c r="AL25" s="853" t="str">
        <f t="shared" si="2"/>
        <v>x</v>
      </c>
      <c r="AM25" s="853" t="str">
        <f t="shared" si="2"/>
        <v>x</v>
      </c>
      <c r="AN25" s="853" t="str">
        <f t="shared" si="2"/>
        <v>x</v>
      </c>
      <c r="AO25" s="853" t="str">
        <f t="shared" si="8"/>
        <v/>
      </c>
    </row>
    <row r="26" spans="1:41" s="87" customFormat="1" ht="13.5" customHeight="1" x14ac:dyDescent="0.2">
      <c r="A26" s="488">
        <f>VLOOKUP(B26,Sheet1!$AQ$4:$AR$25,2,FALSE)</f>
        <v>0</v>
      </c>
      <c r="B26" s="93" t="str">
        <f>Sheet1!$K$20</f>
        <v>Swindon</v>
      </c>
      <c r="C26" s="85"/>
      <c r="D26" s="94" t="str">
        <f>IF(Year1_Swindon Year1_Contacts="","",Year1_Swindon Year1_Contacts)</f>
        <v/>
      </c>
      <c r="E26" s="94" t="str">
        <f>IF(Year2_Swindon Year2_Contacts="","",Year2_Swindon Year2_Contacts)</f>
        <v/>
      </c>
      <c r="F26" s="94" t="str">
        <f>IF(Year3_Swindon Year3_Contacts="","",Year3_Swindon Year3_Contacts)</f>
        <v/>
      </c>
      <c r="G26" s="94" t="str">
        <f>IF(Year4_Swindon Year4_Contacts="","",Year4_Swindon Year4_Contacts)</f>
        <v/>
      </c>
      <c r="H26" s="95" t="str">
        <f>IF(Year5_Swindon Year5_Contacts="","",Year5_Swindon Year5_Contacts)</f>
        <v/>
      </c>
      <c r="I26" s="861" t="str">
        <f t="shared" si="3"/>
        <v/>
      </c>
      <c r="J26" s="863" t="str">
        <f t="shared" si="0"/>
        <v/>
      </c>
      <c r="K26" s="96"/>
      <c r="L26" s="97" t="e">
        <f>IF(ISNUMBER(D26),D26/Population!D26*10000,NA())</f>
        <v>#N/A</v>
      </c>
      <c r="M26" s="97" t="e">
        <f>IF(ISNUMBER(E26),E26/Population!E26*10000,NA())</f>
        <v>#N/A</v>
      </c>
      <c r="N26" s="97" t="e">
        <f>IF(ISNUMBER(F26),F26/Population!F26*10000,NA())</f>
        <v>#N/A</v>
      </c>
      <c r="O26" s="97" t="e">
        <f>IF(ISNUMBER(G26),G26/Population!G26*10000,NA())</f>
        <v>#N/A</v>
      </c>
      <c r="P26" s="98" t="e">
        <f>IF(ISNUMBER(H26),H26/Population!H26*10000,NA())</f>
        <v>#N/A</v>
      </c>
      <c r="Q26" s="99" t="str">
        <f t="shared" si="4"/>
        <v/>
      </c>
      <c r="R26" s="807" t="str">
        <f t="shared" si="1"/>
        <v>--</v>
      </c>
      <c r="S26" s="70"/>
      <c r="T26" s="752">
        <f>IDACI!C25</f>
        <v>14.899999999999999</v>
      </c>
      <c r="U26" s="122"/>
      <c r="V26" s="139"/>
      <c r="W26" s="152"/>
      <c r="X26" s="72" t="str">
        <f>Sheet1!$K$20</f>
        <v>Swindon</v>
      </c>
      <c r="Y26" s="44">
        <f>IF(ISNUMBER($H26),IDACI!D25,0)</f>
        <v>0</v>
      </c>
      <c r="Z26" s="44">
        <f>IF(ISNUMBER($H26),IDACI!E25,0)</f>
        <v>0</v>
      </c>
      <c r="AA26" s="205" t="str">
        <f>IF(ISNUMBER(D26),Population!D26,"")</f>
        <v/>
      </c>
      <c r="AB26" s="205" t="str">
        <f>IF(ISNUMBER(E26),Population!E26,"")</f>
        <v/>
      </c>
      <c r="AC26" s="205" t="str">
        <f>IF(ISNUMBER(F26),Population!F26,"")</f>
        <v/>
      </c>
      <c r="AD26" s="205" t="str">
        <f>IF(ISNUMBER(G26),Population!G26,"")</f>
        <v/>
      </c>
      <c r="AE26" s="205" t="str">
        <f>IF(ISNUMBER(H26),Population!H26,"")</f>
        <v/>
      </c>
      <c r="AF26" s="93" t="str">
        <f>Sheet1!$J$20</f>
        <v>West Sussex</v>
      </c>
      <c r="AG26" s="231" t="str">
        <f t="shared" si="5"/>
        <v/>
      </c>
      <c r="AH26" s="206" t="e">
        <f t="shared" si="6"/>
        <v>#VALUE!</v>
      </c>
      <c r="AI26" s="202"/>
      <c r="AJ26" s="160"/>
      <c r="AK26" s="853" t="str">
        <f t="shared" si="7"/>
        <v>x</v>
      </c>
      <c r="AL26" s="853" t="str">
        <f t="shared" si="7"/>
        <v>x</v>
      </c>
      <c r="AM26" s="853" t="str">
        <f t="shared" si="7"/>
        <v>x</v>
      </c>
      <c r="AN26" s="853" t="str">
        <f t="shared" si="7"/>
        <v>x</v>
      </c>
      <c r="AO26" s="853" t="str">
        <f t="shared" si="8"/>
        <v/>
      </c>
    </row>
    <row r="27" spans="1:41" s="87" customFormat="1" ht="13.5" customHeight="1" x14ac:dyDescent="0.2">
      <c r="A27" s="488">
        <f>VLOOKUP(B27,Sheet1!$AQ$4:$AR$25,2,FALSE)</f>
        <v>0</v>
      </c>
      <c r="B27" s="93" t="str">
        <f>Sheet1!$K$21</f>
        <v>Torbay</v>
      </c>
      <c r="C27" s="85"/>
      <c r="D27" s="94" t="str">
        <f>IF(Year1_Torbay Year1_Contacts="","",Year1_Torbay Year1_Contacts)</f>
        <v/>
      </c>
      <c r="E27" s="94" t="str">
        <f>IF(Year2_Torbay Year2_Contacts="","",Year2_Torbay Year2_Contacts)</f>
        <v/>
      </c>
      <c r="F27" s="94" t="str">
        <f>IF(Year3_Torbay Year3_Contacts="","",Year3_Torbay Year3_Contacts)</f>
        <v/>
      </c>
      <c r="G27" s="94" t="str">
        <f>IF(Year4_Torbay Year4_Contacts="","",Year4_Torbay Year4_Contacts)</f>
        <v/>
      </c>
      <c r="H27" s="95" t="str">
        <f>IF(Year5_Torbay Year5_Contacts="","",Year5_Torbay Year5_Contacts)</f>
        <v/>
      </c>
      <c r="I27" s="861" t="str">
        <f t="shared" si="3"/>
        <v/>
      </c>
      <c r="J27" s="863" t="str">
        <f t="shared" si="0"/>
        <v/>
      </c>
      <c r="K27" s="96"/>
      <c r="L27" s="97" t="e">
        <f>IF(ISNUMBER(D27),D27/Population!D27*10000,NA())</f>
        <v>#N/A</v>
      </c>
      <c r="M27" s="97" t="e">
        <f>IF(ISNUMBER(E27),E27/Population!E27*10000,NA())</f>
        <v>#N/A</v>
      </c>
      <c r="N27" s="97" t="e">
        <f>IF(ISNUMBER(F27),F27/Population!F27*10000,NA())</f>
        <v>#N/A</v>
      </c>
      <c r="O27" s="97" t="e">
        <f>IF(ISNUMBER(G27),G27/Population!G27*10000,NA())</f>
        <v>#N/A</v>
      </c>
      <c r="P27" s="98" t="e">
        <f>IF(ISNUMBER(H27),H27/Population!H27*10000,NA())</f>
        <v>#N/A</v>
      </c>
      <c r="Q27" s="99" t="str">
        <f t="shared" si="4"/>
        <v/>
      </c>
      <c r="R27" s="807" t="str">
        <f t="shared" si="1"/>
        <v>--</v>
      </c>
      <c r="S27" s="70"/>
      <c r="T27" s="752">
        <f>IDACI!C26</f>
        <v>21.9</v>
      </c>
      <c r="U27" s="122"/>
      <c r="V27" s="139"/>
      <c r="W27" s="152"/>
      <c r="X27" s="72" t="str">
        <f>Sheet1!$K$21</f>
        <v>Torbay</v>
      </c>
      <c r="Y27" s="44">
        <f>IF(ISNUMBER($H27),IDACI!D26,0)</f>
        <v>0</v>
      </c>
      <c r="Z27" s="44">
        <f>IF(ISNUMBER($H27),IDACI!E26,0)</f>
        <v>0</v>
      </c>
      <c r="AA27" s="205" t="str">
        <f>IF(ISNUMBER(D27),Population!D27,"")</f>
        <v/>
      </c>
      <c r="AB27" s="205" t="str">
        <f>IF(ISNUMBER(E27),Population!E27,"")</f>
        <v/>
      </c>
      <c r="AC27" s="205" t="str">
        <f>IF(ISNUMBER(F27),Population!F27,"")</f>
        <v/>
      </c>
      <c r="AD27" s="205" t="str">
        <f>IF(ISNUMBER(G27),Population!G27,"")</f>
        <v/>
      </c>
      <c r="AE27" s="205" t="str">
        <f>IF(ISNUMBER(H27),Population!H27,"")</f>
        <v/>
      </c>
      <c r="AF27" s="93" t="str">
        <f>Sheet1!$J$21</f>
        <v>Windsor &amp; Maidenhead</v>
      </c>
      <c r="AG27" s="231" t="str">
        <f t="shared" si="5"/>
        <v/>
      </c>
      <c r="AH27" s="206" t="e">
        <f t="shared" si="6"/>
        <v>#VALUE!</v>
      </c>
      <c r="AI27" s="202"/>
      <c r="AJ27" s="160"/>
      <c r="AK27" s="853" t="str">
        <f t="shared" si="7"/>
        <v>x</v>
      </c>
      <c r="AL27" s="853" t="str">
        <f t="shared" si="7"/>
        <v>x</v>
      </c>
      <c r="AM27" s="853" t="str">
        <f t="shared" si="7"/>
        <v>x</v>
      </c>
      <c r="AN27" s="853" t="str">
        <f t="shared" si="7"/>
        <v>x</v>
      </c>
      <c r="AO27" s="853" t="str">
        <f t="shared" si="8"/>
        <v/>
      </c>
    </row>
    <row r="28" spans="1:41" s="87" customFormat="1" ht="13.5" customHeight="1" x14ac:dyDescent="0.2">
      <c r="A28" s="488">
        <f>VLOOKUP(B28,Sheet1!$AQ$4:$AR$25,2,FALSE)</f>
        <v>0</v>
      </c>
      <c r="B28" s="93" t="str">
        <f>Sheet1!$K$22</f>
        <v>West Berkshire</v>
      </c>
      <c r="C28" s="85"/>
      <c r="D28" s="94" t="str">
        <f>IF(Year1_West_Berkshire Year1_Contacts="","",Year1_West_Berkshire Year1_Contacts)</f>
        <v/>
      </c>
      <c r="E28" s="100" t="str">
        <f>IF(Year2_West_Berkshire Year2_Contacts="","",Year2_West_Berkshire Year2_Contacts)</f>
        <v/>
      </c>
      <c r="F28" s="94" t="str">
        <f>IF(Year3_West_Berkshire Year3_Contacts="","",Year3_West_Berkshire Year3_Contacts)</f>
        <v/>
      </c>
      <c r="G28" s="94" t="str">
        <f>IF(Year4_West_Berkshire Year4_Contacts="","",Year4_West_Berkshire Year4_Contacts)</f>
        <v/>
      </c>
      <c r="H28" s="95" t="str">
        <f>IF(Year5_West_Berkshire Year5_Contacts="","",Year5_West_Berkshire Year5_Contacts)</f>
        <v/>
      </c>
      <c r="I28" s="861" t="str">
        <f t="shared" si="3"/>
        <v/>
      </c>
      <c r="J28" s="863" t="str">
        <f t="shared" si="0"/>
        <v/>
      </c>
      <c r="K28" s="96"/>
      <c r="L28" s="97" t="e">
        <f>IF(ISNUMBER(D28),D28/Population!D28*10000,NA())</f>
        <v>#N/A</v>
      </c>
      <c r="M28" s="97" t="e">
        <f>IF(ISNUMBER(E28),E28/Population!E28*10000,NA())</f>
        <v>#N/A</v>
      </c>
      <c r="N28" s="97" t="e">
        <f>IF(ISNUMBER(F28),F28/Population!F28*10000,NA())</f>
        <v>#N/A</v>
      </c>
      <c r="O28" s="97" t="e">
        <f>IF(ISNUMBER(G28),G28/Population!G28*10000,NA())</f>
        <v>#N/A</v>
      </c>
      <c r="P28" s="98" t="e">
        <f>IF(ISNUMBER(H28),H28/Population!H28*10000,NA())</f>
        <v>#N/A</v>
      </c>
      <c r="Q28" s="99" t="str">
        <f t="shared" si="4"/>
        <v/>
      </c>
      <c r="R28" s="822" t="e">
        <f t="shared" si="1"/>
        <v>#N/A</v>
      </c>
      <c r="S28" s="70"/>
      <c r="T28" s="752">
        <f>IDACI!C27</f>
        <v>8.6999999999999993</v>
      </c>
      <c r="U28" s="122"/>
      <c r="V28" s="139"/>
      <c r="W28" s="152"/>
      <c r="X28" s="72" t="str">
        <f>Sheet1!$K$22</f>
        <v>West Berkshire</v>
      </c>
      <c r="Y28" s="44">
        <f>IF(ISNUMBER($H28),IDACI!D27,0)</f>
        <v>0</v>
      </c>
      <c r="Z28" s="44">
        <f>IF(ISNUMBER($H28),IDACI!E27,0)</f>
        <v>0</v>
      </c>
      <c r="AA28" s="205" t="str">
        <f>IF(ISNUMBER(D28),Population!D28,"")</f>
        <v/>
      </c>
      <c r="AB28" s="205" t="str">
        <f>IF(ISNUMBER(E28),Population!E28,"")</f>
        <v/>
      </c>
      <c r="AC28" s="205" t="str">
        <f>IF(ISNUMBER(F28),Population!F28,"")</f>
        <v/>
      </c>
      <c r="AD28" s="205" t="str">
        <f>IF(ISNUMBER(G28),Population!G28,"")</f>
        <v/>
      </c>
      <c r="AE28" s="205" t="str">
        <f>IF(ISNUMBER(H28),Population!H28,"")</f>
        <v/>
      </c>
      <c r="AF28" s="93" t="str">
        <f>Sheet1!$J$22</f>
        <v>Wokingham</v>
      </c>
      <c r="AG28" s="231" t="str">
        <f t="shared" si="5"/>
        <v/>
      </c>
      <c r="AH28" s="206" t="e">
        <f t="shared" si="6"/>
        <v>#VALUE!</v>
      </c>
      <c r="AI28" s="202"/>
      <c r="AJ28" s="160"/>
      <c r="AK28" s="853" t="str">
        <f t="shared" si="7"/>
        <v>x</v>
      </c>
      <c r="AL28" s="853" t="str">
        <f t="shared" si="7"/>
        <v>x</v>
      </c>
      <c r="AM28" s="853" t="str">
        <f t="shared" si="7"/>
        <v>x</v>
      </c>
      <c r="AN28" s="853" t="str">
        <f t="shared" si="7"/>
        <v>x</v>
      </c>
      <c r="AO28" s="853" t="str">
        <f t="shared" si="8"/>
        <v/>
      </c>
    </row>
    <row r="29" spans="1:41" s="87" customFormat="1" ht="13.5" customHeight="1" x14ac:dyDescent="0.2">
      <c r="A29" s="488">
        <f>VLOOKUP(B29,Sheet1!$AQ$4:$AR$25,2,FALSE)</f>
        <v>0</v>
      </c>
      <c r="B29" s="93" t="str">
        <f>Sheet1!$K$23</f>
        <v>West Sussex</v>
      </c>
      <c r="C29" s="85"/>
      <c r="D29" s="94" t="str">
        <f>IF(Year1_West_Sussex Year1_Contacts="","",Year1_West_Sussex Year1_Contacts)</f>
        <v/>
      </c>
      <c r="E29" s="100" t="str">
        <f>IF(Year2_West_Sussex Year2_Contacts="","",Year2_West_Sussex Year2_Contacts)</f>
        <v/>
      </c>
      <c r="F29" s="94" t="str">
        <f>IF(Year3_West_Sussex Year3_Contacts="","",Year3_West_Sussex Year3_Contacts)</f>
        <v/>
      </c>
      <c r="G29" s="94" t="str">
        <f>IF(Year4_West_Sussex Year4_Contacts="","",Year4_West_Sussex Year4_Contacts)</f>
        <v/>
      </c>
      <c r="H29" s="95" t="str">
        <f>IF(Year5_West_Sussex Year5_Contacts="","",Year5_West_Sussex Year5_Contacts)</f>
        <v/>
      </c>
      <c r="I29" s="861" t="str">
        <f t="shared" si="3"/>
        <v/>
      </c>
      <c r="J29" s="863" t="str">
        <f t="shared" si="0"/>
        <v/>
      </c>
      <c r="K29" s="96"/>
      <c r="L29" s="97" t="e">
        <f>IF(ISNUMBER(D29),D29/Population!D29*10000,NA())</f>
        <v>#N/A</v>
      </c>
      <c r="M29" s="97" t="e">
        <f>IF(ISNUMBER(E29),E29/Population!E29*10000,NA())</f>
        <v>#N/A</v>
      </c>
      <c r="N29" s="97" t="e">
        <f>IF(ISNUMBER(F29),F29/Population!F29*10000,NA())</f>
        <v>#N/A</v>
      </c>
      <c r="O29" s="97" t="e">
        <f>IF(ISNUMBER(G29),G29/Population!G29*10000,NA())</f>
        <v>#N/A</v>
      </c>
      <c r="P29" s="98" t="e">
        <f>IF(ISNUMBER(H29),H29/Population!H29*10000,NA())</f>
        <v>#N/A</v>
      </c>
      <c r="Q29" s="99" t="str">
        <f t="shared" si="4"/>
        <v/>
      </c>
      <c r="R29" s="822" t="e">
        <f t="shared" si="1"/>
        <v>#N/A</v>
      </c>
      <c r="S29" s="70"/>
      <c r="T29" s="752">
        <f>IDACI!C28</f>
        <v>11</v>
      </c>
      <c r="U29" s="122"/>
      <c r="V29" s="139"/>
      <c r="W29" s="152"/>
      <c r="X29" s="72" t="str">
        <f>Sheet1!$K$23</f>
        <v>West Sussex</v>
      </c>
      <c r="Y29" s="44">
        <f>IF(ISNUMBER($H29),IDACI!D28,0)</f>
        <v>0</v>
      </c>
      <c r="Z29" s="44">
        <f>IF(ISNUMBER($H29),IDACI!E28,0)</f>
        <v>0</v>
      </c>
      <c r="AA29" s="205" t="str">
        <f>IF(ISNUMBER(D29),Population!D29,"")</f>
        <v/>
      </c>
      <c r="AB29" s="205" t="str">
        <f>IF(ISNUMBER(E29),Population!E29,"")</f>
        <v/>
      </c>
      <c r="AC29" s="205" t="str">
        <f>IF(ISNUMBER(F29),Population!F29,"")</f>
        <v/>
      </c>
      <c r="AD29" s="205" t="str">
        <f>IF(ISNUMBER(G29),Population!G29,"")</f>
        <v/>
      </c>
      <c r="AE29" s="205" t="str">
        <f>IF(ISNUMBER(H29),Population!H29,"")</f>
        <v/>
      </c>
      <c r="AF29" s="202"/>
      <c r="AG29" s="202"/>
      <c r="AH29" s="190"/>
      <c r="AI29" s="202"/>
      <c r="AJ29" s="160"/>
      <c r="AK29" s="853" t="str">
        <f t="shared" si="7"/>
        <v>x</v>
      </c>
      <c r="AL29" s="853" t="str">
        <f t="shared" si="7"/>
        <v>x</v>
      </c>
      <c r="AM29" s="853" t="str">
        <f t="shared" si="7"/>
        <v>x</v>
      </c>
      <c r="AN29" s="853" t="str">
        <f t="shared" si="7"/>
        <v>x</v>
      </c>
      <c r="AO29" s="853" t="str">
        <f t="shared" si="8"/>
        <v/>
      </c>
    </row>
    <row r="30" spans="1:41" s="87" customFormat="1" ht="13.5" customHeight="1" x14ac:dyDescent="0.2">
      <c r="A30" s="488">
        <f>VLOOKUP(B30,Sheet1!$AQ$4:$AR$25,2,FALSE)</f>
        <v>0</v>
      </c>
      <c r="B30" s="93" t="str">
        <f>Sheet1!$K$24</f>
        <v>Windsor &amp; Maidenhead</v>
      </c>
      <c r="C30" s="85"/>
      <c r="D30" s="100" t="str">
        <f>IF(Year1_Windsor_Maidenhead Year1_Contacts="","",Year1_Windsor_Maidenhead Year1_Contacts)</f>
        <v/>
      </c>
      <c r="E30" s="94" t="str">
        <f>IF(Year2_Windsor_Maidenhead Year2_Contacts="","",Year2_Windsor_Maidenhead Year2_Contacts)</f>
        <v/>
      </c>
      <c r="F30" s="94" t="str">
        <f>IF(Year3_Windsor_Maidenhead Year3_Contacts="","",Year3_Windsor_Maidenhead Year3_Contacts)</f>
        <v/>
      </c>
      <c r="G30" s="94" t="str">
        <f>IF(Year4_Windsor_Maidenhead Year4_Contacts="","",Year4_Windsor_Maidenhead Year4_Contacts)</f>
        <v/>
      </c>
      <c r="H30" s="95" t="str">
        <f>IF(Year5_Windsor_Maidenhead Year5_Contacts="","",Year5_Windsor_Maidenhead Year5_Contacts)</f>
        <v/>
      </c>
      <c r="I30" s="861" t="str">
        <f t="shared" si="3"/>
        <v/>
      </c>
      <c r="J30" s="863" t="str">
        <f t="shared" si="0"/>
        <v/>
      </c>
      <c r="K30" s="96"/>
      <c r="L30" s="97" t="e">
        <f>IF(ISNUMBER(D30),D30/Population!D30*10000,NA())</f>
        <v>#N/A</v>
      </c>
      <c r="M30" s="97" t="e">
        <f>IF(ISNUMBER(E30),E30/Population!E30*10000,NA())</f>
        <v>#N/A</v>
      </c>
      <c r="N30" s="97" t="e">
        <f>IF(ISNUMBER(F30),F30/Population!F30*10000,NA())</f>
        <v>#N/A</v>
      </c>
      <c r="O30" s="97" t="e">
        <f>IF(ISNUMBER(G30),G30/Population!G30*10000,NA())</f>
        <v>#N/A</v>
      </c>
      <c r="P30" s="98" t="e">
        <f>IF(ISNUMBER(H30),H30/Population!H30*10000,NA())</f>
        <v>#N/A</v>
      </c>
      <c r="Q30" s="99" t="str">
        <f t="shared" si="4"/>
        <v/>
      </c>
      <c r="R30" s="822" t="e">
        <f t="shared" si="1"/>
        <v>#N/A</v>
      </c>
      <c r="S30" s="70"/>
      <c r="T30" s="752">
        <f>IDACI!C29</f>
        <v>6.7</v>
      </c>
      <c r="U30" s="122"/>
      <c r="V30" s="139"/>
      <c r="W30" s="152"/>
      <c r="X30" s="72" t="str">
        <f>Sheet1!$K$24</f>
        <v>Windsor &amp; Maidenhead</v>
      </c>
      <c r="Y30" s="44">
        <f>IF(ISNUMBER($H30),IDACI!D29,0)</f>
        <v>0</v>
      </c>
      <c r="Z30" s="44">
        <f>IF(ISNUMBER($H30),IDACI!E29,0)</f>
        <v>0</v>
      </c>
      <c r="AA30" s="205" t="str">
        <f>IF(ISNUMBER(D30),Population!D30,"")</f>
        <v/>
      </c>
      <c r="AB30" s="205" t="str">
        <f>IF(ISNUMBER(E30),Population!E30,"")</f>
        <v/>
      </c>
      <c r="AC30" s="205" t="str">
        <f>IF(ISNUMBER(F30),Population!F30,"")</f>
        <v/>
      </c>
      <c r="AD30" s="205" t="str">
        <f>IF(ISNUMBER(G30),Population!G30,"")</f>
        <v/>
      </c>
      <c r="AE30" s="205" t="str">
        <f>IF(ISNUMBER(H30),Population!H30,"")</f>
        <v/>
      </c>
      <c r="AF30" s="202"/>
      <c r="AG30" s="202"/>
      <c r="AH30" s="190"/>
      <c r="AI30" s="202"/>
      <c r="AJ30" s="160"/>
      <c r="AK30" s="853" t="str">
        <f t="shared" si="7"/>
        <v>x</v>
      </c>
      <c r="AL30" s="853" t="str">
        <f t="shared" si="7"/>
        <v>x</v>
      </c>
      <c r="AM30" s="853" t="str">
        <f t="shared" si="7"/>
        <v>x</v>
      </c>
      <c r="AN30" s="853" t="str">
        <f t="shared" si="7"/>
        <v>x</v>
      </c>
      <c r="AO30" s="853" t="str">
        <f t="shared" si="8"/>
        <v/>
      </c>
    </row>
    <row r="31" spans="1:41" s="87" customFormat="1" ht="13.5" customHeight="1" x14ac:dyDescent="0.2">
      <c r="A31" s="488">
        <f>VLOOKUP(B31,Sheet1!$AQ$4:$AR$25,2,FALSE)</f>
        <v>0</v>
      </c>
      <c r="B31" s="93" t="str">
        <f>Sheet1!$K$25</f>
        <v>Wokingham</v>
      </c>
      <c r="C31" s="85"/>
      <c r="D31" s="100" t="str">
        <f>IF(Year1_Wokingham Year1_Contacts="","",Year1_Wokingham Year1_Contacts)</f>
        <v/>
      </c>
      <c r="E31" s="94" t="str">
        <f>IF(Year2_Wokingham Year2_Contacts="","",Year2_Wokingham Year2_Contacts)</f>
        <v/>
      </c>
      <c r="F31" s="94" t="str">
        <f>IF(Year3_Wokingham Year3_Contacts="","",Year3_Wokingham Year3_Contacts)</f>
        <v/>
      </c>
      <c r="G31" s="94" t="str">
        <f>IF(Year4_Wokingham Year4_Contacts="","",Year4_Wokingham Year4_Contacts)</f>
        <v/>
      </c>
      <c r="H31" s="95" t="str">
        <f>IF(Year5_Wokingham Year5_Contacts="","",Year5_Wokingham Year5_Contacts)</f>
        <v/>
      </c>
      <c r="I31" s="861" t="str">
        <f t="shared" si="3"/>
        <v/>
      </c>
      <c r="J31" s="863" t="str">
        <f t="shared" si="0"/>
        <v/>
      </c>
      <c r="K31" s="96"/>
      <c r="L31" s="97" t="e">
        <f>IF(ISNUMBER(D31),D31/Population!D31*10000,NA())</f>
        <v>#N/A</v>
      </c>
      <c r="M31" s="97" t="e">
        <f>IF(ISNUMBER(E31),E31/Population!E31*10000,NA())</f>
        <v>#N/A</v>
      </c>
      <c r="N31" s="97" t="e">
        <f>IF(ISNUMBER(F31),F31/Population!F31*10000,NA())</f>
        <v>#N/A</v>
      </c>
      <c r="O31" s="97" t="e">
        <f>IF(ISNUMBER(G31),G31/Population!G31*10000,NA())</f>
        <v>#N/A</v>
      </c>
      <c r="P31" s="98" t="e">
        <f>IF(ISNUMBER(H31),H31/Population!H31*10000,NA())</f>
        <v>#N/A</v>
      </c>
      <c r="Q31" s="99" t="str">
        <f t="shared" si="4"/>
        <v/>
      </c>
      <c r="R31" s="822" t="e">
        <f t="shared" si="1"/>
        <v>#N/A</v>
      </c>
      <c r="S31" s="70"/>
      <c r="T31" s="752">
        <f>IDACI!C30</f>
        <v>5.6000000000000005</v>
      </c>
      <c r="U31" s="122"/>
      <c r="V31" s="139"/>
      <c r="W31" s="152"/>
      <c r="X31" s="72" t="str">
        <f>Sheet1!$K$25</f>
        <v>Wokingham</v>
      </c>
      <c r="Y31" s="44">
        <f>IF(ISNUMBER($H31),IDACI!D30,0)</f>
        <v>0</v>
      </c>
      <c r="Z31" s="44">
        <f>IF(ISNUMBER($H31),IDACI!E30,0)</f>
        <v>0</v>
      </c>
      <c r="AA31" s="205" t="str">
        <f>IF(ISNUMBER(D31),Population!D31,"")</f>
        <v/>
      </c>
      <c r="AB31" s="205" t="str">
        <f>IF(ISNUMBER(E31),Population!E31,"")</f>
        <v/>
      </c>
      <c r="AC31" s="205" t="str">
        <f>IF(ISNUMBER(F31),Population!F31,"")</f>
        <v/>
      </c>
      <c r="AD31" s="205" t="str">
        <f>IF(ISNUMBER(G31),Population!G31,"")</f>
        <v/>
      </c>
      <c r="AE31" s="205" t="str">
        <f>IF(ISNUMBER(H31),Population!H31,"")</f>
        <v/>
      </c>
      <c r="AF31" s="202"/>
      <c r="AG31" s="202"/>
      <c r="AH31" s="190"/>
      <c r="AI31" s="202"/>
      <c r="AJ31" s="160"/>
      <c r="AK31" s="853" t="str">
        <f t="shared" si="7"/>
        <v>x</v>
      </c>
      <c r="AL31" s="853" t="str">
        <f t="shared" si="7"/>
        <v>x</v>
      </c>
      <c r="AM31" s="853" t="str">
        <f t="shared" si="7"/>
        <v>x</v>
      </c>
      <c r="AN31" s="853" t="str">
        <f t="shared" si="7"/>
        <v>x</v>
      </c>
      <c r="AO31" s="853" t="str">
        <f t="shared" si="8"/>
        <v/>
      </c>
    </row>
    <row r="32" spans="1:41" s="87" customFormat="1" ht="13.5" customHeight="1" x14ac:dyDescent="0.2">
      <c r="A32" s="121"/>
      <c r="B32" s="129" t="str">
        <f>Sheet1!$K$26</f>
        <v>South East</v>
      </c>
      <c r="C32" s="85"/>
      <c r="D32" s="130" t="str">
        <f>IF(Year1_SouthEast Year1_Contacts="","",Year1_SouthEast Year1_Contacts)</f>
        <v/>
      </c>
      <c r="E32" s="130" t="str">
        <f>IF(Year2_SouthEast Year2_Contacts="","",Year2_SouthEast Year2_Contacts)</f>
        <v/>
      </c>
      <c r="F32" s="130" t="str">
        <f>IF(Year3_SouthEast Year3_Contacts="","",Year3_SouthEast Year3_Contacts)</f>
        <v/>
      </c>
      <c r="G32" s="130" t="str">
        <f>IF(Year4_SouthEast Year4_Contacts="","",Year4_SouthEast Year4_Contacts)</f>
        <v/>
      </c>
      <c r="H32" s="425" t="str">
        <f>IF(Year5_SouthEast Year5_Contacts="","",Year5_SouthEast Year5_Contacts)</f>
        <v/>
      </c>
      <c r="I32" s="862" t="str">
        <f t="shared" si="3"/>
        <v/>
      </c>
      <c r="J32" s="863" t="str">
        <f t="shared" si="0"/>
        <v/>
      </c>
      <c r="K32" s="96"/>
      <c r="L32" s="132" t="e">
        <f>IF(ISNUMBER(D32),D32/AA32*10000,NA())</f>
        <v>#N/A</v>
      </c>
      <c r="M32" s="132" t="e">
        <f>IF(ISNUMBER(E32),E32/AB32*10000,NA())</f>
        <v>#N/A</v>
      </c>
      <c r="N32" s="132" t="e">
        <f>IF(ISNUMBER(F32),F32/AC32*10000,NA())</f>
        <v>#N/A</v>
      </c>
      <c r="O32" s="132" t="e">
        <f>IF(ISNUMBER(G32),G32/AD32*10000,NA())</f>
        <v>#N/A</v>
      </c>
      <c r="P32" s="133" t="e">
        <f>IF(ISNUMBER(H32),H32/AE32*10000,NA())</f>
        <v>#N/A</v>
      </c>
      <c r="Q32" s="99" t="str">
        <f t="shared" si="4"/>
        <v/>
      </c>
      <c r="R32" s="134" t="str">
        <f t="shared" si="1"/>
        <v>--</v>
      </c>
      <c r="S32" s="70"/>
      <c r="T32" s="753" t="e">
        <f>Z32/Y32*100</f>
        <v>#DIV/0!</v>
      </c>
      <c r="U32" s="122"/>
      <c r="V32" s="139"/>
      <c r="W32" s="152"/>
      <c r="X32" s="72" t="str">
        <f>Sheet1!$K$26</f>
        <v>South East</v>
      </c>
      <c r="Y32" s="44">
        <f>SUM(Y24:Y25,Y10:Y22,Y28:Y31)</f>
        <v>0</v>
      </c>
      <c r="Z32" s="44">
        <f>SUM(Z24:Z25,Z10:Z22,Z28:Z31)</f>
        <v>0</v>
      </c>
      <c r="AA32" s="205">
        <f>SUM(AA10:AA22,AA24:AA25,AA28:AA31)</f>
        <v>0</v>
      </c>
      <c r="AB32" s="205">
        <f>SUM(AB10:AB22,AB24:AB25,AB28:AB31)</f>
        <v>0</v>
      </c>
      <c r="AC32" s="205">
        <f t="shared" ref="AC32:AE32" si="9">SUM(AC10:AC22,AC24:AC25,AC28:AC31)</f>
        <v>0</v>
      </c>
      <c r="AD32" s="205">
        <f t="shared" si="9"/>
        <v>0</v>
      </c>
      <c r="AE32" s="205">
        <f t="shared" si="9"/>
        <v>0</v>
      </c>
      <c r="AF32" s="202"/>
      <c r="AG32" s="202"/>
      <c r="AH32" s="190"/>
      <c r="AI32" s="202"/>
      <c r="AJ32" s="160"/>
      <c r="AK32" s="853" t="str">
        <f>IF(ISERROR((M32-L32)/L32),"x",(M32-L32)/L32)</f>
        <v>x</v>
      </c>
      <c r="AL32" s="853" t="str">
        <f t="shared" ref="AL32:AN32" si="10">IF(ISERROR((N32-M32)/M32),"x",(N32-M32)/M32)</f>
        <v>x</v>
      </c>
      <c r="AM32" s="853" t="str">
        <f t="shared" si="10"/>
        <v>x</v>
      </c>
      <c r="AN32" s="853" t="str">
        <f t="shared" si="10"/>
        <v>x</v>
      </c>
      <c r="AO32" s="853" t="str">
        <f t="shared" si="8"/>
        <v/>
      </c>
    </row>
    <row r="33" spans="1:53" s="81" customFormat="1" ht="15" customHeight="1" x14ac:dyDescent="0.2">
      <c r="A33" s="118"/>
      <c r="B33" s="123" t="s">
        <v>90</v>
      </c>
      <c r="C33" s="63"/>
      <c r="D33" s="63"/>
      <c r="E33" s="63"/>
      <c r="F33" s="63"/>
      <c r="G33" s="63"/>
      <c r="H33" s="63"/>
      <c r="I33" s="63"/>
      <c r="J33" s="63"/>
      <c r="K33" s="63"/>
      <c r="L33" s="63"/>
      <c r="M33" s="63"/>
      <c r="N33" s="63"/>
      <c r="O33" s="63"/>
      <c r="P33" s="63"/>
      <c r="Q33" s="63"/>
      <c r="R33" s="136" t="s">
        <v>108</v>
      </c>
      <c r="T33" s="63"/>
      <c r="U33" s="117"/>
      <c r="V33" s="137"/>
      <c r="W33" s="150"/>
      <c r="X33" s="80"/>
      <c r="Y33" s="184"/>
      <c r="Z33" s="184"/>
      <c r="AA33" s="184"/>
      <c r="AB33" s="184"/>
      <c r="AC33" s="184"/>
      <c r="AD33" s="184"/>
      <c r="AE33" s="184"/>
      <c r="AF33" s="184"/>
      <c r="AG33" s="184"/>
      <c r="AI33" s="184"/>
      <c r="AJ33" s="161"/>
    </row>
    <row r="34" spans="1:53" s="81" customFormat="1" ht="39" customHeight="1" x14ac:dyDescent="0.2">
      <c r="A34" s="118"/>
      <c r="B34" s="1762" t="s">
        <v>729</v>
      </c>
      <c r="C34" s="1763"/>
      <c r="D34" s="1763"/>
      <c r="E34" s="1763"/>
      <c r="F34" s="1763"/>
      <c r="G34" s="1763"/>
      <c r="H34" s="1763"/>
      <c r="I34" s="1763"/>
      <c r="J34" s="1763"/>
      <c r="K34" s="1763"/>
      <c r="L34" s="1763"/>
      <c r="M34" s="1763"/>
      <c r="N34" s="1763"/>
      <c r="O34" s="1763"/>
      <c r="P34" s="1763"/>
      <c r="Q34" s="1763"/>
      <c r="R34" s="1763"/>
      <c r="S34" s="1763"/>
      <c r="T34" s="1764"/>
      <c r="U34" s="117"/>
      <c r="V34" s="137"/>
      <c r="W34" s="150"/>
      <c r="X34" s="80"/>
      <c r="Y34" s="184"/>
      <c r="Z34" s="184"/>
      <c r="AA34" s="184"/>
      <c r="AB34" s="184"/>
      <c r="AC34" s="184"/>
      <c r="AD34" s="184"/>
      <c r="AE34" s="184"/>
      <c r="AF34" s="184"/>
      <c r="AG34" s="184"/>
      <c r="AI34" s="184"/>
      <c r="AJ34" s="157"/>
      <c r="AK34" s="74"/>
      <c r="AL34" s="74"/>
      <c r="AM34" s="74"/>
      <c r="AN34" s="74"/>
      <c r="AO34" s="74"/>
      <c r="AP34" s="74"/>
      <c r="AQ34" s="74"/>
    </row>
    <row r="35" spans="1:53" s="81" customFormat="1" ht="7.5" customHeight="1" x14ac:dyDescent="0.2">
      <c r="A35" s="118"/>
      <c r="B35" s="17"/>
      <c r="C35" s="17"/>
      <c r="D35" s="16"/>
      <c r="E35" s="16"/>
      <c r="F35" s="16"/>
      <c r="G35" s="16"/>
      <c r="H35" s="16"/>
      <c r="I35" s="16"/>
      <c r="J35" s="16"/>
      <c r="K35" s="12"/>
      <c r="L35" s="18"/>
      <c r="M35" s="18"/>
      <c r="N35" s="18"/>
      <c r="O35" s="18"/>
      <c r="P35" s="18"/>
      <c r="Q35" s="18"/>
      <c r="R35" s="18"/>
      <c r="S35" s="18"/>
      <c r="T35" s="18"/>
      <c r="U35" s="117"/>
      <c r="V35" s="137"/>
      <c r="W35" s="150"/>
      <c r="Y35" s="190"/>
      <c r="AI35" s="184"/>
      <c r="AJ35" s="157"/>
      <c r="AK35" s="74"/>
      <c r="AL35" s="74"/>
      <c r="AM35" s="74"/>
      <c r="AN35" s="74"/>
      <c r="AO35" s="74"/>
      <c r="AP35" s="74"/>
      <c r="AQ35" s="74"/>
    </row>
    <row r="36" spans="1:53" s="81" customFormat="1" ht="15" customHeight="1" x14ac:dyDescent="0.2">
      <c r="A36" s="1716"/>
      <c r="B36" s="1760"/>
      <c r="C36" s="1760"/>
      <c r="D36" s="1760"/>
      <c r="E36" s="1760"/>
      <c r="F36" s="1760"/>
      <c r="G36" s="1760"/>
      <c r="H36" s="1760"/>
      <c r="I36" s="1760"/>
      <c r="J36" s="1760"/>
      <c r="K36" s="1760"/>
      <c r="L36" s="1760"/>
      <c r="M36" s="1760"/>
      <c r="N36" s="1760"/>
      <c r="O36" s="1760"/>
      <c r="P36" s="1760"/>
      <c r="Q36" s="1760"/>
      <c r="R36" s="1760"/>
      <c r="S36" s="1760"/>
      <c r="T36" s="1760"/>
      <c r="U36" s="1761"/>
      <c r="V36" s="137"/>
      <c r="W36" s="150"/>
      <c r="Y36" s="190"/>
      <c r="AJ36" s="161"/>
      <c r="AL36" s="81">
        <f>COLUMNS($B$4:L$4)</f>
        <v>11</v>
      </c>
      <c r="AM36" s="81">
        <f>COLUMNS($B$4:M$4)</f>
        <v>12</v>
      </c>
      <c r="AN36" s="81">
        <f>COLUMNS($B$4:N$4)</f>
        <v>13</v>
      </c>
      <c r="AO36" s="81">
        <f>COLUMNS($B$4:O$4)</f>
        <v>14</v>
      </c>
      <c r="AP36" s="81">
        <f>COLUMNS($B$4:P$4)</f>
        <v>15</v>
      </c>
      <c r="AQ36" s="81">
        <f>COLUMNS($B$4:T$4)</f>
        <v>19</v>
      </c>
      <c r="AR36" s="81">
        <f>COLUMNS($B$4:D$4)</f>
        <v>3</v>
      </c>
      <c r="AS36" s="81">
        <f>COLUMNS($B$4:E$4)</f>
        <v>4</v>
      </c>
      <c r="AT36" s="81">
        <f>COLUMNS($B$4:F$4)</f>
        <v>5</v>
      </c>
      <c r="AU36" s="81">
        <f>COLUMNS($B$4:G$4)</f>
        <v>6</v>
      </c>
      <c r="AV36" s="81">
        <f>COLUMNS($B$4:H$4)</f>
        <v>7</v>
      </c>
      <c r="AW36" s="81">
        <f>COLUMNS($B$4:D$4)</f>
        <v>3</v>
      </c>
      <c r="AX36" s="81">
        <f>COLUMNS($B$4:E$4)</f>
        <v>4</v>
      </c>
      <c r="AY36" s="81">
        <f>COLUMNS($B$4:F$4)</f>
        <v>5</v>
      </c>
      <c r="AZ36" s="81">
        <f>COLUMNS($B$4:G$4)</f>
        <v>6</v>
      </c>
      <c r="BA36" s="81">
        <f>COLUMNS($B$4:H$4)</f>
        <v>7</v>
      </c>
    </row>
    <row r="37" spans="1:53" s="81" customFormat="1" ht="9.9499999999999993" customHeight="1" x14ac:dyDescent="0.2">
      <c r="A37" s="1765" t="str">
        <f>Home!$A$39</f>
        <v xml:space="preserve"> </v>
      </c>
      <c r="B37" s="1766"/>
      <c r="C37" s="1766"/>
      <c r="D37" s="1766"/>
      <c r="E37" s="1766"/>
      <c r="F37" s="1766"/>
      <c r="G37" s="1766"/>
      <c r="H37" s="1766"/>
      <c r="I37" s="1767"/>
      <c r="J37" s="1768"/>
      <c r="K37" s="1766"/>
      <c r="L37" s="1766"/>
      <c r="M37" s="1766"/>
      <c r="N37" s="1766"/>
      <c r="O37" s="1766"/>
      <c r="P37" s="1766"/>
      <c r="Q37" s="1768"/>
      <c r="R37" s="1766"/>
      <c r="S37" s="1766"/>
      <c r="T37" s="1766"/>
      <c r="U37" s="1769"/>
      <c r="V37" s="137"/>
      <c r="W37" s="150"/>
      <c r="Y37" s="190"/>
      <c r="AI37" s="184"/>
      <c r="AJ37" s="160"/>
      <c r="AK37" s="87"/>
      <c r="AL37" s="795" t="s">
        <v>89</v>
      </c>
      <c r="AM37" s="796"/>
      <c r="AN37" s="796"/>
      <c r="AO37" s="796"/>
      <c r="AP37" s="796"/>
      <c r="AQ37" s="795" t="s">
        <v>1213</v>
      </c>
      <c r="AR37" s="55" t="s">
        <v>86</v>
      </c>
      <c r="AS37" s="24"/>
      <c r="AT37" s="24"/>
      <c r="AU37" s="24"/>
      <c r="AV37" s="23"/>
      <c r="AW37" s="55" t="s">
        <v>239</v>
      </c>
      <c r="AX37" s="24"/>
      <c r="AY37" s="24"/>
      <c r="AZ37" s="24"/>
      <c r="BA37" s="23"/>
    </row>
    <row r="38" spans="1:53" s="81" customFormat="1" ht="11.25" customHeight="1" x14ac:dyDescent="0.2">
      <c r="A38" s="112"/>
      <c r="B38" s="113"/>
      <c r="C38" s="113"/>
      <c r="D38" s="113"/>
      <c r="E38" s="113"/>
      <c r="F38" s="113"/>
      <c r="G38" s="113"/>
      <c r="H38" s="113"/>
      <c r="I38" s="113"/>
      <c r="J38" s="113"/>
      <c r="K38" s="114"/>
      <c r="L38" s="113"/>
      <c r="M38" s="113"/>
      <c r="N38" s="113"/>
      <c r="O38" s="113"/>
      <c r="P38" s="113"/>
      <c r="Q38" s="113"/>
      <c r="R38" s="113"/>
      <c r="S38" s="113"/>
      <c r="T38" s="113"/>
      <c r="U38" s="115"/>
      <c r="V38" s="137"/>
      <c r="W38" s="149" t="s">
        <v>101</v>
      </c>
      <c r="X38" s="197"/>
      <c r="Y38" s="197"/>
      <c r="Z38" s="197"/>
      <c r="AA38" s="197"/>
      <c r="AB38" s="197"/>
      <c r="AI38" s="184"/>
      <c r="AJ38" s="160"/>
      <c r="AK38" s="87"/>
      <c r="AL38" s="795" t="str">
        <f>Sheet1!$D$27</f>
        <v>2015-16</v>
      </c>
      <c r="AM38" s="795" t="str">
        <f>Sheet1!$E$27</f>
        <v>2016-17</v>
      </c>
      <c r="AN38" s="795" t="str">
        <f>Sheet1!$F$27</f>
        <v>2017-18</v>
      </c>
      <c r="AO38" s="795" t="str">
        <f>Sheet1!$G$27</f>
        <v>2018-19</v>
      </c>
      <c r="AP38" s="795" t="str">
        <f>Sheet1!$H$27</f>
        <v>2019-20</v>
      </c>
      <c r="AQ38" s="796"/>
      <c r="AR38" s="795" t="str">
        <f>Sheet1!$D$27</f>
        <v>2015-16</v>
      </c>
      <c r="AS38" s="795" t="str">
        <f>Sheet1!$E$27</f>
        <v>2016-17</v>
      </c>
      <c r="AT38" s="795" t="str">
        <f>Sheet1!$F$27</f>
        <v>2017-18</v>
      </c>
      <c r="AU38" s="795" t="str">
        <f>Sheet1!$G$27</f>
        <v>2018-19</v>
      </c>
      <c r="AV38" s="795" t="str">
        <f>Sheet1!$H$27</f>
        <v>2019-20</v>
      </c>
      <c r="AW38" s="795" t="str">
        <f>Sheet1!$D$27</f>
        <v>2015-16</v>
      </c>
      <c r="AX38" s="795" t="str">
        <f>Sheet1!$E$27</f>
        <v>2016-17</v>
      </c>
      <c r="AY38" s="795" t="str">
        <f>Sheet1!$F$27</f>
        <v>2017-18</v>
      </c>
      <c r="AZ38" s="795" t="str">
        <f>Sheet1!$G$27</f>
        <v>2018-19</v>
      </c>
      <c r="BA38" s="795" t="str">
        <f>Sheet1!$H$27</f>
        <v>2019-20</v>
      </c>
    </row>
    <row r="39" spans="1:53" s="81" customFormat="1" ht="3.75" customHeight="1" x14ac:dyDescent="0.25">
      <c r="A39" s="116"/>
      <c r="B39" s="9"/>
      <c r="C39" s="9"/>
      <c r="D39" s="9"/>
      <c r="E39" s="9"/>
      <c r="F39" s="9"/>
      <c r="G39" s="9"/>
      <c r="H39" s="9"/>
      <c r="I39" s="9"/>
      <c r="J39" s="9"/>
      <c r="K39" s="12"/>
      <c r="L39" s="9"/>
      <c r="M39" s="9"/>
      <c r="N39" s="9"/>
      <c r="O39" s="9"/>
      <c r="P39" s="9"/>
      <c r="Q39" s="9"/>
      <c r="R39" s="9"/>
      <c r="S39" s="9"/>
      <c r="T39" s="9"/>
      <c r="U39" s="117"/>
      <c r="V39" s="137"/>
      <c r="W39" s="294"/>
      <c r="AJ39" s="160"/>
      <c r="AK39" s="87"/>
      <c r="AL39" s="795" t="e">
        <f>Sheet1!$D$28</f>
        <v>#N/A</v>
      </c>
      <c r="AM39" s="795" t="e">
        <f>Sheet1!$E$28</f>
        <v>#N/A</v>
      </c>
      <c r="AN39" s="795" t="e">
        <f>Sheet1!$F$28</f>
        <v>#N/A</v>
      </c>
      <c r="AO39" s="795" t="e">
        <f>Sheet1!$G$28</f>
        <v>#N/A</v>
      </c>
      <c r="AP39" s="795" t="e">
        <f>Sheet1!$H$28</f>
        <v>#N/A</v>
      </c>
      <c r="AQ39" s="796"/>
      <c r="AR39" s="795" t="e">
        <f>Sheet1!$D$28</f>
        <v>#N/A</v>
      </c>
      <c r="AS39" s="795" t="e">
        <f>Sheet1!$E$28</f>
        <v>#N/A</v>
      </c>
      <c r="AT39" s="795" t="e">
        <f>Sheet1!$F$28</f>
        <v>#N/A</v>
      </c>
      <c r="AU39" s="795" t="e">
        <f>Sheet1!$G$28</f>
        <v>#N/A</v>
      </c>
      <c r="AV39" s="795" t="e">
        <f>Sheet1!$H$28</f>
        <v>#N/A</v>
      </c>
      <c r="AW39" s="795" t="e">
        <f>Sheet1!$D$28</f>
        <v>#N/A</v>
      </c>
      <c r="AX39" s="795" t="e">
        <f>Sheet1!$E$28</f>
        <v>#N/A</v>
      </c>
      <c r="AY39" s="795" t="e">
        <f>Sheet1!$F$28</f>
        <v>#N/A</v>
      </c>
      <c r="AZ39" s="795" t="e">
        <f>Sheet1!$G$28</f>
        <v>#N/A</v>
      </c>
      <c r="BA39" s="795" t="e">
        <f>Sheet1!$H$28</f>
        <v>#N/A</v>
      </c>
    </row>
    <row r="40" spans="1:53" s="81" customFormat="1" ht="14.25" customHeight="1" x14ac:dyDescent="0.2">
      <c r="A40" s="118"/>
      <c r="B40" s="9"/>
      <c r="C40" s="9"/>
      <c r="D40" s="9"/>
      <c r="E40" s="9"/>
      <c r="F40" s="9"/>
      <c r="G40" s="9"/>
      <c r="H40" s="9"/>
      <c r="I40" s="9"/>
      <c r="J40" s="9"/>
      <c r="K40" s="12"/>
      <c r="L40" s="9"/>
      <c r="M40" s="9"/>
      <c r="N40" s="9"/>
      <c r="O40" s="9"/>
      <c r="P40" s="9"/>
      <c r="Q40" s="9"/>
      <c r="R40" s="9"/>
      <c r="S40" s="9"/>
      <c r="T40" s="9"/>
      <c r="U40" s="117"/>
      <c r="V40" s="137"/>
      <c r="W40" s="294"/>
      <c r="X40" s="43" t="s">
        <v>72</v>
      </c>
      <c r="Y40" s="209" t="s">
        <v>70</v>
      </c>
      <c r="Z40" s="43" t="s">
        <v>71</v>
      </c>
      <c r="AA40" s="210">
        <v>5</v>
      </c>
      <c r="AB40" s="211" t="e">
        <f>(AA40*Y41)+Z41</f>
        <v>#DIV/0!</v>
      </c>
      <c r="AC40" s="1320" t="s">
        <v>977</v>
      </c>
      <c r="AI40" s="585" t="b">
        <v>1</v>
      </c>
      <c r="AJ40" s="160" t="str">
        <f>Sheet1!$K$4</f>
        <v>Bracknell Forest</v>
      </c>
      <c r="AK40" s="87" t="str">
        <f>IF(AI40=TRUE,Sheet1!$K4,"")</f>
        <v>Bracknell Forest</v>
      </c>
      <c r="AL40" s="146" t="e">
        <f t="shared" ref="AL40:AP49" si="11">VLOOKUP($AK40,$B$10:$P$32,AL$36,FALSE)</f>
        <v>#N/A</v>
      </c>
      <c r="AM40" s="146" t="e">
        <f t="shared" si="11"/>
        <v>#N/A</v>
      </c>
      <c r="AN40" s="146" t="e">
        <f t="shared" si="11"/>
        <v>#N/A</v>
      </c>
      <c r="AO40" s="146" t="e">
        <f t="shared" si="11"/>
        <v>#N/A</v>
      </c>
      <c r="AP40" s="146" t="e">
        <f t="shared" si="11"/>
        <v>#N/A</v>
      </c>
      <c r="AQ40" s="147">
        <f>VLOOKUP(AK40,$B$10:$T$32,$AQ$36,FALSE)</f>
        <v>8.9</v>
      </c>
      <c r="AR40" s="348" t="e">
        <f t="shared" ref="AR40:BA49" si="12">VLOOKUP($AK40,$B$76:$H$99,AR$36,FALSE)</f>
        <v>#N/A</v>
      </c>
      <c r="AS40" s="348" t="e">
        <f t="shared" si="12"/>
        <v>#N/A</v>
      </c>
      <c r="AT40" s="348" t="e">
        <f t="shared" si="12"/>
        <v>#N/A</v>
      </c>
      <c r="AU40" s="348" t="e">
        <f t="shared" si="12"/>
        <v>#N/A</v>
      </c>
      <c r="AV40" s="348" t="e">
        <f t="shared" si="12"/>
        <v>#N/A</v>
      </c>
      <c r="AW40" s="348" t="e">
        <f t="shared" si="12"/>
        <v>#N/A</v>
      </c>
      <c r="AX40" s="348" t="e">
        <f t="shared" si="12"/>
        <v>#N/A</v>
      </c>
      <c r="AY40" s="348" t="e">
        <f t="shared" si="12"/>
        <v>#N/A</v>
      </c>
      <c r="AZ40" s="348" t="e">
        <f t="shared" si="12"/>
        <v>#N/A</v>
      </c>
      <c r="BA40" s="348" t="e">
        <f t="shared" si="12"/>
        <v>#N/A</v>
      </c>
    </row>
    <row r="41" spans="1:53" s="81" customFormat="1" ht="14.25" customHeight="1" x14ac:dyDescent="0.2">
      <c r="A41" s="118"/>
      <c r="B41" s="9"/>
      <c r="C41" s="9"/>
      <c r="D41" s="9"/>
      <c r="E41" s="9"/>
      <c r="F41" s="9"/>
      <c r="G41" s="9"/>
      <c r="H41" s="9"/>
      <c r="I41" s="9"/>
      <c r="J41" s="9"/>
      <c r="K41" s="12"/>
      <c r="L41" s="9"/>
      <c r="M41" s="9"/>
      <c r="N41" s="9"/>
      <c r="O41" s="9"/>
      <c r="P41" s="9"/>
      <c r="Q41" s="9"/>
      <c r="R41" s="9"/>
      <c r="S41" s="9"/>
      <c r="T41" s="9"/>
      <c r="U41" s="117"/>
      <c r="V41" s="137"/>
      <c r="W41" s="294"/>
      <c r="X41" s="212" t="e">
        <f>"Y= "&amp;Y41&amp;"x + "&amp;Z41</f>
        <v>#DIV/0!</v>
      </c>
      <c r="Y41" s="743" t="e">
        <f>ChartLabels!Y3</f>
        <v>#DIV/0!</v>
      </c>
      <c r="Z41" s="743" t="e">
        <f>ChartLabels!Z3</f>
        <v>#DIV/0!</v>
      </c>
      <c r="AA41" s="215">
        <v>35</v>
      </c>
      <c r="AB41" s="216" t="e">
        <f>(AA41*Y41)+Z41</f>
        <v>#DIV/0!</v>
      </c>
      <c r="AC41" s="206" t="e">
        <f>ROUND(ChartLabels!AA3,3)</f>
        <v>#DIV/0!</v>
      </c>
      <c r="AI41" s="585" t="b">
        <v>1</v>
      </c>
      <c r="AJ41" s="160" t="str">
        <f>Sheet1!$K$5</f>
        <v>Brighton &amp; Hove</v>
      </c>
      <c r="AK41" s="87" t="str">
        <f>IF(AI41=TRUE,Sheet1!$K5,"")</f>
        <v>Brighton &amp; Hove</v>
      </c>
      <c r="AL41" s="146" t="e">
        <f t="shared" si="11"/>
        <v>#N/A</v>
      </c>
      <c r="AM41" s="146" t="e">
        <f t="shared" si="11"/>
        <v>#N/A</v>
      </c>
      <c r="AN41" s="146" t="e">
        <f t="shared" si="11"/>
        <v>#N/A</v>
      </c>
      <c r="AO41" s="146" t="e">
        <f t="shared" si="11"/>
        <v>#N/A</v>
      </c>
      <c r="AP41" s="146" t="e">
        <f t="shared" si="11"/>
        <v>#N/A</v>
      </c>
      <c r="AQ41" s="147">
        <f t="shared" ref="AQ41:AQ63" si="13">VLOOKUP(AK41,$B$10:$T$32,$AQ$36,FALSE)</f>
        <v>15.299999999999999</v>
      </c>
      <c r="AR41" s="348" t="e">
        <f t="shared" si="12"/>
        <v>#N/A</v>
      </c>
      <c r="AS41" s="348" t="e">
        <f t="shared" si="12"/>
        <v>#N/A</v>
      </c>
      <c r="AT41" s="348" t="e">
        <f t="shared" si="12"/>
        <v>#N/A</v>
      </c>
      <c r="AU41" s="348" t="e">
        <f t="shared" si="12"/>
        <v>#N/A</v>
      </c>
      <c r="AV41" s="348" t="e">
        <f t="shared" si="12"/>
        <v>#N/A</v>
      </c>
      <c r="AW41" s="348" t="e">
        <f t="shared" si="12"/>
        <v>#N/A</v>
      </c>
      <c r="AX41" s="348" t="e">
        <f t="shared" si="12"/>
        <v>#N/A</v>
      </c>
      <c r="AY41" s="348" t="e">
        <f t="shared" si="12"/>
        <v>#N/A</v>
      </c>
      <c r="AZ41" s="348" t="e">
        <f t="shared" si="12"/>
        <v>#N/A</v>
      </c>
      <c r="BA41" s="348" t="e">
        <f t="shared" si="12"/>
        <v>#N/A</v>
      </c>
    </row>
    <row r="42" spans="1:53" ht="14.25" customHeight="1" x14ac:dyDescent="0.2">
      <c r="A42" s="118"/>
      <c r="B42" s="9"/>
      <c r="C42" s="9"/>
      <c r="D42" s="9"/>
      <c r="E42" s="9"/>
      <c r="F42" s="9"/>
      <c r="G42" s="9"/>
      <c r="H42" s="9"/>
      <c r="I42" s="9"/>
      <c r="J42" s="9"/>
      <c r="K42" s="12"/>
      <c r="L42" s="9"/>
      <c r="M42" s="9"/>
      <c r="N42" s="9"/>
      <c r="O42" s="9"/>
      <c r="P42" s="9"/>
      <c r="Q42" s="9"/>
      <c r="R42" s="9"/>
      <c r="S42" s="9"/>
      <c r="T42" s="9"/>
      <c r="U42" s="117"/>
      <c r="V42" s="137"/>
      <c r="W42" s="294"/>
      <c r="X42" s="809"/>
      <c r="Y42" s="810"/>
      <c r="Z42" s="809"/>
      <c r="AA42" s="811"/>
      <c r="AB42" s="815"/>
      <c r="AC42" s="1319" t="e">
        <f>AC40&amp;" = "&amp;AC41</f>
        <v>#DIV/0!</v>
      </c>
      <c r="AI42" s="585" t="b">
        <v>1</v>
      </c>
      <c r="AJ42" s="160" t="str">
        <f>Sheet1!$K$6</f>
        <v>Buckinghamshire</v>
      </c>
      <c r="AK42" s="87" t="str">
        <f>IF(AI42=TRUE,Sheet1!$K6,"")</f>
        <v>Buckinghamshire</v>
      </c>
      <c r="AL42" s="146" t="e">
        <f t="shared" si="11"/>
        <v>#N/A</v>
      </c>
      <c r="AM42" s="146" t="e">
        <f t="shared" si="11"/>
        <v>#N/A</v>
      </c>
      <c r="AN42" s="146" t="e">
        <f t="shared" si="11"/>
        <v>#N/A</v>
      </c>
      <c r="AO42" s="146" t="e">
        <f t="shared" si="11"/>
        <v>#N/A</v>
      </c>
      <c r="AP42" s="146" t="e">
        <f t="shared" si="11"/>
        <v>#N/A</v>
      </c>
      <c r="AQ42" s="147">
        <f t="shared" si="13"/>
        <v>8.5</v>
      </c>
      <c r="AR42" s="348" t="e">
        <f t="shared" si="12"/>
        <v>#N/A</v>
      </c>
      <c r="AS42" s="348" t="e">
        <f t="shared" si="12"/>
        <v>#N/A</v>
      </c>
      <c r="AT42" s="348" t="e">
        <f t="shared" si="12"/>
        <v>#N/A</v>
      </c>
      <c r="AU42" s="348" t="e">
        <f t="shared" si="12"/>
        <v>#N/A</v>
      </c>
      <c r="AV42" s="348" t="e">
        <f t="shared" si="12"/>
        <v>#N/A</v>
      </c>
      <c r="AW42" s="348" t="e">
        <f t="shared" si="12"/>
        <v>#N/A</v>
      </c>
      <c r="AX42" s="348" t="e">
        <f t="shared" si="12"/>
        <v>#N/A</v>
      </c>
      <c r="AY42" s="348" t="e">
        <f t="shared" si="12"/>
        <v>#N/A</v>
      </c>
      <c r="AZ42" s="348" t="e">
        <f t="shared" si="12"/>
        <v>#N/A</v>
      </c>
      <c r="BA42" s="348" t="e">
        <f t="shared" si="12"/>
        <v>#N/A</v>
      </c>
    </row>
    <row r="43" spans="1:53" ht="14.25" customHeight="1" x14ac:dyDescent="0.2">
      <c r="A43" s="118"/>
      <c r="B43" s="9"/>
      <c r="C43" s="9"/>
      <c r="D43" s="9"/>
      <c r="E43" s="9"/>
      <c r="F43" s="9"/>
      <c r="G43" s="9"/>
      <c r="H43" s="9"/>
      <c r="I43" s="9"/>
      <c r="J43" s="9"/>
      <c r="K43" s="12"/>
      <c r="L43" s="13"/>
      <c r="M43" s="13"/>
      <c r="N43" s="13"/>
      <c r="O43" s="13"/>
      <c r="P43" s="14"/>
      <c r="Q43" s="14"/>
      <c r="R43" s="14"/>
      <c r="S43" s="14"/>
      <c r="T43" s="14"/>
      <c r="U43" s="117"/>
      <c r="V43" s="137"/>
      <c r="W43" s="294"/>
      <c r="X43" s="812"/>
      <c r="Y43" s="816"/>
      <c r="Z43" s="816"/>
      <c r="AA43" s="813"/>
      <c r="AB43" s="814"/>
      <c r="AC43" s="817"/>
      <c r="AI43" s="585" t="b">
        <v>1</v>
      </c>
      <c r="AJ43" s="160" t="str">
        <f>Sheet1!$K$7</f>
        <v>East Sussex</v>
      </c>
      <c r="AK43" s="87" t="str">
        <f>IF(AI43=TRUE,Sheet1!$K7,"")</f>
        <v>East Sussex</v>
      </c>
      <c r="AL43" s="146" t="e">
        <f t="shared" si="11"/>
        <v>#N/A</v>
      </c>
      <c r="AM43" s="146" t="e">
        <f t="shared" si="11"/>
        <v>#N/A</v>
      </c>
      <c r="AN43" s="146" t="e">
        <f t="shared" si="11"/>
        <v>#N/A</v>
      </c>
      <c r="AO43" s="146" t="e">
        <f t="shared" si="11"/>
        <v>#N/A</v>
      </c>
      <c r="AP43" s="146" t="e">
        <f t="shared" si="11"/>
        <v>#N/A</v>
      </c>
      <c r="AQ43" s="147">
        <f t="shared" si="13"/>
        <v>16.100000000000001</v>
      </c>
      <c r="AR43" s="348" t="e">
        <f t="shared" si="12"/>
        <v>#N/A</v>
      </c>
      <c r="AS43" s="348" t="e">
        <f t="shared" si="12"/>
        <v>#N/A</v>
      </c>
      <c r="AT43" s="348" t="e">
        <f t="shared" si="12"/>
        <v>#N/A</v>
      </c>
      <c r="AU43" s="348" t="e">
        <f t="shared" si="12"/>
        <v>#N/A</v>
      </c>
      <c r="AV43" s="348" t="e">
        <f t="shared" si="12"/>
        <v>#N/A</v>
      </c>
      <c r="AW43" s="348" t="e">
        <f t="shared" si="12"/>
        <v>#N/A</v>
      </c>
      <c r="AX43" s="348" t="e">
        <f t="shared" si="12"/>
        <v>#N/A</v>
      </c>
      <c r="AY43" s="348" t="e">
        <f t="shared" si="12"/>
        <v>#N/A</v>
      </c>
      <c r="AZ43" s="348" t="e">
        <f t="shared" si="12"/>
        <v>#N/A</v>
      </c>
      <c r="BA43" s="348" t="e">
        <f t="shared" si="12"/>
        <v>#N/A</v>
      </c>
    </row>
    <row r="44" spans="1:53" s="76" customFormat="1" ht="14.25" customHeight="1" x14ac:dyDescent="0.2">
      <c r="A44" s="119"/>
      <c r="B44" s="226"/>
      <c r="C44" s="226"/>
      <c r="D44" s="227"/>
      <c r="E44" s="227"/>
      <c r="F44" s="227"/>
      <c r="G44" s="227"/>
      <c r="H44" s="227"/>
      <c r="I44" s="227"/>
      <c r="J44" s="227"/>
      <c r="K44" s="15"/>
      <c r="L44" s="9"/>
      <c r="M44" s="9"/>
      <c r="N44" s="9"/>
      <c r="O44" s="9"/>
      <c r="P44" s="9"/>
      <c r="Q44" s="9"/>
      <c r="R44" s="9"/>
      <c r="S44" s="9"/>
      <c r="T44" s="9"/>
      <c r="U44" s="120"/>
      <c r="V44" s="138"/>
      <c r="W44" s="295"/>
      <c r="AC44" s="81"/>
      <c r="AD44" s="81"/>
      <c r="AE44" s="81"/>
      <c r="AF44" s="81"/>
      <c r="AG44" s="81"/>
      <c r="AH44" s="81"/>
      <c r="AI44" s="585" t="b">
        <v>1</v>
      </c>
      <c r="AJ44" s="160" t="str">
        <f>Sheet1!$K$8</f>
        <v>Hampshire</v>
      </c>
      <c r="AK44" s="87" t="str">
        <f>IF(AI44=TRUE,Sheet1!$K8,"")</f>
        <v>Hampshire</v>
      </c>
      <c r="AL44" s="146" t="e">
        <f t="shared" si="11"/>
        <v>#N/A</v>
      </c>
      <c r="AM44" s="146" t="e">
        <f t="shared" si="11"/>
        <v>#N/A</v>
      </c>
      <c r="AN44" s="146" t="e">
        <f t="shared" si="11"/>
        <v>#N/A</v>
      </c>
      <c r="AO44" s="146" t="e">
        <f t="shared" si="11"/>
        <v>#N/A</v>
      </c>
      <c r="AP44" s="146" t="e">
        <f t="shared" si="11"/>
        <v>#N/A</v>
      </c>
      <c r="AQ44" s="147">
        <f t="shared" si="13"/>
        <v>10.100000000000001</v>
      </c>
      <c r="AR44" s="348" t="e">
        <f t="shared" si="12"/>
        <v>#N/A</v>
      </c>
      <c r="AS44" s="348" t="e">
        <f t="shared" si="12"/>
        <v>#N/A</v>
      </c>
      <c r="AT44" s="348" t="e">
        <f t="shared" si="12"/>
        <v>#N/A</v>
      </c>
      <c r="AU44" s="348" t="e">
        <f t="shared" si="12"/>
        <v>#N/A</v>
      </c>
      <c r="AV44" s="348" t="e">
        <f t="shared" si="12"/>
        <v>#N/A</v>
      </c>
      <c r="AW44" s="348" t="e">
        <f t="shared" si="12"/>
        <v>#N/A</v>
      </c>
      <c r="AX44" s="348" t="e">
        <f t="shared" si="12"/>
        <v>#N/A</v>
      </c>
      <c r="AY44" s="348" t="e">
        <f t="shared" si="12"/>
        <v>#N/A</v>
      </c>
      <c r="AZ44" s="348" t="e">
        <f t="shared" si="12"/>
        <v>#N/A</v>
      </c>
      <c r="BA44" s="348" t="e">
        <f t="shared" si="12"/>
        <v>#N/A</v>
      </c>
    </row>
    <row r="45" spans="1:53" ht="14.25" customHeight="1" x14ac:dyDescent="0.2">
      <c r="A45" s="118"/>
      <c r="B45" s="227"/>
      <c r="C45" s="227"/>
      <c r="D45" s="227"/>
      <c r="E45" s="227"/>
      <c r="F45" s="227"/>
      <c r="G45" s="227"/>
      <c r="H45" s="227"/>
      <c r="I45" s="227"/>
      <c r="J45" s="227"/>
      <c r="K45" s="12"/>
      <c r="L45" s="14"/>
      <c r="M45" s="14"/>
      <c r="N45" s="14"/>
      <c r="O45" s="14"/>
      <c r="P45" s="9"/>
      <c r="Q45" s="9"/>
      <c r="R45" s="9"/>
      <c r="S45" s="9"/>
      <c r="T45" s="9"/>
      <c r="U45" s="117"/>
      <c r="V45" s="137"/>
      <c r="W45" s="294"/>
      <c r="AI45" s="585" t="b">
        <v>1</v>
      </c>
      <c r="AJ45" s="160" t="str">
        <f>Sheet1!$K$9</f>
        <v>Isle of Wight</v>
      </c>
      <c r="AK45" s="87" t="str">
        <f>IF(AI45=TRUE,Sheet1!$K9,"")</f>
        <v>Isle of Wight</v>
      </c>
      <c r="AL45" s="146" t="e">
        <f t="shared" si="11"/>
        <v>#N/A</v>
      </c>
      <c r="AM45" s="146" t="e">
        <f t="shared" si="11"/>
        <v>#N/A</v>
      </c>
      <c r="AN45" s="146" t="e">
        <f t="shared" si="11"/>
        <v>#N/A</v>
      </c>
      <c r="AO45" s="146" t="e">
        <f t="shared" si="11"/>
        <v>#N/A</v>
      </c>
      <c r="AP45" s="146" t="e">
        <f t="shared" si="11"/>
        <v>#N/A</v>
      </c>
      <c r="AQ45" s="147">
        <f t="shared" si="13"/>
        <v>18</v>
      </c>
      <c r="AR45" s="348" t="e">
        <f t="shared" si="12"/>
        <v>#N/A</v>
      </c>
      <c r="AS45" s="348" t="e">
        <f t="shared" si="12"/>
        <v>#N/A</v>
      </c>
      <c r="AT45" s="348" t="e">
        <f t="shared" si="12"/>
        <v>#N/A</v>
      </c>
      <c r="AU45" s="348" t="e">
        <f t="shared" si="12"/>
        <v>#N/A</v>
      </c>
      <c r="AV45" s="348" t="e">
        <f t="shared" si="12"/>
        <v>#N/A</v>
      </c>
      <c r="AW45" s="348" t="e">
        <f t="shared" si="12"/>
        <v>#N/A</v>
      </c>
      <c r="AX45" s="348" t="e">
        <f t="shared" si="12"/>
        <v>#N/A</v>
      </c>
      <c r="AY45" s="348" t="e">
        <f t="shared" si="12"/>
        <v>#N/A</v>
      </c>
      <c r="AZ45" s="348" t="e">
        <f t="shared" si="12"/>
        <v>#N/A</v>
      </c>
      <c r="BA45" s="348" t="e">
        <f t="shared" si="12"/>
        <v>#N/A</v>
      </c>
    </row>
    <row r="46" spans="1:53" ht="14.25" customHeight="1" x14ac:dyDescent="0.2">
      <c r="A46" s="118"/>
      <c r="B46" s="227"/>
      <c r="C46" s="227"/>
      <c r="D46" s="227"/>
      <c r="E46" s="227"/>
      <c r="F46" s="227"/>
      <c r="G46" s="227"/>
      <c r="H46" s="227"/>
      <c r="I46" s="227"/>
      <c r="J46" s="227"/>
      <c r="K46" s="12"/>
      <c r="L46" s="14"/>
      <c r="M46" s="14"/>
      <c r="N46" s="14"/>
      <c r="O46" s="14"/>
      <c r="P46" s="9"/>
      <c r="Q46" s="9"/>
      <c r="R46" s="9"/>
      <c r="S46" s="9"/>
      <c r="T46" s="9"/>
      <c r="U46" s="117"/>
      <c r="V46" s="137"/>
      <c r="W46" s="294"/>
      <c r="AC46" s="207"/>
      <c r="AI46" s="585" t="b">
        <v>1</v>
      </c>
      <c r="AJ46" s="160" t="str">
        <f>Sheet1!$K$10</f>
        <v>Kent</v>
      </c>
      <c r="AK46" s="87" t="str">
        <f>IF(AI46=TRUE,Sheet1!$K10,"")</f>
        <v>Kent</v>
      </c>
      <c r="AL46" s="146" t="e">
        <f t="shared" si="11"/>
        <v>#N/A</v>
      </c>
      <c r="AM46" s="146" t="e">
        <f t="shared" si="11"/>
        <v>#N/A</v>
      </c>
      <c r="AN46" s="146" t="e">
        <f t="shared" si="11"/>
        <v>#N/A</v>
      </c>
      <c r="AO46" s="146" t="e">
        <f t="shared" si="11"/>
        <v>#N/A</v>
      </c>
      <c r="AP46" s="146" t="e">
        <f t="shared" si="11"/>
        <v>#N/A</v>
      </c>
      <c r="AQ46" s="147">
        <f t="shared" si="13"/>
        <v>15.8</v>
      </c>
      <c r="AR46" s="348" t="e">
        <f t="shared" si="12"/>
        <v>#N/A</v>
      </c>
      <c r="AS46" s="348" t="e">
        <f t="shared" si="12"/>
        <v>#N/A</v>
      </c>
      <c r="AT46" s="348" t="e">
        <f t="shared" si="12"/>
        <v>#N/A</v>
      </c>
      <c r="AU46" s="348" t="e">
        <f t="shared" si="12"/>
        <v>#N/A</v>
      </c>
      <c r="AV46" s="348" t="e">
        <f t="shared" si="12"/>
        <v>#N/A</v>
      </c>
      <c r="AW46" s="348" t="e">
        <f t="shared" si="12"/>
        <v>#N/A</v>
      </c>
      <c r="AX46" s="348" t="e">
        <f t="shared" si="12"/>
        <v>#N/A</v>
      </c>
      <c r="AY46" s="348" t="e">
        <f t="shared" si="12"/>
        <v>#N/A</v>
      </c>
      <c r="AZ46" s="348" t="e">
        <f t="shared" si="12"/>
        <v>#N/A</v>
      </c>
      <c r="BA46" s="348" t="e">
        <f t="shared" si="12"/>
        <v>#N/A</v>
      </c>
    </row>
    <row r="47" spans="1:53" ht="14.25" customHeight="1" x14ac:dyDescent="0.2">
      <c r="A47" s="118"/>
      <c r="B47" s="58"/>
      <c r="C47" s="58"/>
      <c r="D47" s="58"/>
      <c r="E47" s="58"/>
      <c r="F47" s="58"/>
      <c r="G47" s="58"/>
      <c r="H47" s="58"/>
      <c r="I47" s="58"/>
      <c r="J47" s="58"/>
      <c r="K47" s="12"/>
      <c r="L47" s="14"/>
      <c r="M47" s="14"/>
      <c r="N47" s="14"/>
      <c r="O47" s="14"/>
      <c r="P47" s="9"/>
      <c r="Q47" s="9"/>
      <c r="R47" s="9"/>
      <c r="S47" s="9"/>
      <c r="T47" s="9"/>
      <c r="U47" s="117"/>
      <c r="V47" s="137"/>
      <c r="W47" s="294"/>
      <c r="AC47" s="184"/>
      <c r="AI47" s="585" t="b">
        <v>1</v>
      </c>
      <c r="AJ47" s="160" t="str">
        <f>Sheet1!$K$11</f>
        <v>Medway</v>
      </c>
      <c r="AK47" s="87" t="str">
        <f>IF(AI47=TRUE,Sheet1!$K11,"")</f>
        <v>Medway</v>
      </c>
      <c r="AL47" s="146" t="e">
        <f t="shared" si="11"/>
        <v>#N/A</v>
      </c>
      <c r="AM47" s="146" t="e">
        <f t="shared" si="11"/>
        <v>#N/A</v>
      </c>
      <c r="AN47" s="146" t="e">
        <f t="shared" si="11"/>
        <v>#N/A</v>
      </c>
      <c r="AO47" s="146" t="e">
        <f t="shared" si="11"/>
        <v>#N/A</v>
      </c>
      <c r="AP47" s="146" t="e">
        <f t="shared" si="11"/>
        <v>#N/A</v>
      </c>
      <c r="AQ47" s="147">
        <f t="shared" si="13"/>
        <v>18.899999999999999</v>
      </c>
      <c r="AR47" s="348" t="e">
        <f t="shared" si="12"/>
        <v>#N/A</v>
      </c>
      <c r="AS47" s="348" t="e">
        <f t="shared" si="12"/>
        <v>#N/A</v>
      </c>
      <c r="AT47" s="348" t="e">
        <f t="shared" si="12"/>
        <v>#N/A</v>
      </c>
      <c r="AU47" s="348" t="e">
        <f t="shared" si="12"/>
        <v>#N/A</v>
      </c>
      <c r="AV47" s="348" t="e">
        <f t="shared" si="12"/>
        <v>#N/A</v>
      </c>
      <c r="AW47" s="348" t="e">
        <f t="shared" si="12"/>
        <v>#N/A</v>
      </c>
      <c r="AX47" s="348" t="e">
        <f t="shared" si="12"/>
        <v>#N/A</v>
      </c>
      <c r="AY47" s="348" t="e">
        <f t="shared" si="12"/>
        <v>#N/A</v>
      </c>
      <c r="AZ47" s="348" t="e">
        <f t="shared" si="12"/>
        <v>#N/A</v>
      </c>
      <c r="BA47" s="348" t="e">
        <f t="shared" si="12"/>
        <v>#N/A</v>
      </c>
    </row>
    <row r="48" spans="1:53" ht="14.25" customHeight="1" x14ac:dyDescent="0.2">
      <c r="A48" s="118"/>
      <c r="B48" s="58"/>
      <c r="C48" s="58"/>
      <c r="D48" s="69"/>
      <c r="E48" s="70"/>
      <c r="F48" s="69"/>
      <c r="G48" s="70"/>
      <c r="H48" s="70"/>
      <c r="I48" s="70"/>
      <c r="J48" s="70"/>
      <c r="K48" s="12"/>
      <c r="L48" s="14"/>
      <c r="M48" s="14"/>
      <c r="N48" s="14"/>
      <c r="O48" s="14"/>
      <c r="P48" s="9"/>
      <c r="Q48" s="9"/>
      <c r="R48" s="9"/>
      <c r="S48" s="9"/>
      <c r="T48" s="9"/>
      <c r="U48" s="117"/>
      <c r="V48" s="137"/>
      <c r="W48" s="294"/>
      <c r="AI48" s="585" t="b">
        <v>1</v>
      </c>
      <c r="AJ48" s="160" t="str">
        <f>Sheet1!$K$12</f>
        <v>Milton Keynes</v>
      </c>
      <c r="AK48" s="87" t="str">
        <f>IF(AI48=TRUE,Sheet1!$K12,"")</f>
        <v>Milton Keynes</v>
      </c>
      <c r="AL48" s="146" t="e">
        <f t="shared" si="11"/>
        <v>#N/A</v>
      </c>
      <c r="AM48" s="146" t="e">
        <f t="shared" si="11"/>
        <v>#N/A</v>
      </c>
      <c r="AN48" s="146" t="e">
        <f t="shared" si="11"/>
        <v>#N/A</v>
      </c>
      <c r="AO48" s="146" t="e">
        <f t="shared" si="11"/>
        <v>#N/A</v>
      </c>
      <c r="AP48" s="146" t="e">
        <f t="shared" si="11"/>
        <v>#N/A</v>
      </c>
      <c r="AQ48" s="147">
        <f t="shared" si="13"/>
        <v>15</v>
      </c>
      <c r="AR48" s="348" t="e">
        <f t="shared" si="12"/>
        <v>#N/A</v>
      </c>
      <c r="AS48" s="348" t="e">
        <f t="shared" si="12"/>
        <v>#N/A</v>
      </c>
      <c r="AT48" s="348" t="e">
        <f t="shared" si="12"/>
        <v>#N/A</v>
      </c>
      <c r="AU48" s="348" t="e">
        <f t="shared" si="12"/>
        <v>#N/A</v>
      </c>
      <c r="AV48" s="348" t="e">
        <f t="shared" si="12"/>
        <v>#N/A</v>
      </c>
      <c r="AW48" s="348" t="e">
        <f t="shared" si="12"/>
        <v>#N/A</v>
      </c>
      <c r="AX48" s="348" t="e">
        <f t="shared" si="12"/>
        <v>#N/A</v>
      </c>
      <c r="AY48" s="348" t="e">
        <f t="shared" si="12"/>
        <v>#N/A</v>
      </c>
      <c r="AZ48" s="348" t="e">
        <f t="shared" si="12"/>
        <v>#N/A</v>
      </c>
      <c r="BA48" s="348" t="e">
        <f t="shared" si="12"/>
        <v>#N/A</v>
      </c>
    </row>
    <row r="49" spans="1:53" ht="14.25" customHeight="1" x14ac:dyDescent="0.2">
      <c r="A49" s="118"/>
      <c r="B49" s="58"/>
      <c r="C49" s="58"/>
      <c r="D49" s="61"/>
      <c r="E49" s="61"/>
      <c r="F49" s="61"/>
      <c r="G49" s="61"/>
      <c r="H49" s="61"/>
      <c r="I49" s="61"/>
      <c r="J49" s="61"/>
      <c r="K49" s="12"/>
      <c r="L49" s="14"/>
      <c r="M49" s="14"/>
      <c r="N49" s="14"/>
      <c r="O49" s="14"/>
      <c r="P49" s="9"/>
      <c r="Q49" s="9"/>
      <c r="R49" s="9"/>
      <c r="S49" s="9"/>
      <c r="T49" s="9"/>
      <c r="U49" s="117"/>
      <c r="V49" s="137"/>
      <c r="W49" s="294"/>
      <c r="AI49" s="585" t="b">
        <v>1</v>
      </c>
      <c r="AJ49" s="160" t="str">
        <f>Sheet1!$K$13</f>
        <v>Oxfordshire</v>
      </c>
      <c r="AK49" s="87" t="str">
        <f>IF(AI49=TRUE,Sheet1!$K13,"")</f>
        <v>Oxfordshire</v>
      </c>
      <c r="AL49" s="146" t="e">
        <f t="shared" si="11"/>
        <v>#N/A</v>
      </c>
      <c r="AM49" s="146" t="e">
        <f t="shared" si="11"/>
        <v>#N/A</v>
      </c>
      <c r="AN49" s="146" t="e">
        <f t="shared" si="11"/>
        <v>#N/A</v>
      </c>
      <c r="AO49" s="146" t="e">
        <f t="shared" si="11"/>
        <v>#N/A</v>
      </c>
      <c r="AP49" s="146" t="e">
        <f t="shared" si="11"/>
        <v>#N/A</v>
      </c>
      <c r="AQ49" s="147">
        <f t="shared" si="13"/>
        <v>10.100000000000001</v>
      </c>
      <c r="AR49" s="348" t="e">
        <f t="shared" si="12"/>
        <v>#N/A</v>
      </c>
      <c r="AS49" s="348" t="e">
        <f t="shared" si="12"/>
        <v>#N/A</v>
      </c>
      <c r="AT49" s="348" t="e">
        <f t="shared" si="12"/>
        <v>#N/A</v>
      </c>
      <c r="AU49" s="348" t="e">
        <f t="shared" si="12"/>
        <v>#N/A</v>
      </c>
      <c r="AV49" s="348" t="e">
        <f t="shared" si="12"/>
        <v>#N/A</v>
      </c>
      <c r="AW49" s="348" t="e">
        <f t="shared" si="12"/>
        <v>#N/A</v>
      </c>
      <c r="AX49" s="348" t="e">
        <f t="shared" si="12"/>
        <v>#N/A</v>
      </c>
      <c r="AY49" s="348" t="e">
        <f t="shared" si="12"/>
        <v>#N/A</v>
      </c>
      <c r="AZ49" s="348" t="e">
        <f t="shared" si="12"/>
        <v>#N/A</v>
      </c>
      <c r="BA49" s="348" t="e">
        <f t="shared" si="12"/>
        <v>#N/A</v>
      </c>
    </row>
    <row r="50" spans="1:53" ht="14.25" customHeight="1" x14ac:dyDescent="0.2">
      <c r="A50" s="118"/>
      <c r="B50" s="421"/>
      <c r="C50" s="421"/>
      <c r="D50" s="58"/>
      <c r="E50" s="58"/>
      <c r="F50" s="58"/>
      <c r="G50" s="58"/>
      <c r="H50" s="58"/>
      <c r="I50" s="58"/>
      <c r="J50" s="58"/>
      <c r="K50" s="12"/>
      <c r="L50" s="14"/>
      <c r="M50" s="14"/>
      <c r="N50" s="14"/>
      <c r="O50" s="14"/>
      <c r="P50" s="9"/>
      <c r="Q50" s="9"/>
      <c r="R50" s="9"/>
      <c r="S50" s="9"/>
      <c r="T50" s="9"/>
      <c r="U50" s="117"/>
      <c r="V50" s="137"/>
      <c r="W50" s="294"/>
      <c r="AI50" s="585" t="b">
        <v>1</v>
      </c>
      <c r="AJ50" s="160" t="str">
        <f>Sheet1!$K$14</f>
        <v>Portsmouth</v>
      </c>
      <c r="AK50" s="87" t="str">
        <f>IF(AI50=TRUE,Sheet1!$K14,"")</f>
        <v>Portsmouth</v>
      </c>
      <c r="AL50" s="146" t="e">
        <f t="shared" ref="AL50:AP63" si="14">VLOOKUP($AK50,$B$10:$P$32,AL$36,FALSE)</f>
        <v>#N/A</v>
      </c>
      <c r="AM50" s="146" t="e">
        <f t="shared" si="14"/>
        <v>#N/A</v>
      </c>
      <c r="AN50" s="146" t="e">
        <f t="shared" si="14"/>
        <v>#N/A</v>
      </c>
      <c r="AO50" s="146" t="e">
        <f t="shared" si="14"/>
        <v>#N/A</v>
      </c>
      <c r="AP50" s="146" t="e">
        <f t="shared" si="14"/>
        <v>#N/A</v>
      </c>
      <c r="AQ50" s="147">
        <f t="shared" si="13"/>
        <v>20.200000000000003</v>
      </c>
      <c r="AR50" s="348" t="e">
        <f t="shared" ref="AR50:BA63" si="15">VLOOKUP($AK50,$B$76:$H$99,AR$36,FALSE)</f>
        <v>#N/A</v>
      </c>
      <c r="AS50" s="348" t="e">
        <f t="shared" si="15"/>
        <v>#N/A</v>
      </c>
      <c r="AT50" s="348" t="e">
        <f t="shared" si="15"/>
        <v>#N/A</v>
      </c>
      <c r="AU50" s="348" t="e">
        <f t="shared" si="15"/>
        <v>#N/A</v>
      </c>
      <c r="AV50" s="348" t="e">
        <f t="shared" si="15"/>
        <v>#N/A</v>
      </c>
      <c r="AW50" s="348" t="e">
        <f t="shared" si="15"/>
        <v>#N/A</v>
      </c>
      <c r="AX50" s="348" t="e">
        <f t="shared" si="15"/>
        <v>#N/A</v>
      </c>
      <c r="AY50" s="348" t="e">
        <f t="shared" si="15"/>
        <v>#N/A</v>
      </c>
      <c r="AZ50" s="348" t="e">
        <f t="shared" si="15"/>
        <v>#N/A</v>
      </c>
      <c r="BA50" s="348" t="e">
        <f t="shared" si="15"/>
        <v>#N/A</v>
      </c>
    </row>
    <row r="51" spans="1:53" ht="14.25" customHeight="1" x14ac:dyDescent="0.2">
      <c r="A51" s="118"/>
      <c r="B51" s="421"/>
      <c r="C51" s="421"/>
      <c r="D51" s="58"/>
      <c r="E51" s="58"/>
      <c r="F51" s="58"/>
      <c r="G51" s="58"/>
      <c r="H51" s="58"/>
      <c r="I51" s="58"/>
      <c r="J51" s="58"/>
      <c r="K51" s="12"/>
      <c r="L51" s="14"/>
      <c r="M51" s="14"/>
      <c r="N51" s="14"/>
      <c r="O51" s="14"/>
      <c r="P51" s="9"/>
      <c r="Q51" s="9"/>
      <c r="R51" s="9"/>
      <c r="S51" s="9"/>
      <c r="T51" s="9"/>
      <c r="U51" s="117"/>
      <c r="V51" s="137"/>
      <c r="W51" s="294"/>
      <c r="AI51" s="585" t="b">
        <v>1</v>
      </c>
      <c r="AJ51" s="160" t="str">
        <f>Sheet1!$K$15</f>
        <v>Reading</v>
      </c>
      <c r="AK51" s="87" t="str">
        <f>IF(AI51=TRUE,Sheet1!$K15,"")</f>
        <v>Reading</v>
      </c>
      <c r="AL51" s="146" t="e">
        <f t="shared" si="14"/>
        <v>#N/A</v>
      </c>
      <c r="AM51" s="146" t="e">
        <f t="shared" si="14"/>
        <v>#N/A</v>
      </c>
      <c r="AN51" s="146" t="e">
        <f t="shared" si="14"/>
        <v>#N/A</v>
      </c>
      <c r="AO51" s="146" t="e">
        <f t="shared" si="14"/>
        <v>#N/A</v>
      </c>
      <c r="AP51" s="146" t="e">
        <f t="shared" si="14"/>
        <v>#N/A</v>
      </c>
      <c r="AQ51" s="147">
        <f t="shared" si="13"/>
        <v>16</v>
      </c>
      <c r="AR51" s="348" t="e">
        <f t="shared" si="15"/>
        <v>#N/A</v>
      </c>
      <c r="AS51" s="348" t="e">
        <f t="shared" si="15"/>
        <v>#N/A</v>
      </c>
      <c r="AT51" s="348" t="e">
        <f t="shared" si="15"/>
        <v>#N/A</v>
      </c>
      <c r="AU51" s="348" t="e">
        <f t="shared" si="15"/>
        <v>#N/A</v>
      </c>
      <c r="AV51" s="348" t="e">
        <f t="shared" si="15"/>
        <v>#N/A</v>
      </c>
      <c r="AW51" s="348" t="e">
        <f t="shared" si="15"/>
        <v>#N/A</v>
      </c>
      <c r="AX51" s="348" t="e">
        <f t="shared" si="15"/>
        <v>#N/A</v>
      </c>
      <c r="AY51" s="348" t="e">
        <f t="shared" si="15"/>
        <v>#N/A</v>
      </c>
      <c r="AZ51" s="348" t="e">
        <f t="shared" si="15"/>
        <v>#N/A</v>
      </c>
      <c r="BA51" s="348" t="e">
        <f t="shared" si="15"/>
        <v>#N/A</v>
      </c>
    </row>
    <row r="52" spans="1:53" ht="14.25" customHeight="1" x14ac:dyDescent="0.2">
      <c r="A52" s="118"/>
      <c r="B52" s="421"/>
      <c r="C52" s="421"/>
      <c r="D52" s="58"/>
      <c r="E52" s="58"/>
      <c r="F52" s="58"/>
      <c r="G52" s="58"/>
      <c r="H52" s="58"/>
      <c r="I52" s="58"/>
      <c r="J52" s="58"/>
      <c r="K52" s="12"/>
      <c r="L52" s="14"/>
      <c r="M52" s="14"/>
      <c r="N52" s="14"/>
      <c r="O52" s="14"/>
      <c r="P52" s="9"/>
      <c r="Q52" s="9"/>
      <c r="R52" s="9"/>
      <c r="S52" s="9"/>
      <c r="T52" s="9"/>
      <c r="U52" s="117"/>
      <c r="V52" s="137"/>
      <c r="W52" s="294"/>
      <c r="AI52" s="585" t="b">
        <v>1</v>
      </c>
      <c r="AJ52" s="160" t="str">
        <f>Sheet1!$K$16</f>
        <v>Slough</v>
      </c>
      <c r="AK52" s="87" t="str">
        <f>IF(AI52=TRUE,Sheet1!$K16,"")</f>
        <v>Slough</v>
      </c>
      <c r="AL52" s="146" t="e">
        <f t="shared" si="14"/>
        <v>#N/A</v>
      </c>
      <c r="AM52" s="146" t="e">
        <f t="shared" si="14"/>
        <v>#N/A</v>
      </c>
      <c r="AN52" s="146" t="e">
        <f t="shared" si="14"/>
        <v>#N/A</v>
      </c>
      <c r="AO52" s="146" t="e">
        <f t="shared" si="14"/>
        <v>#N/A</v>
      </c>
      <c r="AP52" s="146" t="e">
        <f t="shared" si="14"/>
        <v>#N/A</v>
      </c>
      <c r="AQ52" s="147">
        <f t="shared" si="13"/>
        <v>14.7</v>
      </c>
      <c r="AR52" s="348" t="e">
        <f t="shared" si="15"/>
        <v>#N/A</v>
      </c>
      <c r="AS52" s="348" t="e">
        <f t="shared" si="15"/>
        <v>#N/A</v>
      </c>
      <c r="AT52" s="348" t="e">
        <f t="shared" si="15"/>
        <v>#N/A</v>
      </c>
      <c r="AU52" s="348" t="e">
        <f t="shared" si="15"/>
        <v>#N/A</v>
      </c>
      <c r="AV52" s="348" t="e">
        <f t="shared" si="15"/>
        <v>#N/A</v>
      </c>
      <c r="AW52" s="348" t="e">
        <f t="shared" si="15"/>
        <v>#N/A</v>
      </c>
      <c r="AX52" s="348" t="e">
        <f t="shared" si="15"/>
        <v>#N/A</v>
      </c>
      <c r="AY52" s="348" t="e">
        <f t="shared" si="15"/>
        <v>#N/A</v>
      </c>
      <c r="AZ52" s="348" t="e">
        <f t="shared" si="15"/>
        <v>#N/A</v>
      </c>
      <c r="BA52" s="348" t="e">
        <f t="shared" si="15"/>
        <v>#N/A</v>
      </c>
    </row>
    <row r="53" spans="1:53" ht="14.25" customHeight="1" x14ac:dyDescent="0.2">
      <c r="A53" s="118"/>
      <c r="B53" s="421"/>
      <c r="C53" s="421"/>
      <c r="D53" s="58"/>
      <c r="E53" s="58"/>
      <c r="F53" s="58"/>
      <c r="G53" s="58"/>
      <c r="H53" s="58"/>
      <c r="I53" s="58"/>
      <c r="J53" s="58"/>
      <c r="K53" s="12"/>
      <c r="L53" s="14"/>
      <c r="M53" s="14"/>
      <c r="N53" s="14"/>
      <c r="O53" s="14"/>
      <c r="P53" s="9"/>
      <c r="Q53" s="9"/>
      <c r="R53" s="9"/>
      <c r="S53" s="9"/>
      <c r="T53" s="9"/>
      <c r="U53" s="117"/>
      <c r="V53" s="137"/>
      <c r="W53" s="294"/>
      <c r="AI53" s="585" t="b">
        <v>1</v>
      </c>
      <c r="AJ53" s="160" t="str">
        <f>Sheet1!$K$17</f>
        <v>Somerset</v>
      </c>
      <c r="AK53" s="87" t="str">
        <f>IF(AI53=TRUE,Sheet1!$K17,"")</f>
        <v>Somerset</v>
      </c>
      <c r="AL53" s="146" t="e">
        <f t="shared" si="14"/>
        <v>#N/A</v>
      </c>
      <c r="AM53" s="146" t="e">
        <f t="shared" si="14"/>
        <v>#N/A</v>
      </c>
      <c r="AN53" s="146" t="e">
        <f t="shared" si="14"/>
        <v>#N/A</v>
      </c>
      <c r="AO53" s="146" t="e">
        <f t="shared" si="14"/>
        <v>#N/A</v>
      </c>
      <c r="AP53" s="146" t="e">
        <f t="shared" si="14"/>
        <v>#N/A</v>
      </c>
      <c r="AQ53" s="147">
        <f t="shared" si="13"/>
        <v>13.600000000000001</v>
      </c>
      <c r="AR53" s="348" t="e">
        <f t="shared" si="15"/>
        <v>#N/A</v>
      </c>
      <c r="AS53" s="348" t="e">
        <f t="shared" si="15"/>
        <v>#N/A</v>
      </c>
      <c r="AT53" s="348" t="e">
        <f t="shared" si="15"/>
        <v>#N/A</v>
      </c>
      <c r="AU53" s="348" t="e">
        <f t="shared" si="15"/>
        <v>#N/A</v>
      </c>
      <c r="AV53" s="348" t="e">
        <f t="shared" si="15"/>
        <v>#N/A</v>
      </c>
      <c r="AW53" s="348" t="e">
        <f t="shared" si="15"/>
        <v>#N/A</v>
      </c>
      <c r="AX53" s="348" t="e">
        <f t="shared" si="15"/>
        <v>#N/A</v>
      </c>
      <c r="AY53" s="348" t="e">
        <f t="shared" si="15"/>
        <v>#N/A</v>
      </c>
      <c r="AZ53" s="348" t="e">
        <f t="shared" si="15"/>
        <v>#N/A</v>
      </c>
      <c r="BA53" s="348" t="e">
        <f t="shared" si="15"/>
        <v>#N/A</v>
      </c>
    </row>
    <row r="54" spans="1:53" ht="14.25" customHeight="1" x14ac:dyDescent="0.2">
      <c r="A54" s="118"/>
      <c r="B54" s="421"/>
      <c r="C54" s="421"/>
      <c r="D54" s="58"/>
      <c r="E54" s="58"/>
      <c r="F54" s="58"/>
      <c r="G54" s="58"/>
      <c r="H54" s="58"/>
      <c r="I54" s="58"/>
      <c r="J54" s="58"/>
      <c r="K54" s="12"/>
      <c r="L54" s="14"/>
      <c r="M54" s="14"/>
      <c r="N54" s="14"/>
      <c r="O54" s="14"/>
      <c r="P54" s="9"/>
      <c r="Q54" s="9"/>
      <c r="R54" s="9"/>
      <c r="S54" s="9"/>
      <c r="T54" s="9"/>
      <c r="U54" s="117"/>
      <c r="V54" s="137"/>
      <c r="W54" s="294"/>
      <c r="AI54" s="585" t="b">
        <v>1</v>
      </c>
      <c r="AJ54" s="160" t="str">
        <f>Sheet1!$K$18</f>
        <v>Southampton</v>
      </c>
      <c r="AK54" s="87" t="str">
        <f>IF(AI54=TRUE,Sheet1!$K18,"")</f>
        <v>Southampton</v>
      </c>
      <c r="AL54" s="146" t="e">
        <f t="shared" si="14"/>
        <v>#N/A</v>
      </c>
      <c r="AM54" s="146" t="e">
        <f t="shared" si="14"/>
        <v>#N/A</v>
      </c>
      <c r="AN54" s="146" t="e">
        <f t="shared" si="14"/>
        <v>#N/A</v>
      </c>
      <c r="AO54" s="146" t="e">
        <f t="shared" si="14"/>
        <v>#N/A</v>
      </c>
      <c r="AP54" s="146" t="e">
        <f t="shared" si="14"/>
        <v>#N/A</v>
      </c>
      <c r="AQ54" s="147">
        <f t="shared" si="13"/>
        <v>20.5</v>
      </c>
      <c r="AR54" s="348" t="e">
        <f t="shared" si="15"/>
        <v>#N/A</v>
      </c>
      <c r="AS54" s="348" t="e">
        <f t="shared" si="15"/>
        <v>#N/A</v>
      </c>
      <c r="AT54" s="348" t="e">
        <f t="shared" si="15"/>
        <v>#N/A</v>
      </c>
      <c r="AU54" s="348" t="e">
        <f t="shared" si="15"/>
        <v>#N/A</v>
      </c>
      <c r="AV54" s="348" t="e">
        <f t="shared" si="15"/>
        <v>#N/A</v>
      </c>
      <c r="AW54" s="348" t="e">
        <f t="shared" si="15"/>
        <v>#N/A</v>
      </c>
      <c r="AX54" s="348" t="e">
        <f t="shared" si="15"/>
        <v>#N/A</v>
      </c>
      <c r="AY54" s="348" t="e">
        <f t="shared" si="15"/>
        <v>#N/A</v>
      </c>
      <c r="AZ54" s="348" t="e">
        <f t="shared" si="15"/>
        <v>#N/A</v>
      </c>
      <c r="BA54" s="348" t="e">
        <f t="shared" si="15"/>
        <v>#N/A</v>
      </c>
    </row>
    <row r="55" spans="1:53" ht="14.25" customHeight="1" x14ac:dyDescent="0.2">
      <c r="A55" s="118"/>
      <c r="B55" s="421"/>
      <c r="C55" s="421"/>
      <c r="D55" s="58"/>
      <c r="E55" s="58"/>
      <c r="F55" s="58"/>
      <c r="G55" s="58"/>
      <c r="H55" s="58"/>
      <c r="I55" s="58"/>
      <c r="J55" s="58"/>
      <c r="K55" s="12"/>
      <c r="L55" s="14"/>
      <c r="M55" s="14"/>
      <c r="N55" s="14"/>
      <c r="O55" s="14"/>
      <c r="P55" s="9"/>
      <c r="Q55" s="9"/>
      <c r="R55" s="9"/>
      <c r="S55" s="9"/>
      <c r="T55" s="9"/>
      <c r="U55" s="117"/>
      <c r="V55" s="137"/>
      <c r="W55" s="294"/>
      <c r="AI55" s="585" t="b">
        <v>1</v>
      </c>
      <c r="AJ55" s="160" t="str">
        <f>Sheet1!$K$19</f>
        <v>Surrey</v>
      </c>
      <c r="AK55" s="87" t="str">
        <f>IF(AI55=TRUE,Sheet1!$K19,"")</f>
        <v>Surrey</v>
      </c>
      <c r="AL55" s="146" t="e">
        <f t="shared" si="14"/>
        <v>#N/A</v>
      </c>
      <c r="AM55" s="146" t="e">
        <f t="shared" si="14"/>
        <v>#N/A</v>
      </c>
      <c r="AN55" s="146" t="e">
        <f t="shared" si="14"/>
        <v>#N/A</v>
      </c>
      <c r="AO55" s="146" t="e">
        <f t="shared" si="14"/>
        <v>#N/A</v>
      </c>
      <c r="AP55" s="146" t="e">
        <f t="shared" si="14"/>
        <v>#N/A</v>
      </c>
      <c r="AQ55" s="147">
        <f t="shared" si="13"/>
        <v>8.3000000000000007</v>
      </c>
      <c r="AR55" s="348" t="e">
        <f t="shared" si="15"/>
        <v>#N/A</v>
      </c>
      <c r="AS55" s="348" t="e">
        <f t="shared" si="15"/>
        <v>#N/A</v>
      </c>
      <c r="AT55" s="348" t="e">
        <f t="shared" si="15"/>
        <v>#N/A</v>
      </c>
      <c r="AU55" s="348" t="e">
        <f t="shared" si="15"/>
        <v>#N/A</v>
      </c>
      <c r="AV55" s="348" t="e">
        <f t="shared" si="15"/>
        <v>#N/A</v>
      </c>
      <c r="AW55" s="348" t="e">
        <f t="shared" si="15"/>
        <v>#N/A</v>
      </c>
      <c r="AX55" s="348" t="e">
        <f t="shared" si="15"/>
        <v>#N/A</v>
      </c>
      <c r="AY55" s="348" t="e">
        <f t="shared" si="15"/>
        <v>#N/A</v>
      </c>
      <c r="AZ55" s="348" t="e">
        <f t="shared" si="15"/>
        <v>#N/A</v>
      </c>
      <c r="BA55" s="348" t="e">
        <f t="shared" si="15"/>
        <v>#N/A</v>
      </c>
    </row>
    <row r="56" spans="1:53" ht="14.25" customHeight="1" x14ac:dyDescent="0.2">
      <c r="A56" s="278"/>
      <c r="B56" s="421"/>
      <c r="C56" s="421"/>
      <c r="D56" s="58"/>
      <c r="E56" s="58"/>
      <c r="F56" s="58"/>
      <c r="G56" s="58"/>
      <c r="H56" s="58"/>
      <c r="I56" s="58"/>
      <c r="J56" s="58"/>
      <c r="K56" s="12"/>
      <c r="L56" s="14"/>
      <c r="M56" s="14"/>
      <c r="N56" s="14"/>
      <c r="O56" s="14"/>
      <c r="P56" s="9"/>
      <c r="Q56" s="9"/>
      <c r="R56" s="9"/>
      <c r="S56" s="9"/>
      <c r="T56" s="9"/>
      <c r="U56" s="117"/>
      <c r="V56" s="137"/>
      <c r="W56" s="294"/>
      <c r="AI56" s="585" t="b">
        <v>1</v>
      </c>
      <c r="AJ56" s="160" t="str">
        <f>Sheet1!$K$20</f>
        <v>Swindon</v>
      </c>
      <c r="AK56" s="87" t="str">
        <f>IF(AI56=TRUE,Sheet1!$K20,"")</f>
        <v>Swindon</v>
      </c>
      <c r="AL56" s="146" t="e">
        <f t="shared" si="14"/>
        <v>#N/A</v>
      </c>
      <c r="AM56" s="146" t="e">
        <f t="shared" si="14"/>
        <v>#N/A</v>
      </c>
      <c r="AN56" s="146" t="e">
        <f t="shared" si="14"/>
        <v>#N/A</v>
      </c>
      <c r="AO56" s="146" t="e">
        <f t="shared" si="14"/>
        <v>#N/A</v>
      </c>
      <c r="AP56" s="146" t="e">
        <f t="shared" si="14"/>
        <v>#N/A</v>
      </c>
      <c r="AQ56" s="147">
        <f t="shared" si="13"/>
        <v>14.899999999999999</v>
      </c>
      <c r="AR56" s="348" t="e">
        <f t="shared" si="15"/>
        <v>#N/A</v>
      </c>
      <c r="AS56" s="348" t="e">
        <f t="shared" si="15"/>
        <v>#N/A</v>
      </c>
      <c r="AT56" s="348" t="e">
        <f t="shared" si="15"/>
        <v>#N/A</v>
      </c>
      <c r="AU56" s="348" t="e">
        <f t="shared" si="15"/>
        <v>#N/A</v>
      </c>
      <c r="AV56" s="348" t="e">
        <f t="shared" si="15"/>
        <v>#N/A</v>
      </c>
      <c r="AW56" s="348" t="e">
        <f t="shared" si="15"/>
        <v>#N/A</v>
      </c>
      <c r="AX56" s="348" t="e">
        <f t="shared" si="15"/>
        <v>#N/A</v>
      </c>
      <c r="AY56" s="348" t="e">
        <f t="shared" si="15"/>
        <v>#N/A</v>
      </c>
      <c r="AZ56" s="348" t="e">
        <f t="shared" si="15"/>
        <v>#N/A</v>
      </c>
      <c r="BA56" s="348" t="e">
        <f t="shared" si="15"/>
        <v>#N/A</v>
      </c>
    </row>
    <row r="57" spans="1:53" ht="14.25" customHeight="1" x14ac:dyDescent="0.2">
      <c r="A57" s="278"/>
      <c r="B57" s="421"/>
      <c r="C57" s="421"/>
      <c r="D57" s="58"/>
      <c r="E57" s="58"/>
      <c r="F57" s="58"/>
      <c r="G57" s="58"/>
      <c r="H57" s="58"/>
      <c r="I57" s="58"/>
      <c r="J57" s="58"/>
      <c r="K57" s="12"/>
      <c r="L57" s="14"/>
      <c r="M57" s="14"/>
      <c r="N57" s="14"/>
      <c r="O57" s="14"/>
      <c r="P57" s="9"/>
      <c r="Q57" s="9"/>
      <c r="R57" s="9"/>
      <c r="S57" s="9"/>
      <c r="T57" s="9"/>
      <c r="U57" s="117"/>
      <c r="V57" s="137"/>
      <c r="W57" s="294"/>
      <c r="AI57" s="585" t="b">
        <v>1</v>
      </c>
      <c r="AJ57" s="160" t="str">
        <f>Sheet1!$K$21</f>
        <v>Torbay</v>
      </c>
      <c r="AK57" s="87" t="str">
        <f>IF(AI57=TRUE,Sheet1!$K21,"")</f>
        <v>Torbay</v>
      </c>
      <c r="AL57" s="146" t="e">
        <f t="shared" si="14"/>
        <v>#N/A</v>
      </c>
      <c r="AM57" s="146" t="e">
        <f t="shared" si="14"/>
        <v>#N/A</v>
      </c>
      <c r="AN57" s="146" t="e">
        <f t="shared" si="14"/>
        <v>#N/A</v>
      </c>
      <c r="AO57" s="146" t="e">
        <f t="shared" si="14"/>
        <v>#N/A</v>
      </c>
      <c r="AP57" s="146" t="e">
        <f t="shared" si="14"/>
        <v>#N/A</v>
      </c>
      <c r="AQ57" s="147">
        <f t="shared" si="13"/>
        <v>21.9</v>
      </c>
      <c r="AR57" s="348" t="e">
        <f t="shared" si="15"/>
        <v>#N/A</v>
      </c>
      <c r="AS57" s="348" t="e">
        <f t="shared" si="15"/>
        <v>#N/A</v>
      </c>
      <c r="AT57" s="348" t="e">
        <f t="shared" si="15"/>
        <v>#N/A</v>
      </c>
      <c r="AU57" s="348" t="e">
        <f t="shared" si="15"/>
        <v>#N/A</v>
      </c>
      <c r="AV57" s="348" t="e">
        <f t="shared" si="15"/>
        <v>#N/A</v>
      </c>
      <c r="AW57" s="348" t="e">
        <f t="shared" si="15"/>
        <v>#N/A</v>
      </c>
      <c r="AX57" s="348" t="e">
        <f t="shared" si="15"/>
        <v>#N/A</v>
      </c>
      <c r="AY57" s="348" t="e">
        <f t="shared" si="15"/>
        <v>#N/A</v>
      </c>
      <c r="AZ57" s="348" t="e">
        <f t="shared" si="15"/>
        <v>#N/A</v>
      </c>
      <c r="BA57" s="348" t="e">
        <f t="shared" si="15"/>
        <v>#N/A</v>
      </c>
    </row>
    <row r="58" spans="1:53" ht="14.25" customHeight="1" x14ac:dyDescent="0.2">
      <c r="A58" s="118"/>
      <c r="B58" s="421"/>
      <c r="C58" s="421"/>
      <c r="D58" s="58"/>
      <c r="E58" s="58"/>
      <c r="F58" s="58"/>
      <c r="G58" s="58"/>
      <c r="H58" s="58"/>
      <c r="I58" s="58"/>
      <c r="J58" s="58"/>
      <c r="K58" s="12"/>
      <c r="L58" s="14"/>
      <c r="M58" s="14"/>
      <c r="N58" s="14"/>
      <c r="O58" s="14"/>
      <c r="P58" s="9"/>
      <c r="Q58" s="9"/>
      <c r="R58" s="9"/>
      <c r="S58" s="9"/>
      <c r="T58" s="9"/>
      <c r="U58" s="117"/>
      <c r="V58" s="137"/>
      <c r="W58" s="294"/>
      <c r="AI58" s="585" t="b">
        <v>1</v>
      </c>
      <c r="AJ58" s="160" t="str">
        <f>Sheet1!$K$22</f>
        <v>West Berkshire</v>
      </c>
      <c r="AK58" s="87" t="str">
        <f>IF(AI58=TRUE,Sheet1!$K22,"")</f>
        <v>West Berkshire</v>
      </c>
      <c r="AL58" s="146" t="e">
        <f t="shared" si="14"/>
        <v>#N/A</v>
      </c>
      <c r="AM58" s="146" t="e">
        <f t="shared" si="14"/>
        <v>#N/A</v>
      </c>
      <c r="AN58" s="146" t="e">
        <f t="shared" si="14"/>
        <v>#N/A</v>
      </c>
      <c r="AO58" s="146" t="e">
        <f t="shared" si="14"/>
        <v>#N/A</v>
      </c>
      <c r="AP58" s="146" t="e">
        <f t="shared" si="14"/>
        <v>#N/A</v>
      </c>
      <c r="AQ58" s="147">
        <f t="shared" si="13"/>
        <v>8.6999999999999993</v>
      </c>
      <c r="AR58" s="348" t="e">
        <f t="shared" si="15"/>
        <v>#N/A</v>
      </c>
      <c r="AS58" s="348" t="e">
        <f t="shared" si="15"/>
        <v>#N/A</v>
      </c>
      <c r="AT58" s="348" t="e">
        <f t="shared" si="15"/>
        <v>#N/A</v>
      </c>
      <c r="AU58" s="348" t="e">
        <f t="shared" si="15"/>
        <v>#N/A</v>
      </c>
      <c r="AV58" s="348" t="e">
        <f t="shared" si="15"/>
        <v>#N/A</v>
      </c>
      <c r="AW58" s="348" t="e">
        <f t="shared" si="15"/>
        <v>#N/A</v>
      </c>
      <c r="AX58" s="348" t="e">
        <f t="shared" si="15"/>
        <v>#N/A</v>
      </c>
      <c r="AY58" s="348" t="e">
        <f t="shared" si="15"/>
        <v>#N/A</v>
      </c>
      <c r="AZ58" s="348" t="e">
        <f t="shared" si="15"/>
        <v>#N/A</v>
      </c>
      <c r="BA58" s="348" t="e">
        <f t="shared" si="15"/>
        <v>#N/A</v>
      </c>
    </row>
    <row r="59" spans="1:53" ht="14.25" customHeight="1" x14ac:dyDescent="0.2">
      <c r="A59" s="118"/>
      <c r="B59" s="421"/>
      <c r="C59" s="421"/>
      <c r="D59" s="58"/>
      <c r="E59" s="58"/>
      <c r="F59" s="58"/>
      <c r="G59" s="58"/>
      <c r="H59" s="58"/>
      <c r="I59" s="58"/>
      <c r="J59" s="58"/>
      <c r="K59" s="12"/>
      <c r="L59" s="14"/>
      <c r="M59" s="14"/>
      <c r="N59" s="14"/>
      <c r="O59" s="14"/>
      <c r="P59" s="9"/>
      <c r="Q59" s="9"/>
      <c r="R59" s="9"/>
      <c r="S59" s="9"/>
      <c r="T59" s="9"/>
      <c r="U59" s="117"/>
      <c r="V59" s="137"/>
      <c r="W59" s="294"/>
      <c r="AI59" s="585" t="b">
        <v>1</v>
      </c>
      <c r="AJ59" s="160" t="str">
        <f>Sheet1!$K$23</f>
        <v>West Sussex</v>
      </c>
      <c r="AK59" s="87" t="str">
        <f>IF(AI59=TRUE,Sheet1!$K23,"")</f>
        <v>West Sussex</v>
      </c>
      <c r="AL59" s="146" t="e">
        <f t="shared" si="14"/>
        <v>#N/A</v>
      </c>
      <c r="AM59" s="146" t="e">
        <f t="shared" si="14"/>
        <v>#N/A</v>
      </c>
      <c r="AN59" s="146" t="e">
        <f t="shared" si="14"/>
        <v>#N/A</v>
      </c>
      <c r="AO59" s="146" t="e">
        <f t="shared" si="14"/>
        <v>#N/A</v>
      </c>
      <c r="AP59" s="146" t="e">
        <f t="shared" si="14"/>
        <v>#N/A</v>
      </c>
      <c r="AQ59" s="147">
        <f t="shared" si="13"/>
        <v>11</v>
      </c>
      <c r="AR59" s="348" t="e">
        <f t="shared" si="15"/>
        <v>#N/A</v>
      </c>
      <c r="AS59" s="348" t="e">
        <f t="shared" si="15"/>
        <v>#N/A</v>
      </c>
      <c r="AT59" s="348" t="e">
        <f t="shared" si="15"/>
        <v>#N/A</v>
      </c>
      <c r="AU59" s="348" t="e">
        <f t="shared" si="15"/>
        <v>#N/A</v>
      </c>
      <c r="AV59" s="348" t="e">
        <f t="shared" si="15"/>
        <v>#N/A</v>
      </c>
      <c r="AW59" s="348" t="e">
        <f t="shared" si="15"/>
        <v>#N/A</v>
      </c>
      <c r="AX59" s="348" t="e">
        <f t="shared" si="15"/>
        <v>#N/A</v>
      </c>
      <c r="AY59" s="348" t="e">
        <f t="shared" si="15"/>
        <v>#N/A</v>
      </c>
      <c r="AZ59" s="348" t="e">
        <f t="shared" si="15"/>
        <v>#N/A</v>
      </c>
      <c r="BA59" s="348" t="e">
        <f t="shared" si="15"/>
        <v>#N/A</v>
      </c>
    </row>
    <row r="60" spans="1:53" s="81" customFormat="1" ht="14.25" customHeight="1" x14ac:dyDescent="0.2">
      <c r="A60" s="118"/>
      <c r="B60" s="421"/>
      <c r="C60" s="421"/>
      <c r="D60" s="58"/>
      <c r="E60" s="58"/>
      <c r="F60" s="58"/>
      <c r="G60" s="58"/>
      <c r="H60" s="58"/>
      <c r="I60" s="58"/>
      <c r="J60" s="58"/>
      <c r="K60" s="12"/>
      <c r="L60" s="14"/>
      <c r="M60" s="14"/>
      <c r="N60" s="14"/>
      <c r="O60" s="14"/>
      <c r="P60" s="9"/>
      <c r="Q60" s="9"/>
      <c r="R60" s="9"/>
      <c r="S60" s="9"/>
      <c r="T60" s="9"/>
      <c r="U60" s="117"/>
      <c r="V60" s="137"/>
      <c r="W60" s="294"/>
      <c r="AI60" s="585" t="b">
        <v>1</v>
      </c>
      <c r="AJ60" s="160" t="str">
        <f>Sheet1!$K$24</f>
        <v>Windsor &amp; Maidenhead</v>
      </c>
      <c r="AK60" s="87" t="str">
        <f>IF(AI60=TRUE,Sheet1!$K24,"")</f>
        <v>Windsor &amp; Maidenhead</v>
      </c>
      <c r="AL60" s="146" t="e">
        <f t="shared" si="14"/>
        <v>#N/A</v>
      </c>
      <c r="AM60" s="146" t="e">
        <f t="shared" si="14"/>
        <v>#N/A</v>
      </c>
      <c r="AN60" s="146" t="e">
        <f t="shared" si="14"/>
        <v>#N/A</v>
      </c>
      <c r="AO60" s="146" t="e">
        <f t="shared" si="14"/>
        <v>#N/A</v>
      </c>
      <c r="AP60" s="146" t="e">
        <f t="shared" si="14"/>
        <v>#N/A</v>
      </c>
      <c r="AQ60" s="147">
        <f t="shared" si="13"/>
        <v>6.7</v>
      </c>
      <c r="AR60" s="348" t="e">
        <f t="shared" si="15"/>
        <v>#N/A</v>
      </c>
      <c r="AS60" s="348" t="e">
        <f t="shared" si="15"/>
        <v>#N/A</v>
      </c>
      <c r="AT60" s="348" t="e">
        <f t="shared" si="15"/>
        <v>#N/A</v>
      </c>
      <c r="AU60" s="348" t="e">
        <f t="shared" si="15"/>
        <v>#N/A</v>
      </c>
      <c r="AV60" s="348" t="e">
        <f t="shared" si="15"/>
        <v>#N/A</v>
      </c>
      <c r="AW60" s="348" t="e">
        <f t="shared" si="15"/>
        <v>#N/A</v>
      </c>
      <c r="AX60" s="348" t="e">
        <f t="shared" si="15"/>
        <v>#N/A</v>
      </c>
      <c r="AY60" s="348" t="e">
        <f t="shared" si="15"/>
        <v>#N/A</v>
      </c>
      <c r="AZ60" s="348" t="e">
        <f t="shared" si="15"/>
        <v>#N/A</v>
      </c>
      <c r="BA60" s="348" t="e">
        <f t="shared" si="15"/>
        <v>#N/A</v>
      </c>
    </row>
    <row r="61" spans="1:53" s="81" customFormat="1" ht="14.25" customHeight="1" x14ac:dyDescent="0.2">
      <c r="A61" s="118"/>
      <c r="B61" s="421"/>
      <c r="C61" s="421"/>
      <c r="D61" s="58"/>
      <c r="E61" s="58"/>
      <c r="F61" s="58"/>
      <c r="G61" s="58"/>
      <c r="H61" s="58"/>
      <c r="I61" s="58"/>
      <c r="J61" s="58"/>
      <c r="K61" s="12"/>
      <c r="L61" s="14"/>
      <c r="M61" s="14"/>
      <c r="N61" s="14"/>
      <c r="O61" s="14"/>
      <c r="P61" s="9"/>
      <c r="Q61" s="9"/>
      <c r="R61" s="9"/>
      <c r="S61" s="9"/>
      <c r="T61" s="9"/>
      <c r="U61" s="117"/>
      <c r="V61" s="137"/>
      <c r="W61" s="294"/>
      <c r="AI61" s="585" t="b">
        <v>1</v>
      </c>
      <c r="AJ61" s="160" t="str">
        <f>Sheet1!$K$25</f>
        <v>Wokingham</v>
      </c>
      <c r="AK61" s="87" t="str">
        <f>IF(AI61=TRUE,Sheet1!$K25,"")</f>
        <v>Wokingham</v>
      </c>
      <c r="AL61" s="146" t="e">
        <f t="shared" si="14"/>
        <v>#N/A</v>
      </c>
      <c r="AM61" s="146" t="e">
        <f t="shared" si="14"/>
        <v>#N/A</v>
      </c>
      <c r="AN61" s="146" t="e">
        <f t="shared" si="14"/>
        <v>#N/A</v>
      </c>
      <c r="AO61" s="146" t="e">
        <f t="shared" si="14"/>
        <v>#N/A</v>
      </c>
      <c r="AP61" s="146" t="e">
        <f t="shared" si="14"/>
        <v>#N/A</v>
      </c>
      <c r="AQ61" s="147">
        <f t="shared" si="13"/>
        <v>5.6000000000000005</v>
      </c>
      <c r="AR61" s="348" t="e">
        <f t="shared" si="15"/>
        <v>#N/A</v>
      </c>
      <c r="AS61" s="348" t="e">
        <f t="shared" si="15"/>
        <v>#N/A</v>
      </c>
      <c r="AT61" s="348" t="e">
        <f t="shared" si="15"/>
        <v>#N/A</v>
      </c>
      <c r="AU61" s="348" t="e">
        <f t="shared" si="15"/>
        <v>#N/A</v>
      </c>
      <c r="AV61" s="348" t="e">
        <f t="shared" si="15"/>
        <v>#N/A</v>
      </c>
      <c r="AW61" s="348" t="e">
        <f t="shared" si="15"/>
        <v>#N/A</v>
      </c>
      <c r="AX61" s="348" t="e">
        <f t="shared" si="15"/>
        <v>#N/A</v>
      </c>
      <c r="AY61" s="348" t="e">
        <f t="shared" si="15"/>
        <v>#N/A</v>
      </c>
      <c r="AZ61" s="348" t="e">
        <f t="shared" si="15"/>
        <v>#N/A</v>
      </c>
      <c r="BA61" s="348" t="e">
        <f t="shared" si="15"/>
        <v>#N/A</v>
      </c>
    </row>
    <row r="62" spans="1:53" s="81" customFormat="1" ht="14.25" customHeight="1" x14ac:dyDescent="0.2">
      <c r="A62" s="118"/>
      <c r="B62" s="421"/>
      <c r="C62" s="421"/>
      <c r="D62" s="58"/>
      <c r="E62" s="58"/>
      <c r="F62" s="58"/>
      <c r="G62" s="58"/>
      <c r="H62" s="58"/>
      <c r="I62" s="58"/>
      <c r="J62" s="58"/>
      <c r="K62" s="12"/>
      <c r="L62" s="14"/>
      <c r="M62" s="14"/>
      <c r="N62" s="14"/>
      <c r="O62" s="14"/>
      <c r="P62" s="9"/>
      <c r="Q62" s="9"/>
      <c r="R62" s="9"/>
      <c r="S62" s="9"/>
      <c r="T62" s="9"/>
      <c r="U62" s="117"/>
      <c r="V62" s="137"/>
      <c r="W62" s="294"/>
      <c r="AI62" s="585" t="b">
        <v>1</v>
      </c>
      <c r="AJ62" s="160" t="str">
        <f>Sheet1!$K$26</f>
        <v>South East</v>
      </c>
      <c r="AK62" s="87" t="str">
        <f>IF(AI62=TRUE,Sheet1!$K26,"")</f>
        <v>South East</v>
      </c>
      <c r="AL62" s="146" t="e">
        <f t="shared" si="14"/>
        <v>#N/A</v>
      </c>
      <c r="AM62" s="146" t="e">
        <f t="shared" si="14"/>
        <v>#N/A</v>
      </c>
      <c r="AN62" s="146" t="e">
        <f t="shared" si="14"/>
        <v>#N/A</v>
      </c>
      <c r="AO62" s="146" t="e">
        <f t="shared" si="14"/>
        <v>#N/A</v>
      </c>
      <c r="AP62" s="146" t="e">
        <f t="shared" si="14"/>
        <v>#N/A</v>
      </c>
      <c r="AQ62" s="147" t="e">
        <f t="shared" si="13"/>
        <v>#DIV/0!</v>
      </c>
      <c r="AR62" s="348" t="e">
        <f t="shared" si="15"/>
        <v>#N/A</v>
      </c>
      <c r="AS62" s="348" t="e">
        <f t="shared" si="15"/>
        <v>#N/A</v>
      </c>
      <c r="AT62" s="348" t="e">
        <f t="shared" si="15"/>
        <v>#N/A</v>
      </c>
      <c r="AU62" s="348" t="e">
        <f t="shared" si="15"/>
        <v>#N/A</v>
      </c>
      <c r="AV62" s="348" t="e">
        <f t="shared" si="15"/>
        <v>#N/A</v>
      </c>
      <c r="AW62" s="348" t="e">
        <f t="shared" si="15"/>
        <v>#N/A</v>
      </c>
      <c r="AX62" s="348" t="e">
        <f t="shared" si="15"/>
        <v>#N/A</v>
      </c>
      <c r="AY62" s="348" t="e">
        <f t="shared" si="15"/>
        <v>#N/A</v>
      </c>
      <c r="AZ62" s="348" t="e">
        <f t="shared" si="15"/>
        <v>#N/A</v>
      </c>
      <c r="BA62" s="348" t="e">
        <f t="shared" si="15"/>
        <v>#N/A</v>
      </c>
    </row>
    <row r="63" spans="1:53" s="81" customFormat="1" ht="14.25" customHeight="1" x14ac:dyDescent="0.2">
      <c r="A63" s="118"/>
      <c r="B63" s="421"/>
      <c r="C63" s="421"/>
      <c r="D63" s="58"/>
      <c r="E63" s="58"/>
      <c r="F63" s="58"/>
      <c r="G63" s="58"/>
      <c r="H63" s="58"/>
      <c r="I63" s="58"/>
      <c r="J63" s="58"/>
      <c r="K63" s="12"/>
      <c r="L63" s="110"/>
      <c r="M63" s="1750" t="s">
        <v>72</v>
      </c>
      <c r="N63" s="1750"/>
      <c r="O63" s="1750"/>
      <c r="P63" s="806"/>
      <c r="Q63" s="1751" t="s">
        <v>100</v>
      </c>
      <c r="R63" s="1751"/>
      <c r="S63" s="1751"/>
      <c r="T63" s="1751"/>
      <c r="U63" s="117"/>
      <c r="V63" s="137"/>
      <c r="W63" s="294"/>
      <c r="AI63" s="585" t="b">
        <v>1</v>
      </c>
      <c r="AJ63" s="160" t="str">
        <f>Sheet1!$K$27</f>
        <v>England</v>
      </c>
      <c r="AK63" s="87" t="str">
        <f>IF(AI63=TRUE,Sheet1!$K27,"")</f>
        <v>England</v>
      </c>
      <c r="AL63" s="146" t="e">
        <f t="shared" si="14"/>
        <v>#N/A</v>
      </c>
      <c r="AM63" s="146" t="e">
        <f t="shared" si="14"/>
        <v>#N/A</v>
      </c>
      <c r="AN63" s="146" t="e">
        <f t="shared" si="14"/>
        <v>#N/A</v>
      </c>
      <c r="AO63" s="146" t="e">
        <f t="shared" si="14"/>
        <v>#N/A</v>
      </c>
      <c r="AP63" s="146" t="e">
        <f t="shared" si="14"/>
        <v>#N/A</v>
      </c>
      <c r="AQ63" s="147" t="e">
        <f t="shared" si="13"/>
        <v>#N/A</v>
      </c>
      <c r="AR63" s="348" t="e">
        <f t="shared" si="15"/>
        <v>#N/A</v>
      </c>
      <c r="AS63" s="348" t="e">
        <f t="shared" si="15"/>
        <v>#N/A</v>
      </c>
      <c r="AT63" s="348" t="e">
        <f t="shared" si="15"/>
        <v>#N/A</v>
      </c>
      <c r="AU63" s="348" t="e">
        <f t="shared" si="15"/>
        <v>#N/A</v>
      </c>
      <c r="AV63" s="348" t="e">
        <f t="shared" si="15"/>
        <v>#N/A</v>
      </c>
      <c r="AW63" s="348" t="e">
        <f t="shared" si="15"/>
        <v>#N/A</v>
      </c>
      <c r="AX63" s="348" t="e">
        <f t="shared" si="15"/>
        <v>#N/A</v>
      </c>
      <c r="AY63" s="348" t="e">
        <f t="shared" si="15"/>
        <v>#N/A</v>
      </c>
      <c r="AZ63" s="348" t="e">
        <f t="shared" si="15"/>
        <v>#N/A</v>
      </c>
      <c r="BA63" s="348" t="e">
        <f t="shared" si="15"/>
        <v>#N/A</v>
      </c>
    </row>
    <row r="64" spans="1:53" s="81" customFormat="1" ht="14.25" customHeight="1" x14ac:dyDescent="0.2">
      <c r="A64" s="118"/>
      <c r="B64" s="421"/>
      <c r="C64" s="421"/>
      <c r="D64" s="58"/>
      <c r="E64" s="58"/>
      <c r="F64" s="58"/>
      <c r="G64" s="58"/>
      <c r="H64" s="58"/>
      <c r="I64" s="58"/>
      <c r="J64" s="58"/>
      <c r="K64" s="12"/>
      <c r="L64" s="111"/>
      <c r="M64" s="1751" t="str">
        <f>Z4</f>
        <v>Selected LA- (none)</v>
      </c>
      <c r="N64" s="1751"/>
      <c r="O64" s="1751"/>
      <c r="P64" s="1751"/>
      <c r="Q64" s="1751"/>
      <c r="R64" s="1751"/>
      <c r="S64" s="1751"/>
      <c r="T64" s="1751"/>
      <c r="U64" s="117"/>
      <c r="V64" s="137"/>
      <c r="W64" s="150"/>
      <c r="AJ64" s="161"/>
      <c r="AK64" s="74" t="str">
        <f>Z4</f>
        <v>Selected LA- (none)</v>
      </c>
      <c r="AL64" s="148" t="e">
        <f>VLOOKUP($Y4,$B$10:$P$32,AL$36,FALSE)</f>
        <v>#N/A</v>
      </c>
      <c r="AM64" s="148" t="e">
        <f>VLOOKUP($Y4,$B$10:$P$32,AM$36,FALSE)</f>
        <v>#N/A</v>
      </c>
      <c r="AN64" s="148" t="e">
        <f>VLOOKUP($Y4,$B$10:$P$32,AN$36,FALSE)</f>
        <v>#N/A</v>
      </c>
      <c r="AO64" s="148" t="e">
        <f>VLOOKUP($Y4,$B$10:$P$32,AO$36,FALSE)</f>
        <v>#N/A</v>
      </c>
      <c r="AP64" s="148" t="e">
        <f>VLOOKUP($Y4,$B$10:$P$32,AP$36,FALSE)</f>
        <v>#N/A</v>
      </c>
      <c r="AQ64" s="147" t="e">
        <f>VLOOKUP(Y4,$B$10:$T$32,$AQ$36,FALSE)</f>
        <v>#N/A</v>
      </c>
      <c r="AR64" s="348" t="e">
        <f t="shared" ref="AR64:BA64" si="16">VLOOKUP($Y$4,$B$76:$H$99,AR$36,FALSE)</f>
        <v>#N/A</v>
      </c>
      <c r="AS64" s="348" t="e">
        <f t="shared" si="16"/>
        <v>#N/A</v>
      </c>
      <c r="AT64" s="348" t="e">
        <f t="shared" si="16"/>
        <v>#N/A</v>
      </c>
      <c r="AU64" s="348" t="e">
        <f t="shared" si="16"/>
        <v>#N/A</v>
      </c>
      <c r="AV64" s="348" t="e">
        <f t="shared" si="16"/>
        <v>#N/A</v>
      </c>
      <c r="AW64" s="171" t="e">
        <f t="shared" si="16"/>
        <v>#N/A</v>
      </c>
      <c r="AX64" s="171" t="e">
        <f t="shared" si="16"/>
        <v>#N/A</v>
      </c>
      <c r="AY64" s="171" t="e">
        <f t="shared" si="16"/>
        <v>#N/A</v>
      </c>
      <c r="AZ64" s="171" t="e">
        <f t="shared" si="16"/>
        <v>#N/A</v>
      </c>
      <c r="BA64" s="171" t="e">
        <f t="shared" si="16"/>
        <v>#N/A</v>
      </c>
    </row>
    <row r="65" spans="1:36" s="81" customFormat="1" ht="39.6" customHeight="1" x14ac:dyDescent="0.2">
      <c r="A65" s="118"/>
      <c r="B65" s="421"/>
      <c r="C65" s="421"/>
      <c r="D65" s="58"/>
      <c r="E65" s="58"/>
      <c r="F65" s="58"/>
      <c r="G65" s="58"/>
      <c r="H65" s="58"/>
      <c r="I65" s="58"/>
      <c r="J65" s="58"/>
      <c r="K65" s="12"/>
      <c r="L65" s="9"/>
      <c r="M65" s="9"/>
      <c r="N65" s="9"/>
      <c r="O65" s="9"/>
      <c r="P65" s="9"/>
      <c r="Q65" s="9"/>
      <c r="R65" s="9"/>
      <c r="S65" s="9"/>
      <c r="T65" s="9"/>
      <c r="U65" s="117"/>
      <c r="V65" s="137"/>
      <c r="W65" s="150"/>
      <c r="AJ65" s="161"/>
    </row>
    <row r="66" spans="1:36" s="87" customFormat="1" ht="39" customHeight="1" x14ac:dyDescent="0.2">
      <c r="A66" s="121"/>
      <c r="B66" s="109"/>
      <c r="C66" s="109"/>
      <c r="D66" s="109"/>
      <c r="E66" s="109"/>
      <c r="F66" s="109"/>
      <c r="G66" s="109"/>
      <c r="H66" s="109"/>
      <c r="I66" s="109"/>
      <c r="J66" s="109"/>
      <c r="K66" s="96"/>
      <c r="L66" s="85"/>
      <c r="M66" s="85"/>
      <c r="N66" s="85"/>
      <c r="O66" s="85"/>
      <c r="P66" s="85"/>
      <c r="Q66" s="85"/>
      <c r="R66" s="85"/>
      <c r="S66" s="85"/>
      <c r="T66" s="85"/>
      <c r="U66" s="122"/>
      <c r="V66" s="139"/>
      <c r="W66" s="152"/>
      <c r="AD66" s="190"/>
      <c r="AE66" s="190"/>
      <c r="AF66" s="190"/>
      <c r="AG66" s="190"/>
      <c r="AH66" s="190"/>
      <c r="AI66" s="202"/>
      <c r="AJ66" s="160"/>
    </row>
    <row r="67" spans="1:36" s="87" customFormat="1" ht="48" customHeight="1" x14ac:dyDescent="0.2">
      <c r="A67" s="121"/>
      <c r="B67" s="109"/>
      <c r="C67" s="109"/>
      <c r="D67" s="109"/>
      <c r="E67" s="109"/>
      <c r="F67" s="109"/>
      <c r="G67" s="109"/>
      <c r="H67" s="109"/>
      <c r="I67" s="109"/>
      <c r="J67" s="109"/>
      <c r="K67" s="96"/>
      <c r="L67" s="85"/>
      <c r="M67" s="85"/>
      <c r="N67" s="85"/>
      <c r="O67" s="85"/>
      <c r="P67" s="85"/>
      <c r="Q67" s="85"/>
      <c r="R67" s="85"/>
      <c r="S67" s="85"/>
      <c r="T67" s="85"/>
      <c r="U67" s="122"/>
      <c r="V67" s="139"/>
      <c r="W67" s="371"/>
      <c r="AD67" s="190"/>
      <c r="AE67" s="190"/>
      <c r="AF67" s="190"/>
      <c r="AG67" s="190"/>
      <c r="AH67" s="190"/>
      <c r="AI67" s="202"/>
      <c r="AJ67" s="160"/>
    </row>
    <row r="68" spans="1:36" ht="7.5" customHeight="1" x14ac:dyDescent="0.2">
      <c r="A68" s="118"/>
      <c r="B68" s="17"/>
      <c r="C68" s="17"/>
      <c r="D68" s="16"/>
      <c r="E68" s="16"/>
      <c r="F68" s="16"/>
      <c r="G68" s="16"/>
      <c r="H68" s="16"/>
      <c r="I68" s="16"/>
      <c r="J68" s="16"/>
      <c r="K68" s="12"/>
      <c r="L68" s="18"/>
      <c r="M68" s="18"/>
      <c r="N68" s="18"/>
      <c r="O68" s="18"/>
      <c r="P68" s="18"/>
      <c r="Q68" s="18"/>
      <c r="R68" s="18"/>
      <c r="S68" s="18"/>
      <c r="T68" s="18"/>
      <c r="U68" s="117"/>
      <c r="V68" s="137"/>
      <c r="W68" s="150"/>
      <c r="AI68" s="184"/>
      <c r="AJ68" s="157"/>
    </row>
    <row r="69" spans="1:36" ht="15" customHeight="1" x14ac:dyDescent="0.2">
      <c r="A69" s="1716"/>
      <c r="B69" s="1760"/>
      <c r="C69" s="1760"/>
      <c r="D69" s="1760"/>
      <c r="E69" s="1760"/>
      <c r="F69" s="1760"/>
      <c r="G69" s="1760"/>
      <c r="H69" s="1760"/>
      <c r="I69" s="1760"/>
      <c r="J69" s="1760"/>
      <c r="K69" s="1760"/>
      <c r="L69" s="1760"/>
      <c r="M69" s="1760"/>
      <c r="N69" s="1760"/>
      <c r="O69" s="1760"/>
      <c r="P69" s="1760"/>
      <c r="Q69" s="1760"/>
      <c r="R69" s="1760"/>
      <c r="S69" s="1760"/>
      <c r="T69" s="1760"/>
      <c r="U69" s="1761"/>
      <c r="V69" s="137"/>
      <c r="W69" s="150"/>
      <c r="X69" s="87"/>
      <c r="Y69" s="87"/>
      <c r="Z69" s="87"/>
      <c r="AA69" s="87"/>
      <c r="AB69" s="87"/>
      <c r="AI69" s="184"/>
      <c r="AJ69" s="157"/>
    </row>
    <row r="70" spans="1:36" ht="11.25" customHeight="1" x14ac:dyDescent="0.2">
      <c r="A70" s="1765" t="str">
        <f>Home!$A$39</f>
        <v xml:space="preserve"> </v>
      </c>
      <c r="B70" s="1766"/>
      <c r="C70" s="1766"/>
      <c r="D70" s="1766"/>
      <c r="E70" s="1766"/>
      <c r="F70" s="1766"/>
      <c r="G70" s="1766"/>
      <c r="H70" s="1766"/>
      <c r="I70" s="1767"/>
      <c r="J70" s="1768"/>
      <c r="K70" s="1766"/>
      <c r="L70" s="1766"/>
      <c r="M70" s="1766"/>
      <c r="N70" s="1766"/>
      <c r="O70" s="1766"/>
      <c r="P70" s="1766"/>
      <c r="Q70" s="1768"/>
      <c r="R70" s="1766"/>
      <c r="S70" s="1766"/>
      <c r="T70" s="1766"/>
      <c r="U70" s="1769"/>
      <c r="V70" s="137"/>
      <c r="W70" s="150"/>
      <c r="X70" s="87"/>
      <c r="Y70" s="87"/>
      <c r="Z70" s="87"/>
      <c r="AA70" s="87"/>
      <c r="AB70" s="87"/>
      <c r="AI70" s="184"/>
      <c r="AJ70" s="157"/>
    </row>
    <row r="71" spans="1:36" ht="11.25" customHeight="1" x14ac:dyDescent="0.2">
      <c r="A71" s="112"/>
      <c r="B71" s="113"/>
      <c r="C71" s="113"/>
      <c r="D71" s="113"/>
      <c r="E71" s="113"/>
      <c r="F71" s="113"/>
      <c r="G71" s="113"/>
      <c r="H71" s="113"/>
      <c r="I71" s="113"/>
      <c r="J71" s="113"/>
      <c r="K71" s="114"/>
      <c r="L71" s="113"/>
      <c r="M71" s="113"/>
      <c r="N71" s="113"/>
      <c r="O71" s="113"/>
      <c r="P71" s="113"/>
      <c r="Q71" s="113"/>
      <c r="R71" s="113"/>
      <c r="S71" s="113"/>
      <c r="T71" s="113"/>
      <c r="U71" s="115"/>
      <c r="V71" s="137"/>
      <c r="W71" s="150"/>
      <c r="Y71" s="196"/>
      <c r="Z71" s="188"/>
      <c r="AI71" s="184"/>
      <c r="AJ71" s="157"/>
    </row>
    <row r="72" spans="1:36" s="76" customFormat="1" ht="15" customHeight="1" x14ac:dyDescent="0.2">
      <c r="A72" s="119"/>
      <c r="B72" s="1770" t="s">
        <v>659</v>
      </c>
      <c r="C72" s="1770"/>
      <c r="D72" s="1770"/>
      <c r="E72" s="1770"/>
      <c r="F72" s="1770"/>
      <c r="G72" s="1770"/>
      <c r="H72" s="1770"/>
      <c r="I72" s="1770"/>
      <c r="J72" s="844"/>
      <c r="K72" s="70"/>
      <c r="L72" s="70"/>
      <c r="M72" s="70"/>
      <c r="N72" s="70"/>
      <c r="O72" s="794"/>
      <c r="P72" s="70"/>
      <c r="Q72" s="70"/>
      <c r="R72" s="70"/>
      <c r="S72" s="70"/>
      <c r="T72" s="70"/>
      <c r="U72" s="120"/>
      <c r="V72" s="138"/>
      <c r="W72" s="151"/>
      <c r="X72" s="198" t="s">
        <v>730</v>
      </c>
      <c r="Y72" s="188"/>
      <c r="Z72" s="188"/>
      <c r="AA72" s="188"/>
      <c r="AB72" s="188"/>
      <c r="AC72" s="188"/>
      <c r="AD72" s="188"/>
      <c r="AE72" s="188"/>
      <c r="AF72" s="188"/>
      <c r="AG72" s="188"/>
      <c r="AH72" s="188"/>
      <c r="AI72" s="188"/>
      <c r="AJ72" s="158"/>
    </row>
    <row r="73" spans="1:36" ht="15" customHeight="1" x14ac:dyDescent="0.2">
      <c r="A73" s="118"/>
      <c r="B73" s="1770"/>
      <c r="C73" s="1770"/>
      <c r="D73" s="1770"/>
      <c r="E73" s="1770"/>
      <c r="F73" s="1770"/>
      <c r="G73" s="1770"/>
      <c r="H73" s="1770"/>
      <c r="I73" s="1770"/>
      <c r="J73" s="844"/>
      <c r="K73" s="70"/>
      <c r="L73" s="70"/>
      <c r="M73" s="70"/>
      <c r="N73" s="70"/>
      <c r="O73" s="794"/>
      <c r="P73" s="70"/>
      <c r="Q73" s="70"/>
      <c r="R73" s="70"/>
      <c r="S73" s="10"/>
      <c r="T73" s="70"/>
      <c r="U73" s="117"/>
      <c r="V73" s="137"/>
      <c r="W73" s="150"/>
      <c r="X73" s="74"/>
      <c r="AI73" s="184"/>
      <c r="AJ73" s="157"/>
    </row>
    <row r="74" spans="1:36" ht="13.5" customHeight="1" x14ac:dyDescent="0.2">
      <c r="A74" s="278"/>
      <c r="B74" s="1771" t="s">
        <v>205</v>
      </c>
      <c r="C74" s="798"/>
      <c r="D74" s="789" t="str">
        <f>Sheet1!$D$27</f>
        <v>2015-16</v>
      </c>
      <c r="E74" s="790" t="str">
        <f>Sheet1!$E$27</f>
        <v>2016-17</v>
      </c>
      <c r="F74" s="790" t="str">
        <f>Sheet1!$F$27</f>
        <v>2017-18</v>
      </c>
      <c r="G74" s="790" t="str">
        <f>Sheet1!$G$27</f>
        <v>2018-19</v>
      </c>
      <c r="H74" s="791" t="str">
        <f>Sheet1!$H$27</f>
        <v>2019-20</v>
      </c>
      <c r="I74" s="798"/>
      <c r="J74" s="844"/>
      <c r="K74" s="70"/>
      <c r="L74" s="70"/>
      <c r="M74" s="70"/>
      <c r="N74" s="70"/>
      <c r="O74" s="794"/>
      <c r="P74" s="70"/>
      <c r="Q74" s="70"/>
      <c r="R74" s="70"/>
      <c r="S74" s="10"/>
      <c r="T74" s="70"/>
      <c r="U74" s="117"/>
      <c r="V74" s="137"/>
      <c r="W74" s="150"/>
      <c r="X74" s="74"/>
      <c r="Y74" s="789" t="str">
        <f>Sheet1!$D$27</f>
        <v>2015-16</v>
      </c>
      <c r="Z74" s="790" t="str">
        <f>Sheet1!$E$27</f>
        <v>2016-17</v>
      </c>
      <c r="AA74" s="790" t="str">
        <f>Sheet1!$F$27</f>
        <v>2017-18</v>
      </c>
      <c r="AB74" s="790" t="str">
        <f>Sheet1!$G$27</f>
        <v>2018-19</v>
      </c>
      <c r="AC74" s="791" t="str">
        <f>Sheet1!$H$27</f>
        <v>2019-20</v>
      </c>
      <c r="AI74" s="184"/>
      <c r="AJ74" s="157"/>
    </row>
    <row r="75" spans="1:36" s="87" customFormat="1" ht="13.5" customHeight="1" x14ac:dyDescent="0.2">
      <c r="A75" s="121"/>
      <c r="B75" s="1772"/>
      <c r="C75" s="85"/>
      <c r="D75" s="792" t="e">
        <f>Sheet1!$D$28</f>
        <v>#N/A</v>
      </c>
      <c r="E75" s="792" t="e">
        <f>Sheet1!$E$28</f>
        <v>#N/A</v>
      </c>
      <c r="F75" s="792" t="e">
        <f>Sheet1!$F$28</f>
        <v>#N/A</v>
      </c>
      <c r="G75" s="792" t="e">
        <f>Sheet1!$G$28</f>
        <v>#N/A</v>
      </c>
      <c r="H75" s="793" t="e">
        <f>Sheet1!$H$28</f>
        <v>#N/A</v>
      </c>
      <c r="I75" s="96"/>
      <c r="J75" s="96"/>
      <c r="K75" s="96"/>
      <c r="L75" s="61"/>
      <c r="M75" s="61"/>
      <c r="N75" s="61"/>
      <c r="O75" s="61"/>
      <c r="P75" s="61"/>
      <c r="Q75" s="61"/>
      <c r="R75" s="797"/>
      <c r="S75" s="797"/>
      <c r="T75" s="159"/>
      <c r="U75" s="122"/>
      <c r="V75" s="139"/>
      <c r="W75" s="152"/>
      <c r="Y75" s="792" t="e">
        <f>Sheet1!$D$28</f>
        <v>#N/A</v>
      </c>
      <c r="Z75" s="792" t="e">
        <f>Sheet1!$E$28</f>
        <v>#N/A</v>
      </c>
      <c r="AA75" s="792" t="e">
        <f>Sheet1!$F$28</f>
        <v>#N/A</v>
      </c>
      <c r="AB75" s="792" t="e">
        <f>Sheet1!$G$28</f>
        <v>#N/A</v>
      </c>
      <c r="AC75" s="793" t="e">
        <f>Sheet1!$H$28</f>
        <v>#N/A</v>
      </c>
      <c r="AD75" s="199"/>
      <c r="AE75" s="190"/>
      <c r="AF75" s="190"/>
      <c r="AG75" s="190"/>
      <c r="AH75" s="190"/>
      <c r="AI75" s="202"/>
      <c r="AJ75" s="160"/>
    </row>
    <row r="76" spans="1:36" s="87" customFormat="1" ht="12.75" customHeight="1" x14ac:dyDescent="0.2">
      <c r="A76" s="488">
        <f>VLOOKUP(B76,Sheet1!$AQ$4:$AR$25,2,FALSE)</f>
        <v>0</v>
      </c>
      <c r="B76" s="93" t="str">
        <f>Sheet1!$K$4</f>
        <v>Bracknell Forest</v>
      </c>
      <c r="C76" s="85"/>
      <c r="D76" s="162" t="e">
        <f>IF(AND(ISNUMBER(D10),ISNUMBER(Y76)),Y76/D10,NA())</f>
        <v>#N/A</v>
      </c>
      <c r="E76" s="162" t="e">
        <f t="shared" ref="E76:H76" si="17">IF(AND(ISNUMBER(E10),ISNUMBER(Z76)),Z76/E10,NA())</f>
        <v>#N/A</v>
      </c>
      <c r="F76" s="162" t="e">
        <f t="shared" si="17"/>
        <v>#N/A</v>
      </c>
      <c r="G76" s="162" t="e">
        <f t="shared" si="17"/>
        <v>#N/A</v>
      </c>
      <c r="H76" s="1293" t="e">
        <f t="shared" si="17"/>
        <v>#N/A</v>
      </c>
      <c r="I76" s="96"/>
      <c r="J76" s="96"/>
      <c r="K76" s="96"/>
      <c r="L76" s="166"/>
      <c r="M76" s="166"/>
      <c r="N76" s="166"/>
      <c r="O76" s="166"/>
      <c r="P76" s="166"/>
      <c r="Q76" s="166"/>
      <c r="R76" s="166"/>
      <c r="S76" s="167"/>
      <c r="T76" s="159"/>
      <c r="U76" s="122"/>
      <c r="V76" s="139"/>
      <c r="W76" s="152"/>
      <c r="X76" s="45" t="str">
        <f>Sheet1!$K$4</f>
        <v>Bracknell Forest</v>
      </c>
      <c r="Y76" s="1017">
        <f>IF(ISNUMBER(D10),Referrals!D10,0)</f>
        <v>0</v>
      </c>
      <c r="Z76" s="1017">
        <f>IF(ISNUMBER(E10),Referrals!E10,0)</f>
        <v>0</v>
      </c>
      <c r="AA76" s="1017">
        <f>IF(ISNUMBER(F10),Referrals!F10,0)</f>
        <v>0</v>
      </c>
      <c r="AB76" s="1017">
        <f>IF(ISNUMBER(G10),Referrals!G10,0)</f>
        <v>0</v>
      </c>
      <c r="AC76" s="1017">
        <f>IF(ISNUMBER(H10),Referrals!H10,0)</f>
        <v>0</v>
      </c>
      <c r="AD76" s="199"/>
      <c r="AE76" s="190"/>
      <c r="AF76" s="190"/>
      <c r="AG76" s="190"/>
      <c r="AH76" s="190"/>
      <c r="AI76" s="202"/>
      <c r="AJ76" s="160"/>
    </row>
    <row r="77" spans="1:36" s="87" customFormat="1" ht="12.75" customHeight="1" x14ac:dyDescent="0.2">
      <c r="A77" s="488">
        <f>VLOOKUP(B77,Sheet1!$AQ$4:$AR$25,2,FALSE)</f>
        <v>0</v>
      </c>
      <c r="B77" s="93" t="str">
        <f>Sheet1!$K$5</f>
        <v>Brighton &amp; Hove</v>
      </c>
      <c r="C77" s="85"/>
      <c r="D77" s="162" t="e">
        <f t="shared" ref="D77:D98" si="18">IF(AND(ISNUMBER(D11),ISNUMBER(Y77)),Y77/D11,NA())</f>
        <v>#N/A</v>
      </c>
      <c r="E77" s="162" t="e">
        <f t="shared" ref="E77:E98" si="19">IF(AND(ISNUMBER(E11),ISNUMBER(Z77)),Z77/E11,NA())</f>
        <v>#N/A</v>
      </c>
      <c r="F77" s="162" t="e">
        <f t="shared" ref="F77:F98" si="20">IF(AND(ISNUMBER(F11),ISNUMBER(AA77)),AA77/F11,NA())</f>
        <v>#N/A</v>
      </c>
      <c r="G77" s="162" t="e">
        <f t="shared" ref="G77:G98" si="21">IF(AND(ISNUMBER(G11),ISNUMBER(AB77)),AB77/G11,NA())</f>
        <v>#N/A</v>
      </c>
      <c r="H77" s="560" t="e">
        <f t="shared" ref="H77:H98" si="22">IF(AND(ISNUMBER(H11),ISNUMBER(AC77)),AC77/H11,NA())</f>
        <v>#N/A</v>
      </c>
      <c r="I77" s="96"/>
      <c r="J77" s="96"/>
      <c r="K77" s="96"/>
      <c r="L77" s="166"/>
      <c r="M77" s="166"/>
      <c r="N77" s="166"/>
      <c r="O77" s="166"/>
      <c r="P77" s="166"/>
      <c r="Q77" s="166"/>
      <c r="R77" s="166"/>
      <c r="S77" s="167"/>
      <c r="T77" s="159"/>
      <c r="U77" s="122"/>
      <c r="V77" s="139"/>
      <c r="W77" s="152"/>
      <c r="X77" s="45" t="str">
        <f>Sheet1!$K$5</f>
        <v>Brighton &amp; Hove</v>
      </c>
      <c r="Y77" s="1017">
        <f>IF(ISNUMBER(D11),Referrals!D11,0)</f>
        <v>0</v>
      </c>
      <c r="Z77" s="1017">
        <f>IF(ISNUMBER(E11),Referrals!E11,0)</f>
        <v>0</v>
      </c>
      <c r="AA77" s="1017">
        <f>IF(ISNUMBER(F11),Referrals!F11,0)</f>
        <v>0</v>
      </c>
      <c r="AB77" s="1017">
        <f>IF(ISNUMBER(G11),Referrals!G11,0)</f>
        <v>0</v>
      </c>
      <c r="AC77" s="1017">
        <f>IF(ISNUMBER(H11),Referrals!H11,0)</f>
        <v>0</v>
      </c>
      <c r="AD77" s="199"/>
      <c r="AE77" s="190"/>
      <c r="AF77" s="190"/>
      <c r="AG77" s="190"/>
      <c r="AH77" s="190"/>
      <c r="AI77" s="202"/>
      <c r="AJ77" s="160"/>
    </row>
    <row r="78" spans="1:36" s="87" customFormat="1" ht="12.75" customHeight="1" x14ac:dyDescent="0.2">
      <c r="A78" s="488">
        <f>VLOOKUP(B78,Sheet1!$AQ$4:$AR$25,2,FALSE)</f>
        <v>0</v>
      </c>
      <c r="B78" s="93" t="str">
        <f>Sheet1!$K$6</f>
        <v>Buckinghamshire</v>
      </c>
      <c r="C78" s="85"/>
      <c r="D78" s="162" t="e">
        <f t="shared" si="18"/>
        <v>#N/A</v>
      </c>
      <c r="E78" s="162" t="e">
        <f t="shared" si="19"/>
        <v>#N/A</v>
      </c>
      <c r="F78" s="162" t="e">
        <f t="shared" si="20"/>
        <v>#N/A</v>
      </c>
      <c r="G78" s="162" t="e">
        <f t="shared" si="21"/>
        <v>#N/A</v>
      </c>
      <c r="H78" s="560" t="e">
        <f t="shared" si="22"/>
        <v>#N/A</v>
      </c>
      <c r="I78" s="96"/>
      <c r="J78" s="96"/>
      <c r="K78" s="96"/>
      <c r="L78" s="166"/>
      <c r="M78" s="166"/>
      <c r="N78" s="166"/>
      <c r="O78" s="166"/>
      <c r="P78" s="166"/>
      <c r="Q78" s="166"/>
      <c r="R78" s="166"/>
      <c r="S78" s="167"/>
      <c r="T78" s="159"/>
      <c r="U78" s="122"/>
      <c r="V78" s="139"/>
      <c r="W78" s="152"/>
      <c r="X78" s="45" t="str">
        <f>Sheet1!$K$6</f>
        <v>Buckinghamshire</v>
      </c>
      <c r="Y78" s="1017">
        <f>IF(ISNUMBER(D12),Referrals!D12,0)</f>
        <v>0</v>
      </c>
      <c r="Z78" s="1017">
        <f>IF(ISNUMBER(E12),Referrals!E12,0)</f>
        <v>0</v>
      </c>
      <c r="AA78" s="1017">
        <f>IF(ISNUMBER(F12),Referrals!F12,0)</f>
        <v>0</v>
      </c>
      <c r="AB78" s="1017">
        <f>IF(ISNUMBER(G12),Referrals!G12,0)</f>
        <v>0</v>
      </c>
      <c r="AC78" s="1017">
        <f>IF(ISNUMBER(H12),Referrals!H12,0)</f>
        <v>0</v>
      </c>
      <c r="AD78" s="199"/>
      <c r="AE78" s="190"/>
      <c r="AF78" s="190"/>
      <c r="AG78" s="190"/>
      <c r="AH78" s="190"/>
      <c r="AI78" s="202"/>
      <c r="AJ78" s="160"/>
    </row>
    <row r="79" spans="1:36" s="87" customFormat="1" ht="12.75" customHeight="1" x14ac:dyDescent="0.2">
      <c r="A79" s="488">
        <f>VLOOKUP(B79,Sheet1!$AQ$4:$AR$25,2,FALSE)</f>
        <v>0</v>
      </c>
      <c r="B79" s="93" t="str">
        <f>Sheet1!$K$7</f>
        <v>East Sussex</v>
      </c>
      <c r="C79" s="85"/>
      <c r="D79" s="162" t="e">
        <f t="shared" si="18"/>
        <v>#N/A</v>
      </c>
      <c r="E79" s="162" t="e">
        <f t="shared" si="19"/>
        <v>#N/A</v>
      </c>
      <c r="F79" s="162" t="e">
        <f t="shared" si="20"/>
        <v>#N/A</v>
      </c>
      <c r="G79" s="162" t="e">
        <f t="shared" si="21"/>
        <v>#N/A</v>
      </c>
      <c r="H79" s="560" t="e">
        <f t="shared" si="22"/>
        <v>#N/A</v>
      </c>
      <c r="I79" s="96"/>
      <c r="J79" s="96"/>
      <c r="K79" s="96"/>
      <c r="L79" s="166"/>
      <c r="M79" s="166"/>
      <c r="N79" s="166"/>
      <c r="O79" s="166"/>
      <c r="P79" s="166"/>
      <c r="Q79" s="166"/>
      <c r="R79" s="166"/>
      <c r="S79" s="167"/>
      <c r="T79" s="159"/>
      <c r="U79" s="122"/>
      <c r="V79" s="139"/>
      <c r="W79" s="152"/>
      <c r="X79" s="45" t="str">
        <f>Sheet1!$K$7</f>
        <v>East Sussex</v>
      </c>
      <c r="Y79" s="1017">
        <f>IF(ISNUMBER(D13),Referrals!D13,0)</f>
        <v>0</v>
      </c>
      <c r="Z79" s="1017">
        <f>IF(ISNUMBER(E13),Referrals!E13,0)</f>
        <v>0</v>
      </c>
      <c r="AA79" s="1017">
        <f>IF(ISNUMBER(F13),Referrals!F13,0)</f>
        <v>0</v>
      </c>
      <c r="AB79" s="1017">
        <f>IF(ISNUMBER(G13),Referrals!G13,0)</f>
        <v>0</v>
      </c>
      <c r="AC79" s="1017">
        <f>IF(ISNUMBER(H13),Referrals!H13,0)</f>
        <v>0</v>
      </c>
      <c r="AD79" s="199"/>
      <c r="AE79" s="190"/>
      <c r="AF79" s="190"/>
      <c r="AG79" s="190"/>
      <c r="AH79" s="190"/>
      <c r="AI79" s="202"/>
      <c r="AJ79" s="160"/>
    </row>
    <row r="80" spans="1:36" s="87" customFormat="1" ht="12.75" customHeight="1" x14ac:dyDescent="0.2">
      <c r="A80" s="488">
        <f>VLOOKUP(B80,Sheet1!$AQ$4:$AR$25,2,FALSE)</f>
        <v>0</v>
      </c>
      <c r="B80" s="93" t="str">
        <f>Sheet1!$K$8</f>
        <v>Hampshire</v>
      </c>
      <c r="C80" s="85"/>
      <c r="D80" s="162" t="e">
        <f t="shared" si="18"/>
        <v>#N/A</v>
      </c>
      <c r="E80" s="162" t="e">
        <f t="shared" si="19"/>
        <v>#N/A</v>
      </c>
      <c r="F80" s="162" t="e">
        <f t="shared" si="20"/>
        <v>#N/A</v>
      </c>
      <c r="G80" s="162" t="e">
        <f t="shared" si="21"/>
        <v>#N/A</v>
      </c>
      <c r="H80" s="560" t="e">
        <f t="shared" si="22"/>
        <v>#N/A</v>
      </c>
      <c r="I80" s="96"/>
      <c r="J80" s="96"/>
      <c r="K80" s="96"/>
      <c r="L80" s="166"/>
      <c r="M80" s="166"/>
      <c r="N80" s="166"/>
      <c r="O80" s="166"/>
      <c r="P80" s="166"/>
      <c r="Q80" s="166"/>
      <c r="R80" s="166"/>
      <c r="S80" s="167"/>
      <c r="T80" s="159"/>
      <c r="U80" s="122"/>
      <c r="V80" s="139"/>
      <c r="W80" s="152"/>
      <c r="X80" s="45" t="str">
        <f>Sheet1!$K$8</f>
        <v>Hampshire</v>
      </c>
      <c r="Y80" s="1017">
        <f>IF(ISNUMBER(D14),Referrals!D14,0)</f>
        <v>0</v>
      </c>
      <c r="Z80" s="1017">
        <f>IF(ISNUMBER(E14),Referrals!E14,0)</f>
        <v>0</v>
      </c>
      <c r="AA80" s="1017">
        <f>IF(ISNUMBER(F14),Referrals!F14,0)</f>
        <v>0</v>
      </c>
      <c r="AB80" s="1017">
        <f>IF(ISNUMBER(G14),Referrals!G14,0)</f>
        <v>0</v>
      </c>
      <c r="AC80" s="1017">
        <f>IF(ISNUMBER(H14),Referrals!H14,0)</f>
        <v>0</v>
      </c>
      <c r="AD80" s="199"/>
      <c r="AE80" s="190"/>
      <c r="AF80" s="190"/>
      <c r="AG80" s="190"/>
      <c r="AH80" s="190"/>
      <c r="AI80" s="202"/>
      <c r="AJ80" s="160"/>
    </row>
    <row r="81" spans="1:44" s="87" customFormat="1" ht="12.75" customHeight="1" x14ac:dyDescent="0.2">
      <c r="A81" s="488">
        <f>VLOOKUP(B81,Sheet1!$AQ$4:$AR$25,2,FALSE)</f>
        <v>0</v>
      </c>
      <c r="B81" s="93" t="str">
        <f>Sheet1!$K$9</f>
        <v>Isle of Wight</v>
      </c>
      <c r="C81" s="85"/>
      <c r="D81" s="162" t="e">
        <f t="shared" si="18"/>
        <v>#N/A</v>
      </c>
      <c r="E81" s="162" t="e">
        <f t="shared" si="19"/>
        <v>#N/A</v>
      </c>
      <c r="F81" s="162" t="e">
        <f t="shared" si="20"/>
        <v>#N/A</v>
      </c>
      <c r="G81" s="162" t="e">
        <f t="shared" si="21"/>
        <v>#N/A</v>
      </c>
      <c r="H81" s="560" t="e">
        <f t="shared" si="22"/>
        <v>#N/A</v>
      </c>
      <c r="I81" s="96"/>
      <c r="J81" s="96"/>
      <c r="K81" s="96"/>
      <c r="L81" s="166"/>
      <c r="M81" s="166"/>
      <c r="N81" s="166"/>
      <c r="O81" s="166"/>
      <c r="P81" s="166"/>
      <c r="Q81" s="166"/>
      <c r="R81" s="166"/>
      <c r="S81" s="167"/>
      <c r="T81" s="159"/>
      <c r="U81" s="122"/>
      <c r="V81" s="139"/>
      <c r="W81" s="152"/>
      <c r="X81" s="45" t="str">
        <f>Sheet1!$K$9</f>
        <v>Isle of Wight</v>
      </c>
      <c r="Y81" s="1017">
        <f>IF(ISNUMBER(D15),Referrals!D15,0)</f>
        <v>0</v>
      </c>
      <c r="Z81" s="1017">
        <f>IF(ISNUMBER(E15),Referrals!E15,0)</f>
        <v>0</v>
      </c>
      <c r="AA81" s="1017">
        <f>IF(ISNUMBER(F15),Referrals!F15,0)</f>
        <v>0</v>
      </c>
      <c r="AB81" s="1017">
        <f>IF(ISNUMBER(G15),Referrals!G15,0)</f>
        <v>0</v>
      </c>
      <c r="AC81" s="1017">
        <f>IF(ISNUMBER(H15),Referrals!H15,0)</f>
        <v>0</v>
      </c>
      <c r="AD81" s="199"/>
      <c r="AE81" s="190"/>
      <c r="AF81" s="190"/>
      <c r="AG81" s="190"/>
      <c r="AH81" s="190"/>
      <c r="AI81" s="202"/>
      <c r="AJ81" s="160"/>
      <c r="AR81" s="87" t="s">
        <v>102</v>
      </c>
    </row>
    <row r="82" spans="1:44" s="87" customFormat="1" ht="12.75" customHeight="1" x14ac:dyDescent="0.2">
      <c r="A82" s="488">
        <f>VLOOKUP(B82,Sheet1!$AQ$4:$AR$25,2,FALSE)</f>
        <v>0</v>
      </c>
      <c r="B82" s="93" t="str">
        <f>Sheet1!$K$10</f>
        <v>Kent</v>
      </c>
      <c r="C82" s="85"/>
      <c r="D82" s="162" t="e">
        <f t="shared" si="18"/>
        <v>#N/A</v>
      </c>
      <c r="E82" s="162" t="e">
        <f t="shared" si="19"/>
        <v>#N/A</v>
      </c>
      <c r="F82" s="162" t="e">
        <f t="shared" si="20"/>
        <v>#N/A</v>
      </c>
      <c r="G82" s="162" t="e">
        <f t="shared" si="21"/>
        <v>#N/A</v>
      </c>
      <c r="H82" s="560" t="e">
        <f t="shared" si="22"/>
        <v>#N/A</v>
      </c>
      <c r="I82" s="96"/>
      <c r="J82" s="96"/>
      <c r="K82" s="96"/>
      <c r="L82" s="166"/>
      <c r="M82" s="166"/>
      <c r="N82" s="166"/>
      <c r="O82" s="166"/>
      <c r="P82" s="166"/>
      <c r="Q82" s="166"/>
      <c r="R82" s="166"/>
      <c r="S82" s="167"/>
      <c r="T82" s="159"/>
      <c r="U82" s="122"/>
      <c r="V82" s="139"/>
      <c r="W82" s="152"/>
      <c r="X82" s="45" t="str">
        <f>Sheet1!$K$10</f>
        <v>Kent</v>
      </c>
      <c r="Y82" s="1017">
        <f>IF(ISNUMBER(D16),Referrals!D16,0)</f>
        <v>0</v>
      </c>
      <c r="Z82" s="1017">
        <f>IF(ISNUMBER(E16),Referrals!E16,0)</f>
        <v>0</v>
      </c>
      <c r="AA82" s="1017">
        <f>IF(ISNUMBER(F16),Referrals!F16,0)</f>
        <v>0</v>
      </c>
      <c r="AB82" s="1017">
        <f>IF(ISNUMBER(G16),Referrals!G16,0)</f>
        <v>0</v>
      </c>
      <c r="AC82" s="1017">
        <f>IF(ISNUMBER(H16),Referrals!H16,0)</f>
        <v>0</v>
      </c>
      <c r="AD82" s="199"/>
      <c r="AE82" s="190"/>
      <c r="AF82" s="190"/>
      <c r="AG82" s="190"/>
      <c r="AH82" s="190"/>
      <c r="AI82" s="202"/>
      <c r="AJ82" s="160"/>
    </row>
    <row r="83" spans="1:44" s="87" customFormat="1" ht="12.75" customHeight="1" x14ac:dyDescent="0.2">
      <c r="A83" s="488">
        <f>VLOOKUP(B83,Sheet1!$AQ$4:$AR$25,2,FALSE)</f>
        <v>0</v>
      </c>
      <c r="B83" s="93" t="str">
        <f>Sheet1!$K$11</f>
        <v>Medway</v>
      </c>
      <c r="C83" s="85"/>
      <c r="D83" s="162" t="e">
        <f t="shared" si="18"/>
        <v>#N/A</v>
      </c>
      <c r="E83" s="162" t="e">
        <f t="shared" si="19"/>
        <v>#N/A</v>
      </c>
      <c r="F83" s="162" t="e">
        <f t="shared" si="20"/>
        <v>#N/A</v>
      </c>
      <c r="G83" s="162" t="e">
        <f t="shared" si="21"/>
        <v>#N/A</v>
      </c>
      <c r="H83" s="560" t="e">
        <f t="shared" si="22"/>
        <v>#N/A</v>
      </c>
      <c r="I83" s="96"/>
      <c r="J83" s="96"/>
      <c r="K83" s="96"/>
      <c r="L83" s="166"/>
      <c r="M83" s="166"/>
      <c r="N83" s="166"/>
      <c r="O83" s="166"/>
      <c r="P83" s="166"/>
      <c r="Q83" s="166"/>
      <c r="R83" s="166"/>
      <c r="S83" s="167"/>
      <c r="T83" s="159"/>
      <c r="U83" s="122"/>
      <c r="V83" s="139"/>
      <c r="W83" s="152"/>
      <c r="X83" s="45" t="str">
        <f>Sheet1!$K$11</f>
        <v>Medway</v>
      </c>
      <c r="Y83" s="1017">
        <f>IF(ISNUMBER(D17),Referrals!D17,0)</f>
        <v>0</v>
      </c>
      <c r="Z83" s="1017">
        <f>IF(ISNUMBER(E17),Referrals!E17,0)</f>
        <v>0</v>
      </c>
      <c r="AA83" s="1017">
        <f>IF(ISNUMBER(F17),Referrals!F17,0)</f>
        <v>0</v>
      </c>
      <c r="AB83" s="1017">
        <f>IF(ISNUMBER(G17),Referrals!G17,0)</f>
        <v>0</v>
      </c>
      <c r="AC83" s="1017">
        <f>IF(ISNUMBER(H17),Referrals!H17,0)</f>
        <v>0</v>
      </c>
      <c r="AD83" s="199"/>
      <c r="AE83" s="190"/>
      <c r="AF83" s="190"/>
      <c r="AG83" s="190"/>
      <c r="AH83" s="190"/>
      <c r="AI83" s="202"/>
      <c r="AJ83" s="160"/>
    </row>
    <row r="84" spans="1:44" s="87" customFormat="1" ht="12.75" customHeight="1" x14ac:dyDescent="0.2">
      <c r="A84" s="488">
        <f>VLOOKUP(B84,Sheet1!$AQ$4:$AR$25,2,FALSE)</f>
        <v>0</v>
      </c>
      <c r="B84" s="93" t="str">
        <f>Sheet1!$K$12</f>
        <v>Milton Keynes</v>
      </c>
      <c r="C84" s="85"/>
      <c r="D84" s="162" t="e">
        <f t="shared" si="18"/>
        <v>#N/A</v>
      </c>
      <c r="E84" s="162" t="e">
        <f t="shared" si="19"/>
        <v>#N/A</v>
      </c>
      <c r="F84" s="162" t="e">
        <f t="shared" si="20"/>
        <v>#N/A</v>
      </c>
      <c r="G84" s="162" t="e">
        <f t="shared" si="21"/>
        <v>#N/A</v>
      </c>
      <c r="H84" s="560" t="e">
        <f t="shared" si="22"/>
        <v>#N/A</v>
      </c>
      <c r="I84" s="96"/>
      <c r="J84" s="96"/>
      <c r="K84" s="96"/>
      <c r="L84" s="166"/>
      <c r="M84" s="166"/>
      <c r="N84" s="166"/>
      <c r="O84" s="166"/>
      <c r="P84" s="166"/>
      <c r="Q84" s="166"/>
      <c r="R84" s="166"/>
      <c r="S84" s="167"/>
      <c r="T84" s="159"/>
      <c r="U84" s="122"/>
      <c r="V84" s="139"/>
      <c r="W84" s="152"/>
      <c r="X84" s="45" t="str">
        <f>Sheet1!$K$12</f>
        <v>Milton Keynes</v>
      </c>
      <c r="Y84" s="1017">
        <f>IF(ISNUMBER(D18),Referrals!D18,0)</f>
        <v>0</v>
      </c>
      <c r="Z84" s="1017">
        <f>IF(ISNUMBER(E18),Referrals!E18,0)</f>
        <v>0</v>
      </c>
      <c r="AA84" s="1017">
        <f>IF(ISNUMBER(F18),Referrals!F18,0)</f>
        <v>0</v>
      </c>
      <c r="AB84" s="1017">
        <f>IF(ISNUMBER(G18),Referrals!G18,0)</f>
        <v>0</v>
      </c>
      <c r="AC84" s="1017">
        <f>IF(ISNUMBER(H18),Referrals!H18,0)</f>
        <v>0</v>
      </c>
      <c r="AD84" s="199"/>
      <c r="AE84" s="190"/>
      <c r="AF84" s="190"/>
      <c r="AG84" s="190"/>
      <c r="AH84" s="190"/>
      <c r="AI84" s="202"/>
      <c r="AJ84" s="160"/>
    </row>
    <row r="85" spans="1:44" s="87" customFormat="1" ht="12.75" customHeight="1" x14ac:dyDescent="0.2">
      <c r="A85" s="488">
        <f>VLOOKUP(B85,Sheet1!$AQ$4:$AR$25,2,FALSE)</f>
        <v>0</v>
      </c>
      <c r="B85" s="93" t="str">
        <f>Sheet1!$K$13</f>
        <v>Oxfordshire</v>
      </c>
      <c r="C85" s="85"/>
      <c r="D85" s="162" t="e">
        <f t="shared" si="18"/>
        <v>#N/A</v>
      </c>
      <c r="E85" s="162" t="e">
        <f t="shared" si="19"/>
        <v>#N/A</v>
      </c>
      <c r="F85" s="162" t="e">
        <f t="shared" si="20"/>
        <v>#N/A</v>
      </c>
      <c r="G85" s="162" t="e">
        <f t="shared" si="21"/>
        <v>#N/A</v>
      </c>
      <c r="H85" s="560" t="e">
        <f t="shared" si="22"/>
        <v>#N/A</v>
      </c>
      <c r="I85" s="96"/>
      <c r="J85" s="96"/>
      <c r="K85" s="96"/>
      <c r="L85" s="166"/>
      <c r="M85" s="166"/>
      <c r="N85" s="166"/>
      <c r="O85" s="166"/>
      <c r="P85" s="166"/>
      <c r="Q85" s="166"/>
      <c r="R85" s="166"/>
      <c r="S85" s="167"/>
      <c r="T85" s="159"/>
      <c r="U85" s="122"/>
      <c r="V85" s="139"/>
      <c r="W85" s="152"/>
      <c r="X85" s="45" t="str">
        <f>Sheet1!$K$13</f>
        <v>Oxfordshire</v>
      </c>
      <c r="Y85" s="1017">
        <f>IF(ISNUMBER(D19),Referrals!D19,0)</f>
        <v>0</v>
      </c>
      <c r="Z85" s="1017">
        <f>IF(ISNUMBER(E19),Referrals!E19,0)</f>
        <v>0</v>
      </c>
      <c r="AA85" s="1017">
        <f>IF(ISNUMBER(F19),Referrals!F19,0)</f>
        <v>0</v>
      </c>
      <c r="AB85" s="1017">
        <f>IF(ISNUMBER(G19),Referrals!G19,0)</f>
        <v>0</v>
      </c>
      <c r="AC85" s="1017">
        <f>IF(ISNUMBER(H19),Referrals!H19,0)</f>
        <v>0</v>
      </c>
      <c r="AD85" s="199"/>
      <c r="AE85" s="190"/>
      <c r="AF85" s="190"/>
      <c r="AG85" s="190"/>
      <c r="AH85" s="190"/>
      <c r="AI85" s="202"/>
      <c r="AJ85" s="160"/>
    </row>
    <row r="86" spans="1:44" s="87" customFormat="1" ht="12.75" customHeight="1" x14ac:dyDescent="0.2">
      <c r="A86" s="488">
        <f>VLOOKUP(B86,Sheet1!$AQ$4:$AR$25,2,FALSE)</f>
        <v>0</v>
      </c>
      <c r="B86" s="93" t="str">
        <f>Sheet1!$K$14</f>
        <v>Portsmouth</v>
      </c>
      <c r="C86" s="85"/>
      <c r="D86" s="162" t="e">
        <f t="shared" si="18"/>
        <v>#N/A</v>
      </c>
      <c r="E86" s="162" t="e">
        <f t="shared" si="19"/>
        <v>#N/A</v>
      </c>
      <c r="F86" s="162" t="e">
        <f t="shared" si="20"/>
        <v>#N/A</v>
      </c>
      <c r="G86" s="162" t="e">
        <f t="shared" si="21"/>
        <v>#N/A</v>
      </c>
      <c r="H86" s="560" t="e">
        <f t="shared" si="22"/>
        <v>#N/A</v>
      </c>
      <c r="I86" s="96"/>
      <c r="J86" s="96"/>
      <c r="K86" s="96"/>
      <c r="L86" s="166"/>
      <c r="M86" s="166"/>
      <c r="N86" s="166"/>
      <c r="O86" s="166"/>
      <c r="P86" s="166"/>
      <c r="Q86" s="166"/>
      <c r="R86" s="166"/>
      <c r="S86" s="167"/>
      <c r="T86" s="159"/>
      <c r="U86" s="122"/>
      <c r="V86" s="139"/>
      <c r="W86" s="152"/>
      <c r="X86" s="45" t="str">
        <f>Sheet1!$K$14</f>
        <v>Portsmouth</v>
      </c>
      <c r="Y86" s="1017">
        <f>IF(ISNUMBER(D20),Referrals!D20,0)</f>
        <v>0</v>
      </c>
      <c r="Z86" s="1017">
        <f>IF(ISNUMBER(E20),Referrals!E20,0)</f>
        <v>0</v>
      </c>
      <c r="AA86" s="1017">
        <f>IF(ISNUMBER(F20),Referrals!F20,0)</f>
        <v>0</v>
      </c>
      <c r="AB86" s="1017">
        <f>IF(ISNUMBER(G20),Referrals!G20,0)</f>
        <v>0</v>
      </c>
      <c r="AC86" s="1017">
        <f>IF(ISNUMBER(H20),Referrals!H20,0)</f>
        <v>0</v>
      </c>
      <c r="AD86" s="199"/>
      <c r="AE86" s="190"/>
      <c r="AF86" s="190"/>
      <c r="AG86" s="190"/>
      <c r="AH86" s="190"/>
      <c r="AI86" s="202"/>
      <c r="AJ86" s="160"/>
    </row>
    <row r="87" spans="1:44" s="87" customFormat="1" ht="12.75" customHeight="1" x14ac:dyDescent="0.2">
      <c r="A87" s="488">
        <f>VLOOKUP(B87,Sheet1!$AQ$4:$AR$25,2,FALSE)</f>
        <v>0</v>
      </c>
      <c r="B87" s="93" t="str">
        <f>Sheet1!$K$15</f>
        <v>Reading</v>
      </c>
      <c r="C87" s="85"/>
      <c r="D87" s="162" t="e">
        <f t="shared" si="18"/>
        <v>#N/A</v>
      </c>
      <c r="E87" s="162" t="e">
        <f t="shared" si="19"/>
        <v>#N/A</v>
      </c>
      <c r="F87" s="162" t="e">
        <f t="shared" si="20"/>
        <v>#N/A</v>
      </c>
      <c r="G87" s="162" t="e">
        <f t="shared" si="21"/>
        <v>#N/A</v>
      </c>
      <c r="H87" s="560" t="e">
        <f t="shared" si="22"/>
        <v>#N/A</v>
      </c>
      <c r="I87" s="96"/>
      <c r="J87" s="96"/>
      <c r="K87" s="96"/>
      <c r="L87" s="166"/>
      <c r="M87" s="166"/>
      <c r="N87" s="166"/>
      <c r="O87" s="166"/>
      <c r="P87" s="166"/>
      <c r="Q87" s="166"/>
      <c r="R87" s="166"/>
      <c r="S87" s="167"/>
      <c r="T87" s="159"/>
      <c r="U87" s="122"/>
      <c r="V87" s="139"/>
      <c r="W87" s="152"/>
      <c r="X87" s="45" t="str">
        <f>Sheet1!$K$15</f>
        <v>Reading</v>
      </c>
      <c r="Y87" s="1017">
        <f>IF(ISNUMBER(D21),Referrals!D21,0)</f>
        <v>0</v>
      </c>
      <c r="Z87" s="1017">
        <f>IF(ISNUMBER(E21),Referrals!E21,0)</f>
        <v>0</v>
      </c>
      <c r="AA87" s="1017">
        <f>IF(ISNUMBER(F21),Referrals!F21,0)</f>
        <v>0</v>
      </c>
      <c r="AB87" s="1017">
        <f>IF(ISNUMBER(G21),Referrals!G21,0)</f>
        <v>0</v>
      </c>
      <c r="AC87" s="1017">
        <f>IF(ISNUMBER(H21),Referrals!H21,0)</f>
        <v>0</v>
      </c>
      <c r="AD87" s="199"/>
      <c r="AE87" s="190"/>
      <c r="AF87" s="190"/>
      <c r="AG87" s="190"/>
      <c r="AH87" s="190"/>
      <c r="AI87" s="202"/>
      <c r="AJ87" s="160"/>
    </row>
    <row r="88" spans="1:44" s="87" customFormat="1" ht="12.75" customHeight="1" x14ac:dyDescent="0.2">
      <c r="A88" s="488">
        <f>VLOOKUP(B88,Sheet1!$AQ$4:$AR$25,2,FALSE)</f>
        <v>0</v>
      </c>
      <c r="B88" s="93" t="str">
        <f>Sheet1!$K$16</f>
        <v>Slough</v>
      </c>
      <c r="C88" s="85"/>
      <c r="D88" s="162" t="e">
        <f t="shared" si="18"/>
        <v>#N/A</v>
      </c>
      <c r="E88" s="162" t="e">
        <f t="shared" si="19"/>
        <v>#N/A</v>
      </c>
      <c r="F88" s="162" t="e">
        <f t="shared" si="20"/>
        <v>#N/A</v>
      </c>
      <c r="G88" s="162" t="e">
        <f t="shared" si="21"/>
        <v>#N/A</v>
      </c>
      <c r="H88" s="560" t="e">
        <f t="shared" si="22"/>
        <v>#N/A</v>
      </c>
      <c r="I88" s="96"/>
      <c r="J88" s="96"/>
      <c r="K88" s="96"/>
      <c r="L88" s="166"/>
      <c r="M88" s="166"/>
      <c r="N88" s="166"/>
      <c r="O88" s="166"/>
      <c r="P88" s="166"/>
      <c r="Q88" s="166"/>
      <c r="R88" s="166"/>
      <c r="S88" s="167"/>
      <c r="T88" s="159"/>
      <c r="U88" s="122"/>
      <c r="V88" s="139"/>
      <c r="W88" s="152"/>
      <c r="X88" s="45" t="str">
        <f>Sheet1!$K$16</f>
        <v>Slough</v>
      </c>
      <c r="Y88" s="1017">
        <f>IF(ISNUMBER(D22),Referrals!D22,0)</f>
        <v>0</v>
      </c>
      <c r="Z88" s="1017">
        <f>IF(ISNUMBER(E22),Referrals!E22,0)</f>
        <v>0</v>
      </c>
      <c r="AA88" s="1017">
        <f>IF(ISNUMBER(F22),Referrals!F22,0)</f>
        <v>0</v>
      </c>
      <c r="AB88" s="1017">
        <f>IF(ISNUMBER(G22),Referrals!G22,0)</f>
        <v>0</v>
      </c>
      <c r="AC88" s="1017">
        <f>IF(ISNUMBER(H22),Referrals!H22,0)</f>
        <v>0</v>
      </c>
      <c r="AD88" s="199"/>
      <c r="AE88" s="190"/>
      <c r="AF88" s="190"/>
      <c r="AG88" s="190"/>
      <c r="AH88" s="190"/>
      <c r="AI88" s="202"/>
      <c r="AJ88" s="160"/>
    </row>
    <row r="89" spans="1:44" s="87" customFormat="1" ht="12.75" customHeight="1" x14ac:dyDescent="0.2">
      <c r="A89" s="488">
        <f>VLOOKUP(B89,Sheet1!$AQ$4:$AR$25,2,FALSE)</f>
        <v>0</v>
      </c>
      <c r="B89" s="93" t="str">
        <f>Sheet1!$K$17</f>
        <v>Somerset</v>
      </c>
      <c r="C89" s="85"/>
      <c r="D89" s="162" t="e">
        <f t="shared" si="18"/>
        <v>#N/A</v>
      </c>
      <c r="E89" s="162" t="e">
        <f t="shared" si="19"/>
        <v>#N/A</v>
      </c>
      <c r="F89" s="162" t="e">
        <f t="shared" si="20"/>
        <v>#N/A</v>
      </c>
      <c r="G89" s="162" t="e">
        <f t="shared" si="21"/>
        <v>#N/A</v>
      </c>
      <c r="H89" s="560" t="e">
        <f t="shared" si="22"/>
        <v>#N/A</v>
      </c>
      <c r="I89" s="96"/>
      <c r="J89" s="96"/>
      <c r="K89" s="96"/>
      <c r="L89" s="166"/>
      <c r="M89" s="166"/>
      <c r="N89" s="166"/>
      <c r="O89" s="166"/>
      <c r="P89" s="166"/>
      <c r="Q89" s="166"/>
      <c r="R89" s="166"/>
      <c r="S89" s="167"/>
      <c r="T89" s="159"/>
      <c r="U89" s="122"/>
      <c r="V89" s="139"/>
      <c r="W89" s="152"/>
      <c r="X89" s="45" t="str">
        <f>Sheet1!$K$17</f>
        <v>Somerset</v>
      </c>
      <c r="Y89" s="1017">
        <f>IF(ISNUMBER(D23),Referrals!D23,0)</f>
        <v>0</v>
      </c>
      <c r="Z89" s="1017">
        <f>IF(ISNUMBER(E23),Referrals!E23,0)</f>
        <v>0</v>
      </c>
      <c r="AA89" s="1017">
        <f>IF(ISNUMBER(F23),Referrals!F23,0)</f>
        <v>0</v>
      </c>
      <c r="AB89" s="1017">
        <f>IF(ISNUMBER(G23),Referrals!G23,0)</f>
        <v>0</v>
      </c>
      <c r="AC89" s="1017">
        <f>IF(ISNUMBER(H23),Referrals!H23,0)</f>
        <v>0</v>
      </c>
      <c r="AD89" s="199"/>
      <c r="AE89" s="190"/>
      <c r="AF89" s="190"/>
      <c r="AG89" s="190"/>
      <c r="AH89" s="190"/>
      <c r="AI89" s="202"/>
      <c r="AJ89" s="160"/>
    </row>
    <row r="90" spans="1:44" s="87" customFormat="1" ht="12.75" customHeight="1" x14ac:dyDescent="0.2">
      <c r="A90" s="488">
        <f>VLOOKUP(B90,Sheet1!$AQ$4:$AR$25,2,FALSE)</f>
        <v>0</v>
      </c>
      <c r="B90" s="93" t="str">
        <f>Sheet1!$K$18</f>
        <v>Southampton</v>
      </c>
      <c r="C90" s="85"/>
      <c r="D90" s="162" t="e">
        <f t="shared" si="18"/>
        <v>#N/A</v>
      </c>
      <c r="E90" s="162" t="e">
        <f t="shared" si="19"/>
        <v>#N/A</v>
      </c>
      <c r="F90" s="162" t="e">
        <f t="shared" si="20"/>
        <v>#N/A</v>
      </c>
      <c r="G90" s="162" t="e">
        <f t="shared" si="21"/>
        <v>#N/A</v>
      </c>
      <c r="H90" s="560" t="e">
        <f t="shared" si="22"/>
        <v>#N/A</v>
      </c>
      <c r="I90" s="96"/>
      <c r="J90" s="96"/>
      <c r="K90" s="96"/>
      <c r="L90" s="166"/>
      <c r="M90" s="166"/>
      <c r="N90" s="166"/>
      <c r="O90" s="166"/>
      <c r="P90" s="166"/>
      <c r="Q90" s="166"/>
      <c r="R90" s="166"/>
      <c r="S90" s="167"/>
      <c r="T90" s="159"/>
      <c r="U90" s="122"/>
      <c r="V90" s="139"/>
      <c r="W90" s="152"/>
      <c r="X90" s="45" t="str">
        <f>Sheet1!$K$18</f>
        <v>Southampton</v>
      </c>
      <c r="Y90" s="1017">
        <f>IF(ISNUMBER(D24),Referrals!D24,0)</f>
        <v>0</v>
      </c>
      <c r="Z90" s="1017">
        <f>IF(ISNUMBER(E24),Referrals!E24,0)</f>
        <v>0</v>
      </c>
      <c r="AA90" s="1017">
        <f>IF(ISNUMBER(F24),Referrals!F24,0)</f>
        <v>0</v>
      </c>
      <c r="AB90" s="1017">
        <f>IF(ISNUMBER(G24),Referrals!G24,0)</f>
        <v>0</v>
      </c>
      <c r="AC90" s="1017">
        <f>IF(ISNUMBER(H24),Referrals!H24,0)</f>
        <v>0</v>
      </c>
      <c r="AD90" s="199"/>
      <c r="AE90" s="190"/>
      <c r="AF90" s="190"/>
      <c r="AG90" s="190"/>
      <c r="AH90" s="190"/>
      <c r="AI90" s="202"/>
      <c r="AJ90" s="160"/>
    </row>
    <row r="91" spans="1:44" s="87" customFormat="1" ht="12.75" customHeight="1" x14ac:dyDescent="0.2">
      <c r="A91" s="488">
        <f>VLOOKUP(B91,Sheet1!$AQ$4:$AR$25,2,FALSE)</f>
        <v>0</v>
      </c>
      <c r="B91" s="93" t="str">
        <f>Sheet1!$K$19</f>
        <v>Surrey</v>
      </c>
      <c r="C91" s="85"/>
      <c r="D91" s="162" t="e">
        <f t="shared" si="18"/>
        <v>#N/A</v>
      </c>
      <c r="E91" s="162" t="e">
        <f t="shared" si="19"/>
        <v>#N/A</v>
      </c>
      <c r="F91" s="162" t="e">
        <f t="shared" si="20"/>
        <v>#N/A</v>
      </c>
      <c r="G91" s="162" t="e">
        <f t="shared" si="21"/>
        <v>#N/A</v>
      </c>
      <c r="H91" s="560" t="e">
        <f t="shared" si="22"/>
        <v>#N/A</v>
      </c>
      <c r="I91" s="96"/>
      <c r="J91" s="96"/>
      <c r="K91" s="96"/>
      <c r="L91" s="166"/>
      <c r="M91" s="166"/>
      <c r="N91" s="166"/>
      <c r="O91" s="166"/>
      <c r="P91" s="166"/>
      <c r="Q91" s="166"/>
      <c r="R91" s="166"/>
      <c r="S91" s="167"/>
      <c r="T91" s="159"/>
      <c r="U91" s="122"/>
      <c r="V91" s="139"/>
      <c r="W91" s="152"/>
      <c r="X91" s="45" t="str">
        <f>Sheet1!$K$19</f>
        <v>Surrey</v>
      </c>
      <c r="Y91" s="1017">
        <f>IF(ISNUMBER(D25),Referrals!D25,0)</f>
        <v>0</v>
      </c>
      <c r="Z91" s="1017">
        <f>IF(ISNUMBER(E25),Referrals!E25,0)</f>
        <v>0</v>
      </c>
      <c r="AA91" s="1017">
        <f>IF(ISNUMBER(F25),Referrals!F25,0)</f>
        <v>0</v>
      </c>
      <c r="AB91" s="1017">
        <f>IF(ISNUMBER(G25),Referrals!G25,0)</f>
        <v>0</v>
      </c>
      <c r="AC91" s="1017">
        <f>IF(ISNUMBER(H25),Referrals!H25,0)</f>
        <v>0</v>
      </c>
      <c r="AD91" s="199"/>
      <c r="AE91" s="190"/>
      <c r="AF91" s="190"/>
      <c r="AG91" s="190"/>
      <c r="AH91" s="190"/>
      <c r="AI91" s="202"/>
      <c r="AJ91" s="160"/>
    </row>
    <row r="92" spans="1:44" s="87" customFormat="1" ht="12.75" customHeight="1" x14ac:dyDescent="0.2">
      <c r="A92" s="488">
        <f>VLOOKUP(B92,Sheet1!$AQ$4:$AR$25,2,FALSE)</f>
        <v>0</v>
      </c>
      <c r="B92" s="93" t="str">
        <f>Sheet1!$K$20</f>
        <v>Swindon</v>
      </c>
      <c r="C92" s="85"/>
      <c r="D92" s="162" t="e">
        <f t="shared" si="18"/>
        <v>#N/A</v>
      </c>
      <c r="E92" s="162" t="e">
        <f t="shared" si="19"/>
        <v>#N/A</v>
      </c>
      <c r="F92" s="162" t="e">
        <f t="shared" si="20"/>
        <v>#N/A</v>
      </c>
      <c r="G92" s="162" t="e">
        <f t="shared" si="21"/>
        <v>#N/A</v>
      </c>
      <c r="H92" s="560" t="e">
        <f t="shared" si="22"/>
        <v>#N/A</v>
      </c>
      <c r="I92" s="96"/>
      <c r="J92" s="96"/>
      <c r="K92" s="96"/>
      <c r="L92" s="166"/>
      <c r="M92" s="166"/>
      <c r="N92" s="166"/>
      <c r="O92" s="166"/>
      <c r="P92" s="166"/>
      <c r="Q92" s="166"/>
      <c r="R92" s="166"/>
      <c r="S92" s="167"/>
      <c r="T92" s="159"/>
      <c r="U92" s="122"/>
      <c r="V92" s="139"/>
      <c r="W92" s="152"/>
      <c r="X92" s="45" t="str">
        <f>Sheet1!$K$20</f>
        <v>Swindon</v>
      </c>
      <c r="Y92" s="1017">
        <f>IF(ISNUMBER(D26),Referrals!D26,0)</f>
        <v>0</v>
      </c>
      <c r="Z92" s="1017">
        <f>IF(ISNUMBER(E26),Referrals!E26,0)</f>
        <v>0</v>
      </c>
      <c r="AA92" s="1017">
        <f>IF(ISNUMBER(F26),Referrals!F26,0)</f>
        <v>0</v>
      </c>
      <c r="AB92" s="1017">
        <f>IF(ISNUMBER(G26),Referrals!G26,0)</f>
        <v>0</v>
      </c>
      <c r="AC92" s="1017">
        <f>IF(ISNUMBER(H26),Referrals!H26,0)</f>
        <v>0</v>
      </c>
      <c r="AD92" s="199"/>
      <c r="AE92" s="190"/>
      <c r="AF92" s="190"/>
      <c r="AG92" s="190"/>
      <c r="AH92" s="190"/>
      <c r="AI92" s="202"/>
      <c r="AJ92" s="160"/>
    </row>
    <row r="93" spans="1:44" s="87" customFormat="1" ht="12.75" customHeight="1" x14ac:dyDescent="0.2">
      <c r="A93" s="488">
        <f>VLOOKUP(B93,Sheet1!$AQ$4:$AR$25,2,FALSE)</f>
        <v>0</v>
      </c>
      <c r="B93" s="93" t="str">
        <f>Sheet1!$K$21</f>
        <v>Torbay</v>
      </c>
      <c r="C93" s="85"/>
      <c r="D93" s="162" t="e">
        <f t="shared" si="18"/>
        <v>#N/A</v>
      </c>
      <c r="E93" s="162" t="e">
        <f t="shared" si="19"/>
        <v>#N/A</v>
      </c>
      <c r="F93" s="162" t="e">
        <f t="shared" si="20"/>
        <v>#N/A</v>
      </c>
      <c r="G93" s="162" t="e">
        <f t="shared" si="21"/>
        <v>#N/A</v>
      </c>
      <c r="H93" s="560" t="e">
        <f t="shared" si="22"/>
        <v>#N/A</v>
      </c>
      <c r="I93" s="96"/>
      <c r="J93" s="96"/>
      <c r="K93" s="96"/>
      <c r="L93" s="166"/>
      <c r="M93" s="166"/>
      <c r="N93" s="166"/>
      <c r="O93" s="166"/>
      <c r="P93" s="166"/>
      <c r="Q93" s="166"/>
      <c r="R93" s="166"/>
      <c r="S93" s="167"/>
      <c r="T93" s="159"/>
      <c r="U93" s="122"/>
      <c r="V93" s="139"/>
      <c r="W93" s="152"/>
      <c r="X93" s="45" t="str">
        <f>Sheet1!$K$21</f>
        <v>Torbay</v>
      </c>
      <c r="Y93" s="1017">
        <f>IF(ISNUMBER(D27),Referrals!D27,0)</f>
        <v>0</v>
      </c>
      <c r="Z93" s="1017">
        <f>IF(ISNUMBER(E27),Referrals!E27,0)</f>
        <v>0</v>
      </c>
      <c r="AA93" s="1017">
        <f>IF(ISNUMBER(F27),Referrals!F27,0)</f>
        <v>0</v>
      </c>
      <c r="AB93" s="1017">
        <f>IF(ISNUMBER(G27),Referrals!G27,0)</f>
        <v>0</v>
      </c>
      <c r="AC93" s="1017">
        <f>IF(ISNUMBER(H27),Referrals!H27,0)</f>
        <v>0</v>
      </c>
      <c r="AD93" s="199"/>
      <c r="AE93" s="190"/>
      <c r="AF93" s="190"/>
      <c r="AG93" s="190"/>
      <c r="AH93" s="190"/>
      <c r="AI93" s="202"/>
      <c r="AJ93" s="160"/>
    </row>
    <row r="94" spans="1:44" s="87" customFormat="1" ht="12.75" customHeight="1" x14ac:dyDescent="0.2">
      <c r="A94" s="488">
        <f>VLOOKUP(B94,Sheet1!$AQ$4:$AR$25,2,FALSE)</f>
        <v>0</v>
      </c>
      <c r="B94" s="93" t="str">
        <f>Sheet1!$K$22</f>
        <v>West Berkshire</v>
      </c>
      <c r="C94" s="85"/>
      <c r="D94" s="162" t="e">
        <f t="shared" si="18"/>
        <v>#N/A</v>
      </c>
      <c r="E94" s="162" t="e">
        <f t="shared" si="19"/>
        <v>#N/A</v>
      </c>
      <c r="F94" s="162" t="e">
        <f t="shared" si="20"/>
        <v>#N/A</v>
      </c>
      <c r="G94" s="162" t="e">
        <f t="shared" si="21"/>
        <v>#N/A</v>
      </c>
      <c r="H94" s="560" t="e">
        <f t="shared" si="22"/>
        <v>#N/A</v>
      </c>
      <c r="I94" s="96"/>
      <c r="J94" s="96"/>
      <c r="K94" s="96"/>
      <c r="L94" s="166"/>
      <c r="M94" s="166"/>
      <c r="N94" s="166"/>
      <c r="O94" s="166"/>
      <c r="P94" s="166"/>
      <c r="Q94" s="166"/>
      <c r="R94" s="166"/>
      <c r="S94" s="167"/>
      <c r="T94" s="159"/>
      <c r="U94" s="122"/>
      <c r="V94" s="139"/>
      <c r="W94" s="152"/>
      <c r="X94" s="45" t="str">
        <f>Sheet1!$K$22</f>
        <v>West Berkshire</v>
      </c>
      <c r="Y94" s="1017">
        <f>IF(ISNUMBER(D28),Referrals!D28,0)</f>
        <v>0</v>
      </c>
      <c r="Z94" s="1017">
        <f>IF(ISNUMBER(E28),Referrals!E28,0)</f>
        <v>0</v>
      </c>
      <c r="AA94" s="1017">
        <f>IF(ISNUMBER(F28),Referrals!F28,0)</f>
        <v>0</v>
      </c>
      <c r="AB94" s="1017">
        <f>IF(ISNUMBER(G28),Referrals!G28,0)</f>
        <v>0</v>
      </c>
      <c r="AC94" s="1017">
        <f>IF(ISNUMBER(H28),Referrals!H28,0)</f>
        <v>0</v>
      </c>
      <c r="AD94" s="199"/>
      <c r="AE94" s="202"/>
      <c r="AF94" s="190"/>
      <c r="AG94" s="190"/>
      <c r="AH94" s="190"/>
      <c r="AI94" s="202"/>
      <c r="AJ94" s="160"/>
    </row>
    <row r="95" spans="1:44" s="87" customFormat="1" ht="12.75" customHeight="1" x14ac:dyDescent="0.2">
      <c r="A95" s="488">
        <f>VLOOKUP(B95,Sheet1!$AQ$4:$AR$25,2,FALSE)</f>
        <v>0</v>
      </c>
      <c r="B95" s="93" t="str">
        <f>Sheet1!$K$23</f>
        <v>West Sussex</v>
      </c>
      <c r="C95" s="85"/>
      <c r="D95" s="162" t="e">
        <f t="shared" si="18"/>
        <v>#N/A</v>
      </c>
      <c r="E95" s="162" t="e">
        <f t="shared" si="19"/>
        <v>#N/A</v>
      </c>
      <c r="F95" s="162" t="e">
        <f t="shared" si="20"/>
        <v>#N/A</v>
      </c>
      <c r="G95" s="162" t="e">
        <f t="shared" si="21"/>
        <v>#N/A</v>
      </c>
      <c r="H95" s="560" t="e">
        <f t="shared" si="22"/>
        <v>#N/A</v>
      </c>
      <c r="I95" s="96"/>
      <c r="J95" s="96"/>
      <c r="K95" s="96"/>
      <c r="L95" s="166"/>
      <c r="M95" s="166"/>
      <c r="N95" s="166"/>
      <c r="O95" s="166"/>
      <c r="P95" s="166"/>
      <c r="Q95" s="166"/>
      <c r="R95" s="166"/>
      <c r="S95" s="167"/>
      <c r="T95" s="159"/>
      <c r="U95" s="122"/>
      <c r="V95" s="139"/>
      <c r="W95" s="152"/>
      <c r="X95" s="45" t="str">
        <f>Sheet1!$K$23</f>
        <v>West Sussex</v>
      </c>
      <c r="Y95" s="1017">
        <f>IF(ISNUMBER(D29),Referrals!D29,0)</f>
        <v>0</v>
      </c>
      <c r="Z95" s="1017">
        <f>IF(ISNUMBER(E29),Referrals!E29,0)</f>
        <v>0</v>
      </c>
      <c r="AA95" s="1017">
        <f>IF(ISNUMBER(F29),Referrals!F29,0)</f>
        <v>0</v>
      </c>
      <c r="AB95" s="1017">
        <f>IF(ISNUMBER(G29),Referrals!G29,0)</f>
        <v>0</v>
      </c>
      <c r="AC95" s="1017">
        <f>IF(ISNUMBER(H29),Referrals!H29,0)</f>
        <v>0</v>
      </c>
      <c r="AD95" s="199"/>
      <c r="AE95" s="202"/>
      <c r="AF95" s="190"/>
      <c r="AG95" s="190"/>
      <c r="AH95" s="190"/>
      <c r="AI95" s="202"/>
      <c r="AJ95" s="160"/>
    </row>
    <row r="96" spans="1:44" s="87" customFormat="1" ht="12.75" customHeight="1" x14ac:dyDescent="0.2">
      <c r="A96" s="488">
        <f>VLOOKUP(B96,Sheet1!$AQ$4:$AR$25,2,FALSE)</f>
        <v>0</v>
      </c>
      <c r="B96" s="93" t="str">
        <f>Sheet1!$K$24</f>
        <v>Windsor &amp; Maidenhead</v>
      </c>
      <c r="C96" s="85"/>
      <c r="D96" s="162" t="e">
        <f t="shared" si="18"/>
        <v>#N/A</v>
      </c>
      <c r="E96" s="162" t="e">
        <f t="shared" si="19"/>
        <v>#N/A</v>
      </c>
      <c r="F96" s="162" t="e">
        <f t="shared" si="20"/>
        <v>#N/A</v>
      </c>
      <c r="G96" s="162" t="e">
        <f t="shared" si="21"/>
        <v>#N/A</v>
      </c>
      <c r="H96" s="560" t="e">
        <f t="shared" si="22"/>
        <v>#N/A</v>
      </c>
      <c r="I96" s="96"/>
      <c r="J96" s="96"/>
      <c r="K96" s="96"/>
      <c r="L96" s="166"/>
      <c r="M96" s="166"/>
      <c r="N96" s="166"/>
      <c r="O96" s="166"/>
      <c r="P96" s="166"/>
      <c r="Q96" s="166"/>
      <c r="R96" s="166"/>
      <c r="S96" s="167"/>
      <c r="T96" s="159"/>
      <c r="U96" s="122"/>
      <c r="V96" s="139"/>
      <c r="W96" s="152"/>
      <c r="X96" s="45" t="str">
        <f>Sheet1!$K$24</f>
        <v>Windsor &amp; Maidenhead</v>
      </c>
      <c r="Y96" s="1017">
        <f>IF(ISNUMBER(D30),Referrals!D30,0)</f>
        <v>0</v>
      </c>
      <c r="Z96" s="1017">
        <f>IF(ISNUMBER(E30),Referrals!E30,0)</f>
        <v>0</v>
      </c>
      <c r="AA96" s="1017">
        <f>IF(ISNUMBER(F30),Referrals!F30,0)</f>
        <v>0</v>
      </c>
      <c r="AB96" s="1017">
        <f>IF(ISNUMBER(G30),Referrals!G30,0)</f>
        <v>0</v>
      </c>
      <c r="AC96" s="1017">
        <f>IF(ISNUMBER(H30),Referrals!H30,0)</f>
        <v>0</v>
      </c>
      <c r="AD96" s="199"/>
      <c r="AE96" s="202"/>
      <c r="AF96" s="202"/>
      <c r="AG96" s="202"/>
      <c r="AH96" s="190"/>
      <c r="AI96" s="202"/>
      <c r="AJ96" s="160"/>
    </row>
    <row r="97" spans="1:45" s="87" customFormat="1" ht="12.75" customHeight="1" x14ac:dyDescent="0.2">
      <c r="A97" s="488">
        <f>VLOOKUP(B97,Sheet1!$AQ$4:$AR$25,2,FALSE)</f>
        <v>0</v>
      </c>
      <c r="B97" s="93" t="str">
        <f>Sheet1!$K$25</f>
        <v>Wokingham</v>
      </c>
      <c r="C97" s="85"/>
      <c r="D97" s="162" t="e">
        <f t="shared" si="18"/>
        <v>#N/A</v>
      </c>
      <c r="E97" s="162" t="e">
        <f t="shared" si="19"/>
        <v>#N/A</v>
      </c>
      <c r="F97" s="162" t="e">
        <f t="shared" si="20"/>
        <v>#N/A</v>
      </c>
      <c r="G97" s="162" t="e">
        <f t="shared" si="21"/>
        <v>#N/A</v>
      </c>
      <c r="H97" s="560" t="e">
        <f t="shared" si="22"/>
        <v>#N/A</v>
      </c>
      <c r="I97" s="96"/>
      <c r="J97" s="96"/>
      <c r="K97" s="96"/>
      <c r="L97" s="166"/>
      <c r="M97" s="166"/>
      <c r="N97" s="166"/>
      <c r="O97" s="166"/>
      <c r="P97" s="166"/>
      <c r="Q97" s="166"/>
      <c r="R97" s="166"/>
      <c r="S97" s="167"/>
      <c r="T97" s="159"/>
      <c r="U97" s="122"/>
      <c r="V97" s="139"/>
      <c r="W97" s="152"/>
      <c r="X97" s="45" t="str">
        <f>Sheet1!$K$25</f>
        <v>Wokingham</v>
      </c>
      <c r="Y97" s="1017">
        <f>IF(ISNUMBER(D31),Referrals!D31,0)</f>
        <v>0</v>
      </c>
      <c r="Z97" s="1017">
        <f>IF(ISNUMBER(E31),Referrals!E31,0)</f>
        <v>0</v>
      </c>
      <c r="AA97" s="1017">
        <f>IF(ISNUMBER(F31),Referrals!F31,0)</f>
        <v>0</v>
      </c>
      <c r="AB97" s="1017">
        <f>IF(ISNUMBER(G31),Referrals!G31,0)</f>
        <v>0</v>
      </c>
      <c r="AC97" s="1017">
        <f>IF(ISNUMBER(H31),Referrals!H31,0)</f>
        <v>0</v>
      </c>
      <c r="AD97" s="199"/>
      <c r="AE97" s="202"/>
      <c r="AF97" s="202"/>
      <c r="AG97" s="202"/>
      <c r="AH97" s="190"/>
      <c r="AI97" s="202"/>
      <c r="AJ97" s="160"/>
    </row>
    <row r="98" spans="1:45" s="87" customFormat="1" ht="12.75" customHeight="1" x14ac:dyDescent="0.2">
      <c r="A98" s="121"/>
      <c r="B98" s="129" t="str">
        <f>Sheet1!$K$26</f>
        <v>South East</v>
      </c>
      <c r="C98" s="85"/>
      <c r="D98" s="163" t="e">
        <f t="shared" si="18"/>
        <v>#N/A</v>
      </c>
      <c r="E98" s="163" t="e">
        <f t="shared" si="19"/>
        <v>#N/A</v>
      </c>
      <c r="F98" s="163" t="e">
        <f t="shared" si="20"/>
        <v>#N/A</v>
      </c>
      <c r="G98" s="163" t="e">
        <f t="shared" si="21"/>
        <v>#N/A</v>
      </c>
      <c r="H98" s="561" t="e">
        <f t="shared" si="22"/>
        <v>#N/A</v>
      </c>
      <c r="I98" s="96"/>
      <c r="J98" s="96"/>
      <c r="K98" s="96"/>
      <c r="L98" s="168"/>
      <c r="M98" s="168"/>
      <c r="N98" s="168"/>
      <c r="O98" s="168"/>
      <c r="P98" s="168"/>
      <c r="Q98" s="168"/>
      <c r="R98" s="168"/>
      <c r="S98" s="169"/>
      <c r="T98" s="159"/>
      <c r="U98" s="122"/>
      <c r="V98" s="139"/>
      <c r="W98" s="152"/>
      <c r="X98" s="45" t="str">
        <f>Sheet1!$K$26</f>
        <v>South East</v>
      </c>
      <c r="Y98" s="54">
        <f>SUM(Y76:Y88,Y90:Y91,Y94:Y97)</f>
        <v>0</v>
      </c>
      <c r="Z98" s="54">
        <f t="shared" ref="Z98:AC98" si="23">SUM(Z76:Z88,Z90:Z91,Z94:Z97)</f>
        <v>0</v>
      </c>
      <c r="AA98" s="54">
        <f t="shared" si="23"/>
        <v>0</v>
      </c>
      <c r="AB98" s="54">
        <f t="shared" si="23"/>
        <v>0</v>
      </c>
      <c r="AC98" s="54">
        <f t="shared" si="23"/>
        <v>0</v>
      </c>
      <c r="AD98" s="199"/>
      <c r="AE98" s="202"/>
      <c r="AF98" s="202"/>
      <c r="AG98" s="202"/>
      <c r="AH98" s="190"/>
      <c r="AI98" s="202"/>
      <c r="AJ98" s="160"/>
    </row>
    <row r="99" spans="1:45" s="87" customFormat="1" ht="7.5" customHeight="1" x14ac:dyDescent="0.2">
      <c r="A99" s="121"/>
      <c r="B99" s="1018"/>
      <c r="C99" s="159"/>
      <c r="D99" s="1019"/>
      <c r="E99" s="1019"/>
      <c r="F99" s="1019"/>
      <c r="G99" s="1019"/>
      <c r="H99" s="1019"/>
      <c r="I99" s="96"/>
      <c r="J99" s="96"/>
      <c r="K99" s="96"/>
      <c r="L99" s="168"/>
      <c r="M99" s="168"/>
      <c r="N99" s="168"/>
      <c r="O99" s="168"/>
      <c r="P99" s="168"/>
      <c r="Q99" s="168"/>
      <c r="R99" s="168"/>
      <c r="S99" s="169"/>
      <c r="T99" s="159"/>
      <c r="U99" s="122"/>
      <c r="V99" s="139"/>
      <c r="W99" s="152"/>
      <c r="X99" s="81"/>
      <c r="Y99" s="81"/>
      <c r="Z99" s="81"/>
      <c r="AA99" s="81"/>
      <c r="AB99" s="81"/>
      <c r="AC99" s="197"/>
      <c r="AD99" s="199"/>
      <c r="AE99" s="202"/>
      <c r="AF99" s="202"/>
      <c r="AG99" s="202"/>
      <c r="AH99" s="190"/>
      <c r="AI99" s="202"/>
      <c r="AJ99" s="160"/>
    </row>
    <row r="100" spans="1:45" s="81" customFormat="1" ht="39.6" customHeight="1" x14ac:dyDescent="0.2">
      <c r="A100" s="217"/>
      <c r="B100" s="392"/>
      <c r="C100" s="392"/>
      <c r="D100" s="392"/>
      <c r="E100" s="392"/>
      <c r="F100" s="392"/>
      <c r="G100" s="392"/>
      <c r="H100" s="392"/>
      <c r="I100" s="392"/>
      <c r="J100" s="392"/>
      <c r="K100" s="172"/>
      <c r="L100" s="172"/>
      <c r="M100" s="172"/>
      <c r="N100" s="172"/>
      <c r="O100" s="172"/>
      <c r="P100" s="172"/>
      <c r="Q100" s="172"/>
      <c r="R100" s="172"/>
      <c r="S100" s="136"/>
      <c r="T100" s="172"/>
      <c r="U100" s="117"/>
      <c r="V100" s="137"/>
      <c r="W100" s="150"/>
      <c r="AC100" s="197"/>
      <c r="AD100" s="199"/>
      <c r="AE100" s="184"/>
      <c r="AF100" s="184"/>
      <c r="AG100" s="184"/>
      <c r="AI100" s="184"/>
      <c r="AJ100" s="161"/>
    </row>
    <row r="101" spans="1:45" s="81" customFormat="1" ht="39.6" customHeight="1" x14ac:dyDescent="0.2">
      <c r="A101" s="217"/>
      <c r="B101" s="392"/>
      <c r="C101" s="392"/>
      <c r="D101" s="392"/>
      <c r="E101" s="392"/>
      <c r="F101" s="392"/>
      <c r="G101" s="392"/>
      <c r="H101" s="392"/>
      <c r="I101" s="392"/>
      <c r="J101" s="392"/>
      <c r="K101" s="172"/>
      <c r="L101" s="172"/>
      <c r="M101" s="172"/>
      <c r="N101" s="172"/>
      <c r="O101" s="172"/>
      <c r="P101" s="172"/>
      <c r="Q101" s="172"/>
      <c r="R101" s="172"/>
      <c r="S101" s="136"/>
      <c r="T101" s="172"/>
      <c r="U101" s="117"/>
      <c r="V101" s="137"/>
      <c r="W101" s="150"/>
      <c r="Y101" s="190"/>
      <c r="AD101" s="199"/>
      <c r="AE101" s="184"/>
      <c r="AF101" s="184"/>
      <c r="AG101" s="184"/>
      <c r="AI101" s="184"/>
      <c r="AJ101" s="161"/>
    </row>
    <row r="102" spans="1:45" s="81" customFormat="1" ht="49.5" customHeight="1" x14ac:dyDescent="0.2">
      <c r="A102" s="217"/>
      <c r="B102" s="392"/>
      <c r="C102" s="392"/>
      <c r="D102" s="392"/>
      <c r="E102" s="392"/>
      <c r="F102" s="392"/>
      <c r="G102" s="392"/>
      <c r="H102" s="392"/>
      <c r="I102" s="392"/>
      <c r="J102" s="392"/>
      <c r="K102" s="172"/>
      <c r="L102" s="172"/>
      <c r="M102" s="172"/>
      <c r="N102" s="172"/>
      <c r="O102" s="172"/>
      <c r="P102" s="172"/>
      <c r="Q102" s="172"/>
      <c r="R102" s="172"/>
      <c r="S102" s="136"/>
      <c r="T102" s="172"/>
      <c r="U102" s="117"/>
      <c r="V102" s="137"/>
      <c r="W102" s="150"/>
      <c r="Y102" s="190"/>
      <c r="AD102" s="199"/>
      <c r="AE102" s="184"/>
      <c r="AF102" s="184"/>
      <c r="AG102" s="184"/>
      <c r="AI102" s="184"/>
      <c r="AJ102" s="161"/>
    </row>
    <row r="103" spans="1:45" s="81" customFormat="1" ht="7.5" customHeight="1" x14ac:dyDescent="0.2">
      <c r="A103" s="118"/>
      <c r="B103" s="17"/>
      <c r="C103" s="17"/>
      <c r="D103" s="16"/>
      <c r="E103" s="16"/>
      <c r="F103" s="16"/>
      <c r="G103" s="16"/>
      <c r="H103" s="16"/>
      <c r="I103" s="16"/>
      <c r="J103" s="16"/>
      <c r="K103" s="12"/>
      <c r="L103" s="18"/>
      <c r="M103" s="18"/>
      <c r="N103" s="18"/>
      <c r="O103" s="18"/>
      <c r="P103" s="18"/>
      <c r="Q103" s="18"/>
      <c r="R103" s="18"/>
      <c r="S103" s="18"/>
      <c r="T103" s="18"/>
      <c r="U103" s="117"/>
      <c r="V103" s="137"/>
      <c r="W103" s="150"/>
      <c r="Y103" s="190"/>
      <c r="AI103" s="184"/>
      <c r="AJ103" s="157"/>
      <c r="AK103" s="74"/>
      <c r="AL103" s="74"/>
      <c r="AM103" s="74"/>
      <c r="AN103" s="74"/>
      <c r="AO103" s="74"/>
      <c r="AP103" s="74"/>
      <c r="AQ103" s="74"/>
    </row>
    <row r="104" spans="1:45" s="81" customFormat="1" ht="15" customHeight="1" x14ac:dyDescent="0.2">
      <c r="A104" s="1716"/>
      <c r="B104" s="1760"/>
      <c r="C104" s="1760"/>
      <c r="D104" s="1760"/>
      <c r="E104" s="1760"/>
      <c r="F104" s="1760"/>
      <c r="G104" s="1760"/>
      <c r="H104" s="1760"/>
      <c r="I104" s="1760"/>
      <c r="J104" s="1760"/>
      <c r="K104" s="1760"/>
      <c r="L104" s="1760"/>
      <c r="M104" s="1760"/>
      <c r="N104" s="1760"/>
      <c r="O104" s="1760"/>
      <c r="P104" s="1760"/>
      <c r="Q104" s="1760"/>
      <c r="R104" s="1760"/>
      <c r="S104" s="1760"/>
      <c r="T104" s="1760"/>
      <c r="U104" s="1761"/>
      <c r="V104" s="137"/>
      <c r="W104" s="150"/>
      <c r="AJ104" s="161"/>
      <c r="AS104" s="74"/>
    </row>
    <row r="105" spans="1:45" s="81" customFormat="1" ht="11.1" customHeight="1" x14ac:dyDescent="0.2">
      <c r="A105" s="1765" t="str">
        <f>Home!$A$39</f>
        <v xml:space="preserve"> </v>
      </c>
      <c r="B105" s="1766"/>
      <c r="C105" s="1766"/>
      <c r="D105" s="1766"/>
      <c r="E105" s="1766"/>
      <c r="F105" s="1766"/>
      <c r="G105" s="1766"/>
      <c r="H105" s="1766"/>
      <c r="I105" s="1767"/>
      <c r="J105" s="1768"/>
      <c r="K105" s="1766"/>
      <c r="L105" s="1766"/>
      <c r="M105" s="1766"/>
      <c r="N105" s="1766"/>
      <c r="O105" s="1766"/>
      <c r="P105" s="1766"/>
      <c r="Q105" s="1768"/>
      <c r="R105" s="1766"/>
      <c r="S105" s="1766"/>
      <c r="T105" s="1766"/>
      <c r="U105" s="1769"/>
      <c r="V105" s="137"/>
      <c r="W105" s="150"/>
      <c r="AI105" s="184"/>
      <c r="AJ105" s="160"/>
      <c r="AK105" s="87"/>
      <c r="AS105" s="74"/>
    </row>
    <row r="106" spans="1:45" ht="11.25" customHeight="1" x14ac:dyDescent="0.2">
      <c r="A106" s="142"/>
      <c r="B106" s="9"/>
      <c r="C106" s="9"/>
      <c r="D106" s="9"/>
      <c r="E106" s="9"/>
      <c r="F106" s="58"/>
      <c r="G106" s="58"/>
      <c r="H106" s="58"/>
      <c r="I106" s="58"/>
      <c r="J106" s="113"/>
      <c r="K106" s="114"/>
      <c r="L106" s="113"/>
      <c r="M106" s="113"/>
      <c r="N106" s="113"/>
      <c r="O106" s="113"/>
      <c r="P106" s="113"/>
      <c r="Q106" s="113"/>
      <c r="R106" s="113"/>
      <c r="S106" s="113"/>
      <c r="T106" s="113"/>
      <c r="U106" s="113"/>
      <c r="V106" s="137"/>
      <c r="W106" s="150"/>
      <c r="AE106" s="82"/>
      <c r="AH106" s="184"/>
      <c r="AI106" s="184"/>
      <c r="AJ106" s="157"/>
      <c r="AL106" s="81"/>
      <c r="AM106" s="81"/>
      <c r="AN106" s="81"/>
      <c r="AO106" s="81"/>
      <c r="AP106" s="81"/>
      <c r="AQ106" s="81"/>
    </row>
    <row r="107" spans="1:45" ht="11.25" customHeight="1" x14ac:dyDescent="0.2">
      <c r="A107" s="142"/>
      <c r="B107" s="9"/>
      <c r="C107" s="9"/>
      <c r="D107" s="9"/>
      <c r="E107" s="9"/>
      <c r="F107" s="58"/>
      <c r="G107" s="58"/>
      <c r="H107" s="58"/>
      <c r="I107" s="58"/>
      <c r="J107" s="9"/>
      <c r="K107" s="12"/>
      <c r="L107" s="9"/>
      <c r="M107" s="9"/>
      <c r="N107" s="9"/>
      <c r="O107" s="9"/>
      <c r="P107" s="9"/>
      <c r="Q107" s="9"/>
      <c r="R107" s="9"/>
      <c r="S107" s="9"/>
      <c r="T107" s="9"/>
      <c r="U107" s="9"/>
      <c r="V107" s="137"/>
      <c r="W107" s="150"/>
      <c r="AE107" s="82"/>
      <c r="AH107" s="184"/>
      <c r="AI107" s="184"/>
      <c r="AJ107" s="157"/>
      <c r="AL107" s="81"/>
      <c r="AM107" s="81"/>
      <c r="AN107" s="81"/>
      <c r="AO107" s="81"/>
      <c r="AP107" s="81"/>
      <c r="AQ107" s="81"/>
    </row>
    <row r="108" spans="1:45" ht="11.25" customHeight="1" x14ac:dyDescent="0.2">
      <c r="A108" s="142"/>
      <c r="B108" s="1685" t="s">
        <v>82</v>
      </c>
      <c r="C108" s="1685"/>
      <c r="D108" s="1685"/>
      <c r="E108" s="1685"/>
      <c r="F108" s="1685"/>
      <c r="G108" s="1685"/>
      <c r="H108" s="1685"/>
      <c r="I108" s="1685"/>
      <c r="J108" s="9"/>
      <c r="K108" s="12"/>
      <c r="L108" s="9"/>
      <c r="M108" s="9"/>
      <c r="N108" s="9"/>
      <c r="O108" s="9"/>
      <c r="P108" s="9"/>
      <c r="Q108" s="9"/>
      <c r="R108" s="9"/>
      <c r="S108" s="9"/>
      <c r="T108" s="9"/>
      <c r="U108" s="9"/>
      <c r="V108" s="137"/>
      <c r="W108" s="150"/>
      <c r="AE108" s="82"/>
      <c r="AH108" s="184"/>
      <c r="AI108" s="184"/>
      <c r="AJ108" s="157"/>
      <c r="AL108" s="81"/>
      <c r="AM108" s="81"/>
      <c r="AN108" s="81"/>
      <c r="AO108" s="81"/>
      <c r="AP108" s="81"/>
      <c r="AQ108" s="81"/>
    </row>
    <row r="109" spans="1:45" ht="11.25" customHeight="1" x14ac:dyDescent="0.2">
      <c r="A109" s="142"/>
      <c r="B109" s="1685"/>
      <c r="C109" s="1685"/>
      <c r="D109" s="1685"/>
      <c r="E109" s="1685"/>
      <c r="F109" s="1685"/>
      <c r="G109" s="1685"/>
      <c r="H109" s="1685"/>
      <c r="I109" s="1685"/>
      <c r="J109" s="9"/>
      <c r="K109" s="12"/>
      <c r="L109" s="9"/>
      <c r="M109" s="9"/>
      <c r="N109" s="9"/>
      <c r="O109" s="9"/>
      <c r="P109" s="9"/>
      <c r="Q109" s="9"/>
      <c r="R109" s="9"/>
      <c r="S109" s="9"/>
      <c r="T109" s="9"/>
      <c r="U109" s="9"/>
      <c r="V109" s="137"/>
      <c r="W109" s="150"/>
      <c r="AE109" s="82"/>
      <c r="AH109" s="184"/>
      <c r="AI109" s="184"/>
      <c r="AJ109" s="157"/>
    </row>
    <row r="110" spans="1:45" ht="11.25" customHeight="1" x14ac:dyDescent="0.2">
      <c r="A110" s="142"/>
      <c r="B110" s="1680" t="s">
        <v>800</v>
      </c>
      <c r="C110" s="1680"/>
      <c r="D110" s="1680"/>
      <c r="E110" s="1680"/>
      <c r="F110" s="1680"/>
      <c r="G110" s="1680"/>
      <c r="H110" s="1680"/>
      <c r="I110" s="1680"/>
      <c r="J110" s="9"/>
      <c r="K110" s="12"/>
      <c r="L110" s="9"/>
      <c r="M110" s="9"/>
      <c r="N110" s="9"/>
      <c r="O110" s="9"/>
      <c r="P110" s="9"/>
      <c r="Q110" s="9"/>
      <c r="R110" s="9"/>
      <c r="S110" s="9"/>
      <c r="T110" s="9"/>
      <c r="U110" s="9"/>
      <c r="V110" s="137"/>
      <c r="W110" s="150"/>
      <c r="AE110" s="82"/>
      <c r="AH110" s="184"/>
      <c r="AI110" s="184"/>
      <c r="AJ110" s="157"/>
    </row>
    <row r="111" spans="1:45" ht="11.25" customHeight="1" x14ac:dyDescent="0.2">
      <c r="A111" s="142"/>
      <c r="B111" s="1680"/>
      <c r="C111" s="1680"/>
      <c r="D111" s="1680"/>
      <c r="E111" s="1680"/>
      <c r="F111" s="1680"/>
      <c r="G111" s="1680"/>
      <c r="H111" s="1680"/>
      <c r="I111" s="1680"/>
      <c r="J111" s="9"/>
      <c r="K111" s="12"/>
      <c r="L111" s="9"/>
      <c r="M111" s="9"/>
      <c r="N111" s="9"/>
      <c r="O111" s="9"/>
      <c r="P111" s="9"/>
      <c r="Q111" s="9"/>
      <c r="R111" s="9"/>
      <c r="S111" s="9"/>
      <c r="T111" s="9"/>
      <c r="U111" s="9"/>
      <c r="V111" s="137"/>
      <c r="W111" s="150"/>
      <c r="AE111" s="82"/>
      <c r="AH111" s="188"/>
      <c r="AI111" s="188"/>
      <c r="AJ111" s="158"/>
    </row>
    <row r="112" spans="1:45" s="76" customFormat="1" ht="11.25" customHeight="1" x14ac:dyDescent="0.2">
      <c r="A112" s="142"/>
      <c r="B112" s="1680" t="s">
        <v>81</v>
      </c>
      <c r="C112" s="1680"/>
      <c r="D112" s="1680"/>
      <c r="E112" s="1680"/>
      <c r="F112" s="1680"/>
      <c r="G112" s="1680"/>
      <c r="H112" s="1680"/>
      <c r="I112" s="1680"/>
      <c r="J112" s="14"/>
      <c r="K112" s="14"/>
      <c r="L112" s="14"/>
      <c r="M112" s="14"/>
      <c r="N112" s="14"/>
      <c r="O112" s="14"/>
      <c r="P112" s="14"/>
      <c r="Q112" s="14"/>
      <c r="R112" s="14"/>
      <c r="S112" s="14"/>
      <c r="T112" s="14"/>
      <c r="U112" s="14"/>
      <c r="V112" s="140"/>
      <c r="W112" s="154"/>
      <c r="X112" s="81"/>
      <c r="Y112" s="81"/>
      <c r="Z112" s="81"/>
      <c r="AA112" s="81"/>
      <c r="AB112" s="81"/>
      <c r="AC112" s="81"/>
      <c r="AD112" s="81"/>
      <c r="AE112" s="82"/>
      <c r="AF112" s="81"/>
      <c r="AG112" s="81"/>
      <c r="AH112" s="184"/>
      <c r="AI112" s="184"/>
      <c r="AJ112" s="157"/>
    </row>
    <row r="113" spans="1:36" ht="11.25" customHeight="1" x14ac:dyDescent="0.2">
      <c r="A113" s="142"/>
      <c r="B113" s="1680"/>
      <c r="C113" s="1680"/>
      <c r="D113" s="1680"/>
      <c r="E113" s="1680"/>
      <c r="F113" s="1680"/>
      <c r="G113" s="1680"/>
      <c r="H113" s="1680"/>
      <c r="I113" s="1680"/>
      <c r="J113" s="9"/>
      <c r="K113" s="12"/>
      <c r="L113" s="9"/>
      <c r="M113" s="9"/>
      <c r="N113" s="9"/>
      <c r="O113" s="9"/>
      <c r="P113" s="9"/>
      <c r="Q113" s="9"/>
      <c r="R113" s="9"/>
      <c r="S113" s="9"/>
      <c r="T113" s="9"/>
      <c r="U113" s="9"/>
      <c r="V113" s="137"/>
      <c r="W113" s="150"/>
      <c r="AE113" s="82"/>
      <c r="AH113" s="184"/>
      <c r="AI113" s="184"/>
      <c r="AJ113" s="157"/>
    </row>
    <row r="114" spans="1:36" ht="11.25" customHeight="1" x14ac:dyDescent="0.2">
      <c r="A114" s="142"/>
      <c r="B114" s="1680" t="s">
        <v>78</v>
      </c>
      <c r="C114" s="1680"/>
      <c r="D114" s="1680"/>
      <c r="E114" s="1680"/>
      <c r="F114" s="1680"/>
      <c r="G114" s="1680"/>
      <c r="H114" s="1680"/>
      <c r="I114" s="1680"/>
      <c r="J114" s="9"/>
      <c r="K114" s="12"/>
      <c r="L114" s="9"/>
      <c r="M114" s="9"/>
      <c r="N114" s="9"/>
      <c r="O114" s="9"/>
      <c r="P114" s="9"/>
      <c r="Q114" s="9"/>
      <c r="R114" s="9"/>
      <c r="S114" s="9"/>
      <c r="T114" s="9"/>
      <c r="U114" s="9"/>
      <c r="V114" s="137"/>
      <c r="W114" s="150"/>
      <c r="AE114" s="82"/>
      <c r="AH114" s="184"/>
      <c r="AI114" s="184"/>
      <c r="AJ114" s="157"/>
    </row>
    <row r="115" spans="1:36" ht="11.25" customHeight="1" x14ac:dyDescent="0.2">
      <c r="A115" s="142"/>
      <c r="B115" s="1680"/>
      <c r="C115" s="1680"/>
      <c r="D115" s="1680"/>
      <c r="E115" s="1680"/>
      <c r="F115" s="1680"/>
      <c r="G115" s="1680"/>
      <c r="H115" s="1680"/>
      <c r="I115" s="1680"/>
      <c r="J115" s="9"/>
      <c r="K115" s="12"/>
      <c r="L115" s="9"/>
      <c r="M115" s="9"/>
      <c r="N115" s="9"/>
      <c r="O115" s="9"/>
      <c r="P115" s="9"/>
      <c r="Q115" s="9"/>
      <c r="R115" s="9"/>
      <c r="S115" s="9"/>
      <c r="T115" s="9"/>
      <c r="U115" s="9"/>
      <c r="V115" s="137"/>
      <c r="W115" s="150"/>
      <c r="AE115" s="82"/>
      <c r="AH115" s="184"/>
      <c r="AI115" s="184"/>
      <c r="AJ115" s="157"/>
    </row>
    <row r="116" spans="1:36" ht="11.25" customHeight="1" x14ac:dyDescent="0.2">
      <c r="A116" s="142"/>
      <c r="B116" s="1680" t="s">
        <v>17</v>
      </c>
      <c r="C116" s="1680"/>
      <c r="D116" s="1680"/>
      <c r="E116" s="1680"/>
      <c r="F116" s="1680"/>
      <c r="G116" s="1680"/>
      <c r="H116" s="1680"/>
      <c r="I116" s="1680"/>
      <c r="J116" s="9"/>
      <c r="K116" s="12"/>
      <c r="L116" s="9"/>
      <c r="M116" s="9"/>
      <c r="N116" s="9"/>
      <c r="O116" s="9"/>
      <c r="P116" s="9"/>
      <c r="Q116" s="9"/>
      <c r="R116" s="9"/>
      <c r="S116" s="9"/>
      <c r="T116" s="9"/>
      <c r="U116" s="11"/>
      <c r="V116" s="252"/>
      <c r="W116" s="150"/>
      <c r="AE116" s="82"/>
      <c r="AH116" s="184"/>
      <c r="AI116" s="184"/>
      <c r="AJ116" s="157"/>
    </row>
    <row r="117" spans="1:36" ht="11.25" customHeight="1" x14ac:dyDescent="0.2">
      <c r="A117" s="142"/>
      <c r="B117" s="1680"/>
      <c r="C117" s="1680"/>
      <c r="D117" s="1680"/>
      <c r="E117" s="1680"/>
      <c r="F117" s="1680"/>
      <c r="G117" s="1680"/>
      <c r="H117" s="1680"/>
      <c r="I117" s="1680"/>
      <c r="J117" s="9"/>
      <c r="K117" s="12"/>
      <c r="L117" s="9"/>
      <c r="M117" s="9"/>
      <c r="N117" s="9"/>
      <c r="O117" s="9"/>
      <c r="P117" s="9"/>
      <c r="Q117" s="9"/>
      <c r="R117" s="9"/>
      <c r="S117" s="9"/>
      <c r="T117" s="9"/>
      <c r="U117" s="11"/>
      <c r="V117" s="252"/>
      <c r="W117" s="150"/>
      <c r="AE117" s="82"/>
      <c r="AH117" s="184"/>
      <c r="AI117" s="184"/>
      <c r="AJ117" s="157"/>
    </row>
    <row r="118" spans="1:36" ht="11.25" customHeight="1" x14ac:dyDescent="0.2">
      <c r="A118" s="142"/>
      <c r="B118" s="1680" t="s">
        <v>658</v>
      </c>
      <c r="C118" s="1680"/>
      <c r="D118" s="1680"/>
      <c r="E118" s="1680"/>
      <c r="F118" s="1680"/>
      <c r="G118" s="1680"/>
      <c r="H118" s="1680"/>
      <c r="I118" s="1680"/>
      <c r="J118" s="9"/>
      <c r="K118" s="12"/>
      <c r="L118" s="9"/>
      <c r="M118" s="9"/>
      <c r="N118" s="9"/>
      <c r="O118" s="9"/>
      <c r="P118" s="9"/>
      <c r="Q118" s="9"/>
      <c r="R118" s="9"/>
      <c r="S118" s="9"/>
      <c r="T118" s="9"/>
      <c r="U118" s="11"/>
      <c r="V118" s="252"/>
      <c r="W118" s="150"/>
      <c r="AE118" s="82"/>
      <c r="AH118" s="184"/>
      <c r="AI118" s="184"/>
      <c r="AJ118" s="157"/>
    </row>
    <row r="119" spans="1:36" ht="11.25" customHeight="1" x14ac:dyDescent="0.2">
      <c r="A119" s="142"/>
      <c r="B119" s="1680"/>
      <c r="C119" s="1680"/>
      <c r="D119" s="1680"/>
      <c r="E119" s="1680"/>
      <c r="F119" s="1680"/>
      <c r="G119" s="1680"/>
      <c r="H119" s="1680"/>
      <c r="I119" s="1680"/>
      <c r="J119" s="9"/>
      <c r="K119" s="12"/>
      <c r="L119" s="9"/>
      <c r="M119" s="9"/>
      <c r="N119" s="9"/>
      <c r="O119" s="9"/>
      <c r="P119" s="9"/>
      <c r="Q119" s="9"/>
      <c r="R119" s="9"/>
      <c r="S119" s="9"/>
      <c r="T119" s="9"/>
      <c r="U119" s="11"/>
      <c r="V119" s="252"/>
      <c r="W119" s="150"/>
      <c r="AE119" s="82"/>
      <c r="AH119" s="184"/>
      <c r="AI119" s="184"/>
      <c r="AJ119" s="157"/>
    </row>
    <row r="120" spans="1:36" ht="11.25" customHeight="1" x14ac:dyDescent="0.2">
      <c r="A120" s="142"/>
      <c r="B120" s="1680" t="s">
        <v>191</v>
      </c>
      <c r="C120" s="1680"/>
      <c r="D120" s="1680"/>
      <c r="E120" s="1680"/>
      <c r="F120" s="1680"/>
      <c r="G120" s="1680"/>
      <c r="H120" s="1680"/>
      <c r="I120" s="1680"/>
      <c r="J120" s="9"/>
      <c r="K120" s="12"/>
      <c r="L120" s="9"/>
      <c r="M120" s="9"/>
      <c r="N120" s="9"/>
      <c r="O120" s="9"/>
      <c r="P120" s="9"/>
      <c r="Q120" s="9"/>
      <c r="R120" s="9"/>
      <c r="S120" s="9"/>
      <c r="T120" s="9"/>
      <c r="U120" s="11"/>
      <c r="V120" s="252"/>
      <c r="W120" s="150"/>
      <c r="AE120" s="82"/>
      <c r="AH120" s="184"/>
      <c r="AI120" s="184"/>
      <c r="AJ120" s="157"/>
    </row>
    <row r="121" spans="1:36" ht="11.25" customHeight="1" x14ac:dyDescent="0.2">
      <c r="A121" s="142"/>
      <c r="B121" s="1680"/>
      <c r="C121" s="1680"/>
      <c r="D121" s="1680"/>
      <c r="E121" s="1680"/>
      <c r="F121" s="1680"/>
      <c r="G121" s="1680"/>
      <c r="H121" s="1680"/>
      <c r="I121" s="1680"/>
      <c r="J121" s="9"/>
      <c r="K121" s="12"/>
      <c r="L121" s="9"/>
      <c r="M121" s="9"/>
      <c r="N121" s="9"/>
      <c r="O121" s="9"/>
      <c r="P121" s="9"/>
      <c r="Q121" s="9"/>
      <c r="R121" s="9"/>
      <c r="S121" s="9"/>
      <c r="T121" s="9"/>
      <c r="U121" s="11"/>
      <c r="V121" s="252"/>
      <c r="W121" s="150"/>
      <c r="AE121" s="82"/>
      <c r="AH121" s="184"/>
      <c r="AI121" s="184"/>
      <c r="AJ121" s="157"/>
    </row>
    <row r="122" spans="1:36" ht="11.25" customHeight="1" x14ac:dyDescent="0.2">
      <c r="A122" s="142"/>
      <c r="B122" s="1680" t="s">
        <v>197</v>
      </c>
      <c r="C122" s="1680"/>
      <c r="D122" s="1680"/>
      <c r="E122" s="1680"/>
      <c r="F122" s="1680"/>
      <c r="G122" s="1680"/>
      <c r="H122" s="1680"/>
      <c r="I122" s="1680"/>
      <c r="J122" s="9"/>
      <c r="K122" s="12"/>
      <c r="L122" s="9"/>
      <c r="M122" s="9"/>
      <c r="N122" s="9"/>
      <c r="O122" s="9"/>
      <c r="P122" s="9"/>
      <c r="Q122" s="9"/>
      <c r="R122" s="9"/>
      <c r="S122" s="9"/>
      <c r="T122" s="9"/>
      <c r="U122" s="9"/>
      <c r="V122" s="137"/>
      <c r="W122" s="150"/>
      <c r="AE122" s="82"/>
      <c r="AH122" s="184"/>
      <c r="AI122" s="184"/>
      <c r="AJ122" s="157"/>
    </row>
    <row r="123" spans="1:36" ht="11.25" customHeight="1" x14ac:dyDescent="0.2">
      <c r="A123" s="142"/>
      <c r="B123" s="1680"/>
      <c r="C123" s="1680"/>
      <c r="D123" s="1680"/>
      <c r="E123" s="1680"/>
      <c r="F123" s="1680"/>
      <c r="G123" s="1680"/>
      <c r="H123" s="1680"/>
      <c r="I123" s="1680"/>
      <c r="J123" s="9"/>
      <c r="K123" s="12"/>
      <c r="L123" s="9"/>
      <c r="M123" s="9"/>
      <c r="N123" s="9"/>
      <c r="O123" s="9"/>
      <c r="P123" s="9"/>
      <c r="Q123" s="9"/>
      <c r="R123" s="9"/>
      <c r="S123" s="9"/>
      <c r="T123" s="9"/>
      <c r="U123" s="9"/>
      <c r="V123" s="137"/>
      <c r="W123" s="150"/>
      <c r="AE123" s="82"/>
      <c r="AH123" s="184"/>
      <c r="AI123" s="184"/>
      <c r="AJ123" s="157"/>
    </row>
    <row r="124" spans="1:36" ht="11.25" customHeight="1" x14ac:dyDescent="0.2">
      <c r="A124" s="142"/>
      <c r="B124" s="1680" t="s">
        <v>198</v>
      </c>
      <c r="C124" s="1680"/>
      <c r="D124" s="1680"/>
      <c r="E124" s="1680"/>
      <c r="F124" s="1680"/>
      <c r="G124" s="1680"/>
      <c r="H124" s="1680"/>
      <c r="I124" s="1680"/>
      <c r="J124" s="9"/>
      <c r="K124" s="12"/>
      <c r="L124" s="9"/>
      <c r="M124" s="9"/>
      <c r="N124" s="9"/>
      <c r="O124" s="9"/>
      <c r="P124" s="9"/>
      <c r="Q124" s="9"/>
      <c r="R124" s="9"/>
      <c r="S124" s="9"/>
      <c r="T124" s="9"/>
      <c r="U124" s="9"/>
      <c r="V124" s="137"/>
      <c r="W124" s="150"/>
      <c r="AE124" s="82"/>
      <c r="AH124" s="184"/>
      <c r="AI124" s="184"/>
      <c r="AJ124" s="157"/>
    </row>
    <row r="125" spans="1:36" ht="11.25" customHeight="1" x14ac:dyDescent="0.2">
      <c r="A125" s="142"/>
      <c r="B125" s="1680"/>
      <c r="C125" s="1680"/>
      <c r="D125" s="1680"/>
      <c r="E125" s="1680"/>
      <c r="F125" s="1680"/>
      <c r="G125" s="1680"/>
      <c r="H125" s="1680"/>
      <c r="I125" s="1680"/>
      <c r="J125" s="9"/>
      <c r="K125" s="12"/>
      <c r="L125" s="9"/>
      <c r="M125" s="9"/>
      <c r="N125" s="9"/>
      <c r="O125" s="9"/>
      <c r="P125" s="9"/>
      <c r="Q125" s="9"/>
      <c r="R125" s="9"/>
      <c r="S125" s="9"/>
      <c r="T125" s="9"/>
      <c r="U125" s="9"/>
      <c r="V125" s="137"/>
      <c r="W125" s="150"/>
      <c r="AE125" s="82"/>
      <c r="AH125" s="184"/>
      <c r="AI125" s="184"/>
      <c r="AJ125" s="157"/>
    </row>
    <row r="126" spans="1:36" ht="11.25" customHeight="1" x14ac:dyDescent="0.2">
      <c r="A126" s="142"/>
      <c r="B126" s="1680" t="s">
        <v>80</v>
      </c>
      <c r="C126" s="1680"/>
      <c r="D126" s="1680"/>
      <c r="E126" s="1680"/>
      <c r="F126" s="1680"/>
      <c r="G126" s="1680"/>
      <c r="H126" s="1680"/>
      <c r="I126" s="1680"/>
      <c r="J126" s="9"/>
      <c r="K126" s="12"/>
      <c r="L126" s="9"/>
      <c r="M126" s="9"/>
      <c r="N126" s="9"/>
      <c r="O126" s="9"/>
      <c r="P126" s="9"/>
      <c r="Q126" s="9"/>
      <c r="R126" s="9"/>
      <c r="S126" s="9"/>
      <c r="T126" s="9"/>
      <c r="U126" s="9"/>
      <c r="V126" s="137"/>
      <c r="W126" s="150"/>
      <c r="AE126" s="82"/>
      <c r="AH126" s="184"/>
      <c r="AI126" s="184"/>
      <c r="AJ126" s="157"/>
    </row>
    <row r="127" spans="1:36" ht="11.25" customHeight="1" x14ac:dyDescent="0.2">
      <c r="A127" s="142"/>
      <c r="B127" s="1680"/>
      <c r="C127" s="1680"/>
      <c r="D127" s="1680"/>
      <c r="E127" s="1680"/>
      <c r="F127" s="1680"/>
      <c r="G127" s="1680"/>
      <c r="H127" s="1680"/>
      <c r="I127" s="1680"/>
      <c r="J127" s="9"/>
      <c r="K127" s="12"/>
      <c r="L127" s="9"/>
      <c r="M127" s="9"/>
      <c r="N127" s="9"/>
      <c r="O127" s="9"/>
      <c r="P127" s="9"/>
      <c r="Q127" s="9"/>
      <c r="R127" s="9"/>
      <c r="S127" s="9"/>
      <c r="T127" s="9"/>
      <c r="U127" s="9"/>
      <c r="V127" s="137"/>
      <c r="W127" s="150"/>
      <c r="AE127" s="82"/>
      <c r="AH127" s="184"/>
      <c r="AI127" s="184"/>
      <c r="AJ127" s="157"/>
    </row>
    <row r="128" spans="1:36" ht="11.25" customHeight="1" x14ac:dyDescent="0.2">
      <c r="A128" s="142"/>
      <c r="B128" s="1680" t="s">
        <v>69</v>
      </c>
      <c r="C128" s="1680"/>
      <c r="D128" s="1680"/>
      <c r="E128" s="1680"/>
      <c r="F128" s="1680"/>
      <c r="G128" s="1680"/>
      <c r="H128" s="1680"/>
      <c r="I128" s="1680"/>
      <c r="J128" s="9"/>
      <c r="K128" s="12"/>
      <c r="L128" s="9"/>
      <c r="M128" s="9"/>
      <c r="N128" s="9"/>
      <c r="O128" s="9"/>
      <c r="P128" s="9"/>
      <c r="Q128" s="9"/>
      <c r="R128" s="9"/>
      <c r="S128" s="9"/>
      <c r="T128" s="9"/>
      <c r="U128" s="9"/>
      <c r="V128" s="137"/>
      <c r="W128" s="150"/>
      <c r="AE128" s="82"/>
      <c r="AH128" s="184"/>
      <c r="AI128" s="184"/>
      <c r="AJ128" s="157"/>
    </row>
    <row r="129" spans="1:36" ht="11.25" customHeight="1" x14ac:dyDescent="0.2">
      <c r="A129" s="142"/>
      <c r="B129" s="1680"/>
      <c r="C129" s="1680"/>
      <c r="D129" s="1680"/>
      <c r="E129" s="1680"/>
      <c r="F129" s="1680"/>
      <c r="G129" s="1680"/>
      <c r="H129" s="1680"/>
      <c r="I129" s="1680"/>
      <c r="J129" s="9"/>
      <c r="K129" s="12"/>
      <c r="L129" s="9"/>
      <c r="M129" s="9"/>
      <c r="N129" s="9"/>
      <c r="O129" s="9"/>
      <c r="P129" s="9"/>
      <c r="Q129" s="9"/>
      <c r="R129" s="9"/>
      <c r="S129" s="9"/>
      <c r="T129" s="9"/>
      <c r="U129" s="9"/>
      <c r="V129" s="137"/>
      <c r="W129" s="150"/>
      <c r="AE129" s="82"/>
      <c r="AH129" s="184"/>
      <c r="AI129" s="184"/>
      <c r="AJ129" s="157"/>
    </row>
    <row r="130" spans="1:36" ht="11.25" customHeight="1" x14ac:dyDescent="0.2">
      <c r="A130" s="142"/>
      <c r="B130" s="1680" t="s">
        <v>24</v>
      </c>
      <c r="C130" s="1680"/>
      <c r="D130" s="1680"/>
      <c r="E130" s="1680"/>
      <c r="F130" s="1680"/>
      <c r="G130" s="1680"/>
      <c r="H130" s="1680"/>
      <c r="I130" s="1680"/>
      <c r="J130" s="9"/>
      <c r="K130" s="12"/>
      <c r="L130" s="9"/>
      <c r="M130" s="9"/>
      <c r="N130" s="9"/>
      <c r="O130" s="9"/>
      <c r="P130" s="9"/>
      <c r="Q130" s="9"/>
      <c r="R130" s="9"/>
      <c r="S130" s="9"/>
      <c r="T130" s="9"/>
      <c r="U130" s="9"/>
      <c r="V130" s="137"/>
      <c r="W130" s="150"/>
      <c r="AE130" s="82"/>
      <c r="AH130" s="184"/>
      <c r="AI130" s="184"/>
      <c r="AJ130" s="157"/>
    </row>
    <row r="131" spans="1:36" ht="11.25" customHeight="1" x14ac:dyDescent="0.2">
      <c r="A131" s="142"/>
      <c r="B131" s="1680"/>
      <c r="C131" s="1680"/>
      <c r="D131" s="1680"/>
      <c r="E131" s="1680"/>
      <c r="F131" s="1680"/>
      <c r="G131" s="1680"/>
      <c r="H131" s="1680"/>
      <c r="I131" s="1680"/>
      <c r="J131" s="9"/>
      <c r="K131" s="12"/>
      <c r="L131" s="9"/>
      <c r="M131" s="9"/>
      <c r="N131" s="9"/>
      <c r="O131" s="9"/>
      <c r="P131" s="9"/>
      <c r="Q131" s="9"/>
      <c r="R131" s="9"/>
      <c r="S131" s="9"/>
      <c r="T131" s="9"/>
      <c r="U131" s="9"/>
      <c r="V131" s="137"/>
      <c r="W131" s="150"/>
      <c r="AE131" s="82"/>
      <c r="AH131" s="184"/>
      <c r="AI131" s="184"/>
      <c r="AJ131" s="157"/>
    </row>
    <row r="132" spans="1:36" ht="11.25" customHeight="1" x14ac:dyDescent="0.2">
      <c r="A132" s="142"/>
      <c r="B132" s="1680" t="s">
        <v>22</v>
      </c>
      <c r="C132" s="1680"/>
      <c r="D132" s="1680"/>
      <c r="E132" s="1680"/>
      <c r="F132" s="1680"/>
      <c r="G132" s="1680"/>
      <c r="H132" s="1680"/>
      <c r="I132" s="1680"/>
      <c r="J132" s="9"/>
      <c r="K132" s="12"/>
      <c r="L132" s="9"/>
      <c r="M132" s="9"/>
      <c r="N132" s="9"/>
      <c r="O132" s="9"/>
      <c r="P132" s="9"/>
      <c r="Q132" s="9"/>
      <c r="R132" s="9"/>
      <c r="S132" s="9"/>
      <c r="T132" s="9"/>
      <c r="U132" s="9"/>
      <c r="V132" s="137"/>
      <c r="W132" s="150"/>
      <c r="AE132" s="82"/>
      <c r="AH132" s="184"/>
      <c r="AI132" s="184"/>
      <c r="AJ132" s="157"/>
    </row>
    <row r="133" spans="1:36" ht="11.25" customHeight="1" x14ac:dyDescent="0.2">
      <c r="A133" s="142"/>
      <c r="B133" s="1680"/>
      <c r="C133" s="1680"/>
      <c r="D133" s="1680"/>
      <c r="E133" s="1680"/>
      <c r="F133" s="1680"/>
      <c r="G133" s="1680"/>
      <c r="H133" s="1680"/>
      <c r="I133" s="1680"/>
      <c r="J133" s="9"/>
      <c r="K133" s="12"/>
      <c r="L133" s="9"/>
      <c r="M133" s="9"/>
      <c r="N133" s="9"/>
      <c r="O133" s="9"/>
      <c r="P133" s="9"/>
      <c r="Q133" s="9"/>
      <c r="R133" s="9"/>
      <c r="S133" s="9"/>
      <c r="T133" s="9"/>
      <c r="U133" s="9"/>
      <c r="V133" s="137"/>
      <c r="W133" s="150"/>
      <c r="AE133" s="82"/>
      <c r="AH133" s="184"/>
      <c r="AI133" s="184"/>
      <c r="AJ133" s="157"/>
    </row>
    <row r="134" spans="1:36" ht="11.25" customHeight="1" x14ac:dyDescent="0.2">
      <c r="A134" s="142"/>
      <c r="B134" s="1680" t="s">
        <v>25</v>
      </c>
      <c r="C134" s="1680"/>
      <c r="D134" s="1680"/>
      <c r="E134" s="1680"/>
      <c r="F134" s="1680"/>
      <c r="G134" s="1680"/>
      <c r="H134" s="1680"/>
      <c r="I134" s="1680"/>
      <c r="J134" s="9"/>
      <c r="K134" s="12"/>
      <c r="L134" s="9"/>
      <c r="M134" s="9"/>
      <c r="N134" s="9"/>
      <c r="O134" s="9"/>
      <c r="P134" s="9"/>
      <c r="Q134" s="9"/>
      <c r="R134" s="9"/>
      <c r="S134" s="9"/>
      <c r="T134" s="9"/>
      <c r="U134" s="9"/>
      <c r="V134" s="137"/>
      <c r="W134" s="150"/>
      <c r="AE134" s="82"/>
      <c r="AH134" s="184"/>
      <c r="AI134" s="184"/>
      <c r="AJ134" s="157"/>
    </row>
    <row r="135" spans="1:36" ht="11.25" customHeight="1" x14ac:dyDescent="0.2">
      <c r="A135" s="142"/>
      <c r="B135" s="1680"/>
      <c r="C135" s="1680"/>
      <c r="D135" s="1680"/>
      <c r="E135" s="1680"/>
      <c r="F135" s="1680"/>
      <c r="G135" s="1680"/>
      <c r="H135" s="1680"/>
      <c r="I135" s="1680"/>
      <c r="J135" s="9"/>
      <c r="K135" s="12"/>
      <c r="L135" s="9"/>
      <c r="M135" s="9"/>
      <c r="N135" s="9"/>
      <c r="O135" s="9"/>
      <c r="P135" s="9"/>
      <c r="Q135" s="9"/>
      <c r="R135" s="9"/>
      <c r="S135" s="9"/>
      <c r="T135" s="9"/>
      <c r="U135" s="9"/>
      <c r="V135" s="137"/>
      <c r="W135" s="150"/>
      <c r="AE135" s="82"/>
      <c r="AH135" s="184"/>
      <c r="AI135" s="184"/>
      <c r="AJ135" s="157"/>
    </row>
    <row r="136" spans="1:36" ht="11.25" customHeight="1" x14ac:dyDescent="0.2">
      <c r="A136" s="142"/>
      <c r="B136" s="1680" t="s">
        <v>18</v>
      </c>
      <c r="C136" s="1680"/>
      <c r="D136" s="1680"/>
      <c r="E136" s="1680"/>
      <c r="F136" s="1680"/>
      <c r="G136" s="1680"/>
      <c r="H136" s="1680"/>
      <c r="I136" s="1680"/>
      <c r="J136" s="9"/>
      <c r="K136" s="12"/>
      <c r="L136" s="9"/>
      <c r="M136" s="9"/>
      <c r="N136" s="9"/>
      <c r="O136" s="9"/>
      <c r="P136" s="9"/>
      <c r="Q136" s="9"/>
      <c r="R136" s="9"/>
      <c r="S136" s="9"/>
      <c r="T136" s="9"/>
      <c r="U136" s="9"/>
      <c r="V136" s="137"/>
      <c r="W136" s="150"/>
      <c r="AE136" s="82"/>
      <c r="AH136" s="184"/>
      <c r="AI136" s="184"/>
      <c r="AJ136" s="157"/>
    </row>
    <row r="137" spans="1:36" ht="11.25" customHeight="1" x14ac:dyDescent="0.2">
      <c r="A137" s="142"/>
      <c r="B137" s="1680"/>
      <c r="C137" s="1680"/>
      <c r="D137" s="1680"/>
      <c r="E137" s="1680"/>
      <c r="F137" s="1680"/>
      <c r="G137" s="1680"/>
      <c r="H137" s="1680"/>
      <c r="I137" s="1680"/>
      <c r="J137" s="9"/>
      <c r="K137" s="12"/>
      <c r="L137" s="9"/>
      <c r="M137" s="9"/>
      <c r="N137" s="9"/>
      <c r="O137" s="9"/>
      <c r="P137" s="9"/>
      <c r="Q137" s="9"/>
      <c r="R137" s="9"/>
      <c r="S137" s="9"/>
      <c r="T137" s="9"/>
      <c r="U137" s="9"/>
      <c r="V137" s="137"/>
      <c r="W137" s="150"/>
      <c r="AE137" s="82"/>
      <c r="AH137" s="184"/>
      <c r="AI137" s="184"/>
      <c r="AJ137" s="157"/>
    </row>
    <row r="138" spans="1:36" ht="11.25" customHeight="1" x14ac:dyDescent="0.2">
      <c r="A138" s="142"/>
      <c r="B138" s="1680" t="s">
        <v>19</v>
      </c>
      <c r="C138" s="1680"/>
      <c r="D138" s="1680"/>
      <c r="E138" s="1680"/>
      <c r="F138" s="1680"/>
      <c r="G138" s="1680"/>
      <c r="H138" s="1680"/>
      <c r="I138" s="1680"/>
      <c r="J138" s="9"/>
      <c r="K138" s="12"/>
      <c r="L138" s="9"/>
      <c r="M138" s="9"/>
      <c r="N138" s="9"/>
      <c r="O138" s="9"/>
      <c r="P138" s="9"/>
      <c r="Q138" s="9"/>
      <c r="R138" s="9"/>
      <c r="S138" s="9"/>
      <c r="T138" s="9"/>
      <c r="U138" s="9"/>
      <c r="V138" s="137"/>
      <c r="W138" s="150"/>
      <c r="AE138" s="82"/>
      <c r="AH138" s="184"/>
      <c r="AI138" s="184"/>
      <c r="AJ138" s="157"/>
    </row>
    <row r="139" spans="1:36" ht="11.25" customHeight="1" x14ac:dyDescent="0.2">
      <c r="A139" s="142"/>
      <c r="B139" s="1680"/>
      <c r="C139" s="1680"/>
      <c r="D139" s="1680"/>
      <c r="E139" s="1680"/>
      <c r="F139" s="1680"/>
      <c r="G139" s="1680"/>
      <c r="H139" s="1680"/>
      <c r="I139" s="1680"/>
      <c r="J139" s="9"/>
      <c r="K139" s="12"/>
      <c r="L139" s="9"/>
      <c r="M139" s="9"/>
      <c r="N139" s="9"/>
      <c r="O139" s="9"/>
      <c r="P139" s="9"/>
      <c r="Q139" s="9"/>
      <c r="R139" s="9"/>
      <c r="S139" s="9"/>
      <c r="T139" s="9"/>
      <c r="U139" s="9"/>
      <c r="V139" s="137"/>
      <c r="W139" s="150"/>
      <c r="AE139" s="82"/>
      <c r="AH139" s="184"/>
      <c r="AI139" s="184"/>
      <c r="AJ139" s="157"/>
    </row>
    <row r="140" spans="1:36" ht="11.25" customHeight="1" x14ac:dyDescent="0.2">
      <c r="A140" s="142"/>
      <c r="B140" s="1680" t="s">
        <v>20</v>
      </c>
      <c r="C140" s="1680"/>
      <c r="D140" s="1680"/>
      <c r="E140" s="1680"/>
      <c r="F140" s="1680"/>
      <c r="G140" s="1680"/>
      <c r="H140" s="1680"/>
      <c r="I140" s="1680"/>
      <c r="J140" s="9"/>
      <c r="K140" s="12"/>
      <c r="L140" s="9"/>
      <c r="M140" s="9"/>
      <c r="N140" s="9"/>
      <c r="O140" s="9"/>
      <c r="P140" s="9"/>
      <c r="Q140" s="9"/>
      <c r="R140" s="9"/>
      <c r="S140" s="9"/>
      <c r="T140" s="9"/>
      <c r="U140" s="9"/>
      <c r="V140" s="137"/>
      <c r="W140" s="150"/>
      <c r="AE140" s="82"/>
      <c r="AH140" s="184"/>
      <c r="AI140" s="184"/>
      <c r="AJ140" s="157"/>
    </row>
    <row r="141" spans="1:36" ht="11.25" customHeight="1" x14ac:dyDescent="0.2">
      <c r="A141" s="142"/>
      <c r="B141" s="1680"/>
      <c r="C141" s="1680"/>
      <c r="D141" s="1680"/>
      <c r="E141" s="1680"/>
      <c r="F141" s="1680"/>
      <c r="G141" s="1680"/>
      <c r="H141" s="1680"/>
      <c r="I141" s="1680"/>
      <c r="J141" s="9"/>
      <c r="K141" s="12"/>
      <c r="L141" s="9"/>
      <c r="M141" s="9"/>
      <c r="N141" s="9"/>
      <c r="O141" s="9"/>
      <c r="P141" s="9"/>
      <c r="Q141" s="9"/>
      <c r="R141" s="9"/>
      <c r="S141" s="9"/>
      <c r="T141" s="9"/>
      <c r="U141" s="9"/>
      <c r="V141" s="137"/>
      <c r="W141" s="150"/>
      <c r="AE141" s="82"/>
      <c r="AH141" s="184"/>
      <c r="AI141" s="184"/>
      <c r="AJ141" s="157"/>
    </row>
    <row r="142" spans="1:36" ht="11.25" customHeight="1" x14ac:dyDescent="0.2">
      <c r="A142" s="142"/>
      <c r="B142" s="1680" t="s">
        <v>26</v>
      </c>
      <c r="C142" s="1680"/>
      <c r="D142" s="1680"/>
      <c r="E142" s="1680"/>
      <c r="F142" s="1680"/>
      <c r="G142" s="1680"/>
      <c r="H142" s="1680"/>
      <c r="I142" s="1680"/>
      <c r="J142" s="9"/>
      <c r="K142" s="12"/>
      <c r="L142" s="9"/>
      <c r="M142" s="9"/>
      <c r="N142" s="9"/>
      <c r="O142" s="9"/>
      <c r="P142" s="9"/>
      <c r="Q142" s="9"/>
      <c r="R142" s="9"/>
      <c r="S142" s="9"/>
      <c r="T142" s="9"/>
      <c r="U142" s="9"/>
      <c r="V142" s="137"/>
      <c r="W142" s="150"/>
      <c r="AE142" s="82"/>
      <c r="AH142" s="184"/>
      <c r="AI142" s="184"/>
      <c r="AJ142" s="157"/>
    </row>
    <row r="143" spans="1:36" ht="11.25" customHeight="1" x14ac:dyDescent="0.2">
      <c r="A143" s="142"/>
      <c r="B143" s="1680"/>
      <c r="C143" s="1680"/>
      <c r="D143" s="1680"/>
      <c r="E143" s="1680"/>
      <c r="F143" s="1680"/>
      <c r="G143" s="1680"/>
      <c r="H143" s="1680"/>
      <c r="I143" s="1680"/>
      <c r="J143" s="9"/>
      <c r="K143" s="12"/>
      <c r="L143" s="9"/>
      <c r="M143" s="9"/>
      <c r="N143" s="9"/>
      <c r="O143" s="9"/>
      <c r="P143" s="9"/>
      <c r="Q143" s="9"/>
      <c r="R143" s="9"/>
      <c r="S143" s="9"/>
      <c r="T143" s="9"/>
      <c r="U143" s="9"/>
      <c r="V143" s="137"/>
      <c r="W143" s="150"/>
      <c r="AE143" s="82"/>
      <c r="AH143" s="184"/>
      <c r="AI143" s="184"/>
      <c r="AJ143" s="157"/>
    </row>
    <row r="144" spans="1:36" ht="11.25" customHeight="1" x14ac:dyDescent="0.2">
      <c r="A144" s="142"/>
      <c r="B144" s="1680" t="s">
        <v>21</v>
      </c>
      <c r="C144" s="1680"/>
      <c r="D144" s="1680"/>
      <c r="E144" s="1680"/>
      <c r="F144" s="1680"/>
      <c r="G144" s="1680"/>
      <c r="H144" s="1680"/>
      <c r="I144" s="1680"/>
      <c r="J144" s="9"/>
      <c r="K144" s="12"/>
      <c r="L144" s="9"/>
      <c r="M144" s="9"/>
      <c r="N144" s="9"/>
      <c r="O144" s="9"/>
      <c r="P144" s="9"/>
      <c r="Q144" s="9"/>
      <c r="R144" s="9"/>
      <c r="S144" s="9"/>
      <c r="T144" s="9"/>
      <c r="U144" s="9"/>
      <c r="V144" s="137"/>
      <c r="W144" s="150"/>
      <c r="AE144" s="82"/>
      <c r="AH144" s="184"/>
      <c r="AI144" s="184"/>
      <c r="AJ144" s="157"/>
    </row>
    <row r="145" spans="1:55" ht="11.25" customHeight="1" x14ac:dyDescent="0.2">
      <c r="A145" s="142"/>
      <c r="B145" s="1680"/>
      <c r="C145" s="1680"/>
      <c r="D145" s="1680"/>
      <c r="E145" s="1680"/>
      <c r="F145" s="1680"/>
      <c r="G145" s="1680"/>
      <c r="H145" s="1680"/>
      <c r="I145" s="1680"/>
      <c r="J145" s="9"/>
      <c r="K145" s="12"/>
      <c r="L145" s="9"/>
      <c r="M145" s="9"/>
      <c r="N145" s="9"/>
      <c r="O145" s="9"/>
      <c r="P145" s="9"/>
      <c r="Q145" s="9"/>
      <c r="R145" s="9"/>
      <c r="S145" s="9"/>
      <c r="T145" s="9"/>
      <c r="U145" s="9"/>
      <c r="V145" s="137"/>
      <c r="W145" s="150"/>
      <c r="AE145" s="82"/>
      <c r="AH145" s="184"/>
      <c r="AI145" s="184"/>
      <c r="AJ145" s="157"/>
    </row>
    <row r="146" spans="1:55" ht="18.75" customHeight="1" x14ac:dyDescent="0.2">
      <c r="A146" s="142"/>
      <c r="B146" s="1680" t="s">
        <v>905</v>
      </c>
      <c r="C146" s="1680"/>
      <c r="D146" s="1680"/>
      <c r="E146" s="1680"/>
      <c r="F146" s="1680"/>
      <c r="G146" s="1680"/>
      <c r="H146" s="1680"/>
      <c r="I146" s="1680"/>
      <c r="J146" s="9"/>
      <c r="K146" s="12"/>
      <c r="L146" s="9"/>
      <c r="M146" s="9"/>
      <c r="N146" s="9"/>
      <c r="O146" s="9"/>
      <c r="P146" s="9"/>
      <c r="Q146" s="9"/>
      <c r="R146" s="9"/>
      <c r="S146" s="9"/>
      <c r="T146" s="9"/>
      <c r="U146" s="9"/>
      <c r="V146" s="137"/>
      <c r="W146" s="150"/>
      <c r="AE146" s="82"/>
      <c r="AH146" s="184"/>
      <c r="AI146" s="184"/>
      <c r="AJ146" s="157"/>
    </row>
    <row r="147" spans="1:55" s="80" customFormat="1" ht="11.25" customHeight="1" x14ac:dyDescent="0.2">
      <c r="A147" s="142"/>
      <c r="B147" s="1680"/>
      <c r="C147" s="1680"/>
      <c r="D147" s="1680"/>
      <c r="E147" s="1680"/>
      <c r="F147" s="1680"/>
      <c r="G147" s="1680"/>
      <c r="H147" s="1680"/>
      <c r="I147" s="1680"/>
      <c r="J147" s="9"/>
      <c r="K147" s="12"/>
      <c r="L147" s="9"/>
      <c r="M147" s="9"/>
      <c r="N147" s="9"/>
      <c r="O147" s="9"/>
      <c r="P147" s="9"/>
      <c r="Q147" s="9"/>
      <c r="R147" s="9"/>
      <c r="S147" s="9"/>
      <c r="T147" s="9"/>
      <c r="U147" s="9"/>
      <c r="V147" s="137"/>
      <c r="W147" s="150"/>
      <c r="X147" s="81"/>
      <c r="Y147" s="81"/>
      <c r="Z147" s="81"/>
      <c r="AA147" s="81"/>
      <c r="AB147" s="81"/>
      <c r="AC147" s="81"/>
      <c r="AD147" s="81"/>
      <c r="AE147" s="82"/>
      <c r="AF147" s="81"/>
      <c r="AG147" s="81"/>
      <c r="AH147" s="184"/>
      <c r="AI147" s="184"/>
      <c r="AJ147" s="157"/>
      <c r="AK147" s="74"/>
      <c r="AL147" s="74"/>
      <c r="AM147" s="74"/>
      <c r="AN147" s="74"/>
      <c r="AO147" s="74"/>
      <c r="AP147" s="74"/>
      <c r="AQ147" s="74"/>
      <c r="AR147" s="74"/>
      <c r="AS147" s="74"/>
      <c r="AT147" s="74"/>
      <c r="AU147" s="74"/>
      <c r="AV147" s="74"/>
      <c r="AW147" s="74"/>
      <c r="AX147" s="74"/>
      <c r="AY147" s="74"/>
      <c r="AZ147" s="74"/>
      <c r="BA147" s="74"/>
      <c r="BB147" s="74"/>
      <c r="BC147" s="74"/>
    </row>
    <row r="148" spans="1:55" ht="11.25" customHeight="1" x14ac:dyDescent="0.2">
      <c r="A148" s="142"/>
      <c r="B148" s="1680" t="s">
        <v>666</v>
      </c>
      <c r="C148" s="1680"/>
      <c r="D148" s="1680"/>
      <c r="E148" s="1680"/>
      <c r="F148" s="1680"/>
      <c r="G148" s="1680"/>
      <c r="H148" s="1680"/>
      <c r="I148" s="1680"/>
      <c r="J148" s="9"/>
      <c r="K148" s="12"/>
      <c r="L148" s="9"/>
      <c r="M148" s="9"/>
      <c r="N148" s="9"/>
      <c r="O148" s="9"/>
      <c r="P148" s="9"/>
      <c r="Q148" s="9"/>
      <c r="R148" s="9"/>
      <c r="S148" s="9"/>
      <c r="T148" s="9"/>
      <c r="U148" s="9"/>
      <c r="V148" s="137"/>
      <c r="W148" s="150"/>
      <c r="AE148" s="82"/>
      <c r="AH148" s="184"/>
      <c r="AI148" s="184"/>
      <c r="AJ148" s="157"/>
    </row>
    <row r="149" spans="1:55" ht="11.25" customHeight="1" x14ac:dyDescent="0.2">
      <c r="A149" s="142"/>
      <c r="B149" s="1680"/>
      <c r="C149" s="1680"/>
      <c r="D149" s="1680"/>
      <c r="E149" s="1680"/>
      <c r="F149" s="1680"/>
      <c r="G149" s="1680"/>
      <c r="H149" s="1680"/>
      <c r="I149" s="1680"/>
      <c r="J149" s="9"/>
      <c r="K149" s="12"/>
      <c r="L149" s="9"/>
      <c r="M149" s="9"/>
      <c r="N149" s="9"/>
      <c r="O149" s="9"/>
      <c r="P149" s="9"/>
      <c r="Q149" s="9"/>
      <c r="R149" s="9"/>
      <c r="S149" s="9"/>
      <c r="T149" s="9"/>
      <c r="U149" s="9"/>
      <c r="V149" s="137"/>
      <c r="W149" s="150"/>
      <c r="AE149" s="82"/>
      <c r="AH149" s="184"/>
      <c r="AI149" s="184"/>
      <c r="AJ149" s="157"/>
    </row>
    <row r="150" spans="1:55" ht="11.25" customHeight="1" x14ac:dyDescent="0.2">
      <c r="A150" s="142"/>
      <c r="B150" s="1680" t="s">
        <v>32</v>
      </c>
      <c r="C150" s="1680"/>
      <c r="D150" s="1680"/>
      <c r="E150" s="1680"/>
      <c r="F150" s="1680"/>
      <c r="G150" s="1680"/>
      <c r="H150" s="1680"/>
      <c r="I150" s="1680"/>
      <c r="J150" s="9"/>
      <c r="K150" s="12"/>
      <c r="L150" s="9"/>
      <c r="M150" s="9"/>
      <c r="N150" s="9"/>
      <c r="O150" s="9"/>
      <c r="P150" s="9"/>
      <c r="Q150" s="9"/>
      <c r="R150" s="9"/>
      <c r="S150" s="9"/>
      <c r="T150" s="9"/>
      <c r="U150" s="9"/>
      <c r="V150" s="137"/>
      <c r="W150" s="150"/>
      <c r="AE150" s="82"/>
      <c r="AH150" s="184"/>
      <c r="AI150" s="184"/>
      <c r="AJ150" s="157"/>
    </row>
    <row r="151" spans="1:55" ht="11.25" customHeight="1" x14ac:dyDescent="0.2">
      <c r="A151" s="142"/>
      <c r="B151" s="1680"/>
      <c r="C151" s="1680"/>
      <c r="D151" s="1680"/>
      <c r="E151" s="1680"/>
      <c r="F151" s="1680"/>
      <c r="G151" s="1680"/>
      <c r="H151" s="1680"/>
      <c r="I151" s="1680"/>
      <c r="J151" s="9"/>
      <c r="K151" s="12"/>
      <c r="L151" s="9"/>
      <c r="M151" s="9"/>
      <c r="N151" s="9"/>
      <c r="O151" s="9"/>
      <c r="P151" s="9"/>
      <c r="Q151" s="9"/>
      <c r="R151" s="9"/>
      <c r="S151" s="9"/>
      <c r="T151" s="9"/>
      <c r="U151" s="9"/>
      <c r="V151" s="137"/>
      <c r="W151" s="150"/>
      <c r="AE151" s="82"/>
      <c r="AH151" s="184"/>
      <c r="AI151" s="184"/>
      <c r="AJ151" s="157"/>
    </row>
    <row r="152" spans="1:55" ht="11.25" customHeight="1" x14ac:dyDescent="0.2">
      <c r="A152" s="142"/>
      <c r="B152" s="1680" t="s">
        <v>642</v>
      </c>
      <c r="C152" s="1680"/>
      <c r="D152" s="1680"/>
      <c r="E152" s="1680"/>
      <c r="F152" s="1680"/>
      <c r="G152" s="1680"/>
      <c r="H152" s="1680"/>
      <c r="I152" s="1680"/>
      <c r="J152" s="9"/>
      <c r="K152" s="12"/>
      <c r="L152" s="9"/>
      <c r="M152" s="9"/>
      <c r="N152" s="9"/>
      <c r="O152" s="9"/>
      <c r="P152" s="9"/>
      <c r="Q152" s="9"/>
      <c r="R152" s="9"/>
      <c r="S152" s="9"/>
      <c r="T152" s="9"/>
      <c r="U152" s="9"/>
      <c r="V152" s="137"/>
      <c r="W152" s="150"/>
      <c r="AE152" s="82"/>
      <c r="AH152" s="184"/>
      <c r="AI152" s="184"/>
      <c r="AJ152" s="157"/>
    </row>
    <row r="153" spans="1:55" ht="11.25" customHeight="1" x14ac:dyDescent="0.2">
      <c r="A153" s="142"/>
      <c r="B153" s="1680"/>
      <c r="C153" s="1680"/>
      <c r="D153" s="1680"/>
      <c r="E153" s="1680"/>
      <c r="F153" s="1680"/>
      <c r="G153" s="1680"/>
      <c r="H153" s="1680"/>
      <c r="I153" s="1680"/>
      <c r="J153" s="9"/>
      <c r="K153" s="12"/>
      <c r="L153" s="9"/>
      <c r="M153" s="9"/>
      <c r="N153" s="9"/>
      <c r="O153" s="9"/>
      <c r="P153" s="9"/>
      <c r="Q153" s="9"/>
      <c r="R153" s="9"/>
      <c r="S153" s="9"/>
      <c r="T153" s="9"/>
      <c r="U153" s="9"/>
      <c r="V153" s="137"/>
      <c r="W153" s="150"/>
      <c r="AE153" s="82"/>
      <c r="AH153" s="184"/>
      <c r="AI153" s="184"/>
      <c r="AJ153" s="157"/>
    </row>
    <row r="154" spans="1:55" ht="11.25" customHeight="1" x14ac:dyDescent="0.2">
      <c r="A154" s="142"/>
      <c r="B154" s="1680" t="s">
        <v>795</v>
      </c>
      <c r="C154" s="1680"/>
      <c r="D154" s="1680"/>
      <c r="E154" s="1680"/>
      <c r="F154" s="1680"/>
      <c r="G154" s="1680"/>
      <c r="H154" s="1680"/>
      <c r="I154" s="1680"/>
      <c r="J154" s="9"/>
      <c r="K154" s="12"/>
      <c r="L154" s="9"/>
      <c r="M154" s="9"/>
      <c r="N154" s="9"/>
      <c r="O154" s="9"/>
      <c r="P154" s="9"/>
      <c r="Q154" s="9"/>
      <c r="R154" s="9"/>
      <c r="S154" s="9"/>
      <c r="T154" s="9"/>
      <c r="U154" s="9"/>
      <c r="V154" s="137"/>
      <c r="W154" s="150"/>
      <c r="AE154" s="82"/>
      <c r="AH154" s="184"/>
      <c r="AI154" s="184"/>
      <c r="AJ154" s="157"/>
    </row>
    <row r="155" spans="1:55" ht="11.25" customHeight="1" x14ac:dyDescent="0.2">
      <c r="A155" s="142"/>
      <c r="B155" s="1680"/>
      <c r="C155" s="1680"/>
      <c r="D155" s="1680"/>
      <c r="E155" s="1680"/>
      <c r="F155" s="1680"/>
      <c r="G155" s="1680"/>
      <c r="H155" s="1680"/>
      <c r="I155" s="1680"/>
      <c r="J155" s="9"/>
      <c r="K155" s="12"/>
      <c r="L155" s="9"/>
      <c r="M155" s="9"/>
      <c r="N155" s="9"/>
      <c r="O155" s="9"/>
      <c r="P155" s="9"/>
      <c r="Q155" s="9"/>
      <c r="R155" s="9"/>
      <c r="S155" s="9"/>
      <c r="T155" s="9"/>
      <c r="U155" s="9"/>
      <c r="V155" s="137"/>
      <c r="W155" s="150"/>
      <c r="AE155" s="82"/>
      <c r="AH155" s="184"/>
      <c r="AI155" s="184"/>
      <c r="AJ155" s="157"/>
    </row>
    <row r="156" spans="1:55" ht="11.25" customHeight="1" x14ac:dyDescent="0.2">
      <c r="A156" s="142"/>
      <c r="B156" s="1680" t="s">
        <v>672</v>
      </c>
      <c r="C156" s="1680"/>
      <c r="D156" s="1680"/>
      <c r="E156" s="1680"/>
      <c r="F156" s="1680"/>
      <c r="G156" s="1680"/>
      <c r="H156" s="1680"/>
      <c r="I156" s="1680"/>
      <c r="J156" s="9"/>
      <c r="K156" s="12"/>
      <c r="L156" s="9"/>
      <c r="M156" s="9"/>
      <c r="N156" s="9"/>
      <c r="O156" s="9"/>
      <c r="P156" s="9"/>
      <c r="Q156" s="9"/>
      <c r="R156" s="9"/>
      <c r="S156" s="9"/>
      <c r="T156" s="9"/>
      <c r="U156" s="9"/>
      <c r="V156" s="137"/>
      <c r="W156" s="150"/>
      <c r="AE156" s="82"/>
      <c r="AH156" s="184"/>
      <c r="AI156" s="184"/>
      <c r="AJ156" s="157"/>
    </row>
    <row r="157" spans="1:55" ht="11.25" customHeight="1" x14ac:dyDescent="0.2">
      <c r="A157" s="142"/>
      <c r="B157" s="1680"/>
      <c r="C157" s="1680"/>
      <c r="D157" s="1680"/>
      <c r="E157" s="1680"/>
      <c r="F157" s="1680"/>
      <c r="G157" s="1680"/>
      <c r="H157" s="1680"/>
      <c r="I157" s="1680"/>
      <c r="J157" s="9"/>
      <c r="K157" s="12"/>
      <c r="L157" s="9"/>
      <c r="M157" s="9"/>
      <c r="N157" s="9"/>
      <c r="O157" s="9"/>
      <c r="P157" s="9"/>
      <c r="Q157" s="9"/>
      <c r="R157" s="9"/>
      <c r="S157" s="9"/>
      <c r="T157" s="9"/>
      <c r="U157" s="9"/>
      <c r="V157" s="137"/>
      <c r="W157" s="150"/>
      <c r="AE157" s="82"/>
      <c r="AH157" s="184"/>
      <c r="AI157" s="184"/>
      <c r="AJ157" s="157"/>
    </row>
    <row r="158" spans="1:55" ht="11.25" customHeight="1" x14ac:dyDescent="0.2">
      <c r="A158" s="142"/>
      <c r="B158" s="1680" t="s">
        <v>906</v>
      </c>
      <c r="C158" s="1680"/>
      <c r="D158" s="1680"/>
      <c r="E158" s="1680"/>
      <c r="F158" s="1680"/>
      <c r="G158" s="1680"/>
      <c r="H158" s="1680"/>
      <c r="I158" s="1680"/>
      <c r="J158" s="9"/>
      <c r="K158" s="12"/>
      <c r="L158" s="9"/>
      <c r="M158" s="9"/>
      <c r="N158" s="9"/>
      <c r="O158" s="9"/>
      <c r="P158" s="9"/>
      <c r="Q158" s="9"/>
      <c r="R158" s="9"/>
      <c r="S158" s="9"/>
      <c r="T158" s="9"/>
      <c r="U158" s="9"/>
      <c r="V158" s="137"/>
      <c r="W158" s="150"/>
      <c r="AE158" s="82"/>
      <c r="AH158" s="184"/>
      <c r="AI158" s="184"/>
      <c r="AJ158" s="157"/>
    </row>
    <row r="159" spans="1:55" ht="11.25" customHeight="1" x14ac:dyDescent="0.2">
      <c r="A159" s="142"/>
      <c r="B159" s="1680"/>
      <c r="C159" s="1680"/>
      <c r="D159" s="1680"/>
      <c r="E159" s="1680"/>
      <c r="F159" s="1680"/>
      <c r="G159" s="1680"/>
      <c r="H159" s="1680"/>
      <c r="I159" s="1680"/>
      <c r="J159" s="9"/>
      <c r="K159" s="12"/>
      <c r="L159" s="9"/>
      <c r="M159" s="9"/>
      <c r="N159" s="9"/>
      <c r="O159" s="9"/>
      <c r="P159" s="9"/>
      <c r="Q159" s="9"/>
      <c r="R159" s="9"/>
      <c r="S159" s="9"/>
      <c r="T159" s="9"/>
      <c r="U159" s="9"/>
      <c r="V159" s="137"/>
      <c r="W159" s="150"/>
      <c r="AE159" s="82"/>
      <c r="AH159" s="184"/>
      <c r="AI159" s="184"/>
      <c r="AJ159" s="157"/>
    </row>
    <row r="160" spans="1:55" ht="11.25" customHeight="1" x14ac:dyDescent="0.2">
      <c r="A160" s="142"/>
      <c r="B160" s="1680" t="s">
        <v>907</v>
      </c>
      <c r="C160" s="1680"/>
      <c r="D160" s="1680"/>
      <c r="E160" s="1680"/>
      <c r="F160" s="1680"/>
      <c r="G160" s="1680"/>
      <c r="H160" s="1680"/>
      <c r="I160" s="1680"/>
      <c r="J160" s="9"/>
      <c r="K160" s="12"/>
      <c r="L160" s="9"/>
      <c r="M160" s="9"/>
      <c r="N160" s="9"/>
      <c r="O160" s="9"/>
      <c r="P160" s="9"/>
      <c r="Q160" s="9"/>
      <c r="R160" s="9"/>
      <c r="S160" s="9"/>
      <c r="T160" s="9"/>
      <c r="U160" s="9"/>
      <c r="V160" s="137"/>
      <c r="W160" s="150"/>
      <c r="AE160" s="82"/>
      <c r="AH160" s="184"/>
      <c r="AI160" s="184"/>
      <c r="AJ160" s="157"/>
    </row>
    <row r="161" spans="1:36" ht="11.25" customHeight="1" x14ac:dyDescent="0.2">
      <c r="A161" s="142"/>
      <c r="B161" s="1680"/>
      <c r="C161" s="1680"/>
      <c r="D161" s="1680"/>
      <c r="E161" s="1680"/>
      <c r="F161" s="1680"/>
      <c r="G161" s="1680"/>
      <c r="H161" s="1680"/>
      <c r="I161" s="1680"/>
      <c r="J161" s="9"/>
      <c r="K161" s="12"/>
      <c r="L161" s="9"/>
      <c r="M161" s="9"/>
      <c r="N161" s="9"/>
      <c r="O161" s="9"/>
      <c r="P161" s="9"/>
      <c r="Q161" s="9"/>
      <c r="R161" s="9"/>
      <c r="S161" s="9"/>
      <c r="T161" s="9"/>
      <c r="U161" s="9"/>
      <c r="V161" s="137"/>
      <c r="W161" s="150"/>
      <c r="AE161" s="82"/>
      <c r="AH161" s="184"/>
      <c r="AI161" s="184"/>
      <c r="AJ161" s="157"/>
    </row>
    <row r="162" spans="1:36" ht="11.25" customHeight="1" x14ac:dyDescent="0.2">
      <c r="A162" s="1273"/>
      <c r="B162" s="1274"/>
      <c r="C162" s="1275"/>
      <c r="D162" s="1275"/>
      <c r="E162" s="1275"/>
      <c r="F162" s="1275"/>
      <c r="G162" s="1275"/>
      <c r="H162" s="1275"/>
      <c r="I162" s="1275"/>
      <c r="J162" s="201"/>
      <c r="K162" s="1276"/>
      <c r="L162" s="201"/>
      <c r="M162" s="201"/>
      <c r="N162" s="201"/>
      <c r="O162" s="201"/>
      <c r="P162" s="201"/>
      <c r="Q162" s="201"/>
      <c r="R162" s="201"/>
      <c r="S162" s="201"/>
      <c r="T162" s="201"/>
      <c r="U162" s="201"/>
      <c r="V162" s="1277"/>
      <c r="W162" s="1271"/>
      <c r="X162" s="200"/>
      <c r="Y162" s="200"/>
      <c r="Z162" s="200"/>
      <c r="AA162" s="200"/>
      <c r="AB162" s="200"/>
      <c r="AC162" s="200"/>
      <c r="AD162" s="200"/>
      <c r="AE162" s="1278"/>
      <c r="AF162" s="200"/>
      <c r="AG162" s="200"/>
      <c r="AH162" s="201"/>
      <c r="AI162" s="201"/>
      <c r="AJ162" s="251"/>
    </row>
    <row r="273" spans="37:37" ht="11.25" customHeight="1" x14ac:dyDescent="0.2">
      <c r="AK273" s="74" t="b">
        <v>1</v>
      </c>
    </row>
  </sheetData>
  <mergeCells count="50">
    <mergeCell ref="B154:I155"/>
    <mergeCell ref="B156:I157"/>
    <mergeCell ref="B158:I159"/>
    <mergeCell ref="B160:I161"/>
    <mergeCell ref="B108:I109"/>
    <mergeCell ref="B110:I111"/>
    <mergeCell ref="B112:I113"/>
    <mergeCell ref="B114:I115"/>
    <mergeCell ref="B116:I117"/>
    <mergeCell ref="B118:I119"/>
    <mergeCell ref="B120:I121"/>
    <mergeCell ref="B122:I123"/>
    <mergeCell ref="B124:I125"/>
    <mergeCell ref="B126:I127"/>
    <mergeCell ref="B128:I129"/>
    <mergeCell ref="B130:I131"/>
    <mergeCell ref="B72:I73"/>
    <mergeCell ref="B146:I147"/>
    <mergeCell ref="B148:I149"/>
    <mergeCell ref="B150:I151"/>
    <mergeCell ref="B152:I153"/>
    <mergeCell ref="B132:I133"/>
    <mergeCell ref="B144:I145"/>
    <mergeCell ref="B74:B75"/>
    <mergeCell ref="A104:U104"/>
    <mergeCell ref="A105:U105"/>
    <mergeCell ref="B140:I141"/>
    <mergeCell ref="B142:I143"/>
    <mergeCell ref="B134:I135"/>
    <mergeCell ref="B136:I137"/>
    <mergeCell ref="B138:I139"/>
    <mergeCell ref="A69:U69"/>
    <mergeCell ref="B34:T34"/>
    <mergeCell ref="A36:U36"/>
    <mergeCell ref="A37:U37"/>
    <mergeCell ref="A70:U70"/>
    <mergeCell ref="B5:T6"/>
    <mergeCell ref="L7:R7"/>
    <mergeCell ref="M63:O63"/>
    <mergeCell ref="Q63:T63"/>
    <mergeCell ref="M64:T64"/>
    <mergeCell ref="I7:J9"/>
    <mergeCell ref="D7:H7"/>
    <mergeCell ref="Z8:Z9"/>
    <mergeCell ref="B7:B9"/>
    <mergeCell ref="P9:Q9"/>
    <mergeCell ref="P8:Q8"/>
    <mergeCell ref="T7:T9"/>
    <mergeCell ref="R8:R9"/>
    <mergeCell ref="Y8:Y9"/>
  </mergeCells>
  <conditionalFormatting sqref="B50:C65 L10:P31 B10:B32 A1:A69 R10:R31 A71:A104">
    <cfRule type="containsErrors" dxfId="1040" priority="53">
      <formula>ISERROR(A1)</formula>
    </cfRule>
  </conditionalFormatting>
  <conditionalFormatting sqref="T10:T31">
    <cfRule type="containsErrors" dxfId="1039" priority="50">
      <formula>ISERROR(T10)</formula>
    </cfRule>
  </conditionalFormatting>
  <conditionalFormatting sqref="A10:A31">
    <cfRule type="cellIs" dxfId="1038" priority="47" operator="equal">
      <formula>0</formula>
    </cfRule>
  </conditionalFormatting>
  <conditionalFormatting sqref="A163:A1048576">
    <cfRule type="containsErrors" dxfId="1037" priority="45">
      <formula>ISERROR(A163)</formula>
    </cfRule>
  </conditionalFormatting>
  <conditionalFormatting sqref="B76:B97 H76:H97">
    <cfRule type="containsErrors" dxfId="1036" priority="44">
      <formula>ISERROR(B76)</formula>
    </cfRule>
  </conditionalFormatting>
  <conditionalFormatting sqref="A76:A97">
    <cfRule type="cellIs" dxfId="1035" priority="43" operator="equal">
      <formula>0</formula>
    </cfRule>
  </conditionalFormatting>
  <conditionalFormatting sqref="D10:H31">
    <cfRule type="containsErrors" dxfId="1034" priority="40">
      <formula>ISERROR(D10)</formula>
    </cfRule>
  </conditionalFormatting>
  <conditionalFormatting sqref="AF10:AF28">
    <cfRule type="containsErrors" dxfId="1033" priority="39">
      <formula>ISERROR(AF10)</formula>
    </cfRule>
  </conditionalFormatting>
  <conditionalFormatting sqref="AF10:AF28">
    <cfRule type="expression" dxfId="1032" priority="38">
      <formula>$B10=$W$4</formula>
    </cfRule>
  </conditionalFormatting>
  <conditionalFormatting sqref="D98:H98 D32:H32 L32:P32 T32 R32">
    <cfRule type="containsErrors" dxfId="1031" priority="36">
      <formula>ISERROR(D32)</formula>
    </cfRule>
  </conditionalFormatting>
  <conditionalFormatting sqref="A70">
    <cfRule type="containsErrors" dxfId="1030" priority="35">
      <formula>ISERROR(A70)</formula>
    </cfRule>
  </conditionalFormatting>
  <conditionalFormatting sqref="A105">
    <cfRule type="containsErrors" dxfId="1029" priority="33">
      <formula>ISERROR(A105)</formula>
    </cfRule>
  </conditionalFormatting>
  <conditionalFormatting sqref="L8:P8">
    <cfRule type="containsErrors" dxfId="1028" priority="30">
      <formula>ISERROR(L8)</formula>
    </cfRule>
  </conditionalFormatting>
  <conditionalFormatting sqref="L9:P9">
    <cfRule type="containsErrors" dxfId="1027" priority="1171">
      <formula>ISERROR(L9)</formula>
    </cfRule>
  </conditionalFormatting>
  <conditionalFormatting sqref="D74:H74">
    <cfRule type="containsErrors" dxfId="1026" priority="28">
      <formula>ISERROR(D74)</formula>
    </cfRule>
  </conditionalFormatting>
  <conditionalFormatting sqref="D75:H75">
    <cfRule type="containsErrors" dxfId="1025" priority="29">
      <formula>ISERROR(D75)</formula>
    </cfRule>
  </conditionalFormatting>
  <conditionalFormatting sqref="Y74:AC74">
    <cfRule type="containsErrors" dxfId="1024" priority="22">
      <formula>ISERROR(Y74)</formula>
    </cfRule>
  </conditionalFormatting>
  <conditionalFormatting sqref="Y75:AC75">
    <cfRule type="containsErrors" dxfId="1023" priority="23">
      <formula>ISERROR(Y75)</formula>
    </cfRule>
  </conditionalFormatting>
  <conditionalFormatting sqref="X3:AB3">
    <cfRule type="containsErrors" dxfId="1022" priority="21">
      <formula>ISERROR(X3)</formula>
    </cfRule>
  </conditionalFormatting>
  <conditionalFormatting sqref="X2:AB2">
    <cfRule type="containsErrors" dxfId="1021" priority="20">
      <formula>ISERROR(X2)</formula>
    </cfRule>
  </conditionalFormatting>
  <conditionalFormatting sqref="B98:B99">
    <cfRule type="expression" dxfId="1020" priority="1151" stopIfTrue="1">
      <formula>$B98=$Y$4</formula>
    </cfRule>
  </conditionalFormatting>
  <conditionalFormatting sqref="T10:T31 L10:P31 B10:B32 R10:R31 J10:J32 D10:I31 Q10:Q32 AG10:AG28 B50:C65 B76:B97 H76:H97">
    <cfRule type="expression" dxfId="1019" priority="1154">
      <formula>$B10=$Y$4</formula>
    </cfRule>
  </conditionalFormatting>
  <conditionalFormatting sqref="D76:G97">
    <cfRule type="expression" dxfId="1018" priority="1166">
      <formula>$B76=$Y$4</formula>
    </cfRule>
    <cfRule type="containsErrors" dxfId="1017" priority="1167">
      <formula>ISERROR(D76)</formula>
    </cfRule>
  </conditionalFormatting>
  <conditionalFormatting sqref="D8:H8">
    <cfRule type="containsErrors" dxfId="1016" priority="17">
      <formula>ISERROR(D8)</formula>
    </cfRule>
  </conditionalFormatting>
  <conditionalFormatting sqref="D9:H9">
    <cfRule type="containsErrors" dxfId="1015" priority="1172">
      <formula>ISERROR(D9)</formula>
    </cfRule>
  </conditionalFormatting>
  <conditionalFormatting sqref="J10:J32">
    <cfRule type="containsErrors" dxfId="1014" priority="14">
      <formula>ISERROR(J10)</formula>
    </cfRule>
  </conditionalFormatting>
  <conditionalFormatting sqref="J32">
    <cfRule type="containsErrors" dxfId="1013" priority="12">
      <formula>ISERROR(J32)</formula>
    </cfRule>
  </conditionalFormatting>
  <conditionalFormatting sqref="J10:J32">
    <cfRule type="dataBar" priority="15">
      <dataBar showValue="0">
        <cfvo type="min"/>
        <cfvo type="max"/>
        <color theme="9"/>
      </dataBar>
      <extLst>
        <ext xmlns:x14="http://schemas.microsoft.com/office/spreadsheetml/2009/9/main" uri="{B025F937-C7B1-47D3-B67F-A62EFF666E3E}">
          <x14:id>{239AC5EE-25CC-4B9C-A11C-4FB96A3E4C99}</x14:id>
        </ext>
      </extLst>
    </cfRule>
  </conditionalFormatting>
  <conditionalFormatting sqref="I10:I31">
    <cfRule type="containsErrors" dxfId="1012" priority="10">
      <formula>ISERROR(I10)</formula>
    </cfRule>
  </conditionalFormatting>
  <conditionalFormatting sqref="I32">
    <cfRule type="containsErrors" dxfId="1011" priority="9">
      <formula>ISERROR(I32)</formula>
    </cfRule>
  </conditionalFormatting>
  <conditionalFormatting sqref="Q32">
    <cfRule type="containsErrors" dxfId="1010" priority="7">
      <formula>ISERROR(Q32)</formula>
    </cfRule>
  </conditionalFormatting>
  <conditionalFormatting sqref="Q10:Q32">
    <cfRule type="containsErrors" dxfId="1009" priority="5">
      <formula>ISERROR(Q10)</formula>
    </cfRule>
    <cfRule type="dataBar" priority="6">
      <dataBar showValue="0">
        <cfvo type="min"/>
        <cfvo type="max"/>
        <color theme="9"/>
      </dataBar>
      <extLst>
        <ext xmlns:x14="http://schemas.microsoft.com/office/spreadsheetml/2009/9/main" uri="{B025F937-C7B1-47D3-B67F-A62EFF666E3E}">
          <x14:id>{E9F4D461-C12D-40A1-A7E6-CA4B33F024A8}</x14:id>
        </ext>
      </extLst>
    </cfRule>
  </conditionalFormatting>
  <conditionalFormatting sqref="AG10:AG28">
    <cfRule type="containsErrors" dxfId="1008" priority="3">
      <formula>ISERROR(AG10)</formula>
    </cfRule>
  </conditionalFormatting>
  <conditionalFormatting sqref="AA8:AE9">
    <cfRule type="cellIs" dxfId="1007" priority="2" stopIfTrue="1" operator="equal">
      <formula>0</formula>
    </cfRule>
  </conditionalFormatting>
  <conditionalFormatting sqref="R10:R31">
    <cfRule type="containsErrors" dxfId="1006" priority="1">
      <formula>ISERROR(R10)</formula>
    </cfRule>
  </conditionalFormatting>
  <hyperlinks>
    <hyperlink ref="B112:H113" location="IDACI!A1" display="IDACI" xr:uid="{00000000-0004-0000-0D00-000000000000}"/>
    <hyperlink ref="B144:I145" location="ROSGO!A1" display="Child Arrangement &amp; Special Guardianship Orders" xr:uid="{00000000-0004-0000-0D00-000001000000}"/>
    <hyperlink ref="B116:G117" location="EH_Referrals!A1" display="Early Help Referrals" xr:uid="{00000000-0004-0000-0D00-000002000000}"/>
    <hyperlink ref="B118:G119" location="EH_Assessments!A1" display="Early Help Assessments" xr:uid="{00000000-0004-0000-0D00-000003000000}"/>
    <hyperlink ref="B120:G121" location="EH_Clients!A1" display="Early Help Clients" xr:uid="{00000000-0004-0000-0D00-000004000000}"/>
    <hyperlink ref="B144:E145" location="ROSGO!A1" display="Child Arrangement &amp; Special Guardianship Orders" xr:uid="{00000000-0004-0000-0D00-000005000000}"/>
    <hyperlink ref="B116:E117" location="EH_Referrals!A1" display="Early Help Referrals" xr:uid="{00000000-0004-0000-0D00-000006000000}"/>
    <hyperlink ref="B118:E119" location="EH_Assessments!A1" display="Early Help Assessments" xr:uid="{00000000-0004-0000-0D00-000007000000}"/>
    <hyperlink ref="B120:E121" location="EH_Clients!A1" display="Early Help Clients" xr:uid="{00000000-0004-0000-0D00-000008000000}"/>
    <hyperlink ref="B114:D115" location="IDACI!A1" display="IDACI" xr:uid="{00000000-0004-0000-0D00-000009000000}"/>
    <hyperlink ref="B152:D153" location="ROSGO!A1" display="Child Arrangement &amp; Special Guardianship Orders" xr:uid="{00000000-0004-0000-0D00-00000A000000}"/>
    <hyperlink ref="B120:D121" location="EH_Referrals!A1" display="Early Help Referrals" xr:uid="{00000000-0004-0000-0D00-00000B000000}"/>
    <hyperlink ref="B122:D123" location="EH_Assessments!A1" display="Early Help Assessments" xr:uid="{00000000-0004-0000-0D00-00000C000000}"/>
    <hyperlink ref="B124:D125" location="EH_Clients!A1" display="Early Help Clients" xr:uid="{00000000-0004-0000-0D00-00000D000000}"/>
    <hyperlink ref="B110:D111" location="Indicators!A1" display="Indicators" xr:uid="{00000000-0004-0000-0D00-00000E000000}"/>
    <hyperlink ref="B118:D119" location="Contacts!A1" display="Contacts" xr:uid="{00000000-0004-0000-0D00-00000F000000}"/>
    <hyperlink ref="B146:D147" location="New_Ceased_LAC!A1" display="New/ Ceased Looked After Children" xr:uid="{00000000-0004-0000-0D00-000010000000}"/>
    <hyperlink ref="B148:D149" location="Care_Leavers!A1" display="Care Leavers" xr:uid="{00000000-0004-0000-0D00-000011000000}"/>
    <hyperlink ref="B160:D161" location="EHE_CME!A1" display="Elective Home Education &amp; Children Missing Education" xr:uid="{00000000-0004-0000-0D00-000012000000}"/>
    <hyperlink ref="B154:D155" location="NEET!A1" display="Participation (NEET)" xr:uid="{00000000-0004-0000-0D00-000013000000}"/>
    <hyperlink ref="B156:D157" location="Offending!A1" display="Offending" xr:uid="{00000000-0004-0000-0D00-000014000000}"/>
    <hyperlink ref="B158:D159" location="EHCP!A1" display="Education Health and Care Plans (EHCP)" xr:uid="{00000000-0004-0000-0D00-000015000000}"/>
    <hyperlink ref="B112:B113" location="Coverage!A1" display="Participating LA's" xr:uid="{00000000-0004-0000-0D00-000016000000}"/>
    <hyperlink ref="B114:B115" location="IDACI!A1" display="IDACI" xr:uid="{00000000-0004-0000-0D00-000017000000}"/>
    <hyperlink ref="B150:B151" location="Adoption!A1" display="Adoption" xr:uid="{00000000-0004-0000-0D00-000018000000}"/>
    <hyperlink ref="B144:B145" location="'Looked After Children'!A1" display="Looked After Children" xr:uid="{00000000-0004-0000-0D00-000019000000}"/>
    <hyperlink ref="B142:B143" location="'Court Applications'!A1" display="Court Applications" xr:uid="{00000000-0004-0000-0D00-00001A000000}"/>
    <hyperlink ref="B140:B141" location="'Child Protection Plans'!A1" display="Child Protection Plans" xr:uid="{00000000-0004-0000-0D00-00001B000000}"/>
    <hyperlink ref="B138:B139" location="'Initial CP Conferences'!A1" display="Initial Child Protection Conferences" xr:uid="{00000000-0004-0000-0D00-00001C000000}"/>
    <hyperlink ref="B136:B137" location="'Section 47 Enquiries'!A1" display="Section 47 Enquiries" xr:uid="{00000000-0004-0000-0D00-00001D000000}"/>
    <hyperlink ref="B134:B135" location="'Children in Need'!A1" display="Children in Need" xr:uid="{00000000-0004-0000-0D00-00001E000000}"/>
    <hyperlink ref="B132:B133" location="Assessments!A1" display="Assessments" xr:uid="{00000000-0004-0000-0D00-00001F000000}"/>
    <hyperlink ref="B130:B131" location="'Re-referrals'!A1" display="Re-referrals" xr:uid="{00000000-0004-0000-0D00-000020000000}"/>
    <hyperlink ref="B128:B129" location="Referral_Source!A1" display="Referral Source" xr:uid="{00000000-0004-0000-0D00-000021000000}"/>
    <hyperlink ref="B126:B127" location="Referrals!A1" display="Referrals" xr:uid="{00000000-0004-0000-0D00-000022000000}"/>
    <hyperlink ref="B116:B117" location="Population!A1" display="Population" xr:uid="{00000000-0004-0000-0D00-000023000000}"/>
    <hyperlink ref="B114:C115" location="IDACI!A1" display="IDACI" xr:uid="{00000000-0004-0000-0D00-000024000000}"/>
    <hyperlink ref="B152:B153" location="Adoption!A1" display="Adoption" xr:uid="{00000000-0004-0000-0D00-000025000000}"/>
    <hyperlink ref="B152:C153" location="ROSGO!A1" display="Child Arrangement &amp; Special Guardianship Orders" xr:uid="{00000000-0004-0000-0D00-000026000000}"/>
    <hyperlink ref="B120:B121" location="CAF_EHA!A1" display="CAF (EHA's)" xr:uid="{00000000-0004-0000-0D00-000027000000}"/>
    <hyperlink ref="B124:B125" location="CAF_EHA!A1" display="CAF (EHA's)" xr:uid="{00000000-0004-0000-0D00-000028000000}"/>
    <hyperlink ref="B122:B123" location="CAF_EHA!A1" display="CAF (EHA's)" xr:uid="{00000000-0004-0000-0D00-000029000000}"/>
    <hyperlink ref="B120:C121" location="EH_Referrals!A1" display="Early Help Referrals" xr:uid="{00000000-0004-0000-0D00-00002A000000}"/>
    <hyperlink ref="B122:C123" location="EH_Assessments!A1" display="Early Help Assessments" xr:uid="{00000000-0004-0000-0D00-00002B000000}"/>
    <hyperlink ref="B124:C125" location="EH_Clients!A1" display="Early Help Clients" xr:uid="{00000000-0004-0000-0D00-00002C000000}"/>
    <hyperlink ref="B110:B111" location="Coverage!A1" display="Participating LA's" xr:uid="{00000000-0004-0000-0D00-00002D000000}"/>
    <hyperlink ref="B110:C111" location="Indicators!A1" display="Indicators" xr:uid="{00000000-0004-0000-0D00-00002E000000}"/>
    <hyperlink ref="B118:B119" location="Population!A1" display="Population" xr:uid="{00000000-0004-0000-0D00-00002F000000}"/>
    <hyperlink ref="B118:C119" location="Contacts!A1" display="Contacts" xr:uid="{00000000-0004-0000-0D00-000030000000}"/>
    <hyperlink ref="B148:B149" location="'Looked After Children'!A1" display="Looked After Children" xr:uid="{00000000-0004-0000-0D00-000031000000}"/>
    <hyperlink ref="B146:B147" location="'Court Applications'!A1" display="Court Applications" xr:uid="{00000000-0004-0000-0D00-000032000000}"/>
    <hyperlink ref="B146:C147" location="New_Ceased_LAC!A1" display="New/ Ceased Looked After Children" xr:uid="{00000000-0004-0000-0D00-000033000000}"/>
    <hyperlink ref="B148:C149" location="Care_Leavers!A1" display="Care Leavers" xr:uid="{00000000-0004-0000-0D00-000034000000}"/>
    <hyperlink ref="B159:B161" location="Adoption!A1" display="Adoption" xr:uid="{00000000-0004-0000-0D00-000035000000}"/>
    <hyperlink ref="B156:B157" location="'Looked After Children'!A1" display="Looked After Children" xr:uid="{00000000-0004-0000-0D00-000036000000}"/>
    <hyperlink ref="B154:B155" location="'Court Applications'!A1" display="Court Applications" xr:uid="{00000000-0004-0000-0D00-000037000000}"/>
    <hyperlink ref="B154:C155" location="NEET!A1" display="Participation (NEET)" xr:uid="{00000000-0004-0000-0D00-000038000000}"/>
    <hyperlink ref="B156:C157" location="Offending!A1" display="Offending" xr:uid="{00000000-0004-0000-0D00-000039000000}"/>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1" manualBreakCount="1">
    <brk id="37" max="18" man="1"/>
  </rowBreaks>
  <drawing r:id="rId2"/>
  <legacyDrawing r:id="rId3"/>
  <mc:AlternateContent xmlns:mc="http://schemas.openxmlformats.org/markup-compatibility/2006">
    <mc:Choice Requires="x14">
      <controls>
        <mc:AlternateContent xmlns:mc="http://schemas.openxmlformats.org/markup-compatibility/2006">
          <mc:Choice Requires="x14">
            <control shapeId="145409" r:id="rId4" name="Check Box 1">
              <controlPr defaultSize="0" autoFill="0" autoLine="0" autoPict="0" macro="[0]!CheckBox1_Click" altText="">
                <anchor>
                  <from>
                    <xdr:col>22</xdr:col>
                    <xdr:colOff>104775</xdr:colOff>
                    <xdr:row>38</xdr:row>
                    <xdr:rowOff>28575</xdr:rowOff>
                  </from>
                  <to>
                    <xdr:col>35</xdr:col>
                    <xdr:colOff>76200</xdr:colOff>
                    <xdr:row>40</xdr:row>
                    <xdr:rowOff>9525</xdr:rowOff>
                  </to>
                </anchor>
              </controlPr>
            </control>
          </mc:Choice>
        </mc:AlternateContent>
        <mc:AlternateContent xmlns:mc="http://schemas.openxmlformats.org/markup-compatibility/2006">
          <mc:Choice Requires="x14">
            <control shapeId="145410" r:id="rId5" name="Check Box 2">
              <controlPr defaultSize="0" autoFill="0" autoLine="0" autoPict="0" macro="[0]!CheckBox1_Click" altText="">
                <anchor>
                  <from>
                    <xdr:col>22</xdr:col>
                    <xdr:colOff>104775</xdr:colOff>
                    <xdr:row>39</xdr:row>
                    <xdr:rowOff>152400</xdr:rowOff>
                  </from>
                  <to>
                    <xdr:col>35</xdr:col>
                    <xdr:colOff>76200</xdr:colOff>
                    <xdr:row>41</xdr:row>
                    <xdr:rowOff>9525</xdr:rowOff>
                  </to>
                </anchor>
              </controlPr>
            </control>
          </mc:Choice>
        </mc:AlternateContent>
        <mc:AlternateContent xmlns:mc="http://schemas.openxmlformats.org/markup-compatibility/2006">
          <mc:Choice Requires="x14">
            <control shapeId="145411" r:id="rId6" name="Check Box 3">
              <controlPr defaultSize="0" autoFill="0" autoLine="0" autoPict="0" macro="[0]!CheckBox1_Click" altText="">
                <anchor>
                  <from>
                    <xdr:col>22</xdr:col>
                    <xdr:colOff>104775</xdr:colOff>
                    <xdr:row>40</xdr:row>
                    <xdr:rowOff>152400</xdr:rowOff>
                  </from>
                  <to>
                    <xdr:col>35</xdr:col>
                    <xdr:colOff>76200</xdr:colOff>
                    <xdr:row>42</xdr:row>
                    <xdr:rowOff>9525</xdr:rowOff>
                  </to>
                </anchor>
              </controlPr>
            </control>
          </mc:Choice>
        </mc:AlternateContent>
        <mc:AlternateContent xmlns:mc="http://schemas.openxmlformats.org/markup-compatibility/2006">
          <mc:Choice Requires="x14">
            <control shapeId="145412" r:id="rId7" name="Check Box 4">
              <controlPr defaultSize="0" autoFill="0" autoLine="0" autoPict="0" macro="[0]!CheckBox1_Click" altText="">
                <anchor>
                  <from>
                    <xdr:col>22</xdr:col>
                    <xdr:colOff>104775</xdr:colOff>
                    <xdr:row>41</xdr:row>
                    <xdr:rowOff>152400</xdr:rowOff>
                  </from>
                  <to>
                    <xdr:col>35</xdr:col>
                    <xdr:colOff>76200</xdr:colOff>
                    <xdr:row>43</xdr:row>
                    <xdr:rowOff>9525</xdr:rowOff>
                  </to>
                </anchor>
              </controlPr>
            </control>
          </mc:Choice>
        </mc:AlternateContent>
        <mc:AlternateContent xmlns:mc="http://schemas.openxmlformats.org/markup-compatibility/2006">
          <mc:Choice Requires="x14">
            <control shapeId="145413" r:id="rId8" name="Check Box 5">
              <controlPr defaultSize="0" autoFill="0" autoLine="0" autoPict="0" macro="[0]!CheckBox1_Click" altText="">
                <anchor>
                  <from>
                    <xdr:col>22</xdr:col>
                    <xdr:colOff>104775</xdr:colOff>
                    <xdr:row>42</xdr:row>
                    <xdr:rowOff>152400</xdr:rowOff>
                  </from>
                  <to>
                    <xdr:col>35</xdr:col>
                    <xdr:colOff>76200</xdr:colOff>
                    <xdr:row>44</xdr:row>
                    <xdr:rowOff>9525</xdr:rowOff>
                  </to>
                </anchor>
              </controlPr>
            </control>
          </mc:Choice>
        </mc:AlternateContent>
        <mc:AlternateContent xmlns:mc="http://schemas.openxmlformats.org/markup-compatibility/2006">
          <mc:Choice Requires="x14">
            <control shapeId="145414" r:id="rId9" name="Check Box 6">
              <controlPr defaultSize="0" autoFill="0" autoLine="0" autoPict="0" macro="[0]!CheckBox1_Click" altText="">
                <anchor>
                  <from>
                    <xdr:col>22</xdr:col>
                    <xdr:colOff>104775</xdr:colOff>
                    <xdr:row>43</xdr:row>
                    <xdr:rowOff>152400</xdr:rowOff>
                  </from>
                  <to>
                    <xdr:col>35</xdr:col>
                    <xdr:colOff>76200</xdr:colOff>
                    <xdr:row>45</xdr:row>
                    <xdr:rowOff>9525</xdr:rowOff>
                  </to>
                </anchor>
              </controlPr>
            </control>
          </mc:Choice>
        </mc:AlternateContent>
        <mc:AlternateContent xmlns:mc="http://schemas.openxmlformats.org/markup-compatibility/2006">
          <mc:Choice Requires="x14">
            <control shapeId="145415" r:id="rId10" name="Check Box 7">
              <controlPr defaultSize="0" autoFill="0" autoLine="0" autoPict="0" macro="[0]!CheckBox1_Click" altText="">
                <anchor>
                  <from>
                    <xdr:col>22</xdr:col>
                    <xdr:colOff>104775</xdr:colOff>
                    <xdr:row>44</xdr:row>
                    <xdr:rowOff>152400</xdr:rowOff>
                  </from>
                  <to>
                    <xdr:col>35</xdr:col>
                    <xdr:colOff>76200</xdr:colOff>
                    <xdr:row>46</xdr:row>
                    <xdr:rowOff>9525</xdr:rowOff>
                  </to>
                </anchor>
              </controlPr>
            </control>
          </mc:Choice>
        </mc:AlternateContent>
        <mc:AlternateContent xmlns:mc="http://schemas.openxmlformats.org/markup-compatibility/2006">
          <mc:Choice Requires="x14">
            <control shapeId="145416" r:id="rId11" name="Check Box 8">
              <controlPr defaultSize="0" autoFill="0" autoLine="0" autoPict="0" macro="[0]!CheckBox1_Click" altText="">
                <anchor>
                  <from>
                    <xdr:col>22</xdr:col>
                    <xdr:colOff>104775</xdr:colOff>
                    <xdr:row>45</xdr:row>
                    <xdr:rowOff>152400</xdr:rowOff>
                  </from>
                  <to>
                    <xdr:col>35</xdr:col>
                    <xdr:colOff>76200</xdr:colOff>
                    <xdr:row>47</xdr:row>
                    <xdr:rowOff>9525</xdr:rowOff>
                  </to>
                </anchor>
              </controlPr>
            </control>
          </mc:Choice>
        </mc:AlternateContent>
        <mc:AlternateContent xmlns:mc="http://schemas.openxmlformats.org/markup-compatibility/2006">
          <mc:Choice Requires="x14">
            <control shapeId="145417" r:id="rId12" name="Check Box 9">
              <controlPr defaultSize="0" autoFill="0" autoLine="0" autoPict="0" macro="[0]!CheckBox1_Click" altText="">
                <anchor>
                  <from>
                    <xdr:col>22</xdr:col>
                    <xdr:colOff>104775</xdr:colOff>
                    <xdr:row>46</xdr:row>
                    <xdr:rowOff>152400</xdr:rowOff>
                  </from>
                  <to>
                    <xdr:col>35</xdr:col>
                    <xdr:colOff>76200</xdr:colOff>
                    <xdr:row>48</xdr:row>
                    <xdr:rowOff>9525</xdr:rowOff>
                  </to>
                </anchor>
              </controlPr>
            </control>
          </mc:Choice>
        </mc:AlternateContent>
        <mc:AlternateContent xmlns:mc="http://schemas.openxmlformats.org/markup-compatibility/2006">
          <mc:Choice Requires="x14">
            <control shapeId="145418" r:id="rId13" name="Check Box 10">
              <controlPr defaultSize="0" autoFill="0" autoLine="0" autoPict="0" macro="[0]!CheckBox1_Click" altText="">
                <anchor>
                  <from>
                    <xdr:col>22</xdr:col>
                    <xdr:colOff>104775</xdr:colOff>
                    <xdr:row>47</xdr:row>
                    <xdr:rowOff>152400</xdr:rowOff>
                  </from>
                  <to>
                    <xdr:col>35</xdr:col>
                    <xdr:colOff>76200</xdr:colOff>
                    <xdr:row>49</xdr:row>
                    <xdr:rowOff>9525</xdr:rowOff>
                  </to>
                </anchor>
              </controlPr>
            </control>
          </mc:Choice>
        </mc:AlternateContent>
        <mc:AlternateContent xmlns:mc="http://schemas.openxmlformats.org/markup-compatibility/2006">
          <mc:Choice Requires="x14">
            <control shapeId="145419" r:id="rId14" name="Check Box 11">
              <controlPr defaultSize="0" autoFill="0" autoLine="0" autoPict="0" macro="[0]!CheckBox1_Click" altText="">
                <anchor>
                  <from>
                    <xdr:col>22</xdr:col>
                    <xdr:colOff>104775</xdr:colOff>
                    <xdr:row>48</xdr:row>
                    <xdr:rowOff>152400</xdr:rowOff>
                  </from>
                  <to>
                    <xdr:col>35</xdr:col>
                    <xdr:colOff>76200</xdr:colOff>
                    <xdr:row>50</xdr:row>
                    <xdr:rowOff>9525</xdr:rowOff>
                  </to>
                </anchor>
              </controlPr>
            </control>
          </mc:Choice>
        </mc:AlternateContent>
        <mc:AlternateContent xmlns:mc="http://schemas.openxmlformats.org/markup-compatibility/2006">
          <mc:Choice Requires="x14">
            <control shapeId="145420" r:id="rId15" name="Check Box 12">
              <controlPr defaultSize="0" autoFill="0" autoLine="0" autoPict="0" macro="[0]!CheckBox1_Click" altText="">
                <anchor>
                  <from>
                    <xdr:col>22</xdr:col>
                    <xdr:colOff>104775</xdr:colOff>
                    <xdr:row>49</xdr:row>
                    <xdr:rowOff>152400</xdr:rowOff>
                  </from>
                  <to>
                    <xdr:col>35</xdr:col>
                    <xdr:colOff>76200</xdr:colOff>
                    <xdr:row>51</xdr:row>
                    <xdr:rowOff>9525</xdr:rowOff>
                  </to>
                </anchor>
              </controlPr>
            </control>
          </mc:Choice>
        </mc:AlternateContent>
        <mc:AlternateContent xmlns:mc="http://schemas.openxmlformats.org/markup-compatibility/2006">
          <mc:Choice Requires="x14">
            <control shapeId="145421" r:id="rId16" name="Check Box 13">
              <controlPr defaultSize="0" autoFill="0" autoLine="0" autoPict="0" macro="[0]!CheckBox1_Click" altText="">
                <anchor>
                  <from>
                    <xdr:col>22</xdr:col>
                    <xdr:colOff>104775</xdr:colOff>
                    <xdr:row>50</xdr:row>
                    <xdr:rowOff>152400</xdr:rowOff>
                  </from>
                  <to>
                    <xdr:col>35</xdr:col>
                    <xdr:colOff>76200</xdr:colOff>
                    <xdr:row>52</xdr:row>
                    <xdr:rowOff>9525</xdr:rowOff>
                  </to>
                </anchor>
              </controlPr>
            </control>
          </mc:Choice>
        </mc:AlternateContent>
        <mc:AlternateContent xmlns:mc="http://schemas.openxmlformats.org/markup-compatibility/2006">
          <mc:Choice Requires="x14">
            <control shapeId="145422" r:id="rId17" name="Check Box 14">
              <controlPr defaultSize="0" autoFill="0" autoLine="0" autoPict="0" macro="[0]!CheckBox1_Click" altText="">
                <anchor>
                  <from>
                    <xdr:col>22</xdr:col>
                    <xdr:colOff>104775</xdr:colOff>
                    <xdr:row>51</xdr:row>
                    <xdr:rowOff>152400</xdr:rowOff>
                  </from>
                  <to>
                    <xdr:col>35</xdr:col>
                    <xdr:colOff>76200</xdr:colOff>
                    <xdr:row>53</xdr:row>
                    <xdr:rowOff>9525</xdr:rowOff>
                  </to>
                </anchor>
              </controlPr>
            </control>
          </mc:Choice>
        </mc:AlternateContent>
        <mc:AlternateContent xmlns:mc="http://schemas.openxmlformats.org/markup-compatibility/2006">
          <mc:Choice Requires="x14">
            <control shapeId="145423" r:id="rId18" name="Check Box 15">
              <controlPr defaultSize="0" autoFill="0" autoLine="0" autoPict="0" macro="[0]!CheckBox1_Click" altText="">
                <anchor>
                  <from>
                    <xdr:col>22</xdr:col>
                    <xdr:colOff>104775</xdr:colOff>
                    <xdr:row>52</xdr:row>
                    <xdr:rowOff>152400</xdr:rowOff>
                  </from>
                  <to>
                    <xdr:col>35</xdr:col>
                    <xdr:colOff>76200</xdr:colOff>
                    <xdr:row>54</xdr:row>
                    <xdr:rowOff>9525</xdr:rowOff>
                  </to>
                </anchor>
              </controlPr>
            </control>
          </mc:Choice>
        </mc:AlternateContent>
        <mc:AlternateContent xmlns:mc="http://schemas.openxmlformats.org/markup-compatibility/2006">
          <mc:Choice Requires="x14">
            <control shapeId="145424" r:id="rId19" name="Check Box 16">
              <controlPr defaultSize="0" autoFill="0" autoLine="0" autoPict="0" macro="[0]!CheckBox1_Click" altText="">
                <anchor>
                  <from>
                    <xdr:col>22</xdr:col>
                    <xdr:colOff>104775</xdr:colOff>
                    <xdr:row>53</xdr:row>
                    <xdr:rowOff>152400</xdr:rowOff>
                  </from>
                  <to>
                    <xdr:col>35</xdr:col>
                    <xdr:colOff>76200</xdr:colOff>
                    <xdr:row>55</xdr:row>
                    <xdr:rowOff>9525</xdr:rowOff>
                  </to>
                </anchor>
              </controlPr>
            </control>
          </mc:Choice>
        </mc:AlternateContent>
        <mc:AlternateContent xmlns:mc="http://schemas.openxmlformats.org/markup-compatibility/2006">
          <mc:Choice Requires="x14">
            <control shapeId="145425" r:id="rId20" name="Check Box 17">
              <controlPr defaultSize="0" autoFill="0" autoLine="0" autoPict="0" macro="[0]!CheckBox1_Click" altText="">
                <anchor>
                  <from>
                    <xdr:col>22</xdr:col>
                    <xdr:colOff>104775</xdr:colOff>
                    <xdr:row>56</xdr:row>
                    <xdr:rowOff>152400</xdr:rowOff>
                  </from>
                  <to>
                    <xdr:col>35</xdr:col>
                    <xdr:colOff>76200</xdr:colOff>
                    <xdr:row>58</xdr:row>
                    <xdr:rowOff>9525</xdr:rowOff>
                  </to>
                </anchor>
              </controlPr>
            </control>
          </mc:Choice>
        </mc:AlternateContent>
        <mc:AlternateContent xmlns:mc="http://schemas.openxmlformats.org/markup-compatibility/2006">
          <mc:Choice Requires="x14">
            <control shapeId="145426" r:id="rId21" name="Check Box 18">
              <controlPr defaultSize="0" autoFill="0" autoLine="0" autoPict="0" macro="[0]!CheckBox1_Click" altText="">
                <anchor>
                  <from>
                    <xdr:col>22</xdr:col>
                    <xdr:colOff>104775</xdr:colOff>
                    <xdr:row>57</xdr:row>
                    <xdr:rowOff>152400</xdr:rowOff>
                  </from>
                  <to>
                    <xdr:col>35</xdr:col>
                    <xdr:colOff>76200</xdr:colOff>
                    <xdr:row>59</xdr:row>
                    <xdr:rowOff>9525</xdr:rowOff>
                  </to>
                </anchor>
              </controlPr>
            </control>
          </mc:Choice>
        </mc:AlternateContent>
        <mc:AlternateContent xmlns:mc="http://schemas.openxmlformats.org/markup-compatibility/2006">
          <mc:Choice Requires="x14">
            <control shapeId="145427" r:id="rId22" name="Check Box 19">
              <controlPr defaultSize="0" autoFill="0" autoLine="0" autoPict="0" macro="[0]!CheckBox1_Click" altText="">
                <anchor>
                  <from>
                    <xdr:col>22</xdr:col>
                    <xdr:colOff>104775</xdr:colOff>
                    <xdr:row>58</xdr:row>
                    <xdr:rowOff>152400</xdr:rowOff>
                  </from>
                  <to>
                    <xdr:col>35</xdr:col>
                    <xdr:colOff>76200</xdr:colOff>
                    <xdr:row>60</xdr:row>
                    <xdr:rowOff>9525</xdr:rowOff>
                  </to>
                </anchor>
              </controlPr>
            </control>
          </mc:Choice>
        </mc:AlternateContent>
        <mc:AlternateContent xmlns:mc="http://schemas.openxmlformats.org/markup-compatibility/2006">
          <mc:Choice Requires="x14">
            <control shapeId="145428" r:id="rId23" name="Check Box 20">
              <controlPr defaultSize="0" autoFill="0" autoLine="0" autoPict="0" macro="[0]!CheckBox1_Click" altText="">
                <anchor>
                  <from>
                    <xdr:col>22</xdr:col>
                    <xdr:colOff>104775</xdr:colOff>
                    <xdr:row>59</xdr:row>
                    <xdr:rowOff>152400</xdr:rowOff>
                  </from>
                  <to>
                    <xdr:col>35</xdr:col>
                    <xdr:colOff>76200</xdr:colOff>
                    <xdr:row>61</xdr:row>
                    <xdr:rowOff>9525</xdr:rowOff>
                  </to>
                </anchor>
              </controlPr>
            </control>
          </mc:Choice>
        </mc:AlternateContent>
        <mc:AlternateContent xmlns:mc="http://schemas.openxmlformats.org/markup-compatibility/2006">
          <mc:Choice Requires="x14">
            <control shapeId="145429" r:id="rId24" name="Check Box 21">
              <controlPr defaultSize="0" autoFill="0" autoLine="0" autoPict="0" macro="[0]!CheckBox1_Click" altText="">
                <anchor>
                  <from>
                    <xdr:col>22</xdr:col>
                    <xdr:colOff>104775</xdr:colOff>
                    <xdr:row>60</xdr:row>
                    <xdr:rowOff>152400</xdr:rowOff>
                  </from>
                  <to>
                    <xdr:col>35</xdr:col>
                    <xdr:colOff>76200</xdr:colOff>
                    <xdr:row>62</xdr:row>
                    <xdr:rowOff>9525</xdr:rowOff>
                  </to>
                </anchor>
              </controlPr>
            </control>
          </mc:Choice>
        </mc:AlternateContent>
        <mc:AlternateContent xmlns:mc="http://schemas.openxmlformats.org/markup-compatibility/2006">
          <mc:Choice Requires="x14">
            <control shapeId="145430" r:id="rId25" name="Check Box 22">
              <controlPr defaultSize="0" autoFill="0" autoLine="0" autoPict="0" macro="[0]!CheckBox1_Click" altText="">
                <anchor>
                  <from>
                    <xdr:col>22</xdr:col>
                    <xdr:colOff>104775</xdr:colOff>
                    <xdr:row>54</xdr:row>
                    <xdr:rowOff>152400</xdr:rowOff>
                  </from>
                  <to>
                    <xdr:col>35</xdr:col>
                    <xdr:colOff>76200</xdr:colOff>
                    <xdr:row>56</xdr:row>
                    <xdr:rowOff>9525</xdr:rowOff>
                  </to>
                </anchor>
              </controlPr>
            </control>
          </mc:Choice>
        </mc:AlternateContent>
        <mc:AlternateContent xmlns:mc="http://schemas.openxmlformats.org/markup-compatibility/2006">
          <mc:Choice Requires="x14">
            <control shapeId="145431" r:id="rId26" name="Check Box 23">
              <controlPr defaultSize="0" autoFill="0" autoLine="0" autoPict="0" macro="[0]!CheckBox1_Click" altText="">
                <anchor>
                  <from>
                    <xdr:col>22</xdr:col>
                    <xdr:colOff>104775</xdr:colOff>
                    <xdr:row>55</xdr:row>
                    <xdr:rowOff>152400</xdr:rowOff>
                  </from>
                  <to>
                    <xdr:col>35</xdr:col>
                    <xdr:colOff>76200</xdr:colOff>
                    <xdr:row>57</xdr:row>
                    <xdr:rowOff>9525</xdr:rowOff>
                  </to>
                </anchor>
              </controlPr>
            </control>
          </mc:Choice>
        </mc:AlternateContent>
        <mc:AlternateContent xmlns:mc="http://schemas.openxmlformats.org/markup-compatibility/2006">
          <mc:Choice Requires="x14">
            <control shapeId="145432" r:id="rId27" name="Check Box 24">
              <controlPr defaultSize="0" autoFill="0" autoLine="0" autoPict="0" macro="[0]!CheckBox1_Click" altText="">
                <anchor>
                  <from>
                    <xdr:col>22</xdr:col>
                    <xdr:colOff>104775</xdr:colOff>
                    <xdr:row>61</xdr:row>
                    <xdr:rowOff>152400</xdr:rowOff>
                  </from>
                  <to>
                    <xdr:col>35</xdr:col>
                    <xdr:colOff>76200</xdr:colOff>
                    <xdr:row>63</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239AC5EE-25CC-4B9C-A11C-4FB96A3E4C99}">
            <x14:dataBar minLength="0" maxLength="100" gradient="0" negativeBarColorSameAsPositive="1" axisPosition="middle">
              <x14:cfvo type="autoMin"/>
              <x14:cfvo type="autoMax"/>
              <x14:axisColor theme="0" tint="-0.499984740745262"/>
            </x14:dataBar>
          </x14:cfRule>
          <xm:sqref>J10:J32</xm:sqref>
        </x14:conditionalFormatting>
        <x14:conditionalFormatting xmlns:xm="http://schemas.microsoft.com/office/excel/2006/main">
          <x14:cfRule type="dataBar" id="{E9F4D461-C12D-40A1-A7E6-CA4B33F024A8}">
            <x14:dataBar minLength="0" maxLength="100" gradient="0" negativeBarColorSameAsPositive="1">
              <x14:cfvo type="autoMin"/>
              <x14:cfvo type="autoMax"/>
              <x14:axisColor rgb="FF000000"/>
            </x14:dataBar>
          </x14:cfRule>
          <xm:sqref>Q10:Q32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8">
    <tabColor rgb="FFFFC000"/>
  </sheetPr>
  <dimension ref="A1:BD310"/>
  <sheetViews>
    <sheetView showRowColHeaders="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9" width="7.42578125" style="74" customWidth="1"/>
    <col min="10" max="10" width="7.42578125" style="88" customWidth="1"/>
    <col min="11" max="11" width="1.42578125" style="88" customWidth="1"/>
    <col min="12" max="18" width="7.42578125" style="74" customWidth="1"/>
    <col min="19" max="19" width="1.42578125" style="74" customWidth="1"/>
    <col min="20" max="20" width="8" style="74" customWidth="1"/>
    <col min="21" max="21" width="2.140625" style="74" customWidth="1"/>
    <col min="22" max="22" width="6.42578125" style="80" customWidth="1"/>
    <col min="23" max="23" width="4.85546875" style="80" customWidth="1"/>
    <col min="24" max="24" width="18.5703125" style="81" hidden="1" customWidth="1"/>
    <col min="25" max="25" width="9.140625" style="81" hidden="1" customWidth="1"/>
    <col min="26" max="26" width="17.42578125" style="81" hidden="1" customWidth="1"/>
    <col min="27" max="28" width="9.140625" style="81" hidden="1" customWidth="1"/>
    <col min="29" max="29" width="6.5703125" style="81" hidden="1" customWidth="1"/>
    <col min="30" max="34" width="9.42578125" style="81" hidden="1" customWidth="1"/>
    <col min="35" max="35" width="5.5703125" style="74" hidden="1" customWidth="1"/>
    <col min="36" max="36" width="31.5703125" style="74" customWidth="1"/>
    <col min="37" max="37" width="17" style="74" hidden="1" customWidth="1"/>
    <col min="38" max="38" width="24.42578125" style="74" hidden="1" customWidth="1"/>
    <col min="39" max="42" width="8.42578125" style="74" hidden="1" customWidth="1"/>
    <col min="43" max="56" width="9.140625" style="74" hidden="1" customWidth="1"/>
    <col min="57" max="57" width="9.140625" style="74" customWidth="1"/>
    <col min="58" max="16384" width="9.140625" style="74"/>
  </cols>
  <sheetData>
    <row r="1" spans="1:45" ht="18.75" customHeight="1" thickBot="1" x14ac:dyDescent="0.25">
      <c r="A1" s="112"/>
      <c r="B1" s="113"/>
      <c r="C1" s="113"/>
      <c r="D1" s="113"/>
      <c r="E1" s="113"/>
      <c r="F1" s="113"/>
      <c r="G1" s="113"/>
      <c r="H1" s="113"/>
      <c r="I1" s="113"/>
      <c r="J1" s="114"/>
      <c r="K1" s="114"/>
      <c r="L1" s="113"/>
      <c r="M1" s="113"/>
      <c r="N1" s="113"/>
      <c r="O1" s="113"/>
      <c r="P1" s="113"/>
      <c r="Q1" s="113"/>
      <c r="R1" s="113"/>
      <c r="S1" s="113"/>
      <c r="T1" s="113"/>
      <c r="U1" s="115"/>
      <c r="V1" s="275"/>
      <c r="W1" s="155"/>
      <c r="X1" s="180">
        <v>1</v>
      </c>
      <c r="Y1" s="180"/>
      <c r="Z1" s="939" t="str">
        <f>IF(Sheet1!$C$3="Annual"," the year ending 31st March"," the quarter")</f>
        <v xml:space="preserve"> the year ending 31st March</v>
      </c>
      <c r="AA1" s="180"/>
      <c r="AB1" s="180"/>
      <c r="AC1" s="180"/>
      <c r="AD1" s="180"/>
      <c r="AE1" s="180"/>
      <c r="AF1" s="180"/>
      <c r="AG1" s="180"/>
      <c r="AH1" s="180"/>
      <c r="AI1" s="181"/>
      <c r="AJ1" s="156"/>
    </row>
    <row r="2" spans="1:45" ht="18.75" customHeight="1" x14ac:dyDescent="0.2">
      <c r="A2" s="278"/>
      <c r="B2" s="128" t="s">
        <v>191</v>
      </c>
      <c r="C2" s="9"/>
      <c r="D2" s="9"/>
      <c r="E2" s="9"/>
      <c r="F2" s="9"/>
      <c r="G2" s="9"/>
      <c r="H2" s="9"/>
      <c r="I2" s="9"/>
      <c r="J2" s="12"/>
      <c r="K2" s="12"/>
      <c r="L2" s="9"/>
      <c r="M2" s="9"/>
      <c r="N2" s="9"/>
      <c r="O2" s="9"/>
      <c r="P2" s="9"/>
      <c r="Q2" s="9"/>
      <c r="R2" s="9"/>
      <c r="S2" s="9"/>
      <c r="T2" s="9"/>
      <c r="U2" s="117"/>
      <c r="V2" s="161"/>
      <c r="W2" s="150"/>
      <c r="Z2" s="800" t="str">
        <f>IF(Sheet1!$C$3="Annual","",Sheet1!D28)</f>
        <v/>
      </c>
      <c r="AA2" s="801" t="str">
        <f>IF(Sheet1!$C$3="Annual","",Sheet1!E28)</f>
        <v/>
      </c>
      <c r="AB2" s="801" t="str">
        <f>IF(Sheet1!$C$3="Annual","",Sheet1!F28)</f>
        <v/>
      </c>
      <c r="AC2" s="801" t="str">
        <f>IF(Sheet1!$C$3="Annual","",Sheet1!G28)</f>
        <v/>
      </c>
      <c r="AD2" s="802" t="str">
        <f>IF(Sheet1!$C$3="Annual","",Sheet1!H28)</f>
        <v/>
      </c>
      <c r="AI2" s="184"/>
      <c r="AJ2" s="157"/>
    </row>
    <row r="3" spans="1:45" ht="18.600000000000001" customHeight="1" thickBot="1" x14ac:dyDescent="0.25">
      <c r="A3" s="457"/>
      <c r="B3" s="458"/>
      <c r="C3" s="458"/>
      <c r="D3" s="458"/>
      <c r="E3" s="458"/>
      <c r="F3" s="458"/>
      <c r="G3" s="458"/>
      <c r="H3" s="458"/>
      <c r="I3" s="553"/>
      <c r="J3" s="819"/>
      <c r="K3" s="459"/>
      <c r="L3" s="458"/>
      <c r="M3" s="458"/>
      <c r="N3" s="458"/>
      <c r="O3" s="458"/>
      <c r="P3" s="458"/>
      <c r="Q3" s="458"/>
      <c r="R3" s="458"/>
      <c r="S3" s="458"/>
      <c r="T3" s="458"/>
      <c r="U3" s="460"/>
      <c r="V3" s="161"/>
      <c r="W3" s="150"/>
      <c r="Z3" s="803" t="str">
        <f>Sheet1!$D$27</f>
        <v>2015-16</v>
      </c>
      <c r="AA3" s="804" t="str">
        <f>Sheet1!$E$27</f>
        <v>2016-17</v>
      </c>
      <c r="AB3" s="804" t="str">
        <f>Sheet1!$F$27</f>
        <v>2017-18</v>
      </c>
      <c r="AC3" s="804" t="str">
        <f>Sheet1!$G$27</f>
        <v>2018-19</v>
      </c>
      <c r="AD3" s="805" t="str">
        <f>Sheet1!$H$27</f>
        <v>2019-20</v>
      </c>
      <c r="AI3" s="184"/>
      <c r="AJ3" s="157"/>
    </row>
    <row r="4" spans="1:45" ht="11.1" customHeight="1" x14ac:dyDescent="0.2">
      <c r="A4" s="112"/>
      <c r="B4" s="113"/>
      <c r="C4" s="113"/>
      <c r="D4" s="113"/>
      <c r="E4" s="113"/>
      <c r="F4" s="113"/>
      <c r="G4" s="113"/>
      <c r="H4" s="113"/>
      <c r="I4" s="113"/>
      <c r="J4" s="114"/>
      <c r="K4" s="114"/>
      <c r="L4" s="113"/>
      <c r="M4" s="113"/>
      <c r="N4" s="113"/>
      <c r="O4" s="113"/>
      <c r="P4" s="113"/>
      <c r="Q4" s="113"/>
      <c r="R4" s="113"/>
      <c r="S4" s="113"/>
      <c r="T4" s="113"/>
      <c r="U4" s="115"/>
      <c r="V4" s="137"/>
      <c r="W4" s="150"/>
      <c r="Y4" s="186" t="str">
        <f>Home!$D$10</f>
        <v>(none)</v>
      </c>
      <c r="Z4" s="799" t="str">
        <f>"Selected LA- "&amp;Y4</f>
        <v>Selected LA- (none)</v>
      </c>
      <c r="AI4" s="184"/>
      <c r="AJ4" s="157"/>
    </row>
    <row r="5" spans="1:45" s="76" customFormat="1" ht="15" customHeight="1" x14ac:dyDescent="0.2">
      <c r="A5" s="461"/>
      <c r="B5" s="1746" t="str">
        <f>"Early Help Referrals (Children) received in"&amp;Z1</f>
        <v>Early Help Referrals (Children) received in the year ending 31st March</v>
      </c>
      <c r="C5" s="1746"/>
      <c r="D5" s="1746"/>
      <c r="E5" s="1746"/>
      <c r="F5" s="1746"/>
      <c r="G5" s="1746"/>
      <c r="H5" s="1746"/>
      <c r="I5" s="1746"/>
      <c r="J5" s="1746"/>
      <c r="K5" s="1746"/>
      <c r="L5" s="1746"/>
      <c r="M5" s="1746"/>
      <c r="N5" s="1746"/>
      <c r="O5" s="1746"/>
      <c r="P5" s="1746"/>
      <c r="Q5" s="1746"/>
      <c r="R5" s="1746"/>
      <c r="S5" s="1746"/>
      <c r="T5" s="1746"/>
      <c r="U5" s="120"/>
      <c r="V5" s="138"/>
      <c r="W5" s="151"/>
      <c r="X5" s="81"/>
      <c r="Y5" s="188"/>
      <c r="Z5" s="188"/>
      <c r="AA5" s="188"/>
      <c r="AB5" s="188"/>
      <c r="AC5" s="188"/>
      <c r="AD5" s="188"/>
      <c r="AE5" s="188"/>
      <c r="AF5" s="188"/>
      <c r="AG5" s="188"/>
      <c r="AH5" s="188"/>
      <c r="AI5" s="188"/>
      <c r="AJ5" s="158"/>
      <c r="AK5" s="854" t="s">
        <v>675</v>
      </c>
    </row>
    <row r="6" spans="1:45" ht="13.5" customHeight="1" x14ac:dyDescent="0.2">
      <c r="A6" s="278"/>
      <c r="B6" s="1746"/>
      <c r="C6" s="1746"/>
      <c r="D6" s="1746"/>
      <c r="E6" s="1746"/>
      <c r="F6" s="1746"/>
      <c r="G6" s="1746"/>
      <c r="H6" s="1746"/>
      <c r="I6" s="1746"/>
      <c r="J6" s="1746"/>
      <c r="K6" s="1746"/>
      <c r="L6" s="1746"/>
      <c r="M6" s="1746"/>
      <c r="N6" s="1746"/>
      <c r="O6" s="1746"/>
      <c r="P6" s="1746"/>
      <c r="Q6" s="1746"/>
      <c r="R6" s="1746"/>
      <c r="S6" s="1746"/>
      <c r="T6" s="1746"/>
      <c r="U6" s="117"/>
      <c r="V6" s="137"/>
      <c r="W6" s="150"/>
      <c r="Y6" s="190"/>
      <c r="AI6" s="184"/>
      <c r="AJ6" s="157"/>
    </row>
    <row r="7" spans="1:45" s="87" customFormat="1" ht="12.6" customHeight="1" x14ac:dyDescent="0.2">
      <c r="A7" s="292"/>
      <c r="B7" s="1737" t="s">
        <v>205</v>
      </c>
      <c r="C7" s="85"/>
      <c r="D7" s="1757" t="s">
        <v>88</v>
      </c>
      <c r="E7" s="1758"/>
      <c r="F7" s="1758"/>
      <c r="G7" s="1758"/>
      <c r="H7" s="1759"/>
      <c r="I7" s="1752" t="str">
        <f>"Average "&amp;Sheet1!C3&amp;" Change "</f>
        <v xml:space="preserve">Average Annual Change </v>
      </c>
      <c r="J7" s="1753"/>
      <c r="K7" s="96"/>
      <c r="L7" s="1757" t="s">
        <v>89</v>
      </c>
      <c r="M7" s="1758"/>
      <c r="N7" s="1758"/>
      <c r="O7" s="1758"/>
      <c r="P7" s="1758"/>
      <c r="Q7" s="1758"/>
      <c r="R7" s="1759"/>
      <c r="S7" s="85"/>
      <c r="T7" s="1731" t="s">
        <v>1213</v>
      </c>
      <c r="U7" s="122"/>
      <c r="V7" s="139"/>
      <c r="W7" s="152"/>
      <c r="X7" s="202"/>
      <c r="Y7" s="202"/>
      <c r="AA7" s="203" t="s">
        <v>79</v>
      </c>
      <c r="AB7" s="190"/>
      <c r="AC7" s="190"/>
      <c r="AD7" s="199"/>
      <c r="AE7" s="199"/>
      <c r="AF7" s="204" t="s">
        <v>94</v>
      </c>
      <c r="AG7" s="190"/>
      <c r="AH7" s="190"/>
      <c r="AI7" s="202"/>
      <c r="AJ7" s="160"/>
      <c r="AK7" s="575"/>
      <c r="AL7" s="575"/>
      <c r="AM7" s="575"/>
      <c r="AN7" s="575"/>
      <c r="AO7" s="575"/>
    </row>
    <row r="8" spans="1:45" s="87" customFormat="1" ht="12.6" customHeight="1" x14ac:dyDescent="0.2">
      <c r="A8" s="292"/>
      <c r="B8" s="1737"/>
      <c r="C8" s="85"/>
      <c r="D8" s="789" t="str">
        <f>Sheet1!$D$27</f>
        <v>2015-16</v>
      </c>
      <c r="E8" s="790" t="str">
        <f>Sheet1!$E$27</f>
        <v>2016-17</v>
      </c>
      <c r="F8" s="790" t="str">
        <f>Sheet1!$F$27</f>
        <v>2017-18</v>
      </c>
      <c r="G8" s="790" t="str">
        <f>Sheet1!$G$27</f>
        <v>2018-19</v>
      </c>
      <c r="H8" s="843" t="str">
        <f>Sheet1!$H$27</f>
        <v>2019-20</v>
      </c>
      <c r="I8" s="1754"/>
      <c r="J8" s="1755"/>
      <c r="K8" s="96"/>
      <c r="L8" s="789" t="str">
        <f>Sheet1!$D$27</f>
        <v>2015-16</v>
      </c>
      <c r="M8" s="790" t="str">
        <f>Sheet1!$E$27</f>
        <v>2016-17</v>
      </c>
      <c r="N8" s="790" t="str">
        <f>Sheet1!$F$27</f>
        <v>2017-18</v>
      </c>
      <c r="O8" s="790" t="str">
        <f>Sheet1!$G$27</f>
        <v>2018-19</v>
      </c>
      <c r="P8" s="1741" t="str">
        <f>Sheet1!$H$27</f>
        <v>2019-20</v>
      </c>
      <c r="Q8" s="1780"/>
      <c r="R8" s="1744" t="str">
        <f>IF(ISNA(P9),"SE Rank "&amp;P8,"SE Rank "&amp;P9)</f>
        <v>SE Rank 2019-20</v>
      </c>
      <c r="S8" s="85"/>
      <c r="T8" s="1743"/>
      <c r="U8" s="122"/>
      <c r="V8" s="139"/>
      <c r="W8" s="152"/>
      <c r="X8" s="202"/>
      <c r="Y8" s="1735" t="s">
        <v>76</v>
      </c>
      <c r="Z8" s="1735" t="s">
        <v>77</v>
      </c>
      <c r="AA8" s="43" t="str">
        <f>Sheet1!$D$27</f>
        <v>2015-16</v>
      </c>
      <c r="AB8" s="43" t="str">
        <f>Sheet1!$E$27</f>
        <v>2016-17</v>
      </c>
      <c r="AC8" s="43" t="str">
        <f>Sheet1!$F$27</f>
        <v>2017-18</v>
      </c>
      <c r="AD8" s="43" t="str">
        <f>Sheet1!$G$27</f>
        <v>2018-19</v>
      </c>
      <c r="AE8" s="43" t="str">
        <f>Sheet1!$H$27</f>
        <v>2019-20</v>
      </c>
      <c r="AF8" s="204"/>
      <c r="AG8" s="190"/>
      <c r="AH8" s="190"/>
      <c r="AI8" s="202"/>
      <c r="AJ8" s="160"/>
      <c r="AK8" s="845"/>
      <c r="AL8" s="845"/>
      <c r="AM8" s="845"/>
      <c r="AN8" s="845"/>
      <c r="AO8" s="845"/>
    </row>
    <row r="9" spans="1:45" s="87" customFormat="1" ht="12.6" customHeight="1" x14ac:dyDescent="0.2">
      <c r="A9" s="292"/>
      <c r="B9" s="1779"/>
      <c r="C9" s="85"/>
      <c r="D9" s="792" t="e">
        <f>Sheet1!$D$28</f>
        <v>#N/A</v>
      </c>
      <c r="E9" s="792" t="e">
        <f>Sheet1!$E$28</f>
        <v>#N/A</v>
      </c>
      <c r="F9" s="792" t="e">
        <f>Sheet1!$F$28</f>
        <v>#N/A</v>
      </c>
      <c r="G9" s="792" t="e">
        <f>Sheet1!$G$28</f>
        <v>#N/A</v>
      </c>
      <c r="H9" s="842" t="e">
        <f>Sheet1!$H$28</f>
        <v>#N/A</v>
      </c>
      <c r="I9" s="1754"/>
      <c r="J9" s="1756"/>
      <c r="K9" s="784"/>
      <c r="L9" s="792" t="e">
        <f>Sheet1!$D$28</f>
        <v>#N/A</v>
      </c>
      <c r="M9" s="792" t="e">
        <f>Sheet1!$E$28</f>
        <v>#N/A</v>
      </c>
      <c r="N9" s="792" t="e">
        <f>Sheet1!$F$28</f>
        <v>#N/A</v>
      </c>
      <c r="O9" s="792" t="e">
        <f>Sheet1!$G$28</f>
        <v>#N/A</v>
      </c>
      <c r="P9" s="1739" t="e">
        <f>Sheet1!$H$28</f>
        <v>#N/A</v>
      </c>
      <c r="Q9" s="1781"/>
      <c r="R9" s="1745"/>
      <c r="S9" s="465"/>
      <c r="T9" s="1732"/>
      <c r="U9" s="122"/>
      <c r="V9" s="139"/>
      <c r="W9" s="152"/>
      <c r="X9" s="202"/>
      <c r="Y9" s="1736"/>
      <c r="Z9" s="1736"/>
      <c r="AA9" s="43" t="e">
        <f>Sheet1!$D$28</f>
        <v>#N/A</v>
      </c>
      <c r="AB9" s="43" t="e">
        <f>Sheet1!$E$28</f>
        <v>#N/A</v>
      </c>
      <c r="AC9" s="43" t="e">
        <f>Sheet1!$F$28</f>
        <v>#N/A</v>
      </c>
      <c r="AD9" s="43" t="e">
        <f>Sheet1!$G$28</f>
        <v>#N/A</v>
      </c>
      <c r="AE9" s="43" t="e">
        <f>Sheet1!$H$28</f>
        <v>#N/A</v>
      </c>
      <c r="AF9" s="190"/>
      <c r="AG9" s="190">
        <f>COLUMNS(B$4:P$4)</f>
        <v>15</v>
      </c>
      <c r="AH9" s="190"/>
      <c r="AI9" s="202"/>
      <c r="AJ9" s="160"/>
      <c r="AK9" s="847" t="s">
        <v>676</v>
      </c>
      <c r="AL9" s="847" t="s">
        <v>677</v>
      </c>
      <c r="AM9" s="847" t="s">
        <v>678</v>
      </c>
      <c r="AN9" s="847" t="s">
        <v>679</v>
      </c>
      <c r="AO9" s="847" t="s">
        <v>680</v>
      </c>
    </row>
    <row r="10" spans="1:45" s="87" customFormat="1" ht="13.5" customHeight="1" x14ac:dyDescent="0.2">
      <c r="A10" s="488">
        <f>VLOOKUP(B10,Sheet1!$AQ$4:$AR$25,2,FALSE)</f>
        <v>0</v>
      </c>
      <c r="B10" s="93" t="str">
        <f>Sheet1!$K$4</f>
        <v>Bracknell Forest</v>
      </c>
      <c r="C10" s="85"/>
      <c r="D10" s="94" t="str">
        <f>IF(Year1_Bracknell_Forest Year1_EarlyHelpReferrals="","",Year1_Bracknell_Forest Year1_EarlyHelpReferrals)</f>
        <v/>
      </c>
      <c r="E10" s="94" t="str">
        <f>IF(Year2_Bracknell_Forest Year2_EarlyHelpReferrals="","",Year2_Bracknell_Forest Year2_EarlyHelpReferrals)</f>
        <v/>
      </c>
      <c r="F10" s="94" t="str">
        <f>IF(Year3_Bracknell_Forest Year3_EarlyHelpReferrals="","",Year3_Bracknell_Forest Year3_EarlyHelpReferrals)</f>
        <v/>
      </c>
      <c r="G10" s="94" t="str">
        <f>IF(Year4_Bracknell_Forest Year4_EarlyHelpReferrals="","",Year4_Bracknell_Forest Year4_EarlyHelpReferrals)</f>
        <v/>
      </c>
      <c r="H10" s="95" t="str">
        <f>IF(Year5_Bracknell_Forest Year5_EarlyHelpReferrals="","",Year5_Bracknell_Forest Year5_EarlyHelpReferrals)</f>
        <v/>
      </c>
      <c r="I10" s="860" t="str">
        <f>AO10</f>
        <v/>
      </c>
      <c r="J10" s="863" t="str">
        <f t="shared" ref="J10:J32" si="0">I10</f>
        <v/>
      </c>
      <c r="K10" s="96"/>
      <c r="L10" s="97" t="e">
        <f>IF(ISNUMBER(D10),D10/Population!D10*10000,NA())</f>
        <v>#N/A</v>
      </c>
      <c r="M10" s="97" t="e">
        <f>IF(ISNUMBER(E10),E10/Population!E10*10000,NA())</f>
        <v>#N/A</v>
      </c>
      <c r="N10" s="97" t="e">
        <f>IF(ISNUMBER(F10),F10/Population!F10*10000,NA())</f>
        <v>#N/A</v>
      </c>
      <c r="O10" s="97" t="e">
        <f>IF(ISNUMBER(G10),G10/Population!G10*10000,NA())</f>
        <v>#N/A</v>
      </c>
      <c r="P10" s="97" t="e">
        <f>IF(ISNUMBER(H10),H10/Population!H10*10000,NA())</f>
        <v>#N/A</v>
      </c>
      <c r="Q10" s="99" t="str">
        <f>IF(ISNUMBER(P10),P10,"")</f>
        <v/>
      </c>
      <c r="R10" s="822" t="e">
        <f t="shared" ref="R10:R31" si="1">IF(ISNA(VLOOKUP(B10,$AF$10:$AH$28,3,FALSE)),"--",IF(ISNUMBER(H10),VLOOKUP(B10,$AF$10:$AH$28,3,FALSE),NA()))</f>
        <v>#N/A</v>
      </c>
      <c r="S10" s="85"/>
      <c r="T10" s="99">
        <f>IF(H10&gt;0,IDACI!C9,NA())</f>
        <v>8.9</v>
      </c>
      <c r="U10" s="122"/>
      <c r="V10" s="139"/>
      <c r="W10" s="152"/>
      <c r="X10" s="72" t="str">
        <f>Sheet1!$K$4</f>
        <v>Bracknell Forest</v>
      </c>
      <c r="Y10" s="44">
        <f>IF(ISNUMBER($H10),IDACI!D9,0)</f>
        <v>0</v>
      </c>
      <c r="Z10" s="44">
        <f>IF(ISNUMBER($H10),IDACI!E9,0)</f>
        <v>0</v>
      </c>
      <c r="AA10" s="205" t="str">
        <f>IF(ISNUMBER(D10),Population!D10,"")</f>
        <v/>
      </c>
      <c r="AB10" s="205" t="str">
        <f>IF(ISNUMBER(E10),Population!E10,"")</f>
        <v/>
      </c>
      <c r="AC10" s="205" t="str">
        <f>IF(ISNUMBER(F10),Population!F10,"")</f>
        <v/>
      </c>
      <c r="AD10" s="205" t="str">
        <f>IF(ISNUMBER(G10),Population!G10,"")</f>
        <v/>
      </c>
      <c r="AE10" s="205" t="str">
        <f>IF(ISNUMBER(H10),Population!H10,"")</f>
        <v/>
      </c>
      <c r="AF10" s="93" t="str">
        <f>B10</f>
        <v>Bracknell Forest</v>
      </c>
      <c r="AG10" s="231" t="str">
        <f>IFERROR(VLOOKUP(AF10,$B$10:$P$31,$AG$9,FALSE),"")</f>
        <v/>
      </c>
      <c r="AH10" s="206" t="e">
        <f>RANK(AG10,$AG$10:$AG$28,1)</f>
        <v>#VALUE!</v>
      </c>
      <c r="AI10" s="202"/>
      <c r="AJ10" s="160"/>
      <c r="AK10" s="853" t="str">
        <f>IF(ISERROR((E10-D10)/D10),"x",(E10-D10)/D10)</f>
        <v>x</v>
      </c>
      <c r="AL10" s="853" t="str">
        <f t="shared" ref="AL10:AN10" si="2">IF(ISERROR((F10-E10)/E10),"x",(F10-E10)/E10)</f>
        <v>x</v>
      </c>
      <c r="AM10" s="853" t="str">
        <f t="shared" si="2"/>
        <v>x</v>
      </c>
      <c r="AN10" s="853" t="str">
        <f t="shared" si="2"/>
        <v>x</v>
      </c>
      <c r="AO10" s="853" t="str">
        <f>IF(ISERROR(AVERAGE(AK10:AN10)),"",AVERAGE(AK10:AN10))</f>
        <v/>
      </c>
    </row>
    <row r="11" spans="1:45" s="87" customFormat="1" ht="13.5" customHeight="1" x14ac:dyDescent="0.2">
      <c r="A11" s="488">
        <f>VLOOKUP(B11,Sheet1!$AQ$4:$AR$25,2,FALSE)</f>
        <v>0</v>
      </c>
      <c r="B11" s="93" t="str">
        <f>Sheet1!$K$5</f>
        <v>Brighton &amp; Hove</v>
      </c>
      <c r="C11" s="85"/>
      <c r="D11" s="94" t="str">
        <f>IF(Year1_Brighton_Hove Year1_EarlyHelpReferrals="","",Year1_Brighton_Hove Year1_EarlyHelpReferrals)</f>
        <v/>
      </c>
      <c r="E11" s="94" t="str">
        <f>IF(Year2_Brighton_Hove Year2_EarlyHelpReferrals="","",Year2_Brighton_Hove Year2_EarlyHelpReferrals)</f>
        <v/>
      </c>
      <c r="F11" s="94" t="str">
        <f>IF(Year3_Brighton_Hove Year3_EarlyHelpReferrals="","",Year3_Brighton_Hove Year3_EarlyHelpReferrals)</f>
        <v/>
      </c>
      <c r="G11" s="94" t="str">
        <f>IF(Year4_Brighton_Hove Year4_EarlyHelpReferrals="","",Year4_Brighton_Hove Year4_EarlyHelpReferrals)</f>
        <v/>
      </c>
      <c r="H11" s="95" t="str">
        <f>IF(Year5_Brighton_Hove Year5_EarlyHelpReferrals="","",Year5_Brighton_Hove Year5_EarlyHelpReferrals)</f>
        <v/>
      </c>
      <c r="I11" s="861" t="str">
        <f t="shared" ref="I11:I32" si="3">AO11</f>
        <v/>
      </c>
      <c r="J11" s="863" t="str">
        <f t="shared" si="0"/>
        <v/>
      </c>
      <c r="K11" s="96"/>
      <c r="L11" s="97" t="e">
        <f>IF(ISNUMBER(D11),D11/Population!D11*10000,NA())</f>
        <v>#N/A</v>
      </c>
      <c r="M11" s="97" t="e">
        <f>IF(ISNUMBER(E11),E11/Population!E11*10000,NA())</f>
        <v>#N/A</v>
      </c>
      <c r="N11" s="97" t="e">
        <f>IF(ISNUMBER(F11),F11/Population!F11*10000,NA())</f>
        <v>#N/A</v>
      </c>
      <c r="O11" s="97" t="e">
        <f>IF(ISNUMBER(G11),G11/Population!G11*10000,NA())</f>
        <v>#N/A</v>
      </c>
      <c r="P11" s="97" t="e">
        <f>IF(ISNUMBER(H11),H11/Population!H11*10000,NA())</f>
        <v>#N/A</v>
      </c>
      <c r="Q11" s="99" t="str">
        <f t="shared" ref="Q11:Q32" si="4">IF(ISNUMBER(P11),P11,"")</f>
        <v/>
      </c>
      <c r="R11" s="822" t="e">
        <f t="shared" si="1"/>
        <v>#N/A</v>
      </c>
      <c r="S11" s="85"/>
      <c r="T11" s="99">
        <f>IF(H11&gt;0,IDACI!C10,NA())</f>
        <v>15.299999999999999</v>
      </c>
      <c r="U11" s="122"/>
      <c r="V11" s="139"/>
      <c r="W11" s="152"/>
      <c r="X11" s="72" t="str">
        <f>Sheet1!$K$5</f>
        <v>Brighton &amp; Hove</v>
      </c>
      <c r="Y11" s="44">
        <f>IF(ISNUMBER($H11),IDACI!D10,0)</f>
        <v>0</v>
      </c>
      <c r="Z11" s="44">
        <f>IF(ISNUMBER($H11),IDACI!E10,0)</f>
        <v>0</v>
      </c>
      <c r="AA11" s="205" t="str">
        <f>IF(ISNUMBER(D11),Population!D11,"")</f>
        <v/>
      </c>
      <c r="AB11" s="205" t="str">
        <f>IF(ISNUMBER(E11),Population!E11,"")</f>
        <v/>
      </c>
      <c r="AC11" s="205" t="str">
        <f>IF(ISNUMBER(F11),Population!F11,"")</f>
        <v/>
      </c>
      <c r="AD11" s="205" t="str">
        <f>IF(ISNUMBER(G11),Population!G11,"")</f>
        <v/>
      </c>
      <c r="AE11" s="205" t="str">
        <f>IF(ISNUMBER(H11),Population!H11,"")</f>
        <v/>
      </c>
      <c r="AF11" s="93" t="s">
        <v>31</v>
      </c>
      <c r="AG11" s="231" t="str">
        <f t="shared" ref="AG11:AG28" si="5">IFERROR(VLOOKUP(AF11,$B$10:$P$31,$AG$9,FALSE),"")</f>
        <v/>
      </c>
      <c r="AH11" s="206" t="e">
        <f t="shared" ref="AH11:AH27" si="6">RANK(AG11,$AG$10:$AG$28,1)</f>
        <v>#VALUE!</v>
      </c>
      <c r="AI11" s="202"/>
      <c r="AJ11" s="160"/>
      <c r="AK11" s="853" t="str">
        <f t="shared" ref="AK11:AK31" si="7">IF(ISERROR((E11-D11)/D11),"x",(E11-D11)/D11)</f>
        <v>x</v>
      </c>
      <c r="AL11" s="853" t="str">
        <f t="shared" ref="AL11:AL31" si="8">IF(ISERROR((F11-E11)/E11),"x",(F11-E11)/E11)</f>
        <v>x</v>
      </c>
      <c r="AM11" s="853" t="str">
        <f t="shared" ref="AM11:AM31" si="9">IF(ISERROR((G11-F11)/F11),"x",(G11-F11)/F11)</f>
        <v>x</v>
      </c>
      <c r="AN11" s="853" t="str">
        <f t="shared" ref="AN11:AN31" si="10">IF(ISERROR((H11-G11)/G11),"x",(H11-G11)/G11)</f>
        <v>x</v>
      </c>
      <c r="AO11" s="853" t="str">
        <f t="shared" ref="AO11:AO32" si="11">IF(ISERROR(AVERAGE(AK11:AN11)),"",AVERAGE(AK11:AN11))</f>
        <v/>
      </c>
    </row>
    <row r="12" spans="1:45" s="87" customFormat="1" ht="13.5" customHeight="1" x14ac:dyDescent="0.2">
      <c r="A12" s="488">
        <f>VLOOKUP(B12,Sheet1!$AQ$4:$AR$25,2,FALSE)</f>
        <v>0</v>
      </c>
      <c r="B12" s="93" t="str">
        <f>Sheet1!$K$6</f>
        <v>Buckinghamshire</v>
      </c>
      <c r="C12" s="85"/>
      <c r="D12" s="94" t="str">
        <f>IF(Year1_Buckinghamshire Year1_EarlyHelpReferrals="","",Year1_Buckinghamshire Year1_EarlyHelpReferrals)</f>
        <v/>
      </c>
      <c r="E12" s="94" t="str">
        <f>IF(Year2_Buckinghamshire Year2_EarlyHelpReferrals="","",Year2_Buckinghamshire Year2_EarlyHelpReferrals)</f>
        <v/>
      </c>
      <c r="F12" s="94" t="str">
        <f>IF(Year3_Buckinghamshire Year3_EarlyHelpReferrals="","",Year3_Buckinghamshire Year3_EarlyHelpReferrals)</f>
        <v/>
      </c>
      <c r="G12" s="94" t="str">
        <f>IF(Year4_Buckinghamshire Year4_EarlyHelpReferrals="","",Year4_Buckinghamshire Year4_EarlyHelpReferrals)</f>
        <v/>
      </c>
      <c r="H12" s="95" t="str">
        <f>IF(Year5_Buckinghamshire Year5_EarlyHelpReferrals="","",Year5_Buckinghamshire Year5_EarlyHelpReferrals)</f>
        <v/>
      </c>
      <c r="I12" s="861" t="str">
        <f t="shared" si="3"/>
        <v/>
      </c>
      <c r="J12" s="863" t="str">
        <f t="shared" si="0"/>
        <v/>
      </c>
      <c r="K12" s="96"/>
      <c r="L12" s="97" t="e">
        <f>IF(ISNUMBER(D12),D12/Population!D12*10000,NA())</f>
        <v>#N/A</v>
      </c>
      <c r="M12" s="97" t="e">
        <f>IF(ISNUMBER(E12),E12/Population!E12*10000,NA())</f>
        <v>#N/A</v>
      </c>
      <c r="N12" s="97" t="e">
        <f>IF(ISNUMBER(F12),F12/Population!F12*10000,NA())</f>
        <v>#N/A</v>
      </c>
      <c r="O12" s="97" t="e">
        <f>IF(ISNUMBER(G12),G12/Population!G12*10000,NA())</f>
        <v>#N/A</v>
      </c>
      <c r="P12" s="97" t="e">
        <f>IF(ISNUMBER(H12),H12/Population!H12*10000,NA())</f>
        <v>#N/A</v>
      </c>
      <c r="Q12" s="99" t="str">
        <f t="shared" si="4"/>
        <v/>
      </c>
      <c r="R12" s="822" t="e">
        <f t="shared" si="1"/>
        <v>#N/A</v>
      </c>
      <c r="S12" s="85"/>
      <c r="T12" s="99">
        <f>IF(H12&gt;0,IDACI!C11,NA())</f>
        <v>8.5</v>
      </c>
      <c r="U12" s="122"/>
      <c r="V12" s="139"/>
      <c r="W12" s="152"/>
      <c r="X12" s="72" t="str">
        <f>Sheet1!$K$6</f>
        <v>Buckinghamshire</v>
      </c>
      <c r="Y12" s="44">
        <f>IF(ISNUMBER($H12),IDACI!D11,0)</f>
        <v>0</v>
      </c>
      <c r="Z12" s="44">
        <f>IF(ISNUMBER($H12),IDACI!E11,0)</f>
        <v>0</v>
      </c>
      <c r="AA12" s="205" t="str">
        <f>IF(ISNUMBER(D12),Population!D12,"")</f>
        <v/>
      </c>
      <c r="AB12" s="205" t="str">
        <f>IF(ISNUMBER(E12),Population!E12,"")</f>
        <v/>
      </c>
      <c r="AC12" s="205" t="str">
        <f>IF(ISNUMBER(F12),Population!F12,"")</f>
        <v/>
      </c>
      <c r="AD12" s="205" t="str">
        <f>IF(ISNUMBER(G12),Population!G12,"")</f>
        <v/>
      </c>
      <c r="AE12" s="205" t="str">
        <f>IF(ISNUMBER(H12),Population!H12,"")</f>
        <v/>
      </c>
      <c r="AF12" s="93" t="s">
        <v>8</v>
      </c>
      <c r="AG12" s="231" t="str">
        <f t="shared" si="5"/>
        <v/>
      </c>
      <c r="AH12" s="206" t="e">
        <f t="shared" si="6"/>
        <v>#VALUE!</v>
      </c>
      <c r="AI12" s="202"/>
      <c r="AJ12" s="160"/>
      <c r="AK12" s="853" t="str">
        <f t="shared" si="7"/>
        <v>x</v>
      </c>
      <c r="AL12" s="853" t="str">
        <f t="shared" si="8"/>
        <v>x</v>
      </c>
      <c r="AM12" s="853" t="str">
        <f t="shared" si="9"/>
        <v>x</v>
      </c>
      <c r="AN12" s="853" t="str">
        <f t="shared" si="10"/>
        <v>x</v>
      </c>
      <c r="AO12" s="853" t="str">
        <f t="shared" si="11"/>
        <v/>
      </c>
    </row>
    <row r="13" spans="1:45" s="87" customFormat="1" ht="13.5" customHeight="1" x14ac:dyDescent="0.2">
      <c r="A13" s="488">
        <f>VLOOKUP(B13,Sheet1!$AQ$4:$AR$25,2,FALSE)</f>
        <v>0</v>
      </c>
      <c r="B13" s="93" t="str">
        <f>Sheet1!$K$7</f>
        <v>East Sussex</v>
      </c>
      <c r="C13" s="85"/>
      <c r="D13" s="94" t="str">
        <f>IF(Year1_East_Sussex Year1_EarlyHelpReferrals="","",Year1_East_Sussex Year1_EarlyHelpReferrals)</f>
        <v/>
      </c>
      <c r="E13" s="94" t="str">
        <f>IF(Year2_East_Sussex Year2_EarlyHelpReferrals="","",Year2_East_Sussex Year2_EarlyHelpReferrals)</f>
        <v/>
      </c>
      <c r="F13" s="94" t="str">
        <f>IF(Year3_East_Sussex Year3_EarlyHelpReferrals="","",Year3_East_Sussex Year3_EarlyHelpReferrals)</f>
        <v/>
      </c>
      <c r="G13" s="94" t="str">
        <f>IF(Year4_East_Sussex Year4_EarlyHelpReferrals="","",Year4_East_Sussex Year4_EarlyHelpReferrals)</f>
        <v/>
      </c>
      <c r="H13" s="95" t="str">
        <f>IF(Year5_East_Sussex Year5_EarlyHelpReferrals="","",Year5_East_Sussex Year5_EarlyHelpReferrals)</f>
        <v/>
      </c>
      <c r="I13" s="861" t="str">
        <f t="shared" si="3"/>
        <v/>
      </c>
      <c r="J13" s="863" t="str">
        <f t="shared" si="0"/>
        <v/>
      </c>
      <c r="K13" s="96"/>
      <c r="L13" s="97" t="e">
        <f>IF(ISNUMBER(D13),D13/Population!D13*10000,NA())</f>
        <v>#N/A</v>
      </c>
      <c r="M13" s="97" t="e">
        <f>IF(ISNUMBER(E13),E13/Population!E13*10000,NA())</f>
        <v>#N/A</v>
      </c>
      <c r="N13" s="97" t="e">
        <f>IF(ISNUMBER(F13),F13/Population!F13*10000,NA())</f>
        <v>#N/A</v>
      </c>
      <c r="O13" s="97" t="e">
        <f>IF(ISNUMBER(G13),G13/Population!G13*10000,NA())</f>
        <v>#N/A</v>
      </c>
      <c r="P13" s="97" t="e">
        <f>IF(ISNUMBER(H13),H13/Population!H13*10000,NA())</f>
        <v>#N/A</v>
      </c>
      <c r="Q13" s="99" t="str">
        <f t="shared" si="4"/>
        <v/>
      </c>
      <c r="R13" s="822" t="e">
        <f t="shared" si="1"/>
        <v>#N/A</v>
      </c>
      <c r="S13" s="85"/>
      <c r="T13" s="99">
        <f>IF(H13&gt;0,IDACI!C12,NA())</f>
        <v>16.100000000000001</v>
      </c>
      <c r="U13" s="122"/>
      <c r="V13" s="139"/>
      <c r="W13" s="152"/>
      <c r="X13" s="72" t="str">
        <f>Sheet1!$K$7</f>
        <v>East Sussex</v>
      </c>
      <c r="Y13" s="44">
        <f>IF(ISNUMBER($H13),IDACI!D12,0)</f>
        <v>0</v>
      </c>
      <c r="Z13" s="44">
        <f>IF(ISNUMBER($H13),IDACI!E12,0)</f>
        <v>0</v>
      </c>
      <c r="AA13" s="205" t="str">
        <f>IF(ISNUMBER(D13),Population!D13,"")</f>
        <v/>
      </c>
      <c r="AB13" s="205" t="str">
        <f>IF(ISNUMBER(E13),Population!E13,"")</f>
        <v/>
      </c>
      <c r="AC13" s="205" t="str">
        <f>IF(ISNUMBER(F13),Population!F13,"")</f>
        <v/>
      </c>
      <c r="AD13" s="205" t="str">
        <f>IF(ISNUMBER(G13),Population!G13,"")</f>
        <v/>
      </c>
      <c r="AE13" s="205" t="str">
        <f>IF(ISNUMBER(H13),Population!H13,"")</f>
        <v/>
      </c>
      <c r="AF13" s="93" t="s">
        <v>4</v>
      </c>
      <c r="AG13" s="231" t="str">
        <f t="shared" si="5"/>
        <v/>
      </c>
      <c r="AH13" s="206" t="e">
        <f t="shared" si="6"/>
        <v>#VALUE!</v>
      </c>
      <c r="AI13" s="202"/>
      <c r="AJ13" s="160"/>
      <c r="AK13" s="853" t="str">
        <f t="shared" si="7"/>
        <v>x</v>
      </c>
      <c r="AL13" s="853" t="str">
        <f t="shared" si="8"/>
        <v>x</v>
      </c>
      <c r="AM13" s="853" t="str">
        <f t="shared" si="9"/>
        <v>x</v>
      </c>
      <c r="AN13" s="853" t="str">
        <f t="shared" si="10"/>
        <v>x</v>
      </c>
      <c r="AO13" s="853" t="str">
        <f t="shared" si="11"/>
        <v/>
      </c>
    </row>
    <row r="14" spans="1:45" s="87" customFormat="1" ht="13.5" customHeight="1" x14ac:dyDescent="0.2">
      <c r="A14" s="488">
        <f>VLOOKUP(B14,Sheet1!$AQ$4:$AR$25,2,FALSE)</f>
        <v>0</v>
      </c>
      <c r="B14" s="93" t="str">
        <f>Sheet1!$K$8</f>
        <v>Hampshire</v>
      </c>
      <c r="C14" s="85"/>
      <c r="D14" s="94" t="str">
        <f>IF(Year1_Hampshire Year1_EarlyHelpReferrals="","",Year1_Hampshire Year1_EarlyHelpReferrals)</f>
        <v/>
      </c>
      <c r="E14" s="94" t="str">
        <f>IF(Year2_Hampshire Year2_EarlyHelpReferrals="","",Year2_Hampshire Year2_EarlyHelpReferrals)</f>
        <v/>
      </c>
      <c r="F14" s="101" t="str">
        <f>IF(Year3_Hampshire Year3_EarlyHelpReferrals="","",Year3_Hampshire Year3_EarlyHelpReferrals)</f>
        <v/>
      </c>
      <c r="G14" s="101" t="str">
        <f>IF(Year4_Hampshire Year4_EarlyHelpReferrals="","",Year4_Hampshire Year4_EarlyHelpReferrals)</f>
        <v/>
      </c>
      <c r="H14" s="95" t="str">
        <f>IF(Year5_Hampshire Year5_EarlyHelpReferrals="","",Year5_Hampshire Year5_EarlyHelpReferrals)</f>
        <v/>
      </c>
      <c r="I14" s="861" t="str">
        <f t="shared" si="3"/>
        <v/>
      </c>
      <c r="J14" s="863" t="str">
        <f t="shared" si="0"/>
        <v/>
      </c>
      <c r="K14" s="96"/>
      <c r="L14" s="97" t="e">
        <f>IF(ISNUMBER(D14),D14/Population!D14*10000,NA())</f>
        <v>#N/A</v>
      </c>
      <c r="M14" s="97" t="e">
        <f>IF(ISNUMBER(E14),E14/Population!E14*10000,NA())</f>
        <v>#N/A</v>
      </c>
      <c r="N14" s="97" t="e">
        <f>IF(ISNUMBER(F14),F14/Population!F14*10000,NA())</f>
        <v>#N/A</v>
      </c>
      <c r="O14" s="97" t="e">
        <f>IF(ISNUMBER(G14),G14/Population!G14*10000,NA())</f>
        <v>#N/A</v>
      </c>
      <c r="P14" s="97" t="e">
        <f>IF(ISNUMBER(H14),H14/Population!H14*10000,NA())</f>
        <v>#N/A</v>
      </c>
      <c r="Q14" s="99" t="str">
        <f t="shared" si="4"/>
        <v/>
      </c>
      <c r="R14" s="822" t="e">
        <f t="shared" si="1"/>
        <v>#N/A</v>
      </c>
      <c r="S14" s="85"/>
      <c r="T14" s="99">
        <f>IF(H14&gt;0,IDACI!C13,NA())</f>
        <v>10.100000000000001</v>
      </c>
      <c r="U14" s="122"/>
      <c r="V14" s="139"/>
      <c r="W14" s="152"/>
      <c r="X14" s="72" t="str">
        <f>Sheet1!$K$8</f>
        <v>Hampshire</v>
      </c>
      <c r="Y14" s="44">
        <f>IF(ISNUMBER($H14),IDACI!D13,0)</f>
        <v>0</v>
      </c>
      <c r="Z14" s="44">
        <f>IF(ISNUMBER($H14),IDACI!E13,0)</f>
        <v>0</v>
      </c>
      <c r="AA14" s="205" t="str">
        <f>IF(ISNUMBER(D14),Population!D14,"")</f>
        <v/>
      </c>
      <c r="AB14" s="205" t="str">
        <f>IF(ISNUMBER(E14),Population!E14,"")</f>
        <v/>
      </c>
      <c r="AC14" s="205" t="str">
        <f>IF(ISNUMBER(F14),Population!F14,"")</f>
        <v/>
      </c>
      <c r="AD14" s="205" t="str">
        <f>IF(ISNUMBER(G14),Population!G14,"")</f>
        <v/>
      </c>
      <c r="AE14" s="205" t="str">
        <f>IF(ISNUMBER(H14),Population!H14,"")</f>
        <v/>
      </c>
      <c r="AF14" s="93" t="s">
        <v>6</v>
      </c>
      <c r="AG14" s="231" t="str">
        <f t="shared" si="5"/>
        <v/>
      </c>
      <c r="AH14" s="206" t="e">
        <f t="shared" si="6"/>
        <v>#VALUE!</v>
      </c>
      <c r="AI14" s="202"/>
      <c r="AJ14" s="160"/>
      <c r="AK14" s="853" t="str">
        <f t="shared" si="7"/>
        <v>x</v>
      </c>
      <c r="AL14" s="853" t="str">
        <f t="shared" si="8"/>
        <v>x</v>
      </c>
      <c r="AM14" s="853" t="str">
        <f t="shared" si="9"/>
        <v>x</v>
      </c>
      <c r="AN14" s="853" t="str">
        <f t="shared" si="10"/>
        <v>x</v>
      </c>
      <c r="AO14" s="853" t="str">
        <f t="shared" si="11"/>
        <v/>
      </c>
    </row>
    <row r="15" spans="1:45" s="87" customFormat="1" ht="13.5" customHeight="1" x14ac:dyDescent="0.2">
      <c r="A15" s="488">
        <f>VLOOKUP(B15,Sheet1!$AQ$4:$AR$25,2,FALSE)</f>
        <v>0</v>
      </c>
      <c r="B15" s="93" t="str">
        <f>Sheet1!$K$9</f>
        <v>Isle of Wight</v>
      </c>
      <c r="C15" s="85"/>
      <c r="D15" s="94" t="str">
        <f>IF(Year1_Isle_of_Wight Year1_EarlyHelpReferrals="","",Year1_Isle_of_Wight Year1_EarlyHelpReferrals)</f>
        <v/>
      </c>
      <c r="E15" s="94" t="str">
        <f>IF(Year2_Isle_of_Wight Year2_EarlyHelpReferrals="","",Year2_Isle_of_Wight Year2_EarlyHelpReferrals)</f>
        <v/>
      </c>
      <c r="F15" s="94" t="str">
        <f>IF(Year3_Isle_of_Wight Year3_EarlyHelpReferrals="","",Year3_Isle_of_Wight Year3_EarlyHelpReferrals)</f>
        <v/>
      </c>
      <c r="G15" s="94" t="str">
        <f>IF(Year4_Isle_of_Wight Year4_EarlyHelpReferrals="","",Year4_Isle_of_Wight Year4_EarlyHelpReferrals)</f>
        <v/>
      </c>
      <c r="H15" s="95" t="str">
        <f>IF(Year5_Isle_of_Wight Year5_EarlyHelpReferrals="","",Year5_Isle_of_Wight Year5_EarlyHelpReferrals)</f>
        <v/>
      </c>
      <c r="I15" s="861" t="str">
        <f t="shared" si="3"/>
        <v/>
      </c>
      <c r="J15" s="863" t="str">
        <f t="shared" si="0"/>
        <v/>
      </c>
      <c r="K15" s="96"/>
      <c r="L15" s="97" t="e">
        <f>IF(ISNUMBER(D15),D15/Population!D15*10000,NA())</f>
        <v>#N/A</v>
      </c>
      <c r="M15" s="97" t="e">
        <f>IF(ISNUMBER(E15),E15/Population!E15*10000,NA())</f>
        <v>#N/A</v>
      </c>
      <c r="N15" s="97" t="e">
        <f>IF(ISNUMBER(F15),F15/Population!F15*10000,NA())</f>
        <v>#N/A</v>
      </c>
      <c r="O15" s="97" t="e">
        <f>IF(ISNUMBER(G15),G15/Population!G15*10000,NA())</f>
        <v>#N/A</v>
      </c>
      <c r="P15" s="97" t="e">
        <f>IF(ISNUMBER(H15),H15/Population!H15*10000,NA())</f>
        <v>#N/A</v>
      </c>
      <c r="Q15" s="99" t="str">
        <f t="shared" si="4"/>
        <v/>
      </c>
      <c r="R15" s="822" t="e">
        <f t="shared" si="1"/>
        <v>#N/A</v>
      </c>
      <c r="S15" s="85"/>
      <c r="T15" s="99">
        <f>IF(H15&gt;0,IDACI!C14,NA())</f>
        <v>18</v>
      </c>
      <c r="U15" s="122"/>
      <c r="V15" s="139"/>
      <c r="W15" s="152"/>
      <c r="X15" s="72" t="str">
        <f>Sheet1!$K$9</f>
        <v>Isle of Wight</v>
      </c>
      <c r="Y15" s="44">
        <f>IF(ISNUMBER($H15),IDACI!D14,0)</f>
        <v>0</v>
      </c>
      <c r="Z15" s="44">
        <f>IF(ISNUMBER($H15),IDACI!E14,0)</f>
        <v>0</v>
      </c>
      <c r="AA15" s="205" t="str">
        <f>IF(ISNUMBER(D15),Population!D15,"")</f>
        <v/>
      </c>
      <c r="AB15" s="205" t="str">
        <f>IF(ISNUMBER(E15),Population!E15,"")</f>
        <v/>
      </c>
      <c r="AC15" s="205" t="str">
        <f>IF(ISNUMBER(F15),Population!F15,"")</f>
        <v/>
      </c>
      <c r="AD15" s="205" t="str">
        <f>IF(ISNUMBER(G15),Population!G15,"")</f>
        <v/>
      </c>
      <c r="AE15" s="205" t="str">
        <f>IF(ISNUMBER(H15),Population!H15,"")</f>
        <v/>
      </c>
      <c r="AF15" s="93" t="s">
        <v>1</v>
      </c>
      <c r="AG15" s="231" t="str">
        <f t="shared" si="5"/>
        <v/>
      </c>
      <c r="AH15" s="206" t="e">
        <f t="shared" si="6"/>
        <v>#VALUE!</v>
      </c>
      <c r="AI15" s="202"/>
      <c r="AJ15" s="160"/>
      <c r="AK15" s="853" t="str">
        <f t="shared" si="7"/>
        <v>x</v>
      </c>
      <c r="AL15" s="853" t="str">
        <f t="shared" si="8"/>
        <v>x</v>
      </c>
      <c r="AM15" s="853" t="str">
        <f t="shared" si="9"/>
        <v>x</v>
      </c>
      <c r="AN15" s="853" t="str">
        <f t="shared" si="10"/>
        <v>x</v>
      </c>
      <c r="AO15" s="853" t="str">
        <f t="shared" si="11"/>
        <v/>
      </c>
      <c r="AS15" s="87" t="s">
        <v>102</v>
      </c>
    </row>
    <row r="16" spans="1:45" s="87" customFormat="1" ht="13.5" customHeight="1" x14ac:dyDescent="0.2">
      <c r="A16" s="488">
        <f>VLOOKUP(B16,Sheet1!$AQ$4:$AR$25,2,FALSE)</f>
        <v>0</v>
      </c>
      <c r="B16" s="93" t="str">
        <f>Sheet1!$K$10</f>
        <v>Kent</v>
      </c>
      <c r="C16" s="85"/>
      <c r="D16" s="94" t="str">
        <f>IF(Year1_Kent Year1_EarlyHelpReferrals="","",Year1_Kent Year1_EarlyHelpReferrals)</f>
        <v/>
      </c>
      <c r="E16" s="94" t="str">
        <f>IF(Year2_Kent Year2_EarlyHelpReferrals="","",Year2_Kent Year2_EarlyHelpReferrals)</f>
        <v/>
      </c>
      <c r="F16" s="94" t="str">
        <f>IF(Year3_Kent Year3_EarlyHelpReferrals="","",Year3_Kent Year3_EarlyHelpReferrals)</f>
        <v/>
      </c>
      <c r="G16" s="94" t="str">
        <f>IF(Year4_Kent Year4_EarlyHelpReferrals="","",Year4_Kent Year4_EarlyHelpReferrals)</f>
        <v/>
      </c>
      <c r="H16" s="95" t="str">
        <f>IF(Year5_Kent Year5_EarlyHelpReferrals="","",Year5_Kent Year5_EarlyHelpReferrals)</f>
        <v/>
      </c>
      <c r="I16" s="861" t="str">
        <f t="shared" si="3"/>
        <v/>
      </c>
      <c r="J16" s="863" t="str">
        <f t="shared" si="0"/>
        <v/>
      </c>
      <c r="K16" s="96"/>
      <c r="L16" s="97" t="e">
        <f>IF(ISNUMBER(D16),D16/Population!D16*10000,NA())</f>
        <v>#N/A</v>
      </c>
      <c r="M16" s="97" t="e">
        <f>IF(ISNUMBER(E16),E16/Population!E16*10000,NA())</f>
        <v>#N/A</v>
      </c>
      <c r="N16" s="97" t="e">
        <f>IF(ISNUMBER(F16),F16/Population!F16*10000,NA())</f>
        <v>#N/A</v>
      </c>
      <c r="O16" s="97" t="e">
        <f>IF(ISNUMBER(G16),G16/Population!G16*10000,NA())</f>
        <v>#N/A</v>
      </c>
      <c r="P16" s="97" t="e">
        <f>IF(ISNUMBER(H16),H16/Population!H16*10000,NA())</f>
        <v>#N/A</v>
      </c>
      <c r="Q16" s="99" t="str">
        <f t="shared" si="4"/>
        <v/>
      </c>
      <c r="R16" s="822" t="e">
        <f t="shared" si="1"/>
        <v>#N/A</v>
      </c>
      <c r="S16" s="85"/>
      <c r="T16" s="99">
        <f>IF(H16&gt;0,IDACI!C15,NA())</f>
        <v>15.8</v>
      </c>
      <c r="U16" s="122"/>
      <c r="V16" s="139"/>
      <c r="W16" s="152"/>
      <c r="X16" s="72" t="str">
        <f>Sheet1!$K$10</f>
        <v>Kent</v>
      </c>
      <c r="Y16" s="44">
        <f>IF(ISNUMBER($H16),IDACI!D15,0)</f>
        <v>0</v>
      </c>
      <c r="Z16" s="44">
        <f>IF(ISNUMBER($H16),IDACI!E15,0)</f>
        <v>0</v>
      </c>
      <c r="AA16" s="205" t="str">
        <f>IF(ISNUMBER(D16),Population!D16,"")</f>
        <v/>
      </c>
      <c r="AB16" s="205" t="str">
        <f>IF(ISNUMBER(E16),Population!E16,"")</f>
        <v/>
      </c>
      <c r="AC16" s="205" t="str">
        <f>IF(ISNUMBER(F16),Population!F16,"")</f>
        <v/>
      </c>
      <c r="AD16" s="205" t="str">
        <f>IF(ISNUMBER(G16),Population!G16,"")</f>
        <v/>
      </c>
      <c r="AE16" s="205" t="str">
        <f>IF(ISNUMBER(H16),Population!H16,"")</f>
        <v/>
      </c>
      <c r="AF16" s="93" t="s">
        <v>9</v>
      </c>
      <c r="AG16" s="231" t="str">
        <f t="shared" si="5"/>
        <v/>
      </c>
      <c r="AH16" s="206" t="e">
        <f t="shared" si="6"/>
        <v>#VALUE!</v>
      </c>
      <c r="AI16" s="202"/>
      <c r="AJ16" s="160"/>
      <c r="AK16" s="853" t="str">
        <f t="shared" si="7"/>
        <v>x</v>
      </c>
      <c r="AL16" s="853" t="str">
        <f t="shared" si="8"/>
        <v>x</v>
      </c>
      <c r="AM16" s="853" t="str">
        <f t="shared" si="9"/>
        <v>x</v>
      </c>
      <c r="AN16" s="853" t="str">
        <f t="shared" si="10"/>
        <v>x</v>
      </c>
      <c r="AO16" s="853" t="str">
        <f t="shared" si="11"/>
        <v/>
      </c>
    </row>
    <row r="17" spans="1:41" s="87" customFormat="1" ht="13.5" customHeight="1" x14ac:dyDescent="0.2">
      <c r="A17" s="488">
        <f>VLOOKUP(B17,Sheet1!$AQ$4:$AR$25,2,FALSE)</f>
        <v>0</v>
      </c>
      <c r="B17" s="93" t="str">
        <f>Sheet1!$K$11</f>
        <v>Medway</v>
      </c>
      <c r="C17" s="85"/>
      <c r="D17" s="94" t="str">
        <f>IF(Year1_Medway Year1_EarlyHelpReferrals="","",Year1_Medway Year1_EarlyHelpReferrals)</f>
        <v/>
      </c>
      <c r="E17" s="94" t="str">
        <f>IF(Year2_Medway Year2_EarlyHelpReferrals="","",Year2_Medway Year2_EarlyHelpReferrals)</f>
        <v/>
      </c>
      <c r="F17" s="94" t="str">
        <f>IF(Year3_Medway Year3_EarlyHelpReferrals="","",Year3_Medway Year3_EarlyHelpReferrals)</f>
        <v/>
      </c>
      <c r="G17" s="94" t="str">
        <f>IF(Year4_Medway Year4_EarlyHelpReferrals="","",Year4_Medway Year4_EarlyHelpReferrals)</f>
        <v/>
      </c>
      <c r="H17" s="95" t="str">
        <f>IF(Year5_Medway Year5_EarlyHelpReferrals="","",Year5_Medway Year5_EarlyHelpReferrals)</f>
        <v/>
      </c>
      <c r="I17" s="861" t="str">
        <f t="shared" si="3"/>
        <v/>
      </c>
      <c r="J17" s="863" t="str">
        <f t="shared" si="0"/>
        <v/>
      </c>
      <c r="K17" s="96"/>
      <c r="L17" s="97" t="e">
        <f>IF(ISNUMBER(D17),D17/Population!D17*10000,NA())</f>
        <v>#N/A</v>
      </c>
      <c r="M17" s="97" t="e">
        <f>IF(ISNUMBER(E17),E17/Population!E17*10000,NA())</f>
        <v>#N/A</v>
      </c>
      <c r="N17" s="97" t="e">
        <f>IF(ISNUMBER(F17),F17/Population!F17*10000,NA())</f>
        <v>#N/A</v>
      </c>
      <c r="O17" s="97" t="e">
        <f>IF(ISNUMBER(G17),G17/Population!G17*10000,NA())</f>
        <v>#N/A</v>
      </c>
      <c r="P17" s="97" t="e">
        <f>IF(ISNUMBER(H17),H17/Population!H17*10000,NA())</f>
        <v>#N/A</v>
      </c>
      <c r="Q17" s="99" t="str">
        <f t="shared" si="4"/>
        <v/>
      </c>
      <c r="R17" s="822" t="e">
        <f t="shared" si="1"/>
        <v>#N/A</v>
      </c>
      <c r="S17" s="85"/>
      <c r="T17" s="99">
        <f>IF(H17&gt;0,IDACI!C16,NA())</f>
        <v>18.899999999999999</v>
      </c>
      <c r="U17" s="122"/>
      <c r="V17" s="139"/>
      <c r="W17" s="152"/>
      <c r="X17" s="72" t="str">
        <f>Sheet1!$K$11</f>
        <v>Medway</v>
      </c>
      <c r="Y17" s="44">
        <f>IF(ISNUMBER($H17),IDACI!D16,0)</f>
        <v>0</v>
      </c>
      <c r="Z17" s="44">
        <f>IF(ISNUMBER($H17),IDACI!E16,0)</f>
        <v>0</v>
      </c>
      <c r="AA17" s="205" t="str">
        <f>IF(ISNUMBER(D17),Population!D17,"")</f>
        <v/>
      </c>
      <c r="AB17" s="205" t="str">
        <f>IF(ISNUMBER(E17),Population!E17,"")</f>
        <v/>
      </c>
      <c r="AC17" s="205" t="str">
        <f>IF(ISNUMBER(F17),Population!F17,"")</f>
        <v/>
      </c>
      <c r="AD17" s="205" t="str">
        <f>IF(ISNUMBER(G17),Population!G17,"")</f>
        <v/>
      </c>
      <c r="AE17" s="205" t="str">
        <f>IF(ISNUMBER(H17),Population!H17,"")</f>
        <v/>
      </c>
      <c r="AF17" s="93" t="s">
        <v>2</v>
      </c>
      <c r="AG17" s="231" t="str">
        <f t="shared" si="5"/>
        <v/>
      </c>
      <c r="AH17" s="206" t="e">
        <f t="shared" si="6"/>
        <v>#VALUE!</v>
      </c>
      <c r="AI17" s="202"/>
      <c r="AJ17" s="160"/>
      <c r="AK17" s="853" t="str">
        <f t="shared" si="7"/>
        <v>x</v>
      </c>
      <c r="AL17" s="853" t="str">
        <f t="shared" si="8"/>
        <v>x</v>
      </c>
      <c r="AM17" s="853" t="str">
        <f t="shared" si="9"/>
        <v>x</v>
      </c>
      <c r="AN17" s="853" t="str">
        <f t="shared" si="10"/>
        <v>x</v>
      </c>
      <c r="AO17" s="853" t="str">
        <f t="shared" si="11"/>
        <v/>
      </c>
    </row>
    <row r="18" spans="1:41" s="87" customFormat="1" ht="13.5" customHeight="1" x14ac:dyDescent="0.2">
      <c r="A18" s="488">
        <f>VLOOKUP(B18,Sheet1!$AQ$4:$AR$25,2,FALSE)</f>
        <v>0</v>
      </c>
      <c r="B18" s="93" t="str">
        <f>Sheet1!$K$12</f>
        <v>Milton Keynes</v>
      </c>
      <c r="C18" s="85"/>
      <c r="D18" s="94" t="str">
        <f>IF(Year1_Milton_Keynes Year1_EarlyHelpReferrals="","",Year1_Milton_Keynes Year1_EarlyHelpReferrals)</f>
        <v/>
      </c>
      <c r="E18" s="94" t="str">
        <f>IF(Year2_Milton_Keynes Year2_EarlyHelpReferrals="","",Year2_Milton_Keynes Year2_EarlyHelpReferrals)</f>
        <v/>
      </c>
      <c r="F18" s="94" t="str">
        <f>IF(Year3_Milton_Keynes Year3_EarlyHelpReferrals="","",Year3_Milton_Keynes Year3_EarlyHelpReferrals)</f>
        <v/>
      </c>
      <c r="G18" s="94" t="str">
        <f>IF(Year4_Milton_Keynes Year4_EarlyHelpReferrals="","",Year4_Milton_Keynes Year4_EarlyHelpReferrals)</f>
        <v/>
      </c>
      <c r="H18" s="95" t="str">
        <f>IF(Year5_Milton_Keynes Year5_EarlyHelpReferrals="","",Year5_Milton_Keynes Year5_EarlyHelpReferrals)</f>
        <v/>
      </c>
      <c r="I18" s="861" t="str">
        <f t="shared" si="3"/>
        <v/>
      </c>
      <c r="J18" s="863" t="str">
        <f t="shared" si="0"/>
        <v/>
      </c>
      <c r="K18" s="96"/>
      <c r="L18" s="97" t="e">
        <f>IF(ISNUMBER(D18),D18/Population!D18*10000,NA())</f>
        <v>#N/A</v>
      </c>
      <c r="M18" s="97" t="e">
        <f>IF(ISNUMBER(E18),E18/Population!E18*10000,NA())</f>
        <v>#N/A</v>
      </c>
      <c r="N18" s="97" t="e">
        <f>IF(ISNUMBER(F18),F18/Population!F18*10000,NA())</f>
        <v>#N/A</v>
      </c>
      <c r="O18" s="97" t="e">
        <f>IF(ISNUMBER(G18),G18/Population!G18*10000,NA())</f>
        <v>#N/A</v>
      </c>
      <c r="P18" s="97" t="e">
        <f>IF(ISNUMBER(H18),H18/Population!H18*10000,NA())</f>
        <v>#N/A</v>
      </c>
      <c r="Q18" s="99" t="str">
        <f t="shared" si="4"/>
        <v/>
      </c>
      <c r="R18" s="822" t="e">
        <f t="shared" si="1"/>
        <v>#N/A</v>
      </c>
      <c r="S18" s="85"/>
      <c r="T18" s="99">
        <f>IF(H18&gt;0,IDACI!C17,NA())</f>
        <v>15</v>
      </c>
      <c r="U18" s="122"/>
      <c r="V18" s="139"/>
      <c r="W18" s="152"/>
      <c r="X18" s="72" t="str">
        <f>Sheet1!$K$12</f>
        <v>Milton Keynes</v>
      </c>
      <c r="Y18" s="44">
        <f>IF(ISNUMBER($H18),IDACI!D17,0)</f>
        <v>0</v>
      </c>
      <c r="Z18" s="44">
        <f>IF(ISNUMBER($H18),IDACI!E17,0)</f>
        <v>0</v>
      </c>
      <c r="AA18" s="205" t="str">
        <f>IF(ISNUMBER(D18),Population!D18,"")</f>
        <v/>
      </c>
      <c r="AB18" s="205" t="str">
        <f>IF(ISNUMBER(E18),Population!E18,"")</f>
        <v/>
      </c>
      <c r="AC18" s="205" t="str">
        <f>IF(ISNUMBER(F18),Population!F18,"")</f>
        <v/>
      </c>
      <c r="AD18" s="205" t="str">
        <f>IF(ISNUMBER(G18),Population!G18,"")</f>
        <v/>
      </c>
      <c r="AE18" s="205" t="str">
        <f>IF(ISNUMBER(H18),Population!H18,"")</f>
        <v/>
      </c>
      <c r="AF18" s="93" t="s">
        <v>10</v>
      </c>
      <c r="AG18" s="231" t="str">
        <f t="shared" si="5"/>
        <v/>
      </c>
      <c r="AH18" s="206" t="e">
        <f t="shared" si="6"/>
        <v>#VALUE!</v>
      </c>
      <c r="AI18" s="202"/>
      <c r="AJ18" s="160"/>
      <c r="AK18" s="853" t="str">
        <f t="shared" si="7"/>
        <v>x</v>
      </c>
      <c r="AL18" s="853" t="str">
        <f t="shared" si="8"/>
        <v>x</v>
      </c>
      <c r="AM18" s="853" t="str">
        <f t="shared" si="9"/>
        <v>x</v>
      </c>
      <c r="AN18" s="853" t="str">
        <f t="shared" si="10"/>
        <v>x</v>
      </c>
      <c r="AO18" s="853" t="str">
        <f t="shared" si="11"/>
        <v/>
      </c>
    </row>
    <row r="19" spans="1:41" s="87" customFormat="1" ht="13.5" customHeight="1" x14ac:dyDescent="0.2">
      <c r="A19" s="488">
        <f>VLOOKUP(B19,Sheet1!$AQ$4:$AR$25,2,FALSE)</f>
        <v>0</v>
      </c>
      <c r="B19" s="93" t="str">
        <f>Sheet1!$K$13</f>
        <v>Oxfordshire</v>
      </c>
      <c r="C19" s="85"/>
      <c r="D19" s="94" t="str">
        <f>IF(Year1_Oxfordshire Year1_EarlyHelpReferrals="","",Year1_Oxfordshire Year1_EarlyHelpReferrals)</f>
        <v/>
      </c>
      <c r="E19" s="94" t="str">
        <f>IF(Year2_Oxfordshire Year2_EarlyHelpReferrals="","",Year2_Oxfordshire Year2_EarlyHelpReferrals)</f>
        <v/>
      </c>
      <c r="F19" s="94" t="str">
        <f>IF(Year3_Oxfordshire Year3_EarlyHelpReferrals="","",Year3_Oxfordshire Year3_EarlyHelpReferrals)</f>
        <v/>
      </c>
      <c r="G19" s="94" t="str">
        <f>IF(Year4_Oxfordshire Year4_EarlyHelpReferrals="","",Year4_Oxfordshire Year4_EarlyHelpReferrals)</f>
        <v/>
      </c>
      <c r="H19" s="95" t="str">
        <f>IF(Year5_Oxfordshire Year5_EarlyHelpReferrals="","",Year5_Oxfordshire Year5_EarlyHelpReferrals)</f>
        <v/>
      </c>
      <c r="I19" s="861" t="str">
        <f t="shared" si="3"/>
        <v/>
      </c>
      <c r="J19" s="863" t="str">
        <f t="shared" si="0"/>
        <v/>
      </c>
      <c r="K19" s="96"/>
      <c r="L19" s="97" t="e">
        <f>IF(ISNUMBER(D19),D19/Population!D19*10000,NA())</f>
        <v>#N/A</v>
      </c>
      <c r="M19" s="97" t="e">
        <f>IF(ISNUMBER(E19),E19/Population!E19*10000,NA())</f>
        <v>#N/A</v>
      </c>
      <c r="N19" s="97" t="e">
        <f>IF(ISNUMBER(F19),F19/Population!F19*10000,NA())</f>
        <v>#N/A</v>
      </c>
      <c r="O19" s="97" t="e">
        <f>IF(ISNUMBER(G19),G19/Population!G19*10000,NA())</f>
        <v>#N/A</v>
      </c>
      <c r="P19" s="97" t="e">
        <f>IF(ISNUMBER(H19),H19/Population!H19*10000,NA())</f>
        <v>#N/A</v>
      </c>
      <c r="Q19" s="99" t="str">
        <f t="shared" si="4"/>
        <v/>
      </c>
      <c r="R19" s="822" t="e">
        <f t="shared" si="1"/>
        <v>#N/A</v>
      </c>
      <c r="S19" s="85"/>
      <c r="T19" s="99">
        <f>IF(H19&gt;0,IDACI!C18,NA())</f>
        <v>10.100000000000001</v>
      </c>
      <c r="U19" s="122"/>
      <c r="V19" s="139"/>
      <c r="W19" s="152"/>
      <c r="X19" s="72" t="str">
        <f>Sheet1!$K$13</f>
        <v>Oxfordshire</v>
      </c>
      <c r="Y19" s="44">
        <f>IF(ISNUMBER($H19),IDACI!D18,0)</f>
        <v>0</v>
      </c>
      <c r="Z19" s="44">
        <f>IF(ISNUMBER($H19),IDACI!E18,0)</f>
        <v>0</v>
      </c>
      <c r="AA19" s="205" t="str">
        <f>IF(ISNUMBER(D19),Population!D19,"")</f>
        <v/>
      </c>
      <c r="AB19" s="205" t="str">
        <f>IF(ISNUMBER(E19),Population!E19,"")</f>
        <v/>
      </c>
      <c r="AC19" s="205" t="str">
        <f>IF(ISNUMBER(F19),Population!F19,"")</f>
        <v/>
      </c>
      <c r="AD19" s="205" t="str">
        <f>IF(ISNUMBER(G19),Population!G19,"")</f>
        <v/>
      </c>
      <c r="AE19" s="205" t="str">
        <f>IF(ISNUMBER(H19),Population!H19,"")</f>
        <v/>
      </c>
      <c r="AF19" s="93" t="s">
        <v>11</v>
      </c>
      <c r="AG19" s="231" t="str">
        <f t="shared" si="5"/>
        <v/>
      </c>
      <c r="AH19" s="206" t="e">
        <f t="shared" si="6"/>
        <v>#VALUE!</v>
      </c>
      <c r="AI19" s="202"/>
      <c r="AJ19" s="160"/>
      <c r="AK19" s="853" t="str">
        <f t="shared" si="7"/>
        <v>x</v>
      </c>
      <c r="AL19" s="853" t="str">
        <f t="shared" si="8"/>
        <v>x</v>
      </c>
      <c r="AM19" s="853" t="str">
        <f t="shared" si="9"/>
        <v>x</v>
      </c>
      <c r="AN19" s="853" t="str">
        <f t="shared" si="10"/>
        <v>x</v>
      </c>
      <c r="AO19" s="853" t="str">
        <f t="shared" si="11"/>
        <v/>
      </c>
    </row>
    <row r="20" spans="1:41" s="87" customFormat="1" ht="13.5" customHeight="1" x14ac:dyDescent="0.2">
      <c r="A20" s="488">
        <f>VLOOKUP(B20,Sheet1!$AQ$4:$AR$25,2,FALSE)</f>
        <v>0</v>
      </c>
      <c r="B20" s="93" t="str">
        <f>Sheet1!$K$14</f>
        <v>Portsmouth</v>
      </c>
      <c r="C20" s="85"/>
      <c r="D20" s="94" t="str">
        <f>IF(Year1_Portsmouth Year1_EarlyHelpReferrals="","",Year1_Portsmouth Year1_EarlyHelpReferrals)</f>
        <v/>
      </c>
      <c r="E20" s="94" t="str">
        <f>IF(Year2_Portsmouth Year2_EarlyHelpReferrals="","",Year2_Portsmouth Year2_EarlyHelpReferrals)</f>
        <v/>
      </c>
      <c r="F20" s="94" t="str">
        <f>IF(Year3_Portsmouth Year3_EarlyHelpReferrals="","",Year3_Portsmouth Year3_EarlyHelpReferrals)</f>
        <v/>
      </c>
      <c r="G20" s="94" t="str">
        <f>IF(Year4_Portsmouth Year4_EarlyHelpReferrals="","",Year4_Portsmouth Year4_EarlyHelpReferrals)</f>
        <v/>
      </c>
      <c r="H20" s="95" t="str">
        <f>IF(Year5_Portsmouth Year5_EarlyHelpReferrals="","",Year5_Portsmouth Year5_EarlyHelpReferrals)</f>
        <v/>
      </c>
      <c r="I20" s="861" t="str">
        <f t="shared" si="3"/>
        <v/>
      </c>
      <c r="J20" s="863" t="str">
        <f t="shared" si="0"/>
        <v/>
      </c>
      <c r="K20" s="96"/>
      <c r="L20" s="97" t="e">
        <f>IF(ISNUMBER(D20),D20/Population!D20*10000,NA())</f>
        <v>#N/A</v>
      </c>
      <c r="M20" s="97" t="e">
        <f>IF(ISNUMBER(E20),E20/Population!E20*10000,NA())</f>
        <v>#N/A</v>
      </c>
      <c r="N20" s="97" t="e">
        <f>IF(ISNUMBER(F20),F20/Population!F20*10000,NA())</f>
        <v>#N/A</v>
      </c>
      <c r="O20" s="97" t="e">
        <f>IF(ISNUMBER(G20),G20/Population!G20*10000,NA())</f>
        <v>#N/A</v>
      </c>
      <c r="P20" s="97" t="e">
        <f>IF(ISNUMBER(H20),H20/Population!H20*10000,NA())</f>
        <v>#N/A</v>
      </c>
      <c r="Q20" s="99" t="str">
        <f t="shared" si="4"/>
        <v/>
      </c>
      <c r="R20" s="822" t="e">
        <f t="shared" si="1"/>
        <v>#N/A</v>
      </c>
      <c r="S20" s="85"/>
      <c r="T20" s="99">
        <f>IF(H20&gt;0,IDACI!C19,NA())</f>
        <v>20.200000000000003</v>
      </c>
      <c r="U20" s="122"/>
      <c r="V20" s="139"/>
      <c r="W20" s="152"/>
      <c r="X20" s="72" t="str">
        <f>Sheet1!$K$14</f>
        <v>Portsmouth</v>
      </c>
      <c r="Y20" s="44">
        <f>IF(ISNUMBER($H20),IDACI!D19,0)</f>
        <v>0</v>
      </c>
      <c r="Z20" s="44">
        <f>IF(ISNUMBER($H20),IDACI!E19,0)</f>
        <v>0</v>
      </c>
      <c r="AA20" s="205" t="str">
        <f>IF(ISNUMBER(D20),Population!D20,"")</f>
        <v/>
      </c>
      <c r="AB20" s="205" t="str">
        <f>IF(ISNUMBER(E20),Population!E20,"")</f>
        <v/>
      </c>
      <c r="AC20" s="205" t="str">
        <f>IF(ISNUMBER(F20),Population!F20,"")</f>
        <v/>
      </c>
      <c r="AD20" s="205" t="str">
        <f>IF(ISNUMBER(G20),Population!G20,"")</f>
        <v/>
      </c>
      <c r="AE20" s="205" t="str">
        <f>IF(ISNUMBER(H20),Population!H20,"")</f>
        <v/>
      </c>
      <c r="AF20" s="93" t="s">
        <v>12</v>
      </c>
      <c r="AG20" s="231" t="str">
        <f t="shared" si="5"/>
        <v/>
      </c>
      <c r="AH20" s="206" t="e">
        <f t="shared" si="6"/>
        <v>#VALUE!</v>
      </c>
      <c r="AI20" s="202"/>
      <c r="AJ20" s="160"/>
      <c r="AK20" s="853" t="str">
        <f t="shared" si="7"/>
        <v>x</v>
      </c>
      <c r="AL20" s="853" t="str">
        <f t="shared" si="8"/>
        <v>x</v>
      </c>
      <c r="AM20" s="853" t="str">
        <f t="shared" si="9"/>
        <v>x</v>
      </c>
      <c r="AN20" s="853" t="str">
        <f t="shared" si="10"/>
        <v>x</v>
      </c>
      <c r="AO20" s="853" t="str">
        <f t="shared" si="11"/>
        <v/>
      </c>
    </row>
    <row r="21" spans="1:41" s="87" customFormat="1" ht="13.5" customHeight="1" x14ac:dyDescent="0.2">
      <c r="A21" s="488">
        <f>VLOOKUP(B21,Sheet1!$AQ$4:$AR$25,2,FALSE)</f>
        <v>0</v>
      </c>
      <c r="B21" s="93" t="str">
        <f>Sheet1!$K$15</f>
        <v>Reading</v>
      </c>
      <c r="C21" s="85"/>
      <c r="D21" s="94" t="str">
        <f>IF(Year1_Reading Year1_EarlyHelpReferrals="","",Year1_Reading Year1_EarlyHelpReferrals)</f>
        <v/>
      </c>
      <c r="E21" s="94" t="str">
        <f>IF(Year2_Reading Year2_EarlyHelpReferrals="","",Year2_Reading Year2_EarlyHelpReferrals)</f>
        <v/>
      </c>
      <c r="F21" s="94" t="str">
        <f>IF(Year3_Reading Year3_EarlyHelpReferrals="","",Year3_Reading Year3_EarlyHelpReferrals)</f>
        <v/>
      </c>
      <c r="G21" s="94" t="str">
        <f>IF(Year4_Reading Year4_EarlyHelpReferrals="","",Year4_Reading Year4_EarlyHelpReferrals)</f>
        <v/>
      </c>
      <c r="H21" s="95" t="str">
        <f>IF(Year5_Reading Year5_EarlyHelpReferrals="","",Year5_Reading Year5_EarlyHelpReferrals)</f>
        <v/>
      </c>
      <c r="I21" s="861" t="str">
        <f t="shared" si="3"/>
        <v/>
      </c>
      <c r="J21" s="863" t="str">
        <f t="shared" si="0"/>
        <v/>
      </c>
      <c r="K21" s="96"/>
      <c r="L21" s="97" t="e">
        <f>IF(ISNUMBER(D21),D21/Population!D21*10000,NA())</f>
        <v>#N/A</v>
      </c>
      <c r="M21" s="97" t="e">
        <f>IF(ISNUMBER(E21),E21/Population!E21*10000,NA())</f>
        <v>#N/A</v>
      </c>
      <c r="N21" s="97" t="e">
        <f>IF(ISNUMBER(F21),F21/Population!F21*10000,NA())</f>
        <v>#N/A</v>
      </c>
      <c r="O21" s="97" t="e">
        <f>IF(ISNUMBER(G21),G21/Population!G21*10000,NA())</f>
        <v>#N/A</v>
      </c>
      <c r="P21" s="97" t="e">
        <f>IF(ISNUMBER(H21),H21/Population!H21*10000,NA())</f>
        <v>#N/A</v>
      </c>
      <c r="Q21" s="99" t="str">
        <f t="shared" si="4"/>
        <v/>
      </c>
      <c r="R21" s="822" t="e">
        <f t="shared" si="1"/>
        <v>#N/A</v>
      </c>
      <c r="S21" s="85"/>
      <c r="T21" s="99">
        <f>IF(H21&gt;0,IDACI!C20,NA())</f>
        <v>16</v>
      </c>
      <c r="U21" s="122"/>
      <c r="V21" s="139"/>
      <c r="W21" s="152"/>
      <c r="X21" s="72" t="str">
        <f>Sheet1!$K$15</f>
        <v>Reading</v>
      </c>
      <c r="Y21" s="44">
        <f>IF(ISNUMBER($H21),IDACI!D20,0)</f>
        <v>0</v>
      </c>
      <c r="Z21" s="44">
        <f>IF(ISNUMBER($H21),IDACI!E20,0)</f>
        <v>0</v>
      </c>
      <c r="AA21" s="205" t="str">
        <f>IF(ISNUMBER(D21),Population!D21,"")</f>
        <v/>
      </c>
      <c r="AB21" s="205" t="str">
        <f>IF(ISNUMBER(E21),Population!E21,"")</f>
        <v/>
      </c>
      <c r="AC21" s="205" t="str">
        <f>IF(ISNUMBER(F21),Population!F21,"")</f>
        <v/>
      </c>
      <c r="AD21" s="205" t="str">
        <f>IF(ISNUMBER(G21),Population!G21,"")</f>
        <v/>
      </c>
      <c r="AE21" s="205" t="str">
        <f>IF(ISNUMBER(H21),Population!H21,"")</f>
        <v/>
      </c>
      <c r="AF21" s="93" t="s">
        <v>3</v>
      </c>
      <c r="AG21" s="231" t="str">
        <f t="shared" si="5"/>
        <v/>
      </c>
      <c r="AH21" s="206" t="e">
        <f t="shared" si="6"/>
        <v>#VALUE!</v>
      </c>
      <c r="AI21" s="202"/>
      <c r="AJ21" s="160"/>
      <c r="AK21" s="853" t="str">
        <f t="shared" si="7"/>
        <v>x</v>
      </c>
      <c r="AL21" s="853" t="str">
        <f t="shared" si="8"/>
        <v>x</v>
      </c>
      <c r="AM21" s="853" t="str">
        <f t="shared" si="9"/>
        <v>x</v>
      </c>
      <c r="AN21" s="853" t="str">
        <f t="shared" si="10"/>
        <v>x</v>
      </c>
      <c r="AO21" s="853" t="str">
        <f t="shared" si="11"/>
        <v/>
      </c>
    </row>
    <row r="22" spans="1:41" s="87" customFormat="1" ht="13.5" customHeight="1" x14ac:dyDescent="0.2">
      <c r="A22" s="488">
        <f>VLOOKUP(B22,Sheet1!$AQ$4:$AR$25,2,FALSE)</f>
        <v>0</v>
      </c>
      <c r="B22" s="93" t="str">
        <f>Sheet1!$K$16</f>
        <v>Slough</v>
      </c>
      <c r="C22" s="85"/>
      <c r="D22" s="94" t="str">
        <f>IF(Year1_Slough Year1_EarlyHelpReferrals="","",Year1_Slough Year1_EarlyHelpReferrals)</f>
        <v/>
      </c>
      <c r="E22" s="94" t="str">
        <f>IF(Year2_Slough Year2_EarlyHelpReferrals="","",Year2_Slough Year2_EarlyHelpReferrals)</f>
        <v/>
      </c>
      <c r="F22" s="94" t="str">
        <f>IF(Year3_Slough Year3_EarlyHelpReferrals="","",Year3_Slough Year3_EarlyHelpReferrals)</f>
        <v/>
      </c>
      <c r="G22" s="94" t="str">
        <f>IF(Year4_Slough Year4_EarlyHelpReferrals="","",Year4_Slough Year4_EarlyHelpReferrals)</f>
        <v/>
      </c>
      <c r="H22" s="95" t="str">
        <f>IF(Year5_Slough Year5_EarlyHelpReferrals="","",Year5_Slough Year5_EarlyHelpReferrals)</f>
        <v/>
      </c>
      <c r="I22" s="861" t="str">
        <f t="shared" si="3"/>
        <v/>
      </c>
      <c r="J22" s="863" t="str">
        <f t="shared" si="0"/>
        <v/>
      </c>
      <c r="K22" s="96"/>
      <c r="L22" s="97" t="e">
        <f>IF(ISNUMBER(D22),D22/Population!D22*10000,NA())</f>
        <v>#N/A</v>
      </c>
      <c r="M22" s="97" t="e">
        <f>IF(ISNUMBER(E22),E22/Population!E22*10000,NA())</f>
        <v>#N/A</v>
      </c>
      <c r="N22" s="97" t="e">
        <f>IF(ISNUMBER(F22),F22/Population!F22*10000,NA())</f>
        <v>#N/A</v>
      </c>
      <c r="O22" s="97" t="e">
        <f>IF(ISNUMBER(G22),G22/Population!G22*10000,NA())</f>
        <v>#N/A</v>
      </c>
      <c r="P22" s="97" t="e">
        <f>IF(ISNUMBER(H22),H22/Population!H22*10000,NA())</f>
        <v>#N/A</v>
      </c>
      <c r="Q22" s="99" t="str">
        <f t="shared" si="4"/>
        <v/>
      </c>
      <c r="R22" s="822" t="e">
        <f t="shared" si="1"/>
        <v>#N/A</v>
      </c>
      <c r="S22" s="85"/>
      <c r="T22" s="99">
        <f>IF(H22&gt;0,IDACI!C21,NA())</f>
        <v>14.7</v>
      </c>
      <c r="U22" s="122"/>
      <c r="V22" s="139"/>
      <c r="W22" s="152"/>
      <c r="X22" s="72" t="str">
        <f>Sheet1!$K$16</f>
        <v>Slough</v>
      </c>
      <c r="Y22" s="44">
        <f>IF(ISNUMBER($H22),IDACI!D21,0)</f>
        <v>0</v>
      </c>
      <c r="Z22" s="44">
        <f>IF(ISNUMBER($H22),IDACI!E21,0)</f>
        <v>0</v>
      </c>
      <c r="AA22" s="205" t="str">
        <f>IF(ISNUMBER(D22),Population!D22,"")</f>
        <v/>
      </c>
      <c r="AB22" s="205" t="str">
        <f>IF(ISNUMBER(E22),Population!E22,"")</f>
        <v/>
      </c>
      <c r="AC22" s="205" t="str">
        <f>IF(ISNUMBER(F22),Population!F22,"")</f>
        <v/>
      </c>
      <c r="AD22" s="205" t="str">
        <f>IF(ISNUMBER(G22),Population!G22,"")</f>
        <v/>
      </c>
      <c r="AE22" s="205" t="str">
        <f>IF(ISNUMBER(H22),Population!H22,"")</f>
        <v/>
      </c>
      <c r="AF22" s="93" t="s">
        <v>13</v>
      </c>
      <c r="AG22" s="231" t="str">
        <f t="shared" si="5"/>
        <v/>
      </c>
      <c r="AH22" s="206" t="e">
        <f t="shared" si="6"/>
        <v>#VALUE!</v>
      </c>
      <c r="AI22" s="202"/>
      <c r="AJ22" s="160"/>
      <c r="AK22" s="853" t="str">
        <f t="shared" si="7"/>
        <v>x</v>
      </c>
      <c r="AL22" s="853" t="str">
        <f t="shared" si="8"/>
        <v>x</v>
      </c>
      <c r="AM22" s="853" t="str">
        <f t="shared" si="9"/>
        <v>x</v>
      </c>
      <c r="AN22" s="853" t="str">
        <f t="shared" si="10"/>
        <v>x</v>
      </c>
      <c r="AO22" s="853" t="str">
        <f t="shared" si="11"/>
        <v/>
      </c>
    </row>
    <row r="23" spans="1:41" s="87" customFormat="1" ht="13.5" customHeight="1" x14ac:dyDescent="0.2">
      <c r="A23" s="488">
        <f>VLOOKUP(B23,Sheet1!$AQ$4:$AR$25,2,FALSE)</f>
        <v>0</v>
      </c>
      <c r="B23" s="93" t="str">
        <f>Sheet1!$K$17</f>
        <v>Somerset</v>
      </c>
      <c r="C23" s="85"/>
      <c r="D23" s="94" t="str">
        <f>IF(Year1_Somerset Year1_EarlyHelpReferrals="","",Year1_Somerset Year1_EarlyHelpReferrals)</f>
        <v/>
      </c>
      <c r="E23" s="94" t="str">
        <f>IF(Year2_Somerset Year2_EarlyHelpReferrals="","",Year2_Somerset Year2_EarlyHelpReferrals)</f>
        <v/>
      </c>
      <c r="F23" s="94" t="str">
        <f>IF(Year3_Somerset Year3_EarlyHelpReferrals="","",Year3_Somerset Year3_EarlyHelpReferrals)</f>
        <v/>
      </c>
      <c r="G23" s="94" t="str">
        <f>IF(Year4_Somerset Year4_EarlyHelpReferrals="","",Year4_Somerset Year4_EarlyHelpReferrals)</f>
        <v/>
      </c>
      <c r="H23" s="95" t="str">
        <f>IF(Year5_Somerset Year5_EarlyHelpReferrals="","",Year5_Somerset Year5_EarlyHelpReferrals)</f>
        <v/>
      </c>
      <c r="I23" s="861" t="str">
        <f t="shared" si="3"/>
        <v/>
      </c>
      <c r="J23" s="863" t="str">
        <f t="shared" si="0"/>
        <v/>
      </c>
      <c r="K23" s="96"/>
      <c r="L23" s="97" t="e">
        <f>IF(ISNUMBER(D23),D23/Population!D23*10000,NA())</f>
        <v>#N/A</v>
      </c>
      <c r="M23" s="97" t="e">
        <f>IF(ISNUMBER(E23),E23/Population!E23*10000,NA())</f>
        <v>#N/A</v>
      </c>
      <c r="N23" s="97" t="e">
        <f>IF(ISNUMBER(F23),F23/Population!F23*10000,NA())</f>
        <v>#N/A</v>
      </c>
      <c r="O23" s="97" t="e">
        <f>IF(ISNUMBER(G23),G23/Population!G23*10000,NA())</f>
        <v>#N/A</v>
      </c>
      <c r="P23" s="97" t="e">
        <f>IF(ISNUMBER(H23),H23/Population!H23*10000,NA())</f>
        <v>#N/A</v>
      </c>
      <c r="Q23" s="99" t="str">
        <f t="shared" si="4"/>
        <v/>
      </c>
      <c r="R23" s="807" t="str">
        <f t="shared" si="1"/>
        <v>--</v>
      </c>
      <c r="S23" s="85"/>
      <c r="T23" s="99">
        <f>IF(H23&gt;0,IDACI!C22,NA())</f>
        <v>13.600000000000001</v>
      </c>
      <c r="U23" s="122"/>
      <c r="V23" s="139"/>
      <c r="W23" s="152"/>
      <c r="X23" s="72" t="str">
        <f>Sheet1!$K$17</f>
        <v>Somerset</v>
      </c>
      <c r="Y23" s="44">
        <f>IF(ISNUMBER($H23),IDACI!D22,0)</f>
        <v>0</v>
      </c>
      <c r="Z23" s="44">
        <f>IF(ISNUMBER($H23),IDACI!E22,0)</f>
        <v>0</v>
      </c>
      <c r="AA23" s="205" t="str">
        <f>IF(ISNUMBER(D23),Population!D23,"")</f>
        <v/>
      </c>
      <c r="AB23" s="205" t="str">
        <f>IF(ISNUMBER(E23),Population!E23,"")</f>
        <v/>
      </c>
      <c r="AC23" s="205" t="str">
        <f>IF(ISNUMBER(F23),Population!F23,"")</f>
        <v/>
      </c>
      <c r="AD23" s="205" t="str">
        <f>IF(ISNUMBER(G23),Population!G23,"")</f>
        <v/>
      </c>
      <c r="AE23" s="205" t="str">
        <f>IF(ISNUMBER(H23),Population!H23,"")</f>
        <v/>
      </c>
      <c r="AF23" s="93" t="s">
        <v>14</v>
      </c>
      <c r="AG23" s="231" t="str">
        <f t="shared" si="5"/>
        <v/>
      </c>
      <c r="AH23" s="206" t="e">
        <f t="shared" si="6"/>
        <v>#VALUE!</v>
      </c>
      <c r="AI23" s="202"/>
      <c r="AJ23" s="160"/>
      <c r="AK23" s="853" t="str">
        <f t="shared" si="7"/>
        <v>x</v>
      </c>
      <c r="AL23" s="853" t="str">
        <f t="shared" si="8"/>
        <v>x</v>
      </c>
      <c r="AM23" s="853" t="str">
        <f t="shared" si="9"/>
        <v>x</v>
      </c>
      <c r="AN23" s="853" t="str">
        <f t="shared" si="10"/>
        <v>x</v>
      </c>
      <c r="AO23" s="853" t="str">
        <f t="shared" si="11"/>
        <v/>
      </c>
    </row>
    <row r="24" spans="1:41" s="87" customFormat="1" ht="13.5" customHeight="1" x14ac:dyDescent="0.2">
      <c r="A24" s="488">
        <f>VLOOKUP(B24,Sheet1!$AQ$4:$AR$25,2,FALSE)</f>
        <v>0</v>
      </c>
      <c r="B24" s="93" t="str">
        <f>Sheet1!$K$18</f>
        <v>Southampton</v>
      </c>
      <c r="C24" s="85"/>
      <c r="D24" s="94" t="str">
        <f>IF(Year1_Southampton Year1_EarlyHelpReferrals="","",Year1_Southampton Year1_EarlyHelpReferrals)</f>
        <v/>
      </c>
      <c r="E24" s="94" t="str">
        <f>IF(Year2_Southampton Year2_EarlyHelpReferrals="","",Year2_Southampton Year2_EarlyHelpReferrals)</f>
        <v/>
      </c>
      <c r="F24" s="94" t="str">
        <f>IF(Year3_Southampton Year3_EarlyHelpReferrals="","",Year3_Southampton Year3_EarlyHelpReferrals)</f>
        <v/>
      </c>
      <c r="G24" s="94" t="str">
        <f>IF(Year4_Southampton Year4_EarlyHelpReferrals="","",Year4_Southampton Year4_EarlyHelpReferrals)</f>
        <v/>
      </c>
      <c r="H24" s="95" t="str">
        <f>IF(Year5_Southampton Year5_EarlyHelpReferrals="","",Year5_Southampton Year5_EarlyHelpReferrals)</f>
        <v/>
      </c>
      <c r="I24" s="861" t="str">
        <f t="shared" si="3"/>
        <v/>
      </c>
      <c r="J24" s="863" t="str">
        <f t="shared" si="0"/>
        <v/>
      </c>
      <c r="K24" s="96"/>
      <c r="L24" s="97" t="e">
        <f>IF(ISNUMBER(D24),D24/Population!D24*10000,NA())</f>
        <v>#N/A</v>
      </c>
      <c r="M24" s="97" t="e">
        <f>IF(ISNUMBER(E24),E24/Population!E24*10000,NA())</f>
        <v>#N/A</v>
      </c>
      <c r="N24" s="97" t="e">
        <f>IF(ISNUMBER(F24),F24/Population!F24*10000,NA())</f>
        <v>#N/A</v>
      </c>
      <c r="O24" s="97" t="e">
        <f>IF(ISNUMBER(G24),G24/Population!G24*10000,NA())</f>
        <v>#N/A</v>
      </c>
      <c r="P24" s="97" t="e">
        <f>IF(ISNUMBER(H24),H24/Population!H24*10000,NA())</f>
        <v>#N/A</v>
      </c>
      <c r="Q24" s="99" t="str">
        <f t="shared" si="4"/>
        <v/>
      </c>
      <c r="R24" s="822" t="e">
        <f t="shared" si="1"/>
        <v>#N/A</v>
      </c>
      <c r="S24" s="85"/>
      <c r="T24" s="99">
        <f>IF(H24&gt;0,IDACI!C23,NA())</f>
        <v>20.5</v>
      </c>
      <c r="U24" s="122"/>
      <c r="V24" s="139"/>
      <c r="W24" s="152"/>
      <c r="X24" s="72" t="str">
        <f>Sheet1!$K$18</f>
        <v>Southampton</v>
      </c>
      <c r="Y24" s="44">
        <f>IF(ISNUMBER($H24),IDACI!D23,0)</f>
        <v>0</v>
      </c>
      <c r="Z24" s="44">
        <f>IF(ISNUMBER($H24),IDACI!E23,0)</f>
        <v>0</v>
      </c>
      <c r="AA24" s="205" t="str">
        <f>IF(ISNUMBER(D24),Population!D24,"")</f>
        <v/>
      </c>
      <c r="AB24" s="205" t="str">
        <f>IF(ISNUMBER(E24),Population!E24,"")</f>
        <v/>
      </c>
      <c r="AC24" s="205" t="str">
        <f>IF(ISNUMBER(F24),Population!F24,"")</f>
        <v/>
      </c>
      <c r="AD24" s="205" t="str">
        <f>IF(ISNUMBER(G24),Population!G24,"")</f>
        <v/>
      </c>
      <c r="AE24" s="205" t="str">
        <f>IF(ISNUMBER(H24),Population!H24,"")</f>
        <v/>
      </c>
      <c r="AF24" s="93" t="s">
        <v>7</v>
      </c>
      <c r="AG24" s="231" t="str">
        <f t="shared" si="5"/>
        <v/>
      </c>
      <c r="AH24" s="206" t="e">
        <f t="shared" si="6"/>
        <v>#VALUE!</v>
      </c>
      <c r="AI24" s="202"/>
      <c r="AJ24" s="160"/>
      <c r="AK24" s="853" t="str">
        <f t="shared" si="7"/>
        <v>x</v>
      </c>
      <c r="AL24" s="853" t="str">
        <f t="shared" si="8"/>
        <v>x</v>
      </c>
      <c r="AM24" s="853" t="str">
        <f t="shared" si="9"/>
        <v>x</v>
      </c>
      <c r="AN24" s="853" t="str">
        <f t="shared" si="10"/>
        <v>x</v>
      </c>
      <c r="AO24" s="853" t="str">
        <f t="shared" si="11"/>
        <v/>
      </c>
    </row>
    <row r="25" spans="1:41" s="87" customFormat="1" ht="13.5" customHeight="1" x14ac:dyDescent="0.2">
      <c r="A25" s="488">
        <f>VLOOKUP(B25,Sheet1!$AQ$4:$AR$25,2,FALSE)</f>
        <v>0</v>
      </c>
      <c r="B25" s="93" t="str">
        <f>Sheet1!$K$19</f>
        <v>Surrey</v>
      </c>
      <c r="C25" s="85"/>
      <c r="D25" s="94" t="str">
        <f>IF(Year1_Surrey Year1_EarlyHelpReferrals="","",Year1_Surrey Year1_EarlyHelpReferrals)</f>
        <v/>
      </c>
      <c r="E25" s="94" t="str">
        <f>IF(Year2_Surrey Year2_EarlyHelpReferrals="","",Year2_Surrey Year2_EarlyHelpReferrals)</f>
        <v/>
      </c>
      <c r="F25" s="94" t="str">
        <f>IF(Year3_Surrey Year3_EarlyHelpReferrals="","",Year3_Surrey Year3_EarlyHelpReferrals)</f>
        <v/>
      </c>
      <c r="G25" s="94" t="str">
        <f>IF(Year4_Surrey Year4_EarlyHelpReferrals="","",Year4_Surrey Year4_EarlyHelpReferrals)</f>
        <v/>
      </c>
      <c r="H25" s="95" t="str">
        <f>IF(Year5_Surrey Year5_EarlyHelpReferrals="","",Year5_Surrey Year5_EarlyHelpReferrals)</f>
        <v/>
      </c>
      <c r="I25" s="861" t="str">
        <f t="shared" si="3"/>
        <v/>
      </c>
      <c r="J25" s="863" t="str">
        <f t="shared" si="0"/>
        <v/>
      </c>
      <c r="K25" s="96"/>
      <c r="L25" s="97" t="e">
        <f>IF(ISNUMBER(D25),D25/Population!D25*10000,NA())</f>
        <v>#N/A</v>
      </c>
      <c r="M25" s="97" t="e">
        <f>IF(ISNUMBER(E25),E25/Population!E25*10000,NA())</f>
        <v>#N/A</v>
      </c>
      <c r="N25" s="97" t="e">
        <f>IF(ISNUMBER(F25),F25/Population!F25*10000,NA())</f>
        <v>#N/A</v>
      </c>
      <c r="O25" s="97" t="e">
        <f>IF(ISNUMBER(G25),G25/Population!G25*10000,NA())</f>
        <v>#N/A</v>
      </c>
      <c r="P25" s="97" t="e">
        <f>IF(ISNUMBER(H25),H25/Population!H25*10000,NA())</f>
        <v>#N/A</v>
      </c>
      <c r="Q25" s="99" t="str">
        <f t="shared" si="4"/>
        <v/>
      </c>
      <c r="R25" s="822" t="e">
        <f t="shared" si="1"/>
        <v>#N/A</v>
      </c>
      <c r="S25" s="85"/>
      <c r="T25" s="99">
        <f>IF(H25&gt;0,IDACI!C24,NA())</f>
        <v>8.3000000000000007</v>
      </c>
      <c r="U25" s="122"/>
      <c r="V25" s="139"/>
      <c r="W25" s="152"/>
      <c r="X25" s="72" t="str">
        <f>Sheet1!$K$19</f>
        <v>Surrey</v>
      </c>
      <c r="Y25" s="44">
        <f>IF(ISNUMBER($H25),IDACI!D24,0)</f>
        <v>0</v>
      </c>
      <c r="Z25" s="44">
        <f>IF(ISNUMBER($H25),IDACI!E24,0)</f>
        <v>0</v>
      </c>
      <c r="AA25" s="205" t="str">
        <f>IF(ISNUMBER(D25),Population!D25,"")</f>
        <v/>
      </c>
      <c r="AB25" s="205" t="str">
        <f>IF(ISNUMBER(E25),Population!E25,"")</f>
        <v/>
      </c>
      <c r="AC25" s="205" t="str">
        <f>IF(ISNUMBER(F25),Population!F25,"")</f>
        <v/>
      </c>
      <c r="AD25" s="205" t="str">
        <f>IF(ISNUMBER(G25),Population!G25,"")</f>
        <v/>
      </c>
      <c r="AE25" s="205" t="str">
        <f>IF(ISNUMBER(H25),Population!H25,"")</f>
        <v/>
      </c>
      <c r="AF25" s="93" t="s">
        <v>15</v>
      </c>
      <c r="AG25" s="231" t="str">
        <f t="shared" si="5"/>
        <v/>
      </c>
      <c r="AH25" s="206" t="e">
        <f t="shared" si="6"/>
        <v>#VALUE!</v>
      </c>
      <c r="AI25" s="202"/>
      <c r="AJ25" s="160"/>
      <c r="AK25" s="853" t="str">
        <f t="shared" si="7"/>
        <v>x</v>
      </c>
      <c r="AL25" s="853" t="str">
        <f t="shared" si="8"/>
        <v>x</v>
      </c>
      <c r="AM25" s="853" t="str">
        <f t="shared" si="9"/>
        <v>x</v>
      </c>
      <c r="AN25" s="853" t="str">
        <f t="shared" si="10"/>
        <v>x</v>
      </c>
      <c r="AO25" s="853" t="str">
        <f t="shared" si="11"/>
        <v/>
      </c>
    </row>
    <row r="26" spans="1:41" s="87" customFormat="1" ht="13.5" customHeight="1" x14ac:dyDescent="0.2">
      <c r="A26" s="488">
        <f>VLOOKUP(B26,Sheet1!$AQ$4:$AR$25,2,FALSE)</f>
        <v>0</v>
      </c>
      <c r="B26" s="93" t="str">
        <f>Sheet1!$K$20</f>
        <v>Swindon</v>
      </c>
      <c r="C26" s="85"/>
      <c r="D26" s="94" t="str">
        <f>IF(Year1_Swindon Year1_EarlyHelpReferrals="","",Year1_Swindon Year1_EarlyHelpReferrals)</f>
        <v/>
      </c>
      <c r="E26" s="94" t="str">
        <f>IF(Year2_Swindon Year2_EarlyHelpReferrals="","",Year2_Swindon Year2_EarlyHelpReferrals)</f>
        <v/>
      </c>
      <c r="F26" s="94" t="str">
        <f>IF(Year3_Swindon Year3_EarlyHelpReferrals="","",Year3_Swindon Year3_EarlyHelpReferrals)</f>
        <v/>
      </c>
      <c r="G26" s="94" t="str">
        <f>IF(Year4_Swindon Year4_EarlyHelpReferrals="","",Year4_Swindon Year4_EarlyHelpReferrals)</f>
        <v/>
      </c>
      <c r="H26" s="95" t="str">
        <f>IF(Year5_Swindon Year5_EarlyHelpReferrals="","",Year5_Swindon Year5_EarlyHelpReferrals)</f>
        <v/>
      </c>
      <c r="I26" s="861" t="str">
        <f t="shared" si="3"/>
        <v/>
      </c>
      <c r="J26" s="863" t="str">
        <f t="shared" si="0"/>
        <v/>
      </c>
      <c r="K26" s="96"/>
      <c r="L26" s="97" t="e">
        <f>IF(ISNUMBER(D26),D26/Population!D26*10000,NA())</f>
        <v>#N/A</v>
      </c>
      <c r="M26" s="97" t="e">
        <f>IF(ISNUMBER(E26),E26/Population!E26*10000,NA())</f>
        <v>#N/A</v>
      </c>
      <c r="N26" s="97" t="e">
        <f>IF(ISNUMBER(F26),F26/Population!F26*10000,NA())</f>
        <v>#N/A</v>
      </c>
      <c r="O26" s="97" t="e">
        <f>IF(ISNUMBER(G26),G26/Population!G26*10000,NA())</f>
        <v>#N/A</v>
      </c>
      <c r="P26" s="97" t="e">
        <f>IF(ISNUMBER(H26),H26/Population!H26*10000,NA())</f>
        <v>#N/A</v>
      </c>
      <c r="Q26" s="99" t="str">
        <f t="shared" si="4"/>
        <v/>
      </c>
      <c r="R26" s="807" t="str">
        <f t="shared" si="1"/>
        <v>--</v>
      </c>
      <c r="S26" s="85"/>
      <c r="T26" s="99">
        <f>IF(H26&gt;0,IDACI!C25,NA())</f>
        <v>14.899999999999999</v>
      </c>
      <c r="U26" s="122"/>
      <c r="V26" s="139"/>
      <c r="W26" s="152"/>
      <c r="X26" s="72" t="str">
        <f>Sheet1!$K$20</f>
        <v>Swindon</v>
      </c>
      <c r="Y26" s="44">
        <f>IF(ISNUMBER($H26),IDACI!D25,0)</f>
        <v>0</v>
      </c>
      <c r="Z26" s="44">
        <f>IF(ISNUMBER($H26),IDACI!E25,0)</f>
        <v>0</v>
      </c>
      <c r="AA26" s="205" t="str">
        <f>IF(ISNUMBER(D26),Population!D26,"")</f>
        <v/>
      </c>
      <c r="AB26" s="205" t="str">
        <f>IF(ISNUMBER(E26),Population!E26,"")</f>
        <v/>
      </c>
      <c r="AC26" s="205" t="str">
        <f>IF(ISNUMBER(F26),Population!F26,"")</f>
        <v/>
      </c>
      <c r="AD26" s="205" t="str">
        <f>IF(ISNUMBER(G26),Population!G26,"")</f>
        <v/>
      </c>
      <c r="AE26" s="205" t="str">
        <f>IF(ISNUMBER(H26),Population!H26,"")</f>
        <v/>
      </c>
      <c r="AF26" s="93" t="s">
        <v>5</v>
      </c>
      <c r="AG26" s="231" t="str">
        <f t="shared" si="5"/>
        <v/>
      </c>
      <c r="AH26" s="206" t="e">
        <f t="shared" si="6"/>
        <v>#VALUE!</v>
      </c>
      <c r="AI26" s="202"/>
      <c r="AJ26" s="160"/>
      <c r="AK26" s="853" t="str">
        <f t="shared" si="7"/>
        <v>x</v>
      </c>
      <c r="AL26" s="853" t="str">
        <f t="shared" si="8"/>
        <v>x</v>
      </c>
      <c r="AM26" s="853" t="str">
        <f t="shared" si="9"/>
        <v>x</v>
      </c>
      <c r="AN26" s="853" t="str">
        <f t="shared" si="10"/>
        <v>x</v>
      </c>
      <c r="AO26" s="853" t="str">
        <f t="shared" si="11"/>
        <v/>
      </c>
    </row>
    <row r="27" spans="1:41" s="87" customFormat="1" ht="13.5" customHeight="1" x14ac:dyDescent="0.2">
      <c r="A27" s="488">
        <f>VLOOKUP(B27,Sheet1!$AQ$4:$AR$25,2,FALSE)</f>
        <v>0</v>
      </c>
      <c r="B27" s="93" t="str">
        <f>Sheet1!$K$21</f>
        <v>Torbay</v>
      </c>
      <c r="C27" s="85"/>
      <c r="D27" s="94" t="str">
        <f>IF(Year1_Torbay Year1_EarlyHelpReferrals="","",Year1_Torbay Year1_EarlyHelpReferrals)</f>
        <v/>
      </c>
      <c r="E27" s="94" t="str">
        <f>IF(Year2_Torbay Year2_EarlyHelpReferrals="","",Year2_Torbay Year2_EarlyHelpReferrals)</f>
        <v/>
      </c>
      <c r="F27" s="94" t="str">
        <f>IF(Year3_Torbay Year3_EarlyHelpReferrals="","",Year3_Torbay Year3_EarlyHelpReferrals)</f>
        <v/>
      </c>
      <c r="G27" s="94" t="str">
        <f>IF(Year4_Torbay Year4_EarlyHelpReferrals="","",Year4_Torbay Year4_EarlyHelpReferrals)</f>
        <v/>
      </c>
      <c r="H27" s="95" t="str">
        <f>IF(Year5_Torbay Year5_EarlyHelpReferrals="","",Year5_Torbay Year5_EarlyHelpReferrals)</f>
        <v/>
      </c>
      <c r="I27" s="861" t="str">
        <f t="shared" si="3"/>
        <v/>
      </c>
      <c r="J27" s="863" t="str">
        <f t="shared" si="0"/>
        <v/>
      </c>
      <c r="K27" s="96"/>
      <c r="L27" s="97" t="e">
        <f>IF(ISNUMBER(D27),D27/Population!D27*10000,NA())</f>
        <v>#N/A</v>
      </c>
      <c r="M27" s="97" t="e">
        <f>IF(ISNUMBER(E27),E27/Population!E27*10000,NA())</f>
        <v>#N/A</v>
      </c>
      <c r="N27" s="97" t="e">
        <f>IF(ISNUMBER(F27),F27/Population!F27*10000,NA())</f>
        <v>#N/A</v>
      </c>
      <c r="O27" s="97" t="e">
        <f>IF(ISNUMBER(G27),G27/Population!G27*10000,NA())</f>
        <v>#N/A</v>
      </c>
      <c r="P27" s="97" t="e">
        <f>IF(ISNUMBER(H27),H27/Population!H27*10000,NA())</f>
        <v>#N/A</v>
      </c>
      <c r="Q27" s="99" t="str">
        <f t="shared" si="4"/>
        <v/>
      </c>
      <c r="R27" s="807" t="str">
        <f t="shared" si="1"/>
        <v>--</v>
      </c>
      <c r="S27" s="85"/>
      <c r="T27" s="99">
        <f>IF(H27&gt;0,IDACI!C26,NA())</f>
        <v>21.9</v>
      </c>
      <c r="U27" s="122"/>
      <c r="V27" s="139"/>
      <c r="W27" s="152"/>
      <c r="X27" s="72" t="str">
        <f>Sheet1!$K$21</f>
        <v>Torbay</v>
      </c>
      <c r="Y27" s="44">
        <f>IF(ISNUMBER($H27),IDACI!D26,0)</f>
        <v>0</v>
      </c>
      <c r="Z27" s="44">
        <f>IF(ISNUMBER($H27),IDACI!E26,0)</f>
        <v>0</v>
      </c>
      <c r="AA27" s="205" t="str">
        <f>IF(ISNUMBER(D27),Population!D27,"")</f>
        <v/>
      </c>
      <c r="AB27" s="205" t="str">
        <f>IF(ISNUMBER(E27),Population!E27,"")</f>
        <v/>
      </c>
      <c r="AC27" s="205" t="str">
        <f>IF(ISNUMBER(F27),Population!F27,"")</f>
        <v/>
      </c>
      <c r="AD27" s="205" t="str">
        <f>IF(ISNUMBER(G27),Population!G27,"")</f>
        <v/>
      </c>
      <c r="AE27" s="205" t="str">
        <f>IF(ISNUMBER(H27),Population!H27,"")</f>
        <v/>
      </c>
      <c r="AF27" s="93" t="s">
        <v>30</v>
      </c>
      <c r="AG27" s="231" t="str">
        <f t="shared" si="5"/>
        <v/>
      </c>
      <c r="AH27" s="206" t="e">
        <f t="shared" si="6"/>
        <v>#VALUE!</v>
      </c>
      <c r="AI27" s="202"/>
      <c r="AJ27" s="160"/>
      <c r="AK27" s="853" t="str">
        <f t="shared" si="7"/>
        <v>x</v>
      </c>
      <c r="AL27" s="853" t="str">
        <f t="shared" si="8"/>
        <v>x</v>
      </c>
      <c r="AM27" s="853" t="str">
        <f t="shared" si="9"/>
        <v>x</v>
      </c>
      <c r="AN27" s="853" t="str">
        <f t="shared" si="10"/>
        <v>x</v>
      </c>
      <c r="AO27" s="853" t="str">
        <f t="shared" si="11"/>
        <v/>
      </c>
    </row>
    <row r="28" spans="1:41" s="87" customFormat="1" ht="13.5" customHeight="1" x14ac:dyDescent="0.2">
      <c r="A28" s="488">
        <f>VLOOKUP(B28,Sheet1!$AQ$4:$AR$25,2,FALSE)</f>
        <v>0</v>
      </c>
      <c r="B28" s="93" t="str">
        <f>Sheet1!$K$22</f>
        <v>West Berkshire</v>
      </c>
      <c r="C28" s="85"/>
      <c r="D28" s="94" t="str">
        <f>IF(Year1_West_Berkshire Year1_EarlyHelpReferrals="","",Year1_West_Berkshire Year1_EarlyHelpReferrals)</f>
        <v/>
      </c>
      <c r="E28" s="100" t="str">
        <f>IF(Year2_West_Berkshire Year2_EarlyHelpReferrals="","",Year2_West_Berkshire Year2_EarlyHelpReferrals)</f>
        <v/>
      </c>
      <c r="F28" s="94" t="str">
        <f>IF(Year3_West_Berkshire Year3_EarlyHelpReferrals="","",Year3_West_Berkshire Year3_EarlyHelpReferrals)</f>
        <v/>
      </c>
      <c r="G28" s="94" t="str">
        <f>IF(Year4_West_Berkshire Year4_EarlyHelpReferrals="","",Year4_West_Berkshire Year4_EarlyHelpReferrals)</f>
        <v/>
      </c>
      <c r="H28" s="95" t="str">
        <f>IF(Year5_West_Berkshire Year5_EarlyHelpReferrals="","",Year5_West_Berkshire Year5_EarlyHelpReferrals)</f>
        <v/>
      </c>
      <c r="I28" s="861" t="str">
        <f t="shared" si="3"/>
        <v/>
      </c>
      <c r="J28" s="863" t="str">
        <f t="shared" si="0"/>
        <v/>
      </c>
      <c r="K28" s="96"/>
      <c r="L28" s="97" t="e">
        <f>IF(ISNUMBER(D28),D28/Population!D28*10000,NA())</f>
        <v>#N/A</v>
      </c>
      <c r="M28" s="97" t="e">
        <f>IF(ISNUMBER(E28),E28/Population!E28*10000,NA())</f>
        <v>#N/A</v>
      </c>
      <c r="N28" s="97" t="e">
        <f>IF(ISNUMBER(F28),F28/Population!F28*10000,NA())</f>
        <v>#N/A</v>
      </c>
      <c r="O28" s="97" t="e">
        <f>IF(ISNUMBER(G28),G28/Population!G28*10000,NA())</f>
        <v>#N/A</v>
      </c>
      <c r="P28" s="97" t="e">
        <f>IF(ISNUMBER(H28),H28/Population!H28*10000,NA())</f>
        <v>#N/A</v>
      </c>
      <c r="Q28" s="99" t="str">
        <f t="shared" si="4"/>
        <v/>
      </c>
      <c r="R28" s="822" t="e">
        <f t="shared" si="1"/>
        <v>#N/A</v>
      </c>
      <c r="S28" s="85"/>
      <c r="T28" s="99">
        <f>IF(H28&gt;0,IDACI!C27,NA())</f>
        <v>8.6999999999999993</v>
      </c>
      <c r="U28" s="122"/>
      <c r="V28" s="139"/>
      <c r="W28" s="152"/>
      <c r="X28" s="72" t="str">
        <f>Sheet1!$K$22</f>
        <v>West Berkshire</v>
      </c>
      <c r="Y28" s="44">
        <f>IF(ISNUMBER($H28),IDACI!D27,0)</f>
        <v>0</v>
      </c>
      <c r="Z28" s="44">
        <f>IF(ISNUMBER($H28),IDACI!E27,0)</f>
        <v>0</v>
      </c>
      <c r="AA28" s="205" t="str">
        <f>IF(ISNUMBER(D28),Population!D28,"")</f>
        <v/>
      </c>
      <c r="AB28" s="205" t="str">
        <f>IF(ISNUMBER(E28),Population!E28,"")</f>
        <v/>
      </c>
      <c r="AC28" s="205" t="str">
        <f>IF(ISNUMBER(F28),Population!F28,"")</f>
        <v/>
      </c>
      <c r="AD28" s="205" t="str">
        <f>IF(ISNUMBER(G28),Population!G28,"")</f>
        <v/>
      </c>
      <c r="AE28" s="205" t="str">
        <f>IF(ISNUMBER(H28),Population!H28,"")</f>
        <v/>
      </c>
      <c r="AF28" s="93" t="s">
        <v>16</v>
      </c>
      <c r="AG28" s="231" t="str">
        <f t="shared" si="5"/>
        <v/>
      </c>
      <c r="AH28" s="206" t="e">
        <f>RANK(AG28,$AG$10:$AG$28,1)</f>
        <v>#VALUE!</v>
      </c>
      <c r="AI28" s="202"/>
      <c r="AJ28" s="160"/>
      <c r="AK28" s="853" t="str">
        <f t="shared" si="7"/>
        <v>x</v>
      </c>
      <c r="AL28" s="853" t="str">
        <f t="shared" si="8"/>
        <v>x</v>
      </c>
      <c r="AM28" s="853" t="str">
        <f t="shared" si="9"/>
        <v>x</v>
      </c>
      <c r="AN28" s="853" t="str">
        <f t="shared" si="10"/>
        <v>x</v>
      </c>
      <c r="AO28" s="853" t="str">
        <f t="shared" si="11"/>
        <v/>
      </c>
    </row>
    <row r="29" spans="1:41" s="87" customFormat="1" ht="13.5" customHeight="1" x14ac:dyDescent="0.2">
      <c r="A29" s="488">
        <f>VLOOKUP(B29,Sheet1!$AQ$4:$AR$25,2,FALSE)</f>
        <v>0</v>
      </c>
      <c r="B29" s="93" t="str">
        <f>Sheet1!$K$23</f>
        <v>West Sussex</v>
      </c>
      <c r="C29" s="85"/>
      <c r="D29" s="94" t="str">
        <f>IF(Year1_West_Sussex Year1_EarlyHelpReferrals="","",Year1_West_Sussex Year1_EarlyHelpReferrals)</f>
        <v/>
      </c>
      <c r="E29" s="100" t="str">
        <f>IF(Year2_West_Sussex Year2_EarlyHelpReferrals="","",Year2_West_Sussex Year2_EarlyHelpReferrals)</f>
        <v/>
      </c>
      <c r="F29" s="94" t="str">
        <f>IF(Year3_West_Sussex Year3_EarlyHelpReferrals="","",Year3_West_Sussex Year3_EarlyHelpReferrals)</f>
        <v/>
      </c>
      <c r="G29" s="94" t="str">
        <f>IF(Year4_West_Sussex Year4_EarlyHelpReferrals="","",Year4_West_Sussex Year4_EarlyHelpReferrals)</f>
        <v/>
      </c>
      <c r="H29" s="95" t="str">
        <f>IF(Year5_West_Sussex Year5_EarlyHelpReferrals="","",Year5_West_Sussex Year5_EarlyHelpReferrals)</f>
        <v/>
      </c>
      <c r="I29" s="861" t="str">
        <f t="shared" si="3"/>
        <v/>
      </c>
      <c r="J29" s="863" t="str">
        <f t="shared" si="0"/>
        <v/>
      </c>
      <c r="K29" s="96"/>
      <c r="L29" s="97" t="e">
        <f>IF(ISNUMBER(D29),D29/Population!D29*10000,NA())</f>
        <v>#N/A</v>
      </c>
      <c r="M29" s="97" t="e">
        <f>IF(ISNUMBER(E29),E29/Population!E29*10000,NA())</f>
        <v>#N/A</v>
      </c>
      <c r="N29" s="97" t="e">
        <f>IF(ISNUMBER(F29),F29/Population!F29*10000,NA())</f>
        <v>#N/A</v>
      </c>
      <c r="O29" s="97" t="e">
        <f>IF(ISNUMBER(G29),G29/Population!G29*10000,NA())</f>
        <v>#N/A</v>
      </c>
      <c r="P29" s="97" t="e">
        <f>IF(ISNUMBER(H29),H29/Population!H29*10000,NA())</f>
        <v>#N/A</v>
      </c>
      <c r="Q29" s="99" t="str">
        <f t="shared" si="4"/>
        <v/>
      </c>
      <c r="R29" s="822" t="e">
        <f t="shared" si="1"/>
        <v>#N/A</v>
      </c>
      <c r="S29" s="85"/>
      <c r="T29" s="99">
        <f>IF(H29&gt;0,IDACI!C28,NA())</f>
        <v>11</v>
      </c>
      <c r="U29" s="122"/>
      <c r="V29" s="139"/>
      <c r="W29" s="152"/>
      <c r="X29" s="72" t="str">
        <f>Sheet1!$K$23</f>
        <v>West Sussex</v>
      </c>
      <c r="Y29" s="44">
        <f>IF(ISNUMBER($H29),IDACI!D28,0)</f>
        <v>0</v>
      </c>
      <c r="Z29" s="44">
        <f>IF(ISNUMBER($H29),IDACI!E28,0)</f>
        <v>0</v>
      </c>
      <c r="AA29" s="205" t="str">
        <f>IF(ISNUMBER(D29),Population!D29,"")</f>
        <v/>
      </c>
      <c r="AB29" s="205" t="str">
        <f>IF(ISNUMBER(E29),Population!E29,"")</f>
        <v/>
      </c>
      <c r="AC29" s="205" t="str">
        <f>IF(ISNUMBER(F29),Population!F29,"")</f>
        <v/>
      </c>
      <c r="AD29" s="205" t="str">
        <f>IF(ISNUMBER(G29),Population!G29,"")</f>
        <v/>
      </c>
      <c r="AE29" s="205" t="str">
        <f>IF(ISNUMBER(H29),Population!H29,"")</f>
        <v/>
      </c>
      <c r="AF29" s="202"/>
      <c r="AG29" s="202"/>
      <c r="AH29" s="190"/>
      <c r="AI29" s="202"/>
      <c r="AJ29" s="160"/>
      <c r="AK29" s="853" t="str">
        <f t="shared" si="7"/>
        <v>x</v>
      </c>
      <c r="AL29" s="853" t="str">
        <f t="shared" si="8"/>
        <v>x</v>
      </c>
      <c r="AM29" s="853" t="str">
        <f t="shared" si="9"/>
        <v>x</v>
      </c>
      <c r="AN29" s="853" t="str">
        <f t="shared" si="10"/>
        <v>x</v>
      </c>
      <c r="AO29" s="853" t="str">
        <f t="shared" si="11"/>
        <v/>
      </c>
    </row>
    <row r="30" spans="1:41" s="87" customFormat="1" ht="13.5" customHeight="1" x14ac:dyDescent="0.2">
      <c r="A30" s="488">
        <f>VLOOKUP(B30,Sheet1!$AQ$4:$AR$25,2,FALSE)</f>
        <v>0</v>
      </c>
      <c r="B30" s="93" t="str">
        <f>Sheet1!$K$24</f>
        <v>Windsor &amp; Maidenhead</v>
      </c>
      <c r="C30" s="85"/>
      <c r="D30" s="100" t="str">
        <f>IF(Year1_Windsor_Maidenhead Year1_EarlyHelpReferrals="","",Year1_Windsor_Maidenhead Year1_EarlyHelpReferrals)</f>
        <v/>
      </c>
      <c r="E30" s="94" t="str">
        <f>IF(Year2_Windsor_Maidenhead Year2_EarlyHelpReferrals="","",Year2_Windsor_Maidenhead Year2_EarlyHelpReferrals)</f>
        <v/>
      </c>
      <c r="F30" s="94" t="str">
        <f>IF(Year3_Windsor_Maidenhead Year3_EarlyHelpReferrals="","",Year3_Windsor_Maidenhead Year3_EarlyHelpReferrals)</f>
        <v/>
      </c>
      <c r="G30" s="94" t="str">
        <f>IF(Year4_Windsor_Maidenhead Year4_EarlyHelpReferrals="","",Year4_Windsor_Maidenhead Year4_EarlyHelpReferrals)</f>
        <v/>
      </c>
      <c r="H30" s="95" t="str">
        <f>IF(Year5_Windsor_Maidenhead Year5_EarlyHelpReferrals="","",Year5_Windsor_Maidenhead Year5_EarlyHelpReferrals)</f>
        <v/>
      </c>
      <c r="I30" s="861" t="str">
        <f t="shared" si="3"/>
        <v/>
      </c>
      <c r="J30" s="863" t="str">
        <f t="shared" si="0"/>
        <v/>
      </c>
      <c r="K30" s="96"/>
      <c r="L30" s="97" t="e">
        <f>IF(ISNUMBER(D30),D30/Population!D30*10000,NA())</f>
        <v>#N/A</v>
      </c>
      <c r="M30" s="97" t="e">
        <f>IF(ISNUMBER(E30),E30/Population!E30*10000,NA())</f>
        <v>#N/A</v>
      </c>
      <c r="N30" s="97" t="e">
        <f>IF(ISNUMBER(F30),F30/Population!F30*10000,NA())</f>
        <v>#N/A</v>
      </c>
      <c r="O30" s="97" t="e">
        <f>IF(ISNUMBER(G30),G30/Population!G30*10000,NA())</f>
        <v>#N/A</v>
      </c>
      <c r="P30" s="97" t="e">
        <f>IF(ISNUMBER(H30),H30/Population!H30*10000,NA())</f>
        <v>#N/A</v>
      </c>
      <c r="Q30" s="99" t="str">
        <f t="shared" si="4"/>
        <v/>
      </c>
      <c r="R30" s="822" t="e">
        <f t="shared" si="1"/>
        <v>#N/A</v>
      </c>
      <c r="S30" s="85"/>
      <c r="T30" s="99">
        <f>IF(H30&gt;0,IDACI!C29,NA())</f>
        <v>6.7</v>
      </c>
      <c r="U30" s="122"/>
      <c r="V30" s="139"/>
      <c r="W30" s="152"/>
      <c r="X30" s="72" t="str">
        <f>Sheet1!$K$24</f>
        <v>Windsor &amp; Maidenhead</v>
      </c>
      <c r="Y30" s="44">
        <f>IF(ISNUMBER($H30),IDACI!D29,0)</f>
        <v>0</v>
      </c>
      <c r="Z30" s="44">
        <f>IF(ISNUMBER($H30),IDACI!E29,0)</f>
        <v>0</v>
      </c>
      <c r="AA30" s="205" t="str">
        <f>IF(ISNUMBER(D30),Population!D30,"")</f>
        <v/>
      </c>
      <c r="AB30" s="205" t="str">
        <f>IF(ISNUMBER(E30),Population!E30,"")</f>
        <v/>
      </c>
      <c r="AC30" s="205" t="str">
        <f>IF(ISNUMBER(F30),Population!F30,"")</f>
        <v/>
      </c>
      <c r="AD30" s="205" t="str">
        <f>IF(ISNUMBER(G30),Population!G30,"")</f>
        <v/>
      </c>
      <c r="AE30" s="205" t="str">
        <f>IF(ISNUMBER(H30),Population!H30,"")</f>
        <v/>
      </c>
      <c r="AF30" s="202"/>
      <c r="AG30" s="202"/>
      <c r="AH30" s="190"/>
      <c r="AI30" s="202"/>
      <c r="AJ30" s="160"/>
      <c r="AK30" s="853" t="str">
        <f t="shared" si="7"/>
        <v>x</v>
      </c>
      <c r="AL30" s="853" t="str">
        <f t="shared" si="8"/>
        <v>x</v>
      </c>
      <c r="AM30" s="853" t="str">
        <f t="shared" si="9"/>
        <v>x</v>
      </c>
      <c r="AN30" s="853" t="str">
        <f t="shared" si="10"/>
        <v>x</v>
      </c>
      <c r="AO30" s="853" t="str">
        <f t="shared" si="11"/>
        <v/>
      </c>
    </row>
    <row r="31" spans="1:41" s="87" customFormat="1" ht="13.5" customHeight="1" x14ac:dyDescent="0.2">
      <c r="A31" s="488">
        <f>VLOOKUP(B31,Sheet1!$AQ$4:$AR$25,2,FALSE)</f>
        <v>0</v>
      </c>
      <c r="B31" s="93" t="str">
        <f>Sheet1!$K$25</f>
        <v>Wokingham</v>
      </c>
      <c r="C31" s="85"/>
      <c r="D31" s="100" t="str">
        <f>IF(Year1_Wokingham Year1_EarlyHelpReferrals="","",Year1_Wokingham Year1_EarlyHelpReferrals)</f>
        <v/>
      </c>
      <c r="E31" s="94" t="str">
        <f>IF(Year2_Wokingham Year2_EarlyHelpReferrals="","",Year2_Wokingham Year2_EarlyHelpReferrals)</f>
        <v/>
      </c>
      <c r="F31" s="94" t="str">
        <f>IF(Year3_Wokingham Year3_EarlyHelpReferrals="","",Year3_Wokingham Year3_EarlyHelpReferrals)</f>
        <v/>
      </c>
      <c r="G31" s="94" t="str">
        <f>IF(Year4_Wokingham Year4_EarlyHelpReferrals="","",Year4_Wokingham Year4_EarlyHelpReferrals)</f>
        <v/>
      </c>
      <c r="H31" s="95" t="str">
        <f>IF(Year5_Wokingham Year5_EarlyHelpReferrals="","",Year5_Wokingham Year5_EarlyHelpReferrals)</f>
        <v/>
      </c>
      <c r="I31" s="861" t="str">
        <f t="shared" si="3"/>
        <v/>
      </c>
      <c r="J31" s="863" t="str">
        <f t="shared" si="0"/>
        <v/>
      </c>
      <c r="K31" s="96"/>
      <c r="L31" s="97" t="e">
        <f>IF(ISNUMBER(D31),D31/Population!D31*10000,NA())</f>
        <v>#N/A</v>
      </c>
      <c r="M31" s="97" t="e">
        <f>IF(ISNUMBER(E31),E31/Population!E31*10000,NA())</f>
        <v>#N/A</v>
      </c>
      <c r="N31" s="97" t="e">
        <f>IF(ISNUMBER(F31),F31/Population!F31*10000,NA())</f>
        <v>#N/A</v>
      </c>
      <c r="O31" s="97" t="e">
        <f>IF(ISNUMBER(G31),G31/Population!G31*10000,NA())</f>
        <v>#N/A</v>
      </c>
      <c r="P31" s="97" t="e">
        <f>IF(ISNUMBER(H31),H31/Population!H31*10000,NA())</f>
        <v>#N/A</v>
      </c>
      <c r="Q31" s="99" t="str">
        <f t="shared" si="4"/>
        <v/>
      </c>
      <c r="R31" s="822" t="e">
        <f t="shared" si="1"/>
        <v>#N/A</v>
      </c>
      <c r="S31" s="85"/>
      <c r="T31" s="99">
        <f>IF(H31&gt;0,IDACI!C30,NA())</f>
        <v>5.6000000000000005</v>
      </c>
      <c r="U31" s="122"/>
      <c r="V31" s="139"/>
      <c r="W31" s="152"/>
      <c r="X31" s="72" t="str">
        <f>Sheet1!$K$25</f>
        <v>Wokingham</v>
      </c>
      <c r="Y31" s="44">
        <f>IF(ISNUMBER($H31),IDACI!D30,0)</f>
        <v>0</v>
      </c>
      <c r="Z31" s="44">
        <f>IF(ISNUMBER($H31),IDACI!E30,0)</f>
        <v>0</v>
      </c>
      <c r="AA31" s="205" t="str">
        <f>IF(ISNUMBER(D31),Population!D31,"")</f>
        <v/>
      </c>
      <c r="AB31" s="205" t="str">
        <f>IF(ISNUMBER(E31),Population!E31,"")</f>
        <v/>
      </c>
      <c r="AC31" s="205" t="str">
        <f>IF(ISNUMBER(F31),Population!F31,"")</f>
        <v/>
      </c>
      <c r="AD31" s="205" t="str">
        <f>IF(ISNUMBER(G31),Population!G31,"")</f>
        <v/>
      </c>
      <c r="AE31" s="205" t="str">
        <f>IF(ISNUMBER(H31),Population!H31,"")</f>
        <v/>
      </c>
      <c r="AF31" s="202"/>
      <c r="AG31" s="202"/>
      <c r="AH31" s="190"/>
      <c r="AI31" s="202"/>
      <c r="AJ31" s="160"/>
      <c r="AK31" s="853" t="str">
        <f t="shared" si="7"/>
        <v>x</v>
      </c>
      <c r="AL31" s="853" t="str">
        <f t="shared" si="8"/>
        <v>x</v>
      </c>
      <c r="AM31" s="853" t="str">
        <f t="shared" si="9"/>
        <v>x</v>
      </c>
      <c r="AN31" s="853" t="str">
        <f t="shared" si="10"/>
        <v>x</v>
      </c>
      <c r="AO31" s="853" t="str">
        <f t="shared" si="11"/>
        <v/>
      </c>
    </row>
    <row r="32" spans="1:41" s="87" customFormat="1" ht="13.5" customHeight="1" x14ac:dyDescent="0.2">
      <c r="A32" s="292"/>
      <c r="B32" s="129" t="str">
        <f>Sheet1!$K$26</f>
        <v>South East</v>
      </c>
      <c r="C32" s="85"/>
      <c r="D32" s="130" t="str">
        <f>IF(SUM(D10:D22,D24:D25,D28:D31)&gt;0,SUM(D10:D22,D24:D25,D28:D31),"")</f>
        <v/>
      </c>
      <c r="E32" s="130" t="str">
        <f>IF(SUM(E10:E22,E24:E25,E28:E31)&gt;0,SUM(E10:E22,E24:E25,E28:E31),"")</f>
        <v/>
      </c>
      <c r="F32" s="130" t="str">
        <f>IF(SUM(F10:F22,F24:F25,F28:F31)&gt;0,SUM(F10:F22,F24:F25,F28:F31),"")</f>
        <v/>
      </c>
      <c r="G32" s="130" t="str">
        <f>IF(SUM(G10:G22,G24:G25,G28:G31)&gt;0,SUM(G10:G22,G24:G25,G28:G31),"")</f>
        <v/>
      </c>
      <c r="H32" s="131" t="str">
        <f>IF(SUM(H10:H22,H24:H25,H28:H31)&gt;0,SUM(H10:H22,H24:H25,H28:H31),"")</f>
        <v/>
      </c>
      <c r="I32" s="862" t="str">
        <f t="shared" si="3"/>
        <v/>
      </c>
      <c r="J32" s="863" t="str">
        <f t="shared" si="0"/>
        <v/>
      </c>
      <c r="K32" s="96"/>
      <c r="L32" s="133" t="e">
        <f>IF(ISNUMBER(D32),D32/AA32*10000,NA())</f>
        <v>#N/A</v>
      </c>
      <c r="M32" s="133" t="e">
        <f>IF(ISNUMBER(E32),E32/AB32*10000,NA())</f>
        <v>#N/A</v>
      </c>
      <c r="N32" s="133" t="e">
        <f>IF(ISNUMBER(F32),F32/AC32*10000,NA())</f>
        <v>#N/A</v>
      </c>
      <c r="O32" s="133" t="e">
        <f>IF(ISNUMBER(G32),G32/AD32*10000,NA())</f>
        <v>#N/A</v>
      </c>
      <c r="P32" s="132" t="e">
        <f>IF(ISNUMBER(H32),H32/AE32*10000,NA())</f>
        <v>#N/A</v>
      </c>
      <c r="Q32" s="99" t="str">
        <f t="shared" si="4"/>
        <v/>
      </c>
      <c r="R32" s="134" t="s">
        <v>91</v>
      </c>
      <c r="S32" s="85"/>
      <c r="T32" s="135" t="e">
        <f>Z32/Y32*100</f>
        <v>#DIV/0!</v>
      </c>
      <c r="U32" s="122"/>
      <c r="V32" s="139"/>
      <c r="W32" s="152"/>
      <c r="X32" s="72" t="str">
        <f>Sheet1!$K$26</f>
        <v>South East</v>
      </c>
      <c r="Y32" s="44">
        <f>SUM(Y24:Y25,Y10:Y22,Y28:Y31)</f>
        <v>0</v>
      </c>
      <c r="Z32" s="44">
        <f>SUM(Z24:Z25,Z10:Z22,Z28:Z31)</f>
        <v>0</v>
      </c>
      <c r="AA32" s="205">
        <f>SUM(AA10:AA22,AA24:AA25,AA28:AA31)</f>
        <v>0</v>
      </c>
      <c r="AB32" s="205">
        <f>SUM(AB10:AB22,AB24:AB25,AB28:AB31)</f>
        <v>0</v>
      </c>
      <c r="AC32" s="205">
        <f t="shared" ref="AC32:AE32" si="12">SUM(AC10:AC22,AC24:AC25,AC28:AC31)</f>
        <v>0</v>
      </c>
      <c r="AD32" s="205">
        <f t="shared" si="12"/>
        <v>0</v>
      </c>
      <c r="AE32" s="205">
        <f t="shared" si="12"/>
        <v>0</v>
      </c>
      <c r="AF32" s="202"/>
      <c r="AG32" s="202"/>
      <c r="AH32" s="190"/>
      <c r="AI32" s="202"/>
      <c r="AJ32" s="160"/>
      <c r="AK32" s="853" t="str">
        <f>IF(ISERROR((M32-L32)/L32),"x",(M32-L32)/L32)</f>
        <v>x</v>
      </c>
      <c r="AL32" s="853" t="str">
        <f t="shared" ref="AL32:AN32" si="13">IF(ISERROR((N32-M32)/M32),"x",(N32-M32)/M32)</f>
        <v>x</v>
      </c>
      <c r="AM32" s="853" t="str">
        <f t="shared" si="13"/>
        <v>x</v>
      </c>
      <c r="AN32" s="853" t="str">
        <f t="shared" si="13"/>
        <v>x</v>
      </c>
      <c r="AO32" s="853" t="str">
        <f t="shared" si="11"/>
        <v/>
      </c>
    </row>
    <row r="33" spans="1:56" s="81" customFormat="1" ht="14.1" customHeight="1" x14ac:dyDescent="0.2">
      <c r="A33" s="278"/>
      <c r="B33" s="123" t="s">
        <v>90</v>
      </c>
      <c r="C33" s="63"/>
      <c r="D33" s="63" t="s">
        <v>206</v>
      </c>
      <c r="E33" s="63"/>
      <c r="F33" s="63"/>
      <c r="G33" s="63"/>
      <c r="H33" s="63"/>
      <c r="I33" s="63"/>
      <c r="J33" s="63"/>
      <c r="K33" s="63"/>
      <c r="L33" s="63"/>
      <c r="M33" s="63"/>
      <c r="N33" s="63"/>
      <c r="O33" s="63"/>
      <c r="P33" s="63"/>
      <c r="Q33" s="63"/>
      <c r="R33" s="136" t="s">
        <v>108</v>
      </c>
      <c r="S33" s="63"/>
      <c r="T33" s="63"/>
      <c r="U33" s="117"/>
      <c r="V33" s="137"/>
      <c r="W33" s="150"/>
      <c r="X33" s="864" t="s">
        <v>664</v>
      </c>
      <c r="Y33" s="184"/>
      <c r="Z33" s="184"/>
      <c r="AA33" s="184"/>
      <c r="AB33" s="184"/>
      <c r="AC33" s="184"/>
      <c r="AD33" s="184"/>
      <c r="AE33" s="184"/>
      <c r="AF33" s="184"/>
      <c r="AG33" s="184"/>
      <c r="AI33" s="184"/>
      <c r="AJ33" s="161"/>
    </row>
    <row r="34" spans="1:56" s="81" customFormat="1" ht="39.75" customHeight="1" x14ac:dyDescent="0.2">
      <c r="A34" s="278"/>
      <c r="B34" s="1762" t="s">
        <v>729</v>
      </c>
      <c r="C34" s="1763"/>
      <c r="D34" s="1763"/>
      <c r="E34" s="1763"/>
      <c r="F34" s="1763"/>
      <c r="G34" s="1763"/>
      <c r="H34" s="1763"/>
      <c r="I34" s="1763"/>
      <c r="J34" s="1763"/>
      <c r="K34" s="1763"/>
      <c r="L34" s="1763"/>
      <c r="M34" s="1763"/>
      <c r="N34" s="1763"/>
      <c r="O34" s="1763"/>
      <c r="P34" s="1763"/>
      <c r="Q34" s="1763"/>
      <c r="R34" s="1763"/>
      <c r="S34" s="1763"/>
      <c r="T34" s="1764"/>
      <c r="U34" s="117"/>
      <c r="V34" s="137"/>
      <c r="W34" s="150"/>
      <c r="X34" s="864" t="s">
        <v>663</v>
      </c>
      <c r="Y34" s="184"/>
      <c r="Z34" s="184"/>
      <c r="AA34" s="184"/>
      <c r="AB34" s="184"/>
      <c r="AC34" s="184"/>
      <c r="AD34" s="184"/>
      <c r="AE34" s="184"/>
      <c r="AF34" s="184"/>
      <c r="AG34" s="184"/>
      <c r="AI34" s="184"/>
      <c r="AJ34" s="157"/>
      <c r="AK34" s="74"/>
      <c r="AL34" s="74"/>
      <c r="AM34" s="74"/>
      <c r="AN34" s="74"/>
      <c r="AO34" s="74"/>
      <c r="AP34" s="74"/>
      <c r="AR34" s="74"/>
    </row>
    <row r="35" spans="1:56" s="81" customFormat="1" ht="7.5" customHeight="1" x14ac:dyDescent="0.2">
      <c r="A35" s="278"/>
      <c r="B35" s="17"/>
      <c r="C35" s="17"/>
      <c r="D35" s="16"/>
      <c r="E35" s="16"/>
      <c r="F35" s="16"/>
      <c r="G35" s="16"/>
      <c r="H35" s="16"/>
      <c r="I35" s="16"/>
      <c r="J35" s="12"/>
      <c r="K35" s="12"/>
      <c r="L35" s="18"/>
      <c r="M35" s="18"/>
      <c r="N35" s="18"/>
      <c r="O35" s="18"/>
      <c r="P35" s="18"/>
      <c r="Q35" s="18"/>
      <c r="R35" s="18"/>
      <c r="S35" s="18"/>
      <c r="T35" s="19"/>
      <c r="U35" s="117"/>
      <c r="V35" s="137"/>
      <c r="W35" s="150"/>
      <c r="Y35" s="190"/>
      <c r="AI35" s="184"/>
      <c r="AJ35" s="157"/>
      <c r="AK35" s="74"/>
      <c r="AL35" s="74"/>
      <c r="AM35" s="74"/>
      <c r="AN35" s="74"/>
      <c r="AO35" s="74"/>
      <c r="AP35" s="74"/>
      <c r="AR35" s="74"/>
    </row>
    <row r="36" spans="1:56" s="81" customFormat="1" ht="15" customHeight="1" x14ac:dyDescent="0.2">
      <c r="A36" s="1775"/>
      <c r="B36" s="1760"/>
      <c r="C36" s="1760"/>
      <c r="D36" s="1760"/>
      <c r="E36" s="1760"/>
      <c r="F36" s="1760"/>
      <c r="G36" s="1760"/>
      <c r="H36" s="1760"/>
      <c r="I36" s="1760"/>
      <c r="J36" s="1760"/>
      <c r="K36" s="1760"/>
      <c r="L36" s="1760"/>
      <c r="M36" s="1760"/>
      <c r="N36" s="1760"/>
      <c r="O36" s="1760"/>
      <c r="P36" s="1760"/>
      <c r="Q36" s="1760"/>
      <c r="R36" s="1760"/>
      <c r="S36" s="1760"/>
      <c r="T36" s="1760"/>
      <c r="U36" s="1761"/>
      <c r="V36" s="137"/>
      <c r="W36" s="150"/>
      <c r="Y36" s="190"/>
      <c r="AJ36" s="161"/>
      <c r="AL36" s="81">
        <f>COLUMNS($B$4:L$4)</f>
        <v>11</v>
      </c>
      <c r="AM36" s="81">
        <f>COLUMNS($B$4:M$4)</f>
        <v>12</v>
      </c>
      <c r="AN36" s="81">
        <f>COLUMNS($B$4:N$4)</f>
        <v>13</v>
      </c>
      <c r="AO36" s="81">
        <f>COLUMNS($B$4:O$4)</f>
        <v>14</v>
      </c>
      <c r="AP36" s="81">
        <f>COLUMNS($B$4:P$4)</f>
        <v>15</v>
      </c>
      <c r="AR36" s="81">
        <f>COLUMNS($B$4:T$4)</f>
        <v>19</v>
      </c>
      <c r="AS36" s="55" t="s">
        <v>192</v>
      </c>
      <c r="AT36" s="24"/>
      <c r="AU36" s="24"/>
      <c r="AV36" s="24"/>
      <c r="AW36" s="23"/>
      <c r="AX36" s="23"/>
      <c r="AY36" s="55" t="s">
        <v>24</v>
      </c>
      <c r="AZ36" s="24"/>
      <c r="BA36" s="24"/>
      <c r="BB36" s="24"/>
      <c r="BC36" s="23"/>
    </row>
    <row r="37" spans="1:56" s="81" customFormat="1" ht="11.45" customHeight="1" x14ac:dyDescent="0.2">
      <c r="A37" s="1776" t="str">
        <f>Home!$A$39</f>
        <v xml:space="preserve"> </v>
      </c>
      <c r="B37" s="1777"/>
      <c r="C37" s="1777"/>
      <c r="D37" s="1777"/>
      <c r="E37" s="1777"/>
      <c r="F37" s="1777"/>
      <c r="G37" s="1777"/>
      <c r="H37" s="1777"/>
      <c r="I37" s="1768"/>
      <c r="J37" s="1768"/>
      <c r="K37" s="1777"/>
      <c r="L37" s="1777"/>
      <c r="M37" s="1777"/>
      <c r="N37" s="1777"/>
      <c r="O37" s="1777"/>
      <c r="P37" s="1777"/>
      <c r="Q37" s="1777"/>
      <c r="R37" s="1777"/>
      <c r="S37" s="1777"/>
      <c r="T37" s="1777"/>
      <c r="U37" s="1778"/>
      <c r="V37" s="137"/>
      <c r="W37" s="150"/>
      <c r="Y37" s="190"/>
      <c r="AI37" s="184"/>
      <c r="AJ37" s="160"/>
      <c r="AK37" s="87"/>
      <c r="AL37" s="423" t="s">
        <v>89</v>
      </c>
      <c r="AM37" s="424"/>
      <c r="AN37" s="424"/>
      <c r="AO37" s="424"/>
      <c r="AP37" s="424"/>
      <c r="AQ37" s="23"/>
      <c r="AR37" s="1773" t="s">
        <v>1213</v>
      </c>
      <c r="AS37" s="81">
        <f>COLUMNS($B$4:D$4)</f>
        <v>3</v>
      </c>
      <c r="AT37" s="81">
        <f>COLUMNS($B$4:E$4)</f>
        <v>4</v>
      </c>
      <c r="AU37" s="81">
        <f>COLUMNS($B$4:F$4)</f>
        <v>5</v>
      </c>
      <c r="AV37" s="81">
        <f>COLUMNS($B$4:G$4)</f>
        <v>6</v>
      </c>
      <c r="AW37" s="81">
        <f>COLUMNS($B$4:H$4)</f>
        <v>7</v>
      </c>
      <c r="AX37" s="23"/>
      <c r="AY37" s="81">
        <f>COLUMNS($B$4:D$4)</f>
        <v>3</v>
      </c>
      <c r="AZ37" s="81">
        <f>COLUMNS($B$4:E$4)</f>
        <v>4</v>
      </c>
      <c r="BA37" s="81">
        <f>COLUMNS($B$4:F$4)</f>
        <v>5</v>
      </c>
      <c r="BB37" s="81">
        <f>COLUMNS($B$4:G$4)</f>
        <v>6</v>
      </c>
      <c r="BC37" s="81">
        <f>COLUMNS($B$4:H$4)</f>
        <v>7</v>
      </c>
    </row>
    <row r="38" spans="1:56" s="81" customFormat="1" ht="11.25" customHeight="1" x14ac:dyDescent="0.2">
      <c r="A38" s="112"/>
      <c r="B38" s="113"/>
      <c r="C38" s="113"/>
      <c r="D38" s="113"/>
      <c r="E38" s="113"/>
      <c r="F38" s="113"/>
      <c r="G38" s="113"/>
      <c r="H38" s="113"/>
      <c r="I38" s="113"/>
      <c r="J38" s="114"/>
      <c r="K38" s="114"/>
      <c r="L38" s="113"/>
      <c r="M38" s="113"/>
      <c r="N38" s="113"/>
      <c r="O38" s="113"/>
      <c r="P38" s="113"/>
      <c r="Q38" s="113"/>
      <c r="R38" s="113"/>
      <c r="S38" s="113"/>
      <c r="T38" s="113"/>
      <c r="U38" s="115"/>
      <c r="V38" s="137"/>
      <c r="W38" s="149" t="s">
        <v>101</v>
      </c>
      <c r="AI38" s="184"/>
      <c r="AJ38" s="160"/>
      <c r="AK38" s="87"/>
      <c r="AL38" s="423" t="str">
        <f>Sheet1!$D$27</f>
        <v>2015-16</v>
      </c>
      <c r="AM38" s="423" t="str">
        <f>Sheet1!$E$27</f>
        <v>2016-17</v>
      </c>
      <c r="AN38" s="423" t="str">
        <f>Sheet1!$F$27</f>
        <v>2017-18</v>
      </c>
      <c r="AO38" s="423" t="str">
        <f>Sheet1!$G$27</f>
        <v>2018-19</v>
      </c>
      <c r="AP38" s="423" t="str">
        <f>Sheet1!$H$27</f>
        <v>2019-20</v>
      </c>
      <c r="AQ38" s="492" t="s">
        <v>203</v>
      </c>
      <c r="AR38" s="1774"/>
      <c r="AS38" s="423" t="str">
        <f>Sheet1!$D$27</f>
        <v>2015-16</v>
      </c>
      <c r="AT38" s="423" t="str">
        <f>Sheet1!$E$27</f>
        <v>2016-17</v>
      </c>
      <c r="AU38" s="423" t="str">
        <f>Sheet1!$F$27</f>
        <v>2017-18</v>
      </c>
      <c r="AV38" s="423" t="str">
        <f>Sheet1!$G$27</f>
        <v>2018-19</v>
      </c>
      <c r="AW38" s="423" t="str">
        <f>Sheet1!$H$27</f>
        <v>2019-20</v>
      </c>
      <c r="AX38" s="492" t="s">
        <v>203</v>
      </c>
      <c r="AY38" s="423" t="str">
        <f>Sheet1!$D$27</f>
        <v>2015-16</v>
      </c>
      <c r="AZ38" s="423" t="str">
        <f>Sheet1!$E$27</f>
        <v>2016-17</v>
      </c>
      <c r="BA38" s="423" t="str">
        <f>Sheet1!$F$27</f>
        <v>2017-18</v>
      </c>
      <c r="BB38" s="423" t="str">
        <f>Sheet1!$G$27</f>
        <v>2018-19</v>
      </c>
      <c r="BC38" s="423" t="str">
        <f>Sheet1!$H$27</f>
        <v>2019-20</v>
      </c>
      <c r="BD38" s="492" t="s">
        <v>203</v>
      </c>
    </row>
    <row r="39" spans="1:56" s="81" customFormat="1" ht="3.75" customHeight="1" x14ac:dyDescent="0.25">
      <c r="A39" s="462"/>
      <c r="B39" s="9"/>
      <c r="C39" s="9"/>
      <c r="D39" s="9"/>
      <c r="E39" s="9"/>
      <c r="F39" s="9"/>
      <c r="G39" s="9"/>
      <c r="H39" s="9"/>
      <c r="I39" s="9"/>
      <c r="J39" s="12"/>
      <c r="K39" s="12"/>
      <c r="L39" s="9"/>
      <c r="M39" s="9"/>
      <c r="N39" s="9"/>
      <c r="O39" s="9"/>
      <c r="P39" s="9"/>
      <c r="Q39" s="9"/>
      <c r="R39" s="9"/>
      <c r="S39" s="9"/>
      <c r="T39" s="9"/>
      <c r="U39" s="117"/>
      <c r="V39" s="137"/>
      <c r="W39" s="294"/>
      <c r="AJ39" s="160"/>
      <c r="AK39" s="87"/>
      <c r="AL39" s="423" t="e">
        <f>Sheet1!$D$28</f>
        <v>#N/A</v>
      </c>
      <c r="AM39" s="423" t="e">
        <f>Sheet1!$E$28</f>
        <v>#N/A</v>
      </c>
      <c r="AN39" s="423" t="e">
        <f>Sheet1!$F$28</f>
        <v>#N/A</v>
      </c>
      <c r="AO39" s="423" t="e">
        <f>Sheet1!$G$28</f>
        <v>#N/A</v>
      </c>
      <c r="AP39" s="423" t="e">
        <f>Sheet1!$H$28</f>
        <v>#N/A</v>
      </c>
      <c r="AQ39" s="492"/>
      <c r="AR39" s="1774"/>
      <c r="AS39" s="57" t="e">
        <f>Sheet1!$D$28</f>
        <v>#N/A</v>
      </c>
      <c r="AT39" s="57" t="e">
        <f>Sheet1!$E$28</f>
        <v>#N/A</v>
      </c>
      <c r="AU39" s="57" t="e">
        <f>Sheet1!$F$28</f>
        <v>#N/A</v>
      </c>
      <c r="AV39" s="57" t="e">
        <f>Sheet1!$G$28</f>
        <v>#N/A</v>
      </c>
      <c r="AW39" s="57" t="e">
        <f>Sheet1!$H$28</f>
        <v>#N/A</v>
      </c>
      <c r="AX39" s="492"/>
      <c r="AY39" s="57" t="e">
        <f>Sheet1!$D$28</f>
        <v>#N/A</v>
      </c>
      <c r="AZ39" s="57" t="e">
        <f>Sheet1!$E$28</f>
        <v>#N/A</v>
      </c>
      <c r="BA39" s="57" t="e">
        <f>Sheet1!$F$28</f>
        <v>#N/A</v>
      </c>
      <c r="BB39" s="57" t="e">
        <f>Sheet1!$G$28</f>
        <v>#N/A</v>
      </c>
      <c r="BC39" s="57" t="e">
        <f>Sheet1!$H$28</f>
        <v>#N/A</v>
      </c>
      <c r="BD39" s="492"/>
    </row>
    <row r="40" spans="1:56" s="81" customFormat="1" ht="14.25" customHeight="1" x14ac:dyDescent="0.2">
      <c r="A40" s="278"/>
      <c r="B40" s="9"/>
      <c r="C40" s="9"/>
      <c r="D40" s="9"/>
      <c r="E40" s="9"/>
      <c r="F40" s="9"/>
      <c r="G40" s="9"/>
      <c r="H40" s="9"/>
      <c r="I40" s="9"/>
      <c r="J40" s="12"/>
      <c r="K40" s="12"/>
      <c r="L40" s="9"/>
      <c r="M40" s="9"/>
      <c r="N40" s="9"/>
      <c r="O40" s="9"/>
      <c r="P40" s="9"/>
      <c r="Q40" s="9"/>
      <c r="R40" s="9"/>
      <c r="S40" s="9"/>
      <c r="T40" s="9"/>
      <c r="U40" s="117"/>
      <c r="V40" s="137"/>
      <c r="W40" s="294"/>
      <c r="X40" s="43" t="s">
        <v>72</v>
      </c>
      <c r="Y40" s="209" t="s">
        <v>70</v>
      </c>
      <c r="Z40" s="43" t="s">
        <v>71</v>
      </c>
      <c r="AA40" s="210">
        <v>5</v>
      </c>
      <c r="AB40" s="211" t="e">
        <f>(AA40*Y41)+Z41</f>
        <v>#DIV/0!</v>
      </c>
      <c r="AC40" s="1320" t="s">
        <v>977</v>
      </c>
      <c r="AI40" s="585" t="b">
        <v>1</v>
      </c>
      <c r="AJ40" s="160" t="str">
        <f>Sheet1!$K$4</f>
        <v>Bracknell Forest</v>
      </c>
      <c r="AK40" s="87" t="str">
        <f>IF(AI40=TRUE,Sheet1!$K4,"")</f>
        <v>Bracknell Forest</v>
      </c>
      <c r="AL40" s="146" t="e">
        <f>VLOOKUP($AK40,$B$10:$P$32,AL$36,FALSE)</f>
        <v>#N/A</v>
      </c>
      <c r="AM40" s="146" t="e">
        <f t="shared" ref="AM40:AP55" si="14">VLOOKUP($AK40,$B$10:$P$32,AM$36,FALSE)</f>
        <v>#N/A</v>
      </c>
      <c r="AN40" s="146" t="e">
        <f t="shared" si="14"/>
        <v>#N/A</v>
      </c>
      <c r="AO40" s="146" t="e">
        <f t="shared" si="14"/>
        <v>#N/A</v>
      </c>
      <c r="AP40" s="146" t="e">
        <f t="shared" si="14"/>
        <v>#N/A</v>
      </c>
      <c r="AQ40" s="171" t="b">
        <f>IF(AK40=$Y$4,AP40)</f>
        <v>0</v>
      </c>
      <c r="AR40" s="147">
        <f>VLOOKUP(AK40,$B$10:$T$32,$AR$36,FALSE)</f>
        <v>8.9</v>
      </c>
      <c r="AS40" s="171" t="e">
        <f t="shared" ref="AS40:AW49" si="15">VLOOKUP($AK40,$B$76:$H$98,AS$37,FALSE)</f>
        <v>#N/A</v>
      </c>
      <c r="AT40" s="171" t="e">
        <f t="shared" si="15"/>
        <v>#N/A</v>
      </c>
      <c r="AU40" s="171" t="e">
        <f t="shared" si="15"/>
        <v>#N/A</v>
      </c>
      <c r="AV40" s="171" t="e">
        <f t="shared" si="15"/>
        <v>#N/A</v>
      </c>
      <c r="AW40" s="171" t="e">
        <f t="shared" si="15"/>
        <v>#N/A</v>
      </c>
      <c r="AX40" s="171" t="b">
        <f>IF(AK40=$Y$4,AW40)</f>
        <v>0</v>
      </c>
      <c r="AY40" s="171" t="e">
        <f t="shared" ref="AY40:BC49" si="16">VLOOKUP($AK40,$B$111:$H$133,AY$37,FALSE)</f>
        <v>#N/A</v>
      </c>
      <c r="AZ40" s="171" t="e">
        <f t="shared" si="16"/>
        <v>#N/A</v>
      </c>
      <c r="BA40" s="171" t="e">
        <f t="shared" si="16"/>
        <v>#N/A</v>
      </c>
      <c r="BB40" s="171" t="e">
        <f t="shared" si="16"/>
        <v>#N/A</v>
      </c>
      <c r="BC40" s="171" t="e">
        <f t="shared" si="16"/>
        <v>#N/A</v>
      </c>
      <c r="BD40" s="171" t="b">
        <f t="shared" ref="BD40:BD63" si="17">IF(AK40=$Y$4,BC40)</f>
        <v>0</v>
      </c>
    </row>
    <row r="41" spans="1:56" s="81" customFormat="1" ht="14.25" customHeight="1" x14ac:dyDescent="0.2">
      <c r="A41" s="278"/>
      <c r="B41" s="9"/>
      <c r="C41" s="9"/>
      <c r="D41" s="9"/>
      <c r="E41" s="9"/>
      <c r="F41" s="9"/>
      <c r="G41" s="9"/>
      <c r="H41" s="9"/>
      <c r="I41" s="9"/>
      <c r="J41" s="12"/>
      <c r="K41" s="12"/>
      <c r="L41" s="9"/>
      <c r="M41" s="9"/>
      <c r="N41" s="9"/>
      <c r="O41" s="9"/>
      <c r="P41" s="9"/>
      <c r="Q41" s="9"/>
      <c r="R41" s="9"/>
      <c r="S41" s="9"/>
      <c r="T41" s="9"/>
      <c r="U41" s="117"/>
      <c r="V41" s="137"/>
      <c r="W41" s="294"/>
      <c r="X41" s="212" t="e">
        <f>"Y= "&amp;Y41&amp;"x + "&amp;Z41</f>
        <v>#DIV/0!</v>
      </c>
      <c r="Y41" s="743" t="e">
        <f>ChartLabels!Y4</f>
        <v>#DIV/0!</v>
      </c>
      <c r="Z41" s="743" t="e">
        <f>ChartLabels!Z4</f>
        <v>#DIV/0!</v>
      </c>
      <c r="AA41" s="215">
        <v>35</v>
      </c>
      <c r="AB41" s="216" t="e">
        <f>(AA41*Y41)+Z41</f>
        <v>#DIV/0!</v>
      </c>
      <c r="AC41" s="206" t="e">
        <f>ROUND(ChartLabels!AA4,3)</f>
        <v>#DIV/0!</v>
      </c>
      <c r="AD41" s="824" t="str">
        <f>IFERROR(INDEX($P$11:$P$19,SMALL(IF(ISNUMBER($P$11:$P$19),ROW($P$10:$P$18),""),ROW(X1))),"")</f>
        <v/>
      </c>
      <c r="AE41" s="823"/>
      <c r="AI41" s="585" t="b">
        <v>1</v>
      </c>
      <c r="AJ41" s="160" t="str">
        <f>Sheet1!$K$5</f>
        <v>Brighton &amp; Hove</v>
      </c>
      <c r="AK41" s="87" t="str">
        <f>IF(AI41=TRUE,Sheet1!$K5,"")</f>
        <v>Brighton &amp; Hove</v>
      </c>
      <c r="AL41" s="146" t="e">
        <f t="shared" ref="AL41:AP62" si="18">VLOOKUP($AK41,$B$10:$P$32,AL$36,FALSE)</f>
        <v>#N/A</v>
      </c>
      <c r="AM41" s="146" t="e">
        <f t="shared" si="14"/>
        <v>#N/A</v>
      </c>
      <c r="AN41" s="146" t="e">
        <f t="shared" si="14"/>
        <v>#N/A</v>
      </c>
      <c r="AO41" s="146" t="e">
        <f t="shared" si="14"/>
        <v>#N/A</v>
      </c>
      <c r="AP41" s="146" t="e">
        <f t="shared" si="14"/>
        <v>#N/A</v>
      </c>
      <c r="AQ41" s="171" t="b">
        <f t="shared" ref="AQ41:AQ63" si="19">IF(AK41=$Y$4,AP41)</f>
        <v>0</v>
      </c>
      <c r="AR41" s="147">
        <f t="shared" ref="AR41:AR62" si="20">VLOOKUP(AK41,$B$10:$T$32,$AR$36,FALSE)</f>
        <v>15.299999999999999</v>
      </c>
      <c r="AS41" s="171" t="e">
        <f t="shared" si="15"/>
        <v>#N/A</v>
      </c>
      <c r="AT41" s="171" t="e">
        <f t="shared" si="15"/>
        <v>#N/A</v>
      </c>
      <c r="AU41" s="171" t="e">
        <f t="shared" si="15"/>
        <v>#N/A</v>
      </c>
      <c r="AV41" s="171" t="e">
        <f t="shared" si="15"/>
        <v>#N/A</v>
      </c>
      <c r="AW41" s="171" t="e">
        <f t="shared" si="15"/>
        <v>#N/A</v>
      </c>
      <c r="AX41" s="171" t="b">
        <f t="shared" ref="AX41:AX63" si="21">IF(AK41=$Y$4,AW41)</f>
        <v>0</v>
      </c>
      <c r="AY41" s="171" t="e">
        <f t="shared" si="16"/>
        <v>#N/A</v>
      </c>
      <c r="AZ41" s="171" t="e">
        <f t="shared" si="16"/>
        <v>#N/A</v>
      </c>
      <c r="BA41" s="171" t="e">
        <f t="shared" si="16"/>
        <v>#N/A</v>
      </c>
      <c r="BB41" s="171" t="e">
        <f t="shared" si="16"/>
        <v>#N/A</v>
      </c>
      <c r="BC41" s="171" t="e">
        <f t="shared" si="16"/>
        <v>#N/A</v>
      </c>
      <c r="BD41" s="171" t="b">
        <f t="shared" si="17"/>
        <v>0</v>
      </c>
    </row>
    <row r="42" spans="1:56" ht="14.25" customHeight="1" x14ac:dyDescent="0.2">
      <c r="A42" s="278"/>
      <c r="B42" s="9"/>
      <c r="C42" s="9"/>
      <c r="D42" s="9"/>
      <c r="E42" s="9"/>
      <c r="F42" s="9"/>
      <c r="G42" s="9"/>
      <c r="H42" s="9"/>
      <c r="I42" s="9"/>
      <c r="J42" s="12"/>
      <c r="K42" s="12"/>
      <c r="L42" s="9"/>
      <c r="M42" s="9"/>
      <c r="N42" s="9"/>
      <c r="O42" s="9"/>
      <c r="P42" s="9"/>
      <c r="Q42" s="9"/>
      <c r="R42" s="9"/>
      <c r="S42" s="9"/>
      <c r="T42" s="9"/>
      <c r="U42" s="117"/>
      <c r="V42" s="137"/>
      <c r="W42" s="294"/>
      <c r="X42" s="809"/>
      <c r="Y42" s="810"/>
      <c r="Z42" s="809"/>
      <c r="AA42" s="811"/>
      <c r="AB42" s="815"/>
      <c r="AC42" s="1319" t="e">
        <f>AC40&amp;" = "&amp;AC41</f>
        <v>#DIV/0!</v>
      </c>
      <c r="AI42" s="585" t="b">
        <v>1</v>
      </c>
      <c r="AJ42" s="160" t="str">
        <f>Sheet1!$K$6</f>
        <v>Buckinghamshire</v>
      </c>
      <c r="AK42" s="87" t="str">
        <f>IF(AI42=TRUE,Sheet1!$K6,"")</f>
        <v>Buckinghamshire</v>
      </c>
      <c r="AL42" s="146" t="e">
        <f t="shared" si="18"/>
        <v>#N/A</v>
      </c>
      <c r="AM42" s="146" t="e">
        <f t="shared" si="14"/>
        <v>#N/A</v>
      </c>
      <c r="AN42" s="146" t="e">
        <f t="shared" si="14"/>
        <v>#N/A</v>
      </c>
      <c r="AO42" s="146" t="e">
        <f t="shared" si="14"/>
        <v>#N/A</v>
      </c>
      <c r="AP42" s="146" t="e">
        <f t="shared" si="14"/>
        <v>#N/A</v>
      </c>
      <c r="AQ42" s="171" t="b">
        <f t="shared" si="19"/>
        <v>0</v>
      </c>
      <c r="AR42" s="147">
        <f t="shared" si="20"/>
        <v>8.5</v>
      </c>
      <c r="AS42" s="171" t="e">
        <f t="shared" si="15"/>
        <v>#N/A</v>
      </c>
      <c r="AT42" s="171" t="e">
        <f t="shared" si="15"/>
        <v>#N/A</v>
      </c>
      <c r="AU42" s="171" t="e">
        <f t="shared" si="15"/>
        <v>#N/A</v>
      </c>
      <c r="AV42" s="171" t="e">
        <f t="shared" si="15"/>
        <v>#N/A</v>
      </c>
      <c r="AW42" s="171" t="e">
        <f t="shared" si="15"/>
        <v>#N/A</v>
      </c>
      <c r="AX42" s="171" t="b">
        <f t="shared" si="21"/>
        <v>0</v>
      </c>
      <c r="AY42" s="171" t="e">
        <f t="shared" si="16"/>
        <v>#N/A</v>
      </c>
      <c r="AZ42" s="171" t="e">
        <f t="shared" si="16"/>
        <v>#N/A</v>
      </c>
      <c r="BA42" s="171" t="e">
        <f t="shared" si="16"/>
        <v>#N/A</v>
      </c>
      <c r="BB42" s="171" t="e">
        <f t="shared" si="16"/>
        <v>#N/A</v>
      </c>
      <c r="BC42" s="171" t="e">
        <f t="shared" si="16"/>
        <v>#N/A</v>
      </c>
      <c r="BD42" s="171" t="b">
        <f t="shared" si="17"/>
        <v>0</v>
      </c>
    </row>
    <row r="43" spans="1:56" ht="14.25" customHeight="1" x14ac:dyDescent="0.2">
      <c r="A43" s="278"/>
      <c r="B43" s="9"/>
      <c r="C43" s="9"/>
      <c r="D43" s="9"/>
      <c r="E43" s="9"/>
      <c r="F43" s="9"/>
      <c r="G43" s="9"/>
      <c r="H43" s="9"/>
      <c r="I43" s="9"/>
      <c r="J43" s="12"/>
      <c r="K43" s="12"/>
      <c r="L43" s="13"/>
      <c r="M43" s="13"/>
      <c r="N43" s="13"/>
      <c r="O43" s="13"/>
      <c r="P43" s="14"/>
      <c r="Q43" s="14"/>
      <c r="R43" s="14"/>
      <c r="S43" s="14"/>
      <c r="T43" s="14"/>
      <c r="U43" s="117"/>
      <c r="V43" s="137"/>
      <c r="W43" s="294"/>
      <c r="X43" s="812"/>
      <c r="Y43" s="816"/>
      <c r="Z43" s="816"/>
      <c r="AA43" s="813"/>
      <c r="AB43" s="814"/>
      <c r="AC43" s="817"/>
      <c r="AI43" s="585" t="b">
        <v>1</v>
      </c>
      <c r="AJ43" s="160" t="str">
        <f>Sheet1!$K$7</f>
        <v>East Sussex</v>
      </c>
      <c r="AK43" s="87" t="str">
        <f>IF(AI43=TRUE,Sheet1!$K7,"")</f>
        <v>East Sussex</v>
      </c>
      <c r="AL43" s="146" t="e">
        <f t="shared" si="18"/>
        <v>#N/A</v>
      </c>
      <c r="AM43" s="146" t="e">
        <f t="shared" si="14"/>
        <v>#N/A</v>
      </c>
      <c r="AN43" s="146" t="e">
        <f t="shared" si="14"/>
        <v>#N/A</v>
      </c>
      <c r="AO43" s="146" t="e">
        <f t="shared" si="14"/>
        <v>#N/A</v>
      </c>
      <c r="AP43" s="146" t="e">
        <f t="shared" si="14"/>
        <v>#N/A</v>
      </c>
      <c r="AQ43" s="171" t="b">
        <f t="shared" si="19"/>
        <v>0</v>
      </c>
      <c r="AR43" s="147">
        <f t="shared" si="20"/>
        <v>16.100000000000001</v>
      </c>
      <c r="AS43" s="171" t="e">
        <f t="shared" si="15"/>
        <v>#N/A</v>
      </c>
      <c r="AT43" s="171" t="e">
        <f t="shared" si="15"/>
        <v>#N/A</v>
      </c>
      <c r="AU43" s="171" t="e">
        <f t="shared" si="15"/>
        <v>#N/A</v>
      </c>
      <c r="AV43" s="171" t="e">
        <f t="shared" si="15"/>
        <v>#N/A</v>
      </c>
      <c r="AW43" s="171" t="e">
        <f t="shared" si="15"/>
        <v>#N/A</v>
      </c>
      <c r="AX43" s="171" t="b">
        <f t="shared" si="21"/>
        <v>0</v>
      </c>
      <c r="AY43" s="171" t="e">
        <f t="shared" si="16"/>
        <v>#N/A</v>
      </c>
      <c r="AZ43" s="171" t="e">
        <f t="shared" si="16"/>
        <v>#N/A</v>
      </c>
      <c r="BA43" s="171" t="e">
        <f t="shared" si="16"/>
        <v>#N/A</v>
      </c>
      <c r="BB43" s="171" t="e">
        <f t="shared" si="16"/>
        <v>#N/A</v>
      </c>
      <c r="BC43" s="171" t="e">
        <f t="shared" si="16"/>
        <v>#N/A</v>
      </c>
      <c r="BD43" s="171" t="b">
        <f t="shared" si="17"/>
        <v>0</v>
      </c>
    </row>
    <row r="44" spans="1:56" s="76" customFormat="1" ht="14.25" customHeight="1" x14ac:dyDescent="0.2">
      <c r="A44" s="461"/>
      <c r="B44" s="226"/>
      <c r="C44" s="226"/>
      <c r="D44" s="227"/>
      <c r="E44" s="227"/>
      <c r="F44" s="227"/>
      <c r="G44" s="227"/>
      <c r="H44" s="227"/>
      <c r="I44" s="227"/>
      <c r="J44" s="15"/>
      <c r="K44" s="15"/>
      <c r="L44" s="9"/>
      <c r="M44" s="9"/>
      <c r="N44" s="9"/>
      <c r="O44" s="9"/>
      <c r="P44" s="9"/>
      <c r="Q44" s="9"/>
      <c r="R44" s="9"/>
      <c r="S44" s="9"/>
      <c r="T44" s="9"/>
      <c r="U44" s="120"/>
      <c r="V44" s="138"/>
      <c r="W44" s="295"/>
      <c r="AC44" s="81"/>
      <c r="AD44" s="81"/>
      <c r="AE44" s="81"/>
      <c r="AF44" s="81"/>
      <c r="AG44" s="81"/>
      <c r="AH44" s="81"/>
      <c r="AI44" s="585" t="b">
        <v>1</v>
      </c>
      <c r="AJ44" s="160" t="str">
        <f>Sheet1!$K$8</f>
        <v>Hampshire</v>
      </c>
      <c r="AK44" s="87" t="str">
        <f>IF(AI44=TRUE,Sheet1!$K8,"")</f>
        <v>Hampshire</v>
      </c>
      <c r="AL44" s="146" t="e">
        <f t="shared" si="18"/>
        <v>#N/A</v>
      </c>
      <c r="AM44" s="146" t="e">
        <f t="shared" si="14"/>
        <v>#N/A</v>
      </c>
      <c r="AN44" s="146" t="e">
        <f t="shared" si="14"/>
        <v>#N/A</v>
      </c>
      <c r="AO44" s="146" t="e">
        <f t="shared" si="14"/>
        <v>#N/A</v>
      </c>
      <c r="AP44" s="146" t="e">
        <f t="shared" si="14"/>
        <v>#N/A</v>
      </c>
      <c r="AQ44" s="171" t="b">
        <f t="shared" si="19"/>
        <v>0</v>
      </c>
      <c r="AR44" s="147">
        <f t="shared" si="20"/>
        <v>10.100000000000001</v>
      </c>
      <c r="AS44" s="171" t="e">
        <f t="shared" si="15"/>
        <v>#N/A</v>
      </c>
      <c r="AT44" s="171" t="e">
        <f t="shared" si="15"/>
        <v>#N/A</v>
      </c>
      <c r="AU44" s="171" t="e">
        <f t="shared" si="15"/>
        <v>#N/A</v>
      </c>
      <c r="AV44" s="171" t="e">
        <f t="shared" si="15"/>
        <v>#N/A</v>
      </c>
      <c r="AW44" s="171" t="e">
        <f t="shared" si="15"/>
        <v>#N/A</v>
      </c>
      <c r="AX44" s="171" t="b">
        <f t="shared" si="21"/>
        <v>0</v>
      </c>
      <c r="AY44" s="171" t="e">
        <f t="shared" si="16"/>
        <v>#N/A</v>
      </c>
      <c r="AZ44" s="171" t="e">
        <f t="shared" si="16"/>
        <v>#N/A</v>
      </c>
      <c r="BA44" s="171" t="e">
        <f t="shared" si="16"/>
        <v>#N/A</v>
      </c>
      <c r="BB44" s="171" t="e">
        <f t="shared" si="16"/>
        <v>#N/A</v>
      </c>
      <c r="BC44" s="171" t="e">
        <f t="shared" si="16"/>
        <v>#N/A</v>
      </c>
      <c r="BD44" s="171" t="b">
        <f t="shared" si="17"/>
        <v>0</v>
      </c>
    </row>
    <row r="45" spans="1:56" ht="14.25" customHeight="1" x14ac:dyDescent="0.2">
      <c r="A45" s="278"/>
      <c r="B45" s="227"/>
      <c r="C45" s="227"/>
      <c r="D45" s="227"/>
      <c r="E45" s="227"/>
      <c r="F45" s="227"/>
      <c r="G45" s="227"/>
      <c r="H45" s="227"/>
      <c r="I45" s="227"/>
      <c r="J45" s="12"/>
      <c r="K45" s="12"/>
      <c r="L45" s="14"/>
      <c r="M45" s="14"/>
      <c r="N45" s="14"/>
      <c r="O45" s="14"/>
      <c r="P45" s="9"/>
      <c r="Q45" s="9"/>
      <c r="R45" s="9"/>
      <c r="S45" s="9"/>
      <c r="T45" s="9"/>
      <c r="U45" s="117"/>
      <c r="V45" s="137"/>
      <c r="W45" s="294"/>
      <c r="AI45" s="585" t="b">
        <v>1</v>
      </c>
      <c r="AJ45" s="160" t="str">
        <f>Sheet1!$K$9</f>
        <v>Isle of Wight</v>
      </c>
      <c r="AK45" s="87" t="str">
        <f>IF(AI45=TRUE,Sheet1!$K9,"")</f>
        <v>Isle of Wight</v>
      </c>
      <c r="AL45" s="146" t="e">
        <f t="shared" si="18"/>
        <v>#N/A</v>
      </c>
      <c r="AM45" s="146" t="e">
        <f t="shared" si="14"/>
        <v>#N/A</v>
      </c>
      <c r="AN45" s="146" t="e">
        <f t="shared" si="14"/>
        <v>#N/A</v>
      </c>
      <c r="AO45" s="146" t="e">
        <f t="shared" si="14"/>
        <v>#N/A</v>
      </c>
      <c r="AP45" s="146" t="e">
        <f t="shared" si="14"/>
        <v>#N/A</v>
      </c>
      <c r="AQ45" s="171" t="b">
        <f t="shared" si="19"/>
        <v>0</v>
      </c>
      <c r="AR45" s="147">
        <f t="shared" si="20"/>
        <v>18</v>
      </c>
      <c r="AS45" s="171" t="e">
        <f t="shared" si="15"/>
        <v>#N/A</v>
      </c>
      <c r="AT45" s="171" t="e">
        <f t="shared" si="15"/>
        <v>#N/A</v>
      </c>
      <c r="AU45" s="171" t="e">
        <f t="shared" si="15"/>
        <v>#N/A</v>
      </c>
      <c r="AV45" s="171" t="e">
        <f t="shared" si="15"/>
        <v>#N/A</v>
      </c>
      <c r="AW45" s="171" t="e">
        <f t="shared" si="15"/>
        <v>#N/A</v>
      </c>
      <c r="AX45" s="171" t="b">
        <f t="shared" si="21"/>
        <v>0</v>
      </c>
      <c r="AY45" s="171" t="e">
        <f t="shared" si="16"/>
        <v>#N/A</v>
      </c>
      <c r="AZ45" s="171" t="e">
        <f t="shared" si="16"/>
        <v>#N/A</v>
      </c>
      <c r="BA45" s="171" t="e">
        <f t="shared" si="16"/>
        <v>#N/A</v>
      </c>
      <c r="BB45" s="171" t="e">
        <f t="shared" si="16"/>
        <v>#N/A</v>
      </c>
      <c r="BC45" s="171" t="e">
        <f t="shared" si="16"/>
        <v>#N/A</v>
      </c>
      <c r="BD45" s="171" t="b">
        <f t="shared" si="17"/>
        <v>0</v>
      </c>
    </row>
    <row r="46" spans="1:56" ht="14.25" customHeight="1" x14ac:dyDescent="0.2">
      <c r="A46" s="278"/>
      <c r="B46" s="227"/>
      <c r="C46" s="227"/>
      <c r="D46" s="227"/>
      <c r="E46" s="227"/>
      <c r="F46" s="227"/>
      <c r="G46" s="227"/>
      <c r="H46" s="227"/>
      <c r="I46" s="227"/>
      <c r="J46" s="12"/>
      <c r="K46" s="12"/>
      <c r="L46" s="14"/>
      <c r="M46" s="14"/>
      <c r="N46" s="14"/>
      <c r="O46" s="14"/>
      <c r="P46" s="9"/>
      <c r="Q46" s="9"/>
      <c r="R46" s="9"/>
      <c r="S46" s="9"/>
      <c r="T46" s="9"/>
      <c r="U46" s="117"/>
      <c r="V46" s="137"/>
      <c r="W46" s="294"/>
      <c r="AC46" s="207"/>
      <c r="AI46" s="585" t="b">
        <v>1</v>
      </c>
      <c r="AJ46" s="160" t="str">
        <f>Sheet1!$K$10</f>
        <v>Kent</v>
      </c>
      <c r="AK46" s="87" t="str">
        <f>IF(AI46=TRUE,Sheet1!$K10,"")</f>
        <v>Kent</v>
      </c>
      <c r="AL46" s="146" t="e">
        <f t="shared" si="18"/>
        <v>#N/A</v>
      </c>
      <c r="AM46" s="146" t="e">
        <f t="shared" si="14"/>
        <v>#N/A</v>
      </c>
      <c r="AN46" s="146" t="e">
        <f t="shared" si="14"/>
        <v>#N/A</v>
      </c>
      <c r="AO46" s="146" t="e">
        <f t="shared" si="14"/>
        <v>#N/A</v>
      </c>
      <c r="AP46" s="146" t="e">
        <f t="shared" si="14"/>
        <v>#N/A</v>
      </c>
      <c r="AQ46" s="171" t="b">
        <f t="shared" si="19"/>
        <v>0</v>
      </c>
      <c r="AR46" s="147">
        <f t="shared" si="20"/>
        <v>15.8</v>
      </c>
      <c r="AS46" s="171" t="e">
        <f t="shared" si="15"/>
        <v>#N/A</v>
      </c>
      <c r="AT46" s="171" t="e">
        <f t="shared" si="15"/>
        <v>#N/A</v>
      </c>
      <c r="AU46" s="171" t="e">
        <f t="shared" si="15"/>
        <v>#N/A</v>
      </c>
      <c r="AV46" s="171" t="e">
        <f t="shared" si="15"/>
        <v>#N/A</v>
      </c>
      <c r="AW46" s="171" t="e">
        <f t="shared" si="15"/>
        <v>#N/A</v>
      </c>
      <c r="AX46" s="171" t="b">
        <f t="shared" si="21"/>
        <v>0</v>
      </c>
      <c r="AY46" s="171" t="e">
        <f t="shared" si="16"/>
        <v>#N/A</v>
      </c>
      <c r="AZ46" s="171" t="e">
        <f t="shared" si="16"/>
        <v>#N/A</v>
      </c>
      <c r="BA46" s="171" t="e">
        <f t="shared" si="16"/>
        <v>#N/A</v>
      </c>
      <c r="BB46" s="171" t="e">
        <f t="shared" si="16"/>
        <v>#N/A</v>
      </c>
      <c r="BC46" s="171" t="e">
        <f t="shared" si="16"/>
        <v>#N/A</v>
      </c>
      <c r="BD46" s="171" t="b">
        <f t="shared" si="17"/>
        <v>0</v>
      </c>
    </row>
    <row r="47" spans="1:56" ht="14.25" customHeight="1" x14ac:dyDescent="0.2">
      <c r="A47" s="278"/>
      <c r="B47" s="58"/>
      <c r="C47" s="58"/>
      <c r="D47" s="58"/>
      <c r="E47" s="58"/>
      <c r="F47" s="58"/>
      <c r="G47" s="58"/>
      <c r="H47" s="58"/>
      <c r="I47" s="58"/>
      <c r="J47" s="12"/>
      <c r="K47" s="12"/>
      <c r="L47" s="14"/>
      <c r="M47" s="14"/>
      <c r="N47" s="14"/>
      <c r="O47" s="14"/>
      <c r="P47" s="9"/>
      <c r="Q47" s="9"/>
      <c r="R47" s="9"/>
      <c r="S47" s="9"/>
      <c r="T47" s="9"/>
      <c r="U47" s="117"/>
      <c r="V47" s="137"/>
      <c r="W47" s="294"/>
      <c r="AC47" s="184"/>
      <c r="AI47" s="585" t="b">
        <v>1</v>
      </c>
      <c r="AJ47" s="160" t="str">
        <f>Sheet1!$K$11</f>
        <v>Medway</v>
      </c>
      <c r="AK47" s="87" t="str">
        <f>IF(AI47=TRUE,Sheet1!$K11,"")</f>
        <v>Medway</v>
      </c>
      <c r="AL47" s="146" t="e">
        <f t="shared" si="18"/>
        <v>#N/A</v>
      </c>
      <c r="AM47" s="146" t="e">
        <f t="shared" si="14"/>
        <v>#N/A</v>
      </c>
      <c r="AN47" s="146" t="e">
        <f t="shared" si="14"/>
        <v>#N/A</v>
      </c>
      <c r="AO47" s="146" t="e">
        <f t="shared" si="14"/>
        <v>#N/A</v>
      </c>
      <c r="AP47" s="146" t="e">
        <f t="shared" si="14"/>
        <v>#N/A</v>
      </c>
      <c r="AQ47" s="171" t="b">
        <f t="shared" si="19"/>
        <v>0</v>
      </c>
      <c r="AR47" s="147">
        <f t="shared" si="20"/>
        <v>18.899999999999999</v>
      </c>
      <c r="AS47" s="171" t="e">
        <f t="shared" si="15"/>
        <v>#N/A</v>
      </c>
      <c r="AT47" s="171" t="e">
        <f t="shared" si="15"/>
        <v>#N/A</v>
      </c>
      <c r="AU47" s="171" t="e">
        <f t="shared" si="15"/>
        <v>#N/A</v>
      </c>
      <c r="AV47" s="171" t="e">
        <f t="shared" si="15"/>
        <v>#N/A</v>
      </c>
      <c r="AW47" s="171" t="e">
        <f t="shared" si="15"/>
        <v>#N/A</v>
      </c>
      <c r="AX47" s="171" t="b">
        <f t="shared" si="21"/>
        <v>0</v>
      </c>
      <c r="AY47" s="171" t="e">
        <f t="shared" si="16"/>
        <v>#N/A</v>
      </c>
      <c r="AZ47" s="171" t="e">
        <f t="shared" si="16"/>
        <v>#N/A</v>
      </c>
      <c r="BA47" s="171" t="e">
        <f t="shared" si="16"/>
        <v>#N/A</v>
      </c>
      <c r="BB47" s="171" t="e">
        <f t="shared" si="16"/>
        <v>#N/A</v>
      </c>
      <c r="BC47" s="171" t="e">
        <f t="shared" si="16"/>
        <v>#N/A</v>
      </c>
      <c r="BD47" s="171" t="b">
        <f t="shared" si="17"/>
        <v>0</v>
      </c>
    </row>
    <row r="48" spans="1:56" ht="14.25" customHeight="1" x14ac:dyDescent="0.2">
      <c r="A48" s="278"/>
      <c r="B48" s="58"/>
      <c r="C48" s="58"/>
      <c r="D48" s="69"/>
      <c r="E48" s="70"/>
      <c r="F48" s="69"/>
      <c r="G48" s="70"/>
      <c r="H48" s="70"/>
      <c r="I48" s="70"/>
      <c r="J48" s="12"/>
      <c r="K48" s="12"/>
      <c r="L48" s="14"/>
      <c r="M48" s="14"/>
      <c r="N48" s="14"/>
      <c r="O48" s="14"/>
      <c r="P48" s="9"/>
      <c r="Q48" s="9"/>
      <c r="R48" s="9"/>
      <c r="S48" s="9"/>
      <c r="T48" s="9"/>
      <c r="U48" s="117"/>
      <c r="V48" s="137"/>
      <c r="W48" s="294"/>
      <c r="AI48" s="585" t="b">
        <v>1</v>
      </c>
      <c r="AJ48" s="160" t="str">
        <f>Sheet1!$K$12</f>
        <v>Milton Keynes</v>
      </c>
      <c r="AK48" s="87" t="str">
        <f>IF(AI48=TRUE,Sheet1!$K12,"")</f>
        <v>Milton Keynes</v>
      </c>
      <c r="AL48" s="146" t="e">
        <f t="shared" si="18"/>
        <v>#N/A</v>
      </c>
      <c r="AM48" s="146" t="e">
        <f t="shared" si="14"/>
        <v>#N/A</v>
      </c>
      <c r="AN48" s="146" t="e">
        <f t="shared" si="14"/>
        <v>#N/A</v>
      </c>
      <c r="AO48" s="146" t="e">
        <f t="shared" si="14"/>
        <v>#N/A</v>
      </c>
      <c r="AP48" s="146" t="e">
        <f t="shared" si="14"/>
        <v>#N/A</v>
      </c>
      <c r="AQ48" s="171" t="b">
        <f t="shared" si="19"/>
        <v>0</v>
      </c>
      <c r="AR48" s="147">
        <f t="shared" si="20"/>
        <v>15</v>
      </c>
      <c r="AS48" s="171" t="e">
        <f t="shared" si="15"/>
        <v>#N/A</v>
      </c>
      <c r="AT48" s="171" t="e">
        <f t="shared" si="15"/>
        <v>#N/A</v>
      </c>
      <c r="AU48" s="171" t="e">
        <f t="shared" si="15"/>
        <v>#N/A</v>
      </c>
      <c r="AV48" s="171" t="e">
        <f t="shared" si="15"/>
        <v>#N/A</v>
      </c>
      <c r="AW48" s="171" t="e">
        <f t="shared" si="15"/>
        <v>#N/A</v>
      </c>
      <c r="AX48" s="171" t="b">
        <f t="shared" si="21"/>
        <v>0</v>
      </c>
      <c r="AY48" s="171" t="e">
        <f t="shared" si="16"/>
        <v>#N/A</v>
      </c>
      <c r="AZ48" s="171" t="e">
        <f t="shared" si="16"/>
        <v>#N/A</v>
      </c>
      <c r="BA48" s="171" t="e">
        <f t="shared" si="16"/>
        <v>#N/A</v>
      </c>
      <c r="BB48" s="171" t="e">
        <f t="shared" si="16"/>
        <v>#N/A</v>
      </c>
      <c r="BC48" s="171" t="e">
        <f t="shared" si="16"/>
        <v>#N/A</v>
      </c>
      <c r="BD48" s="171" t="b">
        <f t="shared" si="17"/>
        <v>0</v>
      </c>
    </row>
    <row r="49" spans="1:56" ht="14.25" customHeight="1" x14ac:dyDescent="0.2">
      <c r="A49" s="278"/>
      <c r="B49" s="58"/>
      <c r="C49" s="58"/>
      <c r="D49" s="61"/>
      <c r="E49" s="61"/>
      <c r="F49" s="61"/>
      <c r="G49" s="61"/>
      <c r="H49" s="61"/>
      <c r="I49" s="61"/>
      <c r="J49" s="12"/>
      <c r="K49" s="12"/>
      <c r="L49" s="14"/>
      <c r="M49" s="14"/>
      <c r="N49" s="14"/>
      <c r="O49" s="14"/>
      <c r="P49" s="9"/>
      <c r="Q49" s="9"/>
      <c r="R49" s="9"/>
      <c r="S49" s="9"/>
      <c r="T49" s="9"/>
      <c r="U49" s="117"/>
      <c r="V49" s="137"/>
      <c r="W49" s="294"/>
      <c r="AI49" s="585" t="b">
        <v>1</v>
      </c>
      <c r="AJ49" s="160" t="str">
        <f>Sheet1!$K$13</f>
        <v>Oxfordshire</v>
      </c>
      <c r="AK49" s="87" t="str">
        <f>IF(AI49=TRUE,Sheet1!$K13,"")</f>
        <v>Oxfordshire</v>
      </c>
      <c r="AL49" s="146" t="e">
        <f t="shared" si="18"/>
        <v>#N/A</v>
      </c>
      <c r="AM49" s="146" t="e">
        <f t="shared" si="14"/>
        <v>#N/A</v>
      </c>
      <c r="AN49" s="146" t="e">
        <f t="shared" si="14"/>
        <v>#N/A</v>
      </c>
      <c r="AO49" s="146" t="e">
        <f t="shared" si="14"/>
        <v>#N/A</v>
      </c>
      <c r="AP49" s="146" t="e">
        <f t="shared" si="14"/>
        <v>#N/A</v>
      </c>
      <c r="AQ49" s="171" t="b">
        <f t="shared" si="19"/>
        <v>0</v>
      </c>
      <c r="AR49" s="147">
        <f t="shared" si="20"/>
        <v>10.100000000000001</v>
      </c>
      <c r="AS49" s="171" t="e">
        <f t="shared" si="15"/>
        <v>#N/A</v>
      </c>
      <c r="AT49" s="171" t="e">
        <f t="shared" si="15"/>
        <v>#N/A</v>
      </c>
      <c r="AU49" s="171" t="e">
        <f t="shared" si="15"/>
        <v>#N/A</v>
      </c>
      <c r="AV49" s="171" t="e">
        <f t="shared" si="15"/>
        <v>#N/A</v>
      </c>
      <c r="AW49" s="171" t="e">
        <f t="shared" si="15"/>
        <v>#N/A</v>
      </c>
      <c r="AX49" s="171" t="b">
        <f t="shared" si="21"/>
        <v>0</v>
      </c>
      <c r="AY49" s="171" t="e">
        <f t="shared" si="16"/>
        <v>#N/A</v>
      </c>
      <c r="AZ49" s="171" t="e">
        <f t="shared" si="16"/>
        <v>#N/A</v>
      </c>
      <c r="BA49" s="171" t="e">
        <f t="shared" si="16"/>
        <v>#N/A</v>
      </c>
      <c r="BB49" s="171" t="e">
        <f t="shared" si="16"/>
        <v>#N/A</v>
      </c>
      <c r="BC49" s="171" t="e">
        <f t="shared" si="16"/>
        <v>#N/A</v>
      </c>
      <c r="BD49" s="171" t="b">
        <f t="shared" si="17"/>
        <v>0</v>
      </c>
    </row>
    <row r="50" spans="1:56" ht="14.25" customHeight="1" x14ac:dyDescent="0.2">
      <c r="A50" s="278"/>
      <c r="B50" s="421"/>
      <c r="C50" s="421"/>
      <c r="D50" s="58"/>
      <c r="E50" s="58"/>
      <c r="F50" s="58"/>
      <c r="G50" s="58"/>
      <c r="H50" s="58"/>
      <c r="I50" s="58"/>
      <c r="J50" s="12"/>
      <c r="K50" s="12"/>
      <c r="L50" s="14"/>
      <c r="M50" s="14"/>
      <c r="N50" s="14"/>
      <c r="O50" s="14"/>
      <c r="P50" s="9"/>
      <c r="Q50" s="9"/>
      <c r="R50" s="9"/>
      <c r="S50" s="9"/>
      <c r="T50" s="9"/>
      <c r="U50" s="117"/>
      <c r="V50" s="137"/>
      <c r="W50" s="294"/>
      <c r="AI50" s="585" t="b">
        <v>1</v>
      </c>
      <c r="AJ50" s="160" t="str">
        <f>Sheet1!$K$14</f>
        <v>Portsmouth</v>
      </c>
      <c r="AK50" s="87" t="str">
        <f>IF(AI50=TRUE,Sheet1!$K14,"")</f>
        <v>Portsmouth</v>
      </c>
      <c r="AL50" s="146" t="e">
        <f t="shared" si="18"/>
        <v>#N/A</v>
      </c>
      <c r="AM50" s="146" t="e">
        <f t="shared" si="14"/>
        <v>#N/A</v>
      </c>
      <c r="AN50" s="146" t="e">
        <f t="shared" si="14"/>
        <v>#N/A</v>
      </c>
      <c r="AO50" s="146" t="e">
        <f t="shared" si="14"/>
        <v>#N/A</v>
      </c>
      <c r="AP50" s="146" t="e">
        <f t="shared" si="14"/>
        <v>#N/A</v>
      </c>
      <c r="AQ50" s="171" t="b">
        <f t="shared" si="19"/>
        <v>0</v>
      </c>
      <c r="AR50" s="147">
        <f t="shared" si="20"/>
        <v>20.200000000000003</v>
      </c>
      <c r="AS50" s="171" t="e">
        <f t="shared" ref="AS50:AW62" si="22">VLOOKUP($AK50,$B$76:$H$98,AS$37,FALSE)</f>
        <v>#N/A</v>
      </c>
      <c r="AT50" s="171" t="e">
        <f t="shared" si="22"/>
        <v>#N/A</v>
      </c>
      <c r="AU50" s="171" t="e">
        <f t="shared" si="22"/>
        <v>#N/A</v>
      </c>
      <c r="AV50" s="171" t="e">
        <f t="shared" si="22"/>
        <v>#N/A</v>
      </c>
      <c r="AW50" s="171" t="e">
        <f t="shared" si="22"/>
        <v>#N/A</v>
      </c>
      <c r="AX50" s="171" t="b">
        <f t="shared" si="21"/>
        <v>0</v>
      </c>
      <c r="AY50" s="171" t="e">
        <f t="shared" ref="AY50:BC62" si="23">VLOOKUP($AK50,$B$111:$H$133,AY$37,FALSE)</f>
        <v>#N/A</v>
      </c>
      <c r="AZ50" s="171" t="e">
        <f t="shared" si="23"/>
        <v>#N/A</v>
      </c>
      <c r="BA50" s="171" t="e">
        <f t="shared" si="23"/>
        <v>#N/A</v>
      </c>
      <c r="BB50" s="171" t="e">
        <f t="shared" si="23"/>
        <v>#N/A</v>
      </c>
      <c r="BC50" s="171" t="e">
        <f t="shared" si="23"/>
        <v>#N/A</v>
      </c>
      <c r="BD50" s="171" t="b">
        <f t="shared" si="17"/>
        <v>0</v>
      </c>
    </row>
    <row r="51" spans="1:56" ht="14.25" customHeight="1" x14ac:dyDescent="0.2">
      <c r="A51" s="278"/>
      <c r="B51" s="421"/>
      <c r="C51" s="421"/>
      <c r="D51" s="58"/>
      <c r="E51" s="58"/>
      <c r="F51" s="58"/>
      <c r="G51" s="58"/>
      <c r="H51" s="58"/>
      <c r="I51" s="58"/>
      <c r="J51" s="12"/>
      <c r="K51" s="12"/>
      <c r="L51" s="14"/>
      <c r="M51" s="14"/>
      <c r="N51" s="14"/>
      <c r="O51" s="14"/>
      <c r="P51" s="9"/>
      <c r="Q51" s="9"/>
      <c r="R51" s="9"/>
      <c r="S51" s="9"/>
      <c r="T51" s="9"/>
      <c r="U51" s="117"/>
      <c r="V51" s="137"/>
      <c r="W51" s="294"/>
      <c r="AI51" s="585" t="b">
        <v>1</v>
      </c>
      <c r="AJ51" s="160" t="str">
        <f>Sheet1!$K$15</f>
        <v>Reading</v>
      </c>
      <c r="AK51" s="87" t="str">
        <f>IF(AI51=TRUE,Sheet1!$K15,"")</f>
        <v>Reading</v>
      </c>
      <c r="AL51" s="146" t="e">
        <f t="shared" si="18"/>
        <v>#N/A</v>
      </c>
      <c r="AM51" s="146" t="e">
        <f t="shared" si="14"/>
        <v>#N/A</v>
      </c>
      <c r="AN51" s="146" t="e">
        <f t="shared" si="14"/>
        <v>#N/A</v>
      </c>
      <c r="AO51" s="146" t="e">
        <f t="shared" si="14"/>
        <v>#N/A</v>
      </c>
      <c r="AP51" s="146" t="e">
        <f t="shared" si="14"/>
        <v>#N/A</v>
      </c>
      <c r="AQ51" s="171" t="b">
        <f t="shared" si="19"/>
        <v>0</v>
      </c>
      <c r="AR51" s="147">
        <f t="shared" si="20"/>
        <v>16</v>
      </c>
      <c r="AS51" s="171" t="e">
        <f t="shared" si="22"/>
        <v>#N/A</v>
      </c>
      <c r="AT51" s="171" t="e">
        <f t="shared" si="22"/>
        <v>#N/A</v>
      </c>
      <c r="AU51" s="171" t="e">
        <f t="shared" si="22"/>
        <v>#N/A</v>
      </c>
      <c r="AV51" s="171" t="e">
        <f t="shared" si="22"/>
        <v>#N/A</v>
      </c>
      <c r="AW51" s="171" t="e">
        <f t="shared" si="22"/>
        <v>#N/A</v>
      </c>
      <c r="AX51" s="171" t="b">
        <f t="shared" si="21"/>
        <v>0</v>
      </c>
      <c r="AY51" s="171" t="e">
        <f t="shared" si="23"/>
        <v>#N/A</v>
      </c>
      <c r="AZ51" s="171" t="e">
        <f t="shared" si="23"/>
        <v>#N/A</v>
      </c>
      <c r="BA51" s="171" t="e">
        <f t="shared" si="23"/>
        <v>#N/A</v>
      </c>
      <c r="BB51" s="171" t="e">
        <f t="shared" si="23"/>
        <v>#N/A</v>
      </c>
      <c r="BC51" s="171" t="e">
        <f t="shared" si="23"/>
        <v>#N/A</v>
      </c>
      <c r="BD51" s="171" t="b">
        <f t="shared" si="17"/>
        <v>0</v>
      </c>
    </row>
    <row r="52" spans="1:56" ht="14.25" customHeight="1" x14ac:dyDescent="0.2">
      <c r="A52" s="278"/>
      <c r="B52" s="421"/>
      <c r="C52" s="421"/>
      <c r="D52" s="58"/>
      <c r="E52" s="58"/>
      <c r="F52" s="58"/>
      <c r="G52" s="58"/>
      <c r="H52" s="58"/>
      <c r="I52" s="58"/>
      <c r="J52" s="12"/>
      <c r="K52" s="12"/>
      <c r="L52" s="14"/>
      <c r="M52" s="14"/>
      <c r="N52" s="14"/>
      <c r="O52" s="14"/>
      <c r="P52" s="9"/>
      <c r="Q52" s="9"/>
      <c r="R52" s="9"/>
      <c r="S52" s="9"/>
      <c r="T52" s="9"/>
      <c r="U52" s="117"/>
      <c r="V52" s="137"/>
      <c r="W52" s="294"/>
      <c r="AI52" s="585" t="b">
        <v>1</v>
      </c>
      <c r="AJ52" s="160" t="str">
        <f>Sheet1!$K$16</f>
        <v>Slough</v>
      </c>
      <c r="AK52" s="87" t="str">
        <f>IF(AI52=TRUE,Sheet1!$K16,"")</f>
        <v>Slough</v>
      </c>
      <c r="AL52" s="146" t="e">
        <f t="shared" si="18"/>
        <v>#N/A</v>
      </c>
      <c r="AM52" s="146" t="e">
        <f t="shared" si="14"/>
        <v>#N/A</v>
      </c>
      <c r="AN52" s="146" t="e">
        <f t="shared" si="14"/>
        <v>#N/A</v>
      </c>
      <c r="AO52" s="146" t="e">
        <f t="shared" si="14"/>
        <v>#N/A</v>
      </c>
      <c r="AP52" s="146" t="e">
        <f t="shared" si="14"/>
        <v>#N/A</v>
      </c>
      <c r="AQ52" s="171" t="b">
        <f t="shared" si="19"/>
        <v>0</v>
      </c>
      <c r="AR52" s="147">
        <f t="shared" si="20"/>
        <v>14.7</v>
      </c>
      <c r="AS52" s="171" t="e">
        <f t="shared" si="22"/>
        <v>#N/A</v>
      </c>
      <c r="AT52" s="171" t="e">
        <f t="shared" si="22"/>
        <v>#N/A</v>
      </c>
      <c r="AU52" s="171" t="e">
        <f t="shared" si="22"/>
        <v>#N/A</v>
      </c>
      <c r="AV52" s="171" t="e">
        <f t="shared" si="22"/>
        <v>#N/A</v>
      </c>
      <c r="AW52" s="171" t="e">
        <f t="shared" si="22"/>
        <v>#N/A</v>
      </c>
      <c r="AX52" s="171" t="b">
        <f t="shared" si="21"/>
        <v>0</v>
      </c>
      <c r="AY52" s="171" t="e">
        <f t="shared" si="23"/>
        <v>#N/A</v>
      </c>
      <c r="AZ52" s="171" t="e">
        <f t="shared" si="23"/>
        <v>#N/A</v>
      </c>
      <c r="BA52" s="171" t="e">
        <f t="shared" si="23"/>
        <v>#N/A</v>
      </c>
      <c r="BB52" s="171" t="e">
        <f t="shared" si="23"/>
        <v>#N/A</v>
      </c>
      <c r="BC52" s="171" t="e">
        <f t="shared" si="23"/>
        <v>#N/A</v>
      </c>
      <c r="BD52" s="171" t="b">
        <f t="shared" si="17"/>
        <v>0</v>
      </c>
    </row>
    <row r="53" spans="1:56" ht="14.25" customHeight="1" x14ac:dyDescent="0.2">
      <c r="A53" s="278"/>
      <c r="B53" s="421"/>
      <c r="C53" s="421"/>
      <c r="D53" s="58"/>
      <c r="E53" s="58"/>
      <c r="F53" s="58"/>
      <c r="G53" s="58"/>
      <c r="H53" s="58"/>
      <c r="I53" s="58"/>
      <c r="J53" s="12"/>
      <c r="K53" s="12"/>
      <c r="L53" s="14"/>
      <c r="M53" s="14"/>
      <c r="N53" s="14"/>
      <c r="O53" s="14"/>
      <c r="P53" s="9"/>
      <c r="Q53" s="9"/>
      <c r="R53" s="9"/>
      <c r="S53" s="9"/>
      <c r="T53" s="9"/>
      <c r="U53" s="117"/>
      <c r="V53" s="137"/>
      <c r="W53" s="294"/>
      <c r="AI53" s="585" t="b">
        <v>1</v>
      </c>
      <c r="AJ53" s="160" t="str">
        <f>Sheet1!$K$17</f>
        <v>Somerset</v>
      </c>
      <c r="AK53" s="87" t="str">
        <f>IF(AI53=TRUE,Sheet1!$K17,"")</f>
        <v>Somerset</v>
      </c>
      <c r="AL53" s="146" t="e">
        <f t="shared" si="18"/>
        <v>#N/A</v>
      </c>
      <c r="AM53" s="146" t="e">
        <f t="shared" si="14"/>
        <v>#N/A</v>
      </c>
      <c r="AN53" s="146" t="e">
        <f t="shared" si="14"/>
        <v>#N/A</v>
      </c>
      <c r="AO53" s="146" t="e">
        <f t="shared" si="14"/>
        <v>#N/A</v>
      </c>
      <c r="AP53" s="146" t="e">
        <f t="shared" si="14"/>
        <v>#N/A</v>
      </c>
      <c r="AQ53" s="171" t="b">
        <f t="shared" si="19"/>
        <v>0</v>
      </c>
      <c r="AR53" s="147">
        <f t="shared" si="20"/>
        <v>13.600000000000001</v>
      </c>
      <c r="AS53" s="171" t="e">
        <f t="shared" si="22"/>
        <v>#N/A</v>
      </c>
      <c r="AT53" s="171" t="e">
        <f t="shared" si="22"/>
        <v>#N/A</v>
      </c>
      <c r="AU53" s="171" t="e">
        <f t="shared" si="22"/>
        <v>#N/A</v>
      </c>
      <c r="AV53" s="171" t="e">
        <f t="shared" si="22"/>
        <v>#N/A</v>
      </c>
      <c r="AW53" s="171" t="e">
        <f t="shared" si="22"/>
        <v>#N/A</v>
      </c>
      <c r="AX53" s="171" t="b">
        <f t="shared" si="21"/>
        <v>0</v>
      </c>
      <c r="AY53" s="171" t="e">
        <f t="shared" si="23"/>
        <v>#N/A</v>
      </c>
      <c r="AZ53" s="171" t="e">
        <f t="shared" si="23"/>
        <v>#N/A</v>
      </c>
      <c r="BA53" s="171" t="e">
        <f t="shared" si="23"/>
        <v>#N/A</v>
      </c>
      <c r="BB53" s="171" t="e">
        <f t="shared" si="23"/>
        <v>#N/A</v>
      </c>
      <c r="BC53" s="171" t="e">
        <f t="shared" si="23"/>
        <v>#N/A</v>
      </c>
      <c r="BD53" s="171" t="b">
        <f t="shared" si="17"/>
        <v>0</v>
      </c>
    </row>
    <row r="54" spans="1:56" ht="14.25" customHeight="1" x14ac:dyDescent="0.2">
      <c r="A54" s="278"/>
      <c r="B54" s="421"/>
      <c r="C54" s="421"/>
      <c r="D54" s="58"/>
      <c r="E54" s="58"/>
      <c r="F54" s="58"/>
      <c r="G54" s="58"/>
      <c r="H54" s="58"/>
      <c r="I54" s="58"/>
      <c r="J54" s="12"/>
      <c r="K54" s="12"/>
      <c r="L54" s="14"/>
      <c r="M54" s="14"/>
      <c r="N54" s="14"/>
      <c r="O54" s="14"/>
      <c r="P54" s="9"/>
      <c r="Q54" s="9"/>
      <c r="R54" s="9"/>
      <c r="S54" s="9"/>
      <c r="T54" s="9"/>
      <c r="U54" s="117"/>
      <c r="V54" s="137"/>
      <c r="W54" s="294"/>
      <c r="AI54" s="585" t="b">
        <v>1</v>
      </c>
      <c r="AJ54" s="160" t="str">
        <f>Sheet1!$K$18</f>
        <v>Southampton</v>
      </c>
      <c r="AK54" s="87" t="str">
        <f>IF(AI54=TRUE,Sheet1!$K18,"")</f>
        <v>Southampton</v>
      </c>
      <c r="AL54" s="146" t="e">
        <f t="shared" si="18"/>
        <v>#N/A</v>
      </c>
      <c r="AM54" s="146" t="e">
        <f t="shared" si="14"/>
        <v>#N/A</v>
      </c>
      <c r="AN54" s="146" t="e">
        <f t="shared" si="14"/>
        <v>#N/A</v>
      </c>
      <c r="AO54" s="146" t="e">
        <f t="shared" si="14"/>
        <v>#N/A</v>
      </c>
      <c r="AP54" s="146" t="e">
        <f t="shared" si="14"/>
        <v>#N/A</v>
      </c>
      <c r="AQ54" s="171" t="b">
        <f t="shared" si="19"/>
        <v>0</v>
      </c>
      <c r="AR54" s="147">
        <f t="shared" si="20"/>
        <v>20.5</v>
      </c>
      <c r="AS54" s="171" t="e">
        <f t="shared" si="22"/>
        <v>#N/A</v>
      </c>
      <c r="AT54" s="171" t="e">
        <f t="shared" si="22"/>
        <v>#N/A</v>
      </c>
      <c r="AU54" s="171" t="e">
        <f t="shared" si="22"/>
        <v>#N/A</v>
      </c>
      <c r="AV54" s="171" t="e">
        <f t="shared" si="22"/>
        <v>#N/A</v>
      </c>
      <c r="AW54" s="171" t="e">
        <f t="shared" si="22"/>
        <v>#N/A</v>
      </c>
      <c r="AX54" s="171" t="b">
        <f t="shared" si="21"/>
        <v>0</v>
      </c>
      <c r="AY54" s="171" t="e">
        <f t="shared" si="23"/>
        <v>#N/A</v>
      </c>
      <c r="AZ54" s="171" t="e">
        <f t="shared" si="23"/>
        <v>#N/A</v>
      </c>
      <c r="BA54" s="171" t="e">
        <f t="shared" si="23"/>
        <v>#N/A</v>
      </c>
      <c r="BB54" s="171" t="e">
        <f t="shared" si="23"/>
        <v>#N/A</v>
      </c>
      <c r="BC54" s="171" t="e">
        <f t="shared" si="23"/>
        <v>#N/A</v>
      </c>
      <c r="BD54" s="171" t="b">
        <f t="shared" si="17"/>
        <v>0</v>
      </c>
    </row>
    <row r="55" spans="1:56" ht="14.25" customHeight="1" x14ac:dyDescent="0.2">
      <c r="A55" s="278"/>
      <c r="B55" s="421"/>
      <c r="C55" s="421"/>
      <c r="D55" s="58"/>
      <c r="E55" s="58"/>
      <c r="F55" s="58"/>
      <c r="G55" s="58"/>
      <c r="H55" s="58"/>
      <c r="I55" s="58"/>
      <c r="J55" s="12"/>
      <c r="K55" s="12"/>
      <c r="L55" s="14"/>
      <c r="M55" s="14"/>
      <c r="N55" s="14"/>
      <c r="O55" s="14"/>
      <c r="P55" s="9"/>
      <c r="Q55" s="9"/>
      <c r="R55" s="9"/>
      <c r="S55" s="9"/>
      <c r="T55" s="9"/>
      <c r="U55" s="117"/>
      <c r="V55" s="137"/>
      <c r="W55" s="294"/>
      <c r="AI55" s="585" t="b">
        <v>1</v>
      </c>
      <c r="AJ55" s="160" t="str">
        <f>Sheet1!$K$19</f>
        <v>Surrey</v>
      </c>
      <c r="AK55" s="87" t="str">
        <f>IF(AI55=TRUE,Sheet1!$K19,"")</f>
        <v>Surrey</v>
      </c>
      <c r="AL55" s="146" t="e">
        <f t="shared" si="18"/>
        <v>#N/A</v>
      </c>
      <c r="AM55" s="146" t="e">
        <f t="shared" si="14"/>
        <v>#N/A</v>
      </c>
      <c r="AN55" s="146" t="e">
        <f t="shared" si="14"/>
        <v>#N/A</v>
      </c>
      <c r="AO55" s="146" t="e">
        <f t="shared" si="14"/>
        <v>#N/A</v>
      </c>
      <c r="AP55" s="146" t="e">
        <f t="shared" si="14"/>
        <v>#N/A</v>
      </c>
      <c r="AQ55" s="171" t="b">
        <f t="shared" si="19"/>
        <v>0</v>
      </c>
      <c r="AR55" s="147">
        <f t="shared" si="20"/>
        <v>8.3000000000000007</v>
      </c>
      <c r="AS55" s="171" t="e">
        <f t="shared" si="22"/>
        <v>#N/A</v>
      </c>
      <c r="AT55" s="171" t="e">
        <f t="shared" si="22"/>
        <v>#N/A</v>
      </c>
      <c r="AU55" s="171" t="e">
        <f t="shared" si="22"/>
        <v>#N/A</v>
      </c>
      <c r="AV55" s="171" t="e">
        <f t="shared" si="22"/>
        <v>#N/A</v>
      </c>
      <c r="AW55" s="171" t="e">
        <f t="shared" si="22"/>
        <v>#N/A</v>
      </c>
      <c r="AX55" s="171" t="b">
        <f t="shared" si="21"/>
        <v>0</v>
      </c>
      <c r="AY55" s="171" t="e">
        <f t="shared" si="23"/>
        <v>#N/A</v>
      </c>
      <c r="AZ55" s="171" t="e">
        <f t="shared" si="23"/>
        <v>#N/A</v>
      </c>
      <c r="BA55" s="171" t="e">
        <f t="shared" si="23"/>
        <v>#N/A</v>
      </c>
      <c r="BB55" s="171" t="e">
        <f t="shared" si="23"/>
        <v>#N/A</v>
      </c>
      <c r="BC55" s="171" t="e">
        <f t="shared" si="23"/>
        <v>#N/A</v>
      </c>
      <c r="BD55" s="171" t="b">
        <f t="shared" si="17"/>
        <v>0</v>
      </c>
    </row>
    <row r="56" spans="1:56" ht="14.25" customHeight="1" x14ac:dyDescent="0.2">
      <c r="A56" s="278"/>
      <c r="B56" s="421"/>
      <c r="C56" s="421"/>
      <c r="D56" s="58"/>
      <c r="E56" s="58"/>
      <c r="F56" s="58"/>
      <c r="G56" s="58"/>
      <c r="H56" s="58"/>
      <c r="I56" s="58"/>
      <c r="J56" s="12"/>
      <c r="K56" s="12"/>
      <c r="L56" s="14"/>
      <c r="M56" s="14"/>
      <c r="N56" s="14"/>
      <c r="O56" s="14"/>
      <c r="P56" s="9"/>
      <c r="Q56" s="9"/>
      <c r="R56" s="9"/>
      <c r="S56" s="9"/>
      <c r="T56" s="9"/>
      <c r="U56" s="117"/>
      <c r="V56" s="137"/>
      <c r="W56" s="294"/>
      <c r="AI56" s="585" t="b">
        <v>1</v>
      </c>
      <c r="AJ56" s="160" t="str">
        <f>Sheet1!$K$20</f>
        <v>Swindon</v>
      </c>
      <c r="AK56" s="87" t="str">
        <f>IF(AI56=TRUE,Sheet1!$K20,"")</f>
        <v>Swindon</v>
      </c>
      <c r="AL56" s="146" t="e">
        <f t="shared" si="18"/>
        <v>#N/A</v>
      </c>
      <c r="AM56" s="146" t="e">
        <f t="shared" si="18"/>
        <v>#N/A</v>
      </c>
      <c r="AN56" s="146" t="e">
        <f t="shared" si="18"/>
        <v>#N/A</v>
      </c>
      <c r="AO56" s="146" t="e">
        <f t="shared" si="18"/>
        <v>#N/A</v>
      </c>
      <c r="AP56" s="146" t="e">
        <f t="shared" si="18"/>
        <v>#N/A</v>
      </c>
      <c r="AQ56" s="171" t="b">
        <f t="shared" si="19"/>
        <v>0</v>
      </c>
      <c r="AR56" s="147">
        <f t="shared" si="20"/>
        <v>14.899999999999999</v>
      </c>
      <c r="AS56" s="171" t="e">
        <f t="shared" si="22"/>
        <v>#N/A</v>
      </c>
      <c r="AT56" s="171" t="e">
        <f t="shared" si="22"/>
        <v>#N/A</v>
      </c>
      <c r="AU56" s="171" t="e">
        <f t="shared" si="22"/>
        <v>#N/A</v>
      </c>
      <c r="AV56" s="171" t="e">
        <f t="shared" si="22"/>
        <v>#N/A</v>
      </c>
      <c r="AW56" s="171" t="e">
        <f t="shared" si="22"/>
        <v>#N/A</v>
      </c>
      <c r="AX56" s="171" t="b">
        <f t="shared" si="21"/>
        <v>0</v>
      </c>
      <c r="AY56" s="171" t="e">
        <f t="shared" si="23"/>
        <v>#N/A</v>
      </c>
      <c r="AZ56" s="171" t="e">
        <f t="shared" si="23"/>
        <v>#N/A</v>
      </c>
      <c r="BA56" s="171" t="e">
        <f t="shared" si="23"/>
        <v>#N/A</v>
      </c>
      <c r="BB56" s="171" t="e">
        <f t="shared" si="23"/>
        <v>#N/A</v>
      </c>
      <c r="BC56" s="171" t="e">
        <f t="shared" si="23"/>
        <v>#N/A</v>
      </c>
      <c r="BD56" s="171" t="b">
        <f t="shared" si="17"/>
        <v>0</v>
      </c>
    </row>
    <row r="57" spans="1:56" ht="14.25" customHeight="1" x14ac:dyDescent="0.2">
      <c r="A57" s="278"/>
      <c r="B57" s="421"/>
      <c r="C57" s="421"/>
      <c r="D57" s="58"/>
      <c r="E57" s="58"/>
      <c r="F57" s="58"/>
      <c r="G57" s="58"/>
      <c r="H57" s="58"/>
      <c r="I57" s="58"/>
      <c r="J57" s="12"/>
      <c r="K57" s="12"/>
      <c r="L57" s="14"/>
      <c r="M57" s="14"/>
      <c r="N57" s="14"/>
      <c r="O57" s="14"/>
      <c r="P57" s="9"/>
      <c r="Q57" s="9"/>
      <c r="R57" s="9"/>
      <c r="S57" s="9"/>
      <c r="T57" s="9"/>
      <c r="U57" s="117"/>
      <c r="V57" s="137"/>
      <c r="W57" s="294"/>
      <c r="AI57" s="585" t="b">
        <v>1</v>
      </c>
      <c r="AJ57" s="160" t="str">
        <f>Sheet1!$K$21</f>
        <v>Torbay</v>
      </c>
      <c r="AK57" s="87" t="str">
        <f>IF(AI57=TRUE,Sheet1!$K21,"")</f>
        <v>Torbay</v>
      </c>
      <c r="AL57" s="146" t="e">
        <f t="shared" si="18"/>
        <v>#N/A</v>
      </c>
      <c r="AM57" s="146" t="e">
        <f t="shared" si="18"/>
        <v>#N/A</v>
      </c>
      <c r="AN57" s="146" t="e">
        <f t="shared" si="18"/>
        <v>#N/A</v>
      </c>
      <c r="AO57" s="146" t="e">
        <f t="shared" si="18"/>
        <v>#N/A</v>
      </c>
      <c r="AP57" s="146" t="e">
        <f t="shared" si="18"/>
        <v>#N/A</v>
      </c>
      <c r="AQ57" s="171" t="b">
        <f t="shared" si="19"/>
        <v>0</v>
      </c>
      <c r="AR57" s="147">
        <f t="shared" si="20"/>
        <v>21.9</v>
      </c>
      <c r="AS57" s="171" t="e">
        <f t="shared" si="22"/>
        <v>#N/A</v>
      </c>
      <c r="AT57" s="171" t="e">
        <f t="shared" si="22"/>
        <v>#N/A</v>
      </c>
      <c r="AU57" s="171" t="e">
        <f t="shared" si="22"/>
        <v>#N/A</v>
      </c>
      <c r="AV57" s="171" t="e">
        <f t="shared" si="22"/>
        <v>#N/A</v>
      </c>
      <c r="AW57" s="171" t="e">
        <f t="shared" si="22"/>
        <v>#N/A</v>
      </c>
      <c r="AX57" s="171" t="b">
        <f t="shared" si="21"/>
        <v>0</v>
      </c>
      <c r="AY57" s="171" t="e">
        <f t="shared" si="23"/>
        <v>#N/A</v>
      </c>
      <c r="AZ57" s="171" t="e">
        <f t="shared" si="23"/>
        <v>#N/A</v>
      </c>
      <c r="BA57" s="171" t="e">
        <f t="shared" si="23"/>
        <v>#N/A</v>
      </c>
      <c r="BB57" s="171" t="e">
        <f t="shared" si="23"/>
        <v>#N/A</v>
      </c>
      <c r="BC57" s="171" t="e">
        <f t="shared" si="23"/>
        <v>#N/A</v>
      </c>
      <c r="BD57" s="171" t="b">
        <f t="shared" si="17"/>
        <v>0</v>
      </c>
    </row>
    <row r="58" spans="1:56" s="81" customFormat="1" ht="14.25" customHeight="1" x14ac:dyDescent="0.2">
      <c r="A58" s="278"/>
      <c r="B58" s="421"/>
      <c r="C58" s="421"/>
      <c r="D58" s="58"/>
      <c r="E58" s="58"/>
      <c r="F58" s="58"/>
      <c r="G58" s="58"/>
      <c r="H58" s="58"/>
      <c r="I58" s="58"/>
      <c r="J58" s="12"/>
      <c r="K58" s="12"/>
      <c r="L58" s="14"/>
      <c r="M58" s="14"/>
      <c r="N58" s="14"/>
      <c r="O58" s="14"/>
      <c r="P58" s="9"/>
      <c r="Q58" s="9"/>
      <c r="R58" s="9"/>
      <c r="S58" s="9"/>
      <c r="T58" s="9"/>
      <c r="U58" s="117"/>
      <c r="V58" s="137"/>
      <c r="W58" s="294"/>
      <c r="AI58" s="585" t="b">
        <v>1</v>
      </c>
      <c r="AJ58" s="160" t="str">
        <f>Sheet1!$K$22</f>
        <v>West Berkshire</v>
      </c>
      <c r="AK58" s="87" t="str">
        <f>IF(AI58=TRUE,Sheet1!$K22,"")</f>
        <v>West Berkshire</v>
      </c>
      <c r="AL58" s="146" t="e">
        <f t="shared" si="18"/>
        <v>#N/A</v>
      </c>
      <c r="AM58" s="146" t="e">
        <f t="shared" si="18"/>
        <v>#N/A</v>
      </c>
      <c r="AN58" s="146" t="e">
        <f t="shared" si="18"/>
        <v>#N/A</v>
      </c>
      <c r="AO58" s="146" t="e">
        <f t="shared" si="18"/>
        <v>#N/A</v>
      </c>
      <c r="AP58" s="146" t="e">
        <f t="shared" si="18"/>
        <v>#N/A</v>
      </c>
      <c r="AQ58" s="171" t="b">
        <f t="shared" si="19"/>
        <v>0</v>
      </c>
      <c r="AR58" s="147">
        <f t="shared" si="20"/>
        <v>8.6999999999999993</v>
      </c>
      <c r="AS58" s="171" t="e">
        <f t="shared" si="22"/>
        <v>#N/A</v>
      </c>
      <c r="AT58" s="171" t="e">
        <f t="shared" si="22"/>
        <v>#N/A</v>
      </c>
      <c r="AU58" s="171" t="e">
        <f t="shared" si="22"/>
        <v>#N/A</v>
      </c>
      <c r="AV58" s="171" t="e">
        <f t="shared" si="22"/>
        <v>#N/A</v>
      </c>
      <c r="AW58" s="171" t="e">
        <f t="shared" si="22"/>
        <v>#N/A</v>
      </c>
      <c r="AX58" s="171" t="b">
        <f t="shared" si="21"/>
        <v>0</v>
      </c>
      <c r="AY58" s="171" t="e">
        <f t="shared" si="23"/>
        <v>#N/A</v>
      </c>
      <c r="AZ58" s="171" t="e">
        <f t="shared" si="23"/>
        <v>#N/A</v>
      </c>
      <c r="BA58" s="171" t="e">
        <f t="shared" si="23"/>
        <v>#N/A</v>
      </c>
      <c r="BB58" s="171" t="e">
        <f t="shared" si="23"/>
        <v>#N/A</v>
      </c>
      <c r="BC58" s="171" t="e">
        <f t="shared" si="23"/>
        <v>#N/A</v>
      </c>
      <c r="BD58" s="171" t="b">
        <f t="shared" si="17"/>
        <v>0</v>
      </c>
    </row>
    <row r="59" spans="1:56" s="81" customFormat="1" ht="14.25" customHeight="1" x14ac:dyDescent="0.2">
      <c r="A59" s="278"/>
      <c r="B59" s="421"/>
      <c r="C59" s="421"/>
      <c r="D59" s="58"/>
      <c r="E59" s="58"/>
      <c r="F59" s="58"/>
      <c r="G59" s="58"/>
      <c r="H59" s="58"/>
      <c r="I59" s="58"/>
      <c r="J59" s="12"/>
      <c r="K59" s="12"/>
      <c r="L59" s="14"/>
      <c r="M59" s="14"/>
      <c r="N59" s="14"/>
      <c r="O59" s="14"/>
      <c r="P59" s="9"/>
      <c r="Q59" s="9"/>
      <c r="R59" s="9"/>
      <c r="S59" s="9"/>
      <c r="T59" s="9"/>
      <c r="U59" s="117"/>
      <c r="V59" s="137"/>
      <c r="W59" s="294"/>
      <c r="AI59" s="585" t="b">
        <v>1</v>
      </c>
      <c r="AJ59" s="160" t="str">
        <f>Sheet1!$K$23</f>
        <v>West Sussex</v>
      </c>
      <c r="AK59" s="87" t="str">
        <f>IF(AI59=TRUE,Sheet1!$K23,"")</f>
        <v>West Sussex</v>
      </c>
      <c r="AL59" s="146" t="e">
        <f t="shared" si="18"/>
        <v>#N/A</v>
      </c>
      <c r="AM59" s="146" t="e">
        <f t="shared" si="18"/>
        <v>#N/A</v>
      </c>
      <c r="AN59" s="146" t="e">
        <f t="shared" si="18"/>
        <v>#N/A</v>
      </c>
      <c r="AO59" s="146" t="e">
        <f t="shared" si="18"/>
        <v>#N/A</v>
      </c>
      <c r="AP59" s="146" t="e">
        <f t="shared" si="18"/>
        <v>#N/A</v>
      </c>
      <c r="AQ59" s="171" t="b">
        <f t="shared" si="19"/>
        <v>0</v>
      </c>
      <c r="AR59" s="147">
        <f t="shared" si="20"/>
        <v>11</v>
      </c>
      <c r="AS59" s="171" t="e">
        <f t="shared" si="22"/>
        <v>#N/A</v>
      </c>
      <c r="AT59" s="171" t="e">
        <f t="shared" si="22"/>
        <v>#N/A</v>
      </c>
      <c r="AU59" s="171" t="e">
        <f t="shared" si="22"/>
        <v>#N/A</v>
      </c>
      <c r="AV59" s="171" t="e">
        <f t="shared" si="22"/>
        <v>#N/A</v>
      </c>
      <c r="AW59" s="171" t="e">
        <f t="shared" si="22"/>
        <v>#N/A</v>
      </c>
      <c r="AX59" s="171" t="b">
        <f t="shared" si="21"/>
        <v>0</v>
      </c>
      <c r="AY59" s="171" t="e">
        <f t="shared" si="23"/>
        <v>#N/A</v>
      </c>
      <c r="AZ59" s="171" t="e">
        <f t="shared" si="23"/>
        <v>#N/A</v>
      </c>
      <c r="BA59" s="171" t="e">
        <f t="shared" si="23"/>
        <v>#N/A</v>
      </c>
      <c r="BB59" s="171" t="e">
        <f t="shared" si="23"/>
        <v>#N/A</v>
      </c>
      <c r="BC59" s="171" t="e">
        <f t="shared" si="23"/>
        <v>#N/A</v>
      </c>
      <c r="BD59" s="171" t="b">
        <f t="shared" si="17"/>
        <v>0</v>
      </c>
    </row>
    <row r="60" spans="1:56" s="81" customFormat="1" ht="14.25" customHeight="1" x14ac:dyDescent="0.2">
      <c r="A60" s="278"/>
      <c r="B60" s="421"/>
      <c r="C60" s="421"/>
      <c r="D60" s="58"/>
      <c r="E60" s="58"/>
      <c r="F60" s="58"/>
      <c r="G60" s="58"/>
      <c r="H60" s="58"/>
      <c r="I60" s="58"/>
      <c r="J60" s="12"/>
      <c r="K60" s="12"/>
      <c r="L60" s="14"/>
      <c r="M60" s="14"/>
      <c r="N60" s="14"/>
      <c r="O60" s="14"/>
      <c r="P60" s="9"/>
      <c r="Q60" s="9"/>
      <c r="R60" s="9"/>
      <c r="S60" s="9"/>
      <c r="T60" s="9"/>
      <c r="U60" s="117"/>
      <c r="V60" s="137"/>
      <c r="W60" s="294"/>
      <c r="AI60" s="585" t="b">
        <v>1</v>
      </c>
      <c r="AJ60" s="160" t="str">
        <f>Sheet1!$K$24</f>
        <v>Windsor &amp; Maidenhead</v>
      </c>
      <c r="AK60" s="87" t="str">
        <f>IF(AI60=TRUE,Sheet1!$K24,"")</f>
        <v>Windsor &amp; Maidenhead</v>
      </c>
      <c r="AL60" s="146" t="e">
        <f t="shared" si="18"/>
        <v>#N/A</v>
      </c>
      <c r="AM60" s="146" t="e">
        <f t="shared" si="18"/>
        <v>#N/A</v>
      </c>
      <c r="AN60" s="146" t="e">
        <f t="shared" si="18"/>
        <v>#N/A</v>
      </c>
      <c r="AO60" s="146" t="e">
        <f t="shared" si="18"/>
        <v>#N/A</v>
      </c>
      <c r="AP60" s="146" t="e">
        <f t="shared" si="18"/>
        <v>#N/A</v>
      </c>
      <c r="AQ60" s="171" t="b">
        <f t="shared" si="19"/>
        <v>0</v>
      </c>
      <c r="AR60" s="147">
        <f t="shared" si="20"/>
        <v>6.7</v>
      </c>
      <c r="AS60" s="171" t="e">
        <f t="shared" si="22"/>
        <v>#N/A</v>
      </c>
      <c r="AT60" s="171" t="e">
        <f t="shared" si="22"/>
        <v>#N/A</v>
      </c>
      <c r="AU60" s="171" t="e">
        <f t="shared" si="22"/>
        <v>#N/A</v>
      </c>
      <c r="AV60" s="171" t="e">
        <f t="shared" si="22"/>
        <v>#N/A</v>
      </c>
      <c r="AW60" s="171" t="e">
        <f t="shared" si="22"/>
        <v>#N/A</v>
      </c>
      <c r="AX60" s="171" t="b">
        <f t="shared" si="21"/>
        <v>0</v>
      </c>
      <c r="AY60" s="171" t="e">
        <f t="shared" si="23"/>
        <v>#N/A</v>
      </c>
      <c r="AZ60" s="171" t="e">
        <f t="shared" si="23"/>
        <v>#N/A</v>
      </c>
      <c r="BA60" s="171" t="e">
        <f t="shared" si="23"/>
        <v>#N/A</v>
      </c>
      <c r="BB60" s="171" t="e">
        <f t="shared" si="23"/>
        <v>#N/A</v>
      </c>
      <c r="BC60" s="171" t="e">
        <f t="shared" si="23"/>
        <v>#N/A</v>
      </c>
      <c r="BD60" s="171" t="b">
        <f t="shared" si="17"/>
        <v>0</v>
      </c>
    </row>
    <row r="61" spans="1:56" s="81" customFormat="1" ht="14.25" customHeight="1" x14ac:dyDescent="0.2">
      <c r="A61" s="278"/>
      <c r="B61" s="421"/>
      <c r="C61" s="421"/>
      <c r="D61" s="58"/>
      <c r="E61" s="58"/>
      <c r="F61" s="58"/>
      <c r="G61" s="58"/>
      <c r="H61" s="58"/>
      <c r="I61" s="58"/>
      <c r="J61" s="12"/>
      <c r="K61" s="12"/>
      <c r="L61" s="14"/>
      <c r="M61" s="14"/>
      <c r="N61" s="14"/>
      <c r="O61" s="14"/>
      <c r="P61" s="9"/>
      <c r="Q61" s="9"/>
      <c r="R61" s="9"/>
      <c r="S61" s="9"/>
      <c r="T61" s="9"/>
      <c r="U61" s="117"/>
      <c r="V61" s="137"/>
      <c r="W61" s="294"/>
      <c r="AI61" s="585" t="b">
        <v>1</v>
      </c>
      <c r="AJ61" s="160" t="str">
        <f>Sheet1!$K$25</f>
        <v>Wokingham</v>
      </c>
      <c r="AK61" s="87" t="str">
        <f>IF(AI61=TRUE,Sheet1!$K25,"")</f>
        <v>Wokingham</v>
      </c>
      <c r="AL61" s="146" t="e">
        <f t="shared" si="18"/>
        <v>#N/A</v>
      </c>
      <c r="AM61" s="146" t="e">
        <f t="shared" si="18"/>
        <v>#N/A</v>
      </c>
      <c r="AN61" s="146" t="e">
        <f t="shared" si="18"/>
        <v>#N/A</v>
      </c>
      <c r="AO61" s="146" t="e">
        <f t="shared" si="18"/>
        <v>#N/A</v>
      </c>
      <c r="AP61" s="146" t="e">
        <f t="shared" si="18"/>
        <v>#N/A</v>
      </c>
      <c r="AQ61" s="171" t="b">
        <f t="shared" si="19"/>
        <v>0</v>
      </c>
      <c r="AR61" s="147">
        <f t="shared" si="20"/>
        <v>5.6000000000000005</v>
      </c>
      <c r="AS61" s="171" t="e">
        <f t="shared" si="22"/>
        <v>#N/A</v>
      </c>
      <c r="AT61" s="171" t="e">
        <f t="shared" si="22"/>
        <v>#N/A</v>
      </c>
      <c r="AU61" s="171" t="e">
        <f t="shared" si="22"/>
        <v>#N/A</v>
      </c>
      <c r="AV61" s="171" t="e">
        <f t="shared" si="22"/>
        <v>#N/A</v>
      </c>
      <c r="AW61" s="171" t="e">
        <f t="shared" si="22"/>
        <v>#N/A</v>
      </c>
      <c r="AX61" s="171" t="b">
        <f t="shared" si="21"/>
        <v>0</v>
      </c>
      <c r="AY61" s="171" t="e">
        <f t="shared" si="23"/>
        <v>#N/A</v>
      </c>
      <c r="AZ61" s="171" t="e">
        <f t="shared" si="23"/>
        <v>#N/A</v>
      </c>
      <c r="BA61" s="171" t="e">
        <f t="shared" si="23"/>
        <v>#N/A</v>
      </c>
      <c r="BB61" s="171" t="e">
        <f t="shared" si="23"/>
        <v>#N/A</v>
      </c>
      <c r="BC61" s="171" t="e">
        <f t="shared" si="23"/>
        <v>#N/A</v>
      </c>
      <c r="BD61" s="171" t="b">
        <f t="shared" si="17"/>
        <v>0</v>
      </c>
    </row>
    <row r="62" spans="1:56" s="81" customFormat="1" ht="14.25" customHeight="1" x14ac:dyDescent="0.2">
      <c r="A62" s="278"/>
      <c r="B62" s="421"/>
      <c r="C62" s="421"/>
      <c r="D62" s="58"/>
      <c r="E62" s="58"/>
      <c r="F62" s="58"/>
      <c r="G62" s="58"/>
      <c r="H62" s="58"/>
      <c r="I62" s="58"/>
      <c r="J62" s="12"/>
      <c r="K62" s="12"/>
      <c r="L62" s="14"/>
      <c r="M62" s="14"/>
      <c r="N62" s="14"/>
      <c r="O62" s="14"/>
      <c r="P62" s="9"/>
      <c r="Q62" s="9"/>
      <c r="R62" s="9"/>
      <c r="S62" s="9"/>
      <c r="T62" s="9"/>
      <c r="U62" s="117"/>
      <c r="V62" s="137"/>
      <c r="W62" s="294"/>
      <c r="AI62" s="585" t="b">
        <v>1</v>
      </c>
      <c r="AJ62" s="160" t="str">
        <f>Sheet1!$K$26</f>
        <v>South East</v>
      </c>
      <c r="AK62" s="87" t="str">
        <f>IF(AI62=TRUE,Sheet1!$K26,"")</f>
        <v>South East</v>
      </c>
      <c r="AL62" s="146" t="e">
        <f t="shared" si="18"/>
        <v>#N/A</v>
      </c>
      <c r="AM62" s="146" t="e">
        <f t="shared" si="18"/>
        <v>#N/A</v>
      </c>
      <c r="AN62" s="146" t="e">
        <f t="shared" si="18"/>
        <v>#N/A</v>
      </c>
      <c r="AO62" s="146" t="e">
        <f t="shared" si="18"/>
        <v>#N/A</v>
      </c>
      <c r="AP62" s="146" t="e">
        <f t="shared" si="18"/>
        <v>#N/A</v>
      </c>
      <c r="AQ62" s="171" t="b">
        <f t="shared" si="19"/>
        <v>0</v>
      </c>
      <c r="AR62" s="147" t="e">
        <f t="shared" si="20"/>
        <v>#DIV/0!</v>
      </c>
      <c r="AS62" s="171" t="e">
        <f t="shared" si="22"/>
        <v>#N/A</v>
      </c>
      <c r="AT62" s="171" t="e">
        <f t="shared" si="22"/>
        <v>#N/A</v>
      </c>
      <c r="AU62" s="171" t="e">
        <f t="shared" si="22"/>
        <v>#N/A</v>
      </c>
      <c r="AV62" s="171" t="e">
        <f t="shared" si="22"/>
        <v>#N/A</v>
      </c>
      <c r="AW62" s="171" t="e">
        <f t="shared" si="22"/>
        <v>#N/A</v>
      </c>
      <c r="AX62" s="171" t="b">
        <f t="shared" si="21"/>
        <v>0</v>
      </c>
      <c r="AY62" s="171" t="e">
        <f t="shared" si="23"/>
        <v>#N/A</v>
      </c>
      <c r="AZ62" s="171" t="e">
        <f t="shared" si="23"/>
        <v>#N/A</v>
      </c>
      <c r="BA62" s="171" t="e">
        <f t="shared" si="23"/>
        <v>#N/A</v>
      </c>
      <c r="BB62" s="171" t="e">
        <f t="shared" si="23"/>
        <v>#N/A</v>
      </c>
      <c r="BC62" s="171" t="e">
        <f t="shared" si="23"/>
        <v>#N/A</v>
      </c>
      <c r="BD62" s="171" t="b">
        <f t="shared" si="17"/>
        <v>0</v>
      </c>
    </row>
    <row r="63" spans="1:56" s="81" customFormat="1" ht="14.25" customHeight="1" x14ac:dyDescent="0.2">
      <c r="A63" s="278"/>
      <c r="B63" s="421"/>
      <c r="C63" s="421"/>
      <c r="D63" s="58"/>
      <c r="E63" s="58"/>
      <c r="F63" s="58"/>
      <c r="G63" s="58"/>
      <c r="H63" s="58"/>
      <c r="I63" s="58"/>
      <c r="J63" s="12"/>
      <c r="K63" s="12"/>
      <c r="L63" s="110"/>
      <c r="M63" s="1750" t="s">
        <v>72</v>
      </c>
      <c r="N63" s="1750"/>
      <c r="O63" s="1750"/>
      <c r="P63" s="818"/>
      <c r="Q63" s="1751" t="s">
        <v>100</v>
      </c>
      <c r="R63" s="1751"/>
      <c r="S63" s="1751"/>
      <c r="T63" s="1751"/>
      <c r="U63" s="117"/>
      <c r="V63" s="137"/>
      <c r="W63" s="294"/>
      <c r="AI63" s="184"/>
      <c r="AJ63" s="160"/>
      <c r="AK63" s="74" t="str">
        <f>Z4</f>
        <v>Selected LA- (none)</v>
      </c>
      <c r="AL63" s="146" t="e">
        <f>VLOOKUP($Y$4,$B$10:$P$32,AL$36,FALSE)</f>
        <v>#N/A</v>
      </c>
      <c r="AM63" s="146" t="e">
        <f t="shared" ref="AM63:AO63" si="24">VLOOKUP($Y$4,$B$10:$P$32,AM$36,FALSE)</f>
        <v>#N/A</v>
      </c>
      <c r="AN63" s="146" t="e">
        <f t="shared" si="24"/>
        <v>#N/A</v>
      </c>
      <c r="AO63" s="146" t="e">
        <f t="shared" si="24"/>
        <v>#N/A</v>
      </c>
      <c r="AP63" s="146" t="e">
        <f>VLOOKUP($Y$4,$B$10:$P$32,AP$36,FALSE)</f>
        <v>#N/A</v>
      </c>
      <c r="AQ63" s="171" t="b">
        <f t="shared" si="19"/>
        <v>0</v>
      </c>
      <c r="AR63" s="147" t="e">
        <f>VLOOKUP(Y4,$B$10:$T$32,$AR$36,FALSE)</f>
        <v>#N/A</v>
      </c>
      <c r="AS63" s="171" t="e">
        <f>VLOOKUP($Y4,$B$76:$H$98,AS$37,FALSE)</f>
        <v>#N/A</v>
      </c>
      <c r="AT63" s="171" t="e">
        <f>VLOOKUP($Y4,$B$76:$H$98,AT$37,FALSE)</f>
        <v>#N/A</v>
      </c>
      <c r="AU63" s="171" t="e">
        <f>VLOOKUP($Y4,$B$76:$H$98,AU$37,FALSE)</f>
        <v>#N/A</v>
      </c>
      <c r="AV63" s="171" t="e">
        <f>VLOOKUP($Y4,$B$76:$H$98,AV$37,FALSE)</f>
        <v>#N/A</v>
      </c>
      <c r="AW63" s="171" t="e">
        <f>VLOOKUP($Y4,$B$76:$H$98,AW$37,FALSE)</f>
        <v>#N/A</v>
      </c>
      <c r="AX63" s="171" t="b">
        <f t="shared" si="21"/>
        <v>0</v>
      </c>
      <c r="AY63" s="171" t="e">
        <f>VLOOKUP($Y4,$B$111:$H$133,AY$37,FALSE)</f>
        <v>#N/A</v>
      </c>
      <c r="AZ63" s="171" t="e">
        <f>VLOOKUP($Y4,$B$111:$H$133,AZ$37,FALSE)</f>
        <v>#N/A</v>
      </c>
      <c r="BA63" s="171" t="e">
        <f>VLOOKUP($Y4,$B$111:$H$133,BA$37,FALSE)</f>
        <v>#N/A</v>
      </c>
      <c r="BB63" s="171" t="e">
        <f>VLOOKUP($Y4,$B$111:$H$133,BB$37,FALSE)</f>
        <v>#N/A</v>
      </c>
      <c r="BC63" s="171" t="e">
        <f>VLOOKUP($Y4,$B$111:$H$133,BC$37,FALSE)</f>
        <v>#N/A</v>
      </c>
      <c r="BD63" s="171" t="b">
        <f t="shared" si="17"/>
        <v>0</v>
      </c>
    </row>
    <row r="64" spans="1:56" s="81" customFormat="1" ht="14.25" customHeight="1" x14ac:dyDescent="0.2">
      <c r="A64" s="278"/>
      <c r="B64" s="421"/>
      <c r="C64" s="421"/>
      <c r="D64" s="58"/>
      <c r="E64" s="58"/>
      <c r="F64" s="58"/>
      <c r="G64" s="58"/>
      <c r="H64" s="58"/>
      <c r="I64" s="58"/>
      <c r="J64" s="12"/>
      <c r="K64" s="12"/>
      <c r="L64" s="111"/>
      <c r="M64" s="1751" t="str">
        <f>Z4</f>
        <v>Selected LA- (none)</v>
      </c>
      <c r="N64" s="1751"/>
      <c r="O64" s="1751"/>
      <c r="P64" s="1751"/>
      <c r="Q64" s="1751"/>
      <c r="R64" s="1751"/>
      <c r="S64" s="1751"/>
      <c r="T64" s="1751"/>
      <c r="U64" s="117"/>
      <c r="V64" s="137"/>
      <c r="W64" s="294"/>
      <c r="AJ64" s="161"/>
    </row>
    <row r="65" spans="1:44" s="81" customFormat="1" ht="39" customHeight="1" x14ac:dyDescent="0.2">
      <c r="A65" s="278"/>
      <c r="B65" s="421"/>
      <c r="C65" s="421"/>
      <c r="D65" s="58"/>
      <c r="E65" s="58"/>
      <c r="F65" s="58"/>
      <c r="G65" s="58"/>
      <c r="H65" s="58"/>
      <c r="I65" s="58"/>
      <c r="J65" s="12"/>
      <c r="K65" s="12"/>
      <c r="L65" s="9"/>
      <c r="M65" s="9"/>
      <c r="N65" s="9"/>
      <c r="O65" s="9"/>
      <c r="P65" s="9"/>
      <c r="Q65" s="9"/>
      <c r="R65" s="9"/>
      <c r="S65" s="9"/>
      <c r="T65" s="9"/>
      <c r="U65" s="117"/>
      <c r="V65" s="137"/>
      <c r="W65" s="150"/>
      <c r="AJ65" s="161"/>
    </row>
    <row r="66" spans="1:44" s="81" customFormat="1" ht="39.6" customHeight="1" x14ac:dyDescent="0.2">
      <c r="A66" s="278"/>
      <c r="B66" s="58"/>
      <c r="C66" s="58"/>
      <c r="D66" s="58"/>
      <c r="E66" s="58"/>
      <c r="F66" s="58"/>
      <c r="G66" s="58"/>
      <c r="H66" s="58"/>
      <c r="I66" s="58"/>
      <c r="J66" s="12"/>
      <c r="K66" s="12"/>
      <c r="L66" s="9"/>
      <c r="M66" s="9"/>
      <c r="N66" s="9"/>
      <c r="O66" s="9"/>
      <c r="P66" s="9"/>
      <c r="Q66" s="9"/>
      <c r="R66" s="9"/>
      <c r="S66" s="9"/>
      <c r="T66" s="9"/>
      <c r="U66" s="117"/>
      <c r="V66" s="137"/>
      <c r="W66" s="150"/>
      <c r="AJ66" s="161"/>
    </row>
    <row r="67" spans="1:44" s="87" customFormat="1" ht="48" customHeight="1" x14ac:dyDescent="0.2">
      <c r="A67" s="292"/>
      <c r="B67" s="109"/>
      <c r="C67" s="109"/>
      <c r="D67" s="109"/>
      <c r="E67" s="109"/>
      <c r="F67" s="109"/>
      <c r="G67" s="109"/>
      <c r="H67" s="109"/>
      <c r="I67" s="109"/>
      <c r="J67" s="96"/>
      <c r="K67" s="96"/>
      <c r="L67" s="85"/>
      <c r="M67" s="85"/>
      <c r="N67" s="85"/>
      <c r="O67" s="85"/>
      <c r="P67" s="85"/>
      <c r="Q67" s="85"/>
      <c r="R67" s="85"/>
      <c r="S67" s="85"/>
      <c r="T67" s="85"/>
      <c r="U67" s="122"/>
      <c r="V67" s="139"/>
      <c r="W67" s="190"/>
      <c r="X67" s="190"/>
      <c r="Y67" s="190"/>
      <c r="Z67" s="190"/>
      <c r="AA67" s="190"/>
      <c r="AB67" s="190"/>
      <c r="AC67" s="190"/>
      <c r="AD67" s="190"/>
      <c r="AE67" s="190"/>
      <c r="AF67" s="190"/>
      <c r="AG67" s="190"/>
      <c r="AH67" s="190"/>
      <c r="AI67" s="202"/>
      <c r="AJ67" s="160"/>
    </row>
    <row r="68" spans="1:44" ht="7.5" customHeight="1" x14ac:dyDescent="0.2">
      <c r="A68" s="278"/>
      <c r="B68" s="17"/>
      <c r="C68" s="17"/>
      <c r="D68" s="16"/>
      <c r="E68" s="16"/>
      <c r="F68" s="16"/>
      <c r="G68" s="16"/>
      <c r="H68" s="16"/>
      <c r="I68" s="16"/>
      <c r="J68" s="12"/>
      <c r="K68" s="12"/>
      <c r="L68" s="18"/>
      <c r="M68" s="18"/>
      <c r="N68" s="18"/>
      <c r="O68" s="18"/>
      <c r="P68" s="18"/>
      <c r="Q68" s="18"/>
      <c r="R68" s="18"/>
      <c r="S68" s="18"/>
      <c r="T68" s="19"/>
      <c r="U68" s="117"/>
      <c r="V68" s="137"/>
      <c r="W68" s="150"/>
      <c r="X68" s="190"/>
      <c r="Y68" s="190"/>
      <c r="Z68" s="190"/>
      <c r="AA68" s="190"/>
      <c r="AB68" s="190"/>
      <c r="AC68" s="190"/>
      <c r="AD68" s="190"/>
      <c r="AE68" s="190"/>
      <c r="AF68" s="190"/>
      <c r="AG68" s="190"/>
      <c r="AH68" s="190"/>
      <c r="AI68" s="202"/>
      <c r="AJ68" s="160"/>
      <c r="AK68" s="87"/>
      <c r="AL68" s="87"/>
      <c r="AM68" s="87"/>
      <c r="AN68" s="87"/>
      <c r="AO68" s="87"/>
      <c r="AP68" s="87"/>
      <c r="AR68" s="87"/>
    </row>
    <row r="69" spans="1:44" ht="15" customHeight="1" x14ac:dyDescent="0.2">
      <c r="A69" s="1775"/>
      <c r="B69" s="1760"/>
      <c r="C69" s="1760"/>
      <c r="D69" s="1760"/>
      <c r="E69" s="1760"/>
      <c r="F69" s="1760"/>
      <c r="G69" s="1760"/>
      <c r="H69" s="1760"/>
      <c r="I69" s="1760"/>
      <c r="J69" s="1760"/>
      <c r="K69" s="1760"/>
      <c r="L69" s="1760"/>
      <c r="M69" s="1760"/>
      <c r="N69" s="1760"/>
      <c r="O69" s="1760"/>
      <c r="P69" s="1760"/>
      <c r="Q69" s="1760"/>
      <c r="R69" s="1760"/>
      <c r="S69" s="1760"/>
      <c r="T69" s="1760"/>
      <c r="U69" s="1761"/>
      <c r="V69" s="137"/>
      <c r="W69" s="150"/>
      <c r="X69" s="190"/>
      <c r="Y69" s="190"/>
      <c r="Z69" s="190"/>
      <c r="AA69" s="190"/>
      <c r="AB69" s="190"/>
      <c r="AC69" s="190"/>
      <c r="AD69" s="190"/>
      <c r="AE69" s="190"/>
      <c r="AF69" s="190"/>
      <c r="AG69" s="190"/>
      <c r="AH69" s="190"/>
      <c r="AI69" s="202"/>
      <c r="AJ69" s="160"/>
      <c r="AK69" s="87"/>
      <c r="AL69" s="87"/>
      <c r="AM69" s="87"/>
      <c r="AN69" s="87"/>
      <c r="AO69" s="87"/>
      <c r="AP69" s="87"/>
      <c r="AR69" s="87"/>
    </row>
    <row r="70" spans="1:44" ht="11.25" customHeight="1" x14ac:dyDescent="0.2">
      <c r="A70" s="1776" t="str">
        <f>Home!$A$39</f>
        <v xml:space="preserve"> </v>
      </c>
      <c r="B70" s="1777"/>
      <c r="C70" s="1777"/>
      <c r="D70" s="1777"/>
      <c r="E70" s="1777"/>
      <c r="F70" s="1777"/>
      <c r="G70" s="1777"/>
      <c r="H70" s="1777"/>
      <c r="I70" s="1768"/>
      <c r="J70" s="1768"/>
      <c r="K70" s="1777"/>
      <c r="L70" s="1777"/>
      <c r="M70" s="1777"/>
      <c r="N70" s="1777"/>
      <c r="O70" s="1777"/>
      <c r="P70" s="1777"/>
      <c r="Q70" s="1777"/>
      <c r="R70" s="1777"/>
      <c r="S70" s="1777"/>
      <c r="T70" s="1777"/>
      <c r="U70" s="1778"/>
      <c r="V70" s="137"/>
      <c r="W70" s="150"/>
      <c r="X70" s="190"/>
      <c r="Y70" s="190"/>
      <c r="Z70" s="190"/>
      <c r="AA70" s="190"/>
      <c r="AB70" s="190"/>
      <c r="AI70" s="184"/>
      <c r="AJ70" s="157"/>
    </row>
    <row r="71" spans="1:44" ht="9.9499999999999993" customHeight="1" x14ac:dyDescent="0.2">
      <c r="A71" s="112"/>
      <c r="B71" s="113"/>
      <c r="C71" s="113"/>
      <c r="D71" s="113"/>
      <c r="E71" s="113"/>
      <c r="F71" s="113"/>
      <c r="G71" s="113"/>
      <c r="H71" s="113"/>
      <c r="I71" s="113"/>
      <c r="J71" s="114"/>
      <c r="K71" s="114"/>
      <c r="L71" s="113"/>
      <c r="M71" s="113"/>
      <c r="N71" s="113"/>
      <c r="O71" s="113"/>
      <c r="P71" s="113"/>
      <c r="Q71" s="113"/>
      <c r="R71" s="113"/>
      <c r="S71" s="113"/>
      <c r="T71" s="113"/>
      <c r="U71" s="115"/>
      <c r="V71" s="137"/>
      <c r="W71" s="150"/>
      <c r="X71" s="190"/>
      <c r="Y71" s="190"/>
      <c r="Z71" s="190"/>
      <c r="AA71" s="190"/>
      <c r="AB71" s="190"/>
      <c r="AI71" s="184"/>
      <c r="AJ71" s="157"/>
    </row>
    <row r="72" spans="1:44" s="76" customFormat="1" ht="15" customHeight="1" x14ac:dyDescent="0.2">
      <c r="A72" s="461"/>
      <c r="B72" s="1746" t="s">
        <v>193</v>
      </c>
      <c r="C72" s="1746"/>
      <c r="D72" s="1746"/>
      <c r="E72" s="1746"/>
      <c r="F72" s="1746"/>
      <c r="G72" s="1746"/>
      <c r="H72" s="1746"/>
      <c r="I72" s="1746"/>
      <c r="J72" s="841"/>
      <c r="K72" s="841"/>
      <c r="L72" s="70"/>
      <c r="M72" s="420"/>
      <c r="N72" s="420"/>
      <c r="O72" s="420"/>
      <c r="P72" s="70"/>
      <c r="Q72" s="70"/>
      <c r="R72" s="70"/>
      <c r="S72" s="70"/>
      <c r="T72" s="70"/>
      <c r="U72" s="120"/>
      <c r="V72" s="138"/>
      <c r="W72" s="151"/>
      <c r="X72" s="188"/>
      <c r="Y72" s="188"/>
      <c r="Z72" s="188"/>
      <c r="AA72" s="188"/>
      <c r="AB72" s="188"/>
      <c r="AC72" s="188"/>
      <c r="AD72" s="188"/>
      <c r="AE72" s="188"/>
      <c r="AF72" s="188"/>
      <c r="AG72" s="188"/>
      <c r="AH72" s="188"/>
      <c r="AI72" s="188"/>
      <c r="AJ72" s="158"/>
    </row>
    <row r="73" spans="1:44" ht="20.25" customHeight="1" x14ac:dyDescent="0.2">
      <c r="A73" s="278"/>
      <c r="B73" s="1746"/>
      <c r="C73" s="1746"/>
      <c r="D73" s="1746"/>
      <c r="E73" s="1746"/>
      <c r="F73" s="1746"/>
      <c r="G73" s="1746"/>
      <c r="H73" s="1746"/>
      <c r="I73" s="1746"/>
      <c r="J73" s="841"/>
      <c r="K73" s="841"/>
      <c r="L73" s="70"/>
      <c r="M73" s="420"/>
      <c r="N73" s="420"/>
      <c r="O73" s="420"/>
      <c r="P73" s="70"/>
      <c r="Q73" s="70"/>
      <c r="R73" s="10"/>
      <c r="S73" s="70"/>
      <c r="T73" s="70"/>
      <c r="U73" s="117"/>
      <c r="V73" s="137"/>
      <c r="W73" s="150"/>
      <c r="X73" s="759" t="s">
        <v>194</v>
      </c>
      <c r="Y73" s="756"/>
      <c r="Z73" s="756"/>
      <c r="AA73" s="756"/>
      <c r="AB73" s="760"/>
      <c r="AC73" s="760"/>
      <c r="AD73" s="755" t="s">
        <v>195</v>
      </c>
      <c r="AE73" s="756"/>
      <c r="AF73" s="756"/>
      <c r="AG73" s="756"/>
      <c r="AH73" s="756"/>
      <c r="AI73" s="184"/>
      <c r="AJ73" s="157"/>
    </row>
    <row r="74" spans="1:44" ht="13.5" customHeight="1" x14ac:dyDescent="0.2">
      <c r="A74" s="278"/>
      <c r="B74" s="1782" t="s">
        <v>205</v>
      </c>
      <c r="C74" s="777"/>
      <c r="D74" s="789" t="str">
        <f>Sheet1!$D$27</f>
        <v>2015-16</v>
      </c>
      <c r="E74" s="790" t="str">
        <f>Sheet1!$E$27</f>
        <v>2016-17</v>
      </c>
      <c r="F74" s="790" t="str">
        <f>Sheet1!$F$27</f>
        <v>2017-18</v>
      </c>
      <c r="G74" s="790" t="str">
        <f>Sheet1!$G$27</f>
        <v>2018-19</v>
      </c>
      <c r="H74" s="791" t="str">
        <f>Sheet1!$H$27</f>
        <v>2019-20</v>
      </c>
      <c r="I74" s="392"/>
      <c r="J74" s="808"/>
      <c r="K74" s="777"/>
      <c r="L74" s="70"/>
      <c r="M74" s="775"/>
      <c r="N74" s="775"/>
      <c r="O74" s="775"/>
      <c r="P74" s="70"/>
      <c r="Q74" s="70"/>
      <c r="R74" s="10"/>
      <c r="S74" s="70"/>
      <c r="T74" s="70"/>
      <c r="U74" s="117"/>
      <c r="V74" s="137"/>
      <c r="W74" s="150"/>
      <c r="X74" s="759"/>
      <c r="Y74" s="756" t="str">
        <f>Sheet1!$D$27</f>
        <v>2015-16</v>
      </c>
      <c r="Z74" s="756" t="str">
        <f>Sheet1!$E$27</f>
        <v>2016-17</v>
      </c>
      <c r="AA74" s="756" t="str">
        <f>Sheet1!$F$27</f>
        <v>2017-18</v>
      </c>
      <c r="AB74" s="760" t="str">
        <f>Sheet1!$G$27</f>
        <v>2018-19</v>
      </c>
      <c r="AC74" s="760" t="str">
        <f>Sheet1!$H$27</f>
        <v>2019-20</v>
      </c>
      <c r="AD74" s="755" t="str">
        <f>Sheet1!$D$27</f>
        <v>2015-16</v>
      </c>
      <c r="AE74" s="756" t="str">
        <f>Sheet1!$E$27</f>
        <v>2016-17</v>
      </c>
      <c r="AF74" s="756" t="str">
        <f>Sheet1!$F$27</f>
        <v>2017-18</v>
      </c>
      <c r="AG74" s="756" t="str">
        <f>Sheet1!$G$27</f>
        <v>2018-19</v>
      </c>
      <c r="AH74" s="756" t="str">
        <f>Sheet1!$H$27</f>
        <v>2019-20</v>
      </c>
      <c r="AI74" s="184"/>
      <c r="AJ74" s="157"/>
    </row>
    <row r="75" spans="1:44" s="87" customFormat="1" ht="13.5" customHeight="1" x14ac:dyDescent="0.2">
      <c r="A75" s="292"/>
      <c r="B75" s="1783"/>
      <c r="C75" s="85"/>
      <c r="D75" s="792" t="e">
        <f>Sheet1!$D$28</f>
        <v>#N/A</v>
      </c>
      <c r="E75" s="792" t="e">
        <f>Sheet1!$E$28</f>
        <v>#N/A</v>
      </c>
      <c r="F75" s="792" t="e">
        <f>Sheet1!$F$28</f>
        <v>#N/A</v>
      </c>
      <c r="G75" s="792" t="e">
        <f>Sheet1!$G$28</f>
        <v>#N/A</v>
      </c>
      <c r="H75" s="793" t="e">
        <f>Sheet1!$H$28</f>
        <v>#N/A</v>
      </c>
      <c r="I75" s="392"/>
      <c r="J75" s="96"/>
      <c r="K75" s="96"/>
      <c r="L75" s="61"/>
      <c r="M75" s="61"/>
      <c r="N75" s="61"/>
      <c r="O75" s="61"/>
      <c r="P75" s="61"/>
      <c r="Q75" s="393"/>
      <c r="R75" s="393"/>
      <c r="S75" s="159"/>
      <c r="T75" s="391"/>
      <c r="U75" s="122"/>
      <c r="V75" s="139"/>
      <c r="W75" s="152"/>
      <c r="X75" s="756"/>
      <c r="Y75" s="761" t="e">
        <f>Sheet1!$D$28</f>
        <v>#N/A</v>
      </c>
      <c r="Z75" s="761" t="e">
        <f>Sheet1!$E$28</f>
        <v>#N/A</v>
      </c>
      <c r="AA75" s="761" t="e">
        <f>Sheet1!$F$28</f>
        <v>#N/A</v>
      </c>
      <c r="AB75" s="761" t="e">
        <f>Sheet1!$G$28</f>
        <v>#N/A</v>
      </c>
      <c r="AC75" s="761" t="e">
        <f>Sheet1!$H$28</f>
        <v>#N/A</v>
      </c>
      <c r="AD75" s="757" t="e">
        <f>Sheet1!$D$28</f>
        <v>#N/A</v>
      </c>
      <c r="AE75" s="757" t="e">
        <f>Sheet1!$E$28</f>
        <v>#N/A</v>
      </c>
      <c r="AF75" s="757" t="e">
        <f>Sheet1!$F$28</f>
        <v>#N/A</v>
      </c>
      <c r="AG75" s="757" t="e">
        <f>Sheet1!$G$28</f>
        <v>#N/A</v>
      </c>
      <c r="AH75" s="757" t="e">
        <f>Sheet1!$H$28</f>
        <v>#N/A</v>
      </c>
      <c r="AI75" s="202"/>
      <c r="AJ75" s="160"/>
    </row>
    <row r="76" spans="1:44" s="87" customFormat="1" ht="12.75" customHeight="1" x14ac:dyDescent="0.2">
      <c r="A76" s="488">
        <f>VLOOKUP(B76,Sheet1!$AQ$4:$AR$25,2,FALSE)</f>
        <v>0</v>
      </c>
      <c r="B76" s="93" t="str">
        <f>Sheet1!$K$4</f>
        <v>Bracknell Forest</v>
      </c>
      <c r="C76" s="85"/>
      <c r="D76" s="162" t="e">
        <f>IF(AND(ISNUMBER(Y76),ISNUMBER(AD76)),Y76/AD76,NA())</f>
        <v>#N/A</v>
      </c>
      <c r="E76" s="162" t="e">
        <f t="shared" ref="E76:H76" si="25">IF(AND(ISNUMBER(Z76),ISNUMBER(AE76)),Z76/AE76,NA())</f>
        <v>#N/A</v>
      </c>
      <c r="F76" s="162" t="e">
        <f t="shared" si="25"/>
        <v>#N/A</v>
      </c>
      <c r="G76" s="162" t="e">
        <f t="shared" si="25"/>
        <v>#N/A</v>
      </c>
      <c r="H76" s="164" t="e">
        <f t="shared" si="25"/>
        <v>#N/A</v>
      </c>
      <c r="I76" s="392"/>
      <c r="J76" s="96"/>
      <c r="K76" s="96"/>
      <c r="L76" s="166"/>
      <c r="M76" s="166"/>
      <c r="N76" s="166"/>
      <c r="O76" s="166"/>
      <c r="P76" s="166"/>
      <c r="Q76" s="166"/>
      <c r="R76" s="167"/>
      <c r="S76" s="159"/>
      <c r="T76" s="166"/>
      <c r="U76" s="122"/>
      <c r="V76" s="139"/>
      <c r="W76" s="152"/>
      <c r="X76" s="762" t="str">
        <f>Sheet1!$K$4</f>
        <v>Bracknell Forest</v>
      </c>
      <c r="Y76" s="763" t="str">
        <f>IF(Year1_Bracknell_Forest Year1_EarlyHelpReferralsSTEPDOWN="","",Year1_Bracknell_Forest Year1_EarlyHelpReferralsSTEPDOWN)</f>
        <v/>
      </c>
      <c r="Z76" s="763" t="str">
        <f>IF(Year2_Bracknell_Forest Year2_EarlyHelpReferralsSTEPDOWN="","",Year2_Bracknell_Forest Year2_EarlyHelpReferralsSTEPDOWN)</f>
        <v/>
      </c>
      <c r="AA76" s="763" t="str">
        <f>IF(Year3_Bracknell_Forest Year3_EarlyHelpReferralsSTEPDOWN="","",Year3_Bracknell_Forest Year3_EarlyHelpReferralsSTEPDOWN)</f>
        <v/>
      </c>
      <c r="AB76" s="763" t="str">
        <f>IF(Year4_Bracknell_Forest Year4_EarlyHelpReferralsSTEPDOWN="","",Year4_Bracknell_Forest Year4_EarlyHelpReferralsSTEPDOWN)</f>
        <v/>
      </c>
      <c r="AC76" s="763" t="str">
        <f>IF(Year5_Bracknell_Forest Year5_EarlyHelpReferralsSTEPDOWN="","",Year5_Bracknell_Forest Year5_EarlyHelpReferralsSTEPDOWN)</f>
        <v/>
      </c>
      <c r="AD76" s="758" t="str">
        <f t="shared" ref="AD76:AD98" si="26">IF(ISNUMBER(Y76),D10,"")</f>
        <v/>
      </c>
      <c r="AE76" s="758" t="str">
        <f t="shared" ref="AE76:AE98" si="27">IF(ISNUMBER(Z76),E10,"")</f>
        <v/>
      </c>
      <c r="AF76" s="758" t="str">
        <f t="shared" ref="AF76:AF98" si="28">IF(ISNUMBER(AA76),F10,"")</f>
        <v/>
      </c>
      <c r="AG76" s="758" t="str">
        <f t="shared" ref="AG76:AG98" si="29">IF(ISNUMBER(AB76),G10,"")</f>
        <v/>
      </c>
      <c r="AH76" s="758" t="str">
        <f t="shared" ref="AH76:AH98" si="30">IF(ISNUMBER(AC76),H10,"")</f>
        <v/>
      </c>
      <c r="AI76" s="202"/>
      <c r="AJ76" s="160"/>
    </row>
    <row r="77" spans="1:44" s="87" customFormat="1" ht="12.75" customHeight="1" x14ac:dyDescent="0.2">
      <c r="A77" s="488">
        <f>VLOOKUP(B77,Sheet1!$AQ$4:$AR$25,2,FALSE)</f>
        <v>0</v>
      </c>
      <c r="B77" s="93" t="str">
        <f>Sheet1!$K$5</f>
        <v>Brighton &amp; Hove</v>
      </c>
      <c r="C77" s="85"/>
      <c r="D77" s="162" t="e">
        <f t="shared" ref="D77:D98" si="31">IF(AND(ISNUMBER(Y77),ISNUMBER(AD77)),Y77/AD77,NA())</f>
        <v>#N/A</v>
      </c>
      <c r="E77" s="162" t="e">
        <f t="shared" ref="E77:E98" si="32">IF(AND(ISNUMBER(Z77),ISNUMBER(AE77)),Z77/AE77,NA())</f>
        <v>#N/A</v>
      </c>
      <c r="F77" s="162" t="e">
        <f t="shared" ref="F77:F98" si="33">IF(AND(ISNUMBER(AA77),ISNUMBER(AF77)),AA77/AF77,NA())</f>
        <v>#N/A</v>
      </c>
      <c r="G77" s="162" t="e">
        <f t="shared" ref="G77:G98" si="34">IF(AND(ISNUMBER(AB77),ISNUMBER(AG77)),AB77/AG77,NA())</f>
        <v>#N/A</v>
      </c>
      <c r="H77" s="164" t="e">
        <f t="shared" ref="H77:H98" si="35">IF(AND(ISNUMBER(AC77),ISNUMBER(AH77)),AC77/AH77,NA())</f>
        <v>#N/A</v>
      </c>
      <c r="I77" s="392"/>
      <c r="J77" s="96"/>
      <c r="K77" s="96"/>
      <c r="L77" s="166"/>
      <c r="M77" s="166"/>
      <c r="N77" s="166"/>
      <c r="O77" s="166"/>
      <c r="P77" s="166"/>
      <c r="Q77" s="166"/>
      <c r="R77" s="167"/>
      <c r="S77" s="159"/>
      <c r="T77" s="166"/>
      <c r="U77" s="122"/>
      <c r="V77" s="139"/>
      <c r="W77" s="152"/>
      <c r="X77" s="762" t="str">
        <f>Sheet1!$K$5</f>
        <v>Brighton &amp; Hove</v>
      </c>
      <c r="Y77" s="763" t="str">
        <f>IF(Year1_Brighton_Hove Year1_EarlyHelpReferralsSTEPDOWN="","",Year1_Brighton_Hove Year1_EarlyHelpReferralsSTEPDOWN)</f>
        <v/>
      </c>
      <c r="Z77" s="763" t="str">
        <f>IF(Year2_Brighton_Hove Year2_EarlyHelpReferralsSTEPDOWN="","",Year2_Brighton_Hove Year2_EarlyHelpReferralsSTEPDOWN)</f>
        <v/>
      </c>
      <c r="AA77" s="763" t="str">
        <f>IF(Year3_Brighton_Hove Year3_EarlyHelpReferralsSTEPDOWN="","",Year3_Brighton_Hove Year3_EarlyHelpReferralsSTEPDOWN)</f>
        <v/>
      </c>
      <c r="AB77" s="763" t="str">
        <f>IF(Year4_Brighton_Hove Year4_EarlyHelpReferralsSTEPDOWN="","",Year4_Brighton_Hove Year4_EarlyHelpReferralsSTEPDOWN)</f>
        <v/>
      </c>
      <c r="AC77" s="763" t="str">
        <f>IF(Year5_Brighton_Hove Year5_EarlyHelpReferralsSTEPDOWN="","",Year5_Brighton_Hove Year5_EarlyHelpReferralsSTEPDOWN)</f>
        <v/>
      </c>
      <c r="AD77" s="758" t="str">
        <f t="shared" si="26"/>
        <v/>
      </c>
      <c r="AE77" s="758" t="str">
        <f t="shared" si="27"/>
        <v/>
      </c>
      <c r="AF77" s="758" t="str">
        <f t="shared" si="28"/>
        <v/>
      </c>
      <c r="AG77" s="758" t="str">
        <f t="shared" si="29"/>
        <v/>
      </c>
      <c r="AH77" s="758" t="str">
        <f t="shared" si="30"/>
        <v/>
      </c>
      <c r="AI77" s="202"/>
      <c r="AJ77" s="160"/>
    </row>
    <row r="78" spans="1:44" s="87" customFormat="1" ht="12.75" customHeight="1" x14ac:dyDescent="0.2">
      <c r="A78" s="488">
        <f>VLOOKUP(B78,Sheet1!$AQ$4:$AR$25,2,FALSE)</f>
        <v>0</v>
      </c>
      <c r="B78" s="93" t="str">
        <f>Sheet1!$K$6</f>
        <v>Buckinghamshire</v>
      </c>
      <c r="C78" s="85"/>
      <c r="D78" s="162" t="e">
        <f t="shared" si="31"/>
        <v>#N/A</v>
      </c>
      <c r="E78" s="162" t="e">
        <f t="shared" si="32"/>
        <v>#N/A</v>
      </c>
      <c r="F78" s="162" t="e">
        <f t="shared" si="33"/>
        <v>#N/A</v>
      </c>
      <c r="G78" s="162" t="e">
        <f t="shared" si="34"/>
        <v>#N/A</v>
      </c>
      <c r="H78" s="164" t="e">
        <f t="shared" si="35"/>
        <v>#N/A</v>
      </c>
      <c r="I78" s="392"/>
      <c r="J78" s="96"/>
      <c r="K78" s="96"/>
      <c r="L78" s="166"/>
      <c r="M78" s="166"/>
      <c r="N78" s="166"/>
      <c r="O78" s="166"/>
      <c r="P78" s="166"/>
      <c r="Q78" s="166"/>
      <c r="R78" s="167"/>
      <c r="S78" s="159"/>
      <c r="T78" s="166"/>
      <c r="U78" s="122"/>
      <c r="V78" s="139"/>
      <c r="W78" s="152"/>
      <c r="X78" s="762" t="str">
        <f>Sheet1!$K$6</f>
        <v>Buckinghamshire</v>
      </c>
      <c r="Y78" s="763" t="str">
        <f>IF(Year1_Buckinghamshire Year1_EarlyHelpReferralsSTEPDOWN="","",Year1_Buckinghamshire Year1_EarlyHelpReferralsSTEPDOWN)</f>
        <v/>
      </c>
      <c r="Z78" s="763" t="str">
        <f>IF(Year2_Buckinghamshire Year2_EarlyHelpReferralsSTEPDOWN="","",Year2_Buckinghamshire Year2_EarlyHelpReferralsSTEPDOWN)</f>
        <v/>
      </c>
      <c r="AA78" s="763" t="str">
        <f>IF(Year3_Buckinghamshire Year3_EarlyHelpReferralsSTEPDOWN="","",Year3_Buckinghamshire Year3_EarlyHelpReferralsSTEPDOWN)</f>
        <v/>
      </c>
      <c r="AB78" s="763" t="str">
        <f>IF(Year4_Buckinghamshire Year4_EarlyHelpReferralsSTEPDOWN="","",Year4_Buckinghamshire Year4_EarlyHelpReferralsSTEPDOWN)</f>
        <v/>
      </c>
      <c r="AC78" s="763" t="str">
        <f>IF(Year5_Buckinghamshire Year5_EarlyHelpReferralsSTEPDOWN="","",Year5_Buckinghamshire Year5_EarlyHelpReferralsSTEPDOWN)</f>
        <v/>
      </c>
      <c r="AD78" s="758" t="str">
        <f t="shared" si="26"/>
        <v/>
      </c>
      <c r="AE78" s="758" t="str">
        <f t="shared" si="27"/>
        <v/>
      </c>
      <c r="AF78" s="758" t="str">
        <f t="shared" si="28"/>
        <v/>
      </c>
      <c r="AG78" s="758" t="str">
        <f t="shared" si="29"/>
        <v/>
      </c>
      <c r="AH78" s="758" t="str">
        <f t="shared" si="30"/>
        <v/>
      </c>
      <c r="AI78" s="202"/>
      <c r="AJ78" s="160"/>
    </row>
    <row r="79" spans="1:44" s="87" customFormat="1" ht="12.75" customHeight="1" x14ac:dyDescent="0.2">
      <c r="A79" s="488">
        <f>VLOOKUP(B79,Sheet1!$AQ$4:$AR$25,2,FALSE)</f>
        <v>0</v>
      </c>
      <c r="B79" s="93" t="str">
        <f>Sheet1!$K$7</f>
        <v>East Sussex</v>
      </c>
      <c r="C79" s="85"/>
      <c r="D79" s="162" t="e">
        <f t="shared" si="31"/>
        <v>#N/A</v>
      </c>
      <c r="E79" s="162" t="e">
        <f t="shared" si="32"/>
        <v>#N/A</v>
      </c>
      <c r="F79" s="162" t="e">
        <f t="shared" si="33"/>
        <v>#N/A</v>
      </c>
      <c r="G79" s="162" t="e">
        <f t="shared" si="34"/>
        <v>#N/A</v>
      </c>
      <c r="H79" s="164" t="e">
        <f t="shared" si="35"/>
        <v>#N/A</v>
      </c>
      <c r="I79" s="392"/>
      <c r="J79" s="96"/>
      <c r="K79" s="96"/>
      <c r="L79" s="166"/>
      <c r="M79" s="166"/>
      <c r="N79" s="166"/>
      <c r="O79" s="166"/>
      <c r="P79" s="166"/>
      <c r="Q79" s="166"/>
      <c r="R79" s="167"/>
      <c r="S79" s="159"/>
      <c r="T79" s="166"/>
      <c r="U79" s="122"/>
      <c r="V79" s="139"/>
      <c r="W79" s="152"/>
      <c r="X79" s="762" t="str">
        <f>Sheet1!$K$7</f>
        <v>East Sussex</v>
      </c>
      <c r="Y79" s="763" t="str">
        <f>IF(Year1_East_Sussex Year1_EarlyHelpReferralsSTEPDOWN="","",Year1_East_Sussex Year1_EarlyHelpReferralsSTEPDOWN)</f>
        <v/>
      </c>
      <c r="Z79" s="763" t="str">
        <f>IF(Year2_East_Sussex Year2_EarlyHelpReferralsSTEPDOWN="","",Year2_East_Sussex Year2_EarlyHelpReferralsSTEPDOWN)</f>
        <v/>
      </c>
      <c r="AA79" s="763" t="str">
        <f>IF(Year3_East_Sussex Year3_EarlyHelpReferralsSTEPDOWN="","",Year3_East_Sussex Year3_EarlyHelpReferralsSTEPDOWN)</f>
        <v/>
      </c>
      <c r="AB79" s="763" t="str">
        <f>IF(Year4_East_Sussex Year4_EarlyHelpReferralsSTEPDOWN="","",Year4_East_Sussex Year4_EarlyHelpReferralsSTEPDOWN)</f>
        <v/>
      </c>
      <c r="AC79" s="763" t="str">
        <f>IF(Year5_East_Sussex Year5_EarlyHelpReferralsSTEPDOWN="","",Year5_East_Sussex Year5_EarlyHelpReferralsSTEPDOWN)</f>
        <v/>
      </c>
      <c r="AD79" s="758" t="str">
        <f t="shared" si="26"/>
        <v/>
      </c>
      <c r="AE79" s="758" t="str">
        <f t="shared" si="27"/>
        <v/>
      </c>
      <c r="AF79" s="758" t="str">
        <f t="shared" si="28"/>
        <v/>
      </c>
      <c r="AG79" s="758" t="str">
        <f t="shared" si="29"/>
        <v/>
      </c>
      <c r="AH79" s="758" t="str">
        <f t="shared" si="30"/>
        <v/>
      </c>
      <c r="AI79" s="202"/>
      <c r="AJ79" s="160"/>
    </row>
    <row r="80" spans="1:44" s="87" customFormat="1" ht="12.75" customHeight="1" x14ac:dyDescent="0.2">
      <c r="A80" s="488">
        <f>VLOOKUP(B80,Sheet1!$AQ$4:$AR$25,2,FALSE)</f>
        <v>0</v>
      </c>
      <c r="B80" s="93" t="str">
        <f>Sheet1!$K$8</f>
        <v>Hampshire</v>
      </c>
      <c r="C80" s="85"/>
      <c r="D80" s="162" t="e">
        <f t="shared" si="31"/>
        <v>#N/A</v>
      </c>
      <c r="E80" s="162" t="e">
        <f t="shared" si="32"/>
        <v>#N/A</v>
      </c>
      <c r="F80" s="162" t="e">
        <f t="shared" si="33"/>
        <v>#N/A</v>
      </c>
      <c r="G80" s="162" t="e">
        <f t="shared" si="34"/>
        <v>#N/A</v>
      </c>
      <c r="H80" s="164" t="e">
        <f t="shared" si="35"/>
        <v>#N/A</v>
      </c>
      <c r="I80" s="392"/>
      <c r="J80" s="96"/>
      <c r="K80" s="96"/>
      <c r="L80" s="166"/>
      <c r="M80" s="166"/>
      <c r="N80" s="166"/>
      <c r="O80" s="166"/>
      <c r="P80" s="166"/>
      <c r="Q80" s="166"/>
      <c r="R80" s="167"/>
      <c r="S80" s="159"/>
      <c r="T80" s="166"/>
      <c r="U80" s="122"/>
      <c r="V80" s="139"/>
      <c r="W80" s="152"/>
      <c r="X80" s="762" t="str">
        <f>Sheet1!$K$8</f>
        <v>Hampshire</v>
      </c>
      <c r="Y80" s="763" t="str">
        <f>IF(Year1_Hampshire Year1_EarlyHelpReferralsSTEPDOWN="","",Year1_Hampshire Year1_EarlyHelpReferralsSTEPDOWN)</f>
        <v/>
      </c>
      <c r="Z80" s="763" t="str">
        <f>IF(Year2_Hampshire Year2_EarlyHelpReferralsSTEPDOWN="","",Year2_Hampshire Year2_EarlyHelpReferralsSTEPDOWN)</f>
        <v/>
      </c>
      <c r="AA80" s="763" t="str">
        <f>IF(Year3_Hampshire Year3_EarlyHelpReferralsSTEPDOWN="","",Year3_Hampshire Year3_EarlyHelpReferralsSTEPDOWN)</f>
        <v/>
      </c>
      <c r="AB80" s="763" t="str">
        <f>IF(Year4_Hampshire Year4_EarlyHelpReferralsSTEPDOWN="","",Year4_Hampshire Year4_EarlyHelpReferralsSTEPDOWN)</f>
        <v/>
      </c>
      <c r="AC80" s="763" t="str">
        <f>IF(Year5_Hampshire Year5_EarlyHelpReferralsSTEPDOWN="","",Year5_Hampshire Year5_EarlyHelpReferralsSTEPDOWN)</f>
        <v/>
      </c>
      <c r="AD80" s="758" t="str">
        <f t="shared" si="26"/>
        <v/>
      </c>
      <c r="AE80" s="758" t="str">
        <f t="shared" si="27"/>
        <v/>
      </c>
      <c r="AF80" s="758" t="str">
        <f t="shared" si="28"/>
        <v/>
      </c>
      <c r="AG80" s="758" t="str">
        <f t="shared" si="29"/>
        <v/>
      </c>
      <c r="AH80" s="758" t="str">
        <f t="shared" si="30"/>
        <v/>
      </c>
      <c r="AI80" s="202"/>
      <c r="AJ80" s="160"/>
    </row>
    <row r="81" spans="1:45" s="87" customFormat="1" ht="12.75" customHeight="1" x14ac:dyDescent="0.2">
      <c r="A81" s="488">
        <f>VLOOKUP(B81,Sheet1!$AQ$4:$AR$25,2,FALSE)</f>
        <v>0</v>
      </c>
      <c r="B81" s="93" t="str">
        <f>Sheet1!$K$9</f>
        <v>Isle of Wight</v>
      </c>
      <c r="C81" s="85"/>
      <c r="D81" s="162" t="e">
        <f t="shared" si="31"/>
        <v>#N/A</v>
      </c>
      <c r="E81" s="162" t="e">
        <f t="shared" si="32"/>
        <v>#N/A</v>
      </c>
      <c r="F81" s="162" t="e">
        <f t="shared" si="33"/>
        <v>#N/A</v>
      </c>
      <c r="G81" s="162" t="e">
        <f t="shared" si="34"/>
        <v>#N/A</v>
      </c>
      <c r="H81" s="164" t="e">
        <f t="shared" si="35"/>
        <v>#N/A</v>
      </c>
      <c r="I81" s="392"/>
      <c r="J81" s="96"/>
      <c r="K81" s="96"/>
      <c r="L81" s="166"/>
      <c r="M81" s="166"/>
      <c r="N81" s="166"/>
      <c r="O81" s="166"/>
      <c r="P81" s="166"/>
      <c r="Q81" s="166"/>
      <c r="R81" s="167"/>
      <c r="S81" s="159"/>
      <c r="T81" s="166"/>
      <c r="U81" s="122"/>
      <c r="V81" s="139"/>
      <c r="W81" s="152"/>
      <c r="X81" s="762" t="str">
        <f>Sheet1!$K$9</f>
        <v>Isle of Wight</v>
      </c>
      <c r="Y81" s="763" t="str">
        <f>IF(Year1_Isle_of_Wight Year1_EarlyHelpReferralsSTEPDOWN="","",Year1_Isle_of_Wight Year1_EarlyHelpReferralsSTEPDOWN)</f>
        <v/>
      </c>
      <c r="Z81" s="763" t="str">
        <f>IF(Year2_Isle_of_Wight Year2_EarlyHelpReferralsSTEPDOWN="","",Year2_Isle_of_Wight Year2_EarlyHelpReferralsSTEPDOWN)</f>
        <v/>
      </c>
      <c r="AA81" s="763" t="str">
        <f>IF(Year3_Isle_of_Wight Year3_EarlyHelpReferralsSTEPDOWN="","",Year3_Isle_of_Wight Year3_EarlyHelpReferralsSTEPDOWN)</f>
        <v/>
      </c>
      <c r="AB81" s="763" t="str">
        <f>IF(Year4_Isle_of_Wight Year4_EarlyHelpReferralsSTEPDOWN="","",Year4_Isle_of_Wight Year4_EarlyHelpReferralsSTEPDOWN)</f>
        <v/>
      </c>
      <c r="AC81" s="763" t="str">
        <f>IF(Year5_Isle_of_Wight Year5_EarlyHelpReferralsSTEPDOWN="","",Year5_Isle_of_Wight Year5_EarlyHelpReferralsSTEPDOWN)</f>
        <v/>
      </c>
      <c r="AD81" s="758" t="str">
        <f t="shared" si="26"/>
        <v/>
      </c>
      <c r="AE81" s="758" t="str">
        <f t="shared" si="27"/>
        <v/>
      </c>
      <c r="AF81" s="758" t="str">
        <f t="shared" si="28"/>
        <v/>
      </c>
      <c r="AG81" s="758" t="str">
        <f t="shared" si="29"/>
        <v/>
      </c>
      <c r="AH81" s="758" t="str">
        <f t="shared" si="30"/>
        <v/>
      </c>
      <c r="AI81" s="202"/>
      <c r="AJ81" s="160"/>
      <c r="AS81" s="87" t="s">
        <v>102</v>
      </c>
    </row>
    <row r="82" spans="1:45" s="87" customFormat="1" ht="12.75" customHeight="1" x14ac:dyDescent="0.2">
      <c r="A82" s="488">
        <f>VLOOKUP(B82,Sheet1!$AQ$4:$AR$25,2,FALSE)</f>
        <v>0</v>
      </c>
      <c r="B82" s="93" t="str">
        <f>Sheet1!$K$10</f>
        <v>Kent</v>
      </c>
      <c r="C82" s="85"/>
      <c r="D82" s="162" t="e">
        <f t="shared" si="31"/>
        <v>#N/A</v>
      </c>
      <c r="E82" s="162" t="e">
        <f t="shared" si="32"/>
        <v>#N/A</v>
      </c>
      <c r="F82" s="162" t="e">
        <f t="shared" si="33"/>
        <v>#N/A</v>
      </c>
      <c r="G82" s="162" t="e">
        <f t="shared" si="34"/>
        <v>#N/A</v>
      </c>
      <c r="H82" s="164" t="e">
        <f t="shared" si="35"/>
        <v>#N/A</v>
      </c>
      <c r="I82" s="392"/>
      <c r="J82" s="96"/>
      <c r="K82" s="96"/>
      <c r="L82" s="166"/>
      <c r="M82" s="166"/>
      <c r="N82" s="166"/>
      <c r="O82" s="166"/>
      <c r="P82" s="166"/>
      <c r="Q82" s="166"/>
      <c r="R82" s="167"/>
      <c r="S82" s="159"/>
      <c r="T82" s="166"/>
      <c r="U82" s="122"/>
      <c r="V82" s="139"/>
      <c r="W82" s="152"/>
      <c r="X82" s="762" t="str">
        <f>Sheet1!$K$10</f>
        <v>Kent</v>
      </c>
      <c r="Y82" s="763" t="str">
        <f>IF(Year1_Kent Year1_EarlyHelpReferralsSTEPDOWN="","",Year1_Kent Year1_EarlyHelpReferralsSTEPDOWN)</f>
        <v/>
      </c>
      <c r="Z82" s="763" t="str">
        <f>IF(Year2_Kent Year2_EarlyHelpReferralsSTEPDOWN="","",Year2_Kent Year2_EarlyHelpReferralsSTEPDOWN)</f>
        <v/>
      </c>
      <c r="AA82" s="763" t="str">
        <f>IF(Year3_Kent Year3_EarlyHelpReferralsSTEPDOWN="","",Year3_Kent Year3_EarlyHelpReferralsSTEPDOWN)</f>
        <v/>
      </c>
      <c r="AB82" s="763" t="str">
        <f>IF(Year4_Kent Year4_EarlyHelpReferralsSTEPDOWN="","",Year4_Kent Year4_EarlyHelpReferralsSTEPDOWN)</f>
        <v/>
      </c>
      <c r="AC82" s="763" t="str">
        <f>IF(Year5_Kent Year5_EarlyHelpReferralsSTEPDOWN="","",Year5_Kent Year5_EarlyHelpReferralsSTEPDOWN)</f>
        <v/>
      </c>
      <c r="AD82" s="758" t="str">
        <f t="shared" si="26"/>
        <v/>
      </c>
      <c r="AE82" s="758" t="str">
        <f t="shared" si="27"/>
        <v/>
      </c>
      <c r="AF82" s="758" t="str">
        <f t="shared" si="28"/>
        <v/>
      </c>
      <c r="AG82" s="758" t="str">
        <f t="shared" si="29"/>
        <v/>
      </c>
      <c r="AH82" s="758" t="str">
        <f t="shared" si="30"/>
        <v/>
      </c>
      <c r="AI82" s="202"/>
      <c r="AJ82" s="160"/>
    </row>
    <row r="83" spans="1:45" s="87" customFormat="1" ht="12.75" customHeight="1" x14ac:dyDescent="0.2">
      <c r="A83" s="488">
        <f>VLOOKUP(B83,Sheet1!$AQ$4:$AR$25,2,FALSE)</f>
        <v>0</v>
      </c>
      <c r="B83" s="93" t="str">
        <f>Sheet1!$K$11</f>
        <v>Medway</v>
      </c>
      <c r="C83" s="85"/>
      <c r="D83" s="162" t="e">
        <f t="shared" si="31"/>
        <v>#N/A</v>
      </c>
      <c r="E83" s="162" t="e">
        <f t="shared" si="32"/>
        <v>#N/A</v>
      </c>
      <c r="F83" s="162" t="e">
        <f t="shared" si="33"/>
        <v>#N/A</v>
      </c>
      <c r="G83" s="162" t="e">
        <f t="shared" si="34"/>
        <v>#N/A</v>
      </c>
      <c r="H83" s="164" t="e">
        <f t="shared" si="35"/>
        <v>#N/A</v>
      </c>
      <c r="I83" s="392"/>
      <c r="J83" s="96"/>
      <c r="K83" s="96"/>
      <c r="L83" s="166"/>
      <c r="M83" s="166"/>
      <c r="N83" s="166"/>
      <c r="O83" s="166"/>
      <c r="P83" s="166"/>
      <c r="Q83" s="166"/>
      <c r="R83" s="167"/>
      <c r="S83" s="159"/>
      <c r="T83" s="166"/>
      <c r="U83" s="122"/>
      <c r="V83" s="139"/>
      <c r="W83" s="152"/>
      <c r="X83" s="762" t="str">
        <f>Sheet1!$K$11</f>
        <v>Medway</v>
      </c>
      <c r="Y83" s="763" t="str">
        <f>IF(Year1_Medway Year1_EarlyHelpReferralsSTEPDOWN="","",Year1_Medway Year1_EarlyHelpReferralsSTEPDOWN)</f>
        <v/>
      </c>
      <c r="Z83" s="763" t="str">
        <f>IF(Year2_Medway Year2_EarlyHelpReferralsSTEPDOWN="","",Year2_Medway Year2_EarlyHelpReferralsSTEPDOWN)</f>
        <v/>
      </c>
      <c r="AA83" s="763" t="str">
        <f>IF(Year3_Medway Year3_EarlyHelpReferralsSTEPDOWN="","",Year3_Medway Year3_EarlyHelpReferralsSTEPDOWN)</f>
        <v/>
      </c>
      <c r="AB83" s="763" t="str">
        <f>IF(Year4_Medway Year4_EarlyHelpReferralsSTEPDOWN="","",Year4_Medway Year4_EarlyHelpReferralsSTEPDOWN)</f>
        <v/>
      </c>
      <c r="AC83" s="763" t="str">
        <f>IF(Year5_Medway Year5_EarlyHelpReferralsSTEPDOWN="","",Year5_Medway Year5_EarlyHelpReferralsSTEPDOWN)</f>
        <v/>
      </c>
      <c r="AD83" s="758" t="str">
        <f t="shared" si="26"/>
        <v/>
      </c>
      <c r="AE83" s="758" t="str">
        <f t="shared" si="27"/>
        <v/>
      </c>
      <c r="AF83" s="758" t="str">
        <f t="shared" si="28"/>
        <v/>
      </c>
      <c r="AG83" s="758" t="str">
        <f t="shared" si="29"/>
        <v/>
      </c>
      <c r="AH83" s="758" t="str">
        <f t="shared" si="30"/>
        <v/>
      </c>
      <c r="AI83" s="202"/>
      <c r="AJ83" s="160"/>
    </row>
    <row r="84" spans="1:45" s="87" customFormat="1" ht="12.75" customHeight="1" x14ac:dyDescent="0.2">
      <c r="A84" s="488">
        <f>VLOOKUP(B84,Sheet1!$AQ$4:$AR$25,2,FALSE)</f>
        <v>0</v>
      </c>
      <c r="B84" s="93" t="str">
        <f>Sheet1!$K$12</f>
        <v>Milton Keynes</v>
      </c>
      <c r="C84" s="85"/>
      <c r="D84" s="162" t="e">
        <f t="shared" si="31"/>
        <v>#N/A</v>
      </c>
      <c r="E84" s="162" t="e">
        <f t="shared" si="32"/>
        <v>#N/A</v>
      </c>
      <c r="F84" s="162" t="e">
        <f t="shared" si="33"/>
        <v>#N/A</v>
      </c>
      <c r="G84" s="162" t="e">
        <f t="shared" si="34"/>
        <v>#N/A</v>
      </c>
      <c r="H84" s="164" t="e">
        <f t="shared" si="35"/>
        <v>#N/A</v>
      </c>
      <c r="I84" s="392"/>
      <c r="J84" s="96"/>
      <c r="K84" s="96"/>
      <c r="L84" s="166"/>
      <c r="M84" s="166"/>
      <c r="N84" s="166"/>
      <c r="O84" s="166"/>
      <c r="P84" s="166"/>
      <c r="Q84" s="166"/>
      <c r="R84" s="167"/>
      <c r="S84" s="159"/>
      <c r="T84" s="166"/>
      <c r="U84" s="122"/>
      <c r="V84" s="139"/>
      <c r="W84" s="152"/>
      <c r="X84" s="762" t="str">
        <f>Sheet1!$K$12</f>
        <v>Milton Keynes</v>
      </c>
      <c r="Y84" s="763" t="str">
        <f>IF(Year1_Milton_Keynes Year1_EarlyHelpReferralsSTEPDOWN="","",Year1_Milton_Keynes Year1_EarlyHelpReferralsSTEPDOWN)</f>
        <v/>
      </c>
      <c r="Z84" s="763" t="str">
        <f>IF(Year2_Milton_Keynes Year2_EarlyHelpReferralsSTEPDOWN="","",Year2_Milton_Keynes Year2_EarlyHelpReferralsSTEPDOWN)</f>
        <v/>
      </c>
      <c r="AA84" s="763" t="str">
        <f>IF(Year3_Milton_Keynes Year3_EarlyHelpReferralsSTEPDOWN="","",Year3_Milton_Keynes Year3_EarlyHelpReferralsSTEPDOWN)</f>
        <v/>
      </c>
      <c r="AB84" s="763" t="str">
        <f>IF(Year4_Milton_Keynes Year4_EarlyHelpReferralsSTEPDOWN="","",Year4_Milton_Keynes Year4_EarlyHelpReferralsSTEPDOWN)</f>
        <v/>
      </c>
      <c r="AC84" s="763" t="str">
        <f>IF(Year5_Milton_Keynes Year5_EarlyHelpReferralsSTEPDOWN="","",Year5_Milton_Keynes Year5_EarlyHelpReferralsSTEPDOWN)</f>
        <v/>
      </c>
      <c r="AD84" s="758" t="str">
        <f t="shared" si="26"/>
        <v/>
      </c>
      <c r="AE84" s="758" t="str">
        <f t="shared" si="27"/>
        <v/>
      </c>
      <c r="AF84" s="758" t="str">
        <f t="shared" si="28"/>
        <v/>
      </c>
      <c r="AG84" s="758" t="str">
        <f t="shared" si="29"/>
        <v/>
      </c>
      <c r="AH84" s="758" t="str">
        <f t="shared" si="30"/>
        <v/>
      </c>
      <c r="AI84" s="202"/>
      <c r="AJ84" s="160"/>
    </row>
    <row r="85" spans="1:45" s="87" customFormat="1" ht="12.75" customHeight="1" x14ac:dyDescent="0.2">
      <c r="A85" s="488">
        <f>VLOOKUP(B85,Sheet1!$AQ$4:$AR$25,2,FALSE)</f>
        <v>0</v>
      </c>
      <c r="B85" s="93" t="str">
        <f>Sheet1!$K$13</f>
        <v>Oxfordshire</v>
      </c>
      <c r="C85" s="85"/>
      <c r="D85" s="162" t="e">
        <f t="shared" si="31"/>
        <v>#N/A</v>
      </c>
      <c r="E85" s="162" t="e">
        <f t="shared" si="32"/>
        <v>#N/A</v>
      </c>
      <c r="F85" s="162" t="e">
        <f t="shared" si="33"/>
        <v>#N/A</v>
      </c>
      <c r="G85" s="162" t="e">
        <f t="shared" si="34"/>
        <v>#N/A</v>
      </c>
      <c r="H85" s="164" t="e">
        <f t="shared" si="35"/>
        <v>#N/A</v>
      </c>
      <c r="I85" s="392"/>
      <c r="J85" s="96"/>
      <c r="K85" s="96"/>
      <c r="L85" s="166"/>
      <c r="M85" s="166"/>
      <c r="N85" s="166"/>
      <c r="O85" s="166"/>
      <c r="P85" s="166"/>
      <c r="Q85" s="166"/>
      <c r="R85" s="167"/>
      <c r="S85" s="159"/>
      <c r="T85" s="166"/>
      <c r="U85" s="122"/>
      <c r="V85" s="139"/>
      <c r="W85" s="152"/>
      <c r="X85" s="762" t="str">
        <f>Sheet1!$K$13</f>
        <v>Oxfordshire</v>
      </c>
      <c r="Y85" s="763" t="str">
        <f>IF(Year1_Oxfordshire Year1_EarlyHelpReferralsSTEPDOWN="","",Year1_Oxfordshire Year1_EarlyHelpReferralsSTEPDOWN)</f>
        <v/>
      </c>
      <c r="Z85" s="763" t="str">
        <f>IF(Year2_Oxfordshire Year2_EarlyHelpReferralsSTEPDOWN="","",Year2_Oxfordshire Year2_EarlyHelpReferralsSTEPDOWN)</f>
        <v/>
      </c>
      <c r="AA85" s="763" t="str">
        <f>IF(Year3_Oxfordshire Year3_EarlyHelpReferralsSTEPDOWN="","",Year3_Oxfordshire Year3_EarlyHelpReferralsSTEPDOWN)</f>
        <v/>
      </c>
      <c r="AB85" s="763" t="str">
        <f>IF(Year4_Oxfordshire Year4_EarlyHelpReferralsSTEPDOWN="","",Year4_Oxfordshire Year4_EarlyHelpReferralsSTEPDOWN)</f>
        <v/>
      </c>
      <c r="AC85" s="763" t="str">
        <f>IF(Year5_Oxfordshire Year5_EarlyHelpReferralsSTEPDOWN="","",Year5_Oxfordshire Year5_EarlyHelpReferralsSTEPDOWN)</f>
        <v/>
      </c>
      <c r="AD85" s="758" t="str">
        <f t="shared" si="26"/>
        <v/>
      </c>
      <c r="AE85" s="758" t="str">
        <f t="shared" si="27"/>
        <v/>
      </c>
      <c r="AF85" s="758" t="str">
        <f t="shared" si="28"/>
        <v/>
      </c>
      <c r="AG85" s="758" t="str">
        <f t="shared" si="29"/>
        <v/>
      </c>
      <c r="AH85" s="758" t="str">
        <f t="shared" si="30"/>
        <v/>
      </c>
      <c r="AI85" s="202"/>
      <c r="AJ85" s="160"/>
    </row>
    <row r="86" spans="1:45" s="87" customFormat="1" ht="12.75" customHeight="1" x14ac:dyDescent="0.2">
      <c r="A86" s="488">
        <f>VLOOKUP(B86,Sheet1!$AQ$4:$AR$25,2,FALSE)</f>
        <v>0</v>
      </c>
      <c r="B86" s="93" t="str">
        <f>Sheet1!$K$14</f>
        <v>Portsmouth</v>
      </c>
      <c r="C86" s="85"/>
      <c r="D86" s="162" t="e">
        <f t="shared" si="31"/>
        <v>#N/A</v>
      </c>
      <c r="E86" s="162" t="e">
        <f t="shared" si="32"/>
        <v>#N/A</v>
      </c>
      <c r="F86" s="162" t="e">
        <f t="shared" si="33"/>
        <v>#N/A</v>
      </c>
      <c r="G86" s="162" t="e">
        <f t="shared" si="34"/>
        <v>#N/A</v>
      </c>
      <c r="H86" s="164" t="e">
        <f t="shared" si="35"/>
        <v>#N/A</v>
      </c>
      <c r="I86" s="392"/>
      <c r="J86" s="96"/>
      <c r="K86" s="96"/>
      <c r="L86" s="166"/>
      <c r="M86" s="166"/>
      <c r="N86" s="166"/>
      <c r="O86" s="166"/>
      <c r="P86" s="166"/>
      <c r="Q86" s="166"/>
      <c r="R86" s="167"/>
      <c r="S86" s="159"/>
      <c r="T86" s="166"/>
      <c r="U86" s="122"/>
      <c r="V86" s="139"/>
      <c r="W86" s="152"/>
      <c r="X86" s="762" t="str">
        <f>Sheet1!$K$14</f>
        <v>Portsmouth</v>
      </c>
      <c r="Y86" s="763" t="str">
        <f>IF(Year1_Portsmouth Year1_EarlyHelpReferralsSTEPDOWN="","",Year1_Portsmouth Year1_EarlyHelpReferralsSTEPDOWN)</f>
        <v/>
      </c>
      <c r="Z86" s="763" t="str">
        <f>IF(Year2_Portsmouth Year2_EarlyHelpReferralsSTEPDOWN="","",Year2_Portsmouth Year2_EarlyHelpReferralsSTEPDOWN)</f>
        <v/>
      </c>
      <c r="AA86" s="763" t="str">
        <f>IF(Year3_Portsmouth Year3_EarlyHelpReferralsSTEPDOWN="","",Year3_Portsmouth Year3_EarlyHelpReferralsSTEPDOWN)</f>
        <v/>
      </c>
      <c r="AB86" s="763" t="str">
        <f>IF(Year4_Portsmouth Year4_EarlyHelpReferralsSTEPDOWN="","",Year4_Portsmouth Year4_EarlyHelpReferralsSTEPDOWN)</f>
        <v/>
      </c>
      <c r="AC86" s="763" t="str">
        <f>IF(Year5_Portsmouth Year5_EarlyHelpReferralsSTEPDOWN="","",Year5_Portsmouth Year5_EarlyHelpReferralsSTEPDOWN)</f>
        <v/>
      </c>
      <c r="AD86" s="758" t="str">
        <f t="shared" si="26"/>
        <v/>
      </c>
      <c r="AE86" s="758" t="str">
        <f t="shared" si="27"/>
        <v/>
      </c>
      <c r="AF86" s="758" t="str">
        <f t="shared" si="28"/>
        <v/>
      </c>
      <c r="AG86" s="758" t="str">
        <f t="shared" si="29"/>
        <v/>
      </c>
      <c r="AH86" s="758" t="str">
        <f t="shared" si="30"/>
        <v/>
      </c>
      <c r="AI86" s="202"/>
      <c r="AJ86" s="160"/>
    </row>
    <row r="87" spans="1:45" s="87" customFormat="1" ht="12.75" customHeight="1" x14ac:dyDescent="0.2">
      <c r="A87" s="488">
        <f>VLOOKUP(B87,Sheet1!$AQ$4:$AR$25,2,FALSE)</f>
        <v>0</v>
      </c>
      <c r="B87" s="93" t="str">
        <f>Sheet1!$K$15</f>
        <v>Reading</v>
      </c>
      <c r="C87" s="85"/>
      <c r="D87" s="162" t="e">
        <f t="shared" si="31"/>
        <v>#N/A</v>
      </c>
      <c r="E87" s="162" t="e">
        <f t="shared" si="32"/>
        <v>#N/A</v>
      </c>
      <c r="F87" s="162" t="e">
        <f t="shared" si="33"/>
        <v>#N/A</v>
      </c>
      <c r="G87" s="162" t="e">
        <f t="shared" si="34"/>
        <v>#N/A</v>
      </c>
      <c r="H87" s="164" t="e">
        <f t="shared" si="35"/>
        <v>#N/A</v>
      </c>
      <c r="I87" s="392"/>
      <c r="J87" s="96"/>
      <c r="K87" s="96"/>
      <c r="L87" s="166"/>
      <c r="M87" s="166"/>
      <c r="N87" s="166"/>
      <c r="O87" s="166"/>
      <c r="P87" s="166"/>
      <c r="Q87" s="166"/>
      <c r="R87" s="167"/>
      <c r="S87" s="159"/>
      <c r="T87" s="166"/>
      <c r="U87" s="122"/>
      <c r="V87" s="139"/>
      <c r="W87" s="152"/>
      <c r="X87" s="762" t="str">
        <f>Sheet1!$K$15</f>
        <v>Reading</v>
      </c>
      <c r="Y87" s="763" t="str">
        <f>IF(Year1_Reading Year1_EarlyHelpReferralsSTEPDOWN="","",Year1_Reading Year1_EarlyHelpReferralsSTEPDOWN)</f>
        <v/>
      </c>
      <c r="Z87" s="763" t="str">
        <f>IF(Year2_Reading Year2_EarlyHelpReferralsSTEPDOWN="","",Year2_Reading Year2_EarlyHelpReferralsSTEPDOWN)</f>
        <v/>
      </c>
      <c r="AA87" s="763" t="str">
        <f>IF(Year3_Reading Year3_EarlyHelpReferralsSTEPDOWN="","",Year3_Reading Year3_EarlyHelpReferralsSTEPDOWN)</f>
        <v/>
      </c>
      <c r="AB87" s="763" t="str">
        <f>IF(Year4_Reading Year4_EarlyHelpReferralsSTEPDOWN="","",Year4_Reading Year4_EarlyHelpReferralsSTEPDOWN)</f>
        <v/>
      </c>
      <c r="AC87" s="763" t="str">
        <f>IF(Year5_Reading Year5_EarlyHelpReferralsSTEPDOWN="","",Year5_Reading Year5_EarlyHelpReferralsSTEPDOWN)</f>
        <v/>
      </c>
      <c r="AD87" s="758" t="str">
        <f t="shared" si="26"/>
        <v/>
      </c>
      <c r="AE87" s="758" t="str">
        <f t="shared" si="27"/>
        <v/>
      </c>
      <c r="AF87" s="758" t="str">
        <f t="shared" si="28"/>
        <v/>
      </c>
      <c r="AG87" s="758" t="str">
        <f t="shared" si="29"/>
        <v/>
      </c>
      <c r="AH87" s="758" t="str">
        <f t="shared" si="30"/>
        <v/>
      </c>
      <c r="AI87" s="202"/>
      <c r="AJ87" s="160"/>
    </row>
    <row r="88" spans="1:45" s="87" customFormat="1" ht="12.75" customHeight="1" x14ac:dyDescent="0.2">
      <c r="A88" s="488">
        <f>VLOOKUP(B88,Sheet1!$AQ$4:$AR$25,2,FALSE)</f>
        <v>0</v>
      </c>
      <c r="B88" s="93" t="str">
        <f>Sheet1!$K$16</f>
        <v>Slough</v>
      </c>
      <c r="C88" s="85"/>
      <c r="D88" s="162" t="e">
        <f t="shared" si="31"/>
        <v>#N/A</v>
      </c>
      <c r="E88" s="162" t="e">
        <f t="shared" si="32"/>
        <v>#N/A</v>
      </c>
      <c r="F88" s="162" t="e">
        <f t="shared" si="33"/>
        <v>#N/A</v>
      </c>
      <c r="G88" s="162" t="e">
        <f t="shared" si="34"/>
        <v>#N/A</v>
      </c>
      <c r="H88" s="164" t="e">
        <f t="shared" si="35"/>
        <v>#N/A</v>
      </c>
      <c r="I88" s="392"/>
      <c r="J88" s="96"/>
      <c r="K88" s="96"/>
      <c r="L88" s="166"/>
      <c r="M88" s="166"/>
      <c r="N88" s="166"/>
      <c r="O88" s="166"/>
      <c r="P88" s="166"/>
      <c r="Q88" s="166"/>
      <c r="R88" s="167"/>
      <c r="S88" s="159"/>
      <c r="T88" s="166"/>
      <c r="U88" s="122"/>
      <c r="V88" s="139"/>
      <c r="W88" s="152"/>
      <c r="X88" s="762" t="str">
        <f>Sheet1!$K$16</f>
        <v>Slough</v>
      </c>
      <c r="Y88" s="763" t="str">
        <f>IF(Year1_Slough Year1_EarlyHelpReferralsSTEPDOWN="","",Year1_Slough Year1_EarlyHelpReferralsSTEPDOWN)</f>
        <v/>
      </c>
      <c r="Z88" s="763" t="str">
        <f>IF(Year2_Slough Year2_EarlyHelpReferralsSTEPDOWN="","",Year2_Slough Year2_EarlyHelpReferralsSTEPDOWN)</f>
        <v/>
      </c>
      <c r="AA88" s="763" t="str">
        <f>IF(Year3_Slough Year3_EarlyHelpReferralsSTEPDOWN="","",Year3_Slough Year3_EarlyHelpReferralsSTEPDOWN)</f>
        <v/>
      </c>
      <c r="AB88" s="763" t="str">
        <f>IF(Year4_Slough Year4_EarlyHelpReferralsSTEPDOWN="","",Year4_Slough Year4_EarlyHelpReferralsSTEPDOWN)</f>
        <v/>
      </c>
      <c r="AC88" s="763" t="str">
        <f>IF(Year5_Slough Year5_EarlyHelpReferralsSTEPDOWN="","",Year5_Slough Year5_EarlyHelpReferralsSTEPDOWN)</f>
        <v/>
      </c>
      <c r="AD88" s="758" t="str">
        <f t="shared" si="26"/>
        <v/>
      </c>
      <c r="AE88" s="758" t="str">
        <f t="shared" si="27"/>
        <v/>
      </c>
      <c r="AF88" s="758" t="str">
        <f t="shared" si="28"/>
        <v/>
      </c>
      <c r="AG88" s="758" t="str">
        <f t="shared" si="29"/>
        <v/>
      </c>
      <c r="AH88" s="758" t="str">
        <f t="shared" si="30"/>
        <v/>
      </c>
      <c r="AI88" s="202"/>
      <c r="AJ88" s="160"/>
    </row>
    <row r="89" spans="1:45" s="87" customFormat="1" ht="12.75" customHeight="1" x14ac:dyDescent="0.2">
      <c r="A89" s="488">
        <f>VLOOKUP(B89,Sheet1!$AQ$4:$AR$25,2,FALSE)</f>
        <v>0</v>
      </c>
      <c r="B89" s="93" t="str">
        <f>Sheet1!$K$17</f>
        <v>Somerset</v>
      </c>
      <c r="C89" s="85"/>
      <c r="D89" s="162" t="e">
        <f t="shared" si="31"/>
        <v>#N/A</v>
      </c>
      <c r="E89" s="162" t="e">
        <f t="shared" si="32"/>
        <v>#N/A</v>
      </c>
      <c r="F89" s="162" t="e">
        <f t="shared" si="33"/>
        <v>#N/A</v>
      </c>
      <c r="G89" s="162" t="e">
        <f t="shared" si="34"/>
        <v>#N/A</v>
      </c>
      <c r="H89" s="164" t="e">
        <f t="shared" si="35"/>
        <v>#N/A</v>
      </c>
      <c r="I89" s="392"/>
      <c r="J89" s="96"/>
      <c r="K89" s="96"/>
      <c r="L89" s="166"/>
      <c r="M89" s="166"/>
      <c r="N89" s="166"/>
      <c r="O89" s="166"/>
      <c r="P89" s="166"/>
      <c r="Q89" s="166"/>
      <c r="R89" s="167"/>
      <c r="S89" s="159"/>
      <c r="T89" s="166"/>
      <c r="U89" s="122"/>
      <c r="V89" s="139"/>
      <c r="W89" s="152"/>
      <c r="X89" s="762" t="str">
        <f>Sheet1!$K$17</f>
        <v>Somerset</v>
      </c>
      <c r="Y89" s="763" t="str">
        <f>IF(Year1_Somerset Year1_EarlyHelpReferralsSTEPDOWN="","",Year1_Somerset Year1_EarlyHelpReferralsSTEPDOWN)</f>
        <v/>
      </c>
      <c r="Z89" s="763" t="str">
        <f>IF(Year2_Somerset Year2_EarlyHelpReferralsSTEPDOWN="","",Year2_Somerset Year2_EarlyHelpReferralsSTEPDOWN)</f>
        <v/>
      </c>
      <c r="AA89" s="763" t="str">
        <f>IF(Year3_Somerset Year3_EarlyHelpReferralsSTEPDOWN="","",Year3_Somerset Year3_EarlyHelpReferralsSTEPDOWN)</f>
        <v/>
      </c>
      <c r="AB89" s="763" t="str">
        <f>IF(Year4_Somerset Year4_EarlyHelpReferralsSTEPDOWN="","",Year4_Somerset Year4_EarlyHelpReferralsSTEPDOWN)</f>
        <v/>
      </c>
      <c r="AC89" s="763" t="str">
        <f>IF(Year5_Somerset Year5_EarlyHelpReferralsSTEPDOWN="","",Year5_Somerset Year5_EarlyHelpReferralsSTEPDOWN)</f>
        <v/>
      </c>
      <c r="AD89" s="758" t="str">
        <f t="shared" si="26"/>
        <v/>
      </c>
      <c r="AE89" s="758" t="str">
        <f t="shared" si="27"/>
        <v/>
      </c>
      <c r="AF89" s="758" t="str">
        <f t="shared" si="28"/>
        <v/>
      </c>
      <c r="AG89" s="758" t="str">
        <f t="shared" si="29"/>
        <v/>
      </c>
      <c r="AH89" s="758" t="str">
        <f t="shared" si="30"/>
        <v/>
      </c>
      <c r="AI89" s="202"/>
      <c r="AJ89" s="160"/>
    </row>
    <row r="90" spans="1:45" s="87" customFormat="1" ht="12.75" customHeight="1" x14ac:dyDescent="0.2">
      <c r="A90" s="488">
        <f>VLOOKUP(B90,Sheet1!$AQ$4:$AR$25,2,FALSE)</f>
        <v>0</v>
      </c>
      <c r="B90" s="93" t="str">
        <f>Sheet1!$K$18</f>
        <v>Southampton</v>
      </c>
      <c r="C90" s="85"/>
      <c r="D90" s="162" t="e">
        <f t="shared" si="31"/>
        <v>#N/A</v>
      </c>
      <c r="E90" s="162" t="e">
        <f t="shared" si="32"/>
        <v>#N/A</v>
      </c>
      <c r="F90" s="162" t="e">
        <f t="shared" si="33"/>
        <v>#N/A</v>
      </c>
      <c r="G90" s="162" t="e">
        <f t="shared" si="34"/>
        <v>#N/A</v>
      </c>
      <c r="H90" s="164" t="e">
        <f t="shared" si="35"/>
        <v>#N/A</v>
      </c>
      <c r="I90" s="392"/>
      <c r="J90" s="96"/>
      <c r="K90" s="96"/>
      <c r="L90" s="166"/>
      <c r="M90" s="166"/>
      <c r="N90" s="166"/>
      <c r="O90" s="166"/>
      <c r="P90" s="166"/>
      <c r="Q90" s="166"/>
      <c r="R90" s="167"/>
      <c r="S90" s="159"/>
      <c r="T90" s="166"/>
      <c r="U90" s="122"/>
      <c r="V90" s="139"/>
      <c r="W90" s="152"/>
      <c r="X90" s="762" t="str">
        <f>Sheet1!$K$18</f>
        <v>Southampton</v>
      </c>
      <c r="Y90" s="763" t="str">
        <f>IF(Year1_Southampton Year1_EarlyHelpReferralsSTEPDOWN="","",Year1_Southampton Year1_EarlyHelpReferralsSTEPDOWN)</f>
        <v/>
      </c>
      <c r="Z90" s="763" t="str">
        <f>IF(Year2_Southampton Year2_EarlyHelpReferralsSTEPDOWN="","",Year2_Southampton Year2_EarlyHelpReferralsSTEPDOWN)</f>
        <v/>
      </c>
      <c r="AA90" s="763" t="str">
        <f>IF(Year3_Southampton Year3_EarlyHelpReferralsSTEPDOWN="","",Year3_Southampton Year3_EarlyHelpReferralsSTEPDOWN)</f>
        <v/>
      </c>
      <c r="AB90" s="763" t="str">
        <f>IF(Year4_Southampton Year4_EarlyHelpReferralsSTEPDOWN="","",Year4_Southampton Year4_EarlyHelpReferralsSTEPDOWN)</f>
        <v/>
      </c>
      <c r="AC90" s="763" t="str">
        <f>IF(Year5_Southampton Year5_EarlyHelpReferralsSTEPDOWN="","",Year5_Southampton Year5_EarlyHelpReferralsSTEPDOWN)</f>
        <v/>
      </c>
      <c r="AD90" s="758" t="str">
        <f t="shared" si="26"/>
        <v/>
      </c>
      <c r="AE90" s="758" t="str">
        <f t="shared" si="27"/>
        <v/>
      </c>
      <c r="AF90" s="758" t="str">
        <f t="shared" si="28"/>
        <v/>
      </c>
      <c r="AG90" s="758" t="str">
        <f t="shared" si="29"/>
        <v/>
      </c>
      <c r="AH90" s="758" t="str">
        <f t="shared" si="30"/>
        <v/>
      </c>
      <c r="AI90" s="202"/>
      <c r="AJ90" s="160"/>
    </row>
    <row r="91" spans="1:45" s="87" customFormat="1" ht="12.75" customHeight="1" x14ac:dyDescent="0.2">
      <c r="A91" s="488">
        <f>VLOOKUP(B91,Sheet1!$AQ$4:$AR$25,2,FALSE)</f>
        <v>0</v>
      </c>
      <c r="B91" s="93" t="str">
        <f>Sheet1!$K$19</f>
        <v>Surrey</v>
      </c>
      <c r="C91" s="85"/>
      <c r="D91" s="162" t="e">
        <f t="shared" si="31"/>
        <v>#N/A</v>
      </c>
      <c r="E91" s="162" t="e">
        <f t="shared" si="32"/>
        <v>#N/A</v>
      </c>
      <c r="F91" s="162" t="e">
        <f t="shared" si="33"/>
        <v>#N/A</v>
      </c>
      <c r="G91" s="162" t="e">
        <f t="shared" si="34"/>
        <v>#N/A</v>
      </c>
      <c r="H91" s="164" t="e">
        <f t="shared" si="35"/>
        <v>#N/A</v>
      </c>
      <c r="I91" s="392"/>
      <c r="J91" s="96"/>
      <c r="K91" s="96"/>
      <c r="L91" s="166"/>
      <c r="M91" s="166"/>
      <c r="N91" s="166"/>
      <c r="O91" s="166"/>
      <c r="P91" s="166"/>
      <c r="Q91" s="166"/>
      <c r="R91" s="167"/>
      <c r="S91" s="159"/>
      <c r="T91" s="166"/>
      <c r="U91" s="122"/>
      <c r="V91" s="139"/>
      <c r="W91" s="152"/>
      <c r="X91" s="762" t="str">
        <f>Sheet1!$K$19</f>
        <v>Surrey</v>
      </c>
      <c r="Y91" s="763" t="str">
        <f>IF(Year1_Surrey Year1_EarlyHelpReferralsSTEPDOWN="","",Year1_Surrey Year1_EarlyHelpReferralsSTEPDOWN)</f>
        <v/>
      </c>
      <c r="Z91" s="763" t="str">
        <f>IF(Year2_Surrey Year2_EarlyHelpReferralsSTEPDOWN="","",Year2_Surrey Year2_EarlyHelpReferralsSTEPDOWN)</f>
        <v/>
      </c>
      <c r="AA91" s="763" t="str">
        <f>IF(Year3_Surrey Year3_EarlyHelpReferralsSTEPDOWN="","",Year3_Surrey Year3_EarlyHelpReferralsSTEPDOWN)</f>
        <v/>
      </c>
      <c r="AB91" s="763" t="str">
        <f>IF(Year4_Surrey Year4_EarlyHelpReferralsSTEPDOWN="","",Year4_Surrey Year4_EarlyHelpReferralsSTEPDOWN)</f>
        <v/>
      </c>
      <c r="AC91" s="763" t="str">
        <f>IF(Year5_Surrey Year5_EarlyHelpReferralsSTEPDOWN="","",Year5_Surrey Year5_EarlyHelpReferralsSTEPDOWN)</f>
        <v/>
      </c>
      <c r="AD91" s="758" t="str">
        <f t="shared" si="26"/>
        <v/>
      </c>
      <c r="AE91" s="758" t="str">
        <f t="shared" si="27"/>
        <v/>
      </c>
      <c r="AF91" s="758" t="str">
        <f t="shared" si="28"/>
        <v/>
      </c>
      <c r="AG91" s="758" t="str">
        <f t="shared" si="29"/>
        <v/>
      </c>
      <c r="AH91" s="758" t="str">
        <f t="shared" si="30"/>
        <v/>
      </c>
      <c r="AI91" s="202"/>
      <c r="AJ91" s="160"/>
    </row>
    <row r="92" spans="1:45" s="87" customFormat="1" ht="12.75" customHeight="1" x14ac:dyDescent="0.2">
      <c r="A92" s="488">
        <f>VLOOKUP(B92,Sheet1!$AQ$4:$AR$25,2,FALSE)</f>
        <v>0</v>
      </c>
      <c r="B92" s="93" t="str">
        <f>Sheet1!$K$20</f>
        <v>Swindon</v>
      </c>
      <c r="C92" s="85"/>
      <c r="D92" s="162" t="e">
        <f t="shared" si="31"/>
        <v>#N/A</v>
      </c>
      <c r="E92" s="162" t="e">
        <f t="shared" si="32"/>
        <v>#N/A</v>
      </c>
      <c r="F92" s="162" t="e">
        <f t="shared" si="33"/>
        <v>#N/A</v>
      </c>
      <c r="G92" s="162" t="e">
        <f t="shared" si="34"/>
        <v>#N/A</v>
      </c>
      <c r="H92" s="164" t="e">
        <f t="shared" si="35"/>
        <v>#N/A</v>
      </c>
      <c r="I92" s="392"/>
      <c r="J92" s="96"/>
      <c r="K92" s="96"/>
      <c r="L92" s="166"/>
      <c r="M92" s="166"/>
      <c r="N92" s="166"/>
      <c r="O92" s="166"/>
      <c r="P92" s="166"/>
      <c r="Q92" s="166"/>
      <c r="R92" s="167"/>
      <c r="S92" s="159"/>
      <c r="T92" s="166"/>
      <c r="U92" s="122"/>
      <c r="V92" s="139"/>
      <c r="W92" s="152"/>
      <c r="X92" s="762" t="str">
        <f>Sheet1!$K$20</f>
        <v>Swindon</v>
      </c>
      <c r="Y92" s="763" t="str">
        <f>IF(Year1_Swindon Year1_EarlyHelpReferralsSTEPDOWN="","",Year1_Swindon Year1_EarlyHelpReferralsSTEPDOWN)</f>
        <v/>
      </c>
      <c r="Z92" s="763" t="str">
        <f>IF(Year2_Swindon Year2_EarlyHelpReferralsSTEPDOWN="","",Year2_Swindon Year2_EarlyHelpReferralsSTEPDOWN)</f>
        <v/>
      </c>
      <c r="AA92" s="763" t="str">
        <f>IF(Year3_Swindon Year3_EarlyHelpReferralsSTEPDOWN="","",Year3_Swindon Year3_EarlyHelpReferralsSTEPDOWN)</f>
        <v/>
      </c>
      <c r="AB92" s="763" t="str">
        <f>IF(Year4_Swindon Year4_EarlyHelpReferralsSTEPDOWN="","",Year4_Swindon Year4_EarlyHelpReferralsSTEPDOWN)</f>
        <v/>
      </c>
      <c r="AC92" s="763" t="str">
        <f>IF(Year5_Swindon Year5_EarlyHelpReferralsSTEPDOWN="","",Year5_Swindon Year5_EarlyHelpReferralsSTEPDOWN)</f>
        <v/>
      </c>
      <c r="AD92" s="758" t="str">
        <f t="shared" si="26"/>
        <v/>
      </c>
      <c r="AE92" s="758" t="str">
        <f t="shared" si="27"/>
        <v/>
      </c>
      <c r="AF92" s="758" t="str">
        <f t="shared" si="28"/>
        <v/>
      </c>
      <c r="AG92" s="758" t="str">
        <f t="shared" si="29"/>
        <v/>
      </c>
      <c r="AH92" s="758" t="str">
        <f t="shared" si="30"/>
        <v/>
      </c>
      <c r="AI92" s="202"/>
      <c r="AJ92" s="160"/>
    </row>
    <row r="93" spans="1:45" s="87" customFormat="1" ht="12.75" customHeight="1" x14ac:dyDescent="0.2">
      <c r="A93" s="488">
        <f>VLOOKUP(B93,Sheet1!$AQ$4:$AR$25,2,FALSE)</f>
        <v>0</v>
      </c>
      <c r="B93" s="93" t="str">
        <f>Sheet1!$K$21</f>
        <v>Torbay</v>
      </c>
      <c r="C93" s="85"/>
      <c r="D93" s="162" t="e">
        <f t="shared" si="31"/>
        <v>#N/A</v>
      </c>
      <c r="E93" s="162" t="e">
        <f t="shared" si="32"/>
        <v>#N/A</v>
      </c>
      <c r="F93" s="162" t="e">
        <f t="shared" si="33"/>
        <v>#N/A</v>
      </c>
      <c r="G93" s="162" t="e">
        <f t="shared" si="34"/>
        <v>#N/A</v>
      </c>
      <c r="H93" s="164" t="e">
        <f t="shared" si="35"/>
        <v>#N/A</v>
      </c>
      <c r="I93" s="392"/>
      <c r="J93" s="96"/>
      <c r="K93" s="96"/>
      <c r="L93" s="166"/>
      <c r="M93" s="166"/>
      <c r="N93" s="166"/>
      <c r="O93" s="166"/>
      <c r="P93" s="166"/>
      <c r="Q93" s="166"/>
      <c r="R93" s="167"/>
      <c r="S93" s="159"/>
      <c r="T93" s="166"/>
      <c r="U93" s="122"/>
      <c r="V93" s="139"/>
      <c r="W93" s="152"/>
      <c r="X93" s="762" t="str">
        <f>Sheet1!$K$21</f>
        <v>Torbay</v>
      </c>
      <c r="Y93" s="763" t="str">
        <f>IF(Year1_Torbay Year1_EarlyHelpReferralsSTEPDOWN="","",Year1_Torbay Year1_EarlyHelpReferralsSTEPDOWN)</f>
        <v/>
      </c>
      <c r="Z93" s="763" t="str">
        <f>IF(Year2_Torbay Year2_EarlyHelpReferralsSTEPDOWN="","",Year2_Torbay Year2_EarlyHelpReferralsSTEPDOWN)</f>
        <v/>
      </c>
      <c r="AA93" s="763" t="str">
        <f>IF(Year3_Torbay Year3_EarlyHelpReferralsSTEPDOWN="","",Year3_Torbay Year3_EarlyHelpReferralsSTEPDOWN)</f>
        <v/>
      </c>
      <c r="AB93" s="763" t="str">
        <f>IF(Year4_Torbay Year4_EarlyHelpReferralsSTEPDOWN="","",Year4_Torbay Year4_EarlyHelpReferralsSTEPDOWN)</f>
        <v/>
      </c>
      <c r="AC93" s="763" t="str">
        <f>IF(Year5_Torbay Year5_EarlyHelpReferralsSTEPDOWN="","",Year5_Torbay Year5_EarlyHelpReferralsSTEPDOWN)</f>
        <v/>
      </c>
      <c r="AD93" s="758" t="str">
        <f t="shared" si="26"/>
        <v/>
      </c>
      <c r="AE93" s="758" t="str">
        <f t="shared" si="27"/>
        <v/>
      </c>
      <c r="AF93" s="758" t="str">
        <f t="shared" si="28"/>
        <v/>
      </c>
      <c r="AG93" s="758" t="str">
        <f t="shared" si="29"/>
        <v/>
      </c>
      <c r="AH93" s="758" t="str">
        <f t="shared" si="30"/>
        <v/>
      </c>
      <c r="AI93" s="202"/>
      <c r="AJ93" s="160"/>
    </row>
    <row r="94" spans="1:45" s="87" customFormat="1" ht="12.75" customHeight="1" x14ac:dyDescent="0.2">
      <c r="A94" s="488">
        <f>VLOOKUP(B94,Sheet1!$AQ$4:$AR$25,2,FALSE)</f>
        <v>0</v>
      </c>
      <c r="B94" s="93" t="str">
        <f>Sheet1!$K$22</f>
        <v>West Berkshire</v>
      </c>
      <c r="C94" s="85"/>
      <c r="D94" s="162" t="e">
        <f t="shared" si="31"/>
        <v>#N/A</v>
      </c>
      <c r="E94" s="162" t="e">
        <f t="shared" si="32"/>
        <v>#N/A</v>
      </c>
      <c r="F94" s="162" t="e">
        <f t="shared" si="33"/>
        <v>#N/A</v>
      </c>
      <c r="G94" s="162" t="e">
        <f t="shared" si="34"/>
        <v>#N/A</v>
      </c>
      <c r="H94" s="164" t="e">
        <f t="shared" si="35"/>
        <v>#N/A</v>
      </c>
      <c r="I94" s="392"/>
      <c r="J94" s="96"/>
      <c r="K94" s="96"/>
      <c r="L94" s="166"/>
      <c r="M94" s="166"/>
      <c r="N94" s="166"/>
      <c r="O94" s="166"/>
      <c r="P94" s="166"/>
      <c r="Q94" s="166"/>
      <c r="R94" s="167"/>
      <c r="S94" s="159"/>
      <c r="T94" s="166"/>
      <c r="U94" s="122"/>
      <c r="V94" s="139"/>
      <c r="W94" s="152"/>
      <c r="X94" s="762" t="str">
        <f>Sheet1!$K$22</f>
        <v>West Berkshire</v>
      </c>
      <c r="Y94" s="763" t="str">
        <f>IF(Year1_West_Berkshire Year1_EarlyHelpReferralsSTEPDOWN="","",Year1_West_Berkshire Year1_EarlyHelpReferralsSTEPDOWN)</f>
        <v/>
      </c>
      <c r="Z94" s="763" t="str">
        <f>IF(Year2_West_Berkshire Year2_EarlyHelpReferralsSTEPDOWN="","",Year2_West_Berkshire Year2_EarlyHelpReferralsSTEPDOWN)</f>
        <v/>
      </c>
      <c r="AA94" s="763" t="str">
        <f>IF(Year3_West_Berkshire Year3_EarlyHelpReferralsSTEPDOWN="","",Year3_West_Berkshire Year3_EarlyHelpReferralsSTEPDOWN)</f>
        <v/>
      </c>
      <c r="AB94" s="763" t="str">
        <f>IF(Year4_West_Berkshire Year4_EarlyHelpReferralsSTEPDOWN="","",Year4_West_Berkshire Year4_EarlyHelpReferralsSTEPDOWN)</f>
        <v/>
      </c>
      <c r="AC94" s="763" t="str">
        <f>IF(Year5_West_Berkshire Year5_EarlyHelpReferralsSTEPDOWN="","",Year5_West_Berkshire Year5_EarlyHelpReferralsSTEPDOWN)</f>
        <v/>
      </c>
      <c r="AD94" s="758" t="str">
        <f t="shared" si="26"/>
        <v/>
      </c>
      <c r="AE94" s="758" t="str">
        <f t="shared" si="27"/>
        <v/>
      </c>
      <c r="AF94" s="758" t="str">
        <f t="shared" si="28"/>
        <v/>
      </c>
      <c r="AG94" s="758" t="str">
        <f t="shared" si="29"/>
        <v/>
      </c>
      <c r="AH94" s="758" t="str">
        <f t="shared" si="30"/>
        <v/>
      </c>
      <c r="AI94" s="202"/>
      <c r="AJ94" s="160"/>
    </row>
    <row r="95" spans="1:45" s="87" customFormat="1" ht="12.75" customHeight="1" x14ac:dyDescent="0.2">
      <c r="A95" s="488">
        <f>VLOOKUP(B95,Sheet1!$AQ$4:$AR$25,2,FALSE)</f>
        <v>0</v>
      </c>
      <c r="B95" s="93" t="str">
        <f>Sheet1!$K$23</f>
        <v>West Sussex</v>
      </c>
      <c r="C95" s="85"/>
      <c r="D95" s="162" t="e">
        <f t="shared" si="31"/>
        <v>#N/A</v>
      </c>
      <c r="E95" s="162" t="e">
        <f t="shared" si="32"/>
        <v>#N/A</v>
      </c>
      <c r="F95" s="162" t="e">
        <f t="shared" si="33"/>
        <v>#N/A</v>
      </c>
      <c r="G95" s="162" t="e">
        <f t="shared" si="34"/>
        <v>#N/A</v>
      </c>
      <c r="H95" s="164" t="e">
        <f t="shared" si="35"/>
        <v>#N/A</v>
      </c>
      <c r="I95" s="392"/>
      <c r="J95" s="96"/>
      <c r="K95" s="96"/>
      <c r="L95" s="166"/>
      <c r="M95" s="166"/>
      <c r="N95" s="166"/>
      <c r="O95" s="166"/>
      <c r="P95" s="166"/>
      <c r="Q95" s="166"/>
      <c r="R95" s="167"/>
      <c r="S95" s="159"/>
      <c r="T95" s="166"/>
      <c r="U95" s="122"/>
      <c r="V95" s="139"/>
      <c r="W95" s="152"/>
      <c r="X95" s="762" t="str">
        <f>Sheet1!$K$23</f>
        <v>West Sussex</v>
      </c>
      <c r="Y95" s="763" t="str">
        <f>IF(Year1_West_Sussex Year1_EarlyHelpReferralsSTEPDOWN="","",Year1_West_Sussex Year1_EarlyHelpReferralsSTEPDOWN)</f>
        <v/>
      </c>
      <c r="Z95" s="763" t="str">
        <f>IF(Year2_West_Sussex Year2_EarlyHelpReferralsSTEPDOWN="","",Year2_West_Sussex Year2_EarlyHelpReferralsSTEPDOWN)</f>
        <v/>
      </c>
      <c r="AA95" s="763" t="str">
        <f>IF(Year3_West_Sussex Year3_EarlyHelpReferralsSTEPDOWN="","",Year3_West_Sussex Year3_EarlyHelpReferralsSTEPDOWN)</f>
        <v/>
      </c>
      <c r="AB95" s="763" t="str">
        <f>IF(Year4_West_Sussex Year4_EarlyHelpReferralsSTEPDOWN="","",Year4_West_Sussex Year4_EarlyHelpReferralsSTEPDOWN)</f>
        <v/>
      </c>
      <c r="AC95" s="763" t="str">
        <f>IF(Year5_West_Sussex Year5_EarlyHelpReferralsSTEPDOWN="","",Year5_West_Sussex Year5_EarlyHelpReferralsSTEPDOWN)</f>
        <v/>
      </c>
      <c r="AD95" s="758" t="str">
        <f t="shared" si="26"/>
        <v/>
      </c>
      <c r="AE95" s="758" t="str">
        <f t="shared" si="27"/>
        <v/>
      </c>
      <c r="AF95" s="758" t="str">
        <f t="shared" si="28"/>
        <v/>
      </c>
      <c r="AG95" s="758" t="str">
        <f t="shared" si="29"/>
        <v/>
      </c>
      <c r="AH95" s="758" t="str">
        <f t="shared" si="30"/>
        <v/>
      </c>
      <c r="AI95" s="202"/>
      <c r="AJ95" s="160"/>
    </row>
    <row r="96" spans="1:45" s="87" customFormat="1" ht="12.75" customHeight="1" x14ac:dyDescent="0.2">
      <c r="A96" s="488">
        <f>VLOOKUP(B96,Sheet1!$AQ$4:$AR$25,2,FALSE)</f>
        <v>0</v>
      </c>
      <c r="B96" s="93" t="str">
        <f>Sheet1!$K$24</f>
        <v>Windsor &amp; Maidenhead</v>
      </c>
      <c r="C96" s="85"/>
      <c r="D96" s="162" t="e">
        <f t="shared" si="31"/>
        <v>#N/A</v>
      </c>
      <c r="E96" s="162" t="e">
        <f t="shared" si="32"/>
        <v>#N/A</v>
      </c>
      <c r="F96" s="162" t="e">
        <f t="shared" si="33"/>
        <v>#N/A</v>
      </c>
      <c r="G96" s="162" t="e">
        <f t="shared" si="34"/>
        <v>#N/A</v>
      </c>
      <c r="H96" s="164" t="e">
        <f t="shared" si="35"/>
        <v>#N/A</v>
      </c>
      <c r="I96" s="392"/>
      <c r="J96" s="96"/>
      <c r="K96" s="96"/>
      <c r="L96" s="166"/>
      <c r="M96" s="166"/>
      <c r="N96" s="166"/>
      <c r="O96" s="166"/>
      <c r="P96" s="166"/>
      <c r="Q96" s="166"/>
      <c r="R96" s="167"/>
      <c r="S96" s="159"/>
      <c r="T96" s="166"/>
      <c r="U96" s="122"/>
      <c r="V96" s="139"/>
      <c r="W96" s="152"/>
      <c r="X96" s="762" t="str">
        <f>Sheet1!$K$24</f>
        <v>Windsor &amp; Maidenhead</v>
      </c>
      <c r="Y96" s="763" t="str">
        <f>IF(Year1_Windsor_Maidenhead Year1_EarlyHelpReferralsSTEPDOWN="","",Year1_Windsor_Maidenhead Year1_EarlyHelpReferralsSTEPDOWN)</f>
        <v/>
      </c>
      <c r="Z96" s="763" t="str">
        <f>IF(Year2_Windsor_Maidenhead Year2_EarlyHelpReferralsSTEPDOWN="","",Year2_Windsor_Maidenhead Year2_EarlyHelpReferralsSTEPDOWN)</f>
        <v/>
      </c>
      <c r="AA96" s="763" t="str">
        <f>IF(Year3_Windsor_Maidenhead Year3_EarlyHelpReferralsSTEPDOWN="","",Year3_Windsor_Maidenhead Year3_EarlyHelpReferralsSTEPDOWN)</f>
        <v/>
      </c>
      <c r="AB96" s="763" t="str">
        <f>IF(Year4_Windsor_Maidenhead Year4_EarlyHelpReferralsSTEPDOWN="","",Year4_Windsor_Maidenhead Year4_EarlyHelpReferralsSTEPDOWN)</f>
        <v/>
      </c>
      <c r="AC96" s="763" t="str">
        <f>IF(Year5_Windsor_Maidenhead Year5_EarlyHelpReferralsSTEPDOWN="","",Year5_Windsor_Maidenhead Year5_EarlyHelpReferralsSTEPDOWN)</f>
        <v/>
      </c>
      <c r="AD96" s="758" t="str">
        <f t="shared" si="26"/>
        <v/>
      </c>
      <c r="AE96" s="758" t="str">
        <f t="shared" si="27"/>
        <v/>
      </c>
      <c r="AF96" s="758" t="str">
        <f t="shared" si="28"/>
        <v/>
      </c>
      <c r="AG96" s="758" t="str">
        <f t="shared" si="29"/>
        <v/>
      </c>
      <c r="AH96" s="758" t="str">
        <f t="shared" si="30"/>
        <v/>
      </c>
      <c r="AI96" s="202"/>
      <c r="AJ96" s="160"/>
    </row>
    <row r="97" spans="1:46" s="87" customFormat="1" ht="12.75" customHeight="1" x14ac:dyDescent="0.2">
      <c r="A97" s="488">
        <f>VLOOKUP(B97,Sheet1!$AQ$4:$AR$25,2,FALSE)</f>
        <v>0</v>
      </c>
      <c r="B97" s="93" t="str">
        <f>Sheet1!$K$25</f>
        <v>Wokingham</v>
      </c>
      <c r="C97" s="85"/>
      <c r="D97" s="162" t="e">
        <f t="shared" si="31"/>
        <v>#N/A</v>
      </c>
      <c r="E97" s="162" t="e">
        <f t="shared" si="32"/>
        <v>#N/A</v>
      </c>
      <c r="F97" s="162" t="e">
        <f t="shared" si="33"/>
        <v>#N/A</v>
      </c>
      <c r="G97" s="162" t="e">
        <f t="shared" si="34"/>
        <v>#N/A</v>
      </c>
      <c r="H97" s="164" t="e">
        <f t="shared" si="35"/>
        <v>#N/A</v>
      </c>
      <c r="I97" s="392"/>
      <c r="J97" s="96"/>
      <c r="K97" s="96"/>
      <c r="L97" s="166"/>
      <c r="M97" s="166"/>
      <c r="N97" s="166"/>
      <c r="O97" s="166"/>
      <c r="P97" s="166"/>
      <c r="Q97" s="166"/>
      <c r="R97" s="167"/>
      <c r="S97" s="159"/>
      <c r="T97" s="166"/>
      <c r="U97" s="122"/>
      <c r="V97" s="139"/>
      <c r="W97" s="152"/>
      <c r="X97" s="762" t="str">
        <f>Sheet1!$K$25</f>
        <v>Wokingham</v>
      </c>
      <c r="Y97" s="763" t="str">
        <f>IF(Year1_Wokingham Year1_EarlyHelpReferralsSTEPDOWN="","",Year1_Wokingham Year1_EarlyHelpReferralsSTEPDOWN)</f>
        <v/>
      </c>
      <c r="Z97" s="763" t="str">
        <f>IF(Year2_Wokingham Year2_EarlyHelpReferralsSTEPDOWN="","",Year2_Wokingham Year2_EarlyHelpReferralsSTEPDOWN)</f>
        <v/>
      </c>
      <c r="AA97" s="763" t="str">
        <f>IF(Year3_Wokingham Year3_EarlyHelpReferralsSTEPDOWN="","",Year3_Wokingham Year3_EarlyHelpReferralsSTEPDOWN)</f>
        <v/>
      </c>
      <c r="AB97" s="763" t="str">
        <f>IF(Year4_Wokingham Year4_EarlyHelpReferralsSTEPDOWN="","",Year4_Wokingham Year4_EarlyHelpReferralsSTEPDOWN)</f>
        <v/>
      </c>
      <c r="AC97" s="763" t="str">
        <f>IF(Year5_Wokingham Year5_EarlyHelpReferralsSTEPDOWN="","",Year5_Wokingham Year5_EarlyHelpReferralsSTEPDOWN)</f>
        <v/>
      </c>
      <c r="AD97" s="758" t="str">
        <f t="shared" si="26"/>
        <v/>
      </c>
      <c r="AE97" s="758" t="str">
        <f t="shared" si="27"/>
        <v/>
      </c>
      <c r="AF97" s="758" t="str">
        <f t="shared" si="28"/>
        <v/>
      </c>
      <c r="AG97" s="758" t="str">
        <f t="shared" si="29"/>
        <v/>
      </c>
      <c r="AH97" s="758" t="str">
        <f t="shared" si="30"/>
        <v/>
      </c>
      <c r="AI97" s="202"/>
      <c r="AJ97" s="160"/>
    </row>
    <row r="98" spans="1:46" s="87" customFormat="1" ht="12.75" customHeight="1" x14ac:dyDescent="0.2">
      <c r="A98" s="292"/>
      <c r="B98" s="129" t="str">
        <f>Sheet1!$K$26</f>
        <v>South East</v>
      </c>
      <c r="C98" s="85"/>
      <c r="D98" s="163" t="e">
        <f t="shared" si="31"/>
        <v>#N/A</v>
      </c>
      <c r="E98" s="163" t="e">
        <f t="shared" si="32"/>
        <v>#N/A</v>
      </c>
      <c r="F98" s="163" t="e">
        <f t="shared" si="33"/>
        <v>#N/A</v>
      </c>
      <c r="G98" s="163" t="e">
        <f t="shared" si="34"/>
        <v>#N/A</v>
      </c>
      <c r="H98" s="165" t="e">
        <f t="shared" si="35"/>
        <v>#N/A</v>
      </c>
      <c r="I98" s="392"/>
      <c r="J98" s="96"/>
      <c r="K98" s="96"/>
      <c r="L98" s="168"/>
      <c r="M98" s="168"/>
      <c r="N98" s="168"/>
      <c r="O98" s="168"/>
      <c r="P98" s="168"/>
      <c r="Q98" s="168"/>
      <c r="R98" s="169"/>
      <c r="S98" s="159"/>
      <c r="T98" s="170"/>
      <c r="U98" s="122"/>
      <c r="V98" s="139"/>
      <c r="W98" s="152"/>
      <c r="X98" s="762" t="str">
        <f>Sheet1!$K$26</f>
        <v>South East</v>
      </c>
      <c r="Y98" s="763" t="e">
        <f>IF(Year1_SouthEast Year1_EarlyHelpReferralsSTEPDOWN=0,NA(),Year1_SouthEast Year1_EarlyHelpReferralsSTEPDOWN)</f>
        <v>#N/A</v>
      </c>
      <c r="Z98" s="763" t="e">
        <f>IF(Year2_SouthEast Year2_EarlyHelpReferralsSTEPDOWN=0,NA(),Year2_SouthEast Year2_EarlyHelpReferralsSTEPDOWN)</f>
        <v>#N/A</v>
      </c>
      <c r="AA98" s="763" t="e">
        <f>IF(Year3_SouthEast Year3_EarlyHelpReferralsSTEPDOWN=0,NA(),Year3_SouthEast Year3_EarlyHelpReferralsSTEPDOWN)</f>
        <v>#N/A</v>
      </c>
      <c r="AB98" s="763" t="e">
        <f>IF(Year4_SouthEast Year4_EarlyHelpReferralsSTEPDOWN=0,NA(),Year4_SouthEast Year4_EarlyHelpReferralsSTEPDOWN)</f>
        <v>#N/A</v>
      </c>
      <c r="AC98" s="763" t="e">
        <f>IF(Year5_SouthEast Year5_EarlyHelpReferralsSTEPDOWN=0,NA(),Year5_SouthEast Year5_EarlyHelpReferralsSTEPDOWN)</f>
        <v>#N/A</v>
      </c>
      <c r="AD98" s="758" t="str">
        <f t="shared" si="26"/>
        <v/>
      </c>
      <c r="AE98" s="758" t="str">
        <f t="shared" si="27"/>
        <v/>
      </c>
      <c r="AF98" s="758" t="str">
        <f t="shared" si="28"/>
        <v/>
      </c>
      <c r="AG98" s="758" t="str">
        <f t="shared" si="29"/>
        <v/>
      </c>
      <c r="AH98" s="758" t="str">
        <f t="shared" si="30"/>
        <v/>
      </c>
      <c r="AI98" s="202"/>
      <c r="AJ98" s="160"/>
    </row>
    <row r="99" spans="1:46" s="81" customFormat="1" ht="6.95" customHeight="1" x14ac:dyDescent="0.2">
      <c r="A99" s="278"/>
      <c r="B99" s="123"/>
      <c r="C99" s="172"/>
      <c r="D99" s="172"/>
      <c r="E99" s="172"/>
      <c r="F99" s="172"/>
      <c r="G99" s="172"/>
      <c r="H99" s="172"/>
      <c r="I99" s="392"/>
      <c r="J99" s="172"/>
      <c r="K99" s="172"/>
      <c r="L99" s="172"/>
      <c r="M99" s="172"/>
      <c r="N99" s="172"/>
      <c r="O99" s="172"/>
      <c r="P99" s="172"/>
      <c r="Q99" s="172"/>
      <c r="R99" s="136"/>
      <c r="S99" s="172"/>
      <c r="T99" s="172"/>
      <c r="U99" s="117"/>
      <c r="V99" s="137"/>
      <c r="W99" s="150"/>
      <c r="AD99" s="199"/>
      <c r="AE99" s="184"/>
      <c r="AF99" s="184"/>
      <c r="AG99" s="184"/>
      <c r="AI99" s="184"/>
      <c r="AJ99" s="161"/>
    </row>
    <row r="100" spans="1:46" s="81" customFormat="1" ht="38.450000000000003" customHeight="1" x14ac:dyDescent="0.2">
      <c r="A100" s="463"/>
      <c r="B100" s="392"/>
      <c r="C100" s="392"/>
      <c r="D100" s="392"/>
      <c r="E100" s="392"/>
      <c r="F100" s="392"/>
      <c r="G100" s="392"/>
      <c r="H100" s="392"/>
      <c r="I100" s="392"/>
      <c r="J100" s="172"/>
      <c r="K100" s="172"/>
      <c r="L100" s="172"/>
      <c r="M100" s="172"/>
      <c r="N100" s="172"/>
      <c r="O100" s="172"/>
      <c r="P100" s="172"/>
      <c r="Q100" s="172"/>
      <c r="R100" s="136"/>
      <c r="S100" s="172"/>
      <c r="T100" s="172"/>
      <c r="U100" s="117"/>
      <c r="V100" s="137"/>
      <c r="W100" s="150"/>
      <c r="AD100" s="199"/>
      <c r="AE100" s="184"/>
      <c r="AF100" s="184"/>
      <c r="AG100" s="184"/>
      <c r="AI100" s="184"/>
      <c r="AJ100" s="161"/>
    </row>
    <row r="101" spans="1:46" s="81" customFormat="1" ht="38.450000000000003" customHeight="1" x14ac:dyDescent="0.2">
      <c r="A101" s="463"/>
      <c r="B101" s="392"/>
      <c r="C101" s="392"/>
      <c r="D101" s="392"/>
      <c r="E101" s="392"/>
      <c r="F101" s="392"/>
      <c r="G101" s="392"/>
      <c r="H101" s="392"/>
      <c r="I101" s="392"/>
      <c r="J101" s="172"/>
      <c r="K101" s="172"/>
      <c r="L101" s="172"/>
      <c r="M101" s="172"/>
      <c r="N101" s="172"/>
      <c r="O101" s="172"/>
      <c r="P101" s="172"/>
      <c r="Q101" s="172"/>
      <c r="R101" s="136"/>
      <c r="S101" s="172"/>
      <c r="T101" s="172"/>
      <c r="U101" s="117"/>
      <c r="V101" s="137"/>
      <c r="W101" s="150"/>
      <c r="AD101" s="199"/>
      <c r="AE101" s="184"/>
      <c r="AF101" s="184"/>
      <c r="AG101" s="184"/>
      <c r="AI101" s="184"/>
      <c r="AJ101" s="161"/>
    </row>
    <row r="102" spans="1:46" s="81" customFormat="1" ht="48" customHeight="1" x14ac:dyDescent="0.2">
      <c r="A102" s="463"/>
      <c r="B102" s="392"/>
      <c r="C102" s="392"/>
      <c r="D102" s="392"/>
      <c r="E102" s="392"/>
      <c r="F102" s="392"/>
      <c r="G102" s="392"/>
      <c r="H102" s="392"/>
      <c r="I102" s="392"/>
      <c r="J102" s="172"/>
      <c r="K102" s="172"/>
      <c r="L102" s="172"/>
      <c r="M102" s="172"/>
      <c r="N102" s="172"/>
      <c r="O102" s="172"/>
      <c r="P102" s="172"/>
      <c r="Q102" s="172"/>
      <c r="R102" s="136"/>
      <c r="S102" s="172"/>
      <c r="T102" s="172"/>
      <c r="U102" s="117"/>
      <c r="V102" s="137"/>
      <c r="W102" s="150"/>
      <c r="AD102" s="199"/>
      <c r="AE102" s="184"/>
      <c r="AF102" s="184"/>
      <c r="AG102" s="184"/>
      <c r="AI102" s="184"/>
      <c r="AJ102" s="161"/>
    </row>
    <row r="103" spans="1:46" s="81" customFormat="1" ht="7.5" customHeight="1" x14ac:dyDescent="0.2">
      <c r="A103" s="278"/>
      <c r="B103" s="17"/>
      <c r="C103" s="17"/>
      <c r="D103" s="16"/>
      <c r="E103" s="16"/>
      <c r="F103" s="16"/>
      <c r="G103" s="16"/>
      <c r="H103" s="16"/>
      <c r="I103" s="16"/>
      <c r="J103" s="12"/>
      <c r="K103" s="12"/>
      <c r="L103" s="18"/>
      <c r="M103" s="18"/>
      <c r="N103" s="18"/>
      <c r="O103" s="18"/>
      <c r="P103" s="18"/>
      <c r="Q103" s="18"/>
      <c r="R103" s="18"/>
      <c r="S103" s="18"/>
      <c r="T103" s="19"/>
      <c r="U103" s="117"/>
      <c r="V103" s="137"/>
      <c r="W103" s="150"/>
      <c r="Y103" s="190"/>
      <c r="AI103" s="184"/>
      <c r="AJ103" s="157"/>
      <c r="AK103" s="74"/>
      <c r="AL103" s="74"/>
      <c r="AM103" s="74"/>
      <c r="AN103" s="74"/>
      <c r="AO103" s="74"/>
      <c r="AP103" s="74"/>
      <c r="AR103" s="74"/>
    </row>
    <row r="104" spans="1:46" s="81" customFormat="1" ht="15" customHeight="1" x14ac:dyDescent="0.2">
      <c r="A104" s="1775"/>
      <c r="B104" s="1760"/>
      <c r="C104" s="1760"/>
      <c r="D104" s="1760"/>
      <c r="E104" s="1760"/>
      <c r="F104" s="1760"/>
      <c r="G104" s="1760"/>
      <c r="H104" s="1760"/>
      <c r="I104" s="1760"/>
      <c r="J104" s="1760"/>
      <c r="K104" s="1760"/>
      <c r="L104" s="1760"/>
      <c r="M104" s="1760"/>
      <c r="N104" s="1760"/>
      <c r="O104" s="1760"/>
      <c r="P104" s="1760"/>
      <c r="Q104" s="1760"/>
      <c r="R104" s="1760"/>
      <c r="S104" s="1760"/>
      <c r="T104" s="1760"/>
      <c r="U104" s="1761"/>
      <c r="V104" s="137"/>
      <c r="W104" s="150"/>
      <c r="Y104" s="190"/>
      <c r="AJ104" s="161"/>
      <c r="AT104" s="74"/>
    </row>
    <row r="105" spans="1:46" s="81" customFormat="1" ht="11.1" customHeight="1" x14ac:dyDescent="0.2">
      <c r="A105" s="1776" t="str">
        <f>Home!$A$39</f>
        <v xml:space="preserve"> </v>
      </c>
      <c r="B105" s="1777"/>
      <c r="C105" s="1777"/>
      <c r="D105" s="1777"/>
      <c r="E105" s="1777"/>
      <c r="F105" s="1777"/>
      <c r="G105" s="1777"/>
      <c r="H105" s="1777"/>
      <c r="I105" s="1768"/>
      <c r="J105" s="1768"/>
      <c r="K105" s="1777"/>
      <c r="L105" s="1777"/>
      <c r="M105" s="1777"/>
      <c r="N105" s="1777"/>
      <c r="O105" s="1777"/>
      <c r="P105" s="1777"/>
      <c r="Q105" s="1777"/>
      <c r="R105" s="1777"/>
      <c r="S105" s="1777"/>
      <c r="T105" s="1777"/>
      <c r="U105" s="1778"/>
      <c r="V105" s="137"/>
      <c r="W105" s="150"/>
      <c r="Y105" s="190"/>
      <c r="AI105" s="184"/>
      <c r="AJ105" s="160"/>
      <c r="AK105" s="87"/>
      <c r="AT105" s="74"/>
    </row>
    <row r="106" spans="1:46" ht="9.9499999999999993" customHeight="1" x14ac:dyDescent="0.2">
      <c r="A106" s="112"/>
      <c r="B106" s="113"/>
      <c r="C106" s="113"/>
      <c r="D106" s="113"/>
      <c r="E106" s="113"/>
      <c r="F106" s="113"/>
      <c r="G106" s="113"/>
      <c r="H106" s="113"/>
      <c r="I106" s="113"/>
      <c r="J106" s="114"/>
      <c r="K106" s="114"/>
      <c r="L106" s="113"/>
      <c r="M106" s="113"/>
      <c r="N106" s="113"/>
      <c r="O106" s="113"/>
      <c r="P106" s="113"/>
      <c r="Q106" s="113"/>
      <c r="R106" s="113"/>
      <c r="S106" s="113"/>
      <c r="T106" s="113"/>
      <c r="U106" s="115"/>
      <c r="V106" s="137"/>
      <c r="W106" s="150"/>
      <c r="X106" s="188"/>
      <c r="Y106" s="188"/>
      <c r="Z106" s="188"/>
      <c r="AI106" s="184"/>
      <c r="AJ106" s="157"/>
    </row>
    <row r="107" spans="1:46" s="76" customFormat="1" ht="15" customHeight="1" x14ac:dyDescent="0.2">
      <c r="A107" s="461"/>
      <c r="B107" s="1746" t="s">
        <v>196</v>
      </c>
      <c r="C107" s="1746"/>
      <c r="D107" s="1746"/>
      <c r="E107" s="1746"/>
      <c r="F107" s="1746"/>
      <c r="G107" s="1746"/>
      <c r="H107" s="1746"/>
      <c r="I107" s="1746"/>
      <c r="J107" s="906"/>
      <c r="K107" s="906"/>
      <c r="L107" s="70"/>
      <c r="M107" s="420"/>
      <c r="N107" s="420"/>
      <c r="O107" s="420"/>
      <c r="P107" s="70"/>
      <c r="Q107" s="70"/>
      <c r="R107" s="70"/>
      <c r="S107" s="70"/>
      <c r="T107" s="70"/>
      <c r="U107" s="120"/>
      <c r="V107" s="138"/>
      <c r="W107" s="151"/>
      <c r="X107" s="188"/>
      <c r="Y107" s="188"/>
      <c r="Z107" s="188"/>
      <c r="AA107" s="188"/>
      <c r="AB107" s="188"/>
      <c r="AC107" s="188"/>
      <c r="AD107" s="188"/>
      <c r="AE107" s="188"/>
      <c r="AF107" s="188"/>
      <c r="AG107" s="188"/>
      <c r="AH107" s="188"/>
      <c r="AI107" s="188"/>
      <c r="AJ107" s="158"/>
    </row>
    <row r="108" spans="1:46" ht="20.25" customHeight="1" x14ac:dyDescent="0.2">
      <c r="A108" s="278"/>
      <c r="B108" s="1746"/>
      <c r="C108" s="1746"/>
      <c r="D108" s="1746"/>
      <c r="E108" s="1746"/>
      <c r="F108" s="1746"/>
      <c r="G108" s="1746"/>
      <c r="H108" s="1746"/>
      <c r="I108" s="1746"/>
      <c r="J108" s="906"/>
      <c r="K108" s="906"/>
      <c r="L108" s="70"/>
      <c r="M108" s="420"/>
      <c r="N108" s="420"/>
      <c r="O108" s="420"/>
      <c r="P108" s="70"/>
      <c r="Q108" s="70"/>
      <c r="R108" s="10"/>
      <c r="S108" s="70"/>
      <c r="T108" s="70"/>
      <c r="U108" s="117"/>
      <c r="V108" s="137"/>
      <c r="W108" s="150"/>
      <c r="X108" s="759" t="s">
        <v>778</v>
      </c>
      <c r="Y108" s="756"/>
      <c r="Z108" s="756"/>
      <c r="AA108" s="756"/>
      <c r="AB108" s="760"/>
      <c r="AC108" s="760"/>
      <c r="AD108" s="755" t="s">
        <v>195</v>
      </c>
      <c r="AE108" s="756"/>
      <c r="AF108" s="756"/>
      <c r="AG108" s="756"/>
      <c r="AH108" s="756"/>
      <c r="AI108" s="184"/>
      <c r="AJ108" s="157"/>
    </row>
    <row r="109" spans="1:46" ht="13.5" customHeight="1" x14ac:dyDescent="0.2">
      <c r="A109" s="278"/>
      <c r="B109" s="1784" t="s">
        <v>205</v>
      </c>
      <c r="C109" s="777"/>
      <c r="D109" s="789" t="str">
        <f>Sheet1!$D$27</f>
        <v>2015-16</v>
      </c>
      <c r="E109" s="790" t="str">
        <f>Sheet1!$E$27</f>
        <v>2016-17</v>
      </c>
      <c r="F109" s="790" t="str">
        <f>Sheet1!$F$27</f>
        <v>2017-18</v>
      </c>
      <c r="G109" s="790" t="str">
        <f>Sheet1!$G$27</f>
        <v>2018-19</v>
      </c>
      <c r="H109" s="791" t="str">
        <f>Sheet1!$H$27</f>
        <v>2019-20</v>
      </c>
      <c r="I109" s="392"/>
      <c r="J109" s="808"/>
      <c r="K109" s="777"/>
      <c r="L109" s="70"/>
      <c r="M109" s="775"/>
      <c r="N109" s="775"/>
      <c r="O109" s="775"/>
      <c r="P109" s="70"/>
      <c r="Q109" s="70"/>
      <c r="R109" s="10"/>
      <c r="S109" s="70"/>
      <c r="T109" s="70"/>
      <c r="U109" s="117"/>
      <c r="V109" s="137"/>
      <c r="W109" s="150"/>
      <c r="X109" s="759"/>
      <c r="Y109" s="756" t="str">
        <f>Sheet1!$D$27</f>
        <v>2015-16</v>
      </c>
      <c r="Z109" s="756" t="str">
        <f>Sheet1!$E$27</f>
        <v>2016-17</v>
      </c>
      <c r="AA109" s="756" t="str">
        <f>Sheet1!$F$27</f>
        <v>2017-18</v>
      </c>
      <c r="AB109" s="760" t="str">
        <f>Sheet1!$G$27</f>
        <v>2018-19</v>
      </c>
      <c r="AC109" s="760" t="str">
        <f>Sheet1!$H$27</f>
        <v>2019-20</v>
      </c>
      <c r="AD109" s="755" t="str">
        <f>Sheet1!$D$27</f>
        <v>2015-16</v>
      </c>
      <c r="AE109" s="756" t="str">
        <f>Sheet1!$E$27</f>
        <v>2016-17</v>
      </c>
      <c r="AF109" s="756" t="str">
        <f>Sheet1!$F$27</f>
        <v>2017-18</v>
      </c>
      <c r="AG109" s="756" t="str">
        <f>Sheet1!$G$27</f>
        <v>2018-19</v>
      </c>
      <c r="AH109" s="756" t="str">
        <f>Sheet1!$H$27</f>
        <v>2019-20</v>
      </c>
      <c r="AI109" s="184"/>
      <c r="AJ109" s="157"/>
    </row>
    <row r="110" spans="1:46" s="87" customFormat="1" ht="13.5" customHeight="1" x14ac:dyDescent="0.2">
      <c r="A110" s="292"/>
      <c r="B110" s="1785"/>
      <c r="C110" s="85"/>
      <c r="D110" s="792" t="e">
        <f>Sheet1!$D$28</f>
        <v>#N/A</v>
      </c>
      <c r="E110" s="792" t="e">
        <f>Sheet1!$E$28</f>
        <v>#N/A</v>
      </c>
      <c r="F110" s="792" t="e">
        <f>Sheet1!$F$28</f>
        <v>#N/A</v>
      </c>
      <c r="G110" s="792" t="e">
        <f>Sheet1!$G$28</f>
        <v>#N/A</v>
      </c>
      <c r="H110" s="793" t="e">
        <f>Sheet1!$H$28</f>
        <v>#N/A</v>
      </c>
      <c r="I110" s="392"/>
      <c r="J110" s="96"/>
      <c r="K110" s="96">
        <v>2017</v>
      </c>
      <c r="L110" s="61"/>
      <c r="M110" s="61"/>
      <c r="N110" s="61"/>
      <c r="O110" s="61"/>
      <c r="P110" s="61"/>
      <c r="Q110" s="393"/>
      <c r="R110" s="393"/>
      <c r="S110" s="159"/>
      <c r="T110" s="391"/>
      <c r="U110" s="122"/>
      <c r="V110" s="139"/>
      <c r="W110" s="152"/>
      <c r="X110" s="756"/>
      <c r="Y110" s="761" t="e">
        <f>Sheet1!$D$28</f>
        <v>#N/A</v>
      </c>
      <c r="Z110" s="761" t="e">
        <f>Sheet1!$E$28</f>
        <v>#N/A</v>
      </c>
      <c r="AA110" s="761" t="e">
        <f>Sheet1!$F$28</f>
        <v>#N/A</v>
      </c>
      <c r="AB110" s="761" t="e">
        <f>Sheet1!$G$28</f>
        <v>#N/A</v>
      </c>
      <c r="AC110" s="761" t="e">
        <f>Sheet1!$H$28</f>
        <v>#N/A</v>
      </c>
      <c r="AD110" s="757" t="e">
        <f>Sheet1!$D$28</f>
        <v>#N/A</v>
      </c>
      <c r="AE110" s="757" t="e">
        <f>Sheet1!$E$28</f>
        <v>#N/A</v>
      </c>
      <c r="AF110" s="757" t="e">
        <f>Sheet1!$F$28</f>
        <v>#N/A</v>
      </c>
      <c r="AG110" s="757" t="e">
        <f>Sheet1!$G$28</f>
        <v>#N/A</v>
      </c>
      <c r="AH110" s="757" t="e">
        <f>Sheet1!$H$28</f>
        <v>#N/A</v>
      </c>
      <c r="AI110" s="202"/>
      <c r="AJ110" s="160"/>
    </row>
    <row r="111" spans="1:46" s="87" customFormat="1" ht="12.75" customHeight="1" x14ac:dyDescent="0.2">
      <c r="A111" s="488">
        <f>VLOOKUP(B111,Sheet1!$AQ$4:$AR$25,2,FALSE)</f>
        <v>0</v>
      </c>
      <c r="B111" s="93" t="str">
        <f>Sheet1!$K$4</f>
        <v>Bracknell Forest</v>
      </c>
      <c r="C111" s="85"/>
      <c r="D111" s="162" t="e">
        <f t="shared" ref="D111:D133" si="36">IF(AND(ISNUMBER(Y111),ISNUMBER(D10)),Y111/AD111,NA())</f>
        <v>#N/A</v>
      </c>
      <c r="E111" s="162" t="e">
        <f t="shared" ref="E111:E133" si="37">IF(AND(ISNUMBER(Z111),ISNUMBER(E10)),Z111/AE111,NA())</f>
        <v>#N/A</v>
      </c>
      <c r="F111" s="162" t="e">
        <f t="shared" ref="F111:F133" si="38">IF(AND(ISNUMBER(AA111),ISNUMBER(F10)),AA111/AF111,NA())</f>
        <v>#N/A</v>
      </c>
      <c r="G111" s="162" t="e">
        <f t="shared" ref="G111:G133" si="39">IF(AND(ISNUMBER(AB111),ISNUMBER(G10)),AB111/AG111,NA())</f>
        <v>#N/A</v>
      </c>
      <c r="H111" s="164" t="e">
        <f t="shared" ref="H111:H133" si="40">IF(AND(ISNUMBER(AC111),ISNUMBER(H10)),AC111/AH111,NA())</f>
        <v>#N/A</v>
      </c>
      <c r="I111" s="392"/>
      <c r="J111" s="96"/>
      <c r="K111" s="96"/>
      <c r="L111" s="166"/>
      <c r="M111" s="166"/>
      <c r="N111" s="166"/>
      <c r="O111" s="166"/>
      <c r="P111" s="166"/>
      <c r="Q111" s="166"/>
      <c r="R111" s="167"/>
      <c r="S111" s="159"/>
      <c r="T111" s="166"/>
      <c r="U111" s="122"/>
      <c r="V111" s="139"/>
      <c r="W111" s="152"/>
      <c r="X111" s="762" t="str">
        <f>Sheet1!$K$4</f>
        <v>Bracknell Forest</v>
      </c>
      <c r="Y111" s="763" t="str">
        <f>IF(Year1_Bracknell_Forest Year1_EarlyHelpReReferrals="","",Year1_Bracknell_Forest Year1_EarlyHelpReReferrals)</f>
        <v/>
      </c>
      <c r="Z111" s="763" t="str">
        <f>IF(Year2_Bracknell_Forest Year2_EarlyHelpReReferrals="","",Year2_Bracknell_Forest Year2_EarlyHelpReReferrals)</f>
        <v/>
      </c>
      <c r="AA111" s="763" t="str">
        <f>IF(Year3_Bracknell_Forest Year3_EarlyHelpReReferrals="","",Year3_Bracknell_Forest Year3_EarlyHelpReReferrals)</f>
        <v/>
      </c>
      <c r="AB111" s="763" t="str">
        <f>IF(Year4_Bracknell_Forest Year4_EarlyHelpReReferrals="","",Year4_Bracknell_Forest Year4_EarlyHelpReReferrals)</f>
        <v/>
      </c>
      <c r="AC111" s="763" t="str">
        <f>IF(Year5_Bracknell_Forest Year5_EarlyHelpReReferrals="","",Year5_Bracknell_Forest Year5_EarlyHelpReReferrals)</f>
        <v/>
      </c>
      <c r="AD111" s="758" t="str">
        <f t="shared" ref="AD111:AD132" si="41">IF(ISNUMBER(Y111),D10,"")</f>
        <v/>
      </c>
      <c r="AE111" s="758" t="str">
        <f t="shared" ref="AE111:AE132" si="42">IF(ISNUMBER(Z111),E10,"")</f>
        <v/>
      </c>
      <c r="AF111" s="758" t="str">
        <f t="shared" ref="AF111:AF132" si="43">IF(ISNUMBER(AA111),F10,"")</f>
        <v/>
      </c>
      <c r="AG111" s="758" t="str">
        <f t="shared" ref="AG111:AG132" si="44">IF(ISNUMBER(AB111),G10,"")</f>
        <v/>
      </c>
      <c r="AH111" s="758" t="str">
        <f t="shared" ref="AH111:AH132" si="45">IF(ISNUMBER(AC111),H10,"")</f>
        <v/>
      </c>
      <c r="AI111" s="202"/>
      <c r="AJ111" s="160"/>
    </row>
    <row r="112" spans="1:46" s="87" customFormat="1" ht="12.75" customHeight="1" x14ac:dyDescent="0.2">
      <c r="A112" s="488">
        <f>VLOOKUP(B112,Sheet1!$AQ$4:$AR$25,2,FALSE)</f>
        <v>0</v>
      </c>
      <c r="B112" s="93" t="str">
        <f>Sheet1!$K$5</f>
        <v>Brighton &amp; Hove</v>
      </c>
      <c r="C112" s="85"/>
      <c r="D112" s="162" t="e">
        <f t="shared" si="36"/>
        <v>#N/A</v>
      </c>
      <c r="E112" s="162" t="e">
        <f t="shared" si="37"/>
        <v>#N/A</v>
      </c>
      <c r="F112" s="162" t="e">
        <f t="shared" si="38"/>
        <v>#N/A</v>
      </c>
      <c r="G112" s="162" t="e">
        <f t="shared" si="39"/>
        <v>#N/A</v>
      </c>
      <c r="H112" s="164" t="e">
        <f t="shared" si="40"/>
        <v>#N/A</v>
      </c>
      <c r="I112" s="392"/>
      <c r="J112" s="96"/>
      <c r="K112" s="96"/>
      <c r="L112" s="166"/>
      <c r="M112" s="166"/>
      <c r="N112" s="166"/>
      <c r="O112" s="166"/>
      <c r="P112" s="166"/>
      <c r="Q112" s="166"/>
      <c r="R112" s="167"/>
      <c r="S112" s="159"/>
      <c r="T112" s="166"/>
      <c r="U112" s="122"/>
      <c r="V112" s="139"/>
      <c r="W112" s="152"/>
      <c r="X112" s="762" t="str">
        <f>Sheet1!$K$5</f>
        <v>Brighton &amp; Hove</v>
      </c>
      <c r="Y112" s="763" t="str">
        <f>IF(Year1_Brighton_Hove Year1_EarlyHelpReReferrals="","",Year1_Brighton_Hove Year1_EarlyHelpReReferrals)</f>
        <v/>
      </c>
      <c r="Z112" s="763" t="str">
        <f>IF(Year2_Brighton_Hove Year2_EarlyHelpReReferrals="","",Year2_Brighton_Hove Year2_EarlyHelpReReferrals)</f>
        <v/>
      </c>
      <c r="AA112" s="763" t="str">
        <f>IF(Year3_Brighton_Hove Year3_EarlyHelpReReferrals="","",Year3_Brighton_Hove Year3_EarlyHelpReReferrals)</f>
        <v/>
      </c>
      <c r="AB112" s="763" t="str">
        <f>IF(Year4_Brighton_Hove Year4_EarlyHelpReReferrals="","",Year4_Brighton_Hove Year4_EarlyHelpReReferrals)</f>
        <v/>
      </c>
      <c r="AC112" s="763" t="str">
        <f>IF(Year5_Brighton_Hove Year5_EarlyHelpReReferrals="","",Year5_Brighton_Hove Year5_EarlyHelpReReferrals)</f>
        <v/>
      </c>
      <c r="AD112" s="758" t="str">
        <f t="shared" si="41"/>
        <v/>
      </c>
      <c r="AE112" s="758" t="str">
        <f t="shared" si="42"/>
        <v/>
      </c>
      <c r="AF112" s="758" t="str">
        <f t="shared" si="43"/>
        <v/>
      </c>
      <c r="AG112" s="758" t="str">
        <f t="shared" si="44"/>
        <v/>
      </c>
      <c r="AH112" s="758" t="str">
        <f t="shared" si="45"/>
        <v/>
      </c>
      <c r="AI112" s="202"/>
      <c r="AJ112" s="160"/>
    </row>
    <row r="113" spans="1:45" s="87" customFormat="1" ht="12.75" customHeight="1" x14ac:dyDescent="0.2">
      <c r="A113" s="488">
        <f>VLOOKUP(B113,Sheet1!$AQ$4:$AR$25,2,FALSE)</f>
        <v>0</v>
      </c>
      <c r="B113" s="93" t="str">
        <f>Sheet1!$K$6</f>
        <v>Buckinghamshire</v>
      </c>
      <c r="C113" s="85"/>
      <c r="D113" s="162" t="e">
        <f t="shared" si="36"/>
        <v>#N/A</v>
      </c>
      <c r="E113" s="162" t="e">
        <f t="shared" si="37"/>
        <v>#N/A</v>
      </c>
      <c r="F113" s="162" t="e">
        <f t="shared" si="38"/>
        <v>#N/A</v>
      </c>
      <c r="G113" s="162" t="e">
        <f t="shared" si="39"/>
        <v>#N/A</v>
      </c>
      <c r="H113" s="164" t="e">
        <f t="shared" si="40"/>
        <v>#N/A</v>
      </c>
      <c r="I113" s="392"/>
      <c r="J113" s="96"/>
      <c r="K113" s="96"/>
      <c r="L113" s="166"/>
      <c r="M113" s="166"/>
      <c r="N113" s="166"/>
      <c r="O113" s="166"/>
      <c r="P113" s="166"/>
      <c r="Q113" s="166"/>
      <c r="R113" s="167"/>
      <c r="S113" s="159"/>
      <c r="T113" s="166"/>
      <c r="U113" s="122"/>
      <c r="V113" s="139"/>
      <c r="W113" s="152"/>
      <c r="X113" s="762" t="str">
        <f>Sheet1!$K$6</f>
        <v>Buckinghamshire</v>
      </c>
      <c r="Y113" s="763" t="str">
        <f>IF(Year1_Buckinghamshire Year1_EarlyHelpReReferrals="","",Year1_Buckinghamshire Year1_EarlyHelpReReferrals)</f>
        <v/>
      </c>
      <c r="Z113" s="763" t="str">
        <f>IF(Year2_Buckinghamshire Year2_EarlyHelpReReferrals="","",Year2_Buckinghamshire Year2_EarlyHelpReReferrals)</f>
        <v/>
      </c>
      <c r="AA113" s="763" t="str">
        <f>IF(Year3_Buckinghamshire Year3_EarlyHelpReReferrals="","",Year3_Buckinghamshire Year3_EarlyHelpReReferrals)</f>
        <v/>
      </c>
      <c r="AB113" s="763" t="str">
        <f>IF(Year4_Buckinghamshire Year4_EarlyHelpReReferrals="","",Year4_Buckinghamshire Year4_EarlyHelpReReferrals)</f>
        <v/>
      </c>
      <c r="AC113" s="763" t="str">
        <f>IF(Year5_Buckinghamshire Year5_EarlyHelpReReferrals="","",Year5_Buckinghamshire Year5_EarlyHelpReReferrals)</f>
        <v/>
      </c>
      <c r="AD113" s="758" t="str">
        <f t="shared" si="41"/>
        <v/>
      </c>
      <c r="AE113" s="758" t="str">
        <f t="shared" si="42"/>
        <v/>
      </c>
      <c r="AF113" s="758" t="str">
        <f t="shared" si="43"/>
        <v/>
      </c>
      <c r="AG113" s="758" t="str">
        <f t="shared" si="44"/>
        <v/>
      </c>
      <c r="AH113" s="758" t="str">
        <f t="shared" si="45"/>
        <v/>
      </c>
      <c r="AI113" s="202"/>
      <c r="AJ113" s="160"/>
    </row>
    <row r="114" spans="1:45" s="87" customFormat="1" ht="12.75" customHeight="1" x14ac:dyDescent="0.2">
      <c r="A114" s="488">
        <f>VLOOKUP(B114,Sheet1!$AQ$4:$AR$25,2,FALSE)</f>
        <v>0</v>
      </c>
      <c r="B114" s="93" t="str">
        <f>Sheet1!$K$7</f>
        <v>East Sussex</v>
      </c>
      <c r="C114" s="85"/>
      <c r="D114" s="162" t="e">
        <f t="shared" si="36"/>
        <v>#N/A</v>
      </c>
      <c r="E114" s="162" t="e">
        <f t="shared" si="37"/>
        <v>#N/A</v>
      </c>
      <c r="F114" s="162" t="e">
        <f t="shared" si="38"/>
        <v>#N/A</v>
      </c>
      <c r="G114" s="162" t="e">
        <f t="shared" si="39"/>
        <v>#N/A</v>
      </c>
      <c r="H114" s="164" t="e">
        <f t="shared" si="40"/>
        <v>#N/A</v>
      </c>
      <c r="I114" s="392"/>
      <c r="J114" s="96"/>
      <c r="K114" s="96"/>
      <c r="L114" s="166"/>
      <c r="M114" s="166"/>
      <c r="N114" s="166"/>
      <c r="O114" s="166"/>
      <c r="P114" s="166"/>
      <c r="Q114" s="166"/>
      <c r="R114" s="167"/>
      <c r="S114" s="159"/>
      <c r="T114" s="166"/>
      <c r="U114" s="122"/>
      <c r="V114" s="139"/>
      <c r="W114" s="152"/>
      <c r="X114" s="762" t="str">
        <f>Sheet1!$K$7</f>
        <v>East Sussex</v>
      </c>
      <c r="Y114" s="763" t="str">
        <f>IF(Year1_East_Sussex Year1_EarlyHelpReReferrals="","",Year1_East_Sussex Year1_EarlyHelpReReferrals)</f>
        <v/>
      </c>
      <c r="Z114" s="763" t="str">
        <f>IF(Year2_East_Sussex Year2_EarlyHelpReReferrals="","",Year2_East_Sussex Year2_EarlyHelpReReferrals)</f>
        <v/>
      </c>
      <c r="AA114" s="763" t="str">
        <f>IF(Year3_East_Sussex Year3_EarlyHelpReReferrals="","",Year3_East_Sussex Year3_EarlyHelpReReferrals)</f>
        <v/>
      </c>
      <c r="AB114" s="763" t="str">
        <f>IF(Year4_East_Sussex Year4_EarlyHelpReReferrals="","",Year4_East_Sussex Year4_EarlyHelpReReferrals)</f>
        <v/>
      </c>
      <c r="AC114" s="763" t="str">
        <f>IF(Year5_East_Sussex Year5_EarlyHelpReReferrals="","",Year5_East_Sussex Year5_EarlyHelpReReferrals)</f>
        <v/>
      </c>
      <c r="AD114" s="758" t="str">
        <f t="shared" si="41"/>
        <v/>
      </c>
      <c r="AE114" s="758" t="str">
        <f t="shared" si="42"/>
        <v/>
      </c>
      <c r="AF114" s="758" t="str">
        <f t="shared" si="43"/>
        <v/>
      </c>
      <c r="AG114" s="758" t="str">
        <f t="shared" si="44"/>
        <v/>
      </c>
      <c r="AH114" s="758" t="str">
        <f t="shared" si="45"/>
        <v/>
      </c>
      <c r="AI114" s="202"/>
      <c r="AJ114" s="160"/>
    </row>
    <row r="115" spans="1:45" s="87" customFormat="1" ht="12.75" customHeight="1" x14ac:dyDescent="0.2">
      <c r="A115" s="488">
        <f>VLOOKUP(B115,Sheet1!$AQ$4:$AR$25,2,FALSE)</f>
        <v>0</v>
      </c>
      <c r="B115" s="93" t="str">
        <f>Sheet1!$K$8</f>
        <v>Hampshire</v>
      </c>
      <c r="C115" s="85"/>
      <c r="D115" s="162" t="e">
        <f t="shared" si="36"/>
        <v>#N/A</v>
      </c>
      <c r="E115" s="162" t="e">
        <f t="shared" si="37"/>
        <v>#N/A</v>
      </c>
      <c r="F115" s="162" t="e">
        <f t="shared" si="38"/>
        <v>#N/A</v>
      </c>
      <c r="G115" s="162" t="e">
        <f t="shared" si="39"/>
        <v>#N/A</v>
      </c>
      <c r="H115" s="164" t="e">
        <f t="shared" si="40"/>
        <v>#N/A</v>
      </c>
      <c r="I115" s="392"/>
      <c r="J115" s="96"/>
      <c r="K115" s="96"/>
      <c r="L115" s="166"/>
      <c r="M115" s="166"/>
      <c r="N115" s="166"/>
      <c r="O115" s="166"/>
      <c r="P115" s="166"/>
      <c r="Q115" s="166"/>
      <c r="R115" s="167"/>
      <c r="S115" s="159"/>
      <c r="T115" s="166"/>
      <c r="U115" s="122"/>
      <c r="V115" s="139"/>
      <c r="W115" s="152"/>
      <c r="X115" s="762" t="str">
        <f>Sheet1!$K$8</f>
        <v>Hampshire</v>
      </c>
      <c r="Y115" s="763" t="str">
        <f>IF(Year1_Hampshire Year1_EarlyHelpReReferrals="","",Year1_Hampshire Year1_EarlyHelpReReferrals)</f>
        <v/>
      </c>
      <c r="Z115" s="763" t="str">
        <f>IF(Year2_Hampshire Year2_EarlyHelpReReferrals="","",Year2_Hampshire Year2_EarlyHelpReReferrals)</f>
        <v/>
      </c>
      <c r="AA115" s="763" t="str">
        <f>IF(Year3_Hampshire Year3_EarlyHelpReReferrals="","",Year3_Hampshire Year3_EarlyHelpReReferrals)</f>
        <v/>
      </c>
      <c r="AB115" s="763" t="str">
        <f>IF(Year4_Hampshire Year4_EarlyHelpReReferrals="","",Year4_Hampshire Year4_EarlyHelpReReferrals)</f>
        <v/>
      </c>
      <c r="AC115" s="763" t="str">
        <f>IF(Year5_Hampshire Year5_EarlyHelpReReferrals="","",Year5_Hampshire Year5_EarlyHelpReReferrals)</f>
        <v/>
      </c>
      <c r="AD115" s="758" t="str">
        <f t="shared" si="41"/>
        <v/>
      </c>
      <c r="AE115" s="758" t="str">
        <f t="shared" si="42"/>
        <v/>
      </c>
      <c r="AF115" s="758" t="str">
        <f t="shared" si="43"/>
        <v/>
      </c>
      <c r="AG115" s="758" t="str">
        <f t="shared" si="44"/>
        <v/>
      </c>
      <c r="AH115" s="758" t="str">
        <f t="shared" si="45"/>
        <v/>
      </c>
      <c r="AI115" s="202"/>
      <c r="AJ115" s="160"/>
    </row>
    <row r="116" spans="1:45" s="87" customFormat="1" ht="12.75" customHeight="1" x14ac:dyDescent="0.2">
      <c r="A116" s="488">
        <f>VLOOKUP(B116,Sheet1!$AQ$4:$AR$25,2,FALSE)</f>
        <v>0</v>
      </c>
      <c r="B116" s="93" t="str">
        <f>Sheet1!$K$9</f>
        <v>Isle of Wight</v>
      </c>
      <c r="C116" s="85"/>
      <c r="D116" s="162" t="e">
        <f t="shared" si="36"/>
        <v>#N/A</v>
      </c>
      <c r="E116" s="162" t="e">
        <f t="shared" si="37"/>
        <v>#N/A</v>
      </c>
      <c r="F116" s="162" t="e">
        <f t="shared" si="38"/>
        <v>#N/A</v>
      </c>
      <c r="G116" s="162" t="e">
        <f t="shared" si="39"/>
        <v>#N/A</v>
      </c>
      <c r="H116" s="164" t="e">
        <f t="shared" si="40"/>
        <v>#N/A</v>
      </c>
      <c r="I116" s="392"/>
      <c r="J116" s="96"/>
      <c r="K116" s="96"/>
      <c r="L116" s="166"/>
      <c r="M116" s="166"/>
      <c r="N116" s="166"/>
      <c r="O116" s="166"/>
      <c r="P116" s="166"/>
      <c r="Q116" s="166"/>
      <c r="R116" s="167"/>
      <c r="S116" s="159"/>
      <c r="T116" s="166"/>
      <c r="U116" s="122"/>
      <c r="V116" s="139"/>
      <c r="W116" s="152"/>
      <c r="X116" s="762" t="str">
        <f>Sheet1!$K$9</f>
        <v>Isle of Wight</v>
      </c>
      <c r="Y116" s="763" t="str">
        <f>IF(Year1_Isle_of_Wight Year1_EarlyHelpReReferrals="","",Year1_Isle_of_Wight Year1_EarlyHelpReReferrals)</f>
        <v/>
      </c>
      <c r="Z116" s="763" t="str">
        <f>IF(Year2_Isle_of_Wight Year2_EarlyHelpReReferrals="","",Year2_Isle_of_Wight Year2_EarlyHelpReReferrals)</f>
        <v/>
      </c>
      <c r="AA116" s="763" t="str">
        <f>IF(Year3_Isle_of_Wight Year3_EarlyHelpReReferrals="","",Year3_Isle_of_Wight Year3_EarlyHelpReReferrals)</f>
        <v/>
      </c>
      <c r="AB116" s="763" t="str">
        <f>IF(Year4_Isle_of_Wight Year4_EarlyHelpReReferrals="","",Year4_Isle_of_Wight Year4_EarlyHelpReReferrals)</f>
        <v/>
      </c>
      <c r="AC116" s="763" t="str">
        <f>IF(Year5_Isle_of_Wight Year5_EarlyHelpReReferrals="","",Year5_Isle_of_Wight Year5_EarlyHelpReReferrals)</f>
        <v/>
      </c>
      <c r="AD116" s="758" t="str">
        <f t="shared" si="41"/>
        <v/>
      </c>
      <c r="AE116" s="758" t="str">
        <f t="shared" si="42"/>
        <v/>
      </c>
      <c r="AF116" s="758" t="str">
        <f t="shared" si="43"/>
        <v/>
      </c>
      <c r="AG116" s="758" t="str">
        <f t="shared" si="44"/>
        <v/>
      </c>
      <c r="AH116" s="758" t="str">
        <f t="shared" si="45"/>
        <v/>
      </c>
      <c r="AI116" s="202"/>
      <c r="AJ116" s="160"/>
      <c r="AS116" s="87" t="s">
        <v>102</v>
      </c>
    </row>
    <row r="117" spans="1:45" s="87" customFormat="1" ht="12.75" customHeight="1" x14ac:dyDescent="0.2">
      <c r="A117" s="488">
        <f>VLOOKUP(B117,Sheet1!$AQ$4:$AR$25,2,FALSE)</f>
        <v>0</v>
      </c>
      <c r="B117" s="93" t="str">
        <f>Sheet1!$K$10</f>
        <v>Kent</v>
      </c>
      <c r="C117" s="85"/>
      <c r="D117" s="162" t="e">
        <f t="shared" si="36"/>
        <v>#N/A</v>
      </c>
      <c r="E117" s="162" t="e">
        <f t="shared" si="37"/>
        <v>#N/A</v>
      </c>
      <c r="F117" s="162" t="e">
        <f t="shared" si="38"/>
        <v>#N/A</v>
      </c>
      <c r="G117" s="162" t="e">
        <f t="shared" si="39"/>
        <v>#N/A</v>
      </c>
      <c r="H117" s="164" t="e">
        <f t="shared" si="40"/>
        <v>#N/A</v>
      </c>
      <c r="I117" s="392"/>
      <c r="J117" s="96"/>
      <c r="K117" s="96"/>
      <c r="L117" s="166"/>
      <c r="M117" s="166"/>
      <c r="N117" s="166"/>
      <c r="O117" s="166"/>
      <c r="P117" s="166"/>
      <c r="Q117" s="166"/>
      <c r="R117" s="167"/>
      <c r="S117" s="159"/>
      <c r="T117" s="166"/>
      <c r="U117" s="122"/>
      <c r="V117" s="139"/>
      <c r="W117" s="152"/>
      <c r="X117" s="762" t="str">
        <f>Sheet1!$K$10</f>
        <v>Kent</v>
      </c>
      <c r="Y117" s="763" t="str">
        <f>IF(Year1_Kent Year1_EarlyHelpReReferrals="","",Year1_Kent Year1_EarlyHelpReReferrals)</f>
        <v/>
      </c>
      <c r="Z117" s="763" t="str">
        <f>IF(Year2_Kent Year2_EarlyHelpReReferrals="","",Year2_Kent Year2_EarlyHelpReReferrals)</f>
        <v/>
      </c>
      <c r="AA117" s="763" t="str">
        <f>IF(Year3_Kent Year3_EarlyHelpReReferrals="","",Year3_Kent Year3_EarlyHelpReReferrals)</f>
        <v/>
      </c>
      <c r="AB117" s="763" t="str">
        <f>IF(Year4_Kent Year4_EarlyHelpReReferrals="","",Year4_Kent Year4_EarlyHelpReReferrals)</f>
        <v/>
      </c>
      <c r="AC117" s="763" t="str">
        <f>IF(Year5_Kent Year5_EarlyHelpReReferrals="","",Year5_Kent Year5_EarlyHelpReReferrals)</f>
        <v/>
      </c>
      <c r="AD117" s="758" t="str">
        <f t="shared" si="41"/>
        <v/>
      </c>
      <c r="AE117" s="758" t="str">
        <f t="shared" si="42"/>
        <v/>
      </c>
      <c r="AF117" s="758" t="str">
        <f t="shared" si="43"/>
        <v/>
      </c>
      <c r="AG117" s="758" t="str">
        <f t="shared" si="44"/>
        <v/>
      </c>
      <c r="AH117" s="758" t="str">
        <f t="shared" si="45"/>
        <v/>
      </c>
      <c r="AI117" s="202"/>
      <c r="AJ117" s="160"/>
    </row>
    <row r="118" spans="1:45" s="87" customFormat="1" ht="12.75" customHeight="1" x14ac:dyDescent="0.2">
      <c r="A118" s="488">
        <f>VLOOKUP(B118,Sheet1!$AQ$4:$AR$25,2,FALSE)</f>
        <v>0</v>
      </c>
      <c r="B118" s="93" t="str">
        <f>Sheet1!$K$11</f>
        <v>Medway</v>
      </c>
      <c r="C118" s="85"/>
      <c r="D118" s="162" t="e">
        <f t="shared" si="36"/>
        <v>#N/A</v>
      </c>
      <c r="E118" s="162" t="e">
        <f t="shared" si="37"/>
        <v>#N/A</v>
      </c>
      <c r="F118" s="162" t="e">
        <f t="shared" si="38"/>
        <v>#N/A</v>
      </c>
      <c r="G118" s="162" t="e">
        <f t="shared" si="39"/>
        <v>#N/A</v>
      </c>
      <c r="H118" s="164" t="e">
        <f t="shared" si="40"/>
        <v>#N/A</v>
      </c>
      <c r="I118" s="392"/>
      <c r="J118" s="96"/>
      <c r="K118" s="96"/>
      <c r="L118" s="166"/>
      <c r="M118" s="166"/>
      <c r="N118" s="166"/>
      <c r="O118" s="166"/>
      <c r="P118" s="166"/>
      <c r="Q118" s="166"/>
      <c r="R118" s="167"/>
      <c r="S118" s="159"/>
      <c r="T118" s="166"/>
      <c r="U118" s="122"/>
      <c r="V118" s="139"/>
      <c r="W118" s="152"/>
      <c r="X118" s="762" t="str">
        <f>Sheet1!$K$11</f>
        <v>Medway</v>
      </c>
      <c r="Y118" s="763" t="str">
        <f>IF(Year1_Medway Year1_EarlyHelpReReferrals="","",Year1_Medway Year1_EarlyHelpReReferrals)</f>
        <v/>
      </c>
      <c r="Z118" s="763" t="str">
        <f>IF(Year2_Medway Year2_EarlyHelpReReferrals="","",Year2_Medway Year2_EarlyHelpReReferrals)</f>
        <v/>
      </c>
      <c r="AA118" s="763" t="str">
        <f>IF(Year3_Medway Year3_EarlyHelpReReferrals="","",Year3_Medway Year3_EarlyHelpReReferrals)</f>
        <v/>
      </c>
      <c r="AB118" s="763" t="str">
        <f>IF(Year4_Medway Year4_EarlyHelpReReferrals="","",Year4_Medway Year4_EarlyHelpReReferrals)</f>
        <v/>
      </c>
      <c r="AC118" s="763" t="str">
        <f>IF(Year5_Medway Year5_EarlyHelpReReferrals="","",Year5_Medway Year5_EarlyHelpReReferrals)</f>
        <v/>
      </c>
      <c r="AD118" s="758" t="str">
        <f t="shared" si="41"/>
        <v/>
      </c>
      <c r="AE118" s="758" t="str">
        <f t="shared" si="42"/>
        <v/>
      </c>
      <c r="AF118" s="758" t="str">
        <f t="shared" si="43"/>
        <v/>
      </c>
      <c r="AG118" s="758" t="str">
        <f t="shared" si="44"/>
        <v/>
      </c>
      <c r="AH118" s="758" t="str">
        <f t="shared" si="45"/>
        <v/>
      </c>
      <c r="AI118" s="202"/>
      <c r="AJ118" s="160"/>
    </row>
    <row r="119" spans="1:45" s="87" customFormat="1" ht="12.75" customHeight="1" x14ac:dyDescent="0.2">
      <c r="A119" s="488">
        <f>VLOOKUP(B119,Sheet1!$AQ$4:$AR$25,2,FALSE)</f>
        <v>0</v>
      </c>
      <c r="B119" s="93" t="str">
        <f>Sheet1!$K$12</f>
        <v>Milton Keynes</v>
      </c>
      <c r="C119" s="85"/>
      <c r="D119" s="162" t="e">
        <f t="shared" si="36"/>
        <v>#N/A</v>
      </c>
      <c r="E119" s="162" t="e">
        <f t="shared" si="37"/>
        <v>#N/A</v>
      </c>
      <c r="F119" s="162" t="e">
        <f t="shared" si="38"/>
        <v>#N/A</v>
      </c>
      <c r="G119" s="162" t="e">
        <f t="shared" si="39"/>
        <v>#N/A</v>
      </c>
      <c r="H119" s="164" t="e">
        <f t="shared" si="40"/>
        <v>#N/A</v>
      </c>
      <c r="I119" s="392"/>
      <c r="J119" s="96"/>
      <c r="K119" s="96"/>
      <c r="L119" s="166"/>
      <c r="M119" s="166"/>
      <c r="N119" s="166"/>
      <c r="O119" s="166"/>
      <c r="P119" s="166"/>
      <c r="Q119" s="166"/>
      <c r="R119" s="167"/>
      <c r="S119" s="159"/>
      <c r="T119" s="166"/>
      <c r="U119" s="122"/>
      <c r="V119" s="139"/>
      <c r="W119" s="152"/>
      <c r="X119" s="762" t="str">
        <f>Sheet1!$K$12</f>
        <v>Milton Keynes</v>
      </c>
      <c r="Y119" s="763" t="str">
        <f>IF(Year1_Milton_Keynes Year1_EarlyHelpReReferrals="","",Year1_Milton_Keynes Year1_EarlyHelpReReferrals)</f>
        <v/>
      </c>
      <c r="Z119" s="763" t="str">
        <f>IF(Year2_Milton_Keynes Year2_EarlyHelpReReferrals="","",Year2_Milton_Keynes Year2_EarlyHelpReReferrals)</f>
        <v/>
      </c>
      <c r="AA119" s="763" t="str">
        <f>IF(Year3_Milton_Keynes Year3_EarlyHelpReReferrals="","",Year3_Milton_Keynes Year3_EarlyHelpReReferrals)</f>
        <v/>
      </c>
      <c r="AB119" s="763" t="str">
        <f>IF(Year4_Milton_Keynes Year4_EarlyHelpReReferrals="","",Year4_Milton_Keynes Year4_EarlyHelpReReferrals)</f>
        <v/>
      </c>
      <c r="AC119" s="763" t="str">
        <f>IF(Year5_Milton_Keynes Year5_EarlyHelpReReferrals="","",Year5_Milton_Keynes Year5_EarlyHelpReReferrals)</f>
        <v/>
      </c>
      <c r="AD119" s="758" t="str">
        <f t="shared" si="41"/>
        <v/>
      </c>
      <c r="AE119" s="758" t="str">
        <f t="shared" si="42"/>
        <v/>
      </c>
      <c r="AF119" s="758" t="str">
        <f t="shared" si="43"/>
        <v/>
      </c>
      <c r="AG119" s="758" t="str">
        <f t="shared" si="44"/>
        <v/>
      </c>
      <c r="AH119" s="758" t="str">
        <f t="shared" si="45"/>
        <v/>
      </c>
      <c r="AI119" s="202"/>
      <c r="AJ119" s="160"/>
    </row>
    <row r="120" spans="1:45" s="87" customFormat="1" ht="12.75" customHeight="1" x14ac:dyDescent="0.2">
      <c r="A120" s="488">
        <f>VLOOKUP(B120,Sheet1!$AQ$4:$AR$25,2,FALSE)</f>
        <v>0</v>
      </c>
      <c r="B120" s="93" t="str">
        <f>Sheet1!$K$13</f>
        <v>Oxfordshire</v>
      </c>
      <c r="C120" s="85"/>
      <c r="D120" s="162" t="e">
        <f t="shared" si="36"/>
        <v>#N/A</v>
      </c>
      <c r="E120" s="162" t="e">
        <f t="shared" si="37"/>
        <v>#N/A</v>
      </c>
      <c r="F120" s="162" t="e">
        <f t="shared" si="38"/>
        <v>#N/A</v>
      </c>
      <c r="G120" s="162" t="e">
        <f t="shared" si="39"/>
        <v>#N/A</v>
      </c>
      <c r="H120" s="164" t="e">
        <f t="shared" si="40"/>
        <v>#N/A</v>
      </c>
      <c r="I120" s="392"/>
      <c r="J120" s="96"/>
      <c r="K120" s="96"/>
      <c r="L120" s="166"/>
      <c r="M120" s="166"/>
      <c r="N120" s="166"/>
      <c r="O120" s="166"/>
      <c r="P120" s="166"/>
      <c r="Q120" s="166"/>
      <c r="R120" s="167"/>
      <c r="S120" s="159"/>
      <c r="T120" s="166"/>
      <c r="U120" s="122"/>
      <c r="V120" s="139"/>
      <c r="W120" s="152"/>
      <c r="X120" s="762" t="str">
        <f>Sheet1!$K$13</f>
        <v>Oxfordshire</v>
      </c>
      <c r="Y120" s="763" t="str">
        <f>IF(Year1_Oxfordshire Year1_EarlyHelpReReferrals="","",Year1_Oxfordshire Year1_EarlyHelpReReferrals)</f>
        <v/>
      </c>
      <c r="Z120" s="763" t="str">
        <f>IF(Year2_Oxfordshire Year2_EarlyHelpReReferrals="","",Year2_Oxfordshire Year2_EarlyHelpReReferrals)</f>
        <v/>
      </c>
      <c r="AA120" s="763" t="str">
        <f>IF(Year3_Oxfordshire Year3_EarlyHelpReReferrals="","",Year3_Oxfordshire Year3_EarlyHelpReReferrals)</f>
        <v/>
      </c>
      <c r="AB120" s="763" t="str">
        <f>IF(Year4_Oxfordshire Year4_EarlyHelpReReferrals="","",Year4_Oxfordshire Year4_EarlyHelpReReferrals)</f>
        <v/>
      </c>
      <c r="AC120" s="763" t="str">
        <f>IF(Year5_Oxfordshire Year5_EarlyHelpReReferrals="","",Year5_Oxfordshire Year5_EarlyHelpReReferrals)</f>
        <v/>
      </c>
      <c r="AD120" s="758" t="str">
        <f t="shared" si="41"/>
        <v/>
      </c>
      <c r="AE120" s="758" t="str">
        <f t="shared" si="42"/>
        <v/>
      </c>
      <c r="AF120" s="758" t="str">
        <f t="shared" si="43"/>
        <v/>
      </c>
      <c r="AG120" s="758" t="str">
        <f t="shared" si="44"/>
        <v/>
      </c>
      <c r="AH120" s="758" t="str">
        <f t="shared" si="45"/>
        <v/>
      </c>
      <c r="AI120" s="202"/>
      <c r="AJ120" s="160"/>
    </row>
    <row r="121" spans="1:45" s="87" customFormat="1" ht="12.75" customHeight="1" x14ac:dyDescent="0.2">
      <c r="A121" s="488">
        <f>VLOOKUP(B121,Sheet1!$AQ$4:$AR$25,2,FALSE)</f>
        <v>0</v>
      </c>
      <c r="B121" s="93" t="str">
        <f>Sheet1!$K$14</f>
        <v>Portsmouth</v>
      </c>
      <c r="C121" s="85"/>
      <c r="D121" s="162" t="e">
        <f t="shared" si="36"/>
        <v>#N/A</v>
      </c>
      <c r="E121" s="162" t="e">
        <f t="shared" si="37"/>
        <v>#N/A</v>
      </c>
      <c r="F121" s="162" t="e">
        <f t="shared" si="38"/>
        <v>#N/A</v>
      </c>
      <c r="G121" s="162" t="e">
        <f t="shared" si="39"/>
        <v>#N/A</v>
      </c>
      <c r="H121" s="164" t="e">
        <f t="shared" si="40"/>
        <v>#N/A</v>
      </c>
      <c r="I121" s="392"/>
      <c r="J121" s="96"/>
      <c r="K121" s="96"/>
      <c r="L121" s="166"/>
      <c r="M121" s="166"/>
      <c r="N121" s="166"/>
      <c r="O121" s="166"/>
      <c r="P121" s="166"/>
      <c r="Q121" s="166"/>
      <c r="R121" s="167"/>
      <c r="S121" s="159"/>
      <c r="T121" s="166"/>
      <c r="U121" s="122"/>
      <c r="V121" s="139"/>
      <c r="W121" s="152"/>
      <c r="X121" s="762" t="str">
        <f>Sheet1!$K$14</f>
        <v>Portsmouth</v>
      </c>
      <c r="Y121" s="763" t="str">
        <f>IF(Year1_Portsmouth Year1_EarlyHelpReReferrals="","",Year1_Portsmouth Year1_EarlyHelpReReferrals)</f>
        <v/>
      </c>
      <c r="Z121" s="763" t="str">
        <f>IF(Year2_Portsmouth Year2_EarlyHelpReReferrals="","",Year2_Portsmouth Year2_EarlyHelpReReferrals)</f>
        <v/>
      </c>
      <c r="AA121" s="763" t="str">
        <f>IF(Year3_Portsmouth Year3_EarlyHelpReReferrals="","",Year3_Portsmouth Year3_EarlyHelpReReferrals)</f>
        <v/>
      </c>
      <c r="AB121" s="763" t="str">
        <f>IF(Year4_Portsmouth Year4_EarlyHelpReReferrals="","",Year4_Portsmouth Year4_EarlyHelpReReferrals)</f>
        <v/>
      </c>
      <c r="AC121" s="763" t="str">
        <f>IF(Year5_Portsmouth Year5_EarlyHelpReReferrals="","",Year5_Portsmouth Year5_EarlyHelpReReferrals)</f>
        <v/>
      </c>
      <c r="AD121" s="758" t="str">
        <f t="shared" si="41"/>
        <v/>
      </c>
      <c r="AE121" s="758" t="str">
        <f t="shared" si="42"/>
        <v/>
      </c>
      <c r="AF121" s="758" t="str">
        <f t="shared" si="43"/>
        <v/>
      </c>
      <c r="AG121" s="758" t="str">
        <f t="shared" si="44"/>
        <v/>
      </c>
      <c r="AH121" s="758" t="str">
        <f t="shared" si="45"/>
        <v/>
      </c>
      <c r="AI121" s="202"/>
      <c r="AJ121" s="160"/>
    </row>
    <row r="122" spans="1:45" s="87" customFormat="1" ht="12.75" customHeight="1" x14ac:dyDescent="0.2">
      <c r="A122" s="488">
        <f>VLOOKUP(B122,Sheet1!$AQ$4:$AR$25,2,FALSE)</f>
        <v>0</v>
      </c>
      <c r="B122" s="93" t="str">
        <f>Sheet1!$K$15</f>
        <v>Reading</v>
      </c>
      <c r="C122" s="85"/>
      <c r="D122" s="162" t="e">
        <f t="shared" si="36"/>
        <v>#N/A</v>
      </c>
      <c r="E122" s="162" t="e">
        <f t="shared" si="37"/>
        <v>#N/A</v>
      </c>
      <c r="F122" s="162" t="e">
        <f t="shared" si="38"/>
        <v>#N/A</v>
      </c>
      <c r="G122" s="629" t="e">
        <f t="shared" si="39"/>
        <v>#N/A</v>
      </c>
      <c r="H122" s="164" t="e">
        <f t="shared" si="40"/>
        <v>#N/A</v>
      </c>
      <c r="I122" s="392"/>
      <c r="J122" s="96"/>
      <c r="K122" s="96"/>
      <c r="L122" s="166"/>
      <c r="M122" s="166"/>
      <c r="N122" s="166"/>
      <c r="O122" s="166"/>
      <c r="P122" s="166"/>
      <c r="Q122" s="166"/>
      <c r="R122" s="167"/>
      <c r="S122" s="159"/>
      <c r="T122" s="166"/>
      <c r="U122" s="122"/>
      <c r="V122" s="139"/>
      <c r="W122" s="152"/>
      <c r="X122" s="762" t="str">
        <f>Sheet1!$K$15</f>
        <v>Reading</v>
      </c>
      <c r="Y122" s="763" t="str">
        <f>IF(Year1_Reading Year1_EarlyHelpReReferrals="","",Year1_Reading Year1_EarlyHelpReReferrals)</f>
        <v/>
      </c>
      <c r="Z122" s="763" t="str">
        <f>IF(Year2_Reading Year2_EarlyHelpReReferrals="","",Year2_Reading Year2_EarlyHelpReReferrals)</f>
        <v/>
      </c>
      <c r="AA122" s="763" t="str">
        <f>IF(Year3_Reading Year3_EarlyHelpReReferrals="","",Year3_Reading Year3_EarlyHelpReReferrals)</f>
        <v/>
      </c>
      <c r="AB122" s="763" t="str">
        <f>IF(Year4_Reading Year4_EarlyHelpReReferrals="","",Year4_Reading Year4_EarlyHelpReReferrals)</f>
        <v/>
      </c>
      <c r="AC122" s="763" t="str">
        <f>IF(Year5_Reading Year5_EarlyHelpReReferrals="","",Year5_Reading Year5_EarlyHelpReReferrals)</f>
        <v/>
      </c>
      <c r="AD122" s="758" t="str">
        <f t="shared" si="41"/>
        <v/>
      </c>
      <c r="AE122" s="758" t="str">
        <f t="shared" si="42"/>
        <v/>
      </c>
      <c r="AF122" s="758" t="str">
        <f t="shared" si="43"/>
        <v/>
      </c>
      <c r="AG122" s="758" t="str">
        <f t="shared" si="44"/>
        <v/>
      </c>
      <c r="AH122" s="758" t="str">
        <f t="shared" si="45"/>
        <v/>
      </c>
      <c r="AI122" s="202"/>
      <c r="AJ122" s="160"/>
    </row>
    <row r="123" spans="1:45" s="87" customFormat="1" ht="12.75" customHeight="1" x14ac:dyDescent="0.2">
      <c r="A123" s="488">
        <f>VLOOKUP(B123,Sheet1!$AQ$4:$AR$25,2,FALSE)</f>
        <v>0</v>
      </c>
      <c r="B123" s="93" t="str">
        <f>Sheet1!$K$16</f>
        <v>Slough</v>
      </c>
      <c r="C123" s="85"/>
      <c r="D123" s="162" t="e">
        <f t="shared" si="36"/>
        <v>#N/A</v>
      </c>
      <c r="E123" s="162" t="e">
        <f t="shared" si="37"/>
        <v>#N/A</v>
      </c>
      <c r="F123" s="162" t="e">
        <f t="shared" si="38"/>
        <v>#N/A</v>
      </c>
      <c r="G123" s="162" t="e">
        <f t="shared" si="39"/>
        <v>#N/A</v>
      </c>
      <c r="H123" s="164" t="e">
        <f t="shared" si="40"/>
        <v>#N/A</v>
      </c>
      <c r="I123" s="392"/>
      <c r="J123" s="96"/>
      <c r="K123" s="96"/>
      <c r="L123" s="166"/>
      <c r="M123" s="166"/>
      <c r="N123" s="166"/>
      <c r="O123" s="166"/>
      <c r="P123" s="166"/>
      <c r="Q123" s="166"/>
      <c r="R123" s="167"/>
      <c r="S123" s="159"/>
      <c r="T123" s="166"/>
      <c r="U123" s="122"/>
      <c r="V123" s="139"/>
      <c r="W123" s="152"/>
      <c r="X123" s="762" t="str">
        <f>Sheet1!$K$16</f>
        <v>Slough</v>
      </c>
      <c r="Y123" s="763" t="str">
        <f>IF(Year1_Slough Year1_EarlyHelpReReferrals="","",Year1_Slough Year1_EarlyHelpReReferrals)</f>
        <v/>
      </c>
      <c r="Z123" s="763" t="str">
        <f>IF(Year2_Slough Year2_EarlyHelpReReferrals="","",Year2_Slough Year2_EarlyHelpReReferrals)</f>
        <v/>
      </c>
      <c r="AA123" s="763" t="str">
        <f>IF(Year3_Slough Year3_EarlyHelpReReferrals="","",Year3_Slough Year3_EarlyHelpReReferrals)</f>
        <v/>
      </c>
      <c r="AB123" s="763" t="str">
        <f>IF(Year4_Slough Year4_EarlyHelpReReferrals="","",Year4_Slough Year4_EarlyHelpReReferrals)</f>
        <v/>
      </c>
      <c r="AC123" s="763" t="str">
        <f>IF(Year5_Slough Year5_EarlyHelpReReferrals="","",Year5_Slough Year5_EarlyHelpReReferrals)</f>
        <v/>
      </c>
      <c r="AD123" s="758" t="str">
        <f t="shared" si="41"/>
        <v/>
      </c>
      <c r="AE123" s="758" t="str">
        <f t="shared" si="42"/>
        <v/>
      </c>
      <c r="AF123" s="758" t="str">
        <f t="shared" si="43"/>
        <v/>
      </c>
      <c r="AG123" s="758" t="str">
        <f t="shared" si="44"/>
        <v/>
      </c>
      <c r="AH123" s="758" t="str">
        <f t="shared" si="45"/>
        <v/>
      </c>
      <c r="AI123" s="202"/>
      <c r="AJ123" s="160"/>
    </row>
    <row r="124" spans="1:45" s="87" customFormat="1" ht="12.75" customHeight="1" x14ac:dyDescent="0.2">
      <c r="A124" s="488">
        <f>VLOOKUP(B124,Sheet1!$AQ$4:$AR$25,2,FALSE)</f>
        <v>0</v>
      </c>
      <c r="B124" s="93" t="str">
        <f>Sheet1!$K$17</f>
        <v>Somerset</v>
      </c>
      <c r="C124" s="85"/>
      <c r="D124" s="162" t="e">
        <f t="shared" si="36"/>
        <v>#N/A</v>
      </c>
      <c r="E124" s="162" t="e">
        <f t="shared" si="37"/>
        <v>#N/A</v>
      </c>
      <c r="F124" s="162" t="e">
        <f t="shared" si="38"/>
        <v>#N/A</v>
      </c>
      <c r="G124" s="162" t="e">
        <f t="shared" si="39"/>
        <v>#N/A</v>
      </c>
      <c r="H124" s="164" t="e">
        <f t="shared" si="40"/>
        <v>#N/A</v>
      </c>
      <c r="I124" s="392"/>
      <c r="J124" s="96"/>
      <c r="K124" s="96"/>
      <c r="L124" s="166"/>
      <c r="M124" s="166"/>
      <c r="N124" s="166"/>
      <c r="O124" s="166"/>
      <c r="P124" s="166"/>
      <c r="Q124" s="166"/>
      <c r="R124" s="167"/>
      <c r="S124" s="159"/>
      <c r="T124" s="166"/>
      <c r="U124" s="122"/>
      <c r="V124" s="139"/>
      <c r="W124" s="152"/>
      <c r="X124" s="762" t="str">
        <f>Sheet1!$K$17</f>
        <v>Somerset</v>
      </c>
      <c r="Y124" s="763" t="str">
        <f>IF(Year1_Somerset Year1_EarlyHelpReReferrals="","",Year1_Somerset Year1_EarlyHelpReReferrals)</f>
        <v/>
      </c>
      <c r="Z124" s="763" t="str">
        <f>IF(Year2_Somerset Year2_EarlyHelpReReferrals="","",Year2_Somerset Year2_EarlyHelpReReferrals)</f>
        <v/>
      </c>
      <c r="AA124" s="763" t="str">
        <f>IF(Year3_Somerset Year3_EarlyHelpReReferrals="","",Year3_Somerset Year3_EarlyHelpReReferrals)</f>
        <v/>
      </c>
      <c r="AB124" s="763" t="str">
        <f>IF(Year4_Somerset Year4_EarlyHelpReReferrals="","",Year4_Somerset Year4_EarlyHelpReReferrals)</f>
        <v/>
      </c>
      <c r="AC124" s="763" t="str">
        <f>IF(Year5_Somerset Year5_EarlyHelpReReferrals="","",Year5_Somerset Year5_EarlyHelpReReferrals)</f>
        <v/>
      </c>
      <c r="AD124" s="758" t="str">
        <f t="shared" si="41"/>
        <v/>
      </c>
      <c r="AE124" s="758" t="str">
        <f t="shared" si="42"/>
        <v/>
      </c>
      <c r="AF124" s="758" t="str">
        <f t="shared" si="43"/>
        <v/>
      </c>
      <c r="AG124" s="758" t="str">
        <f t="shared" si="44"/>
        <v/>
      </c>
      <c r="AH124" s="758" t="str">
        <f t="shared" si="45"/>
        <v/>
      </c>
      <c r="AI124" s="202"/>
      <c r="AJ124" s="160"/>
    </row>
    <row r="125" spans="1:45" s="87" customFormat="1" ht="12.75" customHeight="1" x14ac:dyDescent="0.2">
      <c r="A125" s="488">
        <f>VLOOKUP(B125,Sheet1!$AQ$4:$AR$25,2,FALSE)</f>
        <v>0</v>
      </c>
      <c r="B125" s="93" t="str">
        <f>Sheet1!$K$18</f>
        <v>Southampton</v>
      </c>
      <c r="C125" s="85"/>
      <c r="D125" s="162" t="e">
        <f t="shared" si="36"/>
        <v>#N/A</v>
      </c>
      <c r="E125" s="162" t="e">
        <f t="shared" si="37"/>
        <v>#N/A</v>
      </c>
      <c r="F125" s="162" t="e">
        <f t="shared" si="38"/>
        <v>#N/A</v>
      </c>
      <c r="G125" s="162" t="e">
        <f t="shared" si="39"/>
        <v>#N/A</v>
      </c>
      <c r="H125" s="164" t="e">
        <f t="shared" si="40"/>
        <v>#N/A</v>
      </c>
      <c r="I125" s="392"/>
      <c r="J125" s="96"/>
      <c r="K125" s="96"/>
      <c r="L125" s="166"/>
      <c r="M125" s="166"/>
      <c r="N125" s="166"/>
      <c r="O125" s="166"/>
      <c r="P125" s="166"/>
      <c r="Q125" s="166"/>
      <c r="R125" s="167"/>
      <c r="S125" s="159"/>
      <c r="T125" s="166"/>
      <c r="U125" s="122"/>
      <c r="V125" s="139"/>
      <c r="W125" s="152"/>
      <c r="X125" s="762" t="str">
        <f>Sheet1!$K$18</f>
        <v>Southampton</v>
      </c>
      <c r="Y125" s="763" t="str">
        <f>IF(Year1_Southampton Year1_EarlyHelpReReferrals="","",Year1_Southampton Year1_EarlyHelpReReferrals)</f>
        <v/>
      </c>
      <c r="Z125" s="763" t="str">
        <f>IF(Year2_Southampton Year2_EarlyHelpReReferrals="","",Year2_Southampton Year2_EarlyHelpReReferrals)</f>
        <v/>
      </c>
      <c r="AA125" s="763" t="str">
        <f>IF(Year3_Southampton Year3_EarlyHelpReReferrals="","",Year3_Southampton Year3_EarlyHelpReReferrals)</f>
        <v/>
      </c>
      <c r="AB125" s="763" t="str">
        <f>IF(Year4_Southampton Year4_EarlyHelpReReferrals="","",Year4_Southampton Year4_EarlyHelpReReferrals)</f>
        <v/>
      </c>
      <c r="AC125" s="763" t="str">
        <f>IF(Year5_Southampton Year5_EarlyHelpReReferrals="","",Year5_Southampton Year5_EarlyHelpReReferrals)</f>
        <v/>
      </c>
      <c r="AD125" s="758" t="str">
        <f t="shared" si="41"/>
        <v/>
      </c>
      <c r="AE125" s="758" t="str">
        <f t="shared" si="42"/>
        <v/>
      </c>
      <c r="AF125" s="758" t="str">
        <f t="shared" si="43"/>
        <v/>
      </c>
      <c r="AG125" s="758" t="str">
        <f t="shared" si="44"/>
        <v/>
      </c>
      <c r="AH125" s="758" t="str">
        <f t="shared" si="45"/>
        <v/>
      </c>
      <c r="AI125" s="202"/>
      <c r="AJ125" s="160"/>
    </row>
    <row r="126" spans="1:45" s="87" customFormat="1" ht="12.75" customHeight="1" x14ac:dyDescent="0.2">
      <c r="A126" s="488">
        <f>VLOOKUP(B126,Sheet1!$AQ$4:$AR$25,2,FALSE)</f>
        <v>0</v>
      </c>
      <c r="B126" s="93" t="str">
        <f>Sheet1!$K$19</f>
        <v>Surrey</v>
      </c>
      <c r="C126" s="85"/>
      <c r="D126" s="162" t="e">
        <f t="shared" si="36"/>
        <v>#N/A</v>
      </c>
      <c r="E126" s="162" t="e">
        <f t="shared" si="37"/>
        <v>#N/A</v>
      </c>
      <c r="F126" s="162" t="e">
        <f t="shared" si="38"/>
        <v>#N/A</v>
      </c>
      <c r="G126" s="162" t="e">
        <f t="shared" si="39"/>
        <v>#N/A</v>
      </c>
      <c r="H126" s="164" t="e">
        <f t="shared" si="40"/>
        <v>#N/A</v>
      </c>
      <c r="I126" s="392"/>
      <c r="J126" s="96"/>
      <c r="K126" s="96"/>
      <c r="L126" s="166"/>
      <c r="M126" s="166"/>
      <c r="N126" s="166"/>
      <c r="O126" s="166"/>
      <c r="P126" s="166"/>
      <c r="Q126" s="166"/>
      <c r="R126" s="167"/>
      <c r="S126" s="159"/>
      <c r="T126" s="166"/>
      <c r="U126" s="122"/>
      <c r="V126" s="139"/>
      <c r="W126" s="152"/>
      <c r="X126" s="762" t="str">
        <f>Sheet1!$K$19</f>
        <v>Surrey</v>
      </c>
      <c r="Y126" s="763" t="str">
        <f>IF(Year1_Surrey Year1_EarlyHelpReReferrals="","",Year1_Surrey Year1_EarlyHelpReReferrals)</f>
        <v/>
      </c>
      <c r="Z126" s="763" t="str">
        <f>IF(Year2_Surrey Year2_EarlyHelpReReferrals="","",Year2_Surrey Year2_EarlyHelpReReferrals)</f>
        <v/>
      </c>
      <c r="AA126" s="763" t="str">
        <f>IF(Year3_Surrey Year3_EarlyHelpReReferrals="","",Year3_Surrey Year3_EarlyHelpReReferrals)</f>
        <v/>
      </c>
      <c r="AB126" s="763" t="str">
        <f>IF(Year4_Surrey Year4_EarlyHelpReReferrals="","",Year4_Surrey Year4_EarlyHelpReReferrals)</f>
        <v/>
      </c>
      <c r="AC126" s="763" t="str">
        <f>IF(Year5_Surrey Year5_EarlyHelpReReferrals="","",Year5_Surrey Year5_EarlyHelpReReferrals)</f>
        <v/>
      </c>
      <c r="AD126" s="758" t="str">
        <f t="shared" si="41"/>
        <v/>
      </c>
      <c r="AE126" s="758" t="str">
        <f t="shared" si="42"/>
        <v/>
      </c>
      <c r="AF126" s="758" t="str">
        <f t="shared" si="43"/>
        <v/>
      </c>
      <c r="AG126" s="758" t="str">
        <f t="shared" si="44"/>
        <v/>
      </c>
      <c r="AH126" s="758" t="str">
        <f t="shared" si="45"/>
        <v/>
      </c>
      <c r="AI126" s="202"/>
      <c r="AJ126" s="160"/>
    </row>
    <row r="127" spans="1:45" s="87" customFormat="1" ht="12.75" customHeight="1" x14ac:dyDescent="0.2">
      <c r="A127" s="488">
        <f>VLOOKUP(B127,Sheet1!$AQ$4:$AR$25,2,FALSE)</f>
        <v>0</v>
      </c>
      <c r="B127" s="93" t="str">
        <f>Sheet1!$K$20</f>
        <v>Swindon</v>
      </c>
      <c r="C127" s="85"/>
      <c r="D127" s="162" t="e">
        <f t="shared" si="36"/>
        <v>#N/A</v>
      </c>
      <c r="E127" s="162" t="e">
        <f t="shared" si="37"/>
        <v>#N/A</v>
      </c>
      <c r="F127" s="162" t="e">
        <f t="shared" si="38"/>
        <v>#N/A</v>
      </c>
      <c r="G127" s="162" t="e">
        <f t="shared" si="39"/>
        <v>#N/A</v>
      </c>
      <c r="H127" s="164" t="e">
        <f t="shared" si="40"/>
        <v>#N/A</v>
      </c>
      <c r="I127" s="392"/>
      <c r="J127" s="96"/>
      <c r="K127" s="96"/>
      <c r="L127" s="166"/>
      <c r="M127" s="166"/>
      <c r="N127" s="166"/>
      <c r="O127" s="166"/>
      <c r="P127" s="166"/>
      <c r="Q127" s="166"/>
      <c r="R127" s="167"/>
      <c r="S127" s="159"/>
      <c r="T127" s="166"/>
      <c r="U127" s="122"/>
      <c r="V127" s="139"/>
      <c r="W127" s="152"/>
      <c r="X127" s="762" t="str">
        <f>Sheet1!$K$20</f>
        <v>Swindon</v>
      </c>
      <c r="Y127" s="763" t="str">
        <f>IF(Year1_Swindon Year1_EarlyHelpReReferrals="","",Year1_Swindon Year1_EarlyHelpReReferrals)</f>
        <v/>
      </c>
      <c r="Z127" s="763" t="str">
        <f>IF(Year2_Swindon Year2_EarlyHelpReReferrals="","",Year2_Swindon Year2_EarlyHelpReReferrals)</f>
        <v/>
      </c>
      <c r="AA127" s="763" t="str">
        <f>IF(Year3_Swindon Year3_EarlyHelpReReferrals="","",Year3_Swindon Year3_EarlyHelpReReferrals)</f>
        <v/>
      </c>
      <c r="AB127" s="763" t="str">
        <f>IF(Year4_Swindon Year4_EarlyHelpReReferrals="","",Year4_Swindon Year4_EarlyHelpReReferrals)</f>
        <v/>
      </c>
      <c r="AC127" s="763" t="str">
        <f>IF(Year5_Swindon Year5_EarlyHelpReReferrals="","",Year5_Swindon Year5_EarlyHelpReReferrals)</f>
        <v/>
      </c>
      <c r="AD127" s="758" t="str">
        <f t="shared" si="41"/>
        <v/>
      </c>
      <c r="AE127" s="758" t="str">
        <f t="shared" si="42"/>
        <v/>
      </c>
      <c r="AF127" s="758" t="str">
        <f t="shared" si="43"/>
        <v/>
      </c>
      <c r="AG127" s="758" t="str">
        <f t="shared" si="44"/>
        <v/>
      </c>
      <c r="AH127" s="758" t="str">
        <f t="shared" si="45"/>
        <v/>
      </c>
      <c r="AI127" s="202"/>
      <c r="AJ127" s="160"/>
    </row>
    <row r="128" spans="1:45" s="87" customFormat="1" ht="12.75" customHeight="1" x14ac:dyDescent="0.2">
      <c r="A128" s="488">
        <f>VLOOKUP(B128,Sheet1!$AQ$4:$AR$25,2,FALSE)</f>
        <v>0</v>
      </c>
      <c r="B128" s="93" t="str">
        <f>Sheet1!$K$21</f>
        <v>Torbay</v>
      </c>
      <c r="C128" s="85"/>
      <c r="D128" s="162" t="e">
        <f t="shared" si="36"/>
        <v>#N/A</v>
      </c>
      <c r="E128" s="162" t="e">
        <f t="shared" si="37"/>
        <v>#N/A</v>
      </c>
      <c r="F128" s="162" t="e">
        <f t="shared" si="38"/>
        <v>#N/A</v>
      </c>
      <c r="G128" s="162" t="e">
        <f t="shared" si="39"/>
        <v>#N/A</v>
      </c>
      <c r="H128" s="164" t="e">
        <f t="shared" si="40"/>
        <v>#N/A</v>
      </c>
      <c r="I128" s="392"/>
      <c r="J128" s="96"/>
      <c r="K128" s="96"/>
      <c r="L128" s="166"/>
      <c r="M128" s="166"/>
      <c r="N128" s="166"/>
      <c r="O128" s="166"/>
      <c r="P128" s="166"/>
      <c r="Q128" s="166"/>
      <c r="R128" s="167"/>
      <c r="S128" s="159"/>
      <c r="T128" s="166"/>
      <c r="U128" s="122"/>
      <c r="V128" s="139"/>
      <c r="W128" s="152"/>
      <c r="X128" s="762" t="str">
        <f>Sheet1!$K$21</f>
        <v>Torbay</v>
      </c>
      <c r="Y128" s="763" t="str">
        <f>IF(Year1_Torbay Year1_EarlyHelpReReferrals="","",Year1_Torbay Year1_EarlyHelpReReferrals)</f>
        <v/>
      </c>
      <c r="Z128" s="763" t="str">
        <f>IF(Year2_Torbay Year2_EarlyHelpReReferrals="","",Year2_Torbay Year2_EarlyHelpReReferrals)</f>
        <v/>
      </c>
      <c r="AA128" s="763" t="str">
        <f>IF(Year3_Torbay Year3_EarlyHelpReReferrals="","",Year3_Torbay Year3_EarlyHelpReReferrals)</f>
        <v/>
      </c>
      <c r="AB128" s="763" t="str">
        <f>IF(Year4_Torbay Year4_EarlyHelpReReferrals="","",Year4_Torbay Year4_EarlyHelpReReferrals)</f>
        <v/>
      </c>
      <c r="AC128" s="763" t="str">
        <f>IF(Year5_Torbay Year5_EarlyHelpReReferrals="","",Year5_Torbay Year5_EarlyHelpReReferrals)</f>
        <v/>
      </c>
      <c r="AD128" s="758" t="str">
        <f t="shared" si="41"/>
        <v/>
      </c>
      <c r="AE128" s="758" t="str">
        <f t="shared" si="42"/>
        <v/>
      </c>
      <c r="AF128" s="758" t="str">
        <f t="shared" si="43"/>
        <v/>
      </c>
      <c r="AG128" s="758" t="str">
        <f t="shared" si="44"/>
        <v/>
      </c>
      <c r="AH128" s="758" t="str">
        <f t="shared" si="45"/>
        <v/>
      </c>
      <c r="AI128" s="202"/>
      <c r="AJ128" s="160"/>
    </row>
    <row r="129" spans="1:46" s="87" customFormat="1" ht="12.75" customHeight="1" x14ac:dyDescent="0.2">
      <c r="A129" s="488">
        <f>VLOOKUP(B129,Sheet1!$AQ$4:$AR$25,2,FALSE)</f>
        <v>0</v>
      </c>
      <c r="B129" s="93" t="str">
        <f>Sheet1!$K$22</f>
        <v>West Berkshire</v>
      </c>
      <c r="C129" s="85"/>
      <c r="D129" s="162" t="e">
        <f t="shared" si="36"/>
        <v>#N/A</v>
      </c>
      <c r="E129" s="162" t="e">
        <f t="shared" si="37"/>
        <v>#N/A</v>
      </c>
      <c r="F129" s="162" t="e">
        <f t="shared" si="38"/>
        <v>#N/A</v>
      </c>
      <c r="G129" s="162" t="e">
        <f t="shared" si="39"/>
        <v>#N/A</v>
      </c>
      <c r="H129" s="164" t="e">
        <f t="shared" si="40"/>
        <v>#N/A</v>
      </c>
      <c r="I129" s="392"/>
      <c r="J129" s="96"/>
      <c r="K129" s="96"/>
      <c r="L129" s="166"/>
      <c r="M129" s="166"/>
      <c r="N129" s="166"/>
      <c r="O129" s="166"/>
      <c r="P129" s="166"/>
      <c r="Q129" s="166"/>
      <c r="R129" s="167"/>
      <c r="S129" s="159"/>
      <c r="T129" s="166"/>
      <c r="U129" s="122"/>
      <c r="V129" s="139"/>
      <c r="W129" s="152"/>
      <c r="X129" s="762" t="str">
        <f>Sheet1!$K$22</f>
        <v>West Berkshire</v>
      </c>
      <c r="Y129" s="763" t="str">
        <f>IF(Year1_West_Berkshire Year1_EarlyHelpReReferrals="","",Year1_West_Berkshire Year1_EarlyHelpReReferrals)</f>
        <v/>
      </c>
      <c r="Z129" s="763" t="str">
        <f>IF(Year2_West_Berkshire Year2_EarlyHelpReReferrals="","",Year2_West_Berkshire Year2_EarlyHelpReReferrals)</f>
        <v/>
      </c>
      <c r="AA129" s="763" t="str">
        <f>IF(Year3_West_Berkshire Year3_EarlyHelpReReferrals="","",Year3_West_Berkshire Year3_EarlyHelpReReferrals)</f>
        <v/>
      </c>
      <c r="AB129" s="763" t="str">
        <f>IF(Year4_West_Berkshire Year4_EarlyHelpReReferrals="","",Year4_West_Berkshire Year4_EarlyHelpReReferrals)</f>
        <v/>
      </c>
      <c r="AC129" s="763" t="str">
        <f>IF(Year5_West_Berkshire Year5_EarlyHelpReReferrals="","",Year5_West_Berkshire Year5_EarlyHelpReReferrals)</f>
        <v/>
      </c>
      <c r="AD129" s="758" t="str">
        <f t="shared" si="41"/>
        <v/>
      </c>
      <c r="AE129" s="758" t="str">
        <f t="shared" si="42"/>
        <v/>
      </c>
      <c r="AF129" s="758" t="str">
        <f t="shared" si="43"/>
        <v/>
      </c>
      <c r="AG129" s="758" t="str">
        <f t="shared" si="44"/>
        <v/>
      </c>
      <c r="AH129" s="758" t="str">
        <f t="shared" si="45"/>
        <v/>
      </c>
      <c r="AI129" s="202"/>
      <c r="AJ129" s="160"/>
    </row>
    <row r="130" spans="1:46" s="87" customFormat="1" ht="12.75" customHeight="1" x14ac:dyDescent="0.2">
      <c r="A130" s="488">
        <f>VLOOKUP(B130,Sheet1!$AQ$4:$AR$25,2,FALSE)</f>
        <v>0</v>
      </c>
      <c r="B130" s="93" t="str">
        <f>Sheet1!$K$23</f>
        <v>West Sussex</v>
      </c>
      <c r="C130" s="85"/>
      <c r="D130" s="162" t="e">
        <f t="shared" si="36"/>
        <v>#N/A</v>
      </c>
      <c r="E130" s="162" t="e">
        <f t="shared" si="37"/>
        <v>#N/A</v>
      </c>
      <c r="F130" s="162" t="e">
        <f t="shared" si="38"/>
        <v>#N/A</v>
      </c>
      <c r="G130" s="162" t="e">
        <f t="shared" si="39"/>
        <v>#N/A</v>
      </c>
      <c r="H130" s="164" t="e">
        <f t="shared" si="40"/>
        <v>#N/A</v>
      </c>
      <c r="I130" s="392"/>
      <c r="J130" s="96"/>
      <c r="K130" s="96"/>
      <c r="L130" s="166"/>
      <c r="M130" s="166"/>
      <c r="N130" s="166"/>
      <c r="O130" s="166"/>
      <c r="P130" s="166"/>
      <c r="Q130" s="166"/>
      <c r="R130" s="167"/>
      <c r="S130" s="159"/>
      <c r="T130" s="166"/>
      <c r="U130" s="122"/>
      <c r="V130" s="139"/>
      <c r="W130" s="152"/>
      <c r="X130" s="762" t="str">
        <f>Sheet1!$K$23</f>
        <v>West Sussex</v>
      </c>
      <c r="Y130" s="763" t="str">
        <f>IF(Year1_West_Sussex Year1_EarlyHelpReReferrals="","",Year1_West_Sussex Year1_EarlyHelpReReferrals)</f>
        <v/>
      </c>
      <c r="Z130" s="763" t="str">
        <f>IF(Year2_West_Sussex Year2_EarlyHelpReReferrals="","",Year2_West_Sussex Year2_EarlyHelpReReferrals)</f>
        <v/>
      </c>
      <c r="AA130" s="763" t="str">
        <f>IF(Year3_West_Sussex Year3_EarlyHelpReReferrals="","",Year3_West_Sussex Year3_EarlyHelpReReferrals)</f>
        <v/>
      </c>
      <c r="AB130" s="763" t="str">
        <f>IF(Year4_West_Sussex Year4_EarlyHelpReReferrals="","",Year4_West_Sussex Year4_EarlyHelpReReferrals)</f>
        <v/>
      </c>
      <c r="AC130" s="763" t="str">
        <f>IF(Year5_West_Sussex Year5_EarlyHelpReReferrals="","",Year5_West_Sussex Year5_EarlyHelpReReferrals)</f>
        <v/>
      </c>
      <c r="AD130" s="758" t="str">
        <f t="shared" si="41"/>
        <v/>
      </c>
      <c r="AE130" s="758" t="str">
        <f t="shared" si="42"/>
        <v/>
      </c>
      <c r="AF130" s="758" t="str">
        <f t="shared" si="43"/>
        <v/>
      </c>
      <c r="AG130" s="758" t="str">
        <f t="shared" si="44"/>
        <v/>
      </c>
      <c r="AH130" s="758" t="str">
        <f t="shared" si="45"/>
        <v/>
      </c>
      <c r="AI130" s="202"/>
      <c r="AJ130" s="160"/>
    </row>
    <row r="131" spans="1:46" s="87" customFormat="1" ht="12.75" customHeight="1" x14ac:dyDescent="0.2">
      <c r="A131" s="488">
        <f>VLOOKUP(B131,Sheet1!$AQ$4:$AR$25,2,FALSE)</f>
        <v>0</v>
      </c>
      <c r="B131" s="93" t="str">
        <f>Sheet1!$K$24</f>
        <v>Windsor &amp; Maidenhead</v>
      </c>
      <c r="C131" s="85"/>
      <c r="D131" s="162" t="e">
        <f t="shared" si="36"/>
        <v>#N/A</v>
      </c>
      <c r="E131" s="162" t="e">
        <f t="shared" si="37"/>
        <v>#N/A</v>
      </c>
      <c r="F131" s="162" t="e">
        <f t="shared" si="38"/>
        <v>#N/A</v>
      </c>
      <c r="G131" s="162" t="e">
        <f t="shared" si="39"/>
        <v>#N/A</v>
      </c>
      <c r="H131" s="164" t="e">
        <f t="shared" si="40"/>
        <v>#N/A</v>
      </c>
      <c r="I131" s="392"/>
      <c r="J131" s="96"/>
      <c r="K131" s="96"/>
      <c r="L131" s="166"/>
      <c r="M131" s="166"/>
      <c r="N131" s="166"/>
      <c r="O131" s="166"/>
      <c r="P131" s="166"/>
      <c r="Q131" s="166"/>
      <c r="R131" s="167"/>
      <c r="S131" s="159"/>
      <c r="T131" s="166"/>
      <c r="U131" s="122"/>
      <c r="V131" s="139"/>
      <c r="W131" s="152"/>
      <c r="X131" s="762" t="str">
        <f>Sheet1!$K$24</f>
        <v>Windsor &amp; Maidenhead</v>
      </c>
      <c r="Y131" s="763" t="str">
        <f>IF(Year1_Windsor_Maidenhead Year1_EarlyHelpReReferrals="","",Year1_Windsor_Maidenhead Year1_EarlyHelpReReferrals)</f>
        <v/>
      </c>
      <c r="Z131" s="763" t="str">
        <f>IF(Year2_Windsor_Maidenhead Year2_EarlyHelpReReferrals="","",Year2_Windsor_Maidenhead Year2_EarlyHelpReReferrals)</f>
        <v/>
      </c>
      <c r="AA131" s="763" t="str">
        <f>IF(Year3_Windsor_Maidenhead Year3_EarlyHelpReReferrals="","",Year3_Windsor_Maidenhead Year3_EarlyHelpReReferrals)</f>
        <v/>
      </c>
      <c r="AB131" s="763" t="str">
        <f>IF(Year4_Windsor_Maidenhead Year4_EarlyHelpReReferrals="","",Year4_Windsor_Maidenhead Year4_EarlyHelpReReferrals)</f>
        <v/>
      </c>
      <c r="AC131" s="763" t="str">
        <f>IF(Year5_Windsor_Maidenhead Year5_EarlyHelpReReferrals="","",Year5_Windsor_Maidenhead Year5_EarlyHelpReReferrals)</f>
        <v/>
      </c>
      <c r="AD131" s="758" t="str">
        <f t="shared" si="41"/>
        <v/>
      </c>
      <c r="AE131" s="758" t="str">
        <f t="shared" si="42"/>
        <v/>
      </c>
      <c r="AF131" s="758" t="str">
        <f t="shared" si="43"/>
        <v/>
      </c>
      <c r="AG131" s="758" t="str">
        <f t="shared" si="44"/>
        <v/>
      </c>
      <c r="AH131" s="758" t="str">
        <f t="shared" si="45"/>
        <v/>
      </c>
      <c r="AI131" s="202"/>
      <c r="AJ131" s="160"/>
    </row>
    <row r="132" spans="1:46" s="87" customFormat="1" ht="12.75" customHeight="1" x14ac:dyDescent="0.2">
      <c r="A132" s="488">
        <f>VLOOKUP(B132,Sheet1!$AQ$4:$AR$25,2,FALSE)</f>
        <v>0</v>
      </c>
      <c r="B132" s="93" t="str">
        <f>Sheet1!$K$25</f>
        <v>Wokingham</v>
      </c>
      <c r="C132" s="85"/>
      <c r="D132" s="162" t="e">
        <f t="shared" si="36"/>
        <v>#N/A</v>
      </c>
      <c r="E132" s="162" t="e">
        <f t="shared" si="37"/>
        <v>#N/A</v>
      </c>
      <c r="F132" s="162" t="e">
        <f t="shared" si="38"/>
        <v>#N/A</v>
      </c>
      <c r="G132" s="162" t="e">
        <f t="shared" si="39"/>
        <v>#N/A</v>
      </c>
      <c r="H132" s="164" t="e">
        <f t="shared" si="40"/>
        <v>#N/A</v>
      </c>
      <c r="I132" s="392"/>
      <c r="J132" s="96"/>
      <c r="K132" s="96"/>
      <c r="L132" s="166"/>
      <c r="M132" s="166"/>
      <c r="N132" s="166"/>
      <c r="O132" s="166"/>
      <c r="P132" s="166"/>
      <c r="Q132" s="166"/>
      <c r="R132" s="167"/>
      <c r="S132" s="159"/>
      <c r="T132" s="166"/>
      <c r="U132" s="122"/>
      <c r="V132" s="139"/>
      <c r="W132" s="152"/>
      <c r="X132" s="762" t="str">
        <f>Sheet1!$K$25</f>
        <v>Wokingham</v>
      </c>
      <c r="Y132" s="763" t="str">
        <f>IF(Year1_Wokingham Year1_EarlyHelpReReferrals="","",Year1_Wokingham Year1_EarlyHelpReReferrals)</f>
        <v/>
      </c>
      <c r="Z132" s="763" t="str">
        <f>IF(Year2_Wokingham Year2_EarlyHelpReReferrals="","",Year2_Wokingham Year2_EarlyHelpReReferrals)</f>
        <v/>
      </c>
      <c r="AA132" s="763" t="str">
        <f>IF(Year3_Wokingham Year3_EarlyHelpReReferrals="","",Year3_Wokingham Year3_EarlyHelpReReferrals)</f>
        <v/>
      </c>
      <c r="AB132" s="763" t="str">
        <f>IF(Year4_Wokingham Year4_EarlyHelpReReferrals="","",Year4_Wokingham Year4_EarlyHelpReReferrals)</f>
        <v/>
      </c>
      <c r="AC132" s="763" t="str">
        <f>IF(Year5_Wokingham Year5_EarlyHelpReReferrals="","",Year5_Wokingham Year5_EarlyHelpReReferrals)</f>
        <v/>
      </c>
      <c r="AD132" s="758" t="str">
        <f t="shared" si="41"/>
        <v/>
      </c>
      <c r="AE132" s="758" t="str">
        <f t="shared" si="42"/>
        <v/>
      </c>
      <c r="AF132" s="758" t="str">
        <f t="shared" si="43"/>
        <v/>
      </c>
      <c r="AG132" s="758" t="str">
        <f t="shared" si="44"/>
        <v/>
      </c>
      <c r="AH132" s="758" t="str">
        <f t="shared" si="45"/>
        <v/>
      </c>
      <c r="AI132" s="202"/>
      <c r="AJ132" s="160"/>
    </row>
    <row r="133" spans="1:46" s="87" customFormat="1" ht="12.75" customHeight="1" x14ac:dyDescent="0.2">
      <c r="A133" s="292"/>
      <c r="B133" s="129" t="str">
        <f>Sheet1!$K$26</f>
        <v>South East</v>
      </c>
      <c r="C133" s="85"/>
      <c r="D133" s="163" t="e">
        <f t="shared" si="36"/>
        <v>#N/A</v>
      </c>
      <c r="E133" s="163" t="e">
        <f t="shared" si="37"/>
        <v>#N/A</v>
      </c>
      <c r="F133" s="163" t="e">
        <f t="shared" si="38"/>
        <v>#N/A</v>
      </c>
      <c r="G133" s="163" t="e">
        <f t="shared" si="39"/>
        <v>#N/A</v>
      </c>
      <c r="H133" s="165" t="e">
        <f t="shared" si="40"/>
        <v>#N/A</v>
      </c>
      <c r="I133" s="392"/>
      <c r="J133" s="96"/>
      <c r="K133" s="96"/>
      <c r="L133" s="168"/>
      <c r="M133" s="168"/>
      <c r="N133" s="168"/>
      <c r="O133" s="168"/>
      <c r="P133" s="168"/>
      <c r="Q133" s="168"/>
      <c r="R133" s="169"/>
      <c r="S133" s="159"/>
      <c r="T133" s="170"/>
      <c r="U133" s="122"/>
      <c r="V133" s="139"/>
      <c r="W133" s="152"/>
      <c r="X133" s="762" t="str">
        <f>Sheet1!$K$26</f>
        <v>South East</v>
      </c>
      <c r="Y133" s="763" t="e">
        <f>IF(Year1_SouthEast Year1_EarlyHelpReReferrals=0,NA(),Year1_SouthEast Year1_EarlyHelpReReferrals)</f>
        <v>#N/A</v>
      </c>
      <c r="Z133" s="763" t="e">
        <f>IF(Year2_SouthEast Year2_EarlyHelpReReferrals=0,NA(),Year2_SouthEast Year2_EarlyHelpReReferrals)</f>
        <v>#N/A</v>
      </c>
      <c r="AA133" s="763" t="e">
        <f>IF(Year3_SouthEast Year3_EarlyHelpReReferrals=0,NA(),Year3_SouthEast Year3_EarlyHelpReReferrals)</f>
        <v>#N/A</v>
      </c>
      <c r="AB133" s="763" t="e">
        <f>IF(Year4_SouthEast Year4_EarlyHelpReReferrals=0,NA(),Year4_SouthEast Year4_EarlyHelpReReferrals)</f>
        <v>#N/A</v>
      </c>
      <c r="AC133" s="763" t="e">
        <f>IF(Year5_SouthEast Year5_EarlyHelpReReferrals=0,NA(),Year5_SouthEast Year5_EarlyHelpReReferrals)</f>
        <v>#N/A</v>
      </c>
      <c r="AD133" s="763" t="e">
        <f t="shared" ref="AD133" si="46">IF(SUM(AD111:AD123,AD125:AD126,AD129:AD132)=0,NA(),SUM(AD111:AD123,AD125:AD126,AD129:AD132))</f>
        <v>#N/A</v>
      </c>
      <c r="AE133" s="763" t="e">
        <f t="shared" ref="AE133" si="47">IF(SUM(AE111:AE123,AE125:AE126,AE129:AE132)=0,NA(),SUM(AE111:AE123,AE125:AE126,AE129:AE132))</f>
        <v>#N/A</v>
      </c>
      <c r="AF133" s="763" t="e">
        <f t="shared" ref="AF133" si="48">IF(SUM(AF111:AF123,AF125:AF126,AF129:AF132)=0,NA(),SUM(AF111:AF123,AF125:AF126,AF129:AF132))</f>
        <v>#N/A</v>
      </c>
      <c r="AG133" s="763" t="e">
        <f t="shared" ref="AG133" si="49">IF(SUM(AG111:AG123,AG125:AG126,AG129:AG132)=0,NA(),SUM(AG111:AG123,AG125:AG126,AG129:AG132))</f>
        <v>#N/A</v>
      </c>
      <c r="AH133" s="763" t="e">
        <f t="shared" ref="AH133" si="50">IF(SUM(AH111:AH123,AH125:AH126,AH129:AH132)=0,NA(),SUM(AH111:AH123,AH125:AH126,AH129:AH132))</f>
        <v>#N/A</v>
      </c>
      <c r="AI133" s="202"/>
      <c r="AJ133" s="160"/>
    </row>
    <row r="134" spans="1:46" s="81" customFormat="1" ht="6.95" customHeight="1" x14ac:dyDescent="0.2">
      <c r="A134" s="278"/>
      <c r="B134" s="123"/>
      <c r="C134" s="172"/>
      <c r="D134" s="172"/>
      <c r="E134" s="172"/>
      <c r="F134" s="172"/>
      <c r="G134" s="172"/>
      <c r="H134" s="172"/>
      <c r="I134" s="392"/>
      <c r="J134" s="172"/>
      <c r="K134" s="172"/>
      <c r="L134" s="172"/>
      <c r="M134" s="172"/>
      <c r="N134" s="172"/>
      <c r="O134" s="172"/>
      <c r="P134" s="172"/>
      <c r="Q134" s="172"/>
      <c r="R134" s="136"/>
      <c r="S134" s="172"/>
      <c r="T134" s="172"/>
      <c r="U134" s="117"/>
      <c r="V134" s="137"/>
      <c r="W134" s="150"/>
      <c r="AD134" s="199"/>
      <c r="AE134" s="184"/>
      <c r="AF134" s="184"/>
      <c r="AG134" s="184"/>
      <c r="AI134" s="184"/>
      <c r="AJ134" s="161"/>
    </row>
    <row r="135" spans="1:46" s="81" customFormat="1" ht="38.450000000000003" customHeight="1" x14ac:dyDescent="0.2">
      <c r="A135" s="463"/>
      <c r="B135" s="392"/>
      <c r="C135" s="392"/>
      <c r="D135" s="392"/>
      <c r="E135" s="392"/>
      <c r="F135" s="392"/>
      <c r="G135" s="392"/>
      <c r="H135" s="392"/>
      <c r="I135" s="392"/>
      <c r="J135" s="172"/>
      <c r="K135" s="172"/>
      <c r="L135" s="172"/>
      <c r="M135" s="172"/>
      <c r="N135" s="172"/>
      <c r="O135" s="172"/>
      <c r="P135" s="172"/>
      <c r="Q135" s="172"/>
      <c r="R135" s="136"/>
      <c r="S135" s="172"/>
      <c r="T135" s="172"/>
      <c r="U135" s="117"/>
      <c r="V135" s="137"/>
      <c r="W135" s="150"/>
      <c r="AD135" s="199"/>
      <c r="AE135" s="184"/>
      <c r="AF135" s="184"/>
      <c r="AG135" s="184"/>
      <c r="AI135" s="184"/>
      <c r="AJ135" s="161"/>
    </row>
    <row r="136" spans="1:46" s="81" customFormat="1" ht="38.450000000000003" customHeight="1" x14ac:dyDescent="0.2">
      <c r="A136" s="463"/>
      <c r="B136" s="392"/>
      <c r="C136" s="392"/>
      <c r="D136" s="392"/>
      <c r="E136" s="392"/>
      <c r="F136" s="392"/>
      <c r="G136" s="392"/>
      <c r="H136" s="392"/>
      <c r="I136" s="392"/>
      <c r="J136" s="172"/>
      <c r="K136" s="172"/>
      <c r="L136" s="172"/>
      <c r="M136" s="172"/>
      <c r="N136" s="172"/>
      <c r="O136" s="172"/>
      <c r="P136" s="172"/>
      <c r="Q136" s="172"/>
      <c r="R136" s="136"/>
      <c r="S136" s="172"/>
      <c r="T136" s="172"/>
      <c r="U136" s="117"/>
      <c r="V136" s="137"/>
      <c r="W136" s="150"/>
      <c r="AD136" s="199"/>
      <c r="AE136" s="184"/>
      <c r="AF136" s="184"/>
      <c r="AG136" s="184"/>
      <c r="AI136" s="184"/>
      <c r="AJ136" s="161"/>
    </row>
    <row r="137" spans="1:46" s="81" customFormat="1" ht="48.75" customHeight="1" x14ac:dyDescent="0.2">
      <c r="A137" s="463"/>
      <c r="B137" s="392"/>
      <c r="C137" s="392"/>
      <c r="D137" s="392"/>
      <c r="E137" s="392"/>
      <c r="F137" s="392"/>
      <c r="G137" s="392"/>
      <c r="H137" s="392"/>
      <c r="I137" s="392"/>
      <c r="J137" s="172"/>
      <c r="K137" s="172"/>
      <c r="L137" s="172"/>
      <c r="M137" s="172"/>
      <c r="N137" s="172"/>
      <c r="O137" s="172"/>
      <c r="P137" s="172"/>
      <c r="Q137" s="172"/>
      <c r="R137" s="136"/>
      <c r="S137" s="172"/>
      <c r="T137" s="172"/>
      <c r="U137" s="117"/>
      <c r="V137" s="137"/>
      <c r="W137" s="150"/>
      <c r="AD137" s="199"/>
      <c r="AE137" s="184"/>
      <c r="AF137" s="184"/>
      <c r="AG137" s="184"/>
      <c r="AI137" s="184"/>
      <c r="AJ137" s="161"/>
    </row>
    <row r="138" spans="1:46" s="81" customFormat="1" ht="7.5" customHeight="1" x14ac:dyDescent="0.2">
      <c r="A138" s="278"/>
      <c r="B138" s="17"/>
      <c r="C138" s="17"/>
      <c r="D138" s="16"/>
      <c r="E138" s="16"/>
      <c r="F138" s="16"/>
      <c r="G138" s="16"/>
      <c r="H138" s="16"/>
      <c r="I138" s="16"/>
      <c r="J138" s="12"/>
      <c r="K138" s="12"/>
      <c r="L138" s="18"/>
      <c r="M138" s="18"/>
      <c r="N138" s="18"/>
      <c r="O138" s="18"/>
      <c r="P138" s="18"/>
      <c r="Q138" s="18"/>
      <c r="R138" s="18"/>
      <c r="S138" s="18"/>
      <c r="T138" s="19"/>
      <c r="U138" s="117"/>
      <c r="V138" s="137"/>
      <c r="W138" s="150"/>
      <c r="Y138" s="190"/>
      <c r="AI138" s="184"/>
      <c r="AJ138" s="157"/>
      <c r="AK138" s="74"/>
      <c r="AL138" s="74"/>
      <c r="AM138" s="74"/>
      <c r="AN138" s="74"/>
      <c r="AO138" s="74"/>
      <c r="AP138" s="74"/>
      <c r="AR138" s="74"/>
    </row>
    <row r="139" spans="1:46" s="81" customFormat="1" ht="15" customHeight="1" x14ac:dyDescent="0.2">
      <c r="A139" s="1775"/>
      <c r="B139" s="1760"/>
      <c r="C139" s="1760"/>
      <c r="D139" s="1760"/>
      <c r="E139" s="1760"/>
      <c r="F139" s="1760"/>
      <c r="G139" s="1760"/>
      <c r="H139" s="1760"/>
      <c r="I139" s="1760"/>
      <c r="J139" s="1760"/>
      <c r="K139" s="1760"/>
      <c r="L139" s="1760"/>
      <c r="M139" s="1760"/>
      <c r="N139" s="1760"/>
      <c r="O139" s="1760"/>
      <c r="P139" s="1760"/>
      <c r="Q139" s="1760"/>
      <c r="R139" s="1760"/>
      <c r="S139" s="1760"/>
      <c r="T139" s="1760"/>
      <c r="U139" s="1761"/>
      <c r="V139" s="137"/>
      <c r="W139" s="150"/>
      <c r="Y139" s="190"/>
      <c r="AJ139" s="161"/>
      <c r="AT139" s="74"/>
    </row>
    <row r="140" spans="1:46" s="81" customFormat="1" ht="11.25" customHeight="1" x14ac:dyDescent="0.2">
      <c r="A140" s="1776" t="str">
        <f>Home!$A$39</f>
        <v xml:space="preserve"> </v>
      </c>
      <c r="B140" s="1777"/>
      <c r="C140" s="1777"/>
      <c r="D140" s="1777"/>
      <c r="E140" s="1777"/>
      <c r="F140" s="1777"/>
      <c r="G140" s="1777"/>
      <c r="H140" s="1777"/>
      <c r="I140" s="1768"/>
      <c r="J140" s="1768"/>
      <c r="K140" s="1777"/>
      <c r="L140" s="1777"/>
      <c r="M140" s="1777"/>
      <c r="N140" s="1777"/>
      <c r="O140" s="1777"/>
      <c r="P140" s="1777"/>
      <c r="Q140" s="1777"/>
      <c r="R140" s="1777"/>
      <c r="S140" s="1777"/>
      <c r="T140" s="1777"/>
      <c r="U140" s="1778"/>
      <c r="V140" s="137"/>
      <c r="W140" s="150"/>
      <c r="Y140" s="190"/>
      <c r="AI140" s="184"/>
      <c r="AJ140" s="160"/>
      <c r="AK140" s="87"/>
      <c r="AT140" s="74"/>
    </row>
    <row r="141" spans="1:46" ht="11.25" customHeight="1" x14ac:dyDescent="0.2">
      <c r="A141" s="142"/>
      <c r="B141" s="9"/>
      <c r="C141" s="9"/>
      <c r="D141" s="9"/>
      <c r="E141" s="9"/>
      <c r="F141" s="58"/>
      <c r="G141" s="58"/>
      <c r="H141" s="58"/>
      <c r="I141" s="58"/>
      <c r="J141" s="114"/>
      <c r="K141" s="114"/>
      <c r="L141" s="113"/>
      <c r="M141" s="113"/>
      <c r="N141" s="113"/>
      <c r="O141" s="113"/>
      <c r="P141" s="113"/>
      <c r="Q141" s="113"/>
      <c r="R141" s="113"/>
      <c r="S141" s="113"/>
      <c r="T141" s="113"/>
      <c r="U141" s="113"/>
      <c r="V141" s="137"/>
      <c r="W141" s="150"/>
      <c r="X141" s="74"/>
      <c r="Y141" s="74"/>
      <c r="Z141" s="74"/>
      <c r="AA141" s="74"/>
      <c r="AB141" s="74"/>
      <c r="AI141" s="184"/>
      <c r="AJ141" s="157"/>
    </row>
    <row r="142" spans="1:46" ht="11.25" customHeight="1" x14ac:dyDescent="0.2">
      <c r="A142" s="142"/>
      <c r="B142" s="9"/>
      <c r="C142" s="9"/>
      <c r="D142" s="9"/>
      <c r="E142" s="9"/>
      <c r="F142" s="58"/>
      <c r="G142" s="58"/>
      <c r="H142" s="58"/>
      <c r="I142" s="58"/>
      <c r="J142" s="12"/>
      <c r="K142" s="12"/>
      <c r="L142" s="9"/>
      <c r="M142" s="9"/>
      <c r="N142" s="9"/>
      <c r="O142" s="9"/>
      <c r="P142" s="9"/>
      <c r="Q142" s="9"/>
      <c r="R142" s="9"/>
      <c r="S142" s="9"/>
      <c r="T142" s="9"/>
      <c r="U142" s="9"/>
      <c r="V142" s="137"/>
      <c r="W142" s="150"/>
      <c r="X142" s="74"/>
      <c r="Y142" s="74"/>
      <c r="Z142" s="74"/>
      <c r="AA142" s="74"/>
      <c r="AB142" s="74"/>
      <c r="AI142" s="184"/>
      <c r="AJ142" s="157"/>
    </row>
    <row r="143" spans="1:46" ht="11.25" customHeight="1" x14ac:dyDescent="0.2">
      <c r="A143" s="142"/>
      <c r="B143" s="1685" t="s">
        <v>82</v>
      </c>
      <c r="C143" s="1685"/>
      <c r="D143" s="1685"/>
      <c r="E143" s="1685"/>
      <c r="F143" s="1685"/>
      <c r="G143" s="1685"/>
      <c r="H143" s="1685"/>
      <c r="I143" s="1685"/>
      <c r="J143" s="12"/>
      <c r="K143" s="12"/>
      <c r="L143" s="9"/>
      <c r="M143" s="9"/>
      <c r="N143" s="9"/>
      <c r="O143" s="9"/>
      <c r="P143" s="9"/>
      <c r="Q143" s="9"/>
      <c r="R143" s="9"/>
      <c r="S143" s="9"/>
      <c r="T143" s="9"/>
      <c r="U143" s="9"/>
      <c r="V143" s="137"/>
      <c r="W143" s="150"/>
      <c r="AE143" s="82"/>
      <c r="AH143" s="184"/>
      <c r="AI143" s="184"/>
      <c r="AJ143" s="157"/>
    </row>
    <row r="144" spans="1:46" ht="11.25" customHeight="1" x14ac:dyDescent="0.2">
      <c r="A144" s="142"/>
      <c r="B144" s="1685"/>
      <c r="C144" s="1685"/>
      <c r="D144" s="1685"/>
      <c r="E144" s="1685"/>
      <c r="F144" s="1685"/>
      <c r="G144" s="1685"/>
      <c r="H144" s="1685"/>
      <c r="I144" s="1685"/>
      <c r="J144" s="12"/>
      <c r="K144" s="12"/>
      <c r="L144" s="9"/>
      <c r="M144" s="9"/>
      <c r="N144" s="9"/>
      <c r="O144" s="9"/>
      <c r="P144" s="9"/>
      <c r="Q144" s="9"/>
      <c r="R144" s="9"/>
      <c r="S144" s="9"/>
      <c r="T144" s="9"/>
      <c r="U144" s="9"/>
      <c r="V144" s="137"/>
      <c r="W144" s="150"/>
      <c r="AE144" s="82"/>
      <c r="AH144" s="184"/>
      <c r="AI144" s="184"/>
      <c r="AJ144" s="157"/>
    </row>
    <row r="145" spans="1:44" ht="11.25" customHeight="1" x14ac:dyDescent="0.2">
      <c r="A145" s="142"/>
      <c r="B145" s="1680" t="s">
        <v>800</v>
      </c>
      <c r="C145" s="1680"/>
      <c r="D145" s="1680"/>
      <c r="E145" s="1680"/>
      <c r="F145" s="1680"/>
      <c r="G145" s="1680"/>
      <c r="H145" s="1680"/>
      <c r="I145" s="1680"/>
      <c r="J145" s="12"/>
      <c r="K145" s="12"/>
      <c r="L145" s="9"/>
      <c r="M145" s="9"/>
      <c r="N145" s="9"/>
      <c r="O145" s="9"/>
      <c r="P145" s="9"/>
      <c r="Q145" s="9"/>
      <c r="R145" s="9"/>
      <c r="S145" s="9"/>
      <c r="T145" s="9"/>
      <c r="U145" s="9"/>
      <c r="V145" s="137"/>
      <c r="W145" s="150"/>
      <c r="AE145" s="82"/>
      <c r="AH145" s="184"/>
      <c r="AI145" s="184"/>
      <c r="AJ145" s="157"/>
    </row>
    <row r="146" spans="1:44" ht="11.25" customHeight="1" x14ac:dyDescent="0.2">
      <c r="A146" s="142"/>
      <c r="B146" s="1680"/>
      <c r="C146" s="1680"/>
      <c r="D146" s="1680"/>
      <c r="E146" s="1680"/>
      <c r="F146" s="1680"/>
      <c r="G146" s="1680"/>
      <c r="H146" s="1680"/>
      <c r="I146" s="1680"/>
      <c r="J146" s="12"/>
      <c r="K146" s="12"/>
      <c r="L146" s="9"/>
      <c r="M146" s="9"/>
      <c r="N146" s="9"/>
      <c r="O146" s="9"/>
      <c r="P146" s="9"/>
      <c r="Q146" s="9"/>
      <c r="R146" s="9"/>
      <c r="S146" s="9"/>
      <c r="T146" s="9"/>
      <c r="U146" s="9"/>
      <c r="V146" s="137"/>
      <c r="W146" s="150"/>
      <c r="AE146" s="82"/>
      <c r="AH146" s="184"/>
      <c r="AI146" s="184"/>
      <c r="AJ146" s="157"/>
    </row>
    <row r="147" spans="1:44" s="76" customFormat="1" ht="11.25" customHeight="1" x14ac:dyDescent="0.2">
      <c r="A147" s="142"/>
      <c r="B147" s="1680" t="s">
        <v>81</v>
      </c>
      <c r="C147" s="1680"/>
      <c r="D147" s="1680"/>
      <c r="E147" s="1680"/>
      <c r="F147" s="1680"/>
      <c r="G147" s="1680"/>
      <c r="H147" s="1680"/>
      <c r="I147" s="1680"/>
      <c r="J147" s="14"/>
      <c r="K147" s="14"/>
      <c r="L147" s="14"/>
      <c r="M147" s="14"/>
      <c r="N147" s="14"/>
      <c r="O147" s="14"/>
      <c r="P147" s="14"/>
      <c r="Q147" s="14"/>
      <c r="R147" s="14"/>
      <c r="S147" s="14"/>
      <c r="T147" s="14"/>
      <c r="U147" s="14"/>
      <c r="V147" s="140"/>
      <c r="W147" s="154"/>
      <c r="X147" s="81"/>
      <c r="Y147" s="81"/>
      <c r="Z147" s="81"/>
      <c r="AA147" s="81"/>
      <c r="AB147" s="81"/>
      <c r="AC147" s="81"/>
      <c r="AD147" s="81"/>
      <c r="AE147" s="82"/>
      <c r="AF147" s="81"/>
      <c r="AG147" s="81"/>
      <c r="AH147" s="184"/>
      <c r="AI147" s="184"/>
      <c r="AJ147" s="157"/>
      <c r="AK147" s="74"/>
      <c r="AL147" s="74"/>
      <c r="AM147" s="74"/>
      <c r="AN147" s="74"/>
      <c r="AO147" s="74"/>
      <c r="AP147" s="74"/>
      <c r="AR147" s="74"/>
    </row>
    <row r="148" spans="1:44" ht="11.25" customHeight="1" x14ac:dyDescent="0.2">
      <c r="A148" s="142"/>
      <c r="B148" s="1680"/>
      <c r="C148" s="1680"/>
      <c r="D148" s="1680"/>
      <c r="E148" s="1680"/>
      <c r="F148" s="1680"/>
      <c r="G148" s="1680"/>
      <c r="H148" s="1680"/>
      <c r="I148" s="1680"/>
      <c r="J148" s="12"/>
      <c r="K148" s="12"/>
      <c r="L148" s="9"/>
      <c r="M148" s="9"/>
      <c r="N148" s="9"/>
      <c r="O148" s="9"/>
      <c r="P148" s="9"/>
      <c r="Q148" s="9"/>
      <c r="R148" s="9"/>
      <c r="S148" s="9"/>
      <c r="T148" s="9"/>
      <c r="U148" s="9"/>
      <c r="V148" s="137"/>
      <c r="W148" s="150"/>
      <c r="AE148" s="82"/>
      <c r="AH148" s="188"/>
      <c r="AI148" s="188"/>
      <c r="AJ148" s="158"/>
    </row>
    <row r="149" spans="1:44" ht="11.25" customHeight="1" x14ac:dyDescent="0.2">
      <c r="A149" s="142"/>
      <c r="B149" s="1680" t="s">
        <v>78</v>
      </c>
      <c r="C149" s="1680"/>
      <c r="D149" s="1680"/>
      <c r="E149" s="1680"/>
      <c r="F149" s="1680"/>
      <c r="G149" s="1680"/>
      <c r="H149" s="1680"/>
      <c r="I149" s="1680"/>
      <c r="J149" s="12"/>
      <c r="K149" s="12"/>
      <c r="L149" s="9"/>
      <c r="M149" s="9"/>
      <c r="N149" s="9"/>
      <c r="O149" s="9"/>
      <c r="P149" s="9"/>
      <c r="Q149" s="9"/>
      <c r="R149" s="9"/>
      <c r="S149" s="9"/>
      <c r="T149" s="9"/>
      <c r="U149" s="9"/>
      <c r="V149" s="137"/>
      <c r="W149" s="150"/>
      <c r="AE149" s="82"/>
      <c r="AH149" s="184"/>
      <c r="AI149" s="184"/>
      <c r="AJ149" s="157"/>
      <c r="AK149" s="76"/>
      <c r="AL149" s="76"/>
      <c r="AM149" s="76"/>
      <c r="AN149" s="76"/>
      <c r="AO149" s="76"/>
      <c r="AP149" s="76"/>
      <c r="AR149" s="76"/>
    </row>
    <row r="150" spans="1:44" ht="11.25" customHeight="1" x14ac:dyDescent="0.2">
      <c r="A150" s="142"/>
      <c r="B150" s="1680"/>
      <c r="C150" s="1680"/>
      <c r="D150" s="1680"/>
      <c r="E150" s="1680"/>
      <c r="F150" s="1680"/>
      <c r="G150" s="1680"/>
      <c r="H150" s="1680"/>
      <c r="I150" s="1680"/>
      <c r="J150" s="12"/>
      <c r="K150" s="12"/>
      <c r="L150" s="9"/>
      <c r="M150" s="9"/>
      <c r="N150" s="9"/>
      <c r="O150" s="9"/>
      <c r="P150" s="9"/>
      <c r="Q150" s="9"/>
      <c r="R150" s="9"/>
      <c r="S150" s="9"/>
      <c r="T150" s="9"/>
      <c r="U150" s="9"/>
      <c r="V150" s="137"/>
      <c r="W150" s="150"/>
      <c r="AE150" s="82"/>
      <c r="AH150" s="184"/>
      <c r="AI150" s="184"/>
      <c r="AJ150" s="157"/>
    </row>
    <row r="151" spans="1:44" ht="11.25" customHeight="1" x14ac:dyDescent="0.2">
      <c r="A151" s="142"/>
      <c r="B151" s="1680" t="s">
        <v>17</v>
      </c>
      <c r="C151" s="1680"/>
      <c r="D151" s="1680"/>
      <c r="E151" s="1680"/>
      <c r="F151" s="1680"/>
      <c r="G151" s="1680"/>
      <c r="H151" s="1680"/>
      <c r="I151" s="1680"/>
      <c r="J151" s="12"/>
      <c r="K151" s="12"/>
      <c r="L151" s="9"/>
      <c r="M151" s="9"/>
      <c r="N151" s="9"/>
      <c r="O151" s="9"/>
      <c r="P151" s="9"/>
      <c r="Q151" s="9"/>
      <c r="R151" s="9"/>
      <c r="S151" s="9"/>
      <c r="T151" s="9"/>
      <c r="U151" s="9"/>
      <c r="V151" s="137"/>
      <c r="W151" s="150"/>
      <c r="AE151" s="82"/>
      <c r="AH151" s="184"/>
      <c r="AI151" s="184"/>
      <c r="AJ151" s="157"/>
    </row>
    <row r="152" spans="1:44" ht="11.25" customHeight="1" x14ac:dyDescent="0.2">
      <c r="A152" s="142"/>
      <c r="B152" s="1680"/>
      <c r="C152" s="1680"/>
      <c r="D152" s="1680"/>
      <c r="E152" s="1680"/>
      <c r="F152" s="1680"/>
      <c r="G152" s="1680"/>
      <c r="H152" s="1680"/>
      <c r="I152" s="1680"/>
      <c r="J152" s="12"/>
      <c r="K152" s="12"/>
      <c r="L152" s="9"/>
      <c r="M152" s="9"/>
      <c r="N152" s="9"/>
      <c r="O152" s="9"/>
      <c r="P152" s="9"/>
      <c r="Q152" s="9"/>
      <c r="R152" s="9"/>
      <c r="S152" s="9"/>
      <c r="T152" s="9"/>
      <c r="U152" s="9"/>
      <c r="V152" s="137"/>
      <c r="W152" s="150"/>
      <c r="AE152" s="82"/>
      <c r="AH152" s="184"/>
      <c r="AI152" s="184"/>
      <c r="AJ152" s="157"/>
    </row>
    <row r="153" spans="1:44" ht="11.25" customHeight="1" x14ac:dyDescent="0.2">
      <c r="A153" s="142"/>
      <c r="B153" s="1680" t="s">
        <v>658</v>
      </c>
      <c r="C153" s="1680"/>
      <c r="D153" s="1680"/>
      <c r="E153" s="1680"/>
      <c r="F153" s="1680"/>
      <c r="G153" s="1680"/>
      <c r="H153" s="1680"/>
      <c r="I153" s="1680"/>
      <c r="J153" s="12"/>
      <c r="K153" s="12"/>
      <c r="L153" s="9"/>
      <c r="M153" s="9"/>
      <c r="N153" s="9"/>
      <c r="O153" s="9"/>
      <c r="P153" s="9"/>
      <c r="Q153" s="9"/>
      <c r="R153" s="9"/>
      <c r="S153" s="9"/>
      <c r="T153" s="9"/>
      <c r="U153" s="9"/>
      <c r="V153" s="137"/>
      <c r="W153" s="150"/>
      <c r="AE153" s="82"/>
      <c r="AH153" s="184"/>
      <c r="AI153" s="184"/>
      <c r="AJ153" s="157"/>
    </row>
    <row r="154" spans="1:44" ht="11.25" customHeight="1" x14ac:dyDescent="0.2">
      <c r="A154" s="142"/>
      <c r="B154" s="1680"/>
      <c r="C154" s="1680"/>
      <c r="D154" s="1680"/>
      <c r="E154" s="1680"/>
      <c r="F154" s="1680"/>
      <c r="G154" s="1680"/>
      <c r="H154" s="1680"/>
      <c r="I154" s="1680"/>
      <c r="J154" s="12"/>
      <c r="K154" s="12"/>
      <c r="L154" s="9"/>
      <c r="M154" s="9"/>
      <c r="N154" s="9"/>
      <c r="O154" s="9"/>
      <c r="P154" s="9"/>
      <c r="Q154" s="9"/>
      <c r="R154" s="9"/>
      <c r="S154" s="9"/>
      <c r="T154" s="9"/>
      <c r="U154" s="9"/>
      <c r="V154" s="137"/>
      <c r="W154" s="150"/>
      <c r="AE154" s="82"/>
      <c r="AH154" s="184"/>
      <c r="AI154" s="184"/>
      <c r="AJ154" s="157"/>
    </row>
    <row r="155" spans="1:44" ht="11.25" customHeight="1" x14ac:dyDescent="0.2">
      <c r="A155" s="142"/>
      <c r="B155" s="1680" t="s">
        <v>191</v>
      </c>
      <c r="C155" s="1680"/>
      <c r="D155" s="1680"/>
      <c r="E155" s="1680"/>
      <c r="F155" s="1680"/>
      <c r="G155" s="1680"/>
      <c r="H155" s="1680"/>
      <c r="I155" s="1680"/>
      <c r="J155" s="12"/>
      <c r="K155" s="12"/>
      <c r="L155" s="9"/>
      <c r="M155" s="9"/>
      <c r="N155" s="9"/>
      <c r="O155" s="9"/>
      <c r="P155" s="9"/>
      <c r="Q155" s="9"/>
      <c r="R155" s="9"/>
      <c r="S155" s="9"/>
      <c r="T155" s="9"/>
      <c r="U155" s="9"/>
      <c r="V155" s="137"/>
      <c r="W155" s="150"/>
      <c r="AE155" s="82"/>
      <c r="AH155" s="184"/>
      <c r="AI155" s="184"/>
      <c r="AJ155" s="157"/>
    </row>
    <row r="156" spans="1:44" ht="11.25" customHeight="1" x14ac:dyDescent="0.2">
      <c r="A156" s="142"/>
      <c r="B156" s="1680"/>
      <c r="C156" s="1680"/>
      <c r="D156" s="1680"/>
      <c r="E156" s="1680"/>
      <c r="F156" s="1680"/>
      <c r="G156" s="1680"/>
      <c r="H156" s="1680"/>
      <c r="I156" s="1680"/>
      <c r="J156" s="12"/>
      <c r="K156" s="12"/>
      <c r="L156" s="9"/>
      <c r="M156" s="9"/>
      <c r="N156" s="9"/>
      <c r="O156" s="9"/>
      <c r="P156" s="9"/>
      <c r="Q156" s="9"/>
      <c r="R156" s="9"/>
      <c r="S156" s="9"/>
      <c r="T156" s="9"/>
      <c r="U156" s="9"/>
      <c r="V156" s="137"/>
      <c r="W156" s="150"/>
      <c r="AE156" s="82"/>
      <c r="AH156" s="184"/>
      <c r="AI156" s="184"/>
      <c r="AJ156" s="157"/>
    </row>
    <row r="157" spans="1:44" ht="11.25" customHeight="1" x14ac:dyDescent="0.2">
      <c r="A157" s="142"/>
      <c r="B157" s="1680" t="s">
        <v>197</v>
      </c>
      <c r="C157" s="1680"/>
      <c r="D157" s="1680"/>
      <c r="E157" s="1680"/>
      <c r="F157" s="1680"/>
      <c r="G157" s="1680"/>
      <c r="H157" s="1680"/>
      <c r="I157" s="1680"/>
      <c r="J157" s="12"/>
      <c r="K157" s="12"/>
      <c r="L157" s="9"/>
      <c r="M157" s="9"/>
      <c r="N157" s="9"/>
      <c r="O157" s="9"/>
      <c r="P157" s="9"/>
      <c r="Q157" s="9"/>
      <c r="R157" s="9"/>
      <c r="S157" s="9"/>
      <c r="T157" s="9"/>
      <c r="U157" s="9"/>
      <c r="V157" s="137"/>
      <c r="W157" s="150"/>
      <c r="AE157" s="82"/>
      <c r="AH157" s="184"/>
      <c r="AI157" s="184"/>
      <c r="AJ157" s="157"/>
    </row>
    <row r="158" spans="1:44" ht="11.25" customHeight="1" x14ac:dyDescent="0.2">
      <c r="A158" s="142"/>
      <c r="B158" s="1680"/>
      <c r="C158" s="1680"/>
      <c r="D158" s="1680"/>
      <c r="E158" s="1680"/>
      <c r="F158" s="1680"/>
      <c r="G158" s="1680"/>
      <c r="H158" s="1680"/>
      <c r="I158" s="1680"/>
      <c r="J158" s="12"/>
      <c r="K158" s="12"/>
      <c r="L158" s="9"/>
      <c r="M158" s="9"/>
      <c r="N158" s="9"/>
      <c r="O158" s="9"/>
      <c r="P158" s="9"/>
      <c r="Q158" s="9"/>
      <c r="R158" s="9"/>
      <c r="S158" s="9"/>
      <c r="T158" s="9"/>
      <c r="U158" s="9"/>
      <c r="V158" s="137"/>
      <c r="W158" s="150"/>
      <c r="AE158" s="82"/>
      <c r="AH158" s="184"/>
      <c r="AI158" s="184"/>
      <c r="AJ158" s="157"/>
    </row>
    <row r="159" spans="1:44" ht="11.25" customHeight="1" x14ac:dyDescent="0.2">
      <c r="A159" s="142"/>
      <c r="B159" s="1680" t="s">
        <v>198</v>
      </c>
      <c r="C159" s="1680"/>
      <c r="D159" s="1680"/>
      <c r="E159" s="1680"/>
      <c r="F159" s="1680"/>
      <c r="G159" s="1680"/>
      <c r="H159" s="1680"/>
      <c r="I159" s="1680"/>
      <c r="J159" s="12"/>
      <c r="K159" s="12"/>
      <c r="L159" s="9"/>
      <c r="M159" s="9"/>
      <c r="N159" s="9"/>
      <c r="O159" s="9"/>
      <c r="P159" s="9"/>
      <c r="Q159" s="9"/>
      <c r="R159" s="9"/>
      <c r="S159" s="9"/>
      <c r="T159" s="9"/>
      <c r="U159" s="9"/>
      <c r="V159" s="137"/>
      <c r="W159" s="150"/>
      <c r="AE159" s="82"/>
      <c r="AH159" s="184"/>
      <c r="AI159" s="184"/>
      <c r="AJ159" s="157"/>
    </row>
    <row r="160" spans="1:44" ht="11.25" customHeight="1" x14ac:dyDescent="0.2">
      <c r="A160" s="142"/>
      <c r="B160" s="1680"/>
      <c r="C160" s="1680"/>
      <c r="D160" s="1680"/>
      <c r="E160" s="1680"/>
      <c r="F160" s="1680"/>
      <c r="G160" s="1680"/>
      <c r="H160" s="1680"/>
      <c r="I160" s="1680"/>
      <c r="J160" s="12"/>
      <c r="K160" s="12"/>
      <c r="L160" s="9"/>
      <c r="M160" s="9"/>
      <c r="N160" s="9"/>
      <c r="O160" s="9"/>
      <c r="P160" s="9"/>
      <c r="Q160" s="9"/>
      <c r="R160" s="9"/>
      <c r="S160" s="9"/>
      <c r="T160" s="9"/>
      <c r="U160" s="9"/>
      <c r="V160" s="137"/>
      <c r="W160" s="150"/>
      <c r="AE160" s="82"/>
      <c r="AH160" s="184"/>
      <c r="AI160" s="184"/>
      <c r="AJ160" s="157"/>
    </row>
    <row r="161" spans="1:36" ht="11.25" customHeight="1" x14ac:dyDescent="0.2">
      <c r="A161" s="142"/>
      <c r="B161" s="1680" t="s">
        <v>80</v>
      </c>
      <c r="C161" s="1680"/>
      <c r="D161" s="1680"/>
      <c r="E161" s="1680"/>
      <c r="F161" s="1680"/>
      <c r="G161" s="1680"/>
      <c r="H161" s="1680"/>
      <c r="I161" s="1680"/>
      <c r="J161" s="12"/>
      <c r="K161" s="12"/>
      <c r="L161" s="9"/>
      <c r="M161" s="9"/>
      <c r="N161" s="9"/>
      <c r="O161" s="9"/>
      <c r="P161" s="9"/>
      <c r="Q161" s="9"/>
      <c r="R161" s="9"/>
      <c r="S161" s="9"/>
      <c r="T161" s="9"/>
      <c r="U161" s="9"/>
      <c r="V161" s="137"/>
      <c r="W161" s="150"/>
      <c r="AE161" s="82"/>
      <c r="AH161" s="184"/>
      <c r="AI161" s="184"/>
      <c r="AJ161" s="157"/>
    </row>
    <row r="162" spans="1:36" ht="11.25" customHeight="1" x14ac:dyDescent="0.2">
      <c r="A162" s="142"/>
      <c r="B162" s="1680"/>
      <c r="C162" s="1680"/>
      <c r="D162" s="1680"/>
      <c r="E162" s="1680"/>
      <c r="F162" s="1680"/>
      <c r="G162" s="1680"/>
      <c r="H162" s="1680"/>
      <c r="I162" s="1680"/>
      <c r="J162" s="12"/>
      <c r="K162" s="12"/>
      <c r="L162" s="9"/>
      <c r="M162" s="9"/>
      <c r="N162" s="9"/>
      <c r="O162" s="9"/>
      <c r="P162" s="9"/>
      <c r="Q162" s="9"/>
      <c r="R162" s="9"/>
      <c r="S162" s="9"/>
      <c r="T162" s="9"/>
      <c r="U162" s="9"/>
      <c r="V162" s="137"/>
      <c r="W162" s="150"/>
      <c r="AE162" s="82"/>
      <c r="AH162" s="184"/>
      <c r="AI162" s="184"/>
      <c r="AJ162" s="157"/>
    </row>
    <row r="163" spans="1:36" ht="11.25" customHeight="1" x14ac:dyDescent="0.2">
      <c r="A163" s="142"/>
      <c r="B163" s="1680" t="s">
        <v>69</v>
      </c>
      <c r="C163" s="1680"/>
      <c r="D163" s="1680"/>
      <c r="E163" s="1680"/>
      <c r="F163" s="1680"/>
      <c r="G163" s="1680"/>
      <c r="H163" s="1680"/>
      <c r="I163" s="1680"/>
      <c r="J163" s="12"/>
      <c r="K163" s="12"/>
      <c r="L163" s="9"/>
      <c r="M163" s="9"/>
      <c r="N163" s="9"/>
      <c r="O163" s="9"/>
      <c r="P163" s="9"/>
      <c r="Q163" s="9"/>
      <c r="R163" s="9"/>
      <c r="S163" s="9"/>
      <c r="T163" s="9"/>
      <c r="U163" s="9"/>
      <c r="V163" s="137"/>
      <c r="W163" s="150"/>
      <c r="AE163" s="82"/>
      <c r="AH163" s="184"/>
      <c r="AI163" s="184"/>
      <c r="AJ163" s="157"/>
    </row>
    <row r="164" spans="1:36" ht="11.25" customHeight="1" x14ac:dyDescent="0.2">
      <c r="A164" s="142"/>
      <c r="B164" s="1680"/>
      <c r="C164" s="1680"/>
      <c r="D164" s="1680"/>
      <c r="E164" s="1680"/>
      <c r="F164" s="1680"/>
      <c r="G164" s="1680"/>
      <c r="H164" s="1680"/>
      <c r="I164" s="1680"/>
      <c r="J164" s="12"/>
      <c r="K164" s="12"/>
      <c r="L164" s="9"/>
      <c r="M164" s="9"/>
      <c r="N164" s="9"/>
      <c r="O164" s="9"/>
      <c r="P164" s="9"/>
      <c r="Q164" s="9"/>
      <c r="R164" s="9"/>
      <c r="S164" s="9"/>
      <c r="T164" s="9"/>
      <c r="U164" s="9"/>
      <c r="V164" s="137"/>
      <c r="W164" s="150"/>
      <c r="AE164" s="82"/>
      <c r="AH164" s="184"/>
      <c r="AI164" s="184"/>
      <c r="AJ164" s="157"/>
    </row>
    <row r="165" spans="1:36" ht="11.25" customHeight="1" x14ac:dyDescent="0.2">
      <c r="A165" s="142"/>
      <c r="B165" s="1680" t="s">
        <v>24</v>
      </c>
      <c r="C165" s="1680"/>
      <c r="D165" s="1680"/>
      <c r="E165" s="1680"/>
      <c r="F165" s="1680"/>
      <c r="G165" s="1680"/>
      <c r="H165" s="1680"/>
      <c r="I165" s="1680"/>
      <c r="J165" s="12"/>
      <c r="K165" s="12"/>
      <c r="L165" s="9"/>
      <c r="M165" s="9"/>
      <c r="N165" s="9"/>
      <c r="O165" s="9"/>
      <c r="P165" s="9"/>
      <c r="Q165" s="9"/>
      <c r="R165" s="9"/>
      <c r="S165" s="9"/>
      <c r="T165" s="9"/>
      <c r="U165" s="9"/>
      <c r="V165" s="137"/>
      <c r="W165" s="150"/>
      <c r="AE165" s="82"/>
      <c r="AH165" s="184"/>
      <c r="AI165" s="184"/>
      <c r="AJ165" s="157"/>
    </row>
    <row r="166" spans="1:36" ht="11.25" customHeight="1" x14ac:dyDescent="0.2">
      <c r="A166" s="142"/>
      <c r="B166" s="1680"/>
      <c r="C166" s="1680"/>
      <c r="D166" s="1680"/>
      <c r="E166" s="1680"/>
      <c r="F166" s="1680"/>
      <c r="G166" s="1680"/>
      <c r="H166" s="1680"/>
      <c r="I166" s="1680"/>
      <c r="J166" s="12"/>
      <c r="K166" s="12"/>
      <c r="L166" s="9"/>
      <c r="M166" s="9"/>
      <c r="N166" s="9"/>
      <c r="O166" s="9"/>
      <c r="P166" s="9"/>
      <c r="Q166" s="9"/>
      <c r="R166" s="9"/>
      <c r="S166" s="9"/>
      <c r="T166" s="9"/>
      <c r="U166" s="9"/>
      <c r="V166" s="137"/>
      <c r="W166" s="150"/>
      <c r="AE166" s="82"/>
      <c r="AH166" s="184"/>
      <c r="AI166" s="184"/>
      <c r="AJ166" s="157"/>
    </row>
    <row r="167" spans="1:36" ht="11.25" customHeight="1" x14ac:dyDescent="0.2">
      <c r="A167" s="142"/>
      <c r="B167" s="1680" t="s">
        <v>22</v>
      </c>
      <c r="C167" s="1680"/>
      <c r="D167" s="1680"/>
      <c r="E167" s="1680"/>
      <c r="F167" s="1680"/>
      <c r="G167" s="1680"/>
      <c r="H167" s="1680"/>
      <c r="I167" s="1680"/>
      <c r="J167" s="12"/>
      <c r="K167" s="12"/>
      <c r="L167" s="9"/>
      <c r="M167" s="9"/>
      <c r="N167" s="9"/>
      <c r="O167" s="9"/>
      <c r="P167" s="9"/>
      <c r="Q167" s="9"/>
      <c r="R167" s="9"/>
      <c r="S167" s="9"/>
      <c r="T167" s="9"/>
      <c r="U167" s="9"/>
      <c r="V167" s="137"/>
      <c r="W167" s="150"/>
      <c r="AE167" s="82"/>
      <c r="AH167" s="184"/>
      <c r="AI167" s="184"/>
      <c r="AJ167" s="157"/>
    </row>
    <row r="168" spans="1:36" ht="11.25" customHeight="1" x14ac:dyDescent="0.2">
      <c r="A168" s="142"/>
      <c r="B168" s="1680"/>
      <c r="C168" s="1680"/>
      <c r="D168" s="1680"/>
      <c r="E168" s="1680"/>
      <c r="F168" s="1680"/>
      <c r="G168" s="1680"/>
      <c r="H168" s="1680"/>
      <c r="I168" s="1680"/>
      <c r="J168" s="12"/>
      <c r="K168" s="12"/>
      <c r="L168" s="9"/>
      <c r="M168" s="9"/>
      <c r="N168" s="9"/>
      <c r="O168" s="9"/>
      <c r="P168" s="9"/>
      <c r="Q168" s="9"/>
      <c r="R168" s="9"/>
      <c r="S168" s="9"/>
      <c r="T168" s="9"/>
      <c r="U168" s="9"/>
      <c r="V168" s="137"/>
      <c r="W168" s="150"/>
      <c r="AE168" s="82"/>
      <c r="AH168" s="184"/>
      <c r="AI168" s="184"/>
      <c r="AJ168" s="157"/>
    </row>
    <row r="169" spans="1:36" ht="11.25" customHeight="1" x14ac:dyDescent="0.2">
      <c r="A169" s="142"/>
      <c r="B169" s="1680" t="s">
        <v>25</v>
      </c>
      <c r="C169" s="1680"/>
      <c r="D169" s="1680"/>
      <c r="E169" s="1680"/>
      <c r="F169" s="1680"/>
      <c r="G169" s="1680"/>
      <c r="H169" s="1680"/>
      <c r="I169" s="1680"/>
      <c r="J169" s="12"/>
      <c r="K169" s="12"/>
      <c r="L169" s="9"/>
      <c r="M169" s="9"/>
      <c r="N169" s="9"/>
      <c r="O169" s="9"/>
      <c r="P169" s="9"/>
      <c r="Q169" s="9"/>
      <c r="R169" s="9"/>
      <c r="S169" s="9"/>
      <c r="T169" s="9"/>
      <c r="U169" s="9"/>
      <c r="V169" s="137"/>
      <c r="W169" s="150"/>
      <c r="AE169" s="82"/>
      <c r="AH169" s="184"/>
      <c r="AI169" s="184"/>
      <c r="AJ169" s="157"/>
    </row>
    <row r="170" spans="1:36" ht="11.25" customHeight="1" x14ac:dyDescent="0.2">
      <c r="A170" s="142"/>
      <c r="B170" s="1680"/>
      <c r="C170" s="1680"/>
      <c r="D170" s="1680"/>
      <c r="E170" s="1680"/>
      <c r="F170" s="1680"/>
      <c r="G170" s="1680"/>
      <c r="H170" s="1680"/>
      <c r="I170" s="1680"/>
      <c r="J170" s="12"/>
      <c r="K170" s="12"/>
      <c r="L170" s="9"/>
      <c r="M170" s="9"/>
      <c r="N170" s="9"/>
      <c r="O170" s="9"/>
      <c r="P170" s="9"/>
      <c r="Q170" s="9"/>
      <c r="R170" s="9"/>
      <c r="S170" s="9"/>
      <c r="T170" s="9"/>
      <c r="U170" s="9"/>
      <c r="V170" s="137"/>
      <c r="W170" s="150"/>
      <c r="AE170" s="82"/>
      <c r="AH170" s="184"/>
      <c r="AI170" s="184"/>
      <c r="AJ170" s="157"/>
    </row>
    <row r="171" spans="1:36" ht="11.25" customHeight="1" x14ac:dyDescent="0.2">
      <c r="A171" s="142"/>
      <c r="B171" s="1680" t="s">
        <v>18</v>
      </c>
      <c r="C171" s="1680"/>
      <c r="D171" s="1680"/>
      <c r="E171" s="1680"/>
      <c r="F171" s="1680"/>
      <c r="G171" s="1680"/>
      <c r="H171" s="1680"/>
      <c r="I171" s="1680"/>
      <c r="J171" s="12"/>
      <c r="K171" s="12"/>
      <c r="L171" s="9"/>
      <c r="M171" s="9"/>
      <c r="N171" s="9"/>
      <c r="O171" s="9"/>
      <c r="P171" s="9"/>
      <c r="Q171" s="9"/>
      <c r="R171" s="9"/>
      <c r="S171" s="9"/>
      <c r="T171" s="9"/>
      <c r="U171" s="9"/>
      <c r="V171" s="137"/>
      <c r="W171" s="150"/>
      <c r="AE171" s="82"/>
      <c r="AH171" s="184"/>
      <c r="AI171" s="184"/>
      <c r="AJ171" s="157"/>
    </row>
    <row r="172" spans="1:36" ht="11.25" customHeight="1" x14ac:dyDescent="0.2">
      <c r="A172" s="142"/>
      <c r="B172" s="1680"/>
      <c r="C172" s="1680"/>
      <c r="D172" s="1680"/>
      <c r="E172" s="1680"/>
      <c r="F172" s="1680"/>
      <c r="G172" s="1680"/>
      <c r="H172" s="1680"/>
      <c r="I172" s="1680"/>
      <c r="J172" s="12"/>
      <c r="K172" s="12"/>
      <c r="L172" s="9"/>
      <c r="M172" s="9"/>
      <c r="N172" s="9"/>
      <c r="O172" s="9"/>
      <c r="P172" s="9"/>
      <c r="Q172" s="9"/>
      <c r="R172" s="9"/>
      <c r="S172" s="9"/>
      <c r="T172" s="9"/>
      <c r="U172" s="9"/>
      <c r="V172" s="137"/>
      <c r="W172" s="150"/>
      <c r="AE172" s="82"/>
      <c r="AH172" s="184"/>
      <c r="AI172" s="184"/>
      <c r="AJ172" s="157"/>
    </row>
    <row r="173" spans="1:36" ht="11.25" customHeight="1" x14ac:dyDescent="0.2">
      <c r="A173" s="142"/>
      <c r="B173" s="1680" t="s">
        <v>19</v>
      </c>
      <c r="C173" s="1680"/>
      <c r="D173" s="1680"/>
      <c r="E173" s="1680"/>
      <c r="F173" s="1680"/>
      <c r="G173" s="1680"/>
      <c r="H173" s="1680"/>
      <c r="I173" s="1680"/>
      <c r="J173" s="12"/>
      <c r="K173" s="12"/>
      <c r="L173" s="9"/>
      <c r="M173" s="9"/>
      <c r="N173" s="9"/>
      <c r="O173" s="9"/>
      <c r="P173" s="9"/>
      <c r="Q173" s="9"/>
      <c r="R173" s="9"/>
      <c r="S173" s="9"/>
      <c r="T173" s="9"/>
      <c r="U173" s="9"/>
      <c r="V173" s="137"/>
      <c r="W173" s="150"/>
      <c r="AE173" s="82"/>
      <c r="AH173" s="184"/>
      <c r="AI173" s="184"/>
      <c r="AJ173" s="157"/>
    </row>
    <row r="174" spans="1:36" ht="11.25" customHeight="1" x14ac:dyDescent="0.2">
      <c r="A174" s="142"/>
      <c r="B174" s="1680"/>
      <c r="C174" s="1680"/>
      <c r="D174" s="1680"/>
      <c r="E174" s="1680"/>
      <c r="F174" s="1680"/>
      <c r="G174" s="1680"/>
      <c r="H174" s="1680"/>
      <c r="I174" s="1680"/>
      <c r="J174" s="12"/>
      <c r="K174" s="12"/>
      <c r="L174" s="9"/>
      <c r="M174" s="9"/>
      <c r="N174" s="9"/>
      <c r="O174" s="9"/>
      <c r="P174" s="9"/>
      <c r="Q174" s="9"/>
      <c r="R174" s="9"/>
      <c r="S174" s="9"/>
      <c r="T174" s="9"/>
      <c r="U174" s="9"/>
      <c r="V174" s="137"/>
      <c r="W174" s="150"/>
      <c r="AE174" s="82"/>
      <c r="AH174" s="184"/>
      <c r="AI174" s="184"/>
      <c r="AJ174" s="157"/>
    </row>
    <row r="175" spans="1:36" ht="11.25" customHeight="1" x14ac:dyDescent="0.2">
      <c r="A175" s="142"/>
      <c r="B175" s="1680" t="s">
        <v>20</v>
      </c>
      <c r="C175" s="1680"/>
      <c r="D175" s="1680"/>
      <c r="E175" s="1680"/>
      <c r="F175" s="1680"/>
      <c r="G175" s="1680"/>
      <c r="H175" s="1680"/>
      <c r="I175" s="1680"/>
      <c r="J175" s="12"/>
      <c r="K175" s="12"/>
      <c r="L175" s="9"/>
      <c r="M175" s="9"/>
      <c r="N175" s="9"/>
      <c r="O175" s="9"/>
      <c r="P175" s="9"/>
      <c r="Q175" s="9"/>
      <c r="R175" s="9"/>
      <c r="S175" s="9"/>
      <c r="T175" s="9"/>
      <c r="U175" s="9"/>
      <c r="V175" s="137"/>
      <c r="W175" s="150"/>
      <c r="AE175" s="82"/>
      <c r="AH175" s="184"/>
      <c r="AI175" s="184"/>
      <c r="AJ175" s="157"/>
    </row>
    <row r="176" spans="1:36" ht="11.25" customHeight="1" x14ac:dyDescent="0.2">
      <c r="A176" s="142"/>
      <c r="B176" s="1680"/>
      <c r="C176" s="1680"/>
      <c r="D176" s="1680"/>
      <c r="E176" s="1680"/>
      <c r="F176" s="1680"/>
      <c r="G176" s="1680"/>
      <c r="H176" s="1680"/>
      <c r="I176" s="1680"/>
      <c r="J176" s="12"/>
      <c r="K176" s="12"/>
      <c r="L176" s="9"/>
      <c r="M176" s="9"/>
      <c r="N176" s="9"/>
      <c r="O176" s="9"/>
      <c r="P176" s="9"/>
      <c r="Q176" s="9"/>
      <c r="R176" s="9"/>
      <c r="S176" s="9"/>
      <c r="T176" s="9"/>
      <c r="U176" s="9"/>
      <c r="V176" s="137"/>
      <c r="W176" s="150"/>
      <c r="AE176" s="82"/>
      <c r="AH176" s="184"/>
      <c r="AI176" s="184"/>
      <c r="AJ176" s="157"/>
    </row>
    <row r="177" spans="1:36" ht="11.25" customHeight="1" x14ac:dyDescent="0.2">
      <c r="A177" s="142"/>
      <c r="B177" s="1680" t="s">
        <v>26</v>
      </c>
      <c r="C177" s="1680"/>
      <c r="D177" s="1680"/>
      <c r="E177" s="1680"/>
      <c r="F177" s="1680"/>
      <c r="G177" s="1680"/>
      <c r="H177" s="1680"/>
      <c r="I177" s="1680"/>
      <c r="J177" s="12"/>
      <c r="K177" s="12"/>
      <c r="L177" s="9"/>
      <c r="M177" s="9"/>
      <c r="N177" s="9"/>
      <c r="O177" s="9"/>
      <c r="P177" s="9"/>
      <c r="Q177" s="9"/>
      <c r="R177" s="9"/>
      <c r="S177" s="9"/>
      <c r="T177" s="9"/>
      <c r="U177" s="9"/>
      <c r="V177" s="137"/>
      <c r="W177" s="150"/>
      <c r="AE177" s="82"/>
      <c r="AH177" s="184"/>
      <c r="AI177" s="184"/>
      <c r="AJ177" s="157"/>
    </row>
    <row r="178" spans="1:36" ht="11.25" customHeight="1" x14ac:dyDescent="0.2">
      <c r="A178" s="142"/>
      <c r="B178" s="1680"/>
      <c r="C178" s="1680"/>
      <c r="D178" s="1680"/>
      <c r="E178" s="1680"/>
      <c r="F178" s="1680"/>
      <c r="G178" s="1680"/>
      <c r="H178" s="1680"/>
      <c r="I178" s="1680"/>
      <c r="J178" s="12"/>
      <c r="K178" s="12"/>
      <c r="L178" s="9"/>
      <c r="M178" s="9"/>
      <c r="N178" s="9"/>
      <c r="O178" s="9"/>
      <c r="P178" s="9"/>
      <c r="Q178" s="9"/>
      <c r="R178" s="9"/>
      <c r="S178" s="9"/>
      <c r="T178" s="9"/>
      <c r="U178" s="9"/>
      <c r="V178" s="137"/>
      <c r="W178" s="150"/>
      <c r="AE178" s="82"/>
      <c r="AH178" s="184"/>
      <c r="AI178" s="184"/>
      <c r="AJ178" s="157"/>
    </row>
    <row r="179" spans="1:36" ht="11.25" customHeight="1" x14ac:dyDescent="0.2">
      <c r="A179" s="142"/>
      <c r="B179" s="1680" t="s">
        <v>21</v>
      </c>
      <c r="C179" s="1680"/>
      <c r="D179" s="1680"/>
      <c r="E179" s="1680"/>
      <c r="F179" s="1680"/>
      <c r="G179" s="1680"/>
      <c r="H179" s="1680"/>
      <c r="I179" s="1680"/>
      <c r="J179" s="12"/>
      <c r="K179" s="12"/>
      <c r="L179" s="9"/>
      <c r="M179" s="9"/>
      <c r="N179" s="9"/>
      <c r="O179" s="9"/>
      <c r="P179" s="9"/>
      <c r="Q179" s="9"/>
      <c r="R179" s="9"/>
      <c r="S179" s="9"/>
      <c r="T179" s="9"/>
      <c r="U179" s="9"/>
      <c r="V179" s="137"/>
      <c r="W179" s="150"/>
      <c r="AE179" s="82"/>
      <c r="AH179" s="184"/>
      <c r="AI179" s="184"/>
      <c r="AJ179" s="157"/>
    </row>
    <row r="180" spans="1:36" ht="11.25" customHeight="1" x14ac:dyDescent="0.2">
      <c r="A180" s="142"/>
      <c r="B180" s="1680"/>
      <c r="C180" s="1680"/>
      <c r="D180" s="1680"/>
      <c r="E180" s="1680"/>
      <c r="F180" s="1680"/>
      <c r="G180" s="1680"/>
      <c r="H180" s="1680"/>
      <c r="I180" s="1680"/>
      <c r="J180" s="12"/>
      <c r="K180" s="12"/>
      <c r="L180" s="9"/>
      <c r="M180" s="9"/>
      <c r="N180" s="9"/>
      <c r="O180" s="9"/>
      <c r="P180" s="9"/>
      <c r="Q180" s="9"/>
      <c r="R180" s="9"/>
      <c r="S180" s="9"/>
      <c r="T180" s="9"/>
      <c r="U180" s="9"/>
      <c r="V180" s="137"/>
      <c r="W180" s="150"/>
      <c r="AE180" s="82"/>
      <c r="AH180" s="184"/>
      <c r="AI180" s="184"/>
      <c r="AJ180" s="157"/>
    </row>
    <row r="181" spans="1:36" ht="18.75" customHeight="1" x14ac:dyDescent="0.2">
      <c r="A181" s="142"/>
      <c r="B181" s="1680" t="s">
        <v>905</v>
      </c>
      <c r="C181" s="1680"/>
      <c r="D181" s="1680"/>
      <c r="E181" s="1680"/>
      <c r="F181" s="1680"/>
      <c r="G181" s="1680"/>
      <c r="H181" s="1680"/>
      <c r="I181" s="1680"/>
      <c r="J181" s="12"/>
      <c r="K181" s="12"/>
      <c r="L181" s="9"/>
      <c r="M181" s="9"/>
      <c r="N181" s="9"/>
      <c r="O181" s="9"/>
      <c r="P181" s="9"/>
      <c r="Q181" s="9"/>
      <c r="R181" s="9"/>
      <c r="S181" s="9"/>
      <c r="T181" s="9"/>
      <c r="U181" s="9"/>
      <c r="V181" s="137"/>
      <c r="W181" s="150"/>
      <c r="AE181" s="82"/>
      <c r="AH181" s="184"/>
      <c r="AI181" s="184"/>
      <c r="AJ181" s="157"/>
    </row>
    <row r="182" spans="1:36" ht="11.25" customHeight="1" x14ac:dyDescent="0.2">
      <c r="A182" s="142"/>
      <c r="B182" s="1680"/>
      <c r="C182" s="1680"/>
      <c r="D182" s="1680"/>
      <c r="E182" s="1680"/>
      <c r="F182" s="1680"/>
      <c r="G182" s="1680"/>
      <c r="H182" s="1680"/>
      <c r="I182" s="1680"/>
      <c r="J182" s="12"/>
      <c r="K182" s="12"/>
      <c r="L182" s="9"/>
      <c r="M182" s="9"/>
      <c r="N182" s="9"/>
      <c r="O182" s="9"/>
      <c r="P182" s="9"/>
      <c r="Q182" s="9"/>
      <c r="R182" s="9"/>
      <c r="S182" s="9"/>
      <c r="T182" s="9"/>
      <c r="U182" s="9"/>
      <c r="V182" s="137"/>
      <c r="W182" s="150"/>
      <c r="AE182" s="82"/>
      <c r="AH182" s="184"/>
      <c r="AI182" s="184"/>
      <c r="AJ182" s="157"/>
    </row>
    <row r="183" spans="1:36" ht="11.25" customHeight="1" x14ac:dyDescent="0.2">
      <c r="A183" s="142"/>
      <c r="B183" s="1680" t="s">
        <v>666</v>
      </c>
      <c r="C183" s="1680"/>
      <c r="D183" s="1680"/>
      <c r="E183" s="1680"/>
      <c r="F183" s="1680"/>
      <c r="G183" s="1680"/>
      <c r="H183" s="1680"/>
      <c r="I183" s="1680"/>
      <c r="J183" s="12"/>
      <c r="K183" s="12"/>
      <c r="L183" s="9"/>
      <c r="M183" s="9"/>
      <c r="N183" s="9"/>
      <c r="O183" s="9"/>
      <c r="P183" s="9"/>
      <c r="Q183" s="9"/>
      <c r="R183" s="9"/>
      <c r="S183" s="9"/>
      <c r="T183" s="9"/>
      <c r="U183" s="9"/>
      <c r="V183" s="137"/>
      <c r="W183" s="150"/>
      <c r="AE183" s="82"/>
      <c r="AH183" s="184"/>
      <c r="AI183" s="184"/>
      <c r="AJ183" s="157"/>
    </row>
    <row r="184" spans="1:36" ht="11.25" customHeight="1" x14ac:dyDescent="0.2">
      <c r="A184" s="142"/>
      <c r="B184" s="1680"/>
      <c r="C184" s="1680"/>
      <c r="D184" s="1680"/>
      <c r="E184" s="1680"/>
      <c r="F184" s="1680"/>
      <c r="G184" s="1680"/>
      <c r="H184" s="1680"/>
      <c r="I184" s="1680"/>
      <c r="J184" s="12"/>
      <c r="K184" s="12"/>
      <c r="L184" s="9"/>
      <c r="M184" s="9"/>
      <c r="N184" s="9"/>
      <c r="O184" s="9"/>
      <c r="P184" s="9"/>
      <c r="Q184" s="9"/>
      <c r="R184" s="9"/>
      <c r="S184" s="9"/>
      <c r="T184" s="9"/>
      <c r="U184" s="9"/>
      <c r="V184" s="137"/>
      <c r="W184" s="150"/>
      <c r="AE184" s="82"/>
      <c r="AH184" s="184"/>
      <c r="AI184" s="184"/>
      <c r="AJ184" s="157"/>
    </row>
    <row r="185" spans="1:36" ht="11.25" customHeight="1" x14ac:dyDescent="0.2">
      <c r="A185" s="142"/>
      <c r="B185" s="1680" t="s">
        <v>32</v>
      </c>
      <c r="C185" s="1680"/>
      <c r="D185" s="1680"/>
      <c r="E185" s="1680"/>
      <c r="F185" s="1680"/>
      <c r="G185" s="1680"/>
      <c r="H185" s="1680"/>
      <c r="I185" s="1680"/>
      <c r="J185" s="12"/>
      <c r="K185" s="12"/>
      <c r="L185" s="9"/>
      <c r="M185" s="9"/>
      <c r="N185" s="9"/>
      <c r="O185" s="9"/>
      <c r="P185" s="9"/>
      <c r="Q185" s="9"/>
      <c r="R185" s="9"/>
      <c r="S185" s="9"/>
      <c r="T185" s="9"/>
      <c r="U185" s="9"/>
      <c r="V185" s="137"/>
      <c r="W185" s="150"/>
      <c r="AE185" s="82"/>
      <c r="AH185" s="184"/>
      <c r="AI185" s="184"/>
      <c r="AJ185" s="157"/>
    </row>
    <row r="186" spans="1:36" ht="11.25" customHeight="1" x14ac:dyDescent="0.2">
      <c r="A186" s="142"/>
      <c r="B186" s="1680"/>
      <c r="C186" s="1680"/>
      <c r="D186" s="1680"/>
      <c r="E186" s="1680"/>
      <c r="F186" s="1680"/>
      <c r="G186" s="1680"/>
      <c r="H186" s="1680"/>
      <c r="I186" s="1680"/>
      <c r="J186" s="12"/>
      <c r="K186" s="12"/>
      <c r="L186" s="9"/>
      <c r="M186" s="9"/>
      <c r="N186" s="9"/>
      <c r="O186" s="9"/>
      <c r="P186" s="9"/>
      <c r="Q186" s="9"/>
      <c r="R186" s="9"/>
      <c r="S186" s="9"/>
      <c r="T186" s="9"/>
      <c r="U186" s="9"/>
      <c r="V186" s="137"/>
      <c r="W186" s="150"/>
      <c r="AE186" s="82"/>
      <c r="AH186" s="184"/>
      <c r="AI186" s="184"/>
      <c r="AJ186" s="157"/>
    </row>
    <row r="187" spans="1:36" ht="11.25" customHeight="1" x14ac:dyDescent="0.2">
      <c r="A187" s="142"/>
      <c r="B187" s="1680" t="s">
        <v>642</v>
      </c>
      <c r="C187" s="1680"/>
      <c r="D187" s="1680"/>
      <c r="E187" s="1680"/>
      <c r="F187" s="1680"/>
      <c r="G187" s="1680"/>
      <c r="H187" s="1680"/>
      <c r="I187" s="1680"/>
      <c r="J187" s="12"/>
      <c r="K187" s="12"/>
      <c r="L187" s="9"/>
      <c r="M187" s="9"/>
      <c r="N187" s="9"/>
      <c r="O187" s="9"/>
      <c r="P187" s="9"/>
      <c r="Q187" s="9"/>
      <c r="R187" s="9"/>
      <c r="S187" s="9"/>
      <c r="T187" s="9"/>
      <c r="U187" s="9"/>
      <c r="V187" s="137"/>
      <c r="W187" s="150"/>
      <c r="AE187" s="82"/>
      <c r="AH187" s="184"/>
      <c r="AI187" s="184"/>
      <c r="AJ187" s="157"/>
    </row>
    <row r="188" spans="1:36" ht="11.25" customHeight="1" x14ac:dyDescent="0.2">
      <c r="A188" s="142"/>
      <c r="B188" s="1680"/>
      <c r="C188" s="1680"/>
      <c r="D188" s="1680"/>
      <c r="E188" s="1680"/>
      <c r="F188" s="1680"/>
      <c r="G188" s="1680"/>
      <c r="H188" s="1680"/>
      <c r="I188" s="1680"/>
      <c r="J188" s="12"/>
      <c r="K188" s="12"/>
      <c r="L188" s="9"/>
      <c r="M188" s="9"/>
      <c r="N188" s="9"/>
      <c r="O188" s="9"/>
      <c r="P188" s="9"/>
      <c r="Q188" s="9"/>
      <c r="R188" s="9"/>
      <c r="S188" s="9"/>
      <c r="T188" s="9"/>
      <c r="U188" s="9"/>
      <c r="V188" s="137"/>
      <c r="W188" s="150"/>
      <c r="AE188" s="82"/>
      <c r="AH188" s="184"/>
      <c r="AI188" s="184"/>
      <c r="AJ188" s="157"/>
    </row>
    <row r="189" spans="1:36" ht="11.25" customHeight="1" x14ac:dyDescent="0.2">
      <c r="A189" s="142"/>
      <c r="B189" s="1680" t="s">
        <v>795</v>
      </c>
      <c r="C189" s="1680"/>
      <c r="D189" s="1680"/>
      <c r="E189" s="1680"/>
      <c r="F189" s="1680"/>
      <c r="G189" s="1680"/>
      <c r="H189" s="1680"/>
      <c r="I189" s="1680"/>
      <c r="J189" s="12"/>
      <c r="K189" s="12"/>
      <c r="L189" s="9"/>
      <c r="M189" s="9"/>
      <c r="N189" s="9"/>
      <c r="O189" s="9"/>
      <c r="P189" s="9"/>
      <c r="Q189" s="9"/>
      <c r="R189" s="9"/>
      <c r="S189" s="9"/>
      <c r="T189" s="9"/>
      <c r="U189" s="9"/>
      <c r="V189" s="137"/>
      <c r="W189" s="150"/>
      <c r="AE189" s="82"/>
      <c r="AH189" s="184"/>
      <c r="AI189" s="184"/>
      <c r="AJ189" s="157"/>
    </row>
    <row r="190" spans="1:36" ht="11.25" customHeight="1" x14ac:dyDescent="0.2">
      <c r="A190" s="142"/>
      <c r="B190" s="1680"/>
      <c r="C190" s="1680"/>
      <c r="D190" s="1680"/>
      <c r="E190" s="1680"/>
      <c r="F190" s="1680"/>
      <c r="G190" s="1680"/>
      <c r="H190" s="1680"/>
      <c r="I190" s="1680"/>
      <c r="J190" s="12"/>
      <c r="K190" s="12"/>
      <c r="L190" s="9"/>
      <c r="M190" s="9"/>
      <c r="N190" s="9"/>
      <c r="O190" s="9"/>
      <c r="P190" s="9"/>
      <c r="Q190" s="9"/>
      <c r="R190" s="9"/>
      <c r="S190" s="9"/>
      <c r="T190" s="9"/>
      <c r="U190" s="9"/>
      <c r="V190" s="137"/>
      <c r="W190" s="150"/>
      <c r="AE190" s="82"/>
      <c r="AH190" s="184"/>
      <c r="AI190" s="184"/>
      <c r="AJ190" s="157"/>
    </row>
    <row r="191" spans="1:36" ht="11.25" customHeight="1" x14ac:dyDescent="0.2">
      <c r="A191" s="142"/>
      <c r="B191" s="1680" t="s">
        <v>672</v>
      </c>
      <c r="C191" s="1680"/>
      <c r="D191" s="1680"/>
      <c r="E191" s="1680"/>
      <c r="F191" s="1680"/>
      <c r="G191" s="1680"/>
      <c r="H191" s="1680"/>
      <c r="I191" s="1680"/>
      <c r="J191" s="12"/>
      <c r="K191" s="12"/>
      <c r="L191" s="9"/>
      <c r="M191" s="9"/>
      <c r="N191" s="9"/>
      <c r="O191" s="9"/>
      <c r="P191" s="9"/>
      <c r="Q191" s="9"/>
      <c r="R191" s="9"/>
      <c r="S191" s="9"/>
      <c r="T191" s="9"/>
      <c r="U191" s="9"/>
      <c r="V191" s="137"/>
      <c r="W191" s="150"/>
      <c r="AE191" s="82"/>
      <c r="AH191" s="184"/>
      <c r="AI191" s="184"/>
      <c r="AJ191" s="157"/>
    </row>
    <row r="192" spans="1:36" ht="11.25" customHeight="1" x14ac:dyDescent="0.2">
      <c r="A192" s="142"/>
      <c r="B192" s="1680"/>
      <c r="C192" s="1680"/>
      <c r="D192" s="1680"/>
      <c r="E192" s="1680"/>
      <c r="F192" s="1680"/>
      <c r="G192" s="1680"/>
      <c r="H192" s="1680"/>
      <c r="I192" s="1680"/>
      <c r="J192" s="12"/>
      <c r="K192" s="12"/>
      <c r="L192" s="9"/>
      <c r="M192" s="9"/>
      <c r="N192" s="9"/>
      <c r="O192" s="9"/>
      <c r="P192" s="9"/>
      <c r="Q192" s="9"/>
      <c r="R192" s="9"/>
      <c r="S192" s="9"/>
      <c r="T192" s="9"/>
      <c r="U192" s="9"/>
      <c r="V192" s="137"/>
      <c r="W192" s="150"/>
      <c r="AE192" s="82"/>
      <c r="AH192" s="184"/>
      <c r="AI192" s="184"/>
      <c r="AJ192" s="157"/>
    </row>
    <row r="193" spans="1:36" ht="11.25" customHeight="1" x14ac:dyDescent="0.2">
      <c r="A193" s="142"/>
      <c r="B193" s="1680" t="s">
        <v>906</v>
      </c>
      <c r="C193" s="1680"/>
      <c r="D193" s="1680"/>
      <c r="E193" s="1680"/>
      <c r="F193" s="1680"/>
      <c r="G193" s="1680"/>
      <c r="H193" s="1680"/>
      <c r="I193" s="1680"/>
      <c r="J193" s="12"/>
      <c r="K193" s="12"/>
      <c r="L193" s="9"/>
      <c r="M193" s="9"/>
      <c r="N193" s="9"/>
      <c r="O193" s="9"/>
      <c r="P193" s="9"/>
      <c r="Q193" s="9"/>
      <c r="R193" s="9"/>
      <c r="S193" s="9"/>
      <c r="T193" s="9"/>
      <c r="U193" s="9"/>
      <c r="V193" s="137"/>
      <c r="W193" s="150"/>
      <c r="AE193" s="82"/>
      <c r="AH193" s="184"/>
      <c r="AI193" s="184"/>
      <c r="AJ193" s="157"/>
    </row>
    <row r="194" spans="1:36" ht="11.25" customHeight="1" x14ac:dyDescent="0.2">
      <c r="A194" s="142"/>
      <c r="B194" s="1680"/>
      <c r="C194" s="1680"/>
      <c r="D194" s="1680"/>
      <c r="E194" s="1680"/>
      <c r="F194" s="1680"/>
      <c r="G194" s="1680"/>
      <c r="H194" s="1680"/>
      <c r="I194" s="1680"/>
      <c r="J194" s="12"/>
      <c r="K194" s="12"/>
      <c r="L194" s="9"/>
      <c r="M194" s="9"/>
      <c r="N194" s="9"/>
      <c r="O194" s="9"/>
      <c r="P194" s="9"/>
      <c r="Q194" s="9"/>
      <c r="R194" s="9"/>
      <c r="S194" s="9"/>
      <c r="T194" s="9"/>
      <c r="U194" s="9"/>
      <c r="V194" s="137"/>
      <c r="W194" s="150"/>
      <c r="AE194" s="82"/>
      <c r="AH194" s="184"/>
      <c r="AI194" s="184"/>
      <c r="AJ194" s="157"/>
    </row>
    <row r="195" spans="1:36" ht="11.25" customHeight="1" x14ac:dyDescent="0.2">
      <c r="A195" s="142"/>
      <c r="B195" s="1680" t="s">
        <v>907</v>
      </c>
      <c r="C195" s="1680"/>
      <c r="D195" s="1680"/>
      <c r="E195" s="1680"/>
      <c r="F195" s="1680"/>
      <c r="G195" s="1680"/>
      <c r="H195" s="1680"/>
      <c r="I195" s="1680"/>
      <c r="J195" s="12"/>
      <c r="K195" s="12"/>
      <c r="L195" s="9"/>
      <c r="M195" s="9"/>
      <c r="N195" s="9"/>
      <c r="O195" s="9"/>
      <c r="P195" s="9"/>
      <c r="Q195" s="9"/>
      <c r="R195" s="9"/>
      <c r="S195" s="9"/>
      <c r="T195" s="9"/>
      <c r="U195" s="9"/>
      <c r="V195" s="137"/>
      <c r="W195" s="150"/>
      <c r="AE195" s="82"/>
      <c r="AH195" s="184"/>
      <c r="AI195" s="184"/>
      <c r="AJ195" s="157"/>
    </row>
    <row r="196" spans="1:36" ht="11.25" customHeight="1" x14ac:dyDescent="0.2">
      <c r="A196" s="142"/>
      <c r="B196" s="1680"/>
      <c r="C196" s="1680"/>
      <c r="D196" s="1680"/>
      <c r="E196" s="1680"/>
      <c r="F196" s="1680"/>
      <c r="G196" s="1680"/>
      <c r="H196" s="1680"/>
      <c r="I196" s="1680"/>
      <c r="J196" s="12"/>
      <c r="K196" s="12"/>
      <c r="L196" s="9"/>
      <c r="M196" s="9"/>
      <c r="N196" s="9"/>
      <c r="O196" s="9"/>
      <c r="P196" s="9"/>
      <c r="Q196" s="9"/>
      <c r="R196" s="9"/>
      <c r="S196" s="9"/>
      <c r="T196" s="9"/>
      <c r="U196" s="9"/>
      <c r="V196" s="137"/>
      <c r="W196" s="150"/>
      <c r="AE196" s="82"/>
      <c r="AH196" s="184"/>
      <c r="AI196" s="184"/>
      <c r="AJ196" s="157"/>
    </row>
    <row r="197" spans="1:36" ht="11.25" customHeight="1" x14ac:dyDescent="0.2">
      <c r="A197" s="1273"/>
      <c r="B197" s="1274"/>
      <c r="C197" s="1275"/>
      <c r="D197" s="1275"/>
      <c r="E197" s="1275"/>
      <c r="F197" s="1275"/>
      <c r="G197" s="1275"/>
      <c r="H197" s="1275"/>
      <c r="I197" s="1275"/>
      <c r="J197" s="1276"/>
      <c r="K197" s="1276"/>
      <c r="L197" s="201"/>
      <c r="M197" s="201"/>
      <c r="N197" s="201"/>
      <c r="O197" s="201"/>
      <c r="P197" s="201"/>
      <c r="Q197" s="201"/>
      <c r="R197" s="201"/>
      <c r="S197" s="201"/>
      <c r="T197" s="201"/>
      <c r="U197" s="201"/>
      <c r="V197" s="1277"/>
      <c r="W197" s="1271"/>
      <c r="X197" s="200"/>
      <c r="Y197" s="200"/>
      <c r="Z197" s="200"/>
      <c r="AA197" s="200"/>
      <c r="AB197" s="200"/>
      <c r="AC197" s="200"/>
      <c r="AD197" s="200"/>
      <c r="AE197" s="1278"/>
      <c r="AF197" s="200"/>
      <c r="AG197" s="200"/>
      <c r="AH197" s="201"/>
      <c r="AI197" s="201"/>
      <c r="AJ197" s="251"/>
    </row>
    <row r="310" spans="37:37" ht="11.25" customHeight="1" x14ac:dyDescent="0.2">
      <c r="AK310" s="74" t="b">
        <v>1</v>
      </c>
    </row>
  </sheetData>
  <mergeCells count="55">
    <mergeCell ref="B191:I192"/>
    <mergeCell ref="B193:I194"/>
    <mergeCell ref="B195:I196"/>
    <mergeCell ref="B143:I144"/>
    <mergeCell ref="B145:I146"/>
    <mergeCell ref="B147:I148"/>
    <mergeCell ref="B149:I150"/>
    <mergeCell ref="B151:I152"/>
    <mergeCell ref="B153:I154"/>
    <mergeCell ref="B155:I156"/>
    <mergeCell ref="B157:I158"/>
    <mergeCell ref="B159:I160"/>
    <mergeCell ref="B161:I162"/>
    <mergeCell ref="B163:I164"/>
    <mergeCell ref="B165:I166"/>
    <mergeCell ref="B167:I168"/>
    <mergeCell ref="B169:I170"/>
    <mergeCell ref="B181:I182"/>
    <mergeCell ref="B183:I184"/>
    <mergeCell ref="B185:I186"/>
    <mergeCell ref="B187:I188"/>
    <mergeCell ref="B189:I190"/>
    <mergeCell ref="B171:I172"/>
    <mergeCell ref="B173:I174"/>
    <mergeCell ref="B175:I176"/>
    <mergeCell ref="B177:I178"/>
    <mergeCell ref="B179:I180"/>
    <mergeCell ref="B5:T6"/>
    <mergeCell ref="B34:T34"/>
    <mergeCell ref="A36:U36"/>
    <mergeCell ref="A37:U37"/>
    <mergeCell ref="A139:U139"/>
    <mergeCell ref="A104:U104"/>
    <mergeCell ref="A105:U105"/>
    <mergeCell ref="B74:B75"/>
    <mergeCell ref="B109:B110"/>
    <mergeCell ref="M63:O63"/>
    <mergeCell ref="M64:T64"/>
    <mergeCell ref="B72:I73"/>
    <mergeCell ref="B107:I108"/>
    <mergeCell ref="L7:R7"/>
    <mergeCell ref="T7:T9"/>
    <mergeCell ref="R8:R9"/>
    <mergeCell ref="A140:U140"/>
    <mergeCell ref="B7:B9"/>
    <mergeCell ref="P8:Q8"/>
    <mergeCell ref="P9:Q9"/>
    <mergeCell ref="D7:H7"/>
    <mergeCell ref="I7:J9"/>
    <mergeCell ref="AR37:AR39"/>
    <mergeCell ref="Q63:T63"/>
    <mergeCell ref="A69:U69"/>
    <mergeCell ref="A70:U70"/>
    <mergeCell ref="Z8:Z9"/>
    <mergeCell ref="Y8:Y9"/>
  </mergeCells>
  <conditionalFormatting sqref="Y75:AH75 Y110:AH110">
    <cfRule type="cellIs" dxfId="1005" priority="78" stopIfTrue="1" operator="equal">
      <formula>0</formula>
    </cfRule>
  </conditionalFormatting>
  <conditionalFormatting sqref="L11:P31 B50:C65 M10:P10 D10:H31">
    <cfRule type="containsErrors" dxfId="1004" priority="79">
      <formula>ISERROR(B10)</formula>
    </cfRule>
  </conditionalFormatting>
  <conditionalFormatting sqref="D76:H97">
    <cfRule type="containsErrors" dxfId="1003" priority="75">
      <formula>ISERROR(D76)</formula>
    </cfRule>
  </conditionalFormatting>
  <conditionalFormatting sqref="D111:H132">
    <cfRule type="containsErrors" dxfId="1002" priority="72">
      <formula>ISERROR(D111)</formula>
    </cfRule>
  </conditionalFormatting>
  <conditionalFormatting sqref="T10:T31 L10:P31 R10:R31 AF10:AF21 B10:B32 J10:J32 Q10:Q32 AG10:AG28 D76:H97 D111:H132 B76:B98 B111:B133 D10:I31">
    <cfRule type="expression" dxfId="1001" priority="69">
      <formula>$B10=$Y$4</formula>
    </cfRule>
  </conditionalFormatting>
  <conditionalFormatting sqref="A10:A31">
    <cfRule type="cellIs" dxfId="1000" priority="68" operator="equal">
      <formula>0</formula>
    </cfRule>
  </conditionalFormatting>
  <conditionalFormatting sqref="A76:A97">
    <cfRule type="cellIs" dxfId="999" priority="67" operator="equal">
      <formula>0</formula>
    </cfRule>
  </conditionalFormatting>
  <conditionalFormatting sqref="A111:A132">
    <cfRule type="cellIs" dxfId="998" priority="66" operator="equal">
      <formula>0</formula>
    </cfRule>
  </conditionalFormatting>
  <conditionalFormatting sqref="T10:T31">
    <cfRule type="containsErrors" dxfId="997" priority="64">
      <formula>ISERROR(T10)</formula>
    </cfRule>
  </conditionalFormatting>
  <conditionalFormatting sqref="A1:A36 A71:A104 A106:A139 A198:A1048576 A38:A69">
    <cfRule type="containsErrors" dxfId="996" priority="62">
      <formula>ISERROR(A1)</formula>
    </cfRule>
  </conditionalFormatting>
  <conditionalFormatting sqref="AF10:AF28">
    <cfRule type="containsErrors" dxfId="995" priority="61">
      <formula>ISERROR(AF10)</formula>
    </cfRule>
  </conditionalFormatting>
  <conditionalFormatting sqref="L10">
    <cfRule type="containsErrors" dxfId="994" priority="59">
      <formula>ISERROR(L10)</formula>
    </cfRule>
  </conditionalFormatting>
  <conditionalFormatting sqref="R10:R31">
    <cfRule type="containsErrors" dxfId="993" priority="83">
      <formula>ISERROR(R10)</formula>
    </cfRule>
  </conditionalFormatting>
  <conditionalFormatting sqref="A140">
    <cfRule type="containsErrors" dxfId="992" priority="51">
      <formula>ISERROR(A140)</formula>
    </cfRule>
  </conditionalFormatting>
  <conditionalFormatting sqref="A105">
    <cfRule type="containsErrors" dxfId="991" priority="50">
      <formula>ISERROR(A105)</formula>
    </cfRule>
  </conditionalFormatting>
  <conditionalFormatting sqref="A70">
    <cfRule type="containsErrors" dxfId="990" priority="49">
      <formula>ISERROR(A70)</formula>
    </cfRule>
  </conditionalFormatting>
  <conditionalFormatting sqref="A37">
    <cfRule type="containsErrors" dxfId="989" priority="48">
      <formula>ISERROR(A37)</formula>
    </cfRule>
  </conditionalFormatting>
  <conditionalFormatting sqref="D32:H32 L32:P32 D98:H98 D133:H133 R32">
    <cfRule type="containsErrors" dxfId="988" priority="47">
      <formula>ISERROR(D32)</formula>
    </cfRule>
  </conditionalFormatting>
  <conditionalFormatting sqref="K8:P8">
    <cfRule type="containsErrors" dxfId="987" priority="46">
      <formula>ISERROR(K8)</formula>
    </cfRule>
  </conditionalFormatting>
  <conditionalFormatting sqref="L9:P9">
    <cfRule type="containsErrors" dxfId="986" priority="82">
      <formula>ISERROR(L9)</formula>
    </cfRule>
  </conditionalFormatting>
  <conditionalFormatting sqref="D74:H75">
    <cfRule type="containsErrors" dxfId="985" priority="85">
      <formula>ISERROR(D74)</formula>
    </cfRule>
  </conditionalFormatting>
  <conditionalFormatting sqref="Z2:AD2">
    <cfRule type="containsErrors" dxfId="984" priority="37">
      <formula>ISERROR(Z2)</formula>
    </cfRule>
  </conditionalFormatting>
  <conditionalFormatting sqref="Z3:AD3">
    <cfRule type="containsErrors" dxfId="983" priority="38">
      <formula>ISERROR(Z3)</formula>
    </cfRule>
  </conditionalFormatting>
  <conditionalFormatting sqref="B10:B32">
    <cfRule type="containsErrors" dxfId="982" priority="29">
      <formula>ISERROR(B10)</formula>
    </cfRule>
  </conditionalFormatting>
  <conditionalFormatting sqref="B76:B98">
    <cfRule type="containsErrors" dxfId="981" priority="27">
      <formula>ISERROR(B76)</formula>
    </cfRule>
  </conditionalFormatting>
  <conditionalFormatting sqref="B111:B133">
    <cfRule type="containsErrors" dxfId="980" priority="25">
      <formula>ISERROR(B111)</formula>
    </cfRule>
  </conditionalFormatting>
  <conditionalFormatting sqref="J10:J32">
    <cfRule type="containsErrors" dxfId="979" priority="21">
      <formula>ISERROR(J10)</formula>
    </cfRule>
  </conditionalFormatting>
  <conditionalFormatting sqref="J32">
    <cfRule type="containsErrors" dxfId="978" priority="19">
      <formula>ISERROR(J32)</formula>
    </cfRule>
  </conditionalFormatting>
  <conditionalFormatting sqref="J10:J32">
    <cfRule type="dataBar" priority="22">
      <dataBar showValue="0">
        <cfvo type="min"/>
        <cfvo type="max"/>
        <color theme="9"/>
      </dataBar>
      <extLst>
        <ext xmlns:x14="http://schemas.microsoft.com/office/spreadsheetml/2009/9/main" uri="{B025F937-C7B1-47D3-B67F-A62EFF666E3E}">
          <x14:id>{1ACCCD40-6D24-41A5-9535-57A2A28A6349}</x14:id>
        </ext>
      </extLst>
    </cfRule>
  </conditionalFormatting>
  <conditionalFormatting sqref="I10:I31">
    <cfRule type="containsErrors" dxfId="977" priority="17">
      <formula>ISERROR(I10)</formula>
    </cfRule>
  </conditionalFormatting>
  <conditionalFormatting sqref="I32">
    <cfRule type="containsErrors" dxfId="976" priority="16">
      <formula>ISERROR(I32)</formula>
    </cfRule>
  </conditionalFormatting>
  <conditionalFormatting sqref="Q32">
    <cfRule type="containsErrors" dxfId="975" priority="14">
      <formula>ISERROR(Q32)</formula>
    </cfRule>
  </conditionalFormatting>
  <conditionalFormatting sqref="Q10:Q32">
    <cfRule type="containsErrors" dxfId="974" priority="12">
      <formula>ISERROR(Q10)</formula>
    </cfRule>
    <cfRule type="dataBar" priority="13">
      <dataBar showValue="0">
        <cfvo type="min"/>
        <cfvo type="max"/>
        <color theme="9"/>
      </dataBar>
      <extLst>
        <ext xmlns:x14="http://schemas.microsoft.com/office/spreadsheetml/2009/9/main" uri="{B025F937-C7B1-47D3-B67F-A62EFF666E3E}">
          <x14:id>{1C6DB4AA-8FA0-4A9E-8232-5E035FAE4B70}</x14:id>
        </ext>
      </extLst>
    </cfRule>
  </conditionalFormatting>
  <conditionalFormatting sqref="D8:H8">
    <cfRule type="containsErrors" dxfId="973" priority="11">
      <formula>ISERROR(D8)</formula>
    </cfRule>
  </conditionalFormatting>
  <conditionalFormatting sqref="D9:H9">
    <cfRule type="containsErrors" dxfId="972" priority="84">
      <formula>ISERROR(D9)</formula>
    </cfRule>
  </conditionalFormatting>
  <conditionalFormatting sqref="AG10:AG28">
    <cfRule type="containsErrors" dxfId="971" priority="8">
      <formula>ISERROR(AG10)</formula>
    </cfRule>
  </conditionalFormatting>
  <conditionalFormatting sqref="D109:H109">
    <cfRule type="containsErrors" dxfId="970" priority="6">
      <formula>ISERROR(D109)</formula>
    </cfRule>
  </conditionalFormatting>
  <conditionalFormatting sqref="AA8:AE9">
    <cfRule type="cellIs" dxfId="969" priority="3" stopIfTrue="1" operator="equal">
      <formula>0</formula>
    </cfRule>
  </conditionalFormatting>
  <conditionalFormatting sqref="T32">
    <cfRule type="containsErrors" dxfId="968" priority="2">
      <formula>ISERROR(T32)</formula>
    </cfRule>
  </conditionalFormatting>
  <conditionalFormatting sqref="D110:H110">
    <cfRule type="containsErrors" dxfId="967" priority="1">
      <formula>ISERROR(D110)</formula>
    </cfRule>
  </conditionalFormatting>
  <hyperlinks>
    <hyperlink ref="X34" r:id="rId1" xr:uid="{00000000-0004-0000-0E00-000000000000}"/>
    <hyperlink ref="X33" r:id="rId2" xr:uid="{00000000-0004-0000-0E00-000001000000}"/>
    <hyperlink ref="B147:H148" location="IDACI!A1" display="IDACI" xr:uid="{00000000-0004-0000-0E00-000002000000}"/>
    <hyperlink ref="B179:I180" location="ROSGO!A1" display="Child Arrangement &amp; Special Guardianship Orders" xr:uid="{00000000-0004-0000-0E00-000003000000}"/>
    <hyperlink ref="B151:G152" location="EH_Referrals!A1" display="Early Help Referrals" xr:uid="{00000000-0004-0000-0E00-000004000000}"/>
    <hyperlink ref="B153:G154" location="EH_Assessments!A1" display="Early Help Assessments" xr:uid="{00000000-0004-0000-0E00-000005000000}"/>
    <hyperlink ref="B155:G156" location="EH_Clients!A1" display="Early Help Clients" xr:uid="{00000000-0004-0000-0E00-000006000000}"/>
    <hyperlink ref="B179:E180" location="ROSGO!A1" display="Child Arrangement &amp; Special Guardianship Orders" xr:uid="{00000000-0004-0000-0E00-000007000000}"/>
    <hyperlink ref="B151:E152" location="EH_Referrals!A1" display="Early Help Referrals" xr:uid="{00000000-0004-0000-0E00-000008000000}"/>
    <hyperlink ref="B153:E154" location="EH_Assessments!A1" display="Early Help Assessments" xr:uid="{00000000-0004-0000-0E00-000009000000}"/>
    <hyperlink ref="B155:E156" location="EH_Clients!A1" display="Early Help Clients" xr:uid="{00000000-0004-0000-0E00-00000A000000}"/>
    <hyperlink ref="B149:D150" location="IDACI!A1" display="IDACI" xr:uid="{00000000-0004-0000-0E00-00000B000000}"/>
    <hyperlink ref="B187:D188" location="ROSGO!A1" display="Child Arrangement &amp; Special Guardianship Orders" xr:uid="{00000000-0004-0000-0E00-00000C000000}"/>
    <hyperlink ref="B155:D156" location="EH_Referrals!A1" display="Early Help Referrals" xr:uid="{00000000-0004-0000-0E00-00000D000000}"/>
    <hyperlink ref="B157:D158" location="EH_Assessments!A1" display="Early Help Assessments" xr:uid="{00000000-0004-0000-0E00-00000E000000}"/>
    <hyperlink ref="B159:D160" location="EH_Clients!A1" display="Early Help Clients" xr:uid="{00000000-0004-0000-0E00-00000F000000}"/>
    <hyperlink ref="B145:D146" location="Indicators!A1" display="Indicators" xr:uid="{00000000-0004-0000-0E00-000010000000}"/>
    <hyperlink ref="B153:D154" location="Contacts!A1" display="Contacts" xr:uid="{00000000-0004-0000-0E00-000011000000}"/>
    <hyperlink ref="B181:D182" location="New_Ceased_LAC!A1" display="New/ Ceased Looked After Children" xr:uid="{00000000-0004-0000-0E00-000012000000}"/>
    <hyperlink ref="B183:D184" location="Care_Leavers!A1" display="Care Leavers" xr:uid="{00000000-0004-0000-0E00-000013000000}"/>
    <hyperlink ref="B195:D196" location="EHE_CME!A1" display="Elective Home Education &amp; Children Missing Education" xr:uid="{00000000-0004-0000-0E00-000014000000}"/>
    <hyperlink ref="B189:D190" location="NEET!A1" display="Participation (NEET)" xr:uid="{00000000-0004-0000-0E00-000015000000}"/>
    <hyperlink ref="B191:D192" location="Offending!A1" display="Offending" xr:uid="{00000000-0004-0000-0E00-000016000000}"/>
    <hyperlink ref="B193:D194" location="EHCP!A1" display="Education Health and Care Plans (EHCP)" xr:uid="{00000000-0004-0000-0E00-000017000000}"/>
    <hyperlink ref="B147:B148" location="Coverage!A1" display="Participating LA's" xr:uid="{00000000-0004-0000-0E00-000018000000}"/>
    <hyperlink ref="B149:B150" location="IDACI!A1" display="IDACI" xr:uid="{00000000-0004-0000-0E00-000019000000}"/>
    <hyperlink ref="B185:B186" location="Adoption!A1" display="Adoption" xr:uid="{00000000-0004-0000-0E00-00001A000000}"/>
    <hyperlink ref="B179:B180" location="'Looked After Children'!A1" display="Looked After Children" xr:uid="{00000000-0004-0000-0E00-00001B000000}"/>
    <hyperlink ref="B177:B178" location="'Court Applications'!A1" display="Court Applications" xr:uid="{00000000-0004-0000-0E00-00001C000000}"/>
    <hyperlink ref="B175:B176" location="'Child Protection Plans'!A1" display="Child Protection Plans" xr:uid="{00000000-0004-0000-0E00-00001D000000}"/>
    <hyperlink ref="B173:B174" location="'Initial CP Conferences'!A1" display="Initial Child Protection Conferences" xr:uid="{00000000-0004-0000-0E00-00001E000000}"/>
    <hyperlink ref="B171:B172" location="'Section 47 Enquiries'!A1" display="Section 47 Enquiries" xr:uid="{00000000-0004-0000-0E00-00001F000000}"/>
    <hyperlink ref="B169:B170" location="'Children in Need'!A1" display="Children in Need" xr:uid="{00000000-0004-0000-0E00-000020000000}"/>
    <hyperlink ref="B167:B168" location="Assessments!A1" display="Assessments" xr:uid="{00000000-0004-0000-0E00-000021000000}"/>
    <hyperlink ref="B165:B166" location="'Re-referrals'!A1" display="Re-referrals" xr:uid="{00000000-0004-0000-0E00-000022000000}"/>
    <hyperlink ref="B163:B164" location="Referral_Source!A1" display="Referral Source" xr:uid="{00000000-0004-0000-0E00-000023000000}"/>
    <hyperlink ref="B161:B162" location="Referrals!A1" display="Referrals" xr:uid="{00000000-0004-0000-0E00-000024000000}"/>
    <hyperlink ref="B151:B152" location="Population!A1" display="Population" xr:uid="{00000000-0004-0000-0E00-000025000000}"/>
    <hyperlink ref="B149:C150" location="IDACI!A1" display="IDACI" xr:uid="{00000000-0004-0000-0E00-000026000000}"/>
    <hyperlink ref="B187:B188" location="Adoption!A1" display="Adoption" xr:uid="{00000000-0004-0000-0E00-000027000000}"/>
    <hyperlink ref="B187:C188" location="ROSGO!A1" display="Child Arrangement &amp; Special Guardianship Orders" xr:uid="{00000000-0004-0000-0E00-000028000000}"/>
    <hyperlink ref="B155:B156" location="CAF_EHA!A1" display="CAF (EHA's)" xr:uid="{00000000-0004-0000-0E00-000029000000}"/>
    <hyperlink ref="B159:B160" location="CAF_EHA!A1" display="CAF (EHA's)" xr:uid="{00000000-0004-0000-0E00-00002A000000}"/>
    <hyperlink ref="B157:B158" location="CAF_EHA!A1" display="CAF (EHA's)" xr:uid="{00000000-0004-0000-0E00-00002B000000}"/>
    <hyperlink ref="B155:C156" location="EH_Referrals!A1" display="Early Help Referrals" xr:uid="{00000000-0004-0000-0E00-00002C000000}"/>
    <hyperlink ref="B157:C158" location="EH_Assessments!A1" display="Early Help Assessments" xr:uid="{00000000-0004-0000-0E00-00002D000000}"/>
    <hyperlink ref="B159:C160" location="EH_Clients!A1" display="Early Help Clients" xr:uid="{00000000-0004-0000-0E00-00002E000000}"/>
    <hyperlink ref="B145:B146" location="Coverage!A1" display="Participating LA's" xr:uid="{00000000-0004-0000-0E00-00002F000000}"/>
    <hyperlink ref="B145:C146" location="Indicators!A1" display="Indicators" xr:uid="{00000000-0004-0000-0E00-000030000000}"/>
    <hyperlink ref="B153:B154" location="Population!A1" display="Population" xr:uid="{00000000-0004-0000-0E00-000031000000}"/>
    <hyperlink ref="B153:C154" location="Contacts!A1" display="Contacts" xr:uid="{00000000-0004-0000-0E00-000032000000}"/>
    <hyperlink ref="B183:B184" location="'Looked After Children'!A1" display="Looked After Children" xr:uid="{00000000-0004-0000-0E00-000033000000}"/>
    <hyperlink ref="B181:B182" location="'Court Applications'!A1" display="Court Applications" xr:uid="{00000000-0004-0000-0E00-000034000000}"/>
    <hyperlink ref="B181:C182" location="New_Ceased_LAC!A1" display="New/ Ceased Looked After Children" xr:uid="{00000000-0004-0000-0E00-000035000000}"/>
    <hyperlink ref="B183:C184" location="Care_Leavers!A1" display="Care Leavers" xr:uid="{00000000-0004-0000-0E00-000036000000}"/>
    <hyperlink ref="B194:B196" location="Adoption!A1" display="Adoption" xr:uid="{00000000-0004-0000-0E00-000037000000}"/>
    <hyperlink ref="B191:B192" location="'Looked After Children'!A1" display="Looked After Children" xr:uid="{00000000-0004-0000-0E00-000038000000}"/>
    <hyperlink ref="B189:B190" location="'Court Applications'!A1" display="Court Applications" xr:uid="{00000000-0004-0000-0E00-000039000000}"/>
    <hyperlink ref="B189:C190" location="NEET!A1" display="Participation (NEET)" xr:uid="{00000000-0004-0000-0E00-00003A000000}"/>
    <hyperlink ref="B191:C192" location="Offending!A1" display="Offending" xr:uid="{00000000-0004-0000-0E00-00003B000000}"/>
  </hyperlinks>
  <printOptions horizontalCentered="1" verticalCentered="1"/>
  <pageMargins left="0.55118110236220474" right="0.55118110236220474" top="0.55118110236220474" bottom="0.55118110236220474" header="0.39370078740157483" footer="0.74803149606299213"/>
  <pageSetup paperSize="9" orientation="landscape" r:id="rId3"/>
  <headerFooter alignWithMargins="0">
    <oddFooter>&amp;C&amp;"Arial,Bold"&amp;9&amp;F - Page &amp;P</oddFooter>
  </headerFooter>
  <rowBreaks count="3" manualBreakCount="3">
    <brk id="37" max="18" man="1"/>
    <brk id="70" max="18" man="1"/>
    <brk id="105" max="18" man="1"/>
  </rowBreaks>
  <ignoredErrors>
    <ignoredError sqref="A10:A31 A76:A97 A111:A132 K9:P9" evalError="1"/>
  </ignoredErrors>
  <drawing r:id="rId4"/>
  <legacyDrawing r:id="rId5"/>
  <mc:AlternateContent xmlns:mc="http://schemas.openxmlformats.org/markup-compatibility/2006">
    <mc:Choice Requires="x14">
      <controls>
        <mc:AlternateContent xmlns:mc="http://schemas.openxmlformats.org/markup-compatibility/2006">
          <mc:Choice Requires="x14">
            <control shapeId="123905" r:id="rId6" name="Check Box 1">
              <controlPr defaultSize="0" autoFill="0" autoLine="0" autoPict="0" altText="">
                <anchor>
                  <from>
                    <xdr:col>22</xdr:col>
                    <xdr:colOff>104775</xdr:colOff>
                    <xdr:row>38</xdr:row>
                    <xdr:rowOff>38100</xdr:rowOff>
                  </from>
                  <to>
                    <xdr:col>35</xdr:col>
                    <xdr:colOff>76200</xdr:colOff>
                    <xdr:row>40</xdr:row>
                    <xdr:rowOff>9525</xdr:rowOff>
                  </to>
                </anchor>
              </controlPr>
            </control>
          </mc:Choice>
        </mc:AlternateContent>
        <mc:AlternateContent xmlns:mc="http://schemas.openxmlformats.org/markup-compatibility/2006">
          <mc:Choice Requires="x14">
            <control shapeId="123906" r:id="rId7" name="Check Box 2">
              <controlPr defaultSize="0" autoFill="0" autoLine="0" autoPict="0" altText="">
                <anchor>
                  <from>
                    <xdr:col>22</xdr:col>
                    <xdr:colOff>104775</xdr:colOff>
                    <xdr:row>39</xdr:row>
                    <xdr:rowOff>152400</xdr:rowOff>
                  </from>
                  <to>
                    <xdr:col>35</xdr:col>
                    <xdr:colOff>76200</xdr:colOff>
                    <xdr:row>41</xdr:row>
                    <xdr:rowOff>9525</xdr:rowOff>
                  </to>
                </anchor>
              </controlPr>
            </control>
          </mc:Choice>
        </mc:AlternateContent>
        <mc:AlternateContent xmlns:mc="http://schemas.openxmlformats.org/markup-compatibility/2006">
          <mc:Choice Requires="x14">
            <control shapeId="123907" r:id="rId8" name="Check Box 3">
              <controlPr defaultSize="0" autoFill="0" autoLine="0" autoPict="0" altText="">
                <anchor>
                  <from>
                    <xdr:col>22</xdr:col>
                    <xdr:colOff>104775</xdr:colOff>
                    <xdr:row>40</xdr:row>
                    <xdr:rowOff>152400</xdr:rowOff>
                  </from>
                  <to>
                    <xdr:col>35</xdr:col>
                    <xdr:colOff>76200</xdr:colOff>
                    <xdr:row>42</xdr:row>
                    <xdr:rowOff>9525</xdr:rowOff>
                  </to>
                </anchor>
              </controlPr>
            </control>
          </mc:Choice>
        </mc:AlternateContent>
        <mc:AlternateContent xmlns:mc="http://schemas.openxmlformats.org/markup-compatibility/2006">
          <mc:Choice Requires="x14">
            <control shapeId="123908" r:id="rId9" name="Check Box 4">
              <controlPr defaultSize="0" autoFill="0" autoLine="0" autoPict="0" altText="">
                <anchor>
                  <from>
                    <xdr:col>22</xdr:col>
                    <xdr:colOff>104775</xdr:colOff>
                    <xdr:row>41</xdr:row>
                    <xdr:rowOff>152400</xdr:rowOff>
                  </from>
                  <to>
                    <xdr:col>35</xdr:col>
                    <xdr:colOff>76200</xdr:colOff>
                    <xdr:row>43</xdr:row>
                    <xdr:rowOff>9525</xdr:rowOff>
                  </to>
                </anchor>
              </controlPr>
            </control>
          </mc:Choice>
        </mc:AlternateContent>
        <mc:AlternateContent xmlns:mc="http://schemas.openxmlformats.org/markup-compatibility/2006">
          <mc:Choice Requires="x14">
            <control shapeId="123909" r:id="rId10" name="Check Box 5">
              <controlPr defaultSize="0" autoFill="0" autoLine="0" autoPict="0" altText="">
                <anchor>
                  <from>
                    <xdr:col>22</xdr:col>
                    <xdr:colOff>104775</xdr:colOff>
                    <xdr:row>42</xdr:row>
                    <xdr:rowOff>152400</xdr:rowOff>
                  </from>
                  <to>
                    <xdr:col>35</xdr:col>
                    <xdr:colOff>76200</xdr:colOff>
                    <xdr:row>44</xdr:row>
                    <xdr:rowOff>9525</xdr:rowOff>
                  </to>
                </anchor>
              </controlPr>
            </control>
          </mc:Choice>
        </mc:AlternateContent>
        <mc:AlternateContent xmlns:mc="http://schemas.openxmlformats.org/markup-compatibility/2006">
          <mc:Choice Requires="x14">
            <control shapeId="123910" r:id="rId11" name="Check Box 6">
              <controlPr defaultSize="0" autoFill="0" autoLine="0" autoPict="0" altText="">
                <anchor>
                  <from>
                    <xdr:col>22</xdr:col>
                    <xdr:colOff>104775</xdr:colOff>
                    <xdr:row>43</xdr:row>
                    <xdr:rowOff>152400</xdr:rowOff>
                  </from>
                  <to>
                    <xdr:col>35</xdr:col>
                    <xdr:colOff>76200</xdr:colOff>
                    <xdr:row>45</xdr:row>
                    <xdr:rowOff>9525</xdr:rowOff>
                  </to>
                </anchor>
              </controlPr>
            </control>
          </mc:Choice>
        </mc:AlternateContent>
        <mc:AlternateContent xmlns:mc="http://schemas.openxmlformats.org/markup-compatibility/2006">
          <mc:Choice Requires="x14">
            <control shapeId="123911" r:id="rId12" name="Check Box 7">
              <controlPr defaultSize="0" autoFill="0" autoLine="0" autoPict="0" altText="">
                <anchor>
                  <from>
                    <xdr:col>22</xdr:col>
                    <xdr:colOff>104775</xdr:colOff>
                    <xdr:row>44</xdr:row>
                    <xdr:rowOff>152400</xdr:rowOff>
                  </from>
                  <to>
                    <xdr:col>35</xdr:col>
                    <xdr:colOff>76200</xdr:colOff>
                    <xdr:row>46</xdr:row>
                    <xdr:rowOff>9525</xdr:rowOff>
                  </to>
                </anchor>
              </controlPr>
            </control>
          </mc:Choice>
        </mc:AlternateContent>
        <mc:AlternateContent xmlns:mc="http://schemas.openxmlformats.org/markup-compatibility/2006">
          <mc:Choice Requires="x14">
            <control shapeId="123912" r:id="rId13" name="Check Box 8">
              <controlPr defaultSize="0" autoFill="0" autoLine="0" autoPict="0" altText="">
                <anchor>
                  <from>
                    <xdr:col>22</xdr:col>
                    <xdr:colOff>104775</xdr:colOff>
                    <xdr:row>45</xdr:row>
                    <xdr:rowOff>152400</xdr:rowOff>
                  </from>
                  <to>
                    <xdr:col>35</xdr:col>
                    <xdr:colOff>76200</xdr:colOff>
                    <xdr:row>47</xdr:row>
                    <xdr:rowOff>9525</xdr:rowOff>
                  </to>
                </anchor>
              </controlPr>
            </control>
          </mc:Choice>
        </mc:AlternateContent>
        <mc:AlternateContent xmlns:mc="http://schemas.openxmlformats.org/markup-compatibility/2006">
          <mc:Choice Requires="x14">
            <control shapeId="123913" r:id="rId14" name="Check Box 9">
              <controlPr defaultSize="0" autoFill="0" autoLine="0" autoPict="0" altText="">
                <anchor>
                  <from>
                    <xdr:col>22</xdr:col>
                    <xdr:colOff>104775</xdr:colOff>
                    <xdr:row>46</xdr:row>
                    <xdr:rowOff>152400</xdr:rowOff>
                  </from>
                  <to>
                    <xdr:col>35</xdr:col>
                    <xdr:colOff>76200</xdr:colOff>
                    <xdr:row>48</xdr:row>
                    <xdr:rowOff>9525</xdr:rowOff>
                  </to>
                </anchor>
              </controlPr>
            </control>
          </mc:Choice>
        </mc:AlternateContent>
        <mc:AlternateContent xmlns:mc="http://schemas.openxmlformats.org/markup-compatibility/2006">
          <mc:Choice Requires="x14">
            <control shapeId="123914" r:id="rId15" name="Check Box 10">
              <controlPr defaultSize="0" autoFill="0" autoLine="0" autoPict="0" altText="">
                <anchor>
                  <from>
                    <xdr:col>22</xdr:col>
                    <xdr:colOff>104775</xdr:colOff>
                    <xdr:row>47</xdr:row>
                    <xdr:rowOff>152400</xdr:rowOff>
                  </from>
                  <to>
                    <xdr:col>35</xdr:col>
                    <xdr:colOff>76200</xdr:colOff>
                    <xdr:row>49</xdr:row>
                    <xdr:rowOff>9525</xdr:rowOff>
                  </to>
                </anchor>
              </controlPr>
            </control>
          </mc:Choice>
        </mc:AlternateContent>
        <mc:AlternateContent xmlns:mc="http://schemas.openxmlformats.org/markup-compatibility/2006">
          <mc:Choice Requires="x14">
            <control shapeId="123915" r:id="rId16" name="Check Box 11">
              <controlPr defaultSize="0" autoFill="0" autoLine="0" autoPict="0" altText="">
                <anchor>
                  <from>
                    <xdr:col>22</xdr:col>
                    <xdr:colOff>104775</xdr:colOff>
                    <xdr:row>48</xdr:row>
                    <xdr:rowOff>152400</xdr:rowOff>
                  </from>
                  <to>
                    <xdr:col>35</xdr:col>
                    <xdr:colOff>76200</xdr:colOff>
                    <xdr:row>50</xdr:row>
                    <xdr:rowOff>9525</xdr:rowOff>
                  </to>
                </anchor>
              </controlPr>
            </control>
          </mc:Choice>
        </mc:AlternateContent>
        <mc:AlternateContent xmlns:mc="http://schemas.openxmlformats.org/markup-compatibility/2006">
          <mc:Choice Requires="x14">
            <control shapeId="123916" r:id="rId17" name="Check Box 12">
              <controlPr defaultSize="0" autoFill="0" autoLine="0" autoPict="0" altText="">
                <anchor>
                  <from>
                    <xdr:col>22</xdr:col>
                    <xdr:colOff>104775</xdr:colOff>
                    <xdr:row>49</xdr:row>
                    <xdr:rowOff>152400</xdr:rowOff>
                  </from>
                  <to>
                    <xdr:col>35</xdr:col>
                    <xdr:colOff>76200</xdr:colOff>
                    <xdr:row>51</xdr:row>
                    <xdr:rowOff>9525</xdr:rowOff>
                  </to>
                </anchor>
              </controlPr>
            </control>
          </mc:Choice>
        </mc:AlternateContent>
        <mc:AlternateContent xmlns:mc="http://schemas.openxmlformats.org/markup-compatibility/2006">
          <mc:Choice Requires="x14">
            <control shapeId="123917" r:id="rId18" name="Check Box 13">
              <controlPr defaultSize="0" autoFill="0" autoLine="0" autoPict="0" altText="">
                <anchor>
                  <from>
                    <xdr:col>22</xdr:col>
                    <xdr:colOff>104775</xdr:colOff>
                    <xdr:row>50</xdr:row>
                    <xdr:rowOff>152400</xdr:rowOff>
                  </from>
                  <to>
                    <xdr:col>35</xdr:col>
                    <xdr:colOff>76200</xdr:colOff>
                    <xdr:row>52</xdr:row>
                    <xdr:rowOff>9525</xdr:rowOff>
                  </to>
                </anchor>
              </controlPr>
            </control>
          </mc:Choice>
        </mc:AlternateContent>
        <mc:AlternateContent xmlns:mc="http://schemas.openxmlformats.org/markup-compatibility/2006">
          <mc:Choice Requires="x14">
            <control shapeId="123918" r:id="rId19" name="Check Box 14">
              <controlPr defaultSize="0" autoFill="0" autoLine="0" autoPict="0" altText="">
                <anchor>
                  <from>
                    <xdr:col>22</xdr:col>
                    <xdr:colOff>104775</xdr:colOff>
                    <xdr:row>51</xdr:row>
                    <xdr:rowOff>152400</xdr:rowOff>
                  </from>
                  <to>
                    <xdr:col>35</xdr:col>
                    <xdr:colOff>76200</xdr:colOff>
                    <xdr:row>53</xdr:row>
                    <xdr:rowOff>9525</xdr:rowOff>
                  </to>
                </anchor>
              </controlPr>
            </control>
          </mc:Choice>
        </mc:AlternateContent>
        <mc:AlternateContent xmlns:mc="http://schemas.openxmlformats.org/markup-compatibility/2006">
          <mc:Choice Requires="x14">
            <control shapeId="123919" r:id="rId20" name="Check Box 15">
              <controlPr defaultSize="0" autoFill="0" autoLine="0" autoPict="0" altText="">
                <anchor>
                  <from>
                    <xdr:col>22</xdr:col>
                    <xdr:colOff>104775</xdr:colOff>
                    <xdr:row>52</xdr:row>
                    <xdr:rowOff>152400</xdr:rowOff>
                  </from>
                  <to>
                    <xdr:col>35</xdr:col>
                    <xdr:colOff>76200</xdr:colOff>
                    <xdr:row>54</xdr:row>
                    <xdr:rowOff>9525</xdr:rowOff>
                  </to>
                </anchor>
              </controlPr>
            </control>
          </mc:Choice>
        </mc:AlternateContent>
        <mc:AlternateContent xmlns:mc="http://schemas.openxmlformats.org/markup-compatibility/2006">
          <mc:Choice Requires="x14">
            <control shapeId="123920" r:id="rId21" name="Check Box 16">
              <controlPr defaultSize="0" autoFill="0" autoLine="0" autoPict="0" altText="">
                <anchor>
                  <from>
                    <xdr:col>22</xdr:col>
                    <xdr:colOff>104775</xdr:colOff>
                    <xdr:row>53</xdr:row>
                    <xdr:rowOff>152400</xdr:rowOff>
                  </from>
                  <to>
                    <xdr:col>35</xdr:col>
                    <xdr:colOff>76200</xdr:colOff>
                    <xdr:row>55</xdr:row>
                    <xdr:rowOff>9525</xdr:rowOff>
                  </to>
                </anchor>
              </controlPr>
            </control>
          </mc:Choice>
        </mc:AlternateContent>
        <mc:AlternateContent xmlns:mc="http://schemas.openxmlformats.org/markup-compatibility/2006">
          <mc:Choice Requires="x14">
            <control shapeId="123921" r:id="rId22" name="Check Box 17">
              <controlPr defaultSize="0" autoFill="0" autoLine="0" autoPict="0" altText="">
                <anchor>
                  <from>
                    <xdr:col>22</xdr:col>
                    <xdr:colOff>104775</xdr:colOff>
                    <xdr:row>56</xdr:row>
                    <xdr:rowOff>152400</xdr:rowOff>
                  </from>
                  <to>
                    <xdr:col>35</xdr:col>
                    <xdr:colOff>76200</xdr:colOff>
                    <xdr:row>58</xdr:row>
                    <xdr:rowOff>9525</xdr:rowOff>
                  </to>
                </anchor>
              </controlPr>
            </control>
          </mc:Choice>
        </mc:AlternateContent>
        <mc:AlternateContent xmlns:mc="http://schemas.openxmlformats.org/markup-compatibility/2006">
          <mc:Choice Requires="x14">
            <control shapeId="123922" r:id="rId23" name="Check Box 18">
              <controlPr defaultSize="0" autoFill="0" autoLine="0" autoPict="0" altText="">
                <anchor>
                  <from>
                    <xdr:col>22</xdr:col>
                    <xdr:colOff>104775</xdr:colOff>
                    <xdr:row>57</xdr:row>
                    <xdr:rowOff>152400</xdr:rowOff>
                  </from>
                  <to>
                    <xdr:col>35</xdr:col>
                    <xdr:colOff>76200</xdr:colOff>
                    <xdr:row>59</xdr:row>
                    <xdr:rowOff>9525</xdr:rowOff>
                  </to>
                </anchor>
              </controlPr>
            </control>
          </mc:Choice>
        </mc:AlternateContent>
        <mc:AlternateContent xmlns:mc="http://schemas.openxmlformats.org/markup-compatibility/2006">
          <mc:Choice Requires="x14">
            <control shapeId="123923" r:id="rId24" name="Check Box 19">
              <controlPr defaultSize="0" autoFill="0" autoLine="0" autoPict="0" altText="">
                <anchor>
                  <from>
                    <xdr:col>22</xdr:col>
                    <xdr:colOff>104775</xdr:colOff>
                    <xdr:row>58</xdr:row>
                    <xdr:rowOff>152400</xdr:rowOff>
                  </from>
                  <to>
                    <xdr:col>35</xdr:col>
                    <xdr:colOff>76200</xdr:colOff>
                    <xdr:row>60</xdr:row>
                    <xdr:rowOff>9525</xdr:rowOff>
                  </to>
                </anchor>
              </controlPr>
            </control>
          </mc:Choice>
        </mc:AlternateContent>
        <mc:AlternateContent xmlns:mc="http://schemas.openxmlformats.org/markup-compatibility/2006">
          <mc:Choice Requires="x14">
            <control shapeId="123924" r:id="rId25" name="Check Box 20">
              <controlPr defaultSize="0" autoFill="0" autoLine="0" autoPict="0" altText="">
                <anchor>
                  <from>
                    <xdr:col>22</xdr:col>
                    <xdr:colOff>104775</xdr:colOff>
                    <xdr:row>59</xdr:row>
                    <xdr:rowOff>152400</xdr:rowOff>
                  </from>
                  <to>
                    <xdr:col>35</xdr:col>
                    <xdr:colOff>76200</xdr:colOff>
                    <xdr:row>61</xdr:row>
                    <xdr:rowOff>9525</xdr:rowOff>
                  </to>
                </anchor>
              </controlPr>
            </control>
          </mc:Choice>
        </mc:AlternateContent>
        <mc:AlternateContent xmlns:mc="http://schemas.openxmlformats.org/markup-compatibility/2006">
          <mc:Choice Requires="x14">
            <control shapeId="123925" r:id="rId26" name="Check Box 21">
              <controlPr defaultSize="0" autoFill="0" autoLine="0" autoPict="0" altText="">
                <anchor>
                  <from>
                    <xdr:col>22</xdr:col>
                    <xdr:colOff>104775</xdr:colOff>
                    <xdr:row>60</xdr:row>
                    <xdr:rowOff>152400</xdr:rowOff>
                  </from>
                  <to>
                    <xdr:col>35</xdr:col>
                    <xdr:colOff>76200</xdr:colOff>
                    <xdr:row>62</xdr:row>
                    <xdr:rowOff>9525</xdr:rowOff>
                  </to>
                </anchor>
              </controlPr>
            </control>
          </mc:Choice>
        </mc:AlternateContent>
        <mc:AlternateContent xmlns:mc="http://schemas.openxmlformats.org/markup-compatibility/2006">
          <mc:Choice Requires="x14">
            <control shapeId="123926" r:id="rId27" name="Check Box 22">
              <controlPr defaultSize="0" autoFill="0" autoLine="0" autoPict="0" altText="">
                <anchor>
                  <from>
                    <xdr:col>22</xdr:col>
                    <xdr:colOff>104775</xdr:colOff>
                    <xdr:row>54</xdr:row>
                    <xdr:rowOff>152400</xdr:rowOff>
                  </from>
                  <to>
                    <xdr:col>35</xdr:col>
                    <xdr:colOff>76200</xdr:colOff>
                    <xdr:row>56</xdr:row>
                    <xdr:rowOff>9525</xdr:rowOff>
                  </to>
                </anchor>
              </controlPr>
            </control>
          </mc:Choice>
        </mc:AlternateContent>
        <mc:AlternateContent xmlns:mc="http://schemas.openxmlformats.org/markup-compatibility/2006">
          <mc:Choice Requires="x14">
            <control shapeId="123927" r:id="rId28" name="Check Box 23">
              <controlPr defaultSize="0" autoFill="0" autoLine="0" autoPict="0" altText="">
                <anchor>
                  <from>
                    <xdr:col>22</xdr:col>
                    <xdr:colOff>104775</xdr:colOff>
                    <xdr:row>55</xdr:row>
                    <xdr:rowOff>152400</xdr:rowOff>
                  </from>
                  <to>
                    <xdr:col>35</xdr:col>
                    <xdr:colOff>76200</xdr:colOff>
                    <xdr:row>57</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1ACCCD40-6D24-41A5-9535-57A2A28A6349}">
            <x14:dataBar minLength="0" maxLength="100" gradient="0" negativeBarColorSameAsPositive="1" axisPosition="middle">
              <x14:cfvo type="autoMin"/>
              <x14:cfvo type="autoMax"/>
              <x14:axisColor theme="0" tint="-0.499984740745262"/>
            </x14:dataBar>
          </x14:cfRule>
          <xm:sqref>J10:J32</xm:sqref>
        </x14:conditionalFormatting>
        <x14:conditionalFormatting xmlns:xm="http://schemas.microsoft.com/office/excel/2006/main">
          <x14:cfRule type="dataBar" id="{1C6DB4AA-8FA0-4A9E-8232-5E035FAE4B70}">
            <x14:dataBar minLength="0" maxLength="100" gradient="0" negativeBarColorSameAsPositive="1">
              <x14:cfvo type="autoMin"/>
              <x14:cfvo type="autoMax"/>
              <x14:axisColor rgb="FF000000"/>
            </x14:dataBar>
          </x14:cfRule>
          <xm:sqref>Q10:Q32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9">
    <tabColor rgb="FFFFC000"/>
  </sheetPr>
  <dimension ref="A1:AX275"/>
  <sheetViews>
    <sheetView showRowColHeaders="0" workbookViewId="0">
      <selection activeCell="B2" sqref="B2"/>
    </sheetView>
  </sheetViews>
  <sheetFormatPr defaultColWidth="9.140625" defaultRowHeight="11.25" customHeight="1" x14ac:dyDescent="0.2"/>
  <cols>
    <col min="1" max="1" width="2.140625" style="74" customWidth="1"/>
    <col min="2" max="2" width="17.140625" style="74" customWidth="1"/>
    <col min="3" max="3" width="1.42578125" style="74" customWidth="1"/>
    <col min="4" max="10" width="7.42578125" style="74" customWidth="1"/>
    <col min="11" max="11" width="1.42578125" style="88" customWidth="1"/>
    <col min="12" max="18" width="7.42578125" style="74" customWidth="1"/>
    <col min="19" max="19" width="1.42578125" style="74" customWidth="1"/>
    <col min="20" max="20" width="8" style="74" customWidth="1"/>
    <col min="21" max="21" width="2.140625" style="74" customWidth="1"/>
    <col min="22" max="22" width="6.42578125" style="80" customWidth="1"/>
    <col min="23" max="23" width="4.85546875" style="80" customWidth="1"/>
    <col min="24" max="24" width="17.85546875" style="81" hidden="1" customWidth="1"/>
    <col min="25" max="25" width="19.42578125" style="81" hidden="1" customWidth="1"/>
    <col min="26" max="26" width="10.42578125" style="81" hidden="1" customWidth="1"/>
    <col min="27" max="28" width="11.85546875" style="81" hidden="1" customWidth="1"/>
    <col min="29" max="30" width="7.5703125" style="81" hidden="1" customWidth="1"/>
    <col min="31" max="31" width="4.42578125" style="81" hidden="1" customWidth="1"/>
    <col min="32" max="32" width="17" style="81" hidden="1" customWidth="1"/>
    <col min="33" max="33" width="5.5703125" style="81" hidden="1" customWidth="1"/>
    <col min="34" max="34" width="6" style="81" hidden="1" customWidth="1"/>
    <col min="35" max="35" width="5.5703125" style="74" hidden="1" customWidth="1"/>
    <col min="36" max="36" width="31.5703125" style="74" customWidth="1"/>
    <col min="37" max="37" width="25.42578125" style="74" hidden="1" customWidth="1"/>
    <col min="38" max="38" width="23" style="74" hidden="1" customWidth="1"/>
    <col min="39" max="40" width="8.85546875" style="74" hidden="1" customWidth="1"/>
    <col min="41" max="41" width="7.5703125" style="74" hidden="1" customWidth="1"/>
    <col min="42" max="43" width="6.5703125" style="74" hidden="1" customWidth="1"/>
    <col min="44" max="49" width="9.140625" style="74" hidden="1" customWidth="1"/>
    <col min="50" max="50" width="6.5703125" style="74" hidden="1" customWidth="1"/>
    <col min="51" max="51" width="9.140625" style="74" customWidth="1"/>
    <col min="52" max="16384" width="9.140625" style="74"/>
  </cols>
  <sheetData>
    <row r="1" spans="1:41" ht="18.75" customHeight="1" thickBot="1" x14ac:dyDescent="0.25">
      <c r="A1" s="112"/>
      <c r="B1" s="113"/>
      <c r="C1" s="113"/>
      <c r="D1" s="113"/>
      <c r="E1" s="113"/>
      <c r="F1" s="113"/>
      <c r="G1" s="113"/>
      <c r="H1" s="113"/>
      <c r="I1" s="113"/>
      <c r="J1" s="113"/>
      <c r="K1" s="114"/>
      <c r="L1" s="113"/>
      <c r="M1" s="113"/>
      <c r="N1" s="113"/>
      <c r="O1" s="113"/>
      <c r="P1" s="113"/>
      <c r="Q1" s="113"/>
      <c r="R1" s="113"/>
      <c r="S1" s="113"/>
      <c r="T1" s="113"/>
      <c r="U1" s="115"/>
      <c r="V1" s="275"/>
      <c r="W1" s="155"/>
      <c r="X1" s="180"/>
      <c r="Y1" s="180"/>
      <c r="Z1" s="939" t="str">
        <f>IF(Sheet1!$C$3="Annual"," the year ending 31st March"," the quarter")</f>
        <v xml:space="preserve"> the year ending 31st March</v>
      </c>
      <c r="AA1" s="180"/>
      <c r="AB1" s="180"/>
      <c r="AC1" s="180"/>
      <c r="AD1" s="180"/>
      <c r="AE1" s="180"/>
      <c r="AF1" s="180"/>
      <c r="AG1" s="180"/>
      <c r="AH1" s="180"/>
      <c r="AI1" s="181"/>
      <c r="AJ1" s="156"/>
    </row>
    <row r="2" spans="1:41" ht="18.75" customHeight="1" x14ac:dyDescent="0.2">
      <c r="A2" s="278"/>
      <c r="B2" s="128" t="s">
        <v>197</v>
      </c>
      <c r="C2" s="9"/>
      <c r="D2" s="9"/>
      <c r="E2" s="9"/>
      <c r="F2" s="9"/>
      <c r="G2" s="9"/>
      <c r="H2" s="9"/>
      <c r="I2" s="9"/>
      <c r="J2" s="9"/>
      <c r="K2" s="12"/>
      <c r="L2" s="9"/>
      <c r="M2" s="9"/>
      <c r="N2" s="9"/>
      <c r="O2" s="9"/>
      <c r="P2" s="9"/>
      <c r="Q2" s="9"/>
      <c r="R2" s="9"/>
      <c r="S2" s="9"/>
      <c r="T2" s="9"/>
      <c r="U2" s="117"/>
      <c r="V2" s="161"/>
      <c r="W2" s="150"/>
      <c r="Z2" s="782" t="str">
        <f>IF(Sheet1!$C$3="Annual","",Sheet1!D28)</f>
        <v/>
      </c>
      <c r="AA2" s="782" t="str">
        <f>IF(Sheet1!$C$3="Annual","",Sheet1!E28)</f>
        <v/>
      </c>
      <c r="AB2" s="782" t="str">
        <f>IF(Sheet1!$C$3="Annual","",Sheet1!F28)</f>
        <v/>
      </c>
      <c r="AC2" s="782" t="str">
        <f>IF(Sheet1!$C$3="Annual","",Sheet1!G28)</f>
        <v/>
      </c>
      <c r="AD2" s="782" t="str">
        <f>IF(Sheet1!$C$3="Annual","",Sheet1!H28)</f>
        <v/>
      </c>
      <c r="AI2" s="184"/>
      <c r="AJ2" s="157"/>
    </row>
    <row r="3" spans="1:41" ht="18.600000000000001" customHeight="1" x14ac:dyDescent="0.2">
      <c r="A3" s="457"/>
      <c r="B3" s="458"/>
      <c r="C3" s="458"/>
      <c r="D3" s="458"/>
      <c r="E3" s="458"/>
      <c r="F3" s="458"/>
      <c r="G3" s="458"/>
      <c r="H3" s="458"/>
      <c r="I3" s="553"/>
      <c r="J3" s="553"/>
      <c r="K3" s="459"/>
      <c r="L3" s="458"/>
      <c r="M3" s="458"/>
      <c r="N3" s="458"/>
      <c r="O3" s="458"/>
      <c r="P3" s="458"/>
      <c r="Q3" s="458"/>
      <c r="R3" s="458"/>
      <c r="S3" s="458"/>
      <c r="T3" s="458"/>
      <c r="U3" s="460"/>
      <c r="V3" s="161"/>
      <c r="W3" s="150"/>
      <c r="Z3" s="786" t="str">
        <f>Sheet1!$D$27</f>
        <v>2015-16</v>
      </c>
      <c r="AA3" s="787" t="str">
        <f>Sheet1!$E$27</f>
        <v>2016-17</v>
      </c>
      <c r="AB3" s="787" t="str">
        <f>Sheet1!$F$27</f>
        <v>2017-18</v>
      </c>
      <c r="AC3" s="787" t="str">
        <f>Sheet1!$G$27</f>
        <v>2018-19</v>
      </c>
      <c r="AD3" s="788" t="str">
        <f>Sheet1!$H$27</f>
        <v>2019-20</v>
      </c>
      <c r="AI3" s="184"/>
      <c r="AJ3" s="157"/>
    </row>
    <row r="4" spans="1:41" ht="11.1" customHeight="1" x14ac:dyDescent="0.2">
      <c r="A4" s="112"/>
      <c r="B4" s="113"/>
      <c r="C4" s="113"/>
      <c r="D4" s="113"/>
      <c r="E4" s="113"/>
      <c r="F4" s="113"/>
      <c r="G4" s="113"/>
      <c r="H4" s="113"/>
      <c r="I4" s="113"/>
      <c r="J4" s="113"/>
      <c r="K4" s="114"/>
      <c r="L4" s="113"/>
      <c r="M4" s="113"/>
      <c r="N4" s="113"/>
      <c r="O4" s="113"/>
      <c r="P4" s="113"/>
      <c r="Q4" s="113"/>
      <c r="R4" s="113"/>
      <c r="S4" s="113"/>
      <c r="T4" s="113"/>
      <c r="U4" s="115"/>
      <c r="V4" s="137"/>
      <c r="W4" s="150"/>
      <c r="Y4" s="186" t="str">
        <f>Home!$D$10</f>
        <v>(none)</v>
      </c>
      <c r="Z4" s="42" t="str">
        <f>"Selected LA- "&amp;Y4</f>
        <v>Selected LA- (none)</v>
      </c>
      <c r="AI4" s="184"/>
      <c r="AJ4" s="157"/>
    </row>
    <row r="5" spans="1:41" s="76" customFormat="1" ht="15" customHeight="1" x14ac:dyDescent="0.2">
      <c r="A5" s="461"/>
      <c r="B5" s="1746" t="str">
        <f>"Early Help Assessments (Children) completed in"&amp;Z1</f>
        <v>Early Help Assessments (Children) completed in the year ending 31st March</v>
      </c>
      <c r="C5" s="1746"/>
      <c r="D5" s="1746"/>
      <c r="E5" s="1746"/>
      <c r="F5" s="1746"/>
      <c r="G5" s="1746"/>
      <c r="H5" s="1746"/>
      <c r="I5" s="1746"/>
      <c r="J5" s="1746"/>
      <c r="K5" s="1746"/>
      <c r="L5" s="1746"/>
      <c r="M5" s="1746"/>
      <c r="N5" s="1746"/>
      <c r="O5" s="1746"/>
      <c r="P5" s="1746"/>
      <c r="Q5" s="1746"/>
      <c r="R5" s="1746"/>
      <c r="S5" s="1746"/>
      <c r="T5" s="1746"/>
      <c r="U5" s="120"/>
      <c r="V5" s="138"/>
      <c r="W5" s="151"/>
      <c r="X5" s="81"/>
      <c r="Y5" s="188"/>
      <c r="Z5" s="188"/>
      <c r="AA5" s="188"/>
      <c r="AB5" s="188"/>
      <c r="AC5" s="188"/>
      <c r="AD5" s="188"/>
      <c r="AE5" s="188"/>
      <c r="AF5" s="188"/>
      <c r="AG5" s="188"/>
      <c r="AH5" s="188"/>
      <c r="AI5" s="188"/>
      <c r="AJ5" s="158"/>
      <c r="AK5" s="854" t="s">
        <v>675</v>
      </c>
    </row>
    <row r="6" spans="1:41" ht="13.5" customHeight="1" x14ac:dyDescent="0.2">
      <c r="A6" s="278"/>
      <c r="B6" s="1746"/>
      <c r="C6" s="1746"/>
      <c r="D6" s="1746"/>
      <c r="E6" s="1746"/>
      <c r="F6" s="1746"/>
      <c r="G6" s="1746"/>
      <c r="H6" s="1746"/>
      <c r="I6" s="1746"/>
      <c r="J6" s="1746"/>
      <c r="K6" s="1746"/>
      <c r="L6" s="1746"/>
      <c r="M6" s="1746"/>
      <c r="N6" s="1746"/>
      <c r="O6" s="1746"/>
      <c r="P6" s="1746"/>
      <c r="Q6" s="1746"/>
      <c r="R6" s="1746"/>
      <c r="S6" s="1746"/>
      <c r="T6" s="1746"/>
      <c r="U6" s="117"/>
      <c r="V6" s="137"/>
      <c r="W6" s="150"/>
      <c r="Y6" s="190"/>
      <c r="AI6" s="184"/>
      <c r="AJ6" s="157"/>
    </row>
    <row r="7" spans="1:41" s="87" customFormat="1" ht="12.6" customHeight="1" x14ac:dyDescent="0.2">
      <c r="A7" s="292"/>
      <c r="B7" s="1789" t="s">
        <v>205</v>
      </c>
      <c r="C7" s="85"/>
      <c r="D7" s="1757" t="s">
        <v>88</v>
      </c>
      <c r="E7" s="1758"/>
      <c r="F7" s="1758"/>
      <c r="G7" s="1758"/>
      <c r="H7" s="1759"/>
      <c r="I7" s="1752" t="str">
        <f>"Average "&amp;Sheet1!C3&amp;" Change "</f>
        <v xml:space="preserve">Average Annual Change </v>
      </c>
      <c r="J7" s="1753"/>
      <c r="K7" s="96"/>
      <c r="L7" s="1757" t="s">
        <v>89</v>
      </c>
      <c r="M7" s="1758"/>
      <c r="N7" s="1758"/>
      <c r="O7" s="1758"/>
      <c r="P7" s="1758"/>
      <c r="Q7" s="1758"/>
      <c r="R7" s="1759"/>
      <c r="S7" s="85"/>
      <c r="T7" s="1731" t="s">
        <v>1213</v>
      </c>
      <c r="U7" s="122"/>
      <c r="V7" s="139"/>
      <c r="W7" s="152"/>
      <c r="X7" s="202"/>
      <c r="Y7" s="202"/>
      <c r="AA7" s="203" t="s">
        <v>79</v>
      </c>
      <c r="AB7" s="190"/>
      <c r="AC7" s="190"/>
      <c r="AD7" s="199"/>
      <c r="AE7" s="199"/>
      <c r="AF7" s="204" t="s">
        <v>94</v>
      </c>
      <c r="AG7" s="190"/>
      <c r="AH7" s="190"/>
      <c r="AI7" s="202"/>
      <c r="AJ7" s="160"/>
      <c r="AK7" s="575"/>
      <c r="AL7" s="575"/>
      <c r="AM7" s="575"/>
      <c r="AN7" s="575"/>
      <c r="AO7" s="575"/>
    </row>
    <row r="8" spans="1:41" s="87" customFormat="1" ht="12.75" customHeight="1" x14ac:dyDescent="0.2">
      <c r="A8" s="292"/>
      <c r="B8" s="1789"/>
      <c r="C8" s="85"/>
      <c r="D8" s="789" t="str">
        <f>Sheet1!$D$27</f>
        <v>2015-16</v>
      </c>
      <c r="E8" s="790" t="str">
        <f>Sheet1!$E$27</f>
        <v>2016-17</v>
      </c>
      <c r="F8" s="790" t="str">
        <f>Sheet1!$F$27</f>
        <v>2017-18</v>
      </c>
      <c r="G8" s="790" t="str">
        <f>Sheet1!$G$27</f>
        <v>2018-19</v>
      </c>
      <c r="H8" s="843" t="str">
        <f>Sheet1!$H$27</f>
        <v>2019-20</v>
      </c>
      <c r="I8" s="1754"/>
      <c r="J8" s="1755"/>
      <c r="K8" s="96"/>
      <c r="L8" s="789" t="str">
        <f>Sheet1!$D$27</f>
        <v>2015-16</v>
      </c>
      <c r="M8" s="790" t="str">
        <f>Sheet1!$E$27</f>
        <v>2016-17</v>
      </c>
      <c r="N8" s="790" t="str">
        <f>Sheet1!$F$27</f>
        <v>2017-18</v>
      </c>
      <c r="O8" s="790" t="str">
        <f>Sheet1!$G$27</f>
        <v>2018-19</v>
      </c>
      <c r="P8" s="1741" t="str">
        <f>Sheet1!$H$27</f>
        <v>2019-20</v>
      </c>
      <c r="Q8" s="1780"/>
      <c r="R8" s="1744" t="str">
        <f>IF(ISNA(P9),"SE Rank "&amp;P8,"SE Rank "&amp;P9)</f>
        <v>SE Rank 2019-20</v>
      </c>
      <c r="S8" s="465"/>
      <c r="T8" s="1743"/>
      <c r="U8" s="122"/>
      <c r="V8" s="139"/>
      <c r="W8" s="152"/>
      <c r="X8" s="202"/>
      <c r="Y8" s="1786" t="s">
        <v>76</v>
      </c>
      <c r="Z8" s="1786" t="s">
        <v>77</v>
      </c>
      <c r="AA8" s="43" t="str">
        <f>Sheet1!$D$27</f>
        <v>2015-16</v>
      </c>
      <c r="AB8" s="43" t="str">
        <f>Sheet1!$E$27</f>
        <v>2016-17</v>
      </c>
      <c r="AC8" s="43" t="str">
        <f>Sheet1!$F$27</f>
        <v>2017-18</v>
      </c>
      <c r="AD8" s="43" t="str">
        <f>Sheet1!$G$27</f>
        <v>2018-19</v>
      </c>
      <c r="AE8" s="43" t="str">
        <f>Sheet1!$H$27</f>
        <v>2019-20</v>
      </c>
      <c r="AF8" s="190"/>
      <c r="AG8" s="190"/>
      <c r="AH8" s="190"/>
      <c r="AI8" s="202"/>
      <c r="AJ8" s="160"/>
      <c r="AK8" s="845"/>
      <c r="AL8" s="845"/>
      <c r="AM8" s="845"/>
      <c r="AN8" s="845"/>
      <c r="AO8" s="845"/>
    </row>
    <row r="9" spans="1:41" s="87" customFormat="1" ht="12.75" customHeight="1" x14ac:dyDescent="0.2">
      <c r="A9" s="292"/>
      <c r="B9" s="1790"/>
      <c r="C9" s="85"/>
      <c r="D9" s="792" t="e">
        <f>Sheet1!$D$28</f>
        <v>#N/A</v>
      </c>
      <c r="E9" s="792" t="e">
        <f>Sheet1!$E$28</f>
        <v>#N/A</v>
      </c>
      <c r="F9" s="792" t="e">
        <f>Sheet1!$F$28</f>
        <v>#N/A</v>
      </c>
      <c r="G9" s="792" t="e">
        <f>Sheet1!$G$28</f>
        <v>#N/A</v>
      </c>
      <c r="H9" s="842" t="e">
        <f>Sheet1!$H$28</f>
        <v>#N/A</v>
      </c>
      <c r="I9" s="1754"/>
      <c r="J9" s="1756"/>
      <c r="K9" s="784"/>
      <c r="L9" s="792" t="e">
        <f>Sheet1!$D$28</f>
        <v>#N/A</v>
      </c>
      <c r="M9" s="792" t="e">
        <f>Sheet1!$E$28</f>
        <v>#N/A</v>
      </c>
      <c r="N9" s="792" t="e">
        <f>Sheet1!$F$28</f>
        <v>#N/A</v>
      </c>
      <c r="O9" s="792" t="e">
        <f>Sheet1!$G$28</f>
        <v>#N/A</v>
      </c>
      <c r="P9" s="1739" t="e">
        <f>Sheet1!$H$28</f>
        <v>#N/A</v>
      </c>
      <c r="Q9" s="1781"/>
      <c r="R9" s="1745"/>
      <c r="S9" s="465"/>
      <c r="T9" s="1732"/>
      <c r="U9" s="122"/>
      <c r="V9" s="139"/>
      <c r="W9" s="152"/>
      <c r="X9" s="202"/>
      <c r="Y9" s="1786"/>
      <c r="Z9" s="1786"/>
      <c r="AA9" s="43" t="e">
        <f>Sheet1!$D$28</f>
        <v>#N/A</v>
      </c>
      <c r="AB9" s="43" t="e">
        <f>Sheet1!$E$28</f>
        <v>#N/A</v>
      </c>
      <c r="AC9" s="43" t="e">
        <f>Sheet1!$F$28</f>
        <v>#N/A</v>
      </c>
      <c r="AD9" s="43" t="e">
        <f>Sheet1!$G$28</f>
        <v>#N/A</v>
      </c>
      <c r="AE9" s="43" t="e">
        <f>Sheet1!$H$28</f>
        <v>#N/A</v>
      </c>
      <c r="AF9" s="190"/>
      <c r="AG9" s="190">
        <f>COLUMNS(B$4:P$4)</f>
        <v>15</v>
      </c>
      <c r="AH9" s="190"/>
      <c r="AI9" s="202"/>
      <c r="AJ9" s="160"/>
      <c r="AK9" s="847" t="s">
        <v>676</v>
      </c>
      <c r="AL9" s="847" t="s">
        <v>677</v>
      </c>
      <c r="AM9" s="847" t="s">
        <v>678</v>
      </c>
      <c r="AN9" s="847" t="s">
        <v>679</v>
      </c>
      <c r="AO9" s="847" t="s">
        <v>680</v>
      </c>
    </row>
    <row r="10" spans="1:41" s="87" customFormat="1" ht="13.5" customHeight="1" x14ac:dyDescent="0.2">
      <c r="A10" s="488">
        <f>VLOOKUP(B10,Sheet1!$AQ$4:$AR$25,2,FALSE)</f>
        <v>0</v>
      </c>
      <c r="B10" s="93" t="str">
        <f>Sheet1!$K$4</f>
        <v>Bracknell Forest</v>
      </c>
      <c r="C10" s="85"/>
      <c r="D10" s="94" t="str">
        <f>IF(Year1_Bracknell_Forest Year1_EarlyHelpAssessments="","",Year1_Bracknell_Forest Year1_EarlyHelpAssessments)</f>
        <v/>
      </c>
      <c r="E10" s="94" t="str">
        <f>IF(Year2_Bracknell_Forest Year2_EarlyHelpAssessments="","",Year2_Bracknell_Forest Year2_EarlyHelpAssessments)</f>
        <v/>
      </c>
      <c r="F10" s="94" t="str">
        <f>IF(Year3_Bracknell_Forest Year3_EarlyHelpAssessments="","",Year3_Bracknell_Forest Year3_EarlyHelpAssessments)</f>
        <v/>
      </c>
      <c r="G10" s="94" t="str">
        <f>IF(Year4_Bracknell_Forest Year4_EarlyHelpAssessments="","",Year4_Bracknell_Forest Year4_EarlyHelpAssessments)</f>
        <v/>
      </c>
      <c r="H10" s="848" t="str">
        <f>IF(Year5_Bracknell_Forest Year5_EarlyHelpAssessments="","",Year5_Bracknell_Forest Year5_EarlyHelpAssessments)</f>
        <v/>
      </c>
      <c r="I10" s="860" t="str">
        <f t="shared" ref="I10:I32" si="0">AO10</f>
        <v/>
      </c>
      <c r="J10" s="863" t="str">
        <f t="shared" ref="J10:J32" si="1">I10</f>
        <v/>
      </c>
      <c r="K10" s="96"/>
      <c r="L10" s="97" t="e">
        <f>IF(ISNUMBER(D10),D10/Population!D10*10000,NA())</f>
        <v>#N/A</v>
      </c>
      <c r="M10" s="97" t="e">
        <f>IF(ISNUMBER(E10),E10/Population!E10*10000,NA())</f>
        <v>#N/A</v>
      </c>
      <c r="N10" s="97" t="e">
        <f>IF(ISNUMBER(F10),F10/Population!F10*10000,NA())</f>
        <v>#N/A</v>
      </c>
      <c r="O10" s="97" t="e">
        <f>IF(ISNUMBER(G10),G10/Population!G10*10000,NA())</f>
        <v>#N/A</v>
      </c>
      <c r="P10" s="98" t="e">
        <f>IF(ISNUMBER(H10),H10/Population!H10*10000,NA())</f>
        <v>#N/A</v>
      </c>
      <c r="Q10" s="99" t="str">
        <f>IF(ISNUMBER(P10),P10,"")</f>
        <v/>
      </c>
      <c r="R10" s="822" t="e">
        <f t="shared" ref="R10:R31" si="2">IF(ISNA(VLOOKUP(B10,$AF$10:$AH$28,3,FALSE)),"--",IF(ISNUMBER(H10),VLOOKUP(B10,$AF$10:$AH$28,3,FALSE),NA()))</f>
        <v>#N/A</v>
      </c>
      <c r="S10" s="85"/>
      <c r="T10" s="99">
        <f>IF(H10&gt;0,IDACI!C9,NA())</f>
        <v>8.9</v>
      </c>
      <c r="U10" s="122"/>
      <c r="V10" s="139"/>
      <c r="W10" s="152"/>
      <c r="X10" s="72" t="str">
        <f t="shared" ref="X10:X32" si="3">B10</f>
        <v>Bracknell Forest</v>
      </c>
      <c r="Y10" s="44">
        <f>IF(ISNUMBER($H10),IDACI!D9,0)</f>
        <v>0</v>
      </c>
      <c r="Z10" s="44">
        <f>IF(ISNUMBER($H10),IDACI!E9,0)</f>
        <v>0</v>
      </c>
      <c r="AA10" s="205" t="str">
        <f>IF(ISNUMBER(D10),Population!D10,"")</f>
        <v/>
      </c>
      <c r="AB10" s="205" t="str">
        <f>IF(ISNUMBER(E10),Population!E10,"")</f>
        <v/>
      </c>
      <c r="AC10" s="205" t="str">
        <f>IF(ISNUMBER(F10),Population!F10,"")</f>
        <v/>
      </c>
      <c r="AD10" s="205" t="str">
        <f>IF(ISNUMBER(G10),Population!G10,"")</f>
        <v/>
      </c>
      <c r="AE10" s="205" t="str">
        <f>IF(ISNUMBER(H10),Population!H10,"")</f>
        <v/>
      </c>
      <c r="AF10" s="93" t="str">
        <f>B10</f>
        <v>Bracknell Forest</v>
      </c>
      <c r="AG10" s="231" t="str">
        <f>IFERROR(VLOOKUP(AF10,$B$10:$P$31,$AG$9,FALSE),"")</f>
        <v/>
      </c>
      <c r="AH10" s="206" t="e">
        <f>RANK(AG10,$AG$10:$AG$28,1)</f>
        <v>#VALUE!</v>
      </c>
      <c r="AI10" s="202"/>
      <c r="AJ10" s="160"/>
      <c r="AK10" s="853" t="str">
        <f t="shared" ref="AK10:AK31" si="4">IF(ISERROR((E10-D10)/D10),"x",(E10-D10)/D10)</f>
        <v>x</v>
      </c>
      <c r="AL10" s="853" t="str">
        <f t="shared" ref="AL10:AL31" si="5">IF(ISERROR((F10-E10)/E10),"x",(F10-E10)/E10)</f>
        <v>x</v>
      </c>
      <c r="AM10" s="853" t="str">
        <f t="shared" ref="AM10:AM31" si="6">IF(ISERROR((G10-F10)/F10),"x",(G10-F10)/F10)</f>
        <v>x</v>
      </c>
      <c r="AN10" s="853" t="str">
        <f t="shared" ref="AN10:AN31" si="7">IF(ISERROR((H10-G10)/G10),"x",(H10-G10)/G10)</f>
        <v>x</v>
      </c>
      <c r="AO10" s="853" t="str">
        <f>IF(ISERROR(AVERAGE(AK10:AN10)),"",AVERAGE(AK10:AN10))</f>
        <v/>
      </c>
    </row>
    <row r="11" spans="1:41" s="87" customFormat="1" ht="13.5" customHeight="1" x14ac:dyDescent="0.2">
      <c r="A11" s="488">
        <f>VLOOKUP(B11,Sheet1!$AQ$4:$AR$25,2,FALSE)</f>
        <v>0</v>
      </c>
      <c r="B11" s="93" t="str">
        <f>Sheet1!$K$5</f>
        <v>Brighton &amp; Hove</v>
      </c>
      <c r="C11" s="85"/>
      <c r="D11" s="94" t="str">
        <f>IF(Year1_Brighton_Hove Year1_EarlyHelpAssessments="","",Year1_Brighton_Hove Year1_EarlyHelpAssessments)</f>
        <v/>
      </c>
      <c r="E11" s="94" t="str">
        <f>IF(Year2_Brighton_Hove Year2_EarlyHelpAssessments="","",Year2_Brighton_Hove Year2_EarlyHelpAssessments)</f>
        <v/>
      </c>
      <c r="F11" s="94" t="str">
        <f>IF(Year3_Brighton_Hove Year3_EarlyHelpAssessments="","",Year3_Brighton_Hove Year3_EarlyHelpAssessments)</f>
        <v/>
      </c>
      <c r="G11" s="94" t="str">
        <f>IF(Year4_Brighton_Hove Year4_EarlyHelpAssessments="","",Year4_Brighton_Hove Year4_EarlyHelpAssessments)</f>
        <v/>
      </c>
      <c r="H11" s="848" t="str">
        <f>IF(Year5_Brighton_Hove Year5_EarlyHelpAssessments="","",Year5_Brighton_Hove Year5_EarlyHelpAssessments)</f>
        <v/>
      </c>
      <c r="I11" s="861" t="str">
        <f t="shared" si="0"/>
        <v/>
      </c>
      <c r="J11" s="863" t="str">
        <f t="shared" si="1"/>
        <v/>
      </c>
      <c r="K11" s="96"/>
      <c r="L11" s="97" t="e">
        <f>IF(ISNUMBER(D11),D11/Population!D11*10000,NA())</f>
        <v>#N/A</v>
      </c>
      <c r="M11" s="97" t="e">
        <f>IF(ISNUMBER(E11),E11/Population!E11*10000,NA())</f>
        <v>#N/A</v>
      </c>
      <c r="N11" s="97" t="e">
        <f>IF(ISNUMBER(F11),F11/Population!F11*10000,NA())</f>
        <v>#N/A</v>
      </c>
      <c r="O11" s="97" t="e">
        <f>IF(ISNUMBER(G11),G11/Population!G11*10000,NA())</f>
        <v>#N/A</v>
      </c>
      <c r="P11" s="98" t="e">
        <f>IF(ISNUMBER(H11),H11/Population!H11*10000,NA())</f>
        <v>#N/A</v>
      </c>
      <c r="Q11" s="99" t="str">
        <f t="shared" ref="Q11:Q32" si="8">IF(ISNUMBER(P11),P11,"")</f>
        <v/>
      </c>
      <c r="R11" s="822" t="e">
        <f t="shared" si="2"/>
        <v>#N/A</v>
      </c>
      <c r="S11" s="85"/>
      <c r="T11" s="99">
        <f>IF(H11&gt;0,IDACI!C10,NA())</f>
        <v>15.299999999999999</v>
      </c>
      <c r="U11" s="122"/>
      <c r="V11" s="139"/>
      <c r="W11" s="152"/>
      <c r="X11" s="72" t="str">
        <f t="shared" si="3"/>
        <v>Brighton &amp; Hove</v>
      </c>
      <c r="Y11" s="44">
        <f>IF(ISNUMBER($H11),IDACI!D10,0)</f>
        <v>0</v>
      </c>
      <c r="Z11" s="44">
        <f>IF(ISNUMBER($H11),IDACI!E10,0)</f>
        <v>0</v>
      </c>
      <c r="AA11" s="205" t="str">
        <f>IF(ISNUMBER(D11),Population!D11,"")</f>
        <v/>
      </c>
      <c r="AB11" s="205" t="str">
        <f>IF(ISNUMBER(E11),Population!E11,"")</f>
        <v/>
      </c>
      <c r="AC11" s="205" t="str">
        <f>IF(ISNUMBER(F11),Population!F11,"")</f>
        <v/>
      </c>
      <c r="AD11" s="205" t="str">
        <f>IF(ISNUMBER(G11),Population!G11,"")</f>
        <v/>
      </c>
      <c r="AE11" s="205" t="str">
        <f>IF(ISNUMBER(H11),Population!H11,"")</f>
        <v/>
      </c>
      <c r="AF11" s="93" t="s">
        <v>31</v>
      </c>
      <c r="AG11" s="231" t="str">
        <f t="shared" ref="AG11:AG28" si="9">IFERROR(VLOOKUP(AF11,$B$10:$P$31,$AG$9,FALSE),"")</f>
        <v/>
      </c>
      <c r="AH11" s="206" t="e">
        <f t="shared" ref="AH11:AH27" si="10">RANK(AG11,$AG$10:$AG$28,1)</f>
        <v>#VALUE!</v>
      </c>
      <c r="AI11" s="202"/>
      <c r="AJ11" s="160"/>
      <c r="AK11" s="853" t="str">
        <f t="shared" si="4"/>
        <v>x</v>
      </c>
      <c r="AL11" s="853" t="str">
        <f t="shared" si="5"/>
        <v>x</v>
      </c>
      <c r="AM11" s="853" t="str">
        <f t="shared" si="6"/>
        <v>x</v>
      </c>
      <c r="AN11" s="853" t="str">
        <f t="shared" si="7"/>
        <v>x</v>
      </c>
      <c r="AO11" s="853" t="str">
        <f t="shared" ref="AO11:AO32" si="11">IF(ISERROR(AVERAGE(AK11:AN11)),"",AVERAGE(AK11:AN11))</f>
        <v/>
      </c>
    </row>
    <row r="12" spans="1:41" s="87" customFormat="1" ht="13.5" customHeight="1" x14ac:dyDescent="0.2">
      <c r="A12" s="488">
        <f>VLOOKUP(B12,Sheet1!$AQ$4:$AR$25,2,FALSE)</f>
        <v>0</v>
      </c>
      <c r="B12" s="93" t="str">
        <f>Sheet1!$K$6</f>
        <v>Buckinghamshire</v>
      </c>
      <c r="C12" s="85"/>
      <c r="D12" s="94" t="str">
        <f>IF(Year1_Buckinghamshire Year1_EarlyHelpAssessments="","",Year1_Buckinghamshire Year1_EarlyHelpAssessments)</f>
        <v/>
      </c>
      <c r="E12" s="94" t="str">
        <f>IF(Year2_Buckinghamshire Year2_EarlyHelpAssessments="","",Year2_Buckinghamshire Year2_EarlyHelpAssessments)</f>
        <v/>
      </c>
      <c r="F12" s="94" t="str">
        <f>IF(Year3_Buckinghamshire Year3_EarlyHelpAssessments="","",Year3_Buckinghamshire Year3_EarlyHelpAssessments)</f>
        <v/>
      </c>
      <c r="G12" s="94" t="str">
        <f>IF(Year4_Buckinghamshire Year4_EarlyHelpAssessments="","",Year4_Buckinghamshire Year4_EarlyHelpAssessments)</f>
        <v/>
      </c>
      <c r="H12" s="848" t="str">
        <f>IF(Year5_Buckinghamshire Year5_EarlyHelpAssessments="","",Year5_Buckinghamshire Year5_EarlyHelpAssessments)</f>
        <v/>
      </c>
      <c r="I12" s="861" t="str">
        <f t="shared" si="0"/>
        <v/>
      </c>
      <c r="J12" s="863" t="str">
        <f t="shared" si="1"/>
        <v/>
      </c>
      <c r="K12" s="96"/>
      <c r="L12" s="97" t="e">
        <f>IF(ISNUMBER(D12),D12/Population!D12*10000,NA())</f>
        <v>#N/A</v>
      </c>
      <c r="M12" s="97" t="e">
        <f>IF(ISNUMBER(E12),E12/Population!E12*10000,NA())</f>
        <v>#N/A</v>
      </c>
      <c r="N12" s="97" t="e">
        <f>IF(ISNUMBER(F12),F12/Population!F12*10000,NA())</f>
        <v>#N/A</v>
      </c>
      <c r="O12" s="97" t="e">
        <f>IF(ISNUMBER(G12),G12/Population!G12*10000,NA())</f>
        <v>#N/A</v>
      </c>
      <c r="P12" s="98" t="e">
        <f>IF(ISNUMBER(H12),H12/Population!H12*10000,NA())</f>
        <v>#N/A</v>
      </c>
      <c r="Q12" s="99" t="str">
        <f t="shared" si="8"/>
        <v/>
      </c>
      <c r="R12" s="822" t="e">
        <f t="shared" si="2"/>
        <v>#N/A</v>
      </c>
      <c r="S12" s="85"/>
      <c r="T12" s="99">
        <f>IF(H12&gt;0,IDACI!C11,NA())</f>
        <v>8.5</v>
      </c>
      <c r="U12" s="122"/>
      <c r="V12" s="139"/>
      <c r="W12" s="152"/>
      <c r="X12" s="72" t="str">
        <f t="shared" si="3"/>
        <v>Buckinghamshire</v>
      </c>
      <c r="Y12" s="44">
        <f>IF(ISNUMBER($H12),IDACI!D11,0)</f>
        <v>0</v>
      </c>
      <c r="Z12" s="44">
        <f>IF(ISNUMBER($H12),IDACI!E11,0)</f>
        <v>0</v>
      </c>
      <c r="AA12" s="205" t="str">
        <f>IF(ISNUMBER(D12),Population!D12,"")</f>
        <v/>
      </c>
      <c r="AB12" s="205" t="str">
        <f>IF(ISNUMBER(E12),Population!E12,"")</f>
        <v/>
      </c>
      <c r="AC12" s="205" t="str">
        <f>IF(ISNUMBER(F12),Population!F12,"")</f>
        <v/>
      </c>
      <c r="AD12" s="205" t="str">
        <f>IF(ISNUMBER(G12),Population!G12,"")</f>
        <v/>
      </c>
      <c r="AE12" s="205" t="str">
        <f>IF(ISNUMBER(H12),Population!H12,"")</f>
        <v/>
      </c>
      <c r="AF12" s="93" t="s">
        <v>8</v>
      </c>
      <c r="AG12" s="231" t="str">
        <f t="shared" si="9"/>
        <v/>
      </c>
      <c r="AH12" s="206" t="e">
        <f t="shared" si="10"/>
        <v>#VALUE!</v>
      </c>
      <c r="AI12" s="202"/>
      <c r="AJ12" s="160"/>
      <c r="AK12" s="853" t="str">
        <f t="shared" si="4"/>
        <v>x</v>
      </c>
      <c r="AL12" s="853" t="str">
        <f t="shared" si="5"/>
        <v>x</v>
      </c>
      <c r="AM12" s="853" t="str">
        <f t="shared" si="6"/>
        <v>x</v>
      </c>
      <c r="AN12" s="853" t="str">
        <f t="shared" si="7"/>
        <v>x</v>
      </c>
      <c r="AO12" s="853" t="str">
        <f t="shared" si="11"/>
        <v/>
      </c>
    </row>
    <row r="13" spans="1:41" s="87" customFormat="1" ht="13.5" customHeight="1" x14ac:dyDescent="0.2">
      <c r="A13" s="488">
        <f>VLOOKUP(B13,Sheet1!$AQ$4:$AR$25,2,FALSE)</f>
        <v>0</v>
      </c>
      <c r="B13" s="93" t="str">
        <f>Sheet1!$K$7</f>
        <v>East Sussex</v>
      </c>
      <c r="C13" s="85"/>
      <c r="D13" s="94" t="str">
        <f>IF(Year1_East_Sussex Year1_EarlyHelpAssessments="","",Year1_East_Sussex Year1_EarlyHelpAssessments)</f>
        <v/>
      </c>
      <c r="E13" s="100" t="str">
        <f>IF(Year2_East_Sussex Year2_EarlyHelpAssessments="","",Year2_East_Sussex Year2_EarlyHelpAssessments)</f>
        <v/>
      </c>
      <c r="F13" s="94" t="str">
        <f>IF(Year3_East_Sussex Year3_EarlyHelpAssessments="","",Year3_East_Sussex Year3_EarlyHelpAssessments)</f>
        <v/>
      </c>
      <c r="G13" s="94" t="str">
        <f>IF(Year4_East_Sussex Year4_EarlyHelpAssessments="","",Year4_East_Sussex Year4_EarlyHelpAssessments)</f>
        <v/>
      </c>
      <c r="H13" s="848" t="str">
        <f>IF(Year5_East_Sussex Year5_EarlyHelpAssessments="","",Year5_East_Sussex Year5_EarlyHelpAssessments)</f>
        <v/>
      </c>
      <c r="I13" s="861" t="str">
        <f t="shared" si="0"/>
        <v/>
      </c>
      <c r="J13" s="863" t="str">
        <f t="shared" si="1"/>
        <v/>
      </c>
      <c r="K13" s="96"/>
      <c r="L13" s="97" t="e">
        <f>IF(ISNUMBER(D13),D13/Population!D13*10000,NA())</f>
        <v>#N/A</v>
      </c>
      <c r="M13" s="97" t="e">
        <f>IF(ISNUMBER(E13),E13/Population!E13*10000,NA())</f>
        <v>#N/A</v>
      </c>
      <c r="N13" s="97" t="e">
        <f>IF(ISNUMBER(F13),F13/Population!F13*10000,NA())</f>
        <v>#N/A</v>
      </c>
      <c r="O13" s="97" t="e">
        <f>IF(ISNUMBER(G13),G13/Population!G13*10000,NA())</f>
        <v>#N/A</v>
      </c>
      <c r="P13" s="98" t="e">
        <f>IF(ISNUMBER(H13),H13/Population!H13*10000,NA())</f>
        <v>#N/A</v>
      </c>
      <c r="Q13" s="99" t="str">
        <f t="shared" si="8"/>
        <v/>
      </c>
      <c r="R13" s="822" t="e">
        <f t="shared" si="2"/>
        <v>#N/A</v>
      </c>
      <c r="S13" s="85"/>
      <c r="T13" s="99">
        <f>IF(H13&gt;0,IDACI!C12,NA())</f>
        <v>16.100000000000001</v>
      </c>
      <c r="U13" s="122"/>
      <c r="V13" s="139"/>
      <c r="W13" s="152"/>
      <c r="X13" s="72" t="str">
        <f t="shared" si="3"/>
        <v>East Sussex</v>
      </c>
      <c r="Y13" s="44">
        <f>IF(ISNUMBER($H13),IDACI!D12,0)</f>
        <v>0</v>
      </c>
      <c r="Z13" s="44">
        <f>IF(ISNUMBER($H13),IDACI!E12,0)</f>
        <v>0</v>
      </c>
      <c r="AA13" s="205" t="str">
        <f>IF(ISNUMBER(D13),Population!D13,"")</f>
        <v/>
      </c>
      <c r="AB13" s="205" t="str">
        <f>IF(ISNUMBER(E13),Population!E13,"")</f>
        <v/>
      </c>
      <c r="AC13" s="205" t="str">
        <f>IF(ISNUMBER(F13),Population!F13,"")</f>
        <v/>
      </c>
      <c r="AD13" s="205" t="str">
        <f>IF(ISNUMBER(G13),Population!G13,"")</f>
        <v/>
      </c>
      <c r="AE13" s="205" t="str">
        <f>IF(ISNUMBER(H13),Population!H13,"")</f>
        <v/>
      </c>
      <c r="AF13" s="93" t="s">
        <v>4</v>
      </c>
      <c r="AG13" s="231" t="str">
        <f t="shared" si="9"/>
        <v/>
      </c>
      <c r="AH13" s="206" t="e">
        <f t="shared" si="10"/>
        <v>#VALUE!</v>
      </c>
      <c r="AI13" s="202"/>
      <c r="AJ13" s="160"/>
      <c r="AK13" s="853" t="str">
        <f t="shared" si="4"/>
        <v>x</v>
      </c>
      <c r="AL13" s="853" t="str">
        <f t="shared" si="5"/>
        <v>x</v>
      </c>
      <c r="AM13" s="853" t="str">
        <f t="shared" si="6"/>
        <v>x</v>
      </c>
      <c r="AN13" s="853" t="str">
        <f t="shared" si="7"/>
        <v>x</v>
      </c>
      <c r="AO13" s="853" t="str">
        <f t="shared" si="11"/>
        <v/>
      </c>
    </row>
    <row r="14" spans="1:41" s="87" customFormat="1" ht="13.5" customHeight="1" x14ac:dyDescent="0.2">
      <c r="A14" s="488">
        <f>VLOOKUP(B14,Sheet1!$AQ$4:$AR$25,2,FALSE)</f>
        <v>0</v>
      </c>
      <c r="B14" s="93" t="str">
        <f>Sheet1!$K$8</f>
        <v>Hampshire</v>
      </c>
      <c r="C14" s="85"/>
      <c r="D14" s="94" t="str">
        <f>IF(Year1_Hampshire Year1_EarlyHelpAssessments="","",Year1_Hampshire Year1_EarlyHelpAssessments)</f>
        <v/>
      </c>
      <c r="E14" s="94" t="str">
        <f>IF(Year2_Hampshire Year2_EarlyHelpAssessments="","",Year2_Hampshire Year2_EarlyHelpAssessments)</f>
        <v/>
      </c>
      <c r="F14" s="101" t="str">
        <f>IF(Year3_Hampshire Year3_EarlyHelpAssessments="","",Year3_Hampshire Year3_EarlyHelpAssessments)</f>
        <v/>
      </c>
      <c r="G14" s="101" t="str">
        <f>IF(Year4_Hampshire Year4_EarlyHelpAssessments="","",Year4_Hampshire Year4_EarlyHelpAssessments)</f>
        <v/>
      </c>
      <c r="H14" s="849" t="str">
        <f>IF(Year5_Hampshire Year5_EarlyHelpAssessments="","",Year5_Hampshire Year5_EarlyHelpAssessments)</f>
        <v/>
      </c>
      <c r="I14" s="861" t="str">
        <f t="shared" si="0"/>
        <v/>
      </c>
      <c r="J14" s="863" t="str">
        <f t="shared" si="1"/>
        <v/>
      </c>
      <c r="K14" s="96"/>
      <c r="L14" s="97" t="e">
        <f>IF(ISNUMBER(D14),D14/Population!D14*10000,NA())</f>
        <v>#N/A</v>
      </c>
      <c r="M14" s="97" t="e">
        <f>IF(ISNUMBER(E14),E14/Population!E14*10000,NA())</f>
        <v>#N/A</v>
      </c>
      <c r="N14" s="97" t="e">
        <f>IF(ISNUMBER(F14),F14/Population!F14*10000,NA())</f>
        <v>#N/A</v>
      </c>
      <c r="O14" s="97" t="e">
        <f>IF(ISNUMBER(G14),G14/Population!G14*10000,NA())</f>
        <v>#N/A</v>
      </c>
      <c r="P14" s="98" t="e">
        <f>IF(ISNUMBER(H14),H14/Population!H14*10000,NA())</f>
        <v>#N/A</v>
      </c>
      <c r="Q14" s="99" t="str">
        <f t="shared" si="8"/>
        <v/>
      </c>
      <c r="R14" s="822" t="e">
        <f t="shared" si="2"/>
        <v>#N/A</v>
      </c>
      <c r="S14" s="85"/>
      <c r="T14" s="99">
        <f>IF(H14&gt;0,IDACI!C13,NA())</f>
        <v>10.100000000000001</v>
      </c>
      <c r="U14" s="122"/>
      <c r="V14" s="139"/>
      <c r="W14" s="152"/>
      <c r="X14" s="72" t="str">
        <f t="shared" si="3"/>
        <v>Hampshire</v>
      </c>
      <c r="Y14" s="44">
        <f>IF(ISNUMBER($H14),IDACI!D13,0)</f>
        <v>0</v>
      </c>
      <c r="Z14" s="44">
        <f>IF(ISNUMBER($H14),IDACI!E13,0)</f>
        <v>0</v>
      </c>
      <c r="AA14" s="205" t="str">
        <f>IF(ISNUMBER(D14),Population!D14,"")</f>
        <v/>
      </c>
      <c r="AB14" s="205" t="str">
        <f>IF(ISNUMBER(E14),Population!E14,"")</f>
        <v/>
      </c>
      <c r="AC14" s="205" t="str">
        <f>IF(ISNUMBER(F14),Population!F14,"")</f>
        <v/>
      </c>
      <c r="AD14" s="205" t="str">
        <f>IF(ISNUMBER(G14),Population!G14,"")</f>
        <v/>
      </c>
      <c r="AE14" s="205" t="str">
        <f>IF(ISNUMBER(H14),Population!H14,"")</f>
        <v/>
      </c>
      <c r="AF14" s="93" t="s">
        <v>6</v>
      </c>
      <c r="AG14" s="231" t="str">
        <f t="shared" si="9"/>
        <v/>
      </c>
      <c r="AH14" s="206" t="e">
        <f t="shared" si="10"/>
        <v>#VALUE!</v>
      </c>
      <c r="AI14" s="202"/>
      <c r="AJ14" s="160"/>
      <c r="AK14" s="853" t="str">
        <f t="shared" si="4"/>
        <v>x</v>
      </c>
      <c r="AL14" s="853" t="str">
        <f t="shared" si="5"/>
        <v>x</v>
      </c>
      <c r="AM14" s="853" t="str">
        <f t="shared" si="6"/>
        <v>x</v>
      </c>
      <c r="AN14" s="853" t="str">
        <f t="shared" si="7"/>
        <v>x</v>
      </c>
      <c r="AO14" s="853" t="str">
        <f t="shared" si="11"/>
        <v/>
      </c>
    </row>
    <row r="15" spans="1:41" s="87" customFormat="1" ht="13.5" customHeight="1" x14ac:dyDescent="0.2">
      <c r="A15" s="488">
        <f>VLOOKUP(B15,Sheet1!$AQ$4:$AR$25,2,FALSE)</f>
        <v>0</v>
      </c>
      <c r="B15" s="93" t="str">
        <f>Sheet1!$K$9</f>
        <v>Isle of Wight</v>
      </c>
      <c r="C15" s="85"/>
      <c r="D15" s="94" t="str">
        <f>IF(Year1_Isle_of_Wight Year1_EarlyHelpAssessments="","",Year1_Isle_of_Wight Year1_EarlyHelpAssessments)</f>
        <v/>
      </c>
      <c r="E15" s="94" t="str">
        <f>IF(Year2_Isle_of_Wight Year2_EarlyHelpAssessments="","",Year2_Isle_of_Wight Year2_EarlyHelpAssessments)</f>
        <v/>
      </c>
      <c r="F15" s="94" t="str">
        <f>IF(Year3_Isle_of_Wight Year3_EarlyHelpAssessments="","",Year3_Isle_of_Wight Year3_EarlyHelpAssessments)</f>
        <v/>
      </c>
      <c r="G15" s="94" t="str">
        <f>IF(Year4_Isle_of_Wight Year4_EarlyHelpAssessments="","",Year4_Isle_of_Wight Year4_EarlyHelpAssessments)</f>
        <v/>
      </c>
      <c r="H15" s="848" t="str">
        <f>IF(Year5_Isle_of_Wight Year5_EarlyHelpAssessments="","",Year5_Isle_of_Wight Year5_EarlyHelpAssessments)</f>
        <v/>
      </c>
      <c r="I15" s="861" t="str">
        <f t="shared" si="0"/>
        <v/>
      </c>
      <c r="J15" s="863" t="str">
        <f t="shared" si="1"/>
        <v/>
      </c>
      <c r="K15" s="96"/>
      <c r="L15" s="97" t="e">
        <f>IF(ISNUMBER(D15),D15/Population!D15*10000,NA())</f>
        <v>#N/A</v>
      </c>
      <c r="M15" s="97" t="e">
        <f>IF(ISNUMBER(E15),E15/Population!E15*10000,NA())</f>
        <v>#N/A</v>
      </c>
      <c r="N15" s="97" t="e">
        <f>IF(ISNUMBER(F15),F15/Population!F15*10000,NA())</f>
        <v>#N/A</v>
      </c>
      <c r="O15" s="97" t="e">
        <f>IF(ISNUMBER(G15),G15/Population!G15*10000,NA())</f>
        <v>#N/A</v>
      </c>
      <c r="P15" s="98" t="e">
        <f>IF(ISNUMBER(H15),H15/Population!H15*10000,NA())</f>
        <v>#N/A</v>
      </c>
      <c r="Q15" s="99" t="str">
        <f t="shared" si="8"/>
        <v/>
      </c>
      <c r="R15" s="822" t="e">
        <f t="shared" si="2"/>
        <v>#N/A</v>
      </c>
      <c r="S15" s="85"/>
      <c r="T15" s="99">
        <f>IF(H15&gt;0,IDACI!C14,NA())</f>
        <v>18</v>
      </c>
      <c r="U15" s="122"/>
      <c r="V15" s="139"/>
      <c r="W15" s="152"/>
      <c r="X15" s="72" t="str">
        <f t="shared" si="3"/>
        <v>Isle of Wight</v>
      </c>
      <c r="Y15" s="44">
        <f>IF(ISNUMBER($H15),IDACI!D14,0)</f>
        <v>0</v>
      </c>
      <c r="Z15" s="44">
        <f>IF(ISNUMBER($H15),IDACI!E14,0)</f>
        <v>0</v>
      </c>
      <c r="AA15" s="205" t="str">
        <f>IF(ISNUMBER(D15),Population!D15,"")</f>
        <v/>
      </c>
      <c r="AB15" s="205" t="str">
        <f>IF(ISNUMBER(E15),Population!E15,"")</f>
        <v/>
      </c>
      <c r="AC15" s="205" t="str">
        <f>IF(ISNUMBER(F15),Population!F15,"")</f>
        <v/>
      </c>
      <c r="AD15" s="205" t="str">
        <f>IF(ISNUMBER(G15),Population!G15,"")</f>
        <v/>
      </c>
      <c r="AE15" s="205" t="str">
        <f>IF(ISNUMBER(H15),Population!H15,"")</f>
        <v/>
      </c>
      <c r="AF15" s="93" t="s">
        <v>1</v>
      </c>
      <c r="AG15" s="231" t="str">
        <f t="shared" si="9"/>
        <v/>
      </c>
      <c r="AH15" s="206" t="e">
        <f t="shared" si="10"/>
        <v>#VALUE!</v>
      </c>
      <c r="AI15" s="202"/>
      <c r="AJ15" s="160"/>
      <c r="AK15" s="853" t="str">
        <f t="shared" si="4"/>
        <v>x</v>
      </c>
      <c r="AL15" s="853" t="str">
        <f t="shared" si="5"/>
        <v>x</v>
      </c>
      <c r="AM15" s="853" t="str">
        <f t="shared" si="6"/>
        <v>x</v>
      </c>
      <c r="AN15" s="853" t="str">
        <f t="shared" si="7"/>
        <v>x</v>
      </c>
      <c r="AO15" s="853" t="str">
        <f t="shared" si="11"/>
        <v/>
      </c>
    </row>
    <row r="16" spans="1:41" s="87" customFormat="1" ht="13.5" customHeight="1" x14ac:dyDescent="0.2">
      <c r="A16" s="488">
        <f>VLOOKUP(B16,Sheet1!$AQ$4:$AR$25,2,FALSE)</f>
        <v>0</v>
      </c>
      <c r="B16" s="93" t="str">
        <f>Sheet1!$K$10</f>
        <v>Kent</v>
      </c>
      <c r="C16" s="85"/>
      <c r="D16" s="94" t="str">
        <f>IF(Year1_Kent Year1_EarlyHelpAssessments="","",Year1_Kent Year1_EarlyHelpAssessments)</f>
        <v/>
      </c>
      <c r="E16" s="94" t="str">
        <f>IF(Year2_Kent Year2_EarlyHelpAssessments="","",Year2_Kent Year2_EarlyHelpAssessments)</f>
        <v/>
      </c>
      <c r="F16" s="94" t="str">
        <f>IF(Year3_Kent Year3_EarlyHelpAssessments="","",Year3_Kent Year3_EarlyHelpAssessments)</f>
        <v/>
      </c>
      <c r="G16" s="94" t="str">
        <f>IF(Year4_Kent Year4_EarlyHelpAssessments="","",Year4_Kent Year4_EarlyHelpAssessments)</f>
        <v/>
      </c>
      <c r="H16" s="848" t="str">
        <f>IF(Year5_Kent Year5_EarlyHelpAssessments="","",Year5_Kent Year5_EarlyHelpAssessments)</f>
        <v/>
      </c>
      <c r="I16" s="861" t="str">
        <f t="shared" si="0"/>
        <v/>
      </c>
      <c r="J16" s="863" t="str">
        <f t="shared" si="1"/>
        <v/>
      </c>
      <c r="K16" s="96"/>
      <c r="L16" s="97" t="e">
        <f>IF(ISNUMBER(D16),D16/Population!D16*10000,NA())</f>
        <v>#N/A</v>
      </c>
      <c r="M16" s="97" t="e">
        <f>IF(ISNUMBER(E16),E16/Population!E16*10000,NA())</f>
        <v>#N/A</v>
      </c>
      <c r="N16" s="97" t="e">
        <f>IF(ISNUMBER(F16),F16/Population!F16*10000,NA())</f>
        <v>#N/A</v>
      </c>
      <c r="O16" s="97" t="e">
        <f>IF(ISNUMBER(G16),G16/Population!G16*10000,NA())</f>
        <v>#N/A</v>
      </c>
      <c r="P16" s="98" t="e">
        <f>IF(ISNUMBER(H16),H16/Population!H16*10000,NA())</f>
        <v>#N/A</v>
      </c>
      <c r="Q16" s="99" t="str">
        <f t="shared" si="8"/>
        <v/>
      </c>
      <c r="R16" s="822" t="e">
        <f t="shared" si="2"/>
        <v>#N/A</v>
      </c>
      <c r="S16" s="85"/>
      <c r="T16" s="99">
        <f>IF(H16&gt;0,IDACI!C15,NA())</f>
        <v>15.8</v>
      </c>
      <c r="U16" s="122"/>
      <c r="V16" s="139"/>
      <c r="W16" s="152"/>
      <c r="X16" s="72" t="str">
        <f t="shared" si="3"/>
        <v>Kent</v>
      </c>
      <c r="Y16" s="44">
        <f>IF(ISNUMBER($H16),IDACI!D15,0)</f>
        <v>0</v>
      </c>
      <c r="Z16" s="44">
        <f>IF(ISNUMBER($H16),IDACI!E15,0)</f>
        <v>0</v>
      </c>
      <c r="AA16" s="205" t="str">
        <f>IF(ISNUMBER(D16),Population!D16,"")</f>
        <v/>
      </c>
      <c r="AB16" s="205" t="str">
        <f>IF(ISNUMBER(E16),Population!E16,"")</f>
        <v/>
      </c>
      <c r="AC16" s="205" t="str">
        <f>IF(ISNUMBER(F16),Population!F16,"")</f>
        <v/>
      </c>
      <c r="AD16" s="205" t="str">
        <f>IF(ISNUMBER(G16),Population!G16,"")</f>
        <v/>
      </c>
      <c r="AE16" s="205" t="str">
        <f>IF(ISNUMBER(H16),Population!H16,"")</f>
        <v/>
      </c>
      <c r="AF16" s="93" t="s">
        <v>9</v>
      </c>
      <c r="AG16" s="231" t="str">
        <f t="shared" si="9"/>
        <v/>
      </c>
      <c r="AH16" s="206" t="e">
        <f t="shared" si="10"/>
        <v>#VALUE!</v>
      </c>
      <c r="AI16" s="202"/>
      <c r="AJ16" s="160"/>
      <c r="AK16" s="853" t="str">
        <f t="shared" si="4"/>
        <v>x</v>
      </c>
      <c r="AL16" s="853" t="str">
        <f t="shared" si="5"/>
        <v>x</v>
      </c>
      <c r="AM16" s="853" t="str">
        <f t="shared" si="6"/>
        <v>x</v>
      </c>
      <c r="AN16" s="853" t="str">
        <f t="shared" si="7"/>
        <v>x</v>
      </c>
      <c r="AO16" s="853" t="str">
        <f t="shared" si="11"/>
        <v/>
      </c>
    </row>
    <row r="17" spans="1:41" s="87" customFormat="1" ht="13.5" customHeight="1" x14ac:dyDescent="0.2">
      <c r="A17" s="488">
        <f>VLOOKUP(B17,Sheet1!$AQ$4:$AR$25,2,FALSE)</f>
        <v>0</v>
      </c>
      <c r="B17" s="93" t="str">
        <f>Sheet1!$K$11</f>
        <v>Medway</v>
      </c>
      <c r="C17" s="85"/>
      <c r="D17" s="94" t="str">
        <f>IF(Year1_Medway Year1_EarlyHelpAssessments="","",Year1_Medway Year1_EarlyHelpAssessments)</f>
        <v/>
      </c>
      <c r="E17" s="94" t="str">
        <f>IF(Year2_Medway Year2_EarlyHelpAssessments="","",Year2_Medway Year2_EarlyHelpAssessments)</f>
        <v/>
      </c>
      <c r="F17" s="94" t="str">
        <f>IF(Year3_Medway Year3_EarlyHelpAssessments="","",Year3_Medway Year3_EarlyHelpAssessments)</f>
        <v/>
      </c>
      <c r="G17" s="94" t="str">
        <f>IF(Year4_Medway Year4_EarlyHelpAssessments="","",Year4_Medway Year4_EarlyHelpAssessments)</f>
        <v/>
      </c>
      <c r="H17" s="848" t="str">
        <f>IF(Year5_Medway Year5_EarlyHelpAssessments="","",Year5_Medway Year5_EarlyHelpAssessments)</f>
        <v/>
      </c>
      <c r="I17" s="861" t="str">
        <f t="shared" si="0"/>
        <v/>
      </c>
      <c r="J17" s="863" t="str">
        <f t="shared" si="1"/>
        <v/>
      </c>
      <c r="K17" s="96"/>
      <c r="L17" s="97" t="e">
        <f>IF(ISNUMBER(D17),D17/Population!D17*10000,NA())</f>
        <v>#N/A</v>
      </c>
      <c r="M17" s="97" t="e">
        <f>IF(ISNUMBER(E17),E17/Population!E17*10000,NA())</f>
        <v>#N/A</v>
      </c>
      <c r="N17" s="97" t="e">
        <f>IF(ISNUMBER(F17),F17/Population!F17*10000,NA())</f>
        <v>#N/A</v>
      </c>
      <c r="O17" s="97" t="e">
        <f>IF(ISNUMBER(G17),G17/Population!G17*10000,NA())</f>
        <v>#N/A</v>
      </c>
      <c r="P17" s="98" t="e">
        <f>IF(ISNUMBER(H17),H17/Population!H17*10000,NA())</f>
        <v>#N/A</v>
      </c>
      <c r="Q17" s="99" t="str">
        <f t="shared" si="8"/>
        <v/>
      </c>
      <c r="R17" s="822" t="e">
        <f t="shared" si="2"/>
        <v>#N/A</v>
      </c>
      <c r="S17" s="85"/>
      <c r="T17" s="99">
        <f>IF(H17&gt;0,IDACI!C16,NA())</f>
        <v>18.899999999999999</v>
      </c>
      <c r="U17" s="122"/>
      <c r="V17" s="139"/>
      <c r="W17" s="152"/>
      <c r="X17" s="72" t="str">
        <f t="shared" si="3"/>
        <v>Medway</v>
      </c>
      <c r="Y17" s="44">
        <f>IF(ISNUMBER($H17),IDACI!D16,0)</f>
        <v>0</v>
      </c>
      <c r="Z17" s="44">
        <f>IF(ISNUMBER($H17),IDACI!E16,0)</f>
        <v>0</v>
      </c>
      <c r="AA17" s="205" t="str">
        <f>IF(ISNUMBER(D17),Population!D17,"")</f>
        <v/>
      </c>
      <c r="AB17" s="205" t="str">
        <f>IF(ISNUMBER(E17),Population!E17,"")</f>
        <v/>
      </c>
      <c r="AC17" s="205" t="str">
        <f>IF(ISNUMBER(F17),Population!F17,"")</f>
        <v/>
      </c>
      <c r="AD17" s="205" t="str">
        <f>IF(ISNUMBER(G17),Population!G17,"")</f>
        <v/>
      </c>
      <c r="AE17" s="205" t="str">
        <f>IF(ISNUMBER(H17),Population!H17,"")</f>
        <v/>
      </c>
      <c r="AF17" s="93" t="s">
        <v>2</v>
      </c>
      <c r="AG17" s="231" t="str">
        <f t="shared" si="9"/>
        <v/>
      </c>
      <c r="AH17" s="206" t="e">
        <f t="shared" si="10"/>
        <v>#VALUE!</v>
      </c>
      <c r="AI17" s="202"/>
      <c r="AJ17" s="160"/>
      <c r="AK17" s="853" t="str">
        <f t="shared" si="4"/>
        <v>x</v>
      </c>
      <c r="AL17" s="853" t="str">
        <f t="shared" si="5"/>
        <v>x</v>
      </c>
      <c r="AM17" s="853" t="str">
        <f t="shared" si="6"/>
        <v>x</v>
      </c>
      <c r="AN17" s="853" t="str">
        <f t="shared" si="7"/>
        <v>x</v>
      </c>
      <c r="AO17" s="853" t="str">
        <f t="shared" si="11"/>
        <v/>
      </c>
    </row>
    <row r="18" spans="1:41" s="87" customFormat="1" ht="13.5" customHeight="1" x14ac:dyDescent="0.2">
      <c r="A18" s="488">
        <f>VLOOKUP(B18,Sheet1!$AQ$4:$AR$25,2,FALSE)</f>
        <v>0</v>
      </c>
      <c r="B18" s="93" t="str">
        <f>Sheet1!$K$12</f>
        <v>Milton Keynes</v>
      </c>
      <c r="C18" s="85"/>
      <c r="D18" s="94" t="str">
        <f>IF(Year1_Milton_Keynes Year1_EarlyHelpAssessments="","",Year1_Milton_Keynes Year1_EarlyHelpAssessments)</f>
        <v/>
      </c>
      <c r="E18" s="94" t="str">
        <f>IF(Year2_Milton_Keynes Year2_EarlyHelpAssessments="","",Year2_Milton_Keynes Year2_EarlyHelpAssessments)</f>
        <v/>
      </c>
      <c r="F18" s="94" t="str">
        <f>IF(Year3_Milton_Keynes Year3_EarlyHelpAssessments="","",Year3_Milton_Keynes Year3_EarlyHelpAssessments)</f>
        <v/>
      </c>
      <c r="G18" s="94" t="str">
        <f>IF(Year4_Milton_Keynes Year4_EarlyHelpAssessments="","",Year4_Milton_Keynes Year4_EarlyHelpAssessments)</f>
        <v/>
      </c>
      <c r="H18" s="848" t="str">
        <f>IF(Year5_Milton_Keynes Year5_EarlyHelpAssessments="","",Year5_Milton_Keynes Year5_EarlyHelpAssessments)</f>
        <v/>
      </c>
      <c r="I18" s="861" t="str">
        <f t="shared" si="0"/>
        <v/>
      </c>
      <c r="J18" s="863" t="str">
        <f t="shared" si="1"/>
        <v/>
      </c>
      <c r="K18" s="96"/>
      <c r="L18" s="97" t="e">
        <f>IF(ISNUMBER(D18),D18/Population!D18*10000,NA())</f>
        <v>#N/A</v>
      </c>
      <c r="M18" s="97" t="e">
        <f>IF(ISNUMBER(E18),E18/Population!E18*10000,NA())</f>
        <v>#N/A</v>
      </c>
      <c r="N18" s="97" t="e">
        <f>IF(ISNUMBER(F18),F18/Population!F18*10000,NA())</f>
        <v>#N/A</v>
      </c>
      <c r="O18" s="97" t="e">
        <f>IF(ISNUMBER(G18),G18/Population!G18*10000,NA())</f>
        <v>#N/A</v>
      </c>
      <c r="P18" s="98" t="e">
        <f>IF(ISNUMBER(H18),H18/Population!H18*10000,NA())</f>
        <v>#N/A</v>
      </c>
      <c r="Q18" s="99" t="str">
        <f t="shared" si="8"/>
        <v/>
      </c>
      <c r="R18" s="822" t="e">
        <f t="shared" si="2"/>
        <v>#N/A</v>
      </c>
      <c r="S18" s="85"/>
      <c r="T18" s="99">
        <f>IF(H18&gt;0,IDACI!C17,NA())</f>
        <v>15</v>
      </c>
      <c r="U18" s="122"/>
      <c r="V18" s="139"/>
      <c r="W18" s="152"/>
      <c r="X18" s="72" t="str">
        <f t="shared" si="3"/>
        <v>Milton Keynes</v>
      </c>
      <c r="Y18" s="44">
        <f>IF(ISNUMBER($H18),IDACI!D17,0)</f>
        <v>0</v>
      </c>
      <c r="Z18" s="44">
        <f>IF(ISNUMBER($H18),IDACI!E17,0)</f>
        <v>0</v>
      </c>
      <c r="AA18" s="205" t="str">
        <f>IF(ISNUMBER(D18),Population!D18,"")</f>
        <v/>
      </c>
      <c r="AB18" s="205" t="str">
        <f>IF(ISNUMBER(E18),Population!E18,"")</f>
        <v/>
      </c>
      <c r="AC18" s="205" t="str">
        <f>IF(ISNUMBER(F18),Population!F18,"")</f>
        <v/>
      </c>
      <c r="AD18" s="205" t="str">
        <f>IF(ISNUMBER(G18),Population!G18,"")</f>
        <v/>
      </c>
      <c r="AE18" s="205" t="str">
        <f>IF(ISNUMBER(H18),Population!H18,"")</f>
        <v/>
      </c>
      <c r="AF18" s="93" t="s">
        <v>10</v>
      </c>
      <c r="AG18" s="231" t="str">
        <f t="shared" si="9"/>
        <v/>
      </c>
      <c r="AH18" s="206" t="e">
        <f t="shared" si="10"/>
        <v>#VALUE!</v>
      </c>
      <c r="AI18" s="202"/>
      <c r="AJ18" s="160"/>
      <c r="AK18" s="853" t="str">
        <f t="shared" si="4"/>
        <v>x</v>
      </c>
      <c r="AL18" s="853" t="str">
        <f t="shared" si="5"/>
        <v>x</v>
      </c>
      <c r="AM18" s="853" t="str">
        <f t="shared" si="6"/>
        <v>x</v>
      </c>
      <c r="AN18" s="853" t="str">
        <f t="shared" si="7"/>
        <v>x</v>
      </c>
      <c r="AO18" s="853" t="str">
        <f t="shared" si="11"/>
        <v/>
      </c>
    </row>
    <row r="19" spans="1:41" s="87" customFormat="1" ht="13.5" customHeight="1" x14ac:dyDescent="0.2">
      <c r="A19" s="488">
        <f>VLOOKUP(B19,Sheet1!$AQ$4:$AR$25,2,FALSE)</f>
        <v>0</v>
      </c>
      <c r="B19" s="93" t="str">
        <f>Sheet1!$K$13</f>
        <v>Oxfordshire</v>
      </c>
      <c r="C19" s="85"/>
      <c r="D19" s="94" t="str">
        <f>IF(Year1_Oxfordshire Year1_EarlyHelpAssessments="","",Year1_Oxfordshire Year1_EarlyHelpAssessments)</f>
        <v/>
      </c>
      <c r="E19" s="94" t="str">
        <f>IF(Year2_Oxfordshire Year2_EarlyHelpAssessments="","",Year2_Oxfordshire Year2_EarlyHelpAssessments)</f>
        <v/>
      </c>
      <c r="F19" s="94" t="str">
        <f>IF(Year3_Oxfordshire Year3_EarlyHelpAssessments="","",Year3_Oxfordshire Year3_EarlyHelpAssessments)</f>
        <v/>
      </c>
      <c r="G19" s="94" t="str">
        <f>IF(Year4_Oxfordshire Year4_EarlyHelpAssessments="","",Year4_Oxfordshire Year4_EarlyHelpAssessments)</f>
        <v/>
      </c>
      <c r="H19" s="848" t="str">
        <f>IF(Year5_Oxfordshire Year5_EarlyHelpAssessments="","",Year5_Oxfordshire Year5_EarlyHelpAssessments)</f>
        <v/>
      </c>
      <c r="I19" s="861" t="str">
        <f t="shared" si="0"/>
        <v/>
      </c>
      <c r="J19" s="863" t="str">
        <f t="shared" si="1"/>
        <v/>
      </c>
      <c r="K19" s="96"/>
      <c r="L19" s="97" t="e">
        <f>IF(ISNUMBER(D19),D19/Population!D19*10000,NA())</f>
        <v>#N/A</v>
      </c>
      <c r="M19" s="97" t="e">
        <f>IF(ISNUMBER(E19),E19/Population!E19*10000,NA())</f>
        <v>#N/A</v>
      </c>
      <c r="N19" s="97" t="e">
        <f>IF(ISNUMBER(F19),F19/Population!F19*10000,NA())</f>
        <v>#N/A</v>
      </c>
      <c r="O19" s="97" t="e">
        <f>IF(ISNUMBER(G19),G19/Population!G19*10000,NA())</f>
        <v>#N/A</v>
      </c>
      <c r="P19" s="98" t="e">
        <f>IF(ISNUMBER(H19),H19/Population!H19*10000,NA())</f>
        <v>#N/A</v>
      </c>
      <c r="Q19" s="99" t="str">
        <f t="shared" si="8"/>
        <v/>
      </c>
      <c r="R19" s="822" t="e">
        <f t="shared" si="2"/>
        <v>#N/A</v>
      </c>
      <c r="S19" s="85"/>
      <c r="T19" s="99">
        <f>IF(H19&gt;0,IDACI!C18,NA())</f>
        <v>10.100000000000001</v>
      </c>
      <c r="U19" s="122"/>
      <c r="V19" s="139"/>
      <c r="W19" s="152"/>
      <c r="X19" s="72" t="str">
        <f t="shared" si="3"/>
        <v>Oxfordshire</v>
      </c>
      <c r="Y19" s="44">
        <f>IF(ISNUMBER($H19),IDACI!D18,0)</f>
        <v>0</v>
      </c>
      <c r="Z19" s="44">
        <f>IF(ISNUMBER($H19),IDACI!E18,0)</f>
        <v>0</v>
      </c>
      <c r="AA19" s="205" t="str">
        <f>IF(ISNUMBER(D19),Population!D19,"")</f>
        <v/>
      </c>
      <c r="AB19" s="205" t="str">
        <f>IF(ISNUMBER(E19),Population!E19,"")</f>
        <v/>
      </c>
      <c r="AC19" s="205" t="str">
        <f>IF(ISNUMBER(F19),Population!F19,"")</f>
        <v/>
      </c>
      <c r="AD19" s="205" t="str">
        <f>IF(ISNUMBER(G19),Population!G19,"")</f>
        <v/>
      </c>
      <c r="AE19" s="205" t="str">
        <f>IF(ISNUMBER(H19),Population!H19,"")</f>
        <v/>
      </c>
      <c r="AF19" s="93" t="s">
        <v>11</v>
      </c>
      <c r="AG19" s="231" t="str">
        <f t="shared" si="9"/>
        <v/>
      </c>
      <c r="AH19" s="206" t="e">
        <f t="shared" si="10"/>
        <v>#VALUE!</v>
      </c>
      <c r="AI19" s="202"/>
      <c r="AJ19" s="160"/>
      <c r="AK19" s="853" t="str">
        <f t="shared" si="4"/>
        <v>x</v>
      </c>
      <c r="AL19" s="853" t="str">
        <f t="shared" si="5"/>
        <v>x</v>
      </c>
      <c r="AM19" s="853" t="str">
        <f t="shared" si="6"/>
        <v>x</v>
      </c>
      <c r="AN19" s="853" t="str">
        <f t="shared" si="7"/>
        <v>x</v>
      </c>
      <c r="AO19" s="853" t="str">
        <f t="shared" si="11"/>
        <v/>
      </c>
    </row>
    <row r="20" spans="1:41" s="87" customFormat="1" ht="13.5" customHeight="1" x14ac:dyDescent="0.2">
      <c r="A20" s="488">
        <f>VLOOKUP(B20,Sheet1!$AQ$4:$AR$25,2,FALSE)</f>
        <v>0</v>
      </c>
      <c r="B20" s="93" t="str">
        <f>Sheet1!$K$14</f>
        <v>Portsmouth</v>
      </c>
      <c r="C20" s="85"/>
      <c r="D20" s="94" t="str">
        <f>IF(Year1_Portsmouth Year1_EarlyHelpAssessments="","",Year1_Portsmouth Year1_EarlyHelpAssessments)</f>
        <v/>
      </c>
      <c r="E20" s="94" t="str">
        <f>IF(Year2_Portsmouth Year2_EarlyHelpAssessments="","",Year2_Portsmouth Year2_EarlyHelpAssessments)</f>
        <v/>
      </c>
      <c r="F20" s="94" t="str">
        <f>IF(Year3_Portsmouth Year3_EarlyHelpAssessments="","",Year3_Portsmouth Year3_EarlyHelpAssessments)</f>
        <v/>
      </c>
      <c r="G20" s="94" t="str">
        <f>IF(Year4_Portsmouth Year4_EarlyHelpAssessments="","",Year4_Portsmouth Year4_EarlyHelpAssessments)</f>
        <v/>
      </c>
      <c r="H20" s="848" t="str">
        <f>IF(Year5_Portsmouth Year5_EarlyHelpAssessments="","",Year5_Portsmouth Year5_EarlyHelpAssessments)</f>
        <v/>
      </c>
      <c r="I20" s="861" t="str">
        <f t="shared" si="0"/>
        <v/>
      </c>
      <c r="J20" s="863" t="str">
        <f t="shared" si="1"/>
        <v/>
      </c>
      <c r="K20" s="96"/>
      <c r="L20" s="97" t="e">
        <f>IF(ISNUMBER(D20),D20/Population!D20*10000,NA())</f>
        <v>#N/A</v>
      </c>
      <c r="M20" s="97" t="e">
        <f>IF(ISNUMBER(E20),E20/Population!E20*10000,NA())</f>
        <v>#N/A</v>
      </c>
      <c r="N20" s="97" t="e">
        <f>IF(ISNUMBER(F20),F20/Population!F20*10000,NA())</f>
        <v>#N/A</v>
      </c>
      <c r="O20" s="97" t="e">
        <f>IF(ISNUMBER(G20),G20/Population!G20*10000,NA())</f>
        <v>#N/A</v>
      </c>
      <c r="P20" s="98" t="e">
        <f>IF(ISNUMBER(H20),H20/Population!H20*10000,NA())</f>
        <v>#N/A</v>
      </c>
      <c r="Q20" s="99" t="str">
        <f t="shared" si="8"/>
        <v/>
      </c>
      <c r="R20" s="822" t="e">
        <f t="shared" si="2"/>
        <v>#N/A</v>
      </c>
      <c r="S20" s="85"/>
      <c r="T20" s="99">
        <f>IF(H20&gt;0,IDACI!C19,NA())</f>
        <v>20.200000000000003</v>
      </c>
      <c r="U20" s="122"/>
      <c r="V20" s="139"/>
      <c r="W20" s="152"/>
      <c r="X20" s="72" t="str">
        <f t="shared" si="3"/>
        <v>Portsmouth</v>
      </c>
      <c r="Y20" s="44">
        <f>IF(ISNUMBER($H20),IDACI!D19,0)</f>
        <v>0</v>
      </c>
      <c r="Z20" s="44">
        <f>IF(ISNUMBER($H20),IDACI!E19,0)</f>
        <v>0</v>
      </c>
      <c r="AA20" s="205" t="str">
        <f>IF(ISNUMBER(D20),Population!D20,"")</f>
        <v/>
      </c>
      <c r="AB20" s="205" t="str">
        <f>IF(ISNUMBER(E20),Population!E20,"")</f>
        <v/>
      </c>
      <c r="AC20" s="205" t="str">
        <f>IF(ISNUMBER(F20),Population!F20,"")</f>
        <v/>
      </c>
      <c r="AD20" s="205" t="str">
        <f>IF(ISNUMBER(G20),Population!G20,"")</f>
        <v/>
      </c>
      <c r="AE20" s="205" t="str">
        <f>IF(ISNUMBER(H20),Population!H20,"")</f>
        <v/>
      </c>
      <c r="AF20" s="93" t="s">
        <v>12</v>
      </c>
      <c r="AG20" s="231" t="str">
        <f t="shared" si="9"/>
        <v/>
      </c>
      <c r="AH20" s="206" t="e">
        <f t="shared" si="10"/>
        <v>#VALUE!</v>
      </c>
      <c r="AI20" s="202"/>
      <c r="AJ20" s="160"/>
      <c r="AK20" s="853" t="str">
        <f t="shared" si="4"/>
        <v>x</v>
      </c>
      <c r="AL20" s="853" t="str">
        <f t="shared" si="5"/>
        <v>x</v>
      </c>
      <c r="AM20" s="853" t="str">
        <f t="shared" si="6"/>
        <v>x</v>
      </c>
      <c r="AN20" s="853" t="str">
        <f t="shared" si="7"/>
        <v>x</v>
      </c>
      <c r="AO20" s="853" t="str">
        <f t="shared" si="11"/>
        <v/>
      </c>
    </row>
    <row r="21" spans="1:41" s="87" customFormat="1" ht="13.5" customHeight="1" x14ac:dyDescent="0.2">
      <c r="A21" s="488">
        <f>VLOOKUP(B21,Sheet1!$AQ$4:$AR$25,2,FALSE)</f>
        <v>0</v>
      </c>
      <c r="B21" s="93" t="str">
        <f>Sheet1!$K$15</f>
        <v>Reading</v>
      </c>
      <c r="C21" s="85"/>
      <c r="D21" s="94" t="str">
        <f>IF(Year1_Reading Year1_EarlyHelpAssessments="","",Year1_Reading Year1_EarlyHelpAssessments)</f>
        <v/>
      </c>
      <c r="E21" s="94" t="str">
        <f>IF(Year2_Reading Year2_EarlyHelpAssessments="","",Year2_Reading Year2_EarlyHelpAssessments)</f>
        <v/>
      </c>
      <c r="F21" s="94" t="str">
        <f>IF(Year3_Reading Year3_EarlyHelpAssessments="","",Year3_Reading Year3_EarlyHelpAssessments)</f>
        <v/>
      </c>
      <c r="G21" s="94" t="str">
        <f>IF(Year4_Reading Year4_EarlyHelpAssessments="","",Year4_Reading Year4_EarlyHelpAssessments)</f>
        <v/>
      </c>
      <c r="H21" s="848" t="str">
        <f>IF(Year5_Reading Year5_EarlyHelpAssessments="","",Year5_Reading Year5_EarlyHelpAssessments)</f>
        <v/>
      </c>
      <c r="I21" s="861" t="str">
        <f t="shared" si="0"/>
        <v/>
      </c>
      <c r="J21" s="863" t="str">
        <f t="shared" si="1"/>
        <v/>
      </c>
      <c r="K21" s="96"/>
      <c r="L21" s="97" t="e">
        <f>IF(ISNUMBER(D21),D21/Population!D21*10000,NA())</f>
        <v>#N/A</v>
      </c>
      <c r="M21" s="97" t="e">
        <f>IF(ISNUMBER(E21),E21/Population!E21*10000,NA())</f>
        <v>#N/A</v>
      </c>
      <c r="N21" s="97" t="e">
        <f>IF(ISNUMBER(F21),F21/Population!F21*10000,NA())</f>
        <v>#N/A</v>
      </c>
      <c r="O21" s="97" t="e">
        <f>IF(ISNUMBER(G21),G21/Population!G21*10000,NA())</f>
        <v>#N/A</v>
      </c>
      <c r="P21" s="98" t="e">
        <f>IF(ISNUMBER(H21),H21/Population!H21*10000,NA())</f>
        <v>#N/A</v>
      </c>
      <c r="Q21" s="99" t="str">
        <f t="shared" si="8"/>
        <v/>
      </c>
      <c r="R21" s="822" t="e">
        <f t="shared" si="2"/>
        <v>#N/A</v>
      </c>
      <c r="S21" s="85"/>
      <c r="T21" s="99">
        <f>IF(H21&gt;0,IDACI!C20,NA())</f>
        <v>16</v>
      </c>
      <c r="U21" s="122"/>
      <c r="V21" s="139"/>
      <c r="W21" s="152"/>
      <c r="X21" s="72" t="str">
        <f t="shared" si="3"/>
        <v>Reading</v>
      </c>
      <c r="Y21" s="44">
        <f>IF(ISNUMBER($H21),IDACI!D20,0)</f>
        <v>0</v>
      </c>
      <c r="Z21" s="44">
        <f>IF(ISNUMBER($H21),IDACI!E20,0)</f>
        <v>0</v>
      </c>
      <c r="AA21" s="205" t="str">
        <f>IF(ISNUMBER(D21),Population!D21,"")</f>
        <v/>
      </c>
      <c r="AB21" s="205" t="str">
        <f>IF(ISNUMBER(E21),Population!E21,"")</f>
        <v/>
      </c>
      <c r="AC21" s="205" t="str">
        <f>IF(ISNUMBER(F21),Population!F21,"")</f>
        <v/>
      </c>
      <c r="AD21" s="205" t="str">
        <f>IF(ISNUMBER(G21),Population!G21,"")</f>
        <v/>
      </c>
      <c r="AE21" s="205" t="str">
        <f>IF(ISNUMBER(H21),Population!H21,"")</f>
        <v/>
      </c>
      <c r="AF21" s="93" t="s">
        <v>3</v>
      </c>
      <c r="AG21" s="231" t="str">
        <f t="shared" si="9"/>
        <v/>
      </c>
      <c r="AH21" s="206" t="e">
        <f t="shared" si="10"/>
        <v>#VALUE!</v>
      </c>
      <c r="AI21" s="202"/>
      <c r="AJ21" s="160"/>
      <c r="AK21" s="853" t="str">
        <f t="shared" si="4"/>
        <v>x</v>
      </c>
      <c r="AL21" s="853" t="str">
        <f t="shared" si="5"/>
        <v>x</v>
      </c>
      <c r="AM21" s="853" t="str">
        <f t="shared" si="6"/>
        <v>x</v>
      </c>
      <c r="AN21" s="853" t="str">
        <f t="shared" si="7"/>
        <v>x</v>
      </c>
      <c r="AO21" s="853" t="str">
        <f t="shared" si="11"/>
        <v/>
      </c>
    </row>
    <row r="22" spans="1:41" s="87" customFormat="1" ht="13.5" customHeight="1" x14ac:dyDescent="0.2">
      <c r="A22" s="488">
        <f>VLOOKUP(B22,Sheet1!$AQ$4:$AR$25,2,FALSE)</f>
        <v>0</v>
      </c>
      <c r="B22" s="93" t="str">
        <f>Sheet1!$K$16</f>
        <v>Slough</v>
      </c>
      <c r="C22" s="85"/>
      <c r="D22" s="94" t="str">
        <f>IF(Year1_Slough Year1_EarlyHelpAssessments="","",Year1_Slough Year1_EarlyHelpAssessments)</f>
        <v/>
      </c>
      <c r="E22" s="94" t="str">
        <f>IF(Year2_Slough Year2_EarlyHelpAssessments="","",Year2_Slough Year2_EarlyHelpAssessments)</f>
        <v/>
      </c>
      <c r="F22" s="94" t="str">
        <f>IF(Year3_Slough Year3_EarlyHelpAssessments="","",Year3_Slough Year3_EarlyHelpAssessments)</f>
        <v/>
      </c>
      <c r="G22" s="94" t="str">
        <f>IF(Year4_Slough Year4_EarlyHelpAssessments="","",Year4_Slough Year4_EarlyHelpAssessments)</f>
        <v/>
      </c>
      <c r="H22" s="848" t="str">
        <f>IF(Year5_Slough Year5_EarlyHelpAssessments="","",Year5_Slough Year5_EarlyHelpAssessments)</f>
        <v/>
      </c>
      <c r="I22" s="861" t="str">
        <f t="shared" si="0"/>
        <v/>
      </c>
      <c r="J22" s="863" t="str">
        <f t="shared" si="1"/>
        <v/>
      </c>
      <c r="K22" s="96"/>
      <c r="L22" s="97" t="e">
        <f>IF(ISNUMBER(D22),D22/Population!D22*10000,NA())</f>
        <v>#N/A</v>
      </c>
      <c r="M22" s="97" t="e">
        <f>IF(ISNUMBER(E22),E22/Population!E22*10000,NA())</f>
        <v>#N/A</v>
      </c>
      <c r="N22" s="97" t="e">
        <f>IF(ISNUMBER(F22),F22/Population!F22*10000,NA())</f>
        <v>#N/A</v>
      </c>
      <c r="O22" s="97" t="e">
        <f>IF(ISNUMBER(G22),G22/Population!G22*10000,NA())</f>
        <v>#N/A</v>
      </c>
      <c r="P22" s="98" t="e">
        <f>IF(ISNUMBER(H22),H22/Population!H22*10000,NA())</f>
        <v>#N/A</v>
      </c>
      <c r="Q22" s="99" t="str">
        <f t="shared" si="8"/>
        <v/>
      </c>
      <c r="R22" s="822" t="e">
        <f t="shared" si="2"/>
        <v>#N/A</v>
      </c>
      <c r="S22" s="85"/>
      <c r="T22" s="99">
        <f>IF(H22&gt;0,IDACI!C21,NA())</f>
        <v>14.7</v>
      </c>
      <c r="U22" s="122"/>
      <c r="V22" s="139"/>
      <c r="W22" s="152"/>
      <c r="X22" s="72" t="str">
        <f t="shared" si="3"/>
        <v>Slough</v>
      </c>
      <c r="Y22" s="44">
        <f>IF(ISNUMBER($H22),IDACI!D21,0)</f>
        <v>0</v>
      </c>
      <c r="Z22" s="44">
        <f>IF(ISNUMBER($H22),IDACI!E21,0)</f>
        <v>0</v>
      </c>
      <c r="AA22" s="205" t="str">
        <f>IF(ISNUMBER(D22),Population!D22,"")</f>
        <v/>
      </c>
      <c r="AB22" s="205" t="str">
        <f>IF(ISNUMBER(E22),Population!E22,"")</f>
        <v/>
      </c>
      <c r="AC22" s="205" t="str">
        <f>IF(ISNUMBER(F22),Population!F22,"")</f>
        <v/>
      </c>
      <c r="AD22" s="205" t="str">
        <f>IF(ISNUMBER(G22),Population!G22,"")</f>
        <v/>
      </c>
      <c r="AE22" s="205" t="str">
        <f>IF(ISNUMBER(H22),Population!H22,"")</f>
        <v/>
      </c>
      <c r="AF22" s="93" t="s">
        <v>13</v>
      </c>
      <c r="AG22" s="231" t="str">
        <f t="shared" si="9"/>
        <v/>
      </c>
      <c r="AH22" s="206" t="e">
        <f t="shared" si="10"/>
        <v>#VALUE!</v>
      </c>
      <c r="AI22" s="202"/>
      <c r="AJ22" s="160"/>
      <c r="AK22" s="853" t="str">
        <f t="shared" si="4"/>
        <v>x</v>
      </c>
      <c r="AL22" s="853" t="str">
        <f t="shared" si="5"/>
        <v>x</v>
      </c>
      <c r="AM22" s="853" t="str">
        <f t="shared" si="6"/>
        <v>x</v>
      </c>
      <c r="AN22" s="853" t="str">
        <f t="shared" si="7"/>
        <v>x</v>
      </c>
      <c r="AO22" s="853" t="str">
        <f t="shared" si="11"/>
        <v/>
      </c>
    </row>
    <row r="23" spans="1:41" s="87" customFormat="1" ht="13.5" customHeight="1" x14ac:dyDescent="0.2">
      <c r="A23" s="488">
        <f>VLOOKUP(B23,Sheet1!$AQ$4:$AR$25,2,FALSE)</f>
        <v>0</v>
      </c>
      <c r="B23" s="93" t="str">
        <f>Sheet1!$K$17</f>
        <v>Somerset</v>
      </c>
      <c r="C23" s="85"/>
      <c r="D23" s="94" t="str">
        <f>IF(Year1_Somerset Year1_EarlyHelpAssessments="","",Year1_Somerset Year1_EarlyHelpAssessments)</f>
        <v/>
      </c>
      <c r="E23" s="94" t="str">
        <f>IF(Year2_Somerset Year2_EarlyHelpAssessments="","",Year2_Somerset Year2_EarlyHelpAssessments)</f>
        <v/>
      </c>
      <c r="F23" s="94" t="str">
        <f>IF(Year3_Somerset Year3_EarlyHelpAssessments="","",Year3_Somerset Year3_EarlyHelpAssessments)</f>
        <v/>
      </c>
      <c r="G23" s="94" t="str">
        <f>IF(Year4_Somerset Year4_EarlyHelpAssessments="","",Year4_Somerset Year4_EarlyHelpAssessments)</f>
        <v/>
      </c>
      <c r="H23" s="848" t="str">
        <f>IF(Year5_Somerset Year5_EarlyHelpAssessments="","",Year5_Somerset Year5_EarlyHelpAssessments)</f>
        <v/>
      </c>
      <c r="I23" s="861" t="str">
        <f t="shared" si="0"/>
        <v/>
      </c>
      <c r="J23" s="863" t="str">
        <f t="shared" si="1"/>
        <v/>
      </c>
      <c r="K23" s="96"/>
      <c r="L23" s="97" t="e">
        <f>IF(ISNUMBER(D23),D23/Population!D23*10000,NA())</f>
        <v>#N/A</v>
      </c>
      <c r="M23" s="97" t="e">
        <f>IF(ISNUMBER(E23),E23/Population!E23*10000,NA())</f>
        <v>#N/A</v>
      </c>
      <c r="N23" s="97" t="e">
        <f>IF(ISNUMBER(F23),F23/Population!F23*10000,NA())</f>
        <v>#N/A</v>
      </c>
      <c r="O23" s="97" t="e">
        <f>IF(ISNUMBER(G23),G23/Population!G23*10000,NA())</f>
        <v>#N/A</v>
      </c>
      <c r="P23" s="98" t="e">
        <f>IF(ISNUMBER(H23),H23/Population!H23*10000,NA())</f>
        <v>#N/A</v>
      </c>
      <c r="Q23" s="99" t="str">
        <f t="shared" si="8"/>
        <v/>
      </c>
      <c r="R23" s="807" t="str">
        <f t="shared" si="2"/>
        <v>--</v>
      </c>
      <c r="S23" s="85"/>
      <c r="T23" s="99">
        <f>IF(H23&gt;0,IDACI!C22,NA())</f>
        <v>13.600000000000001</v>
      </c>
      <c r="U23" s="122"/>
      <c r="V23" s="139"/>
      <c r="W23" s="152"/>
      <c r="X23" s="72" t="str">
        <f t="shared" si="3"/>
        <v>Somerset</v>
      </c>
      <c r="Y23" s="44">
        <f>IF(ISNUMBER($H23),IDACI!D22,0)</f>
        <v>0</v>
      </c>
      <c r="Z23" s="44">
        <f>IF(ISNUMBER($H23),IDACI!E22,0)</f>
        <v>0</v>
      </c>
      <c r="AA23" s="205" t="str">
        <f>IF(ISNUMBER(D23),Population!D23,"")</f>
        <v/>
      </c>
      <c r="AB23" s="205" t="str">
        <f>IF(ISNUMBER(E23),Population!E23,"")</f>
        <v/>
      </c>
      <c r="AC23" s="205" t="str">
        <f>IF(ISNUMBER(F23),Population!F23,"")</f>
        <v/>
      </c>
      <c r="AD23" s="205" t="str">
        <f>IF(ISNUMBER(G23),Population!G23,"")</f>
        <v/>
      </c>
      <c r="AE23" s="205" t="str">
        <f>IF(ISNUMBER(H23),Population!H23,"")</f>
        <v/>
      </c>
      <c r="AF23" s="93" t="s">
        <v>14</v>
      </c>
      <c r="AG23" s="231" t="str">
        <f t="shared" si="9"/>
        <v/>
      </c>
      <c r="AH23" s="206" t="e">
        <f t="shared" si="10"/>
        <v>#VALUE!</v>
      </c>
      <c r="AI23" s="202"/>
      <c r="AJ23" s="160"/>
      <c r="AK23" s="853" t="str">
        <f t="shared" si="4"/>
        <v>x</v>
      </c>
      <c r="AL23" s="853" t="str">
        <f t="shared" si="5"/>
        <v>x</v>
      </c>
      <c r="AM23" s="853" t="str">
        <f t="shared" si="6"/>
        <v>x</v>
      </c>
      <c r="AN23" s="853" t="str">
        <f t="shared" si="7"/>
        <v>x</v>
      </c>
      <c r="AO23" s="853" t="str">
        <f t="shared" si="11"/>
        <v/>
      </c>
    </row>
    <row r="24" spans="1:41" s="87" customFormat="1" ht="13.5" customHeight="1" x14ac:dyDescent="0.2">
      <c r="A24" s="488">
        <f>VLOOKUP(B24,Sheet1!$AQ$4:$AR$25,2,FALSE)</f>
        <v>0</v>
      </c>
      <c r="B24" s="93" t="str">
        <f>Sheet1!$K$18</f>
        <v>Southampton</v>
      </c>
      <c r="C24" s="85"/>
      <c r="D24" s="94" t="str">
        <f>IF(Year1_Southampton Year1_EarlyHelpAssessments="","",Year1_Southampton Year1_EarlyHelpAssessments)</f>
        <v/>
      </c>
      <c r="E24" s="94" t="str">
        <f>IF(Year2_Southampton Year2_EarlyHelpAssessments="","",Year2_Southampton Year2_EarlyHelpAssessments)</f>
        <v/>
      </c>
      <c r="F24" s="94" t="str">
        <f>IF(Year3_Southampton Year3_EarlyHelpAssessments="","",Year3_Southampton Year3_EarlyHelpAssessments)</f>
        <v/>
      </c>
      <c r="G24" s="94" t="str">
        <f>IF(Year4_Southampton Year4_EarlyHelpAssessments="","",Year4_Southampton Year4_EarlyHelpAssessments)</f>
        <v/>
      </c>
      <c r="H24" s="848" t="str">
        <f>IF(Year5_Southampton Year5_EarlyHelpAssessments="","",Year5_Southampton Year5_EarlyHelpAssessments)</f>
        <v/>
      </c>
      <c r="I24" s="861" t="str">
        <f t="shared" si="0"/>
        <v/>
      </c>
      <c r="J24" s="863" t="str">
        <f t="shared" si="1"/>
        <v/>
      </c>
      <c r="K24" s="96"/>
      <c r="L24" s="97" t="e">
        <f>IF(ISNUMBER(D24),D24/Population!D24*10000,NA())</f>
        <v>#N/A</v>
      </c>
      <c r="M24" s="97" t="e">
        <f>IF(ISNUMBER(E24),E24/Population!E24*10000,NA())</f>
        <v>#N/A</v>
      </c>
      <c r="N24" s="97" t="e">
        <f>IF(ISNUMBER(F24),F24/Population!F24*10000,NA())</f>
        <v>#N/A</v>
      </c>
      <c r="O24" s="97" t="e">
        <f>IF(ISNUMBER(G24),G24/Population!G24*10000,NA())</f>
        <v>#N/A</v>
      </c>
      <c r="P24" s="98" t="e">
        <f>IF(ISNUMBER(H24),H24/Population!H24*10000,NA())</f>
        <v>#N/A</v>
      </c>
      <c r="Q24" s="99" t="str">
        <f t="shared" si="8"/>
        <v/>
      </c>
      <c r="R24" s="822" t="e">
        <f t="shared" si="2"/>
        <v>#N/A</v>
      </c>
      <c r="S24" s="85"/>
      <c r="T24" s="99">
        <f>IF(H24&gt;0,IDACI!C23,NA())</f>
        <v>20.5</v>
      </c>
      <c r="U24" s="122"/>
      <c r="V24" s="139"/>
      <c r="W24" s="152"/>
      <c r="X24" s="72" t="str">
        <f t="shared" si="3"/>
        <v>Southampton</v>
      </c>
      <c r="Y24" s="44">
        <f>IF(ISNUMBER($H24),IDACI!D23,0)</f>
        <v>0</v>
      </c>
      <c r="Z24" s="44">
        <f>IF(ISNUMBER($H24),IDACI!E23,0)</f>
        <v>0</v>
      </c>
      <c r="AA24" s="205" t="str">
        <f>IF(ISNUMBER(D24),Population!D24,"")</f>
        <v/>
      </c>
      <c r="AB24" s="205" t="str">
        <f>IF(ISNUMBER(E24),Population!E24,"")</f>
        <v/>
      </c>
      <c r="AC24" s="205" t="str">
        <f>IF(ISNUMBER(F24),Population!F24,"")</f>
        <v/>
      </c>
      <c r="AD24" s="205" t="str">
        <f>IF(ISNUMBER(G24),Population!G24,"")</f>
        <v/>
      </c>
      <c r="AE24" s="205" t="str">
        <f>IF(ISNUMBER(H24),Population!H24,"")</f>
        <v/>
      </c>
      <c r="AF24" s="93" t="s">
        <v>7</v>
      </c>
      <c r="AG24" s="231" t="str">
        <f t="shared" si="9"/>
        <v/>
      </c>
      <c r="AH24" s="206" t="e">
        <f t="shared" si="10"/>
        <v>#VALUE!</v>
      </c>
      <c r="AI24" s="202"/>
      <c r="AJ24" s="160"/>
      <c r="AK24" s="853" t="str">
        <f t="shared" si="4"/>
        <v>x</v>
      </c>
      <c r="AL24" s="853" t="str">
        <f t="shared" si="5"/>
        <v>x</v>
      </c>
      <c r="AM24" s="853" t="str">
        <f t="shared" si="6"/>
        <v>x</v>
      </c>
      <c r="AN24" s="853" t="str">
        <f t="shared" si="7"/>
        <v>x</v>
      </c>
      <c r="AO24" s="853" t="str">
        <f t="shared" si="11"/>
        <v/>
      </c>
    </row>
    <row r="25" spans="1:41" s="87" customFormat="1" ht="13.5" customHeight="1" x14ac:dyDescent="0.2">
      <c r="A25" s="488">
        <f>VLOOKUP(B25,Sheet1!$AQ$4:$AR$25,2,FALSE)</f>
        <v>0</v>
      </c>
      <c r="B25" s="93" t="str">
        <f>Sheet1!$K$19</f>
        <v>Surrey</v>
      </c>
      <c r="C25" s="85"/>
      <c r="D25" s="94" t="str">
        <f>IF(Year1_Surrey Year1_EarlyHelpAssessments="","",Year1_Surrey Year1_EarlyHelpAssessments)</f>
        <v/>
      </c>
      <c r="E25" s="94" t="str">
        <f>IF(Year2_Surrey Year2_EarlyHelpAssessments="","",Year2_Surrey Year2_EarlyHelpAssessments)</f>
        <v/>
      </c>
      <c r="F25" s="94" t="str">
        <f>IF(Year3_Surrey Year3_EarlyHelpAssessments="","",Year3_Surrey Year3_EarlyHelpAssessments)</f>
        <v/>
      </c>
      <c r="G25" s="94" t="str">
        <f>IF(Year4_Surrey Year4_EarlyHelpAssessments="","",Year4_Surrey Year4_EarlyHelpAssessments)</f>
        <v/>
      </c>
      <c r="H25" s="848" t="str">
        <f>IF(Year5_Surrey Year5_EarlyHelpAssessments="","",Year5_Surrey Year5_EarlyHelpAssessments)</f>
        <v/>
      </c>
      <c r="I25" s="861" t="str">
        <f t="shared" si="0"/>
        <v/>
      </c>
      <c r="J25" s="863" t="str">
        <f t="shared" si="1"/>
        <v/>
      </c>
      <c r="K25" s="96"/>
      <c r="L25" s="97" t="e">
        <f>IF(ISNUMBER(D25),D25/Population!D25*10000,NA())</f>
        <v>#N/A</v>
      </c>
      <c r="M25" s="97" t="e">
        <f>IF(ISNUMBER(E25),E25/Population!E25*10000,NA())</f>
        <v>#N/A</v>
      </c>
      <c r="N25" s="97" t="e">
        <f>IF(ISNUMBER(F25),F25/Population!F25*10000,NA())</f>
        <v>#N/A</v>
      </c>
      <c r="O25" s="97" t="e">
        <f>IF(ISNUMBER(G25),G25/Population!G25*10000,NA())</f>
        <v>#N/A</v>
      </c>
      <c r="P25" s="98" t="e">
        <f>IF(ISNUMBER(H25),H25/Population!H25*10000,NA())</f>
        <v>#N/A</v>
      </c>
      <c r="Q25" s="99" t="str">
        <f t="shared" si="8"/>
        <v/>
      </c>
      <c r="R25" s="822" t="e">
        <f t="shared" si="2"/>
        <v>#N/A</v>
      </c>
      <c r="S25" s="85"/>
      <c r="T25" s="99">
        <f>IF(H25&gt;0,IDACI!C24,NA())</f>
        <v>8.3000000000000007</v>
      </c>
      <c r="U25" s="122"/>
      <c r="V25" s="139"/>
      <c r="W25" s="152"/>
      <c r="X25" s="72" t="str">
        <f t="shared" si="3"/>
        <v>Surrey</v>
      </c>
      <c r="Y25" s="44">
        <f>IF(ISNUMBER($H25),IDACI!D24,0)</f>
        <v>0</v>
      </c>
      <c r="Z25" s="44">
        <f>IF(ISNUMBER($H25),IDACI!E24,0)</f>
        <v>0</v>
      </c>
      <c r="AA25" s="205" t="str">
        <f>IF(ISNUMBER(D25),Population!D25,"")</f>
        <v/>
      </c>
      <c r="AB25" s="205" t="str">
        <f>IF(ISNUMBER(E25),Population!E25,"")</f>
        <v/>
      </c>
      <c r="AC25" s="205" t="str">
        <f>IF(ISNUMBER(F25),Population!F25,"")</f>
        <v/>
      </c>
      <c r="AD25" s="205" t="str">
        <f>IF(ISNUMBER(G25),Population!G25,"")</f>
        <v/>
      </c>
      <c r="AE25" s="205" t="str">
        <f>IF(ISNUMBER(H25),Population!H25,"")</f>
        <v/>
      </c>
      <c r="AF25" s="93" t="s">
        <v>15</v>
      </c>
      <c r="AG25" s="231" t="str">
        <f t="shared" si="9"/>
        <v/>
      </c>
      <c r="AH25" s="206" t="e">
        <f t="shared" si="10"/>
        <v>#VALUE!</v>
      </c>
      <c r="AI25" s="202"/>
      <c r="AJ25" s="160"/>
      <c r="AK25" s="853" t="str">
        <f t="shared" si="4"/>
        <v>x</v>
      </c>
      <c r="AL25" s="853" t="str">
        <f t="shared" si="5"/>
        <v>x</v>
      </c>
      <c r="AM25" s="853" t="str">
        <f t="shared" si="6"/>
        <v>x</v>
      </c>
      <c r="AN25" s="853" t="str">
        <f t="shared" si="7"/>
        <v>x</v>
      </c>
      <c r="AO25" s="853" t="str">
        <f t="shared" si="11"/>
        <v/>
      </c>
    </row>
    <row r="26" spans="1:41" s="87" customFormat="1" ht="13.5" customHeight="1" x14ac:dyDescent="0.2">
      <c r="A26" s="488">
        <f>VLOOKUP(B26,Sheet1!$AQ$4:$AR$25,2,FALSE)</f>
        <v>0</v>
      </c>
      <c r="B26" s="93" t="str">
        <f>Sheet1!$K$20</f>
        <v>Swindon</v>
      </c>
      <c r="C26" s="85"/>
      <c r="D26" s="94" t="str">
        <f>IF(Year1_Swindon Year1_EarlyHelpAssessments="","",Year1_Swindon Year1_EarlyHelpAssessments)</f>
        <v/>
      </c>
      <c r="E26" s="94" t="str">
        <f>IF(Year2_Swindon Year2_EarlyHelpAssessments="","",Year2_Swindon Year2_EarlyHelpAssessments)</f>
        <v/>
      </c>
      <c r="F26" s="94" t="str">
        <f>IF(Year3_Swindon Year3_EarlyHelpAssessments="","",Year3_Swindon Year3_EarlyHelpAssessments)</f>
        <v/>
      </c>
      <c r="G26" s="94" t="str">
        <f>IF(Year4_Swindon Year4_EarlyHelpAssessments="","",Year4_Swindon Year4_EarlyHelpAssessments)</f>
        <v/>
      </c>
      <c r="H26" s="848" t="str">
        <f>IF(Year5_Swindon Year5_EarlyHelpAssessments="","",Year5_Swindon Year5_EarlyHelpAssessments)</f>
        <v/>
      </c>
      <c r="I26" s="861" t="str">
        <f t="shared" si="0"/>
        <v/>
      </c>
      <c r="J26" s="863" t="str">
        <f t="shared" si="1"/>
        <v/>
      </c>
      <c r="K26" s="96"/>
      <c r="L26" s="97" t="e">
        <f>IF(ISNUMBER(D26),D26/Population!D26*10000,NA())</f>
        <v>#N/A</v>
      </c>
      <c r="M26" s="97" t="e">
        <f>IF(ISNUMBER(E26),E26/Population!E26*10000,NA())</f>
        <v>#N/A</v>
      </c>
      <c r="N26" s="97" t="e">
        <f>IF(ISNUMBER(F26),F26/Population!F26*10000,NA())</f>
        <v>#N/A</v>
      </c>
      <c r="O26" s="97" t="e">
        <f>IF(ISNUMBER(G26),G26/Population!G26*10000,NA())</f>
        <v>#N/A</v>
      </c>
      <c r="P26" s="98" t="e">
        <f>IF(ISNUMBER(H26),H26/Population!H26*10000,NA())</f>
        <v>#N/A</v>
      </c>
      <c r="Q26" s="99" t="str">
        <f t="shared" si="8"/>
        <v/>
      </c>
      <c r="R26" s="807" t="str">
        <f t="shared" si="2"/>
        <v>--</v>
      </c>
      <c r="S26" s="85"/>
      <c r="T26" s="99">
        <f>IF(H26&gt;0,IDACI!C25,NA())</f>
        <v>14.899999999999999</v>
      </c>
      <c r="U26" s="122"/>
      <c r="V26" s="139"/>
      <c r="W26" s="152"/>
      <c r="X26" s="72" t="str">
        <f t="shared" si="3"/>
        <v>Swindon</v>
      </c>
      <c r="Y26" s="44">
        <f>IF(ISNUMBER($H26),IDACI!D25,0)</f>
        <v>0</v>
      </c>
      <c r="Z26" s="44">
        <f>IF(ISNUMBER($H26),IDACI!E25,0)</f>
        <v>0</v>
      </c>
      <c r="AA26" s="205" t="str">
        <f>IF(ISNUMBER(D26),Population!D26,"")</f>
        <v/>
      </c>
      <c r="AB26" s="205" t="str">
        <f>IF(ISNUMBER(E26),Population!E26,"")</f>
        <v/>
      </c>
      <c r="AC26" s="205" t="str">
        <f>IF(ISNUMBER(F26),Population!F26,"")</f>
        <v/>
      </c>
      <c r="AD26" s="205" t="str">
        <f>IF(ISNUMBER(G26),Population!G26,"")</f>
        <v/>
      </c>
      <c r="AE26" s="205" t="str">
        <f>IF(ISNUMBER(H26),Population!H26,"")</f>
        <v/>
      </c>
      <c r="AF26" s="93" t="s">
        <v>5</v>
      </c>
      <c r="AG26" s="231" t="str">
        <f t="shared" si="9"/>
        <v/>
      </c>
      <c r="AH26" s="206" t="e">
        <f t="shared" si="10"/>
        <v>#VALUE!</v>
      </c>
      <c r="AI26" s="202"/>
      <c r="AJ26" s="160"/>
      <c r="AK26" s="853" t="str">
        <f t="shared" si="4"/>
        <v>x</v>
      </c>
      <c r="AL26" s="853" t="str">
        <f t="shared" si="5"/>
        <v>x</v>
      </c>
      <c r="AM26" s="853" t="str">
        <f t="shared" si="6"/>
        <v>x</v>
      </c>
      <c r="AN26" s="853" t="str">
        <f t="shared" si="7"/>
        <v>x</v>
      </c>
      <c r="AO26" s="853" t="str">
        <f t="shared" si="11"/>
        <v/>
      </c>
    </row>
    <row r="27" spans="1:41" s="87" customFormat="1" ht="13.5" customHeight="1" x14ac:dyDescent="0.2">
      <c r="A27" s="488">
        <f>VLOOKUP(B27,Sheet1!$AQ$4:$AR$25,2,FALSE)</f>
        <v>0</v>
      </c>
      <c r="B27" s="93" t="str">
        <f>Sheet1!$K$21</f>
        <v>Torbay</v>
      </c>
      <c r="C27" s="85"/>
      <c r="D27" s="94" t="str">
        <f>IF(Year1_Torbay Year1_EarlyHelpAssessments="","",Year1_Torbay Year1_EarlyHelpAssessments)</f>
        <v/>
      </c>
      <c r="E27" s="94" t="str">
        <f>IF(Year2_Torbay Year2_EarlyHelpAssessments="","",Year2_Torbay Year2_EarlyHelpAssessments)</f>
        <v/>
      </c>
      <c r="F27" s="94" t="str">
        <f>IF(Year3_Torbay Year3_EarlyHelpAssessments="","",Year3_Torbay Year3_EarlyHelpAssessments)</f>
        <v/>
      </c>
      <c r="G27" s="94" t="str">
        <f>IF(Year4_Torbay Year4_EarlyHelpAssessments="","",Year4_Torbay Year4_EarlyHelpAssessments)</f>
        <v/>
      </c>
      <c r="H27" s="848" t="str">
        <f>IF(Year5_Torbay Year5_EarlyHelpAssessments="","",Year5_Torbay Year5_EarlyHelpAssessments)</f>
        <v/>
      </c>
      <c r="I27" s="861" t="str">
        <f t="shared" si="0"/>
        <v/>
      </c>
      <c r="J27" s="863" t="str">
        <f t="shared" si="1"/>
        <v/>
      </c>
      <c r="K27" s="96"/>
      <c r="L27" s="97" t="e">
        <f>IF(ISNUMBER(D27),D27/Population!D27*10000,NA())</f>
        <v>#N/A</v>
      </c>
      <c r="M27" s="97" t="e">
        <f>IF(ISNUMBER(E27),E27/Population!E27*10000,NA())</f>
        <v>#N/A</v>
      </c>
      <c r="N27" s="97" t="e">
        <f>IF(ISNUMBER(F27),F27/Population!F27*10000,NA())</f>
        <v>#N/A</v>
      </c>
      <c r="O27" s="97" t="e">
        <f>IF(ISNUMBER(G27),G27/Population!G27*10000,NA())</f>
        <v>#N/A</v>
      </c>
      <c r="P27" s="98" t="e">
        <f>IF(ISNUMBER(H27),H27/Population!H27*10000,NA())</f>
        <v>#N/A</v>
      </c>
      <c r="Q27" s="99" t="str">
        <f t="shared" si="8"/>
        <v/>
      </c>
      <c r="R27" s="807" t="str">
        <f t="shared" si="2"/>
        <v>--</v>
      </c>
      <c r="S27" s="85"/>
      <c r="T27" s="99">
        <f>IF(H27&gt;0,IDACI!C26,NA())</f>
        <v>21.9</v>
      </c>
      <c r="U27" s="122"/>
      <c r="V27" s="139"/>
      <c r="W27" s="152"/>
      <c r="X27" s="72" t="str">
        <f t="shared" si="3"/>
        <v>Torbay</v>
      </c>
      <c r="Y27" s="44">
        <f>IF(ISNUMBER($H27),IDACI!D26,0)</f>
        <v>0</v>
      </c>
      <c r="Z27" s="44">
        <f>IF(ISNUMBER($H27),IDACI!E26,0)</f>
        <v>0</v>
      </c>
      <c r="AA27" s="205" t="str">
        <f>IF(ISNUMBER(D27),Population!D27,"")</f>
        <v/>
      </c>
      <c r="AB27" s="205" t="str">
        <f>IF(ISNUMBER(E27),Population!E27,"")</f>
        <v/>
      </c>
      <c r="AC27" s="205" t="str">
        <f>IF(ISNUMBER(F27),Population!F27,"")</f>
        <v/>
      </c>
      <c r="AD27" s="205" t="str">
        <f>IF(ISNUMBER(G27),Population!G27,"")</f>
        <v/>
      </c>
      <c r="AE27" s="205" t="str">
        <f>IF(ISNUMBER(H27),Population!H27,"")</f>
        <v/>
      </c>
      <c r="AF27" s="93" t="s">
        <v>30</v>
      </c>
      <c r="AG27" s="231" t="str">
        <f t="shared" si="9"/>
        <v/>
      </c>
      <c r="AH27" s="206" t="e">
        <f t="shared" si="10"/>
        <v>#VALUE!</v>
      </c>
      <c r="AI27" s="202"/>
      <c r="AJ27" s="160"/>
      <c r="AK27" s="853" t="str">
        <f t="shared" si="4"/>
        <v>x</v>
      </c>
      <c r="AL27" s="853" t="str">
        <f t="shared" si="5"/>
        <v>x</v>
      </c>
      <c r="AM27" s="853" t="str">
        <f t="shared" si="6"/>
        <v>x</v>
      </c>
      <c r="AN27" s="853" t="str">
        <f t="shared" si="7"/>
        <v>x</v>
      </c>
      <c r="AO27" s="853" t="str">
        <f t="shared" si="11"/>
        <v/>
      </c>
    </row>
    <row r="28" spans="1:41" s="87" customFormat="1" ht="13.5" customHeight="1" x14ac:dyDescent="0.2">
      <c r="A28" s="488">
        <f>VLOOKUP(B28,Sheet1!$AQ$4:$AR$25,2,FALSE)</f>
        <v>0</v>
      </c>
      <c r="B28" s="93" t="str">
        <f>Sheet1!$K$22</f>
        <v>West Berkshire</v>
      </c>
      <c r="C28" s="85"/>
      <c r="D28" s="94" t="str">
        <f>IF(Year1_West_Berkshire Year1_EarlyHelpAssessments="","",Year1_West_Berkshire Year1_EarlyHelpAssessments)</f>
        <v/>
      </c>
      <c r="E28" s="100" t="str">
        <f>IF(Year2_West_Berkshire Year2_EarlyHelpAssessments="","",Year2_West_Berkshire Year2_EarlyHelpAssessments)</f>
        <v/>
      </c>
      <c r="F28" s="94" t="str">
        <f>IF(Year3_West_Berkshire Year3_EarlyHelpAssessments="","",Year3_West_Berkshire Year3_EarlyHelpAssessments)</f>
        <v/>
      </c>
      <c r="G28" s="94" t="str">
        <f>IF(Year4_West_Berkshire Year4_EarlyHelpAssessments="","",Year4_West_Berkshire Year4_EarlyHelpAssessments)</f>
        <v/>
      </c>
      <c r="H28" s="848" t="str">
        <f>IF(Year5_West_Berkshire Year5_EarlyHelpAssessments="","",Year5_West_Berkshire Year5_EarlyHelpAssessments)</f>
        <v/>
      </c>
      <c r="I28" s="861" t="str">
        <f t="shared" si="0"/>
        <v/>
      </c>
      <c r="J28" s="863" t="str">
        <f t="shared" si="1"/>
        <v/>
      </c>
      <c r="K28" s="96"/>
      <c r="L28" s="97" t="e">
        <f>IF(ISNUMBER(D28),D28/Population!D28*10000,NA())</f>
        <v>#N/A</v>
      </c>
      <c r="M28" s="97" t="e">
        <f>IF(ISNUMBER(E28),E28/Population!E28*10000,NA())</f>
        <v>#N/A</v>
      </c>
      <c r="N28" s="97" t="e">
        <f>IF(ISNUMBER(F28),F28/Population!F28*10000,NA())</f>
        <v>#N/A</v>
      </c>
      <c r="O28" s="97" t="e">
        <f>IF(ISNUMBER(G28),G28/Population!G28*10000,NA())</f>
        <v>#N/A</v>
      </c>
      <c r="P28" s="98" t="e">
        <f>IF(ISNUMBER(H28),H28/Population!H28*10000,NA())</f>
        <v>#N/A</v>
      </c>
      <c r="Q28" s="99" t="str">
        <f t="shared" si="8"/>
        <v/>
      </c>
      <c r="R28" s="822" t="e">
        <f t="shared" si="2"/>
        <v>#N/A</v>
      </c>
      <c r="S28" s="85"/>
      <c r="T28" s="99">
        <f>IF(H28&gt;0,IDACI!C27,NA())</f>
        <v>8.6999999999999993</v>
      </c>
      <c r="U28" s="122"/>
      <c r="V28" s="139"/>
      <c r="W28" s="152"/>
      <c r="X28" s="72" t="str">
        <f t="shared" si="3"/>
        <v>West Berkshire</v>
      </c>
      <c r="Y28" s="44">
        <f>IF(ISNUMBER($H28),IDACI!D27,0)</f>
        <v>0</v>
      </c>
      <c r="Z28" s="44">
        <f>IF(ISNUMBER($H28),IDACI!E27,0)</f>
        <v>0</v>
      </c>
      <c r="AA28" s="205" t="str">
        <f>IF(ISNUMBER(D28),Population!D28,"")</f>
        <v/>
      </c>
      <c r="AB28" s="205" t="str">
        <f>IF(ISNUMBER(E28),Population!E28,"")</f>
        <v/>
      </c>
      <c r="AC28" s="205" t="str">
        <f>IF(ISNUMBER(F28),Population!F28,"")</f>
        <v/>
      </c>
      <c r="AD28" s="205" t="str">
        <f>IF(ISNUMBER(G28),Population!G28,"")</f>
        <v/>
      </c>
      <c r="AE28" s="205" t="str">
        <f>IF(ISNUMBER(H28),Population!H28,"")</f>
        <v/>
      </c>
      <c r="AF28" s="93" t="s">
        <v>16</v>
      </c>
      <c r="AG28" s="231" t="str">
        <f t="shared" si="9"/>
        <v/>
      </c>
      <c r="AH28" s="206" t="e">
        <f>RANK(AG28,$AG$10:$AG$28,1)</f>
        <v>#VALUE!</v>
      </c>
      <c r="AI28" s="202"/>
      <c r="AJ28" s="160"/>
      <c r="AK28" s="853" t="str">
        <f t="shared" si="4"/>
        <v>x</v>
      </c>
      <c r="AL28" s="853" t="str">
        <f t="shared" si="5"/>
        <v>x</v>
      </c>
      <c r="AM28" s="853" t="str">
        <f t="shared" si="6"/>
        <v>x</v>
      </c>
      <c r="AN28" s="853" t="str">
        <f t="shared" si="7"/>
        <v>x</v>
      </c>
      <c r="AO28" s="853" t="str">
        <f t="shared" si="11"/>
        <v/>
      </c>
    </row>
    <row r="29" spans="1:41" s="87" customFormat="1" ht="13.5" customHeight="1" x14ac:dyDescent="0.2">
      <c r="A29" s="488">
        <f>VLOOKUP(B29,Sheet1!$AQ$4:$AR$25,2,FALSE)</f>
        <v>0</v>
      </c>
      <c r="B29" s="93" t="str">
        <f>Sheet1!$K$23</f>
        <v>West Sussex</v>
      </c>
      <c r="C29" s="85"/>
      <c r="D29" s="94" t="str">
        <f>IF(Year1_West_Sussex Year1_EarlyHelpAssessments="","",Year1_West_Sussex Year1_EarlyHelpAssessments)</f>
        <v/>
      </c>
      <c r="E29" s="100" t="str">
        <f>IF(Year2_West_Sussex Year2_EarlyHelpAssessments="","",Year2_West_Sussex Year2_EarlyHelpAssessments)</f>
        <v/>
      </c>
      <c r="F29" s="94" t="str">
        <f>IF(Year3_West_Sussex Year3_EarlyHelpAssessments="","",Year3_West_Sussex Year3_EarlyHelpAssessments)</f>
        <v/>
      </c>
      <c r="G29" s="94" t="str">
        <f>IF(Year4_West_Sussex Year4_EarlyHelpAssessments="","",Year4_West_Sussex Year4_EarlyHelpAssessments)</f>
        <v/>
      </c>
      <c r="H29" s="848" t="str">
        <f>IF(Year5_West_Sussex Year5_EarlyHelpAssessments="","",Year5_West_Sussex Year5_EarlyHelpAssessments)</f>
        <v/>
      </c>
      <c r="I29" s="861" t="str">
        <f t="shared" si="0"/>
        <v/>
      </c>
      <c r="J29" s="863" t="str">
        <f t="shared" si="1"/>
        <v/>
      </c>
      <c r="K29" s="96"/>
      <c r="L29" s="97" t="e">
        <f>IF(ISNUMBER(D29),D29/Population!D29*10000,NA())</f>
        <v>#N/A</v>
      </c>
      <c r="M29" s="97" t="e">
        <f>IF(ISNUMBER(E29),E29/Population!E29*10000,NA())</f>
        <v>#N/A</v>
      </c>
      <c r="N29" s="97" t="e">
        <f>IF(ISNUMBER(F29),F29/Population!F29*10000,NA())</f>
        <v>#N/A</v>
      </c>
      <c r="O29" s="97" t="e">
        <f>IF(ISNUMBER(G29),G29/Population!G29*10000,NA())</f>
        <v>#N/A</v>
      </c>
      <c r="P29" s="98" t="e">
        <f>IF(ISNUMBER(H29),H29/Population!H29*10000,NA())</f>
        <v>#N/A</v>
      </c>
      <c r="Q29" s="99" t="str">
        <f t="shared" si="8"/>
        <v/>
      </c>
      <c r="R29" s="822" t="e">
        <f t="shared" si="2"/>
        <v>#N/A</v>
      </c>
      <c r="S29" s="85"/>
      <c r="T29" s="99">
        <f>IF(H29&gt;0,IDACI!C28,NA())</f>
        <v>11</v>
      </c>
      <c r="U29" s="122"/>
      <c r="V29" s="139"/>
      <c r="W29" s="152"/>
      <c r="X29" s="72" t="str">
        <f t="shared" si="3"/>
        <v>West Sussex</v>
      </c>
      <c r="Y29" s="44">
        <f>IF(ISNUMBER($H29),IDACI!D28,0)</f>
        <v>0</v>
      </c>
      <c r="Z29" s="44">
        <f>IF(ISNUMBER($H29),IDACI!E28,0)</f>
        <v>0</v>
      </c>
      <c r="AA29" s="205" t="str">
        <f>IF(ISNUMBER(D29),Population!D29,"")</f>
        <v/>
      </c>
      <c r="AB29" s="205" t="str">
        <f>IF(ISNUMBER(E29),Population!E29,"")</f>
        <v/>
      </c>
      <c r="AC29" s="205" t="str">
        <f>IF(ISNUMBER(F29),Population!F29,"")</f>
        <v/>
      </c>
      <c r="AD29" s="205" t="str">
        <f>IF(ISNUMBER(G29),Population!G29,"")</f>
        <v/>
      </c>
      <c r="AE29" s="205" t="str">
        <f>IF(ISNUMBER(H29),Population!H29,"")</f>
        <v/>
      </c>
      <c r="AF29" s="202"/>
      <c r="AG29" s="202"/>
      <c r="AH29" s="190"/>
      <c r="AI29" s="202"/>
      <c r="AJ29" s="160"/>
      <c r="AK29" s="853" t="str">
        <f t="shared" si="4"/>
        <v>x</v>
      </c>
      <c r="AL29" s="853" t="str">
        <f t="shared" si="5"/>
        <v>x</v>
      </c>
      <c r="AM29" s="853" t="str">
        <f t="shared" si="6"/>
        <v>x</v>
      </c>
      <c r="AN29" s="853" t="str">
        <f t="shared" si="7"/>
        <v>x</v>
      </c>
      <c r="AO29" s="853" t="str">
        <f t="shared" si="11"/>
        <v/>
      </c>
    </row>
    <row r="30" spans="1:41" s="87" customFormat="1" ht="13.5" customHeight="1" x14ac:dyDescent="0.2">
      <c r="A30" s="488">
        <f>VLOOKUP(B30,Sheet1!$AQ$4:$AR$25,2,FALSE)</f>
        <v>0</v>
      </c>
      <c r="B30" s="93" t="str">
        <f>Sheet1!$K$24</f>
        <v>Windsor &amp; Maidenhead</v>
      </c>
      <c r="C30" s="85"/>
      <c r="D30" s="100" t="str">
        <f>IF(Year1_Windsor_Maidenhead Year1_EarlyHelpAssessments="","",Year1_Windsor_Maidenhead Year1_EarlyHelpAssessments)</f>
        <v/>
      </c>
      <c r="E30" s="94" t="str">
        <f>IF(Year2_Windsor_Maidenhead Year2_EarlyHelpAssessments="","",Year2_Windsor_Maidenhead Year2_EarlyHelpAssessments)</f>
        <v/>
      </c>
      <c r="F30" s="94" t="str">
        <f>IF(Year3_Windsor_Maidenhead Year3_EarlyHelpAssessments="","",Year3_Windsor_Maidenhead Year3_EarlyHelpAssessments)</f>
        <v/>
      </c>
      <c r="G30" s="94" t="str">
        <f>IF(Year4_Windsor_Maidenhead Year4_EarlyHelpAssessments="","",Year4_Windsor_Maidenhead Year4_EarlyHelpAssessments)</f>
        <v/>
      </c>
      <c r="H30" s="848" t="str">
        <f>IF(Year5_Windsor_Maidenhead Year5_EarlyHelpAssessments="","",Year5_Windsor_Maidenhead Year5_EarlyHelpAssessments)</f>
        <v/>
      </c>
      <c r="I30" s="861" t="str">
        <f t="shared" si="0"/>
        <v/>
      </c>
      <c r="J30" s="863" t="str">
        <f t="shared" si="1"/>
        <v/>
      </c>
      <c r="K30" s="96"/>
      <c r="L30" s="97" t="e">
        <f>IF(ISNUMBER(D30),D30/Population!D30*10000,NA())</f>
        <v>#N/A</v>
      </c>
      <c r="M30" s="97" t="e">
        <f>IF(ISNUMBER(E30),E30/Population!E30*10000,NA())</f>
        <v>#N/A</v>
      </c>
      <c r="N30" s="97" t="e">
        <f>IF(ISNUMBER(F30),F30/Population!F30*10000,NA())</f>
        <v>#N/A</v>
      </c>
      <c r="O30" s="97" t="e">
        <f>IF(ISNUMBER(G30),G30/Population!G30*10000,NA())</f>
        <v>#N/A</v>
      </c>
      <c r="P30" s="98" t="e">
        <f>IF(ISNUMBER(H30),H30/Population!H30*10000,NA())</f>
        <v>#N/A</v>
      </c>
      <c r="Q30" s="99" t="str">
        <f t="shared" si="8"/>
        <v/>
      </c>
      <c r="R30" s="822" t="e">
        <f t="shared" si="2"/>
        <v>#N/A</v>
      </c>
      <c r="S30" s="85"/>
      <c r="T30" s="99">
        <f>IF(H30&gt;0,IDACI!C29,NA())</f>
        <v>6.7</v>
      </c>
      <c r="U30" s="122"/>
      <c r="V30" s="139"/>
      <c r="W30" s="152"/>
      <c r="X30" s="72" t="str">
        <f t="shared" si="3"/>
        <v>Windsor &amp; Maidenhead</v>
      </c>
      <c r="Y30" s="44">
        <f>IF(ISNUMBER($H30),IDACI!D29,0)</f>
        <v>0</v>
      </c>
      <c r="Z30" s="44">
        <f>IF(ISNUMBER($H30),IDACI!E29,0)</f>
        <v>0</v>
      </c>
      <c r="AA30" s="205" t="str">
        <f>IF(ISNUMBER(D30),Population!D30,"")</f>
        <v/>
      </c>
      <c r="AB30" s="205" t="str">
        <f>IF(ISNUMBER(E30),Population!E30,"")</f>
        <v/>
      </c>
      <c r="AC30" s="205" t="str">
        <f>IF(ISNUMBER(F30),Population!F30,"")</f>
        <v/>
      </c>
      <c r="AD30" s="205" t="str">
        <f>IF(ISNUMBER(G30),Population!G30,"")</f>
        <v/>
      </c>
      <c r="AE30" s="205" t="str">
        <f>IF(ISNUMBER(H30),Population!H30,"")</f>
        <v/>
      </c>
      <c r="AF30" s="202"/>
      <c r="AG30" s="202"/>
      <c r="AH30" s="190"/>
      <c r="AI30" s="202"/>
      <c r="AJ30" s="160"/>
      <c r="AK30" s="853" t="str">
        <f t="shared" si="4"/>
        <v>x</v>
      </c>
      <c r="AL30" s="853" t="str">
        <f t="shared" si="5"/>
        <v>x</v>
      </c>
      <c r="AM30" s="853" t="str">
        <f t="shared" si="6"/>
        <v>x</v>
      </c>
      <c r="AN30" s="853" t="str">
        <f t="shared" si="7"/>
        <v>x</v>
      </c>
      <c r="AO30" s="853" t="str">
        <f t="shared" si="11"/>
        <v/>
      </c>
    </row>
    <row r="31" spans="1:41" s="87" customFormat="1" ht="13.5" customHeight="1" x14ac:dyDescent="0.2">
      <c r="A31" s="488">
        <f>VLOOKUP(B31,Sheet1!$AQ$4:$AR$25,2,FALSE)</f>
        <v>0</v>
      </c>
      <c r="B31" s="93" t="str">
        <f>Sheet1!$K$25</f>
        <v>Wokingham</v>
      </c>
      <c r="C31" s="85"/>
      <c r="D31" s="100" t="str">
        <f>IF(Year1_Wokingham Year1_EarlyHelpAssessments="","",Year1_Wokingham Year1_EarlyHelpAssessments)</f>
        <v/>
      </c>
      <c r="E31" s="94" t="str">
        <f>IF(Year2_Wokingham Year2_EarlyHelpAssessments="","",Year2_Wokingham Year2_EarlyHelpAssessments)</f>
        <v/>
      </c>
      <c r="F31" s="94" t="str">
        <f>IF(Year3_Wokingham Year3_EarlyHelpAssessments="","",Year3_Wokingham Year3_EarlyHelpAssessments)</f>
        <v/>
      </c>
      <c r="G31" s="94" t="str">
        <f>IF(Year4_Wokingham Year4_EarlyHelpAssessments="","",Year4_Wokingham Year4_EarlyHelpAssessments)</f>
        <v/>
      </c>
      <c r="H31" s="848" t="str">
        <f>IF(Year5_Wokingham Year5_EarlyHelpAssessments="","",Year5_Wokingham Year5_EarlyHelpAssessments)</f>
        <v/>
      </c>
      <c r="I31" s="861" t="str">
        <f t="shared" si="0"/>
        <v/>
      </c>
      <c r="J31" s="863" t="str">
        <f t="shared" si="1"/>
        <v/>
      </c>
      <c r="K31" s="96"/>
      <c r="L31" s="97" t="e">
        <f>IF(ISNUMBER(D31),D31/Population!D31*10000,NA())</f>
        <v>#N/A</v>
      </c>
      <c r="M31" s="97" t="e">
        <f>IF(ISNUMBER(E31),E31/Population!E31*10000,NA())</f>
        <v>#N/A</v>
      </c>
      <c r="N31" s="97" t="e">
        <f>IF(ISNUMBER(F31),F31/Population!F31*10000,NA())</f>
        <v>#N/A</v>
      </c>
      <c r="O31" s="97" t="e">
        <f>IF(ISNUMBER(G31),G31/Population!G31*10000,NA())</f>
        <v>#N/A</v>
      </c>
      <c r="P31" s="98" t="e">
        <f>IF(ISNUMBER(H31),H31/Population!H31*10000,NA())</f>
        <v>#N/A</v>
      </c>
      <c r="Q31" s="99" t="str">
        <f t="shared" si="8"/>
        <v/>
      </c>
      <c r="R31" s="822" t="e">
        <f t="shared" si="2"/>
        <v>#N/A</v>
      </c>
      <c r="S31" s="85"/>
      <c r="T31" s="99">
        <f>IF(H31&gt;0,IDACI!C30,NA())</f>
        <v>5.6000000000000005</v>
      </c>
      <c r="U31" s="122"/>
      <c r="V31" s="139"/>
      <c r="W31" s="152"/>
      <c r="X31" s="72" t="str">
        <f t="shared" si="3"/>
        <v>Wokingham</v>
      </c>
      <c r="Y31" s="44">
        <f>IF(ISNUMBER($H31),IDACI!D30,0)</f>
        <v>0</v>
      </c>
      <c r="Z31" s="44">
        <f>IF(ISNUMBER($H31),IDACI!E30,0)</f>
        <v>0</v>
      </c>
      <c r="AA31" s="205" t="str">
        <f>IF(ISNUMBER(D31),Population!D31,"")</f>
        <v/>
      </c>
      <c r="AB31" s="205" t="str">
        <f>IF(ISNUMBER(E31),Population!E31,"")</f>
        <v/>
      </c>
      <c r="AC31" s="205" t="str">
        <f>IF(ISNUMBER(F31),Population!F31,"")</f>
        <v/>
      </c>
      <c r="AD31" s="205" t="str">
        <f>IF(ISNUMBER(G31),Population!G31,"")</f>
        <v/>
      </c>
      <c r="AE31" s="205" t="str">
        <f>IF(ISNUMBER(H31),Population!H31,"")</f>
        <v/>
      </c>
      <c r="AF31" s="202"/>
      <c r="AG31" s="202"/>
      <c r="AH31" s="190"/>
      <c r="AI31" s="202"/>
      <c r="AJ31" s="160"/>
      <c r="AK31" s="853" t="str">
        <f t="shared" si="4"/>
        <v>x</v>
      </c>
      <c r="AL31" s="853" t="str">
        <f t="shared" si="5"/>
        <v>x</v>
      </c>
      <c r="AM31" s="853" t="str">
        <f t="shared" si="6"/>
        <v>x</v>
      </c>
      <c r="AN31" s="853" t="str">
        <f t="shared" si="7"/>
        <v>x</v>
      </c>
      <c r="AO31" s="853" t="str">
        <f t="shared" si="11"/>
        <v/>
      </c>
    </row>
    <row r="32" spans="1:41" s="87" customFormat="1" ht="13.5" customHeight="1" x14ac:dyDescent="0.2">
      <c r="A32" s="292"/>
      <c r="B32" s="129" t="str">
        <f>Sheet1!$K$26</f>
        <v>South East</v>
      </c>
      <c r="C32" s="85"/>
      <c r="D32" s="130" t="str">
        <f>IF(SUM(D10:D22,D24:D25,D28:D31)&gt;0,SUM(D10:D22,D24:D25,D28:D31),"")</f>
        <v/>
      </c>
      <c r="E32" s="130" t="str">
        <f>IF(SUM(E10:E22,E24:E25,E28:E31)&gt;0,SUM(E10:E22,E24:E25,E28:E31),"")</f>
        <v/>
      </c>
      <c r="F32" s="130" t="str">
        <f>IF(SUM(F10:F22,F24:F25,F28:F31)&gt;0,SUM(F10:F22,F24:F25,F28:F31),"")</f>
        <v/>
      </c>
      <c r="G32" s="130" t="str">
        <f>IF(SUM(G10:G22,G24:G25,G28:G31)&gt;0,SUM(G10:G22,G24:G25,G28:G31),"")</f>
        <v/>
      </c>
      <c r="H32" s="490" t="str">
        <f>IF(SUM(H10:H22,H24:H25,H28:H31)&gt;0,SUM(H10:H22,H24:H25,H28:H31),"")</f>
        <v/>
      </c>
      <c r="I32" s="862" t="str">
        <f t="shared" si="0"/>
        <v/>
      </c>
      <c r="J32" s="863" t="str">
        <f t="shared" si="1"/>
        <v/>
      </c>
      <c r="K32" s="96"/>
      <c r="L32" s="133" t="e">
        <f>IF(ISNUMBER(D32),D32/AA32*10000,NA())</f>
        <v>#N/A</v>
      </c>
      <c r="M32" s="133" t="e">
        <f>IF(ISNUMBER(E32),E32/AB32*10000,NA())</f>
        <v>#N/A</v>
      </c>
      <c r="N32" s="133" t="e">
        <f>IF(ISNUMBER(F32),F32/AC32*10000,NA())</f>
        <v>#N/A</v>
      </c>
      <c r="O32" s="133" t="e">
        <f>IF(ISNUMBER(G32),G32/AD32*10000,NA())</f>
        <v>#N/A</v>
      </c>
      <c r="P32" s="133" t="e">
        <f>IF(ISNUMBER(H32),H32/AE32*10000,NA())</f>
        <v>#N/A</v>
      </c>
      <c r="Q32" s="99" t="str">
        <f t="shared" si="8"/>
        <v/>
      </c>
      <c r="R32" s="134" t="s">
        <v>91</v>
      </c>
      <c r="S32" s="85"/>
      <c r="T32" s="135" t="e">
        <f>Z32/Y32*100</f>
        <v>#DIV/0!</v>
      </c>
      <c r="U32" s="122"/>
      <c r="V32" s="139"/>
      <c r="W32" s="152"/>
      <c r="X32" s="72" t="str">
        <f t="shared" si="3"/>
        <v>South East</v>
      </c>
      <c r="Y32" s="44">
        <f>SUM(Y24:Y25,Y10:Y22,Y28:Y31)</f>
        <v>0</v>
      </c>
      <c r="Z32" s="44">
        <f>SUM(Z24:Z25,Z10:Z22,Z28:Z31)</f>
        <v>0</v>
      </c>
      <c r="AA32" s="205">
        <f>SUM(AA10:AA22,AA24:AA25,AA28:AA31)</f>
        <v>0</v>
      </c>
      <c r="AB32" s="205">
        <f>SUM(AB10:AB22,AB24:AB25,AB28:AB31)</f>
        <v>0</v>
      </c>
      <c r="AC32" s="205">
        <f t="shared" ref="AC32:AE32" si="12">SUM(AC10:AC22,AC24:AC25,AC28:AC31)</f>
        <v>0</v>
      </c>
      <c r="AD32" s="205">
        <f t="shared" si="12"/>
        <v>0</v>
      </c>
      <c r="AE32" s="205">
        <f t="shared" si="12"/>
        <v>0</v>
      </c>
      <c r="AF32" s="202"/>
      <c r="AG32" s="202"/>
      <c r="AH32" s="190"/>
      <c r="AI32" s="202"/>
      <c r="AJ32" s="160"/>
      <c r="AK32" s="853" t="str">
        <f>IF(ISERROR((M32-L32)/L32),"x",(M32-L32)/L32)</f>
        <v>x</v>
      </c>
      <c r="AL32" s="853" t="str">
        <f t="shared" ref="AL32:AN32" si="13">IF(ISERROR((N32-M32)/M32),"x",(N32-M32)/M32)</f>
        <v>x</v>
      </c>
      <c r="AM32" s="853" t="str">
        <f t="shared" si="13"/>
        <v>x</v>
      </c>
      <c r="AN32" s="853" t="str">
        <f t="shared" si="13"/>
        <v>x</v>
      </c>
      <c r="AO32" s="853" t="str">
        <f t="shared" si="11"/>
        <v/>
      </c>
    </row>
    <row r="33" spans="1:50" s="81" customFormat="1" ht="14.1" customHeight="1" x14ac:dyDescent="0.2">
      <c r="A33" s="278"/>
      <c r="B33" s="123" t="s">
        <v>90</v>
      </c>
      <c r="C33" s="63"/>
      <c r="D33" s="63"/>
      <c r="E33" s="63"/>
      <c r="F33" s="63"/>
      <c r="G33" s="63"/>
      <c r="H33" s="63"/>
      <c r="I33" s="63"/>
      <c r="J33" s="63"/>
      <c r="K33" s="63"/>
      <c r="L33" s="63"/>
      <c r="M33" s="63"/>
      <c r="N33" s="63"/>
      <c r="O33" s="63"/>
      <c r="P33" s="63"/>
      <c r="Q33" s="63"/>
      <c r="R33" s="136" t="s">
        <v>108</v>
      </c>
      <c r="S33" s="63"/>
      <c r="T33" s="63"/>
      <c r="U33" s="117"/>
      <c r="V33" s="137"/>
      <c r="W33" s="150"/>
      <c r="X33" s="80"/>
      <c r="Y33" s="184"/>
      <c r="Z33" s="184"/>
      <c r="AA33" s="184"/>
      <c r="AB33" s="184"/>
      <c r="AC33" s="184"/>
      <c r="AD33" s="184"/>
      <c r="AE33" s="184"/>
      <c r="AF33" s="184"/>
      <c r="AG33" s="184"/>
      <c r="AI33" s="184"/>
      <c r="AJ33" s="161"/>
    </row>
    <row r="34" spans="1:50" s="81" customFormat="1" ht="39.75" customHeight="1" x14ac:dyDescent="0.2">
      <c r="A34" s="278"/>
      <c r="B34" s="1762" t="s">
        <v>729</v>
      </c>
      <c r="C34" s="1763"/>
      <c r="D34" s="1763"/>
      <c r="E34" s="1763"/>
      <c r="F34" s="1763"/>
      <c r="G34" s="1763"/>
      <c r="H34" s="1763"/>
      <c r="I34" s="1763"/>
      <c r="J34" s="1763"/>
      <c r="K34" s="1763"/>
      <c r="L34" s="1763"/>
      <c r="M34" s="1763"/>
      <c r="N34" s="1763"/>
      <c r="O34" s="1763"/>
      <c r="P34" s="1763"/>
      <c r="Q34" s="1763"/>
      <c r="R34" s="1763"/>
      <c r="S34" s="1763"/>
      <c r="T34" s="1764"/>
      <c r="U34" s="117"/>
      <c r="V34" s="137"/>
      <c r="W34" s="150"/>
      <c r="X34" s="80"/>
      <c r="Y34" s="184"/>
      <c r="Z34" s="184"/>
      <c r="AA34" s="184"/>
      <c r="AB34" s="184"/>
      <c r="AC34" s="184"/>
      <c r="AD34" s="184"/>
      <c r="AE34" s="184"/>
      <c r="AF34" s="184"/>
      <c r="AG34" s="184"/>
      <c r="AI34" s="184"/>
      <c r="AJ34" s="157"/>
      <c r="AK34" s="74"/>
      <c r="AL34" s="74"/>
      <c r="AM34" s="74"/>
      <c r="AN34" s="74"/>
      <c r="AO34" s="74"/>
      <c r="AP34" s="74"/>
      <c r="AQ34" s="74"/>
      <c r="AR34" s="74"/>
      <c r="AX34" s="74"/>
    </row>
    <row r="35" spans="1:50" s="81" customFormat="1" ht="7.5" customHeight="1" x14ac:dyDescent="0.2">
      <c r="A35" s="278"/>
      <c r="B35" s="17"/>
      <c r="C35" s="17"/>
      <c r="D35" s="16"/>
      <c r="E35" s="16"/>
      <c r="F35" s="16"/>
      <c r="G35" s="16"/>
      <c r="H35" s="16"/>
      <c r="I35" s="16"/>
      <c r="J35" s="16"/>
      <c r="K35" s="12"/>
      <c r="L35" s="18"/>
      <c r="M35" s="18"/>
      <c r="N35" s="18"/>
      <c r="O35" s="18"/>
      <c r="P35" s="18"/>
      <c r="Q35" s="18"/>
      <c r="R35" s="18"/>
      <c r="S35" s="18"/>
      <c r="T35" s="19"/>
      <c r="U35" s="117"/>
      <c r="V35" s="137"/>
      <c r="W35" s="150"/>
      <c r="Y35" s="190"/>
      <c r="AI35" s="184"/>
      <c r="AJ35" s="157"/>
      <c r="AK35" s="74"/>
      <c r="AL35" s="74"/>
      <c r="AM35" s="74"/>
      <c r="AN35" s="74"/>
      <c r="AO35" s="74"/>
      <c r="AP35" s="74"/>
      <c r="AQ35" s="74"/>
      <c r="AR35" s="74"/>
      <c r="AX35" s="74"/>
    </row>
    <row r="36" spans="1:50" s="81" customFormat="1" ht="15" customHeight="1" x14ac:dyDescent="0.2">
      <c r="A36" s="1775"/>
      <c r="B36" s="1760"/>
      <c r="C36" s="1760"/>
      <c r="D36" s="1760"/>
      <c r="E36" s="1760"/>
      <c r="F36" s="1760"/>
      <c r="G36" s="1760"/>
      <c r="H36" s="1760"/>
      <c r="I36" s="1760"/>
      <c r="J36" s="1760"/>
      <c r="K36" s="1760"/>
      <c r="L36" s="1760"/>
      <c r="M36" s="1760"/>
      <c r="N36" s="1760"/>
      <c r="O36" s="1760"/>
      <c r="P36" s="1760"/>
      <c r="Q36" s="1760"/>
      <c r="R36" s="1760"/>
      <c r="S36" s="1760"/>
      <c r="T36" s="1760"/>
      <c r="U36" s="1761"/>
      <c r="V36" s="137"/>
      <c r="W36" s="150"/>
      <c r="Y36" s="190"/>
      <c r="AJ36" s="161"/>
      <c r="AL36" s="81">
        <f>COLUMNS($B$4:L$4)</f>
        <v>11</v>
      </c>
      <c r="AM36" s="81">
        <f>COLUMNS($B$4:M$4)</f>
        <v>12</v>
      </c>
      <c r="AN36" s="81">
        <f>COLUMNS($B$4:N$4)</f>
        <v>13</v>
      </c>
      <c r="AO36" s="81">
        <f>COLUMNS($B$4:O$4)</f>
        <v>14</v>
      </c>
      <c r="AP36" s="81">
        <f>COLUMNS($B$4:P$4)</f>
        <v>15</v>
      </c>
      <c r="AR36" s="81">
        <f>COLUMNS($B$4:T$4)</f>
        <v>19</v>
      </c>
      <c r="AS36" s="55" t="s">
        <v>199</v>
      </c>
      <c r="AT36" s="24"/>
      <c r="AU36" s="24"/>
      <c r="AV36" s="24"/>
      <c r="AW36" s="23"/>
    </row>
    <row r="37" spans="1:50" s="81" customFormat="1" ht="11.45" customHeight="1" x14ac:dyDescent="0.2">
      <c r="A37" s="1776" t="str">
        <f>Home!$A$39</f>
        <v xml:space="preserve"> </v>
      </c>
      <c r="B37" s="1777"/>
      <c r="C37" s="1777"/>
      <c r="D37" s="1777"/>
      <c r="E37" s="1777"/>
      <c r="F37" s="1777"/>
      <c r="G37" s="1777"/>
      <c r="H37" s="1777"/>
      <c r="I37" s="1768"/>
      <c r="J37" s="1768"/>
      <c r="K37" s="1777"/>
      <c r="L37" s="1777"/>
      <c r="M37" s="1777"/>
      <c r="N37" s="1777"/>
      <c r="O37" s="1777"/>
      <c r="P37" s="1777"/>
      <c r="Q37" s="1777"/>
      <c r="R37" s="1777"/>
      <c r="S37" s="1777"/>
      <c r="T37" s="1777"/>
      <c r="U37" s="1778"/>
      <c r="V37" s="137"/>
      <c r="W37" s="150"/>
      <c r="Y37" s="190"/>
      <c r="AI37" s="184"/>
      <c r="AJ37" s="160"/>
      <c r="AK37" s="87"/>
      <c r="AL37" s="423" t="s">
        <v>89</v>
      </c>
      <c r="AM37" s="424"/>
      <c r="AN37" s="424"/>
      <c r="AO37" s="424"/>
      <c r="AP37" s="424"/>
      <c r="AQ37" s="1773" t="s">
        <v>203</v>
      </c>
      <c r="AR37" s="1773" t="s">
        <v>1213</v>
      </c>
      <c r="AS37" s="81">
        <f>COLUMNS($B$4:D$4)</f>
        <v>3</v>
      </c>
      <c r="AT37" s="81">
        <f>COLUMNS($B$4:E$4)</f>
        <v>4</v>
      </c>
      <c r="AU37" s="81">
        <f>COLUMNS($B$4:F$4)</f>
        <v>5</v>
      </c>
      <c r="AV37" s="81">
        <f>COLUMNS($B$4:G$4)</f>
        <v>6</v>
      </c>
      <c r="AW37" s="81">
        <f>COLUMNS($B$4:H$4)</f>
        <v>7</v>
      </c>
      <c r="AX37" s="1773" t="s">
        <v>203</v>
      </c>
    </row>
    <row r="38" spans="1:50" s="81" customFormat="1" ht="11.1" customHeight="1" x14ac:dyDescent="0.2">
      <c r="A38" s="112"/>
      <c r="B38" s="113"/>
      <c r="C38" s="113"/>
      <c r="D38" s="113"/>
      <c r="E38" s="113"/>
      <c r="F38" s="113"/>
      <c r="G38" s="113"/>
      <c r="H38" s="113"/>
      <c r="I38" s="113"/>
      <c r="J38" s="113"/>
      <c r="K38" s="114"/>
      <c r="L38" s="113"/>
      <c r="M38" s="113"/>
      <c r="N38" s="113"/>
      <c r="O38" s="113"/>
      <c r="P38" s="113"/>
      <c r="Q38" s="113"/>
      <c r="R38" s="113"/>
      <c r="S38" s="113"/>
      <c r="T38" s="113"/>
      <c r="U38" s="115"/>
      <c r="V38" s="137"/>
      <c r="W38" s="149" t="s">
        <v>101</v>
      </c>
      <c r="AI38" s="184"/>
      <c r="AJ38" s="160"/>
      <c r="AK38" s="87"/>
      <c r="AL38" s="423" t="str">
        <f>Sheet1!$D$27</f>
        <v>2015-16</v>
      </c>
      <c r="AM38" s="423" t="str">
        <f>Sheet1!$E$27</f>
        <v>2016-17</v>
      </c>
      <c r="AN38" s="423" t="str">
        <f>Sheet1!$F$27</f>
        <v>2017-18</v>
      </c>
      <c r="AO38" s="423" t="str">
        <f>Sheet1!$G$27</f>
        <v>2018-19</v>
      </c>
      <c r="AP38" s="423" t="str">
        <f>Sheet1!$H$27</f>
        <v>2019-20</v>
      </c>
      <c r="AQ38" s="1774"/>
      <c r="AR38" s="1774"/>
      <c r="AS38" s="423" t="str">
        <f>Sheet1!$D$27</f>
        <v>2015-16</v>
      </c>
      <c r="AT38" s="423" t="str">
        <f>Sheet1!$E$27</f>
        <v>2016-17</v>
      </c>
      <c r="AU38" s="423" t="str">
        <f>Sheet1!$F$27</f>
        <v>2017-18</v>
      </c>
      <c r="AV38" s="423" t="str">
        <f>Sheet1!$G$27</f>
        <v>2018-19</v>
      </c>
      <c r="AW38" s="423" t="str">
        <f>Sheet1!$H$27</f>
        <v>2019-20</v>
      </c>
      <c r="AX38" s="1774"/>
    </row>
    <row r="39" spans="1:50" s="81" customFormat="1" ht="3.75" customHeight="1" x14ac:dyDescent="0.25">
      <c r="A39" s="462"/>
      <c r="B39" s="9"/>
      <c r="C39" s="9"/>
      <c r="D39" s="9"/>
      <c r="E39" s="9"/>
      <c r="F39" s="9"/>
      <c r="G39" s="9"/>
      <c r="H39" s="9"/>
      <c r="I39" s="9"/>
      <c r="J39" s="9"/>
      <c r="K39" s="12"/>
      <c r="L39" s="9"/>
      <c r="M39" s="9"/>
      <c r="N39" s="9"/>
      <c r="O39" s="9"/>
      <c r="P39" s="9"/>
      <c r="Q39" s="9"/>
      <c r="R39" s="9"/>
      <c r="S39" s="9"/>
      <c r="T39" s="9"/>
      <c r="U39" s="117"/>
      <c r="V39" s="137"/>
      <c r="W39" s="294"/>
      <c r="AJ39" s="160"/>
      <c r="AK39" s="87"/>
      <c r="AL39" s="423" t="e">
        <f>Sheet1!$D$28</f>
        <v>#N/A</v>
      </c>
      <c r="AM39" s="423" t="e">
        <f>Sheet1!$E$28</f>
        <v>#N/A</v>
      </c>
      <c r="AN39" s="423" t="e">
        <f>Sheet1!$F$28</f>
        <v>#N/A</v>
      </c>
      <c r="AO39" s="423" t="e">
        <f>Sheet1!$G$28</f>
        <v>#N/A</v>
      </c>
      <c r="AP39" s="423" t="e">
        <f>Sheet1!$H$28</f>
        <v>#N/A</v>
      </c>
      <c r="AQ39" s="1774"/>
      <c r="AR39" s="1774"/>
      <c r="AS39" s="493" t="e">
        <f>Sheet1!$D$28</f>
        <v>#N/A</v>
      </c>
      <c r="AT39" s="493" t="e">
        <f>Sheet1!$E$28</f>
        <v>#N/A</v>
      </c>
      <c r="AU39" s="493" t="e">
        <f>Sheet1!$F$28</f>
        <v>#N/A</v>
      </c>
      <c r="AV39" s="493" t="e">
        <f>Sheet1!$G$28</f>
        <v>#N/A</v>
      </c>
      <c r="AW39" s="493" t="e">
        <f>Sheet1!$H$28</f>
        <v>#N/A</v>
      </c>
      <c r="AX39" s="1774"/>
    </row>
    <row r="40" spans="1:50" s="81" customFormat="1" ht="14.25" customHeight="1" x14ac:dyDescent="0.2">
      <c r="A40" s="278"/>
      <c r="B40" s="9"/>
      <c r="C40" s="9"/>
      <c r="D40" s="9"/>
      <c r="E40" s="9"/>
      <c r="F40" s="9"/>
      <c r="G40" s="9"/>
      <c r="H40" s="9"/>
      <c r="I40" s="9"/>
      <c r="J40" s="9"/>
      <c r="K40" s="12"/>
      <c r="L40" s="9"/>
      <c r="M40" s="9"/>
      <c r="N40" s="9"/>
      <c r="O40" s="9"/>
      <c r="P40" s="9"/>
      <c r="Q40" s="9"/>
      <c r="R40" s="9"/>
      <c r="S40" s="9"/>
      <c r="T40" s="9"/>
      <c r="U40" s="117"/>
      <c r="V40" s="137"/>
      <c r="W40" s="294"/>
      <c r="X40" s="43" t="s">
        <v>72</v>
      </c>
      <c r="Y40" s="209" t="s">
        <v>70</v>
      </c>
      <c r="Z40" s="43" t="s">
        <v>71</v>
      </c>
      <c r="AA40" s="210">
        <v>5</v>
      </c>
      <c r="AB40" s="211" t="e">
        <f>(AA40*Y41)+Z41</f>
        <v>#DIV/0!</v>
      </c>
      <c r="AC40" s="1320" t="s">
        <v>977</v>
      </c>
      <c r="AI40" s="585" t="b">
        <v>1</v>
      </c>
      <c r="AJ40" s="160" t="s">
        <v>0</v>
      </c>
      <c r="AK40" s="87" t="str">
        <f t="shared" ref="AK40:AK62" si="14">IF(AI40=TRUE,B10,"")</f>
        <v>Bracknell Forest</v>
      </c>
      <c r="AL40" s="146" t="e">
        <f>VLOOKUP($AK40,$B$10:$P$32,AL$36,FALSE)</f>
        <v>#N/A</v>
      </c>
      <c r="AM40" s="146" t="e">
        <f t="shared" ref="AL40:AP49" si="15">VLOOKUP($AK40,$B$10:$P$32,AM$36,FALSE)</f>
        <v>#N/A</v>
      </c>
      <c r="AN40" s="146" t="e">
        <f t="shared" si="15"/>
        <v>#N/A</v>
      </c>
      <c r="AO40" s="146" t="e">
        <f t="shared" si="15"/>
        <v>#N/A</v>
      </c>
      <c r="AP40" s="146" t="e">
        <f t="shared" si="15"/>
        <v>#N/A</v>
      </c>
      <c r="AQ40" s="146" t="e">
        <f>IF($AK40=$Y$4,AP40,NA())</f>
        <v>#N/A</v>
      </c>
      <c r="AR40" s="147">
        <f>VLOOKUP(AK40,$B$10:$T$32,AR$36,FALSE)</f>
        <v>8.9</v>
      </c>
      <c r="AS40" s="171" t="e">
        <f t="shared" ref="AS40:AS62" si="16">VLOOKUP($AK40,$B$76:$H$98,3,FALSE)</f>
        <v>#N/A</v>
      </c>
      <c r="AT40" s="171" t="e">
        <f t="shared" ref="AT40:AT62" si="17">VLOOKUP($AK40,$B$76:$H$98,4,FALSE)</f>
        <v>#N/A</v>
      </c>
      <c r="AU40" s="171" t="e">
        <f t="shared" ref="AU40:AU62" si="18">VLOOKUP($AK40,$B$76:$H$98,5,FALSE)</f>
        <v>#N/A</v>
      </c>
      <c r="AV40" s="171" t="e">
        <f t="shared" ref="AV40:AV62" si="19">VLOOKUP($AK40,$B$76:$H$98,6,FALSE)</f>
        <v>#N/A</v>
      </c>
      <c r="AW40" s="171" t="e">
        <f t="shared" ref="AW40:AW62" si="20">VLOOKUP($AK40,$B$76:$H$98,7,FALSE)</f>
        <v>#N/A</v>
      </c>
      <c r="AX40" s="146" t="e">
        <f>IF($AK40=$Y$4,AW40,NA())</f>
        <v>#N/A</v>
      </c>
    </row>
    <row r="41" spans="1:50" s="81" customFormat="1" ht="14.25" customHeight="1" x14ac:dyDescent="0.2">
      <c r="A41" s="278"/>
      <c r="B41" s="9"/>
      <c r="C41" s="9"/>
      <c r="D41" s="9"/>
      <c r="E41" s="9"/>
      <c r="F41" s="9"/>
      <c r="G41" s="9"/>
      <c r="H41" s="9"/>
      <c r="I41" s="9"/>
      <c r="J41" s="9"/>
      <c r="K41" s="12"/>
      <c r="L41" s="9"/>
      <c r="M41" s="9"/>
      <c r="N41" s="9"/>
      <c r="O41" s="9"/>
      <c r="P41" s="9"/>
      <c r="Q41" s="9"/>
      <c r="R41" s="9"/>
      <c r="S41" s="9"/>
      <c r="T41" s="9"/>
      <c r="U41" s="117"/>
      <c r="V41" s="137"/>
      <c r="W41" s="294"/>
      <c r="X41" s="212" t="e">
        <f>"Y= "&amp;Y41&amp;"x + "&amp;Z41</f>
        <v>#DIV/0!</v>
      </c>
      <c r="Y41" s="743" t="e">
        <f>ChartLabels!Y5</f>
        <v>#DIV/0!</v>
      </c>
      <c r="Z41" s="743" t="e">
        <f>ChartLabels!Z5</f>
        <v>#DIV/0!</v>
      </c>
      <c r="AA41" s="215">
        <v>18</v>
      </c>
      <c r="AB41" s="216" t="e">
        <f>(AA41*Y41)+Z41</f>
        <v>#DIV/0!</v>
      </c>
      <c r="AC41" s="206" t="e">
        <f>ROUND(ChartLabels!AA5,3)</f>
        <v>#DIV/0!</v>
      </c>
      <c r="AI41" s="585" t="b">
        <v>1</v>
      </c>
      <c r="AJ41" s="160" t="s">
        <v>31</v>
      </c>
      <c r="AK41" s="87" t="str">
        <f t="shared" si="14"/>
        <v>Brighton &amp; Hove</v>
      </c>
      <c r="AL41" s="146" t="e">
        <f t="shared" si="15"/>
        <v>#N/A</v>
      </c>
      <c r="AM41" s="146" t="e">
        <f t="shared" si="15"/>
        <v>#N/A</v>
      </c>
      <c r="AN41" s="146" t="e">
        <f t="shared" si="15"/>
        <v>#N/A</v>
      </c>
      <c r="AO41" s="146" t="e">
        <f t="shared" si="15"/>
        <v>#N/A</v>
      </c>
      <c r="AP41" s="146" t="e">
        <f t="shared" si="15"/>
        <v>#N/A</v>
      </c>
      <c r="AQ41" s="146" t="e">
        <f t="shared" ref="AQ41:AQ63" si="21">IF($AK41=$Y$4,AP41,NA())</f>
        <v>#N/A</v>
      </c>
      <c r="AR41" s="147">
        <f t="shared" ref="AR41:AR62" si="22">VLOOKUP(AK41,$B$10:$T$32,AR$36,FALSE)</f>
        <v>15.299999999999999</v>
      </c>
      <c r="AS41" s="171" t="e">
        <f t="shared" si="16"/>
        <v>#N/A</v>
      </c>
      <c r="AT41" s="171" t="e">
        <f t="shared" si="17"/>
        <v>#N/A</v>
      </c>
      <c r="AU41" s="171" t="e">
        <f t="shared" si="18"/>
        <v>#N/A</v>
      </c>
      <c r="AV41" s="171" t="e">
        <f t="shared" si="19"/>
        <v>#N/A</v>
      </c>
      <c r="AW41" s="171" t="e">
        <f t="shared" si="20"/>
        <v>#N/A</v>
      </c>
      <c r="AX41" s="146" t="e">
        <f t="shared" ref="AX41:AX63" si="23">IF($AK41=$Y$4,AW41,NA())</f>
        <v>#N/A</v>
      </c>
    </row>
    <row r="42" spans="1:50" ht="14.25" customHeight="1" x14ac:dyDescent="0.2">
      <c r="A42" s="278"/>
      <c r="B42" s="9"/>
      <c r="C42" s="9"/>
      <c r="D42" s="9"/>
      <c r="E42" s="9"/>
      <c r="F42" s="9"/>
      <c r="G42" s="9"/>
      <c r="H42" s="9"/>
      <c r="I42" s="9"/>
      <c r="J42" s="9"/>
      <c r="K42" s="12"/>
      <c r="L42" s="9"/>
      <c r="M42" s="9"/>
      <c r="N42" s="9"/>
      <c r="O42" s="9"/>
      <c r="P42" s="9"/>
      <c r="Q42" s="9"/>
      <c r="R42" s="9"/>
      <c r="S42" s="9"/>
      <c r="T42" s="9"/>
      <c r="U42" s="117"/>
      <c r="V42" s="137"/>
      <c r="W42" s="294"/>
      <c r="X42" s="809"/>
      <c r="Y42" s="810"/>
      <c r="Z42" s="809"/>
      <c r="AA42" s="811"/>
      <c r="AB42" s="815"/>
      <c r="AC42" s="1319" t="e">
        <f>AC40&amp;" = "&amp;AC41</f>
        <v>#DIV/0!</v>
      </c>
      <c r="AI42" s="585" t="b">
        <v>1</v>
      </c>
      <c r="AJ42" s="160" t="s">
        <v>8</v>
      </c>
      <c r="AK42" s="87" t="str">
        <f t="shared" si="14"/>
        <v>Buckinghamshire</v>
      </c>
      <c r="AL42" s="146" t="e">
        <f t="shared" si="15"/>
        <v>#N/A</v>
      </c>
      <c r="AM42" s="146" t="e">
        <f t="shared" si="15"/>
        <v>#N/A</v>
      </c>
      <c r="AN42" s="146" t="e">
        <f t="shared" si="15"/>
        <v>#N/A</v>
      </c>
      <c r="AO42" s="146" t="e">
        <f t="shared" si="15"/>
        <v>#N/A</v>
      </c>
      <c r="AP42" s="146" t="e">
        <f t="shared" si="15"/>
        <v>#N/A</v>
      </c>
      <c r="AQ42" s="146" t="e">
        <f t="shared" si="21"/>
        <v>#N/A</v>
      </c>
      <c r="AR42" s="147">
        <f t="shared" si="22"/>
        <v>8.5</v>
      </c>
      <c r="AS42" s="171" t="e">
        <f t="shared" si="16"/>
        <v>#N/A</v>
      </c>
      <c r="AT42" s="171" t="e">
        <f t="shared" si="17"/>
        <v>#N/A</v>
      </c>
      <c r="AU42" s="171" t="e">
        <f t="shared" si="18"/>
        <v>#N/A</v>
      </c>
      <c r="AV42" s="171" t="e">
        <f t="shared" si="19"/>
        <v>#N/A</v>
      </c>
      <c r="AW42" s="171" t="e">
        <f t="shared" si="20"/>
        <v>#N/A</v>
      </c>
      <c r="AX42" s="146" t="e">
        <f t="shared" si="23"/>
        <v>#N/A</v>
      </c>
    </row>
    <row r="43" spans="1:50" ht="14.25" customHeight="1" x14ac:dyDescent="0.2">
      <c r="A43" s="278"/>
      <c r="B43" s="9"/>
      <c r="C43" s="9"/>
      <c r="D43" s="9"/>
      <c r="E43" s="9"/>
      <c r="F43" s="9"/>
      <c r="G43" s="9"/>
      <c r="H43" s="9"/>
      <c r="I43" s="9"/>
      <c r="J43" s="9"/>
      <c r="K43" s="12"/>
      <c r="L43" s="13"/>
      <c r="M43" s="13"/>
      <c r="N43" s="13"/>
      <c r="O43" s="13"/>
      <c r="P43" s="14"/>
      <c r="Q43" s="14"/>
      <c r="R43" s="14"/>
      <c r="S43" s="14"/>
      <c r="T43" s="14"/>
      <c r="U43" s="117"/>
      <c r="V43" s="137"/>
      <c r="W43" s="294"/>
      <c r="X43" s="812"/>
      <c r="Y43" s="816"/>
      <c r="Z43" s="816"/>
      <c r="AA43" s="813"/>
      <c r="AB43" s="814"/>
      <c r="AC43" s="817"/>
      <c r="AI43" s="585" t="b">
        <v>1</v>
      </c>
      <c r="AJ43" s="160" t="s">
        <v>4</v>
      </c>
      <c r="AK43" s="87" t="str">
        <f t="shared" si="14"/>
        <v>East Sussex</v>
      </c>
      <c r="AL43" s="146" t="e">
        <f t="shared" si="15"/>
        <v>#N/A</v>
      </c>
      <c r="AM43" s="146" t="e">
        <f t="shared" si="15"/>
        <v>#N/A</v>
      </c>
      <c r="AN43" s="146" t="e">
        <f t="shared" si="15"/>
        <v>#N/A</v>
      </c>
      <c r="AO43" s="146" t="e">
        <f t="shared" si="15"/>
        <v>#N/A</v>
      </c>
      <c r="AP43" s="146" t="e">
        <f t="shared" si="15"/>
        <v>#N/A</v>
      </c>
      <c r="AQ43" s="146" t="e">
        <f t="shared" si="21"/>
        <v>#N/A</v>
      </c>
      <c r="AR43" s="147">
        <f t="shared" si="22"/>
        <v>16.100000000000001</v>
      </c>
      <c r="AS43" s="171" t="e">
        <f t="shared" si="16"/>
        <v>#N/A</v>
      </c>
      <c r="AT43" s="171" t="e">
        <f t="shared" si="17"/>
        <v>#N/A</v>
      </c>
      <c r="AU43" s="171" t="e">
        <f t="shared" si="18"/>
        <v>#N/A</v>
      </c>
      <c r="AV43" s="171" t="e">
        <f t="shared" si="19"/>
        <v>#N/A</v>
      </c>
      <c r="AW43" s="171" t="e">
        <f t="shared" si="20"/>
        <v>#N/A</v>
      </c>
      <c r="AX43" s="146" t="e">
        <f t="shared" si="23"/>
        <v>#N/A</v>
      </c>
    </row>
    <row r="44" spans="1:50" s="76" customFormat="1" ht="14.25" customHeight="1" x14ac:dyDescent="0.2">
      <c r="A44" s="461"/>
      <c r="B44" s="226"/>
      <c r="C44" s="226"/>
      <c r="D44" s="227"/>
      <c r="E44" s="227"/>
      <c r="F44" s="227"/>
      <c r="G44" s="227"/>
      <c r="H44" s="227"/>
      <c r="I44" s="227"/>
      <c r="J44" s="227"/>
      <c r="K44" s="15"/>
      <c r="L44" s="9"/>
      <c r="M44" s="9"/>
      <c r="N44" s="9"/>
      <c r="O44" s="9"/>
      <c r="P44" s="9"/>
      <c r="Q44" s="9"/>
      <c r="R44" s="9"/>
      <c r="S44" s="9"/>
      <c r="T44" s="9"/>
      <c r="U44" s="120"/>
      <c r="V44" s="138"/>
      <c r="W44" s="295"/>
      <c r="AC44" s="81"/>
      <c r="AD44" s="81"/>
      <c r="AE44" s="81"/>
      <c r="AF44" s="81"/>
      <c r="AG44" s="81"/>
      <c r="AH44" s="81"/>
      <c r="AI44" s="585" t="b">
        <v>1</v>
      </c>
      <c r="AJ44" s="160" t="s">
        <v>6</v>
      </c>
      <c r="AK44" s="87" t="str">
        <f t="shared" si="14"/>
        <v>Hampshire</v>
      </c>
      <c r="AL44" s="146" t="e">
        <f t="shared" si="15"/>
        <v>#N/A</v>
      </c>
      <c r="AM44" s="146" t="e">
        <f t="shared" si="15"/>
        <v>#N/A</v>
      </c>
      <c r="AN44" s="146" t="e">
        <f t="shared" si="15"/>
        <v>#N/A</v>
      </c>
      <c r="AO44" s="146" t="e">
        <f t="shared" si="15"/>
        <v>#N/A</v>
      </c>
      <c r="AP44" s="146" t="e">
        <f t="shared" si="15"/>
        <v>#N/A</v>
      </c>
      <c r="AQ44" s="146" t="e">
        <f t="shared" si="21"/>
        <v>#N/A</v>
      </c>
      <c r="AR44" s="147">
        <f t="shared" si="22"/>
        <v>10.100000000000001</v>
      </c>
      <c r="AS44" s="171" t="e">
        <f t="shared" si="16"/>
        <v>#N/A</v>
      </c>
      <c r="AT44" s="171" t="e">
        <f t="shared" si="17"/>
        <v>#N/A</v>
      </c>
      <c r="AU44" s="171" t="e">
        <f t="shared" si="18"/>
        <v>#N/A</v>
      </c>
      <c r="AV44" s="171" t="e">
        <f t="shared" si="19"/>
        <v>#N/A</v>
      </c>
      <c r="AW44" s="171" t="e">
        <f t="shared" si="20"/>
        <v>#N/A</v>
      </c>
      <c r="AX44" s="146" t="e">
        <f t="shared" si="23"/>
        <v>#N/A</v>
      </c>
    </row>
    <row r="45" spans="1:50" ht="14.25" customHeight="1" x14ac:dyDescent="0.2">
      <c r="A45" s="278"/>
      <c r="B45" s="227"/>
      <c r="C45" s="227"/>
      <c r="D45" s="227"/>
      <c r="E45" s="227"/>
      <c r="F45" s="227"/>
      <c r="G45" s="227"/>
      <c r="H45" s="227"/>
      <c r="I45" s="227"/>
      <c r="J45" s="227"/>
      <c r="K45" s="12"/>
      <c r="L45" s="14"/>
      <c r="M45" s="14"/>
      <c r="N45" s="14"/>
      <c r="O45" s="14"/>
      <c r="P45" s="9"/>
      <c r="Q45" s="9"/>
      <c r="R45" s="9"/>
      <c r="S45" s="9"/>
      <c r="T45" s="9"/>
      <c r="U45" s="117"/>
      <c r="V45" s="137"/>
      <c r="W45" s="294"/>
      <c r="AI45" s="585" t="b">
        <v>1</v>
      </c>
      <c r="AJ45" s="160" t="s">
        <v>1</v>
      </c>
      <c r="AK45" s="87" t="str">
        <f t="shared" si="14"/>
        <v>Isle of Wight</v>
      </c>
      <c r="AL45" s="146" t="e">
        <f t="shared" si="15"/>
        <v>#N/A</v>
      </c>
      <c r="AM45" s="146" t="e">
        <f t="shared" si="15"/>
        <v>#N/A</v>
      </c>
      <c r="AN45" s="146" t="e">
        <f t="shared" si="15"/>
        <v>#N/A</v>
      </c>
      <c r="AO45" s="146" t="e">
        <f t="shared" si="15"/>
        <v>#N/A</v>
      </c>
      <c r="AP45" s="146" t="e">
        <f t="shared" si="15"/>
        <v>#N/A</v>
      </c>
      <c r="AQ45" s="146" t="e">
        <f t="shared" si="21"/>
        <v>#N/A</v>
      </c>
      <c r="AR45" s="147">
        <f t="shared" si="22"/>
        <v>18</v>
      </c>
      <c r="AS45" s="171" t="e">
        <f t="shared" si="16"/>
        <v>#N/A</v>
      </c>
      <c r="AT45" s="171" t="e">
        <f t="shared" si="17"/>
        <v>#N/A</v>
      </c>
      <c r="AU45" s="171" t="e">
        <f t="shared" si="18"/>
        <v>#N/A</v>
      </c>
      <c r="AV45" s="171" t="e">
        <f t="shared" si="19"/>
        <v>#N/A</v>
      </c>
      <c r="AW45" s="171" t="e">
        <f t="shared" si="20"/>
        <v>#N/A</v>
      </c>
      <c r="AX45" s="146" t="e">
        <f t="shared" si="23"/>
        <v>#N/A</v>
      </c>
    </row>
    <row r="46" spans="1:50" ht="14.25" customHeight="1" x14ac:dyDescent="0.2">
      <c r="A46" s="278"/>
      <c r="B46" s="227"/>
      <c r="C46" s="227"/>
      <c r="D46" s="227"/>
      <c r="E46" s="227"/>
      <c r="F46" s="227"/>
      <c r="G46" s="227"/>
      <c r="H46" s="227"/>
      <c r="I46" s="227"/>
      <c r="J46" s="227"/>
      <c r="K46" s="12"/>
      <c r="L46" s="14"/>
      <c r="M46" s="14"/>
      <c r="N46" s="14"/>
      <c r="O46" s="14"/>
      <c r="P46" s="9"/>
      <c r="Q46" s="9"/>
      <c r="R46" s="9"/>
      <c r="S46" s="9"/>
      <c r="T46" s="9"/>
      <c r="U46" s="117"/>
      <c r="V46" s="137"/>
      <c r="W46" s="294"/>
      <c r="AC46" s="207"/>
      <c r="AI46" s="585" t="b">
        <v>1</v>
      </c>
      <c r="AJ46" s="160" t="s">
        <v>9</v>
      </c>
      <c r="AK46" s="87" t="str">
        <f t="shared" si="14"/>
        <v>Kent</v>
      </c>
      <c r="AL46" s="146" t="e">
        <f t="shared" si="15"/>
        <v>#N/A</v>
      </c>
      <c r="AM46" s="146" t="e">
        <f t="shared" si="15"/>
        <v>#N/A</v>
      </c>
      <c r="AN46" s="146" t="e">
        <f t="shared" si="15"/>
        <v>#N/A</v>
      </c>
      <c r="AO46" s="146" t="e">
        <f t="shared" si="15"/>
        <v>#N/A</v>
      </c>
      <c r="AP46" s="146" t="e">
        <f t="shared" si="15"/>
        <v>#N/A</v>
      </c>
      <c r="AQ46" s="146" t="e">
        <f t="shared" si="21"/>
        <v>#N/A</v>
      </c>
      <c r="AR46" s="147">
        <f t="shared" si="22"/>
        <v>15.8</v>
      </c>
      <c r="AS46" s="171" t="e">
        <f t="shared" si="16"/>
        <v>#N/A</v>
      </c>
      <c r="AT46" s="171" t="e">
        <f t="shared" si="17"/>
        <v>#N/A</v>
      </c>
      <c r="AU46" s="171" t="e">
        <f t="shared" si="18"/>
        <v>#N/A</v>
      </c>
      <c r="AV46" s="171" t="e">
        <f t="shared" si="19"/>
        <v>#N/A</v>
      </c>
      <c r="AW46" s="171" t="e">
        <f t="shared" si="20"/>
        <v>#N/A</v>
      </c>
      <c r="AX46" s="146" t="e">
        <f t="shared" si="23"/>
        <v>#N/A</v>
      </c>
    </row>
    <row r="47" spans="1:50" ht="14.25" customHeight="1" x14ac:dyDescent="0.2">
      <c r="A47" s="278"/>
      <c r="B47" s="58"/>
      <c r="C47" s="58"/>
      <c r="D47" s="58"/>
      <c r="E47" s="58"/>
      <c r="F47" s="58"/>
      <c r="G47" s="58"/>
      <c r="H47" s="58"/>
      <c r="I47" s="58"/>
      <c r="J47" s="58"/>
      <c r="K47" s="12"/>
      <c r="L47" s="14"/>
      <c r="M47" s="14"/>
      <c r="N47" s="14"/>
      <c r="O47" s="14"/>
      <c r="P47" s="9"/>
      <c r="Q47" s="9"/>
      <c r="R47" s="9"/>
      <c r="S47" s="9"/>
      <c r="T47" s="9"/>
      <c r="U47" s="117"/>
      <c r="V47" s="137"/>
      <c r="W47" s="294"/>
      <c r="AC47" s="184"/>
      <c r="AI47" s="585" t="b">
        <v>1</v>
      </c>
      <c r="AJ47" s="160" t="s">
        <v>2</v>
      </c>
      <c r="AK47" s="87" t="str">
        <f t="shared" si="14"/>
        <v>Medway</v>
      </c>
      <c r="AL47" s="146" t="e">
        <f t="shared" si="15"/>
        <v>#N/A</v>
      </c>
      <c r="AM47" s="146" t="e">
        <f t="shared" si="15"/>
        <v>#N/A</v>
      </c>
      <c r="AN47" s="146" t="e">
        <f t="shared" si="15"/>
        <v>#N/A</v>
      </c>
      <c r="AO47" s="146" t="e">
        <f t="shared" si="15"/>
        <v>#N/A</v>
      </c>
      <c r="AP47" s="146" t="e">
        <f t="shared" si="15"/>
        <v>#N/A</v>
      </c>
      <c r="AQ47" s="146" t="e">
        <f t="shared" si="21"/>
        <v>#N/A</v>
      </c>
      <c r="AR47" s="147">
        <f t="shared" si="22"/>
        <v>18.899999999999999</v>
      </c>
      <c r="AS47" s="171" t="e">
        <f t="shared" si="16"/>
        <v>#N/A</v>
      </c>
      <c r="AT47" s="171" t="e">
        <f t="shared" si="17"/>
        <v>#N/A</v>
      </c>
      <c r="AU47" s="171" t="e">
        <f t="shared" si="18"/>
        <v>#N/A</v>
      </c>
      <c r="AV47" s="171" t="e">
        <f t="shared" si="19"/>
        <v>#N/A</v>
      </c>
      <c r="AW47" s="171" t="e">
        <f t="shared" si="20"/>
        <v>#N/A</v>
      </c>
      <c r="AX47" s="146" t="e">
        <f t="shared" si="23"/>
        <v>#N/A</v>
      </c>
    </row>
    <row r="48" spans="1:50" ht="14.25" customHeight="1" x14ac:dyDescent="0.2">
      <c r="A48" s="278"/>
      <c r="B48" s="58"/>
      <c r="C48" s="58"/>
      <c r="D48" s="69"/>
      <c r="E48" s="70"/>
      <c r="F48" s="69"/>
      <c r="G48" s="70"/>
      <c r="H48" s="70"/>
      <c r="I48" s="70"/>
      <c r="J48" s="70"/>
      <c r="K48" s="12"/>
      <c r="L48" s="14"/>
      <c r="M48" s="14"/>
      <c r="N48" s="14"/>
      <c r="O48" s="14"/>
      <c r="P48" s="9"/>
      <c r="Q48" s="9"/>
      <c r="R48" s="9"/>
      <c r="S48" s="9"/>
      <c r="T48" s="9"/>
      <c r="U48" s="117"/>
      <c r="V48" s="137"/>
      <c r="W48" s="294"/>
      <c r="AI48" s="585" t="b">
        <v>1</v>
      </c>
      <c r="AJ48" s="160" t="s">
        <v>10</v>
      </c>
      <c r="AK48" s="87" t="str">
        <f t="shared" si="14"/>
        <v>Milton Keynes</v>
      </c>
      <c r="AL48" s="146" t="e">
        <f t="shared" si="15"/>
        <v>#N/A</v>
      </c>
      <c r="AM48" s="146" t="e">
        <f t="shared" si="15"/>
        <v>#N/A</v>
      </c>
      <c r="AN48" s="146" t="e">
        <f t="shared" si="15"/>
        <v>#N/A</v>
      </c>
      <c r="AO48" s="146" t="e">
        <f t="shared" si="15"/>
        <v>#N/A</v>
      </c>
      <c r="AP48" s="146" t="e">
        <f t="shared" si="15"/>
        <v>#N/A</v>
      </c>
      <c r="AQ48" s="146" t="e">
        <f t="shared" si="21"/>
        <v>#N/A</v>
      </c>
      <c r="AR48" s="147">
        <f t="shared" si="22"/>
        <v>15</v>
      </c>
      <c r="AS48" s="171" t="e">
        <f t="shared" si="16"/>
        <v>#N/A</v>
      </c>
      <c r="AT48" s="171" t="e">
        <f t="shared" si="17"/>
        <v>#N/A</v>
      </c>
      <c r="AU48" s="171" t="e">
        <f t="shared" si="18"/>
        <v>#N/A</v>
      </c>
      <c r="AV48" s="171" t="e">
        <f t="shared" si="19"/>
        <v>#N/A</v>
      </c>
      <c r="AW48" s="171" t="e">
        <f t="shared" si="20"/>
        <v>#N/A</v>
      </c>
      <c r="AX48" s="146" t="e">
        <f t="shared" si="23"/>
        <v>#N/A</v>
      </c>
    </row>
    <row r="49" spans="1:50" ht="14.25" customHeight="1" x14ac:dyDescent="0.2">
      <c r="A49" s="278"/>
      <c r="B49" s="58"/>
      <c r="C49" s="58"/>
      <c r="D49" s="61"/>
      <c r="E49" s="61"/>
      <c r="F49" s="61"/>
      <c r="G49" s="61"/>
      <c r="H49" s="61"/>
      <c r="I49" s="61"/>
      <c r="J49" s="61"/>
      <c r="K49" s="12"/>
      <c r="L49" s="14"/>
      <c r="M49" s="14"/>
      <c r="N49" s="14"/>
      <c r="O49" s="14"/>
      <c r="P49" s="9"/>
      <c r="Q49" s="9"/>
      <c r="R49" s="9"/>
      <c r="S49" s="9"/>
      <c r="T49" s="9"/>
      <c r="U49" s="117"/>
      <c r="V49" s="137"/>
      <c r="W49" s="294"/>
      <c r="AI49" s="585" t="b">
        <v>1</v>
      </c>
      <c r="AJ49" s="160" t="s">
        <v>11</v>
      </c>
      <c r="AK49" s="87" t="str">
        <f t="shared" si="14"/>
        <v>Oxfordshire</v>
      </c>
      <c r="AL49" s="146" t="e">
        <f t="shared" si="15"/>
        <v>#N/A</v>
      </c>
      <c r="AM49" s="146" t="e">
        <f t="shared" si="15"/>
        <v>#N/A</v>
      </c>
      <c r="AN49" s="146" t="e">
        <f t="shared" si="15"/>
        <v>#N/A</v>
      </c>
      <c r="AO49" s="146" t="e">
        <f t="shared" si="15"/>
        <v>#N/A</v>
      </c>
      <c r="AP49" s="146" t="e">
        <f t="shared" si="15"/>
        <v>#N/A</v>
      </c>
      <c r="AQ49" s="146" t="e">
        <f t="shared" si="21"/>
        <v>#N/A</v>
      </c>
      <c r="AR49" s="147">
        <f t="shared" si="22"/>
        <v>10.100000000000001</v>
      </c>
      <c r="AS49" s="171" t="e">
        <f t="shared" si="16"/>
        <v>#N/A</v>
      </c>
      <c r="AT49" s="171" t="e">
        <f t="shared" si="17"/>
        <v>#N/A</v>
      </c>
      <c r="AU49" s="171" t="e">
        <f t="shared" si="18"/>
        <v>#N/A</v>
      </c>
      <c r="AV49" s="171" t="e">
        <f t="shared" si="19"/>
        <v>#N/A</v>
      </c>
      <c r="AW49" s="171" t="e">
        <f t="shared" si="20"/>
        <v>#N/A</v>
      </c>
      <c r="AX49" s="146" t="e">
        <f t="shared" si="23"/>
        <v>#N/A</v>
      </c>
    </row>
    <row r="50" spans="1:50" ht="14.25" customHeight="1" x14ac:dyDescent="0.2">
      <c r="A50" s="278"/>
      <c r="B50" s="421"/>
      <c r="C50" s="421"/>
      <c r="D50" s="58"/>
      <c r="E50" s="58"/>
      <c r="F50" s="58"/>
      <c r="G50" s="58"/>
      <c r="H50" s="58"/>
      <c r="I50" s="58"/>
      <c r="J50" s="58"/>
      <c r="K50" s="12"/>
      <c r="L50" s="14"/>
      <c r="M50" s="14"/>
      <c r="N50" s="14"/>
      <c r="O50" s="14"/>
      <c r="P50" s="9"/>
      <c r="Q50" s="9"/>
      <c r="R50" s="9"/>
      <c r="S50" s="9"/>
      <c r="T50" s="9"/>
      <c r="U50" s="117"/>
      <c r="V50" s="137"/>
      <c r="W50" s="294"/>
      <c r="AI50" s="585" t="b">
        <v>1</v>
      </c>
      <c r="AJ50" s="160" t="s">
        <v>12</v>
      </c>
      <c r="AK50" s="87" t="str">
        <f t="shared" si="14"/>
        <v>Portsmouth</v>
      </c>
      <c r="AL50" s="146" t="e">
        <f t="shared" ref="AL50:AP62" si="24">VLOOKUP($AK50,$B$10:$P$32,AL$36,FALSE)</f>
        <v>#N/A</v>
      </c>
      <c r="AM50" s="146" t="e">
        <f t="shared" si="24"/>
        <v>#N/A</v>
      </c>
      <c r="AN50" s="146" t="e">
        <f t="shared" si="24"/>
        <v>#N/A</v>
      </c>
      <c r="AO50" s="146" t="e">
        <f t="shared" si="24"/>
        <v>#N/A</v>
      </c>
      <c r="AP50" s="146" t="e">
        <f t="shared" si="24"/>
        <v>#N/A</v>
      </c>
      <c r="AQ50" s="146" t="e">
        <f t="shared" si="21"/>
        <v>#N/A</v>
      </c>
      <c r="AR50" s="147">
        <f t="shared" si="22"/>
        <v>20.200000000000003</v>
      </c>
      <c r="AS50" s="171" t="e">
        <f t="shared" si="16"/>
        <v>#N/A</v>
      </c>
      <c r="AT50" s="171" t="e">
        <f t="shared" si="17"/>
        <v>#N/A</v>
      </c>
      <c r="AU50" s="171" t="e">
        <f t="shared" si="18"/>
        <v>#N/A</v>
      </c>
      <c r="AV50" s="171" t="e">
        <f t="shared" si="19"/>
        <v>#N/A</v>
      </c>
      <c r="AW50" s="171" t="e">
        <f t="shared" si="20"/>
        <v>#N/A</v>
      </c>
      <c r="AX50" s="146" t="e">
        <f t="shared" si="23"/>
        <v>#N/A</v>
      </c>
    </row>
    <row r="51" spans="1:50" ht="14.25" customHeight="1" x14ac:dyDescent="0.2">
      <c r="A51" s="278"/>
      <c r="B51" s="421"/>
      <c r="C51" s="421"/>
      <c r="D51" s="58"/>
      <c r="E51" s="58"/>
      <c r="F51" s="58"/>
      <c r="G51" s="58"/>
      <c r="H51" s="58"/>
      <c r="I51" s="58"/>
      <c r="J51" s="58"/>
      <c r="K51" s="12"/>
      <c r="L51" s="14"/>
      <c r="M51" s="14"/>
      <c r="N51" s="14"/>
      <c r="O51" s="14"/>
      <c r="P51" s="9"/>
      <c r="Q51" s="9"/>
      <c r="R51" s="9"/>
      <c r="S51" s="9"/>
      <c r="T51" s="9"/>
      <c r="U51" s="117"/>
      <c r="V51" s="137"/>
      <c r="W51" s="294"/>
      <c r="AI51" s="585" t="b">
        <v>1</v>
      </c>
      <c r="AJ51" s="160" t="s">
        <v>3</v>
      </c>
      <c r="AK51" s="87" t="str">
        <f t="shared" si="14"/>
        <v>Reading</v>
      </c>
      <c r="AL51" s="146" t="e">
        <f t="shared" si="24"/>
        <v>#N/A</v>
      </c>
      <c r="AM51" s="146" t="e">
        <f t="shared" si="24"/>
        <v>#N/A</v>
      </c>
      <c r="AN51" s="146" t="e">
        <f t="shared" si="24"/>
        <v>#N/A</v>
      </c>
      <c r="AO51" s="146" t="e">
        <f t="shared" si="24"/>
        <v>#N/A</v>
      </c>
      <c r="AP51" s="146" t="e">
        <f t="shared" si="24"/>
        <v>#N/A</v>
      </c>
      <c r="AQ51" s="146" t="e">
        <f t="shared" si="21"/>
        <v>#N/A</v>
      </c>
      <c r="AR51" s="147">
        <f t="shared" si="22"/>
        <v>16</v>
      </c>
      <c r="AS51" s="171" t="e">
        <f t="shared" si="16"/>
        <v>#N/A</v>
      </c>
      <c r="AT51" s="171" t="e">
        <f t="shared" si="17"/>
        <v>#N/A</v>
      </c>
      <c r="AU51" s="171" t="e">
        <f t="shared" si="18"/>
        <v>#N/A</v>
      </c>
      <c r="AV51" s="171" t="e">
        <f t="shared" si="19"/>
        <v>#N/A</v>
      </c>
      <c r="AW51" s="171" t="e">
        <f t="shared" si="20"/>
        <v>#N/A</v>
      </c>
      <c r="AX51" s="146" t="e">
        <f t="shared" si="23"/>
        <v>#N/A</v>
      </c>
    </row>
    <row r="52" spans="1:50" ht="14.25" customHeight="1" x14ac:dyDescent="0.2">
      <c r="A52" s="278"/>
      <c r="B52" s="421"/>
      <c r="C52" s="421"/>
      <c r="D52" s="58"/>
      <c r="E52" s="58"/>
      <c r="F52" s="58"/>
      <c r="G52" s="58"/>
      <c r="H52" s="58"/>
      <c r="I52" s="58"/>
      <c r="J52" s="58"/>
      <c r="K52" s="12"/>
      <c r="L52" s="14"/>
      <c r="M52" s="14"/>
      <c r="N52" s="14"/>
      <c r="O52" s="14"/>
      <c r="P52" s="9"/>
      <c r="Q52" s="9"/>
      <c r="R52" s="9"/>
      <c r="S52" s="9"/>
      <c r="T52" s="9"/>
      <c r="U52" s="117"/>
      <c r="V52" s="137"/>
      <c r="W52" s="294"/>
      <c r="AI52" s="585" t="b">
        <v>1</v>
      </c>
      <c r="AJ52" s="160" t="s">
        <v>13</v>
      </c>
      <c r="AK52" s="87" t="str">
        <f t="shared" si="14"/>
        <v>Slough</v>
      </c>
      <c r="AL52" s="146" t="e">
        <f t="shared" si="24"/>
        <v>#N/A</v>
      </c>
      <c r="AM52" s="146" t="e">
        <f t="shared" si="24"/>
        <v>#N/A</v>
      </c>
      <c r="AN52" s="146" t="e">
        <f t="shared" si="24"/>
        <v>#N/A</v>
      </c>
      <c r="AO52" s="146" t="e">
        <f t="shared" si="24"/>
        <v>#N/A</v>
      </c>
      <c r="AP52" s="146" t="e">
        <f t="shared" si="24"/>
        <v>#N/A</v>
      </c>
      <c r="AQ52" s="146" t="e">
        <f t="shared" si="21"/>
        <v>#N/A</v>
      </c>
      <c r="AR52" s="147">
        <f t="shared" si="22"/>
        <v>14.7</v>
      </c>
      <c r="AS52" s="171" t="e">
        <f t="shared" si="16"/>
        <v>#N/A</v>
      </c>
      <c r="AT52" s="171" t="e">
        <f t="shared" si="17"/>
        <v>#N/A</v>
      </c>
      <c r="AU52" s="171" t="e">
        <f t="shared" si="18"/>
        <v>#N/A</v>
      </c>
      <c r="AV52" s="171" t="e">
        <f t="shared" si="19"/>
        <v>#N/A</v>
      </c>
      <c r="AW52" s="171" t="e">
        <f t="shared" si="20"/>
        <v>#N/A</v>
      </c>
      <c r="AX52" s="146" t="e">
        <f t="shared" si="23"/>
        <v>#N/A</v>
      </c>
    </row>
    <row r="53" spans="1:50" ht="14.25" customHeight="1" x14ac:dyDescent="0.2">
      <c r="A53" s="278"/>
      <c r="B53" s="421"/>
      <c r="C53" s="421"/>
      <c r="D53" s="58"/>
      <c r="E53" s="58"/>
      <c r="F53" s="58"/>
      <c r="G53" s="58"/>
      <c r="H53" s="58"/>
      <c r="I53" s="58"/>
      <c r="J53" s="58"/>
      <c r="K53" s="12"/>
      <c r="L53" s="14"/>
      <c r="M53" s="14"/>
      <c r="N53" s="14"/>
      <c r="O53" s="14"/>
      <c r="P53" s="9"/>
      <c r="Q53" s="9"/>
      <c r="R53" s="9"/>
      <c r="S53" s="9"/>
      <c r="T53" s="9"/>
      <c r="U53" s="117"/>
      <c r="V53" s="137"/>
      <c r="W53" s="294"/>
      <c r="AI53" s="585" t="b">
        <v>1</v>
      </c>
      <c r="AJ53" s="160" t="s">
        <v>95</v>
      </c>
      <c r="AK53" s="87" t="str">
        <f t="shared" si="14"/>
        <v>Somerset</v>
      </c>
      <c r="AL53" s="146" t="e">
        <f t="shared" si="24"/>
        <v>#N/A</v>
      </c>
      <c r="AM53" s="146" t="e">
        <f t="shared" si="24"/>
        <v>#N/A</v>
      </c>
      <c r="AN53" s="146" t="e">
        <f t="shared" si="24"/>
        <v>#N/A</v>
      </c>
      <c r="AO53" s="146" t="e">
        <f t="shared" si="24"/>
        <v>#N/A</v>
      </c>
      <c r="AP53" s="146" t="e">
        <f t="shared" si="24"/>
        <v>#N/A</v>
      </c>
      <c r="AQ53" s="146" t="e">
        <f t="shared" si="21"/>
        <v>#N/A</v>
      </c>
      <c r="AR53" s="147">
        <f t="shared" si="22"/>
        <v>13.600000000000001</v>
      </c>
      <c r="AS53" s="171" t="e">
        <f t="shared" si="16"/>
        <v>#N/A</v>
      </c>
      <c r="AT53" s="171" t="e">
        <f t="shared" si="17"/>
        <v>#N/A</v>
      </c>
      <c r="AU53" s="171" t="e">
        <f t="shared" si="18"/>
        <v>#N/A</v>
      </c>
      <c r="AV53" s="171" t="e">
        <f t="shared" si="19"/>
        <v>#N/A</v>
      </c>
      <c r="AW53" s="171" t="e">
        <f t="shared" si="20"/>
        <v>#N/A</v>
      </c>
      <c r="AX53" s="146" t="e">
        <f t="shared" si="23"/>
        <v>#N/A</v>
      </c>
    </row>
    <row r="54" spans="1:50" ht="14.25" customHeight="1" x14ac:dyDescent="0.2">
      <c r="A54" s="278"/>
      <c r="B54" s="421"/>
      <c r="C54" s="421"/>
      <c r="D54" s="58"/>
      <c r="E54" s="58"/>
      <c r="F54" s="58"/>
      <c r="G54" s="58"/>
      <c r="H54" s="58"/>
      <c r="I54" s="58"/>
      <c r="J54" s="58"/>
      <c r="K54" s="12"/>
      <c r="L54" s="14"/>
      <c r="M54" s="14"/>
      <c r="N54" s="14"/>
      <c r="O54" s="14"/>
      <c r="P54" s="9"/>
      <c r="Q54" s="9"/>
      <c r="R54" s="9"/>
      <c r="S54" s="9"/>
      <c r="T54" s="9"/>
      <c r="U54" s="117"/>
      <c r="V54" s="137"/>
      <c r="W54" s="294"/>
      <c r="AI54" s="585" t="b">
        <v>1</v>
      </c>
      <c r="AJ54" s="160" t="s">
        <v>14</v>
      </c>
      <c r="AK54" s="87" t="str">
        <f t="shared" si="14"/>
        <v>Southampton</v>
      </c>
      <c r="AL54" s="146" t="e">
        <f t="shared" si="24"/>
        <v>#N/A</v>
      </c>
      <c r="AM54" s="146" t="e">
        <f t="shared" si="24"/>
        <v>#N/A</v>
      </c>
      <c r="AN54" s="146" t="e">
        <f t="shared" si="24"/>
        <v>#N/A</v>
      </c>
      <c r="AO54" s="146" t="e">
        <f t="shared" si="24"/>
        <v>#N/A</v>
      </c>
      <c r="AP54" s="146" t="e">
        <f t="shared" si="24"/>
        <v>#N/A</v>
      </c>
      <c r="AQ54" s="146" t="e">
        <f t="shared" si="21"/>
        <v>#N/A</v>
      </c>
      <c r="AR54" s="147">
        <f t="shared" si="22"/>
        <v>20.5</v>
      </c>
      <c r="AS54" s="171" t="e">
        <f t="shared" si="16"/>
        <v>#N/A</v>
      </c>
      <c r="AT54" s="171" t="e">
        <f t="shared" si="17"/>
        <v>#N/A</v>
      </c>
      <c r="AU54" s="171" t="e">
        <f t="shared" si="18"/>
        <v>#N/A</v>
      </c>
      <c r="AV54" s="171" t="e">
        <f t="shared" si="19"/>
        <v>#N/A</v>
      </c>
      <c r="AW54" s="171" t="e">
        <f t="shared" si="20"/>
        <v>#N/A</v>
      </c>
      <c r="AX54" s="146" t="e">
        <f t="shared" si="23"/>
        <v>#N/A</v>
      </c>
    </row>
    <row r="55" spans="1:50" ht="14.25" customHeight="1" x14ac:dyDescent="0.2">
      <c r="A55" s="278"/>
      <c r="B55" s="421"/>
      <c r="C55" s="421"/>
      <c r="D55" s="58"/>
      <c r="E55" s="58"/>
      <c r="F55" s="58"/>
      <c r="G55" s="58"/>
      <c r="H55" s="58"/>
      <c r="I55" s="58"/>
      <c r="J55" s="58"/>
      <c r="K55" s="12"/>
      <c r="L55" s="14"/>
      <c r="M55" s="14"/>
      <c r="N55" s="14"/>
      <c r="O55" s="14"/>
      <c r="P55" s="9"/>
      <c r="Q55" s="9"/>
      <c r="R55" s="9"/>
      <c r="S55" s="9"/>
      <c r="T55" s="9"/>
      <c r="U55" s="117"/>
      <c r="V55" s="137"/>
      <c r="W55" s="294"/>
      <c r="AI55" s="585" t="b">
        <v>1</v>
      </c>
      <c r="AJ55" s="160" t="s">
        <v>7</v>
      </c>
      <c r="AK55" s="87" t="str">
        <f t="shared" si="14"/>
        <v>Surrey</v>
      </c>
      <c r="AL55" s="146" t="e">
        <f t="shared" si="24"/>
        <v>#N/A</v>
      </c>
      <c r="AM55" s="146" t="e">
        <f t="shared" si="24"/>
        <v>#N/A</v>
      </c>
      <c r="AN55" s="146" t="e">
        <f t="shared" si="24"/>
        <v>#N/A</v>
      </c>
      <c r="AO55" s="146" t="e">
        <f t="shared" si="24"/>
        <v>#N/A</v>
      </c>
      <c r="AP55" s="146" t="e">
        <f t="shared" si="24"/>
        <v>#N/A</v>
      </c>
      <c r="AQ55" s="146" t="e">
        <f t="shared" si="21"/>
        <v>#N/A</v>
      </c>
      <c r="AR55" s="147">
        <f t="shared" si="22"/>
        <v>8.3000000000000007</v>
      </c>
      <c r="AS55" s="171" t="e">
        <f t="shared" si="16"/>
        <v>#N/A</v>
      </c>
      <c r="AT55" s="171" t="e">
        <f t="shared" si="17"/>
        <v>#N/A</v>
      </c>
      <c r="AU55" s="171" t="e">
        <f t="shared" si="18"/>
        <v>#N/A</v>
      </c>
      <c r="AV55" s="171" t="e">
        <f t="shared" si="19"/>
        <v>#N/A</v>
      </c>
      <c r="AW55" s="171" t="e">
        <f t="shared" si="20"/>
        <v>#N/A</v>
      </c>
      <c r="AX55" s="146" t="e">
        <f t="shared" si="23"/>
        <v>#N/A</v>
      </c>
    </row>
    <row r="56" spans="1:50" ht="14.25" customHeight="1" x14ac:dyDescent="0.2">
      <c r="A56" s="278"/>
      <c r="B56" s="421"/>
      <c r="C56" s="421"/>
      <c r="D56" s="58"/>
      <c r="E56" s="58"/>
      <c r="F56" s="58"/>
      <c r="G56" s="58"/>
      <c r="H56" s="58"/>
      <c r="I56" s="58"/>
      <c r="J56" s="58"/>
      <c r="K56" s="12"/>
      <c r="L56" s="14"/>
      <c r="M56" s="14"/>
      <c r="N56" s="14"/>
      <c r="O56" s="14"/>
      <c r="P56" s="9"/>
      <c r="Q56" s="9"/>
      <c r="R56" s="9"/>
      <c r="S56" s="9"/>
      <c r="T56" s="9"/>
      <c r="U56" s="117"/>
      <c r="V56" s="137"/>
      <c r="W56" s="294"/>
      <c r="AI56" s="585" t="b">
        <v>1</v>
      </c>
      <c r="AJ56" s="160" t="s">
        <v>113</v>
      </c>
      <c r="AK56" s="87" t="str">
        <f t="shared" si="14"/>
        <v>Swindon</v>
      </c>
      <c r="AL56" s="146" t="e">
        <f t="shared" si="24"/>
        <v>#N/A</v>
      </c>
      <c r="AM56" s="146" t="e">
        <f t="shared" si="24"/>
        <v>#N/A</v>
      </c>
      <c r="AN56" s="146" t="e">
        <f t="shared" si="24"/>
        <v>#N/A</v>
      </c>
      <c r="AO56" s="146" t="e">
        <f t="shared" si="24"/>
        <v>#N/A</v>
      </c>
      <c r="AP56" s="146" t="e">
        <f t="shared" si="24"/>
        <v>#N/A</v>
      </c>
      <c r="AQ56" s="146" t="e">
        <f t="shared" si="21"/>
        <v>#N/A</v>
      </c>
      <c r="AR56" s="147">
        <f t="shared" si="22"/>
        <v>14.899999999999999</v>
      </c>
      <c r="AS56" s="171" t="e">
        <f t="shared" si="16"/>
        <v>#N/A</v>
      </c>
      <c r="AT56" s="171" t="e">
        <f t="shared" si="17"/>
        <v>#N/A</v>
      </c>
      <c r="AU56" s="171" t="e">
        <f t="shared" si="18"/>
        <v>#N/A</v>
      </c>
      <c r="AV56" s="171" t="e">
        <f t="shared" si="19"/>
        <v>#N/A</v>
      </c>
      <c r="AW56" s="171" t="e">
        <f t="shared" si="20"/>
        <v>#N/A</v>
      </c>
      <c r="AX56" s="146" t="e">
        <f t="shared" si="23"/>
        <v>#N/A</v>
      </c>
    </row>
    <row r="57" spans="1:50" ht="14.25" customHeight="1" x14ac:dyDescent="0.2">
      <c r="A57" s="278"/>
      <c r="B57" s="421"/>
      <c r="C57" s="421"/>
      <c r="D57" s="58"/>
      <c r="E57" s="58"/>
      <c r="F57" s="58"/>
      <c r="G57" s="58"/>
      <c r="H57" s="58"/>
      <c r="I57" s="58"/>
      <c r="J57" s="58"/>
      <c r="K57" s="12"/>
      <c r="L57" s="14"/>
      <c r="M57" s="14"/>
      <c r="N57" s="14"/>
      <c r="O57" s="14"/>
      <c r="P57" s="9"/>
      <c r="Q57" s="9"/>
      <c r="R57" s="9"/>
      <c r="S57" s="9"/>
      <c r="T57" s="9"/>
      <c r="U57" s="117"/>
      <c r="V57" s="137"/>
      <c r="W57" s="294"/>
      <c r="AI57" s="585" t="b">
        <v>1</v>
      </c>
      <c r="AJ57" s="160" t="s">
        <v>114</v>
      </c>
      <c r="AK57" s="87" t="str">
        <f t="shared" si="14"/>
        <v>Torbay</v>
      </c>
      <c r="AL57" s="146" t="e">
        <f t="shared" si="24"/>
        <v>#N/A</v>
      </c>
      <c r="AM57" s="146" t="e">
        <f t="shared" si="24"/>
        <v>#N/A</v>
      </c>
      <c r="AN57" s="146" t="e">
        <f t="shared" si="24"/>
        <v>#N/A</v>
      </c>
      <c r="AO57" s="146" t="e">
        <f t="shared" si="24"/>
        <v>#N/A</v>
      </c>
      <c r="AP57" s="146" t="e">
        <f t="shared" si="24"/>
        <v>#N/A</v>
      </c>
      <c r="AQ57" s="146" t="e">
        <f t="shared" si="21"/>
        <v>#N/A</v>
      </c>
      <c r="AR57" s="147">
        <f t="shared" si="22"/>
        <v>21.9</v>
      </c>
      <c r="AS57" s="171" t="e">
        <f t="shared" si="16"/>
        <v>#N/A</v>
      </c>
      <c r="AT57" s="171" t="e">
        <f t="shared" si="17"/>
        <v>#N/A</v>
      </c>
      <c r="AU57" s="171" t="e">
        <f t="shared" si="18"/>
        <v>#N/A</v>
      </c>
      <c r="AV57" s="171" t="e">
        <f t="shared" si="19"/>
        <v>#N/A</v>
      </c>
      <c r="AW57" s="171" t="e">
        <f t="shared" si="20"/>
        <v>#N/A</v>
      </c>
      <c r="AX57" s="146" t="e">
        <f t="shared" si="23"/>
        <v>#N/A</v>
      </c>
    </row>
    <row r="58" spans="1:50" s="81" customFormat="1" ht="14.25" customHeight="1" x14ac:dyDescent="0.2">
      <c r="A58" s="278"/>
      <c r="B58" s="421"/>
      <c r="C58" s="421"/>
      <c r="D58" s="58"/>
      <c r="E58" s="58"/>
      <c r="F58" s="58"/>
      <c r="G58" s="58"/>
      <c r="H58" s="58"/>
      <c r="I58" s="58"/>
      <c r="J58" s="58"/>
      <c r="K58" s="12"/>
      <c r="L58" s="14"/>
      <c r="M58" s="14"/>
      <c r="N58" s="14"/>
      <c r="O58" s="14"/>
      <c r="P58" s="9"/>
      <c r="Q58" s="9"/>
      <c r="R58" s="9"/>
      <c r="S58" s="9"/>
      <c r="T58" s="9"/>
      <c r="U58" s="117"/>
      <c r="V58" s="137"/>
      <c r="W58" s="294"/>
      <c r="AI58" s="585" t="b">
        <v>1</v>
      </c>
      <c r="AJ58" s="160" t="s">
        <v>15</v>
      </c>
      <c r="AK58" s="87" t="str">
        <f t="shared" si="14"/>
        <v>West Berkshire</v>
      </c>
      <c r="AL58" s="146" t="e">
        <f t="shared" si="24"/>
        <v>#N/A</v>
      </c>
      <c r="AM58" s="146" t="e">
        <f t="shared" si="24"/>
        <v>#N/A</v>
      </c>
      <c r="AN58" s="146" t="e">
        <f t="shared" si="24"/>
        <v>#N/A</v>
      </c>
      <c r="AO58" s="146" t="e">
        <f t="shared" si="24"/>
        <v>#N/A</v>
      </c>
      <c r="AP58" s="146" t="e">
        <f t="shared" si="24"/>
        <v>#N/A</v>
      </c>
      <c r="AQ58" s="146" t="e">
        <f t="shared" si="21"/>
        <v>#N/A</v>
      </c>
      <c r="AR58" s="147">
        <f t="shared" si="22"/>
        <v>8.6999999999999993</v>
      </c>
      <c r="AS58" s="171" t="e">
        <f t="shared" si="16"/>
        <v>#N/A</v>
      </c>
      <c r="AT58" s="171" t="e">
        <f t="shared" si="17"/>
        <v>#N/A</v>
      </c>
      <c r="AU58" s="171" t="e">
        <f t="shared" si="18"/>
        <v>#N/A</v>
      </c>
      <c r="AV58" s="171" t="e">
        <f t="shared" si="19"/>
        <v>#N/A</v>
      </c>
      <c r="AW58" s="171" t="e">
        <f t="shared" si="20"/>
        <v>#N/A</v>
      </c>
      <c r="AX58" s="146" t="e">
        <f t="shared" si="23"/>
        <v>#N/A</v>
      </c>
    </row>
    <row r="59" spans="1:50" s="81" customFormat="1" ht="14.25" customHeight="1" x14ac:dyDescent="0.2">
      <c r="A59" s="278"/>
      <c r="B59" s="421"/>
      <c r="C59" s="421"/>
      <c r="D59" s="58"/>
      <c r="E59" s="58"/>
      <c r="F59" s="58"/>
      <c r="G59" s="58"/>
      <c r="H59" s="58"/>
      <c r="I59" s="58"/>
      <c r="J59" s="58"/>
      <c r="K59" s="12"/>
      <c r="L59" s="14"/>
      <c r="M59" s="14"/>
      <c r="N59" s="14"/>
      <c r="O59" s="14"/>
      <c r="P59" s="9"/>
      <c r="Q59" s="9"/>
      <c r="R59" s="9"/>
      <c r="S59" s="9"/>
      <c r="T59" s="9"/>
      <c r="U59" s="117"/>
      <c r="V59" s="137"/>
      <c r="W59" s="294"/>
      <c r="AI59" s="585" t="b">
        <v>1</v>
      </c>
      <c r="AJ59" s="160" t="s">
        <v>5</v>
      </c>
      <c r="AK59" s="87" t="str">
        <f t="shared" si="14"/>
        <v>West Sussex</v>
      </c>
      <c r="AL59" s="146" t="e">
        <f t="shared" si="24"/>
        <v>#N/A</v>
      </c>
      <c r="AM59" s="146" t="e">
        <f t="shared" si="24"/>
        <v>#N/A</v>
      </c>
      <c r="AN59" s="146" t="e">
        <f t="shared" si="24"/>
        <v>#N/A</v>
      </c>
      <c r="AO59" s="146" t="e">
        <f t="shared" si="24"/>
        <v>#N/A</v>
      </c>
      <c r="AP59" s="146" t="e">
        <f t="shared" si="24"/>
        <v>#N/A</v>
      </c>
      <c r="AQ59" s="146" t="e">
        <f t="shared" si="21"/>
        <v>#N/A</v>
      </c>
      <c r="AR59" s="147">
        <f t="shared" si="22"/>
        <v>11</v>
      </c>
      <c r="AS59" s="171" t="e">
        <f t="shared" si="16"/>
        <v>#N/A</v>
      </c>
      <c r="AT59" s="171" t="e">
        <f t="shared" si="17"/>
        <v>#N/A</v>
      </c>
      <c r="AU59" s="171" t="e">
        <f t="shared" si="18"/>
        <v>#N/A</v>
      </c>
      <c r="AV59" s="171" t="e">
        <f t="shared" si="19"/>
        <v>#N/A</v>
      </c>
      <c r="AW59" s="171" t="e">
        <f t="shared" si="20"/>
        <v>#N/A</v>
      </c>
      <c r="AX59" s="146" t="e">
        <f t="shared" si="23"/>
        <v>#N/A</v>
      </c>
    </row>
    <row r="60" spans="1:50" s="81" customFormat="1" ht="14.25" customHeight="1" x14ac:dyDescent="0.2">
      <c r="A60" s="278"/>
      <c r="B60" s="421"/>
      <c r="C60" s="421"/>
      <c r="D60" s="58"/>
      <c r="E60" s="58"/>
      <c r="F60" s="58"/>
      <c r="G60" s="58"/>
      <c r="H60" s="58"/>
      <c r="I60" s="58"/>
      <c r="J60" s="58"/>
      <c r="K60" s="12"/>
      <c r="L60" s="14"/>
      <c r="M60" s="14"/>
      <c r="N60" s="14"/>
      <c r="O60" s="14"/>
      <c r="P60" s="9"/>
      <c r="Q60" s="9"/>
      <c r="R60" s="9"/>
      <c r="S60" s="9"/>
      <c r="T60" s="9"/>
      <c r="U60" s="117"/>
      <c r="V60" s="137"/>
      <c r="W60" s="294"/>
      <c r="AI60" s="585" t="b">
        <v>1</v>
      </c>
      <c r="AJ60" s="160" t="s">
        <v>30</v>
      </c>
      <c r="AK60" s="87" t="str">
        <f t="shared" si="14"/>
        <v>Windsor &amp; Maidenhead</v>
      </c>
      <c r="AL60" s="146" t="e">
        <f t="shared" si="24"/>
        <v>#N/A</v>
      </c>
      <c r="AM60" s="146" t="e">
        <f t="shared" si="24"/>
        <v>#N/A</v>
      </c>
      <c r="AN60" s="146" t="e">
        <f t="shared" si="24"/>
        <v>#N/A</v>
      </c>
      <c r="AO60" s="146" t="e">
        <f t="shared" si="24"/>
        <v>#N/A</v>
      </c>
      <c r="AP60" s="146" t="e">
        <f t="shared" si="24"/>
        <v>#N/A</v>
      </c>
      <c r="AQ60" s="146" t="e">
        <f t="shared" si="21"/>
        <v>#N/A</v>
      </c>
      <c r="AR60" s="147">
        <f t="shared" si="22"/>
        <v>6.7</v>
      </c>
      <c r="AS60" s="171" t="e">
        <f t="shared" si="16"/>
        <v>#N/A</v>
      </c>
      <c r="AT60" s="171" t="e">
        <f t="shared" si="17"/>
        <v>#N/A</v>
      </c>
      <c r="AU60" s="171" t="e">
        <f t="shared" si="18"/>
        <v>#N/A</v>
      </c>
      <c r="AV60" s="171" t="e">
        <f t="shared" si="19"/>
        <v>#N/A</v>
      </c>
      <c r="AW60" s="171" t="e">
        <f t="shared" si="20"/>
        <v>#N/A</v>
      </c>
      <c r="AX60" s="146" t="e">
        <f t="shared" si="23"/>
        <v>#N/A</v>
      </c>
    </row>
    <row r="61" spans="1:50" s="81" customFormat="1" ht="14.25" customHeight="1" x14ac:dyDescent="0.2">
      <c r="A61" s="278"/>
      <c r="B61" s="421"/>
      <c r="C61" s="421"/>
      <c r="D61" s="58"/>
      <c r="E61" s="58"/>
      <c r="F61" s="58"/>
      <c r="G61" s="58"/>
      <c r="H61" s="58"/>
      <c r="I61" s="58"/>
      <c r="J61" s="58"/>
      <c r="K61" s="12"/>
      <c r="L61" s="14"/>
      <c r="M61" s="14"/>
      <c r="N61" s="14"/>
      <c r="O61" s="14"/>
      <c r="P61" s="9"/>
      <c r="Q61" s="9"/>
      <c r="R61" s="9"/>
      <c r="S61" s="9"/>
      <c r="T61" s="9"/>
      <c r="U61" s="117"/>
      <c r="V61" s="137"/>
      <c r="W61" s="294"/>
      <c r="AI61" s="585" t="b">
        <v>1</v>
      </c>
      <c r="AJ61" s="160" t="s">
        <v>16</v>
      </c>
      <c r="AK61" s="87" t="str">
        <f t="shared" si="14"/>
        <v>Wokingham</v>
      </c>
      <c r="AL61" s="146" t="e">
        <f t="shared" si="24"/>
        <v>#N/A</v>
      </c>
      <c r="AM61" s="146" t="e">
        <f t="shared" si="24"/>
        <v>#N/A</v>
      </c>
      <c r="AN61" s="146" t="e">
        <f t="shared" si="24"/>
        <v>#N/A</v>
      </c>
      <c r="AO61" s="146" t="e">
        <f t="shared" si="24"/>
        <v>#N/A</v>
      </c>
      <c r="AP61" s="146" t="e">
        <f t="shared" si="24"/>
        <v>#N/A</v>
      </c>
      <c r="AQ61" s="146" t="e">
        <f t="shared" si="21"/>
        <v>#N/A</v>
      </c>
      <c r="AR61" s="147">
        <f t="shared" si="22"/>
        <v>5.6000000000000005</v>
      </c>
      <c r="AS61" s="171" t="e">
        <f t="shared" si="16"/>
        <v>#N/A</v>
      </c>
      <c r="AT61" s="171" t="e">
        <f t="shared" si="17"/>
        <v>#N/A</v>
      </c>
      <c r="AU61" s="171" t="e">
        <f t="shared" si="18"/>
        <v>#N/A</v>
      </c>
      <c r="AV61" s="171" t="e">
        <f t="shared" si="19"/>
        <v>#N/A</v>
      </c>
      <c r="AW61" s="171" t="e">
        <f t="shared" si="20"/>
        <v>#N/A</v>
      </c>
      <c r="AX61" s="146" t="e">
        <f t="shared" si="23"/>
        <v>#N/A</v>
      </c>
    </row>
    <row r="62" spans="1:50" s="81" customFormat="1" ht="14.25" customHeight="1" x14ac:dyDescent="0.2">
      <c r="A62" s="278"/>
      <c r="B62" s="421"/>
      <c r="C62" s="421"/>
      <c r="D62" s="58"/>
      <c r="E62" s="58"/>
      <c r="F62" s="58"/>
      <c r="G62" s="58"/>
      <c r="H62" s="58"/>
      <c r="I62" s="58"/>
      <c r="J62" s="58"/>
      <c r="K62" s="12"/>
      <c r="L62" s="14"/>
      <c r="M62" s="14"/>
      <c r="N62" s="14"/>
      <c r="O62" s="14"/>
      <c r="P62" s="9"/>
      <c r="Q62" s="9"/>
      <c r="R62" s="9"/>
      <c r="S62" s="9"/>
      <c r="T62" s="9"/>
      <c r="U62" s="117"/>
      <c r="V62" s="137"/>
      <c r="W62" s="294"/>
      <c r="AI62" s="585" t="b">
        <v>1</v>
      </c>
      <c r="AJ62" s="160" t="s">
        <v>74</v>
      </c>
      <c r="AK62" s="87" t="str">
        <f t="shared" si="14"/>
        <v>South East</v>
      </c>
      <c r="AL62" s="146" t="e">
        <f t="shared" si="24"/>
        <v>#N/A</v>
      </c>
      <c r="AM62" s="146" t="e">
        <f t="shared" si="24"/>
        <v>#N/A</v>
      </c>
      <c r="AN62" s="146" t="e">
        <f t="shared" si="24"/>
        <v>#N/A</v>
      </c>
      <c r="AO62" s="146" t="e">
        <f t="shared" si="24"/>
        <v>#N/A</v>
      </c>
      <c r="AP62" s="146" t="e">
        <f t="shared" si="24"/>
        <v>#N/A</v>
      </c>
      <c r="AQ62" s="146" t="e">
        <f t="shared" si="21"/>
        <v>#N/A</v>
      </c>
      <c r="AR62" s="147" t="e">
        <f t="shared" si="22"/>
        <v>#DIV/0!</v>
      </c>
      <c r="AS62" s="171" t="e">
        <f t="shared" si="16"/>
        <v>#N/A</v>
      </c>
      <c r="AT62" s="171" t="e">
        <f t="shared" si="17"/>
        <v>#N/A</v>
      </c>
      <c r="AU62" s="171" t="e">
        <f t="shared" si="18"/>
        <v>#N/A</v>
      </c>
      <c r="AV62" s="171" t="e">
        <f t="shared" si="19"/>
        <v>#N/A</v>
      </c>
      <c r="AW62" s="171" t="e">
        <f t="shared" si="20"/>
        <v>#N/A</v>
      </c>
      <c r="AX62" s="146" t="e">
        <f t="shared" si="23"/>
        <v>#N/A</v>
      </c>
    </row>
    <row r="63" spans="1:50" s="81" customFormat="1" ht="14.25" customHeight="1" x14ac:dyDescent="0.2">
      <c r="A63" s="278"/>
      <c r="B63" s="421"/>
      <c r="C63" s="421"/>
      <c r="D63" s="58"/>
      <c r="E63" s="58"/>
      <c r="F63" s="58"/>
      <c r="G63" s="58"/>
      <c r="H63" s="58"/>
      <c r="I63" s="58"/>
      <c r="J63" s="58"/>
      <c r="K63" s="1787"/>
      <c r="L63" s="1788"/>
      <c r="M63" s="1750" t="s">
        <v>72</v>
      </c>
      <c r="N63" s="1750"/>
      <c r="O63" s="1750"/>
      <c r="P63" s="846"/>
      <c r="Q63" s="1751" t="s">
        <v>100</v>
      </c>
      <c r="R63" s="1751"/>
      <c r="S63" s="1751"/>
      <c r="T63" s="1751"/>
      <c r="U63" s="117"/>
      <c r="V63" s="137"/>
      <c r="W63" s="294"/>
      <c r="AI63" s="184"/>
      <c r="AJ63" s="157"/>
      <c r="AK63" s="74" t="str">
        <f>Z4</f>
        <v>Selected LA- (none)</v>
      </c>
      <c r="AL63" s="148" t="e">
        <f>VLOOKUP($Y4,$B$10:$P$32,AL36,FALSE)</f>
        <v>#N/A</v>
      </c>
      <c r="AM63" s="148" t="e">
        <f t="shared" ref="AM63:AP63" si="25">VLOOKUP($Y4,$B$10:$P$32,AM36,FALSE)</f>
        <v>#N/A</v>
      </c>
      <c r="AN63" s="148" t="e">
        <f t="shared" si="25"/>
        <v>#N/A</v>
      </c>
      <c r="AO63" s="148" t="e">
        <f t="shared" si="25"/>
        <v>#N/A</v>
      </c>
      <c r="AP63" s="148" t="e">
        <f t="shared" si="25"/>
        <v>#N/A</v>
      </c>
      <c r="AQ63" s="146" t="e">
        <f t="shared" si="21"/>
        <v>#N/A</v>
      </c>
      <c r="AR63" s="147" t="e">
        <f>VLOOKUP($Y$4,$B$10:$T$32,$AR$36,FALSE)</f>
        <v>#N/A</v>
      </c>
      <c r="AS63" s="171" t="e">
        <f>VLOOKUP($Y$4,$B$76:$H$98,3,FALSE)</f>
        <v>#N/A</v>
      </c>
      <c r="AT63" s="171" t="e">
        <f>VLOOKUP($Y$4,$B$76:$H$98,4,FALSE)</f>
        <v>#N/A</v>
      </c>
      <c r="AU63" s="171" t="e">
        <f>VLOOKUP($Y$4,$B$76:$H$98,5,FALSE)</f>
        <v>#N/A</v>
      </c>
      <c r="AV63" s="171" t="e">
        <f>VLOOKUP($Y$4,$B$76:$H$98,6,FALSE)</f>
        <v>#N/A</v>
      </c>
      <c r="AW63" s="171" t="e">
        <f>VLOOKUP($Y$4,$B$76:$H$98,7,FALSE)</f>
        <v>#N/A</v>
      </c>
      <c r="AX63" s="146" t="e">
        <f t="shared" si="23"/>
        <v>#N/A</v>
      </c>
    </row>
    <row r="64" spans="1:50" s="81" customFormat="1" ht="14.25" customHeight="1" x14ac:dyDescent="0.2">
      <c r="A64" s="278"/>
      <c r="B64" s="421"/>
      <c r="C64" s="421"/>
      <c r="D64" s="58"/>
      <c r="E64" s="58"/>
      <c r="F64" s="58"/>
      <c r="G64" s="58"/>
      <c r="H64" s="58"/>
      <c r="I64" s="58"/>
      <c r="J64" s="58"/>
      <c r="K64" s="1787"/>
      <c r="L64" s="1788"/>
      <c r="M64" s="1751" t="str">
        <f>Z4</f>
        <v>Selected LA- (none)</v>
      </c>
      <c r="N64" s="1751"/>
      <c r="O64" s="1751"/>
      <c r="P64" s="1751"/>
      <c r="Q64" s="1751"/>
      <c r="R64" s="1751"/>
      <c r="S64" s="1751"/>
      <c r="T64" s="1751"/>
      <c r="U64" s="117"/>
      <c r="V64" s="137"/>
      <c r="W64" s="294"/>
      <c r="AJ64" s="161"/>
    </row>
    <row r="65" spans="1:50" s="81" customFormat="1" ht="39.6" customHeight="1" x14ac:dyDescent="0.2">
      <c r="A65" s="278"/>
      <c r="B65" s="421"/>
      <c r="C65" s="421"/>
      <c r="D65" s="58"/>
      <c r="E65" s="58"/>
      <c r="F65" s="58"/>
      <c r="G65" s="58"/>
      <c r="H65" s="58"/>
      <c r="I65" s="58"/>
      <c r="J65" s="58"/>
      <c r="K65" s="12"/>
      <c r="L65" s="9"/>
      <c r="M65" s="9"/>
      <c r="N65" s="9"/>
      <c r="O65" s="9"/>
      <c r="P65" s="9"/>
      <c r="Q65" s="9"/>
      <c r="R65" s="9"/>
      <c r="S65" s="9"/>
      <c r="T65" s="9"/>
      <c r="U65" s="117"/>
      <c r="V65" s="137"/>
      <c r="W65" s="150"/>
      <c r="AJ65" s="161"/>
    </row>
    <row r="66" spans="1:50" s="81" customFormat="1" ht="39" customHeight="1" x14ac:dyDescent="0.2">
      <c r="A66" s="278"/>
      <c r="B66" s="58"/>
      <c r="C66" s="58"/>
      <c r="D66" s="58"/>
      <c r="E66" s="58"/>
      <c r="F66" s="58"/>
      <c r="G66" s="58"/>
      <c r="H66" s="58"/>
      <c r="I66" s="58"/>
      <c r="J66" s="58"/>
      <c r="K66" s="12"/>
      <c r="L66" s="9"/>
      <c r="M66" s="9"/>
      <c r="N66" s="9"/>
      <c r="O66" s="9"/>
      <c r="P66" s="9"/>
      <c r="Q66" s="9"/>
      <c r="R66" s="9"/>
      <c r="S66" s="9"/>
      <c r="T66" s="9"/>
      <c r="U66" s="117"/>
      <c r="V66" s="137"/>
      <c r="W66" s="150"/>
      <c r="AJ66" s="161"/>
    </row>
    <row r="67" spans="1:50" s="87" customFormat="1" ht="48.75" customHeight="1" x14ac:dyDescent="0.2">
      <c r="A67" s="292"/>
      <c r="B67" s="109"/>
      <c r="C67" s="109"/>
      <c r="D67" s="109"/>
      <c r="E67" s="109"/>
      <c r="F67" s="109"/>
      <c r="G67" s="109"/>
      <c r="H67" s="109"/>
      <c r="I67" s="109"/>
      <c r="J67" s="109"/>
      <c r="K67" s="96"/>
      <c r="L67" s="85"/>
      <c r="M67" s="85"/>
      <c r="N67" s="85"/>
      <c r="O67" s="85"/>
      <c r="P67" s="85"/>
      <c r="Q67" s="85"/>
      <c r="R67" s="85"/>
      <c r="S67" s="85"/>
      <c r="T67" s="85"/>
      <c r="U67" s="122"/>
      <c r="V67" s="139"/>
      <c r="W67" s="190"/>
      <c r="X67" s="81"/>
      <c r="Y67" s="81"/>
      <c r="Z67" s="81"/>
      <c r="AA67" s="81"/>
      <c r="AB67" s="81"/>
      <c r="AC67" s="81"/>
      <c r="AD67" s="81"/>
      <c r="AE67" s="81"/>
      <c r="AF67" s="190"/>
      <c r="AG67" s="190"/>
      <c r="AH67" s="190"/>
      <c r="AI67" s="202"/>
      <c r="AJ67" s="160"/>
    </row>
    <row r="68" spans="1:50" ht="7.5" customHeight="1" x14ac:dyDescent="0.2">
      <c r="A68" s="278"/>
      <c r="B68" s="17"/>
      <c r="C68" s="17"/>
      <c r="D68" s="16"/>
      <c r="E68" s="16"/>
      <c r="F68" s="16"/>
      <c r="G68" s="16"/>
      <c r="H68" s="16"/>
      <c r="I68" s="16"/>
      <c r="J68" s="16"/>
      <c r="K68" s="12"/>
      <c r="L68" s="18"/>
      <c r="M68" s="18"/>
      <c r="N68" s="18"/>
      <c r="O68" s="18"/>
      <c r="P68" s="18"/>
      <c r="Q68" s="18"/>
      <c r="R68" s="18"/>
      <c r="S68" s="18"/>
      <c r="T68" s="19"/>
      <c r="U68" s="117"/>
      <c r="V68" s="137"/>
      <c r="W68" s="150"/>
      <c r="AF68" s="190"/>
      <c r="AG68" s="190"/>
      <c r="AH68" s="190"/>
      <c r="AI68" s="202"/>
      <c r="AJ68" s="160"/>
      <c r="AK68" s="87"/>
      <c r="AL68" s="87"/>
      <c r="AM68" s="87"/>
      <c r="AN68" s="87"/>
      <c r="AO68" s="87"/>
      <c r="AP68" s="87"/>
      <c r="AQ68" s="87"/>
      <c r="AR68" s="87"/>
      <c r="AX68" s="87"/>
    </row>
    <row r="69" spans="1:50" ht="15" customHeight="1" x14ac:dyDescent="0.2">
      <c r="A69" s="1775"/>
      <c r="B69" s="1760"/>
      <c r="C69" s="1760"/>
      <c r="D69" s="1760"/>
      <c r="E69" s="1760"/>
      <c r="F69" s="1760"/>
      <c r="G69" s="1760"/>
      <c r="H69" s="1760"/>
      <c r="I69" s="1760"/>
      <c r="J69" s="1760"/>
      <c r="K69" s="1760"/>
      <c r="L69" s="1760"/>
      <c r="M69" s="1760"/>
      <c r="N69" s="1760"/>
      <c r="O69" s="1760"/>
      <c r="P69" s="1760"/>
      <c r="Q69" s="1760"/>
      <c r="R69" s="1760"/>
      <c r="S69" s="1760"/>
      <c r="T69" s="1760"/>
      <c r="U69" s="1761"/>
      <c r="V69" s="137"/>
      <c r="W69" s="150"/>
      <c r="AF69" s="190"/>
      <c r="AG69" s="190"/>
      <c r="AH69" s="190"/>
      <c r="AI69" s="202"/>
      <c r="AJ69" s="160"/>
      <c r="AK69" s="87"/>
      <c r="AL69" s="87"/>
      <c r="AM69" s="87"/>
      <c r="AN69" s="87"/>
      <c r="AO69" s="87"/>
      <c r="AP69" s="87"/>
      <c r="AQ69" s="87"/>
      <c r="AR69" s="87"/>
      <c r="AX69" s="87"/>
    </row>
    <row r="70" spans="1:50" ht="11.1" customHeight="1" x14ac:dyDescent="0.2">
      <c r="A70" s="1776" t="str">
        <f>Home!$A$39</f>
        <v xml:space="preserve"> </v>
      </c>
      <c r="B70" s="1777"/>
      <c r="C70" s="1777"/>
      <c r="D70" s="1777"/>
      <c r="E70" s="1777"/>
      <c r="F70" s="1777"/>
      <c r="G70" s="1777"/>
      <c r="H70" s="1777"/>
      <c r="I70" s="1768"/>
      <c r="J70" s="1768"/>
      <c r="K70" s="1777"/>
      <c r="L70" s="1777"/>
      <c r="M70" s="1777"/>
      <c r="N70" s="1777"/>
      <c r="O70" s="1777"/>
      <c r="P70" s="1777"/>
      <c r="Q70" s="1777"/>
      <c r="R70" s="1777"/>
      <c r="S70" s="1777"/>
      <c r="T70" s="1777"/>
      <c r="U70" s="1778"/>
      <c r="V70" s="137"/>
      <c r="W70" s="150"/>
      <c r="AI70" s="184"/>
      <c r="AJ70" s="157"/>
    </row>
    <row r="71" spans="1:50" ht="11.1" customHeight="1" x14ac:dyDescent="0.2">
      <c r="A71" s="112"/>
      <c r="B71" s="113"/>
      <c r="C71" s="113"/>
      <c r="D71" s="113"/>
      <c r="E71" s="113"/>
      <c r="F71" s="113"/>
      <c r="G71" s="113"/>
      <c r="H71" s="113"/>
      <c r="I71" s="113"/>
      <c r="J71" s="113"/>
      <c r="K71" s="114"/>
      <c r="L71" s="113"/>
      <c r="M71" s="113"/>
      <c r="N71" s="113"/>
      <c r="O71" s="113"/>
      <c r="P71" s="113"/>
      <c r="Q71" s="113"/>
      <c r="R71" s="113"/>
      <c r="S71" s="113"/>
      <c r="T71" s="113"/>
      <c r="U71" s="115"/>
      <c r="V71" s="137"/>
      <c r="W71" s="150"/>
      <c r="X71" s="188"/>
      <c r="Y71" s="188"/>
      <c r="Z71" s="188"/>
      <c r="AI71" s="184"/>
      <c r="AJ71" s="157"/>
    </row>
    <row r="72" spans="1:50" s="76" customFormat="1" ht="15" customHeight="1" x14ac:dyDescent="0.2">
      <c r="A72" s="461"/>
      <c r="B72" s="1746" t="s">
        <v>200</v>
      </c>
      <c r="C72" s="1746"/>
      <c r="D72" s="1746"/>
      <c r="E72" s="1746"/>
      <c r="F72" s="1746"/>
      <c r="G72" s="1746"/>
      <c r="H72" s="1746"/>
      <c r="I72" s="1746"/>
      <c r="J72" s="906"/>
      <c r="K72" s="906"/>
      <c r="L72" s="70"/>
      <c r="M72" s="420"/>
      <c r="N72" s="420"/>
      <c r="O72" s="420"/>
      <c r="P72" s="70"/>
      <c r="Q72" s="70"/>
      <c r="R72" s="70"/>
      <c r="S72" s="70"/>
      <c r="T72" s="70"/>
      <c r="U72" s="120"/>
      <c r="V72" s="138"/>
      <c r="W72" s="151"/>
      <c r="X72" s="188"/>
      <c r="Y72" s="188"/>
      <c r="Z72" s="188"/>
      <c r="AA72" s="188"/>
      <c r="AB72" s="188"/>
      <c r="AC72" s="188"/>
      <c r="AD72" s="188"/>
      <c r="AE72" s="188"/>
      <c r="AF72" s="188"/>
      <c r="AG72" s="188"/>
      <c r="AH72" s="188"/>
      <c r="AI72" s="188"/>
      <c r="AJ72" s="158"/>
    </row>
    <row r="73" spans="1:50" ht="20.25" customHeight="1" x14ac:dyDescent="0.2">
      <c r="A73" s="278"/>
      <c r="B73" s="1746"/>
      <c r="C73" s="1746"/>
      <c r="D73" s="1746"/>
      <c r="E73" s="1746"/>
      <c r="F73" s="1746"/>
      <c r="G73" s="1746"/>
      <c r="H73" s="1746"/>
      <c r="I73" s="1746"/>
      <c r="J73" s="906"/>
      <c r="K73" s="906"/>
      <c r="L73" s="70"/>
      <c r="M73" s="420"/>
      <c r="N73" s="420"/>
      <c r="O73" s="420"/>
      <c r="P73" s="70"/>
      <c r="Q73" s="70"/>
      <c r="R73" s="10"/>
      <c r="S73" s="70"/>
      <c r="T73" s="70"/>
      <c r="U73" s="117"/>
      <c r="V73" s="137"/>
      <c r="W73" s="150"/>
      <c r="X73" s="198" t="s">
        <v>201</v>
      </c>
      <c r="Y73" s="196"/>
      <c r="Z73" s="196"/>
      <c r="AA73" s="196"/>
      <c r="AB73" s="197"/>
      <c r="AC73" s="197"/>
      <c r="AD73" s="223" t="s">
        <v>195</v>
      </c>
      <c r="AI73" s="184"/>
      <c r="AJ73" s="157"/>
    </row>
    <row r="74" spans="1:50" ht="13.5" customHeight="1" x14ac:dyDescent="0.2">
      <c r="A74" s="278"/>
      <c r="B74" s="1791" t="s">
        <v>205</v>
      </c>
      <c r="C74" s="777"/>
      <c r="D74" s="789" t="str">
        <f>Sheet1!$D$27</f>
        <v>2015-16</v>
      </c>
      <c r="E74" s="790" t="str">
        <f>Sheet1!$E$27</f>
        <v>2016-17</v>
      </c>
      <c r="F74" s="790" t="str">
        <f>Sheet1!$F$27</f>
        <v>2017-18</v>
      </c>
      <c r="G74" s="790" t="str">
        <f>Sheet1!$G$27</f>
        <v>2018-19</v>
      </c>
      <c r="H74" s="791" t="str">
        <f>Sheet1!$H$27</f>
        <v>2019-20</v>
      </c>
      <c r="I74" s="392"/>
      <c r="J74" s="851"/>
      <c r="K74" s="777"/>
      <c r="L74" s="70"/>
      <c r="M74" s="775"/>
      <c r="N74" s="775"/>
      <c r="O74" s="775"/>
      <c r="P74" s="70"/>
      <c r="Q74" s="70"/>
      <c r="R74" s="10"/>
      <c r="S74" s="70"/>
      <c r="T74" s="70"/>
      <c r="U74" s="117"/>
      <c r="V74" s="137"/>
      <c r="W74" s="150"/>
      <c r="X74" s="198"/>
      <c r="Y74" s="196" t="str">
        <f>Sheet1!$D$27</f>
        <v>2015-16</v>
      </c>
      <c r="Z74" s="196" t="str">
        <f>Sheet1!$E$27</f>
        <v>2016-17</v>
      </c>
      <c r="AA74" s="196" t="str">
        <f>Sheet1!$F$27</f>
        <v>2017-18</v>
      </c>
      <c r="AB74" s="197" t="str">
        <f>Sheet1!$G$27</f>
        <v>2018-19</v>
      </c>
      <c r="AC74" s="197" t="str">
        <f>Sheet1!$H$27</f>
        <v>2019-20</v>
      </c>
      <c r="AD74" s="223" t="str">
        <f>Sheet1!$D$27</f>
        <v>2015-16</v>
      </c>
      <c r="AE74" s="81" t="str">
        <f>Sheet1!$E$27</f>
        <v>2016-17</v>
      </c>
      <c r="AF74" s="81" t="str">
        <f>Sheet1!$F$27</f>
        <v>2017-18</v>
      </c>
      <c r="AG74" s="81" t="str">
        <f>Sheet1!$G$27</f>
        <v>2018-19</v>
      </c>
      <c r="AH74" s="81" t="str">
        <f>Sheet1!$H$27</f>
        <v>2019-20</v>
      </c>
      <c r="AI74" s="184"/>
      <c r="AJ74" s="157"/>
    </row>
    <row r="75" spans="1:50" s="87" customFormat="1" ht="13.5" customHeight="1" thickBot="1" x14ac:dyDescent="0.25">
      <c r="A75" s="292"/>
      <c r="B75" s="1792"/>
      <c r="C75" s="85"/>
      <c r="D75" s="792" t="e">
        <f>Sheet1!$D$28</f>
        <v>#N/A</v>
      </c>
      <c r="E75" s="792" t="e">
        <f>Sheet1!$E$28</f>
        <v>#N/A</v>
      </c>
      <c r="F75" s="792" t="e">
        <f>Sheet1!$F$28</f>
        <v>#N/A</v>
      </c>
      <c r="G75" s="792" t="e">
        <f>Sheet1!$G$28</f>
        <v>#N/A</v>
      </c>
      <c r="H75" s="793" t="e">
        <f>Sheet1!$H$28</f>
        <v>#N/A</v>
      </c>
      <c r="I75" s="392"/>
      <c r="J75" s="852"/>
      <c r="K75" s="96"/>
      <c r="L75" s="61"/>
      <c r="M75" s="61"/>
      <c r="N75" s="61"/>
      <c r="O75" s="61"/>
      <c r="P75" s="61"/>
      <c r="Q75" s="393"/>
      <c r="R75" s="393"/>
      <c r="S75" s="159"/>
      <c r="T75" s="391"/>
      <c r="U75" s="122"/>
      <c r="V75" s="139"/>
      <c r="W75" s="152"/>
      <c r="X75" s="192"/>
      <c r="Y75" s="428" t="e">
        <f>Sheet1!$D$28</f>
        <v>#N/A</v>
      </c>
      <c r="Z75" s="428" t="e">
        <f>Sheet1!$E$28</f>
        <v>#N/A</v>
      </c>
      <c r="AA75" s="428" t="e">
        <f>Sheet1!$F$28</f>
        <v>#N/A</v>
      </c>
      <c r="AB75" s="428" t="e">
        <f>Sheet1!$G$28</f>
        <v>#N/A</v>
      </c>
      <c r="AC75" s="428" t="e">
        <f>Sheet1!$H$28</f>
        <v>#N/A</v>
      </c>
      <c r="AD75" s="455" t="e">
        <f>Sheet1!$D$28</f>
        <v>#N/A</v>
      </c>
      <c r="AE75" s="455" t="e">
        <f>Sheet1!$E$28</f>
        <v>#N/A</v>
      </c>
      <c r="AF75" s="455" t="e">
        <f>Sheet1!$F$28</f>
        <v>#N/A</v>
      </c>
      <c r="AG75" s="455" t="e">
        <f>Sheet1!$G$28</f>
        <v>#N/A</v>
      </c>
      <c r="AH75" s="455" t="e">
        <f>Sheet1!$H$28</f>
        <v>#N/A</v>
      </c>
      <c r="AI75" s="202"/>
      <c r="AJ75" s="160"/>
    </row>
    <row r="76" spans="1:50" s="87" customFormat="1" ht="12.75" customHeight="1" x14ac:dyDescent="0.2">
      <c r="A76" s="488">
        <f>VLOOKUP(B76,Sheet1!$AQ$4:$AR$25,2,FALSE)</f>
        <v>0</v>
      </c>
      <c r="B76" s="93" t="str">
        <f t="shared" ref="B76:B98" si="26">B10</f>
        <v>Bracknell Forest</v>
      </c>
      <c r="C76" s="85"/>
      <c r="D76" s="162" t="e">
        <f t="shared" ref="D76:D98" si="27">IF(AND(ISNUMBER(Y76),ISNUMBER(AD76)),IF(ISNUMBER(D10),Y76/AD76,NA()),NA())</f>
        <v>#N/A</v>
      </c>
      <c r="E76" s="162" t="e">
        <f t="shared" ref="E76:E98" si="28">IF(AND(ISNUMBER(Z76),ISNUMBER(AE76)),IF(ISNUMBER(E10),Z76/AE76,NA()),NA())</f>
        <v>#N/A</v>
      </c>
      <c r="F76" s="162" t="e">
        <f t="shared" ref="F76:F98" si="29">IF(AND(ISNUMBER(AA76),ISNUMBER(AF76)),IF(ISNUMBER(F10),AA76/AF76,NA()),NA())</f>
        <v>#N/A</v>
      </c>
      <c r="G76" s="629" t="e">
        <f t="shared" ref="G76:G98" si="30">IF(AND(ISNUMBER(AB76),ISNUMBER(AG76)),IF(ISNUMBER(G10),AB76/AG76,NA()),NA())</f>
        <v>#N/A</v>
      </c>
      <c r="H76" s="164" t="e">
        <f t="shared" ref="H76:H98" si="31">IF(AND(ISNUMBER(AC76),ISNUMBER(AH76)),IF(ISNUMBER(H10),AC76/AH76,NA()),NA())</f>
        <v>#N/A</v>
      </c>
      <c r="I76" s="392"/>
      <c r="J76" s="443"/>
      <c r="K76" s="96"/>
      <c r="L76" s="166"/>
      <c r="M76" s="166"/>
      <c r="N76" s="166"/>
      <c r="O76" s="166"/>
      <c r="P76" s="166"/>
      <c r="Q76" s="166"/>
      <c r="R76" s="167"/>
      <c r="S76" s="159"/>
      <c r="T76" s="166"/>
      <c r="U76" s="122"/>
      <c r="V76" s="139"/>
      <c r="W76" s="152"/>
      <c r="X76" s="427" t="str">
        <f t="shared" ref="X76:X98" si="32">B10</f>
        <v>Bracknell Forest</v>
      </c>
      <c r="Y76" s="431" t="str">
        <f>IF(Year1_Bracknell_Forest Year1_EarlyHelpAssessmentsStepUp="","",Year1_Bracknell_Forest Year1_EarlyHelpAssessmentsStepUp)</f>
        <v/>
      </c>
      <c r="Z76" s="432" t="str">
        <f>IF(Year2_Bracknell_Forest Year2_EarlyHelpAssessmentsStepUp="","",Year2_Bracknell_Forest Year2_EarlyHelpAssessmentsStepUp)</f>
        <v/>
      </c>
      <c r="AA76" s="432" t="str">
        <f>IF(Year3_Bracknell_Forest Year3_EarlyHelpAssessmentsStepUp="","",Year3_Bracknell_Forest Year3_EarlyHelpAssessmentsStepUp)</f>
        <v/>
      </c>
      <c r="AB76" s="432" t="str">
        <f>IF(Year4_Bracknell_Forest Year4_EarlyHelpAssessmentsStepUp="","",Year4_Bracknell_Forest Year4_EarlyHelpAssessmentsStepUp)</f>
        <v/>
      </c>
      <c r="AC76" s="429" t="str">
        <f>IF(Year5_Bracknell_Forest Year5_EarlyHelpAssessmentsStepUp="","",Year5_Bracknell_Forest Year5_EarlyHelpAssessmentsStepUp)</f>
        <v/>
      </c>
      <c r="AD76" s="593" t="str">
        <f t="shared" ref="AD76:AD97" si="33">IF(ISNUMBER(Y76),D10,"")</f>
        <v/>
      </c>
      <c r="AE76" s="594" t="str">
        <f t="shared" ref="AE76:AE97" si="34">IF(ISNUMBER(Z76),E10,"")</f>
        <v/>
      </c>
      <c r="AF76" s="594" t="str">
        <f t="shared" ref="AF76:AF97" si="35">IF(ISNUMBER(AA76),F10,"")</f>
        <v/>
      </c>
      <c r="AG76" s="594" t="str">
        <f t="shared" ref="AG76:AG97" si="36">IF(ISNUMBER(AB76),G10,"")</f>
        <v/>
      </c>
      <c r="AH76" s="588" t="str">
        <f t="shared" ref="AH76:AH97" si="37">IF(ISNUMBER(AC76),H10,"")</f>
        <v/>
      </c>
      <c r="AI76" s="202"/>
      <c r="AJ76" s="160"/>
    </row>
    <row r="77" spans="1:50" s="87" customFormat="1" ht="12.75" customHeight="1" x14ac:dyDescent="0.2">
      <c r="A77" s="488">
        <f>VLOOKUP(B77,Sheet1!$AQ$4:$AR$25,2,FALSE)</f>
        <v>0</v>
      </c>
      <c r="B77" s="93" t="str">
        <f t="shared" si="26"/>
        <v>Brighton &amp; Hove</v>
      </c>
      <c r="C77" s="85"/>
      <c r="D77" s="162" t="e">
        <f t="shared" si="27"/>
        <v>#N/A</v>
      </c>
      <c r="E77" s="162" t="e">
        <f t="shared" si="28"/>
        <v>#N/A</v>
      </c>
      <c r="F77" s="162" t="e">
        <f t="shared" si="29"/>
        <v>#N/A</v>
      </c>
      <c r="G77" s="162" t="e">
        <f t="shared" si="30"/>
        <v>#N/A</v>
      </c>
      <c r="H77" s="164" t="e">
        <f t="shared" si="31"/>
        <v>#N/A</v>
      </c>
      <c r="I77" s="392"/>
      <c r="J77" s="443"/>
      <c r="K77" s="96"/>
      <c r="L77" s="166"/>
      <c r="M77" s="166"/>
      <c r="N77" s="166"/>
      <c r="O77" s="166"/>
      <c r="P77" s="166"/>
      <c r="Q77" s="166"/>
      <c r="R77" s="167"/>
      <c r="S77" s="159"/>
      <c r="T77" s="166"/>
      <c r="U77" s="122"/>
      <c r="V77" s="139"/>
      <c r="W77" s="152"/>
      <c r="X77" s="427" t="str">
        <f t="shared" si="32"/>
        <v>Brighton &amp; Hove</v>
      </c>
      <c r="Y77" s="433" t="str">
        <f>IF(Year1_Brighton_Hove Year1_EarlyHelpAssessmentsStepUp="","",Year1_Brighton_Hove Year1_EarlyHelpAssessmentsStepUp)</f>
        <v/>
      </c>
      <c r="Z77" s="41" t="str">
        <f>IF(Year2_Brighton_Hove Year2_EarlyHelpAssessmentsStepUp="","",Year2_Brighton_Hove Year2_EarlyHelpAssessmentsStepUp)</f>
        <v/>
      </c>
      <c r="AA77" s="41" t="str">
        <f>IF(Year3_Brighton_Hove Year3_EarlyHelpAssessmentsStepUp="","",Year3_Brighton_Hove Year3_EarlyHelpAssessmentsStepUp)</f>
        <v/>
      </c>
      <c r="AB77" s="41" t="str">
        <f>IF(Year4_Brighton_Hove Year4_EarlyHelpAssessmentsStepUp="","",Year4_Brighton_Hove Year4_EarlyHelpAssessmentsStepUp)</f>
        <v/>
      </c>
      <c r="AC77" s="430" t="str">
        <f>IF(Year5_Brighton_Hove Year5_EarlyHelpAssessmentsStepUp="","",Year5_Brighton_Hove Year5_EarlyHelpAssessmentsStepUp)</f>
        <v/>
      </c>
      <c r="AD77" s="590" t="str">
        <f t="shared" si="33"/>
        <v/>
      </c>
      <c r="AE77" s="586" t="str">
        <f t="shared" si="34"/>
        <v/>
      </c>
      <c r="AF77" s="586" t="str">
        <f t="shared" si="35"/>
        <v/>
      </c>
      <c r="AG77" s="586" t="str">
        <f t="shared" si="36"/>
        <v/>
      </c>
      <c r="AH77" s="589" t="str">
        <f t="shared" si="37"/>
        <v/>
      </c>
      <c r="AI77" s="202"/>
      <c r="AJ77" s="160"/>
    </row>
    <row r="78" spans="1:50" s="87" customFormat="1" ht="12.75" customHeight="1" x14ac:dyDescent="0.2">
      <c r="A78" s="488">
        <f>VLOOKUP(B78,Sheet1!$AQ$4:$AR$25,2,FALSE)</f>
        <v>0</v>
      </c>
      <c r="B78" s="93" t="str">
        <f t="shared" si="26"/>
        <v>Buckinghamshire</v>
      </c>
      <c r="C78" s="85"/>
      <c r="D78" s="162" t="e">
        <f t="shared" si="27"/>
        <v>#N/A</v>
      </c>
      <c r="E78" s="162" t="e">
        <f t="shared" si="28"/>
        <v>#N/A</v>
      </c>
      <c r="F78" s="162" t="e">
        <f t="shared" si="29"/>
        <v>#N/A</v>
      </c>
      <c r="G78" s="162" t="e">
        <f t="shared" si="30"/>
        <v>#N/A</v>
      </c>
      <c r="H78" s="164" t="e">
        <f t="shared" si="31"/>
        <v>#N/A</v>
      </c>
      <c r="I78" s="392"/>
      <c r="J78" s="443"/>
      <c r="K78" s="96"/>
      <c r="L78" s="166"/>
      <c r="M78" s="166"/>
      <c r="N78" s="166"/>
      <c r="O78" s="166"/>
      <c r="P78" s="166"/>
      <c r="Q78" s="166"/>
      <c r="R78" s="167"/>
      <c r="S78" s="159"/>
      <c r="T78" s="166"/>
      <c r="U78" s="122"/>
      <c r="V78" s="139"/>
      <c r="W78" s="152"/>
      <c r="X78" s="427" t="str">
        <f t="shared" si="32"/>
        <v>Buckinghamshire</v>
      </c>
      <c r="Y78" s="433" t="str">
        <f>IF(Year1_Buckinghamshire Year1_EarlyHelpAssessmentsStepUp="","",Year1_Buckinghamshire Year1_EarlyHelpAssessmentsStepUp)</f>
        <v/>
      </c>
      <c r="Z78" s="41" t="str">
        <f>IF(Year2_Buckinghamshire Year2_EarlyHelpAssessmentsStepUp="","",Year2_Buckinghamshire Year2_EarlyHelpAssessmentsStepUp)</f>
        <v/>
      </c>
      <c r="AA78" s="41" t="str">
        <f>IF(Year3_Buckinghamshire Year3_EarlyHelpAssessmentsStepUp="","",Year3_Buckinghamshire Year3_EarlyHelpAssessmentsStepUp)</f>
        <v/>
      </c>
      <c r="AB78" s="41" t="str">
        <f>IF(Year4_Buckinghamshire Year4_EarlyHelpAssessmentsStepUp="","",Year4_Buckinghamshire Year4_EarlyHelpAssessmentsStepUp)</f>
        <v/>
      </c>
      <c r="AC78" s="430" t="str">
        <f>IF(Year5_Buckinghamshire Year5_EarlyHelpAssessmentsStepUp="","",Year5_Buckinghamshire Year5_EarlyHelpAssessmentsStepUp)</f>
        <v/>
      </c>
      <c r="AD78" s="590" t="str">
        <f t="shared" si="33"/>
        <v/>
      </c>
      <c r="AE78" s="586" t="str">
        <f t="shared" si="34"/>
        <v/>
      </c>
      <c r="AF78" s="586" t="str">
        <f t="shared" si="35"/>
        <v/>
      </c>
      <c r="AG78" s="586" t="str">
        <f t="shared" si="36"/>
        <v/>
      </c>
      <c r="AH78" s="589" t="str">
        <f t="shared" si="37"/>
        <v/>
      </c>
      <c r="AI78" s="202"/>
      <c r="AJ78" s="160"/>
    </row>
    <row r="79" spans="1:50" s="87" customFormat="1" ht="12.75" customHeight="1" x14ac:dyDescent="0.2">
      <c r="A79" s="488">
        <f>VLOOKUP(B79,Sheet1!$AQ$4:$AR$25,2,FALSE)</f>
        <v>0</v>
      </c>
      <c r="B79" s="93" t="str">
        <f t="shared" si="26"/>
        <v>East Sussex</v>
      </c>
      <c r="C79" s="85"/>
      <c r="D79" s="162" t="e">
        <f t="shared" si="27"/>
        <v>#N/A</v>
      </c>
      <c r="E79" s="162" t="e">
        <f t="shared" si="28"/>
        <v>#N/A</v>
      </c>
      <c r="F79" s="162" t="e">
        <f t="shared" si="29"/>
        <v>#N/A</v>
      </c>
      <c r="G79" s="162" t="e">
        <f t="shared" si="30"/>
        <v>#N/A</v>
      </c>
      <c r="H79" s="164" t="e">
        <f t="shared" si="31"/>
        <v>#N/A</v>
      </c>
      <c r="I79" s="392"/>
      <c r="J79" s="443"/>
      <c r="K79" s="96"/>
      <c r="L79" s="166"/>
      <c r="M79" s="166"/>
      <c r="N79" s="166"/>
      <c r="O79" s="166"/>
      <c r="P79" s="166"/>
      <c r="Q79" s="166"/>
      <c r="R79" s="167"/>
      <c r="S79" s="159"/>
      <c r="T79" s="166"/>
      <c r="U79" s="122"/>
      <c r="V79" s="139"/>
      <c r="W79" s="152"/>
      <c r="X79" s="427" t="str">
        <f t="shared" si="32"/>
        <v>East Sussex</v>
      </c>
      <c r="Y79" s="433" t="str">
        <f>IF(Year1_East_Sussex Year1_EarlyHelpAssessmentsStepUp="","",Year1_East_Sussex Year1_EarlyHelpAssessmentsStepUp)</f>
        <v/>
      </c>
      <c r="Z79" s="41" t="str">
        <f>IF(Year2_East_Sussex Year2_EarlyHelpAssessmentsStepUp="","",Year2_East_Sussex Year2_EarlyHelpAssessmentsStepUp)</f>
        <v/>
      </c>
      <c r="AA79" s="41" t="str">
        <f>IF(Year3_East_Sussex Year3_EarlyHelpAssessmentsStepUp="","",Year3_East_Sussex Year3_EarlyHelpAssessmentsStepUp)</f>
        <v/>
      </c>
      <c r="AB79" s="41" t="str">
        <f>IF(Year4_East_Sussex Year4_EarlyHelpAssessmentsStepUp="","",Year4_East_Sussex Year4_EarlyHelpAssessmentsStepUp)</f>
        <v/>
      </c>
      <c r="AC79" s="430" t="str">
        <f>IF(Year5_East_Sussex Year5_EarlyHelpAssessmentsStepUp="","",Year5_East_Sussex Year5_EarlyHelpAssessmentsStepUp)</f>
        <v/>
      </c>
      <c r="AD79" s="590" t="str">
        <f t="shared" si="33"/>
        <v/>
      </c>
      <c r="AE79" s="586" t="str">
        <f t="shared" si="34"/>
        <v/>
      </c>
      <c r="AF79" s="586" t="str">
        <f t="shared" si="35"/>
        <v/>
      </c>
      <c r="AG79" s="586" t="str">
        <f t="shared" si="36"/>
        <v/>
      </c>
      <c r="AH79" s="589" t="str">
        <f t="shared" si="37"/>
        <v/>
      </c>
      <c r="AI79" s="202"/>
      <c r="AJ79" s="160"/>
    </row>
    <row r="80" spans="1:50" s="87" customFormat="1" ht="12.75" customHeight="1" x14ac:dyDescent="0.2">
      <c r="A80" s="488">
        <f>VLOOKUP(B80,Sheet1!$AQ$4:$AR$25,2,FALSE)</f>
        <v>0</v>
      </c>
      <c r="B80" s="93" t="str">
        <f t="shared" si="26"/>
        <v>Hampshire</v>
      </c>
      <c r="C80" s="85"/>
      <c r="D80" s="162" t="e">
        <f t="shared" si="27"/>
        <v>#N/A</v>
      </c>
      <c r="E80" s="162" t="e">
        <f t="shared" si="28"/>
        <v>#N/A</v>
      </c>
      <c r="F80" s="162" t="e">
        <f t="shared" si="29"/>
        <v>#N/A</v>
      </c>
      <c r="G80" s="162" t="e">
        <f t="shared" si="30"/>
        <v>#N/A</v>
      </c>
      <c r="H80" s="164" t="e">
        <f t="shared" si="31"/>
        <v>#N/A</v>
      </c>
      <c r="I80" s="392"/>
      <c r="J80" s="443"/>
      <c r="K80" s="96"/>
      <c r="L80" s="166"/>
      <c r="M80" s="166"/>
      <c r="N80" s="166"/>
      <c r="O80" s="166"/>
      <c r="P80" s="166"/>
      <c r="Q80" s="166"/>
      <c r="R80" s="167"/>
      <c r="S80" s="159"/>
      <c r="T80" s="166"/>
      <c r="U80" s="122"/>
      <c r="V80" s="139"/>
      <c r="W80" s="152"/>
      <c r="X80" s="427" t="str">
        <f t="shared" si="32"/>
        <v>Hampshire</v>
      </c>
      <c r="Y80" s="433" t="str">
        <f>IF(Year1_Hampshire Year1_EarlyHelpAssessmentsStepUp="","",Year1_Hampshire Year1_EarlyHelpAssessmentsStepUp)</f>
        <v/>
      </c>
      <c r="Z80" s="41" t="str">
        <f>IF(Year2_Hampshire Year2_EarlyHelpAssessmentsStepUp="","",Year2_Hampshire Year2_EarlyHelpAssessmentsStepUp)</f>
        <v/>
      </c>
      <c r="AA80" s="41" t="str">
        <f>IF(Year3_Hampshire Year3_EarlyHelpAssessmentsStepUp="","",Year3_Hampshire Year3_EarlyHelpAssessmentsStepUp)</f>
        <v/>
      </c>
      <c r="AB80" s="41" t="str">
        <f>IF(Year4_Hampshire Year4_EarlyHelpAssessmentsStepUp="","",Year4_Hampshire Year4_EarlyHelpAssessmentsStepUp)</f>
        <v/>
      </c>
      <c r="AC80" s="430" t="str">
        <f>IF(Year5_Hampshire Year5_EarlyHelpAssessmentsStepUp="","",Year5_Hampshire Year5_EarlyHelpAssessmentsStepUp)</f>
        <v/>
      </c>
      <c r="AD80" s="590" t="str">
        <f t="shared" si="33"/>
        <v/>
      </c>
      <c r="AE80" s="586" t="str">
        <f t="shared" si="34"/>
        <v/>
      </c>
      <c r="AF80" s="586" t="str">
        <f t="shared" si="35"/>
        <v/>
      </c>
      <c r="AG80" s="586" t="str">
        <f t="shared" si="36"/>
        <v/>
      </c>
      <c r="AH80" s="589" t="str">
        <f t="shared" si="37"/>
        <v/>
      </c>
      <c r="AI80" s="202"/>
      <c r="AJ80" s="160"/>
    </row>
    <row r="81" spans="1:36" s="87" customFormat="1" ht="12.75" customHeight="1" x14ac:dyDescent="0.2">
      <c r="A81" s="488">
        <f>VLOOKUP(B81,Sheet1!$AQ$4:$AR$25,2,FALSE)</f>
        <v>0</v>
      </c>
      <c r="B81" s="93" t="str">
        <f t="shared" si="26"/>
        <v>Isle of Wight</v>
      </c>
      <c r="C81" s="85"/>
      <c r="D81" s="162" t="e">
        <f t="shared" si="27"/>
        <v>#N/A</v>
      </c>
      <c r="E81" s="162" t="e">
        <f t="shared" si="28"/>
        <v>#N/A</v>
      </c>
      <c r="F81" s="162" t="e">
        <f t="shared" si="29"/>
        <v>#N/A</v>
      </c>
      <c r="G81" s="162" t="e">
        <f t="shared" si="30"/>
        <v>#N/A</v>
      </c>
      <c r="H81" s="164" t="e">
        <f t="shared" si="31"/>
        <v>#N/A</v>
      </c>
      <c r="I81" s="392"/>
      <c r="J81" s="443"/>
      <c r="K81" s="96"/>
      <c r="L81" s="166"/>
      <c r="M81" s="166"/>
      <c r="N81" s="166"/>
      <c r="O81" s="166"/>
      <c r="P81" s="166"/>
      <c r="Q81" s="166"/>
      <c r="R81" s="167"/>
      <c r="S81" s="159"/>
      <c r="T81" s="166"/>
      <c r="U81" s="122"/>
      <c r="V81" s="139"/>
      <c r="W81" s="152"/>
      <c r="X81" s="427" t="str">
        <f t="shared" si="32"/>
        <v>Isle of Wight</v>
      </c>
      <c r="Y81" s="433" t="str">
        <f>IF(Year1_Isle_of_Wight Year1_EarlyHelpAssessmentsStepUp="","",Year1_Isle_of_Wight Year1_EarlyHelpAssessmentsStepUp)</f>
        <v/>
      </c>
      <c r="Z81" s="41" t="str">
        <f>IF(Year2_Isle_of_Wight Year2_EarlyHelpAssessmentsStepUp="","",Year2_Isle_of_Wight Year2_EarlyHelpAssessmentsStepUp)</f>
        <v/>
      </c>
      <c r="AA81" s="41" t="str">
        <f>IF(Year3_Isle_of_Wight Year3_EarlyHelpAssessmentsStepUp="","",Year3_Isle_of_Wight Year3_EarlyHelpAssessmentsStepUp)</f>
        <v/>
      </c>
      <c r="AB81" s="41" t="str">
        <f>IF(Year4_Isle_of_Wight Year4_EarlyHelpAssessmentsStepUp="","",Year4_Isle_of_Wight Year4_EarlyHelpAssessmentsStepUp)</f>
        <v/>
      </c>
      <c r="AC81" s="430" t="str">
        <f>IF(Year5_Isle_of_Wight Year5_EarlyHelpAssessmentsStepUp="","",Year5_Isle_of_Wight Year5_EarlyHelpAssessmentsStepUp)</f>
        <v/>
      </c>
      <c r="AD81" s="590" t="str">
        <f t="shared" si="33"/>
        <v/>
      </c>
      <c r="AE81" s="586" t="str">
        <f t="shared" si="34"/>
        <v/>
      </c>
      <c r="AF81" s="586" t="str">
        <f t="shared" si="35"/>
        <v/>
      </c>
      <c r="AG81" s="586" t="str">
        <f t="shared" si="36"/>
        <v/>
      </c>
      <c r="AH81" s="589" t="str">
        <f t="shared" si="37"/>
        <v/>
      </c>
      <c r="AI81" s="202"/>
      <c r="AJ81" s="160"/>
    </row>
    <row r="82" spans="1:36" s="87" customFormat="1" ht="12.75" customHeight="1" x14ac:dyDescent="0.2">
      <c r="A82" s="488">
        <f>VLOOKUP(B82,Sheet1!$AQ$4:$AR$25,2,FALSE)</f>
        <v>0</v>
      </c>
      <c r="B82" s="93" t="str">
        <f t="shared" si="26"/>
        <v>Kent</v>
      </c>
      <c r="C82" s="85"/>
      <c r="D82" s="162" t="e">
        <f t="shared" si="27"/>
        <v>#N/A</v>
      </c>
      <c r="E82" s="162" t="e">
        <f t="shared" si="28"/>
        <v>#N/A</v>
      </c>
      <c r="F82" s="162" t="e">
        <f t="shared" si="29"/>
        <v>#N/A</v>
      </c>
      <c r="G82" s="162" t="e">
        <f t="shared" si="30"/>
        <v>#N/A</v>
      </c>
      <c r="H82" s="164" t="e">
        <f t="shared" si="31"/>
        <v>#N/A</v>
      </c>
      <c r="I82" s="392"/>
      <c r="J82" s="443"/>
      <c r="K82" s="96"/>
      <c r="L82" s="166"/>
      <c r="M82" s="166"/>
      <c r="N82" s="166"/>
      <c r="O82" s="166"/>
      <c r="P82" s="166"/>
      <c r="Q82" s="166"/>
      <c r="R82" s="167"/>
      <c r="S82" s="159"/>
      <c r="T82" s="166"/>
      <c r="U82" s="122"/>
      <c r="V82" s="139"/>
      <c r="W82" s="152"/>
      <c r="X82" s="427" t="str">
        <f t="shared" si="32"/>
        <v>Kent</v>
      </c>
      <c r="Y82" s="433" t="str">
        <f>IF(Year1_Kent Year1_EarlyHelpAssessmentsStepUp="","",Year1_Kent Year1_EarlyHelpAssessmentsStepUp)</f>
        <v/>
      </c>
      <c r="Z82" s="41" t="str">
        <f>IF(Year2_Kent Year2_EarlyHelpAssessmentsStepUp="","",Year2_Kent Year2_EarlyHelpAssessmentsStepUp)</f>
        <v/>
      </c>
      <c r="AA82" s="41" t="str">
        <f>IF(Year3_Kent Year3_EarlyHelpAssessmentsStepUp="","",Year3_Kent Year3_EarlyHelpAssessmentsStepUp)</f>
        <v/>
      </c>
      <c r="AB82" s="41" t="str">
        <f>IF(Year4_Kent Year4_EarlyHelpAssessmentsStepUp="","",Year4_Kent Year4_EarlyHelpAssessmentsStepUp)</f>
        <v/>
      </c>
      <c r="AC82" s="430" t="str">
        <f>IF(Year5_Kent Year5_EarlyHelpAssessmentsStepUp="","",Year5_Kent Year5_EarlyHelpAssessmentsStepUp)</f>
        <v/>
      </c>
      <c r="AD82" s="590" t="str">
        <f t="shared" si="33"/>
        <v/>
      </c>
      <c r="AE82" s="586" t="str">
        <f t="shared" si="34"/>
        <v/>
      </c>
      <c r="AF82" s="586" t="str">
        <f t="shared" si="35"/>
        <v/>
      </c>
      <c r="AG82" s="586" t="str">
        <f t="shared" si="36"/>
        <v/>
      </c>
      <c r="AH82" s="589" t="str">
        <f t="shared" si="37"/>
        <v/>
      </c>
      <c r="AI82" s="202"/>
      <c r="AJ82" s="160"/>
    </row>
    <row r="83" spans="1:36" s="87" customFormat="1" ht="12.75" customHeight="1" x14ac:dyDescent="0.2">
      <c r="A83" s="488">
        <f>VLOOKUP(B83,Sheet1!$AQ$4:$AR$25,2,FALSE)</f>
        <v>0</v>
      </c>
      <c r="B83" s="93" t="str">
        <f t="shared" si="26"/>
        <v>Medway</v>
      </c>
      <c r="C83" s="85"/>
      <c r="D83" s="162" t="e">
        <f t="shared" si="27"/>
        <v>#N/A</v>
      </c>
      <c r="E83" s="162" t="e">
        <f t="shared" si="28"/>
        <v>#N/A</v>
      </c>
      <c r="F83" s="162" t="e">
        <f t="shared" si="29"/>
        <v>#N/A</v>
      </c>
      <c r="G83" s="162" t="e">
        <f t="shared" si="30"/>
        <v>#N/A</v>
      </c>
      <c r="H83" s="164" t="e">
        <f t="shared" si="31"/>
        <v>#N/A</v>
      </c>
      <c r="I83" s="392"/>
      <c r="J83" s="443"/>
      <c r="K83" s="96"/>
      <c r="L83" s="166"/>
      <c r="M83" s="166"/>
      <c r="N83" s="166"/>
      <c r="O83" s="166"/>
      <c r="P83" s="166"/>
      <c r="Q83" s="166"/>
      <c r="R83" s="167"/>
      <c r="S83" s="159"/>
      <c r="T83" s="166"/>
      <c r="U83" s="122"/>
      <c r="V83" s="139"/>
      <c r="W83" s="152"/>
      <c r="X83" s="427" t="str">
        <f t="shared" si="32"/>
        <v>Medway</v>
      </c>
      <c r="Y83" s="433" t="str">
        <f>IF(Year1_Medway Year1_EarlyHelpAssessmentsStepUp="","",Year1_Medway Year1_EarlyHelpAssessmentsStepUp)</f>
        <v/>
      </c>
      <c r="Z83" s="41" t="str">
        <f>IF(Year2_Medway Year2_EarlyHelpAssessmentsStepUp="","",Year2_Medway Year2_EarlyHelpAssessmentsStepUp)</f>
        <v/>
      </c>
      <c r="AA83" s="41" t="str">
        <f>IF(Year3_Medway Year3_EarlyHelpAssessmentsStepUp="","",Year3_Medway Year3_EarlyHelpAssessmentsStepUp)</f>
        <v/>
      </c>
      <c r="AB83" s="41" t="str">
        <f>IF(Year4_Medway Year4_EarlyHelpAssessmentsStepUp="","",Year4_Medway Year4_EarlyHelpAssessmentsStepUp)</f>
        <v/>
      </c>
      <c r="AC83" s="430" t="str">
        <f>IF(Year5_Medway Year5_EarlyHelpAssessmentsStepUp="","",Year5_Medway Year5_EarlyHelpAssessmentsStepUp)</f>
        <v/>
      </c>
      <c r="AD83" s="590" t="str">
        <f t="shared" si="33"/>
        <v/>
      </c>
      <c r="AE83" s="586" t="str">
        <f t="shared" si="34"/>
        <v/>
      </c>
      <c r="AF83" s="586" t="str">
        <f t="shared" si="35"/>
        <v/>
      </c>
      <c r="AG83" s="586" t="str">
        <f t="shared" si="36"/>
        <v/>
      </c>
      <c r="AH83" s="589" t="str">
        <f t="shared" si="37"/>
        <v/>
      </c>
      <c r="AI83" s="202"/>
      <c r="AJ83" s="160"/>
    </row>
    <row r="84" spans="1:36" s="87" customFormat="1" ht="12.75" customHeight="1" x14ac:dyDescent="0.2">
      <c r="A84" s="488">
        <f>VLOOKUP(B84,Sheet1!$AQ$4:$AR$25,2,FALSE)</f>
        <v>0</v>
      </c>
      <c r="B84" s="93" t="str">
        <f t="shared" si="26"/>
        <v>Milton Keynes</v>
      </c>
      <c r="C84" s="85"/>
      <c r="D84" s="162" t="e">
        <f t="shared" si="27"/>
        <v>#N/A</v>
      </c>
      <c r="E84" s="162" t="e">
        <f t="shared" si="28"/>
        <v>#N/A</v>
      </c>
      <c r="F84" s="162" t="e">
        <f t="shared" si="29"/>
        <v>#N/A</v>
      </c>
      <c r="G84" s="162" t="e">
        <f t="shared" si="30"/>
        <v>#N/A</v>
      </c>
      <c r="H84" s="164" t="e">
        <f t="shared" si="31"/>
        <v>#N/A</v>
      </c>
      <c r="I84" s="392"/>
      <c r="J84" s="443"/>
      <c r="K84" s="96"/>
      <c r="L84" s="166"/>
      <c r="M84" s="166"/>
      <c r="N84" s="166"/>
      <c r="O84" s="166"/>
      <c r="P84" s="166"/>
      <c r="Q84" s="166"/>
      <c r="R84" s="167"/>
      <c r="S84" s="159"/>
      <c r="T84" s="166"/>
      <c r="U84" s="122"/>
      <c r="V84" s="139"/>
      <c r="W84" s="152"/>
      <c r="X84" s="427" t="str">
        <f t="shared" si="32"/>
        <v>Milton Keynes</v>
      </c>
      <c r="Y84" s="433" t="str">
        <f>IF(Year1_Milton_Keynes Year1_EarlyHelpAssessmentsStepUp="","",Year1_Milton_Keynes Year1_EarlyHelpAssessmentsStepUp)</f>
        <v/>
      </c>
      <c r="Z84" s="41" t="str">
        <f>IF(Year2_Milton_Keynes Year2_EarlyHelpAssessmentsStepUp="","",Year2_Milton_Keynes Year2_EarlyHelpAssessmentsStepUp)</f>
        <v/>
      </c>
      <c r="AA84" s="41" t="str">
        <f>IF(Year3_Milton_Keynes Year3_EarlyHelpAssessmentsStepUp="","",Year3_Milton_Keynes Year3_EarlyHelpAssessmentsStepUp)</f>
        <v/>
      </c>
      <c r="AB84" s="41" t="str">
        <f>IF(Year4_Milton_Keynes Year4_EarlyHelpAssessmentsStepUp="","",Year4_Milton_Keynes Year4_EarlyHelpAssessmentsStepUp)</f>
        <v/>
      </c>
      <c r="AC84" s="430" t="str">
        <f>IF(Year5_Milton_Keynes Year5_EarlyHelpAssessmentsStepUp="","",Year5_Milton_Keynes Year5_EarlyHelpAssessmentsStepUp)</f>
        <v/>
      </c>
      <c r="AD84" s="590" t="str">
        <f t="shared" si="33"/>
        <v/>
      </c>
      <c r="AE84" s="586" t="str">
        <f t="shared" si="34"/>
        <v/>
      </c>
      <c r="AF84" s="586" t="str">
        <f t="shared" si="35"/>
        <v/>
      </c>
      <c r="AG84" s="586" t="str">
        <f t="shared" si="36"/>
        <v/>
      </c>
      <c r="AH84" s="438" t="str">
        <f t="shared" si="37"/>
        <v/>
      </c>
      <c r="AI84" s="202"/>
      <c r="AJ84" s="160"/>
    </row>
    <row r="85" spans="1:36" s="87" customFormat="1" ht="12.75" customHeight="1" x14ac:dyDescent="0.2">
      <c r="A85" s="488">
        <f>VLOOKUP(B85,Sheet1!$AQ$4:$AR$25,2,FALSE)</f>
        <v>0</v>
      </c>
      <c r="B85" s="93" t="str">
        <f t="shared" si="26"/>
        <v>Oxfordshire</v>
      </c>
      <c r="C85" s="85"/>
      <c r="D85" s="162" t="e">
        <f t="shared" si="27"/>
        <v>#N/A</v>
      </c>
      <c r="E85" s="162" t="e">
        <f t="shared" si="28"/>
        <v>#N/A</v>
      </c>
      <c r="F85" s="162" t="e">
        <f t="shared" si="29"/>
        <v>#N/A</v>
      </c>
      <c r="G85" s="162" t="e">
        <f t="shared" si="30"/>
        <v>#N/A</v>
      </c>
      <c r="H85" s="164" t="e">
        <f t="shared" si="31"/>
        <v>#N/A</v>
      </c>
      <c r="I85" s="392"/>
      <c r="J85" s="443"/>
      <c r="K85" s="96"/>
      <c r="L85" s="166"/>
      <c r="M85" s="166"/>
      <c r="N85" s="166"/>
      <c r="O85" s="166"/>
      <c r="P85" s="166"/>
      <c r="Q85" s="166"/>
      <c r="R85" s="167"/>
      <c r="S85" s="159"/>
      <c r="T85" s="166"/>
      <c r="U85" s="122"/>
      <c r="V85" s="139"/>
      <c r="W85" s="152"/>
      <c r="X85" s="427" t="str">
        <f t="shared" si="32"/>
        <v>Oxfordshire</v>
      </c>
      <c r="Y85" s="433" t="str">
        <f>IF(Year1_Oxfordshire Year1_EarlyHelpAssessmentsStepUp="","",Year1_Oxfordshire Year1_EarlyHelpAssessmentsStepUp)</f>
        <v/>
      </c>
      <c r="Z85" s="41" t="str">
        <f>IF(Year2_Oxfordshire Year2_EarlyHelpAssessmentsStepUp="","",Year2_Oxfordshire Year2_EarlyHelpAssessmentsStepUp)</f>
        <v/>
      </c>
      <c r="AA85" s="41" t="str">
        <f>IF(Year3_Oxfordshire Year3_EarlyHelpAssessmentsStepUp="","",Year3_Oxfordshire Year3_EarlyHelpAssessmentsStepUp)</f>
        <v/>
      </c>
      <c r="AB85" s="41" t="str">
        <f>IF(Year4_Oxfordshire Year4_EarlyHelpAssessmentsStepUp="","",Year4_Oxfordshire Year4_EarlyHelpAssessmentsStepUp)</f>
        <v/>
      </c>
      <c r="AC85" s="430" t="str">
        <f>IF(Year5_Oxfordshire Year5_EarlyHelpAssessmentsStepUp="","",Year5_Oxfordshire Year5_EarlyHelpAssessmentsStepUp)</f>
        <v/>
      </c>
      <c r="AD85" s="590" t="str">
        <f t="shared" si="33"/>
        <v/>
      </c>
      <c r="AE85" s="586" t="str">
        <f t="shared" si="34"/>
        <v/>
      </c>
      <c r="AF85" s="586" t="str">
        <f t="shared" si="35"/>
        <v/>
      </c>
      <c r="AG85" s="586" t="str">
        <f t="shared" si="36"/>
        <v/>
      </c>
      <c r="AH85" s="438" t="str">
        <f t="shared" si="37"/>
        <v/>
      </c>
      <c r="AI85" s="202"/>
      <c r="AJ85" s="160"/>
    </row>
    <row r="86" spans="1:36" s="87" customFormat="1" ht="12.75" customHeight="1" x14ac:dyDescent="0.2">
      <c r="A86" s="488">
        <f>VLOOKUP(B86,Sheet1!$AQ$4:$AR$25,2,FALSE)</f>
        <v>0</v>
      </c>
      <c r="B86" s="93" t="str">
        <f t="shared" si="26"/>
        <v>Portsmouth</v>
      </c>
      <c r="C86" s="85"/>
      <c r="D86" s="162" t="e">
        <f t="shared" si="27"/>
        <v>#N/A</v>
      </c>
      <c r="E86" s="162" t="e">
        <f t="shared" si="28"/>
        <v>#N/A</v>
      </c>
      <c r="F86" s="162" t="e">
        <f t="shared" si="29"/>
        <v>#N/A</v>
      </c>
      <c r="G86" s="162" t="e">
        <f t="shared" si="30"/>
        <v>#N/A</v>
      </c>
      <c r="H86" s="164" t="e">
        <f t="shared" si="31"/>
        <v>#N/A</v>
      </c>
      <c r="I86" s="392"/>
      <c r="J86" s="443"/>
      <c r="K86" s="96"/>
      <c r="L86" s="166"/>
      <c r="M86" s="166"/>
      <c r="N86" s="166"/>
      <c r="O86" s="166"/>
      <c r="P86" s="166"/>
      <c r="Q86" s="166"/>
      <c r="R86" s="167"/>
      <c r="S86" s="159"/>
      <c r="T86" s="166"/>
      <c r="U86" s="122"/>
      <c r="V86" s="139"/>
      <c r="W86" s="152"/>
      <c r="X86" s="427" t="str">
        <f t="shared" si="32"/>
        <v>Portsmouth</v>
      </c>
      <c r="Y86" s="433" t="str">
        <f>IF(Year1_Portsmouth Year1_EarlyHelpAssessmentsStepUp="","",Year1_Portsmouth Year1_EarlyHelpAssessmentsStepUp)</f>
        <v/>
      </c>
      <c r="Z86" s="41" t="str">
        <f>IF(Year2_Portsmouth Year2_EarlyHelpAssessmentsStepUp="","",Year2_Portsmouth Year2_EarlyHelpAssessmentsStepUp)</f>
        <v/>
      </c>
      <c r="AA86" s="41" t="str">
        <f>IF(Year3_Portsmouth Year3_EarlyHelpAssessmentsStepUp="","",Year3_Portsmouth Year3_EarlyHelpAssessmentsStepUp)</f>
        <v/>
      </c>
      <c r="AB86" s="41" t="str">
        <f>IF(Year4_Portsmouth Year4_EarlyHelpAssessmentsStepUp="","",Year4_Portsmouth Year4_EarlyHelpAssessmentsStepUp)</f>
        <v/>
      </c>
      <c r="AC86" s="430" t="str">
        <f>IF(Year5_Portsmouth Year5_EarlyHelpAssessmentsStepUp="","",Year5_Portsmouth Year5_EarlyHelpAssessmentsStepUp)</f>
        <v/>
      </c>
      <c r="AD86" s="590" t="str">
        <f t="shared" si="33"/>
        <v/>
      </c>
      <c r="AE86" s="586" t="str">
        <f t="shared" si="34"/>
        <v/>
      </c>
      <c r="AF86" s="586" t="str">
        <f t="shared" si="35"/>
        <v/>
      </c>
      <c r="AG86" s="586" t="str">
        <f t="shared" si="36"/>
        <v/>
      </c>
      <c r="AH86" s="438" t="str">
        <f t="shared" si="37"/>
        <v/>
      </c>
      <c r="AI86" s="202"/>
      <c r="AJ86" s="160"/>
    </row>
    <row r="87" spans="1:36" s="87" customFormat="1" ht="12.75" customHeight="1" x14ac:dyDescent="0.2">
      <c r="A87" s="488">
        <f>VLOOKUP(B87,Sheet1!$AQ$4:$AR$25,2,FALSE)</f>
        <v>0</v>
      </c>
      <c r="B87" s="93" t="str">
        <f t="shared" si="26"/>
        <v>Reading</v>
      </c>
      <c r="C87" s="85"/>
      <c r="D87" s="162" t="e">
        <f t="shared" si="27"/>
        <v>#N/A</v>
      </c>
      <c r="E87" s="162" t="e">
        <f t="shared" si="28"/>
        <v>#N/A</v>
      </c>
      <c r="F87" s="162" t="e">
        <f t="shared" si="29"/>
        <v>#N/A</v>
      </c>
      <c r="G87" s="162" t="e">
        <f t="shared" si="30"/>
        <v>#N/A</v>
      </c>
      <c r="H87" s="164" t="e">
        <f t="shared" si="31"/>
        <v>#N/A</v>
      </c>
      <c r="I87" s="392"/>
      <c r="J87" s="443"/>
      <c r="K87" s="96"/>
      <c r="L87" s="166"/>
      <c r="M87" s="166"/>
      <c r="N87" s="166"/>
      <c r="O87" s="166"/>
      <c r="P87" s="166"/>
      <c r="Q87" s="166"/>
      <c r="R87" s="167"/>
      <c r="S87" s="159"/>
      <c r="T87" s="166"/>
      <c r="U87" s="122"/>
      <c r="V87" s="139"/>
      <c r="W87" s="152"/>
      <c r="X87" s="427" t="str">
        <f t="shared" si="32"/>
        <v>Reading</v>
      </c>
      <c r="Y87" s="433" t="str">
        <f>IF(Year1_Reading Year1_EarlyHelpAssessmentsStepUp="","",Year1_Reading Year1_EarlyHelpAssessmentsStepUp)</f>
        <v/>
      </c>
      <c r="Z87" s="41" t="str">
        <f>IF(Year2_Reading Year2_EarlyHelpAssessmentsStepUp="","",Year2_Reading Year2_EarlyHelpAssessmentsStepUp)</f>
        <v/>
      </c>
      <c r="AA87" s="41" t="str">
        <f>IF(Year3_Reading Year3_EarlyHelpAssessmentsStepUp="","",Year3_Reading Year3_EarlyHelpAssessmentsStepUp)</f>
        <v/>
      </c>
      <c r="AB87" s="41" t="str">
        <f>IF(Year4_Reading Year4_EarlyHelpAssessmentsStepUp="","",Year4_Reading Year4_EarlyHelpAssessmentsStepUp)</f>
        <v/>
      </c>
      <c r="AC87" s="430" t="str">
        <f>IF(Year5_Reading Year5_EarlyHelpAssessmentsStepUp="","",Year5_Reading Year5_EarlyHelpAssessmentsStepUp)</f>
        <v/>
      </c>
      <c r="AD87" s="590" t="str">
        <f t="shared" si="33"/>
        <v/>
      </c>
      <c r="AE87" s="586" t="str">
        <f t="shared" si="34"/>
        <v/>
      </c>
      <c r="AF87" s="586" t="str">
        <f t="shared" si="35"/>
        <v/>
      </c>
      <c r="AG87" s="586" t="str">
        <f t="shared" si="36"/>
        <v/>
      </c>
      <c r="AH87" s="438" t="str">
        <f t="shared" si="37"/>
        <v/>
      </c>
      <c r="AI87" s="202"/>
      <c r="AJ87" s="160"/>
    </row>
    <row r="88" spans="1:36" s="87" customFormat="1" ht="12.75" customHeight="1" x14ac:dyDescent="0.2">
      <c r="A88" s="488">
        <f>VLOOKUP(B88,Sheet1!$AQ$4:$AR$25,2,FALSE)</f>
        <v>0</v>
      </c>
      <c r="B88" s="93" t="str">
        <f t="shared" si="26"/>
        <v>Slough</v>
      </c>
      <c r="C88" s="85"/>
      <c r="D88" s="162" t="e">
        <f t="shared" si="27"/>
        <v>#N/A</v>
      </c>
      <c r="E88" s="162" t="e">
        <f t="shared" si="28"/>
        <v>#N/A</v>
      </c>
      <c r="F88" s="162" t="e">
        <f t="shared" si="29"/>
        <v>#N/A</v>
      </c>
      <c r="G88" s="162" t="e">
        <f t="shared" si="30"/>
        <v>#N/A</v>
      </c>
      <c r="H88" s="164" t="e">
        <f t="shared" si="31"/>
        <v>#N/A</v>
      </c>
      <c r="I88" s="392"/>
      <c r="J88" s="443"/>
      <c r="K88" s="96"/>
      <c r="L88" s="166"/>
      <c r="M88" s="166"/>
      <c r="N88" s="166"/>
      <c r="O88" s="166"/>
      <c r="P88" s="166"/>
      <c r="Q88" s="166"/>
      <c r="R88" s="167"/>
      <c r="S88" s="159"/>
      <c r="T88" s="166"/>
      <c r="U88" s="122"/>
      <c r="V88" s="139"/>
      <c r="W88" s="152"/>
      <c r="X88" s="427" t="str">
        <f t="shared" si="32"/>
        <v>Slough</v>
      </c>
      <c r="Y88" s="433" t="str">
        <f>IF(Year1_Slough Year1_EarlyHelpAssessmentsStepUp="","",Year1_Slough Year1_EarlyHelpAssessmentsStepUp)</f>
        <v/>
      </c>
      <c r="Z88" s="41" t="str">
        <f>IF(Year2_Slough Year2_EarlyHelpAssessmentsStepUp="","",Year2_Slough Year2_EarlyHelpAssessmentsStepUp)</f>
        <v/>
      </c>
      <c r="AA88" s="41" t="str">
        <f>IF(Year3_Slough Year3_EarlyHelpAssessmentsStepUp="","",Year3_Slough Year3_EarlyHelpAssessmentsStepUp)</f>
        <v/>
      </c>
      <c r="AB88" s="41" t="str">
        <f>IF(Year4_Slough Year4_EarlyHelpAssessmentsStepUp="","",Year4_Slough Year4_EarlyHelpAssessmentsStepUp)</f>
        <v/>
      </c>
      <c r="AC88" s="430" t="str">
        <f>IF(Year5_Slough Year5_EarlyHelpAssessmentsStepUp="","",Year5_Slough Year5_EarlyHelpAssessmentsStepUp)</f>
        <v/>
      </c>
      <c r="AD88" s="590" t="str">
        <f t="shared" si="33"/>
        <v/>
      </c>
      <c r="AE88" s="586" t="str">
        <f t="shared" si="34"/>
        <v/>
      </c>
      <c r="AF88" s="586" t="str">
        <f t="shared" si="35"/>
        <v/>
      </c>
      <c r="AG88" s="586" t="str">
        <f t="shared" si="36"/>
        <v/>
      </c>
      <c r="AH88" s="438" t="str">
        <f t="shared" si="37"/>
        <v/>
      </c>
      <c r="AI88" s="202"/>
      <c r="AJ88" s="160"/>
    </row>
    <row r="89" spans="1:36" s="87" customFormat="1" ht="12.75" customHeight="1" x14ac:dyDescent="0.2">
      <c r="A89" s="488">
        <f>VLOOKUP(B89,Sheet1!$AQ$4:$AR$25,2,FALSE)</f>
        <v>0</v>
      </c>
      <c r="B89" s="93" t="str">
        <f t="shared" si="26"/>
        <v>Somerset</v>
      </c>
      <c r="C89" s="85"/>
      <c r="D89" s="162" t="e">
        <f t="shared" si="27"/>
        <v>#N/A</v>
      </c>
      <c r="E89" s="162" t="e">
        <f t="shared" si="28"/>
        <v>#N/A</v>
      </c>
      <c r="F89" s="162" t="e">
        <f t="shared" si="29"/>
        <v>#N/A</v>
      </c>
      <c r="G89" s="162" t="e">
        <f t="shared" si="30"/>
        <v>#N/A</v>
      </c>
      <c r="H89" s="164" t="e">
        <f t="shared" si="31"/>
        <v>#N/A</v>
      </c>
      <c r="I89" s="392"/>
      <c r="J89" s="443"/>
      <c r="K89" s="96"/>
      <c r="L89" s="166"/>
      <c r="M89" s="166"/>
      <c r="N89" s="166"/>
      <c r="O89" s="166"/>
      <c r="P89" s="166"/>
      <c r="Q89" s="166"/>
      <c r="R89" s="167"/>
      <c r="S89" s="159"/>
      <c r="T89" s="166"/>
      <c r="U89" s="122"/>
      <c r="V89" s="139"/>
      <c r="W89" s="152"/>
      <c r="X89" s="427" t="str">
        <f t="shared" si="32"/>
        <v>Somerset</v>
      </c>
      <c r="Y89" s="433" t="str">
        <f>IF(Year1_Somerset Year1_EarlyHelpAssessmentsStepUp="","",Year1_Somerset Year1_EarlyHelpAssessmentsStepUp)</f>
        <v/>
      </c>
      <c r="Z89" s="41" t="str">
        <f>IF(Year2_Somerset Year2_EarlyHelpAssessmentsStepUp="","",Year2_Somerset Year2_EarlyHelpAssessmentsStepUp)</f>
        <v/>
      </c>
      <c r="AA89" s="41" t="str">
        <f>IF(Year3_Somerset Year3_EarlyHelpAssessmentsStepUp="","",Year3_Somerset Year3_EarlyHelpAssessmentsStepUp)</f>
        <v/>
      </c>
      <c r="AB89" s="41" t="str">
        <f>IF(Year4_Somerset Year4_EarlyHelpAssessmentsStepUp="","",Year4_Somerset Year4_EarlyHelpAssessmentsStepUp)</f>
        <v/>
      </c>
      <c r="AC89" s="430" t="str">
        <f>IF(Year5_Somerset Year5_EarlyHelpAssessmentsStepUp="","",Year5_Somerset Year5_EarlyHelpAssessmentsStepUp)</f>
        <v/>
      </c>
      <c r="AD89" s="590" t="str">
        <f t="shared" si="33"/>
        <v/>
      </c>
      <c r="AE89" s="586" t="str">
        <f t="shared" si="34"/>
        <v/>
      </c>
      <c r="AF89" s="586" t="str">
        <f t="shared" si="35"/>
        <v/>
      </c>
      <c r="AG89" s="586" t="str">
        <f t="shared" si="36"/>
        <v/>
      </c>
      <c r="AH89" s="438" t="str">
        <f t="shared" si="37"/>
        <v/>
      </c>
      <c r="AI89" s="202"/>
      <c r="AJ89" s="160"/>
    </row>
    <row r="90" spans="1:36" s="87" customFormat="1" ht="12.75" customHeight="1" x14ac:dyDescent="0.2">
      <c r="A90" s="488">
        <f>VLOOKUP(B90,Sheet1!$AQ$4:$AR$25,2,FALSE)</f>
        <v>0</v>
      </c>
      <c r="B90" s="93" t="str">
        <f t="shared" si="26"/>
        <v>Southampton</v>
      </c>
      <c r="C90" s="85"/>
      <c r="D90" s="162" t="e">
        <f t="shared" si="27"/>
        <v>#N/A</v>
      </c>
      <c r="E90" s="162" t="e">
        <f t="shared" si="28"/>
        <v>#N/A</v>
      </c>
      <c r="F90" s="162" t="e">
        <f t="shared" si="29"/>
        <v>#N/A</v>
      </c>
      <c r="G90" s="162" t="e">
        <f t="shared" si="30"/>
        <v>#N/A</v>
      </c>
      <c r="H90" s="164" t="e">
        <f t="shared" si="31"/>
        <v>#N/A</v>
      </c>
      <c r="I90" s="392"/>
      <c r="J90" s="443"/>
      <c r="K90" s="96"/>
      <c r="L90" s="166"/>
      <c r="M90" s="166"/>
      <c r="N90" s="166"/>
      <c r="O90" s="166"/>
      <c r="P90" s="166"/>
      <c r="Q90" s="166"/>
      <c r="R90" s="167"/>
      <c r="S90" s="159"/>
      <c r="T90" s="166"/>
      <c r="U90" s="122"/>
      <c r="V90" s="139"/>
      <c r="W90" s="152"/>
      <c r="X90" s="427" t="str">
        <f t="shared" si="32"/>
        <v>Southampton</v>
      </c>
      <c r="Y90" s="433" t="str">
        <f>IF(Year1_Southampton Year1_EarlyHelpAssessmentsStepUp="","",Year1_Southampton Year1_EarlyHelpAssessmentsStepUp)</f>
        <v/>
      </c>
      <c r="Z90" s="41" t="str">
        <f>IF(Year2_Southampton Year2_EarlyHelpAssessmentsStepUp="","",Year2_Southampton Year2_EarlyHelpAssessmentsStepUp)</f>
        <v/>
      </c>
      <c r="AA90" s="41" t="str">
        <f>IF(Year3_Southampton Year3_EarlyHelpAssessmentsStepUp="","",Year3_Southampton Year3_EarlyHelpAssessmentsStepUp)</f>
        <v/>
      </c>
      <c r="AB90" s="41" t="str">
        <f>IF(Year4_Southampton Year4_EarlyHelpAssessmentsStepUp="","",Year4_Southampton Year4_EarlyHelpAssessmentsStepUp)</f>
        <v/>
      </c>
      <c r="AC90" s="430" t="str">
        <f>IF(Year5_Southampton Year5_EarlyHelpAssessmentsStepUp="","",Year5_Southampton Year5_EarlyHelpAssessmentsStepUp)</f>
        <v/>
      </c>
      <c r="AD90" s="590" t="str">
        <f t="shared" si="33"/>
        <v/>
      </c>
      <c r="AE90" s="586" t="str">
        <f t="shared" si="34"/>
        <v/>
      </c>
      <c r="AF90" s="586" t="str">
        <f t="shared" si="35"/>
        <v/>
      </c>
      <c r="AG90" s="586" t="str">
        <f t="shared" si="36"/>
        <v/>
      </c>
      <c r="AH90" s="438" t="str">
        <f t="shared" si="37"/>
        <v/>
      </c>
      <c r="AI90" s="202"/>
      <c r="AJ90" s="160"/>
    </row>
    <row r="91" spans="1:36" s="87" customFormat="1" ht="12.75" customHeight="1" x14ac:dyDescent="0.2">
      <c r="A91" s="488">
        <f>VLOOKUP(B91,Sheet1!$AQ$4:$AR$25,2,FALSE)</f>
        <v>0</v>
      </c>
      <c r="B91" s="93" t="str">
        <f t="shared" si="26"/>
        <v>Surrey</v>
      </c>
      <c r="C91" s="85"/>
      <c r="D91" s="162" t="e">
        <f t="shared" si="27"/>
        <v>#N/A</v>
      </c>
      <c r="E91" s="162" t="e">
        <f t="shared" si="28"/>
        <v>#N/A</v>
      </c>
      <c r="F91" s="162" t="e">
        <f t="shared" si="29"/>
        <v>#N/A</v>
      </c>
      <c r="G91" s="162" t="e">
        <f t="shared" si="30"/>
        <v>#N/A</v>
      </c>
      <c r="H91" s="164" t="e">
        <f t="shared" si="31"/>
        <v>#N/A</v>
      </c>
      <c r="I91" s="392"/>
      <c r="J91" s="443"/>
      <c r="K91" s="96"/>
      <c r="L91" s="166"/>
      <c r="M91" s="166"/>
      <c r="N91" s="166"/>
      <c r="O91" s="166"/>
      <c r="P91" s="166"/>
      <c r="Q91" s="166"/>
      <c r="R91" s="167"/>
      <c r="S91" s="159"/>
      <c r="T91" s="166"/>
      <c r="U91" s="122"/>
      <c r="V91" s="139"/>
      <c r="W91" s="152"/>
      <c r="X91" s="427" t="str">
        <f t="shared" si="32"/>
        <v>Surrey</v>
      </c>
      <c r="Y91" s="433" t="str">
        <f>IF(Year1_Surrey Year1_EarlyHelpAssessmentsStepUp="","",Year1_Surrey Year1_EarlyHelpAssessmentsStepUp)</f>
        <v/>
      </c>
      <c r="Z91" s="41" t="str">
        <f>IF(Year2_Surrey Year2_EarlyHelpAssessmentsStepUp="","",Year2_Surrey Year2_EarlyHelpAssessmentsStepUp)</f>
        <v/>
      </c>
      <c r="AA91" s="41" t="str">
        <f>IF(Year3_Surrey Year3_EarlyHelpAssessmentsStepUp="","",Year3_Surrey Year3_EarlyHelpAssessmentsStepUp)</f>
        <v/>
      </c>
      <c r="AB91" s="41" t="str">
        <f>IF(Year4_Surrey Year4_EarlyHelpAssessmentsStepUp="","",Year4_Surrey Year4_EarlyHelpAssessmentsStepUp)</f>
        <v/>
      </c>
      <c r="AC91" s="430" t="str">
        <f>IF(Year5_Surrey Year5_EarlyHelpAssessmentsStepUp="","",Year5_Surrey Year5_EarlyHelpAssessmentsStepUp)</f>
        <v/>
      </c>
      <c r="AD91" s="590" t="str">
        <f t="shared" si="33"/>
        <v/>
      </c>
      <c r="AE91" s="586" t="str">
        <f t="shared" si="34"/>
        <v/>
      </c>
      <c r="AF91" s="586" t="str">
        <f t="shared" si="35"/>
        <v/>
      </c>
      <c r="AG91" s="586" t="str">
        <f t="shared" si="36"/>
        <v/>
      </c>
      <c r="AH91" s="438" t="str">
        <f t="shared" si="37"/>
        <v/>
      </c>
      <c r="AI91" s="202"/>
      <c r="AJ91" s="160"/>
    </row>
    <row r="92" spans="1:36" s="87" customFormat="1" ht="12.75" customHeight="1" x14ac:dyDescent="0.2">
      <c r="A92" s="488">
        <f>VLOOKUP(B92,Sheet1!$AQ$4:$AR$25,2,FALSE)</f>
        <v>0</v>
      </c>
      <c r="B92" s="93" t="str">
        <f t="shared" si="26"/>
        <v>Swindon</v>
      </c>
      <c r="C92" s="85"/>
      <c r="D92" s="162" t="e">
        <f t="shared" si="27"/>
        <v>#N/A</v>
      </c>
      <c r="E92" s="162" t="e">
        <f t="shared" si="28"/>
        <v>#N/A</v>
      </c>
      <c r="F92" s="162" t="e">
        <f t="shared" si="29"/>
        <v>#N/A</v>
      </c>
      <c r="G92" s="162" t="e">
        <f t="shared" si="30"/>
        <v>#N/A</v>
      </c>
      <c r="H92" s="164" t="e">
        <f t="shared" si="31"/>
        <v>#N/A</v>
      </c>
      <c r="I92" s="392"/>
      <c r="J92" s="443"/>
      <c r="K92" s="96"/>
      <c r="L92" s="166"/>
      <c r="M92" s="166"/>
      <c r="N92" s="166"/>
      <c r="O92" s="166"/>
      <c r="P92" s="166"/>
      <c r="Q92" s="166"/>
      <c r="R92" s="167"/>
      <c r="S92" s="159"/>
      <c r="T92" s="166"/>
      <c r="U92" s="122"/>
      <c r="V92" s="139"/>
      <c r="W92" s="152"/>
      <c r="X92" s="427" t="str">
        <f t="shared" si="32"/>
        <v>Swindon</v>
      </c>
      <c r="Y92" s="433" t="str">
        <f>IF(Year1_Swindon Year1_EarlyHelpAssessmentsStepUp="","",Year1_Swindon Year1_EarlyHelpAssessmentsStepUp)</f>
        <v/>
      </c>
      <c r="Z92" s="41" t="str">
        <f>IF(Year2_Swindon Year2_EarlyHelpAssessmentsStepUp="","",Year2_Swindon Year2_EarlyHelpAssessmentsStepUp)</f>
        <v/>
      </c>
      <c r="AA92" s="41" t="str">
        <f>IF(Year3_Swindon Year3_EarlyHelpAssessmentsStepUp="","",Year3_Swindon Year3_EarlyHelpAssessmentsStepUp)</f>
        <v/>
      </c>
      <c r="AB92" s="41" t="str">
        <f>IF(Year4_Swindon Year4_EarlyHelpAssessmentsStepUp="","",Year4_Swindon Year4_EarlyHelpAssessmentsStepUp)</f>
        <v/>
      </c>
      <c r="AC92" s="430" t="str">
        <f>IF(Year5_Swindon Year5_EarlyHelpAssessmentsStepUp="","",Year5_Swindon Year5_EarlyHelpAssessmentsStepUp)</f>
        <v/>
      </c>
      <c r="AD92" s="590" t="str">
        <f t="shared" si="33"/>
        <v/>
      </c>
      <c r="AE92" s="586" t="str">
        <f t="shared" si="34"/>
        <v/>
      </c>
      <c r="AF92" s="586" t="str">
        <f t="shared" si="35"/>
        <v/>
      </c>
      <c r="AG92" s="586" t="str">
        <f t="shared" si="36"/>
        <v/>
      </c>
      <c r="AH92" s="438" t="str">
        <f t="shared" si="37"/>
        <v/>
      </c>
      <c r="AI92" s="202"/>
      <c r="AJ92" s="160"/>
    </row>
    <row r="93" spans="1:36" s="87" customFormat="1" ht="12.75" customHeight="1" x14ac:dyDescent="0.2">
      <c r="A93" s="488">
        <f>VLOOKUP(B93,Sheet1!$AQ$4:$AR$25,2,FALSE)</f>
        <v>0</v>
      </c>
      <c r="B93" s="93" t="str">
        <f t="shared" si="26"/>
        <v>Torbay</v>
      </c>
      <c r="C93" s="85"/>
      <c r="D93" s="162" t="e">
        <f t="shared" si="27"/>
        <v>#N/A</v>
      </c>
      <c r="E93" s="162" t="e">
        <f t="shared" si="28"/>
        <v>#N/A</v>
      </c>
      <c r="F93" s="162" t="e">
        <f t="shared" si="29"/>
        <v>#N/A</v>
      </c>
      <c r="G93" s="162" t="e">
        <f t="shared" si="30"/>
        <v>#N/A</v>
      </c>
      <c r="H93" s="164" t="e">
        <f t="shared" si="31"/>
        <v>#N/A</v>
      </c>
      <c r="I93" s="392"/>
      <c r="J93" s="443"/>
      <c r="K93" s="96"/>
      <c r="L93" s="166"/>
      <c r="M93" s="166"/>
      <c r="N93" s="166"/>
      <c r="O93" s="166"/>
      <c r="P93" s="166"/>
      <c r="Q93" s="166"/>
      <c r="R93" s="167"/>
      <c r="S93" s="159"/>
      <c r="T93" s="166"/>
      <c r="U93" s="122"/>
      <c r="V93" s="139"/>
      <c r="W93" s="152"/>
      <c r="X93" s="427" t="str">
        <f t="shared" si="32"/>
        <v>Torbay</v>
      </c>
      <c r="Y93" s="433" t="str">
        <f>IF(Year1_Torbay Year1_EarlyHelpAssessmentsStepUp="","",Year1_Torbay Year1_EarlyHelpAssessmentsStepUp)</f>
        <v/>
      </c>
      <c r="Z93" s="41" t="str">
        <f>IF(Year2_Torbay Year2_EarlyHelpAssessmentsStepUp="","",Year2_Torbay Year2_EarlyHelpAssessmentsStepUp)</f>
        <v/>
      </c>
      <c r="AA93" s="41" t="str">
        <f>IF(Year3_Torbay Year3_EarlyHelpAssessmentsStepUp="","",Year3_Torbay Year3_EarlyHelpAssessmentsStepUp)</f>
        <v/>
      </c>
      <c r="AB93" s="41" t="str">
        <f>IF(Year4_Torbay Year4_EarlyHelpAssessmentsStepUp="","",Year4_Torbay Year4_EarlyHelpAssessmentsStepUp)</f>
        <v/>
      </c>
      <c r="AC93" s="430" t="str">
        <f>IF(Year5_Torbay Year5_EarlyHelpAssessmentsStepUp="","",Year5_Torbay Year5_EarlyHelpAssessmentsStepUp)</f>
        <v/>
      </c>
      <c r="AD93" s="590" t="str">
        <f t="shared" si="33"/>
        <v/>
      </c>
      <c r="AE93" s="586" t="str">
        <f t="shared" si="34"/>
        <v/>
      </c>
      <c r="AF93" s="586" t="str">
        <f t="shared" si="35"/>
        <v/>
      </c>
      <c r="AG93" s="586" t="str">
        <f t="shared" si="36"/>
        <v/>
      </c>
      <c r="AH93" s="438" t="str">
        <f t="shared" si="37"/>
        <v/>
      </c>
      <c r="AI93" s="202"/>
      <c r="AJ93" s="160"/>
    </row>
    <row r="94" spans="1:36" s="87" customFormat="1" ht="12.75" customHeight="1" x14ac:dyDescent="0.2">
      <c r="A94" s="488">
        <f>VLOOKUP(B94,Sheet1!$AQ$4:$AR$25,2,FALSE)</f>
        <v>0</v>
      </c>
      <c r="B94" s="93" t="str">
        <f t="shared" si="26"/>
        <v>West Berkshire</v>
      </c>
      <c r="C94" s="85"/>
      <c r="D94" s="162" t="e">
        <f t="shared" si="27"/>
        <v>#N/A</v>
      </c>
      <c r="E94" s="162" t="e">
        <f t="shared" si="28"/>
        <v>#N/A</v>
      </c>
      <c r="F94" s="162" t="e">
        <f t="shared" si="29"/>
        <v>#N/A</v>
      </c>
      <c r="G94" s="162" t="e">
        <f t="shared" si="30"/>
        <v>#N/A</v>
      </c>
      <c r="H94" s="164" t="e">
        <f t="shared" si="31"/>
        <v>#N/A</v>
      </c>
      <c r="I94" s="392"/>
      <c r="J94" s="443"/>
      <c r="K94" s="96"/>
      <c r="L94" s="166"/>
      <c r="M94" s="166"/>
      <c r="N94" s="166"/>
      <c r="O94" s="166"/>
      <c r="P94" s="166"/>
      <c r="Q94" s="166"/>
      <c r="R94" s="167"/>
      <c r="S94" s="159"/>
      <c r="T94" s="166"/>
      <c r="U94" s="122"/>
      <c r="V94" s="139"/>
      <c r="W94" s="152"/>
      <c r="X94" s="427" t="str">
        <f t="shared" si="32"/>
        <v>West Berkshire</v>
      </c>
      <c r="Y94" s="433" t="str">
        <f>IF(Year1_West_Berkshire Year1_EarlyHelpAssessmentsStepUp="","",Year1_West_Berkshire Year1_EarlyHelpAssessmentsStepUp)</f>
        <v/>
      </c>
      <c r="Z94" s="41" t="str">
        <f>IF(Year2_West_Berkshire Year2_EarlyHelpAssessmentsStepUp="","",Year2_West_Berkshire Year2_EarlyHelpAssessmentsStepUp)</f>
        <v/>
      </c>
      <c r="AA94" s="41" t="str">
        <f>IF(Year3_West_Berkshire Year3_EarlyHelpAssessmentsStepUp="","",Year3_West_Berkshire Year3_EarlyHelpAssessmentsStepUp)</f>
        <v/>
      </c>
      <c r="AB94" s="41" t="str">
        <f>IF(Year4_West_Berkshire Year4_EarlyHelpAssessmentsStepUp="","",Year4_West_Berkshire Year4_EarlyHelpAssessmentsStepUp)</f>
        <v/>
      </c>
      <c r="AC94" s="430" t="str">
        <f>IF(Year5_West_Berkshire Year5_EarlyHelpAssessmentsStepUp="","",Year5_West_Berkshire Year5_EarlyHelpAssessmentsStepUp)</f>
        <v/>
      </c>
      <c r="AD94" s="590" t="str">
        <f t="shared" si="33"/>
        <v/>
      </c>
      <c r="AE94" s="586" t="str">
        <f t="shared" si="34"/>
        <v/>
      </c>
      <c r="AF94" s="586" t="str">
        <f t="shared" si="35"/>
        <v/>
      </c>
      <c r="AG94" s="586" t="str">
        <f t="shared" si="36"/>
        <v/>
      </c>
      <c r="AH94" s="438" t="str">
        <f t="shared" si="37"/>
        <v/>
      </c>
      <c r="AI94" s="202"/>
      <c r="AJ94" s="160"/>
    </row>
    <row r="95" spans="1:36" s="87" customFormat="1" ht="12.75" customHeight="1" x14ac:dyDescent="0.2">
      <c r="A95" s="488">
        <f>VLOOKUP(B95,Sheet1!$AQ$4:$AR$25,2,FALSE)</f>
        <v>0</v>
      </c>
      <c r="B95" s="93" t="str">
        <f t="shared" si="26"/>
        <v>West Sussex</v>
      </c>
      <c r="C95" s="85"/>
      <c r="D95" s="162" t="e">
        <f t="shared" si="27"/>
        <v>#N/A</v>
      </c>
      <c r="E95" s="162" t="e">
        <f t="shared" si="28"/>
        <v>#N/A</v>
      </c>
      <c r="F95" s="162" t="e">
        <f t="shared" si="29"/>
        <v>#N/A</v>
      </c>
      <c r="G95" s="162" t="e">
        <f t="shared" si="30"/>
        <v>#N/A</v>
      </c>
      <c r="H95" s="164" t="e">
        <f t="shared" si="31"/>
        <v>#N/A</v>
      </c>
      <c r="I95" s="392"/>
      <c r="J95" s="443"/>
      <c r="K95" s="96"/>
      <c r="L95" s="166"/>
      <c r="M95" s="166"/>
      <c r="N95" s="166"/>
      <c r="O95" s="166"/>
      <c r="P95" s="166"/>
      <c r="Q95" s="166"/>
      <c r="R95" s="167"/>
      <c r="S95" s="159"/>
      <c r="T95" s="166"/>
      <c r="U95" s="122"/>
      <c r="V95" s="139"/>
      <c r="W95" s="152"/>
      <c r="X95" s="427" t="str">
        <f t="shared" si="32"/>
        <v>West Sussex</v>
      </c>
      <c r="Y95" s="433" t="str">
        <f>IF(Year1_West_Sussex Year1_EarlyHelpAssessmentsStepUp="","",Year1_West_Sussex Year1_EarlyHelpAssessmentsStepUp)</f>
        <v/>
      </c>
      <c r="Z95" s="41" t="str">
        <f>IF(Year2_West_Sussex Year2_EarlyHelpAssessmentsStepUp="","",Year2_West_Sussex Year2_EarlyHelpAssessmentsStepUp)</f>
        <v/>
      </c>
      <c r="AA95" s="41" t="str">
        <f>IF(Year3_West_Sussex Year3_EarlyHelpAssessmentsStepUp="","",Year3_West_Sussex Year3_EarlyHelpAssessmentsStepUp)</f>
        <v/>
      </c>
      <c r="AB95" s="41" t="str">
        <f>IF(Year4_West_Sussex Year4_EarlyHelpAssessmentsStepUp="","",Year4_West_Sussex Year4_EarlyHelpAssessmentsStepUp)</f>
        <v/>
      </c>
      <c r="AC95" s="430" t="str">
        <f>IF(Year5_West_Sussex Year5_EarlyHelpAssessmentsStepUp="","",Year5_West_Sussex Year5_EarlyHelpAssessmentsStepUp)</f>
        <v/>
      </c>
      <c r="AD95" s="590" t="str">
        <f t="shared" si="33"/>
        <v/>
      </c>
      <c r="AE95" s="586" t="str">
        <f t="shared" si="34"/>
        <v/>
      </c>
      <c r="AF95" s="586" t="str">
        <f t="shared" si="35"/>
        <v/>
      </c>
      <c r="AG95" s="586" t="str">
        <f t="shared" si="36"/>
        <v/>
      </c>
      <c r="AH95" s="438" t="str">
        <f t="shared" si="37"/>
        <v/>
      </c>
      <c r="AI95" s="202"/>
      <c r="AJ95" s="160"/>
    </row>
    <row r="96" spans="1:36" s="87" customFormat="1" ht="12.75" customHeight="1" x14ac:dyDescent="0.2">
      <c r="A96" s="488">
        <f>VLOOKUP(B96,Sheet1!$AQ$4:$AR$25,2,FALSE)</f>
        <v>0</v>
      </c>
      <c r="B96" s="93" t="str">
        <f t="shared" si="26"/>
        <v>Windsor &amp; Maidenhead</v>
      </c>
      <c r="C96" s="85"/>
      <c r="D96" s="162" t="e">
        <f t="shared" si="27"/>
        <v>#N/A</v>
      </c>
      <c r="E96" s="162" t="e">
        <f t="shared" si="28"/>
        <v>#N/A</v>
      </c>
      <c r="F96" s="162" t="e">
        <f t="shared" si="29"/>
        <v>#N/A</v>
      </c>
      <c r="G96" s="162" t="e">
        <f t="shared" si="30"/>
        <v>#N/A</v>
      </c>
      <c r="H96" s="164" t="e">
        <f t="shared" si="31"/>
        <v>#N/A</v>
      </c>
      <c r="I96" s="392"/>
      <c r="J96" s="443"/>
      <c r="K96" s="96"/>
      <c r="L96" s="166"/>
      <c r="M96" s="166"/>
      <c r="N96" s="166"/>
      <c r="O96" s="166"/>
      <c r="P96" s="166"/>
      <c r="Q96" s="166"/>
      <c r="R96" s="167"/>
      <c r="S96" s="159"/>
      <c r="T96" s="166"/>
      <c r="U96" s="122"/>
      <c r="V96" s="139"/>
      <c r="W96" s="152"/>
      <c r="X96" s="427" t="str">
        <f t="shared" si="32"/>
        <v>Windsor &amp; Maidenhead</v>
      </c>
      <c r="Y96" s="433" t="str">
        <f>IF(Year1_Windsor_Maidenhead Year1_EarlyHelpAssessmentsStepUp="","",Year1_Windsor_Maidenhead Year1_EarlyHelpAssessmentsStepUp)</f>
        <v/>
      </c>
      <c r="Z96" s="41" t="str">
        <f>IF(Year2_Windsor_Maidenhead Year2_EarlyHelpAssessmentsStepUp="","",Year2_Windsor_Maidenhead Year2_EarlyHelpAssessmentsStepUp)</f>
        <v/>
      </c>
      <c r="AA96" s="41" t="str">
        <f>IF(Year3_Windsor_Maidenhead Year3_EarlyHelpAssessmentsStepUp="","",Year3_Windsor_Maidenhead Year3_EarlyHelpAssessmentsStepUp)</f>
        <v/>
      </c>
      <c r="AB96" s="41" t="str">
        <f>IF(Year4_Windsor_Maidenhead Year4_EarlyHelpAssessmentsStepUp="","",Year4_Windsor_Maidenhead Year4_EarlyHelpAssessmentsStepUp)</f>
        <v/>
      </c>
      <c r="AC96" s="430" t="str">
        <f>IF(Year5_Windsor_Maidenhead Year5_EarlyHelpAssessmentsStepUp="","",Year5_Windsor_Maidenhead Year5_EarlyHelpAssessmentsStepUp)</f>
        <v/>
      </c>
      <c r="AD96" s="590" t="str">
        <f t="shared" si="33"/>
        <v/>
      </c>
      <c r="AE96" s="586" t="str">
        <f t="shared" si="34"/>
        <v/>
      </c>
      <c r="AF96" s="586" t="str">
        <f t="shared" si="35"/>
        <v/>
      </c>
      <c r="AG96" s="586" t="str">
        <f t="shared" si="36"/>
        <v/>
      </c>
      <c r="AH96" s="438" t="str">
        <f t="shared" si="37"/>
        <v/>
      </c>
      <c r="AI96" s="202"/>
      <c r="AJ96" s="160"/>
    </row>
    <row r="97" spans="1:50" s="87" customFormat="1" ht="12.75" customHeight="1" thickBot="1" x14ac:dyDescent="0.25">
      <c r="A97" s="488">
        <f>VLOOKUP(B97,Sheet1!$AQ$4:$AR$25,2,FALSE)</f>
        <v>0</v>
      </c>
      <c r="B97" s="93" t="str">
        <f t="shared" si="26"/>
        <v>Wokingham</v>
      </c>
      <c r="C97" s="85"/>
      <c r="D97" s="162" t="e">
        <f t="shared" si="27"/>
        <v>#N/A</v>
      </c>
      <c r="E97" s="162" t="e">
        <f t="shared" si="28"/>
        <v>#N/A</v>
      </c>
      <c r="F97" s="162" t="e">
        <f t="shared" si="29"/>
        <v>#N/A</v>
      </c>
      <c r="G97" s="162" t="e">
        <f t="shared" si="30"/>
        <v>#N/A</v>
      </c>
      <c r="H97" s="164" t="e">
        <f t="shared" si="31"/>
        <v>#N/A</v>
      </c>
      <c r="I97" s="392"/>
      <c r="J97" s="443"/>
      <c r="K97" s="96"/>
      <c r="L97" s="166"/>
      <c r="M97" s="166"/>
      <c r="N97" s="166"/>
      <c r="O97" s="166"/>
      <c r="P97" s="166"/>
      <c r="Q97" s="166"/>
      <c r="R97" s="167"/>
      <c r="S97" s="159"/>
      <c r="T97" s="166"/>
      <c r="U97" s="122"/>
      <c r="V97" s="139"/>
      <c r="W97" s="152"/>
      <c r="X97" s="427" t="str">
        <f t="shared" si="32"/>
        <v>Wokingham</v>
      </c>
      <c r="Y97" s="467" t="str">
        <f>IF(Year1_Wokingham Year1_EarlyHelpAssessmentsStepUp="","",Year1_Wokingham Year1_EarlyHelpAssessmentsStepUp)</f>
        <v/>
      </c>
      <c r="Z97" s="468" t="str">
        <f>IF(Year2_Wokingham Year2_EarlyHelpAssessmentsStepUp="","",Year2_Wokingham Year2_EarlyHelpAssessmentsStepUp)</f>
        <v/>
      </c>
      <c r="AA97" s="468" t="str">
        <f>IF(Year3_Wokingham Year3_EarlyHelpAssessmentsStepUp="","",Year3_Wokingham Year3_EarlyHelpAssessmentsStepUp)</f>
        <v/>
      </c>
      <c r="AB97" s="468" t="str">
        <f>IF(Year4_Wokingham Year4_EarlyHelpAssessmentsStepUp="","",Year4_Wokingham Year4_EarlyHelpAssessmentsStepUp)</f>
        <v/>
      </c>
      <c r="AC97" s="456" t="str">
        <f>IF(Year5_Wokingham Year5_EarlyHelpAssessmentsStepUp="","",Year5_Wokingham Year5_EarlyHelpAssessmentsStepUp)</f>
        <v/>
      </c>
      <c r="AD97" s="591" t="str">
        <f t="shared" si="33"/>
        <v/>
      </c>
      <c r="AE97" s="592" t="str">
        <f t="shared" si="34"/>
        <v/>
      </c>
      <c r="AF97" s="592" t="str">
        <f t="shared" si="35"/>
        <v/>
      </c>
      <c r="AG97" s="592" t="str">
        <f t="shared" si="36"/>
        <v/>
      </c>
      <c r="AH97" s="439" t="str">
        <f t="shared" si="37"/>
        <v/>
      </c>
      <c r="AI97" s="202"/>
      <c r="AJ97" s="160"/>
    </row>
    <row r="98" spans="1:50" s="87" customFormat="1" ht="12.75" customHeight="1" thickBot="1" x14ac:dyDescent="0.25">
      <c r="A98" s="292"/>
      <c r="B98" s="129" t="str">
        <f t="shared" si="26"/>
        <v>South East</v>
      </c>
      <c r="C98" s="85"/>
      <c r="D98" s="163" t="e">
        <f t="shared" si="27"/>
        <v>#N/A</v>
      </c>
      <c r="E98" s="163" t="e">
        <f t="shared" si="28"/>
        <v>#N/A</v>
      </c>
      <c r="F98" s="163" t="e">
        <f t="shared" si="29"/>
        <v>#N/A</v>
      </c>
      <c r="G98" s="163" t="e">
        <f t="shared" si="30"/>
        <v>#N/A</v>
      </c>
      <c r="H98" s="165" t="e">
        <f t="shared" si="31"/>
        <v>#N/A</v>
      </c>
      <c r="I98" s="392"/>
      <c r="J98" s="443"/>
      <c r="K98" s="96"/>
      <c r="L98" s="168"/>
      <c r="M98" s="168"/>
      <c r="N98" s="168"/>
      <c r="O98" s="168"/>
      <c r="P98" s="168"/>
      <c r="Q98" s="168"/>
      <c r="R98" s="169"/>
      <c r="S98" s="159"/>
      <c r="T98" s="170"/>
      <c r="U98" s="122"/>
      <c r="V98" s="139"/>
      <c r="W98" s="152"/>
      <c r="X98" s="45" t="str">
        <f t="shared" si="32"/>
        <v>South East</v>
      </c>
      <c r="Y98" s="467" t="e">
        <f>IF(Year1_SouthEast Year1_EarlyHelpAssessmentsStepUp=0,NA(),Year1_SouthEast Year1_EarlyHelpAssessmentsStepUp)</f>
        <v>#N/A</v>
      </c>
      <c r="Z98" s="468" t="e">
        <f>IF(Year2_SouthEast Year2_EarlyHelpAssessmentsStepUp=0,NA(),Year2_SouthEast Year2_EarlyHelpAssessmentsStepUp)</f>
        <v>#N/A</v>
      </c>
      <c r="AA98" s="468" t="e">
        <f>IF(Year3_SouthEast Year3_EarlyHelpAssessmentsStepUp=0,NA(),Year3_SouthEast Year3_EarlyHelpAssessmentsStepUp)</f>
        <v>#N/A</v>
      </c>
      <c r="AB98" s="468" t="e">
        <f>IF(Year4_SouthEast Year4_EarlyHelpAssessmentsStepUp=0,NA(),Year4_SouthEast Year4_EarlyHelpAssessmentsStepUp)</f>
        <v>#N/A</v>
      </c>
      <c r="AC98" s="456" t="e">
        <f>IF(Year5_SouthEast Year5_EarlyHelpAssessmentsStepUp=0,NA(),Year5_SouthEast Year5_EarlyHelpAssessmentsStepUp)</f>
        <v>#N/A</v>
      </c>
      <c r="AD98" s="466">
        <f t="shared" ref="AD98:AF98" si="38">SUM(AD76:AD88,AD90:AD91,AD94:AD97)</f>
        <v>0</v>
      </c>
      <c r="AE98" s="466">
        <f t="shared" si="38"/>
        <v>0</v>
      </c>
      <c r="AF98" s="466">
        <f t="shared" si="38"/>
        <v>0</v>
      </c>
      <c r="AG98" s="466">
        <f>SUM(AG76:AG88,AG90:AG91,AG94:AG97)</f>
        <v>0</v>
      </c>
      <c r="AH98" s="466">
        <f t="shared" ref="AH98" si="39">SUM(AH76:AH88,AH90:AH91,AH94:AH97)</f>
        <v>0</v>
      </c>
      <c r="AI98" s="202"/>
      <c r="AJ98" s="160"/>
    </row>
    <row r="99" spans="1:50" s="81" customFormat="1" ht="6.95" customHeight="1" x14ac:dyDescent="0.2">
      <c r="A99" s="278"/>
      <c r="B99" s="123"/>
      <c r="C99" s="172"/>
      <c r="D99" s="172"/>
      <c r="E99" s="172"/>
      <c r="F99" s="172"/>
      <c r="G99" s="172"/>
      <c r="H99" s="172"/>
      <c r="I99" s="392"/>
      <c r="J99" s="172"/>
      <c r="K99" s="172"/>
      <c r="L99" s="172"/>
      <c r="M99" s="172"/>
      <c r="N99" s="172"/>
      <c r="O99" s="172"/>
      <c r="P99" s="172"/>
      <c r="Q99" s="172"/>
      <c r="R99" s="136"/>
      <c r="S99" s="172"/>
      <c r="T99" s="172"/>
      <c r="U99" s="117"/>
      <c r="V99" s="137"/>
      <c r="W99" s="150"/>
      <c r="AD99" s="199"/>
      <c r="AE99" s="184"/>
      <c r="AF99" s="184"/>
      <c r="AG99" s="184"/>
      <c r="AI99" s="184"/>
      <c r="AJ99" s="161"/>
    </row>
    <row r="100" spans="1:50" s="81" customFormat="1" ht="38.1" customHeight="1" x14ac:dyDescent="0.2">
      <c r="A100" s="463"/>
      <c r="B100" s="392"/>
      <c r="C100" s="392"/>
      <c r="D100" s="392"/>
      <c r="E100" s="392"/>
      <c r="F100" s="392"/>
      <c r="G100" s="392"/>
      <c r="H100" s="392"/>
      <c r="I100" s="392"/>
      <c r="J100" s="392"/>
      <c r="K100" s="172"/>
      <c r="L100" s="172"/>
      <c r="M100" s="172"/>
      <c r="N100" s="172"/>
      <c r="O100" s="172"/>
      <c r="P100" s="172"/>
      <c r="Q100" s="172"/>
      <c r="R100" s="136"/>
      <c r="S100" s="172"/>
      <c r="T100" s="172"/>
      <c r="U100" s="117"/>
      <c r="V100" s="137"/>
      <c r="W100" s="150"/>
      <c r="AD100" s="199"/>
      <c r="AE100" s="184"/>
      <c r="AF100" s="184"/>
      <c r="AG100" s="184"/>
      <c r="AI100" s="184"/>
      <c r="AJ100" s="161"/>
    </row>
    <row r="101" spans="1:50" s="81" customFormat="1" ht="38.1" customHeight="1" x14ac:dyDescent="0.2">
      <c r="A101" s="463"/>
      <c r="B101" s="392"/>
      <c r="C101" s="392"/>
      <c r="D101" s="392"/>
      <c r="E101" s="392"/>
      <c r="F101" s="392"/>
      <c r="G101" s="392"/>
      <c r="H101" s="392"/>
      <c r="I101" s="392"/>
      <c r="J101" s="392"/>
      <c r="K101" s="172"/>
      <c r="L101" s="172"/>
      <c r="M101" s="172"/>
      <c r="N101" s="172"/>
      <c r="O101" s="172"/>
      <c r="P101" s="172"/>
      <c r="Q101" s="172"/>
      <c r="R101" s="136"/>
      <c r="S101" s="172"/>
      <c r="T101" s="172"/>
      <c r="U101" s="117"/>
      <c r="V101" s="137"/>
      <c r="W101" s="150"/>
      <c r="AD101" s="199"/>
      <c r="AE101" s="184"/>
      <c r="AF101" s="184"/>
      <c r="AG101" s="184"/>
      <c r="AI101" s="184"/>
      <c r="AJ101" s="161"/>
    </row>
    <row r="102" spans="1:50" s="81" customFormat="1" ht="48" customHeight="1" x14ac:dyDescent="0.2">
      <c r="A102" s="463"/>
      <c r="B102" s="392"/>
      <c r="C102" s="392"/>
      <c r="D102" s="392"/>
      <c r="E102" s="392"/>
      <c r="F102" s="392"/>
      <c r="G102" s="392"/>
      <c r="H102" s="392"/>
      <c r="I102" s="392"/>
      <c r="J102" s="392"/>
      <c r="K102" s="172"/>
      <c r="L102" s="172"/>
      <c r="M102" s="172"/>
      <c r="N102" s="172"/>
      <c r="O102" s="172"/>
      <c r="P102" s="172"/>
      <c r="Q102" s="172"/>
      <c r="R102" s="136"/>
      <c r="S102" s="172"/>
      <c r="T102" s="172"/>
      <c r="U102" s="117"/>
      <c r="V102" s="137"/>
      <c r="W102" s="150"/>
      <c r="AD102" s="199"/>
      <c r="AE102" s="184"/>
      <c r="AF102" s="184"/>
      <c r="AG102" s="184"/>
      <c r="AI102" s="184"/>
      <c r="AJ102" s="161"/>
    </row>
    <row r="103" spans="1:50" s="81" customFormat="1" ht="7.5" customHeight="1" x14ac:dyDescent="0.2">
      <c r="A103" s="278"/>
      <c r="B103" s="17"/>
      <c r="C103" s="17"/>
      <c r="D103" s="16"/>
      <c r="E103" s="16"/>
      <c r="F103" s="16"/>
      <c r="G103" s="16"/>
      <c r="H103" s="16"/>
      <c r="I103" s="16"/>
      <c r="J103" s="16"/>
      <c r="K103" s="12"/>
      <c r="L103" s="18"/>
      <c r="M103" s="18"/>
      <c r="N103" s="18"/>
      <c r="O103" s="18"/>
      <c r="P103" s="18"/>
      <c r="Q103" s="18"/>
      <c r="R103" s="18"/>
      <c r="S103" s="18"/>
      <c r="T103" s="19"/>
      <c r="U103" s="117"/>
      <c r="V103" s="137"/>
      <c r="W103" s="150"/>
      <c r="Y103" s="190"/>
      <c r="AI103" s="184"/>
      <c r="AJ103" s="157"/>
      <c r="AK103" s="74"/>
      <c r="AL103" s="74"/>
      <c r="AM103" s="74"/>
      <c r="AN103" s="74"/>
      <c r="AO103" s="74"/>
      <c r="AP103" s="74"/>
      <c r="AQ103" s="74"/>
      <c r="AR103" s="74"/>
      <c r="AX103" s="74"/>
    </row>
    <row r="104" spans="1:50" s="81" customFormat="1" ht="15" customHeight="1" x14ac:dyDescent="0.2">
      <c r="A104" s="1775"/>
      <c r="B104" s="1760"/>
      <c r="C104" s="1760"/>
      <c r="D104" s="1760"/>
      <c r="E104" s="1760"/>
      <c r="F104" s="1760"/>
      <c r="G104" s="1760"/>
      <c r="H104" s="1760"/>
      <c r="I104" s="1760"/>
      <c r="J104" s="1760"/>
      <c r="K104" s="1760"/>
      <c r="L104" s="1760"/>
      <c r="M104" s="1760"/>
      <c r="N104" s="1760"/>
      <c r="O104" s="1760"/>
      <c r="P104" s="1760"/>
      <c r="Q104" s="1760"/>
      <c r="R104" s="1760"/>
      <c r="S104" s="1760"/>
      <c r="T104" s="1760"/>
      <c r="U104" s="1761"/>
      <c r="V104" s="137"/>
      <c r="W104" s="150"/>
      <c r="Y104" s="190"/>
      <c r="AJ104" s="161"/>
    </row>
    <row r="105" spans="1:50" s="81" customFormat="1" ht="11.1" customHeight="1" x14ac:dyDescent="0.2">
      <c r="A105" s="1776" t="str">
        <f>Home!$A$39</f>
        <v xml:space="preserve"> </v>
      </c>
      <c r="B105" s="1777"/>
      <c r="C105" s="1777"/>
      <c r="D105" s="1777"/>
      <c r="E105" s="1777"/>
      <c r="F105" s="1777"/>
      <c r="G105" s="1777"/>
      <c r="H105" s="1777"/>
      <c r="I105" s="1768"/>
      <c r="J105" s="1768"/>
      <c r="K105" s="1777"/>
      <c r="L105" s="1777"/>
      <c r="M105" s="1777"/>
      <c r="N105" s="1777"/>
      <c r="O105" s="1777"/>
      <c r="P105" s="1777"/>
      <c r="Q105" s="1777"/>
      <c r="R105" s="1777"/>
      <c r="S105" s="1777"/>
      <c r="T105" s="1777"/>
      <c r="U105" s="1778"/>
      <c r="V105" s="137"/>
      <c r="W105" s="150"/>
      <c r="Y105" s="190"/>
      <c r="AI105" s="184"/>
      <c r="AJ105" s="160"/>
      <c r="AK105" s="87"/>
    </row>
    <row r="106" spans="1:50" ht="11.25" customHeight="1" x14ac:dyDescent="0.2">
      <c r="A106" s="142"/>
      <c r="B106" s="9"/>
      <c r="C106" s="9"/>
      <c r="D106" s="9"/>
      <c r="E106" s="9"/>
      <c r="F106" s="58"/>
      <c r="G106" s="58"/>
      <c r="H106" s="58"/>
      <c r="I106" s="58"/>
      <c r="J106" s="113"/>
      <c r="K106" s="114"/>
      <c r="L106" s="113"/>
      <c r="M106" s="113"/>
      <c r="N106" s="113"/>
      <c r="O106" s="113"/>
      <c r="P106" s="113"/>
      <c r="Q106" s="113"/>
      <c r="R106" s="113"/>
      <c r="S106" s="113"/>
      <c r="T106" s="113"/>
      <c r="U106" s="113"/>
      <c r="V106" s="137"/>
      <c r="W106" s="150"/>
      <c r="X106" s="74"/>
      <c r="Y106" s="74"/>
      <c r="Z106" s="74"/>
      <c r="AA106" s="74"/>
      <c r="AB106" s="74"/>
      <c r="AI106" s="184"/>
      <c r="AJ106" s="157"/>
    </row>
    <row r="107" spans="1:50" ht="11.25" customHeight="1" x14ac:dyDescent="0.2">
      <c r="A107" s="142"/>
      <c r="B107" s="9"/>
      <c r="C107" s="9"/>
      <c r="D107" s="9"/>
      <c r="E107" s="9"/>
      <c r="F107" s="58"/>
      <c r="G107" s="58"/>
      <c r="H107" s="58"/>
      <c r="I107" s="58"/>
      <c r="J107" s="9"/>
      <c r="K107" s="12"/>
      <c r="L107" s="9"/>
      <c r="M107" s="9"/>
      <c r="N107" s="9"/>
      <c r="O107" s="9"/>
      <c r="P107" s="9"/>
      <c r="Q107" s="9"/>
      <c r="R107" s="9"/>
      <c r="S107" s="9"/>
      <c r="T107" s="9"/>
      <c r="U107" s="9"/>
      <c r="V107" s="137"/>
      <c r="W107" s="150"/>
      <c r="X107" s="74"/>
      <c r="Y107" s="74"/>
      <c r="Z107" s="74"/>
      <c r="AA107" s="74"/>
      <c r="AB107" s="74"/>
      <c r="AI107" s="184"/>
      <c r="AJ107" s="157"/>
    </row>
    <row r="108" spans="1:50" ht="11.25" customHeight="1" x14ac:dyDescent="0.2">
      <c r="A108" s="142"/>
      <c r="B108" s="1685" t="s">
        <v>82</v>
      </c>
      <c r="C108" s="1685"/>
      <c r="D108" s="1685"/>
      <c r="E108" s="1685"/>
      <c r="F108" s="1685"/>
      <c r="G108" s="1685"/>
      <c r="H108" s="1685"/>
      <c r="I108" s="1685"/>
      <c r="J108" s="9"/>
      <c r="K108" s="12"/>
      <c r="L108" s="9"/>
      <c r="M108" s="9"/>
      <c r="N108" s="9"/>
      <c r="O108" s="9"/>
      <c r="P108" s="9"/>
      <c r="Q108" s="9"/>
      <c r="R108" s="9"/>
      <c r="S108" s="9"/>
      <c r="T108" s="9"/>
      <c r="U108" s="9"/>
      <c r="V108" s="137"/>
      <c r="W108" s="150"/>
      <c r="AE108" s="82"/>
      <c r="AH108" s="184"/>
      <c r="AI108" s="184"/>
      <c r="AJ108" s="157"/>
    </row>
    <row r="109" spans="1:50" ht="11.25" customHeight="1" x14ac:dyDescent="0.2">
      <c r="A109" s="142"/>
      <c r="B109" s="1685"/>
      <c r="C109" s="1685"/>
      <c r="D109" s="1685"/>
      <c r="E109" s="1685"/>
      <c r="F109" s="1685"/>
      <c r="G109" s="1685"/>
      <c r="H109" s="1685"/>
      <c r="I109" s="1685"/>
      <c r="J109" s="9"/>
      <c r="K109" s="12"/>
      <c r="L109" s="9"/>
      <c r="M109" s="9"/>
      <c r="N109" s="9"/>
      <c r="O109" s="9"/>
      <c r="P109" s="9"/>
      <c r="Q109" s="9"/>
      <c r="R109" s="9"/>
      <c r="S109" s="9"/>
      <c r="T109" s="9"/>
      <c r="U109" s="9"/>
      <c r="V109" s="137"/>
      <c r="W109" s="150"/>
      <c r="AE109" s="82"/>
      <c r="AH109" s="184"/>
      <c r="AI109" s="184"/>
      <c r="AJ109" s="157"/>
    </row>
    <row r="110" spans="1:50" ht="11.25" customHeight="1" x14ac:dyDescent="0.2">
      <c r="A110" s="142"/>
      <c r="B110" s="1680" t="s">
        <v>800</v>
      </c>
      <c r="C110" s="1680"/>
      <c r="D110" s="1680"/>
      <c r="E110" s="1680"/>
      <c r="F110" s="1680"/>
      <c r="G110" s="1680"/>
      <c r="H110" s="1680"/>
      <c r="I110" s="1680"/>
      <c r="J110" s="9"/>
      <c r="K110" s="12"/>
      <c r="L110" s="9"/>
      <c r="M110" s="9"/>
      <c r="N110" s="9"/>
      <c r="O110" s="9"/>
      <c r="P110" s="9"/>
      <c r="Q110" s="9"/>
      <c r="R110" s="9"/>
      <c r="S110" s="9"/>
      <c r="T110" s="9"/>
      <c r="U110" s="9"/>
      <c r="V110" s="137"/>
      <c r="W110" s="150"/>
      <c r="AE110" s="82"/>
      <c r="AH110" s="184"/>
      <c r="AI110" s="184"/>
      <c r="AJ110" s="157"/>
    </row>
    <row r="111" spans="1:50" ht="11.25" customHeight="1" x14ac:dyDescent="0.2">
      <c r="A111" s="142"/>
      <c r="B111" s="1680"/>
      <c r="C111" s="1680"/>
      <c r="D111" s="1680"/>
      <c r="E111" s="1680"/>
      <c r="F111" s="1680"/>
      <c r="G111" s="1680"/>
      <c r="H111" s="1680"/>
      <c r="I111" s="1680"/>
      <c r="J111" s="9"/>
      <c r="K111" s="12"/>
      <c r="L111" s="9"/>
      <c r="M111" s="9"/>
      <c r="N111" s="9"/>
      <c r="O111" s="9"/>
      <c r="P111" s="9"/>
      <c r="Q111" s="9"/>
      <c r="R111" s="9"/>
      <c r="S111" s="9"/>
      <c r="T111" s="9"/>
      <c r="U111" s="9"/>
      <c r="V111" s="137"/>
      <c r="W111" s="150"/>
      <c r="AE111" s="82"/>
      <c r="AH111" s="184"/>
      <c r="AI111" s="184"/>
      <c r="AJ111" s="157"/>
    </row>
    <row r="112" spans="1:50" s="76" customFormat="1" ht="11.25" customHeight="1" x14ac:dyDescent="0.2">
      <c r="A112" s="142"/>
      <c r="B112" s="1680" t="s">
        <v>81</v>
      </c>
      <c r="C112" s="1680"/>
      <c r="D112" s="1680"/>
      <c r="E112" s="1680"/>
      <c r="F112" s="1680"/>
      <c r="G112" s="1680"/>
      <c r="H112" s="1680"/>
      <c r="I112" s="1680"/>
      <c r="J112" s="14"/>
      <c r="K112" s="14"/>
      <c r="L112" s="14"/>
      <c r="M112" s="14"/>
      <c r="N112" s="14"/>
      <c r="O112" s="14"/>
      <c r="P112" s="14"/>
      <c r="Q112" s="14"/>
      <c r="R112" s="14"/>
      <c r="S112" s="14"/>
      <c r="T112" s="14"/>
      <c r="U112" s="14"/>
      <c r="V112" s="140"/>
      <c r="W112" s="154"/>
      <c r="X112" s="81"/>
      <c r="Y112" s="81"/>
      <c r="Z112" s="81"/>
      <c r="AA112" s="81"/>
      <c r="AB112" s="81"/>
      <c r="AC112" s="81"/>
      <c r="AD112" s="81"/>
      <c r="AE112" s="82"/>
      <c r="AF112" s="81"/>
      <c r="AG112" s="81"/>
      <c r="AH112" s="184"/>
      <c r="AI112" s="184"/>
      <c r="AJ112" s="157"/>
      <c r="AK112" s="74"/>
      <c r="AL112" s="74"/>
      <c r="AM112" s="74"/>
      <c r="AN112" s="74"/>
      <c r="AO112" s="74"/>
      <c r="AP112" s="74"/>
      <c r="AQ112" s="74"/>
      <c r="AR112" s="74"/>
      <c r="AX112" s="74"/>
    </row>
    <row r="113" spans="1:50" ht="11.25" customHeight="1" x14ac:dyDescent="0.2">
      <c r="A113" s="142"/>
      <c r="B113" s="1680"/>
      <c r="C113" s="1680"/>
      <c r="D113" s="1680"/>
      <c r="E113" s="1680"/>
      <c r="F113" s="1680"/>
      <c r="G113" s="1680"/>
      <c r="H113" s="1680"/>
      <c r="I113" s="1680"/>
      <c r="J113" s="9"/>
      <c r="K113" s="12"/>
      <c r="L113" s="9"/>
      <c r="M113" s="9"/>
      <c r="N113" s="9"/>
      <c r="O113" s="9"/>
      <c r="P113" s="9"/>
      <c r="Q113" s="9"/>
      <c r="R113" s="9"/>
      <c r="S113" s="9"/>
      <c r="T113" s="9"/>
      <c r="U113" s="9"/>
      <c r="V113" s="137"/>
      <c r="W113" s="150"/>
      <c r="AE113" s="82"/>
      <c r="AH113" s="188"/>
      <c r="AI113" s="188"/>
      <c r="AJ113" s="158"/>
    </row>
    <row r="114" spans="1:50" ht="11.25" customHeight="1" x14ac:dyDescent="0.2">
      <c r="A114" s="142"/>
      <c r="B114" s="1680" t="s">
        <v>78</v>
      </c>
      <c r="C114" s="1680"/>
      <c r="D114" s="1680"/>
      <c r="E114" s="1680"/>
      <c r="F114" s="1680"/>
      <c r="G114" s="1680"/>
      <c r="H114" s="1680"/>
      <c r="I114" s="1680"/>
      <c r="J114" s="9"/>
      <c r="K114" s="12"/>
      <c r="L114" s="9"/>
      <c r="M114" s="9"/>
      <c r="N114" s="9"/>
      <c r="O114" s="9"/>
      <c r="P114" s="9"/>
      <c r="Q114" s="9"/>
      <c r="R114" s="9"/>
      <c r="S114" s="9"/>
      <c r="T114" s="9"/>
      <c r="U114" s="9"/>
      <c r="V114" s="137"/>
      <c r="W114" s="150"/>
      <c r="AE114" s="82"/>
      <c r="AH114" s="184"/>
      <c r="AI114" s="184"/>
      <c r="AJ114" s="157"/>
      <c r="AK114" s="76"/>
      <c r="AL114" s="76"/>
      <c r="AM114" s="76"/>
      <c r="AN114" s="76"/>
      <c r="AO114" s="76"/>
      <c r="AP114" s="76"/>
      <c r="AQ114" s="76"/>
      <c r="AR114" s="76"/>
      <c r="AX114" s="76"/>
    </row>
    <row r="115" spans="1:50" ht="11.25" customHeight="1" x14ac:dyDescent="0.2">
      <c r="A115" s="142"/>
      <c r="B115" s="1680"/>
      <c r="C115" s="1680"/>
      <c r="D115" s="1680"/>
      <c r="E115" s="1680"/>
      <c r="F115" s="1680"/>
      <c r="G115" s="1680"/>
      <c r="H115" s="1680"/>
      <c r="I115" s="1680"/>
      <c r="J115" s="9"/>
      <c r="K115" s="12"/>
      <c r="L115" s="9"/>
      <c r="M115" s="9"/>
      <c r="N115" s="9"/>
      <c r="O115" s="9"/>
      <c r="P115" s="9"/>
      <c r="Q115" s="9"/>
      <c r="R115" s="9"/>
      <c r="S115" s="9"/>
      <c r="T115" s="9"/>
      <c r="U115" s="9"/>
      <c r="V115" s="137"/>
      <c r="W115" s="150"/>
      <c r="AE115" s="82"/>
      <c r="AH115" s="184"/>
      <c r="AI115" s="184"/>
      <c r="AJ115" s="157"/>
    </row>
    <row r="116" spans="1:50" ht="11.25" customHeight="1" x14ac:dyDescent="0.2">
      <c r="A116" s="142"/>
      <c r="B116" s="1680" t="s">
        <v>17</v>
      </c>
      <c r="C116" s="1680"/>
      <c r="D116" s="1680"/>
      <c r="E116" s="1680"/>
      <c r="F116" s="1680"/>
      <c r="G116" s="1680"/>
      <c r="H116" s="1680"/>
      <c r="I116" s="1680"/>
      <c r="J116" s="9"/>
      <c r="K116" s="12"/>
      <c r="L116" s="9"/>
      <c r="M116" s="9"/>
      <c r="N116" s="9"/>
      <c r="O116" s="9"/>
      <c r="P116" s="9"/>
      <c r="Q116" s="9"/>
      <c r="R116" s="9"/>
      <c r="S116" s="9"/>
      <c r="T116" s="9"/>
      <c r="U116" s="9"/>
      <c r="V116" s="137"/>
      <c r="W116" s="150"/>
      <c r="AE116" s="82"/>
      <c r="AH116" s="184"/>
      <c r="AI116" s="184"/>
      <c r="AJ116" s="157"/>
    </row>
    <row r="117" spans="1:50" ht="11.25" customHeight="1" x14ac:dyDescent="0.2">
      <c r="A117" s="142"/>
      <c r="B117" s="1680"/>
      <c r="C117" s="1680"/>
      <c r="D117" s="1680"/>
      <c r="E117" s="1680"/>
      <c r="F117" s="1680"/>
      <c r="G117" s="1680"/>
      <c r="H117" s="1680"/>
      <c r="I117" s="1680"/>
      <c r="J117" s="9"/>
      <c r="K117" s="12"/>
      <c r="L117" s="9"/>
      <c r="M117" s="9"/>
      <c r="N117" s="9"/>
      <c r="O117" s="9"/>
      <c r="P117" s="9"/>
      <c r="Q117" s="9"/>
      <c r="R117" s="9"/>
      <c r="S117" s="9"/>
      <c r="T117" s="9"/>
      <c r="U117" s="9"/>
      <c r="V117" s="137"/>
      <c r="W117" s="150"/>
      <c r="AE117" s="82"/>
      <c r="AH117" s="184"/>
      <c r="AI117" s="184"/>
      <c r="AJ117" s="157"/>
    </row>
    <row r="118" spans="1:50" ht="11.25" customHeight="1" x14ac:dyDescent="0.2">
      <c r="A118" s="142"/>
      <c r="B118" s="1680" t="s">
        <v>658</v>
      </c>
      <c r="C118" s="1680"/>
      <c r="D118" s="1680"/>
      <c r="E118" s="1680"/>
      <c r="F118" s="1680"/>
      <c r="G118" s="1680"/>
      <c r="H118" s="1680"/>
      <c r="I118" s="1680"/>
      <c r="J118" s="9"/>
      <c r="K118" s="12"/>
      <c r="L118" s="9"/>
      <c r="M118" s="9"/>
      <c r="N118" s="9"/>
      <c r="O118" s="9"/>
      <c r="P118" s="9"/>
      <c r="Q118" s="9"/>
      <c r="R118" s="9"/>
      <c r="S118" s="9"/>
      <c r="T118" s="9"/>
      <c r="U118" s="9"/>
      <c r="V118" s="137"/>
      <c r="W118" s="150"/>
      <c r="AE118" s="82"/>
      <c r="AH118" s="184"/>
      <c r="AI118" s="184"/>
      <c r="AJ118" s="157"/>
    </row>
    <row r="119" spans="1:50" ht="11.25" customHeight="1" x14ac:dyDescent="0.2">
      <c r="A119" s="142"/>
      <c r="B119" s="1680"/>
      <c r="C119" s="1680"/>
      <c r="D119" s="1680"/>
      <c r="E119" s="1680"/>
      <c r="F119" s="1680"/>
      <c r="G119" s="1680"/>
      <c r="H119" s="1680"/>
      <c r="I119" s="1680"/>
      <c r="J119" s="9"/>
      <c r="K119" s="12"/>
      <c r="L119" s="9"/>
      <c r="M119" s="9"/>
      <c r="N119" s="9"/>
      <c r="O119" s="9"/>
      <c r="P119" s="9"/>
      <c r="Q119" s="9"/>
      <c r="R119" s="9"/>
      <c r="S119" s="9"/>
      <c r="T119" s="9"/>
      <c r="U119" s="9"/>
      <c r="V119" s="137"/>
      <c r="W119" s="150"/>
      <c r="AE119" s="82"/>
      <c r="AH119" s="184"/>
      <c r="AI119" s="184"/>
      <c r="AJ119" s="157"/>
    </row>
    <row r="120" spans="1:50" ht="11.25" customHeight="1" x14ac:dyDescent="0.2">
      <c r="A120" s="142"/>
      <c r="B120" s="1680" t="s">
        <v>191</v>
      </c>
      <c r="C120" s="1680"/>
      <c r="D120" s="1680"/>
      <c r="E120" s="1680"/>
      <c r="F120" s="1680"/>
      <c r="G120" s="1680"/>
      <c r="H120" s="1680"/>
      <c r="I120" s="1680"/>
      <c r="J120" s="9"/>
      <c r="K120" s="12"/>
      <c r="L120" s="9"/>
      <c r="M120" s="9"/>
      <c r="N120" s="9"/>
      <c r="O120" s="9"/>
      <c r="P120" s="9"/>
      <c r="Q120" s="9"/>
      <c r="R120" s="9"/>
      <c r="S120" s="9"/>
      <c r="T120" s="9"/>
      <c r="U120" s="9"/>
      <c r="V120" s="137"/>
      <c r="W120" s="150"/>
      <c r="AE120" s="82"/>
      <c r="AH120" s="184"/>
      <c r="AI120" s="184"/>
      <c r="AJ120" s="157"/>
    </row>
    <row r="121" spans="1:50" ht="11.25" customHeight="1" x14ac:dyDescent="0.2">
      <c r="A121" s="142"/>
      <c r="B121" s="1680"/>
      <c r="C121" s="1680"/>
      <c r="D121" s="1680"/>
      <c r="E121" s="1680"/>
      <c r="F121" s="1680"/>
      <c r="G121" s="1680"/>
      <c r="H121" s="1680"/>
      <c r="I121" s="1680"/>
      <c r="J121" s="9"/>
      <c r="K121" s="12"/>
      <c r="L121" s="9"/>
      <c r="M121" s="9"/>
      <c r="N121" s="9"/>
      <c r="O121" s="9"/>
      <c r="P121" s="9"/>
      <c r="Q121" s="9"/>
      <c r="R121" s="9"/>
      <c r="S121" s="9"/>
      <c r="T121" s="9"/>
      <c r="U121" s="9"/>
      <c r="V121" s="137"/>
      <c r="W121" s="150"/>
      <c r="AE121" s="82"/>
      <c r="AH121" s="184"/>
      <c r="AI121" s="184"/>
      <c r="AJ121" s="157"/>
    </row>
    <row r="122" spans="1:50" ht="11.25" customHeight="1" x14ac:dyDescent="0.2">
      <c r="A122" s="142"/>
      <c r="B122" s="1680" t="s">
        <v>197</v>
      </c>
      <c r="C122" s="1680"/>
      <c r="D122" s="1680"/>
      <c r="E122" s="1680"/>
      <c r="F122" s="1680"/>
      <c r="G122" s="1680"/>
      <c r="H122" s="1680"/>
      <c r="I122" s="1680"/>
      <c r="J122" s="9"/>
      <c r="K122" s="12"/>
      <c r="L122" s="9"/>
      <c r="M122" s="9"/>
      <c r="N122" s="9"/>
      <c r="O122" s="9"/>
      <c r="P122" s="9"/>
      <c r="Q122" s="9"/>
      <c r="R122" s="9"/>
      <c r="S122" s="9"/>
      <c r="T122" s="9"/>
      <c r="U122" s="9"/>
      <c r="V122" s="137"/>
      <c r="W122" s="150"/>
      <c r="AE122" s="82"/>
      <c r="AH122" s="184"/>
      <c r="AI122" s="184"/>
      <c r="AJ122" s="157"/>
    </row>
    <row r="123" spans="1:50" ht="11.25" customHeight="1" x14ac:dyDescent="0.2">
      <c r="A123" s="142"/>
      <c r="B123" s="1680"/>
      <c r="C123" s="1680"/>
      <c r="D123" s="1680"/>
      <c r="E123" s="1680"/>
      <c r="F123" s="1680"/>
      <c r="G123" s="1680"/>
      <c r="H123" s="1680"/>
      <c r="I123" s="1680"/>
      <c r="J123" s="9"/>
      <c r="K123" s="12"/>
      <c r="L123" s="9"/>
      <c r="M123" s="9"/>
      <c r="N123" s="9"/>
      <c r="O123" s="9"/>
      <c r="P123" s="9"/>
      <c r="Q123" s="9"/>
      <c r="R123" s="9"/>
      <c r="S123" s="9"/>
      <c r="T123" s="9"/>
      <c r="U123" s="9"/>
      <c r="V123" s="137"/>
      <c r="W123" s="150"/>
      <c r="AE123" s="82"/>
      <c r="AH123" s="184"/>
      <c r="AI123" s="184"/>
      <c r="AJ123" s="157"/>
    </row>
    <row r="124" spans="1:50" ht="11.25" customHeight="1" x14ac:dyDescent="0.2">
      <c r="A124" s="142"/>
      <c r="B124" s="1680" t="s">
        <v>198</v>
      </c>
      <c r="C124" s="1680"/>
      <c r="D124" s="1680"/>
      <c r="E124" s="1680"/>
      <c r="F124" s="1680"/>
      <c r="G124" s="1680"/>
      <c r="H124" s="1680"/>
      <c r="I124" s="1680"/>
      <c r="J124" s="9"/>
      <c r="K124" s="12"/>
      <c r="L124" s="9"/>
      <c r="M124" s="9"/>
      <c r="N124" s="9"/>
      <c r="O124" s="9"/>
      <c r="P124" s="9"/>
      <c r="Q124" s="9"/>
      <c r="R124" s="9"/>
      <c r="S124" s="9"/>
      <c r="T124" s="9"/>
      <c r="U124" s="9"/>
      <c r="V124" s="137"/>
      <c r="W124" s="150"/>
      <c r="AE124" s="82"/>
      <c r="AH124" s="184"/>
      <c r="AI124" s="184"/>
      <c r="AJ124" s="157"/>
    </row>
    <row r="125" spans="1:50" ht="11.25" customHeight="1" x14ac:dyDescent="0.2">
      <c r="A125" s="142"/>
      <c r="B125" s="1680"/>
      <c r="C125" s="1680"/>
      <c r="D125" s="1680"/>
      <c r="E125" s="1680"/>
      <c r="F125" s="1680"/>
      <c r="G125" s="1680"/>
      <c r="H125" s="1680"/>
      <c r="I125" s="1680"/>
      <c r="J125" s="9"/>
      <c r="K125" s="12"/>
      <c r="L125" s="9"/>
      <c r="M125" s="9"/>
      <c r="N125" s="9"/>
      <c r="O125" s="9"/>
      <c r="P125" s="9"/>
      <c r="Q125" s="9"/>
      <c r="R125" s="9"/>
      <c r="S125" s="9"/>
      <c r="T125" s="9"/>
      <c r="U125" s="9"/>
      <c r="V125" s="137"/>
      <c r="W125" s="150"/>
      <c r="AE125" s="82"/>
      <c r="AH125" s="184"/>
      <c r="AI125" s="184"/>
      <c r="AJ125" s="157"/>
    </row>
    <row r="126" spans="1:50" ht="11.25" customHeight="1" x14ac:dyDescent="0.2">
      <c r="A126" s="142"/>
      <c r="B126" s="1680" t="s">
        <v>80</v>
      </c>
      <c r="C126" s="1680"/>
      <c r="D126" s="1680"/>
      <c r="E126" s="1680"/>
      <c r="F126" s="1680"/>
      <c r="G126" s="1680"/>
      <c r="H126" s="1680"/>
      <c r="I126" s="1680"/>
      <c r="J126" s="9"/>
      <c r="K126" s="12"/>
      <c r="L126" s="9"/>
      <c r="M126" s="9"/>
      <c r="N126" s="9"/>
      <c r="O126" s="9"/>
      <c r="P126" s="9"/>
      <c r="Q126" s="9"/>
      <c r="R126" s="9"/>
      <c r="S126" s="9"/>
      <c r="T126" s="9"/>
      <c r="U126" s="9"/>
      <c r="V126" s="137"/>
      <c r="W126" s="150"/>
      <c r="AE126" s="82"/>
      <c r="AH126" s="184"/>
      <c r="AI126" s="184"/>
      <c r="AJ126" s="157"/>
    </row>
    <row r="127" spans="1:50" ht="11.25" customHeight="1" x14ac:dyDescent="0.2">
      <c r="A127" s="142"/>
      <c r="B127" s="1680"/>
      <c r="C127" s="1680"/>
      <c r="D127" s="1680"/>
      <c r="E127" s="1680"/>
      <c r="F127" s="1680"/>
      <c r="G127" s="1680"/>
      <c r="H127" s="1680"/>
      <c r="I127" s="1680"/>
      <c r="J127" s="9"/>
      <c r="K127" s="12"/>
      <c r="L127" s="9"/>
      <c r="M127" s="9"/>
      <c r="N127" s="9"/>
      <c r="O127" s="9"/>
      <c r="P127" s="9"/>
      <c r="Q127" s="9"/>
      <c r="R127" s="9"/>
      <c r="S127" s="9"/>
      <c r="T127" s="9"/>
      <c r="U127" s="9"/>
      <c r="V127" s="137"/>
      <c r="W127" s="150"/>
      <c r="AE127" s="82"/>
      <c r="AH127" s="184"/>
      <c r="AI127" s="184"/>
      <c r="AJ127" s="157"/>
    </row>
    <row r="128" spans="1:50" ht="11.25" customHeight="1" x14ac:dyDescent="0.2">
      <c r="A128" s="142"/>
      <c r="B128" s="1680" t="s">
        <v>69</v>
      </c>
      <c r="C128" s="1680"/>
      <c r="D128" s="1680"/>
      <c r="E128" s="1680"/>
      <c r="F128" s="1680"/>
      <c r="G128" s="1680"/>
      <c r="H128" s="1680"/>
      <c r="I128" s="1680"/>
      <c r="J128" s="9"/>
      <c r="K128" s="12"/>
      <c r="L128" s="9"/>
      <c r="M128" s="9"/>
      <c r="N128" s="9"/>
      <c r="O128" s="9"/>
      <c r="P128" s="9"/>
      <c r="Q128" s="9"/>
      <c r="R128" s="9"/>
      <c r="S128" s="9"/>
      <c r="T128" s="9"/>
      <c r="U128" s="9"/>
      <c r="V128" s="137"/>
      <c r="W128" s="150"/>
      <c r="AE128" s="82"/>
      <c r="AH128" s="184"/>
      <c r="AI128" s="184"/>
      <c r="AJ128" s="157"/>
    </row>
    <row r="129" spans="1:36" ht="11.25" customHeight="1" x14ac:dyDescent="0.2">
      <c r="A129" s="142"/>
      <c r="B129" s="1680"/>
      <c r="C129" s="1680"/>
      <c r="D129" s="1680"/>
      <c r="E129" s="1680"/>
      <c r="F129" s="1680"/>
      <c r="G129" s="1680"/>
      <c r="H129" s="1680"/>
      <c r="I129" s="1680"/>
      <c r="J129" s="9"/>
      <c r="K129" s="12"/>
      <c r="L129" s="9"/>
      <c r="M129" s="9"/>
      <c r="N129" s="9"/>
      <c r="O129" s="9"/>
      <c r="P129" s="9"/>
      <c r="Q129" s="9"/>
      <c r="R129" s="9"/>
      <c r="S129" s="9"/>
      <c r="T129" s="9"/>
      <c r="U129" s="9"/>
      <c r="V129" s="137"/>
      <c r="W129" s="150"/>
      <c r="AE129" s="82"/>
      <c r="AH129" s="184"/>
      <c r="AI129" s="184"/>
      <c r="AJ129" s="157"/>
    </row>
    <row r="130" spans="1:36" ht="11.25" customHeight="1" x14ac:dyDescent="0.2">
      <c r="A130" s="142"/>
      <c r="B130" s="1680" t="s">
        <v>24</v>
      </c>
      <c r="C130" s="1680"/>
      <c r="D130" s="1680"/>
      <c r="E130" s="1680"/>
      <c r="F130" s="1680"/>
      <c r="G130" s="1680"/>
      <c r="H130" s="1680"/>
      <c r="I130" s="1680"/>
      <c r="J130" s="9"/>
      <c r="K130" s="12"/>
      <c r="L130" s="9"/>
      <c r="M130" s="9"/>
      <c r="N130" s="9"/>
      <c r="O130" s="9"/>
      <c r="P130" s="9"/>
      <c r="Q130" s="9"/>
      <c r="R130" s="9"/>
      <c r="S130" s="9"/>
      <c r="T130" s="9"/>
      <c r="U130" s="9"/>
      <c r="V130" s="137"/>
      <c r="W130" s="150"/>
      <c r="AE130" s="82"/>
      <c r="AH130" s="184"/>
      <c r="AI130" s="184"/>
      <c r="AJ130" s="157"/>
    </row>
    <row r="131" spans="1:36" ht="11.25" customHeight="1" x14ac:dyDescent="0.2">
      <c r="A131" s="142"/>
      <c r="B131" s="1680"/>
      <c r="C131" s="1680"/>
      <c r="D131" s="1680"/>
      <c r="E131" s="1680"/>
      <c r="F131" s="1680"/>
      <c r="G131" s="1680"/>
      <c r="H131" s="1680"/>
      <c r="I131" s="1680"/>
      <c r="J131" s="9"/>
      <c r="K131" s="12"/>
      <c r="L131" s="9"/>
      <c r="M131" s="9"/>
      <c r="N131" s="9"/>
      <c r="O131" s="9"/>
      <c r="P131" s="9"/>
      <c r="Q131" s="9"/>
      <c r="R131" s="9"/>
      <c r="S131" s="9"/>
      <c r="T131" s="9"/>
      <c r="U131" s="9"/>
      <c r="V131" s="137"/>
      <c r="W131" s="150"/>
      <c r="AE131" s="82"/>
      <c r="AH131" s="184"/>
      <c r="AI131" s="184"/>
      <c r="AJ131" s="157"/>
    </row>
    <row r="132" spans="1:36" ht="11.25" customHeight="1" x14ac:dyDescent="0.2">
      <c r="A132" s="142"/>
      <c r="B132" s="1680" t="s">
        <v>22</v>
      </c>
      <c r="C132" s="1680"/>
      <c r="D132" s="1680"/>
      <c r="E132" s="1680"/>
      <c r="F132" s="1680"/>
      <c r="G132" s="1680"/>
      <c r="H132" s="1680"/>
      <c r="I132" s="1680"/>
      <c r="J132" s="9"/>
      <c r="K132" s="12"/>
      <c r="L132" s="9"/>
      <c r="M132" s="9"/>
      <c r="N132" s="9"/>
      <c r="O132" s="9"/>
      <c r="P132" s="9"/>
      <c r="Q132" s="9"/>
      <c r="R132" s="9"/>
      <c r="S132" s="9"/>
      <c r="T132" s="9"/>
      <c r="U132" s="9"/>
      <c r="V132" s="137"/>
      <c r="W132" s="150"/>
      <c r="AE132" s="82"/>
      <c r="AH132" s="184"/>
      <c r="AI132" s="184"/>
      <c r="AJ132" s="157"/>
    </row>
    <row r="133" spans="1:36" ht="11.25" customHeight="1" x14ac:dyDescent="0.2">
      <c r="A133" s="142"/>
      <c r="B133" s="1680"/>
      <c r="C133" s="1680"/>
      <c r="D133" s="1680"/>
      <c r="E133" s="1680"/>
      <c r="F133" s="1680"/>
      <c r="G133" s="1680"/>
      <c r="H133" s="1680"/>
      <c r="I133" s="1680"/>
      <c r="J133" s="9"/>
      <c r="K133" s="12"/>
      <c r="L133" s="9"/>
      <c r="M133" s="9"/>
      <c r="N133" s="9"/>
      <c r="O133" s="9"/>
      <c r="P133" s="9"/>
      <c r="Q133" s="9"/>
      <c r="R133" s="9"/>
      <c r="S133" s="9"/>
      <c r="T133" s="9"/>
      <c r="U133" s="9"/>
      <c r="V133" s="137"/>
      <c r="W133" s="150"/>
      <c r="AE133" s="82"/>
      <c r="AH133" s="184"/>
      <c r="AI133" s="184"/>
      <c r="AJ133" s="157"/>
    </row>
    <row r="134" spans="1:36" ht="11.25" customHeight="1" x14ac:dyDescent="0.2">
      <c r="A134" s="142"/>
      <c r="B134" s="1680" t="s">
        <v>25</v>
      </c>
      <c r="C134" s="1680"/>
      <c r="D134" s="1680"/>
      <c r="E134" s="1680"/>
      <c r="F134" s="1680"/>
      <c r="G134" s="1680"/>
      <c r="H134" s="1680"/>
      <c r="I134" s="1680"/>
      <c r="J134" s="9"/>
      <c r="K134" s="12"/>
      <c r="L134" s="9"/>
      <c r="M134" s="9"/>
      <c r="N134" s="9"/>
      <c r="O134" s="9"/>
      <c r="P134" s="9"/>
      <c r="Q134" s="9"/>
      <c r="R134" s="9"/>
      <c r="S134" s="9"/>
      <c r="T134" s="9"/>
      <c r="U134" s="9"/>
      <c r="V134" s="137"/>
      <c r="W134" s="150"/>
      <c r="AE134" s="82"/>
      <c r="AH134" s="184"/>
      <c r="AI134" s="184"/>
      <c r="AJ134" s="157"/>
    </row>
    <row r="135" spans="1:36" ht="11.25" customHeight="1" x14ac:dyDescent="0.2">
      <c r="A135" s="142"/>
      <c r="B135" s="1680"/>
      <c r="C135" s="1680"/>
      <c r="D135" s="1680"/>
      <c r="E135" s="1680"/>
      <c r="F135" s="1680"/>
      <c r="G135" s="1680"/>
      <c r="H135" s="1680"/>
      <c r="I135" s="1680"/>
      <c r="J135" s="9"/>
      <c r="K135" s="12"/>
      <c r="L135" s="9"/>
      <c r="M135" s="9"/>
      <c r="N135" s="9"/>
      <c r="O135" s="9"/>
      <c r="P135" s="9"/>
      <c r="Q135" s="9"/>
      <c r="R135" s="9"/>
      <c r="S135" s="9"/>
      <c r="T135" s="9"/>
      <c r="U135" s="9"/>
      <c r="V135" s="137"/>
      <c r="W135" s="150"/>
      <c r="AE135" s="82"/>
      <c r="AH135" s="184"/>
      <c r="AI135" s="184"/>
      <c r="AJ135" s="157"/>
    </row>
    <row r="136" spans="1:36" ht="11.25" customHeight="1" x14ac:dyDescent="0.2">
      <c r="A136" s="142"/>
      <c r="B136" s="1680" t="s">
        <v>18</v>
      </c>
      <c r="C136" s="1680"/>
      <c r="D136" s="1680"/>
      <c r="E136" s="1680"/>
      <c r="F136" s="1680"/>
      <c r="G136" s="1680"/>
      <c r="H136" s="1680"/>
      <c r="I136" s="1680"/>
      <c r="J136" s="9"/>
      <c r="K136" s="12"/>
      <c r="L136" s="9"/>
      <c r="M136" s="9"/>
      <c r="N136" s="9"/>
      <c r="O136" s="9"/>
      <c r="P136" s="9"/>
      <c r="Q136" s="9"/>
      <c r="R136" s="9"/>
      <c r="S136" s="9"/>
      <c r="T136" s="9"/>
      <c r="U136" s="9"/>
      <c r="V136" s="137"/>
      <c r="W136" s="150"/>
      <c r="AE136" s="82"/>
      <c r="AH136" s="184"/>
      <c r="AI136" s="184"/>
      <c r="AJ136" s="157"/>
    </row>
    <row r="137" spans="1:36" ht="11.25" customHeight="1" x14ac:dyDescent="0.2">
      <c r="A137" s="142"/>
      <c r="B137" s="1680"/>
      <c r="C137" s="1680"/>
      <c r="D137" s="1680"/>
      <c r="E137" s="1680"/>
      <c r="F137" s="1680"/>
      <c r="G137" s="1680"/>
      <c r="H137" s="1680"/>
      <c r="I137" s="1680"/>
      <c r="J137" s="9"/>
      <c r="K137" s="12"/>
      <c r="L137" s="9"/>
      <c r="M137" s="9"/>
      <c r="N137" s="9"/>
      <c r="O137" s="9"/>
      <c r="P137" s="9"/>
      <c r="Q137" s="9"/>
      <c r="R137" s="9"/>
      <c r="S137" s="9"/>
      <c r="T137" s="9"/>
      <c r="U137" s="9"/>
      <c r="V137" s="137"/>
      <c r="W137" s="150"/>
      <c r="AE137" s="82"/>
      <c r="AH137" s="184"/>
      <c r="AI137" s="184"/>
      <c r="AJ137" s="157"/>
    </row>
    <row r="138" spans="1:36" ht="11.25" customHeight="1" x14ac:dyDescent="0.2">
      <c r="A138" s="142"/>
      <c r="B138" s="1680" t="s">
        <v>19</v>
      </c>
      <c r="C138" s="1680"/>
      <c r="D138" s="1680"/>
      <c r="E138" s="1680"/>
      <c r="F138" s="1680"/>
      <c r="G138" s="1680"/>
      <c r="H138" s="1680"/>
      <c r="I138" s="1680"/>
      <c r="J138" s="9"/>
      <c r="K138" s="12"/>
      <c r="L138" s="9"/>
      <c r="M138" s="9"/>
      <c r="N138" s="9"/>
      <c r="O138" s="9"/>
      <c r="P138" s="9"/>
      <c r="Q138" s="9"/>
      <c r="R138" s="9"/>
      <c r="S138" s="9"/>
      <c r="T138" s="9"/>
      <c r="U138" s="9"/>
      <c r="V138" s="137"/>
      <c r="W138" s="150"/>
      <c r="AE138" s="82"/>
      <c r="AH138" s="184"/>
      <c r="AI138" s="184"/>
      <c r="AJ138" s="157"/>
    </row>
    <row r="139" spans="1:36" ht="11.25" customHeight="1" x14ac:dyDescent="0.2">
      <c r="A139" s="142"/>
      <c r="B139" s="1680"/>
      <c r="C139" s="1680"/>
      <c r="D139" s="1680"/>
      <c r="E139" s="1680"/>
      <c r="F139" s="1680"/>
      <c r="G139" s="1680"/>
      <c r="H139" s="1680"/>
      <c r="I139" s="1680"/>
      <c r="J139" s="9"/>
      <c r="K139" s="12"/>
      <c r="L139" s="9"/>
      <c r="M139" s="9"/>
      <c r="N139" s="9"/>
      <c r="O139" s="9"/>
      <c r="P139" s="9"/>
      <c r="Q139" s="9"/>
      <c r="R139" s="9"/>
      <c r="S139" s="9"/>
      <c r="T139" s="9"/>
      <c r="U139" s="9"/>
      <c r="V139" s="137"/>
      <c r="W139" s="150"/>
      <c r="AE139" s="82"/>
      <c r="AH139" s="184"/>
      <c r="AI139" s="184"/>
      <c r="AJ139" s="157"/>
    </row>
    <row r="140" spans="1:36" ht="11.25" customHeight="1" x14ac:dyDescent="0.2">
      <c r="A140" s="142"/>
      <c r="B140" s="1680" t="s">
        <v>20</v>
      </c>
      <c r="C140" s="1680"/>
      <c r="D140" s="1680"/>
      <c r="E140" s="1680"/>
      <c r="F140" s="1680"/>
      <c r="G140" s="1680"/>
      <c r="H140" s="1680"/>
      <c r="I140" s="1680"/>
      <c r="J140" s="9"/>
      <c r="K140" s="12"/>
      <c r="L140" s="9"/>
      <c r="M140" s="9"/>
      <c r="N140" s="9"/>
      <c r="O140" s="9"/>
      <c r="P140" s="9"/>
      <c r="Q140" s="9"/>
      <c r="R140" s="9"/>
      <c r="S140" s="9"/>
      <c r="T140" s="9"/>
      <c r="U140" s="9"/>
      <c r="V140" s="137"/>
      <c r="W140" s="150"/>
      <c r="AE140" s="82"/>
      <c r="AH140" s="184"/>
      <c r="AI140" s="184"/>
      <c r="AJ140" s="157"/>
    </row>
    <row r="141" spans="1:36" ht="11.25" customHeight="1" x14ac:dyDescent="0.2">
      <c r="A141" s="142"/>
      <c r="B141" s="1680"/>
      <c r="C141" s="1680"/>
      <c r="D141" s="1680"/>
      <c r="E141" s="1680"/>
      <c r="F141" s="1680"/>
      <c r="G141" s="1680"/>
      <c r="H141" s="1680"/>
      <c r="I141" s="1680"/>
      <c r="J141" s="9"/>
      <c r="K141" s="12"/>
      <c r="L141" s="9"/>
      <c r="M141" s="9"/>
      <c r="N141" s="9"/>
      <c r="O141" s="9"/>
      <c r="P141" s="9"/>
      <c r="Q141" s="9"/>
      <c r="R141" s="9"/>
      <c r="S141" s="9"/>
      <c r="T141" s="9"/>
      <c r="U141" s="9"/>
      <c r="V141" s="137"/>
      <c r="W141" s="150"/>
      <c r="AE141" s="82"/>
      <c r="AH141" s="184"/>
      <c r="AI141" s="184"/>
      <c r="AJ141" s="157"/>
    </row>
    <row r="142" spans="1:36" ht="11.25" customHeight="1" x14ac:dyDescent="0.2">
      <c r="A142" s="142"/>
      <c r="B142" s="1680" t="s">
        <v>26</v>
      </c>
      <c r="C142" s="1680"/>
      <c r="D142" s="1680"/>
      <c r="E142" s="1680"/>
      <c r="F142" s="1680"/>
      <c r="G142" s="1680"/>
      <c r="H142" s="1680"/>
      <c r="I142" s="1680"/>
      <c r="J142" s="9"/>
      <c r="K142" s="12"/>
      <c r="L142" s="9"/>
      <c r="M142" s="9"/>
      <c r="N142" s="9"/>
      <c r="O142" s="9"/>
      <c r="P142" s="9"/>
      <c r="Q142" s="9"/>
      <c r="R142" s="9"/>
      <c r="S142" s="9"/>
      <c r="T142" s="9"/>
      <c r="U142" s="9"/>
      <c r="V142" s="137"/>
      <c r="W142" s="150"/>
      <c r="AE142" s="82"/>
      <c r="AH142" s="184"/>
      <c r="AI142" s="184"/>
      <c r="AJ142" s="157"/>
    </row>
    <row r="143" spans="1:36" ht="11.25" customHeight="1" x14ac:dyDescent="0.2">
      <c r="A143" s="142"/>
      <c r="B143" s="1680"/>
      <c r="C143" s="1680"/>
      <c r="D143" s="1680"/>
      <c r="E143" s="1680"/>
      <c r="F143" s="1680"/>
      <c r="G143" s="1680"/>
      <c r="H143" s="1680"/>
      <c r="I143" s="1680"/>
      <c r="J143" s="9"/>
      <c r="K143" s="12"/>
      <c r="L143" s="9"/>
      <c r="M143" s="9"/>
      <c r="N143" s="9"/>
      <c r="O143" s="9"/>
      <c r="P143" s="9"/>
      <c r="Q143" s="9"/>
      <c r="R143" s="9"/>
      <c r="S143" s="9"/>
      <c r="T143" s="9"/>
      <c r="U143" s="9"/>
      <c r="V143" s="137"/>
      <c r="W143" s="150"/>
      <c r="AE143" s="82"/>
      <c r="AH143" s="184"/>
      <c r="AI143" s="184"/>
      <c r="AJ143" s="157"/>
    </row>
    <row r="144" spans="1:36" ht="11.25" customHeight="1" x14ac:dyDescent="0.2">
      <c r="A144" s="142"/>
      <c r="B144" s="1680" t="s">
        <v>21</v>
      </c>
      <c r="C144" s="1680"/>
      <c r="D144" s="1680"/>
      <c r="E144" s="1680"/>
      <c r="F144" s="1680"/>
      <c r="G144" s="1680"/>
      <c r="H144" s="1680"/>
      <c r="I144" s="1680"/>
      <c r="J144" s="9"/>
      <c r="K144" s="12"/>
      <c r="L144" s="9"/>
      <c r="M144" s="9"/>
      <c r="N144" s="9"/>
      <c r="O144" s="9"/>
      <c r="P144" s="9"/>
      <c r="Q144" s="9"/>
      <c r="R144" s="9"/>
      <c r="S144" s="9"/>
      <c r="T144" s="9"/>
      <c r="U144" s="9"/>
      <c r="V144" s="137"/>
      <c r="W144" s="150"/>
      <c r="AE144" s="82"/>
      <c r="AH144" s="184"/>
      <c r="AI144" s="184"/>
      <c r="AJ144" s="157"/>
    </row>
    <row r="145" spans="1:36" ht="11.25" customHeight="1" x14ac:dyDescent="0.2">
      <c r="A145" s="142"/>
      <c r="B145" s="1680"/>
      <c r="C145" s="1680"/>
      <c r="D145" s="1680"/>
      <c r="E145" s="1680"/>
      <c r="F145" s="1680"/>
      <c r="G145" s="1680"/>
      <c r="H145" s="1680"/>
      <c r="I145" s="1680"/>
      <c r="J145" s="9"/>
      <c r="K145" s="12"/>
      <c r="L145" s="9"/>
      <c r="M145" s="9"/>
      <c r="N145" s="9"/>
      <c r="O145" s="9"/>
      <c r="P145" s="9"/>
      <c r="Q145" s="9"/>
      <c r="R145" s="9"/>
      <c r="S145" s="9"/>
      <c r="T145" s="9"/>
      <c r="U145" s="9"/>
      <c r="V145" s="137"/>
      <c r="W145" s="150"/>
      <c r="AE145" s="82"/>
      <c r="AH145" s="184"/>
      <c r="AI145" s="184"/>
      <c r="AJ145" s="157"/>
    </row>
    <row r="146" spans="1:36" ht="18.75" customHeight="1" x14ac:dyDescent="0.2">
      <c r="A146" s="142"/>
      <c r="B146" s="1680" t="s">
        <v>905</v>
      </c>
      <c r="C146" s="1680"/>
      <c r="D146" s="1680"/>
      <c r="E146" s="1680"/>
      <c r="F146" s="1680"/>
      <c r="G146" s="1680"/>
      <c r="H146" s="1680"/>
      <c r="I146" s="1680"/>
      <c r="J146" s="9"/>
      <c r="K146" s="12"/>
      <c r="L146" s="9"/>
      <c r="M146" s="9"/>
      <c r="N146" s="9"/>
      <c r="O146" s="9"/>
      <c r="P146" s="9"/>
      <c r="Q146" s="9"/>
      <c r="R146" s="9"/>
      <c r="S146" s="9"/>
      <c r="T146" s="9"/>
      <c r="U146" s="9"/>
      <c r="V146" s="137"/>
      <c r="W146" s="150"/>
      <c r="AE146" s="82"/>
      <c r="AH146" s="184"/>
      <c r="AI146" s="184"/>
      <c r="AJ146" s="157"/>
    </row>
    <row r="147" spans="1:36" ht="11.25" customHeight="1" x14ac:dyDescent="0.2">
      <c r="A147" s="142"/>
      <c r="B147" s="1680"/>
      <c r="C147" s="1680"/>
      <c r="D147" s="1680"/>
      <c r="E147" s="1680"/>
      <c r="F147" s="1680"/>
      <c r="G147" s="1680"/>
      <c r="H147" s="1680"/>
      <c r="I147" s="1680"/>
      <c r="J147" s="9"/>
      <c r="K147" s="12"/>
      <c r="L147" s="9"/>
      <c r="M147" s="9"/>
      <c r="N147" s="9"/>
      <c r="O147" s="9"/>
      <c r="P147" s="9"/>
      <c r="Q147" s="9"/>
      <c r="R147" s="9"/>
      <c r="S147" s="9"/>
      <c r="T147" s="9"/>
      <c r="U147" s="9"/>
      <c r="V147" s="137"/>
      <c r="W147" s="150"/>
      <c r="AE147" s="82"/>
      <c r="AH147" s="184"/>
      <c r="AI147" s="184"/>
      <c r="AJ147" s="157"/>
    </row>
    <row r="148" spans="1:36" ht="11.25" customHeight="1" x14ac:dyDescent="0.2">
      <c r="A148" s="142"/>
      <c r="B148" s="1680" t="s">
        <v>666</v>
      </c>
      <c r="C148" s="1680"/>
      <c r="D148" s="1680"/>
      <c r="E148" s="1680"/>
      <c r="F148" s="1680"/>
      <c r="G148" s="1680"/>
      <c r="H148" s="1680"/>
      <c r="I148" s="1680"/>
      <c r="J148" s="9"/>
      <c r="K148" s="12"/>
      <c r="L148" s="9"/>
      <c r="M148" s="9"/>
      <c r="N148" s="9"/>
      <c r="O148" s="9"/>
      <c r="P148" s="9"/>
      <c r="Q148" s="9"/>
      <c r="R148" s="9"/>
      <c r="S148" s="9"/>
      <c r="T148" s="9"/>
      <c r="U148" s="9"/>
      <c r="V148" s="137"/>
      <c r="W148" s="150"/>
      <c r="AE148" s="82"/>
      <c r="AH148" s="184"/>
      <c r="AI148" s="184"/>
      <c r="AJ148" s="157"/>
    </row>
    <row r="149" spans="1:36" ht="11.25" customHeight="1" x14ac:dyDescent="0.2">
      <c r="A149" s="142"/>
      <c r="B149" s="1680"/>
      <c r="C149" s="1680"/>
      <c r="D149" s="1680"/>
      <c r="E149" s="1680"/>
      <c r="F149" s="1680"/>
      <c r="G149" s="1680"/>
      <c r="H149" s="1680"/>
      <c r="I149" s="1680"/>
      <c r="J149" s="9"/>
      <c r="K149" s="12"/>
      <c r="L149" s="9"/>
      <c r="M149" s="9"/>
      <c r="N149" s="9"/>
      <c r="O149" s="9"/>
      <c r="P149" s="9"/>
      <c r="Q149" s="9"/>
      <c r="R149" s="9"/>
      <c r="S149" s="9"/>
      <c r="T149" s="9"/>
      <c r="U149" s="9"/>
      <c r="V149" s="137"/>
      <c r="W149" s="150"/>
      <c r="AE149" s="82"/>
      <c r="AH149" s="184"/>
      <c r="AI149" s="184"/>
      <c r="AJ149" s="157"/>
    </row>
    <row r="150" spans="1:36" ht="11.25" customHeight="1" x14ac:dyDescent="0.2">
      <c r="A150" s="142"/>
      <c r="B150" s="1680" t="s">
        <v>32</v>
      </c>
      <c r="C150" s="1680"/>
      <c r="D150" s="1680"/>
      <c r="E150" s="1680"/>
      <c r="F150" s="1680"/>
      <c r="G150" s="1680"/>
      <c r="H150" s="1680"/>
      <c r="I150" s="1680"/>
      <c r="J150" s="9"/>
      <c r="K150" s="12"/>
      <c r="L150" s="9"/>
      <c r="M150" s="9"/>
      <c r="N150" s="9"/>
      <c r="O150" s="9"/>
      <c r="P150" s="9"/>
      <c r="Q150" s="9"/>
      <c r="R150" s="9"/>
      <c r="S150" s="9"/>
      <c r="T150" s="9"/>
      <c r="U150" s="9"/>
      <c r="V150" s="137"/>
      <c r="W150" s="150"/>
      <c r="AE150" s="82"/>
      <c r="AH150" s="184"/>
      <c r="AI150" s="184"/>
      <c r="AJ150" s="157"/>
    </row>
    <row r="151" spans="1:36" ht="11.25" customHeight="1" x14ac:dyDescent="0.2">
      <c r="A151" s="142"/>
      <c r="B151" s="1680"/>
      <c r="C151" s="1680"/>
      <c r="D151" s="1680"/>
      <c r="E151" s="1680"/>
      <c r="F151" s="1680"/>
      <c r="G151" s="1680"/>
      <c r="H151" s="1680"/>
      <c r="I151" s="1680"/>
      <c r="J151" s="9"/>
      <c r="K151" s="12"/>
      <c r="L151" s="9"/>
      <c r="M151" s="9"/>
      <c r="N151" s="9"/>
      <c r="O151" s="9"/>
      <c r="P151" s="9"/>
      <c r="Q151" s="9"/>
      <c r="R151" s="9"/>
      <c r="S151" s="9"/>
      <c r="T151" s="9"/>
      <c r="U151" s="9"/>
      <c r="V151" s="137"/>
      <c r="W151" s="150"/>
      <c r="AE151" s="82"/>
      <c r="AH151" s="184"/>
      <c r="AI151" s="184"/>
      <c r="AJ151" s="157"/>
    </row>
    <row r="152" spans="1:36" ht="11.25" customHeight="1" x14ac:dyDescent="0.2">
      <c r="A152" s="142"/>
      <c r="B152" s="1680" t="s">
        <v>642</v>
      </c>
      <c r="C152" s="1680"/>
      <c r="D152" s="1680"/>
      <c r="E152" s="1680"/>
      <c r="F152" s="1680"/>
      <c r="G152" s="1680"/>
      <c r="H152" s="1680"/>
      <c r="I152" s="1680"/>
      <c r="J152" s="9"/>
      <c r="K152" s="12"/>
      <c r="L152" s="9"/>
      <c r="M152" s="9"/>
      <c r="N152" s="9"/>
      <c r="O152" s="9"/>
      <c r="P152" s="9"/>
      <c r="Q152" s="9"/>
      <c r="R152" s="9"/>
      <c r="S152" s="9"/>
      <c r="T152" s="9"/>
      <c r="U152" s="9"/>
      <c r="V152" s="137"/>
      <c r="W152" s="150"/>
      <c r="AE152" s="82"/>
      <c r="AH152" s="184"/>
      <c r="AI152" s="184"/>
      <c r="AJ152" s="157"/>
    </row>
    <row r="153" spans="1:36" ht="11.25" customHeight="1" x14ac:dyDescent="0.2">
      <c r="A153" s="142"/>
      <c r="B153" s="1680"/>
      <c r="C153" s="1680"/>
      <c r="D153" s="1680"/>
      <c r="E153" s="1680"/>
      <c r="F153" s="1680"/>
      <c r="G153" s="1680"/>
      <c r="H153" s="1680"/>
      <c r="I153" s="1680"/>
      <c r="J153" s="9"/>
      <c r="K153" s="12"/>
      <c r="L153" s="9"/>
      <c r="M153" s="9"/>
      <c r="N153" s="9"/>
      <c r="O153" s="9"/>
      <c r="P153" s="9"/>
      <c r="Q153" s="9"/>
      <c r="R153" s="9"/>
      <c r="S153" s="9"/>
      <c r="T153" s="9"/>
      <c r="U153" s="9"/>
      <c r="V153" s="137"/>
      <c r="W153" s="150"/>
      <c r="AE153" s="82"/>
      <c r="AH153" s="184"/>
      <c r="AI153" s="184"/>
      <c r="AJ153" s="157"/>
    </row>
    <row r="154" spans="1:36" ht="11.25" customHeight="1" x14ac:dyDescent="0.2">
      <c r="A154" s="142"/>
      <c r="B154" s="1680" t="s">
        <v>795</v>
      </c>
      <c r="C154" s="1680"/>
      <c r="D154" s="1680"/>
      <c r="E154" s="1680"/>
      <c r="F154" s="1680"/>
      <c r="G154" s="1680"/>
      <c r="H154" s="1680"/>
      <c r="I154" s="1680"/>
      <c r="J154" s="9"/>
      <c r="K154" s="12"/>
      <c r="L154" s="9"/>
      <c r="M154" s="9"/>
      <c r="N154" s="9"/>
      <c r="O154" s="9"/>
      <c r="P154" s="9"/>
      <c r="Q154" s="9"/>
      <c r="R154" s="9"/>
      <c r="S154" s="9"/>
      <c r="T154" s="9"/>
      <c r="U154" s="9"/>
      <c r="V154" s="137"/>
      <c r="W154" s="150"/>
      <c r="AE154" s="82"/>
      <c r="AH154" s="184"/>
      <c r="AI154" s="184"/>
      <c r="AJ154" s="157"/>
    </row>
    <row r="155" spans="1:36" ht="11.25" customHeight="1" x14ac:dyDescent="0.2">
      <c r="A155" s="142"/>
      <c r="B155" s="1680"/>
      <c r="C155" s="1680"/>
      <c r="D155" s="1680"/>
      <c r="E155" s="1680"/>
      <c r="F155" s="1680"/>
      <c r="G155" s="1680"/>
      <c r="H155" s="1680"/>
      <c r="I155" s="1680"/>
      <c r="J155" s="9"/>
      <c r="K155" s="12"/>
      <c r="L155" s="9"/>
      <c r="M155" s="9"/>
      <c r="N155" s="9"/>
      <c r="O155" s="9"/>
      <c r="P155" s="9"/>
      <c r="Q155" s="9"/>
      <c r="R155" s="9"/>
      <c r="S155" s="9"/>
      <c r="T155" s="9"/>
      <c r="U155" s="9"/>
      <c r="V155" s="137"/>
      <c r="W155" s="150"/>
      <c r="AE155" s="82"/>
      <c r="AH155" s="184"/>
      <c r="AI155" s="184"/>
      <c r="AJ155" s="157"/>
    </row>
    <row r="156" spans="1:36" ht="11.25" customHeight="1" x14ac:dyDescent="0.2">
      <c r="A156" s="142"/>
      <c r="B156" s="1680" t="s">
        <v>672</v>
      </c>
      <c r="C156" s="1680"/>
      <c r="D156" s="1680"/>
      <c r="E156" s="1680"/>
      <c r="F156" s="1680"/>
      <c r="G156" s="1680"/>
      <c r="H156" s="1680"/>
      <c r="I156" s="1680"/>
      <c r="J156" s="9"/>
      <c r="K156" s="12"/>
      <c r="L156" s="9"/>
      <c r="M156" s="9"/>
      <c r="N156" s="9"/>
      <c r="O156" s="9"/>
      <c r="P156" s="9"/>
      <c r="Q156" s="9"/>
      <c r="R156" s="9"/>
      <c r="S156" s="9"/>
      <c r="T156" s="9"/>
      <c r="U156" s="9"/>
      <c r="V156" s="137"/>
      <c r="W156" s="150"/>
      <c r="AE156" s="82"/>
      <c r="AH156" s="184"/>
      <c r="AI156" s="184"/>
      <c r="AJ156" s="157"/>
    </row>
    <row r="157" spans="1:36" ht="11.25" customHeight="1" x14ac:dyDescent="0.2">
      <c r="A157" s="142"/>
      <c r="B157" s="1680"/>
      <c r="C157" s="1680"/>
      <c r="D157" s="1680"/>
      <c r="E157" s="1680"/>
      <c r="F157" s="1680"/>
      <c r="G157" s="1680"/>
      <c r="H157" s="1680"/>
      <c r="I157" s="1680"/>
      <c r="J157" s="9"/>
      <c r="K157" s="12"/>
      <c r="L157" s="9"/>
      <c r="M157" s="9"/>
      <c r="N157" s="9"/>
      <c r="O157" s="9"/>
      <c r="P157" s="9"/>
      <c r="Q157" s="9"/>
      <c r="R157" s="9"/>
      <c r="S157" s="9"/>
      <c r="T157" s="9"/>
      <c r="U157" s="9"/>
      <c r="V157" s="137"/>
      <c r="W157" s="150"/>
      <c r="AE157" s="82"/>
      <c r="AH157" s="184"/>
      <c r="AI157" s="184"/>
      <c r="AJ157" s="157"/>
    </row>
    <row r="158" spans="1:36" ht="11.25" customHeight="1" x14ac:dyDescent="0.2">
      <c r="A158" s="142"/>
      <c r="B158" s="1680" t="s">
        <v>906</v>
      </c>
      <c r="C158" s="1680"/>
      <c r="D158" s="1680"/>
      <c r="E158" s="1680"/>
      <c r="F158" s="1680"/>
      <c r="G158" s="1680"/>
      <c r="H158" s="1680"/>
      <c r="I158" s="1680"/>
      <c r="J158" s="9"/>
      <c r="K158" s="12"/>
      <c r="L158" s="9"/>
      <c r="M158" s="9"/>
      <c r="N158" s="9"/>
      <c r="O158" s="9"/>
      <c r="P158" s="9"/>
      <c r="Q158" s="9"/>
      <c r="R158" s="9"/>
      <c r="S158" s="9"/>
      <c r="T158" s="9"/>
      <c r="U158" s="9"/>
      <c r="V158" s="137"/>
      <c r="W158" s="150"/>
      <c r="AE158" s="82"/>
      <c r="AH158" s="184"/>
      <c r="AI158" s="184"/>
      <c r="AJ158" s="157"/>
    </row>
    <row r="159" spans="1:36" ht="11.25" customHeight="1" x14ac:dyDescent="0.2">
      <c r="A159" s="142"/>
      <c r="B159" s="1680"/>
      <c r="C159" s="1680"/>
      <c r="D159" s="1680"/>
      <c r="E159" s="1680"/>
      <c r="F159" s="1680"/>
      <c r="G159" s="1680"/>
      <c r="H159" s="1680"/>
      <c r="I159" s="1680"/>
      <c r="J159" s="9"/>
      <c r="K159" s="12"/>
      <c r="L159" s="9"/>
      <c r="M159" s="9"/>
      <c r="N159" s="9"/>
      <c r="O159" s="9"/>
      <c r="P159" s="9"/>
      <c r="Q159" s="9"/>
      <c r="R159" s="9"/>
      <c r="S159" s="9"/>
      <c r="T159" s="9"/>
      <c r="U159" s="9"/>
      <c r="V159" s="137"/>
      <c r="W159" s="150"/>
      <c r="AE159" s="82"/>
      <c r="AH159" s="184"/>
      <c r="AI159" s="184"/>
      <c r="AJ159" s="157"/>
    </row>
    <row r="160" spans="1:36" ht="11.25" customHeight="1" x14ac:dyDescent="0.2">
      <c r="A160" s="142"/>
      <c r="B160" s="1680" t="s">
        <v>907</v>
      </c>
      <c r="C160" s="1680"/>
      <c r="D160" s="1680"/>
      <c r="E160" s="1680"/>
      <c r="F160" s="1680"/>
      <c r="G160" s="1680"/>
      <c r="H160" s="1680"/>
      <c r="I160" s="1680"/>
      <c r="J160" s="9"/>
      <c r="K160" s="12"/>
      <c r="L160" s="9"/>
      <c r="M160" s="9"/>
      <c r="N160" s="9"/>
      <c r="O160" s="9"/>
      <c r="P160" s="9"/>
      <c r="Q160" s="9"/>
      <c r="R160" s="9"/>
      <c r="S160" s="9"/>
      <c r="T160" s="9"/>
      <c r="U160" s="9"/>
      <c r="V160" s="137"/>
      <c r="W160" s="150"/>
      <c r="AE160" s="82"/>
      <c r="AH160" s="184"/>
      <c r="AI160" s="184"/>
      <c r="AJ160" s="157"/>
    </row>
    <row r="161" spans="1:36" ht="11.25" customHeight="1" x14ac:dyDescent="0.2">
      <c r="A161" s="142"/>
      <c r="B161" s="1680"/>
      <c r="C161" s="1680"/>
      <c r="D161" s="1680"/>
      <c r="E161" s="1680"/>
      <c r="F161" s="1680"/>
      <c r="G161" s="1680"/>
      <c r="H161" s="1680"/>
      <c r="I161" s="1680"/>
      <c r="J161" s="9"/>
      <c r="K161" s="12"/>
      <c r="L161" s="9"/>
      <c r="M161" s="9"/>
      <c r="N161" s="9"/>
      <c r="O161" s="9"/>
      <c r="P161" s="9"/>
      <c r="Q161" s="9"/>
      <c r="R161" s="9"/>
      <c r="S161" s="9"/>
      <c r="T161" s="9"/>
      <c r="U161" s="9"/>
      <c r="V161" s="137"/>
      <c r="W161" s="150"/>
      <c r="AE161" s="82"/>
      <c r="AH161" s="184"/>
      <c r="AI161" s="184"/>
      <c r="AJ161" s="157"/>
    </row>
    <row r="162" spans="1:36" ht="11.25" customHeight="1" x14ac:dyDescent="0.2">
      <c r="A162" s="1273"/>
      <c r="B162" s="1274"/>
      <c r="C162" s="1275"/>
      <c r="D162" s="1275"/>
      <c r="E162" s="1275"/>
      <c r="F162" s="1275"/>
      <c r="G162" s="1275"/>
      <c r="H162" s="1275"/>
      <c r="I162" s="1275"/>
      <c r="J162" s="201"/>
      <c r="K162" s="1276"/>
      <c r="L162" s="201"/>
      <c r="M162" s="201"/>
      <c r="N162" s="201"/>
      <c r="O162" s="201"/>
      <c r="P162" s="201"/>
      <c r="Q162" s="201"/>
      <c r="R162" s="201"/>
      <c r="S162" s="201"/>
      <c r="T162" s="201"/>
      <c r="U162" s="201"/>
      <c r="V162" s="1277"/>
      <c r="W162" s="1271"/>
      <c r="X162" s="200"/>
      <c r="Y162" s="200"/>
      <c r="Z162" s="200"/>
      <c r="AA162" s="200"/>
      <c r="AB162" s="200"/>
      <c r="AC162" s="200"/>
      <c r="AD162" s="200"/>
      <c r="AE162" s="1278"/>
      <c r="AF162" s="200"/>
      <c r="AG162" s="200"/>
      <c r="AH162" s="201"/>
      <c r="AI162" s="201"/>
      <c r="AJ162" s="251"/>
    </row>
    <row r="275" spans="37:37" ht="11.25" customHeight="1" x14ac:dyDescent="0.2">
      <c r="AK275" s="74" t="b">
        <v>1</v>
      </c>
    </row>
  </sheetData>
  <mergeCells count="55">
    <mergeCell ref="B154:I155"/>
    <mergeCell ref="B156:I157"/>
    <mergeCell ref="B158:I159"/>
    <mergeCell ref="B160:I161"/>
    <mergeCell ref="B140:I141"/>
    <mergeCell ref="B142:I143"/>
    <mergeCell ref="B144:I145"/>
    <mergeCell ref="B146:I147"/>
    <mergeCell ref="B148:I149"/>
    <mergeCell ref="B150:I151"/>
    <mergeCell ref="B152:I153"/>
    <mergeCell ref="B136:I137"/>
    <mergeCell ref="B138:I139"/>
    <mergeCell ref="B118:I119"/>
    <mergeCell ref="B120:I121"/>
    <mergeCell ref="B122:I123"/>
    <mergeCell ref="B124:I125"/>
    <mergeCell ref="B126:I127"/>
    <mergeCell ref="B132:I133"/>
    <mergeCell ref="B134:I135"/>
    <mergeCell ref="B128:I129"/>
    <mergeCell ref="B130:I131"/>
    <mergeCell ref="AX37:AX39"/>
    <mergeCell ref="A104:U104"/>
    <mergeCell ref="A105:U105"/>
    <mergeCell ref="A69:U69"/>
    <mergeCell ref="A70:U70"/>
    <mergeCell ref="A37:U37"/>
    <mergeCell ref="AR37:AR39"/>
    <mergeCell ref="AQ37:AQ39"/>
    <mergeCell ref="K64:L64"/>
    <mergeCell ref="B74:B75"/>
    <mergeCell ref="B72:I73"/>
    <mergeCell ref="M64:T64"/>
    <mergeCell ref="B5:T6"/>
    <mergeCell ref="Z8:Z9"/>
    <mergeCell ref="Y8:Y9"/>
    <mergeCell ref="Q63:T63"/>
    <mergeCell ref="K63:L63"/>
    <mergeCell ref="M63:O63"/>
    <mergeCell ref="L7:R7"/>
    <mergeCell ref="B34:T34"/>
    <mergeCell ref="A36:U36"/>
    <mergeCell ref="R8:R9"/>
    <mergeCell ref="T7:T9"/>
    <mergeCell ref="B7:B9"/>
    <mergeCell ref="P9:Q9"/>
    <mergeCell ref="P8:Q8"/>
    <mergeCell ref="I7:J9"/>
    <mergeCell ref="D7:H7"/>
    <mergeCell ref="B108:I109"/>
    <mergeCell ref="B110:I111"/>
    <mergeCell ref="B112:I113"/>
    <mergeCell ref="B114:I115"/>
    <mergeCell ref="B116:I117"/>
  </mergeCells>
  <conditionalFormatting sqref="Y75:AG75">
    <cfRule type="cellIs" dxfId="966" priority="45" stopIfTrue="1" operator="equal">
      <formula>0</formula>
    </cfRule>
  </conditionalFormatting>
  <conditionalFormatting sqref="B10:B31 L10:P31 T10:T31 B50:C65">
    <cfRule type="containsErrors" dxfId="965" priority="46">
      <formula>ISERROR(B10)</formula>
    </cfRule>
  </conditionalFormatting>
  <conditionalFormatting sqref="B32">
    <cfRule type="expression" dxfId="964" priority="47" stopIfTrue="1">
      <formula>$B32=$Y$4</formula>
    </cfRule>
  </conditionalFormatting>
  <conditionalFormatting sqref="B76:B97 D76:H97">
    <cfRule type="containsErrors" dxfId="963" priority="48">
      <formula>ISERROR(B76)</formula>
    </cfRule>
  </conditionalFormatting>
  <conditionalFormatting sqref="T10:T31 L10:P31 B10:B31 AF10:AG21 R10:R31 AG11:AG28 J10:J32 D10:I31 Q10:Q32 B76:B97 D76:H97">
    <cfRule type="expression" dxfId="962" priority="39">
      <formula>$B10=$Y$4</formula>
    </cfRule>
  </conditionalFormatting>
  <conditionalFormatting sqref="A10:A31">
    <cfRule type="cellIs" dxfId="961" priority="37" operator="equal">
      <formula>0</formula>
    </cfRule>
  </conditionalFormatting>
  <conditionalFormatting sqref="A76:A97">
    <cfRule type="cellIs" dxfId="960" priority="35" operator="equal">
      <formula>0</formula>
    </cfRule>
  </conditionalFormatting>
  <conditionalFormatting sqref="AH75">
    <cfRule type="cellIs" dxfId="959" priority="34" stopIfTrue="1" operator="equal">
      <formula>0</formula>
    </cfRule>
  </conditionalFormatting>
  <conditionalFormatting sqref="A1:A36 A38:A69 A71:A104 A163:A1048576">
    <cfRule type="containsErrors" dxfId="958" priority="33">
      <formula>ISERROR(A1)</formula>
    </cfRule>
  </conditionalFormatting>
  <conditionalFormatting sqref="D10:H31">
    <cfRule type="containsErrors" dxfId="957" priority="32">
      <formula>ISERROR(D10)</formula>
    </cfRule>
  </conditionalFormatting>
  <conditionalFormatting sqref="AF10:AG28">
    <cfRule type="containsErrors" dxfId="956" priority="30">
      <formula>ISERROR(AF10)</formula>
    </cfRule>
  </conditionalFormatting>
  <conditionalFormatting sqref="A37">
    <cfRule type="containsErrors" dxfId="955" priority="28">
      <formula>ISERROR(A37)</formula>
    </cfRule>
  </conditionalFormatting>
  <conditionalFormatting sqref="A70">
    <cfRule type="containsErrors" dxfId="954" priority="27">
      <formula>ISERROR(A70)</formula>
    </cfRule>
  </conditionalFormatting>
  <conditionalFormatting sqref="A105">
    <cfRule type="containsErrors" dxfId="953" priority="25">
      <formula>ISERROR(A105)</formula>
    </cfRule>
  </conditionalFormatting>
  <conditionalFormatting sqref="L32:P32 T32 D98:H98 D32:H32 R32">
    <cfRule type="containsErrors" dxfId="952" priority="24">
      <formula>ISERROR(D32)</formula>
    </cfRule>
  </conditionalFormatting>
  <conditionalFormatting sqref="R10:R31">
    <cfRule type="containsErrors" dxfId="951" priority="51">
      <formula>ISERROR(R10)</formula>
    </cfRule>
  </conditionalFormatting>
  <conditionalFormatting sqref="K8:P8 L9:P9 D8:H9">
    <cfRule type="containsErrors" dxfId="950" priority="52">
      <formula>ISERROR(D8)</formula>
    </cfRule>
  </conditionalFormatting>
  <conditionalFormatting sqref="D74:H75">
    <cfRule type="containsErrors" dxfId="949" priority="53">
      <formula>ISERROR(D74)</formula>
    </cfRule>
  </conditionalFormatting>
  <conditionalFormatting sqref="Z3:AD3">
    <cfRule type="containsErrors" dxfId="948" priority="16">
      <formula>ISERROR(Z3)</formula>
    </cfRule>
  </conditionalFormatting>
  <conditionalFormatting sqref="Z2:AD2">
    <cfRule type="containsErrors" dxfId="947" priority="15">
      <formula>ISERROR(Z2)</formula>
    </cfRule>
  </conditionalFormatting>
  <conditionalFormatting sqref="J10:J32">
    <cfRule type="containsErrors" dxfId="946" priority="11">
      <formula>ISERROR(J10)</formula>
    </cfRule>
  </conditionalFormatting>
  <conditionalFormatting sqref="J32">
    <cfRule type="containsErrors" dxfId="945" priority="9">
      <formula>ISERROR(J32)</formula>
    </cfRule>
  </conditionalFormatting>
  <conditionalFormatting sqref="J10:J32">
    <cfRule type="dataBar" priority="12">
      <dataBar showValue="0">
        <cfvo type="min"/>
        <cfvo type="max"/>
        <color theme="9"/>
      </dataBar>
      <extLst>
        <ext xmlns:x14="http://schemas.microsoft.com/office/spreadsheetml/2009/9/main" uri="{B025F937-C7B1-47D3-B67F-A62EFF666E3E}">
          <x14:id>{1275F260-656B-44AE-AFE7-3B07044975E4}</x14:id>
        </ext>
      </extLst>
    </cfRule>
  </conditionalFormatting>
  <conditionalFormatting sqref="I10:I31">
    <cfRule type="containsErrors" dxfId="944" priority="7">
      <formula>ISERROR(I10)</formula>
    </cfRule>
  </conditionalFormatting>
  <conditionalFormatting sqref="I32">
    <cfRule type="containsErrors" dxfId="943" priority="6">
      <formula>ISERROR(I32)</formula>
    </cfRule>
  </conditionalFormatting>
  <conditionalFormatting sqref="Q32">
    <cfRule type="containsErrors" dxfId="942" priority="4">
      <formula>ISERROR(Q32)</formula>
    </cfRule>
  </conditionalFormatting>
  <conditionalFormatting sqref="Q10:Q32">
    <cfRule type="containsErrors" dxfId="941" priority="2">
      <formula>ISERROR(Q10)</formula>
    </cfRule>
    <cfRule type="dataBar" priority="3">
      <dataBar showValue="0">
        <cfvo type="min"/>
        <cfvo type="max"/>
        <color theme="9"/>
      </dataBar>
      <extLst>
        <ext xmlns:x14="http://schemas.microsoft.com/office/spreadsheetml/2009/9/main" uri="{B025F937-C7B1-47D3-B67F-A62EFF666E3E}">
          <x14:id>{9257B7A5-AE46-4B7D-A1F5-D5035B4161C1}</x14:id>
        </ext>
      </extLst>
    </cfRule>
  </conditionalFormatting>
  <conditionalFormatting sqref="AA8:AE9">
    <cfRule type="cellIs" dxfId="940" priority="1" stopIfTrue="1" operator="equal">
      <formula>0</formula>
    </cfRule>
  </conditionalFormatting>
  <hyperlinks>
    <hyperlink ref="B112:H113" location="IDACI!A1" display="IDACI" xr:uid="{00000000-0004-0000-0F00-000000000000}"/>
    <hyperlink ref="B144:I145" location="ROSGO!A1" display="Child Arrangement &amp; Special Guardianship Orders" xr:uid="{00000000-0004-0000-0F00-000001000000}"/>
    <hyperlink ref="B116:G117" location="EH_Referrals!A1" display="Early Help Referrals" xr:uid="{00000000-0004-0000-0F00-000002000000}"/>
    <hyperlink ref="B118:G119" location="EH_Assessments!A1" display="Early Help Assessments" xr:uid="{00000000-0004-0000-0F00-000003000000}"/>
    <hyperlink ref="B120:G121" location="EH_Clients!A1" display="Early Help Clients" xr:uid="{00000000-0004-0000-0F00-000004000000}"/>
    <hyperlink ref="B144:E145" location="ROSGO!A1" display="Child Arrangement &amp; Special Guardianship Orders" xr:uid="{00000000-0004-0000-0F00-000005000000}"/>
    <hyperlink ref="B116:E117" location="EH_Referrals!A1" display="Early Help Referrals" xr:uid="{00000000-0004-0000-0F00-000006000000}"/>
    <hyperlink ref="B118:E119" location="EH_Assessments!A1" display="Early Help Assessments" xr:uid="{00000000-0004-0000-0F00-000007000000}"/>
    <hyperlink ref="B120:E121" location="EH_Clients!A1" display="Early Help Clients" xr:uid="{00000000-0004-0000-0F00-000008000000}"/>
    <hyperlink ref="B114:D115" location="IDACI!A1" display="IDACI" xr:uid="{00000000-0004-0000-0F00-000009000000}"/>
    <hyperlink ref="B152:D153" location="ROSGO!A1" display="Child Arrangement &amp; Special Guardianship Orders" xr:uid="{00000000-0004-0000-0F00-00000A000000}"/>
    <hyperlink ref="B120:D121" location="EH_Referrals!A1" display="Early Help Referrals" xr:uid="{00000000-0004-0000-0F00-00000B000000}"/>
    <hyperlink ref="B122:D123" location="EH_Assessments!A1" display="Early Help Assessments" xr:uid="{00000000-0004-0000-0F00-00000C000000}"/>
    <hyperlink ref="B124:D125" location="EH_Clients!A1" display="Early Help Clients" xr:uid="{00000000-0004-0000-0F00-00000D000000}"/>
    <hyperlink ref="B110:D111" location="Indicators!A1" display="Indicators" xr:uid="{00000000-0004-0000-0F00-00000E000000}"/>
    <hyperlink ref="B118:D119" location="Contacts!A1" display="Contacts" xr:uid="{00000000-0004-0000-0F00-00000F000000}"/>
    <hyperlink ref="B146:D147" location="New_Ceased_LAC!A1" display="New/ Ceased Looked After Children" xr:uid="{00000000-0004-0000-0F00-000010000000}"/>
    <hyperlink ref="B148:D149" location="Care_Leavers!A1" display="Care Leavers" xr:uid="{00000000-0004-0000-0F00-000011000000}"/>
    <hyperlink ref="B160:D161" location="EHE_CME!A1" display="Elective Home Education &amp; Children Missing Education" xr:uid="{00000000-0004-0000-0F00-000012000000}"/>
    <hyperlink ref="B154:D155" location="NEET!A1" display="Participation (NEET)" xr:uid="{00000000-0004-0000-0F00-000013000000}"/>
    <hyperlink ref="B156:D157" location="Offending!A1" display="Offending" xr:uid="{00000000-0004-0000-0F00-000014000000}"/>
    <hyperlink ref="B158:D159" location="EHCP!A1" display="Education Health and Care Plans (EHCP)" xr:uid="{00000000-0004-0000-0F00-000015000000}"/>
    <hyperlink ref="B112:B113" location="Coverage!A1" display="Participating LA's" xr:uid="{00000000-0004-0000-0F00-000016000000}"/>
    <hyperlink ref="B114:B115" location="IDACI!A1" display="IDACI" xr:uid="{00000000-0004-0000-0F00-000017000000}"/>
    <hyperlink ref="B150:B151" location="Adoption!A1" display="Adoption" xr:uid="{00000000-0004-0000-0F00-000018000000}"/>
    <hyperlink ref="B144:B145" location="'Looked After Children'!A1" display="Looked After Children" xr:uid="{00000000-0004-0000-0F00-000019000000}"/>
    <hyperlink ref="B142:B143" location="'Court Applications'!A1" display="Court Applications" xr:uid="{00000000-0004-0000-0F00-00001A000000}"/>
    <hyperlink ref="B140:B141" location="'Child Protection Plans'!A1" display="Child Protection Plans" xr:uid="{00000000-0004-0000-0F00-00001B000000}"/>
    <hyperlink ref="B138:B139" location="'Initial CP Conferences'!A1" display="Initial Child Protection Conferences" xr:uid="{00000000-0004-0000-0F00-00001C000000}"/>
    <hyperlink ref="B136:B137" location="'Section 47 Enquiries'!A1" display="Section 47 Enquiries" xr:uid="{00000000-0004-0000-0F00-00001D000000}"/>
    <hyperlink ref="B134:B135" location="'Children in Need'!A1" display="Children in Need" xr:uid="{00000000-0004-0000-0F00-00001E000000}"/>
    <hyperlink ref="B132:B133" location="Assessments!A1" display="Assessments" xr:uid="{00000000-0004-0000-0F00-00001F000000}"/>
    <hyperlink ref="B130:B131" location="'Re-referrals'!A1" display="Re-referrals" xr:uid="{00000000-0004-0000-0F00-000020000000}"/>
    <hyperlink ref="B128:B129" location="Referral_Source!A1" display="Referral Source" xr:uid="{00000000-0004-0000-0F00-000021000000}"/>
    <hyperlink ref="B126:B127" location="Referrals!A1" display="Referrals" xr:uid="{00000000-0004-0000-0F00-000022000000}"/>
    <hyperlink ref="B116:B117" location="Population!A1" display="Population" xr:uid="{00000000-0004-0000-0F00-000023000000}"/>
    <hyperlink ref="B114:C115" location="IDACI!A1" display="IDACI" xr:uid="{00000000-0004-0000-0F00-000024000000}"/>
    <hyperlink ref="B152:B153" location="Adoption!A1" display="Adoption" xr:uid="{00000000-0004-0000-0F00-000025000000}"/>
    <hyperlink ref="B152:C153" location="ROSGO!A1" display="Child Arrangement &amp; Special Guardianship Orders" xr:uid="{00000000-0004-0000-0F00-000026000000}"/>
    <hyperlink ref="B120:B121" location="CAF_EHA!A1" display="CAF (EHA's)" xr:uid="{00000000-0004-0000-0F00-000027000000}"/>
    <hyperlink ref="B124:B125" location="CAF_EHA!A1" display="CAF (EHA's)" xr:uid="{00000000-0004-0000-0F00-000028000000}"/>
    <hyperlink ref="B122:B123" location="CAF_EHA!A1" display="CAF (EHA's)" xr:uid="{00000000-0004-0000-0F00-000029000000}"/>
    <hyperlink ref="B120:C121" location="EH_Referrals!A1" display="Early Help Referrals" xr:uid="{00000000-0004-0000-0F00-00002A000000}"/>
    <hyperlink ref="B122:C123" location="EH_Assessments!A1" display="Early Help Assessments" xr:uid="{00000000-0004-0000-0F00-00002B000000}"/>
    <hyperlink ref="B124:C125" location="EH_Clients!A1" display="Early Help Clients" xr:uid="{00000000-0004-0000-0F00-00002C000000}"/>
    <hyperlink ref="B110:B111" location="Coverage!A1" display="Participating LA's" xr:uid="{00000000-0004-0000-0F00-00002D000000}"/>
    <hyperlink ref="B110:C111" location="Indicators!A1" display="Indicators" xr:uid="{00000000-0004-0000-0F00-00002E000000}"/>
    <hyperlink ref="B118:B119" location="Population!A1" display="Population" xr:uid="{00000000-0004-0000-0F00-00002F000000}"/>
    <hyperlink ref="B118:C119" location="Contacts!A1" display="Contacts" xr:uid="{00000000-0004-0000-0F00-000030000000}"/>
    <hyperlink ref="B148:B149" location="'Looked After Children'!A1" display="Looked After Children" xr:uid="{00000000-0004-0000-0F00-000031000000}"/>
    <hyperlink ref="B146:B147" location="'Court Applications'!A1" display="Court Applications" xr:uid="{00000000-0004-0000-0F00-000032000000}"/>
    <hyperlink ref="B146:C147" location="New_Ceased_LAC!A1" display="New/ Ceased Looked After Children" xr:uid="{00000000-0004-0000-0F00-000033000000}"/>
    <hyperlink ref="B148:C149" location="Care_Leavers!A1" display="Care Leavers" xr:uid="{00000000-0004-0000-0F00-000034000000}"/>
    <hyperlink ref="B159:B161" location="Adoption!A1" display="Adoption" xr:uid="{00000000-0004-0000-0F00-000035000000}"/>
    <hyperlink ref="B156:B157" location="'Looked After Children'!A1" display="Looked After Children" xr:uid="{00000000-0004-0000-0F00-000036000000}"/>
    <hyperlink ref="B154:B155" location="'Court Applications'!A1" display="Court Applications" xr:uid="{00000000-0004-0000-0F00-000037000000}"/>
    <hyperlink ref="B154:C155" location="NEET!A1" display="Participation (NEET)" xr:uid="{00000000-0004-0000-0F00-000038000000}"/>
    <hyperlink ref="B156:C157" location="Offending!A1" display="Offending" xr:uid="{00000000-0004-0000-0F00-000039000000}"/>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18" man="1"/>
    <brk id="70" max="18" man="1"/>
  </rowBreaks>
  <ignoredErrors>
    <ignoredError sqref="A76:A101 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24929" r:id="rId4" name="Check Box 1">
              <controlPr defaultSize="0" autoFill="0" autoLine="0" autoPict="0" altText="">
                <anchor>
                  <from>
                    <xdr:col>22</xdr:col>
                    <xdr:colOff>104775</xdr:colOff>
                    <xdr:row>38</xdr:row>
                    <xdr:rowOff>28575</xdr:rowOff>
                  </from>
                  <to>
                    <xdr:col>35</xdr:col>
                    <xdr:colOff>76200</xdr:colOff>
                    <xdr:row>40</xdr:row>
                    <xdr:rowOff>9525</xdr:rowOff>
                  </to>
                </anchor>
              </controlPr>
            </control>
          </mc:Choice>
        </mc:AlternateContent>
        <mc:AlternateContent xmlns:mc="http://schemas.openxmlformats.org/markup-compatibility/2006">
          <mc:Choice Requires="x14">
            <control shapeId="124930" r:id="rId5" name="Check Box 2">
              <controlPr defaultSize="0" autoFill="0" autoLine="0" autoPict="0" altText="">
                <anchor>
                  <from>
                    <xdr:col>22</xdr:col>
                    <xdr:colOff>104775</xdr:colOff>
                    <xdr:row>39</xdr:row>
                    <xdr:rowOff>152400</xdr:rowOff>
                  </from>
                  <to>
                    <xdr:col>35</xdr:col>
                    <xdr:colOff>76200</xdr:colOff>
                    <xdr:row>41</xdr:row>
                    <xdr:rowOff>9525</xdr:rowOff>
                  </to>
                </anchor>
              </controlPr>
            </control>
          </mc:Choice>
        </mc:AlternateContent>
        <mc:AlternateContent xmlns:mc="http://schemas.openxmlformats.org/markup-compatibility/2006">
          <mc:Choice Requires="x14">
            <control shapeId="124931" r:id="rId6" name="Check Box 3">
              <controlPr defaultSize="0" autoFill="0" autoLine="0" autoPict="0" altText="">
                <anchor>
                  <from>
                    <xdr:col>22</xdr:col>
                    <xdr:colOff>104775</xdr:colOff>
                    <xdr:row>40</xdr:row>
                    <xdr:rowOff>152400</xdr:rowOff>
                  </from>
                  <to>
                    <xdr:col>35</xdr:col>
                    <xdr:colOff>76200</xdr:colOff>
                    <xdr:row>42</xdr:row>
                    <xdr:rowOff>9525</xdr:rowOff>
                  </to>
                </anchor>
              </controlPr>
            </control>
          </mc:Choice>
        </mc:AlternateContent>
        <mc:AlternateContent xmlns:mc="http://schemas.openxmlformats.org/markup-compatibility/2006">
          <mc:Choice Requires="x14">
            <control shapeId="124932" r:id="rId7" name="Check Box 4">
              <controlPr defaultSize="0" autoFill="0" autoLine="0" autoPict="0" altText="">
                <anchor>
                  <from>
                    <xdr:col>22</xdr:col>
                    <xdr:colOff>104775</xdr:colOff>
                    <xdr:row>41</xdr:row>
                    <xdr:rowOff>152400</xdr:rowOff>
                  </from>
                  <to>
                    <xdr:col>35</xdr:col>
                    <xdr:colOff>76200</xdr:colOff>
                    <xdr:row>43</xdr:row>
                    <xdr:rowOff>9525</xdr:rowOff>
                  </to>
                </anchor>
              </controlPr>
            </control>
          </mc:Choice>
        </mc:AlternateContent>
        <mc:AlternateContent xmlns:mc="http://schemas.openxmlformats.org/markup-compatibility/2006">
          <mc:Choice Requires="x14">
            <control shapeId="124933" r:id="rId8" name="Check Box 5">
              <controlPr defaultSize="0" autoFill="0" autoLine="0" autoPict="0" altText="">
                <anchor>
                  <from>
                    <xdr:col>22</xdr:col>
                    <xdr:colOff>104775</xdr:colOff>
                    <xdr:row>42</xdr:row>
                    <xdr:rowOff>152400</xdr:rowOff>
                  </from>
                  <to>
                    <xdr:col>35</xdr:col>
                    <xdr:colOff>76200</xdr:colOff>
                    <xdr:row>44</xdr:row>
                    <xdr:rowOff>9525</xdr:rowOff>
                  </to>
                </anchor>
              </controlPr>
            </control>
          </mc:Choice>
        </mc:AlternateContent>
        <mc:AlternateContent xmlns:mc="http://schemas.openxmlformats.org/markup-compatibility/2006">
          <mc:Choice Requires="x14">
            <control shapeId="124934" r:id="rId9" name="Check Box 6">
              <controlPr defaultSize="0" autoFill="0" autoLine="0" autoPict="0" altText="">
                <anchor>
                  <from>
                    <xdr:col>22</xdr:col>
                    <xdr:colOff>104775</xdr:colOff>
                    <xdr:row>43</xdr:row>
                    <xdr:rowOff>152400</xdr:rowOff>
                  </from>
                  <to>
                    <xdr:col>35</xdr:col>
                    <xdr:colOff>76200</xdr:colOff>
                    <xdr:row>45</xdr:row>
                    <xdr:rowOff>9525</xdr:rowOff>
                  </to>
                </anchor>
              </controlPr>
            </control>
          </mc:Choice>
        </mc:AlternateContent>
        <mc:AlternateContent xmlns:mc="http://schemas.openxmlformats.org/markup-compatibility/2006">
          <mc:Choice Requires="x14">
            <control shapeId="124935" r:id="rId10" name="Check Box 7">
              <controlPr defaultSize="0" autoFill="0" autoLine="0" autoPict="0" altText="">
                <anchor>
                  <from>
                    <xdr:col>22</xdr:col>
                    <xdr:colOff>104775</xdr:colOff>
                    <xdr:row>44</xdr:row>
                    <xdr:rowOff>152400</xdr:rowOff>
                  </from>
                  <to>
                    <xdr:col>35</xdr:col>
                    <xdr:colOff>76200</xdr:colOff>
                    <xdr:row>46</xdr:row>
                    <xdr:rowOff>9525</xdr:rowOff>
                  </to>
                </anchor>
              </controlPr>
            </control>
          </mc:Choice>
        </mc:AlternateContent>
        <mc:AlternateContent xmlns:mc="http://schemas.openxmlformats.org/markup-compatibility/2006">
          <mc:Choice Requires="x14">
            <control shapeId="124936" r:id="rId11" name="Check Box 8">
              <controlPr defaultSize="0" autoFill="0" autoLine="0" autoPict="0" altText="">
                <anchor>
                  <from>
                    <xdr:col>22</xdr:col>
                    <xdr:colOff>104775</xdr:colOff>
                    <xdr:row>45</xdr:row>
                    <xdr:rowOff>152400</xdr:rowOff>
                  </from>
                  <to>
                    <xdr:col>35</xdr:col>
                    <xdr:colOff>76200</xdr:colOff>
                    <xdr:row>47</xdr:row>
                    <xdr:rowOff>9525</xdr:rowOff>
                  </to>
                </anchor>
              </controlPr>
            </control>
          </mc:Choice>
        </mc:AlternateContent>
        <mc:AlternateContent xmlns:mc="http://schemas.openxmlformats.org/markup-compatibility/2006">
          <mc:Choice Requires="x14">
            <control shapeId="124937" r:id="rId12" name="Check Box 9">
              <controlPr defaultSize="0" autoFill="0" autoLine="0" autoPict="0" altText="">
                <anchor>
                  <from>
                    <xdr:col>22</xdr:col>
                    <xdr:colOff>104775</xdr:colOff>
                    <xdr:row>46</xdr:row>
                    <xdr:rowOff>152400</xdr:rowOff>
                  </from>
                  <to>
                    <xdr:col>35</xdr:col>
                    <xdr:colOff>76200</xdr:colOff>
                    <xdr:row>48</xdr:row>
                    <xdr:rowOff>9525</xdr:rowOff>
                  </to>
                </anchor>
              </controlPr>
            </control>
          </mc:Choice>
        </mc:AlternateContent>
        <mc:AlternateContent xmlns:mc="http://schemas.openxmlformats.org/markup-compatibility/2006">
          <mc:Choice Requires="x14">
            <control shapeId="124938" r:id="rId13" name="Check Box 10">
              <controlPr defaultSize="0" autoFill="0" autoLine="0" autoPict="0" altText="">
                <anchor>
                  <from>
                    <xdr:col>22</xdr:col>
                    <xdr:colOff>104775</xdr:colOff>
                    <xdr:row>47</xdr:row>
                    <xdr:rowOff>152400</xdr:rowOff>
                  </from>
                  <to>
                    <xdr:col>35</xdr:col>
                    <xdr:colOff>76200</xdr:colOff>
                    <xdr:row>49</xdr:row>
                    <xdr:rowOff>9525</xdr:rowOff>
                  </to>
                </anchor>
              </controlPr>
            </control>
          </mc:Choice>
        </mc:AlternateContent>
        <mc:AlternateContent xmlns:mc="http://schemas.openxmlformats.org/markup-compatibility/2006">
          <mc:Choice Requires="x14">
            <control shapeId="124939" r:id="rId14" name="Check Box 11">
              <controlPr defaultSize="0" autoFill="0" autoLine="0" autoPict="0" altText="">
                <anchor>
                  <from>
                    <xdr:col>22</xdr:col>
                    <xdr:colOff>104775</xdr:colOff>
                    <xdr:row>48</xdr:row>
                    <xdr:rowOff>152400</xdr:rowOff>
                  </from>
                  <to>
                    <xdr:col>35</xdr:col>
                    <xdr:colOff>76200</xdr:colOff>
                    <xdr:row>50</xdr:row>
                    <xdr:rowOff>9525</xdr:rowOff>
                  </to>
                </anchor>
              </controlPr>
            </control>
          </mc:Choice>
        </mc:AlternateContent>
        <mc:AlternateContent xmlns:mc="http://schemas.openxmlformats.org/markup-compatibility/2006">
          <mc:Choice Requires="x14">
            <control shapeId="124940" r:id="rId15" name="Check Box 12">
              <controlPr defaultSize="0" autoFill="0" autoLine="0" autoPict="0" altText="">
                <anchor>
                  <from>
                    <xdr:col>22</xdr:col>
                    <xdr:colOff>104775</xdr:colOff>
                    <xdr:row>49</xdr:row>
                    <xdr:rowOff>152400</xdr:rowOff>
                  </from>
                  <to>
                    <xdr:col>35</xdr:col>
                    <xdr:colOff>76200</xdr:colOff>
                    <xdr:row>51</xdr:row>
                    <xdr:rowOff>9525</xdr:rowOff>
                  </to>
                </anchor>
              </controlPr>
            </control>
          </mc:Choice>
        </mc:AlternateContent>
        <mc:AlternateContent xmlns:mc="http://schemas.openxmlformats.org/markup-compatibility/2006">
          <mc:Choice Requires="x14">
            <control shapeId="124941" r:id="rId16" name="Check Box 13">
              <controlPr defaultSize="0" autoFill="0" autoLine="0" autoPict="0" altText="">
                <anchor>
                  <from>
                    <xdr:col>22</xdr:col>
                    <xdr:colOff>104775</xdr:colOff>
                    <xdr:row>50</xdr:row>
                    <xdr:rowOff>152400</xdr:rowOff>
                  </from>
                  <to>
                    <xdr:col>35</xdr:col>
                    <xdr:colOff>76200</xdr:colOff>
                    <xdr:row>52</xdr:row>
                    <xdr:rowOff>9525</xdr:rowOff>
                  </to>
                </anchor>
              </controlPr>
            </control>
          </mc:Choice>
        </mc:AlternateContent>
        <mc:AlternateContent xmlns:mc="http://schemas.openxmlformats.org/markup-compatibility/2006">
          <mc:Choice Requires="x14">
            <control shapeId="124942" r:id="rId17" name="Check Box 14">
              <controlPr defaultSize="0" autoFill="0" autoLine="0" autoPict="0" altText="">
                <anchor>
                  <from>
                    <xdr:col>22</xdr:col>
                    <xdr:colOff>104775</xdr:colOff>
                    <xdr:row>51</xdr:row>
                    <xdr:rowOff>152400</xdr:rowOff>
                  </from>
                  <to>
                    <xdr:col>35</xdr:col>
                    <xdr:colOff>76200</xdr:colOff>
                    <xdr:row>53</xdr:row>
                    <xdr:rowOff>9525</xdr:rowOff>
                  </to>
                </anchor>
              </controlPr>
            </control>
          </mc:Choice>
        </mc:AlternateContent>
        <mc:AlternateContent xmlns:mc="http://schemas.openxmlformats.org/markup-compatibility/2006">
          <mc:Choice Requires="x14">
            <control shapeId="124943" r:id="rId18" name="Check Box 15">
              <controlPr defaultSize="0" autoFill="0" autoLine="0" autoPict="0" altText="">
                <anchor>
                  <from>
                    <xdr:col>22</xdr:col>
                    <xdr:colOff>104775</xdr:colOff>
                    <xdr:row>52</xdr:row>
                    <xdr:rowOff>152400</xdr:rowOff>
                  </from>
                  <to>
                    <xdr:col>35</xdr:col>
                    <xdr:colOff>76200</xdr:colOff>
                    <xdr:row>54</xdr:row>
                    <xdr:rowOff>9525</xdr:rowOff>
                  </to>
                </anchor>
              </controlPr>
            </control>
          </mc:Choice>
        </mc:AlternateContent>
        <mc:AlternateContent xmlns:mc="http://schemas.openxmlformats.org/markup-compatibility/2006">
          <mc:Choice Requires="x14">
            <control shapeId="124944" r:id="rId19" name="Check Box 16">
              <controlPr defaultSize="0" autoFill="0" autoLine="0" autoPict="0" altText="">
                <anchor>
                  <from>
                    <xdr:col>22</xdr:col>
                    <xdr:colOff>104775</xdr:colOff>
                    <xdr:row>53</xdr:row>
                    <xdr:rowOff>152400</xdr:rowOff>
                  </from>
                  <to>
                    <xdr:col>35</xdr:col>
                    <xdr:colOff>76200</xdr:colOff>
                    <xdr:row>55</xdr:row>
                    <xdr:rowOff>9525</xdr:rowOff>
                  </to>
                </anchor>
              </controlPr>
            </control>
          </mc:Choice>
        </mc:AlternateContent>
        <mc:AlternateContent xmlns:mc="http://schemas.openxmlformats.org/markup-compatibility/2006">
          <mc:Choice Requires="x14">
            <control shapeId="124945" r:id="rId20" name="Check Box 17">
              <controlPr defaultSize="0" autoFill="0" autoLine="0" autoPict="0" altText="">
                <anchor>
                  <from>
                    <xdr:col>22</xdr:col>
                    <xdr:colOff>104775</xdr:colOff>
                    <xdr:row>56</xdr:row>
                    <xdr:rowOff>152400</xdr:rowOff>
                  </from>
                  <to>
                    <xdr:col>35</xdr:col>
                    <xdr:colOff>76200</xdr:colOff>
                    <xdr:row>58</xdr:row>
                    <xdr:rowOff>9525</xdr:rowOff>
                  </to>
                </anchor>
              </controlPr>
            </control>
          </mc:Choice>
        </mc:AlternateContent>
        <mc:AlternateContent xmlns:mc="http://schemas.openxmlformats.org/markup-compatibility/2006">
          <mc:Choice Requires="x14">
            <control shapeId="124946" r:id="rId21" name="Check Box 18">
              <controlPr defaultSize="0" autoFill="0" autoLine="0" autoPict="0" altText="">
                <anchor>
                  <from>
                    <xdr:col>22</xdr:col>
                    <xdr:colOff>104775</xdr:colOff>
                    <xdr:row>57</xdr:row>
                    <xdr:rowOff>152400</xdr:rowOff>
                  </from>
                  <to>
                    <xdr:col>35</xdr:col>
                    <xdr:colOff>76200</xdr:colOff>
                    <xdr:row>59</xdr:row>
                    <xdr:rowOff>9525</xdr:rowOff>
                  </to>
                </anchor>
              </controlPr>
            </control>
          </mc:Choice>
        </mc:AlternateContent>
        <mc:AlternateContent xmlns:mc="http://schemas.openxmlformats.org/markup-compatibility/2006">
          <mc:Choice Requires="x14">
            <control shapeId="124947" r:id="rId22" name="Check Box 19">
              <controlPr defaultSize="0" autoFill="0" autoLine="0" autoPict="0" altText="">
                <anchor>
                  <from>
                    <xdr:col>22</xdr:col>
                    <xdr:colOff>104775</xdr:colOff>
                    <xdr:row>58</xdr:row>
                    <xdr:rowOff>152400</xdr:rowOff>
                  </from>
                  <to>
                    <xdr:col>35</xdr:col>
                    <xdr:colOff>76200</xdr:colOff>
                    <xdr:row>60</xdr:row>
                    <xdr:rowOff>9525</xdr:rowOff>
                  </to>
                </anchor>
              </controlPr>
            </control>
          </mc:Choice>
        </mc:AlternateContent>
        <mc:AlternateContent xmlns:mc="http://schemas.openxmlformats.org/markup-compatibility/2006">
          <mc:Choice Requires="x14">
            <control shapeId="124948" r:id="rId23" name="Check Box 20">
              <controlPr defaultSize="0" autoFill="0" autoLine="0" autoPict="0" altText="">
                <anchor>
                  <from>
                    <xdr:col>22</xdr:col>
                    <xdr:colOff>104775</xdr:colOff>
                    <xdr:row>59</xdr:row>
                    <xdr:rowOff>152400</xdr:rowOff>
                  </from>
                  <to>
                    <xdr:col>35</xdr:col>
                    <xdr:colOff>76200</xdr:colOff>
                    <xdr:row>61</xdr:row>
                    <xdr:rowOff>9525</xdr:rowOff>
                  </to>
                </anchor>
              </controlPr>
            </control>
          </mc:Choice>
        </mc:AlternateContent>
        <mc:AlternateContent xmlns:mc="http://schemas.openxmlformats.org/markup-compatibility/2006">
          <mc:Choice Requires="x14">
            <control shapeId="124949" r:id="rId24" name="Check Box 21">
              <controlPr defaultSize="0" autoFill="0" autoLine="0" autoPict="0" altText="">
                <anchor>
                  <from>
                    <xdr:col>22</xdr:col>
                    <xdr:colOff>104775</xdr:colOff>
                    <xdr:row>60</xdr:row>
                    <xdr:rowOff>152400</xdr:rowOff>
                  </from>
                  <to>
                    <xdr:col>35</xdr:col>
                    <xdr:colOff>76200</xdr:colOff>
                    <xdr:row>62</xdr:row>
                    <xdr:rowOff>9525</xdr:rowOff>
                  </to>
                </anchor>
              </controlPr>
            </control>
          </mc:Choice>
        </mc:AlternateContent>
        <mc:AlternateContent xmlns:mc="http://schemas.openxmlformats.org/markup-compatibility/2006">
          <mc:Choice Requires="x14">
            <control shapeId="124950" r:id="rId25" name="Check Box 22">
              <controlPr defaultSize="0" autoFill="0" autoLine="0" autoPict="0" altText="">
                <anchor>
                  <from>
                    <xdr:col>22</xdr:col>
                    <xdr:colOff>104775</xdr:colOff>
                    <xdr:row>54</xdr:row>
                    <xdr:rowOff>152400</xdr:rowOff>
                  </from>
                  <to>
                    <xdr:col>35</xdr:col>
                    <xdr:colOff>76200</xdr:colOff>
                    <xdr:row>56</xdr:row>
                    <xdr:rowOff>9525</xdr:rowOff>
                  </to>
                </anchor>
              </controlPr>
            </control>
          </mc:Choice>
        </mc:AlternateContent>
        <mc:AlternateContent xmlns:mc="http://schemas.openxmlformats.org/markup-compatibility/2006">
          <mc:Choice Requires="x14">
            <control shapeId="124951" r:id="rId26" name="Check Box 23">
              <controlPr defaultSize="0" autoFill="0" autoLine="0" autoPict="0" altText="">
                <anchor>
                  <from>
                    <xdr:col>22</xdr:col>
                    <xdr:colOff>104775</xdr:colOff>
                    <xdr:row>55</xdr:row>
                    <xdr:rowOff>152400</xdr:rowOff>
                  </from>
                  <to>
                    <xdr:col>35</xdr:col>
                    <xdr:colOff>76200</xdr:colOff>
                    <xdr:row>57</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1275F260-656B-44AE-AFE7-3B07044975E4}">
            <x14:dataBar minLength="0" maxLength="100" gradient="0" negativeBarColorSameAsPositive="1" axisPosition="middle">
              <x14:cfvo type="autoMin"/>
              <x14:cfvo type="autoMax"/>
              <x14:axisColor theme="0" tint="-0.499984740745262"/>
            </x14:dataBar>
          </x14:cfRule>
          <xm:sqref>J10:J32</xm:sqref>
        </x14:conditionalFormatting>
        <x14:conditionalFormatting xmlns:xm="http://schemas.microsoft.com/office/excel/2006/main">
          <x14:cfRule type="dataBar" id="{9257B7A5-AE46-4B7D-A1F5-D5035B4161C1}">
            <x14:dataBar minLength="0" maxLength="100" gradient="0" negativeBarColorSameAsPositive="1">
              <x14:cfvo type="autoMin"/>
              <x14:cfvo type="autoMax"/>
              <x14:axisColor rgb="FF000000"/>
            </x14:dataBar>
          </x14:cfRule>
          <xm:sqref>Q10:Q32</xm:sqref>
        </x14:conditionalFormatting>
        <x14:conditionalFormatting xmlns:xm="http://schemas.microsoft.com/office/excel/2006/main">
          <x14:cfRule type="expression" priority="44" stopIfTrue="1" id="{0E2B67E8-3716-4B85-80CF-58035CE5B040}">
            <xm:f>'U:\Children''s Social Care\2. LA Benchmarking\2. Children''s Social Care\Benchmarking Reports (working files)\Quarterly Reports\2017-18 Q1\[(Restricted) Quarterly Benchmarking Report 2017-18 Q1.xlsm]Referrals'!#REF!='U:\Children''s Social Care\2. LA Benchmarking\2. Children''s Social Care\Benchmarking Reports (working files)\Quarterly Reports\2017-18 Q1\[(Restricted) Quarterly Benchmarking Report 2017-18 Q1.xlsm]Referrals'!#REF!</xm:f>
            <x14:dxf>
              <font>
                <b/>
                <i val="0"/>
              </font>
              <fill>
                <patternFill>
                  <bgColor indexed="42"/>
                </patternFill>
              </fill>
            </x14:dxf>
          </x14:cfRule>
          <xm:sqref>B98</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9">
    <tabColor rgb="FFFFC000"/>
  </sheetPr>
  <dimension ref="A1:BB240"/>
  <sheetViews>
    <sheetView showRowColHeaders="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10" width="7.42578125" style="74" customWidth="1"/>
    <col min="11" max="11" width="1.42578125" style="88" customWidth="1"/>
    <col min="12" max="18" width="7.42578125" style="74" customWidth="1"/>
    <col min="19" max="19" width="1.42578125" style="74" customWidth="1"/>
    <col min="20" max="20" width="8" style="74" customWidth="1"/>
    <col min="21" max="21" width="2.140625" style="74" customWidth="1"/>
    <col min="22" max="22" width="6.42578125" style="80" customWidth="1"/>
    <col min="23" max="23" width="4.85546875" style="80" customWidth="1"/>
    <col min="24" max="24" width="17.85546875" style="81" hidden="1" customWidth="1"/>
    <col min="25" max="25" width="18.5703125" style="81" hidden="1" customWidth="1"/>
    <col min="26" max="30" width="8.42578125" style="81" hidden="1" customWidth="1"/>
    <col min="31" max="31" width="7" style="81" hidden="1" customWidth="1"/>
    <col min="32" max="32" width="17" style="81" hidden="1" customWidth="1"/>
    <col min="33" max="33" width="5.5703125" style="81" hidden="1" customWidth="1"/>
    <col min="34" max="34" width="7.140625" style="81" hidden="1" customWidth="1"/>
    <col min="35" max="35" width="5.5703125" style="74" hidden="1" customWidth="1"/>
    <col min="36" max="36" width="31.5703125" style="74" customWidth="1"/>
    <col min="37" max="37" width="17" style="74" hidden="1" customWidth="1"/>
    <col min="38" max="42" width="7.85546875" style="74" hidden="1" customWidth="1"/>
    <col min="43" max="46" width="9.140625" style="74" hidden="1" customWidth="1"/>
    <col min="47" max="52" width="9.140625" style="74" customWidth="1"/>
    <col min="53" max="16384" width="9.140625" style="74"/>
  </cols>
  <sheetData>
    <row r="1" spans="1:44" ht="18.75" customHeight="1" thickBot="1" x14ac:dyDescent="0.25">
      <c r="A1" s="112"/>
      <c r="B1" s="113"/>
      <c r="C1" s="113"/>
      <c r="D1" s="113"/>
      <c r="E1" s="113"/>
      <c r="F1" s="113"/>
      <c r="G1" s="113"/>
      <c r="H1" s="113"/>
      <c r="I1" s="113"/>
      <c r="J1" s="113"/>
      <c r="K1" s="114"/>
      <c r="L1" s="113"/>
      <c r="M1" s="113"/>
      <c r="N1" s="113"/>
      <c r="O1" s="113"/>
      <c r="P1" s="113"/>
      <c r="Q1" s="113"/>
      <c r="R1" s="113"/>
      <c r="S1" s="113"/>
      <c r="T1" s="113"/>
      <c r="U1" s="115"/>
      <c r="V1" s="275"/>
      <c r="W1" s="155"/>
      <c r="X1" s="180"/>
      <c r="Y1" s="180"/>
      <c r="Z1" s="939" t="str">
        <f>IF(Sheet1!$C$3="Annual"," at 31st March"," at last day in quarter")</f>
        <v xml:space="preserve"> at 31st March</v>
      </c>
      <c r="AA1" s="180"/>
      <c r="AB1" s="180"/>
      <c r="AC1" s="180"/>
      <c r="AD1" s="180"/>
      <c r="AE1" s="180"/>
      <c r="AF1" s="180"/>
      <c r="AG1" s="180"/>
      <c r="AH1" s="180"/>
      <c r="AI1" s="181"/>
      <c r="AJ1" s="156"/>
    </row>
    <row r="2" spans="1:44" ht="18.75" customHeight="1" x14ac:dyDescent="0.2">
      <c r="A2" s="278"/>
      <c r="B2" s="128" t="s">
        <v>202</v>
      </c>
      <c r="C2" s="9"/>
      <c r="D2" s="9"/>
      <c r="E2" s="9"/>
      <c r="F2" s="9"/>
      <c r="G2" s="9"/>
      <c r="H2" s="9"/>
      <c r="I2" s="9"/>
      <c r="J2" s="9"/>
      <c r="K2" s="12"/>
      <c r="L2" s="9"/>
      <c r="M2" s="9"/>
      <c r="N2" s="9"/>
      <c r="O2" s="9"/>
      <c r="P2" s="9"/>
      <c r="Q2" s="9"/>
      <c r="R2" s="9"/>
      <c r="S2" s="9"/>
      <c r="T2" s="9"/>
      <c r="U2" s="117"/>
      <c r="V2" s="161"/>
      <c r="W2" s="150"/>
      <c r="Z2" s="800" t="str">
        <f>IF(Sheet1!$C$3="Annual","",Sheet1!$D$28)</f>
        <v/>
      </c>
      <c r="AA2" s="801" t="str">
        <f>IF(Sheet1!$C$3="Annual","",Sheet1!$E$28)</f>
        <v/>
      </c>
      <c r="AB2" s="801" t="str">
        <f>IF(Sheet1!$C$3="Annual","",Sheet1!$F$28)</f>
        <v/>
      </c>
      <c r="AC2" s="801" t="str">
        <f>IF(Sheet1!$C$3="Annual","",Sheet1!$G$28)</f>
        <v/>
      </c>
      <c r="AD2" s="802" t="str">
        <f>IF(Sheet1!$C$3="Annual","",Sheet1!$H$28)</f>
        <v/>
      </c>
      <c r="AE2" s="180"/>
      <c r="AI2" s="184"/>
      <c r="AJ2" s="157"/>
    </row>
    <row r="3" spans="1:44" ht="18.600000000000001" customHeight="1" thickBot="1" x14ac:dyDescent="0.25">
      <c r="A3" s="457"/>
      <c r="B3" s="458"/>
      <c r="C3" s="458"/>
      <c r="D3" s="458"/>
      <c r="E3" s="458"/>
      <c r="F3" s="458"/>
      <c r="G3" s="458"/>
      <c r="H3" s="458"/>
      <c r="I3" s="553"/>
      <c r="J3" s="553"/>
      <c r="K3" s="459"/>
      <c r="L3" s="458"/>
      <c r="M3" s="458"/>
      <c r="N3" s="458"/>
      <c r="O3" s="458"/>
      <c r="P3" s="458"/>
      <c r="Q3" s="458"/>
      <c r="R3" s="458"/>
      <c r="S3" s="458"/>
      <c r="T3" s="458"/>
      <c r="U3" s="460"/>
      <c r="V3" s="161"/>
      <c r="W3" s="150"/>
      <c r="Z3" s="803" t="str">
        <f>Sheet1!$D$27</f>
        <v>2015-16</v>
      </c>
      <c r="AA3" s="804" t="str">
        <f>Sheet1!$E$27</f>
        <v>2016-17</v>
      </c>
      <c r="AB3" s="804" t="str">
        <f>Sheet1!$F$27</f>
        <v>2017-18</v>
      </c>
      <c r="AC3" s="804" t="str">
        <f>Sheet1!$G$27</f>
        <v>2018-19</v>
      </c>
      <c r="AD3" s="805" t="str">
        <f>Sheet1!$H$27</f>
        <v>2019-20</v>
      </c>
      <c r="AI3" s="184"/>
      <c r="AJ3" s="157"/>
    </row>
    <row r="4" spans="1:44" ht="11.1" customHeight="1" x14ac:dyDescent="0.2">
      <c r="A4" s="112"/>
      <c r="B4" s="113"/>
      <c r="C4" s="113"/>
      <c r="D4" s="113"/>
      <c r="E4" s="113"/>
      <c r="F4" s="113"/>
      <c r="G4" s="113"/>
      <c r="H4" s="113"/>
      <c r="I4" s="113"/>
      <c r="J4" s="113"/>
      <c r="K4" s="114"/>
      <c r="L4" s="113"/>
      <c r="M4" s="113"/>
      <c r="N4" s="113"/>
      <c r="O4" s="113"/>
      <c r="P4" s="113"/>
      <c r="Q4" s="113"/>
      <c r="R4" s="113"/>
      <c r="S4" s="113"/>
      <c r="T4" s="113"/>
      <c r="U4" s="115"/>
      <c r="V4" s="137"/>
      <c r="W4" s="150"/>
      <c r="Y4" s="186" t="str">
        <f>Home!$D$10</f>
        <v>(none)</v>
      </c>
      <c r="Z4" s="799" t="str">
        <f>"Selected LA- "&amp;Y4</f>
        <v>Selected LA- (none)</v>
      </c>
      <c r="AI4" s="184"/>
      <c r="AJ4" s="157"/>
    </row>
    <row r="5" spans="1:44" s="76" customFormat="1" ht="15" customHeight="1" x14ac:dyDescent="0.2">
      <c r="A5" s="461"/>
      <c r="B5" s="1746" t="str">
        <f>"Children Receiving Early Help"&amp;Z1</f>
        <v>Children Receiving Early Help at 31st March</v>
      </c>
      <c r="C5" s="1746"/>
      <c r="D5" s="1746"/>
      <c r="E5" s="1746"/>
      <c r="F5" s="1746"/>
      <c r="G5" s="1746"/>
      <c r="H5" s="1746"/>
      <c r="I5" s="1746"/>
      <c r="J5" s="1746"/>
      <c r="K5" s="1746"/>
      <c r="L5" s="1746"/>
      <c r="M5" s="1746"/>
      <c r="N5" s="1746"/>
      <c r="O5" s="1746"/>
      <c r="P5" s="1746"/>
      <c r="Q5" s="1746"/>
      <c r="R5" s="1746"/>
      <c r="S5" s="1746"/>
      <c r="T5" s="1746"/>
      <c r="U5" s="120"/>
      <c r="V5" s="138"/>
      <c r="W5" s="151"/>
      <c r="X5" s="81"/>
      <c r="Y5" s="188"/>
      <c r="Z5" s="188"/>
      <c r="AA5" s="188"/>
      <c r="AB5" s="188"/>
      <c r="AC5" s="188"/>
      <c r="AD5" s="188"/>
      <c r="AE5" s="188"/>
      <c r="AF5" s="188"/>
      <c r="AG5" s="188"/>
      <c r="AH5" s="188"/>
      <c r="AI5" s="188"/>
      <c r="AJ5" s="158"/>
      <c r="AK5" s="854" t="s">
        <v>675</v>
      </c>
    </row>
    <row r="6" spans="1:44" ht="13.5" customHeight="1" x14ac:dyDescent="0.2">
      <c r="A6" s="278"/>
      <c r="B6" s="1746"/>
      <c r="C6" s="1746"/>
      <c r="D6" s="1746"/>
      <c r="E6" s="1746"/>
      <c r="F6" s="1746"/>
      <c r="G6" s="1746"/>
      <c r="H6" s="1746"/>
      <c r="I6" s="1746"/>
      <c r="J6" s="1746"/>
      <c r="K6" s="1746"/>
      <c r="L6" s="1746"/>
      <c r="M6" s="1746"/>
      <c r="N6" s="1746"/>
      <c r="O6" s="1746"/>
      <c r="P6" s="1746"/>
      <c r="Q6" s="1746"/>
      <c r="R6" s="1746"/>
      <c r="S6" s="1746"/>
      <c r="T6" s="1746"/>
      <c r="U6" s="117"/>
      <c r="V6" s="137"/>
      <c r="W6" s="150"/>
      <c r="Y6" s="190"/>
      <c r="AI6" s="184"/>
      <c r="AJ6" s="157"/>
    </row>
    <row r="7" spans="1:44" s="87" customFormat="1" ht="12.75" customHeight="1" x14ac:dyDescent="0.2">
      <c r="A7" s="292"/>
      <c r="B7" s="1789" t="s">
        <v>205</v>
      </c>
      <c r="C7" s="85"/>
      <c r="D7" s="1757" t="s">
        <v>88</v>
      </c>
      <c r="E7" s="1758"/>
      <c r="F7" s="1758"/>
      <c r="G7" s="1758"/>
      <c r="H7" s="1759"/>
      <c r="I7" s="1752" t="str">
        <f>"Average "&amp;Sheet1!C3&amp;" Change "</f>
        <v xml:space="preserve">Average Annual Change </v>
      </c>
      <c r="J7" s="1753"/>
      <c r="K7" s="96"/>
      <c r="L7" s="1757" t="s">
        <v>89</v>
      </c>
      <c r="M7" s="1758"/>
      <c r="N7" s="1758"/>
      <c r="O7" s="1758"/>
      <c r="P7" s="1758"/>
      <c r="Q7" s="1758"/>
      <c r="R7" s="1759"/>
      <c r="S7" s="85"/>
      <c r="T7" s="1731" t="s">
        <v>1213</v>
      </c>
      <c r="U7" s="122"/>
      <c r="V7" s="139"/>
      <c r="W7" s="152"/>
      <c r="X7" s="202"/>
      <c r="Y7" s="202"/>
      <c r="AA7" s="203" t="s">
        <v>79</v>
      </c>
      <c r="AB7" s="190"/>
      <c r="AC7" s="190"/>
      <c r="AD7" s="199"/>
      <c r="AE7" s="199"/>
      <c r="AF7" s="204" t="s">
        <v>94</v>
      </c>
      <c r="AG7" s="190"/>
      <c r="AH7" s="190"/>
      <c r="AI7" s="202"/>
      <c r="AJ7" s="160"/>
      <c r="AK7" s="575"/>
      <c r="AL7" s="575"/>
      <c r="AM7" s="575"/>
      <c r="AN7" s="575"/>
      <c r="AO7" s="575"/>
    </row>
    <row r="8" spans="1:44" s="87" customFormat="1" ht="12.75" customHeight="1" x14ac:dyDescent="0.2">
      <c r="A8" s="292"/>
      <c r="B8" s="1789"/>
      <c r="C8" s="85"/>
      <c r="D8" s="820" t="str">
        <f>Sheet1!$D$27</f>
        <v>2015-16</v>
      </c>
      <c r="E8" s="821" t="str">
        <f>Sheet1!$E$27</f>
        <v>2016-17</v>
      </c>
      <c r="F8" s="821" t="str">
        <f>Sheet1!$F$27</f>
        <v>2017-18</v>
      </c>
      <c r="G8" s="821" t="str">
        <f>Sheet1!$G$27</f>
        <v>2018-19</v>
      </c>
      <c r="H8" s="850" t="str">
        <f>Sheet1!$H$27</f>
        <v>2019-20</v>
      </c>
      <c r="I8" s="1754"/>
      <c r="J8" s="1755"/>
      <c r="K8" s="96"/>
      <c r="L8" s="789" t="str">
        <f>Sheet1!$D$27</f>
        <v>2015-16</v>
      </c>
      <c r="M8" s="790" t="str">
        <f>Sheet1!$E$27</f>
        <v>2016-17</v>
      </c>
      <c r="N8" s="790" t="str">
        <f>Sheet1!$F$27</f>
        <v>2017-18</v>
      </c>
      <c r="O8" s="790" t="str">
        <f>Sheet1!$G$27</f>
        <v>2018-19</v>
      </c>
      <c r="P8" s="1741" t="str">
        <f>Sheet1!$H$27</f>
        <v>2019-20</v>
      </c>
      <c r="Q8" s="1780"/>
      <c r="R8" s="1744" t="str">
        <f>IF(ISNA(P9),"SE Rank "&amp;P8,"SE Rank "&amp;P9)</f>
        <v>SE Rank 2019-20</v>
      </c>
      <c r="S8" s="465"/>
      <c r="T8" s="1743"/>
      <c r="U8" s="122"/>
      <c r="V8" s="139"/>
      <c r="W8" s="152"/>
      <c r="X8" s="202"/>
      <c r="Y8" s="1786" t="s">
        <v>76</v>
      </c>
      <c r="Z8" s="1786" t="s">
        <v>77</v>
      </c>
      <c r="AA8" s="43" t="str">
        <f>Sheet1!$D$27</f>
        <v>2015-16</v>
      </c>
      <c r="AB8" s="43" t="str">
        <f>Sheet1!$E$27</f>
        <v>2016-17</v>
      </c>
      <c r="AC8" s="43" t="str">
        <f>Sheet1!$F$27</f>
        <v>2017-18</v>
      </c>
      <c r="AD8" s="43" t="str">
        <f>Sheet1!$G$27</f>
        <v>2018-19</v>
      </c>
      <c r="AE8" s="43" t="str">
        <f>Sheet1!$H$27</f>
        <v>2019-20</v>
      </c>
      <c r="AF8" s="190"/>
      <c r="AG8" s="190"/>
      <c r="AH8" s="190"/>
      <c r="AI8" s="202"/>
      <c r="AJ8" s="160"/>
      <c r="AK8" s="845"/>
      <c r="AL8" s="845"/>
      <c r="AM8" s="845"/>
      <c r="AN8" s="845"/>
      <c r="AO8" s="845"/>
    </row>
    <row r="9" spans="1:44" s="87" customFormat="1" ht="12.75" customHeight="1" x14ac:dyDescent="0.2">
      <c r="A9" s="292"/>
      <c r="B9" s="1790"/>
      <c r="C9" s="85"/>
      <c r="D9" s="792" t="e">
        <f>Sheet1!$D$28</f>
        <v>#N/A</v>
      </c>
      <c r="E9" s="792" t="e">
        <f>Sheet1!$E$28</f>
        <v>#N/A</v>
      </c>
      <c r="F9" s="792" t="e">
        <f>Sheet1!$F$28</f>
        <v>#N/A</v>
      </c>
      <c r="G9" s="792" t="e">
        <f>Sheet1!$G$28</f>
        <v>#N/A</v>
      </c>
      <c r="H9" s="838" t="e">
        <f>Sheet1!$H$28</f>
        <v>#N/A</v>
      </c>
      <c r="I9" s="1754"/>
      <c r="J9" s="1756"/>
      <c r="K9" s="784"/>
      <c r="L9" s="792" t="e">
        <f>Sheet1!$D$28</f>
        <v>#N/A</v>
      </c>
      <c r="M9" s="792" t="e">
        <f>Sheet1!$E$28</f>
        <v>#N/A</v>
      </c>
      <c r="N9" s="792" t="e">
        <f>Sheet1!$F$28</f>
        <v>#N/A</v>
      </c>
      <c r="O9" s="792" t="e">
        <f>Sheet1!$G$28</f>
        <v>#N/A</v>
      </c>
      <c r="P9" s="1739" t="e">
        <f>Sheet1!$H$28</f>
        <v>#N/A</v>
      </c>
      <c r="Q9" s="1781"/>
      <c r="R9" s="1745"/>
      <c r="S9" s="465"/>
      <c r="T9" s="1732"/>
      <c r="U9" s="122"/>
      <c r="V9" s="139"/>
      <c r="W9" s="152"/>
      <c r="X9" s="202"/>
      <c r="Y9" s="1786"/>
      <c r="Z9" s="1786"/>
      <c r="AA9" s="43" t="e">
        <f>Sheet1!$D$28</f>
        <v>#N/A</v>
      </c>
      <c r="AB9" s="43" t="e">
        <f>Sheet1!$E$28</f>
        <v>#N/A</v>
      </c>
      <c r="AC9" s="43" t="e">
        <f>Sheet1!$F$28</f>
        <v>#N/A</v>
      </c>
      <c r="AD9" s="43" t="e">
        <f>Sheet1!$G$28</f>
        <v>#N/A</v>
      </c>
      <c r="AE9" s="43" t="e">
        <f>Sheet1!$H$28</f>
        <v>#N/A</v>
      </c>
      <c r="AF9" s="190"/>
      <c r="AG9" s="190">
        <f>COLUMNS(B$4:P$4)</f>
        <v>15</v>
      </c>
      <c r="AH9" s="190"/>
      <c r="AI9" s="202"/>
      <c r="AJ9" s="160"/>
      <c r="AK9" s="847" t="s">
        <v>676</v>
      </c>
      <c r="AL9" s="847" t="s">
        <v>677</v>
      </c>
      <c r="AM9" s="847" t="s">
        <v>678</v>
      </c>
      <c r="AN9" s="847" t="s">
        <v>679</v>
      </c>
      <c r="AO9" s="847" t="s">
        <v>680</v>
      </c>
    </row>
    <row r="10" spans="1:44" s="87" customFormat="1" ht="13.5" customHeight="1" x14ac:dyDescent="0.2">
      <c r="A10" s="488">
        <f>VLOOKUP(B10,Sheet1!$AQ$4:$AR$25,2,FALSE)</f>
        <v>0</v>
      </c>
      <c r="B10" s="93" t="str">
        <f>Sheet1!$K$4</f>
        <v>Bracknell Forest</v>
      </c>
      <c r="C10" s="85"/>
      <c r="D10" s="94" t="str">
        <f>IF(Year1_Bracknell_Forest Year1_EarlyHelpedChildren="","",Year1_Bracknell_Forest Year1_EarlyHelpedChildren)</f>
        <v/>
      </c>
      <c r="E10" s="94" t="str">
        <f>IF(Year2_Bracknell_Forest Year2_EarlyHelpedChildren="","",Year2_Bracknell_Forest Year2_EarlyHelpedChildren)</f>
        <v/>
      </c>
      <c r="F10" s="94" t="str">
        <f>IF(Year3_Bracknell_Forest Year3_EarlyHelpedChildren="","",Year3_Bracknell_Forest Year3_EarlyHelpedChildren)</f>
        <v/>
      </c>
      <c r="G10" s="94" t="str">
        <f>IF(Year4_Bracknell_Forest Year4_EarlyHelpedChildren="","",Year4_Bracknell_Forest Year4_EarlyHelpedChildren)</f>
        <v/>
      </c>
      <c r="H10" s="848" t="str">
        <f>IF(Year5_Bracknell_Forest Year5_EarlyHelpedChildren="","",Year5_Bracknell_Forest Year5_EarlyHelpedChildren)</f>
        <v/>
      </c>
      <c r="I10" s="1092" t="str">
        <f>AO10</f>
        <v/>
      </c>
      <c r="J10" s="863" t="str">
        <f t="shared" ref="J10:J32" si="0">I10</f>
        <v/>
      </c>
      <c r="K10" s="96"/>
      <c r="L10" s="97" t="e">
        <f>IF(ISNUMBER(D10),D10/Population!D10*10000,NA())</f>
        <v>#N/A</v>
      </c>
      <c r="M10" s="97" t="e">
        <f>IF(ISNUMBER(E10),E10/Population!E10*10000,NA())</f>
        <v>#N/A</v>
      </c>
      <c r="N10" s="97" t="e">
        <f>IF(ISNUMBER(F10),F10/Population!F10*10000,NA())</f>
        <v>#N/A</v>
      </c>
      <c r="O10" s="97" t="e">
        <f>IF(ISNUMBER(G10),G10/Population!G10*10000,NA())</f>
        <v>#N/A</v>
      </c>
      <c r="P10" s="98" t="e">
        <f>IF(ISNUMBER(H10),H10/Population!H10*10000,NA())</f>
        <v>#N/A</v>
      </c>
      <c r="Q10" s="99" t="str">
        <f>IF(ISNUMBER(P10),P10,"")</f>
        <v/>
      </c>
      <c r="R10" s="822" t="e">
        <f t="shared" ref="R10:R31" si="1">IF(ISNA(VLOOKUP(B10,$AF$10:$AH$28,3,FALSE)),"--",IF(ISNUMBER(H10),VLOOKUP(B10,$AF$10:$AH$28,3,FALSE),NA()))</f>
        <v>#N/A</v>
      </c>
      <c r="S10" s="85"/>
      <c r="T10" s="99">
        <f>IF(H10&gt;0,IDACI!C9,NA())</f>
        <v>8.9</v>
      </c>
      <c r="U10" s="122"/>
      <c r="V10" s="139"/>
      <c r="W10" s="152"/>
      <c r="X10" s="72" t="str">
        <f t="shared" ref="X10:X32" si="2">B10</f>
        <v>Bracknell Forest</v>
      </c>
      <c r="Y10" s="44">
        <f>IF(ISNUMBER($H10),IDACI!D9,0)</f>
        <v>0</v>
      </c>
      <c r="Z10" s="44">
        <f>IF(ISNUMBER($H10),IDACI!E9,0)</f>
        <v>0</v>
      </c>
      <c r="AA10" s="205" t="str">
        <f>IF(ISNUMBER(D10),Population!D10,"")</f>
        <v/>
      </c>
      <c r="AB10" s="205" t="str">
        <f>IF(ISNUMBER(E10),Population!E10,"")</f>
        <v/>
      </c>
      <c r="AC10" s="205" t="str">
        <f>IF(ISNUMBER(F10),Population!F10,"")</f>
        <v/>
      </c>
      <c r="AD10" s="205" t="str">
        <f>IF(ISNUMBER(G10),Population!G10,"")</f>
        <v/>
      </c>
      <c r="AE10" s="205" t="str">
        <f>IF(ISNUMBER(H10),Population!H10,"")</f>
        <v/>
      </c>
      <c r="AF10" s="93" t="str">
        <f>B10</f>
        <v>Bracknell Forest</v>
      </c>
      <c r="AG10" s="231" t="str">
        <f>IFERROR(VLOOKUP(AF10,$B$10:$P$31,$AG$9,FALSE),"")</f>
        <v/>
      </c>
      <c r="AH10" s="206" t="e">
        <f>RANK(AG10,$AG$10:$AG$28,1)</f>
        <v>#VALUE!</v>
      </c>
      <c r="AI10" s="202"/>
      <c r="AJ10" s="160"/>
      <c r="AK10" s="853" t="str">
        <f>IF(ISERROR((E10-D10)/D10),"x",(E10-D10)/D10)</f>
        <v>x</v>
      </c>
      <c r="AL10" s="853" t="str">
        <f t="shared" ref="AL10:AN10" si="3">IF(ISERROR((F10-E10)/E10),"x",(F10-E10)/E10)</f>
        <v>x</v>
      </c>
      <c r="AM10" s="853" t="str">
        <f t="shared" si="3"/>
        <v>x</v>
      </c>
      <c r="AN10" s="853" t="str">
        <f t="shared" si="3"/>
        <v>x</v>
      </c>
      <c r="AO10" s="853" t="str">
        <f>IF(ISERROR(AVERAGE(AK10:AN10)),"",AVERAGE(AK10:AN10))</f>
        <v/>
      </c>
    </row>
    <row r="11" spans="1:44" s="87" customFormat="1" ht="13.5" customHeight="1" x14ac:dyDescent="0.2">
      <c r="A11" s="488">
        <f>VLOOKUP(B11,Sheet1!$AQ$4:$AR$25,2,FALSE)</f>
        <v>0</v>
      </c>
      <c r="B11" s="93" t="str">
        <f>Sheet1!$K$5</f>
        <v>Brighton &amp; Hove</v>
      </c>
      <c r="C11" s="85"/>
      <c r="D11" s="94" t="str">
        <f>IF(Year1_Brighton_Hove Year1_EarlyHelpedChildren="","",Year1_Brighton_Hove Year1_EarlyHelpedChildren)</f>
        <v/>
      </c>
      <c r="E11" s="94" t="str">
        <f>IF(Year2_Brighton_Hove Year2_EarlyHelpedChildren="","",Year2_Brighton_Hove Year2_EarlyHelpedChildren)</f>
        <v/>
      </c>
      <c r="F11" s="94" t="str">
        <f>IF(Year3_Brighton_Hove Year3_EarlyHelpedChildren="","",Year3_Brighton_Hove Year3_EarlyHelpedChildren)</f>
        <v/>
      </c>
      <c r="G11" s="94" t="str">
        <f>IF(Year4_Brighton_Hove Year4_EarlyHelpedChildren="","",Year4_Brighton_Hove Year4_EarlyHelpedChildren)</f>
        <v/>
      </c>
      <c r="H11" s="848" t="str">
        <f>IF(Year5_Brighton_Hove Year5_EarlyHelpedChildren="","",Year5_Brighton_Hove Year5_EarlyHelpedChildren)</f>
        <v/>
      </c>
      <c r="I11" s="1093" t="str">
        <f t="shared" ref="I11:I31" si="4">AO11</f>
        <v/>
      </c>
      <c r="J11" s="863" t="str">
        <f t="shared" si="0"/>
        <v/>
      </c>
      <c r="K11" s="96"/>
      <c r="L11" s="97" t="e">
        <f>IF(ISNUMBER(D11),D11/Population!D11*10000,NA())</f>
        <v>#N/A</v>
      </c>
      <c r="M11" s="97" t="e">
        <f>IF(ISNUMBER(E11),E11/Population!E11*10000,NA())</f>
        <v>#N/A</v>
      </c>
      <c r="N11" s="97" t="e">
        <f>IF(ISNUMBER(F11),F11/Population!F11*10000,NA())</f>
        <v>#N/A</v>
      </c>
      <c r="O11" s="97" t="e">
        <f>IF(ISNUMBER(G11),G11/Population!G11*10000,NA())</f>
        <v>#N/A</v>
      </c>
      <c r="P11" s="98" t="e">
        <f>IF(ISNUMBER(H11),H11/Population!H11*10000,NA())</f>
        <v>#N/A</v>
      </c>
      <c r="Q11" s="99" t="str">
        <f t="shared" ref="Q11:Q32" si="5">IF(ISNUMBER(P11),P11,"")</f>
        <v/>
      </c>
      <c r="R11" s="822" t="e">
        <f t="shared" si="1"/>
        <v>#N/A</v>
      </c>
      <c r="S11" s="85"/>
      <c r="T11" s="99">
        <f>IF(H11&gt;0,IDACI!C10,NA())</f>
        <v>15.299999999999999</v>
      </c>
      <c r="U11" s="122"/>
      <c r="V11" s="139"/>
      <c r="W11" s="152"/>
      <c r="X11" s="72" t="str">
        <f t="shared" si="2"/>
        <v>Brighton &amp; Hove</v>
      </c>
      <c r="Y11" s="44">
        <f>IF(ISNUMBER($H11),IDACI!D10,0)</f>
        <v>0</v>
      </c>
      <c r="Z11" s="44">
        <f>IF(ISNUMBER($H11),IDACI!E10,0)</f>
        <v>0</v>
      </c>
      <c r="AA11" s="205" t="str">
        <f>IF(ISNUMBER(D11),Population!D11,"")</f>
        <v/>
      </c>
      <c r="AB11" s="205" t="str">
        <f>IF(ISNUMBER(E11),Population!E11,"")</f>
        <v/>
      </c>
      <c r="AC11" s="205" t="str">
        <f>IF(ISNUMBER(F11),Population!F11,"")</f>
        <v/>
      </c>
      <c r="AD11" s="205" t="str">
        <f>IF(ISNUMBER(G11),Population!G11,"")</f>
        <v/>
      </c>
      <c r="AE11" s="205" t="str">
        <f>IF(ISNUMBER(H11),Population!H11,"")</f>
        <v/>
      </c>
      <c r="AF11" s="93" t="s">
        <v>31</v>
      </c>
      <c r="AG11" s="231" t="str">
        <f t="shared" ref="AG11:AG28" si="6">IFERROR(VLOOKUP(AF11,$B$10:$P$31,$AG$9,FALSE),"")</f>
        <v/>
      </c>
      <c r="AH11" s="206" t="e">
        <f t="shared" ref="AH11:AH27" si="7">RANK(AG11,$AG$10:$AG$28,1)</f>
        <v>#VALUE!</v>
      </c>
      <c r="AI11" s="202"/>
      <c r="AJ11" s="160"/>
      <c r="AK11" s="853" t="str">
        <f t="shared" ref="AK11:AK31" si="8">IF(ISERROR((E11-D11)/D11),"x",(E11-D11)/D11)</f>
        <v>x</v>
      </c>
      <c r="AL11" s="853" t="str">
        <f t="shared" ref="AL11:AL31" si="9">IF(ISERROR((F11-E11)/E11),"x",(F11-E11)/E11)</f>
        <v>x</v>
      </c>
      <c r="AM11" s="853" t="str">
        <f t="shared" ref="AM11:AM31" si="10">IF(ISERROR((G11-F11)/F11),"x",(G11-F11)/F11)</f>
        <v>x</v>
      </c>
      <c r="AN11" s="853" t="str">
        <f t="shared" ref="AN11:AN31" si="11">IF(ISERROR((H11-G11)/G11),"x",(H11-G11)/G11)</f>
        <v>x</v>
      </c>
      <c r="AO11" s="853" t="str">
        <f t="shared" ref="AO11:AO32" si="12">IF(ISERROR(AVERAGE(AK11:AN11)),"",AVERAGE(AK11:AN11))</f>
        <v/>
      </c>
    </row>
    <row r="12" spans="1:44" s="87" customFormat="1" ht="13.5" customHeight="1" x14ac:dyDescent="0.2">
      <c r="A12" s="488">
        <f>VLOOKUP(B12,Sheet1!$AQ$4:$AR$25,2,FALSE)</f>
        <v>0</v>
      </c>
      <c r="B12" s="93" t="str">
        <f>Sheet1!$K$6</f>
        <v>Buckinghamshire</v>
      </c>
      <c r="C12" s="85"/>
      <c r="D12" s="94" t="str">
        <f>IF(Year1_Buckinghamshire Year1_EarlyHelpedChildren="","",Year1_Buckinghamshire Year1_EarlyHelpedChildren)</f>
        <v/>
      </c>
      <c r="E12" s="94" t="str">
        <f>IF(Year2_Buckinghamshire Year2_EarlyHelpedChildren="","",Year2_Buckinghamshire Year2_EarlyHelpedChildren)</f>
        <v/>
      </c>
      <c r="F12" s="94" t="str">
        <f>IF(Year3_Buckinghamshire Year3_EarlyHelpedChildren="","",Year3_Buckinghamshire Year3_EarlyHelpedChildren)</f>
        <v/>
      </c>
      <c r="G12" s="94" t="str">
        <f>IF(Year4_Buckinghamshire Year4_EarlyHelpedChildren="","",Year4_Buckinghamshire Year4_EarlyHelpedChildren)</f>
        <v/>
      </c>
      <c r="H12" s="848" t="str">
        <f>IF(Year5_Buckinghamshire Year5_EarlyHelpedChildren="","",Year5_Buckinghamshire Year5_EarlyHelpedChildren)</f>
        <v/>
      </c>
      <c r="I12" s="1093" t="str">
        <f t="shared" si="4"/>
        <v/>
      </c>
      <c r="J12" s="863" t="str">
        <f t="shared" si="0"/>
        <v/>
      </c>
      <c r="K12" s="96"/>
      <c r="L12" s="97" t="e">
        <f>IF(ISNUMBER(D12),D12/Population!D12*10000,NA())</f>
        <v>#N/A</v>
      </c>
      <c r="M12" s="97" t="e">
        <f>IF(ISNUMBER(E12),E12/Population!E12*10000,NA())</f>
        <v>#N/A</v>
      </c>
      <c r="N12" s="97" t="e">
        <f>IF(ISNUMBER(F12),F12/Population!F12*10000,NA())</f>
        <v>#N/A</v>
      </c>
      <c r="O12" s="97" t="e">
        <f>IF(ISNUMBER(G12),G12/Population!G12*10000,NA())</f>
        <v>#N/A</v>
      </c>
      <c r="P12" s="98" t="e">
        <f>IF(ISNUMBER(H12),H12/Population!H12*10000,NA())</f>
        <v>#N/A</v>
      </c>
      <c r="Q12" s="99" t="str">
        <f t="shared" si="5"/>
        <v/>
      </c>
      <c r="R12" s="822" t="e">
        <f t="shared" si="1"/>
        <v>#N/A</v>
      </c>
      <c r="S12" s="85"/>
      <c r="T12" s="99">
        <f>IF(H12&gt;0,IDACI!C11,NA())</f>
        <v>8.5</v>
      </c>
      <c r="U12" s="122"/>
      <c r="V12" s="139"/>
      <c r="W12" s="152"/>
      <c r="X12" s="72" t="str">
        <f t="shared" si="2"/>
        <v>Buckinghamshire</v>
      </c>
      <c r="Y12" s="44">
        <f>IF(ISNUMBER($H12),IDACI!D11,0)</f>
        <v>0</v>
      </c>
      <c r="Z12" s="44">
        <f>IF(ISNUMBER($H12),IDACI!E11,0)</f>
        <v>0</v>
      </c>
      <c r="AA12" s="205" t="str">
        <f>IF(ISNUMBER(D12),Population!D12,"")</f>
        <v/>
      </c>
      <c r="AB12" s="205" t="str">
        <f>IF(ISNUMBER(E12),Population!E12,"")</f>
        <v/>
      </c>
      <c r="AC12" s="205" t="str">
        <f>IF(ISNUMBER(F12),Population!F12,"")</f>
        <v/>
      </c>
      <c r="AD12" s="205" t="str">
        <f>IF(ISNUMBER(G12),Population!G12,"")</f>
        <v/>
      </c>
      <c r="AE12" s="205" t="str">
        <f>IF(ISNUMBER(H12),Population!H12,"")</f>
        <v/>
      </c>
      <c r="AF12" s="93" t="s">
        <v>8</v>
      </c>
      <c r="AG12" s="231" t="str">
        <f t="shared" si="6"/>
        <v/>
      </c>
      <c r="AH12" s="206" t="e">
        <f t="shared" si="7"/>
        <v>#VALUE!</v>
      </c>
      <c r="AI12" s="202"/>
      <c r="AJ12" s="160"/>
      <c r="AK12" s="853" t="str">
        <f t="shared" si="8"/>
        <v>x</v>
      </c>
      <c r="AL12" s="853" t="str">
        <f t="shared" si="9"/>
        <v>x</v>
      </c>
      <c r="AM12" s="853" t="str">
        <f t="shared" si="10"/>
        <v>x</v>
      </c>
      <c r="AN12" s="853" t="str">
        <f t="shared" si="11"/>
        <v>x</v>
      </c>
      <c r="AO12" s="853" t="str">
        <f t="shared" si="12"/>
        <v/>
      </c>
    </row>
    <row r="13" spans="1:44" s="87" customFormat="1" ht="13.5" customHeight="1" x14ac:dyDescent="0.2">
      <c r="A13" s="488">
        <f>VLOOKUP(B13,Sheet1!$AQ$4:$AR$25,2,FALSE)</f>
        <v>0</v>
      </c>
      <c r="B13" s="93" t="str">
        <f>Sheet1!$K$7</f>
        <v>East Sussex</v>
      </c>
      <c r="C13" s="85"/>
      <c r="D13" s="94" t="str">
        <f>IF(Year1_East_Sussex Year1_EarlyHelpedChildren="","",Year1_East_Sussex Year1_EarlyHelpedChildren)</f>
        <v/>
      </c>
      <c r="E13" s="100" t="str">
        <f>IF(Year2_East_Sussex Year2_EarlyHelpedChildren="","",Year2_East_Sussex Year2_EarlyHelpedChildren)</f>
        <v/>
      </c>
      <c r="F13" s="94" t="str">
        <f>IF(Year3_East_Sussex Year3_EarlyHelpedChildren="","",Year3_East_Sussex Year3_EarlyHelpedChildren)</f>
        <v/>
      </c>
      <c r="G13" s="94" t="str">
        <f>IF(Year4_East_Sussex Year4_EarlyHelpedChildren="","",Year4_East_Sussex Year4_EarlyHelpedChildren)</f>
        <v/>
      </c>
      <c r="H13" s="848" t="str">
        <f>IF(Year5_East_Sussex Year5_EarlyHelpedChildren="","",Year5_East_Sussex Year5_EarlyHelpedChildren)</f>
        <v/>
      </c>
      <c r="I13" s="1093" t="str">
        <f t="shared" si="4"/>
        <v/>
      </c>
      <c r="J13" s="863" t="str">
        <f t="shared" si="0"/>
        <v/>
      </c>
      <c r="K13" s="96"/>
      <c r="L13" s="97" t="e">
        <f>IF(ISNUMBER(D13),D13/Population!D13*10000,NA())</f>
        <v>#N/A</v>
      </c>
      <c r="M13" s="97" t="e">
        <f>IF(ISNUMBER(E13),E13/Population!E13*10000,NA())</f>
        <v>#N/A</v>
      </c>
      <c r="N13" s="97" t="e">
        <f>IF(ISNUMBER(F13),F13/Population!F13*10000,NA())</f>
        <v>#N/A</v>
      </c>
      <c r="O13" s="97" t="e">
        <f>IF(ISNUMBER(G13),G13/Population!G13*10000,NA())</f>
        <v>#N/A</v>
      </c>
      <c r="P13" s="98" t="e">
        <f>IF(ISNUMBER(H13),H13/Population!H13*10000,NA())</f>
        <v>#N/A</v>
      </c>
      <c r="Q13" s="99" t="str">
        <f t="shared" si="5"/>
        <v/>
      </c>
      <c r="R13" s="822" t="e">
        <f t="shared" si="1"/>
        <v>#N/A</v>
      </c>
      <c r="S13" s="85"/>
      <c r="T13" s="99">
        <f>IF(H13&gt;0,IDACI!C12,NA())</f>
        <v>16.100000000000001</v>
      </c>
      <c r="U13" s="122"/>
      <c r="V13" s="139"/>
      <c r="W13" s="152"/>
      <c r="X13" s="72" t="str">
        <f t="shared" si="2"/>
        <v>East Sussex</v>
      </c>
      <c r="Y13" s="44">
        <f>IF(ISNUMBER($H13),IDACI!D12,0)</f>
        <v>0</v>
      </c>
      <c r="Z13" s="44">
        <f>IF(ISNUMBER($H13),IDACI!E12,0)</f>
        <v>0</v>
      </c>
      <c r="AA13" s="205" t="str">
        <f>IF(ISNUMBER(D13),Population!D13,"")</f>
        <v/>
      </c>
      <c r="AB13" s="205" t="str">
        <f>IF(ISNUMBER(E13),Population!E13,"")</f>
        <v/>
      </c>
      <c r="AC13" s="205" t="str">
        <f>IF(ISNUMBER(F13),Population!F13,"")</f>
        <v/>
      </c>
      <c r="AD13" s="205" t="str">
        <f>IF(ISNUMBER(G13),Population!G13,"")</f>
        <v/>
      </c>
      <c r="AE13" s="205" t="str">
        <f>IF(ISNUMBER(H13),Population!H13,"")</f>
        <v/>
      </c>
      <c r="AF13" s="93" t="s">
        <v>4</v>
      </c>
      <c r="AG13" s="231" t="str">
        <f t="shared" si="6"/>
        <v/>
      </c>
      <c r="AH13" s="206" t="e">
        <f t="shared" si="7"/>
        <v>#VALUE!</v>
      </c>
      <c r="AI13" s="202"/>
      <c r="AJ13" s="160"/>
      <c r="AK13" s="853" t="str">
        <f t="shared" si="8"/>
        <v>x</v>
      </c>
      <c r="AL13" s="853" t="str">
        <f t="shared" si="9"/>
        <v>x</v>
      </c>
      <c r="AM13" s="853" t="str">
        <f t="shared" si="10"/>
        <v>x</v>
      </c>
      <c r="AN13" s="853" t="str">
        <f t="shared" si="11"/>
        <v>x</v>
      </c>
      <c r="AO13" s="853" t="str">
        <f t="shared" si="12"/>
        <v/>
      </c>
    </row>
    <row r="14" spans="1:44" s="87" customFormat="1" ht="13.5" customHeight="1" x14ac:dyDescent="0.2">
      <c r="A14" s="488">
        <f>VLOOKUP(B14,Sheet1!$AQ$4:$AR$25,2,FALSE)</f>
        <v>0</v>
      </c>
      <c r="B14" s="93" t="str">
        <f>Sheet1!$K$8</f>
        <v>Hampshire</v>
      </c>
      <c r="C14" s="85"/>
      <c r="D14" s="94" t="str">
        <f>IF(Year1_Hampshire Year1_EarlyHelpedChildren="","",Year1_Hampshire Year1_EarlyHelpedChildren)</f>
        <v/>
      </c>
      <c r="E14" s="94" t="str">
        <f>IF(Year2_Hampshire Year2_EarlyHelpedChildren="","",Year2_Hampshire Year2_EarlyHelpedChildren)</f>
        <v/>
      </c>
      <c r="F14" s="101" t="str">
        <f>IF(Year3_Hampshire Year3_EarlyHelpedChildren="","",Year3_Hampshire Year3_EarlyHelpedChildren)</f>
        <v/>
      </c>
      <c r="G14" s="101" t="str">
        <f>IF(Year4_Hampshire Year4_EarlyHelpedChildren="","",Year4_Hampshire Year4_EarlyHelpedChildren)</f>
        <v/>
      </c>
      <c r="H14" s="848" t="str">
        <f>IF(Year5_Hampshire Year5_EarlyHelpedChildren="","",Year5_Hampshire Year5_EarlyHelpedChildren)</f>
        <v/>
      </c>
      <c r="I14" s="1093" t="str">
        <f t="shared" si="4"/>
        <v/>
      </c>
      <c r="J14" s="863" t="str">
        <f t="shared" si="0"/>
        <v/>
      </c>
      <c r="K14" s="96"/>
      <c r="L14" s="97" t="e">
        <f>IF(ISNUMBER(D14),D14/Population!D14*10000,NA())</f>
        <v>#N/A</v>
      </c>
      <c r="M14" s="97" t="e">
        <f>IF(ISNUMBER(E14),E14/Population!E14*10000,NA())</f>
        <v>#N/A</v>
      </c>
      <c r="N14" s="97" t="e">
        <f>IF(ISNUMBER(F14),F14/Population!F14*10000,NA())</f>
        <v>#N/A</v>
      </c>
      <c r="O14" s="97" t="e">
        <f>IF(ISNUMBER(G14),G14/Population!G14*10000,NA())</f>
        <v>#N/A</v>
      </c>
      <c r="P14" s="98" t="e">
        <f>IF(ISNUMBER(H14),H14/Population!H14*10000,NA())</f>
        <v>#N/A</v>
      </c>
      <c r="Q14" s="99" t="str">
        <f t="shared" si="5"/>
        <v/>
      </c>
      <c r="R14" s="822" t="e">
        <f t="shared" si="1"/>
        <v>#N/A</v>
      </c>
      <c r="S14" s="85"/>
      <c r="T14" s="99">
        <f>IF(H14&gt;0,IDACI!C13,NA())</f>
        <v>10.100000000000001</v>
      </c>
      <c r="U14" s="122"/>
      <c r="V14" s="139"/>
      <c r="W14" s="152"/>
      <c r="X14" s="72" t="str">
        <f t="shared" si="2"/>
        <v>Hampshire</v>
      </c>
      <c r="Y14" s="44">
        <f>IF(ISNUMBER($H14),IDACI!D13,0)</f>
        <v>0</v>
      </c>
      <c r="Z14" s="44">
        <f>IF(ISNUMBER($H14),IDACI!E13,0)</f>
        <v>0</v>
      </c>
      <c r="AA14" s="205" t="str">
        <f>IF(ISNUMBER(D14),Population!D14,"")</f>
        <v/>
      </c>
      <c r="AB14" s="205" t="str">
        <f>IF(ISNUMBER(E14),Population!E14,"")</f>
        <v/>
      </c>
      <c r="AC14" s="205" t="str">
        <f>IF(ISNUMBER(F14),Population!F14,"")</f>
        <v/>
      </c>
      <c r="AD14" s="205" t="str">
        <f>IF(ISNUMBER(G14),Population!G14,"")</f>
        <v/>
      </c>
      <c r="AE14" s="205" t="str">
        <f>IF(ISNUMBER(H14),Population!H14,"")</f>
        <v/>
      </c>
      <c r="AF14" s="93" t="s">
        <v>6</v>
      </c>
      <c r="AG14" s="231" t="str">
        <f t="shared" si="6"/>
        <v/>
      </c>
      <c r="AH14" s="206" t="e">
        <f t="shared" si="7"/>
        <v>#VALUE!</v>
      </c>
      <c r="AI14" s="202"/>
      <c r="AJ14" s="160"/>
      <c r="AK14" s="853" t="str">
        <f t="shared" si="8"/>
        <v>x</v>
      </c>
      <c r="AL14" s="853" t="str">
        <f t="shared" si="9"/>
        <v>x</v>
      </c>
      <c r="AM14" s="853" t="str">
        <f t="shared" si="10"/>
        <v>x</v>
      </c>
      <c r="AN14" s="853" t="str">
        <f t="shared" si="11"/>
        <v>x</v>
      </c>
      <c r="AO14" s="853" t="str">
        <f t="shared" si="12"/>
        <v/>
      </c>
    </row>
    <row r="15" spans="1:44" s="87" customFormat="1" ht="13.5" customHeight="1" x14ac:dyDescent="0.2">
      <c r="A15" s="488">
        <f>VLOOKUP(B15,Sheet1!$AQ$4:$AR$25,2,FALSE)</f>
        <v>0</v>
      </c>
      <c r="B15" s="93" t="str">
        <f>Sheet1!$K$9</f>
        <v>Isle of Wight</v>
      </c>
      <c r="C15" s="85"/>
      <c r="D15" s="94" t="str">
        <f>IF(Year1_Isle_of_Wight Year1_EarlyHelpedChildren="","",Year1_Isle_of_Wight Year1_EarlyHelpedChildren)</f>
        <v/>
      </c>
      <c r="E15" s="94" t="str">
        <f>IF(Year2_Isle_of_Wight Year2_EarlyHelpedChildren="","",Year2_Isle_of_Wight Year2_EarlyHelpedChildren)</f>
        <v/>
      </c>
      <c r="F15" s="94" t="str">
        <f>IF(Year3_Isle_of_Wight Year3_EarlyHelpedChildren="","",Year3_Isle_of_Wight Year3_EarlyHelpedChildren)</f>
        <v/>
      </c>
      <c r="G15" s="94" t="str">
        <f>IF(Year4_Isle_of_Wight Year4_EarlyHelpedChildren="","",Year4_Isle_of_Wight Year4_EarlyHelpedChildren)</f>
        <v/>
      </c>
      <c r="H15" s="848" t="str">
        <f>IF(Year5_Isle_of_Wight Year5_EarlyHelpedChildren="","",Year5_Isle_of_Wight Year5_EarlyHelpedChildren)</f>
        <v/>
      </c>
      <c r="I15" s="1093" t="str">
        <f t="shared" si="4"/>
        <v/>
      </c>
      <c r="J15" s="863" t="str">
        <f t="shared" si="0"/>
        <v/>
      </c>
      <c r="K15" s="96"/>
      <c r="L15" s="97" t="e">
        <f>IF(ISNUMBER(D15),D15/Population!D15*10000,NA())</f>
        <v>#N/A</v>
      </c>
      <c r="M15" s="97" t="e">
        <f>IF(ISNUMBER(E15),E15/Population!E15*10000,NA())</f>
        <v>#N/A</v>
      </c>
      <c r="N15" s="97" t="e">
        <f>IF(ISNUMBER(F15),F15/Population!F15*10000,NA())</f>
        <v>#N/A</v>
      </c>
      <c r="O15" s="97" t="e">
        <f>IF(ISNUMBER(G15),G15/Population!G15*10000,NA())</f>
        <v>#N/A</v>
      </c>
      <c r="P15" s="98" t="e">
        <f>IF(ISNUMBER(H15),H15/Population!H15*10000,NA())</f>
        <v>#N/A</v>
      </c>
      <c r="Q15" s="99" t="str">
        <f t="shared" si="5"/>
        <v/>
      </c>
      <c r="R15" s="822" t="e">
        <f t="shared" si="1"/>
        <v>#N/A</v>
      </c>
      <c r="S15" s="85"/>
      <c r="T15" s="99">
        <f>IF(H15&gt;0,IDACI!C14,NA())</f>
        <v>18</v>
      </c>
      <c r="U15" s="122"/>
      <c r="V15" s="139"/>
      <c r="W15" s="152"/>
      <c r="X15" s="72" t="str">
        <f t="shared" si="2"/>
        <v>Isle of Wight</v>
      </c>
      <c r="Y15" s="44">
        <f>IF(ISNUMBER($H15),IDACI!D14,0)</f>
        <v>0</v>
      </c>
      <c r="Z15" s="44">
        <f>IF(ISNUMBER($H15),IDACI!E14,0)</f>
        <v>0</v>
      </c>
      <c r="AA15" s="205" t="str">
        <f>IF(ISNUMBER(D15),Population!D15,"")</f>
        <v/>
      </c>
      <c r="AB15" s="205" t="str">
        <f>IF(ISNUMBER(E15),Population!E15,"")</f>
        <v/>
      </c>
      <c r="AC15" s="205" t="str">
        <f>IF(ISNUMBER(F15),Population!F15,"")</f>
        <v/>
      </c>
      <c r="AD15" s="205" t="str">
        <f>IF(ISNUMBER(G15),Population!G15,"")</f>
        <v/>
      </c>
      <c r="AE15" s="205" t="str">
        <f>IF(ISNUMBER(H15),Population!H15,"")</f>
        <v/>
      </c>
      <c r="AF15" s="93" t="s">
        <v>1</v>
      </c>
      <c r="AG15" s="231" t="str">
        <f t="shared" si="6"/>
        <v/>
      </c>
      <c r="AH15" s="206" t="e">
        <f t="shared" si="7"/>
        <v>#VALUE!</v>
      </c>
      <c r="AI15" s="202"/>
      <c r="AJ15" s="160"/>
      <c r="AK15" s="853" t="str">
        <f t="shared" si="8"/>
        <v>x</v>
      </c>
      <c r="AL15" s="853" t="str">
        <f t="shared" si="9"/>
        <v>x</v>
      </c>
      <c r="AM15" s="853" t="str">
        <f t="shared" si="10"/>
        <v>x</v>
      </c>
      <c r="AN15" s="853" t="str">
        <f t="shared" si="11"/>
        <v>x</v>
      </c>
      <c r="AO15" s="853" t="str">
        <f t="shared" si="12"/>
        <v/>
      </c>
      <c r="AR15" s="87" t="s">
        <v>102</v>
      </c>
    </row>
    <row r="16" spans="1:44" s="87" customFormat="1" ht="13.5" customHeight="1" x14ac:dyDescent="0.2">
      <c r="A16" s="488">
        <f>VLOOKUP(B16,Sheet1!$AQ$4:$AR$25,2,FALSE)</f>
        <v>0</v>
      </c>
      <c r="B16" s="93" t="str">
        <f>Sheet1!$K$10</f>
        <v>Kent</v>
      </c>
      <c r="C16" s="85"/>
      <c r="D16" s="94" t="str">
        <f>IF(Year1_Kent Year1_EarlyHelpedChildren="","",Year1_Kent Year1_EarlyHelpedChildren)</f>
        <v/>
      </c>
      <c r="E16" s="94" t="str">
        <f>IF(Year2_Kent Year2_EarlyHelpedChildren="","",Year2_Kent Year2_EarlyHelpedChildren)</f>
        <v/>
      </c>
      <c r="F16" s="94" t="str">
        <f>IF(Year3_Kent Year3_EarlyHelpedChildren="","",Year3_Kent Year3_EarlyHelpedChildren)</f>
        <v/>
      </c>
      <c r="G16" s="94" t="str">
        <f>IF(Year4_Kent Year4_EarlyHelpedChildren="","",Year4_Kent Year4_EarlyHelpedChildren)</f>
        <v/>
      </c>
      <c r="H16" s="848" t="str">
        <f>IF(Year5_Kent Year5_EarlyHelpedChildren="","",Year5_Kent Year5_EarlyHelpedChildren)</f>
        <v/>
      </c>
      <c r="I16" s="1093" t="str">
        <f t="shared" si="4"/>
        <v/>
      </c>
      <c r="J16" s="863" t="str">
        <f t="shared" si="0"/>
        <v/>
      </c>
      <c r="K16" s="96"/>
      <c r="L16" s="97" t="e">
        <f>IF(ISNUMBER(D16),D16/Population!D16*10000,NA())</f>
        <v>#N/A</v>
      </c>
      <c r="M16" s="97" t="e">
        <f>IF(ISNUMBER(E16),E16/Population!E16*10000,NA())</f>
        <v>#N/A</v>
      </c>
      <c r="N16" s="97" t="e">
        <f>IF(ISNUMBER(F16),F16/Population!F16*10000,NA())</f>
        <v>#N/A</v>
      </c>
      <c r="O16" s="97" t="e">
        <f>IF(ISNUMBER(G16),G16/Population!G16*10000,NA())</f>
        <v>#N/A</v>
      </c>
      <c r="P16" s="98" t="e">
        <f>IF(ISNUMBER(H16),H16/Population!H16*10000,NA())</f>
        <v>#N/A</v>
      </c>
      <c r="Q16" s="99" t="str">
        <f t="shared" si="5"/>
        <v/>
      </c>
      <c r="R16" s="822" t="e">
        <f t="shared" si="1"/>
        <v>#N/A</v>
      </c>
      <c r="S16" s="85"/>
      <c r="T16" s="99">
        <f>IF(H16&gt;0,IDACI!C15,NA())</f>
        <v>15.8</v>
      </c>
      <c r="U16" s="122"/>
      <c r="V16" s="139"/>
      <c r="W16" s="152"/>
      <c r="X16" s="72" t="str">
        <f t="shared" si="2"/>
        <v>Kent</v>
      </c>
      <c r="Y16" s="44">
        <f>IF(ISNUMBER($H16),IDACI!D15,0)</f>
        <v>0</v>
      </c>
      <c r="Z16" s="44">
        <f>IF(ISNUMBER($H16),IDACI!E15,0)</f>
        <v>0</v>
      </c>
      <c r="AA16" s="205" t="str">
        <f>IF(ISNUMBER(D16),Population!D16,"")</f>
        <v/>
      </c>
      <c r="AB16" s="205" t="str">
        <f>IF(ISNUMBER(E16),Population!E16,"")</f>
        <v/>
      </c>
      <c r="AC16" s="205" t="str">
        <f>IF(ISNUMBER(F16),Population!F16,"")</f>
        <v/>
      </c>
      <c r="AD16" s="205" t="str">
        <f>IF(ISNUMBER(G16),Population!G16,"")</f>
        <v/>
      </c>
      <c r="AE16" s="205" t="str">
        <f>IF(ISNUMBER(H16),Population!H16,"")</f>
        <v/>
      </c>
      <c r="AF16" s="93" t="s">
        <v>9</v>
      </c>
      <c r="AG16" s="231" t="str">
        <f t="shared" si="6"/>
        <v/>
      </c>
      <c r="AH16" s="206" t="e">
        <f t="shared" si="7"/>
        <v>#VALUE!</v>
      </c>
      <c r="AI16" s="202"/>
      <c r="AJ16" s="160"/>
      <c r="AK16" s="853" t="str">
        <f t="shared" si="8"/>
        <v>x</v>
      </c>
      <c r="AL16" s="853" t="str">
        <f t="shared" si="9"/>
        <v>x</v>
      </c>
      <c r="AM16" s="853" t="str">
        <f t="shared" si="10"/>
        <v>x</v>
      </c>
      <c r="AN16" s="853" t="str">
        <f t="shared" si="11"/>
        <v>x</v>
      </c>
      <c r="AO16" s="853" t="str">
        <f t="shared" si="12"/>
        <v/>
      </c>
    </row>
    <row r="17" spans="1:41" s="87" customFormat="1" ht="13.5" customHeight="1" x14ac:dyDescent="0.2">
      <c r="A17" s="488">
        <f>VLOOKUP(B17,Sheet1!$AQ$4:$AR$25,2,FALSE)</f>
        <v>0</v>
      </c>
      <c r="B17" s="93" t="str">
        <f>Sheet1!$K$11</f>
        <v>Medway</v>
      </c>
      <c r="C17" s="85"/>
      <c r="D17" s="94" t="str">
        <f>IF(Year1_Medway Year1_EarlyHelpedChildren="","",Year1_Medway Year1_EarlyHelpedChildren)</f>
        <v/>
      </c>
      <c r="E17" s="94" t="str">
        <f>IF(Year2_Medway Year2_EarlyHelpedChildren="","",Year2_Medway Year2_EarlyHelpedChildren)</f>
        <v/>
      </c>
      <c r="F17" s="94" t="str">
        <f>IF(Year3_Medway Year3_EarlyHelpedChildren="","",Year3_Medway Year3_EarlyHelpedChildren)</f>
        <v/>
      </c>
      <c r="G17" s="94" t="str">
        <f>IF(Year4_Medway Year4_EarlyHelpedChildren="","",Year4_Medway Year4_EarlyHelpedChildren)</f>
        <v/>
      </c>
      <c r="H17" s="848" t="str">
        <f>IF(Year5_Medway Year5_EarlyHelpedChildren="","",Year5_Medway Year5_EarlyHelpedChildren)</f>
        <v/>
      </c>
      <c r="I17" s="1093" t="str">
        <f t="shared" si="4"/>
        <v/>
      </c>
      <c r="J17" s="863" t="str">
        <f t="shared" si="0"/>
        <v/>
      </c>
      <c r="K17" s="96"/>
      <c r="L17" s="97" t="e">
        <f>IF(ISNUMBER(D17),D17/Population!D17*10000,NA())</f>
        <v>#N/A</v>
      </c>
      <c r="M17" s="97" t="e">
        <f>IF(ISNUMBER(E17),E17/Population!E17*10000,NA())</f>
        <v>#N/A</v>
      </c>
      <c r="N17" s="97" t="e">
        <f>IF(ISNUMBER(F17),F17/Population!F17*10000,NA())</f>
        <v>#N/A</v>
      </c>
      <c r="O17" s="97" t="e">
        <f>IF(ISNUMBER(G17),G17/Population!G17*10000,NA())</f>
        <v>#N/A</v>
      </c>
      <c r="P17" s="98" t="e">
        <f>IF(ISNUMBER(H17),H17/Population!H17*10000,NA())</f>
        <v>#N/A</v>
      </c>
      <c r="Q17" s="99" t="str">
        <f t="shared" si="5"/>
        <v/>
      </c>
      <c r="R17" s="822" t="e">
        <f t="shared" si="1"/>
        <v>#N/A</v>
      </c>
      <c r="S17" s="85"/>
      <c r="T17" s="99">
        <f>IF(H17&gt;0,IDACI!C16,NA())</f>
        <v>18.899999999999999</v>
      </c>
      <c r="U17" s="122"/>
      <c r="V17" s="139"/>
      <c r="W17" s="152"/>
      <c r="X17" s="72" t="str">
        <f t="shared" si="2"/>
        <v>Medway</v>
      </c>
      <c r="Y17" s="44">
        <f>IF(ISNUMBER($H17),IDACI!D16,0)</f>
        <v>0</v>
      </c>
      <c r="Z17" s="44">
        <f>IF(ISNUMBER($H17),IDACI!E16,0)</f>
        <v>0</v>
      </c>
      <c r="AA17" s="205" t="str">
        <f>IF(ISNUMBER(D17),Population!D17,"")</f>
        <v/>
      </c>
      <c r="AB17" s="205" t="str">
        <f>IF(ISNUMBER(E17),Population!E17,"")</f>
        <v/>
      </c>
      <c r="AC17" s="205" t="str">
        <f>IF(ISNUMBER(F17),Population!F17,"")</f>
        <v/>
      </c>
      <c r="AD17" s="205" t="str">
        <f>IF(ISNUMBER(G17),Population!G17,"")</f>
        <v/>
      </c>
      <c r="AE17" s="205" t="str">
        <f>IF(ISNUMBER(H17),Population!H17,"")</f>
        <v/>
      </c>
      <c r="AF17" s="93" t="s">
        <v>2</v>
      </c>
      <c r="AG17" s="231" t="str">
        <f t="shared" si="6"/>
        <v/>
      </c>
      <c r="AH17" s="206" t="e">
        <f t="shared" si="7"/>
        <v>#VALUE!</v>
      </c>
      <c r="AI17" s="202"/>
      <c r="AJ17" s="160"/>
      <c r="AK17" s="853" t="str">
        <f t="shared" si="8"/>
        <v>x</v>
      </c>
      <c r="AL17" s="853" t="str">
        <f t="shared" si="9"/>
        <v>x</v>
      </c>
      <c r="AM17" s="853" t="str">
        <f t="shared" si="10"/>
        <v>x</v>
      </c>
      <c r="AN17" s="853" t="str">
        <f t="shared" si="11"/>
        <v>x</v>
      </c>
      <c r="AO17" s="853" t="str">
        <f t="shared" si="12"/>
        <v/>
      </c>
    </row>
    <row r="18" spans="1:41" s="87" customFormat="1" ht="13.5" customHeight="1" x14ac:dyDescent="0.2">
      <c r="A18" s="488">
        <f>VLOOKUP(B18,Sheet1!$AQ$4:$AR$25,2,FALSE)</f>
        <v>0</v>
      </c>
      <c r="B18" s="93" t="str">
        <f>Sheet1!$K$12</f>
        <v>Milton Keynes</v>
      </c>
      <c r="C18" s="85"/>
      <c r="D18" s="94" t="str">
        <f>IF(Year1_Milton_Keynes Year1_EarlyHelpedChildren="","",Year1_Milton_Keynes Year1_EarlyHelpedChildren)</f>
        <v/>
      </c>
      <c r="E18" s="94" t="str">
        <f>IF(Year2_Milton_Keynes Year2_EarlyHelpedChildren="","",Year2_Milton_Keynes Year2_EarlyHelpedChildren)</f>
        <v/>
      </c>
      <c r="F18" s="94" t="str">
        <f>IF(Year3_Milton_Keynes Year3_EarlyHelpedChildren="","",Year3_Milton_Keynes Year3_EarlyHelpedChildren)</f>
        <v/>
      </c>
      <c r="G18" s="94" t="str">
        <f>IF(Year4_Milton_Keynes Year4_EarlyHelpedChildren="","",Year4_Milton_Keynes Year4_EarlyHelpedChildren)</f>
        <v/>
      </c>
      <c r="H18" s="848" t="str">
        <f>IF(Year5_Milton_Keynes Year5_EarlyHelpedChildren="","",Year5_Milton_Keynes Year5_EarlyHelpedChildren)</f>
        <v/>
      </c>
      <c r="I18" s="1093" t="str">
        <f t="shared" si="4"/>
        <v/>
      </c>
      <c r="J18" s="863" t="str">
        <f t="shared" si="0"/>
        <v/>
      </c>
      <c r="K18" s="96"/>
      <c r="L18" s="97" t="e">
        <f>IF(ISNUMBER(D18),D18/Population!D18*10000,NA())</f>
        <v>#N/A</v>
      </c>
      <c r="M18" s="97" t="e">
        <f>IF(ISNUMBER(E18),E18/Population!E18*10000,NA())</f>
        <v>#N/A</v>
      </c>
      <c r="N18" s="97" t="e">
        <f>IF(ISNUMBER(F18),F18/Population!F18*10000,NA())</f>
        <v>#N/A</v>
      </c>
      <c r="O18" s="97" t="e">
        <f>IF(ISNUMBER(G18),G18/Population!G18*10000,NA())</f>
        <v>#N/A</v>
      </c>
      <c r="P18" s="98" t="e">
        <f>IF(ISNUMBER(H18),H18/Population!H18*10000,NA())</f>
        <v>#N/A</v>
      </c>
      <c r="Q18" s="99" t="str">
        <f t="shared" si="5"/>
        <v/>
      </c>
      <c r="R18" s="822" t="e">
        <f t="shared" si="1"/>
        <v>#N/A</v>
      </c>
      <c r="S18" s="85"/>
      <c r="T18" s="99">
        <f>IF(H18&gt;0,IDACI!C17,NA())</f>
        <v>15</v>
      </c>
      <c r="U18" s="122"/>
      <c r="V18" s="139"/>
      <c r="W18" s="152"/>
      <c r="X18" s="72" t="str">
        <f t="shared" si="2"/>
        <v>Milton Keynes</v>
      </c>
      <c r="Y18" s="44">
        <f>IF(ISNUMBER($H18),IDACI!D17,0)</f>
        <v>0</v>
      </c>
      <c r="Z18" s="44">
        <f>IF(ISNUMBER($H18),IDACI!E17,0)</f>
        <v>0</v>
      </c>
      <c r="AA18" s="205" t="str">
        <f>IF(ISNUMBER(D18),Population!D18,"")</f>
        <v/>
      </c>
      <c r="AB18" s="205" t="str">
        <f>IF(ISNUMBER(E18),Population!E18,"")</f>
        <v/>
      </c>
      <c r="AC18" s="205" t="str">
        <f>IF(ISNUMBER(F18),Population!F18,"")</f>
        <v/>
      </c>
      <c r="AD18" s="205" t="str">
        <f>IF(ISNUMBER(G18),Population!G18,"")</f>
        <v/>
      </c>
      <c r="AE18" s="205" t="str">
        <f>IF(ISNUMBER(H18),Population!H18,"")</f>
        <v/>
      </c>
      <c r="AF18" s="93" t="s">
        <v>10</v>
      </c>
      <c r="AG18" s="231" t="str">
        <f t="shared" si="6"/>
        <v/>
      </c>
      <c r="AH18" s="206" t="e">
        <f t="shared" si="7"/>
        <v>#VALUE!</v>
      </c>
      <c r="AI18" s="202"/>
      <c r="AJ18" s="160"/>
      <c r="AK18" s="853" t="str">
        <f t="shared" si="8"/>
        <v>x</v>
      </c>
      <c r="AL18" s="853" t="str">
        <f t="shared" si="9"/>
        <v>x</v>
      </c>
      <c r="AM18" s="853" t="str">
        <f t="shared" si="10"/>
        <v>x</v>
      </c>
      <c r="AN18" s="853" t="str">
        <f t="shared" si="11"/>
        <v>x</v>
      </c>
      <c r="AO18" s="853" t="str">
        <f t="shared" si="12"/>
        <v/>
      </c>
    </row>
    <row r="19" spans="1:41" s="87" customFormat="1" ht="13.5" customHeight="1" x14ac:dyDescent="0.2">
      <c r="A19" s="488">
        <f>VLOOKUP(B19,Sheet1!$AQ$4:$AR$25,2,FALSE)</f>
        <v>0</v>
      </c>
      <c r="B19" s="93" t="str">
        <f>Sheet1!$K$13</f>
        <v>Oxfordshire</v>
      </c>
      <c r="C19" s="85"/>
      <c r="D19" s="94" t="str">
        <f>IF(Year1_Oxfordshire Year1_EarlyHelpedChildren="","",Year1_Oxfordshire Year1_EarlyHelpedChildren)</f>
        <v/>
      </c>
      <c r="E19" s="94" t="str">
        <f>IF(Year2_Oxfordshire Year2_EarlyHelpedChildren="","",Year2_Oxfordshire Year2_EarlyHelpedChildren)</f>
        <v/>
      </c>
      <c r="F19" s="94" t="str">
        <f>IF(Year3_Oxfordshire Year3_EarlyHelpedChildren="","",Year3_Oxfordshire Year3_EarlyHelpedChildren)</f>
        <v/>
      </c>
      <c r="G19" s="94" t="str">
        <f>IF(Year4_Oxfordshire Year4_EarlyHelpedChildren="","",Year4_Oxfordshire Year4_EarlyHelpedChildren)</f>
        <v/>
      </c>
      <c r="H19" s="848" t="str">
        <f>IF(Year5_Oxfordshire Year5_EarlyHelpedChildren="","",Year5_Oxfordshire Year5_EarlyHelpedChildren)</f>
        <v/>
      </c>
      <c r="I19" s="1093" t="str">
        <f t="shared" si="4"/>
        <v/>
      </c>
      <c r="J19" s="863" t="str">
        <f t="shared" si="0"/>
        <v/>
      </c>
      <c r="K19" s="96"/>
      <c r="L19" s="97" t="e">
        <f>IF(ISNUMBER(D19),D19/Population!D19*10000,NA())</f>
        <v>#N/A</v>
      </c>
      <c r="M19" s="97" t="e">
        <f>IF(ISNUMBER(E19),E19/Population!E19*10000,NA())</f>
        <v>#N/A</v>
      </c>
      <c r="N19" s="97" t="e">
        <f>IF(ISNUMBER(F19),F19/Population!F19*10000,NA())</f>
        <v>#N/A</v>
      </c>
      <c r="O19" s="97" t="e">
        <f>IF(ISNUMBER(G19),G19/Population!G19*10000,NA())</f>
        <v>#N/A</v>
      </c>
      <c r="P19" s="98" t="e">
        <f>IF(ISNUMBER(H19),H19/Population!H19*10000,NA())</f>
        <v>#N/A</v>
      </c>
      <c r="Q19" s="99" t="str">
        <f t="shared" si="5"/>
        <v/>
      </c>
      <c r="R19" s="822" t="e">
        <f t="shared" si="1"/>
        <v>#N/A</v>
      </c>
      <c r="S19" s="85"/>
      <c r="T19" s="99">
        <f>IF(H19&gt;0,IDACI!C18,NA())</f>
        <v>10.100000000000001</v>
      </c>
      <c r="U19" s="122"/>
      <c r="V19" s="139"/>
      <c r="W19" s="152"/>
      <c r="X19" s="72" t="str">
        <f t="shared" si="2"/>
        <v>Oxfordshire</v>
      </c>
      <c r="Y19" s="44">
        <f>IF(ISNUMBER($H19),IDACI!D18,0)</f>
        <v>0</v>
      </c>
      <c r="Z19" s="44">
        <f>IF(ISNUMBER($H19),IDACI!E18,0)</f>
        <v>0</v>
      </c>
      <c r="AA19" s="205" t="str">
        <f>IF(ISNUMBER(D19),Population!D19,"")</f>
        <v/>
      </c>
      <c r="AB19" s="205" t="str">
        <f>IF(ISNUMBER(E19),Population!E19,"")</f>
        <v/>
      </c>
      <c r="AC19" s="205" t="str">
        <f>IF(ISNUMBER(F19),Population!F19,"")</f>
        <v/>
      </c>
      <c r="AD19" s="205" t="str">
        <f>IF(ISNUMBER(G19),Population!G19,"")</f>
        <v/>
      </c>
      <c r="AE19" s="205" t="str">
        <f>IF(ISNUMBER(H19),Population!H19,"")</f>
        <v/>
      </c>
      <c r="AF19" s="93" t="s">
        <v>11</v>
      </c>
      <c r="AG19" s="231" t="str">
        <f t="shared" si="6"/>
        <v/>
      </c>
      <c r="AH19" s="206" t="e">
        <f t="shared" si="7"/>
        <v>#VALUE!</v>
      </c>
      <c r="AI19" s="202"/>
      <c r="AJ19" s="160"/>
      <c r="AK19" s="853" t="str">
        <f t="shared" si="8"/>
        <v>x</v>
      </c>
      <c r="AL19" s="853" t="str">
        <f t="shared" si="9"/>
        <v>x</v>
      </c>
      <c r="AM19" s="853" t="str">
        <f t="shared" si="10"/>
        <v>x</v>
      </c>
      <c r="AN19" s="853" t="str">
        <f t="shared" si="11"/>
        <v>x</v>
      </c>
      <c r="AO19" s="853" t="str">
        <f t="shared" si="12"/>
        <v/>
      </c>
    </row>
    <row r="20" spans="1:41" s="87" customFormat="1" ht="13.5" customHeight="1" x14ac:dyDescent="0.2">
      <c r="A20" s="488">
        <f>VLOOKUP(B20,Sheet1!$AQ$4:$AR$25,2,FALSE)</f>
        <v>0</v>
      </c>
      <c r="B20" s="93" t="str">
        <f>Sheet1!$K$14</f>
        <v>Portsmouth</v>
      </c>
      <c r="C20" s="85"/>
      <c r="D20" s="94" t="str">
        <f>IF(Year1_Portsmouth Year1_EarlyHelpedChildren="","",Year1_Portsmouth Year1_EarlyHelpedChildren)</f>
        <v/>
      </c>
      <c r="E20" s="94" t="str">
        <f>IF(Year2_Portsmouth Year2_EarlyHelpedChildren="","",Year2_Portsmouth Year2_EarlyHelpedChildren)</f>
        <v/>
      </c>
      <c r="F20" s="94" t="str">
        <f>IF(Year3_Portsmouth Year3_EarlyHelpedChildren="","",Year3_Portsmouth Year3_EarlyHelpedChildren)</f>
        <v/>
      </c>
      <c r="G20" s="94" t="str">
        <f>IF(Year4_Portsmouth Year4_EarlyHelpedChildren="","",Year4_Portsmouth Year4_EarlyHelpedChildren)</f>
        <v/>
      </c>
      <c r="H20" s="848" t="str">
        <f>IF(Year5_Portsmouth Year5_EarlyHelpedChildren="","",Year5_Portsmouth Year5_EarlyHelpedChildren)</f>
        <v/>
      </c>
      <c r="I20" s="1093" t="str">
        <f t="shared" si="4"/>
        <v/>
      </c>
      <c r="J20" s="863" t="str">
        <f t="shared" si="0"/>
        <v/>
      </c>
      <c r="K20" s="96"/>
      <c r="L20" s="97" t="e">
        <f>IF(ISNUMBER(D20),D20/Population!D20*10000,NA())</f>
        <v>#N/A</v>
      </c>
      <c r="M20" s="97" t="e">
        <f>IF(ISNUMBER(E20),E20/Population!E20*10000,NA())</f>
        <v>#N/A</v>
      </c>
      <c r="N20" s="97" t="e">
        <f>IF(ISNUMBER(F20),F20/Population!F20*10000,NA())</f>
        <v>#N/A</v>
      </c>
      <c r="O20" s="97" t="e">
        <f>IF(ISNUMBER(G20),G20/Population!G20*10000,NA())</f>
        <v>#N/A</v>
      </c>
      <c r="P20" s="98" t="e">
        <f>IF(ISNUMBER(H20),H20/Population!H20*10000,NA())</f>
        <v>#N/A</v>
      </c>
      <c r="Q20" s="99" t="str">
        <f t="shared" si="5"/>
        <v/>
      </c>
      <c r="R20" s="822" t="e">
        <f t="shared" si="1"/>
        <v>#N/A</v>
      </c>
      <c r="S20" s="85"/>
      <c r="T20" s="99">
        <f>IF(H20&gt;0,IDACI!C19,NA())</f>
        <v>20.200000000000003</v>
      </c>
      <c r="U20" s="122"/>
      <c r="V20" s="139"/>
      <c r="W20" s="152"/>
      <c r="X20" s="72" t="str">
        <f t="shared" si="2"/>
        <v>Portsmouth</v>
      </c>
      <c r="Y20" s="44">
        <f>IF(ISNUMBER($H20),IDACI!D19,0)</f>
        <v>0</v>
      </c>
      <c r="Z20" s="44">
        <f>IF(ISNUMBER($H20),IDACI!E19,0)</f>
        <v>0</v>
      </c>
      <c r="AA20" s="205" t="str">
        <f>IF(ISNUMBER(D20),Population!D20,"")</f>
        <v/>
      </c>
      <c r="AB20" s="205" t="str">
        <f>IF(ISNUMBER(E20),Population!E20,"")</f>
        <v/>
      </c>
      <c r="AC20" s="205" t="str">
        <f>IF(ISNUMBER(F20),Population!F20,"")</f>
        <v/>
      </c>
      <c r="AD20" s="205" t="str">
        <f>IF(ISNUMBER(G20),Population!G20,"")</f>
        <v/>
      </c>
      <c r="AE20" s="205" t="str">
        <f>IF(ISNUMBER(H20),Population!H20,"")</f>
        <v/>
      </c>
      <c r="AF20" s="93" t="s">
        <v>12</v>
      </c>
      <c r="AG20" s="231" t="str">
        <f t="shared" si="6"/>
        <v/>
      </c>
      <c r="AH20" s="206" t="e">
        <f t="shared" si="7"/>
        <v>#VALUE!</v>
      </c>
      <c r="AI20" s="202"/>
      <c r="AJ20" s="160"/>
      <c r="AK20" s="853" t="str">
        <f t="shared" si="8"/>
        <v>x</v>
      </c>
      <c r="AL20" s="853" t="str">
        <f t="shared" si="9"/>
        <v>x</v>
      </c>
      <c r="AM20" s="853" t="str">
        <f t="shared" si="10"/>
        <v>x</v>
      </c>
      <c r="AN20" s="853" t="str">
        <f t="shared" si="11"/>
        <v>x</v>
      </c>
      <c r="AO20" s="853" t="str">
        <f t="shared" si="12"/>
        <v/>
      </c>
    </row>
    <row r="21" spans="1:41" s="87" customFormat="1" ht="13.5" customHeight="1" x14ac:dyDescent="0.2">
      <c r="A21" s="488">
        <f>VLOOKUP(B21,Sheet1!$AQ$4:$AR$25,2,FALSE)</f>
        <v>0</v>
      </c>
      <c r="B21" s="93" t="str">
        <f>Sheet1!$K$15</f>
        <v>Reading</v>
      </c>
      <c r="C21" s="85"/>
      <c r="D21" s="94" t="str">
        <f>IF(Year1_Reading Year1_EarlyHelpedChildren="","",Year1_Reading Year1_EarlyHelpedChildren)</f>
        <v/>
      </c>
      <c r="E21" s="94" t="str">
        <f>IF(Year2_Reading Year2_EarlyHelpedChildren="","",Year2_Reading Year2_EarlyHelpedChildren)</f>
        <v/>
      </c>
      <c r="F21" s="94" t="str">
        <f>IF(Year3_Reading Year3_EarlyHelpedChildren="","",Year3_Reading Year3_EarlyHelpedChildren)</f>
        <v/>
      </c>
      <c r="G21" s="94" t="str">
        <f>IF(Year4_Reading Year4_EarlyHelpedChildren="","",Year4_Reading Year4_EarlyHelpedChildren)</f>
        <v/>
      </c>
      <c r="H21" s="848" t="str">
        <f>IF(Year5_Reading Year5_EarlyHelpedChildren="","",Year5_Reading Year5_EarlyHelpedChildren)</f>
        <v/>
      </c>
      <c r="I21" s="1093" t="str">
        <f t="shared" si="4"/>
        <v/>
      </c>
      <c r="J21" s="863" t="str">
        <f t="shared" si="0"/>
        <v/>
      </c>
      <c r="K21" s="96"/>
      <c r="L21" s="97" t="e">
        <f>IF(ISNUMBER(D21),D21/Population!D21*10000,NA())</f>
        <v>#N/A</v>
      </c>
      <c r="M21" s="97" t="e">
        <f>IF(ISNUMBER(E21),E21/Population!E21*10000,NA())</f>
        <v>#N/A</v>
      </c>
      <c r="N21" s="97" t="e">
        <f>IF(ISNUMBER(F21),F21/Population!F21*10000,NA())</f>
        <v>#N/A</v>
      </c>
      <c r="O21" s="97" t="e">
        <f>IF(ISNUMBER(G21),G21/Population!G21*10000,NA())</f>
        <v>#N/A</v>
      </c>
      <c r="P21" s="98" t="e">
        <f>IF(ISNUMBER(H21),H21/Population!H21*10000,NA())</f>
        <v>#N/A</v>
      </c>
      <c r="Q21" s="99" t="str">
        <f t="shared" si="5"/>
        <v/>
      </c>
      <c r="R21" s="822" t="e">
        <f t="shared" si="1"/>
        <v>#N/A</v>
      </c>
      <c r="S21" s="85"/>
      <c r="T21" s="99">
        <f>IF(H21&gt;0,IDACI!C20,NA())</f>
        <v>16</v>
      </c>
      <c r="U21" s="122"/>
      <c r="V21" s="139"/>
      <c r="W21" s="152"/>
      <c r="X21" s="72" t="str">
        <f t="shared" si="2"/>
        <v>Reading</v>
      </c>
      <c r="Y21" s="44">
        <f>IF(ISNUMBER($H21),IDACI!D20,0)</f>
        <v>0</v>
      </c>
      <c r="Z21" s="44">
        <f>IF(ISNUMBER($H21),IDACI!E20,0)</f>
        <v>0</v>
      </c>
      <c r="AA21" s="205" t="str">
        <f>IF(ISNUMBER(D21),Population!D21,"")</f>
        <v/>
      </c>
      <c r="AB21" s="205" t="str">
        <f>IF(ISNUMBER(E21),Population!E21,"")</f>
        <v/>
      </c>
      <c r="AC21" s="205" t="str">
        <f>IF(ISNUMBER(F21),Population!F21,"")</f>
        <v/>
      </c>
      <c r="AD21" s="205" t="str">
        <f>IF(ISNUMBER(G21),Population!G21,"")</f>
        <v/>
      </c>
      <c r="AE21" s="205" t="str">
        <f>IF(ISNUMBER(H21),Population!H21,"")</f>
        <v/>
      </c>
      <c r="AF21" s="93" t="s">
        <v>3</v>
      </c>
      <c r="AG21" s="231" t="str">
        <f t="shared" si="6"/>
        <v/>
      </c>
      <c r="AH21" s="206" t="e">
        <f t="shared" si="7"/>
        <v>#VALUE!</v>
      </c>
      <c r="AI21" s="202"/>
      <c r="AJ21" s="160"/>
      <c r="AK21" s="853" t="str">
        <f t="shared" si="8"/>
        <v>x</v>
      </c>
      <c r="AL21" s="853" t="str">
        <f t="shared" si="9"/>
        <v>x</v>
      </c>
      <c r="AM21" s="853" t="str">
        <f t="shared" si="10"/>
        <v>x</v>
      </c>
      <c r="AN21" s="853" t="str">
        <f t="shared" si="11"/>
        <v>x</v>
      </c>
      <c r="AO21" s="853" t="str">
        <f t="shared" si="12"/>
        <v/>
      </c>
    </row>
    <row r="22" spans="1:41" s="87" customFormat="1" ht="13.5" customHeight="1" x14ac:dyDescent="0.2">
      <c r="A22" s="488">
        <f>VLOOKUP(B22,Sheet1!$AQ$4:$AR$25,2,FALSE)</f>
        <v>0</v>
      </c>
      <c r="B22" s="93" t="str">
        <f>Sheet1!$K$16</f>
        <v>Slough</v>
      </c>
      <c r="C22" s="85"/>
      <c r="D22" s="94" t="str">
        <f>IF(Year1_Slough Year1_EarlyHelpedChildren="","",Year1_Slough Year1_EarlyHelpedChildren)</f>
        <v/>
      </c>
      <c r="E22" s="94" t="str">
        <f>IF(Year2_Slough Year2_EarlyHelpedChildren="","",Year2_Slough Year2_EarlyHelpedChildren)</f>
        <v/>
      </c>
      <c r="F22" s="94" t="str">
        <f>IF(Year3_Slough Year3_EarlyHelpedChildren="","",Year3_Slough Year3_EarlyHelpedChildren)</f>
        <v/>
      </c>
      <c r="G22" s="94" t="str">
        <f>IF(Year4_Slough Year4_EarlyHelpedChildren="","",Year4_Slough Year4_EarlyHelpedChildren)</f>
        <v/>
      </c>
      <c r="H22" s="848" t="str">
        <f>IF(Year5_Slough Year5_EarlyHelpedChildren="","",Year5_Slough Year5_EarlyHelpedChildren)</f>
        <v/>
      </c>
      <c r="I22" s="1093" t="str">
        <f t="shared" si="4"/>
        <v/>
      </c>
      <c r="J22" s="863" t="str">
        <f t="shared" si="0"/>
        <v/>
      </c>
      <c r="K22" s="96"/>
      <c r="L22" s="97" t="e">
        <f>IF(ISNUMBER(D22),D22/Population!D22*10000,NA())</f>
        <v>#N/A</v>
      </c>
      <c r="M22" s="97" t="e">
        <f>IF(ISNUMBER(E22),E22/Population!E22*10000,NA())</f>
        <v>#N/A</v>
      </c>
      <c r="N22" s="97" t="e">
        <f>IF(ISNUMBER(F22),F22/Population!F22*10000,NA())</f>
        <v>#N/A</v>
      </c>
      <c r="O22" s="97" t="e">
        <f>IF(ISNUMBER(G22),G22/Population!G22*10000,NA())</f>
        <v>#N/A</v>
      </c>
      <c r="P22" s="98" t="e">
        <f>IF(ISNUMBER(H22),H22/Population!H22*10000,NA())</f>
        <v>#N/A</v>
      </c>
      <c r="Q22" s="99" t="str">
        <f t="shared" si="5"/>
        <v/>
      </c>
      <c r="R22" s="822" t="e">
        <f t="shared" si="1"/>
        <v>#N/A</v>
      </c>
      <c r="S22" s="85"/>
      <c r="T22" s="99">
        <f>IF(H22&gt;0,IDACI!C21,NA())</f>
        <v>14.7</v>
      </c>
      <c r="U22" s="122"/>
      <c r="V22" s="139"/>
      <c r="W22" s="152"/>
      <c r="X22" s="72" t="str">
        <f t="shared" si="2"/>
        <v>Slough</v>
      </c>
      <c r="Y22" s="44">
        <f>IF(ISNUMBER($H22),IDACI!D21,0)</f>
        <v>0</v>
      </c>
      <c r="Z22" s="44">
        <f>IF(ISNUMBER($H22),IDACI!E21,0)</f>
        <v>0</v>
      </c>
      <c r="AA22" s="205" t="str">
        <f>IF(ISNUMBER(D22),Population!D22,"")</f>
        <v/>
      </c>
      <c r="AB22" s="205" t="str">
        <f>IF(ISNUMBER(E22),Population!E22,"")</f>
        <v/>
      </c>
      <c r="AC22" s="205" t="str">
        <f>IF(ISNUMBER(F22),Population!F22,"")</f>
        <v/>
      </c>
      <c r="AD22" s="205" t="str">
        <f>IF(ISNUMBER(G22),Population!G22,"")</f>
        <v/>
      </c>
      <c r="AE22" s="205" t="str">
        <f>IF(ISNUMBER(H22),Population!H22,"")</f>
        <v/>
      </c>
      <c r="AF22" s="93" t="s">
        <v>13</v>
      </c>
      <c r="AG22" s="231" t="str">
        <f t="shared" si="6"/>
        <v/>
      </c>
      <c r="AH22" s="206" t="e">
        <f t="shared" si="7"/>
        <v>#VALUE!</v>
      </c>
      <c r="AI22" s="202"/>
      <c r="AJ22" s="160"/>
      <c r="AK22" s="853" t="str">
        <f t="shared" si="8"/>
        <v>x</v>
      </c>
      <c r="AL22" s="853" t="str">
        <f t="shared" si="9"/>
        <v>x</v>
      </c>
      <c r="AM22" s="853" t="str">
        <f t="shared" si="10"/>
        <v>x</v>
      </c>
      <c r="AN22" s="853" t="str">
        <f t="shared" si="11"/>
        <v>x</v>
      </c>
      <c r="AO22" s="853" t="str">
        <f t="shared" si="12"/>
        <v/>
      </c>
    </row>
    <row r="23" spans="1:41" s="87" customFormat="1" ht="13.5" customHeight="1" x14ac:dyDescent="0.2">
      <c r="A23" s="488">
        <f>VLOOKUP(B23,Sheet1!$AQ$4:$AR$25,2,FALSE)</f>
        <v>0</v>
      </c>
      <c r="B23" s="93" t="str">
        <f>Sheet1!$K$17</f>
        <v>Somerset</v>
      </c>
      <c r="C23" s="85"/>
      <c r="D23" s="94" t="str">
        <f>IF(Year1_Somerset Year1_EarlyHelpedChildren="","",Year1_Somerset Year1_EarlyHelpedChildren)</f>
        <v/>
      </c>
      <c r="E23" s="94" t="str">
        <f>IF(Year2_Somerset Year2_EarlyHelpedChildren="","",Year2_Somerset Year2_EarlyHelpedChildren)</f>
        <v/>
      </c>
      <c r="F23" s="94" t="str">
        <f>IF(Year3_Somerset Year3_EarlyHelpedChildren="","",Year3_Somerset Year3_EarlyHelpedChildren)</f>
        <v/>
      </c>
      <c r="G23" s="94" t="str">
        <f>IF(Year4_Somerset Year4_EarlyHelpedChildren="","",Year4_Somerset Year4_EarlyHelpedChildren)</f>
        <v/>
      </c>
      <c r="H23" s="848" t="str">
        <f>IF(Year5_Somerset Year5_EarlyHelpedChildren="","",Year5_Somerset Year5_EarlyHelpedChildren)</f>
        <v/>
      </c>
      <c r="I23" s="1093" t="str">
        <f t="shared" si="4"/>
        <v/>
      </c>
      <c r="J23" s="863" t="str">
        <f t="shared" si="0"/>
        <v/>
      </c>
      <c r="K23" s="96"/>
      <c r="L23" s="97" t="e">
        <f>IF(ISNUMBER(D23),D23/Population!D23*10000,NA())</f>
        <v>#N/A</v>
      </c>
      <c r="M23" s="97" t="e">
        <f>IF(ISNUMBER(E23),E23/Population!E23*10000,NA())</f>
        <v>#N/A</v>
      </c>
      <c r="N23" s="97" t="e">
        <f>IF(ISNUMBER(F23),F23/Population!F23*10000,NA())</f>
        <v>#N/A</v>
      </c>
      <c r="O23" s="97" t="e">
        <f>IF(ISNUMBER(G23),G23/Population!G23*10000,NA())</f>
        <v>#N/A</v>
      </c>
      <c r="P23" s="98" t="e">
        <f>IF(ISNUMBER(H23),H23/Population!H23*10000,NA())</f>
        <v>#N/A</v>
      </c>
      <c r="Q23" s="99" t="str">
        <f t="shared" si="5"/>
        <v/>
      </c>
      <c r="R23" s="807" t="str">
        <f t="shared" si="1"/>
        <v>--</v>
      </c>
      <c r="S23" s="85"/>
      <c r="T23" s="99">
        <f>IF(H23&gt;0,IDACI!C22,NA())</f>
        <v>13.600000000000001</v>
      </c>
      <c r="U23" s="122"/>
      <c r="V23" s="139"/>
      <c r="W23" s="152"/>
      <c r="X23" s="72" t="str">
        <f t="shared" si="2"/>
        <v>Somerset</v>
      </c>
      <c r="Y23" s="44">
        <f>IF(ISNUMBER($H23),IDACI!D22,0)</f>
        <v>0</v>
      </c>
      <c r="Z23" s="44">
        <f>IF(ISNUMBER($H23),IDACI!E22,0)</f>
        <v>0</v>
      </c>
      <c r="AA23" s="205" t="str">
        <f>IF(ISNUMBER(D23),Population!D23,"")</f>
        <v/>
      </c>
      <c r="AB23" s="205" t="str">
        <f>IF(ISNUMBER(E23),Population!E23,"")</f>
        <v/>
      </c>
      <c r="AC23" s="205" t="str">
        <f>IF(ISNUMBER(F23),Population!F23,"")</f>
        <v/>
      </c>
      <c r="AD23" s="205" t="str">
        <f>IF(ISNUMBER(G23),Population!G23,"")</f>
        <v/>
      </c>
      <c r="AE23" s="205" t="str">
        <f>IF(ISNUMBER(H23),Population!H23,"")</f>
        <v/>
      </c>
      <c r="AF23" s="93" t="s">
        <v>14</v>
      </c>
      <c r="AG23" s="231" t="str">
        <f t="shared" si="6"/>
        <v/>
      </c>
      <c r="AH23" s="206" t="e">
        <f t="shared" si="7"/>
        <v>#VALUE!</v>
      </c>
      <c r="AI23" s="202"/>
      <c r="AJ23" s="160"/>
      <c r="AK23" s="853" t="str">
        <f t="shared" si="8"/>
        <v>x</v>
      </c>
      <c r="AL23" s="853" t="str">
        <f t="shared" si="9"/>
        <v>x</v>
      </c>
      <c r="AM23" s="853" t="str">
        <f t="shared" si="10"/>
        <v>x</v>
      </c>
      <c r="AN23" s="853" t="str">
        <f t="shared" si="11"/>
        <v>x</v>
      </c>
      <c r="AO23" s="853" t="str">
        <f t="shared" si="12"/>
        <v/>
      </c>
    </row>
    <row r="24" spans="1:41" s="87" customFormat="1" ht="13.5" customHeight="1" x14ac:dyDescent="0.2">
      <c r="A24" s="488">
        <f>VLOOKUP(B24,Sheet1!$AQ$4:$AR$25,2,FALSE)</f>
        <v>0</v>
      </c>
      <c r="B24" s="93" t="str">
        <f>Sheet1!$K$18</f>
        <v>Southampton</v>
      </c>
      <c r="C24" s="85"/>
      <c r="D24" s="94" t="str">
        <f>IF(Year1_Southampton Year1_EarlyHelpedChildren="","",Year1_Southampton Year1_EarlyHelpedChildren)</f>
        <v/>
      </c>
      <c r="E24" s="94" t="str">
        <f>IF(Year2_Southampton Year2_EarlyHelpedChildren="","",Year2_Southampton Year2_EarlyHelpedChildren)</f>
        <v/>
      </c>
      <c r="F24" s="94" t="str">
        <f>IF(Year3_Southampton Year3_EarlyHelpedChildren="","",Year3_Southampton Year3_EarlyHelpedChildren)</f>
        <v/>
      </c>
      <c r="G24" s="94" t="str">
        <f>IF(Year4_Southampton Year4_EarlyHelpedChildren="","",Year4_Southampton Year4_EarlyHelpedChildren)</f>
        <v/>
      </c>
      <c r="H24" s="848" t="str">
        <f>IF(Year5_Southampton Year5_EarlyHelpedChildren="","",Year5_Southampton Year5_EarlyHelpedChildren)</f>
        <v/>
      </c>
      <c r="I24" s="1093" t="str">
        <f t="shared" si="4"/>
        <v/>
      </c>
      <c r="J24" s="863" t="str">
        <f t="shared" si="0"/>
        <v/>
      </c>
      <c r="K24" s="96"/>
      <c r="L24" s="97" t="e">
        <f>IF(ISNUMBER(D24),D24/Population!D24*10000,NA())</f>
        <v>#N/A</v>
      </c>
      <c r="M24" s="97" t="e">
        <f>IF(ISNUMBER(E24),E24/Population!E24*10000,NA())</f>
        <v>#N/A</v>
      </c>
      <c r="N24" s="97" t="e">
        <f>IF(ISNUMBER(F24),F24/Population!F24*10000,NA())</f>
        <v>#N/A</v>
      </c>
      <c r="O24" s="97" t="e">
        <f>IF(ISNUMBER(G24),G24/Population!G24*10000,NA())</f>
        <v>#N/A</v>
      </c>
      <c r="P24" s="98" t="e">
        <f>IF(ISNUMBER(H24),H24/Population!H24*10000,NA())</f>
        <v>#N/A</v>
      </c>
      <c r="Q24" s="99" t="str">
        <f t="shared" si="5"/>
        <v/>
      </c>
      <c r="R24" s="822" t="e">
        <f t="shared" si="1"/>
        <v>#N/A</v>
      </c>
      <c r="S24" s="85"/>
      <c r="T24" s="99">
        <f>IF(H24&gt;0,IDACI!C23,NA())</f>
        <v>20.5</v>
      </c>
      <c r="U24" s="122"/>
      <c r="V24" s="139"/>
      <c r="W24" s="152"/>
      <c r="X24" s="72" t="str">
        <f t="shared" si="2"/>
        <v>Southampton</v>
      </c>
      <c r="Y24" s="44">
        <f>IF(ISNUMBER($H24),IDACI!D23,0)</f>
        <v>0</v>
      </c>
      <c r="Z24" s="44">
        <f>IF(ISNUMBER($H24),IDACI!E23,0)</f>
        <v>0</v>
      </c>
      <c r="AA24" s="205" t="str">
        <f>IF(ISNUMBER(D24),Population!D24,"")</f>
        <v/>
      </c>
      <c r="AB24" s="205" t="str">
        <f>IF(ISNUMBER(E24),Population!E24,"")</f>
        <v/>
      </c>
      <c r="AC24" s="205" t="str">
        <f>IF(ISNUMBER(F24),Population!F24,"")</f>
        <v/>
      </c>
      <c r="AD24" s="205" t="str">
        <f>IF(ISNUMBER(G24),Population!G24,"")</f>
        <v/>
      </c>
      <c r="AE24" s="205" t="str">
        <f>IF(ISNUMBER(H24),Population!H24,"")</f>
        <v/>
      </c>
      <c r="AF24" s="93" t="s">
        <v>7</v>
      </c>
      <c r="AG24" s="231" t="str">
        <f t="shared" si="6"/>
        <v/>
      </c>
      <c r="AH24" s="206" t="e">
        <f t="shared" si="7"/>
        <v>#VALUE!</v>
      </c>
      <c r="AI24" s="202"/>
      <c r="AJ24" s="160"/>
      <c r="AK24" s="853" t="str">
        <f t="shared" si="8"/>
        <v>x</v>
      </c>
      <c r="AL24" s="853" t="str">
        <f t="shared" si="9"/>
        <v>x</v>
      </c>
      <c r="AM24" s="853" t="str">
        <f t="shared" si="10"/>
        <v>x</v>
      </c>
      <c r="AN24" s="853" t="str">
        <f t="shared" si="11"/>
        <v>x</v>
      </c>
      <c r="AO24" s="853" t="str">
        <f t="shared" si="12"/>
        <v/>
      </c>
    </row>
    <row r="25" spans="1:41" s="87" customFormat="1" ht="13.5" customHeight="1" x14ac:dyDescent="0.2">
      <c r="A25" s="488">
        <f>VLOOKUP(B25,Sheet1!$AQ$4:$AR$25,2,FALSE)</f>
        <v>0</v>
      </c>
      <c r="B25" s="93" t="str">
        <f>Sheet1!$K$19</f>
        <v>Surrey</v>
      </c>
      <c r="C25" s="85"/>
      <c r="D25" s="94" t="str">
        <f>IF(Year1_Surrey Year1_EarlyHelpedChildren="","",Year1_Surrey Year1_EarlyHelpedChildren)</f>
        <v/>
      </c>
      <c r="E25" s="94" t="str">
        <f>IF(Year2_Surrey Year2_EarlyHelpedChildren="","",Year2_Surrey Year2_EarlyHelpedChildren)</f>
        <v/>
      </c>
      <c r="F25" s="94" t="str">
        <f>IF(Year3_Surrey Year3_EarlyHelpedChildren="","",Year3_Surrey Year3_EarlyHelpedChildren)</f>
        <v/>
      </c>
      <c r="G25" s="94" t="str">
        <f>IF(Year4_Surrey Year4_EarlyHelpedChildren="","",Year4_Surrey Year4_EarlyHelpedChildren)</f>
        <v/>
      </c>
      <c r="H25" s="848" t="str">
        <f>IF(Year5_Surrey Year5_EarlyHelpedChildren="","",Year5_Surrey Year5_EarlyHelpedChildren)</f>
        <v/>
      </c>
      <c r="I25" s="1093" t="str">
        <f t="shared" si="4"/>
        <v/>
      </c>
      <c r="J25" s="863" t="str">
        <f t="shared" si="0"/>
        <v/>
      </c>
      <c r="K25" s="96"/>
      <c r="L25" s="97" t="e">
        <f>IF(ISNUMBER(D25),D25/Population!D25*10000,NA())</f>
        <v>#N/A</v>
      </c>
      <c r="M25" s="97" t="e">
        <f>IF(ISNUMBER(E25),E25/Population!E25*10000,NA())</f>
        <v>#N/A</v>
      </c>
      <c r="N25" s="97" t="e">
        <f>IF(ISNUMBER(F25),F25/Population!F25*10000,NA())</f>
        <v>#N/A</v>
      </c>
      <c r="O25" s="97" t="e">
        <f>IF(ISNUMBER(G25),G25/Population!G25*10000,NA())</f>
        <v>#N/A</v>
      </c>
      <c r="P25" s="98" t="e">
        <f>IF(ISNUMBER(H25),H25/Population!H25*10000,NA())</f>
        <v>#N/A</v>
      </c>
      <c r="Q25" s="99" t="str">
        <f t="shared" si="5"/>
        <v/>
      </c>
      <c r="R25" s="822" t="e">
        <f t="shared" si="1"/>
        <v>#N/A</v>
      </c>
      <c r="S25" s="85"/>
      <c r="T25" s="99">
        <f>IF(H25&gt;0,IDACI!C24,NA())</f>
        <v>8.3000000000000007</v>
      </c>
      <c r="U25" s="122"/>
      <c r="V25" s="139"/>
      <c r="W25" s="152"/>
      <c r="X25" s="72" t="str">
        <f t="shared" si="2"/>
        <v>Surrey</v>
      </c>
      <c r="Y25" s="44">
        <f>IF(ISNUMBER($H25),IDACI!D24,0)</f>
        <v>0</v>
      </c>
      <c r="Z25" s="44">
        <f>IF(ISNUMBER($H25),IDACI!E24,0)</f>
        <v>0</v>
      </c>
      <c r="AA25" s="205" t="str">
        <f>IF(ISNUMBER(D25),Population!D25,"")</f>
        <v/>
      </c>
      <c r="AB25" s="205" t="str">
        <f>IF(ISNUMBER(E25),Population!E25,"")</f>
        <v/>
      </c>
      <c r="AC25" s="205" t="str">
        <f>IF(ISNUMBER(F25),Population!F25,"")</f>
        <v/>
      </c>
      <c r="AD25" s="205" t="str">
        <f>IF(ISNUMBER(G25),Population!G25,"")</f>
        <v/>
      </c>
      <c r="AE25" s="205" t="str">
        <f>IF(ISNUMBER(H25),Population!H25,"")</f>
        <v/>
      </c>
      <c r="AF25" s="93" t="s">
        <v>15</v>
      </c>
      <c r="AG25" s="231" t="str">
        <f t="shared" si="6"/>
        <v/>
      </c>
      <c r="AH25" s="206" t="e">
        <f t="shared" si="7"/>
        <v>#VALUE!</v>
      </c>
      <c r="AI25" s="202"/>
      <c r="AJ25" s="160"/>
      <c r="AK25" s="853" t="str">
        <f t="shared" si="8"/>
        <v>x</v>
      </c>
      <c r="AL25" s="853" t="str">
        <f t="shared" si="9"/>
        <v>x</v>
      </c>
      <c r="AM25" s="853" t="str">
        <f t="shared" si="10"/>
        <v>x</v>
      </c>
      <c r="AN25" s="853" t="str">
        <f t="shared" si="11"/>
        <v>x</v>
      </c>
      <c r="AO25" s="853" t="str">
        <f t="shared" si="12"/>
        <v/>
      </c>
    </row>
    <row r="26" spans="1:41" s="87" customFormat="1" ht="13.5" customHeight="1" x14ac:dyDescent="0.2">
      <c r="A26" s="488">
        <f>VLOOKUP(B26,Sheet1!$AQ$4:$AR$25,2,FALSE)</f>
        <v>0</v>
      </c>
      <c r="B26" s="93" t="str">
        <f>Sheet1!$K$20</f>
        <v>Swindon</v>
      </c>
      <c r="C26" s="85"/>
      <c r="D26" s="94" t="str">
        <f>IF(Year1_Swindon Year1_EarlyHelpedChildren="","",Year1_Swindon Year1_EarlyHelpedChildren)</f>
        <v/>
      </c>
      <c r="E26" s="94" t="str">
        <f>IF(Year2_Swindon Year2_EarlyHelpedChildren="","",Year2_Swindon Year2_EarlyHelpedChildren)</f>
        <v/>
      </c>
      <c r="F26" s="94" t="str">
        <f>IF(Year3_Swindon Year3_EarlyHelpedChildren="","",Year3_Swindon Year3_EarlyHelpedChildren)</f>
        <v/>
      </c>
      <c r="G26" s="94" t="str">
        <f>IF(Year4_Swindon Year4_EarlyHelpedChildren="","",Year4_Swindon Year4_EarlyHelpedChildren)</f>
        <v/>
      </c>
      <c r="H26" s="848" t="str">
        <f>IF(Year5_Swindon Year5_EarlyHelpedChildren="","",Year5_Swindon Year5_EarlyHelpedChildren)</f>
        <v/>
      </c>
      <c r="I26" s="1093" t="str">
        <f t="shared" si="4"/>
        <v/>
      </c>
      <c r="J26" s="863" t="str">
        <f t="shared" si="0"/>
        <v/>
      </c>
      <c r="K26" s="96"/>
      <c r="L26" s="97" t="e">
        <f>IF(ISNUMBER(D26),D26/Population!D26*10000,NA())</f>
        <v>#N/A</v>
      </c>
      <c r="M26" s="97" t="e">
        <f>IF(ISNUMBER(E26),E26/Population!E26*10000,NA())</f>
        <v>#N/A</v>
      </c>
      <c r="N26" s="97" t="e">
        <f>IF(ISNUMBER(F26),F26/Population!F26*10000,NA())</f>
        <v>#N/A</v>
      </c>
      <c r="O26" s="97" t="e">
        <f>IF(ISNUMBER(G26),G26/Population!G26*10000,NA())</f>
        <v>#N/A</v>
      </c>
      <c r="P26" s="98" t="e">
        <f>IF(ISNUMBER(H26),H26/Population!H26*10000,NA())</f>
        <v>#N/A</v>
      </c>
      <c r="Q26" s="99" t="str">
        <f t="shared" si="5"/>
        <v/>
      </c>
      <c r="R26" s="807" t="str">
        <f t="shared" si="1"/>
        <v>--</v>
      </c>
      <c r="S26" s="85"/>
      <c r="T26" s="99">
        <f>IF(H26&gt;0,IDACI!C25,NA())</f>
        <v>14.899999999999999</v>
      </c>
      <c r="U26" s="122"/>
      <c r="V26" s="139"/>
      <c r="W26" s="152"/>
      <c r="X26" s="72" t="str">
        <f t="shared" si="2"/>
        <v>Swindon</v>
      </c>
      <c r="Y26" s="44">
        <f>IF(ISNUMBER($H26),IDACI!D25,0)</f>
        <v>0</v>
      </c>
      <c r="Z26" s="44">
        <f>IF(ISNUMBER($H26),IDACI!E25,0)</f>
        <v>0</v>
      </c>
      <c r="AA26" s="205" t="str">
        <f>IF(ISNUMBER(D26),Population!D26,"")</f>
        <v/>
      </c>
      <c r="AB26" s="205" t="str">
        <f>IF(ISNUMBER(E26),Population!E26,"")</f>
        <v/>
      </c>
      <c r="AC26" s="205" t="str">
        <f>IF(ISNUMBER(F26),Population!F26,"")</f>
        <v/>
      </c>
      <c r="AD26" s="205" t="str">
        <f>IF(ISNUMBER(G26),Population!G26,"")</f>
        <v/>
      </c>
      <c r="AE26" s="205" t="str">
        <f>IF(ISNUMBER(H26),Population!H26,"")</f>
        <v/>
      </c>
      <c r="AF26" s="93" t="s">
        <v>5</v>
      </c>
      <c r="AG26" s="231" t="str">
        <f t="shared" si="6"/>
        <v/>
      </c>
      <c r="AH26" s="206" t="e">
        <f t="shared" si="7"/>
        <v>#VALUE!</v>
      </c>
      <c r="AI26" s="202"/>
      <c r="AJ26" s="160"/>
      <c r="AK26" s="853" t="str">
        <f t="shared" si="8"/>
        <v>x</v>
      </c>
      <c r="AL26" s="853" t="str">
        <f t="shared" si="9"/>
        <v>x</v>
      </c>
      <c r="AM26" s="853" t="str">
        <f t="shared" si="10"/>
        <v>x</v>
      </c>
      <c r="AN26" s="853" t="str">
        <f t="shared" si="11"/>
        <v>x</v>
      </c>
      <c r="AO26" s="853" t="str">
        <f t="shared" si="12"/>
        <v/>
      </c>
    </row>
    <row r="27" spans="1:41" s="87" customFormat="1" ht="13.5" customHeight="1" x14ac:dyDescent="0.2">
      <c r="A27" s="488">
        <f>VLOOKUP(B27,Sheet1!$AQ$4:$AR$25,2,FALSE)</f>
        <v>0</v>
      </c>
      <c r="B27" s="93" t="str">
        <f>Sheet1!$K$21</f>
        <v>Torbay</v>
      </c>
      <c r="C27" s="85"/>
      <c r="D27" s="94" t="str">
        <f>IF(Year1_Torbay Year1_EarlyHelpedChildren="","",Year1_Torbay Year1_EarlyHelpedChildren)</f>
        <v/>
      </c>
      <c r="E27" s="94" t="str">
        <f>IF(Year2_Torbay Year2_EarlyHelpedChildren="","",Year2_Torbay Year2_EarlyHelpedChildren)</f>
        <v/>
      </c>
      <c r="F27" s="94" t="str">
        <f>IF(Year3_Torbay Year3_EarlyHelpedChildren="","",Year3_Torbay Year3_EarlyHelpedChildren)</f>
        <v/>
      </c>
      <c r="G27" s="94" t="str">
        <f>IF(Year4_Torbay Year4_EarlyHelpedChildren="","",Year4_Torbay Year4_EarlyHelpedChildren)</f>
        <v/>
      </c>
      <c r="H27" s="848" t="str">
        <f>IF(Year5_Torbay Year5_EarlyHelpedChildren="","",Year5_Torbay Year5_EarlyHelpedChildren)</f>
        <v/>
      </c>
      <c r="I27" s="1093" t="str">
        <f t="shared" si="4"/>
        <v/>
      </c>
      <c r="J27" s="863" t="str">
        <f t="shared" si="0"/>
        <v/>
      </c>
      <c r="K27" s="96"/>
      <c r="L27" s="97" t="e">
        <f>IF(ISNUMBER(D27),D27/Population!D27*10000,NA())</f>
        <v>#N/A</v>
      </c>
      <c r="M27" s="97" t="e">
        <f>IF(ISNUMBER(E27),E27/Population!E27*10000,NA())</f>
        <v>#N/A</v>
      </c>
      <c r="N27" s="97" t="e">
        <f>IF(ISNUMBER(F27),F27/Population!F27*10000,NA())</f>
        <v>#N/A</v>
      </c>
      <c r="O27" s="97" t="e">
        <f>IF(ISNUMBER(G27),G27/Population!G27*10000,NA())</f>
        <v>#N/A</v>
      </c>
      <c r="P27" s="98" t="e">
        <f>IF(ISNUMBER(H27),H27/Population!H27*10000,NA())</f>
        <v>#N/A</v>
      </c>
      <c r="Q27" s="99" t="str">
        <f t="shared" si="5"/>
        <v/>
      </c>
      <c r="R27" s="807" t="str">
        <f t="shared" si="1"/>
        <v>--</v>
      </c>
      <c r="S27" s="85"/>
      <c r="T27" s="99">
        <f>IF(H27&gt;0,IDACI!C26,NA())</f>
        <v>21.9</v>
      </c>
      <c r="U27" s="122"/>
      <c r="V27" s="139"/>
      <c r="W27" s="152"/>
      <c r="X27" s="72" t="str">
        <f t="shared" si="2"/>
        <v>Torbay</v>
      </c>
      <c r="Y27" s="44">
        <f>IF(ISNUMBER($H27),IDACI!D26,0)</f>
        <v>0</v>
      </c>
      <c r="Z27" s="44">
        <f>IF(ISNUMBER($H27),IDACI!E26,0)</f>
        <v>0</v>
      </c>
      <c r="AA27" s="205" t="str">
        <f>IF(ISNUMBER(D27),Population!D27,"")</f>
        <v/>
      </c>
      <c r="AB27" s="205" t="str">
        <f>IF(ISNUMBER(E27),Population!E27,"")</f>
        <v/>
      </c>
      <c r="AC27" s="205" t="str">
        <f>IF(ISNUMBER(F27),Population!F27,"")</f>
        <v/>
      </c>
      <c r="AD27" s="205" t="str">
        <f>IF(ISNUMBER(G27),Population!G27,"")</f>
        <v/>
      </c>
      <c r="AE27" s="205" t="str">
        <f>IF(ISNUMBER(H27),Population!H27,"")</f>
        <v/>
      </c>
      <c r="AF27" s="93" t="s">
        <v>30</v>
      </c>
      <c r="AG27" s="231" t="str">
        <f t="shared" si="6"/>
        <v/>
      </c>
      <c r="AH27" s="206" t="e">
        <f t="shared" si="7"/>
        <v>#VALUE!</v>
      </c>
      <c r="AI27" s="202"/>
      <c r="AJ27" s="160"/>
      <c r="AK27" s="853" t="str">
        <f t="shared" si="8"/>
        <v>x</v>
      </c>
      <c r="AL27" s="853" t="str">
        <f t="shared" si="9"/>
        <v>x</v>
      </c>
      <c r="AM27" s="853" t="str">
        <f t="shared" si="10"/>
        <v>x</v>
      </c>
      <c r="AN27" s="853" t="str">
        <f t="shared" si="11"/>
        <v>x</v>
      </c>
      <c r="AO27" s="853" t="str">
        <f t="shared" si="12"/>
        <v/>
      </c>
    </row>
    <row r="28" spans="1:41" s="87" customFormat="1" ht="13.5" customHeight="1" x14ac:dyDescent="0.2">
      <c r="A28" s="488">
        <f>VLOOKUP(B28,Sheet1!$AQ$4:$AR$25,2,FALSE)</f>
        <v>0</v>
      </c>
      <c r="B28" s="93" t="str">
        <f>Sheet1!$K$22</f>
        <v>West Berkshire</v>
      </c>
      <c r="C28" s="85"/>
      <c r="D28" s="94" t="str">
        <f>IF(Year1_West_Berkshire Year1_EarlyHelpedChildren="","",Year1_West_Berkshire Year1_EarlyHelpedChildren)</f>
        <v/>
      </c>
      <c r="E28" s="100" t="str">
        <f>IF(Year2_West_Berkshire Year2_EarlyHelpedChildren="","",Year2_West_Berkshire Year2_EarlyHelpedChildren)</f>
        <v/>
      </c>
      <c r="F28" s="94" t="str">
        <f>IF(Year3_West_Berkshire Year3_EarlyHelpedChildren="","",Year3_West_Berkshire Year3_EarlyHelpedChildren)</f>
        <v/>
      </c>
      <c r="G28" s="94" t="str">
        <f>IF(Year4_West_Berkshire Year4_EarlyHelpedChildren="","",Year4_West_Berkshire Year4_EarlyHelpedChildren)</f>
        <v/>
      </c>
      <c r="H28" s="848" t="str">
        <f>IF(Year5_West_Berkshire Year5_EarlyHelpedChildren="","",Year5_West_Berkshire Year5_EarlyHelpedChildren)</f>
        <v/>
      </c>
      <c r="I28" s="1093" t="str">
        <f t="shared" si="4"/>
        <v/>
      </c>
      <c r="J28" s="863" t="str">
        <f t="shared" si="0"/>
        <v/>
      </c>
      <c r="K28" s="96"/>
      <c r="L28" s="97" t="e">
        <f>IF(ISNUMBER(D28),D28/Population!D28*10000,NA())</f>
        <v>#N/A</v>
      </c>
      <c r="M28" s="97" t="e">
        <f>IF(ISNUMBER(E28),E28/Population!E28*10000,NA())</f>
        <v>#N/A</v>
      </c>
      <c r="N28" s="97" t="e">
        <f>IF(ISNUMBER(F28),F28/Population!F28*10000,NA())</f>
        <v>#N/A</v>
      </c>
      <c r="O28" s="97" t="e">
        <f>IF(ISNUMBER(G28),G28/Population!G28*10000,NA())</f>
        <v>#N/A</v>
      </c>
      <c r="P28" s="98" t="e">
        <f>IF(ISNUMBER(H28),H28/Population!H28*10000,NA())</f>
        <v>#N/A</v>
      </c>
      <c r="Q28" s="99" t="str">
        <f t="shared" si="5"/>
        <v/>
      </c>
      <c r="R28" s="822" t="e">
        <f t="shared" si="1"/>
        <v>#N/A</v>
      </c>
      <c r="S28" s="85"/>
      <c r="T28" s="99">
        <f>IF(H28&gt;0,IDACI!C27,NA())</f>
        <v>8.6999999999999993</v>
      </c>
      <c r="U28" s="122"/>
      <c r="V28" s="139"/>
      <c r="W28" s="152"/>
      <c r="X28" s="72" t="str">
        <f t="shared" si="2"/>
        <v>West Berkshire</v>
      </c>
      <c r="Y28" s="44">
        <f>IF(ISNUMBER($H28),IDACI!D27,0)</f>
        <v>0</v>
      </c>
      <c r="Z28" s="44">
        <f>IF(ISNUMBER($H28),IDACI!E27,0)</f>
        <v>0</v>
      </c>
      <c r="AA28" s="205" t="str">
        <f>IF(ISNUMBER(D28),Population!D28,"")</f>
        <v/>
      </c>
      <c r="AB28" s="205" t="str">
        <f>IF(ISNUMBER(E28),Population!E28,"")</f>
        <v/>
      </c>
      <c r="AC28" s="205" t="str">
        <f>IF(ISNUMBER(F28),Population!F28,"")</f>
        <v/>
      </c>
      <c r="AD28" s="205" t="str">
        <f>IF(ISNUMBER(G28),Population!G28,"")</f>
        <v/>
      </c>
      <c r="AE28" s="205" t="str">
        <f>IF(ISNUMBER(H28),Population!H28,"")</f>
        <v/>
      </c>
      <c r="AF28" s="93" t="s">
        <v>16</v>
      </c>
      <c r="AG28" s="231" t="str">
        <f t="shared" si="6"/>
        <v/>
      </c>
      <c r="AH28" s="206" t="e">
        <f>RANK(AG28,$AG$10:$AG$28,1)</f>
        <v>#VALUE!</v>
      </c>
      <c r="AI28" s="202"/>
      <c r="AJ28" s="160"/>
      <c r="AK28" s="853" t="str">
        <f t="shared" si="8"/>
        <v>x</v>
      </c>
      <c r="AL28" s="853" t="str">
        <f t="shared" si="9"/>
        <v>x</v>
      </c>
      <c r="AM28" s="853" t="str">
        <f t="shared" si="10"/>
        <v>x</v>
      </c>
      <c r="AN28" s="853" t="str">
        <f t="shared" si="11"/>
        <v>x</v>
      </c>
      <c r="AO28" s="853" t="str">
        <f t="shared" si="12"/>
        <v/>
      </c>
    </row>
    <row r="29" spans="1:41" s="87" customFormat="1" ht="13.5" customHeight="1" x14ac:dyDescent="0.2">
      <c r="A29" s="488">
        <f>VLOOKUP(B29,Sheet1!$AQ$4:$AR$25,2,FALSE)</f>
        <v>0</v>
      </c>
      <c r="B29" s="93" t="str">
        <f>Sheet1!$K$23</f>
        <v>West Sussex</v>
      </c>
      <c r="C29" s="85"/>
      <c r="D29" s="94" t="str">
        <f>IF(Year1_West_Sussex Year1_EarlyHelpedChildren="","",Year1_West_Sussex Year1_EarlyHelpedChildren)</f>
        <v/>
      </c>
      <c r="E29" s="100" t="str">
        <f>IF(Year2_West_Sussex Year2_EarlyHelpedChildren="","",Year2_West_Sussex Year2_EarlyHelpedChildren)</f>
        <v/>
      </c>
      <c r="F29" s="94" t="str">
        <f>IF(Year3_West_Sussex Year3_EarlyHelpedChildren="","",Year3_West_Sussex Year3_EarlyHelpedChildren)</f>
        <v/>
      </c>
      <c r="G29" s="94" t="str">
        <f>IF(Year4_West_Sussex Year4_EarlyHelpedChildren="","",Year4_West_Sussex Year4_EarlyHelpedChildren)</f>
        <v/>
      </c>
      <c r="H29" s="848" t="str">
        <f>IF(Year5_West_Sussex Year5_EarlyHelpedChildren="","",Year5_West_Sussex Year5_EarlyHelpedChildren)</f>
        <v/>
      </c>
      <c r="I29" s="1093" t="str">
        <f t="shared" si="4"/>
        <v/>
      </c>
      <c r="J29" s="863" t="str">
        <f t="shared" si="0"/>
        <v/>
      </c>
      <c r="K29" s="96"/>
      <c r="L29" s="97" t="e">
        <f>IF(ISNUMBER(D29),D29/Population!D29*10000,NA())</f>
        <v>#N/A</v>
      </c>
      <c r="M29" s="97" t="e">
        <f>IF(ISNUMBER(E29),E29/Population!E29*10000,NA())</f>
        <v>#N/A</v>
      </c>
      <c r="N29" s="97" t="e">
        <f>IF(ISNUMBER(F29),F29/Population!F29*10000,NA())</f>
        <v>#N/A</v>
      </c>
      <c r="O29" s="97" t="e">
        <f>IF(ISNUMBER(G29),G29/Population!G29*10000,NA())</f>
        <v>#N/A</v>
      </c>
      <c r="P29" s="98" t="e">
        <f>IF(ISNUMBER(H29),H29/Population!H29*10000,NA())</f>
        <v>#N/A</v>
      </c>
      <c r="Q29" s="99" t="str">
        <f t="shared" si="5"/>
        <v/>
      </c>
      <c r="R29" s="822" t="e">
        <f t="shared" si="1"/>
        <v>#N/A</v>
      </c>
      <c r="S29" s="85"/>
      <c r="T29" s="99">
        <f>IF(H29&gt;0,IDACI!C28,NA())</f>
        <v>11</v>
      </c>
      <c r="U29" s="122"/>
      <c r="V29" s="139"/>
      <c r="W29" s="152"/>
      <c r="X29" s="72" t="str">
        <f t="shared" si="2"/>
        <v>West Sussex</v>
      </c>
      <c r="Y29" s="44">
        <f>IF(ISNUMBER($H29),IDACI!D28,0)</f>
        <v>0</v>
      </c>
      <c r="Z29" s="44">
        <f>IF(ISNUMBER($H29),IDACI!E28,0)</f>
        <v>0</v>
      </c>
      <c r="AA29" s="205" t="str">
        <f>IF(ISNUMBER(D29),Population!D29,"")</f>
        <v/>
      </c>
      <c r="AB29" s="205" t="str">
        <f>IF(ISNUMBER(E29),Population!E29,"")</f>
        <v/>
      </c>
      <c r="AC29" s="205" t="str">
        <f>IF(ISNUMBER(F29),Population!F29,"")</f>
        <v/>
      </c>
      <c r="AD29" s="205" t="str">
        <f>IF(ISNUMBER(G29),Population!G29,"")</f>
        <v/>
      </c>
      <c r="AE29" s="205" t="str">
        <f>IF(ISNUMBER(H29),Population!H29,"")</f>
        <v/>
      </c>
      <c r="AF29" s="202"/>
      <c r="AG29" s="202"/>
      <c r="AH29" s="190"/>
      <c r="AI29" s="202"/>
      <c r="AJ29" s="160"/>
      <c r="AK29" s="853" t="str">
        <f t="shared" si="8"/>
        <v>x</v>
      </c>
      <c r="AL29" s="853" t="str">
        <f t="shared" si="9"/>
        <v>x</v>
      </c>
      <c r="AM29" s="853" t="str">
        <f t="shared" si="10"/>
        <v>x</v>
      </c>
      <c r="AN29" s="853" t="str">
        <f t="shared" si="11"/>
        <v>x</v>
      </c>
      <c r="AO29" s="853" t="str">
        <f t="shared" si="12"/>
        <v/>
      </c>
    </row>
    <row r="30" spans="1:41" s="87" customFormat="1" ht="13.5" customHeight="1" x14ac:dyDescent="0.2">
      <c r="A30" s="488">
        <f>VLOOKUP(B30,Sheet1!$AQ$4:$AR$25,2,FALSE)</f>
        <v>0</v>
      </c>
      <c r="B30" s="93" t="str">
        <f>Sheet1!$K$24</f>
        <v>Windsor &amp; Maidenhead</v>
      </c>
      <c r="C30" s="85"/>
      <c r="D30" s="100" t="str">
        <f>IF(Year1_Windsor_Maidenhead Year1_EarlyHelpedChildren="","",Year1_Windsor_Maidenhead Year1_EarlyHelpedChildren)</f>
        <v/>
      </c>
      <c r="E30" s="94" t="str">
        <f>IF(Year2_Windsor_Maidenhead Year2_EarlyHelpedChildren="","",Year2_Windsor_Maidenhead Year2_EarlyHelpedChildren)</f>
        <v/>
      </c>
      <c r="F30" s="94" t="str">
        <f>IF(Year3_Windsor_Maidenhead Year3_EarlyHelpedChildren="","",Year3_Windsor_Maidenhead Year3_EarlyHelpedChildren)</f>
        <v/>
      </c>
      <c r="G30" s="94" t="str">
        <f>IF(Year4_Windsor_Maidenhead Year4_EarlyHelpedChildren="","",Year4_Windsor_Maidenhead Year4_EarlyHelpedChildren)</f>
        <v/>
      </c>
      <c r="H30" s="848" t="str">
        <f>IF(Year5_Windsor_Maidenhead Year5_EarlyHelpedChildren="","",Year5_Windsor_Maidenhead Year5_EarlyHelpedChildren)</f>
        <v/>
      </c>
      <c r="I30" s="1093" t="str">
        <f t="shared" si="4"/>
        <v/>
      </c>
      <c r="J30" s="863" t="str">
        <f t="shared" si="0"/>
        <v/>
      </c>
      <c r="K30" s="96"/>
      <c r="L30" s="97" t="e">
        <f>IF(ISNUMBER(D30),D30/Population!D30*10000,NA())</f>
        <v>#N/A</v>
      </c>
      <c r="M30" s="97" t="e">
        <f>IF(ISNUMBER(E30),E30/Population!E30*10000,NA())</f>
        <v>#N/A</v>
      </c>
      <c r="N30" s="97" t="e">
        <f>IF(ISNUMBER(F30),F30/Population!F30*10000,NA())</f>
        <v>#N/A</v>
      </c>
      <c r="O30" s="97" t="e">
        <f>IF(ISNUMBER(G30),G30/Population!G30*10000,NA())</f>
        <v>#N/A</v>
      </c>
      <c r="P30" s="98" t="e">
        <f>IF(ISNUMBER(H30),H30/Population!H30*10000,NA())</f>
        <v>#N/A</v>
      </c>
      <c r="Q30" s="99" t="str">
        <f t="shared" si="5"/>
        <v/>
      </c>
      <c r="R30" s="822" t="e">
        <f t="shared" si="1"/>
        <v>#N/A</v>
      </c>
      <c r="S30" s="85"/>
      <c r="T30" s="99">
        <f>IF(H30&gt;0,IDACI!C29,NA())</f>
        <v>6.7</v>
      </c>
      <c r="U30" s="122"/>
      <c r="V30" s="139"/>
      <c r="W30" s="152"/>
      <c r="X30" s="72" t="str">
        <f t="shared" si="2"/>
        <v>Windsor &amp; Maidenhead</v>
      </c>
      <c r="Y30" s="44">
        <f>IF(ISNUMBER($H30),IDACI!D29,0)</f>
        <v>0</v>
      </c>
      <c r="Z30" s="44">
        <f>IF(ISNUMBER($H30),IDACI!E29,0)</f>
        <v>0</v>
      </c>
      <c r="AA30" s="205" t="str">
        <f>IF(ISNUMBER(D30),Population!D30,"")</f>
        <v/>
      </c>
      <c r="AB30" s="205" t="str">
        <f>IF(ISNUMBER(E30),Population!E30,"")</f>
        <v/>
      </c>
      <c r="AC30" s="205" t="str">
        <f>IF(ISNUMBER(F30),Population!F30,"")</f>
        <v/>
      </c>
      <c r="AD30" s="205" t="str">
        <f>IF(ISNUMBER(G30),Population!G30,"")</f>
        <v/>
      </c>
      <c r="AE30" s="205" t="str">
        <f>IF(ISNUMBER(H30),Population!H30,"")</f>
        <v/>
      </c>
      <c r="AF30" s="202"/>
      <c r="AG30" s="202"/>
      <c r="AH30" s="190"/>
      <c r="AI30" s="202"/>
      <c r="AJ30" s="160"/>
      <c r="AK30" s="853" t="str">
        <f t="shared" si="8"/>
        <v>x</v>
      </c>
      <c r="AL30" s="853" t="str">
        <f t="shared" si="9"/>
        <v>x</v>
      </c>
      <c r="AM30" s="853" t="str">
        <f t="shared" si="10"/>
        <v>x</v>
      </c>
      <c r="AN30" s="853" t="str">
        <f t="shared" si="11"/>
        <v>x</v>
      </c>
      <c r="AO30" s="853" t="str">
        <f t="shared" si="12"/>
        <v/>
      </c>
    </row>
    <row r="31" spans="1:41" s="87" customFormat="1" ht="13.5" customHeight="1" x14ac:dyDescent="0.2">
      <c r="A31" s="488">
        <f>VLOOKUP(B31,Sheet1!$AQ$4:$AR$25,2,FALSE)</f>
        <v>0</v>
      </c>
      <c r="B31" s="93" t="str">
        <f>Sheet1!$K$25</f>
        <v>Wokingham</v>
      </c>
      <c r="C31" s="85"/>
      <c r="D31" s="100" t="str">
        <f>IF(Year1_Wokingham Year1_EarlyHelpedChildren="","",Year1_Wokingham Year1_EarlyHelpedChildren)</f>
        <v/>
      </c>
      <c r="E31" s="94" t="str">
        <f>IF(Year2_Wokingham Year2_EarlyHelpedChildren="","",Year2_Wokingham Year2_EarlyHelpedChildren)</f>
        <v/>
      </c>
      <c r="F31" s="94" t="str">
        <f>IF(Year3_Wokingham Year3_EarlyHelpedChildren="","",Year3_Wokingham Year3_EarlyHelpedChildren)</f>
        <v/>
      </c>
      <c r="G31" s="94" t="str">
        <f>IF(Year4_Wokingham Year4_EarlyHelpedChildren="","",Year4_Wokingham Year4_EarlyHelpedChildren)</f>
        <v/>
      </c>
      <c r="H31" s="848" t="str">
        <f>IF(Year5_Wokingham Year5_EarlyHelpedChildren="","",Year5_Wokingham Year5_EarlyHelpedChildren)</f>
        <v/>
      </c>
      <c r="I31" s="1093" t="str">
        <f t="shared" si="4"/>
        <v/>
      </c>
      <c r="J31" s="863" t="str">
        <f t="shared" si="0"/>
        <v/>
      </c>
      <c r="K31" s="96"/>
      <c r="L31" s="97" t="e">
        <f>IF(ISNUMBER(D31),D31/Population!D31*10000,NA())</f>
        <v>#N/A</v>
      </c>
      <c r="M31" s="97" t="e">
        <f>IF(ISNUMBER(E31),E31/Population!E31*10000,NA())</f>
        <v>#N/A</v>
      </c>
      <c r="N31" s="97" t="e">
        <f>IF(ISNUMBER(F31),F31/Population!F31*10000,NA())</f>
        <v>#N/A</v>
      </c>
      <c r="O31" s="97" t="e">
        <f>IF(ISNUMBER(G31),G31/Population!G31*10000,NA())</f>
        <v>#N/A</v>
      </c>
      <c r="P31" s="98" t="e">
        <f>IF(ISNUMBER(H31),H31/Population!H31*10000,NA())</f>
        <v>#N/A</v>
      </c>
      <c r="Q31" s="99" t="str">
        <f t="shared" si="5"/>
        <v/>
      </c>
      <c r="R31" s="822" t="e">
        <f t="shared" si="1"/>
        <v>#N/A</v>
      </c>
      <c r="S31" s="85"/>
      <c r="T31" s="99">
        <f>IF(H31&gt;0,IDACI!C30,NA())</f>
        <v>5.6000000000000005</v>
      </c>
      <c r="U31" s="122"/>
      <c r="V31" s="139"/>
      <c r="W31" s="152"/>
      <c r="X31" s="72" t="str">
        <f t="shared" si="2"/>
        <v>Wokingham</v>
      </c>
      <c r="Y31" s="44">
        <f>IF(ISNUMBER($H31),IDACI!D30,0)</f>
        <v>0</v>
      </c>
      <c r="Z31" s="44">
        <f>IF(ISNUMBER($H31),IDACI!E30,0)</f>
        <v>0</v>
      </c>
      <c r="AA31" s="205" t="str">
        <f>IF(ISNUMBER(D31),Population!D31,"")</f>
        <v/>
      </c>
      <c r="AB31" s="205" t="str">
        <f>IF(ISNUMBER(E31),Population!E31,"")</f>
        <v/>
      </c>
      <c r="AC31" s="205" t="str">
        <f>IF(ISNUMBER(F31),Population!F31,"")</f>
        <v/>
      </c>
      <c r="AD31" s="205" t="str">
        <f>IF(ISNUMBER(G31),Population!G31,"")</f>
        <v/>
      </c>
      <c r="AE31" s="205" t="str">
        <f>IF(ISNUMBER(H31),Population!H31,"")</f>
        <v/>
      </c>
      <c r="AF31" s="202"/>
      <c r="AG31" s="202"/>
      <c r="AH31" s="190"/>
      <c r="AI31" s="202"/>
      <c r="AJ31" s="160"/>
      <c r="AK31" s="853" t="str">
        <f t="shared" si="8"/>
        <v>x</v>
      </c>
      <c r="AL31" s="853" t="str">
        <f t="shared" si="9"/>
        <v>x</v>
      </c>
      <c r="AM31" s="853" t="str">
        <f t="shared" si="10"/>
        <v>x</v>
      </c>
      <c r="AN31" s="853" t="str">
        <f t="shared" si="11"/>
        <v>x</v>
      </c>
      <c r="AO31" s="853" t="str">
        <f t="shared" si="12"/>
        <v/>
      </c>
    </row>
    <row r="32" spans="1:41" s="87" customFormat="1" ht="13.5" customHeight="1" x14ac:dyDescent="0.2">
      <c r="A32" s="292"/>
      <c r="B32" s="129" t="str">
        <f>Sheet1!$K$26</f>
        <v>South East</v>
      </c>
      <c r="C32" s="85"/>
      <c r="D32" s="130" t="str">
        <f>IF(SUM(D10:D22,D24:D25,D28:D31)&gt;0,SUM(D10:D22,D24:D25,D28:D31),"")</f>
        <v/>
      </c>
      <c r="E32" s="130" t="str">
        <f>IF(SUM(E10:E22,E24:E25,E28:E31)&gt;0,SUM(E10:E22,E24:E25,E28:E31),"")</f>
        <v/>
      </c>
      <c r="F32" s="130" t="str">
        <f>IF(SUM(F10:F22,F24:F25,F28:F31)&gt;0,SUM(F10:F22,F24:F25,F28:F31),"")</f>
        <v/>
      </c>
      <c r="G32" s="130" t="str">
        <f>IF(SUM(G10:G22,G24:G25,G28:G31)&gt;0,SUM(G10:G22,G24:G25,G28:G31),"")</f>
        <v/>
      </c>
      <c r="H32" s="490" t="str">
        <f>IF(SUM(H10:H22,H24:H25,H28:H31)&gt;0,SUM(H10:H22,H24:H25,H28:H31),"")</f>
        <v/>
      </c>
      <c r="I32" s="862" t="str">
        <f>AO32</f>
        <v/>
      </c>
      <c r="J32" s="863" t="str">
        <f t="shared" si="0"/>
        <v/>
      </c>
      <c r="K32" s="96"/>
      <c r="L32" s="133" t="e">
        <f>IF(ISNUMBER(D32),D32/AA32*10000,NA())</f>
        <v>#N/A</v>
      </c>
      <c r="M32" s="133" t="e">
        <f>IF(ISNUMBER(E32),E32/AB32*10000,NA())</f>
        <v>#N/A</v>
      </c>
      <c r="N32" s="133" t="e">
        <f>IF(ISNUMBER(F32),F32/AC32*10000,NA())</f>
        <v>#N/A</v>
      </c>
      <c r="O32" s="133" t="e">
        <f>IF(ISNUMBER(G32),G32/AD32*10000,NA())</f>
        <v>#N/A</v>
      </c>
      <c r="P32" s="133" t="e">
        <f>IF(ISNUMBER(H32),H32/AE32*10000,NA())</f>
        <v>#N/A</v>
      </c>
      <c r="Q32" s="99" t="str">
        <f t="shared" si="5"/>
        <v/>
      </c>
      <c r="R32" s="134" t="s">
        <v>91</v>
      </c>
      <c r="S32" s="85"/>
      <c r="T32" s="135" t="e">
        <f>Z32/Y32*100</f>
        <v>#DIV/0!</v>
      </c>
      <c r="U32" s="122"/>
      <c r="V32" s="139"/>
      <c r="W32" s="152"/>
      <c r="X32" s="72" t="str">
        <f t="shared" si="2"/>
        <v>South East</v>
      </c>
      <c r="Y32" s="44">
        <f>SUM(Y24:Y25,Y10:Y22,Y28:Y31)</f>
        <v>0</v>
      </c>
      <c r="Z32" s="44">
        <f>SUM(Z24:Z25,Z10:Z22,Z28:Z31)</f>
        <v>0</v>
      </c>
      <c r="AA32" s="205">
        <f>SUM(AA10:AA22,AA24:AA25,AA28:AA31)</f>
        <v>0</v>
      </c>
      <c r="AB32" s="205">
        <f>SUM(AB10:AB22,AB24:AB25,AB28:AB31)</f>
        <v>0</v>
      </c>
      <c r="AC32" s="205">
        <f t="shared" ref="AC32:AD32" si="13">SUM(AC10:AC22,AC24:AC25,AC28:AC31)</f>
        <v>0</v>
      </c>
      <c r="AD32" s="205">
        <f t="shared" si="13"/>
        <v>0</v>
      </c>
      <c r="AE32" s="205">
        <f>SUM(AE10:AE22,AE24:AE25,AE28:AE31)</f>
        <v>0</v>
      </c>
      <c r="AF32" s="202"/>
      <c r="AG32" s="202"/>
      <c r="AH32" s="190"/>
      <c r="AI32" s="202"/>
      <c r="AJ32" s="160"/>
      <c r="AK32" s="853" t="str">
        <f>IF(ISERROR((M32-L32)/L32),"x",(M32-L32)/L32)</f>
        <v>x</v>
      </c>
      <c r="AL32" s="853" t="str">
        <f t="shared" ref="AL32:AN32" si="14">IF(ISERROR((N32-M32)/M32),"x",(N32-M32)/M32)</f>
        <v>x</v>
      </c>
      <c r="AM32" s="853" t="str">
        <f t="shared" si="14"/>
        <v>x</v>
      </c>
      <c r="AN32" s="853" t="str">
        <f t="shared" si="14"/>
        <v>x</v>
      </c>
      <c r="AO32" s="853" t="str">
        <f t="shared" si="12"/>
        <v/>
      </c>
    </row>
    <row r="33" spans="1:54" s="81" customFormat="1" ht="14.1" customHeight="1" x14ac:dyDescent="0.2">
      <c r="A33" s="278"/>
      <c r="B33" s="123" t="s">
        <v>90</v>
      </c>
      <c r="C33" s="63"/>
      <c r="D33" s="63"/>
      <c r="E33" s="63"/>
      <c r="F33" s="63"/>
      <c r="G33" s="63"/>
      <c r="H33" s="63"/>
      <c r="I33" s="859"/>
      <c r="J33" s="859"/>
      <c r="K33" s="63"/>
      <c r="L33" s="63"/>
      <c r="M33" s="63"/>
      <c r="N33" s="63"/>
      <c r="O33" s="63"/>
      <c r="P33" s="63"/>
      <c r="R33" s="136" t="s">
        <v>108</v>
      </c>
      <c r="S33" s="63"/>
      <c r="T33" s="63"/>
      <c r="U33" s="117"/>
      <c r="V33" s="137"/>
      <c r="W33" s="150"/>
      <c r="AD33" s="184" t="str">
        <f>IF(ISNUMBER(G33),Population!G33,"")</f>
        <v/>
      </c>
      <c r="AE33" s="184"/>
      <c r="AF33" s="184"/>
      <c r="AG33" s="184"/>
      <c r="AI33" s="184"/>
      <c r="AJ33" s="161"/>
    </row>
    <row r="34" spans="1:54" s="81" customFormat="1" ht="39" customHeight="1" x14ac:dyDescent="0.2">
      <c r="A34" s="278"/>
      <c r="B34" s="1762" t="s">
        <v>729</v>
      </c>
      <c r="C34" s="1763"/>
      <c r="D34" s="1763"/>
      <c r="E34" s="1763"/>
      <c r="F34" s="1763"/>
      <c r="G34" s="1763"/>
      <c r="H34" s="1763"/>
      <c r="I34" s="1763"/>
      <c r="J34" s="1763"/>
      <c r="K34" s="1763"/>
      <c r="L34" s="1763"/>
      <c r="M34" s="1763"/>
      <c r="N34" s="1763"/>
      <c r="O34" s="1763"/>
      <c r="P34" s="1763"/>
      <c r="Q34" s="1763"/>
      <c r="R34" s="1763"/>
      <c r="S34" s="1763"/>
      <c r="T34" s="1764"/>
      <c r="U34" s="117"/>
      <c r="V34" s="137"/>
      <c r="W34" s="150"/>
      <c r="X34" s="80"/>
      <c r="Y34" s="184"/>
      <c r="Z34" s="184"/>
      <c r="AA34" s="184"/>
      <c r="AB34" s="184"/>
      <c r="AC34" s="184"/>
      <c r="AD34" s="184"/>
      <c r="AE34" s="184"/>
      <c r="AF34" s="184"/>
      <c r="AG34" s="184"/>
      <c r="AI34" s="184"/>
      <c r="AJ34" s="157"/>
      <c r="AK34" s="74"/>
      <c r="AL34" s="74"/>
      <c r="AM34" s="74"/>
      <c r="AN34" s="74"/>
      <c r="AO34" s="74"/>
      <c r="AP34" s="74"/>
      <c r="AQ34" s="74"/>
    </row>
    <row r="35" spans="1:54" s="81" customFormat="1" ht="7.5" customHeight="1" x14ac:dyDescent="0.2">
      <c r="A35" s="278"/>
      <c r="B35" s="17"/>
      <c r="C35" s="17"/>
      <c r="D35" s="16"/>
      <c r="E35" s="16"/>
      <c r="F35" s="16"/>
      <c r="G35" s="16"/>
      <c r="H35" s="16"/>
      <c r="I35" s="16"/>
      <c r="J35" s="16"/>
      <c r="K35" s="12"/>
      <c r="L35" s="18"/>
      <c r="M35" s="18"/>
      <c r="N35" s="18"/>
      <c r="O35" s="18"/>
      <c r="P35" s="18"/>
      <c r="Q35" s="18"/>
      <c r="R35" s="18"/>
      <c r="S35" s="18"/>
      <c r="T35" s="19"/>
      <c r="U35" s="117"/>
      <c r="V35" s="137"/>
      <c r="W35" s="150"/>
      <c r="Y35" s="190"/>
      <c r="AI35" s="184"/>
      <c r="AJ35" s="157"/>
      <c r="AK35" s="74"/>
      <c r="AL35" s="74"/>
      <c r="AM35" s="74"/>
      <c r="AN35" s="74"/>
      <c r="AO35" s="74"/>
      <c r="AP35" s="74"/>
      <c r="AQ35" s="74"/>
    </row>
    <row r="36" spans="1:54" s="81" customFormat="1" ht="15" customHeight="1" x14ac:dyDescent="0.2">
      <c r="A36" s="1775"/>
      <c r="B36" s="1760"/>
      <c r="C36" s="1760"/>
      <c r="D36" s="1760"/>
      <c r="E36" s="1760"/>
      <c r="F36" s="1760"/>
      <c r="G36" s="1760"/>
      <c r="H36" s="1760"/>
      <c r="I36" s="1760"/>
      <c r="J36" s="1760"/>
      <c r="K36" s="1760"/>
      <c r="L36" s="1760"/>
      <c r="M36" s="1760"/>
      <c r="N36" s="1760"/>
      <c r="O36" s="1760"/>
      <c r="P36" s="1760"/>
      <c r="Q36" s="1760"/>
      <c r="R36" s="1760"/>
      <c r="S36" s="1760"/>
      <c r="T36" s="1760"/>
      <c r="U36" s="1761"/>
      <c r="V36" s="137"/>
      <c r="W36" s="150"/>
      <c r="Y36" s="190"/>
      <c r="AJ36" s="161"/>
      <c r="AL36" s="81">
        <f>COLUMNS($B$4:L$4)</f>
        <v>11</v>
      </c>
      <c r="AM36" s="81">
        <f>COLUMNS($B$4:M$4)</f>
        <v>12</v>
      </c>
      <c r="AN36" s="81">
        <f>COLUMNS($B$4:N$4)</f>
        <v>13</v>
      </c>
      <c r="AO36" s="81">
        <f>COLUMNS($B$4:O$4)</f>
        <v>14</v>
      </c>
      <c r="AP36" s="81">
        <f>COLUMNS($B$4:P$4)</f>
        <v>15</v>
      </c>
      <c r="AR36" s="81">
        <f>COLUMNS($B$4:T$4)</f>
        <v>19</v>
      </c>
    </row>
    <row r="37" spans="1:54" s="81" customFormat="1" ht="11.45" customHeight="1" x14ac:dyDescent="0.2">
      <c r="A37" s="1776" t="str">
        <f>Home!$A$39</f>
        <v xml:space="preserve"> </v>
      </c>
      <c r="B37" s="1777"/>
      <c r="C37" s="1777"/>
      <c r="D37" s="1777"/>
      <c r="E37" s="1777"/>
      <c r="F37" s="1777"/>
      <c r="G37" s="1777"/>
      <c r="H37" s="1777"/>
      <c r="I37" s="1768"/>
      <c r="J37" s="1768"/>
      <c r="K37" s="1777"/>
      <c r="L37" s="1777"/>
      <c r="M37" s="1777"/>
      <c r="N37" s="1777"/>
      <c r="O37" s="1777"/>
      <c r="P37" s="1777"/>
      <c r="Q37" s="1777"/>
      <c r="R37" s="1777"/>
      <c r="S37" s="1777"/>
      <c r="T37" s="1777"/>
      <c r="U37" s="1778"/>
      <c r="V37" s="137"/>
      <c r="W37" s="150"/>
      <c r="Y37" s="190"/>
      <c r="AI37" s="184"/>
      <c r="AJ37" s="160"/>
      <c r="AK37" s="87"/>
      <c r="AL37" s="1793" t="s">
        <v>89</v>
      </c>
      <c r="AM37" s="1794"/>
      <c r="AN37" s="1794"/>
      <c r="AO37" s="1794"/>
      <c r="AP37" s="1795"/>
      <c r="AQ37" s="1773" t="s">
        <v>203</v>
      </c>
      <c r="AR37" s="1773" t="s">
        <v>1213</v>
      </c>
    </row>
    <row r="38" spans="1:54" s="81" customFormat="1" ht="11.1" customHeight="1" x14ac:dyDescent="0.2">
      <c r="A38" s="112"/>
      <c r="B38" s="113"/>
      <c r="C38" s="113"/>
      <c r="D38" s="113"/>
      <c r="E38" s="113"/>
      <c r="F38" s="113"/>
      <c r="G38" s="113"/>
      <c r="H38" s="113"/>
      <c r="I38" s="113"/>
      <c r="J38" s="113"/>
      <c r="K38" s="114"/>
      <c r="L38" s="113"/>
      <c r="M38" s="113"/>
      <c r="N38" s="113"/>
      <c r="O38" s="113"/>
      <c r="P38" s="113"/>
      <c r="Q38" s="113"/>
      <c r="R38" s="113"/>
      <c r="S38" s="113"/>
      <c r="T38" s="113"/>
      <c r="U38" s="115"/>
      <c r="V38" s="137"/>
      <c r="W38" s="149" t="s">
        <v>101</v>
      </c>
      <c r="AI38" s="184"/>
      <c r="AJ38" s="160"/>
      <c r="AK38" s="87"/>
      <c r="AL38" s="423" t="str">
        <f>Sheet1!$D$27</f>
        <v>2015-16</v>
      </c>
      <c r="AM38" s="423" t="str">
        <f>Sheet1!$E$27</f>
        <v>2016-17</v>
      </c>
      <c r="AN38" s="423" t="str">
        <f>Sheet1!$F$27</f>
        <v>2017-18</v>
      </c>
      <c r="AO38" s="423" t="str">
        <f>Sheet1!$G$27</f>
        <v>2018-19</v>
      </c>
      <c r="AP38" s="423" t="str">
        <f>Sheet1!$H$27</f>
        <v>2019-20</v>
      </c>
      <c r="AQ38" s="1774"/>
      <c r="AR38" s="1774"/>
    </row>
    <row r="39" spans="1:54" s="81" customFormat="1" ht="3.75" customHeight="1" x14ac:dyDescent="0.25">
      <c r="A39" s="462"/>
      <c r="B39" s="9"/>
      <c r="C39" s="9"/>
      <c r="D39" s="9"/>
      <c r="E39" s="9"/>
      <c r="F39" s="9"/>
      <c r="G39" s="9"/>
      <c r="H39" s="9"/>
      <c r="I39" s="9"/>
      <c r="J39" s="9"/>
      <c r="K39" s="12"/>
      <c r="L39" s="9"/>
      <c r="M39" s="9"/>
      <c r="N39" s="9"/>
      <c r="O39" s="9"/>
      <c r="P39" s="9"/>
      <c r="Q39" s="9"/>
      <c r="R39" s="9"/>
      <c r="S39" s="9"/>
      <c r="T39" s="9"/>
      <c r="U39" s="117"/>
      <c r="V39" s="137"/>
      <c r="W39" s="150"/>
      <c r="AJ39" s="160"/>
      <c r="AK39" s="87"/>
      <c r="AL39" s="423" t="e">
        <f>Sheet1!$D$28</f>
        <v>#N/A</v>
      </c>
      <c r="AM39" s="423" t="e">
        <f>Sheet1!$E$28</f>
        <v>#N/A</v>
      </c>
      <c r="AN39" s="423" t="e">
        <f>Sheet1!$F$28</f>
        <v>#N/A</v>
      </c>
      <c r="AO39" s="423" t="e">
        <f>Sheet1!$G$28</f>
        <v>#N/A</v>
      </c>
      <c r="AP39" s="423" t="e">
        <f>Sheet1!$H$28</f>
        <v>#N/A</v>
      </c>
      <c r="AQ39" s="1774"/>
      <c r="AR39" s="1774"/>
    </row>
    <row r="40" spans="1:54" s="81" customFormat="1" ht="14.25" customHeight="1" x14ac:dyDescent="0.2">
      <c r="A40" s="278"/>
      <c r="B40" s="9"/>
      <c r="C40" s="9"/>
      <c r="D40" s="9"/>
      <c r="E40" s="9"/>
      <c r="F40" s="9"/>
      <c r="G40" s="9"/>
      <c r="H40" s="9"/>
      <c r="I40" s="9"/>
      <c r="J40" s="9"/>
      <c r="K40" s="12"/>
      <c r="L40" s="9"/>
      <c r="M40" s="9"/>
      <c r="N40" s="9"/>
      <c r="O40" s="9"/>
      <c r="P40" s="9"/>
      <c r="Q40" s="9"/>
      <c r="R40" s="9"/>
      <c r="S40" s="9"/>
      <c r="T40" s="9"/>
      <c r="U40" s="117"/>
      <c r="V40" s="137"/>
      <c r="W40" s="150"/>
      <c r="X40" s="43" t="s">
        <v>72</v>
      </c>
      <c r="Y40" s="209" t="s">
        <v>70</v>
      </c>
      <c r="Z40" s="43" t="s">
        <v>71</v>
      </c>
      <c r="AA40" s="210">
        <v>5</v>
      </c>
      <c r="AB40" s="211" t="e">
        <f>(AA40*Y41)+Z41</f>
        <v>#DIV/0!</v>
      </c>
      <c r="AC40" s="1320" t="s">
        <v>977</v>
      </c>
      <c r="AI40" s="585" t="b">
        <v>1</v>
      </c>
      <c r="AJ40" s="160" t="s">
        <v>0</v>
      </c>
      <c r="AK40" s="87" t="str">
        <f t="shared" ref="AK40:AK62" si="15">IF(AI40=TRUE,B10,"")</f>
        <v>Bracknell Forest</v>
      </c>
      <c r="AL40" s="146" t="e">
        <f t="shared" ref="AL40:AP49" si="16">VLOOKUP($AK40,$B$10:$P$32,AL$36,FALSE)</f>
        <v>#N/A</v>
      </c>
      <c r="AM40" s="146" t="e">
        <f t="shared" si="16"/>
        <v>#N/A</v>
      </c>
      <c r="AN40" s="146" t="e">
        <f t="shared" si="16"/>
        <v>#N/A</v>
      </c>
      <c r="AO40" s="146" t="e">
        <f t="shared" si="16"/>
        <v>#N/A</v>
      </c>
      <c r="AP40" s="146" t="e">
        <f t="shared" si="16"/>
        <v>#N/A</v>
      </c>
      <c r="AQ40" s="146" t="e">
        <f>IF($AK40=$Y$4,AP40,NA())</f>
        <v>#N/A</v>
      </c>
      <c r="AR40" s="147">
        <f>VLOOKUP(AK40,$B$10:$T$32,$AR$36,FALSE)</f>
        <v>8.9</v>
      </c>
    </row>
    <row r="41" spans="1:54" s="81" customFormat="1" ht="14.25" customHeight="1" x14ac:dyDescent="0.2">
      <c r="A41" s="278"/>
      <c r="B41" s="9"/>
      <c r="C41" s="9"/>
      <c r="D41" s="9"/>
      <c r="E41" s="9"/>
      <c r="F41" s="9"/>
      <c r="G41" s="9"/>
      <c r="H41" s="9"/>
      <c r="I41" s="9"/>
      <c r="J41" s="9"/>
      <c r="K41" s="12"/>
      <c r="L41" s="9"/>
      <c r="M41" s="9"/>
      <c r="N41" s="9"/>
      <c r="O41" s="9"/>
      <c r="P41" s="9"/>
      <c r="Q41" s="9"/>
      <c r="R41" s="9"/>
      <c r="S41" s="9"/>
      <c r="T41" s="9"/>
      <c r="U41" s="117"/>
      <c r="V41" s="137"/>
      <c r="W41" s="150"/>
      <c r="X41" s="212" t="e">
        <f>"Y= "&amp;Y41&amp;"x + "&amp;Z41</f>
        <v>#DIV/0!</v>
      </c>
      <c r="Y41" s="743" t="e">
        <f>ChartLabels!Y6</f>
        <v>#DIV/0!</v>
      </c>
      <c r="Z41" s="743" t="e">
        <f>ChartLabels!Z6</f>
        <v>#DIV/0!</v>
      </c>
      <c r="AA41" s="215">
        <v>35</v>
      </c>
      <c r="AB41" s="216" t="e">
        <f>(AA41*Y41)+Z41</f>
        <v>#DIV/0!</v>
      </c>
      <c r="AC41" s="206" t="e">
        <f>ROUND(ChartLabels!AA6,3)</f>
        <v>#DIV/0!</v>
      </c>
      <c r="AI41" s="585" t="b">
        <v>1</v>
      </c>
      <c r="AJ41" s="160" t="s">
        <v>31</v>
      </c>
      <c r="AK41" s="87" t="str">
        <f t="shared" si="15"/>
        <v>Brighton &amp; Hove</v>
      </c>
      <c r="AL41" s="146" t="e">
        <f t="shared" si="16"/>
        <v>#N/A</v>
      </c>
      <c r="AM41" s="146" t="e">
        <f t="shared" si="16"/>
        <v>#N/A</v>
      </c>
      <c r="AN41" s="146" t="e">
        <f t="shared" si="16"/>
        <v>#N/A</v>
      </c>
      <c r="AO41" s="146" t="e">
        <f t="shared" si="16"/>
        <v>#N/A</v>
      </c>
      <c r="AP41" s="146" t="e">
        <f t="shared" si="16"/>
        <v>#N/A</v>
      </c>
      <c r="AQ41" s="146" t="e">
        <f t="shared" ref="AQ41:AQ63" si="17">IF($AK41=$Y$4,AP41,NA())</f>
        <v>#N/A</v>
      </c>
      <c r="AR41" s="147">
        <f t="shared" ref="AR41:AR62" si="18">VLOOKUP(AK41,$B$10:$T$32,$AR$36,FALSE)</f>
        <v>15.299999999999999</v>
      </c>
    </row>
    <row r="42" spans="1:54" ht="14.25" customHeight="1" x14ac:dyDescent="0.2">
      <c r="A42" s="278"/>
      <c r="B42" s="9"/>
      <c r="C42" s="9"/>
      <c r="D42" s="9"/>
      <c r="E42" s="9"/>
      <c r="F42" s="9"/>
      <c r="G42" s="9"/>
      <c r="H42" s="9"/>
      <c r="I42" s="9"/>
      <c r="J42" s="9"/>
      <c r="K42" s="12"/>
      <c r="L42" s="9"/>
      <c r="M42" s="9"/>
      <c r="N42" s="9"/>
      <c r="O42" s="9"/>
      <c r="P42" s="9"/>
      <c r="Q42" s="9"/>
      <c r="R42" s="9"/>
      <c r="S42" s="9"/>
      <c r="T42" s="9"/>
      <c r="U42" s="117"/>
      <c r="V42" s="137"/>
      <c r="W42" s="294"/>
      <c r="X42" s="809"/>
      <c r="Y42" s="810"/>
      <c r="Z42" s="809"/>
      <c r="AA42" s="811"/>
      <c r="AB42" s="815"/>
      <c r="AC42" s="1319" t="e">
        <f>AC40&amp;" = "&amp;AC41</f>
        <v>#DIV/0!</v>
      </c>
      <c r="AI42" s="585" t="b">
        <v>1</v>
      </c>
      <c r="AJ42" s="160" t="s">
        <v>8</v>
      </c>
      <c r="AK42" s="87" t="str">
        <f t="shared" si="15"/>
        <v>Buckinghamshire</v>
      </c>
      <c r="AL42" s="146" t="e">
        <f t="shared" si="16"/>
        <v>#N/A</v>
      </c>
      <c r="AM42" s="146" t="e">
        <f t="shared" si="16"/>
        <v>#N/A</v>
      </c>
      <c r="AN42" s="146" t="e">
        <f t="shared" si="16"/>
        <v>#N/A</v>
      </c>
      <c r="AO42" s="146" t="e">
        <f t="shared" si="16"/>
        <v>#N/A</v>
      </c>
      <c r="AP42" s="146" t="e">
        <f t="shared" si="16"/>
        <v>#N/A</v>
      </c>
      <c r="AQ42" s="146" t="e">
        <f t="shared" si="17"/>
        <v>#N/A</v>
      </c>
      <c r="AR42" s="147">
        <f t="shared" si="18"/>
        <v>8.5</v>
      </c>
      <c r="AS42" s="81"/>
      <c r="AT42" s="81"/>
      <c r="AU42" s="81"/>
      <c r="AV42" s="81"/>
      <c r="AW42" s="81"/>
      <c r="AX42" s="81"/>
      <c r="AY42" s="81"/>
      <c r="AZ42" s="81"/>
      <c r="BA42" s="81"/>
      <c r="BB42" s="81"/>
    </row>
    <row r="43" spans="1:54" ht="14.25" customHeight="1" x14ac:dyDescent="0.2">
      <c r="A43" s="278"/>
      <c r="B43" s="9"/>
      <c r="C43" s="9"/>
      <c r="D43" s="9"/>
      <c r="E43" s="9"/>
      <c r="F43" s="9"/>
      <c r="G43" s="9"/>
      <c r="H43" s="9"/>
      <c r="I43" s="9"/>
      <c r="J43" s="9"/>
      <c r="K43" s="12"/>
      <c r="L43" s="13"/>
      <c r="M43" s="13"/>
      <c r="N43" s="13"/>
      <c r="O43" s="13"/>
      <c r="P43" s="14"/>
      <c r="Q43" s="14"/>
      <c r="R43" s="14"/>
      <c r="S43" s="14"/>
      <c r="T43" s="14"/>
      <c r="U43" s="117"/>
      <c r="V43" s="137"/>
      <c r="W43" s="294"/>
      <c r="X43" s="812"/>
      <c r="Y43" s="816"/>
      <c r="Z43" s="816"/>
      <c r="AA43" s="813"/>
      <c r="AB43" s="814"/>
      <c r="AC43" s="817"/>
      <c r="AI43" s="585" t="b">
        <v>1</v>
      </c>
      <c r="AJ43" s="160" t="s">
        <v>4</v>
      </c>
      <c r="AK43" s="87" t="str">
        <f t="shared" si="15"/>
        <v>East Sussex</v>
      </c>
      <c r="AL43" s="146" t="e">
        <f t="shared" si="16"/>
        <v>#N/A</v>
      </c>
      <c r="AM43" s="146" t="e">
        <f t="shared" si="16"/>
        <v>#N/A</v>
      </c>
      <c r="AN43" s="146" t="e">
        <f t="shared" si="16"/>
        <v>#N/A</v>
      </c>
      <c r="AO43" s="146" t="e">
        <f t="shared" si="16"/>
        <v>#N/A</v>
      </c>
      <c r="AP43" s="146" t="e">
        <f t="shared" si="16"/>
        <v>#N/A</v>
      </c>
      <c r="AQ43" s="146" t="e">
        <f t="shared" si="17"/>
        <v>#N/A</v>
      </c>
      <c r="AR43" s="147">
        <f t="shared" si="18"/>
        <v>16.100000000000001</v>
      </c>
      <c r="AS43" s="81"/>
      <c r="AT43" s="81"/>
      <c r="AU43" s="81"/>
      <c r="AV43" s="81"/>
      <c r="AW43" s="81"/>
      <c r="AX43" s="81"/>
      <c r="AY43" s="81"/>
      <c r="AZ43" s="81"/>
      <c r="BA43" s="81"/>
      <c r="BB43" s="81"/>
    </row>
    <row r="44" spans="1:54" s="76" customFormat="1" ht="14.25" customHeight="1" x14ac:dyDescent="0.2">
      <c r="A44" s="461"/>
      <c r="B44" s="226"/>
      <c r="C44" s="226"/>
      <c r="D44" s="227"/>
      <c r="E44" s="227"/>
      <c r="F44" s="227"/>
      <c r="G44" s="227"/>
      <c r="H44" s="227"/>
      <c r="I44" s="227"/>
      <c r="J44" s="227"/>
      <c r="K44" s="15"/>
      <c r="L44" s="9"/>
      <c r="M44" s="9"/>
      <c r="N44" s="9"/>
      <c r="O44" s="9"/>
      <c r="P44" s="9"/>
      <c r="Q44" s="9"/>
      <c r="R44" s="9"/>
      <c r="S44" s="9"/>
      <c r="T44" s="9"/>
      <c r="U44" s="120"/>
      <c r="V44" s="138"/>
      <c r="W44" s="295"/>
      <c r="X44" s="81"/>
      <c r="Y44" s="81"/>
      <c r="Z44" s="81"/>
      <c r="AA44" s="81"/>
      <c r="AB44" s="81"/>
      <c r="AC44" s="81"/>
      <c r="AD44" s="81"/>
      <c r="AE44" s="81"/>
      <c r="AF44" s="81"/>
      <c r="AG44" s="81"/>
      <c r="AH44" s="81"/>
      <c r="AI44" s="585" t="b">
        <v>1</v>
      </c>
      <c r="AJ44" s="160" t="s">
        <v>6</v>
      </c>
      <c r="AK44" s="87" t="str">
        <f t="shared" si="15"/>
        <v>Hampshire</v>
      </c>
      <c r="AL44" s="146" t="e">
        <f t="shared" si="16"/>
        <v>#N/A</v>
      </c>
      <c r="AM44" s="146" t="e">
        <f t="shared" si="16"/>
        <v>#N/A</v>
      </c>
      <c r="AN44" s="146" t="e">
        <f t="shared" si="16"/>
        <v>#N/A</v>
      </c>
      <c r="AO44" s="146" t="e">
        <f t="shared" si="16"/>
        <v>#N/A</v>
      </c>
      <c r="AP44" s="146" t="e">
        <f t="shared" si="16"/>
        <v>#N/A</v>
      </c>
      <c r="AQ44" s="146" t="e">
        <f t="shared" si="17"/>
        <v>#N/A</v>
      </c>
      <c r="AR44" s="147">
        <f t="shared" si="18"/>
        <v>10.100000000000001</v>
      </c>
      <c r="AS44" s="81"/>
      <c r="AT44" s="81"/>
      <c r="AU44" s="81"/>
      <c r="AV44" s="81"/>
      <c r="AW44" s="81"/>
      <c r="AX44" s="81"/>
      <c r="AY44" s="81"/>
      <c r="AZ44" s="81"/>
      <c r="BA44" s="81"/>
      <c r="BB44" s="81"/>
    </row>
    <row r="45" spans="1:54" ht="14.25" customHeight="1" x14ac:dyDescent="0.2">
      <c r="A45" s="278"/>
      <c r="B45" s="227"/>
      <c r="C45" s="227"/>
      <c r="D45" s="227"/>
      <c r="E45" s="227"/>
      <c r="F45" s="227"/>
      <c r="G45" s="227"/>
      <c r="H45" s="227"/>
      <c r="I45" s="227"/>
      <c r="J45" s="227"/>
      <c r="K45" s="12"/>
      <c r="L45" s="14"/>
      <c r="M45" s="14"/>
      <c r="N45" s="14"/>
      <c r="O45" s="14"/>
      <c r="P45" s="9"/>
      <c r="Q45" s="9"/>
      <c r="R45" s="9"/>
      <c r="S45" s="9"/>
      <c r="T45" s="9"/>
      <c r="U45" s="117"/>
      <c r="V45" s="137"/>
      <c r="W45" s="294"/>
      <c r="AI45" s="585" t="b">
        <v>1</v>
      </c>
      <c r="AJ45" s="160" t="s">
        <v>1</v>
      </c>
      <c r="AK45" s="87" t="str">
        <f t="shared" si="15"/>
        <v>Isle of Wight</v>
      </c>
      <c r="AL45" s="146" t="e">
        <f t="shared" si="16"/>
        <v>#N/A</v>
      </c>
      <c r="AM45" s="146" t="e">
        <f t="shared" si="16"/>
        <v>#N/A</v>
      </c>
      <c r="AN45" s="146" t="e">
        <f t="shared" si="16"/>
        <v>#N/A</v>
      </c>
      <c r="AO45" s="146" t="e">
        <f t="shared" si="16"/>
        <v>#N/A</v>
      </c>
      <c r="AP45" s="146" t="e">
        <f t="shared" si="16"/>
        <v>#N/A</v>
      </c>
      <c r="AQ45" s="146" t="e">
        <f t="shared" si="17"/>
        <v>#N/A</v>
      </c>
      <c r="AR45" s="147">
        <f t="shared" si="18"/>
        <v>18</v>
      </c>
      <c r="AS45" s="81"/>
      <c r="AT45" s="81"/>
      <c r="AU45" s="81"/>
      <c r="AV45" s="81"/>
      <c r="AW45" s="81"/>
      <c r="AX45" s="81"/>
      <c r="AY45" s="81"/>
      <c r="AZ45" s="81"/>
      <c r="BA45" s="81"/>
      <c r="BB45" s="81"/>
    </row>
    <row r="46" spans="1:54" ht="14.25" customHeight="1" x14ac:dyDescent="0.2">
      <c r="A46" s="278"/>
      <c r="B46" s="227"/>
      <c r="C46" s="227"/>
      <c r="D46" s="227"/>
      <c r="E46" s="227"/>
      <c r="F46" s="227"/>
      <c r="G46" s="227"/>
      <c r="H46" s="227"/>
      <c r="I46" s="227"/>
      <c r="J46" s="227"/>
      <c r="K46" s="12"/>
      <c r="L46" s="14"/>
      <c r="M46" s="14"/>
      <c r="N46" s="14"/>
      <c r="O46" s="14"/>
      <c r="P46" s="9"/>
      <c r="Q46" s="9"/>
      <c r="R46" s="9"/>
      <c r="S46" s="9"/>
      <c r="T46" s="9"/>
      <c r="U46" s="117"/>
      <c r="V46" s="137"/>
      <c r="W46" s="294"/>
      <c r="X46" s="207"/>
      <c r="Y46" s="207"/>
      <c r="Z46" s="207"/>
      <c r="AA46" s="207"/>
      <c r="AB46" s="207"/>
      <c r="AC46" s="207"/>
      <c r="AI46" s="585" t="b">
        <v>1</v>
      </c>
      <c r="AJ46" s="160" t="s">
        <v>9</v>
      </c>
      <c r="AK46" s="87" t="str">
        <f t="shared" si="15"/>
        <v>Kent</v>
      </c>
      <c r="AL46" s="146" t="e">
        <f t="shared" si="16"/>
        <v>#N/A</v>
      </c>
      <c r="AM46" s="146" t="e">
        <f t="shared" si="16"/>
        <v>#N/A</v>
      </c>
      <c r="AN46" s="146" t="e">
        <f t="shared" si="16"/>
        <v>#N/A</v>
      </c>
      <c r="AO46" s="146" t="e">
        <f t="shared" si="16"/>
        <v>#N/A</v>
      </c>
      <c r="AP46" s="146" t="e">
        <f t="shared" si="16"/>
        <v>#N/A</v>
      </c>
      <c r="AQ46" s="146" t="e">
        <f t="shared" si="17"/>
        <v>#N/A</v>
      </c>
      <c r="AR46" s="147">
        <f t="shared" si="18"/>
        <v>15.8</v>
      </c>
      <c r="AS46" s="81"/>
      <c r="AT46" s="81"/>
      <c r="AU46" s="81"/>
      <c r="AV46" s="81"/>
      <c r="AW46" s="81"/>
      <c r="AX46" s="81"/>
      <c r="AY46" s="81"/>
      <c r="AZ46" s="81"/>
      <c r="BA46" s="81"/>
      <c r="BB46" s="81"/>
    </row>
    <row r="47" spans="1:54" ht="14.25" customHeight="1" x14ac:dyDescent="0.2">
      <c r="A47" s="278"/>
      <c r="B47" s="58"/>
      <c r="C47" s="58"/>
      <c r="D47" s="58"/>
      <c r="E47" s="58"/>
      <c r="F47" s="58"/>
      <c r="G47" s="58"/>
      <c r="H47" s="58"/>
      <c r="I47" s="58"/>
      <c r="J47" s="58"/>
      <c r="K47" s="12"/>
      <c r="L47" s="14"/>
      <c r="M47" s="14"/>
      <c r="N47" s="14"/>
      <c r="O47" s="14"/>
      <c r="P47" s="9"/>
      <c r="Q47" s="9"/>
      <c r="R47" s="9"/>
      <c r="S47" s="9"/>
      <c r="T47" s="9"/>
      <c r="U47" s="117"/>
      <c r="V47" s="137"/>
      <c r="W47" s="294"/>
      <c r="X47" s="184"/>
      <c r="Y47" s="184"/>
      <c r="Z47" s="184"/>
      <c r="AA47" s="184"/>
      <c r="AB47" s="184"/>
      <c r="AC47" s="184"/>
      <c r="AI47" s="585" t="b">
        <v>1</v>
      </c>
      <c r="AJ47" s="160" t="s">
        <v>2</v>
      </c>
      <c r="AK47" s="87" t="str">
        <f t="shared" si="15"/>
        <v>Medway</v>
      </c>
      <c r="AL47" s="146" t="e">
        <f t="shared" si="16"/>
        <v>#N/A</v>
      </c>
      <c r="AM47" s="146" t="e">
        <f t="shared" si="16"/>
        <v>#N/A</v>
      </c>
      <c r="AN47" s="146" t="e">
        <f t="shared" si="16"/>
        <v>#N/A</v>
      </c>
      <c r="AO47" s="146" t="e">
        <f t="shared" si="16"/>
        <v>#N/A</v>
      </c>
      <c r="AP47" s="146" t="e">
        <f t="shared" si="16"/>
        <v>#N/A</v>
      </c>
      <c r="AQ47" s="146" t="e">
        <f t="shared" si="17"/>
        <v>#N/A</v>
      </c>
      <c r="AR47" s="147">
        <f t="shared" si="18"/>
        <v>18.899999999999999</v>
      </c>
      <c r="AS47" s="81"/>
      <c r="AT47" s="81"/>
      <c r="AU47" s="81"/>
      <c r="AV47" s="81"/>
      <c r="AW47" s="81"/>
      <c r="AX47" s="81"/>
      <c r="AY47" s="81"/>
      <c r="AZ47" s="81"/>
      <c r="BA47" s="81"/>
      <c r="BB47" s="81"/>
    </row>
    <row r="48" spans="1:54" ht="14.25" customHeight="1" x14ac:dyDescent="0.2">
      <c r="A48" s="278"/>
      <c r="B48" s="58"/>
      <c r="C48" s="58"/>
      <c r="D48" s="69"/>
      <c r="E48" s="70"/>
      <c r="F48" s="69"/>
      <c r="G48" s="70"/>
      <c r="H48" s="70"/>
      <c r="I48" s="70"/>
      <c r="J48" s="70"/>
      <c r="K48" s="12"/>
      <c r="L48" s="14"/>
      <c r="M48" s="14"/>
      <c r="N48" s="14"/>
      <c r="O48" s="14"/>
      <c r="P48" s="9"/>
      <c r="Q48" s="9"/>
      <c r="R48" s="9"/>
      <c r="S48" s="9"/>
      <c r="T48" s="9"/>
      <c r="U48" s="117"/>
      <c r="V48" s="137"/>
      <c r="W48" s="294"/>
      <c r="AI48" s="585" t="b">
        <v>1</v>
      </c>
      <c r="AJ48" s="160" t="s">
        <v>10</v>
      </c>
      <c r="AK48" s="87" t="str">
        <f t="shared" si="15"/>
        <v>Milton Keynes</v>
      </c>
      <c r="AL48" s="146" t="e">
        <f t="shared" si="16"/>
        <v>#N/A</v>
      </c>
      <c r="AM48" s="146" t="e">
        <f t="shared" si="16"/>
        <v>#N/A</v>
      </c>
      <c r="AN48" s="146" t="e">
        <f t="shared" si="16"/>
        <v>#N/A</v>
      </c>
      <c r="AO48" s="146" t="e">
        <f t="shared" si="16"/>
        <v>#N/A</v>
      </c>
      <c r="AP48" s="146" t="e">
        <f t="shared" si="16"/>
        <v>#N/A</v>
      </c>
      <c r="AQ48" s="146" t="e">
        <f t="shared" si="17"/>
        <v>#N/A</v>
      </c>
      <c r="AR48" s="147">
        <f t="shared" si="18"/>
        <v>15</v>
      </c>
      <c r="AS48" s="81"/>
      <c r="AT48" s="81"/>
      <c r="AU48" s="81"/>
      <c r="AV48" s="81"/>
      <c r="AW48" s="81"/>
      <c r="AX48" s="81"/>
      <c r="AY48" s="81"/>
      <c r="AZ48" s="81"/>
      <c r="BA48" s="81"/>
      <c r="BB48" s="81"/>
    </row>
    <row r="49" spans="1:54" ht="14.25" customHeight="1" x14ac:dyDescent="0.2">
      <c r="A49" s="278"/>
      <c r="B49" s="58"/>
      <c r="C49" s="58"/>
      <c r="D49" s="61"/>
      <c r="E49" s="61"/>
      <c r="F49" s="61"/>
      <c r="G49" s="61"/>
      <c r="H49" s="61"/>
      <c r="I49" s="61"/>
      <c r="J49" s="61"/>
      <c r="K49" s="12"/>
      <c r="L49" s="14"/>
      <c r="M49" s="14"/>
      <c r="N49" s="14"/>
      <c r="O49" s="14"/>
      <c r="P49" s="9"/>
      <c r="Q49" s="9"/>
      <c r="R49" s="9"/>
      <c r="S49" s="9"/>
      <c r="T49" s="9"/>
      <c r="U49" s="117"/>
      <c r="V49" s="137"/>
      <c r="W49" s="294"/>
      <c r="AI49" s="585" t="b">
        <v>1</v>
      </c>
      <c r="AJ49" s="160" t="s">
        <v>11</v>
      </c>
      <c r="AK49" s="87" t="str">
        <f t="shared" si="15"/>
        <v>Oxfordshire</v>
      </c>
      <c r="AL49" s="146" t="e">
        <f t="shared" si="16"/>
        <v>#N/A</v>
      </c>
      <c r="AM49" s="146" t="e">
        <f t="shared" si="16"/>
        <v>#N/A</v>
      </c>
      <c r="AN49" s="146" t="e">
        <f t="shared" si="16"/>
        <v>#N/A</v>
      </c>
      <c r="AO49" s="146" t="e">
        <f t="shared" si="16"/>
        <v>#N/A</v>
      </c>
      <c r="AP49" s="146" t="e">
        <f t="shared" si="16"/>
        <v>#N/A</v>
      </c>
      <c r="AQ49" s="146" t="e">
        <f t="shared" si="17"/>
        <v>#N/A</v>
      </c>
      <c r="AR49" s="147">
        <f t="shared" si="18"/>
        <v>10.100000000000001</v>
      </c>
      <c r="AS49" s="81"/>
      <c r="AT49" s="81"/>
      <c r="AU49" s="81"/>
      <c r="AV49" s="81"/>
      <c r="AW49" s="81"/>
      <c r="AX49" s="81"/>
      <c r="AY49" s="81"/>
      <c r="AZ49" s="81"/>
      <c r="BA49" s="81"/>
      <c r="BB49" s="81"/>
    </row>
    <row r="50" spans="1:54" ht="14.25" customHeight="1" x14ac:dyDescent="0.2">
      <c r="A50" s="278"/>
      <c r="B50" s="421"/>
      <c r="C50" s="421"/>
      <c r="D50" s="58"/>
      <c r="E50" s="58"/>
      <c r="F50" s="58"/>
      <c r="G50" s="58"/>
      <c r="H50" s="58"/>
      <c r="I50" s="58"/>
      <c r="J50" s="58"/>
      <c r="K50" s="12"/>
      <c r="L50" s="14"/>
      <c r="M50" s="14"/>
      <c r="N50" s="14"/>
      <c r="O50" s="14"/>
      <c r="P50" s="9"/>
      <c r="Q50" s="9"/>
      <c r="R50" s="9"/>
      <c r="S50" s="9"/>
      <c r="T50" s="9"/>
      <c r="U50" s="117"/>
      <c r="V50" s="137"/>
      <c r="W50" s="294"/>
      <c r="AI50" s="585" t="b">
        <v>1</v>
      </c>
      <c r="AJ50" s="160" t="s">
        <v>12</v>
      </c>
      <c r="AK50" s="87" t="str">
        <f t="shared" si="15"/>
        <v>Portsmouth</v>
      </c>
      <c r="AL50" s="146" t="e">
        <f t="shared" ref="AL50:AP62" si="19">VLOOKUP($AK50,$B$10:$P$32,AL$36,FALSE)</f>
        <v>#N/A</v>
      </c>
      <c r="AM50" s="146" t="e">
        <f t="shared" si="19"/>
        <v>#N/A</v>
      </c>
      <c r="AN50" s="146" t="e">
        <f t="shared" si="19"/>
        <v>#N/A</v>
      </c>
      <c r="AO50" s="146" t="e">
        <f t="shared" si="19"/>
        <v>#N/A</v>
      </c>
      <c r="AP50" s="146" t="e">
        <f t="shared" si="19"/>
        <v>#N/A</v>
      </c>
      <c r="AQ50" s="146" t="e">
        <f t="shared" si="17"/>
        <v>#N/A</v>
      </c>
      <c r="AR50" s="147">
        <f t="shared" si="18"/>
        <v>20.200000000000003</v>
      </c>
      <c r="AS50" s="81"/>
      <c r="AT50" s="81"/>
      <c r="AU50" s="81"/>
      <c r="AV50" s="81"/>
      <c r="AW50" s="81"/>
      <c r="AX50" s="81"/>
      <c r="AY50" s="81"/>
      <c r="AZ50" s="81"/>
      <c r="BA50" s="81"/>
      <c r="BB50" s="81"/>
    </row>
    <row r="51" spans="1:54" ht="14.25" customHeight="1" x14ac:dyDescent="0.2">
      <c r="A51" s="278"/>
      <c r="B51" s="421"/>
      <c r="C51" s="421"/>
      <c r="D51" s="58"/>
      <c r="E51" s="58"/>
      <c r="F51" s="58"/>
      <c r="G51" s="58"/>
      <c r="H51" s="58"/>
      <c r="I51" s="58"/>
      <c r="J51" s="58"/>
      <c r="K51" s="12"/>
      <c r="L51" s="14"/>
      <c r="M51" s="14"/>
      <c r="N51" s="14"/>
      <c r="O51" s="14"/>
      <c r="P51" s="9"/>
      <c r="Q51" s="9"/>
      <c r="R51" s="9"/>
      <c r="S51" s="9"/>
      <c r="T51" s="9"/>
      <c r="U51" s="117"/>
      <c r="V51" s="137"/>
      <c r="W51" s="294"/>
      <c r="AI51" s="585" t="b">
        <v>1</v>
      </c>
      <c r="AJ51" s="160" t="s">
        <v>3</v>
      </c>
      <c r="AK51" s="87" t="str">
        <f t="shared" si="15"/>
        <v>Reading</v>
      </c>
      <c r="AL51" s="146" t="e">
        <f t="shared" si="19"/>
        <v>#N/A</v>
      </c>
      <c r="AM51" s="146" t="e">
        <f t="shared" si="19"/>
        <v>#N/A</v>
      </c>
      <c r="AN51" s="146" t="e">
        <f t="shared" si="19"/>
        <v>#N/A</v>
      </c>
      <c r="AO51" s="146" t="e">
        <f t="shared" si="19"/>
        <v>#N/A</v>
      </c>
      <c r="AP51" s="146" t="e">
        <f t="shared" si="19"/>
        <v>#N/A</v>
      </c>
      <c r="AQ51" s="146" t="e">
        <f t="shared" si="17"/>
        <v>#N/A</v>
      </c>
      <c r="AR51" s="147">
        <f t="shared" si="18"/>
        <v>16</v>
      </c>
      <c r="AS51" s="81"/>
      <c r="AT51" s="81"/>
      <c r="AU51" s="81"/>
      <c r="AV51" s="81"/>
      <c r="AW51" s="81"/>
      <c r="AX51" s="81"/>
      <c r="AY51" s="81"/>
      <c r="AZ51" s="81"/>
      <c r="BA51" s="81"/>
      <c r="BB51" s="81"/>
    </row>
    <row r="52" spans="1:54" ht="14.25" customHeight="1" x14ac:dyDescent="0.2">
      <c r="A52" s="278"/>
      <c r="B52" s="421"/>
      <c r="C52" s="421"/>
      <c r="D52" s="58"/>
      <c r="E52" s="58"/>
      <c r="F52" s="58"/>
      <c r="G52" s="58"/>
      <c r="H52" s="58"/>
      <c r="I52" s="58"/>
      <c r="J52" s="58"/>
      <c r="K52" s="12"/>
      <c r="L52" s="14"/>
      <c r="M52" s="14"/>
      <c r="N52" s="14"/>
      <c r="O52" s="14"/>
      <c r="P52" s="9"/>
      <c r="Q52" s="9"/>
      <c r="R52" s="9"/>
      <c r="S52" s="9"/>
      <c r="T52" s="9"/>
      <c r="U52" s="117"/>
      <c r="V52" s="137"/>
      <c r="W52" s="294"/>
      <c r="AI52" s="585" t="b">
        <v>1</v>
      </c>
      <c r="AJ52" s="160" t="s">
        <v>13</v>
      </c>
      <c r="AK52" s="87" t="str">
        <f t="shared" si="15"/>
        <v>Slough</v>
      </c>
      <c r="AL52" s="146" t="e">
        <f t="shared" si="19"/>
        <v>#N/A</v>
      </c>
      <c r="AM52" s="146" t="e">
        <f t="shared" si="19"/>
        <v>#N/A</v>
      </c>
      <c r="AN52" s="146" t="e">
        <f t="shared" si="19"/>
        <v>#N/A</v>
      </c>
      <c r="AO52" s="146" t="e">
        <f t="shared" si="19"/>
        <v>#N/A</v>
      </c>
      <c r="AP52" s="146" t="e">
        <f t="shared" si="19"/>
        <v>#N/A</v>
      </c>
      <c r="AQ52" s="146" t="e">
        <f t="shared" si="17"/>
        <v>#N/A</v>
      </c>
      <c r="AR52" s="147">
        <f t="shared" si="18"/>
        <v>14.7</v>
      </c>
      <c r="AS52" s="81"/>
      <c r="AT52" s="81"/>
      <c r="AU52" s="81"/>
      <c r="AV52" s="81"/>
      <c r="AW52" s="81"/>
      <c r="AX52" s="81"/>
      <c r="AY52" s="81"/>
      <c r="AZ52" s="81"/>
      <c r="BA52" s="81"/>
      <c r="BB52" s="81"/>
    </row>
    <row r="53" spans="1:54" ht="14.25" customHeight="1" x14ac:dyDescent="0.2">
      <c r="A53" s="278"/>
      <c r="B53" s="421"/>
      <c r="C53" s="421"/>
      <c r="D53" s="58"/>
      <c r="E53" s="58"/>
      <c r="F53" s="58"/>
      <c r="G53" s="58"/>
      <c r="H53" s="58"/>
      <c r="I53" s="58"/>
      <c r="J53" s="58"/>
      <c r="K53" s="12"/>
      <c r="L53" s="14"/>
      <c r="M53" s="14"/>
      <c r="N53" s="14"/>
      <c r="O53" s="14"/>
      <c r="P53" s="9"/>
      <c r="Q53" s="9"/>
      <c r="R53" s="9"/>
      <c r="S53" s="9"/>
      <c r="T53" s="9"/>
      <c r="U53" s="117"/>
      <c r="V53" s="137"/>
      <c r="W53" s="294"/>
      <c r="AI53" s="585" t="b">
        <v>1</v>
      </c>
      <c r="AJ53" s="160" t="s">
        <v>95</v>
      </c>
      <c r="AK53" s="87" t="str">
        <f t="shared" si="15"/>
        <v>Somerset</v>
      </c>
      <c r="AL53" s="146" t="e">
        <f t="shared" si="19"/>
        <v>#N/A</v>
      </c>
      <c r="AM53" s="146" t="e">
        <f t="shared" si="19"/>
        <v>#N/A</v>
      </c>
      <c r="AN53" s="146" t="e">
        <f t="shared" si="19"/>
        <v>#N/A</v>
      </c>
      <c r="AO53" s="146" t="e">
        <f t="shared" si="19"/>
        <v>#N/A</v>
      </c>
      <c r="AP53" s="146" t="e">
        <f t="shared" si="19"/>
        <v>#N/A</v>
      </c>
      <c r="AQ53" s="146" t="e">
        <f t="shared" si="17"/>
        <v>#N/A</v>
      </c>
      <c r="AR53" s="147">
        <f t="shared" si="18"/>
        <v>13.600000000000001</v>
      </c>
      <c r="AS53" s="81"/>
      <c r="AT53" s="81"/>
      <c r="AU53" s="81"/>
      <c r="AV53" s="81"/>
      <c r="AW53" s="81"/>
      <c r="AX53" s="81"/>
      <c r="AY53" s="81"/>
      <c r="AZ53" s="81"/>
      <c r="BA53" s="81"/>
      <c r="BB53" s="81"/>
    </row>
    <row r="54" spans="1:54" ht="14.25" customHeight="1" x14ac:dyDescent="0.2">
      <c r="A54" s="278"/>
      <c r="B54" s="421"/>
      <c r="C54" s="421"/>
      <c r="D54" s="58"/>
      <c r="E54" s="58"/>
      <c r="F54" s="58"/>
      <c r="G54" s="58"/>
      <c r="H54" s="58"/>
      <c r="I54" s="58"/>
      <c r="J54" s="58"/>
      <c r="K54" s="12"/>
      <c r="L54" s="14"/>
      <c r="M54" s="14"/>
      <c r="N54" s="14"/>
      <c r="O54" s="14"/>
      <c r="P54" s="9"/>
      <c r="Q54" s="9"/>
      <c r="R54" s="9"/>
      <c r="S54" s="9"/>
      <c r="T54" s="9"/>
      <c r="U54" s="117"/>
      <c r="V54" s="137"/>
      <c r="W54" s="294"/>
      <c r="AI54" s="585" t="b">
        <v>1</v>
      </c>
      <c r="AJ54" s="160" t="s">
        <v>14</v>
      </c>
      <c r="AK54" s="87" t="str">
        <f t="shared" si="15"/>
        <v>Southampton</v>
      </c>
      <c r="AL54" s="146" t="e">
        <f t="shared" si="19"/>
        <v>#N/A</v>
      </c>
      <c r="AM54" s="146" t="e">
        <f t="shared" si="19"/>
        <v>#N/A</v>
      </c>
      <c r="AN54" s="146" t="e">
        <f t="shared" si="19"/>
        <v>#N/A</v>
      </c>
      <c r="AO54" s="146" t="e">
        <f t="shared" si="19"/>
        <v>#N/A</v>
      </c>
      <c r="AP54" s="146" t="e">
        <f t="shared" si="19"/>
        <v>#N/A</v>
      </c>
      <c r="AQ54" s="146" t="e">
        <f t="shared" si="17"/>
        <v>#N/A</v>
      </c>
      <c r="AR54" s="147">
        <f t="shared" si="18"/>
        <v>20.5</v>
      </c>
      <c r="AS54" s="81"/>
      <c r="AT54" s="81"/>
      <c r="AU54" s="81"/>
      <c r="AV54" s="81"/>
      <c r="AW54" s="81"/>
      <c r="AX54" s="81"/>
      <c r="AY54" s="81"/>
      <c r="AZ54" s="81"/>
      <c r="BA54" s="81"/>
      <c r="BB54" s="81"/>
    </row>
    <row r="55" spans="1:54" ht="14.25" customHeight="1" x14ac:dyDescent="0.2">
      <c r="A55" s="278"/>
      <c r="B55" s="421"/>
      <c r="C55" s="421"/>
      <c r="D55" s="58"/>
      <c r="E55" s="58"/>
      <c r="F55" s="58"/>
      <c r="G55" s="58"/>
      <c r="H55" s="58"/>
      <c r="I55" s="58"/>
      <c r="J55" s="58"/>
      <c r="K55" s="12"/>
      <c r="L55" s="14"/>
      <c r="M55" s="14"/>
      <c r="N55" s="14"/>
      <c r="O55" s="14"/>
      <c r="P55" s="9"/>
      <c r="Q55" s="9"/>
      <c r="R55" s="9"/>
      <c r="S55" s="9"/>
      <c r="T55" s="9"/>
      <c r="U55" s="117"/>
      <c r="V55" s="137"/>
      <c r="W55" s="294"/>
      <c r="AI55" s="585" t="b">
        <v>1</v>
      </c>
      <c r="AJ55" s="160" t="s">
        <v>7</v>
      </c>
      <c r="AK55" s="87" t="str">
        <f t="shared" si="15"/>
        <v>Surrey</v>
      </c>
      <c r="AL55" s="146" t="e">
        <f t="shared" si="19"/>
        <v>#N/A</v>
      </c>
      <c r="AM55" s="146" t="e">
        <f t="shared" si="19"/>
        <v>#N/A</v>
      </c>
      <c r="AN55" s="146" t="e">
        <f t="shared" si="19"/>
        <v>#N/A</v>
      </c>
      <c r="AO55" s="146" t="e">
        <f t="shared" si="19"/>
        <v>#N/A</v>
      </c>
      <c r="AP55" s="146" t="e">
        <f t="shared" si="19"/>
        <v>#N/A</v>
      </c>
      <c r="AQ55" s="146" t="e">
        <f t="shared" si="17"/>
        <v>#N/A</v>
      </c>
      <c r="AR55" s="147">
        <f t="shared" si="18"/>
        <v>8.3000000000000007</v>
      </c>
      <c r="AS55" s="81"/>
      <c r="AT55" s="81"/>
      <c r="AU55" s="81"/>
      <c r="AV55" s="81"/>
      <c r="AW55" s="81"/>
      <c r="AX55" s="81"/>
      <c r="AY55" s="81"/>
      <c r="AZ55" s="81"/>
      <c r="BA55" s="81"/>
      <c r="BB55" s="81"/>
    </row>
    <row r="56" spans="1:54" ht="14.25" customHeight="1" x14ac:dyDescent="0.2">
      <c r="A56" s="278"/>
      <c r="B56" s="421"/>
      <c r="C56" s="421"/>
      <c r="D56" s="58"/>
      <c r="E56" s="58"/>
      <c r="F56" s="58"/>
      <c r="G56" s="58"/>
      <c r="H56" s="58"/>
      <c r="I56" s="58"/>
      <c r="J56" s="58"/>
      <c r="K56" s="12"/>
      <c r="L56" s="14"/>
      <c r="M56" s="14"/>
      <c r="N56" s="14"/>
      <c r="O56" s="14"/>
      <c r="P56" s="9"/>
      <c r="Q56" s="9"/>
      <c r="R56" s="9"/>
      <c r="S56" s="9"/>
      <c r="T56" s="9"/>
      <c r="U56" s="117"/>
      <c r="V56" s="137"/>
      <c r="W56" s="294"/>
      <c r="AI56" s="585" t="b">
        <v>1</v>
      </c>
      <c r="AJ56" s="160" t="s">
        <v>113</v>
      </c>
      <c r="AK56" s="87" t="str">
        <f t="shared" si="15"/>
        <v>Swindon</v>
      </c>
      <c r="AL56" s="146" t="e">
        <f t="shared" si="19"/>
        <v>#N/A</v>
      </c>
      <c r="AM56" s="146" t="e">
        <f t="shared" si="19"/>
        <v>#N/A</v>
      </c>
      <c r="AN56" s="146" t="e">
        <f t="shared" si="19"/>
        <v>#N/A</v>
      </c>
      <c r="AO56" s="146" t="e">
        <f t="shared" si="19"/>
        <v>#N/A</v>
      </c>
      <c r="AP56" s="146" t="e">
        <f t="shared" si="19"/>
        <v>#N/A</v>
      </c>
      <c r="AQ56" s="146" t="e">
        <f t="shared" si="17"/>
        <v>#N/A</v>
      </c>
      <c r="AR56" s="147">
        <f t="shared" si="18"/>
        <v>14.899999999999999</v>
      </c>
      <c r="AS56" s="81"/>
      <c r="AT56" s="81"/>
      <c r="AU56" s="81"/>
      <c r="AV56" s="81"/>
      <c r="AW56" s="81"/>
      <c r="AX56" s="81"/>
      <c r="AY56" s="81"/>
      <c r="AZ56" s="81"/>
      <c r="BA56" s="81"/>
      <c r="BB56" s="81"/>
    </row>
    <row r="57" spans="1:54" ht="14.25" customHeight="1" x14ac:dyDescent="0.2">
      <c r="A57" s="278"/>
      <c r="B57" s="421"/>
      <c r="C57" s="421"/>
      <c r="D57" s="58"/>
      <c r="E57" s="58"/>
      <c r="F57" s="58"/>
      <c r="G57" s="58"/>
      <c r="H57" s="58"/>
      <c r="I57" s="58"/>
      <c r="J57" s="58"/>
      <c r="K57" s="12"/>
      <c r="L57" s="14"/>
      <c r="M57" s="14"/>
      <c r="N57" s="14"/>
      <c r="O57" s="14"/>
      <c r="P57" s="9"/>
      <c r="Q57" s="9"/>
      <c r="R57" s="9"/>
      <c r="S57" s="9"/>
      <c r="T57" s="9"/>
      <c r="U57" s="117"/>
      <c r="V57" s="137"/>
      <c r="W57" s="294"/>
      <c r="AI57" s="585" t="b">
        <v>1</v>
      </c>
      <c r="AJ57" s="160" t="s">
        <v>114</v>
      </c>
      <c r="AK57" s="87" t="str">
        <f t="shared" si="15"/>
        <v>Torbay</v>
      </c>
      <c r="AL57" s="146" t="e">
        <f t="shared" si="19"/>
        <v>#N/A</v>
      </c>
      <c r="AM57" s="146" t="e">
        <f t="shared" si="19"/>
        <v>#N/A</v>
      </c>
      <c r="AN57" s="146" t="e">
        <f t="shared" si="19"/>
        <v>#N/A</v>
      </c>
      <c r="AO57" s="146" t="e">
        <f t="shared" si="19"/>
        <v>#N/A</v>
      </c>
      <c r="AP57" s="146" t="e">
        <f t="shared" si="19"/>
        <v>#N/A</v>
      </c>
      <c r="AQ57" s="146" t="e">
        <f t="shared" si="17"/>
        <v>#N/A</v>
      </c>
      <c r="AR57" s="147">
        <f t="shared" si="18"/>
        <v>21.9</v>
      </c>
      <c r="AS57" s="81"/>
      <c r="AT57" s="81"/>
      <c r="AU57" s="81"/>
      <c r="AV57" s="81"/>
      <c r="AW57" s="81"/>
      <c r="AX57" s="81"/>
      <c r="AY57" s="81"/>
      <c r="AZ57" s="81"/>
      <c r="BA57" s="81"/>
      <c r="BB57" s="81"/>
    </row>
    <row r="58" spans="1:54" s="81" customFormat="1" ht="14.25" customHeight="1" x14ac:dyDescent="0.2">
      <c r="A58" s="278"/>
      <c r="B58" s="421"/>
      <c r="C58" s="421"/>
      <c r="D58" s="58"/>
      <c r="E58" s="58"/>
      <c r="F58" s="58"/>
      <c r="G58" s="58"/>
      <c r="H58" s="58"/>
      <c r="I58" s="58"/>
      <c r="J58" s="58"/>
      <c r="K58" s="12"/>
      <c r="L58" s="14"/>
      <c r="M58" s="14"/>
      <c r="N58" s="14"/>
      <c r="O58" s="14"/>
      <c r="P58" s="9"/>
      <c r="Q58" s="9"/>
      <c r="R58" s="9"/>
      <c r="S58" s="9"/>
      <c r="T58" s="9"/>
      <c r="U58" s="117"/>
      <c r="V58" s="137"/>
      <c r="W58" s="294"/>
      <c r="AI58" s="585" t="b">
        <v>1</v>
      </c>
      <c r="AJ58" s="160" t="s">
        <v>15</v>
      </c>
      <c r="AK58" s="87" t="str">
        <f t="shared" si="15"/>
        <v>West Berkshire</v>
      </c>
      <c r="AL58" s="146" t="e">
        <f t="shared" si="19"/>
        <v>#N/A</v>
      </c>
      <c r="AM58" s="146" t="e">
        <f t="shared" si="19"/>
        <v>#N/A</v>
      </c>
      <c r="AN58" s="146" t="e">
        <f t="shared" si="19"/>
        <v>#N/A</v>
      </c>
      <c r="AO58" s="146" t="e">
        <f t="shared" si="19"/>
        <v>#N/A</v>
      </c>
      <c r="AP58" s="146" t="e">
        <f t="shared" si="19"/>
        <v>#N/A</v>
      </c>
      <c r="AQ58" s="146" t="e">
        <f t="shared" si="17"/>
        <v>#N/A</v>
      </c>
      <c r="AR58" s="147">
        <f t="shared" si="18"/>
        <v>8.6999999999999993</v>
      </c>
    </row>
    <row r="59" spans="1:54" s="81" customFormat="1" ht="14.25" customHeight="1" x14ac:dyDescent="0.2">
      <c r="A59" s="278"/>
      <c r="B59" s="421"/>
      <c r="C59" s="421"/>
      <c r="D59" s="58"/>
      <c r="E59" s="58"/>
      <c r="F59" s="58"/>
      <c r="G59" s="58"/>
      <c r="H59" s="58"/>
      <c r="I59" s="58"/>
      <c r="J59" s="58"/>
      <c r="K59" s="12"/>
      <c r="L59" s="14"/>
      <c r="M59" s="14"/>
      <c r="N59" s="14"/>
      <c r="O59" s="14"/>
      <c r="P59" s="9"/>
      <c r="Q59" s="9"/>
      <c r="R59" s="9"/>
      <c r="S59" s="9"/>
      <c r="T59" s="9"/>
      <c r="U59" s="117"/>
      <c r="V59" s="137"/>
      <c r="W59" s="294"/>
      <c r="AI59" s="585" t="b">
        <v>1</v>
      </c>
      <c r="AJ59" s="160" t="s">
        <v>5</v>
      </c>
      <c r="AK59" s="87" t="str">
        <f t="shared" si="15"/>
        <v>West Sussex</v>
      </c>
      <c r="AL59" s="146" t="e">
        <f t="shared" si="19"/>
        <v>#N/A</v>
      </c>
      <c r="AM59" s="146" t="e">
        <f t="shared" si="19"/>
        <v>#N/A</v>
      </c>
      <c r="AN59" s="146" t="e">
        <f t="shared" si="19"/>
        <v>#N/A</v>
      </c>
      <c r="AO59" s="146" t="e">
        <f t="shared" si="19"/>
        <v>#N/A</v>
      </c>
      <c r="AP59" s="146" t="e">
        <f t="shared" si="19"/>
        <v>#N/A</v>
      </c>
      <c r="AQ59" s="146" t="e">
        <f t="shared" si="17"/>
        <v>#N/A</v>
      </c>
      <c r="AR59" s="147">
        <f t="shared" si="18"/>
        <v>11</v>
      </c>
    </row>
    <row r="60" spans="1:54" s="81" customFormat="1" ht="14.25" customHeight="1" x14ac:dyDescent="0.2">
      <c r="A60" s="278"/>
      <c r="B60" s="421"/>
      <c r="C60" s="421"/>
      <c r="D60" s="58"/>
      <c r="E60" s="58"/>
      <c r="F60" s="58"/>
      <c r="G60" s="58"/>
      <c r="H60" s="58"/>
      <c r="I60" s="58"/>
      <c r="J60" s="58"/>
      <c r="K60" s="12"/>
      <c r="L60" s="14"/>
      <c r="M60" s="14"/>
      <c r="N60" s="14"/>
      <c r="O60" s="14"/>
      <c r="P60" s="9"/>
      <c r="Q60" s="9"/>
      <c r="R60" s="9"/>
      <c r="S60" s="9"/>
      <c r="T60" s="9"/>
      <c r="U60" s="117"/>
      <c r="V60" s="137"/>
      <c r="W60" s="294"/>
      <c r="AI60" s="585" t="b">
        <v>1</v>
      </c>
      <c r="AJ60" s="160" t="s">
        <v>30</v>
      </c>
      <c r="AK60" s="87" t="str">
        <f t="shared" si="15"/>
        <v>Windsor &amp; Maidenhead</v>
      </c>
      <c r="AL60" s="146" t="e">
        <f t="shared" si="19"/>
        <v>#N/A</v>
      </c>
      <c r="AM60" s="146" t="e">
        <f t="shared" si="19"/>
        <v>#N/A</v>
      </c>
      <c r="AN60" s="146" t="e">
        <f t="shared" si="19"/>
        <v>#N/A</v>
      </c>
      <c r="AO60" s="146" t="e">
        <f t="shared" si="19"/>
        <v>#N/A</v>
      </c>
      <c r="AP60" s="146" t="e">
        <f t="shared" si="19"/>
        <v>#N/A</v>
      </c>
      <c r="AQ60" s="146" t="e">
        <f>IF($AK60=$Y$4,AP60,NA())</f>
        <v>#N/A</v>
      </c>
      <c r="AR60" s="147">
        <f t="shared" si="18"/>
        <v>6.7</v>
      </c>
    </row>
    <row r="61" spans="1:54" s="81" customFormat="1" ht="14.25" customHeight="1" x14ac:dyDescent="0.2">
      <c r="A61" s="278"/>
      <c r="B61" s="421"/>
      <c r="C61" s="421"/>
      <c r="D61" s="58"/>
      <c r="E61" s="58"/>
      <c r="F61" s="58"/>
      <c r="G61" s="58"/>
      <c r="H61" s="58"/>
      <c r="I61" s="58"/>
      <c r="J61" s="58"/>
      <c r="K61" s="12"/>
      <c r="L61" s="14"/>
      <c r="M61" s="14"/>
      <c r="N61" s="14"/>
      <c r="O61" s="14"/>
      <c r="P61" s="9"/>
      <c r="Q61" s="9"/>
      <c r="R61" s="9"/>
      <c r="S61" s="9"/>
      <c r="T61" s="9"/>
      <c r="U61" s="117"/>
      <c r="V61" s="137"/>
      <c r="W61" s="294"/>
      <c r="AI61" s="585" t="b">
        <v>1</v>
      </c>
      <c r="AJ61" s="160" t="s">
        <v>16</v>
      </c>
      <c r="AK61" s="87" t="str">
        <f t="shared" si="15"/>
        <v>Wokingham</v>
      </c>
      <c r="AL61" s="146" t="e">
        <f t="shared" si="19"/>
        <v>#N/A</v>
      </c>
      <c r="AM61" s="146" t="e">
        <f t="shared" si="19"/>
        <v>#N/A</v>
      </c>
      <c r="AN61" s="146" t="e">
        <f t="shared" si="19"/>
        <v>#N/A</v>
      </c>
      <c r="AO61" s="146" t="e">
        <f t="shared" si="19"/>
        <v>#N/A</v>
      </c>
      <c r="AP61" s="146" t="e">
        <f t="shared" si="19"/>
        <v>#N/A</v>
      </c>
      <c r="AQ61" s="146" t="e">
        <f t="shared" si="17"/>
        <v>#N/A</v>
      </c>
      <c r="AR61" s="147">
        <f t="shared" si="18"/>
        <v>5.6000000000000005</v>
      </c>
    </row>
    <row r="62" spans="1:54" s="81" customFormat="1" ht="14.25" customHeight="1" x14ac:dyDescent="0.2">
      <c r="A62" s="278"/>
      <c r="B62" s="421"/>
      <c r="C62" s="421"/>
      <c r="D62" s="58"/>
      <c r="E62" s="58"/>
      <c r="F62" s="58"/>
      <c r="G62" s="58"/>
      <c r="H62" s="58"/>
      <c r="I62" s="58"/>
      <c r="J62" s="58"/>
      <c r="K62" s="12"/>
      <c r="L62" s="14"/>
      <c r="M62" s="14"/>
      <c r="N62" s="14"/>
      <c r="O62" s="14"/>
      <c r="P62" s="9"/>
      <c r="Q62" s="9"/>
      <c r="R62" s="9"/>
      <c r="S62" s="9"/>
      <c r="T62" s="9"/>
      <c r="U62" s="117"/>
      <c r="V62" s="137"/>
      <c r="W62" s="294"/>
      <c r="AI62" s="585" t="b">
        <v>1</v>
      </c>
      <c r="AJ62" s="160" t="s">
        <v>74</v>
      </c>
      <c r="AK62" s="87" t="str">
        <f t="shared" si="15"/>
        <v>South East</v>
      </c>
      <c r="AL62" s="146" t="e">
        <f t="shared" si="19"/>
        <v>#N/A</v>
      </c>
      <c r="AM62" s="146" t="e">
        <f t="shared" si="19"/>
        <v>#N/A</v>
      </c>
      <c r="AN62" s="146" t="e">
        <f t="shared" si="19"/>
        <v>#N/A</v>
      </c>
      <c r="AO62" s="146" t="e">
        <f t="shared" si="19"/>
        <v>#N/A</v>
      </c>
      <c r="AP62" s="146" t="e">
        <f t="shared" si="19"/>
        <v>#N/A</v>
      </c>
      <c r="AQ62" s="146" t="e">
        <f t="shared" si="17"/>
        <v>#N/A</v>
      </c>
      <c r="AR62" s="147" t="e">
        <f t="shared" si="18"/>
        <v>#DIV/0!</v>
      </c>
    </row>
    <row r="63" spans="1:54" s="81" customFormat="1" ht="14.25" customHeight="1" x14ac:dyDescent="0.2">
      <c r="A63" s="278"/>
      <c r="B63" s="421"/>
      <c r="C63" s="421"/>
      <c r="D63" s="58"/>
      <c r="E63" s="58"/>
      <c r="F63" s="58"/>
      <c r="G63" s="58"/>
      <c r="H63" s="58"/>
      <c r="I63" s="58"/>
      <c r="J63" s="58"/>
      <c r="K63" s="1787"/>
      <c r="L63" s="1788"/>
      <c r="M63" s="1796" t="s">
        <v>72</v>
      </c>
      <c r="N63" s="1797"/>
      <c r="O63" s="1798"/>
      <c r="P63" s="422"/>
      <c r="Q63" s="1802" t="s">
        <v>100</v>
      </c>
      <c r="R63" s="1803"/>
      <c r="S63" s="1803"/>
      <c r="T63" s="1804"/>
      <c r="U63" s="117"/>
      <c r="V63" s="137"/>
      <c r="W63" s="294"/>
      <c r="AI63" s="184"/>
      <c r="AJ63" s="157"/>
      <c r="AK63" s="74" t="str">
        <f>Z4</f>
        <v>Selected LA- (none)</v>
      </c>
      <c r="AL63" s="148" t="e">
        <f>VLOOKUP($Y4,$B$10:$P$32,AL$36,FALSE)</f>
        <v>#N/A</v>
      </c>
      <c r="AM63" s="148" t="e">
        <f>VLOOKUP($Y4,$B$10:$P$32,AM$36,FALSE)</f>
        <v>#N/A</v>
      </c>
      <c r="AN63" s="148" t="e">
        <f>VLOOKUP($Y4,$B$10:$P$32,AN$36,FALSE)</f>
        <v>#N/A</v>
      </c>
      <c r="AO63" s="148" t="e">
        <f>VLOOKUP($Y4,$B$10:$P$32,AO$36,FALSE)</f>
        <v>#N/A</v>
      </c>
      <c r="AP63" s="148" t="e">
        <f>VLOOKUP($Y4,$B$10:$P$32,AP$36,FALSE)</f>
        <v>#N/A</v>
      </c>
      <c r="AQ63" s="146" t="e">
        <f t="shared" si="17"/>
        <v>#N/A</v>
      </c>
      <c r="AR63" s="147" t="e">
        <f>VLOOKUP($Y$4,$B$10:$T$32,$AR$36,FALSE)</f>
        <v>#N/A</v>
      </c>
    </row>
    <row r="64" spans="1:54" s="81" customFormat="1" ht="14.25" customHeight="1" x14ac:dyDescent="0.2">
      <c r="A64" s="278"/>
      <c r="B64" s="421"/>
      <c r="C64" s="421"/>
      <c r="D64" s="58"/>
      <c r="E64" s="58"/>
      <c r="F64" s="58"/>
      <c r="G64" s="58"/>
      <c r="H64" s="58"/>
      <c r="I64" s="58"/>
      <c r="J64" s="58"/>
      <c r="K64" s="1787"/>
      <c r="L64" s="1788"/>
      <c r="M64" s="1799" t="str">
        <f>Z4</f>
        <v>Selected LA- (none)</v>
      </c>
      <c r="N64" s="1800"/>
      <c r="O64" s="1800"/>
      <c r="P64" s="1800"/>
      <c r="Q64" s="1800"/>
      <c r="R64" s="1800"/>
      <c r="S64" s="1800"/>
      <c r="T64" s="1801"/>
      <c r="U64" s="117"/>
      <c r="V64" s="137"/>
      <c r="W64" s="294"/>
      <c r="AJ64" s="161"/>
    </row>
    <row r="65" spans="1:47" s="81" customFormat="1" ht="39.6" customHeight="1" x14ac:dyDescent="0.2">
      <c r="A65" s="278"/>
      <c r="B65" s="421"/>
      <c r="C65" s="421"/>
      <c r="D65" s="58"/>
      <c r="E65" s="58"/>
      <c r="F65" s="58"/>
      <c r="G65" s="58"/>
      <c r="H65" s="58"/>
      <c r="I65" s="58"/>
      <c r="J65" s="58"/>
      <c r="K65" s="12"/>
      <c r="L65" s="9"/>
      <c r="M65" s="9"/>
      <c r="N65" s="9"/>
      <c r="O65" s="9"/>
      <c r="P65" s="9"/>
      <c r="Q65" s="9"/>
      <c r="R65" s="9"/>
      <c r="S65" s="9"/>
      <c r="T65" s="9"/>
      <c r="U65" s="117"/>
      <c r="V65" s="137"/>
      <c r="W65" s="150"/>
      <c r="AJ65" s="161"/>
    </row>
    <row r="66" spans="1:47" s="81" customFormat="1" ht="39.6" customHeight="1" x14ac:dyDescent="0.2">
      <c r="A66" s="278"/>
      <c r="B66" s="58"/>
      <c r="C66" s="58"/>
      <c r="D66" s="58"/>
      <c r="E66" s="58"/>
      <c r="F66" s="58"/>
      <c r="G66" s="58"/>
      <c r="H66" s="58"/>
      <c r="I66" s="58"/>
      <c r="J66" s="58"/>
      <c r="K66" s="12"/>
      <c r="L66" s="9"/>
      <c r="M66" s="9"/>
      <c r="N66" s="9"/>
      <c r="O66" s="9"/>
      <c r="P66" s="9"/>
      <c r="Q66" s="9"/>
      <c r="R66" s="9"/>
      <c r="S66" s="9"/>
      <c r="T66" s="9"/>
      <c r="U66" s="117"/>
      <c r="V66" s="137"/>
      <c r="W66" s="150"/>
      <c r="AJ66" s="161"/>
    </row>
    <row r="67" spans="1:47" s="87" customFormat="1" ht="48" customHeight="1" x14ac:dyDescent="0.2">
      <c r="A67" s="292"/>
      <c r="B67" s="109"/>
      <c r="C67" s="109"/>
      <c r="D67" s="109"/>
      <c r="E67" s="109"/>
      <c r="F67" s="109"/>
      <c r="G67" s="109"/>
      <c r="H67" s="109"/>
      <c r="I67" s="109"/>
      <c r="J67" s="109"/>
      <c r="K67" s="96"/>
      <c r="L67" s="85"/>
      <c r="M67" s="85"/>
      <c r="N67" s="85"/>
      <c r="O67" s="85"/>
      <c r="P67" s="85"/>
      <c r="Q67" s="85"/>
      <c r="R67" s="85"/>
      <c r="S67" s="85"/>
      <c r="T67" s="85"/>
      <c r="U67" s="122"/>
      <c r="V67" s="139"/>
      <c r="W67" s="150"/>
      <c r="X67" s="81"/>
      <c r="Y67" s="81"/>
      <c r="Z67" s="81"/>
      <c r="AA67" s="81"/>
      <c r="AB67" s="81"/>
      <c r="AC67" s="81"/>
      <c r="AD67" s="190"/>
      <c r="AE67" s="190"/>
      <c r="AF67" s="190"/>
      <c r="AG67" s="190"/>
      <c r="AH67" s="190"/>
      <c r="AI67" s="202"/>
      <c r="AJ67" s="160"/>
      <c r="AR67" s="81"/>
      <c r="AS67" s="81"/>
      <c r="AT67" s="81"/>
      <c r="AU67" s="81"/>
    </row>
    <row r="68" spans="1:47" ht="7.5" customHeight="1" x14ac:dyDescent="0.2">
      <c r="A68" s="278"/>
      <c r="B68" s="17"/>
      <c r="C68" s="17"/>
      <c r="D68" s="16"/>
      <c r="E68" s="16"/>
      <c r="F68" s="16"/>
      <c r="G68" s="16"/>
      <c r="H68" s="16"/>
      <c r="I68" s="16"/>
      <c r="J68" s="16"/>
      <c r="K68" s="12"/>
      <c r="L68" s="18"/>
      <c r="M68" s="18"/>
      <c r="N68" s="18"/>
      <c r="O68" s="18"/>
      <c r="P68" s="18"/>
      <c r="Q68" s="18"/>
      <c r="R68" s="18"/>
      <c r="S68" s="18"/>
      <c r="T68" s="19"/>
      <c r="U68" s="117"/>
      <c r="V68" s="137"/>
      <c r="W68" s="150"/>
      <c r="AD68" s="190"/>
      <c r="AE68" s="190"/>
      <c r="AF68" s="190"/>
      <c r="AG68" s="190"/>
      <c r="AH68" s="190"/>
      <c r="AI68" s="202"/>
      <c r="AJ68" s="160"/>
      <c r="AK68" s="87"/>
      <c r="AL68" s="87"/>
      <c r="AM68" s="87"/>
      <c r="AN68" s="87"/>
      <c r="AO68" s="87"/>
      <c r="AP68" s="87"/>
      <c r="AQ68" s="87"/>
      <c r="AR68" s="81"/>
      <c r="AS68" s="81"/>
      <c r="AT68" s="81"/>
      <c r="AU68" s="81"/>
    </row>
    <row r="69" spans="1:47" ht="15" customHeight="1" x14ac:dyDescent="0.2">
      <c r="A69" s="1775"/>
      <c r="B69" s="1760"/>
      <c r="C69" s="1760"/>
      <c r="D69" s="1760"/>
      <c r="E69" s="1760"/>
      <c r="F69" s="1760"/>
      <c r="G69" s="1760"/>
      <c r="H69" s="1760"/>
      <c r="I69" s="1760"/>
      <c r="J69" s="1760"/>
      <c r="K69" s="1760"/>
      <c r="L69" s="1760"/>
      <c r="M69" s="1760"/>
      <c r="N69" s="1760"/>
      <c r="O69" s="1760"/>
      <c r="P69" s="1760"/>
      <c r="Q69" s="1760"/>
      <c r="R69" s="1760"/>
      <c r="S69" s="1760"/>
      <c r="T69" s="1760"/>
      <c r="U69" s="1761"/>
      <c r="V69" s="137"/>
      <c r="W69" s="150"/>
      <c r="AD69" s="190"/>
      <c r="AE69" s="190"/>
      <c r="AF69" s="190"/>
      <c r="AG69" s="190"/>
      <c r="AH69" s="190"/>
      <c r="AI69" s="202"/>
      <c r="AJ69" s="160"/>
      <c r="AK69" s="87"/>
      <c r="AL69" s="87"/>
      <c r="AM69" s="87"/>
      <c r="AN69" s="87"/>
      <c r="AO69" s="87"/>
      <c r="AP69" s="87"/>
      <c r="AQ69" s="87"/>
      <c r="AR69" s="81"/>
      <c r="AS69" s="81"/>
      <c r="AT69" s="81"/>
      <c r="AU69" s="81"/>
    </row>
    <row r="70" spans="1:47" ht="11.1" customHeight="1" x14ac:dyDescent="0.2">
      <c r="A70" s="1776" t="str">
        <f>Home!$A$39</f>
        <v xml:space="preserve"> </v>
      </c>
      <c r="B70" s="1777"/>
      <c r="C70" s="1777"/>
      <c r="D70" s="1777"/>
      <c r="E70" s="1777"/>
      <c r="F70" s="1777"/>
      <c r="G70" s="1777"/>
      <c r="H70" s="1777"/>
      <c r="I70" s="1768"/>
      <c r="J70" s="1768"/>
      <c r="K70" s="1777"/>
      <c r="L70" s="1777"/>
      <c r="M70" s="1777"/>
      <c r="N70" s="1777"/>
      <c r="O70" s="1777"/>
      <c r="P70" s="1777"/>
      <c r="Q70" s="1777"/>
      <c r="R70" s="1777"/>
      <c r="S70" s="1777"/>
      <c r="T70" s="1777"/>
      <c r="U70" s="1778"/>
      <c r="V70" s="137"/>
      <c r="W70" s="150"/>
      <c r="AI70" s="184"/>
      <c r="AJ70" s="157"/>
      <c r="AR70" s="81"/>
      <c r="AS70" s="81"/>
      <c r="AT70" s="81"/>
      <c r="AU70" s="81"/>
    </row>
    <row r="71" spans="1:47" ht="11.25" customHeight="1" x14ac:dyDescent="0.2">
      <c r="A71" s="142"/>
      <c r="B71" s="9"/>
      <c r="C71" s="9"/>
      <c r="D71" s="9"/>
      <c r="E71" s="9"/>
      <c r="F71" s="58"/>
      <c r="G71" s="58"/>
      <c r="H71" s="58"/>
      <c r="I71" s="58"/>
      <c r="J71" s="113"/>
      <c r="K71" s="114"/>
      <c r="L71" s="113"/>
      <c r="M71" s="113"/>
      <c r="N71" s="113"/>
      <c r="O71" s="113"/>
      <c r="P71" s="113"/>
      <c r="Q71" s="113"/>
      <c r="R71" s="113"/>
      <c r="S71" s="113"/>
      <c r="T71" s="113"/>
      <c r="U71" s="113"/>
      <c r="V71" s="137"/>
      <c r="W71" s="150"/>
      <c r="AI71" s="184"/>
      <c r="AJ71" s="157"/>
      <c r="AR71" s="81"/>
      <c r="AS71" s="81"/>
      <c r="AT71" s="81"/>
      <c r="AU71" s="81"/>
    </row>
    <row r="72" spans="1:47" ht="11.25" customHeight="1" x14ac:dyDescent="0.2">
      <c r="A72" s="142"/>
      <c r="B72" s="9"/>
      <c r="C72" s="9"/>
      <c r="D72" s="9"/>
      <c r="E72" s="9"/>
      <c r="F72" s="58"/>
      <c r="G72" s="58"/>
      <c r="H72" s="58"/>
      <c r="I72" s="58"/>
      <c r="J72" s="9"/>
      <c r="K72" s="12"/>
      <c r="L72" s="9"/>
      <c r="M72" s="9"/>
      <c r="N72" s="9"/>
      <c r="O72" s="9"/>
      <c r="P72" s="9"/>
      <c r="Q72" s="9"/>
      <c r="R72" s="9"/>
      <c r="S72" s="9"/>
      <c r="T72" s="9"/>
      <c r="U72" s="9"/>
      <c r="V72" s="137"/>
      <c r="W72" s="150"/>
      <c r="AI72" s="184"/>
      <c r="AJ72" s="157"/>
      <c r="AR72" s="81"/>
      <c r="AS72" s="81"/>
      <c r="AT72" s="81"/>
      <c r="AU72" s="81"/>
    </row>
    <row r="73" spans="1:47" ht="11.25" customHeight="1" x14ac:dyDescent="0.2">
      <c r="A73" s="142"/>
      <c r="B73" s="1685" t="s">
        <v>82</v>
      </c>
      <c r="C73" s="1685"/>
      <c r="D73" s="1685"/>
      <c r="E73" s="1685"/>
      <c r="F73" s="1685"/>
      <c r="G73" s="1685"/>
      <c r="H73" s="1685"/>
      <c r="I73" s="1685"/>
      <c r="J73" s="9"/>
      <c r="K73" s="12"/>
      <c r="L73" s="9"/>
      <c r="M73" s="9"/>
      <c r="N73" s="9"/>
      <c r="O73" s="9"/>
      <c r="P73" s="9"/>
      <c r="Q73" s="9"/>
      <c r="R73" s="9"/>
      <c r="S73" s="9"/>
      <c r="T73" s="9"/>
      <c r="U73" s="9"/>
      <c r="V73" s="137"/>
      <c r="W73" s="150"/>
      <c r="AE73" s="82"/>
      <c r="AH73" s="184"/>
      <c r="AI73" s="184"/>
      <c r="AJ73" s="157"/>
      <c r="AR73" s="81"/>
      <c r="AS73" s="81"/>
      <c r="AT73" s="81"/>
      <c r="AU73" s="81"/>
    </row>
    <row r="74" spans="1:47" ht="11.25" customHeight="1" x14ac:dyDescent="0.2">
      <c r="A74" s="142"/>
      <c r="B74" s="1685"/>
      <c r="C74" s="1685"/>
      <c r="D74" s="1685"/>
      <c r="E74" s="1685"/>
      <c r="F74" s="1685"/>
      <c r="G74" s="1685"/>
      <c r="H74" s="1685"/>
      <c r="I74" s="1685"/>
      <c r="J74" s="9"/>
      <c r="K74" s="12"/>
      <c r="L74" s="9"/>
      <c r="M74" s="9"/>
      <c r="N74" s="9"/>
      <c r="O74" s="9"/>
      <c r="P74" s="9"/>
      <c r="Q74" s="9"/>
      <c r="R74" s="9"/>
      <c r="S74" s="9"/>
      <c r="T74" s="9"/>
      <c r="U74" s="9"/>
      <c r="V74" s="137"/>
      <c r="W74" s="150"/>
      <c r="AE74" s="82"/>
      <c r="AH74" s="184"/>
      <c r="AI74" s="184"/>
      <c r="AJ74" s="157"/>
      <c r="AR74" s="81"/>
      <c r="AS74" s="81"/>
      <c r="AT74" s="81"/>
      <c r="AU74" s="81"/>
    </row>
    <row r="75" spans="1:47" ht="11.25" customHeight="1" x14ac:dyDescent="0.2">
      <c r="A75" s="142"/>
      <c r="B75" s="1680" t="s">
        <v>800</v>
      </c>
      <c r="C75" s="1680"/>
      <c r="D75" s="1680"/>
      <c r="E75" s="1680"/>
      <c r="F75" s="1680"/>
      <c r="G75" s="1680"/>
      <c r="H75" s="1680"/>
      <c r="I75" s="1680"/>
      <c r="J75" s="9"/>
      <c r="K75" s="12"/>
      <c r="L75" s="9"/>
      <c r="M75" s="9"/>
      <c r="N75" s="9"/>
      <c r="O75" s="9"/>
      <c r="P75" s="9"/>
      <c r="Q75" s="9"/>
      <c r="R75" s="9"/>
      <c r="S75" s="9"/>
      <c r="T75" s="9"/>
      <c r="U75" s="9"/>
      <c r="V75" s="137"/>
      <c r="W75" s="150"/>
      <c r="AE75" s="82"/>
      <c r="AH75" s="184"/>
      <c r="AI75" s="184"/>
      <c r="AJ75" s="157"/>
      <c r="AR75" s="81"/>
      <c r="AS75" s="81"/>
      <c r="AT75" s="81"/>
      <c r="AU75" s="81"/>
    </row>
    <row r="76" spans="1:47" ht="11.25" customHeight="1" x14ac:dyDescent="0.2">
      <c r="A76" s="142"/>
      <c r="B76" s="1680"/>
      <c r="C76" s="1680"/>
      <c r="D76" s="1680"/>
      <c r="E76" s="1680"/>
      <c r="F76" s="1680"/>
      <c r="G76" s="1680"/>
      <c r="H76" s="1680"/>
      <c r="I76" s="1680"/>
      <c r="J76" s="9"/>
      <c r="K76" s="12"/>
      <c r="L76" s="9"/>
      <c r="M76" s="9"/>
      <c r="N76" s="9"/>
      <c r="O76" s="9"/>
      <c r="P76" s="9"/>
      <c r="Q76" s="9"/>
      <c r="R76" s="9"/>
      <c r="S76" s="9"/>
      <c r="T76" s="9"/>
      <c r="U76" s="9"/>
      <c r="V76" s="137"/>
      <c r="W76" s="150"/>
      <c r="AE76" s="82"/>
      <c r="AH76" s="184"/>
      <c r="AI76" s="184"/>
      <c r="AJ76" s="157"/>
      <c r="AR76" s="81"/>
      <c r="AS76" s="81"/>
      <c r="AT76" s="81"/>
      <c r="AU76" s="81"/>
    </row>
    <row r="77" spans="1:47" s="76" customFormat="1" ht="11.25" customHeight="1" x14ac:dyDescent="0.2">
      <c r="A77" s="142"/>
      <c r="B77" s="1680" t="s">
        <v>81</v>
      </c>
      <c r="C77" s="1680"/>
      <c r="D77" s="1680"/>
      <c r="E77" s="1680"/>
      <c r="F77" s="1680"/>
      <c r="G77" s="1680"/>
      <c r="H77" s="1680"/>
      <c r="I77" s="1680"/>
      <c r="J77" s="14"/>
      <c r="K77" s="14"/>
      <c r="L77" s="14"/>
      <c r="M77" s="14"/>
      <c r="N77" s="14"/>
      <c r="O77" s="14"/>
      <c r="P77" s="14"/>
      <c r="Q77" s="14"/>
      <c r="R77" s="14"/>
      <c r="S77" s="14"/>
      <c r="T77" s="14"/>
      <c r="U77" s="14"/>
      <c r="V77" s="140"/>
      <c r="W77" s="154"/>
      <c r="X77" s="81"/>
      <c r="Y77" s="81"/>
      <c r="Z77" s="81"/>
      <c r="AA77" s="81"/>
      <c r="AB77" s="81"/>
      <c r="AC77" s="81"/>
      <c r="AD77" s="81"/>
      <c r="AE77" s="82"/>
      <c r="AF77" s="81"/>
      <c r="AG77" s="81"/>
      <c r="AH77" s="184"/>
      <c r="AI77" s="184"/>
      <c r="AJ77" s="157"/>
      <c r="AK77" s="74"/>
      <c r="AL77" s="74"/>
      <c r="AM77" s="74"/>
      <c r="AN77" s="74"/>
      <c r="AO77" s="74"/>
      <c r="AP77" s="74"/>
      <c r="AQ77" s="74"/>
      <c r="AR77" s="81"/>
      <c r="AS77" s="81"/>
      <c r="AT77" s="81"/>
      <c r="AU77" s="81"/>
    </row>
    <row r="78" spans="1:47" ht="11.25" customHeight="1" x14ac:dyDescent="0.2">
      <c r="A78" s="142"/>
      <c r="B78" s="1680"/>
      <c r="C78" s="1680"/>
      <c r="D78" s="1680"/>
      <c r="E78" s="1680"/>
      <c r="F78" s="1680"/>
      <c r="G78" s="1680"/>
      <c r="H78" s="1680"/>
      <c r="I78" s="1680"/>
      <c r="J78" s="9"/>
      <c r="K78" s="12"/>
      <c r="L78" s="9"/>
      <c r="M78" s="9"/>
      <c r="N78" s="9"/>
      <c r="O78" s="9"/>
      <c r="P78" s="9"/>
      <c r="Q78" s="9"/>
      <c r="R78" s="9"/>
      <c r="S78" s="9"/>
      <c r="T78" s="9"/>
      <c r="U78" s="9"/>
      <c r="V78" s="137"/>
      <c r="W78" s="150"/>
      <c r="AE78" s="82"/>
      <c r="AH78" s="188"/>
      <c r="AI78" s="188"/>
      <c r="AJ78" s="158"/>
    </row>
    <row r="79" spans="1:47" ht="11.25" customHeight="1" x14ac:dyDescent="0.2">
      <c r="A79" s="142"/>
      <c r="B79" s="1680" t="s">
        <v>78</v>
      </c>
      <c r="C79" s="1680"/>
      <c r="D79" s="1680"/>
      <c r="E79" s="1680"/>
      <c r="F79" s="1680"/>
      <c r="G79" s="1680"/>
      <c r="H79" s="1680"/>
      <c r="I79" s="1680"/>
      <c r="J79" s="9"/>
      <c r="K79" s="12"/>
      <c r="L79" s="9"/>
      <c r="M79" s="9"/>
      <c r="N79" s="9"/>
      <c r="O79" s="9"/>
      <c r="P79" s="9"/>
      <c r="Q79" s="9"/>
      <c r="R79" s="9"/>
      <c r="S79" s="9"/>
      <c r="T79" s="9"/>
      <c r="U79" s="9"/>
      <c r="V79" s="137"/>
      <c r="W79" s="150"/>
      <c r="AE79" s="82"/>
      <c r="AH79" s="184"/>
      <c r="AI79" s="184"/>
      <c r="AJ79" s="157"/>
      <c r="AK79" s="76"/>
      <c r="AL79" s="76"/>
      <c r="AM79" s="76"/>
      <c r="AN79" s="76"/>
      <c r="AO79" s="76"/>
      <c r="AP79" s="76"/>
      <c r="AQ79" s="76"/>
    </row>
    <row r="80" spans="1:47" ht="11.25" customHeight="1" x14ac:dyDescent="0.2">
      <c r="A80" s="142"/>
      <c r="B80" s="1680"/>
      <c r="C80" s="1680"/>
      <c r="D80" s="1680"/>
      <c r="E80" s="1680"/>
      <c r="F80" s="1680"/>
      <c r="G80" s="1680"/>
      <c r="H80" s="1680"/>
      <c r="I80" s="1680"/>
      <c r="J80" s="9"/>
      <c r="K80" s="12"/>
      <c r="L80" s="9"/>
      <c r="M80" s="9"/>
      <c r="N80" s="9"/>
      <c r="O80" s="9"/>
      <c r="P80" s="9"/>
      <c r="Q80" s="9"/>
      <c r="R80" s="9"/>
      <c r="S80" s="9"/>
      <c r="T80" s="9"/>
      <c r="U80" s="9"/>
      <c r="V80" s="137"/>
      <c r="W80" s="150"/>
      <c r="AE80" s="82"/>
      <c r="AH80" s="184"/>
      <c r="AI80" s="184"/>
      <c r="AJ80" s="157"/>
    </row>
    <row r="81" spans="1:36" ht="11.25" customHeight="1" x14ac:dyDescent="0.2">
      <c r="A81" s="142"/>
      <c r="B81" s="1680" t="s">
        <v>17</v>
      </c>
      <c r="C81" s="1680"/>
      <c r="D81" s="1680"/>
      <c r="E81" s="1680"/>
      <c r="F81" s="1680"/>
      <c r="G81" s="1680"/>
      <c r="H81" s="1680"/>
      <c r="I81" s="1680"/>
      <c r="J81" s="9"/>
      <c r="K81" s="12"/>
      <c r="L81" s="9"/>
      <c r="M81" s="9"/>
      <c r="N81" s="9"/>
      <c r="O81" s="9"/>
      <c r="P81" s="9"/>
      <c r="Q81" s="9"/>
      <c r="R81" s="9"/>
      <c r="S81" s="9"/>
      <c r="T81" s="9"/>
      <c r="U81" s="9"/>
      <c r="V81" s="137"/>
      <c r="W81" s="150"/>
      <c r="AE81" s="82"/>
      <c r="AH81" s="184"/>
      <c r="AI81" s="184"/>
      <c r="AJ81" s="157"/>
    </row>
    <row r="82" spans="1:36" ht="11.25" customHeight="1" x14ac:dyDescent="0.2">
      <c r="A82" s="142"/>
      <c r="B82" s="1680"/>
      <c r="C82" s="1680"/>
      <c r="D82" s="1680"/>
      <c r="E82" s="1680"/>
      <c r="F82" s="1680"/>
      <c r="G82" s="1680"/>
      <c r="H82" s="1680"/>
      <c r="I82" s="1680"/>
      <c r="J82" s="9"/>
      <c r="K82" s="12"/>
      <c r="L82" s="9"/>
      <c r="M82" s="9"/>
      <c r="N82" s="9"/>
      <c r="O82" s="9"/>
      <c r="P82" s="9"/>
      <c r="Q82" s="9"/>
      <c r="R82" s="9"/>
      <c r="S82" s="9"/>
      <c r="T82" s="9"/>
      <c r="U82" s="9"/>
      <c r="V82" s="137"/>
      <c r="W82" s="150"/>
      <c r="AE82" s="82"/>
      <c r="AH82" s="184"/>
      <c r="AI82" s="184"/>
      <c r="AJ82" s="157"/>
    </row>
    <row r="83" spans="1:36" ht="11.25" customHeight="1" x14ac:dyDescent="0.2">
      <c r="A83" s="142"/>
      <c r="B83" s="1680" t="s">
        <v>658</v>
      </c>
      <c r="C83" s="1680"/>
      <c r="D83" s="1680"/>
      <c r="E83" s="1680"/>
      <c r="F83" s="1680"/>
      <c r="G83" s="1680"/>
      <c r="H83" s="1680"/>
      <c r="I83" s="1680"/>
      <c r="J83" s="9"/>
      <c r="K83" s="12"/>
      <c r="L83" s="9"/>
      <c r="M83" s="9"/>
      <c r="N83" s="9"/>
      <c r="O83" s="9"/>
      <c r="P83" s="9"/>
      <c r="Q83" s="9"/>
      <c r="R83" s="9"/>
      <c r="S83" s="9"/>
      <c r="T83" s="9"/>
      <c r="U83" s="9"/>
      <c r="V83" s="137"/>
      <c r="W83" s="150"/>
      <c r="AE83" s="82"/>
      <c r="AH83" s="184"/>
      <c r="AI83" s="184"/>
      <c r="AJ83" s="157"/>
    </row>
    <row r="84" spans="1:36" ht="11.25" customHeight="1" x14ac:dyDescent="0.2">
      <c r="A84" s="142"/>
      <c r="B84" s="1680"/>
      <c r="C84" s="1680"/>
      <c r="D84" s="1680"/>
      <c r="E84" s="1680"/>
      <c r="F84" s="1680"/>
      <c r="G84" s="1680"/>
      <c r="H84" s="1680"/>
      <c r="I84" s="1680"/>
      <c r="J84" s="9"/>
      <c r="K84" s="12"/>
      <c r="L84" s="9"/>
      <c r="M84" s="9"/>
      <c r="N84" s="9"/>
      <c r="O84" s="9"/>
      <c r="P84" s="9"/>
      <c r="Q84" s="9"/>
      <c r="R84" s="9"/>
      <c r="S84" s="9"/>
      <c r="T84" s="9"/>
      <c r="U84" s="9"/>
      <c r="V84" s="137"/>
      <c r="W84" s="150"/>
      <c r="AE84" s="82"/>
      <c r="AH84" s="184"/>
      <c r="AI84" s="184"/>
      <c r="AJ84" s="157"/>
    </row>
    <row r="85" spans="1:36" ht="11.25" customHeight="1" x14ac:dyDescent="0.2">
      <c r="A85" s="142"/>
      <c r="B85" s="1680" t="s">
        <v>191</v>
      </c>
      <c r="C85" s="1680"/>
      <c r="D85" s="1680"/>
      <c r="E85" s="1680"/>
      <c r="F85" s="1680"/>
      <c r="G85" s="1680"/>
      <c r="H85" s="1680"/>
      <c r="I85" s="1680"/>
      <c r="J85" s="9"/>
      <c r="K85" s="12"/>
      <c r="L85" s="9"/>
      <c r="M85" s="9"/>
      <c r="N85" s="9"/>
      <c r="O85" s="9"/>
      <c r="P85" s="9"/>
      <c r="Q85" s="9"/>
      <c r="R85" s="9"/>
      <c r="S85" s="9"/>
      <c r="T85" s="9"/>
      <c r="U85" s="9"/>
      <c r="V85" s="137"/>
      <c r="W85" s="150"/>
      <c r="AE85" s="82"/>
      <c r="AH85" s="184"/>
      <c r="AI85" s="184"/>
      <c r="AJ85" s="157"/>
    </row>
    <row r="86" spans="1:36" ht="11.25" customHeight="1" x14ac:dyDescent="0.2">
      <c r="A86" s="142"/>
      <c r="B86" s="1680"/>
      <c r="C86" s="1680"/>
      <c r="D86" s="1680"/>
      <c r="E86" s="1680"/>
      <c r="F86" s="1680"/>
      <c r="G86" s="1680"/>
      <c r="H86" s="1680"/>
      <c r="I86" s="1680"/>
      <c r="J86" s="9"/>
      <c r="K86" s="12"/>
      <c r="L86" s="9"/>
      <c r="M86" s="9"/>
      <c r="N86" s="9"/>
      <c r="O86" s="9"/>
      <c r="P86" s="9"/>
      <c r="Q86" s="9"/>
      <c r="R86" s="9"/>
      <c r="S86" s="9"/>
      <c r="T86" s="9"/>
      <c r="U86" s="9"/>
      <c r="V86" s="137"/>
      <c r="W86" s="150"/>
      <c r="AE86" s="82"/>
      <c r="AH86" s="184"/>
      <c r="AI86" s="184"/>
      <c r="AJ86" s="157"/>
    </row>
    <row r="87" spans="1:36" ht="11.25" customHeight="1" x14ac:dyDescent="0.2">
      <c r="A87" s="142"/>
      <c r="B87" s="1680" t="s">
        <v>197</v>
      </c>
      <c r="C87" s="1680"/>
      <c r="D87" s="1680"/>
      <c r="E87" s="1680"/>
      <c r="F87" s="1680"/>
      <c r="G87" s="1680"/>
      <c r="H87" s="1680"/>
      <c r="I87" s="1680"/>
      <c r="J87" s="9"/>
      <c r="K87" s="12"/>
      <c r="L87" s="9"/>
      <c r="M87" s="9"/>
      <c r="N87" s="9"/>
      <c r="O87" s="9"/>
      <c r="P87" s="9"/>
      <c r="Q87" s="9"/>
      <c r="R87" s="9"/>
      <c r="S87" s="9"/>
      <c r="T87" s="9"/>
      <c r="U87" s="9"/>
      <c r="V87" s="137"/>
      <c r="W87" s="150"/>
      <c r="AE87" s="82"/>
      <c r="AH87" s="184"/>
      <c r="AI87" s="184"/>
      <c r="AJ87" s="157"/>
    </row>
    <row r="88" spans="1:36" ht="11.25" customHeight="1" x14ac:dyDescent="0.2">
      <c r="A88" s="142"/>
      <c r="B88" s="1680"/>
      <c r="C88" s="1680"/>
      <c r="D88" s="1680"/>
      <c r="E88" s="1680"/>
      <c r="F88" s="1680"/>
      <c r="G88" s="1680"/>
      <c r="H88" s="1680"/>
      <c r="I88" s="1680"/>
      <c r="J88" s="9"/>
      <c r="K88" s="12"/>
      <c r="L88" s="9"/>
      <c r="M88" s="9"/>
      <c r="N88" s="9"/>
      <c r="O88" s="9"/>
      <c r="P88" s="9"/>
      <c r="Q88" s="9"/>
      <c r="R88" s="9"/>
      <c r="S88" s="9"/>
      <c r="T88" s="9"/>
      <c r="U88" s="9"/>
      <c r="V88" s="137"/>
      <c r="W88" s="150"/>
      <c r="AE88" s="82"/>
      <c r="AH88" s="184"/>
      <c r="AI88" s="184"/>
      <c r="AJ88" s="157"/>
    </row>
    <row r="89" spans="1:36" ht="11.25" customHeight="1" x14ac:dyDescent="0.2">
      <c r="A89" s="142"/>
      <c r="B89" s="1680" t="s">
        <v>198</v>
      </c>
      <c r="C89" s="1680"/>
      <c r="D89" s="1680"/>
      <c r="E89" s="1680"/>
      <c r="F89" s="1680"/>
      <c r="G89" s="1680"/>
      <c r="H89" s="1680"/>
      <c r="I89" s="1680"/>
      <c r="J89" s="9"/>
      <c r="K89" s="12"/>
      <c r="L89" s="9"/>
      <c r="M89" s="9"/>
      <c r="N89" s="9"/>
      <c r="O89" s="9"/>
      <c r="P89" s="9"/>
      <c r="Q89" s="9"/>
      <c r="R89" s="9"/>
      <c r="S89" s="9"/>
      <c r="T89" s="9"/>
      <c r="U89" s="9"/>
      <c r="V89" s="137"/>
      <c r="W89" s="150"/>
      <c r="AE89" s="82"/>
      <c r="AH89" s="184"/>
      <c r="AI89" s="184"/>
      <c r="AJ89" s="157"/>
    </row>
    <row r="90" spans="1:36" ht="11.25" customHeight="1" x14ac:dyDescent="0.2">
      <c r="A90" s="142"/>
      <c r="B90" s="1680"/>
      <c r="C90" s="1680"/>
      <c r="D90" s="1680"/>
      <c r="E90" s="1680"/>
      <c r="F90" s="1680"/>
      <c r="G90" s="1680"/>
      <c r="H90" s="1680"/>
      <c r="I90" s="1680"/>
      <c r="J90" s="9"/>
      <c r="K90" s="12"/>
      <c r="L90" s="9"/>
      <c r="M90" s="9"/>
      <c r="N90" s="9"/>
      <c r="O90" s="9"/>
      <c r="P90" s="9"/>
      <c r="Q90" s="9"/>
      <c r="R90" s="9"/>
      <c r="S90" s="9"/>
      <c r="T90" s="9"/>
      <c r="U90" s="9"/>
      <c r="V90" s="137"/>
      <c r="W90" s="150"/>
      <c r="AE90" s="82"/>
      <c r="AH90" s="184"/>
      <c r="AI90" s="184"/>
      <c r="AJ90" s="157"/>
    </row>
    <row r="91" spans="1:36" ht="11.25" customHeight="1" x14ac:dyDescent="0.2">
      <c r="A91" s="142"/>
      <c r="B91" s="1680" t="s">
        <v>80</v>
      </c>
      <c r="C91" s="1680"/>
      <c r="D91" s="1680"/>
      <c r="E91" s="1680"/>
      <c r="F91" s="1680"/>
      <c r="G91" s="1680"/>
      <c r="H91" s="1680"/>
      <c r="I91" s="1680"/>
      <c r="J91" s="9"/>
      <c r="K91" s="12"/>
      <c r="L91" s="9"/>
      <c r="M91" s="9"/>
      <c r="N91" s="9"/>
      <c r="O91" s="9"/>
      <c r="P91" s="9"/>
      <c r="Q91" s="9"/>
      <c r="R91" s="9"/>
      <c r="S91" s="9"/>
      <c r="T91" s="9"/>
      <c r="U91" s="9"/>
      <c r="V91" s="137"/>
      <c r="W91" s="150"/>
      <c r="AE91" s="82"/>
      <c r="AH91" s="184"/>
      <c r="AI91" s="184"/>
      <c r="AJ91" s="157"/>
    </row>
    <row r="92" spans="1:36" ht="11.25" customHeight="1" x14ac:dyDescent="0.2">
      <c r="A92" s="142"/>
      <c r="B92" s="1680"/>
      <c r="C92" s="1680"/>
      <c r="D92" s="1680"/>
      <c r="E92" s="1680"/>
      <c r="F92" s="1680"/>
      <c r="G92" s="1680"/>
      <c r="H92" s="1680"/>
      <c r="I92" s="1680"/>
      <c r="J92" s="9"/>
      <c r="K92" s="12"/>
      <c r="L92" s="9"/>
      <c r="M92" s="9"/>
      <c r="N92" s="9"/>
      <c r="O92" s="9"/>
      <c r="P92" s="9"/>
      <c r="Q92" s="9"/>
      <c r="R92" s="9"/>
      <c r="S92" s="9"/>
      <c r="T92" s="9"/>
      <c r="U92" s="9"/>
      <c r="V92" s="137"/>
      <c r="W92" s="150"/>
      <c r="AE92" s="82"/>
      <c r="AH92" s="184"/>
      <c r="AI92" s="184"/>
      <c r="AJ92" s="157"/>
    </row>
    <row r="93" spans="1:36" ht="11.25" customHeight="1" x14ac:dyDescent="0.2">
      <c r="A93" s="142"/>
      <c r="B93" s="1680" t="s">
        <v>69</v>
      </c>
      <c r="C93" s="1680"/>
      <c r="D93" s="1680"/>
      <c r="E93" s="1680"/>
      <c r="F93" s="1680"/>
      <c r="G93" s="1680"/>
      <c r="H93" s="1680"/>
      <c r="I93" s="1680"/>
      <c r="J93" s="9"/>
      <c r="K93" s="12"/>
      <c r="L93" s="9"/>
      <c r="M93" s="9"/>
      <c r="N93" s="9"/>
      <c r="O93" s="9"/>
      <c r="P93" s="9"/>
      <c r="Q93" s="9"/>
      <c r="R93" s="9"/>
      <c r="S93" s="9"/>
      <c r="T93" s="9"/>
      <c r="U93" s="9"/>
      <c r="V93" s="137"/>
      <c r="W93" s="150"/>
      <c r="AE93" s="82"/>
      <c r="AH93" s="184"/>
      <c r="AI93" s="184"/>
      <c r="AJ93" s="157"/>
    </row>
    <row r="94" spans="1:36" ht="11.25" customHeight="1" x14ac:dyDescent="0.2">
      <c r="A94" s="142"/>
      <c r="B94" s="1680"/>
      <c r="C94" s="1680"/>
      <c r="D94" s="1680"/>
      <c r="E94" s="1680"/>
      <c r="F94" s="1680"/>
      <c r="G94" s="1680"/>
      <c r="H94" s="1680"/>
      <c r="I94" s="1680"/>
      <c r="J94" s="9"/>
      <c r="K94" s="12"/>
      <c r="L94" s="9"/>
      <c r="M94" s="9"/>
      <c r="N94" s="9"/>
      <c r="O94" s="9"/>
      <c r="P94" s="9"/>
      <c r="Q94" s="9"/>
      <c r="R94" s="9"/>
      <c r="S94" s="9"/>
      <c r="T94" s="9"/>
      <c r="U94" s="9"/>
      <c r="V94" s="137"/>
      <c r="W94" s="150"/>
      <c r="AE94" s="82"/>
      <c r="AH94" s="184"/>
      <c r="AI94" s="184"/>
      <c r="AJ94" s="157"/>
    </row>
    <row r="95" spans="1:36" ht="11.25" customHeight="1" x14ac:dyDescent="0.2">
      <c r="A95" s="142"/>
      <c r="B95" s="1680" t="s">
        <v>24</v>
      </c>
      <c r="C95" s="1680"/>
      <c r="D95" s="1680"/>
      <c r="E95" s="1680"/>
      <c r="F95" s="1680"/>
      <c r="G95" s="1680"/>
      <c r="H95" s="1680"/>
      <c r="I95" s="1680"/>
      <c r="J95" s="9"/>
      <c r="K95" s="12"/>
      <c r="L95" s="9"/>
      <c r="M95" s="9"/>
      <c r="N95" s="9"/>
      <c r="O95" s="9"/>
      <c r="P95" s="9"/>
      <c r="Q95" s="9"/>
      <c r="R95" s="9"/>
      <c r="S95" s="9"/>
      <c r="T95" s="9"/>
      <c r="U95" s="9"/>
      <c r="V95" s="137"/>
      <c r="W95" s="150"/>
      <c r="AE95" s="82"/>
      <c r="AH95" s="184"/>
      <c r="AI95" s="184"/>
      <c r="AJ95" s="157"/>
    </row>
    <row r="96" spans="1:36" ht="11.25" customHeight="1" x14ac:dyDescent="0.2">
      <c r="A96" s="142"/>
      <c r="B96" s="1680"/>
      <c r="C96" s="1680"/>
      <c r="D96" s="1680"/>
      <c r="E96" s="1680"/>
      <c r="F96" s="1680"/>
      <c r="G96" s="1680"/>
      <c r="H96" s="1680"/>
      <c r="I96" s="1680"/>
      <c r="J96" s="9"/>
      <c r="K96" s="12"/>
      <c r="L96" s="9"/>
      <c r="M96" s="9"/>
      <c r="N96" s="9"/>
      <c r="O96" s="9"/>
      <c r="P96" s="9"/>
      <c r="Q96" s="9"/>
      <c r="R96" s="9"/>
      <c r="S96" s="9"/>
      <c r="T96" s="9"/>
      <c r="U96" s="9"/>
      <c r="V96" s="137"/>
      <c r="W96" s="150"/>
      <c r="AE96" s="82"/>
      <c r="AH96" s="184"/>
      <c r="AI96" s="184"/>
      <c r="AJ96" s="157"/>
    </row>
    <row r="97" spans="1:36" ht="11.25" customHeight="1" x14ac:dyDescent="0.2">
      <c r="A97" s="142"/>
      <c r="B97" s="1680" t="s">
        <v>22</v>
      </c>
      <c r="C97" s="1680"/>
      <c r="D97" s="1680"/>
      <c r="E97" s="1680"/>
      <c r="F97" s="1680"/>
      <c r="G97" s="1680"/>
      <c r="H97" s="1680"/>
      <c r="I97" s="1680"/>
      <c r="J97" s="9"/>
      <c r="K97" s="12"/>
      <c r="L97" s="9"/>
      <c r="M97" s="9"/>
      <c r="N97" s="9"/>
      <c r="O97" s="9"/>
      <c r="P97" s="9"/>
      <c r="Q97" s="9"/>
      <c r="R97" s="9"/>
      <c r="S97" s="9"/>
      <c r="T97" s="9"/>
      <c r="U97" s="9"/>
      <c r="V97" s="137"/>
      <c r="W97" s="150"/>
      <c r="AE97" s="82"/>
      <c r="AH97" s="184"/>
      <c r="AI97" s="184"/>
      <c r="AJ97" s="157"/>
    </row>
    <row r="98" spans="1:36" ht="11.25" customHeight="1" x14ac:dyDescent="0.2">
      <c r="A98" s="142"/>
      <c r="B98" s="1680"/>
      <c r="C98" s="1680"/>
      <c r="D98" s="1680"/>
      <c r="E98" s="1680"/>
      <c r="F98" s="1680"/>
      <c r="G98" s="1680"/>
      <c r="H98" s="1680"/>
      <c r="I98" s="1680"/>
      <c r="J98" s="9"/>
      <c r="K98" s="12"/>
      <c r="L98" s="9"/>
      <c r="M98" s="9"/>
      <c r="N98" s="9"/>
      <c r="O98" s="9"/>
      <c r="P98" s="9"/>
      <c r="Q98" s="9"/>
      <c r="R98" s="9"/>
      <c r="S98" s="9"/>
      <c r="T98" s="9"/>
      <c r="U98" s="9"/>
      <c r="V98" s="137"/>
      <c r="W98" s="150"/>
      <c r="AE98" s="82"/>
      <c r="AH98" s="184"/>
      <c r="AI98" s="184"/>
      <c r="AJ98" s="157"/>
    </row>
    <row r="99" spans="1:36" ht="11.25" customHeight="1" x14ac:dyDescent="0.2">
      <c r="A99" s="142"/>
      <c r="B99" s="1680" t="s">
        <v>25</v>
      </c>
      <c r="C99" s="1680"/>
      <c r="D99" s="1680"/>
      <c r="E99" s="1680"/>
      <c r="F99" s="1680"/>
      <c r="G99" s="1680"/>
      <c r="H99" s="1680"/>
      <c r="I99" s="1680"/>
      <c r="J99" s="9"/>
      <c r="K99" s="12"/>
      <c r="L99" s="9"/>
      <c r="M99" s="9"/>
      <c r="N99" s="9"/>
      <c r="O99" s="9"/>
      <c r="P99" s="9"/>
      <c r="Q99" s="9"/>
      <c r="R99" s="9"/>
      <c r="S99" s="9"/>
      <c r="T99" s="9"/>
      <c r="U99" s="9"/>
      <c r="V99" s="137"/>
      <c r="W99" s="150"/>
      <c r="AE99" s="82"/>
      <c r="AH99" s="184"/>
      <c r="AI99" s="184"/>
      <c r="AJ99" s="157"/>
    </row>
    <row r="100" spans="1:36" ht="11.25" customHeight="1" x14ac:dyDescent="0.2">
      <c r="A100" s="142"/>
      <c r="B100" s="1680"/>
      <c r="C100" s="1680"/>
      <c r="D100" s="1680"/>
      <c r="E100" s="1680"/>
      <c r="F100" s="1680"/>
      <c r="G100" s="1680"/>
      <c r="H100" s="1680"/>
      <c r="I100" s="1680"/>
      <c r="J100" s="9"/>
      <c r="K100" s="12"/>
      <c r="L100" s="9"/>
      <c r="M100" s="9"/>
      <c r="N100" s="9"/>
      <c r="O100" s="9"/>
      <c r="P100" s="9"/>
      <c r="Q100" s="9"/>
      <c r="R100" s="9"/>
      <c r="S100" s="9"/>
      <c r="T100" s="9"/>
      <c r="U100" s="9"/>
      <c r="V100" s="137"/>
      <c r="W100" s="150"/>
      <c r="AE100" s="82"/>
      <c r="AH100" s="184"/>
      <c r="AI100" s="184"/>
      <c r="AJ100" s="157"/>
    </row>
    <row r="101" spans="1:36" ht="11.25" customHeight="1" x14ac:dyDescent="0.2">
      <c r="A101" s="142"/>
      <c r="B101" s="1680" t="s">
        <v>18</v>
      </c>
      <c r="C101" s="1680"/>
      <c r="D101" s="1680"/>
      <c r="E101" s="1680"/>
      <c r="F101" s="1680"/>
      <c r="G101" s="1680"/>
      <c r="H101" s="1680"/>
      <c r="I101" s="1680"/>
      <c r="J101" s="9"/>
      <c r="K101" s="12"/>
      <c r="L101" s="9"/>
      <c r="M101" s="9"/>
      <c r="N101" s="9"/>
      <c r="O101" s="9"/>
      <c r="P101" s="9"/>
      <c r="Q101" s="9"/>
      <c r="R101" s="9"/>
      <c r="S101" s="9"/>
      <c r="T101" s="9"/>
      <c r="U101" s="9"/>
      <c r="V101" s="137"/>
      <c r="W101" s="150"/>
      <c r="AE101" s="82"/>
      <c r="AH101" s="184"/>
      <c r="AI101" s="184"/>
      <c r="AJ101" s="157"/>
    </row>
    <row r="102" spans="1:36" ht="11.25" customHeight="1" x14ac:dyDescent="0.2">
      <c r="A102" s="142"/>
      <c r="B102" s="1680"/>
      <c r="C102" s="1680"/>
      <c r="D102" s="1680"/>
      <c r="E102" s="1680"/>
      <c r="F102" s="1680"/>
      <c r="G102" s="1680"/>
      <c r="H102" s="1680"/>
      <c r="I102" s="1680"/>
      <c r="J102" s="9"/>
      <c r="K102" s="12"/>
      <c r="L102" s="9"/>
      <c r="M102" s="9"/>
      <c r="N102" s="9"/>
      <c r="O102" s="9"/>
      <c r="P102" s="9"/>
      <c r="Q102" s="9"/>
      <c r="R102" s="9"/>
      <c r="S102" s="9"/>
      <c r="T102" s="9"/>
      <c r="U102" s="9"/>
      <c r="V102" s="137"/>
      <c r="W102" s="150"/>
      <c r="AE102" s="82"/>
      <c r="AH102" s="184"/>
      <c r="AI102" s="184"/>
      <c r="AJ102" s="157"/>
    </row>
    <row r="103" spans="1:36" ht="11.25" customHeight="1" x14ac:dyDescent="0.2">
      <c r="A103" s="142"/>
      <c r="B103" s="1680" t="s">
        <v>19</v>
      </c>
      <c r="C103" s="1680"/>
      <c r="D103" s="1680"/>
      <c r="E103" s="1680"/>
      <c r="F103" s="1680"/>
      <c r="G103" s="1680"/>
      <c r="H103" s="1680"/>
      <c r="I103" s="1680"/>
      <c r="J103" s="9"/>
      <c r="K103" s="12"/>
      <c r="L103" s="9"/>
      <c r="M103" s="9"/>
      <c r="N103" s="9"/>
      <c r="O103" s="9"/>
      <c r="P103" s="9"/>
      <c r="Q103" s="9"/>
      <c r="R103" s="9"/>
      <c r="S103" s="9"/>
      <c r="T103" s="9"/>
      <c r="U103" s="9"/>
      <c r="V103" s="137"/>
      <c r="W103" s="150"/>
      <c r="AE103" s="82"/>
      <c r="AH103" s="184"/>
      <c r="AI103" s="184"/>
      <c r="AJ103" s="157"/>
    </row>
    <row r="104" spans="1:36" ht="11.25" customHeight="1" x14ac:dyDescent="0.2">
      <c r="A104" s="142"/>
      <c r="B104" s="1680"/>
      <c r="C104" s="1680"/>
      <c r="D104" s="1680"/>
      <c r="E104" s="1680"/>
      <c r="F104" s="1680"/>
      <c r="G104" s="1680"/>
      <c r="H104" s="1680"/>
      <c r="I104" s="1680"/>
      <c r="J104" s="9"/>
      <c r="K104" s="12"/>
      <c r="L104" s="9"/>
      <c r="M104" s="9"/>
      <c r="N104" s="9"/>
      <c r="O104" s="9"/>
      <c r="P104" s="9"/>
      <c r="Q104" s="9"/>
      <c r="R104" s="9"/>
      <c r="S104" s="9"/>
      <c r="T104" s="9"/>
      <c r="U104" s="9"/>
      <c r="V104" s="137"/>
      <c r="W104" s="150"/>
      <c r="AE104" s="82"/>
      <c r="AH104" s="184"/>
      <c r="AI104" s="184"/>
      <c r="AJ104" s="157"/>
    </row>
    <row r="105" spans="1:36" ht="11.25" customHeight="1" x14ac:dyDescent="0.2">
      <c r="A105" s="142"/>
      <c r="B105" s="1680" t="s">
        <v>20</v>
      </c>
      <c r="C105" s="1680"/>
      <c r="D105" s="1680"/>
      <c r="E105" s="1680"/>
      <c r="F105" s="1680"/>
      <c r="G105" s="1680"/>
      <c r="H105" s="1680"/>
      <c r="I105" s="1680"/>
      <c r="J105" s="9"/>
      <c r="K105" s="12"/>
      <c r="L105" s="9"/>
      <c r="M105" s="9"/>
      <c r="N105" s="9"/>
      <c r="O105" s="9"/>
      <c r="P105" s="9"/>
      <c r="Q105" s="9"/>
      <c r="R105" s="9"/>
      <c r="S105" s="9"/>
      <c r="T105" s="9"/>
      <c r="U105" s="9"/>
      <c r="V105" s="137"/>
      <c r="W105" s="150"/>
      <c r="AE105" s="82"/>
      <c r="AH105" s="184"/>
      <c r="AI105" s="184"/>
      <c r="AJ105" s="157"/>
    </row>
    <row r="106" spans="1:36" ht="11.25" customHeight="1" x14ac:dyDescent="0.2">
      <c r="A106" s="142"/>
      <c r="B106" s="1680"/>
      <c r="C106" s="1680"/>
      <c r="D106" s="1680"/>
      <c r="E106" s="1680"/>
      <c r="F106" s="1680"/>
      <c r="G106" s="1680"/>
      <c r="H106" s="1680"/>
      <c r="I106" s="1680"/>
      <c r="J106" s="9"/>
      <c r="K106" s="12"/>
      <c r="L106" s="9"/>
      <c r="M106" s="9"/>
      <c r="N106" s="9"/>
      <c r="O106" s="9"/>
      <c r="P106" s="9"/>
      <c r="Q106" s="9"/>
      <c r="R106" s="9"/>
      <c r="S106" s="9"/>
      <c r="T106" s="9"/>
      <c r="U106" s="9"/>
      <c r="V106" s="137"/>
      <c r="W106" s="150"/>
      <c r="AE106" s="82"/>
      <c r="AH106" s="184"/>
      <c r="AI106" s="184"/>
      <c r="AJ106" s="157"/>
    </row>
    <row r="107" spans="1:36" ht="11.25" customHeight="1" x14ac:dyDescent="0.2">
      <c r="A107" s="142"/>
      <c r="B107" s="1680" t="s">
        <v>26</v>
      </c>
      <c r="C107" s="1680"/>
      <c r="D107" s="1680"/>
      <c r="E107" s="1680"/>
      <c r="F107" s="1680"/>
      <c r="G107" s="1680"/>
      <c r="H107" s="1680"/>
      <c r="I107" s="1680"/>
      <c r="J107" s="9"/>
      <c r="K107" s="12"/>
      <c r="L107" s="9"/>
      <c r="M107" s="9"/>
      <c r="N107" s="9"/>
      <c r="O107" s="9"/>
      <c r="P107" s="9"/>
      <c r="Q107" s="9"/>
      <c r="R107" s="9"/>
      <c r="S107" s="9"/>
      <c r="T107" s="9"/>
      <c r="U107" s="9"/>
      <c r="V107" s="137"/>
      <c r="W107" s="150"/>
      <c r="AE107" s="82"/>
      <c r="AH107" s="184"/>
      <c r="AI107" s="184"/>
      <c r="AJ107" s="157"/>
    </row>
    <row r="108" spans="1:36" ht="11.25" customHeight="1" x14ac:dyDescent="0.2">
      <c r="A108" s="142"/>
      <c r="B108" s="1680"/>
      <c r="C108" s="1680"/>
      <c r="D108" s="1680"/>
      <c r="E108" s="1680"/>
      <c r="F108" s="1680"/>
      <c r="G108" s="1680"/>
      <c r="H108" s="1680"/>
      <c r="I108" s="1680"/>
      <c r="J108" s="9"/>
      <c r="K108" s="12"/>
      <c r="L108" s="9"/>
      <c r="M108" s="9"/>
      <c r="N108" s="9"/>
      <c r="O108" s="9"/>
      <c r="P108" s="9"/>
      <c r="Q108" s="9"/>
      <c r="R108" s="9"/>
      <c r="S108" s="9"/>
      <c r="T108" s="9"/>
      <c r="U108" s="9"/>
      <c r="V108" s="137"/>
      <c r="W108" s="150"/>
      <c r="AE108" s="82"/>
      <c r="AH108" s="184"/>
      <c r="AI108" s="184"/>
      <c r="AJ108" s="157"/>
    </row>
    <row r="109" spans="1:36" ht="11.25" customHeight="1" x14ac:dyDescent="0.2">
      <c r="A109" s="142"/>
      <c r="B109" s="1680" t="s">
        <v>21</v>
      </c>
      <c r="C109" s="1680"/>
      <c r="D109" s="1680"/>
      <c r="E109" s="1680"/>
      <c r="F109" s="1680"/>
      <c r="G109" s="1680"/>
      <c r="H109" s="1680"/>
      <c r="I109" s="1680"/>
      <c r="J109" s="9"/>
      <c r="K109" s="12"/>
      <c r="L109" s="9"/>
      <c r="M109" s="9"/>
      <c r="N109" s="9"/>
      <c r="O109" s="9"/>
      <c r="P109" s="9"/>
      <c r="Q109" s="9"/>
      <c r="R109" s="9"/>
      <c r="S109" s="9"/>
      <c r="T109" s="9"/>
      <c r="U109" s="9"/>
      <c r="V109" s="137"/>
      <c r="W109" s="150"/>
      <c r="AE109" s="82"/>
      <c r="AH109" s="184"/>
      <c r="AI109" s="184"/>
      <c r="AJ109" s="157"/>
    </row>
    <row r="110" spans="1:36" ht="11.25" customHeight="1" x14ac:dyDescent="0.2">
      <c r="A110" s="142"/>
      <c r="B110" s="1680"/>
      <c r="C110" s="1680"/>
      <c r="D110" s="1680"/>
      <c r="E110" s="1680"/>
      <c r="F110" s="1680"/>
      <c r="G110" s="1680"/>
      <c r="H110" s="1680"/>
      <c r="I110" s="1680"/>
      <c r="J110" s="9"/>
      <c r="K110" s="12"/>
      <c r="L110" s="9"/>
      <c r="M110" s="9"/>
      <c r="N110" s="9"/>
      <c r="O110" s="9"/>
      <c r="P110" s="9"/>
      <c r="Q110" s="9"/>
      <c r="R110" s="9"/>
      <c r="S110" s="9"/>
      <c r="T110" s="9"/>
      <c r="U110" s="9"/>
      <c r="V110" s="137"/>
      <c r="W110" s="150"/>
      <c r="AE110" s="82"/>
      <c r="AH110" s="184"/>
      <c r="AI110" s="184"/>
      <c r="AJ110" s="157"/>
    </row>
    <row r="111" spans="1:36" ht="18.75" customHeight="1" x14ac:dyDescent="0.2">
      <c r="A111" s="142"/>
      <c r="B111" s="1680" t="s">
        <v>905</v>
      </c>
      <c r="C111" s="1680"/>
      <c r="D111" s="1680"/>
      <c r="E111" s="1680"/>
      <c r="F111" s="1680"/>
      <c r="G111" s="1680"/>
      <c r="H111" s="1680"/>
      <c r="I111" s="1680"/>
      <c r="J111" s="9"/>
      <c r="K111" s="12"/>
      <c r="L111" s="9"/>
      <c r="M111" s="9"/>
      <c r="N111" s="9"/>
      <c r="O111" s="9"/>
      <c r="P111" s="9"/>
      <c r="Q111" s="9"/>
      <c r="R111" s="9"/>
      <c r="S111" s="9"/>
      <c r="T111" s="9"/>
      <c r="U111" s="9"/>
      <c r="V111" s="137"/>
      <c r="W111" s="150"/>
      <c r="AE111" s="82"/>
      <c r="AH111" s="184"/>
      <c r="AI111" s="184"/>
      <c r="AJ111" s="157"/>
    </row>
    <row r="112" spans="1:36" ht="11.25" customHeight="1" x14ac:dyDescent="0.2">
      <c r="A112" s="142"/>
      <c r="B112" s="1680"/>
      <c r="C112" s="1680"/>
      <c r="D112" s="1680"/>
      <c r="E112" s="1680"/>
      <c r="F112" s="1680"/>
      <c r="G112" s="1680"/>
      <c r="H112" s="1680"/>
      <c r="I112" s="1680"/>
      <c r="J112" s="9"/>
      <c r="K112" s="12"/>
      <c r="L112" s="9"/>
      <c r="M112" s="9"/>
      <c r="N112" s="9"/>
      <c r="O112" s="9"/>
      <c r="P112" s="9"/>
      <c r="Q112" s="9"/>
      <c r="R112" s="9"/>
      <c r="S112" s="9"/>
      <c r="T112" s="9"/>
      <c r="U112" s="9"/>
      <c r="V112" s="137"/>
      <c r="W112" s="150"/>
      <c r="AE112" s="82"/>
      <c r="AH112" s="184"/>
      <c r="AI112" s="184"/>
      <c r="AJ112" s="157"/>
    </row>
    <row r="113" spans="1:36" ht="11.25" customHeight="1" x14ac:dyDescent="0.2">
      <c r="A113" s="142"/>
      <c r="B113" s="1680" t="s">
        <v>666</v>
      </c>
      <c r="C113" s="1680"/>
      <c r="D113" s="1680"/>
      <c r="E113" s="1680"/>
      <c r="F113" s="1680"/>
      <c r="G113" s="1680"/>
      <c r="H113" s="1680"/>
      <c r="I113" s="1680"/>
      <c r="J113" s="9"/>
      <c r="K113" s="12"/>
      <c r="L113" s="9"/>
      <c r="M113" s="9"/>
      <c r="N113" s="9"/>
      <c r="O113" s="9"/>
      <c r="P113" s="9"/>
      <c r="Q113" s="9"/>
      <c r="R113" s="9"/>
      <c r="S113" s="9"/>
      <c r="T113" s="9"/>
      <c r="U113" s="9"/>
      <c r="V113" s="137"/>
      <c r="W113" s="150"/>
      <c r="AE113" s="82"/>
      <c r="AH113" s="184"/>
      <c r="AI113" s="184"/>
      <c r="AJ113" s="157"/>
    </row>
    <row r="114" spans="1:36" ht="11.25" customHeight="1" x14ac:dyDescent="0.2">
      <c r="A114" s="142"/>
      <c r="B114" s="1680"/>
      <c r="C114" s="1680"/>
      <c r="D114" s="1680"/>
      <c r="E114" s="1680"/>
      <c r="F114" s="1680"/>
      <c r="G114" s="1680"/>
      <c r="H114" s="1680"/>
      <c r="I114" s="1680"/>
      <c r="J114" s="9"/>
      <c r="K114" s="12"/>
      <c r="L114" s="9"/>
      <c r="M114" s="9"/>
      <c r="N114" s="9"/>
      <c r="O114" s="9"/>
      <c r="P114" s="9"/>
      <c r="Q114" s="9"/>
      <c r="R114" s="9"/>
      <c r="S114" s="9"/>
      <c r="T114" s="9"/>
      <c r="U114" s="9"/>
      <c r="V114" s="137"/>
      <c r="W114" s="150"/>
      <c r="AE114" s="82"/>
      <c r="AH114" s="184"/>
      <c r="AI114" s="184"/>
      <c r="AJ114" s="157"/>
    </row>
    <row r="115" spans="1:36" ht="11.25" customHeight="1" x14ac:dyDescent="0.2">
      <c r="A115" s="142"/>
      <c r="B115" s="1680" t="s">
        <v>32</v>
      </c>
      <c r="C115" s="1680"/>
      <c r="D115" s="1680"/>
      <c r="E115" s="1680"/>
      <c r="F115" s="1680"/>
      <c r="G115" s="1680"/>
      <c r="H115" s="1680"/>
      <c r="I115" s="1680"/>
      <c r="J115" s="9"/>
      <c r="K115" s="12"/>
      <c r="L115" s="9"/>
      <c r="M115" s="9"/>
      <c r="N115" s="9"/>
      <c r="O115" s="9"/>
      <c r="P115" s="9"/>
      <c r="Q115" s="9"/>
      <c r="R115" s="9"/>
      <c r="S115" s="9"/>
      <c r="T115" s="9"/>
      <c r="U115" s="9"/>
      <c r="V115" s="137"/>
      <c r="W115" s="150"/>
      <c r="AE115" s="82"/>
      <c r="AH115" s="184"/>
      <c r="AI115" s="184"/>
      <c r="AJ115" s="157"/>
    </row>
    <row r="116" spans="1:36" ht="11.25" customHeight="1" x14ac:dyDescent="0.2">
      <c r="A116" s="142"/>
      <c r="B116" s="1680"/>
      <c r="C116" s="1680"/>
      <c r="D116" s="1680"/>
      <c r="E116" s="1680"/>
      <c r="F116" s="1680"/>
      <c r="G116" s="1680"/>
      <c r="H116" s="1680"/>
      <c r="I116" s="1680"/>
      <c r="J116" s="9"/>
      <c r="K116" s="12"/>
      <c r="L116" s="9"/>
      <c r="M116" s="9"/>
      <c r="N116" s="9"/>
      <c r="O116" s="9"/>
      <c r="P116" s="9"/>
      <c r="Q116" s="9"/>
      <c r="R116" s="9"/>
      <c r="S116" s="9"/>
      <c r="T116" s="9"/>
      <c r="U116" s="9"/>
      <c r="V116" s="137"/>
      <c r="W116" s="150"/>
      <c r="AE116" s="82"/>
      <c r="AH116" s="184"/>
      <c r="AI116" s="184"/>
      <c r="AJ116" s="157"/>
    </row>
    <row r="117" spans="1:36" ht="11.25" customHeight="1" x14ac:dyDescent="0.2">
      <c r="A117" s="142"/>
      <c r="B117" s="1680" t="s">
        <v>642</v>
      </c>
      <c r="C117" s="1680"/>
      <c r="D117" s="1680"/>
      <c r="E117" s="1680"/>
      <c r="F117" s="1680"/>
      <c r="G117" s="1680"/>
      <c r="H117" s="1680"/>
      <c r="I117" s="1680"/>
      <c r="J117" s="9"/>
      <c r="K117" s="12"/>
      <c r="L117" s="9"/>
      <c r="M117" s="9"/>
      <c r="N117" s="9"/>
      <c r="O117" s="9"/>
      <c r="P117" s="9"/>
      <c r="Q117" s="9"/>
      <c r="R117" s="9"/>
      <c r="S117" s="9"/>
      <c r="T117" s="9"/>
      <c r="U117" s="9"/>
      <c r="V117" s="137"/>
      <c r="W117" s="150"/>
      <c r="AE117" s="82"/>
      <c r="AH117" s="184"/>
      <c r="AI117" s="184"/>
      <c r="AJ117" s="157"/>
    </row>
    <row r="118" spans="1:36" ht="11.25" customHeight="1" x14ac:dyDescent="0.2">
      <c r="A118" s="142"/>
      <c r="B118" s="1680"/>
      <c r="C118" s="1680"/>
      <c r="D118" s="1680"/>
      <c r="E118" s="1680"/>
      <c r="F118" s="1680"/>
      <c r="G118" s="1680"/>
      <c r="H118" s="1680"/>
      <c r="I118" s="1680"/>
      <c r="J118" s="9"/>
      <c r="K118" s="12"/>
      <c r="L118" s="9"/>
      <c r="M118" s="9"/>
      <c r="N118" s="9"/>
      <c r="O118" s="9"/>
      <c r="P118" s="9"/>
      <c r="Q118" s="9"/>
      <c r="R118" s="9"/>
      <c r="S118" s="9"/>
      <c r="T118" s="9"/>
      <c r="U118" s="9"/>
      <c r="V118" s="137"/>
      <c r="W118" s="150"/>
      <c r="AE118" s="82"/>
      <c r="AH118" s="184"/>
      <c r="AI118" s="184"/>
      <c r="AJ118" s="157"/>
    </row>
    <row r="119" spans="1:36" ht="11.25" customHeight="1" x14ac:dyDescent="0.2">
      <c r="A119" s="142"/>
      <c r="B119" s="1680" t="s">
        <v>795</v>
      </c>
      <c r="C119" s="1680"/>
      <c r="D119" s="1680"/>
      <c r="E119" s="1680"/>
      <c r="F119" s="1680"/>
      <c r="G119" s="1680"/>
      <c r="H119" s="1680"/>
      <c r="I119" s="1680"/>
      <c r="J119" s="9"/>
      <c r="K119" s="12"/>
      <c r="L119" s="9"/>
      <c r="M119" s="9"/>
      <c r="N119" s="9"/>
      <c r="O119" s="9"/>
      <c r="P119" s="9"/>
      <c r="Q119" s="9"/>
      <c r="R119" s="9"/>
      <c r="S119" s="9"/>
      <c r="T119" s="9"/>
      <c r="U119" s="9"/>
      <c r="V119" s="137"/>
      <c r="W119" s="150"/>
      <c r="AE119" s="82"/>
      <c r="AH119" s="184"/>
      <c r="AI119" s="184"/>
      <c r="AJ119" s="157"/>
    </row>
    <row r="120" spans="1:36" ht="11.25" customHeight="1" x14ac:dyDescent="0.2">
      <c r="A120" s="142"/>
      <c r="B120" s="1680"/>
      <c r="C120" s="1680"/>
      <c r="D120" s="1680"/>
      <c r="E120" s="1680"/>
      <c r="F120" s="1680"/>
      <c r="G120" s="1680"/>
      <c r="H120" s="1680"/>
      <c r="I120" s="1680"/>
      <c r="J120" s="9"/>
      <c r="K120" s="12"/>
      <c r="L120" s="9"/>
      <c r="M120" s="9"/>
      <c r="N120" s="9"/>
      <c r="O120" s="9"/>
      <c r="P120" s="9"/>
      <c r="Q120" s="9"/>
      <c r="R120" s="9"/>
      <c r="S120" s="9"/>
      <c r="T120" s="9"/>
      <c r="U120" s="9"/>
      <c r="V120" s="137"/>
      <c r="W120" s="150"/>
      <c r="AE120" s="82"/>
      <c r="AH120" s="184"/>
      <c r="AI120" s="184"/>
      <c r="AJ120" s="157"/>
    </row>
    <row r="121" spans="1:36" ht="11.25" customHeight="1" x14ac:dyDescent="0.2">
      <c r="A121" s="142"/>
      <c r="B121" s="1680" t="s">
        <v>672</v>
      </c>
      <c r="C121" s="1680"/>
      <c r="D121" s="1680"/>
      <c r="E121" s="1680"/>
      <c r="F121" s="1680"/>
      <c r="G121" s="1680"/>
      <c r="H121" s="1680"/>
      <c r="I121" s="1680"/>
      <c r="J121" s="9"/>
      <c r="K121" s="12"/>
      <c r="L121" s="9"/>
      <c r="M121" s="9"/>
      <c r="N121" s="9"/>
      <c r="O121" s="9"/>
      <c r="P121" s="9"/>
      <c r="Q121" s="9"/>
      <c r="R121" s="9"/>
      <c r="S121" s="9"/>
      <c r="T121" s="9"/>
      <c r="U121" s="9"/>
      <c r="V121" s="137"/>
      <c r="W121" s="150"/>
      <c r="AE121" s="82"/>
      <c r="AH121" s="184"/>
      <c r="AI121" s="184"/>
      <c r="AJ121" s="157"/>
    </row>
    <row r="122" spans="1:36" ht="11.25" customHeight="1" x14ac:dyDescent="0.2">
      <c r="A122" s="142"/>
      <c r="B122" s="1680"/>
      <c r="C122" s="1680"/>
      <c r="D122" s="1680"/>
      <c r="E122" s="1680"/>
      <c r="F122" s="1680"/>
      <c r="G122" s="1680"/>
      <c r="H122" s="1680"/>
      <c r="I122" s="1680"/>
      <c r="J122" s="9"/>
      <c r="K122" s="12"/>
      <c r="L122" s="9"/>
      <c r="M122" s="9"/>
      <c r="N122" s="9"/>
      <c r="O122" s="9"/>
      <c r="P122" s="9"/>
      <c r="Q122" s="9"/>
      <c r="R122" s="9"/>
      <c r="S122" s="9"/>
      <c r="T122" s="9"/>
      <c r="U122" s="9"/>
      <c r="V122" s="137"/>
      <c r="W122" s="150"/>
      <c r="AE122" s="82"/>
      <c r="AH122" s="184"/>
      <c r="AI122" s="184"/>
      <c r="AJ122" s="157"/>
    </row>
    <row r="123" spans="1:36" ht="11.25" customHeight="1" x14ac:dyDescent="0.2">
      <c r="A123" s="142"/>
      <c r="B123" s="1680" t="s">
        <v>906</v>
      </c>
      <c r="C123" s="1680"/>
      <c r="D123" s="1680"/>
      <c r="E123" s="1680"/>
      <c r="F123" s="1680"/>
      <c r="G123" s="1680"/>
      <c r="H123" s="1680"/>
      <c r="I123" s="1680"/>
      <c r="J123" s="9"/>
      <c r="K123" s="12"/>
      <c r="L123" s="9"/>
      <c r="M123" s="9"/>
      <c r="N123" s="9"/>
      <c r="O123" s="9"/>
      <c r="P123" s="9"/>
      <c r="Q123" s="9"/>
      <c r="R123" s="9"/>
      <c r="S123" s="9"/>
      <c r="T123" s="9"/>
      <c r="U123" s="9"/>
      <c r="V123" s="137"/>
      <c r="W123" s="150"/>
      <c r="AE123" s="82"/>
      <c r="AH123" s="184"/>
      <c r="AI123" s="184"/>
      <c r="AJ123" s="157"/>
    </row>
    <row r="124" spans="1:36" ht="11.25" customHeight="1" x14ac:dyDescent="0.2">
      <c r="A124" s="142"/>
      <c r="B124" s="1680"/>
      <c r="C124" s="1680"/>
      <c r="D124" s="1680"/>
      <c r="E124" s="1680"/>
      <c r="F124" s="1680"/>
      <c r="G124" s="1680"/>
      <c r="H124" s="1680"/>
      <c r="I124" s="1680"/>
      <c r="J124" s="9"/>
      <c r="K124" s="12"/>
      <c r="L124" s="9"/>
      <c r="M124" s="9"/>
      <c r="N124" s="9"/>
      <c r="O124" s="9"/>
      <c r="P124" s="9"/>
      <c r="Q124" s="9"/>
      <c r="R124" s="9"/>
      <c r="S124" s="9"/>
      <c r="T124" s="9"/>
      <c r="U124" s="9"/>
      <c r="V124" s="137"/>
      <c r="W124" s="150"/>
      <c r="AE124" s="82"/>
      <c r="AH124" s="184"/>
      <c r="AI124" s="184"/>
      <c r="AJ124" s="157"/>
    </row>
    <row r="125" spans="1:36" ht="11.25" customHeight="1" x14ac:dyDescent="0.2">
      <c r="A125" s="142"/>
      <c r="B125" s="1680" t="s">
        <v>907</v>
      </c>
      <c r="C125" s="1680"/>
      <c r="D125" s="1680"/>
      <c r="E125" s="1680"/>
      <c r="F125" s="1680"/>
      <c r="G125" s="1680"/>
      <c r="H125" s="1680"/>
      <c r="I125" s="1680"/>
      <c r="J125" s="9"/>
      <c r="K125" s="12"/>
      <c r="L125" s="9"/>
      <c r="M125" s="9"/>
      <c r="N125" s="9"/>
      <c r="O125" s="9"/>
      <c r="P125" s="9"/>
      <c r="Q125" s="9"/>
      <c r="R125" s="9"/>
      <c r="S125" s="9"/>
      <c r="T125" s="9"/>
      <c r="U125" s="9"/>
      <c r="V125" s="137"/>
      <c r="W125" s="150"/>
      <c r="AE125" s="82"/>
      <c r="AH125" s="184"/>
      <c r="AI125" s="184"/>
      <c r="AJ125" s="157"/>
    </row>
    <row r="126" spans="1:36" ht="11.25" customHeight="1" x14ac:dyDescent="0.2">
      <c r="A126" s="142"/>
      <c r="B126" s="1680"/>
      <c r="C126" s="1680"/>
      <c r="D126" s="1680"/>
      <c r="E126" s="1680"/>
      <c r="F126" s="1680"/>
      <c r="G126" s="1680"/>
      <c r="H126" s="1680"/>
      <c r="I126" s="1680"/>
      <c r="J126" s="9"/>
      <c r="K126" s="12"/>
      <c r="L126" s="9"/>
      <c r="M126" s="9"/>
      <c r="N126" s="9"/>
      <c r="O126" s="9"/>
      <c r="P126" s="9"/>
      <c r="Q126" s="9"/>
      <c r="R126" s="9"/>
      <c r="S126" s="9"/>
      <c r="T126" s="9"/>
      <c r="U126" s="9"/>
      <c r="V126" s="137"/>
      <c r="W126" s="150"/>
      <c r="AE126" s="82"/>
      <c r="AH126" s="184"/>
      <c r="AI126" s="184"/>
      <c r="AJ126" s="157"/>
    </row>
    <row r="127" spans="1:36" ht="11.25" customHeight="1" x14ac:dyDescent="0.2">
      <c r="A127" s="1273"/>
      <c r="B127" s="1274"/>
      <c r="C127" s="1275"/>
      <c r="D127" s="1275"/>
      <c r="E127" s="1275"/>
      <c r="F127" s="1275"/>
      <c r="G127" s="1275"/>
      <c r="H127" s="1275"/>
      <c r="I127" s="1275"/>
      <c r="J127" s="201"/>
      <c r="K127" s="1276"/>
      <c r="L127" s="201"/>
      <c r="M127" s="201"/>
      <c r="N127" s="201"/>
      <c r="O127" s="201"/>
      <c r="P127" s="201"/>
      <c r="Q127" s="201"/>
      <c r="R127" s="201"/>
      <c r="S127" s="201"/>
      <c r="T127" s="201"/>
      <c r="U127" s="201"/>
      <c r="V127" s="1277"/>
      <c r="W127" s="1271"/>
      <c r="X127" s="200"/>
      <c r="Y127" s="200"/>
      <c r="Z127" s="200"/>
      <c r="AA127" s="200"/>
      <c r="AB127" s="200"/>
      <c r="AC127" s="200"/>
      <c r="AD127" s="200"/>
      <c r="AE127" s="1278"/>
      <c r="AF127" s="200"/>
      <c r="AG127" s="200"/>
      <c r="AH127" s="201"/>
      <c r="AI127" s="201"/>
      <c r="AJ127" s="251"/>
    </row>
    <row r="240" spans="37:37" ht="11.25" customHeight="1" x14ac:dyDescent="0.2">
      <c r="AK240" s="74" t="b">
        <v>1</v>
      </c>
    </row>
  </sheetData>
  <mergeCells count="51">
    <mergeCell ref="B123:I124"/>
    <mergeCell ref="B125:I126"/>
    <mergeCell ref="B101:I102"/>
    <mergeCell ref="B103:I104"/>
    <mergeCell ref="B105:I106"/>
    <mergeCell ref="B107:I108"/>
    <mergeCell ref="B109:I110"/>
    <mergeCell ref="B115:I116"/>
    <mergeCell ref="B117:I118"/>
    <mergeCell ref="B119:I120"/>
    <mergeCell ref="B121:I122"/>
    <mergeCell ref="B73:I74"/>
    <mergeCell ref="B75:I76"/>
    <mergeCell ref="B77:I78"/>
    <mergeCell ref="B79:I80"/>
    <mergeCell ref="B81:I82"/>
    <mergeCell ref="B83:I84"/>
    <mergeCell ref="B85:I86"/>
    <mergeCell ref="B87:I88"/>
    <mergeCell ref="B89:I90"/>
    <mergeCell ref="B91:I92"/>
    <mergeCell ref="B93:I94"/>
    <mergeCell ref="B95:I96"/>
    <mergeCell ref="B97:I98"/>
    <mergeCell ref="B99:I100"/>
    <mergeCell ref="B113:I114"/>
    <mergeCell ref="B111:I112"/>
    <mergeCell ref="AR37:AR39"/>
    <mergeCell ref="Q63:T63"/>
    <mergeCell ref="AQ37:AQ39"/>
    <mergeCell ref="L7:R7"/>
    <mergeCell ref="B34:T34"/>
    <mergeCell ref="A36:U36"/>
    <mergeCell ref="Y8:Y9"/>
    <mergeCell ref="A70:U70"/>
    <mergeCell ref="A37:U37"/>
    <mergeCell ref="B7:B9"/>
    <mergeCell ref="T7:T9"/>
    <mergeCell ref="D7:H7"/>
    <mergeCell ref="K64:L64"/>
    <mergeCell ref="K63:L63"/>
    <mergeCell ref="M63:O63"/>
    <mergeCell ref="M64:T64"/>
    <mergeCell ref="I7:J9"/>
    <mergeCell ref="P8:Q8"/>
    <mergeCell ref="P9:Q9"/>
    <mergeCell ref="B5:T6"/>
    <mergeCell ref="AL37:AP37"/>
    <mergeCell ref="R8:R9"/>
    <mergeCell ref="Z8:Z9"/>
    <mergeCell ref="A69:U69"/>
  </mergeCells>
  <conditionalFormatting sqref="AA8:AE9">
    <cfRule type="cellIs" dxfId="938" priority="54" stopIfTrue="1" operator="equal">
      <formula>0</formula>
    </cfRule>
  </conditionalFormatting>
  <conditionalFormatting sqref="L11:P31 T10:T31">
    <cfRule type="cellIs" dxfId="937" priority="53" stopIfTrue="1" operator="equal">
      <formula>0</formula>
    </cfRule>
  </conditionalFormatting>
  <conditionalFormatting sqref="L11:P31 T10:T31 J10:J32">
    <cfRule type="containsErrors" dxfId="936" priority="52">
      <formula>ISERROR(J10)</formula>
    </cfRule>
  </conditionalFormatting>
  <conditionalFormatting sqref="T10:T31 B10:B31 D10:I31 L10:R31 J10:J32 Q11:Q32">
    <cfRule type="expression" dxfId="935" priority="51">
      <formula>$B10=$Y$4</formula>
    </cfRule>
  </conditionalFormatting>
  <conditionalFormatting sqref="A10:A31">
    <cfRule type="cellIs" dxfId="934" priority="47" operator="equal">
      <formula>0</formula>
    </cfRule>
  </conditionalFormatting>
  <conditionalFormatting sqref="D10:H31">
    <cfRule type="containsErrors" dxfId="933" priority="42">
      <formula>ISERROR(D10)</formula>
    </cfRule>
  </conditionalFormatting>
  <conditionalFormatting sqref="A1:A36 A38:A69 A128:A1048576">
    <cfRule type="containsErrors" dxfId="932" priority="43">
      <formula>ISERROR(A1)</formula>
    </cfRule>
  </conditionalFormatting>
  <conditionalFormatting sqref="L10:P10">
    <cfRule type="containsErrors" dxfId="931" priority="38">
      <formula>ISERROR(L10)</formula>
    </cfRule>
  </conditionalFormatting>
  <conditionalFormatting sqref="R10:R31">
    <cfRule type="containsErrors" dxfId="930" priority="56">
      <formula>ISERROR(R10)</formula>
    </cfRule>
  </conditionalFormatting>
  <conditionalFormatting sqref="A37">
    <cfRule type="containsErrors" dxfId="929" priority="34">
      <formula>ISERROR(A37)</formula>
    </cfRule>
  </conditionalFormatting>
  <conditionalFormatting sqref="A70">
    <cfRule type="containsErrors" dxfId="928" priority="33">
      <formula>ISERROR(A70)</formula>
    </cfRule>
  </conditionalFormatting>
  <conditionalFormatting sqref="L32:R32 D32:H32">
    <cfRule type="containsErrors" dxfId="927" priority="32">
      <formula>ISERROR(D32)</formula>
    </cfRule>
  </conditionalFormatting>
  <conditionalFormatting sqref="D8:H9 K8:P9">
    <cfRule type="containsErrors" dxfId="926" priority="1165">
      <formula>ISERROR(D8)</formula>
    </cfRule>
  </conditionalFormatting>
  <conditionalFormatting sqref="J32">
    <cfRule type="containsErrors" dxfId="925" priority="12">
      <formula>ISERROR(J32)</formula>
    </cfRule>
  </conditionalFormatting>
  <conditionalFormatting sqref="I10:I31">
    <cfRule type="containsErrors" dxfId="924" priority="8">
      <formula>ISERROR(I10)</formula>
    </cfRule>
  </conditionalFormatting>
  <conditionalFormatting sqref="I32">
    <cfRule type="containsErrors" dxfId="923" priority="6">
      <formula>ISERROR(I32)</formula>
    </cfRule>
  </conditionalFormatting>
  <conditionalFormatting sqref="J10:J32">
    <cfRule type="dataBar" priority="1164">
      <dataBar showValue="0">
        <cfvo type="min"/>
        <cfvo type="max"/>
        <color theme="9"/>
      </dataBar>
      <extLst>
        <ext xmlns:x14="http://schemas.microsoft.com/office/spreadsheetml/2009/9/main" uri="{B025F937-C7B1-47D3-B67F-A62EFF666E3E}">
          <x14:id>{21975C9B-5012-4964-A678-5BB1C5B81DBB}</x14:id>
        </ext>
      </extLst>
    </cfRule>
  </conditionalFormatting>
  <conditionalFormatting sqref="Q10:Q32">
    <cfRule type="containsErrors" dxfId="922" priority="4">
      <formula>ISERROR(Q10)</formula>
    </cfRule>
    <cfRule type="dataBar" priority="5">
      <dataBar showValue="0">
        <cfvo type="min"/>
        <cfvo type="max"/>
        <color theme="9"/>
      </dataBar>
      <extLst>
        <ext xmlns:x14="http://schemas.microsoft.com/office/spreadsheetml/2009/9/main" uri="{B025F937-C7B1-47D3-B67F-A62EFF666E3E}">
          <x14:id>{5EEF0AF8-19DC-49CB-BFD1-099AA14E2984}</x14:id>
        </ext>
      </extLst>
    </cfRule>
  </conditionalFormatting>
  <conditionalFormatting sqref="Z3:AD3">
    <cfRule type="containsErrors" dxfId="921" priority="3">
      <formula>ISERROR(Z3)</formula>
    </cfRule>
  </conditionalFormatting>
  <conditionalFormatting sqref="Z2:AD2">
    <cfRule type="containsErrors" dxfId="920" priority="2">
      <formula>ISERROR(Z2)</formula>
    </cfRule>
  </conditionalFormatting>
  <conditionalFormatting sqref="T32">
    <cfRule type="containsErrors" dxfId="919" priority="1">
      <formula>ISERROR(T32)</formula>
    </cfRule>
  </conditionalFormatting>
  <hyperlinks>
    <hyperlink ref="B77:H78" location="IDACI!A1" display="IDACI" xr:uid="{00000000-0004-0000-1000-000000000000}"/>
    <hyperlink ref="B109:I110" location="ROSGO!A1" display="Child Arrangement &amp; Special Guardianship Orders" xr:uid="{00000000-0004-0000-1000-000001000000}"/>
    <hyperlink ref="B81:G82" location="EH_Referrals!A1" display="Early Help Referrals" xr:uid="{00000000-0004-0000-1000-000002000000}"/>
    <hyperlink ref="B83:G84" location="EH_Assessments!A1" display="Early Help Assessments" xr:uid="{00000000-0004-0000-1000-000003000000}"/>
    <hyperlink ref="B85:G86" location="EH_Clients!A1" display="Early Help Clients" xr:uid="{00000000-0004-0000-1000-000004000000}"/>
    <hyperlink ref="B109:E110" location="ROSGO!A1" display="Child Arrangement &amp; Special Guardianship Orders" xr:uid="{00000000-0004-0000-1000-000005000000}"/>
    <hyperlink ref="B81:E82" location="EH_Referrals!A1" display="Early Help Referrals" xr:uid="{00000000-0004-0000-1000-000006000000}"/>
    <hyperlink ref="B83:E84" location="EH_Assessments!A1" display="Early Help Assessments" xr:uid="{00000000-0004-0000-1000-000007000000}"/>
    <hyperlink ref="B85:E86" location="EH_Clients!A1" display="Early Help Clients" xr:uid="{00000000-0004-0000-1000-000008000000}"/>
    <hyperlink ref="B79:D80" location="IDACI!A1" display="IDACI" xr:uid="{00000000-0004-0000-1000-000009000000}"/>
    <hyperlink ref="B117:D118" location="ROSGO!A1" display="Child Arrangement &amp; Special Guardianship Orders" xr:uid="{00000000-0004-0000-1000-00000A000000}"/>
    <hyperlink ref="B85:D86" location="EH_Referrals!A1" display="Early Help Referrals" xr:uid="{00000000-0004-0000-1000-00000B000000}"/>
    <hyperlink ref="B87:D88" location="EH_Assessments!A1" display="Early Help Assessments" xr:uid="{00000000-0004-0000-1000-00000C000000}"/>
    <hyperlink ref="B89:D90" location="EH_Clients!A1" display="Early Help Clients" xr:uid="{00000000-0004-0000-1000-00000D000000}"/>
    <hyperlink ref="B75:D76" location="Indicators!A1" display="Indicators" xr:uid="{00000000-0004-0000-1000-00000E000000}"/>
    <hyperlink ref="B83:D84" location="Contacts!A1" display="Contacts" xr:uid="{00000000-0004-0000-1000-00000F000000}"/>
    <hyperlink ref="B111:D112" location="New_Ceased_LAC!A1" display="New/ Ceased Looked After Children" xr:uid="{00000000-0004-0000-1000-000010000000}"/>
    <hyperlink ref="B113:D114" location="Care_Leavers!A1" display="Care Leavers" xr:uid="{00000000-0004-0000-1000-000011000000}"/>
    <hyperlink ref="B125:D126" location="EHE_CME!A1" display="Elective Home Education &amp; Children Missing Education" xr:uid="{00000000-0004-0000-1000-000012000000}"/>
    <hyperlink ref="B119:D120" location="NEET!A1" display="Participation (NEET)" xr:uid="{00000000-0004-0000-1000-000013000000}"/>
    <hyperlink ref="B121:D122" location="Offending!A1" display="Offending" xr:uid="{00000000-0004-0000-1000-000014000000}"/>
    <hyperlink ref="B123:D124" location="EHCP!A1" display="Education Health and Care Plans (EHCP)" xr:uid="{00000000-0004-0000-1000-000015000000}"/>
    <hyperlink ref="B77:B78" location="Coverage!A1" display="Participating LA's" xr:uid="{00000000-0004-0000-1000-000016000000}"/>
    <hyperlink ref="B79:B80" location="IDACI!A1" display="IDACI" xr:uid="{00000000-0004-0000-1000-000017000000}"/>
    <hyperlink ref="B115:B116" location="Adoption!A1" display="Adoption" xr:uid="{00000000-0004-0000-1000-000018000000}"/>
    <hyperlink ref="B109:B110" location="'Looked After Children'!A1" display="Looked After Children" xr:uid="{00000000-0004-0000-1000-000019000000}"/>
    <hyperlink ref="B107:B108" location="'Court Applications'!A1" display="Court Applications" xr:uid="{00000000-0004-0000-1000-00001A000000}"/>
    <hyperlink ref="B105:B106" location="'Child Protection Plans'!A1" display="Child Protection Plans" xr:uid="{00000000-0004-0000-1000-00001B000000}"/>
    <hyperlink ref="B103:B104" location="'Initial CP Conferences'!A1" display="Initial Child Protection Conferences" xr:uid="{00000000-0004-0000-1000-00001C000000}"/>
    <hyperlink ref="B101:B102" location="'Section 47 Enquiries'!A1" display="Section 47 Enquiries" xr:uid="{00000000-0004-0000-1000-00001D000000}"/>
    <hyperlink ref="B99:B100" location="'Children in Need'!A1" display="Children in Need" xr:uid="{00000000-0004-0000-1000-00001E000000}"/>
    <hyperlink ref="B97:B98" location="Assessments!A1" display="Assessments" xr:uid="{00000000-0004-0000-1000-00001F000000}"/>
    <hyperlink ref="B95:B96" location="'Re-referrals'!A1" display="Re-referrals" xr:uid="{00000000-0004-0000-1000-000020000000}"/>
    <hyperlink ref="B93:B94" location="Referral_Source!A1" display="Referral Source" xr:uid="{00000000-0004-0000-1000-000021000000}"/>
    <hyperlink ref="B91:B92" location="Referrals!A1" display="Referrals" xr:uid="{00000000-0004-0000-1000-000022000000}"/>
    <hyperlink ref="B81:B82" location="Population!A1" display="Population" xr:uid="{00000000-0004-0000-1000-000023000000}"/>
    <hyperlink ref="B79:C80" location="IDACI!A1" display="IDACI" xr:uid="{00000000-0004-0000-1000-000024000000}"/>
    <hyperlink ref="B117:B118" location="Adoption!A1" display="Adoption" xr:uid="{00000000-0004-0000-1000-000025000000}"/>
    <hyperlink ref="B117:C118" location="ROSGO!A1" display="Child Arrangement &amp; Special Guardianship Orders" xr:uid="{00000000-0004-0000-1000-000026000000}"/>
    <hyperlink ref="B85:B86" location="CAF_EHA!A1" display="CAF (EHA's)" xr:uid="{00000000-0004-0000-1000-000027000000}"/>
    <hyperlink ref="B89:B90" location="CAF_EHA!A1" display="CAF (EHA's)" xr:uid="{00000000-0004-0000-1000-000028000000}"/>
    <hyperlink ref="B87:B88" location="CAF_EHA!A1" display="CAF (EHA's)" xr:uid="{00000000-0004-0000-1000-000029000000}"/>
    <hyperlink ref="B85:C86" location="EH_Referrals!A1" display="Early Help Referrals" xr:uid="{00000000-0004-0000-1000-00002A000000}"/>
    <hyperlink ref="B87:C88" location="EH_Assessments!A1" display="Early Help Assessments" xr:uid="{00000000-0004-0000-1000-00002B000000}"/>
    <hyperlink ref="B89:C90" location="EH_Clients!A1" display="Early Help Clients" xr:uid="{00000000-0004-0000-1000-00002C000000}"/>
    <hyperlink ref="B75:B76" location="Coverage!A1" display="Participating LA's" xr:uid="{00000000-0004-0000-1000-00002D000000}"/>
    <hyperlink ref="B75:C76" location="Indicators!A1" display="Indicators" xr:uid="{00000000-0004-0000-1000-00002E000000}"/>
    <hyperlink ref="B83:B84" location="Population!A1" display="Population" xr:uid="{00000000-0004-0000-1000-00002F000000}"/>
    <hyperlink ref="B83:C84" location="Contacts!A1" display="Contacts" xr:uid="{00000000-0004-0000-1000-000030000000}"/>
    <hyperlink ref="B113:B114" location="'Looked After Children'!A1" display="Looked After Children" xr:uid="{00000000-0004-0000-1000-000031000000}"/>
    <hyperlink ref="B111:B112" location="'Court Applications'!A1" display="Court Applications" xr:uid="{00000000-0004-0000-1000-000032000000}"/>
    <hyperlink ref="B111:C112" location="New_Ceased_LAC!A1" display="New/ Ceased Looked After Children" xr:uid="{00000000-0004-0000-1000-000033000000}"/>
    <hyperlink ref="B113:C114" location="Care_Leavers!A1" display="Care Leavers" xr:uid="{00000000-0004-0000-1000-000034000000}"/>
    <hyperlink ref="B124:B126" location="Adoption!A1" display="Adoption" xr:uid="{00000000-0004-0000-1000-000035000000}"/>
    <hyperlink ref="B121:B122" location="'Looked After Children'!A1" display="Looked After Children" xr:uid="{00000000-0004-0000-1000-000036000000}"/>
    <hyperlink ref="B119:B120" location="'Court Applications'!A1" display="Court Applications" xr:uid="{00000000-0004-0000-1000-000037000000}"/>
    <hyperlink ref="B119:C120" location="NEET!A1" display="Participation (NEET)" xr:uid="{00000000-0004-0000-1000-000038000000}"/>
    <hyperlink ref="B121:C122" location="Offending!A1" display="Offending" xr:uid="{00000000-0004-0000-1000-000039000000}"/>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1" manualBreakCount="1">
    <brk id="37" max="18" man="1"/>
  </rowBreaks>
  <ignoredErrors>
    <ignoredError sqref="A10:A31 K9:O9 D9:H9"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25953" r:id="rId4" name="Check Box 1">
              <controlPr defaultSize="0" autoFill="0" autoLine="0" autoPict="0" altText="">
                <anchor>
                  <from>
                    <xdr:col>22</xdr:col>
                    <xdr:colOff>114300</xdr:colOff>
                    <xdr:row>38</xdr:row>
                    <xdr:rowOff>19050</xdr:rowOff>
                  </from>
                  <to>
                    <xdr:col>35</xdr:col>
                    <xdr:colOff>76200</xdr:colOff>
                    <xdr:row>40</xdr:row>
                    <xdr:rowOff>0</xdr:rowOff>
                  </to>
                </anchor>
              </controlPr>
            </control>
          </mc:Choice>
        </mc:AlternateContent>
        <mc:AlternateContent xmlns:mc="http://schemas.openxmlformats.org/markup-compatibility/2006">
          <mc:Choice Requires="x14">
            <control shapeId="125954" r:id="rId5" name="Check Box 2">
              <controlPr defaultSize="0" autoFill="0" autoLine="0" autoPict="0" altText="">
                <anchor>
                  <from>
                    <xdr:col>22</xdr:col>
                    <xdr:colOff>114300</xdr:colOff>
                    <xdr:row>39</xdr:row>
                    <xdr:rowOff>142875</xdr:rowOff>
                  </from>
                  <to>
                    <xdr:col>35</xdr:col>
                    <xdr:colOff>76200</xdr:colOff>
                    <xdr:row>41</xdr:row>
                    <xdr:rowOff>0</xdr:rowOff>
                  </to>
                </anchor>
              </controlPr>
            </control>
          </mc:Choice>
        </mc:AlternateContent>
        <mc:AlternateContent xmlns:mc="http://schemas.openxmlformats.org/markup-compatibility/2006">
          <mc:Choice Requires="x14">
            <control shapeId="125955" r:id="rId6" name="Check Box 3">
              <controlPr defaultSize="0" autoFill="0" autoLine="0" autoPict="0" altText="">
                <anchor>
                  <from>
                    <xdr:col>22</xdr:col>
                    <xdr:colOff>114300</xdr:colOff>
                    <xdr:row>40</xdr:row>
                    <xdr:rowOff>142875</xdr:rowOff>
                  </from>
                  <to>
                    <xdr:col>35</xdr:col>
                    <xdr:colOff>76200</xdr:colOff>
                    <xdr:row>42</xdr:row>
                    <xdr:rowOff>0</xdr:rowOff>
                  </to>
                </anchor>
              </controlPr>
            </control>
          </mc:Choice>
        </mc:AlternateContent>
        <mc:AlternateContent xmlns:mc="http://schemas.openxmlformats.org/markup-compatibility/2006">
          <mc:Choice Requires="x14">
            <control shapeId="125956" r:id="rId7" name="Check Box 4">
              <controlPr defaultSize="0" autoFill="0" autoLine="0" autoPict="0" altText="">
                <anchor>
                  <from>
                    <xdr:col>22</xdr:col>
                    <xdr:colOff>114300</xdr:colOff>
                    <xdr:row>41</xdr:row>
                    <xdr:rowOff>142875</xdr:rowOff>
                  </from>
                  <to>
                    <xdr:col>35</xdr:col>
                    <xdr:colOff>76200</xdr:colOff>
                    <xdr:row>43</xdr:row>
                    <xdr:rowOff>0</xdr:rowOff>
                  </to>
                </anchor>
              </controlPr>
            </control>
          </mc:Choice>
        </mc:AlternateContent>
        <mc:AlternateContent xmlns:mc="http://schemas.openxmlformats.org/markup-compatibility/2006">
          <mc:Choice Requires="x14">
            <control shapeId="125957" r:id="rId8" name="Check Box 5">
              <controlPr defaultSize="0" autoFill="0" autoLine="0" autoPict="0" altText="">
                <anchor>
                  <from>
                    <xdr:col>22</xdr:col>
                    <xdr:colOff>114300</xdr:colOff>
                    <xdr:row>42</xdr:row>
                    <xdr:rowOff>142875</xdr:rowOff>
                  </from>
                  <to>
                    <xdr:col>35</xdr:col>
                    <xdr:colOff>76200</xdr:colOff>
                    <xdr:row>44</xdr:row>
                    <xdr:rowOff>0</xdr:rowOff>
                  </to>
                </anchor>
              </controlPr>
            </control>
          </mc:Choice>
        </mc:AlternateContent>
        <mc:AlternateContent xmlns:mc="http://schemas.openxmlformats.org/markup-compatibility/2006">
          <mc:Choice Requires="x14">
            <control shapeId="125958" r:id="rId9" name="Check Box 6">
              <controlPr defaultSize="0" autoFill="0" autoLine="0" autoPict="0" altText="">
                <anchor>
                  <from>
                    <xdr:col>22</xdr:col>
                    <xdr:colOff>114300</xdr:colOff>
                    <xdr:row>43</xdr:row>
                    <xdr:rowOff>142875</xdr:rowOff>
                  </from>
                  <to>
                    <xdr:col>35</xdr:col>
                    <xdr:colOff>76200</xdr:colOff>
                    <xdr:row>45</xdr:row>
                    <xdr:rowOff>0</xdr:rowOff>
                  </to>
                </anchor>
              </controlPr>
            </control>
          </mc:Choice>
        </mc:AlternateContent>
        <mc:AlternateContent xmlns:mc="http://schemas.openxmlformats.org/markup-compatibility/2006">
          <mc:Choice Requires="x14">
            <control shapeId="125959" r:id="rId10" name="Check Box 7">
              <controlPr defaultSize="0" autoFill="0" autoLine="0" autoPict="0" altText="">
                <anchor>
                  <from>
                    <xdr:col>22</xdr:col>
                    <xdr:colOff>114300</xdr:colOff>
                    <xdr:row>44</xdr:row>
                    <xdr:rowOff>142875</xdr:rowOff>
                  </from>
                  <to>
                    <xdr:col>35</xdr:col>
                    <xdr:colOff>76200</xdr:colOff>
                    <xdr:row>46</xdr:row>
                    <xdr:rowOff>0</xdr:rowOff>
                  </to>
                </anchor>
              </controlPr>
            </control>
          </mc:Choice>
        </mc:AlternateContent>
        <mc:AlternateContent xmlns:mc="http://schemas.openxmlformats.org/markup-compatibility/2006">
          <mc:Choice Requires="x14">
            <control shapeId="125960" r:id="rId11" name="Check Box 8">
              <controlPr defaultSize="0" autoFill="0" autoLine="0" autoPict="0" altText="">
                <anchor>
                  <from>
                    <xdr:col>22</xdr:col>
                    <xdr:colOff>114300</xdr:colOff>
                    <xdr:row>45</xdr:row>
                    <xdr:rowOff>142875</xdr:rowOff>
                  </from>
                  <to>
                    <xdr:col>35</xdr:col>
                    <xdr:colOff>76200</xdr:colOff>
                    <xdr:row>47</xdr:row>
                    <xdr:rowOff>0</xdr:rowOff>
                  </to>
                </anchor>
              </controlPr>
            </control>
          </mc:Choice>
        </mc:AlternateContent>
        <mc:AlternateContent xmlns:mc="http://schemas.openxmlformats.org/markup-compatibility/2006">
          <mc:Choice Requires="x14">
            <control shapeId="125961" r:id="rId12" name="Check Box 9">
              <controlPr defaultSize="0" autoFill="0" autoLine="0" autoPict="0" altText="">
                <anchor>
                  <from>
                    <xdr:col>22</xdr:col>
                    <xdr:colOff>114300</xdr:colOff>
                    <xdr:row>46</xdr:row>
                    <xdr:rowOff>142875</xdr:rowOff>
                  </from>
                  <to>
                    <xdr:col>35</xdr:col>
                    <xdr:colOff>76200</xdr:colOff>
                    <xdr:row>48</xdr:row>
                    <xdr:rowOff>0</xdr:rowOff>
                  </to>
                </anchor>
              </controlPr>
            </control>
          </mc:Choice>
        </mc:AlternateContent>
        <mc:AlternateContent xmlns:mc="http://schemas.openxmlformats.org/markup-compatibility/2006">
          <mc:Choice Requires="x14">
            <control shapeId="125962" r:id="rId13" name="Check Box 10">
              <controlPr defaultSize="0" autoFill="0" autoLine="0" autoPict="0" altText="">
                <anchor>
                  <from>
                    <xdr:col>22</xdr:col>
                    <xdr:colOff>114300</xdr:colOff>
                    <xdr:row>47</xdr:row>
                    <xdr:rowOff>142875</xdr:rowOff>
                  </from>
                  <to>
                    <xdr:col>35</xdr:col>
                    <xdr:colOff>76200</xdr:colOff>
                    <xdr:row>49</xdr:row>
                    <xdr:rowOff>0</xdr:rowOff>
                  </to>
                </anchor>
              </controlPr>
            </control>
          </mc:Choice>
        </mc:AlternateContent>
        <mc:AlternateContent xmlns:mc="http://schemas.openxmlformats.org/markup-compatibility/2006">
          <mc:Choice Requires="x14">
            <control shapeId="125963" r:id="rId14" name="Check Box 11">
              <controlPr defaultSize="0" autoFill="0" autoLine="0" autoPict="0" altText="">
                <anchor>
                  <from>
                    <xdr:col>22</xdr:col>
                    <xdr:colOff>114300</xdr:colOff>
                    <xdr:row>48</xdr:row>
                    <xdr:rowOff>142875</xdr:rowOff>
                  </from>
                  <to>
                    <xdr:col>35</xdr:col>
                    <xdr:colOff>76200</xdr:colOff>
                    <xdr:row>50</xdr:row>
                    <xdr:rowOff>0</xdr:rowOff>
                  </to>
                </anchor>
              </controlPr>
            </control>
          </mc:Choice>
        </mc:AlternateContent>
        <mc:AlternateContent xmlns:mc="http://schemas.openxmlformats.org/markup-compatibility/2006">
          <mc:Choice Requires="x14">
            <control shapeId="125964" r:id="rId15" name="Check Box 12">
              <controlPr defaultSize="0" autoFill="0" autoLine="0" autoPict="0" altText="">
                <anchor>
                  <from>
                    <xdr:col>22</xdr:col>
                    <xdr:colOff>114300</xdr:colOff>
                    <xdr:row>49</xdr:row>
                    <xdr:rowOff>142875</xdr:rowOff>
                  </from>
                  <to>
                    <xdr:col>35</xdr:col>
                    <xdr:colOff>76200</xdr:colOff>
                    <xdr:row>51</xdr:row>
                    <xdr:rowOff>0</xdr:rowOff>
                  </to>
                </anchor>
              </controlPr>
            </control>
          </mc:Choice>
        </mc:AlternateContent>
        <mc:AlternateContent xmlns:mc="http://schemas.openxmlformats.org/markup-compatibility/2006">
          <mc:Choice Requires="x14">
            <control shapeId="125965" r:id="rId16" name="Check Box 13">
              <controlPr defaultSize="0" autoFill="0" autoLine="0" autoPict="0" altText="">
                <anchor>
                  <from>
                    <xdr:col>22</xdr:col>
                    <xdr:colOff>114300</xdr:colOff>
                    <xdr:row>50</xdr:row>
                    <xdr:rowOff>142875</xdr:rowOff>
                  </from>
                  <to>
                    <xdr:col>35</xdr:col>
                    <xdr:colOff>76200</xdr:colOff>
                    <xdr:row>52</xdr:row>
                    <xdr:rowOff>0</xdr:rowOff>
                  </to>
                </anchor>
              </controlPr>
            </control>
          </mc:Choice>
        </mc:AlternateContent>
        <mc:AlternateContent xmlns:mc="http://schemas.openxmlformats.org/markup-compatibility/2006">
          <mc:Choice Requires="x14">
            <control shapeId="125966" r:id="rId17" name="Check Box 14">
              <controlPr defaultSize="0" autoFill="0" autoLine="0" autoPict="0" altText="">
                <anchor>
                  <from>
                    <xdr:col>22</xdr:col>
                    <xdr:colOff>114300</xdr:colOff>
                    <xdr:row>51</xdr:row>
                    <xdr:rowOff>142875</xdr:rowOff>
                  </from>
                  <to>
                    <xdr:col>35</xdr:col>
                    <xdr:colOff>76200</xdr:colOff>
                    <xdr:row>53</xdr:row>
                    <xdr:rowOff>0</xdr:rowOff>
                  </to>
                </anchor>
              </controlPr>
            </control>
          </mc:Choice>
        </mc:AlternateContent>
        <mc:AlternateContent xmlns:mc="http://schemas.openxmlformats.org/markup-compatibility/2006">
          <mc:Choice Requires="x14">
            <control shapeId="125967" r:id="rId18" name="Check Box 15">
              <controlPr defaultSize="0" autoFill="0" autoLine="0" autoPict="0" altText="">
                <anchor>
                  <from>
                    <xdr:col>22</xdr:col>
                    <xdr:colOff>114300</xdr:colOff>
                    <xdr:row>52</xdr:row>
                    <xdr:rowOff>142875</xdr:rowOff>
                  </from>
                  <to>
                    <xdr:col>35</xdr:col>
                    <xdr:colOff>76200</xdr:colOff>
                    <xdr:row>54</xdr:row>
                    <xdr:rowOff>0</xdr:rowOff>
                  </to>
                </anchor>
              </controlPr>
            </control>
          </mc:Choice>
        </mc:AlternateContent>
        <mc:AlternateContent xmlns:mc="http://schemas.openxmlformats.org/markup-compatibility/2006">
          <mc:Choice Requires="x14">
            <control shapeId="125968" r:id="rId19" name="Check Box 16">
              <controlPr defaultSize="0" autoFill="0" autoLine="0" autoPict="0" altText="">
                <anchor>
                  <from>
                    <xdr:col>22</xdr:col>
                    <xdr:colOff>114300</xdr:colOff>
                    <xdr:row>53</xdr:row>
                    <xdr:rowOff>142875</xdr:rowOff>
                  </from>
                  <to>
                    <xdr:col>35</xdr:col>
                    <xdr:colOff>76200</xdr:colOff>
                    <xdr:row>55</xdr:row>
                    <xdr:rowOff>0</xdr:rowOff>
                  </to>
                </anchor>
              </controlPr>
            </control>
          </mc:Choice>
        </mc:AlternateContent>
        <mc:AlternateContent xmlns:mc="http://schemas.openxmlformats.org/markup-compatibility/2006">
          <mc:Choice Requires="x14">
            <control shapeId="125969" r:id="rId20" name="Check Box 17">
              <controlPr defaultSize="0" autoFill="0" autoLine="0" autoPict="0" altText="">
                <anchor>
                  <from>
                    <xdr:col>22</xdr:col>
                    <xdr:colOff>114300</xdr:colOff>
                    <xdr:row>56</xdr:row>
                    <xdr:rowOff>142875</xdr:rowOff>
                  </from>
                  <to>
                    <xdr:col>35</xdr:col>
                    <xdr:colOff>76200</xdr:colOff>
                    <xdr:row>58</xdr:row>
                    <xdr:rowOff>0</xdr:rowOff>
                  </to>
                </anchor>
              </controlPr>
            </control>
          </mc:Choice>
        </mc:AlternateContent>
        <mc:AlternateContent xmlns:mc="http://schemas.openxmlformats.org/markup-compatibility/2006">
          <mc:Choice Requires="x14">
            <control shapeId="125970" r:id="rId21" name="Check Box 18">
              <controlPr defaultSize="0" autoFill="0" autoLine="0" autoPict="0" altText="">
                <anchor>
                  <from>
                    <xdr:col>22</xdr:col>
                    <xdr:colOff>114300</xdr:colOff>
                    <xdr:row>57</xdr:row>
                    <xdr:rowOff>142875</xdr:rowOff>
                  </from>
                  <to>
                    <xdr:col>35</xdr:col>
                    <xdr:colOff>76200</xdr:colOff>
                    <xdr:row>59</xdr:row>
                    <xdr:rowOff>0</xdr:rowOff>
                  </to>
                </anchor>
              </controlPr>
            </control>
          </mc:Choice>
        </mc:AlternateContent>
        <mc:AlternateContent xmlns:mc="http://schemas.openxmlformats.org/markup-compatibility/2006">
          <mc:Choice Requires="x14">
            <control shapeId="125971" r:id="rId22" name="Check Box 19">
              <controlPr defaultSize="0" autoFill="0" autoLine="0" autoPict="0" altText="">
                <anchor>
                  <from>
                    <xdr:col>22</xdr:col>
                    <xdr:colOff>114300</xdr:colOff>
                    <xdr:row>58</xdr:row>
                    <xdr:rowOff>142875</xdr:rowOff>
                  </from>
                  <to>
                    <xdr:col>35</xdr:col>
                    <xdr:colOff>76200</xdr:colOff>
                    <xdr:row>60</xdr:row>
                    <xdr:rowOff>0</xdr:rowOff>
                  </to>
                </anchor>
              </controlPr>
            </control>
          </mc:Choice>
        </mc:AlternateContent>
        <mc:AlternateContent xmlns:mc="http://schemas.openxmlformats.org/markup-compatibility/2006">
          <mc:Choice Requires="x14">
            <control shapeId="125972" r:id="rId23" name="Check Box 20">
              <controlPr defaultSize="0" autoFill="0" autoLine="0" autoPict="0" altText="">
                <anchor>
                  <from>
                    <xdr:col>22</xdr:col>
                    <xdr:colOff>114300</xdr:colOff>
                    <xdr:row>59</xdr:row>
                    <xdr:rowOff>142875</xdr:rowOff>
                  </from>
                  <to>
                    <xdr:col>35</xdr:col>
                    <xdr:colOff>76200</xdr:colOff>
                    <xdr:row>61</xdr:row>
                    <xdr:rowOff>0</xdr:rowOff>
                  </to>
                </anchor>
              </controlPr>
            </control>
          </mc:Choice>
        </mc:AlternateContent>
        <mc:AlternateContent xmlns:mc="http://schemas.openxmlformats.org/markup-compatibility/2006">
          <mc:Choice Requires="x14">
            <control shapeId="125973" r:id="rId24" name="Check Box 21">
              <controlPr defaultSize="0" autoFill="0" autoLine="0" autoPict="0" altText="">
                <anchor>
                  <from>
                    <xdr:col>22</xdr:col>
                    <xdr:colOff>114300</xdr:colOff>
                    <xdr:row>60</xdr:row>
                    <xdr:rowOff>142875</xdr:rowOff>
                  </from>
                  <to>
                    <xdr:col>35</xdr:col>
                    <xdr:colOff>76200</xdr:colOff>
                    <xdr:row>62</xdr:row>
                    <xdr:rowOff>0</xdr:rowOff>
                  </to>
                </anchor>
              </controlPr>
            </control>
          </mc:Choice>
        </mc:AlternateContent>
        <mc:AlternateContent xmlns:mc="http://schemas.openxmlformats.org/markup-compatibility/2006">
          <mc:Choice Requires="x14">
            <control shapeId="125974" r:id="rId25" name="Check Box 22">
              <controlPr defaultSize="0" autoFill="0" autoLine="0" autoPict="0" altText="">
                <anchor>
                  <from>
                    <xdr:col>22</xdr:col>
                    <xdr:colOff>114300</xdr:colOff>
                    <xdr:row>54</xdr:row>
                    <xdr:rowOff>142875</xdr:rowOff>
                  </from>
                  <to>
                    <xdr:col>35</xdr:col>
                    <xdr:colOff>76200</xdr:colOff>
                    <xdr:row>56</xdr:row>
                    <xdr:rowOff>0</xdr:rowOff>
                  </to>
                </anchor>
              </controlPr>
            </control>
          </mc:Choice>
        </mc:AlternateContent>
        <mc:AlternateContent xmlns:mc="http://schemas.openxmlformats.org/markup-compatibility/2006">
          <mc:Choice Requires="x14">
            <control shapeId="125975" r:id="rId26" name="Check Box 23">
              <controlPr defaultSize="0" autoFill="0" autoLine="0" autoPict="0" altText="">
                <anchor>
                  <from>
                    <xdr:col>22</xdr:col>
                    <xdr:colOff>114300</xdr:colOff>
                    <xdr:row>55</xdr:row>
                    <xdr:rowOff>142875</xdr:rowOff>
                  </from>
                  <to>
                    <xdr:col>35</xdr:col>
                    <xdr:colOff>76200</xdr:colOff>
                    <xdr:row>57</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21975C9B-5012-4964-A678-5BB1C5B81DBB}">
            <x14:dataBar minLength="0" maxLength="100" gradient="0" negativeBarColorSameAsPositive="1" axisPosition="middle">
              <x14:cfvo type="autoMin"/>
              <x14:cfvo type="autoMax"/>
              <x14:axisColor theme="0" tint="-0.499984740745262"/>
            </x14:dataBar>
          </x14:cfRule>
          <xm:sqref>J10:J32</xm:sqref>
        </x14:conditionalFormatting>
        <x14:conditionalFormatting xmlns:xm="http://schemas.microsoft.com/office/excel/2006/main">
          <x14:cfRule type="dataBar" id="{5EEF0AF8-19DC-49CB-BFD1-099AA14E2984}">
            <x14:dataBar minLength="0" maxLength="100" gradient="0" negativeBarColorSameAsPositive="1">
              <x14:cfvo type="autoMin"/>
              <x14:cfvo type="autoMax"/>
              <x14:axisColor rgb="FF000000"/>
            </x14:dataBar>
          </x14:cfRule>
          <xm:sqref>Q10:Q32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0">
    <tabColor rgb="FFFFC000"/>
  </sheetPr>
  <dimension ref="A1:BN346"/>
  <sheetViews>
    <sheetView showRowColHeaders="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8" width="6.85546875" style="74" customWidth="1"/>
    <col min="9" max="9" width="7.42578125" style="74" customWidth="1"/>
    <col min="10" max="10" width="1.42578125" style="88" customWidth="1"/>
    <col min="11" max="15" width="6.85546875" style="74" customWidth="1"/>
    <col min="16" max="16" width="7.140625" style="74" customWidth="1"/>
    <col min="17" max="17" width="7.42578125" style="74" customWidth="1"/>
    <col min="18" max="18" width="1.42578125" style="74" customWidth="1"/>
    <col min="19" max="19" width="5.7109375" style="74" customWidth="1"/>
    <col min="20" max="20" width="8.28515625" style="74" customWidth="1"/>
    <col min="21" max="21" width="7.7109375" style="74" customWidth="1"/>
    <col min="22" max="22" width="2.140625" style="74" customWidth="1"/>
    <col min="23" max="23" width="6.42578125" style="80" customWidth="1"/>
    <col min="24" max="24" width="4.85546875" style="80" customWidth="1"/>
    <col min="25" max="25" width="17.85546875" style="81" hidden="1" customWidth="1"/>
    <col min="26" max="26" width="19.42578125" style="81" hidden="1" customWidth="1"/>
    <col min="27" max="27" width="19.85546875" style="81" hidden="1" customWidth="1"/>
    <col min="28" max="29" width="16.5703125" style="81" hidden="1" customWidth="1"/>
    <col min="30" max="31" width="8.5703125" style="81" hidden="1" customWidth="1"/>
    <col min="32" max="32" width="3.5703125" style="81" hidden="1" customWidth="1"/>
    <col min="33" max="33" width="17" style="81" hidden="1" customWidth="1"/>
    <col min="34" max="34" width="5.5703125" style="81" hidden="1" customWidth="1"/>
    <col min="35" max="35" width="7.140625" style="81" hidden="1" customWidth="1"/>
    <col min="36" max="36" width="5.5703125" style="74" hidden="1" customWidth="1"/>
    <col min="37" max="37" width="31.5703125" style="74" customWidth="1"/>
    <col min="38" max="41" width="9.42578125" style="74" hidden="1" customWidth="1"/>
    <col min="42" max="43" width="13.5703125" style="74" hidden="1" customWidth="1"/>
    <col min="44" max="55" width="9.140625" style="74" hidden="1" customWidth="1"/>
    <col min="56" max="16384" width="9.140625" style="74"/>
  </cols>
  <sheetData>
    <row r="1" spans="1:52" ht="18.75" customHeight="1" thickBot="1" x14ac:dyDescent="0.25">
      <c r="A1" s="112"/>
      <c r="B1" s="113"/>
      <c r="C1" s="113"/>
      <c r="D1" s="113"/>
      <c r="E1" s="113"/>
      <c r="F1" s="113"/>
      <c r="G1" s="113"/>
      <c r="H1" s="113"/>
      <c r="I1" s="113"/>
      <c r="J1" s="114"/>
      <c r="K1" s="113"/>
      <c r="L1" s="113"/>
      <c r="M1" s="113"/>
      <c r="N1" s="113"/>
      <c r="O1" s="113"/>
      <c r="P1" s="113"/>
      <c r="Q1" s="113"/>
      <c r="R1" s="113"/>
      <c r="S1" s="113"/>
      <c r="T1" s="113"/>
      <c r="U1" s="113"/>
      <c r="V1" s="115"/>
      <c r="W1" s="275"/>
      <c r="X1" s="155"/>
      <c r="Y1" s="180"/>
      <c r="Z1" s="939" t="str">
        <f>IF(Sheet1!$C$3="Annual"," the year ending 31st March"," the quarter")</f>
        <v xml:space="preserve"> the year ending 31st March</v>
      </c>
      <c r="AA1" s="180"/>
      <c r="AB1" s="180"/>
      <c r="AC1" s="180"/>
      <c r="AD1" s="180"/>
      <c r="AE1" s="180"/>
      <c r="AF1" s="180"/>
      <c r="AG1" s="180"/>
      <c r="AH1" s="180"/>
      <c r="AI1" s="180"/>
      <c r="AJ1" s="181"/>
      <c r="AK1" s="156"/>
    </row>
    <row r="2" spans="1:52" ht="18.75" customHeight="1" x14ac:dyDescent="0.2">
      <c r="A2" s="118"/>
      <c r="B2" s="128" t="s">
        <v>80</v>
      </c>
      <c r="C2" s="9"/>
      <c r="D2" s="9"/>
      <c r="E2" s="9"/>
      <c r="F2" s="9"/>
      <c r="G2" s="9"/>
      <c r="H2" s="9"/>
      <c r="I2" s="9"/>
      <c r="J2" s="12"/>
      <c r="K2" s="9"/>
      <c r="L2" s="9"/>
      <c r="M2" s="9"/>
      <c r="N2" s="9"/>
      <c r="O2" s="9"/>
      <c r="P2" s="9"/>
      <c r="Q2" s="9"/>
      <c r="R2" s="9"/>
      <c r="S2" s="9"/>
      <c r="T2" s="9"/>
      <c r="U2" s="9"/>
      <c r="V2" s="117"/>
      <c r="W2" s="161"/>
      <c r="X2" s="150"/>
      <c r="Y2" s="866">
        <f>IF(Sheet1!$C$3="Annual",1,4)</f>
        <v>1</v>
      </c>
      <c r="Z2" s="800" t="str">
        <f>IF(Sheet1!$C$3="Annual","",Sheet1!$D$28)</f>
        <v/>
      </c>
      <c r="AA2" s="801" t="str">
        <f>IF(Sheet1!$C$3="Annual","",Sheet1!$E$28)</f>
        <v/>
      </c>
      <c r="AB2" s="801" t="str">
        <f>IF(Sheet1!$C$3="Annual","",Sheet1!$F$28)</f>
        <v/>
      </c>
      <c r="AC2" s="801" t="str">
        <f>IF(Sheet1!$C$3="Annual","",Sheet1!$G$28)</f>
        <v/>
      </c>
      <c r="AD2" s="802" t="str">
        <f>IF(Sheet1!$C$3="Annual","",Sheet1!$H$28)</f>
        <v/>
      </c>
      <c r="AJ2" s="184"/>
      <c r="AK2" s="157"/>
    </row>
    <row r="3" spans="1:52" ht="18.600000000000001" customHeight="1" thickBot="1" x14ac:dyDescent="0.25">
      <c r="A3" s="124"/>
      <c r="B3" s="125"/>
      <c r="C3" s="125"/>
      <c r="D3" s="125"/>
      <c r="E3" s="125"/>
      <c r="F3" s="125"/>
      <c r="G3" s="125"/>
      <c r="H3" s="125"/>
      <c r="I3" s="267"/>
      <c r="J3" s="126"/>
      <c r="K3" s="125"/>
      <c r="L3" s="125"/>
      <c r="M3" s="125"/>
      <c r="N3" s="125"/>
      <c r="O3" s="125"/>
      <c r="P3" s="553"/>
      <c r="Q3" s="125"/>
      <c r="R3" s="125"/>
      <c r="S3" s="125"/>
      <c r="T3" s="267"/>
      <c r="U3" s="125"/>
      <c r="V3" s="127"/>
      <c r="W3" s="161"/>
      <c r="X3" s="150"/>
      <c r="Y3" s="803"/>
      <c r="Z3" s="803" t="str">
        <f>Sheet1!$D$27</f>
        <v>2015-16</v>
      </c>
      <c r="AA3" s="804" t="str">
        <f>Sheet1!$E$27</f>
        <v>2016-17</v>
      </c>
      <c r="AB3" s="804" t="str">
        <f>Sheet1!$F$27</f>
        <v>2017-18</v>
      </c>
      <c r="AC3" s="804" t="str">
        <f>Sheet1!$G$27</f>
        <v>2018-19</v>
      </c>
      <c r="AD3" s="805" t="str">
        <f>Sheet1!$H$27</f>
        <v>2019-20</v>
      </c>
      <c r="AJ3" s="184"/>
      <c r="AK3" s="157"/>
      <c r="AL3" s="74">
        <v>0</v>
      </c>
    </row>
    <row r="4" spans="1:52" ht="11.1" customHeight="1" x14ac:dyDescent="0.2">
      <c r="A4" s="112"/>
      <c r="B4" s="113"/>
      <c r="C4" s="113"/>
      <c r="D4" s="113"/>
      <c r="E4" s="113"/>
      <c r="F4" s="113"/>
      <c r="G4" s="113"/>
      <c r="H4" s="113"/>
      <c r="I4" s="113"/>
      <c r="J4" s="114"/>
      <c r="K4" s="113"/>
      <c r="L4" s="113"/>
      <c r="M4" s="113"/>
      <c r="N4" s="113"/>
      <c r="O4" s="113"/>
      <c r="P4" s="113"/>
      <c r="Q4" s="113"/>
      <c r="R4" s="113"/>
      <c r="S4" s="113"/>
      <c r="T4" s="113"/>
      <c r="U4" s="113"/>
      <c r="V4" s="115"/>
      <c r="W4" s="137"/>
      <c r="X4" s="150"/>
      <c r="Z4" s="186" t="str">
        <f>Home!$D$10</f>
        <v>(none)</v>
      </c>
      <c r="AA4" s="42" t="str">
        <f>"Selected LA- "&amp;Z4</f>
        <v>Selected LA- (none)</v>
      </c>
      <c r="AJ4" s="184"/>
      <c r="AK4" s="157"/>
    </row>
    <row r="5" spans="1:52" s="76" customFormat="1" ht="15" customHeight="1" x14ac:dyDescent="0.2">
      <c r="A5" s="119"/>
      <c r="B5" s="1808" t="str">
        <f>"Referrals received in"&amp;Z1</f>
        <v>Referrals received in the year ending 31st March</v>
      </c>
      <c r="C5" s="1642"/>
      <c r="D5" s="1642"/>
      <c r="E5" s="1642"/>
      <c r="F5" s="1642"/>
      <c r="G5" s="1642"/>
      <c r="H5" s="1642"/>
      <c r="I5" s="1642"/>
      <c r="J5" s="1642"/>
      <c r="K5" s="1642"/>
      <c r="L5" s="1642"/>
      <c r="M5" s="1642"/>
      <c r="N5" s="1642"/>
      <c r="O5" s="70"/>
      <c r="P5" s="70"/>
      <c r="Q5" s="70"/>
      <c r="R5" s="70"/>
      <c r="S5" s="70"/>
      <c r="T5" s="70"/>
      <c r="U5" s="70"/>
      <c r="V5" s="120"/>
      <c r="W5" s="138"/>
      <c r="X5" s="151"/>
      <c r="Y5" s="81"/>
      <c r="Z5" s="188"/>
      <c r="AA5" s="188"/>
      <c r="AB5" s="188"/>
      <c r="AC5" s="188"/>
      <c r="AD5" s="188"/>
      <c r="AE5" s="188"/>
      <c r="AF5" s="188"/>
      <c r="AG5" s="188"/>
      <c r="AH5" s="188"/>
      <c r="AI5" s="188"/>
      <c r="AJ5" s="188"/>
      <c r="AK5" s="158"/>
      <c r="AL5" s="188" t="str">
        <f>CONCATENATE($I$7,"in Number of "&amp;$B2)</f>
        <v>Average Annual Change in Number of Referrals</v>
      </c>
      <c r="AR5" s="74"/>
      <c r="AS5" s="74"/>
      <c r="AT5" s="74"/>
      <c r="AU5" s="74"/>
      <c r="AV5" s="74"/>
      <c r="AW5" s="74"/>
      <c r="AX5" s="74"/>
      <c r="AY5" s="74"/>
      <c r="AZ5" s="74"/>
    </row>
    <row r="6" spans="1:52" ht="13.5" customHeight="1" x14ac:dyDescent="0.2">
      <c r="A6" s="118"/>
      <c r="B6" s="1642"/>
      <c r="C6" s="1642"/>
      <c r="D6" s="1642"/>
      <c r="E6" s="1642"/>
      <c r="F6" s="1642"/>
      <c r="G6" s="1642"/>
      <c r="H6" s="1642"/>
      <c r="I6" s="1642"/>
      <c r="J6" s="1642"/>
      <c r="K6" s="1642"/>
      <c r="L6" s="1642"/>
      <c r="M6" s="1642"/>
      <c r="N6" s="1642"/>
      <c r="O6" s="70"/>
      <c r="P6" s="70"/>
      <c r="Q6" s="70"/>
      <c r="R6" s="70"/>
      <c r="S6" s="855"/>
      <c r="T6" s="70"/>
      <c r="U6" s="70"/>
      <c r="V6" s="117"/>
      <c r="W6" s="137"/>
      <c r="X6" s="150"/>
      <c r="Z6" s="190"/>
      <c r="AJ6" s="184"/>
      <c r="AK6" s="157"/>
    </row>
    <row r="7" spans="1:52" s="87" customFormat="1" ht="12.75" customHeight="1" x14ac:dyDescent="0.2">
      <c r="A7" s="121"/>
      <c r="B7" s="1789" t="s">
        <v>205</v>
      </c>
      <c r="C7" s="85"/>
      <c r="D7" s="1681" t="s">
        <v>88</v>
      </c>
      <c r="E7" s="1809"/>
      <c r="F7" s="1809"/>
      <c r="G7" s="1809"/>
      <c r="H7" s="1810"/>
      <c r="I7" s="1811" t="str">
        <f>"Average "&amp;Sheet1!C3&amp;" Change "</f>
        <v xml:space="preserve">Average Annual Change </v>
      </c>
      <c r="J7" s="96"/>
      <c r="K7" s="1747" t="s">
        <v>89</v>
      </c>
      <c r="L7" s="1748"/>
      <c r="M7" s="1748"/>
      <c r="N7" s="1748"/>
      <c r="O7" s="1748"/>
      <c r="P7" s="1749"/>
      <c r="Q7" s="1744" t="str">
        <f>IF(ISNA(O9),"SE Rank "&amp;O8,"SE Rank "&amp;O9)</f>
        <v>SE Rank 2019-20</v>
      </c>
      <c r="R7" s="70"/>
      <c r="S7" s="1817" t="str">
        <f>"Distance from Expected "&amp;Sheet1!$B$8</f>
        <v>Distance from Expected 2020</v>
      </c>
      <c r="T7" s="1818"/>
      <c r="U7" s="1819"/>
      <c r="V7" s="122"/>
      <c r="W7" s="139"/>
      <c r="X7" s="152"/>
      <c r="Y7" s="202"/>
      <c r="Z7" s="202"/>
      <c r="AB7" s="203" t="s">
        <v>79</v>
      </c>
      <c r="AC7" s="190"/>
      <c r="AD7" s="190"/>
      <c r="AE7" s="199"/>
      <c r="AF7" s="199"/>
      <c r="AG7" s="204" t="s">
        <v>94</v>
      </c>
      <c r="AH7" s="190"/>
      <c r="AI7" s="190"/>
      <c r="AJ7" s="202"/>
      <c r="AK7" s="160"/>
      <c r="AR7" s="74"/>
      <c r="AS7" s="74"/>
      <c r="AT7" s="74"/>
      <c r="AU7" s="74"/>
      <c r="AV7" s="74"/>
      <c r="AW7" s="74"/>
      <c r="AX7" s="74"/>
      <c r="AY7" s="74"/>
      <c r="AZ7" s="74"/>
    </row>
    <row r="8" spans="1:52" s="87" customFormat="1" ht="12.75" customHeight="1" x14ac:dyDescent="0.2">
      <c r="A8" s="292"/>
      <c r="B8" s="1789"/>
      <c r="C8" s="85"/>
      <c r="D8" s="789" t="str">
        <f>Sheet1!$D$27</f>
        <v>2015-16</v>
      </c>
      <c r="E8" s="790" t="str">
        <f>Sheet1!$E$27</f>
        <v>2016-17</v>
      </c>
      <c r="F8" s="790" t="str">
        <f>Sheet1!$F$27</f>
        <v>2017-18</v>
      </c>
      <c r="G8" s="790" t="str">
        <f>Sheet1!$G$27</f>
        <v>2018-19</v>
      </c>
      <c r="H8" s="791" t="str">
        <f>Sheet1!$H$27</f>
        <v>2019-20</v>
      </c>
      <c r="I8" s="1812"/>
      <c r="J8" s="96"/>
      <c r="K8" s="789" t="str">
        <f>Sheet1!$D$27</f>
        <v>2015-16</v>
      </c>
      <c r="L8" s="790" t="str">
        <f>Sheet1!$E$27</f>
        <v>2016-17</v>
      </c>
      <c r="M8" s="790" t="str">
        <f>Sheet1!$F$27</f>
        <v>2017-18</v>
      </c>
      <c r="N8" s="790" t="str">
        <f>Sheet1!$G$27</f>
        <v>2018-19</v>
      </c>
      <c r="O8" s="1741" t="str">
        <f>Sheet1!$H$27</f>
        <v>2019-20</v>
      </c>
      <c r="P8" s="1742"/>
      <c r="Q8" s="1816"/>
      <c r="R8" s="70"/>
      <c r="S8" s="1820"/>
      <c r="T8" s="1821"/>
      <c r="U8" s="1822"/>
      <c r="V8" s="122"/>
      <c r="W8" s="139"/>
      <c r="X8" s="152"/>
      <c r="Y8" s="202"/>
      <c r="Z8" s="1735" t="s">
        <v>76</v>
      </c>
      <c r="AA8" s="1735" t="s">
        <v>77</v>
      </c>
      <c r="AB8" s="758" t="str">
        <f>Sheet1!$D$27</f>
        <v>2015-16</v>
      </c>
      <c r="AC8" s="758" t="str">
        <f>Sheet1!$E$27</f>
        <v>2016-17</v>
      </c>
      <c r="AD8" s="758" t="str">
        <f>Sheet1!$F$27</f>
        <v>2017-18</v>
      </c>
      <c r="AE8" s="758" t="str">
        <f>Sheet1!$G$27</f>
        <v>2018-19</v>
      </c>
      <c r="AF8" s="758" t="str">
        <f>Sheet1!$H$27</f>
        <v>2019-20</v>
      </c>
      <c r="AG8" s="204"/>
      <c r="AH8" s="190"/>
      <c r="AI8" s="190"/>
      <c r="AJ8" s="202"/>
      <c r="AK8" s="160"/>
      <c r="AR8" s="74"/>
      <c r="AS8" s="74"/>
      <c r="AT8" s="74"/>
      <c r="AU8" s="74"/>
      <c r="AV8" s="74"/>
      <c r="AW8" s="74"/>
      <c r="AX8" s="74"/>
      <c r="AY8" s="74"/>
      <c r="AZ8" s="74"/>
    </row>
    <row r="9" spans="1:52" s="87" customFormat="1" ht="12.75" customHeight="1" x14ac:dyDescent="0.2">
      <c r="A9" s="121"/>
      <c r="B9" s="1790"/>
      <c r="C9" s="85"/>
      <c r="D9" s="792" t="e">
        <f>Sheet1!$D$28</f>
        <v>#N/A</v>
      </c>
      <c r="E9" s="792" t="e">
        <f>Sheet1!$E$28</f>
        <v>#N/A</v>
      </c>
      <c r="F9" s="792" t="e">
        <f>Sheet1!$F$28</f>
        <v>#N/A</v>
      </c>
      <c r="G9" s="792" t="e">
        <f>Sheet1!$G$28</f>
        <v>#N/A</v>
      </c>
      <c r="H9" s="793" t="e">
        <f>Sheet1!$H$28</f>
        <v>#N/A</v>
      </c>
      <c r="I9" s="1813"/>
      <c r="J9" s="96"/>
      <c r="K9" s="792" t="e">
        <f>Sheet1!$D$28</f>
        <v>#N/A</v>
      </c>
      <c r="L9" s="792" t="e">
        <f>Sheet1!$E$28</f>
        <v>#N/A</v>
      </c>
      <c r="M9" s="792" t="e">
        <f>Sheet1!$F$28</f>
        <v>#N/A</v>
      </c>
      <c r="N9" s="792" t="e">
        <f>Sheet1!$G$28</f>
        <v>#N/A</v>
      </c>
      <c r="O9" s="1739" t="e">
        <f>Sheet1!$H$28</f>
        <v>#N/A</v>
      </c>
      <c r="P9" s="1827"/>
      <c r="Q9" s="1745"/>
      <c r="R9" s="70"/>
      <c r="S9" s="840" t="s">
        <v>78</v>
      </c>
      <c r="T9" s="856" t="s">
        <v>128</v>
      </c>
      <c r="U9" s="857" t="s">
        <v>129</v>
      </c>
      <c r="V9" s="122"/>
      <c r="W9" s="139"/>
      <c r="X9" s="152"/>
      <c r="Y9" s="202"/>
      <c r="Z9" s="1736"/>
      <c r="AA9" s="1736"/>
      <c r="AB9" s="758" t="e">
        <f>Sheet1!$D$28</f>
        <v>#N/A</v>
      </c>
      <c r="AC9" s="758" t="e">
        <f>Sheet1!$E$28</f>
        <v>#N/A</v>
      </c>
      <c r="AD9" s="758" t="e">
        <f>Sheet1!$F$28</f>
        <v>#N/A</v>
      </c>
      <c r="AE9" s="758" t="e">
        <f>Sheet1!$G$28</f>
        <v>#N/A</v>
      </c>
      <c r="AF9" s="758" t="e">
        <f>Sheet1!$H$28</f>
        <v>#N/A</v>
      </c>
      <c r="AG9" s="190"/>
      <c r="AH9" s="190">
        <f>COLUMNS($B$4:O$4)</f>
        <v>14</v>
      </c>
      <c r="AI9" s="190"/>
      <c r="AJ9" s="202"/>
      <c r="AK9" s="160"/>
      <c r="AL9" s="839" t="s">
        <v>676</v>
      </c>
      <c r="AM9" s="839" t="s">
        <v>677</v>
      </c>
      <c r="AN9" s="839" t="s">
        <v>678</v>
      </c>
      <c r="AO9" s="839" t="s">
        <v>679</v>
      </c>
      <c r="AP9" s="839" t="s">
        <v>680</v>
      </c>
      <c r="AR9" s="74"/>
      <c r="AS9" s="74"/>
      <c r="AT9" s="74"/>
      <c r="AU9" s="74"/>
      <c r="AV9" s="74"/>
      <c r="AW9" s="74"/>
      <c r="AX9" s="74"/>
      <c r="AY9" s="74"/>
      <c r="AZ9" s="74"/>
    </row>
    <row r="10" spans="1:52" s="87" customFormat="1" ht="13.5" customHeight="1" x14ac:dyDescent="0.2">
      <c r="A10" s="488">
        <f>VLOOKUP(B10,Sheet1!$AQ$4:$AR$25,2,FALSE)</f>
        <v>0</v>
      </c>
      <c r="B10" s="93" t="str">
        <f>Sheet1!$K$4</f>
        <v>Bracknell Forest</v>
      </c>
      <c r="C10" s="85"/>
      <c r="D10" s="94">
        <f>IF(Year1_Bracknell_Forest Year1_Referrals="","",Year1_Bracknell_Forest Year1_Referrals)</f>
        <v>1306</v>
      </c>
      <c r="E10" s="94">
        <f>IF(Year2_Bracknell_Forest Year2_Referrals="","",Year2_Bracknell_Forest Year2_Referrals)</f>
        <v>1644</v>
      </c>
      <c r="F10" s="94">
        <f>IF(Year3_Bracknell_Forest Year3_Referrals="","",Year3_Bracknell_Forest Year3_Referrals)</f>
        <v>1819</v>
      </c>
      <c r="G10" s="94">
        <f>IF(Year4_Bracknell_Forest Year4_Referrals="","",Year4_Bracknell_Forest Year4_Referrals)</f>
        <v>2240</v>
      </c>
      <c r="H10" s="95">
        <f>IF(Year5_Bracknell_Forest Year5_Referrals="","",Year5_Bracknell_Forest Year5_Referrals)</f>
        <v>1699</v>
      </c>
      <c r="I10" s="344">
        <f>AP10</f>
        <v>8.8795298451562421E-2</v>
      </c>
      <c r="J10" s="96"/>
      <c r="K10" s="97">
        <f>IF(ISNUMBER(D10),D10/Population!D10*10000,NA())</f>
        <v>463.12056737588654</v>
      </c>
      <c r="L10" s="97">
        <f>IF(ISNUMBER(E10),E10/Population!E10*10000,NA())</f>
        <v>582.97872340425533</v>
      </c>
      <c r="M10" s="97">
        <f>IF(ISNUMBER(F10),F10/Population!F10*10000,NA())</f>
        <v>647.3309608540925</v>
      </c>
      <c r="N10" s="97">
        <f>IF(ISNUMBER(G10),G10/Population!G10*10000,NA())</f>
        <v>791.51943462897532</v>
      </c>
      <c r="O10" s="98">
        <f>IF(ISNUMBER(H10),H10/Population!H10*10000,NA())</f>
        <v>598.23943661971828</v>
      </c>
      <c r="P10" s="99">
        <f>IF(ISNUMBER(O10),O10,"")</f>
        <v>598.23943661971828</v>
      </c>
      <c r="Q10" s="822">
        <f t="shared" ref="Q10:Q33" si="0">IF(ISNA(VLOOKUP(B10,$AG$10:$AI$28,3,FALSE)),"--",IF(ISNUMBER(H10),VLOOKUP(B10,$AG$10:$AI$28,3,FALSE),NA()))</f>
        <v>10</v>
      </c>
      <c r="R10" s="70"/>
      <c r="S10" s="340">
        <f>IDACI!C9</f>
        <v>8.9</v>
      </c>
      <c r="T10" s="341">
        <f t="shared" ref="T10:T33" si="1">((S10*$Z$44)+$AA$44)/$Y$2</f>
        <v>424.2179710202708</v>
      </c>
      <c r="U10" s="342">
        <f>O10-T10</f>
        <v>174.02146559944748</v>
      </c>
      <c r="V10" s="122"/>
      <c r="W10" s="139"/>
      <c r="X10" s="152"/>
      <c r="Y10" s="72" t="str">
        <f t="shared" ref="Y10:Y33" si="2">B10</f>
        <v>Bracknell Forest</v>
      </c>
      <c r="Z10" s="44">
        <f>IF(ISNUMBER($H10),IDACI!D9,0)</f>
        <v>24849</v>
      </c>
      <c r="AA10" s="44">
        <f>IF(ISNUMBER($H10),IDACI!E9,0)</f>
        <v>2211.5610000000001</v>
      </c>
      <c r="AB10" s="205">
        <f>IF(ISNUMBER(D10),Population!D10,"")</f>
        <v>28200</v>
      </c>
      <c r="AC10" s="205">
        <f>IF(ISNUMBER(E10),Population!E10,"")</f>
        <v>28200</v>
      </c>
      <c r="AD10" s="205">
        <f>IF(ISNUMBER(F10),Population!F10,"")</f>
        <v>28100</v>
      </c>
      <c r="AE10" s="205">
        <f>IF(ISNUMBER(G10),Population!G10,"")</f>
        <v>28300</v>
      </c>
      <c r="AF10" s="205">
        <f>IF(ISNUMBER(H10),Population!H10,"")</f>
        <v>28400</v>
      </c>
      <c r="AG10" s="93" t="str">
        <f>B10</f>
        <v>Bracknell Forest</v>
      </c>
      <c r="AH10" s="231">
        <f t="shared" ref="AH10:AH28" si="3">IFERROR(VLOOKUP(AG10,$B$10:$P$31,$AH$9,FALSE),"")</f>
        <v>598.23943661971828</v>
      </c>
      <c r="AI10" s="206">
        <f>RANK(AH10,$AH$10:$AH$28,1)</f>
        <v>10</v>
      </c>
      <c r="AJ10" s="202"/>
      <c r="AK10" s="160"/>
      <c r="AL10" s="853">
        <f t="shared" ref="AL10:AL33" si="4">IF(ISERROR((E10-D10)/D10),"x",(E10-D10)/D10)</f>
        <v>0.25880551301684535</v>
      </c>
      <c r="AM10" s="853">
        <f t="shared" ref="AM10:AM33" si="5">IF(ISERROR((F10-E10)/E10),"x",(F10-E10)/E10)</f>
        <v>0.10644768856447688</v>
      </c>
      <c r="AN10" s="853">
        <f t="shared" ref="AN10:AN33" si="6">IF(ISERROR((G10-F10)/F10),"x",(G10-F10)/F10)</f>
        <v>0.23144584936778451</v>
      </c>
      <c r="AO10" s="853">
        <f t="shared" ref="AO10:AO33" si="7">IF(ISERROR((H10-G10)/G10),"x",(H10-G10)/G10)</f>
        <v>-0.24151785714285715</v>
      </c>
      <c r="AP10" s="853">
        <f>IF(ISERROR(AVERAGE(AL10:AO10)),"",AVERAGE(AL10:AO10))</f>
        <v>8.8795298451562421E-2</v>
      </c>
      <c r="AR10" s="74"/>
      <c r="AS10" s="74"/>
      <c r="AT10" s="74"/>
      <c r="AU10" s="74"/>
      <c r="AV10" s="74"/>
      <c r="AW10" s="74"/>
      <c r="AX10" s="74"/>
      <c r="AY10" s="74"/>
      <c r="AZ10" s="74"/>
    </row>
    <row r="11" spans="1:52" s="87" customFormat="1" ht="13.5" customHeight="1" x14ac:dyDescent="0.2">
      <c r="A11" s="488">
        <f>VLOOKUP(B11,Sheet1!$AQ$4:$AR$25,2,FALSE)</f>
        <v>0</v>
      </c>
      <c r="B11" s="93" t="str">
        <f>Sheet1!$K$5</f>
        <v>Brighton &amp; Hove</v>
      </c>
      <c r="C11" s="85"/>
      <c r="D11" s="94">
        <f>IF(Year1_Brighton_Hove Year1_Referrals="","",Year1_Brighton_Hove Year1_Referrals)</f>
        <v>3426</v>
      </c>
      <c r="E11" s="94">
        <f>IF(Year2_Brighton_Hove Year2_Referrals="","",Year2_Brighton_Hove Year2_Referrals)</f>
        <v>3405</v>
      </c>
      <c r="F11" s="94">
        <f>IF(Year3_Brighton_Hove Year3_Referrals="","",Year3_Brighton_Hove Year3_Referrals)</f>
        <v>3344</v>
      </c>
      <c r="G11" s="94">
        <f>IF(Year4_Brighton_Hove Year4_Referrals="","",Year4_Brighton_Hove Year4_Referrals)</f>
        <v>3239</v>
      </c>
      <c r="H11" s="95">
        <f>IF(Year5_Brighton_Hove Year5_Referrals="","",Year5_Brighton_Hove Year5_Referrals)</f>
        <v>3571</v>
      </c>
      <c r="I11" s="344">
        <f t="shared" ref="I11:I33" si="8">AP11</f>
        <v>1.1764205495868103E-2</v>
      </c>
      <c r="J11" s="96"/>
      <c r="K11" s="97">
        <f>IF(ISNUMBER(D11),D11/Population!D11*10000,NA())</f>
        <v>669.140625</v>
      </c>
      <c r="L11" s="97">
        <f>IF(ISNUMBER(E11),E11/Population!E11*10000,NA())</f>
        <v>663.74269005847941</v>
      </c>
      <c r="M11" s="97">
        <f>IF(ISNUMBER(F11),F11/Population!F11*10000,NA())</f>
        <v>655.68627450980398</v>
      </c>
      <c r="N11" s="97">
        <f>IF(ISNUMBER(G11),G11/Population!G11*10000,NA())</f>
        <v>635.0980392156863</v>
      </c>
      <c r="O11" s="98">
        <f>IF(ISNUMBER(H11),H11/Population!H11*10000,NA())</f>
        <v>709.94035785288281</v>
      </c>
      <c r="P11" s="99">
        <f t="shared" ref="P11:P33" si="9">IF(ISNUMBER(O11),O11,"")</f>
        <v>709.94035785288281</v>
      </c>
      <c r="Q11" s="822">
        <f t="shared" si="0"/>
        <v>15</v>
      </c>
      <c r="R11" s="70"/>
      <c r="S11" s="340">
        <f>IDACI!C10</f>
        <v>15.299999999999999</v>
      </c>
      <c r="T11" s="341">
        <f t="shared" si="1"/>
        <v>525.90753106781926</v>
      </c>
      <c r="U11" s="342">
        <f t="shared" ref="U11:U33" si="10">O11-T11</f>
        <v>184.03282678506355</v>
      </c>
      <c r="V11" s="122"/>
      <c r="W11" s="139"/>
      <c r="X11" s="152"/>
      <c r="Y11" s="72" t="str">
        <f t="shared" si="2"/>
        <v>Brighton &amp; Hove</v>
      </c>
      <c r="Z11" s="44">
        <f>IF(ISNUMBER($H11),IDACI!D10,0)</f>
        <v>45576</v>
      </c>
      <c r="AA11" s="44">
        <f>IF(ISNUMBER($H11),IDACI!E10,0)</f>
        <v>6973.1279999999997</v>
      </c>
      <c r="AB11" s="205">
        <f>IF(ISNUMBER(D11),Population!D11,"")</f>
        <v>51200</v>
      </c>
      <c r="AC11" s="205">
        <f>IF(ISNUMBER(E11),Population!E11,"")</f>
        <v>51300</v>
      </c>
      <c r="AD11" s="205">
        <f>IF(ISNUMBER(F11),Population!F11,"")</f>
        <v>51000</v>
      </c>
      <c r="AE11" s="205">
        <f>IF(ISNUMBER(G11),Population!G11,"")</f>
        <v>51000</v>
      </c>
      <c r="AF11" s="205">
        <f>IF(ISNUMBER(H11),Population!H11,"")</f>
        <v>50300</v>
      </c>
      <c r="AG11" s="93" t="s">
        <v>31</v>
      </c>
      <c r="AH11" s="231">
        <f t="shared" si="3"/>
        <v>709.94035785288281</v>
      </c>
      <c r="AI11" s="206">
        <f t="shared" ref="AI11:AI28" si="11">RANK(AH11,$AH$10:$AH$28,1)</f>
        <v>15</v>
      </c>
      <c r="AJ11" s="202"/>
      <c r="AK11" s="160"/>
      <c r="AL11" s="853">
        <f t="shared" si="4"/>
        <v>-6.1295971978984239E-3</v>
      </c>
      <c r="AM11" s="853">
        <f t="shared" si="5"/>
        <v>-1.7914831130690163E-2</v>
      </c>
      <c r="AN11" s="853">
        <f t="shared" si="6"/>
        <v>-3.1399521531100476E-2</v>
      </c>
      <c r="AO11" s="853">
        <f t="shared" si="7"/>
        <v>0.10250077184316148</v>
      </c>
      <c r="AP11" s="853">
        <f t="shared" ref="AP11:AP33" si="12">IF(ISERROR(AVERAGE(AL11:AO11)),"",AVERAGE(AL11:AO11))</f>
        <v>1.1764205495868103E-2</v>
      </c>
      <c r="AR11" s="74"/>
      <c r="AS11" s="74"/>
      <c r="AT11" s="74"/>
      <c r="AU11" s="74"/>
      <c r="AV11" s="74"/>
      <c r="AW11" s="74"/>
      <c r="AX11" s="74"/>
      <c r="AY11" s="74"/>
      <c r="AZ11" s="74"/>
    </row>
    <row r="12" spans="1:52" s="87" customFormat="1" ht="13.5" customHeight="1" x14ac:dyDescent="0.2">
      <c r="A12" s="488">
        <f>VLOOKUP(B12,Sheet1!$AQ$4:$AR$25,2,FALSE)</f>
        <v>0</v>
      </c>
      <c r="B12" s="93" t="str">
        <f>Sheet1!$K$6</f>
        <v>Buckinghamshire</v>
      </c>
      <c r="C12" s="85"/>
      <c r="D12" s="94">
        <f>IF(Year1_Buckinghamshire Year1_Referrals="","",Year1_Buckinghamshire Year1_Referrals)</f>
        <v>6958</v>
      </c>
      <c r="E12" s="94">
        <f>IF(Year2_Buckinghamshire Year2_Referrals="","",Year2_Buckinghamshire Year2_Referrals)</f>
        <v>9204</v>
      </c>
      <c r="F12" s="94">
        <f>IF(Year3_Buckinghamshire Year3_Referrals="","",Year3_Buckinghamshire Year3_Referrals)</f>
        <v>10337</v>
      </c>
      <c r="G12" s="94">
        <f>IF(Year4_Buckinghamshire Year4_Referrals="","",Year4_Buckinghamshire Year4_Referrals)</f>
        <v>7640</v>
      </c>
      <c r="H12" s="95">
        <f>IF(Year5_Buckinghamshire Year5_Referrals="","",Year5_Buckinghamshire Year5_Referrals)</f>
        <v>8367</v>
      </c>
      <c r="I12" s="344">
        <f t="shared" si="8"/>
        <v>7.0035551792412193E-2</v>
      </c>
      <c r="J12" s="96"/>
      <c r="K12" s="97">
        <f>IF(ISNUMBER(D12),D12/Population!D12*10000,NA())</f>
        <v>576.94859038142624</v>
      </c>
      <c r="L12" s="97">
        <f>IF(ISNUMBER(E12),E12/Population!E12*10000,NA())</f>
        <v>753.19148936170211</v>
      </c>
      <c r="M12" s="97">
        <f>IF(ISNUMBER(F12),F12/Population!F12*10000,NA())</f>
        <v>839.7238017871648</v>
      </c>
      <c r="N12" s="97">
        <f>IF(ISNUMBER(G12),G12/Population!G12*10000,NA())</f>
        <v>614.64199517296868</v>
      </c>
      <c r="O12" s="98">
        <f>IF(ISNUMBER(H12),H12/Population!H12*10000,NA())</f>
        <v>665.63245823389013</v>
      </c>
      <c r="P12" s="99">
        <f t="shared" si="9"/>
        <v>665.63245823389013</v>
      </c>
      <c r="Q12" s="822">
        <f t="shared" si="0"/>
        <v>13</v>
      </c>
      <c r="R12" s="70"/>
      <c r="S12" s="340">
        <f>IDACI!C11</f>
        <v>8.5</v>
      </c>
      <c r="T12" s="341">
        <f t="shared" si="1"/>
        <v>417.86237351729903</v>
      </c>
      <c r="U12" s="342">
        <f t="shared" si="10"/>
        <v>247.7700847165911</v>
      </c>
      <c r="V12" s="122"/>
      <c r="W12" s="139"/>
      <c r="X12" s="152"/>
      <c r="Y12" s="72" t="str">
        <f t="shared" si="2"/>
        <v>Buckinghamshire</v>
      </c>
      <c r="Z12" s="44">
        <f>IF(ISNUMBER($H12),IDACI!D11,0)</f>
        <v>107385</v>
      </c>
      <c r="AA12" s="44">
        <f>IF(ISNUMBER($H12),IDACI!E11,0)</f>
        <v>9127.7250000000004</v>
      </c>
      <c r="AB12" s="205">
        <f>IF(ISNUMBER(D12),Population!D12,"")</f>
        <v>120600</v>
      </c>
      <c r="AC12" s="205">
        <f>IF(ISNUMBER(E12),Population!E12,"")</f>
        <v>122200</v>
      </c>
      <c r="AD12" s="205">
        <f>IF(ISNUMBER(F12),Population!F12,"")</f>
        <v>123100</v>
      </c>
      <c r="AE12" s="205">
        <f>IF(ISNUMBER(G12),Population!G12,"")</f>
        <v>124300</v>
      </c>
      <c r="AF12" s="205">
        <f>IF(ISNUMBER(H12),Population!H12,"")</f>
        <v>125700</v>
      </c>
      <c r="AG12" s="93" t="s">
        <v>8</v>
      </c>
      <c r="AH12" s="231">
        <f t="shared" si="3"/>
        <v>665.63245823389013</v>
      </c>
      <c r="AI12" s="206">
        <f t="shared" si="11"/>
        <v>13</v>
      </c>
      <c r="AJ12" s="202"/>
      <c r="AK12" s="160"/>
      <c r="AL12" s="853">
        <f t="shared" si="4"/>
        <v>0.32279390629491234</v>
      </c>
      <c r="AM12" s="853">
        <f t="shared" si="5"/>
        <v>0.1230986527596697</v>
      </c>
      <c r="AN12" s="853">
        <f t="shared" si="6"/>
        <v>-0.26090741994776045</v>
      </c>
      <c r="AO12" s="853">
        <f t="shared" si="7"/>
        <v>9.5157068062827227E-2</v>
      </c>
      <c r="AP12" s="853">
        <f t="shared" si="12"/>
        <v>7.0035551792412193E-2</v>
      </c>
      <c r="AR12" s="74"/>
      <c r="AS12" s="74"/>
      <c r="AT12" s="74"/>
      <c r="AU12" s="74"/>
      <c r="AV12" s="74"/>
      <c r="AW12" s="74"/>
      <c r="AX12" s="74"/>
      <c r="AY12" s="74"/>
      <c r="AZ12" s="74"/>
    </row>
    <row r="13" spans="1:52" s="87" customFormat="1" ht="13.5" customHeight="1" x14ac:dyDescent="0.2">
      <c r="A13" s="488">
        <f>VLOOKUP(B13,Sheet1!$AQ$4:$AR$25,2,FALSE)</f>
        <v>0</v>
      </c>
      <c r="B13" s="93" t="str">
        <f>Sheet1!$K$7</f>
        <v>East Sussex</v>
      </c>
      <c r="C13" s="85"/>
      <c r="D13" s="94">
        <f>IF(Year1_East_Sussex Year1_Referrals="","",Year1_East_Sussex Year1_Referrals)</f>
        <v>3198</v>
      </c>
      <c r="E13" s="100">
        <f>IF(Year2_East_Sussex Year2_Referrals="","",Year2_East_Sussex Year2_Referrals)</f>
        <v>3676</v>
      </c>
      <c r="F13" s="94">
        <f>IF(Year3_East_Sussex Year3_Referrals="","",Year3_East_Sussex Year3_Referrals)</f>
        <v>4367</v>
      </c>
      <c r="G13" s="94">
        <f>IF(Year4_East_Sussex Year4_Referrals="","",Year4_East_Sussex Year4_Referrals)</f>
        <v>4315</v>
      </c>
      <c r="H13" s="95">
        <f>IF(Year5_East_Sussex Year5_Referrals="","",Year5_East_Sussex Year5_Referrals)</f>
        <v>4167</v>
      </c>
      <c r="I13" s="344">
        <f t="shared" si="8"/>
        <v>7.280950839814497E-2</v>
      </c>
      <c r="J13" s="96"/>
      <c r="K13" s="97">
        <f>IF(ISNUMBER(D13),D13/Population!D13*10000,NA())</f>
        <v>301.98300283286119</v>
      </c>
      <c r="L13" s="97">
        <f>IF(ISNUMBER(E13),E13/Population!E13*10000,NA())</f>
        <v>347.11992445703493</v>
      </c>
      <c r="M13" s="97">
        <f>IF(ISNUMBER(F13),F13/Population!F13*10000,NA())</f>
        <v>411.98113207547169</v>
      </c>
      <c r="N13" s="97">
        <f>IF(ISNUMBER(G13),G13/Population!G13*10000,NA())</f>
        <v>405.54511278195491</v>
      </c>
      <c r="O13" s="98">
        <f>IF(ISNUMBER(H13),H13/Population!H13*10000,NA())</f>
        <v>392.00376293508936</v>
      </c>
      <c r="P13" s="99">
        <f t="shared" si="9"/>
        <v>392.00376293508936</v>
      </c>
      <c r="Q13" s="822">
        <f t="shared" si="0"/>
        <v>3</v>
      </c>
      <c r="R13" s="70"/>
      <c r="S13" s="340">
        <f>IDACI!C12</f>
        <v>16.100000000000001</v>
      </c>
      <c r="T13" s="341">
        <f t="shared" si="1"/>
        <v>538.6187260737629</v>
      </c>
      <c r="U13" s="342">
        <f t="shared" si="10"/>
        <v>-146.61496313867355</v>
      </c>
      <c r="V13" s="122"/>
      <c r="W13" s="139"/>
      <c r="X13" s="152"/>
      <c r="Y13" s="72" t="str">
        <f t="shared" si="2"/>
        <v>East Sussex</v>
      </c>
      <c r="Z13" s="44">
        <f>IF(ISNUMBER($H13),IDACI!D12,0)</f>
        <v>93130</v>
      </c>
      <c r="AA13" s="44">
        <f>IF(ISNUMBER($H13),IDACI!E12,0)</f>
        <v>14993.93</v>
      </c>
      <c r="AB13" s="205">
        <f>IF(ISNUMBER(D13),Population!D13,"")</f>
        <v>105900</v>
      </c>
      <c r="AC13" s="205">
        <f>IF(ISNUMBER(E13),Population!E13,"")</f>
        <v>105900</v>
      </c>
      <c r="AD13" s="205">
        <f>IF(ISNUMBER(F13),Population!F13,"")</f>
        <v>106000</v>
      </c>
      <c r="AE13" s="205">
        <f>IF(ISNUMBER(G13),Population!G13,"")</f>
        <v>106400</v>
      </c>
      <c r="AF13" s="205">
        <f>IF(ISNUMBER(H13),Population!H13,"")</f>
        <v>106300</v>
      </c>
      <c r="AG13" s="93" t="s">
        <v>4</v>
      </c>
      <c r="AH13" s="231">
        <f t="shared" si="3"/>
        <v>392.00376293508936</v>
      </c>
      <c r="AI13" s="206">
        <f t="shared" si="11"/>
        <v>3</v>
      </c>
      <c r="AJ13" s="202"/>
      <c r="AK13" s="160"/>
      <c r="AL13" s="853">
        <f t="shared" si="4"/>
        <v>0.14946841776110067</v>
      </c>
      <c r="AM13" s="853">
        <f t="shared" si="5"/>
        <v>0.18797606093579977</v>
      </c>
      <c r="AN13" s="853">
        <f t="shared" si="6"/>
        <v>-1.1907487978016945E-2</v>
      </c>
      <c r="AO13" s="853">
        <f t="shared" si="7"/>
        <v>-3.4298957126303591E-2</v>
      </c>
      <c r="AP13" s="853">
        <f t="shared" si="12"/>
        <v>7.280950839814497E-2</v>
      </c>
      <c r="AR13" s="74"/>
      <c r="AS13" s="74"/>
      <c r="AT13" s="74"/>
      <c r="AU13" s="74"/>
      <c r="AV13" s="74"/>
      <c r="AW13" s="74"/>
      <c r="AX13" s="74"/>
      <c r="AY13" s="74"/>
      <c r="AZ13" s="74"/>
    </row>
    <row r="14" spans="1:52" s="87" customFormat="1" ht="13.5" customHeight="1" x14ac:dyDescent="0.2">
      <c r="A14" s="488">
        <f>VLOOKUP(B14,Sheet1!$AQ$4:$AR$25,2,FALSE)</f>
        <v>0</v>
      </c>
      <c r="B14" s="93" t="str">
        <f>Sheet1!$K$8</f>
        <v>Hampshire</v>
      </c>
      <c r="C14" s="85"/>
      <c r="D14" s="94">
        <f>IF(Year1_Hampshire Year1_Referrals="","",Year1_Hampshire Year1_Referrals)</f>
        <v>16666</v>
      </c>
      <c r="E14" s="94">
        <f>IF(Year2_Hampshire Year2_Referrals="","",Year2_Hampshire Year2_Referrals)</f>
        <v>19435</v>
      </c>
      <c r="F14" s="101">
        <f>IF(Year3_Hampshire Year3_Referrals="","",Year3_Hampshire Year3_Referrals)</f>
        <v>16115</v>
      </c>
      <c r="G14" s="101">
        <f>IF(Year4_Hampshire Year4_Referrals="","",Year4_Hampshire Year4_Referrals)</f>
        <v>18408</v>
      </c>
      <c r="H14" s="95">
        <f>IF(Year5_Hampshire Year5_Referrals="","",Year5_Hampshire Year5_Referrals)</f>
        <v>20220</v>
      </c>
      <c r="I14" s="344">
        <f t="shared" si="8"/>
        <v>5.9011517784628716E-2</v>
      </c>
      <c r="J14" s="96"/>
      <c r="K14" s="97">
        <f>IF(ISNUMBER(D14),D14/Population!D14*10000,NA())</f>
        <v>591.20255409719766</v>
      </c>
      <c r="L14" s="97">
        <f>IF(ISNUMBER(E14),E14/Population!E14*10000,NA())</f>
        <v>687.23479490806221</v>
      </c>
      <c r="M14" s="97">
        <f>IF(ISNUMBER(F14),F14/Population!F14*10000,NA())</f>
        <v>568.83162725026466</v>
      </c>
      <c r="N14" s="97">
        <f>IF(ISNUMBER(G14),G14/Population!G14*10000,NA())</f>
        <v>648.16901408450701</v>
      </c>
      <c r="O14" s="98">
        <f>IF(ISNUMBER(H14),H14/Population!H14*10000,NA())</f>
        <v>711.22054168132252</v>
      </c>
      <c r="P14" s="99">
        <f t="shared" si="9"/>
        <v>711.22054168132252</v>
      </c>
      <c r="Q14" s="822">
        <f t="shared" si="0"/>
        <v>16</v>
      </c>
      <c r="R14" s="70"/>
      <c r="S14" s="340">
        <f>IDACI!C13</f>
        <v>10.100000000000001</v>
      </c>
      <c r="T14" s="341">
        <f t="shared" si="1"/>
        <v>443.28476352918619</v>
      </c>
      <c r="U14" s="342">
        <f t="shared" si="10"/>
        <v>267.93577815213632</v>
      </c>
      <c r="V14" s="122"/>
      <c r="W14" s="139"/>
      <c r="X14" s="152"/>
      <c r="Y14" s="72" t="str">
        <f t="shared" si="2"/>
        <v>Hampshire</v>
      </c>
      <c r="Z14" s="44">
        <f>IF(ISNUMBER($H14),IDACI!D13,0)</f>
        <v>249483</v>
      </c>
      <c r="AA14" s="44">
        <f>IF(ISNUMBER($H14),IDACI!E13,0)</f>
        <v>25197.783000000007</v>
      </c>
      <c r="AB14" s="205">
        <f>IF(ISNUMBER(D14),Population!D14,"")</f>
        <v>281900</v>
      </c>
      <c r="AC14" s="205">
        <f>IF(ISNUMBER(E14),Population!E14,"")</f>
        <v>282800</v>
      </c>
      <c r="AD14" s="205">
        <f>IF(ISNUMBER(F14),Population!F14,"")</f>
        <v>283300</v>
      </c>
      <c r="AE14" s="205">
        <f>IF(ISNUMBER(G14),Population!G14,"")</f>
        <v>284000</v>
      </c>
      <c r="AF14" s="205">
        <f>IF(ISNUMBER(H14),Population!H14,"")</f>
        <v>284300</v>
      </c>
      <c r="AG14" s="93" t="s">
        <v>6</v>
      </c>
      <c r="AH14" s="231">
        <f t="shared" si="3"/>
        <v>711.22054168132252</v>
      </c>
      <c r="AI14" s="206">
        <f t="shared" si="11"/>
        <v>16</v>
      </c>
      <c r="AJ14" s="202"/>
      <c r="AK14" s="160"/>
      <c r="AL14" s="853">
        <f t="shared" si="4"/>
        <v>0.16614664586583464</v>
      </c>
      <c r="AM14" s="853">
        <f t="shared" si="5"/>
        <v>-0.17082582968870594</v>
      </c>
      <c r="AN14" s="853">
        <f t="shared" si="6"/>
        <v>0.14228979211914367</v>
      </c>
      <c r="AO14" s="853">
        <f t="shared" si="7"/>
        <v>9.8435462842242499E-2</v>
      </c>
      <c r="AP14" s="853">
        <f t="shared" si="12"/>
        <v>5.9011517784628716E-2</v>
      </c>
      <c r="AR14" s="74"/>
      <c r="AS14" s="74"/>
      <c r="AT14" s="74"/>
      <c r="AU14" s="74"/>
      <c r="AV14" s="74"/>
      <c r="AW14" s="74"/>
      <c r="AX14" s="74"/>
      <c r="AY14" s="74"/>
      <c r="AZ14" s="74"/>
    </row>
    <row r="15" spans="1:52" s="87" customFormat="1" ht="13.5" customHeight="1" x14ac:dyDescent="0.2">
      <c r="A15" s="488">
        <f>VLOOKUP(B15,Sheet1!$AQ$4:$AR$25,2,FALSE)</f>
        <v>0</v>
      </c>
      <c r="B15" s="93" t="str">
        <f>Sheet1!$K$9</f>
        <v>Isle of Wight</v>
      </c>
      <c r="C15" s="85"/>
      <c r="D15" s="94">
        <f>IF(Year1_Isle_of_Wight Year1_Referrals="","",Year1_Isle_of_Wight Year1_Referrals)</f>
        <v>2389</v>
      </c>
      <c r="E15" s="94">
        <f>IF(Year2_Isle_of_Wight Year2_Referrals="","",Year2_Isle_of_Wight Year2_Referrals)</f>
        <v>2613</v>
      </c>
      <c r="F15" s="94">
        <f>IF(Year3_Isle_of_Wight Year3_Referrals="","",Year3_Isle_of_Wight Year3_Referrals)</f>
        <v>2212</v>
      </c>
      <c r="G15" s="94">
        <f>IF(Year4_Isle_of_Wight Year4_Referrals="","",Year4_Isle_of_Wight Year4_Referrals)</f>
        <v>2424</v>
      </c>
      <c r="H15" s="95">
        <f>IF(Year5_Isle_of_Wight Year5_Referrals="","",Year5_Isle_of_Wight Year5_Referrals)</f>
        <v>2670</v>
      </c>
      <c r="I15" s="344">
        <f t="shared" si="8"/>
        <v>3.4406411330910922E-2</v>
      </c>
      <c r="J15" s="96"/>
      <c r="K15" s="97">
        <f>IF(ISNUMBER(D15),D15/Population!D15*10000,NA())</f>
        <v>944.26877470355737</v>
      </c>
      <c r="L15" s="97">
        <f>IF(ISNUMBER(E15),E15/Population!E15*10000,NA())</f>
        <v>1036.9047619047619</v>
      </c>
      <c r="M15" s="97">
        <f>IF(ISNUMBER(F15),F15/Population!F15*10000,NA())</f>
        <v>881.27490039840632</v>
      </c>
      <c r="N15" s="97">
        <f>IF(ISNUMBER(G15),G15/Population!G15*10000,NA())</f>
        <v>973.49397590361446</v>
      </c>
      <c r="O15" s="98">
        <f>IF(ISNUMBER(H15),H15/Population!H15*10000,NA())</f>
        <v>1080.9716599190283</v>
      </c>
      <c r="P15" s="99">
        <f t="shared" si="9"/>
        <v>1080.9716599190283</v>
      </c>
      <c r="Q15" s="822">
        <f t="shared" si="0"/>
        <v>19</v>
      </c>
      <c r="R15" s="70"/>
      <c r="S15" s="340">
        <f>IDACI!C14</f>
        <v>18</v>
      </c>
      <c r="T15" s="341">
        <f t="shared" si="1"/>
        <v>568.80781421287884</v>
      </c>
      <c r="U15" s="342">
        <f t="shared" si="10"/>
        <v>512.16384570614946</v>
      </c>
      <c r="V15" s="122"/>
      <c r="W15" s="139"/>
      <c r="X15" s="152"/>
      <c r="Y15" s="72" t="str">
        <f t="shared" si="2"/>
        <v>Isle of Wight</v>
      </c>
      <c r="Z15" s="44">
        <f>IF(ISNUMBER($H15),IDACI!D14,0)</f>
        <v>22123</v>
      </c>
      <c r="AA15" s="44">
        <f>IF(ISNUMBER($H15),IDACI!E14,0)</f>
        <v>3982.14</v>
      </c>
      <c r="AB15" s="205">
        <f>IF(ISNUMBER(D15),Population!D15,"")</f>
        <v>25300</v>
      </c>
      <c r="AC15" s="205">
        <f>IF(ISNUMBER(E15),Population!E15,"")</f>
        <v>25200</v>
      </c>
      <c r="AD15" s="205">
        <f>IF(ISNUMBER(F15),Population!F15,"")</f>
        <v>25100</v>
      </c>
      <c r="AE15" s="205">
        <f>IF(ISNUMBER(G15),Population!G15,"")</f>
        <v>24900</v>
      </c>
      <c r="AF15" s="205">
        <f>IF(ISNUMBER(H15),Population!H15,"")</f>
        <v>24700</v>
      </c>
      <c r="AG15" s="93" t="s">
        <v>1</v>
      </c>
      <c r="AH15" s="231">
        <f t="shared" si="3"/>
        <v>1080.9716599190283</v>
      </c>
      <c r="AI15" s="206">
        <f t="shared" si="11"/>
        <v>19</v>
      </c>
      <c r="AJ15" s="202"/>
      <c r="AK15" s="160"/>
      <c r="AL15" s="853">
        <f t="shared" si="4"/>
        <v>9.3763080786940137E-2</v>
      </c>
      <c r="AM15" s="853">
        <f t="shared" si="5"/>
        <v>-0.15346345197091465</v>
      </c>
      <c r="AN15" s="853">
        <f t="shared" si="6"/>
        <v>9.5840867992766726E-2</v>
      </c>
      <c r="AO15" s="853">
        <f t="shared" si="7"/>
        <v>0.10148514851485149</v>
      </c>
      <c r="AP15" s="853">
        <f t="shared" si="12"/>
        <v>3.4406411330910922E-2</v>
      </c>
      <c r="AR15" s="74"/>
      <c r="AS15" s="74"/>
      <c r="AT15" s="74"/>
      <c r="AU15" s="74"/>
      <c r="AV15" s="74"/>
      <c r="AW15" s="74"/>
      <c r="AX15" s="74"/>
      <c r="AY15" s="74"/>
      <c r="AZ15" s="74"/>
    </row>
    <row r="16" spans="1:52" s="87" customFormat="1" ht="13.5" customHeight="1" x14ac:dyDescent="0.2">
      <c r="A16" s="488">
        <f>VLOOKUP(B16,Sheet1!$AQ$4:$AR$25,2,FALSE)</f>
        <v>0</v>
      </c>
      <c r="B16" s="93" t="str">
        <f>Sheet1!$K$10</f>
        <v>Kent</v>
      </c>
      <c r="C16" s="85"/>
      <c r="D16" s="94">
        <f>IF(Year1_Kent Year1_Referrals="","",Year1_Kent Year1_Referrals)</f>
        <v>15342</v>
      </c>
      <c r="E16" s="94">
        <f>IF(Year2_Kent Year2_Referrals="","",Year2_Kent Year2_Referrals)</f>
        <v>15805</v>
      </c>
      <c r="F16" s="94">
        <f>IF(Year3_Kent Year3_Referrals="","",Year3_Kent Year3_Referrals)</f>
        <v>19373</v>
      </c>
      <c r="G16" s="94">
        <f>IF(Year4_Kent Year4_Referrals="","",Year4_Kent Year4_Referrals)</f>
        <v>18283</v>
      </c>
      <c r="H16" s="95">
        <f>IF(Year5_Kent Year5_Referrals="","",Year5_Kent Year5_Referrals)</f>
        <v>22349</v>
      </c>
      <c r="I16" s="344">
        <f t="shared" si="8"/>
        <v>0.10551461329717254</v>
      </c>
      <c r="J16" s="96"/>
      <c r="K16" s="97">
        <f>IF(ISNUMBER(D16),D16/Population!D16*10000,NA())</f>
        <v>464.34624697336562</v>
      </c>
      <c r="L16" s="97">
        <f>IF(ISNUMBER(E16),E16/Population!E16*10000,NA())</f>
        <v>474.62462462462463</v>
      </c>
      <c r="M16" s="97">
        <f>IF(ISNUMBER(F16),F16/Population!F16*10000,NA())</f>
        <v>576.40583159773882</v>
      </c>
      <c r="N16" s="97">
        <f>IF(ISNUMBER(G16),G16/Population!G16*10000,NA())</f>
        <v>537.57718318141724</v>
      </c>
      <c r="O16" s="98">
        <f>IF(ISNUMBER(H16),H16/Population!H16*10000,NA())</f>
        <v>650.05817335660277</v>
      </c>
      <c r="P16" s="99">
        <f t="shared" si="9"/>
        <v>650.05817335660277</v>
      </c>
      <c r="Q16" s="822">
        <f t="shared" si="0"/>
        <v>12</v>
      </c>
      <c r="R16" s="70"/>
      <c r="S16" s="340">
        <f>IDACI!C15</f>
        <v>15.8</v>
      </c>
      <c r="T16" s="341">
        <f t="shared" si="1"/>
        <v>533.85202794653401</v>
      </c>
      <c r="U16" s="342">
        <f t="shared" si="10"/>
        <v>116.20614541006876</v>
      </c>
      <c r="V16" s="122"/>
      <c r="W16" s="139"/>
      <c r="X16" s="152"/>
      <c r="Y16" s="72" t="str">
        <f t="shared" si="2"/>
        <v>Kent</v>
      </c>
      <c r="Z16" s="44">
        <f>IF(ISNUMBER($H16),IDACI!D15,0)</f>
        <v>291866</v>
      </c>
      <c r="AA16" s="44">
        <f>IF(ISNUMBER($H16),IDACI!E15,0)</f>
        <v>46114.828000000001</v>
      </c>
      <c r="AB16" s="205">
        <f>IF(ISNUMBER(D16),Population!D16,"")</f>
        <v>330400</v>
      </c>
      <c r="AC16" s="205">
        <f>IF(ISNUMBER(E16),Population!E16,"")</f>
        <v>333000</v>
      </c>
      <c r="AD16" s="205">
        <f>IF(ISNUMBER(F16),Population!F16,"")</f>
        <v>336100</v>
      </c>
      <c r="AE16" s="205">
        <f>IF(ISNUMBER(G16),Population!G16,"")</f>
        <v>340100</v>
      </c>
      <c r="AF16" s="205">
        <f>IF(ISNUMBER(H16),Population!H16,"")</f>
        <v>343800</v>
      </c>
      <c r="AG16" s="93" t="s">
        <v>9</v>
      </c>
      <c r="AH16" s="231">
        <f t="shared" si="3"/>
        <v>650.05817335660277</v>
      </c>
      <c r="AI16" s="206">
        <f t="shared" si="11"/>
        <v>12</v>
      </c>
      <c r="AJ16" s="202"/>
      <c r="AK16" s="160"/>
      <c r="AL16" s="853">
        <f t="shared" si="4"/>
        <v>3.0178594707339329E-2</v>
      </c>
      <c r="AM16" s="853">
        <f t="shared" si="5"/>
        <v>0.22575134451123063</v>
      </c>
      <c r="AN16" s="853">
        <f t="shared" si="6"/>
        <v>-5.6263872399731588E-2</v>
      </c>
      <c r="AO16" s="853">
        <f t="shared" si="7"/>
        <v>0.22239238636985179</v>
      </c>
      <c r="AP16" s="853">
        <f t="shared" si="12"/>
        <v>0.10551461329717254</v>
      </c>
      <c r="AR16" s="74"/>
      <c r="AS16" s="74"/>
      <c r="AT16" s="74"/>
      <c r="AU16" s="74"/>
      <c r="AV16" s="74"/>
      <c r="AW16" s="74"/>
      <c r="AX16" s="74"/>
      <c r="AY16" s="74"/>
      <c r="AZ16" s="74"/>
    </row>
    <row r="17" spans="1:52" s="87" customFormat="1" ht="13.5" customHeight="1" x14ac:dyDescent="0.2">
      <c r="A17" s="488">
        <f>VLOOKUP(B17,Sheet1!$AQ$4:$AR$25,2,FALSE)</f>
        <v>0</v>
      </c>
      <c r="B17" s="93" t="str">
        <f>Sheet1!$K$11</f>
        <v>Medway</v>
      </c>
      <c r="C17" s="85"/>
      <c r="D17" s="94">
        <f>IF(Year1_Medway Year1_Referrals="","",Year1_Medway Year1_Referrals)</f>
        <v>3368</v>
      </c>
      <c r="E17" s="94">
        <f>IF(Year2_Medway Year2_Referrals="","",Year2_Medway Year2_Referrals)</f>
        <v>2732</v>
      </c>
      <c r="F17" s="94">
        <f>IF(Year3_Medway Year3_Referrals="","",Year3_Medway Year3_Referrals)</f>
        <v>2612</v>
      </c>
      <c r="G17" s="94">
        <f>IF(Year4_Medway Year4_Referrals="","",Year4_Medway Year4_Referrals)</f>
        <v>4025</v>
      </c>
      <c r="H17" s="95">
        <f>IF(Year5_Medway Year5_Referrals="","",Year5_Medway Year5_Referrals)</f>
        <v>4904</v>
      </c>
      <c r="I17" s="344">
        <f t="shared" si="8"/>
        <v>0.13164747532560597</v>
      </c>
      <c r="J17" s="96"/>
      <c r="K17" s="97">
        <f>IF(ISNUMBER(D17),D17/Population!D17*10000,NA())</f>
        <v>532.91139240506334</v>
      </c>
      <c r="L17" s="97">
        <f>IF(ISNUMBER(E17),E17/Population!E17*10000,NA())</f>
        <v>428.88540031397173</v>
      </c>
      <c r="M17" s="97">
        <f>IF(ISNUMBER(F17),F17/Population!F17*10000,NA())</f>
        <v>408.76369327073553</v>
      </c>
      <c r="N17" s="97">
        <f>IF(ISNUMBER(G17),G17/Population!G17*10000,NA())</f>
        <v>625</v>
      </c>
      <c r="O17" s="98">
        <f>IF(ISNUMBER(H17),H17/Population!H17*10000,NA())</f>
        <v>754.46153846153845</v>
      </c>
      <c r="P17" s="99">
        <f t="shared" si="9"/>
        <v>754.46153846153845</v>
      </c>
      <c r="Q17" s="822">
        <f t="shared" si="0"/>
        <v>17</v>
      </c>
      <c r="R17" s="70"/>
      <c r="S17" s="340">
        <f>IDACI!C16</f>
        <v>18.899999999999999</v>
      </c>
      <c r="T17" s="341">
        <f t="shared" si="1"/>
        <v>583.10790859456529</v>
      </c>
      <c r="U17" s="342">
        <f t="shared" si="10"/>
        <v>171.35362986697317</v>
      </c>
      <c r="V17" s="122"/>
      <c r="W17" s="139"/>
      <c r="X17" s="152"/>
      <c r="Y17" s="72" t="str">
        <f t="shared" si="2"/>
        <v>Medway</v>
      </c>
      <c r="Z17" s="44">
        <f>IF(ISNUMBER($H17),IDACI!D16,0)</f>
        <v>55993</v>
      </c>
      <c r="AA17" s="44">
        <f>IF(ISNUMBER($H17),IDACI!E16,0)</f>
        <v>10582.676999999998</v>
      </c>
      <c r="AB17" s="205">
        <f>IF(ISNUMBER(D17),Population!D17,"")</f>
        <v>63200</v>
      </c>
      <c r="AC17" s="205">
        <f>IF(ISNUMBER(E17),Population!E17,"")</f>
        <v>63700</v>
      </c>
      <c r="AD17" s="205">
        <f>IF(ISNUMBER(F17),Population!F17,"")</f>
        <v>63900</v>
      </c>
      <c r="AE17" s="205">
        <f>IF(ISNUMBER(G17),Population!G17,"")</f>
        <v>64400</v>
      </c>
      <c r="AF17" s="205">
        <f>IF(ISNUMBER(H17),Population!H17,"")</f>
        <v>65000</v>
      </c>
      <c r="AG17" s="93" t="s">
        <v>2</v>
      </c>
      <c r="AH17" s="231">
        <f t="shared" si="3"/>
        <v>754.46153846153845</v>
      </c>
      <c r="AI17" s="206">
        <f t="shared" si="11"/>
        <v>17</v>
      </c>
      <c r="AJ17" s="202"/>
      <c r="AK17" s="160"/>
      <c r="AL17" s="853">
        <f t="shared" si="4"/>
        <v>-0.18883610451306412</v>
      </c>
      <c r="AM17" s="853">
        <f t="shared" si="5"/>
        <v>-4.3923865300146414E-2</v>
      </c>
      <c r="AN17" s="853">
        <f t="shared" si="6"/>
        <v>0.54096477794793263</v>
      </c>
      <c r="AO17" s="853">
        <f t="shared" si="7"/>
        <v>0.21838509316770185</v>
      </c>
      <c r="AP17" s="853">
        <f t="shared" si="12"/>
        <v>0.13164747532560597</v>
      </c>
      <c r="AR17" s="74"/>
      <c r="AS17" s="74"/>
      <c r="AT17" s="74"/>
      <c r="AU17" s="74"/>
      <c r="AV17" s="74"/>
      <c r="AW17" s="74"/>
      <c r="AX17" s="74"/>
      <c r="AY17" s="74"/>
      <c r="AZ17" s="74"/>
    </row>
    <row r="18" spans="1:52" s="87" customFormat="1" ht="13.5" customHeight="1" x14ac:dyDescent="0.2">
      <c r="A18" s="488">
        <f>VLOOKUP(B18,Sheet1!$AQ$4:$AR$25,2,FALSE)</f>
        <v>0</v>
      </c>
      <c r="B18" s="93" t="str">
        <f>Sheet1!$K$12</f>
        <v>Milton Keynes</v>
      </c>
      <c r="C18" s="85"/>
      <c r="D18" s="94">
        <f>IF(Year1_Milton_Keynes Year1_Referrals="","",Year1_Milton_Keynes Year1_Referrals)</f>
        <v>2769</v>
      </c>
      <c r="E18" s="94">
        <f>IF(Year2_Milton_Keynes Year2_Referrals="","",Year2_Milton_Keynes Year2_Referrals)</f>
        <v>3083</v>
      </c>
      <c r="F18" s="94">
        <f>IF(Year3_Milton_Keynes Year3_Referrals="","",Year3_Milton_Keynes Year3_Referrals)</f>
        <v>2359</v>
      </c>
      <c r="G18" s="94">
        <f>IF(Year4_Milton_Keynes Year4_Referrals="","",Year4_Milton_Keynes Year4_Referrals)</f>
        <v>2717</v>
      </c>
      <c r="H18" s="95">
        <f>IF(Year5_Milton_Keynes Year5_Referrals="","",Year5_Milton_Keynes Year5_Referrals)</f>
        <v>3090</v>
      </c>
      <c r="I18" s="344">
        <f t="shared" si="8"/>
        <v>4.1901282278424754E-2</v>
      </c>
      <c r="J18" s="96"/>
      <c r="K18" s="97">
        <f>IF(ISNUMBER(D18),D18/Population!D18*10000,NA())</f>
        <v>418.91074130105898</v>
      </c>
      <c r="L18" s="97">
        <f>IF(ISNUMBER(E18),E18/Population!E18*10000,NA())</f>
        <v>459.46348733233981</v>
      </c>
      <c r="M18" s="97">
        <f>IF(ISNUMBER(F18),F18/Population!F18*10000,NA())</f>
        <v>348.96449704142009</v>
      </c>
      <c r="N18" s="97">
        <f>IF(ISNUMBER(G18),G18/Population!G18*10000,NA())</f>
        <v>397.80380673499269</v>
      </c>
      <c r="O18" s="98">
        <f>IF(ISNUMBER(H18),H18/Population!H18*10000,NA())</f>
        <v>449.12790697674421</v>
      </c>
      <c r="P18" s="99">
        <f t="shared" si="9"/>
        <v>449.12790697674421</v>
      </c>
      <c r="Q18" s="822">
        <f t="shared" si="0"/>
        <v>5</v>
      </c>
      <c r="R18" s="70"/>
      <c r="S18" s="340">
        <f>IDACI!C17</f>
        <v>15</v>
      </c>
      <c r="T18" s="341">
        <f t="shared" si="1"/>
        <v>521.14083294059049</v>
      </c>
      <c r="U18" s="342">
        <f t="shared" si="10"/>
        <v>-72.012925963846271</v>
      </c>
      <c r="V18" s="122"/>
      <c r="W18" s="139"/>
      <c r="X18" s="152"/>
      <c r="Y18" s="72" t="str">
        <f t="shared" si="2"/>
        <v>Milton Keynes</v>
      </c>
      <c r="Z18" s="44">
        <f>IF(ISNUMBER($H18),IDACI!D17,0)</f>
        <v>59903</v>
      </c>
      <c r="AA18" s="44">
        <f>IF(ISNUMBER($H18),IDACI!E17,0)</f>
        <v>8985.4499999999989</v>
      </c>
      <c r="AB18" s="205">
        <f>IF(ISNUMBER(D18),Population!D18,"")</f>
        <v>66100</v>
      </c>
      <c r="AC18" s="205">
        <f>IF(ISNUMBER(E18),Population!E18,"")</f>
        <v>67100</v>
      </c>
      <c r="AD18" s="205">
        <f>IF(ISNUMBER(F18),Population!F18,"")</f>
        <v>67600</v>
      </c>
      <c r="AE18" s="205">
        <f>IF(ISNUMBER(G18),Population!G18,"")</f>
        <v>68300</v>
      </c>
      <c r="AF18" s="205">
        <f>IF(ISNUMBER(H18),Population!H18,"")</f>
        <v>68800</v>
      </c>
      <c r="AG18" s="93" t="s">
        <v>10</v>
      </c>
      <c r="AH18" s="231">
        <f t="shared" si="3"/>
        <v>449.12790697674421</v>
      </c>
      <c r="AI18" s="206">
        <f t="shared" si="11"/>
        <v>5</v>
      </c>
      <c r="AJ18" s="202"/>
      <c r="AK18" s="160"/>
      <c r="AL18" s="853">
        <f t="shared" si="4"/>
        <v>0.11339833875045142</v>
      </c>
      <c r="AM18" s="853">
        <f t="shared" si="5"/>
        <v>-0.23483619850794679</v>
      </c>
      <c r="AN18" s="853">
        <f t="shared" si="6"/>
        <v>0.15175922000847816</v>
      </c>
      <c r="AO18" s="853">
        <f t="shared" si="7"/>
        <v>0.13728376886271623</v>
      </c>
      <c r="AP18" s="853">
        <f t="shared" si="12"/>
        <v>4.1901282278424754E-2</v>
      </c>
      <c r="AR18" s="74"/>
      <c r="AS18" s="74"/>
      <c r="AT18" s="74"/>
      <c r="AU18" s="74"/>
      <c r="AV18" s="74"/>
      <c r="AW18" s="74"/>
      <c r="AX18" s="74"/>
      <c r="AY18" s="74"/>
      <c r="AZ18" s="74"/>
    </row>
    <row r="19" spans="1:52" s="87" customFormat="1" ht="13.5" customHeight="1" x14ac:dyDescent="0.2">
      <c r="A19" s="488">
        <f>VLOOKUP(B19,Sheet1!$AQ$4:$AR$25,2,FALSE)</f>
        <v>0</v>
      </c>
      <c r="B19" s="93" t="str">
        <f>Sheet1!$K$13</f>
        <v>Oxfordshire</v>
      </c>
      <c r="C19" s="85"/>
      <c r="D19" s="94">
        <f>IF(Year1_Oxfordshire Year1_Referrals="","",Year1_Oxfordshire Year1_Referrals)</f>
        <v>6750</v>
      </c>
      <c r="E19" s="94">
        <f>IF(Year2_Oxfordshire Year2_Referrals="","",Year2_Oxfordshire Year2_Referrals)</f>
        <v>7066</v>
      </c>
      <c r="F19" s="94">
        <f>IF(Year3_Oxfordshire Year3_Referrals="","",Year3_Oxfordshire Year3_Referrals)</f>
        <v>6814</v>
      </c>
      <c r="G19" s="94">
        <f>IF(Year4_Oxfordshire Year4_Referrals="","",Year4_Oxfordshire Year4_Referrals)</f>
        <v>6779</v>
      </c>
      <c r="H19" s="95">
        <f>IF(Year5_Oxfordshire Year5_Referrals="","",Year5_Oxfordshire Year5_Referrals)</f>
        <v>7502</v>
      </c>
      <c r="I19" s="344">
        <f t="shared" si="8"/>
        <v>2.8166871974996319E-2</v>
      </c>
      <c r="J19" s="96"/>
      <c r="K19" s="97">
        <f>IF(ISNUMBER(D19),D19/Population!D19*10000,NA())</f>
        <v>476.02256699576873</v>
      </c>
      <c r="L19" s="97">
        <f>IF(ISNUMBER(E19),E19/Population!E19*10000,NA())</f>
        <v>494.47165850244926</v>
      </c>
      <c r="M19" s="97">
        <f>IF(ISNUMBER(F19),F19/Population!F19*10000,NA())</f>
        <v>475.17433751743374</v>
      </c>
      <c r="N19" s="97">
        <f>IF(ISNUMBER(G19),G19/Population!G19*10000,NA())</f>
        <v>468.16298342541438</v>
      </c>
      <c r="O19" s="98">
        <f>IF(ISNUMBER(H19),H19/Population!H19*10000,NA())</f>
        <v>513.48391512662556</v>
      </c>
      <c r="P19" s="99">
        <f t="shared" si="9"/>
        <v>513.48391512662556</v>
      </c>
      <c r="Q19" s="822">
        <f t="shared" si="0"/>
        <v>7</v>
      </c>
      <c r="R19" s="70"/>
      <c r="S19" s="340">
        <f>IDACI!C18</f>
        <v>10.100000000000001</v>
      </c>
      <c r="T19" s="341">
        <f t="shared" si="1"/>
        <v>443.28476352918619</v>
      </c>
      <c r="U19" s="342">
        <f t="shared" si="10"/>
        <v>70.199151597439368</v>
      </c>
      <c r="V19" s="122"/>
      <c r="W19" s="139"/>
      <c r="X19" s="152"/>
      <c r="Y19" s="72" t="str">
        <f t="shared" si="2"/>
        <v>Oxfordshire</v>
      </c>
      <c r="Z19" s="44">
        <f>IF(ISNUMBER($H19),IDACI!D18,0)</f>
        <v>126119</v>
      </c>
      <c r="AA19" s="44">
        <f>IF(ISNUMBER($H19),IDACI!E18,0)</f>
        <v>12738.019000000002</v>
      </c>
      <c r="AB19" s="205">
        <f>IF(ISNUMBER(D19),Population!D19,"")</f>
        <v>141800</v>
      </c>
      <c r="AC19" s="205">
        <f>IF(ISNUMBER(E19),Population!E19,"")</f>
        <v>142900</v>
      </c>
      <c r="AD19" s="205">
        <f>IF(ISNUMBER(F19),Population!F19,"")</f>
        <v>143400</v>
      </c>
      <c r="AE19" s="205">
        <f>IF(ISNUMBER(G19),Population!G19,"")</f>
        <v>144800</v>
      </c>
      <c r="AF19" s="205">
        <f>IF(ISNUMBER(H19),Population!H19,"")</f>
        <v>146100</v>
      </c>
      <c r="AG19" s="93" t="s">
        <v>11</v>
      </c>
      <c r="AH19" s="231">
        <f t="shared" si="3"/>
        <v>513.48391512662556</v>
      </c>
      <c r="AI19" s="206">
        <f t="shared" si="11"/>
        <v>7</v>
      </c>
      <c r="AJ19" s="202"/>
      <c r="AK19" s="160"/>
      <c r="AL19" s="853">
        <f t="shared" si="4"/>
        <v>4.6814814814814816E-2</v>
      </c>
      <c r="AM19" s="853">
        <f t="shared" si="5"/>
        <v>-3.5663741862439854E-2</v>
      </c>
      <c r="AN19" s="853">
        <f t="shared" si="6"/>
        <v>-5.1364837100088051E-3</v>
      </c>
      <c r="AO19" s="853">
        <f t="shared" si="7"/>
        <v>0.10665289865761912</v>
      </c>
      <c r="AP19" s="853">
        <f t="shared" si="12"/>
        <v>2.8166871974996319E-2</v>
      </c>
      <c r="AR19" s="74"/>
      <c r="AS19" s="74"/>
      <c r="AT19" s="74"/>
      <c r="AU19" s="74"/>
      <c r="AV19" s="74"/>
      <c r="AW19" s="74"/>
      <c r="AX19" s="74"/>
      <c r="AY19" s="74"/>
      <c r="AZ19" s="74"/>
    </row>
    <row r="20" spans="1:52" s="87" customFormat="1" ht="13.5" customHeight="1" x14ac:dyDescent="0.2">
      <c r="A20" s="488">
        <f>VLOOKUP(B20,Sheet1!$AQ$4:$AR$25,2,FALSE)</f>
        <v>0</v>
      </c>
      <c r="B20" s="93" t="str">
        <f>Sheet1!$K$14</f>
        <v>Portsmouth</v>
      </c>
      <c r="C20" s="85"/>
      <c r="D20" s="94">
        <f>IF(Year1_Portsmouth Year1_Referrals="","",Year1_Portsmouth Year1_Referrals)</f>
        <v>2093</v>
      </c>
      <c r="E20" s="94">
        <f>IF(Year2_Portsmouth Year2_Referrals="","",Year2_Portsmouth Year2_Referrals)</f>
        <v>2487</v>
      </c>
      <c r="F20" s="94">
        <f>IF(Year3_Portsmouth Year3_Referrals="","",Year3_Portsmouth Year3_Referrals)</f>
        <v>2845</v>
      </c>
      <c r="G20" s="94">
        <f>IF(Year4_Portsmouth Year4_Referrals="","",Year4_Portsmouth Year4_Referrals)</f>
        <v>2844</v>
      </c>
      <c r="H20" s="95">
        <f>IF(Year5_Portsmouth Year5_Referrals="","",Year5_Portsmouth Year5_Referrals)</f>
        <v>2664</v>
      </c>
      <c r="I20" s="344">
        <f t="shared" si="8"/>
        <v>6.7138108837893576E-2</v>
      </c>
      <c r="J20" s="96"/>
      <c r="K20" s="97">
        <f>IF(ISNUMBER(D20),D20/Population!D20*10000,NA())</f>
        <v>477.85388127853878</v>
      </c>
      <c r="L20" s="97">
        <f>IF(ISNUMBER(E20),E20/Population!E20*10000,NA())</f>
        <v>565.22727272727275</v>
      </c>
      <c r="M20" s="97">
        <f>IF(ISNUMBER(F20),F20/Population!F20*10000,NA())</f>
        <v>643.66515837104066</v>
      </c>
      <c r="N20" s="97">
        <f>IF(ISNUMBER(G20),G20/Population!G20*10000,NA())</f>
        <v>646.36363636363626</v>
      </c>
      <c r="O20" s="98">
        <f>IF(ISNUMBER(H20),H20/Population!H20*10000,NA())</f>
        <v>608.21917808219177</v>
      </c>
      <c r="P20" s="99">
        <f t="shared" si="9"/>
        <v>608.21917808219177</v>
      </c>
      <c r="Q20" s="822">
        <f t="shared" si="0"/>
        <v>11</v>
      </c>
      <c r="R20" s="70"/>
      <c r="S20" s="340">
        <f>IDACI!C19</f>
        <v>20.200000000000003</v>
      </c>
      <c r="T20" s="341">
        <f t="shared" si="1"/>
        <v>603.76360047922367</v>
      </c>
      <c r="U20" s="342">
        <f t="shared" si="10"/>
        <v>4.4555776029681056</v>
      </c>
      <c r="V20" s="122"/>
      <c r="W20" s="139"/>
      <c r="X20" s="152"/>
      <c r="Y20" s="72" t="str">
        <f t="shared" si="2"/>
        <v>Portsmouth</v>
      </c>
      <c r="Z20" s="44">
        <f>IF(ISNUMBER($H20),IDACI!D19,0)</f>
        <v>39325</v>
      </c>
      <c r="AA20" s="44">
        <f>IF(ISNUMBER($H20),IDACI!E19,0)</f>
        <v>7943.6500000000015</v>
      </c>
      <c r="AB20" s="205">
        <f>IF(ISNUMBER(D20),Population!D20,"")</f>
        <v>43800</v>
      </c>
      <c r="AC20" s="205">
        <f>IF(ISNUMBER(E20),Population!E20,"")</f>
        <v>44000</v>
      </c>
      <c r="AD20" s="205">
        <f>IF(ISNUMBER(F20),Population!F20,"")</f>
        <v>44200</v>
      </c>
      <c r="AE20" s="205">
        <f>IF(ISNUMBER(G20),Population!G20,"")</f>
        <v>44000</v>
      </c>
      <c r="AF20" s="205">
        <f>IF(ISNUMBER(H20),Population!H20,"")</f>
        <v>43800</v>
      </c>
      <c r="AG20" s="93" t="s">
        <v>12</v>
      </c>
      <c r="AH20" s="231">
        <f t="shared" si="3"/>
        <v>608.21917808219177</v>
      </c>
      <c r="AI20" s="206">
        <f t="shared" si="11"/>
        <v>11</v>
      </c>
      <c r="AJ20" s="202"/>
      <c r="AK20" s="160"/>
      <c r="AL20" s="853">
        <f t="shared" si="4"/>
        <v>0.18824653607262304</v>
      </c>
      <c r="AM20" s="853">
        <f t="shared" si="5"/>
        <v>0.14394853236831523</v>
      </c>
      <c r="AN20" s="853">
        <f t="shared" si="6"/>
        <v>-3.5149384885764501E-4</v>
      </c>
      <c r="AO20" s="853">
        <f t="shared" si="7"/>
        <v>-6.3291139240506333E-2</v>
      </c>
      <c r="AP20" s="853">
        <f t="shared" si="12"/>
        <v>6.7138108837893576E-2</v>
      </c>
      <c r="AR20" s="74"/>
      <c r="AS20" s="74"/>
      <c r="AT20" s="74"/>
      <c r="AU20" s="74"/>
      <c r="AV20" s="74"/>
      <c r="AW20" s="74"/>
      <c r="AX20" s="74"/>
      <c r="AY20" s="74"/>
      <c r="AZ20" s="74"/>
    </row>
    <row r="21" spans="1:52" s="87" customFormat="1" ht="13.5" customHeight="1" x14ac:dyDescent="0.2">
      <c r="A21" s="488">
        <f>VLOOKUP(B21,Sheet1!$AQ$4:$AR$25,2,FALSE)</f>
        <v>0</v>
      </c>
      <c r="B21" s="93" t="str">
        <f>Sheet1!$K$15</f>
        <v>Reading</v>
      </c>
      <c r="C21" s="85"/>
      <c r="D21" s="94">
        <f>IF(Year1_Reading Year1_Referrals="","",Year1_Reading Year1_Referrals)</f>
        <v>3078</v>
      </c>
      <c r="E21" s="94">
        <f>IF(Year2_Reading Year2_Referrals="","",Year2_Reading Year2_Referrals)</f>
        <v>3267</v>
      </c>
      <c r="F21" s="94">
        <f>IF(Year3_Reading Year3_Referrals="","",Year3_Reading Year3_Referrals)</f>
        <v>2628</v>
      </c>
      <c r="G21" s="94">
        <f>IF(Year4_Reading Year4_Referrals="","",Year4_Reading Year4_Referrals)</f>
        <v>2739</v>
      </c>
      <c r="H21" s="95">
        <f>IF(Year5_Reading Year5_Referrals="","",Year5_Reading Year5_Referrals)</f>
        <v>2564</v>
      </c>
      <c r="I21" s="344">
        <f t="shared" si="8"/>
        <v>-3.8960816542221013E-2</v>
      </c>
      <c r="J21" s="96"/>
      <c r="K21" s="97">
        <f>IF(ISNUMBER(D21),D21/Population!D21*10000,NA())</f>
        <v>845.60439560439556</v>
      </c>
      <c r="L21" s="97">
        <f>IF(ISNUMBER(E21),E21/Population!E21*10000,NA())</f>
        <v>892.62295081967216</v>
      </c>
      <c r="M21" s="97">
        <f>IF(ISNUMBER(F21),F21/Population!F21*10000,NA())</f>
        <v>708.35579514824803</v>
      </c>
      <c r="N21" s="97">
        <f>IF(ISNUMBER(G21),G21/Population!G21*10000,NA())</f>
        <v>738.27493261455527</v>
      </c>
      <c r="O21" s="98">
        <f>IF(ISNUMBER(H21),H21/Population!H21*10000,NA())</f>
        <v>692.97297297297291</v>
      </c>
      <c r="P21" s="99">
        <f t="shared" si="9"/>
        <v>692.97297297297291</v>
      </c>
      <c r="Q21" s="822">
        <f t="shared" si="0"/>
        <v>14</v>
      </c>
      <c r="R21" s="70"/>
      <c r="S21" s="340">
        <f>IDACI!C20</f>
        <v>16</v>
      </c>
      <c r="T21" s="341">
        <f t="shared" si="1"/>
        <v>537.02982669801986</v>
      </c>
      <c r="U21" s="342">
        <f t="shared" si="10"/>
        <v>155.94314627495305</v>
      </c>
      <c r="V21" s="122"/>
      <c r="W21" s="139"/>
      <c r="X21" s="152"/>
      <c r="Y21" s="72" t="str">
        <f t="shared" si="2"/>
        <v>Reading</v>
      </c>
      <c r="Z21" s="44">
        <f>IF(ISNUMBER($H21),IDACI!D20,0)</f>
        <v>33203</v>
      </c>
      <c r="AA21" s="44">
        <f>IF(ISNUMBER($H21),IDACI!E20,0)</f>
        <v>5312.4800000000005</v>
      </c>
      <c r="AB21" s="205">
        <f>IF(ISNUMBER(D21),Population!D21,"")</f>
        <v>36400</v>
      </c>
      <c r="AC21" s="205">
        <f>IF(ISNUMBER(E21),Population!E21,"")</f>
        <v>36600</v>
      </c>
      <c r="AD21" s="205">
        <f>IF(ISNUMBER(F21),Population!F21,"")</f>
        <v>37100</v>
      </c>
      <c r="AE21" s="205">
        <f>IF(ISNUMBER(G21),Population!G21,"")</f>
        <v>37100</v>
      </c>
      <c r="AF21" s="205">
        <f>IF(ISNUMBER(H21),Population!H21,"")</f>
        <v>37000</v>
      </c>
      <c r="AG21" s="93" t="s">
        <v>3</v>
      </c>
      <c r="AH21" s="231">
        <f t="shared" si="3"/>
        <v>692.97297297297291</v>
      </c>
      <c r="AI21" s="206">
        <f t="shared" si="11"/>
        <v>14</v>
      </c>
      <c r="AJ21" s="202"/>
      <c r="AK21" s="160"/>
      <c r="AL21" s="853">
        <f t="shared" si="4"/>
        <v>6.1403508771929821E-2</v>
      </c>
      <c r="AM21" s="853">
        <f t="shared" si="5"/>
        <v>-0.19559228650137742</v>
      </c>
      <c r="AN21" s="853">
        <f t="shared" si="6"/>
        <v>4.2237442922374427E-2</v>
      </c>
      <c r="AO21" s="853">
        <f t="shared" si="7"/>
        <v>-6.3891931361810886E-2</v>
      </c>
      <c r="AP21" s="853">
        <f t="shared" si="12"/>
        <v>-3.8960816542221013E-2</v>
      </c>
      <c r="AR21" s="74"/>
      <c r="AS21" s="74"/>
      <c r="AT21" s="74"/>
      <c r="AU21" s="74"/>
      <c r="AV21" s="74"/>
      <c r="AW21" s="74"/>
      <c r="AX21" s="74"/>
      <c r="AY21" s="74"/>
      <c r="AZ21" s="74"/>
    </row>
    <row r="22" spans="1:52" s="87" customFormat="1" ht="13.5" customHeight="1" x14ac:dyDescent="0.2">
      <c r="A22" s="488">
        <f>VLOOKUP(B22,Sheet1!$AQ$4:$AR$25,2,FALSE)</f>
        <v>0</v>
      </c>
      <c r="B22" s="93" t="str">
        <f>Sheet1!$K$16</f>
        <v>Slough</v>
      </c>
      <c r="C22" s="85"/>
      <c r="D22" s="94">
        <f>IF(Year1_Slough Year1_Referrals="","",Year1_Slough Year1_Referrals)</f>
        <v>2774</v>
      </c>
      <c r="E22" s="94">
        <f>IF(Year2_Slough Year2_Referrals="","",Year2_Slough Year2_Referrals)</f>
        <v>5688</v>
      </c>
      <c r="F22" s="94">
        <f>IF(Year3_Slough Year3_Referrals="","",Year3_Slough Year3_Referrals)</f>
        <v>1591</v>
      </c>
      <c r="G22" s="94">
        <f>IF(Year4_Slough Year4_Referrals="","",Year4_Slough Year4_Referrals)</f>
        <v>1985</v>
      </c>
      <c r="H22" s="95">
        <f>IF(Year5_Slough Year5_Referrals="","",Year5_Slough Year5_Referrals)</f>
        <v>2540</v>
      </c>
      <c r="I22" s="344">
        <f t="shared" si="8"/>
        <v>0.2143550700512051</v>
      </c>
      <c r="J22" s="96"/>
      <c r="K22" s="97">
        <f>IF(ISNUMBER(D22),D22/Population!D22*10000,NA())</f>
        <v>683.25123152709364</v>
      </c>
      <c r="L22" s="97">
        <f>IF(ISNUMBER(E22),E22/Population!E22*10000,NA())</f>
        <v>1373.913043478261</v>
      </c>
      <c r="M22" s="97">
        <f>IF(ISNUMBER(F22),F22/Population!F22*10000,NA())</f>
        <v>377.01421800947867</v>
      </c>
      <c r="N22" s="97">
        <f>IF(ISNUMBER(G22),G22/Population!G22*10000,NA())</f>
        <v>464.87119437939111</v>
      </c>
      <c r="O22" s="98">
        <f>IF(ISNUMBER(H22),H22/Population!H22*10000,NA())</f>
        <v>589.3271461716937</v>
      </c>
      <c r="P22" s="99">
        <f t="shared" si="9"/>
        <v>589.3271461716937</v>
      </c>
      <c r="Q22" s="822">
        <f t="shared" si="0"/>
        <v>9</v>
      </c>
      <c r="R22" s="70"/>
      <c r="S22" s="340">
        <f>IDACI!C21</f>
        <v>14.7</v>
      </c>
      <c r="T22" s="341">
        <f t="shared" si="1"/>
        <v>516.37413481336159</v>
      </c>
      <c r="U22" s="342">
        <f t="shared" si="10"/>
        <v>72.953011358332105</v>
      </c>
      <c r="V22" s="122"/>
      <c r="W22" s="139"/>
      <c r="X22" s="152"/>
      <c r="Y22" s="72" t="str">
        <f t="shared" si="2"/>
        <v>Slough</v>
      </c>
      <c r="Z22" s="44">
        <f>IF(ISNUMBER($H22),IDACI!D21,0)</f>
        <v>37031</v>
      </c>
      <c r="AA22" s="44">
        <f>IF(ISNUMBER($H22),IDACI!E21,0)</f>
        <v>5443.5569999999998</v>
      </c>
      <c r="AB22" s="205">
        <f>IF(ISNUMBER(D22),Population!D22,"")</f>
        <v>40600</v>
      </c>
      <c r="AC22" s="205">
        <f>IF(ISNUMBER(E22),Population!E22,"")</f>
        <v>41400</v>
      </c>
      <c r="AD22" s="205">
        <f>IF(ISNUMBER(F22),Population!F22,"")</f>
        <v>42200</v>
      </c>
      <c r="AE22" s="205">
        <f>IF(ISNUMBER(G22),Population!G22,"")</f>
        <v>42700</v>
      </c>
      <c r="AF22" s="205">
        <f>IF(ISNUMBER(H22),Population!H22,"")</f>
        <v>43100</v>
      </c>
      <c r="AG22" s="93" t="s">
        <v>13</v>
      </c>
      <c r="AH22" s="231">
        <f t="shared" si="3"/>
        <v>589.3271461716937</v>
      </c>
      <c r="AI22" s="206">
        <f t="shared" si="11"/>
        <v>9</v>
      </c>
      <c r="AJ22" s="202"/>
      <c r="AK22" s="160"/>
      <c r="AL22" s="853">
        <f t="shared" si="4"/>
        <v>1.0504686373467917</v>
      </c>
      <c r="AM22" s="853">
        <f t="shared" si="5"/>
        <v>-0.72028832630098449</v>
      </c>
      <c r="AN22" s="853">
        <f t="shared" si="6"/>
        <v>0.24764299182903834</v>
      </c>
      <c r="AO22" s="853">
        <f t="shared" si="7"/>
        <v>0.27959697732997479</v>
      </c>
      <c r="AP22" s="853">
        <f t="shared" si="12"/>
        <v>0.2143550700512051</v>
      </c>
      <c r="AR22" s="74"/>
      <c r="AS22" s="74"/>
      <c r="AT22" s="74"/>
      <c r="AU22" s="74"/>
      <c r="AV22" s="74"/>
      <c r="AW22" s="74"/>
      <c r="AX22" s="74"/>
      <c r="AY22" s="74"/>
      <c r="AZ22" s="74"/>
    </row>
    <row r="23" spans="1:52" s="87" customFormat="1" ht="13.5" customHeight="1" x14ac:dyDescent="0.2">
      <c r="A23" s="488">
        <f>VLOOKUP(B23,Sheet1!$AQ$4:$AR$25,2,FALSE)</f>
        <v>0</v>
      </c>
      <c r="B23" s="93" t="str">
        <f>Sheet1!$K$17</f>
        <v>Somerset</v>
      </c>
      <c r="C23" s="85"/>
      <c r="D23" s="94">
        <f>IF(Year1_Somerset Year1_Referrals="","",Year1_Somerset Year1_Referrals)</f>
        <v>4133</v>
      </c>
      <c r="E23" s="94">
        <f>IF(Year2_Somerset Year2_Referrals="","",Year2_Somerset Year2_Referrals)</f>
        <v>4777</v>
      </c>
      <c r="F23" s="94">
        <f>IF(Year3_Somerset Year3_Referrals="","",Year3_Somerset Year3_Referrals)</f>
        <v>5165</v>
      </c>
      <c r="G23" s="94">
        <f>IF(Year4_Somerset Year4_Referrals="","",Year4_Somerset Year4_Referrals)</f>
        <v>3830</v>
      </c>
      <c r="H23" s="95">
        <f>IF(Year5_Somerset Year5_Referrals="","",Year5_Somerset Year5_Referrals)</f>
        <v>3619</v>
      </c>
      <c r="I23" s="344">
        <f t="shared" si="8"/>
        <v>-1.913007897470792E-2</v>
      </c>
      <c r="J23" s="96"/>
      <c r="K23" s="97">
        <f>IF(ISNUMBER(D23),D23/Population!D23*10000,NA())</f>
        <v>378.47985347985349</v>
      </c>
      <c r="L23" s="97">
        <f>IF(ISNUMBER(E23),E23/Population!E23*10000,NA())</f>
        <v>435.46034639927075</v>
      </c>
      <c r="M23" s="97">
        <f>IF(ISNUMBER(F23),F23/Population!F23*10000,NA())</f>
        <v>469.11898274296095</v>
      </c>
      <c r="N23" s="97">
        <f>IF(ISNUMBER(G23),G23/Population!G23*10000,NA())</f>
        <v>345.98012646793137</v>
      </c>
      <c r="O23" s="98">
        <f>IF(ISNUMBER(H23),H23/Population!H23*10000,NA())</f>
        <v>325.44964028776974</v>
      </c>
      <c r="P23" s="99">
        <f t="shared" si="9"/>
        <v>325.44964028776974</v>
      </c>
      <c r="Q23" s="807" t="str">
        <f t="shared" si="0"/>
        <v>--</v>
      </c>
      <c r="R23" s="70"/>
      <c r="S23" s="340">
        <f>IDACI!C22</f>
        <v>13.600000000000001</v>
      </c>
      <c r="T23" s="341">
        <f t="shared" si="1"/>
        <v>498.89624168018929</v>
      </c>
      <c r="U23" s="342">
        <f t="shared" si="10"/>
        <v>-173.44660139241955</v>
      </c>
      <c r="V23" s="122"/>
      <c r="W23" s="139"/>
      <c r="X23" s="152"/>
      <c r="Y23" s="72" t="str">
        <f t="shared" si="2"/>
        <v>Somerset</v>
      </c>
      <c r="Z23" s="44">
        <f>IF(ISNUMBER($H23),IDACI!D22,0)</f>
        <v>95875</v>
      </c>
      <c r="AA23" s="44">
        <f>IF(ISNUMBER($H23),IDACI!E22,0)</f>
        <v>13039.000000000002</v>
      </c>
      <c r="AB23" s="205">
        <f>IF(ISNUMBER(D23),Population!D23,"")</f>
        <v>109200</v>
      </c>
      <c r="AC23" s="205">
        <f>IF(ISNUMBER(E23),Population!E23,"")</f>
        <v>109700</v>
      </c>
      <c r="AD23" s="205">
        <f>IF(ISNUMBER(F23),Population!F23,"")</f>
        <v>110100</v>
      </c>
      <c r="AE23" s="205">
        <f>IF(ISNUMBER(G23),Population!G23,"")</f>
        <v>110700</v>
      </c>
      <c r="AF23" s="205">
        <f>IF(ISNUMBER(H23),Population!H23,"")</f>
        <v>111200</v>
      </c>
      <c r="AG23" s="93" t="s">
        <v>14</v>
      </c>
      <c r="AH23" s="231">
        <f t="shared" si="3"/>
        <v>943.46978557504872</v>
      </c>
      <c r="AI23" s="206">
        <f t="shared" si="11"/>
        <v>18</v>
      </c>
      <c r="AJ23" s="202"/>
      <c r="AK23" s="160"/>
      <c r="AL23" s="853">
        <f t="shared" si="4"/>
        <v>0.15581901766271475</v>
      </c>
      <c r="AM23" s="853">
        <f t="shared" si="5"/>
        <v>8.1222524597027418E-2</v>
      </c>
      <c r="AN23" s="853">
        <f t="shared" si="6"/>
        <v>-0.25847047434656339</v>
      </c>
      <c r="AO23" s="853">
        <f t="shared" si="7"/>
        <v>-5.5091383812010446E-2</v>
      </c>
      <c r="AP23" s="853">
        <f t="shared" si="12"/>
        <v>-1.913007897470792E-2</v>
      </c>
      <c r="AR23" s="74"/>
      <c r="AS23" s="74"/>
      <c r="AT23" s="74"/>
      <c r="AU23" s="74"/>
      <c r="AV23" s="74"/>
      <c r="AW23" s="74"/>
      <c r="AX23" s="74"/>
      <c r="AY23" s="74"/>
      <c r="AZ23" s="74"/>
    </row>
    <row r="24" spans="1:52" s="87" customFormat="1" ht="13.5" customHeight="1" x14ac:dyDescent="0.2">
      <c r="A24" s="488">
        <f>VLOOKUP(B24,Sheet1!$AQ$4:$AR$25,2,FALSE)</f>
        <v>0</v>
      </c>
      <c r="B24" s="93" t="str">
        <f>Sheet1!$K$18</f>
        <v>Southampton</v>
      </c>
      <c r="C24" s="85"/>
      <c r="D24" s="94">
        <f>IF(Year1_Southampton Year1_Referrals="","",Year1_Southampton Year1_Referrals)</f>
        <v>4116</v>
      </c>
      <c r="E24" s="94">
        <f>IF(Year2_Southampton Year2_Referrals="","",Year2_Southampton Year2_Referrals)</f>
        <v>3044</v>
      </c>
      <c r="F24" s="94">
        <f>IF(Year3_Southampton Year3_Referrals="","",Year3_Southampton Year3_Referrals)</f>
        <v>2613</v>
      </c>
      <c r="G24" s="94">
        <f>IF(Year4_Southampton Year4_Referrals="","",Year4_Southampton Year4_Referrals)</f>
        <v>2598</v>
      </c>
      <c r="H24" s="95">
        <f>IF(Year5_Southampton Year5_Referrals="","",Year5_Southampton Year5_Referrals)</f>
        <v>4840</v>
      </c>
      <c r="I24" s="344">
        <f t="shared" si="8"/>
        <v>0.11379848483119021</v>
      </c>
      <c r="J24" s="96"/>
      <c r="K24" s="97">
        <f>IF(ISNUMBER(D24),D24/Population!D24*10000,NA())</f>
        <v>836.58536585365857</v>
      </c>
      <c r="L24" s="97">
        <f>IF(ISNUMBER(E24),E24/Population!E24*10000,NA())</f>
        <v>610.02004008016036</v>
      </c>
      <c r="M24" s="97">
        <f>IF(ISNUMBER(F24),F24/Population!F24*10000,NA())</f>
        <v>519.48310139165005</v>
      </c>
      <c r="N24" s="97">
        <f>IF(ISNUMBER(G24),G24/Population!G24*10000,NA())</f>
        <v>511.41732283464569</v>
      </c>
      <c r="O24" s="98">
        <f>IF(ISNUMBER(H24),H24/Population!H24*10000,NA())</f>
        <v>943.46978557504872</v>
      </c>
      <c r="P24" s="99">
        <f t="shared" si="9"/>
        <v>943.46978557504872</v>
      </c>
      <c r="Q24" s="822">
        <f t="shared" si="0"/>
        <v>18</v>
      </c>
      <c r="R24" s="70"/>
      <c r="S24" s="340">
        <f>IDACI!C23</f>
        <v>20.5</v>
      </c>
      <c r="T24" s="341">
        <f t="shared" si="1"/>
        <v>608.53029860645245</v>
      </c>
      <c r="U24" s="342">
        <f t="shared" si="10"/>
        <v>334.93948696859627</v>
      </c>
      <c r="V24" s="122"/>
      <c r="W24" s="139"/>
      <c r="X24" s="152"/>
      <c r="Y24" s="72" t="str">
        <f t="shared" si="2"/>
        <v>Southampton</v>
      </c>
      <c r="Z24" s="44">
        <f>IF(ISNUMBER($H24),IDACI!D23,0)</f>
        <v>44295</v>
      </c>
      <c r="AA24" s="44">
        <f>IF(ISNUMBER($H24),IDACI!E23,0)</f>
        <v>9080.4750000000004</v>
      </c>
      <c r="AB24" s="205">
        <f>IF(ISNUMBER(D24),Population!D24,"")</f>
        <v>49200</v>
      </c>
      <c r="AC24" s="205">
        <f>IF(ISNUMBER(E24),Population!E24,"")</f>
        <v>49900</v>
      </c>
      <c r="AD24" s="205">
        <f>IF(ISNUMBER(F24),Population!F24,"")</f>
        <v>50300</v>
      </c>
      <c r="AE24" s="205">
        <f>IF(ISNUMBER(G24),Population!G24,"")</f>
        <v>50800</v>
      </c>
      <c r="AF24" s="205">
        <f>IF(ISNUMBER(H24),Population!H24,"")</f>
        <v>51300</v>
      </c>
      <c r="AG24" s="93" t="s">
        <v>7</v>
      </c>
      <c r="AH24" s="231">
        <f t="shared" si="3"/>
        <v>322.93404094010617</v>
      </c>
      <c r="AI24" s="206">
        <f t="shared" si="11"/>
        <v>1</v>
      </c>
      <c r="AJ24" s="202"/>
      <c r="AK24" s="160"/>
      <c r="AL24" s="853">
        <f t="shared" si="4"/>
        <v>-0.26044703595724006</v>
      </c>
      <c r="AM24" s="853">
        <f t="shared" si="5"/>
        <v>-0.14159001314060446</v>
      </c>
      <c r="AN24" s="853">
        <f t="shared" si="6"/>
        <v>-5.7405281285878304E-3</v>
      </c>
      <c r="AO24" s="853">
        <f t="shared" si="7"/>
        <v>0.8629715165511932</v>
      </c>
      <c r="AP24" s="853">
        <f t="shared" si="12"/>
        <v>0.11379848483119021</v>
      </c>
      <c r="AR24" s="74"/>
      <c r="AS24" s="74"/>
      <c r="AT24" s="74"/>
      <c r="AU24" s="74"/>
      <c r="AV24" s="74"/>
      <c r="AW24" s="74"/>
      <c r="AX24" s="74"/>
      <c r="AY24" s="74"/>
      <c r="AZ24" s="74"/>
    </row>
    <row r="25" spans="1:52" s="87" customFormat="1" ht="13.5" customHeight="1" x14ac:dyDescent="0.2">
      <c r="A25" s="488">
        <f>VLOOKUP(B25,Sheet1!$AQ$4:$AR$25,2,FALSE)</f>
        <v>0</v>
      </c>
      <c r="B25" s="93" t="str">
        <f>Sheet1!$K$19</f>
        <v>Surrey</v>
      </c>
      <c r="C25" s="85"/>
      <c r="D25" s="94">
        <f>IF(Year1_Surrey Year1_Referrals="","",Year1_Surrey Year1_Referrals)</f>
        <v>11768</v>
      </c>
      <c r="E25" s="94">
        <f>IF(Year2_Surrey Year2_Referrals="","",Year2_Surrey Year2_Referrals)</f>
        <v>11679</v>
      </c>
      <c r="F25" s="94">
        <f>IF(Year3_Surrey Year3_Referrals="","",Year3_Surrey Year3_Referrals)</f>
        <v>13626</v>
      </c>
      <c r="G25" s="94">
        <f>IF(Year4_Surrey Year4_Referrals="","",Year4_Surrey Year4_Referrals)</f>
        <v>10635</v>
      </c>
      <c r="H25" s="95">
        <f>IF(Year5_Surrey Year5_Referrals="","",Year5_Surrey Year5_Referrals)</f>
        <v>8519</v>
      </c>
      <c r="I25" s="344">
        <f t="shared" si="8"/>
        <v>-6.4831477097357038E-2</v>
      </c>
      <c r="J25" s="96"/>
      <c r="K25" s="97">
        <f>IF(ISNUMBER(D25),D25/Population!D25*10000,NA())</f>
        <v>458.97035881435261</v>
      </c>
      <c r="L25" s="97">
        <f>IF(ISNUMBER(E25),E25/Population!E25*10000,NA())</f>
        <v>450.92664092664091</v>
      </c>
      <c r="M25" s="97">
        <f>IF(ISNUMBER(F25),F25/Population!F25*10000,NA())</f>
        <v>523.47291586630809</v>
      </c>
      <c r="N25" s="97">
        <f>IF(ISNUMBER(G25),G25/Population!G25*10000,NA())</f>
        <v>406.07101947308132</v>
      </c>
      <c r="O25" s="98">
        <f>IF(ISNUMBER(H25),H25/Population!H25*10000,NA())</f>
        <v>322.93404094010617</v>
      </c>
      <c r="P25" s="99">
        <f t="shared" si="9"/>
        <v>322.93404094010617</v>
      </c>
      <c r="Q25" s="822">
        <f t="shared" si="0"/>
        <v>1</v>
      </c>
      <c r="R25" s="70"/>
      <c r="S25" s="340">
        <f>IDACI!C24</f>
        <v>8.3000000000000007</v>
      </c>
      <c r="T25" s="341">
        <f t="shared" si="1"/>
        <v>414.68457476581312</v>
      </c>
      <c r="U25" s="342">
        <f t="shared" si="10"/>
        <v>-91.750533825706952</v>
      </c>
      <c r="V25" s="122"/>
      <c r="W25" s="139"/>
      <c r="X25" s="152"/>
      <c r="Y25" s="72" t="str">
        <f t="shared" si="2"/>
        <v>Surrey</v>
      </c>
      <c r="Z25" s="44">
        <f>IF(ISNUMBER($H25),IDACI!D24,0)</f>
        <v>228466</v>
      </c>
      <c r="AA25" s="44">
        <f>IF(ISNUMBER($H25),IDACI!E24,0)</f>
        <v>18962.678</v>
      </c>
      <c r="AB25" s="205">
        <f>IF(ISNUMBER(D25),Population!D25,"")</f>
        <v>256400</v>
      </c>
      <c r="AC25" s="205">
        <f>IF(ISNUMBER(E25),Population!E25,"")</f>
        <v>259000</v>
      </c>
      <c r="AD25" s="205">
        <f>IF(ISNUMBER(F25),Population!F25,"")</f>
        <v>260300</v>
      </c>
      <c r="AE25" s="205">
        <f>IF(ISNUMBER(G25),Population!G25,"")</f>
        <v>261900</v>
      </c>
      <c r="AF25" s="205">
        <f>IF(ISNUMBER(H25),Population!H25,"")</f>
        <v>263800</v>
      </c>
      <c r="AG25" s="93" t="s">
        <v>15</v>
      </c>
      <c r="AH25" s="231">
        <f t="shared" si="3"/>
        <v>464.60674157303373</v>
      </c>
      <c r="AI25" s="206">
        <f t="shared" si="11"/>
        <v>6</v>
      </c>
      <c r="AJ25" s="202"/>
      <c r="AK25" s="160"/>
      <c r="AL25" s="853">
        <f t="shared" si="4"/>
        <v>-7.5628823929299793E-3</v>
      </c>
      <c r="AM25" s="853">
        <f t="shared" si="5"/>
        <v>0.16670947855124582</v>
      </c>
      <c r="AN25" s="853">
        <f t="shared" si="6"/>
        <v>-0.21950682518714223</v>
      </c>
      <c r="AO25" s="853">
        <f t="shared" si="7"/>
        <v>-0.19896567936060178</v>
      </c>
      <c r="AP25" s="853">
        <f t="shared" si="12"/>
        <v>-6.4831477097357038E-2</v>
      </c>
      <c r="AR25" s="74"/>
      <c r="AS25" s="74"/>
      <c r="AT25" s="74"/>
      <c r="AU25" s="74"/>
      <c r="AV25" s="74"/>
      <c r="AW25" s="74"/>
      <c r="AX25" s="74"/>
      <c r="AY25" s="74"/>
      <c r="AZ25" s="74"/>
    </row>
    <row r="26" spans="1:52" s="87" customFormat="1" ht="13.5" customHeight="1" x14ac:dyDescent="0.2">
      <c r="A26" s="488">
        <f>VLOOKUP(B26,Sheet1!$AQ$4:$AR$25,2,FALSE)</f>
        <v>0</v>
      </c>
      <c r="B26" s="93" t="str">
        <f>Sheet1!$K$20</f>
        <v>Swindon</v>
      </c>
      <c r="C26" s="85"/>
      <c r="D26" s="94">
        <f>IF(Year1_Swindon Year1_Referrals="","",Year1_Swindon Year1_Referrals)</f>
        <v>3405</v>
      </c>
      <c r="E26" s="94">
        <f>IF(Year2_Swindon Year2_Referrals="","",Year2_Swindon Year2_Referrals)</f>
        <v>3021</v>
      </c>
      <c r="F26" s="94">
        <f>IF(Year3_Swindon Year3_Referrals="","",Year3_Swindon Year3_Referrals)</f>
        <v>3627</v>
      </c>
      <c r="G26" s="94">
        <f>IF(Year4_Swindon Year4_Referrals="","",Year4_Swindon Year4_Referrals)</f>
        <v>3242</v>
      </c>
      <c r="H26" s="95">
        <f>IF(Year5_Swindon Year5_Referrals="","",Year5_Swindon Year5_Referrals)</f>
        <v>3026</v>
      </c>
      <c r="I26" s="344">
        <f t="shared" si="8"/>
        <v>-2.1238343236470419E-2</v>
      </c>
      <c r="J26" s="96"/>
      <c r="K26" s="97">
        <f>IF(ISNUMBER(D26),D26/Population!D26*10000,NA())</f>
        <v>694.89795918367349</v>
      </c>
      <c r="L26" s="97">
        <f>IF(ISNUMBER(E26),E26/Population!E26*10000,NA())</f>
        <v>610.30303030303037</v>
      </c>
      <c r="M26" s="97">
        <f>IF(ISNUMBER(F26),F26/Population!F26*10000,NA())</f>
        <v>726.85370741482973</v>
      </c>
      <c r="N26" s="97">
        <f>IF(ISNUMBER(G26),G26/Population!G26*10000,NA())</f>
        <v>645.81673306772905</v>
      </c>
      <c r="O26" s="98">
        <f>IF(ISNUMBER(H26),H26/Population!H26*10000,NA())</f>
        <v>600.39682539682542</v>
      </c>
      <c r="P26" s="99">
        <f t="shared" si="9"/>
        <v>600.39682539682542</v>
      </c>
      <c r="Q26" s="807" t="str">
        <f t="shared" si="0"/>
        <v>--</v>
      </c>
      <c r="R26" s="70"/>
      <c r="S26" s="340">
        <f>IDACI!C25</f>
        <v>14.899999999999999</v>
      </c>
      <c r="T26" s="341">
        <f t="shared" si="1"/>
        <v>519.55193356484756</v>
      </c>
      <c r="U26" s="342">
        <f t="shared" si="10"/>
        <v>80.844891831977861</v>
      </c>
      <c r="V26" s="122"/>
      <c r="W26" s="139"/>
      <c r="X26" s="152"/>
      <c r="Y26" s="72" t="str">
        <f t="shared" si="2"/>
        <v>Swindon</v>
      </c>
      <c r="Z26" s="44">
        <f>IF(ISNUMBER($H26),IDACI!D25,0)</f>
        <v>43899</v>
      </c>
      <c r="AA26" s="44">
        <f>IF(ISNUMBER($H26),IDACI!E25,0)</f>
        <v>6540.951</v>
      </c>
      <c r="AB26" s="205">
        <f>IF(ISNUMBER(D26),Population!D26,"")</f>
        <v>49000</v>
      </c>
      <c r="AC26" s="205">
        <f>IF(ISNUMBER(E26),Population!E26,"")</f>
        <v>49500</v>
      </c>
      <c r="AD26" s="205">
        <f>IF(ISNUMBER(F26),Population!F26,"")</f>
        <v>49900</v>
      </c>
      <c r="AE26" s="205">
        <f>IF(ISNUMBER(G26),Population!G26,"")</f>
        <v>50200</v>
      </c>
      <c r="AF26" s="205">
        <f>IF(ISNUMBER(H26),Population!H26,"")</f>
        <v>50400</v>
      </c>
      <c r="AG26" s="93" t="s">
        <v>5</v>
      </c>
      <c r="AH26" s="231">
        <f t="shared" si="3"/>
        <v>567.4616695059625</v>
      </c>
      <c r="AI26" s="206">
        <f t="shared" si="11"/>
        <v>8</v>
      </c>
      <c r="AJ26" s="202"/>
      <c r="AK26" s="160"/>
      <c r="AL26" s="853">
        <f t="shared" si="4"/>
        <v>-0.11277533039647578</v>
      </c>
      <c r="AM26" s="853">
        <f t="shared" si="5"/>
        <v>0.2005958291956306</v>
      </c>
      <c r="AN26" s="853">
        <f t="shared" si="6"/>
        <v>-0.10614833195478357</v>
      </c>
      <c r="AO26" s="853">
        <f t="shared" si="7"/>
        <v>-6.662553979025293E-2</v>
      </c>
      <c r="AP26" s="853">
        <f t="shared" si="12"/>
        <v>-2.1238343236470419E-2</v>
      </c>
      <c r="AR26" s="74"/>
      <c r="AS26" s="74"/>
      <c r="AT26" s="74"/>
      <c r="AU26" s="74"/>
      <c r="AV26" s="74"/>
      <c r="AW26" s="74"/>
      <c r="AX26" s="74"/>
      <c r="AY26" s="74"/>
      <c r="AZ26" s="74"/>
    </row>
    <row r="27" spans="1:52" s="87" customFormat="1" ht="13.5" customHeight="1" x14ac:dyDescent="0.2">
      <c r="A27" s="488">
        <f>VLOOKUP(B27,Sheet1!$AQ$4:$AR$25,2,FALSE)</f>
        <v>0</v>
      </c>
      <c r="B27" s="93" t="str">
        <f>Sheet1!$K$21</f>
        <v>Torbay</v>
      </c>
      <c r="C27" s="85"/>
      <c r="D27" s="94">
        <f>IF(Year1_Torbay Year1_Referrals="","",Year1_Torbay Year1_Referrals)</f>
        <v>1988</v>
      </c>
      <c r="E27" s="94">
        <f>IF(Year2_Torbay Year2_Referrals="","",Year2_Torbay Year2_Referrals)</f>
        <v>1616</v>
      </c>
      <c r="F27" s="94">
        <f>IF(Year3_Torbay Year3_Referrals="","",Year3_Torbay Year3_Referrals)</f>
        <v>1805</v>
      </c>
      <c r="G27" s="94">
        <f>IF(Year4_Torbay Year4_Referrals="","",Year4_Torbay Year4_Referrals)</f>
        <v>1766</v>
      </c>
      <c r="H27" s="95">
        <f>IF(Year5_Torbay Year5_Referrals="","",Year5_Torbay Year5_Referrals)</f>
        <v>1869</v>
      </c>
      <c r="I27" s="344">
        <f t="shared" si="8"/>
        <v>-8.3625108159157656E-3</v>
      </c>
      <c r="J27" s="96"/>
      <c r="K27" s="97">
        <f>IF(ISNUMBER(D27),D27/Population!D27*10000,NA())</f>
        <v>788.8888888888888</v>
      </c>
      <c r="L27" s="97">
        <f>IF(ISNUMBER(E27),E27/Population!E27*10000,NA())</f>
        <v>636.22047244094483</v>
      </c>
      <c r="M27" s="97">
        <f>IF(ISNUMBER(F27),F27/Population!F27*10000,NA())</f>
        <v>710.6299212598426</v>
      </c>
      <c r="N27" s="97">
        <f>IF(ISNUMBER(G27),G27/Population!G27*10000,NA())</f>
        <v>695.27559055118104</v>
      </c>
      <c r="O27" s="98">
        <f>IF(ISNUMBER(H27),H27/Population!H27*10000,NA())</f>
        <v>730.078125</v>
      </c>
      <c r="P27" s="99">
        <f t="shared" si="9"/>
        <v>730.078125</v>
      </c>
      <c r="Q27" s="807" t="str">
        <f t="shared" si="0"/>
        <v>--</v>
      </c>
      <c r="R27" s="70"/>
      <c r="S27" s="340">
        <f>IDACI!C26</f>
        <v>21.9</v>
      </c>
      <c r="T27" s="341">
        <f t="shared" si="1"/>
        <v>630.77488986685375</v>
      </c>
      <c r="U27" s="342">
        <f t="shared" si="10"/>
        <v>99.303235133146245</v>
      </c>
      <c r="V27" s="122"/>
      <c r="W27" s="139"/>
      <c r="X27" s="152"/>
      <c r="Y27" s="72" t="str">
        <f t="shared" si="2"/>
        <v>Torbay</v>
      </c>
      <c r="Z27" s="44">
        <f>IF(ISNUMBER($H27),IDACI!D26,0)</f>
        <v>22257</v>
      </c>
      <c r="AA27" s="44">
        <f>IF(ISNUMBER($H27),IDACI!E26,0)</f>
        <v>4874.2829999999994</v>
      </c>
      <c r="AB27" s="205">
        <f>IF(ISNUMBER(D27),Population!D27,"")</f>
        <v>25200</v>
      </c>
      <c r="AC27" s="205">
        <f>IF(ISNUMBER(E27),Population!E27,"")</f>
        <v>25400</v>
      </c>
      <c r="AD27" s="205">
        <f>IF(ISNUMBER(F27),Population!F27,"")</f>
        <v>25400</v>
      </c>
      <c r="AE27" s="205">
        <f>IF(ISNUMBER(G27),Population!G27,"")</f>
        <v>25400</v>
      </c>
      <c r="AF27" s="205">
        <f>IF(ISNUMBER(H27),Population!H27,"")</f>
        <v>25600</v>
      </c>
      <c r="AG27" s="93" t="s">
        <v>30</v>
      </c>
      <c r="AH27" s="231">
        <f t="shared" si="3"/>
        <v>390.77809798270891</v>
      </c>
      <c r="AI27" s="206">
        <f t="shared" si="11"/>
        <v>2</v>
      </c>
      <c r="AJ27" s="202"/>
      <c r="AK27" s="160"/>
      <c r="AL27" s="853">
        <f t="shared" si="4"/>
        <v>-0.18712273641851107</v>
      </c>
      <c r="AM27" s="853">
        <f t="shared" si="5"/>
        <v>0.11695544554455446</v>
      </c>
      <c r="AN27" s="853">
        <f t="shared" si="6"/>
        <v>-2.1606648199445983E-2</v>
      </c>
      <c r="AO27" s="853">
        <f t="shared" si="7"/>
        <v>5.8323895809739526E-2</v>
      </c>
      <c r="AP27" s="853">
        <f t="shared" si="12"/>
        <v>-8.3625108159157656E-3</v>
      </c>
      <c r="AR27" s="74"/>
      <c r="AS27" s="74"/>
      <c r="AT27" s="74"/>
      <c r="AU27" s="74"/>
      <c r="AV27" s="74"/>
      <c r="AW27" s="74"/>
      <c r="AX27" s="74"/>
      <c r="AY27" s="74"/>
      <c r="AZ27" s="74"/>
    </row>
    <row r="28" spans="1:52" s="87" customFormat="1" ht="13.5" customHeight="1" x14ac:dyDescent="0.2">
      <c r="A28" s="488">
        <f>VLOOKUP(B28,Sheet1!$AQ$4:$AR$25,2,FALSE)</f>
        <v>0</v>
      </c>
      <c r="B28" s="93" t="str">
        <f>Sheet1!$K$22</f>
        <v>West Berkshire</v>
      </c>
      <c r="C28" s="85"/>
      <c r="D28" s="94">
        <f>IF(Year1_West_Berkshire Year1_Referrals="","",Year1_West_Berkshire Year1_Referrals)</f>
        <v>1365</v>
      </c>
      <c r="E28" s="100">
        <f>IF(Year2_West_Berkshire Year2_Referrals="","",Year2_West_Berkshire Year2_Referrals)</f>
        <v>1652</v>
      </c>
      <c r="F28" s="94">
        <f>IF(Year3_West_Berkshire Year3_Referrals="","",Year3_West_Berkshire Year3_Referrals)</f>
        <v>1512</v>
      </c>
      <c r="G28" s="94">
        <f>IF(Year4_West_Berkshire Year4_Referrals="","",Year4_West_Berkshire Year4_Referrals)</f>
        <v>1686</v>
      </c>
      <c r="H28" s="95">
        <f>IF(Year5_West_Berkshire Year5_Referrals="","",Year5_West_Berkshire Year5_Referrals)</f>
        <v>1654</v>
      </c>
      <c r="I28" s="344">
        <f t="shared" si="8"/>
        <v>5.5402544674364451E-2</v>
      </c>
      <c r="J28" s="96"/>
      <c r="K28" s="97">
        <f>IF(ISNUMBER(D28),D28/Population!D28*10000,NA())</f>
        <v>382.35294117647061</v>
      </c>
      <c r="L28" s="97">
        <f>IF(ISNUMBER(E28),E28/Population!E28*10000,NA())</f>
        <v>460.16713091922003</v>
      </c>
      <c r="M28" s="97">
        <f>IF(ISNUMBER(F28),F28/Population!F28*10000,NA())</f>
        <v>422.34636871508377</v>
      </c>
      <c r="N28" s="97">
        <f>IF(ISNUMBER(G28),G28/Population!G28*10000,NA())</f>
        <v>473.59550561797755</v>
      </c>
      <c r="O28" s="98">
        <f>IF(ISNUMBER(H28),H28/Population!H28*10000,NA())</f>
        <v>464.60674157303373</v>
      </c>
      <c r="P28" s="99">
        <f t="shared" si="9"/>
        <v>464.60674157303373</v>
      </c>
      <c r="Q28" s="822">
        <f t="shared" si="0"/>
        <v>6</v>
      </c>
      <c r="R28" s="70"/>
      <c r="S28" s="340">
        <f>IDACI!C27</f>
        <v>8.6999999999999993</v>
      </c>
      <c r="T28" s="341">
        <f t="shared" si="1"/>
        <v>421.04017226878489</v>
      </c>
      <c r="U28" s="342">
        <f t="shared" si="10"/>
        <v>43.566569304248844</v>
      </c>
      <c r="V28" s="122"/>
      <c r="W28" s="139"/>
      <c r="X28" s="152"/>
      <c r="Y28" s="72" t="str">
        <f t="shared" si="2"/>
        <v>West Berkshire</v>
      </c>
      <c r="Z28" s="44">
        <f>IF(ISNUMBER($H28),IDACI!D27,0)</f>
        <v>31625</v>
      </c>
      <c r="AA28" s="44">
        <f>IF(ISNUMBER($H28),IDACI!E27,0)</f>
        <v>2751.375</v>
      </c>
      <c r="AB28" s="205">
        <f>IF(ISNUMBER(D28),Population!D28,"")</f>
        <v>35700</v>
      </c>
      <c r="AC28" s="205">
        <f>IF(ISNUMBER(E28),Population!E28,"")</f>
        <v>35900</v>
      </c>
      <c r="AD28" s="205">
        <f>IF(ISNUMBER(F28),Population!F28,"")</f>
        <v>35800</v>
      </c>
      <c r="AE28" s="205">
        <f>IF(ISNUMBER(G28),Population!G28,"")</f>
        <v>35600</v>
      </c>
      <c r="AF28" s="205">
        <f>IF(ISNUMBER(H28),Population!H28,"")</f>
        <v>35600</v>
      </c>
      <c r="AG28" s="93" t="s">
        <v>16</v>
      </c>
      <c r="AH28" s="231">
        <f t="shared" si="3"/>
        <v>439.10891089108907</v>
      </c>
      <c r="AI28" s="206">
        <f t="shared" si="11"/>
        <v>4</v>
      </c>
      <c r="AJ28" s="202"/>
      <c r="AK28" s="160"/>
      <c r="AL28" s="853">
        <f t="shared" si="4"/>
        <v>0.21025641025641026</v>
      </c>
      <c r="AM28" s="853">
        <f t="shared" si="5"/>
        <v>-8.4745762711864403E-2</v>
      </c>
      <c r="AN28" s="853">
        <f t="shared" si="6"/>
        <v>0.11507936507936507</v>
      </c>
      <c r="AO28" s="853">
        <f t="shared" si="7"/>
        <v>-1.8979833926453145E-2</v>
      </c>
      <c r="AP28" s="853">
        <f t="shared" si="12"/>
        <v>5.5402544674364451E-2</v>
      </c>
      <c r="AR28" s="74"/>
      <c r="AS28" s="74"/>
      <c r="AT28" s="74"/>
      <c r="AU28" s="74"/>
      <c r="AV28" s="74"/>
      <c r="AW28" s="74"/>
      <c r="AX28" s="74"/>
      <c r="AY28" s="74"/>
      <c r="AZ28" s="74"/>
    </row>
    <row r="29" spans="1:52" s="87" customFormat="1" ht="13.5" customHeight="1" x14ac:dyDescent="0.2">
      <c r="A29" s="488">
        <f>VLOOKUP(B29,Sheet1!$AQ$4:$AR$25,2,FALSE)</f>
        <v>0</v>
      </c>
      <c r="B29" s="93" t="str">
        <f>Sheet1!$K$23</f>
        <v>West Sussex</v>
      </c>
      <c r="C29" s="85"/>
      <c r="D29" s="94">
        <f>IF(Year1_West_Sussex Year1_Referrals="","",Year1_West_Sussex Year1_Referrals)</f>
        <v>8147</v>
      </c>
      <c r="E29" s="100">
        <f>IF(Year2_West_Sussex Year2_Referrals="","",Year2_West_Sussex Year2_Referrals)</f>
        <v>8741</v>
      </c>
      <c r="F29" s="94">
        <f>IF(Year3_West_Sussex Year3_Referrals="","",Year3_West_Sussex Year3_Referrals)</f>
        <v>9995</v>
      </c>
      <c r="G29" s="94">
        <f>IF(Year4_West_Sussex Year4_Referrals="","",Year4_West_Sussex Year4_Referrals)</f>
        <v>9490</v>
      </c>
      <c r="H29" s="95">
        <f>IF(Year5_West_Sussex Year5_Referrals="","",Year5_West_Sussex Year5_Referrals)</f>
        <v>9993</v>
      </c>
      <c r="I29" s="344">
        <f t="shared" si="8"/>
        <v>5.4712504695516764E-2</v>
      </c>
      <c r="J29" s="96"/>
      <c r="K29" s="97">
        <f>IF(ISNUMBER(D29),D29/Population!D29*10000,NA())</f>
        <v>478.11032863849766</v>
      </c>
      <c r="L29" s="97">
        <f>IF(ISNUMBER(E29),E29/Population!E29*10000,NA())</f>
        <v>508.78928987194411</v>
      </c>
      <c r="M29" s="97">
        <f>IF(ISNUMBER(F29),F29/Population!F29*10000,NA())</f>
        <v>576.74552798615116</v>
      </c>
      <c r="N29" s="97">
        <f>IF(ISNUMBER(G29),G29/Population!G29*10000,NA())</f>
        <v>543.21694333142534</v>
      </c>
      <c r="O29" s="98">
        <f>IF(ISNUMBER(H29),H29/Population!H29*10000,NA())</f>
        <v>567.4616695059625</v>
      </c>
      <c r="P29" s="99">
        <f t="shared" si="9"/>
        <v>567.4616695059625</v>
      </c>
      <c r="Q29" s="822">
        <f t="shared" si="0"/>
        <v>8</v>
      </c>
      <c r="R29" s="70"/>
      <c r="S29" s="340">
        <f>IDACI!C28</f>
        <v>11</v>
      </c>
      <c r="T29" s="341">
        <f t="shared" si="1"/>
        <v>457.58485791087264</v>
      </c>
      <c r="U29" s="342">
        <f t="shared" si="10"/>
        <v>109.87681159508986</v>
      </c>
      <c r="V29" s="122"/>
      <c r="W29" s="139"/>
      <c r="X29" s="152"/>
      <c r="Y29" s="72" t="str">
        <f t="shared" si="2"/>
        <v>West Sussex</v>
      </c>
      <c r="Z29" s="44">
        <f>IF(ISNUMBER($H29),IDACI!D28,0)</f>
        <v>151487</v>
      </c>
      <c r="AA29" s="44">
        <f>IF(ISNUMBER($H29),IDACI!E28,0)</f>
        <v>16663.57</v>
      </c>
      <c r="AB29" s="205">
        <f>IF(ISNUMBER(D29),Population!D29,"")</f>
        <v>170400</v>
      </c>
      <c r="AC29" s="205">
        <f>IF(ISNUMBER(E29),Population!E29,"")</f>
        <v>171800</v>
      </c>
      <c r="AD29" s="205">
        <f>IF(ISNUMBER(F29),Population!F29,"")</f>
        <v>173300</v>
      </c>
      <c r="AE29" s="205">
        <f>IF(ISNUMBER(G29),Population!G29,"")</f>
        <v>174700</v>
      </c>
      <c r="AF29" s="205">
        <f>IF(ISNUMBER(H29),Population!H29,"")</f>
        <v>176100</v>
      </c>
      <c r="AG29" s="202"/>
      <c r="AH29" s="202"/>
      <c r="AI29" s="190"/>
      <c r="AJ29" s="202"/>
      <c r="AK29" s="160"/>
      <c r="AL29" s="853">
        <f t="shared" si="4"/>
        <v>7.2910273720387872E-2</v>
      </c>
      <c r="AM29" s="853">
        <f t="shared" si="5"/>
        <v>0.14346184647065552</v>
      </c>
      <c r="AN29" s="853">
        <f t="shared" si="6"/>
        <v>-5.0525262631315661E-2</v>
      </c>
      <c r="AO29" s="853">
        <f t="shared" si="7"/>
        <v>5.3003161222339307E-2</v>
      </c>
      <c r="AP29" s="853">
        <f t="shared" si="12"/>
        <v>5.4712504695516764E-2</v>
      </c>
      <c r="AR29" s="74"/>
      <c r="AS29" s="74"/>
      <c r="AT29" s="74"/>
      <c r="AU29" s="74"/>
      <c r="AV29" s="74"/>
      <c r="AW29" s="74"/>
      <c r="AX29" s="74"/>
      <c r="AY29" s="74"/>
      <c r="AZ29" s="74"/>
    </row>
    <row r="30" spans="1:52" s="87" customFormat="1" ht="13.5" customHeight="1" x14ac:dyDescent="0.2">
      <c r="A30" s="488">
        <f>VLOOKUP(B30,Sheet1!$AQ$4:$AR$25,2,FALSE)</f>
        <v>0</v>
      </c>
      <c r="B30" s="93" t="str">
        <f>Sheet1!$K$24</f>
        <v>Windsor &amp; Maidenhead</v>
      </c>
      <c r="C30" s="85"/>
      <c r="D30" s="100">
        <f>IF(Year1_Windsor_Maidenhead Year1_Referrals="","",Year1_Windsor_Maidenhead Year1_Referrals)</f>
        <v>1115</v>
      </c>
      <c r="E30" s="94">
        <f>IF(Year2_Windsor_Maidenhead Year2_Referrals="","",Year2_Windsor_Maidenhead Year2_Referrals)</f>
        <v>992</v>
      </c>
      <c r="F30" s="94">
        <f>IF(Year3_Windsor_Maidenhead Year3_Referrals="","",Year3_Windsor_Maidenhead Year3_Referrals)</f>
        <v>1061</v>
      </c>
      <c r="G30" s="94">
        <f>IF(Year4_Windsor_Maidenhead Year4_Referrals="","",Year4_Windsor_Maidenhead Year4_Referrals)</f>
        <v>1135</v>
      </c>
      <c r="H30" s="95">
        <f>IF(Year5_Windsor_Maidenhead Year5_Referrals="","",Year5_Windsor_Maidenhead Year5_Referrals)</f>
        <v>1356</v>
      </c>
      <c r="I30" s="344">
        <f t="shared" si="8"/>
        <v>5.5925432436675027E-2</v>
      </c>
      <c r="J30" s="96"/>
      <c r="K30" s="97">
        <f>IF(ISNUMBER(D30),D30/Population!D30*10000,NA())</f>
        <v>330.86053412462905</v>
      </c>
      <c r="L30" s="97">
        <f>IF(ISNUMBER(E30),E30/Population!E30*10000,NA())</f>
        <v>290.05847953216374</v>
      </c>
      <c r="M30" s="97">
        <f>IF(ISNUMBER(F30),F30/Population!F30*10000,NA())</f>
        <v>308.43023255813955</v>
      </c>
      <c r="N30" s="97">
        <f>IF(ISNUMBER(G30),G30/Population!G30*10000,NA())</f>
        <v>328.03468208092482</v>
      </c>
      <c r="O30" s="98">
        <f>IF(ISNUMBER(H30),H30/Population!H30*10000,NA())</f>
        <v>390.77809798270891</v>
      </c>
      <c r="P30" s="99">
        <f t="shared" si="9"/>
        <v>390.77809798270891</v>
      </c>
      <c r="Q30" s="822">
        <f t="shared" si="0"/>
        <v>2</v>
      </c>
      <c r="R30" s="70"/>
      <c r="S30" s="340">
        <f>IDACI!C29</f>
        <v>6.7</v>
      </c>
      <c r="T30" s="341">
        <f t="shared" si="1"/>
        <v>389.26218475392602</v>
      </c>
      <c r="U30" s="342">
        <f t="shared" si="10"/>
        <v>1.5159132287828925</v>
      </c>
      <c r="V30" s="122"/>
      <c r="W30" s="139"/>
      <c r="X30" s="152"/>
      <c r="Y30" s="72" t="str">
        <f t="shared" si="2"/>
        <v>Windsor &amp; Maidenhead</v>
      </c>
      <c r="Z30" s="44">
        <f>IF(ISNUMBER($H30),IDACI!D29,0)</f>
        <v>29792</v>
      </c>
      <c r="AA30" s="44">
        <f>IF(ISNUMBER($H30),IDACI!E29,0)</f>
        <v>1996.0640000000001</v>
      </c>
      <c r="AB30" s="205">
        <f>IF(ISNUMBER(D30),Population!D30,"")</f>
        <v>33700</v>
      </c>
      <c r="AC30" s="205">
        <f>IF(ISNUMBER(E30),Population!E30,"")</f>
        <v>34200</v>
      </c>
      <c r="AD30" s="205">
        <f>IF(ISNUMBER(F30),Population!F30,"")</f>
        <v>34400</v>
      </c>
      <c r="AE30" s="205">
        <f>IF(ISNUMBER(G30),Population!G30,"")</f>
        <v>34600</v>
      </c>
      <c r="AF30" s="205">
        <f>IF(ISNUMBER(H30),Population!H30,"")</f>
        <v>34700</v>
      </c>
      <c r="AG30" s="202"/>
      <c r="AH30" s="202"/>
      <c r="AI30" s="190"/>
      <c r="AJ30" s="202"/>
      <c r="AK30" s="160"/>
      <c r="AL30" s="853">
        <f t="shared" si="4"/>
        <v>-0.11031390134529148</v>
      </c>
      <c r="AM30" s="853">
        <f t="shared" si="5"/>
        <v>6.955645161290322E-2</v>
      </c>
      <c r="AN30" s="853">
        <f t="shared" si="6"/>
        <v>6.9745523091423192E-2</v>
      </c>
      <c r="AO30" s="853">
        <f t="shared" si="7"/>
        <v>0.19471365638766519</v>
      </c>
      <c r="AP30" s="853">
        <f t="shared" si="12"/>
        <v>5.5925432436675027E-2</v>
      </c>
      <c r="AR30" s="74"/>
      <c r="AS30" s="74"/>
      <c r="AT30" s="74"/>
      <c r="AU30" s="74"/>
      <c r="AV30" s="74"/>
      <c r="AW30" s="74"/>
      <c r="AX30" s="74"/>
      <c r="AY30" s="74"/>
      <c r="AZ30" s="74"/>
    </row>
    <row r="31" spans="1:52" s="87" customFormat="1" ht="13.5" customHeight="1" x14ac:dyDescent="0.2">
      <c r="A31" s="488">
        <f>VLOOKUP(B31,Sheet1!$AQ$4:$AR$25,2,FALSE)</f>
        <v>0</v>
      </c>
      <c r="B31" s="93" t="str">
        <f>Sheet1!$K$25</f>
        <v>Wokingham</v>
      </c>
      <c r="C31" s="85"/>
      <c r="D31" s="100">
        <f>IF(Year1_Wokingham Year1_Referrals="","",Year1_Wokingham Year1_Referrals)</f>
        <v>1131</v>
      </c>
      <c r="E31" s="94">
        <f>IF(Year2_Wokingham Year2_Referrals="","",Year2_Wokingham Year2_Referrals)</f>
        <v>907</v>
      </c>
      <c r="F31" s="94">
        <f>IF(Year3_Wokingham Year3_Referrals="","",Year3_Wokingham Year3_Referrals)</f>
        <v>1371</v>
      </c>
      <c r="G31" s="94">
        <f>IF(Year4_Wokingham Year4_Referrals="","",Year4_Wokingham Year4_Referrals)</f>
        <v>1705</v>
      </c>
      <c r="H31" s="95">
        <f>IF(Year5_Wokingham Year5_Referrals="","",Year5_Wokingham Year5_Referrals)</f>
        <v>1774</v>
      </c>
      <c r="I31" s="344">
        <f t="shared" si="8"/>
        <v>0.1494022032338308</v>
      </c>
      <c r="J31" s="96"/>
      <c r="K31" s="97">
        <f>IF(ISNUMBER(D31),D31/Population!D31*10000,NA())</f>
        <v>303.21715817694371</v>
      </c>
      <c r="L31" s="97">
        <f>IF(ISNUMBER(E31),E31/Population!E31*10000,NA())</f>
        <v>238.68421052631581</v>
      </c>
      <c r="M31" s="97">
        <f>IF(ISNUMBER(F31),F31/Population!F31*10000,NA())</f>
        <v>354.26356589147287</v>
      </c>
      <c r="N31" s="97">
        <f>IF(ISNUMBER(G31),G31/Population!G31*10000,NA())</f>
        <v>431.64556962025313</v>
      </c>
      <c r="O31" s="98">
        <f>IF(ISNUMBER(H31),H31/Population!H31*10000,NA())</f>
        <v>439.10891089108907</v>
      </c>
      <c r="P31" s="99">
        <f t="shared" si="9"/>
        <v>439.10891089108907</v>
      </c>
      <c r="Q31" s="822">
        <f t="shared" si="0"/>
        <v>4</v>
      </c>
      <c r="R31" s="70"/>
      <c r="S31" s="340">
        <f>IDACI!C30</f>
        <v>5.6000000000000005</v>
      </c>
      <c r="T31" s="341">
        <f t="shared" si="1"/>
        <v>371.78429162075361</v>
      </c>
      <c r="U31" s="342">
        <f t="shared" si="10"/>
        <v>67.324619270335461</v>
      </c>
      <c r="V31" s="122"/>
      <c r="W31" s="139"/>
      <c r="X31" s="152"/>
      <c r="Y31" s="72" t="str">
        <f t="shared" si="2"/>
        <v>Wokingham</v>
      </c>
      <c r="Z31" s="44">
        <f>IF(ISNUMBER($H31),IDACI!D30,0)</f>
        <v>33327</v>
      </c>
      <c r="AA31" s="44">
        <f>IF(ISNUMBER($H31),IDACI!E30,0)</f>
        <v>1866.3120000000004</v>
      </c>
      <c r="AB31" s="205">
        <f>IF(ISNUMBER(D31),Population!D31,"")</f>
        <v>37300</v>
      </c>
      <c r="AC31" s="205">
        <f>IF(ISNUMBER(E31),Population!E31,"")</f>
        <v>38000</v>
      </c>
      <c r="AD31" s="205">
        <f>IF(ISNUMBER(F31),Population!F31,"")</f>
        <v>38700</v>
      </c>
      <c r="AE31" s="205">
        <f>IF(ISNUMBER(G31),Population!G31,"")</f>
        <v>39500</v>
      </c>
      <c r="AF31" s="205">
        <f>IF(ISNUMBER(H31),Population!H31,"")</f>
        <v>40400</v>
      </c>
      <c r="AG31" s="202"/>
      <c r="AH31" s="202"/>
      <c r="AI31" s="190"/>
      <c r="AJ31" s="202"/>
      <c r="AK31" s="160"/>
      <c r="AL31" s="853">
        <f t="shared" si="4"/>
        <v>-0.19805481874447392</v>
      </c>
      <c r="AM31" s="853">
        <f t="shared" si="5"/>
        <v>0.51157662624035283</v>
      </c>
      <c r="AN31" s="853">
        <f t="shared" si="6"/>
        <v>0.24361779722830051</v>
      </c>
      <c r="AO31" s="853">
        <f t="shared" si="7"/>
        <v>4.0469208211143692E-2</v>
      </c>
      <c r="AP31" s="853">
        <f t="shared" si="12"/>
        <v>0.1494022032338308</v>
      </c>
      <c r="AR31" s="74"/>
      <c r="AS31" s="74"/>
      <c r="AT31" s="74"/>
      <c r="AU31" s="74"/>
      <c r="AV31" s="74"/>
      <c r="AW31" s="74"/>
      <c r="AX31" s="74"/>
      <c r="AY31" s="74"/>
      <c r="AZ31" s="74"/>
    </row>
    <row r="32" spans="1:52" s="87" customFormat="1" ht="13.5" customHeight="1" x14ac:dyDescent="0.2">
      <c r="A32" s="121"/>
      <c r="B32" s="129" t="str">
        <f>Sheet1!$K$26</f>
        <v>South East</v>
      </c>
      <c r="C32" s="85"/>
      <c r="D32" s="130">
        <f>IF(Year1_SouthEast Year1_Referrals="","",Year1_SouthEast Year1_Referrals)</f>
        <v>97760</v>
      </c>
      <c r="E32" s="130">
        <f>IF(Year2_SouthEast Year2_Referrals="","",Year2_SouthEast Year2_Referrals)</f>
        <v>107120</v>
      </c>
      <c r="F32" s="130">
        <f>IF(Year3_SouthEast Year3_Referrals="","",Year3_SouthEast Year3_Referrals)</f>
        <v>106590</v>
      </c>
      <c r="G32" s="130">
        <f>IF(Year4_SouthEast Year4_Referrals="","",Year4_SouthEast Year4_Referrals)</f>
        <v>104890</v>
      </c>
      <c r="H32" s="425">
        <f>IF(Year5_SouthEast Year5_Referrals="","",Year5_SouthEast Year5_Referrals)</f>
        <v>114440</v>
      </c>
      <c r="I32" s="357">
        <f>AP32</f>
        <v>3.4635035764155629E-2</v>
      </c>
      <c r="J32" s="96"/>
      <c r="K32" s="132">
        <f>IF(ISNUMBER(D32),D32/AB32*10000,NA())</f>
        <v>509.67102862207395</v>
      </c>
      <c r="L32" s="132">
        <f>IF(ISNUMBER(E32),E32/AC32*10000,NA())</f>
        <v>554.13584398117018</v>
      </c>
      <c r="M32" s="132">
        <f>IF(ISNUMBER(F32),F32/AD32*10000,NA())</f>
        <v>548.33067544626783</v>
      </c>
      <c r="N32" s="132">
        <f>IF(ISNUMBER(G32),G32/AE32*10000,NA())</f>
        <v>535.86390109328704</v>
      </c>
      <c r="O32" s="133">
        <f>IF(ISNUMBER(H32),H32/AF32*10000,NA())</f>
        <v>581.14970546414793</v>
      </c>
      <c r="P32" s="99">
        <f t="shared" si="9"/>
        <v>581.14970546414793</v>
      </c>
      <c r="Q32" s="134" t="str">
        <f t="shared" si="0"/>
        <v>--</v>
      </c>
      <c r="R32" s="70"/>
      <c r="S32" s="338">
        <f>AA32/Z32*100</f>
        <v>12.371268250968637</v>
      </c>
      <c r="T32" s="338">
        <f t="shared" si="1"/>
        <v>479.37293059027456</v>
      </c>
      <c r="U32" s="343">
        <f t="shared" si="10"/>
        <v>101.77677487387336</v>
      </c>
      <c r="V32" s="122"/>
      <c r="W32" s="139"/>
      <c r="X32" s="152"/>
      <c r="Y32" s="72" t="str">
        <f t="shared" si="2"/>
        <v>South East</v>
      </c>
      <c r="Z32" s="44">
        <f>SUM(Z24:Z25,Z10:Z22,Z28:Z31)</f>
        <v>1704978</v>
      </c>
      <c r="AA32" s="44">
        <f>SUM(AA24:AA25,AA10:AA22,AA28:AA31)</f>
        <v>210927.40200000003</v>
      </c>
      <c r="AB32" s="205">
        <f>SUM(AB10:AB22,AB24:AB25,AB28:AB31)</f>
        <v>1918100</v>
      </c>
      <c r="AC32" s="205">
        <f t="shared" ref="AC32:AF32" si="13">SUM(AC10:AC22,AC24:AC25,AC28:AC31)</f>
        <v>1933100</v>
      </c>
      <c r="AD32" s="205">
        <f t="shared" si="13"/>
        <v>1943900</v>
      </c>
      <c r="AE32" s="205">
        <f t="shared" si="13"/>
        <v>1957400</v>
      </c>
      <c r="AF32" s="205">
        <f t="shared" si="13"/>
        <v>1969200</v>
      </c>
      <c r="AG32" s="202"/>
      <c r="AH32" s="202"/>
      <c r="AI32" s="190"/>
      <c r="AJ32" s="202"/>
      <c r="AK32" s="160"/>
      <c r="AL32" s="853">
        <f>IF(ISERROR((L32-K32)/K32),"x",(L32-K32)/K32)</f>
        <v>8.724218733662284E-2</v>
      </c>
      <c r="AM32" s="853">
        <f t="shared" ref="AM32:AO32" si="14">IF(ISERROR((M32-L32)/L32),"x",(M32-L32)/L32)</f>
        <v>-1.0476074771116254E-2</v>
      </c>
      <c r="AN32" s="853">
        <f t="shared" si="14"/>
        <v>-2.2735868903986642E-2</v>
      </c>
      <c r="AO32" s="853">
        <f t="shared" si="14"/>
        <v>8.4509899395102575E-2</v>
      </c>
      <c r="AP32" s="853">
        <f t="shared" si="12"/>
        <v>3.4635035764155629E-2</v>
      </c>
      <c r="AR32" s="74"/>
      <c r="AS32" s="74"/>
      <c r="AT32" s="74"/>
      <c r="AU32" s="74"/>
      <c r="AV32" s="74"/>
      <c r="AW32" s="74"/>
      <c r="AX32" s="74"/>
      <c r="AY32" s="74"/>
      <c r="AZ32" s="74"/>
    </row>
    <row r="33" spans="1:54" s="87" customFormat="1" ht="12.75" x14ac:dyDescent="0.2">
      <c r="A33" s="292"/>
      <c r="B33" s="329" t="str">
        <f>Sheet1!$K$27</f>
        <v>England</v>
      </c>
      <c r="C33" s="85"/>
      <c r="D33" s="330">
        <f>IF(Year1_England Year1_Referrals="","",Year1_England Year1_Referrals)</f>
        <v>621470</v>
      </c>
      <c r="E33" s="330">
        <f>IF(Year2_England Year2_Referrals="","",Year2_England Year2_Referrals)</f>
        <v>646120</v>
      </c>
      <c r="F33" s="330">
        <f>IF(Year3_England Year3_Referrals="","",Year3_England Year3_Referrals)</f>
        <v>655630</v>
      </c>
      <c r="G33" s="330">
        <f>IF(Year4_England Year4_Referrals="","",Year4_England Year4_Referrals)</f>
        <v>650930</v>
      </c>
      <c r="H33" s="426">
        <f>IF(Year5_England Year5_Referrals="","",Year5_England Year5_Referrals)</f>
        <v>642980</v>
      </c>
      <c r="I33" s="358">
        <f t="shared" si="8"/>
        <v>8.7501695593805509E-3</v>
      </c>
      <c r="J33" s="96"/>
      <c r="K33" s="332">
        <f>IF(ISNUMBER(D33),D33/Population!D33*10000,NA())</f>
        <v>532.17616180991445</v>
      </c>
      <c r="L33" s="332">
        <f>IF(ISNUMBER(E33),E33/Population!E33*10000,NA())</f>
        <v>548.24230185061049</v>
      </c>
      <c r="M33" s="332">
        <f>IF(ISNUMBER(F33),F33/Population!F33*10000,NA())</f>
        <v>552.48167186314993</v>
      </c>
      <c r="N33" s="332">
        <f>IF(ISNUMBER(G33),G33/Population!G33*10000,NA())</f>
        <v>544.50169809111139</v>
      </c>
      <c r="O33" s="333">
        <f>IF(ISNUMBER(H33),H33/Population!H33*10000,NA())</f>
        <v>534.76496224092614</v>
      </c>
      <c r="P33" s="99">
        <f t="shared" si="9"/>
        <v>534.76496224092614</v>
      </c>
      <c r="Q33" s="858" t="str">
        <f t="shared" si="0"/>
        <v>--</v>
      </c>
      <c r="R33" s="70"/>
      <c r="S33" s="339">
        <f>IDACI!C32</f>
        <v>17.084413405029373</v>
      </c>
      <c r="T33" s="339">
        <f t="shared" si="1"/>
        <v>554.26006452100444</v>
      </c>
      <c r="U33" s="624">
        <f t="shared" si="10"/>
        <v>-19.495102280078299</v>
      </c>
      <c r="V33" s="122"/>
      <c r="W33" s="139"/>
      <c r="X33" s="152"/>
      <c r="Y33" s="72" t="str">
        <f t="shared" si="2"/>
        <v>England</v>
      </c>
      <c r="Z33" s="44">
        <f>IF(H33&gt;0,IDACI!D32,0)</f>
        <v>10405050</v>
      </c>
      <c r="AA33" s="44">
        <f>IF(H33&gt;0,IDACI!E32,0)</f>
        <v>1777641.7570000088</v>
      </c>
      <c r="AB33" s="205">
        <f>IF(ISNUMBER(D33),Population!D33,"")</f>
        <v>11677900</v>
      </c>
      <c r="AC33" s="205">
        <f>IF(ISNUMBER(E33),Population!E33,"")</f>
        <v>11785300</v>
      </c>
      <c r="AD33" s="205">
        <f>IF(ISNUMBER(F33),Population!F33,"")</f>
        <v>11867000</v>
      </c>
      <c r="AE33" s="205">
        <f>IF(ISNUMBER(G33),Population!G33,"")</f>
        <v>11954600</v>
      </c>
      <c r="AF33" s="205">
        <f>IF(ISNUMBER(H33),Population!H33,"")</f>
        <v>12023600</v>
      </c>
      <c r="AG33" s="202"/>
      <c r="AH33" s="202"/>
      <c r="AI33" s="190"/>
      <c r="AJ33" s="202"/>
      <c r="AK33" s="160"/>
      <c r="AL33" s="853">
        <f t="shared" si="4"/>
        <v>3.9664022398506769E-2</v>
      </c>
      <c r="AM33" s="853">
        <f t="shared" si="5"/>
        <v>1.4718628118615736E-2</v>
      </c>
      <c r="AN33" s="853">
        <f t="shared" si="6"/>
        <v>-7.1686774552720284E-3</v>
      </c>
      <c r="AO33" s="853">
        <f t="shared" si="7"/>
        <v>-1.2213294824328268E-2</v>
      </c>
      <c r="AP33" s="853">
        <f t="shared" si="12"/>
        <v>8.7501695593805509E-3</v>
      </c>
      <c r="AR33" s="74"/>
      <c r="AS33" s="74"/>
      <c r="AT33" s="74"/>
      <c r="AU33" s="74"/>
      <c r="AV33" s="74"/>
      <c r="AW33" s="74"/>
      <c r="AX33" s="74"/>
      <c r="AY33" s="74"/>
      <c r="AZ33" s="74"/>
    </row>
    <row r="34" spans="1:54" s="81" customFormat="1" ht="13.5" customHeight="1" x14ac:dyDescent="0.2">
      <c r="A34" s="118"/>
      <c r="B34" s="123" t="s">
        <v>90</v>
      </c>
      <c r="C34" s="63"/>
      <c r="D34" s="63"/>
      <c r="E34" s="63"/>
      <c r="F34" s="63"/>
      <c r="G34" s="63"/>
      <c r="H34" s="63"/>
      <c r="I34" s="63"/>
      <c r="J34" s="63"/>
      <c r="K34" s="63"/>
      <c r="L34" s="63"/>
      <c r="M34" s="63"/>
      <c r="N34" s="63"/>
      <c r="O34" s="63"/>
      <c r="P34" s="63"/>
      <c r="Q34" s="136" t="s">
        <v>108</v>
      </c>
      <c r="S34" s="63"/>
      <c r="T34" s="63"/>
      <c r="U34" s="63"/>
      <c r="V34" s="117"/>
      <c r="W34" s="137"/>
      <c r="X34" s="150"/>
      <c r="Y34" s="80"/>
      <c r="Z34" s="184"/>
      <c r="AA34" s="184"/>
      <c r="AB34" s="184"/>
      <c r="AC34" s="184"/>
      <c r="AD34" s="184"/>
      <c r="AE34" s="184"/>
      <c r="AF34" s="184"/>
      <c r="AG34" s="184"/>
      <c r="AH34" s="184"/>
      <c r="AJ34" s="184"/>
      <c r="AK34" s="161"/>
      <c r="AR34" s="74"/>
      <c r="AS34" s="74"/>
      <c r="AT34" s="74"/>
      <c r="AU34" s="74"/>
      <c r="AV34" s="74"/>
      <c r="AW34" s="74"/>
      <c r="AX34" s="74"/>
      <c r="AY34" s="74"/>
      <c r="AZ34" s="74"/>
    </row>
    <row r="35" spans="1:54" s="81" customFormat="1" ht="27" customHeight="1" x14ac:dyDescent="0.2">
      <c r="A35" s="118"/>
      <c r="B35" s="1762" t="s">
        <v>729</v>
      </c>
      <c r="C35" s="1825"/>
      <c r="D35" s="1825"/>
      <c r="E35" s="1825"/>
      <c r="F35" s="1825"/>
      <c r="G35" s="1825"/>
      <c r="H35" s="1825"/>
      <c r="I35" s="1825"/>
      <c r="J35" s="1825"/>
      <c r="K35" s="1825"/>
      <c r="L35" s="1825"/>
      <c r="M35" s="1825"/>
      <c r="N35" s="1825"/>
      <c r="O35" s="1825"/>
      <c r="P35" s="1825"/>
      <c r="Q35" s="1825"/>
      <c r="R35" s="1825"/>
      <c r="S35" s="1825"/>
      <c r="T35" s="1825"/>
      <c r="U35" s="1826"/>
      <c r="V35" s="117"/>
      <c r="W35" s="137"/>
      <c r="X35" s="150"/>
      <c r="Y35" s="80"/>
      <c r="Z35" s="184"/>
      <c r="AA35" s="184"/>
      <c r="AB35" s="184"/>
      <c r="AC35" s="184"/>
      <c r="AD35" s="184"/>
      <c r="AE35" s="184"/>
      <c r="AF35" s="184"/>
      <c r="AG35" s="184"/>
      <c r="AH35" s="184"/>
      <c r="AJ35" s="184"/>
      <c r="AK35" s="157"/>
      <c r="AL35" s="74"/>
      <c r="AM35" s="74"/>
      <c r="AN35" s="74"/>
      <c r="AO35" s="74"/>
      <c r="AP35" s="74"/>
      <c r="AQ35" s="74"/>
      <c r="AR35" s="74"/>
    </row>
    <row r="36" spans="1:54" s="81" customFormat="1" ht="7.5" customHeight="1" x14ac:dyDescent="0.2">
      <c r="A36" s="118"/>
      <c r="B36" s="17"/>
      <c r="C36" s="17"/>
      <c r="D36" s="16"/>
      <c r="E36" s="16"/>
      <c r="F36" s="16"/>
      <c r="G36" s="16"/>
      <c r="H36" s="16"/>
      <c r="I36" s="16"/>
      <c r="J36" s="12"/>
      <c r="K36" s="18"/>
      <c r="L36" s="18"/>
      <c r="M36" s="18"/>
      <c r="N36" s="18"/>
      <c r="O36" s="18"/>
      <c r="P36" s="18"/>
      <c r="Q36" s="18"/>
      <c r="R36" s="18"/>
      <c r="S36" s="18"/>
      <c r="T36" s="18"/>
      <c r="U36" s="19"/>
      <c r="V36" s="117"/>
      <c r="W36" s="137"/>
      <c r="X36" s="150"/>
      <c r="Z36" s="190"/>
      <c r="AJ36" s="184"/>
      <c r="AK36" s="157"/>
      <c r="AL36" s="74"/>
      <c r="AM36" s="74"/>
      <c r="AN36" s="74"/>
      <c r="AO36" s="74"/>
      <c r="AP36" s="74"/>
      <c r="AQ36" s="74"/>
      <c r="AR36" s="74"/>
    </row>
    <row r="37" spans="1:54" s="81" customFormat="1" ht="15" customHeight="1" x14ac:dyDescent="0.2">
      <c r="A37" s="1716"/>
      <c r="B37" s="1760"/>
      <c r="C37" s="1760"/>
      <c r="D37" s="1760"/>
      <c r="E37" s="1760"/>
      <c r="F37" s="1760"/>
      <c r="G37" s="1760"/>
      <c r="H37" s="1760"/>
      <c r="I37" s="1760"/>
      <c r="J37" s="1760"/>
      <c r="K37" s="1760"/>
      <c r="L37" s="1760"/>
      <c r="M37" s="1760"/>
      <c r="N37" s="1760"/>
      <c r="O37" s="1760"/>
      <c r="P37" s="1760"/>
      <c r="Q37" s="1760"/>
      <c r="R37" s="1760"/>
      <c r="S37" s="1760"/>
      <c r="T37" s="1760"/>
      <c r="U37" s="1760"/>
      <c r="V37" s="1761"/>
      <c r="W37" s="137"/>
      <c r="X37" s="150"/>
      <c r="Z37" s="190"/>
      <c r="AK37" s="161"/>
      <c r="AM37" s="81">
        <f>COLUMNS($B$4:K$4)</f>
        <v>10</v>
      </c>
      <c r="AN37" s="81">
        <f>COLUMNS($B$4:L$4)</f>
        <v>11</v>
      </c>
      <c r="AO37" s="81">
        <f>COLUMNS($B$4:M$4)</f>
        <v>12</v>
      </c>
      <c r="AP37" s="81">
        <f>COLUMNS($B$4:N$4)</f>
        <v>13</v>
      </c>
      <c r="AQ37" s="81">
        <f>COLUMNS($B$4:O$4)</f>
        <v>14</v>
      </c>
      <c r="AR37" s="81">
        <f>COLUMNS($B$4:S$4)</f>
        <v>18</v>
      </c>
      <c r="AS37" s="81">
        <f>COLUMNS($B$4:D$4)</f>
        <v>3</v>
      </c>
      <c r="AT37" s="81">
        <f>COLUMNS($B$4:E$4)</f>
        <v>4</v>
      </c>
      <c r="AU37" s="81">
        <f>COLUMNS($B$4:F$4)</f>
        <v>5</v>
      </c>
      <c r="AV37" s="81">
        <f>COLUMNS($B$4:G$4)</f>
        <v>6</v>
      </c>
      <c r="AW37" s="81">
        <f>COLUMNS($B$4:H$4)</f>
        <v>7</v>
      </c>
      <c r="AX37" s="81">
        <f>COLUMNS($B$4:D$4)</f>
        <v>3</v>
      </c>
      <c r="AY37" s="81">
        <f>COLUMNS($B$4:E$4)</f>
        <v>4</v>
      </c>
      <c r="AZ37" s="81">
        <f>COLUMNS($B$4:F$4)</f>
        <v>5</v>
      </c>
      <c r="BA37" s="81">
        <f>COLUMNS($B$4:G$4)</f>
        <v>6</v>
      </c>
      <c r="BB37" s="81">
        <f>COLUMNS($B$4:H$4)</f>
        <v>7</v>
      </c>
    </row>
    <row r="38" spans="1:54" s="81" customFormat="1" ht="11.1" customHeight="1" x14ac:dyDescent="0.2">
      <c r="A38" s="1765" t="str">
        <f>Home!$A$39</f>
        <v xml:space="preserve"> </v>
      </c>
      <c r="B38" s="1766"/>
      <c r="C38" s="1766"/>
      <c r="D38" s="1766"/>
      <c r="E38" s="1766"/>
      <c r="F38" s="1766"/>
      <c r="G38" s="1766"/>
      <c r="H38" s="1766"/>
      <c r="I38" s="1767"/>
      <c r="J38" s="1766"/>
      <c r="K38" s="1766"/>
      <c r="L38" s="1766"/>
      <c r="M38" s="1766"/>
      <c r="N38" s="1766"/>
      <c r="O38" s="1766"/>
      <c r="P38" s="1768"/>
      <c r="Q38" s="1766"/>
      <c r="R38" s="1766"/>
      <c r="S38" s="1766"/>
      <c r="T38" s="1767"/>
      <c r="U38" s="1766"/>
      <c r="V38" s="1769"/>
      <c r="W38" s="137"/>
      <c r="X38" s="150"/>
      <c r="Z38" s="190"/>
      <c r="AJ38" s="184"/>
      <c r="AK38" s="160"/>
      <c r="AL38" s="87"/>
      <c r="AM38" s="1773" t="s">
        <v>89</v>
      </c>
      <c r="AN38" s="1773"/>
      <c r="AO38" s="1773"/>
      <c r="AP38" s="1773"/>
      <c r="AQ38" s="1773"/>
      <c r="AR38" s="1773" t="s">
        <v>1213</v>
      </c>
      <c r="AS38" s="1805" t="s">
        <v>86</v>
      </c>
      <c r="AT38" s="1805"/>
      <c r="AU38" s="1805"/>
      <c r="AV38" s="1805"/>
      <c r="AW38" s="1805"/>
      <c r="AX38" s="1805" t="s">
        <v>239</v>
      </c>
      <c r="AY38" s="1805"/>
      <c r="AZ38" s="1805"/>
      <c r="BA38" s="1805"/>
      <c r="BB38" s="1805"/>
    </row>
    <row r="39" spans="1:54" s="81" customFormat="1" ht="11.1" customHeight="1" x14ac:dyDescent="0.2">
      <c r="A39" s="112"/>
      <c r="B39" s="113"/>
      <c r="C39" s="113"/>
      <c r="D39" s="113"/>
      <c r="E39" s="113"/>
      <c r="F39" s="113"/>
      <c r="G39" s="113"/>
      <c r="H39" s="113"/>
      <c r="I39" s="113"/>
      <c r="J39" s="114"/>
      <c r="K39" s="113"/>
      <c r="L39" s="113"/>
      <c r="M39" s="113"/>
      <c r="N39" s="113"/>
      <c r="O39" s="113"/>
      <c r="P39" s="113"/>
      <c r="Q39" s="113"/>
      <c r="R39" s="113"/>
      <c r="S39" s="113"/>
      <c r="T39" s="113"/>
      <c r="U39" s="113"/>
      <c r="V39" s="115"/>
      <c r="W39" s="137"/>
      <c r="X39" s="149" t="s">
        <v>101</v>
      </c>
      <c r="Y39" s="197"/>
      <c r="Z39" s="197"/>
      <c r="AA39" s="197"/>
      <c r="AB39" s="197"/>
      <c r="AC39" s="197"/>
      <c r="AJ39" s="184"/>
      <c r="AK39" s="160"/>
      <c r="AL39" s="87"/>
      <c r="AM39" s="145" t="str">
        <f>Sheet1!$D$27</f>
        <v>2015-16</v>
      </c>
      <c r="AN39" s="277" t="str">
        <f>Sheet1!$E$27</f>
        <v>2016-17</v>
      </c>
      <c r="AO39" s="277" t="str">
        <f>Sheet1!$F$27</f>
        <v>2017-18</v>
      </c>
      <c r="AP39" s="277" t="str">
        <f>Sheet1!$G$27</f>
        <v>2018-19</v>
      </c>
      <c r="AQ39" s="277" t="str">
        <f>Sheet1!$H$27</f>
        <v>2019-20</v>
      </c>
      <c r="AR39" s="1773"/>
      <c r="AS39" s="277" t="str">
        <f>Sheet1!$D$27</f>
        <v>2015-16</v>
      </c>
      <c r="AT39" s="277" t="str">
        <f>Sheet1!$E$27</f>
        <v>2016-17</v>
      </c>
      <c r="AU39" s="277" t="str">
        <f>Sheet1!$F$27</f>
        <v>2017-18</v>
      </c>
      <c r="AV39" s="277" t="str">
        <f>Sheet1!$G$27</f>
        <v>2018-19</v>
      </c>
      <c r="AW39" s="277" t="str">
        <f>Sheet1!$H$27</f>
        <v>2019-20</v>
      </c>
      <c r="AX39" s="502" t="str">
        <f>Sheet1!$D$27</f>
        <v>2015-16</v>
      </c>
      <c r="AY39" s="502" t="str">
        <f>Sheet1!$E$27</f>
        <v>2016-17</v>
      </c>
      <c r="AZ39" s="502" t="str">
        <f>Sheet1!$F$27</f>
        <v>2017-18</v>
      </c>
      <c r="BA39" s="502" t="str">
        <f>Sheet1!$G$27</f>
        <v>2018-19</v>
      </c>
      <c r="BB39" s="502" t="str">
        <f>Sheet1!$H$27</f>
        <v>2019-20</v>
      </c>
    </row>
    <row r="40" spans="1:54" s="81" customFormat="1" ht="3.75" customHeight="1" x14ac:dyDescent="0.25">
      <c r="A40" s="116"/>
      <c r="B40" s="9"/>
      <c r="C40" s="9"/>
      <c r="D40" s="9"/>
      <c r="E40" s="9"/>
      <c r="F40" s="9"/>
      <c r="G40" s="9"/>
      <c r="H40" s="9"/>
      <c r="I40" s="9"/>
      <c r="J40" s="12"/>
      <c r="K40" s="9"/>
      <c r="L40" s="9"/>
      <c r="M40" s="9"/>
      <c r="N40" s="9"/>
      <c r="O40" s="9"/>
      <c r="P40" s="9"/>
      <c r="Q40" s="9"/>
      <c r="R40" s="9"/>
      <c r="S40" s="9"/>
      <c r="T40" s="9"/>
      <c r="U40" s="9"/>
      <c r="V40" s="117"/>
      <c r="W40" s="137"/>
      <c r="X40" s="294"/>
      <c r="AD40" s="1320" t="s">
        <v>977</v>
      </c>
      <c r="AK40" s="160"/>
      <c r="AL40" s="87"/>
      <c r="AM40" s="277" t="e">
        <f>Sheet1!$D$28</f>
        <v>#N/A</v>
      </c>
      <c r="AN40" s="277" t="e">
        <f>Sheet1!$E$28</f>
        <v>#N/A</v>
      </c>
      <c r="AO40" s="277" t="e">
        <f>Sheet1!$F$28</f>
        <v>#N/A</v>
      </c>
      <c r="AP40" s="277" t="e">
        <f>Sheet1!$G$28</f>
        <v>#N/A</v>
      </c>
      <c r="AQ40" s="277" t="e">
        <f>Sheet1!$H$28</f>
        <v>#N/A</v>
      </c>
      <c r="AR40" s="1773"/>
      <c r="AS40" s="277" t="e">
        <f>Sheet1!$D$28</f>
        <v>#N/A</v>
      </c>
      <c r="AT40" s="277" t="e">
        <f>Sheet1!$E$28</f>
        <v>#N/A</v>
      </c>
      <c r="AU40" s="277" t="e">
        <f>Sheet1!$F$28</f>
        <v>#N/A</v>
      </c>
      <c r="AV40" s="277" t="e">
        <f>Sheet1!$G$28</f>
        <v>#N/A</v>
      </c>
      <c r="AW40" s="277" t="e">
        <f>Sheet1!$H$28</f>
        <v>#N/A</v>
      </c>
      <c r="AX40" s="502" t="e">
        <f>Sheet1!$D$28</f>
        <v>#N/A</v>
      </c>
      <c r="AY40" s="502" t="e">
        <f>Sheet1!$E$28</f>
        <v>#N/A</v>
      </c>
      <c r="AZ40" s="502" t="e">
        <f>Sheet1!$F$28</f>
        <v>#N/A</v>
      </c>
      <c r="BA40" s="502" t="e">
        <f>Sheet1!$G$28</f>
        <v>#N/A</v>
      </c>
      <c r="BB40" s="502" t="e">
        <f>Sheet1!$H$28</f>
        <v>#N/A</v>
      </c>
    </row>
    <row r="41" spans="1:54" s="81" customFormat="1" ht="14.25" customHeight="1" x14ac:dyDescent="0.2">
      <c r="A41" s="118"/>
      <c r="B41" s="9"/>
      <c r="C41" s="9"/>
      <c r="D41" s="9"/>
      <c r="E41" s="9"/>
      <c r="F41" s="9"/>
      <c r="G41" s="9"/>
      <c r="H41" s="9"/>
      <c r="I41" s="9"/>
      <c r="J41" s="12"/>
      <c r="K41" s="9"/>
      <c r="L41" s="9"/>
      <c r="M41" s="9"/>
      <c r="N41" s="9"/>
      <c r="O41" s="9"/>
      <c r="P41" s="9"/>
      <c r="Q41" s="9"/>
      <c r="R41" s="9"/>
      <c r="S41" s="9"/>
      <c r="T41" s="9"/>
      <c r="U41" s="9"/>
      <c r="V41" s="117"/>
      <c r="W41" s="137"/>
      <c r="X41" s="294"/>
      <c r="Y41" s="43" t="s">
        <v>72</v>
      </c>
      <c r="Z41" s="43" t="s">
        <v>70</v>
      </c>
      <c r="AA41" s="43" t="s">
        <v>71</v>
      </c>
      <c r="AB41" s="1194">
        <v>5</v>
      </c>
      <c r="AC41" s="216">
        <f>(AB41*Z42)+AA42</f>
        <v>410.52905863993249</v>
      </c>
      <c r="AD41" s="1319">
        <f>ROUND(ChartLabels!$AA7,3)</f>
        <v>0.36499999999999999</v>
      </c>
      <c r="AJ41" s="585" t="b">
        <v>1</v>
      </c>
      <c r="AK41" s="160" t="s">
        <v>0</v>
      </c>
      <c r="AL41" s="87" t="str">
        <f t="shared" ref="AL41:AL64" si="15">IF(AJ41=TRUE,B10,"")</f>
        <v>Bracknell Forest</v>
      </c>
      <c r="AM41" s="146">
        <f t="shared" ref="AM41:AQ50" si="16">VLOOKUP($AL41,$B$10:$O$33,AM$37,FALSE)</f>
        <v>463.12056737588654</v>
      </c>
      <c r="AN41" s="146">
        <f t="shared" si="16"/>
        <v>582.97872340425533</v>
      </c>
      <c r="AO41" s="146">
        <f t="shared" si="16"/>
        <v>647.3309608540925</v>
      </c>
      <c r="AP41" s="146">
        <f t="shared" si="16"/>
        <v>791.51943462897532</v>
      </c>
      <c r="AQ41" s="146">
        <f t="shared" si="16"/>
        <v>598.23943661971828</v>
      </c>
      <c r="AR41" s="147">
        <f t="shared" ref="AR41:AR64" si="17">VLOOKUP(AL41,$B$10:$U$33,$AR$37,FALSE)</f>
        <v>8.9</v>
      </c>
      <c r="AS41" s="348">
        <f t="shared" ref="AS41:AW50" si="18">VLOOKUP($AL41,$B$148:$H$171,AS$37,FALSE)</f>
        <v>0.82695252679938747</v>
      </c>
      <c r="AT41" s="348">
        <f t="shared" si="18"/>
        <v>0.87591240875912413</v>
      </c>
      <c r="AU41" s="348">
        <f t="shared" si="18"/>
        <v>0.9279824079164376</v>
      </c>
      <c r="AV41" s="348">
        <f t="shared" si="18"/>
        <v>0.71875</v>
      </c>
      <c r="AW41" s="348">
        <f t="shared" si="18"/>
        <v>0.81871689228958211</v>
      </c>
      <c r="AX41" s="348" t="e">
        <f t="shared" ref="AX41:BB50" si="19">VLOOKUP($AL41,$B$112:$H$135,AX$37,FALSE)</f>
        <v>#N/A</v>
      </c>
      <c r="AY41" s="348" t="e">
        <f t="shared" si="19"/>
        <v>#N/A</v>
      </c>
      <c r="AZ41" s="348" t="e">
        <f t="shared" si="19"/>
        <v>#N/A</v>
      </c>
      <c r="BA41" s="348" t="e">
        <f t="shared" si="19"/>
        <v>#N/A</v>
      </c>
      <c r="BB41" s="348" t="e">
        <f t="shared" si="19"/>
        <v>#N/A</v>
      </c>
    </row>
    <row r="42" spans="1:54" s="81" customFormat="1" ht="14.25" customHeight="1" x14ac:dyDescent="0.2">
      <c r="A42" s="118"/>
      <c r="B42" s="9"/>
      <c r="C42" s="9"/>
      <c r="D42" s="9"/>
      <c r="E42" s="9"/>
      <c r="F42" s="9"/>
      <c r="G42" s="9"/>
      <c r="H42" s="9"/>
      <c r="I42" s="9"/>
      <c r="J42" s="12"/>
      <c r="K42" s="9"/>
      <c r="L42" s="9"/>
      <c r="M42" s="9"/>
      <c r="N42" s="9"/>
      <c r="O42" s="9"/>
      <c r="P42" s="9"/>
      <c r="Q42" s="9"/>
      <c r="R42" s="9"/>
      <c r="S42" s="9"/>
      <c r="T42" s="9"/>
      <c r="U42" s="9"/>
      <c r="V42" s="117"/>
      <c r="W42" s="137"/>
      <c r="X42" s="294"/>
      <c r="Y42" s="212" t="str">
        <f>"Y= "&amp;Z42&amp;"x + "&amp;AA42</f>
        <v>Y= 24.406559196216x + 288.496262658852</v>
      </c>
      <c r="Z42" s="743">
        <f>ChartLabels!$Y7</f>
        <v>24.406559196216019</v>
      </c>
      <c r="AA42" s="743">
        <f>ChartLabels!$Z7</f>
        <v>288.4962626588524</v>
      </c>
      <c r="AB42" s="215">
        <v>35</v>
      </c>
      <c r="AC42" s="216">
        <f>(AB42*Z42)+AA42</f>
        <v>1142.7258345264131</v>
      </c>
      <c r="AD42" s="1319" t="str">
        <f>AD40&amp;" = "&amp;AD41</f>
        <v>r² = 0.365</v>
      </c>
      <c r="AJ42" s="585" t="b">
        <v>1</v>
      </c>
      <c r="AK42" s="160" t="s">
        <v>31</v>
      </c>
      <c r="AL42" s="87" t="str">
        <f t="shared" si="15"/>
        <v>Brighton &amp; Hove</v>
      </c>
      <c r="AM42" s="146">
        <f t="shared" si="16"/>
        <v>669.140625</v>
      </c>
      <c r="AN42" s="146">
        <f t="shared" si="16"/>
        <v>663.74269005847941</v>
      </c>
      <c r="AO42" s="146">
        <f t="shared" si="16"/>
        <v>655.68627450980398</v>
      </c>
      <c r="AP42" s="146">
        <f t="shared" si="16"/>
        <v>635.0980392156863</v>
      </c>
      <c r="AQ42" s="146">
        <f t="shared" si="16"/>
        <v>709.94035785288281</v>
      </c>
      <c r="AR42" s="147">
        <f t="shared" si="17"/>
        <v>15.299999999999999</v>
      </c>
      <c r="AS42" s="348">
        <f t="shared" si="18"/>
        <v>0.90455341506129594</v>
      </c>
      <c r="AT42" s="348">
        <f t="shared" si="18"/>
        <v>0.90249632892804699</v>
      </c>
      <c r="AU42" s="348">
        <f t="shared" si="18"/>
        <v>0.9087918660287081</v>
      </c>
      <c r="AV42" s="348">
        <f t="shared" si="18"/>
        <v>0.92466810744056804</v>
      </c>
      <c r="AW42" s="348">
        <f t="shared" si="18"/>
        <v>0.86782413889666765</v>
      </c>
      <c r="AX42" s="348" t="e">
        <f t="shared" si="19"/>
        <v>#N/A</v>
      </c>
      <c r="AY42" s="348" t="e">
        <f t="shared" si="19"/>
        <v>#N/A</v>
      </c>
      <c r="AZ42" s="348" t="e">
        <f t="shared" si="19"/>
        <v>#N/A</v>
      </c>
      <c r="BA42" s="348" t="e">
        <f t="shared" si="19"/>
        <v>#N/A</v>
      </c>
      <c r="BB42" s="348" t="e">
        <f t="shared" si="19"/>
        <v>#N/A</v>
      </c>
    </row>
    <row r="43" spans="1:54" ht="14.25" customHeight="1" x14ac:dyDescent="0.2">
      <c r="A43" s="118"/>
      <c r="B43" s="9"/>
      <c r="C43" s="9"/>
      <c r="D43" s="9"/>
      <c r="E43" s="9"/>
      <c r="F43" s="9"/>
      <c r="G43" s="9"/>
      <c r="H43" s="9"/>
      <c r="I43" s="9"/>
      <c r="J43" s="12"/>
      <c r="K43" s="9"/>
      <c r="L43" s="9"/>
      <c r="M43" s="9"/>
      <c r="N43" s="9"/>
      <c r="O43" s="9"/>
      <c r="P43" s="9"/>
      <c r="Q43" s="9"/>
      <c r="R43" s="9"/>
      <c r="S43" s="9"/>
      <c r="T43" s="9"/>
      <c r="U43" s="9"/>
      <c r="V43" s="117"/>
      <c r="W43" s="137"/>
      <c r="X43" s="294"/>
      <c r="Y43" s="43" t="str">
        <f>"National Trend "&amp;Sheet1!$B$8</f>
        <v>National Trend 2020</v>
      </c>
      <c r="Z43" s="43" t="s">
        <v>70</v>
      </c>
      <c r="AA43" s="43" t="s">
        <v>71</v>
      </c>
      <c r="AB43" s="1194">
        <v>5</v>
      </c>
      <c r="AC43" s="216">
        <f>((AB43*Z44)+AA44)/$Y$2</f>
        <v>362.25089536629594</v>
      </c>
      <c r="AD43" s="1319" t="str">
        <f>$AD$40&amp;" = "&amp;AD44</f>
        <v>r² = 0.257</v>
      </c>
      <c r="AJ43" s="585" t="b">
        <v>1</v>
      </c>
      <c r="AK43" s="160" t="s">
        <v>8</v>
      </c>
      <c r="AL43" s="87" t="str">
        <f t="shared" si="15"/>
        <v>Buckinghamshire</v>
      </c>
      <c r="AM43" s="146">
        <f t="shared" si="16"/>
        <v>576.94859038142624</v>
      </c>
      <c r="AN43" s="146">
        <f t="shared" si="16"/>
        <v>753.19148936170211</v>
      </c>
      <c r="AO43" s="146">
        <f t="shared" si="16"/>
        <v>839.7238017871648</v>
      </c>
      <c r="AP43" s="146">
        <f t="shared" si="16"/>
        <v>614.64199517296868</v>
      </c>
      <c r="AQ43" s="146">
        <f t="shared" si="16"/>
        <v>665.63245823389013</v>
      </c>
      <c r="AR43" s="147">
        <f t="shared" si="17"/>
        <v>8.5</v>
      </c>
      <c r="AS43" s="348">
        <f t="shared" si="18"/>
        <v>0.83702213279678073</v>
      </c>
      <c r="AT43" s="348">
        <f t="shared" si="18"/>
        <v>0.89710995219469791</v>
      </c>
      <c r="AU43" s="348">
        <f t="shared" si="18"/>
        <v>0.74102737738221924</v>
      </c>
      <c r="AV43" s="348">
        <f t="shared" si="18"/>
        <v>0.73390052356020941</v>
      </c>
      <c r="AW43" s="348">
        <f t="shared" si="18"/>
        <v>0.85502569618740287</v>
      </c>
      <c r="AX43" s="348" t="e">
        <f t="shared" si="19"/>
        <v>#N/A</v>
      </c>
      <c r="AY43" s="348" t="e">
        <f t="shared" si="19"/>
        <v>#N/A</v>
      </c>
      <c r="AZ43" s="348" t="e">
        <f t="shared" si="19"/>
        <v>#N/A</v>
      </c>
      <c r="BA43" s="348" t="e">
        <f t="shared" si="19"/>
        <v>#N/A</v>
      </c>
      <c r="BB43" s="348" t="e">
        <f t="shared" si="19"/>
        <v>#N/A</v>
      </c>
    </row>
    <row r="44" spans="1:54" ht="14.25" customHeight="1" x14ac:dyDescent="0.2">
      <c r="A44" s="118"/>
      <c r="B44" s="9"/>
      <c r="C44" s="9"/>
      <c r="D44" s="9"/>
      <c r="E44" s="9"/>
      <c r="F44" s="9"/>
      <c r="G44" s="9"/>
      <c r="H44" s="9"/>
      <c r="I44" s="9"/>
      <c r="J44" s="12"/>
      <c r="K44" s="13"/>
      <c r="L44" s="13"/>
      <c r="M44" s="13"/>
      <c r="N44" s="13"/>
      <c r="O44" s="14"/>
      <c r="P44" s="14"/>
      <c r="Q44" s="14"/>
      <c r="R44" s="14"/>
      <c r="S44" s="14"/>
      <c r="T44" s="14"/>
      <c r="U44" s="14"/>
      <c r="V44" s="117"/>
      <c r="W44" s="137"/>
      <c r="X44" s="294"/>
      <c r="Y44" s="72" t="str">
        <f>"Y= "&amp;Z44&amp;"x + "&amp;AA44</f>
        <v>Y= 15.8889937574295x + 282.805926579149</v>
      </c>
      <c r="Z44" s="1196">
        <f>Sheet1!$D$7</f>
        <v>15.888993757429454</v>
      </c>
      <c r="AA44" s="1196">
        <f>Sheet1!$D$8</f>
        <v>282.80592657914866</v>
      </c>
      <c r="AB44" s="215">
        <v>35</v>
      </c>
      <c r="AC44" s="216">
        <f>((AB44*Z44)+AA44)/$Y$2</f>
        <v>838.92070808917947</v>
      </c>
      <c r="AD44" s="1195">
        <f>ROUND(Sheet1!$D$9,3)</f>
        <v>0.25700000000000001</v>
      </c>
      <c r="AJ44" s="585" t="b">
        <v>1</v>
      </c>
      <c r="AK44" s="160" t="s">
        <v>4</v>
      </c>
      <c r="AL44" s="87" t="str">
        <f t="shared" si="15"/>
        <v>East Sussex</v>
      </c>
      <c r="AM44" s="146">
        <f t="shared" si="16"/>
        <v>301.98300283286119</v>
      </c>
      <c r="AN44" s="146">
        <f t="shared" si="16"/>
        <v>347.11992445703493</v>
      </c>
      <c r="AO44" s="146">
        <f t="shared" si="16"/>
        <v>411.98113207547169</v>
      </c>
      <c r="AP44" s="146">
        <f t="shared" si="16"/>
        <v>405.54511278195491</v>
      </c>
      <c r="AQ44" s="146">
        <f t="shared" si="16"/>
        <v>392.00376293508936</v>
      </c>
      <c r="AR44" s="147">
        <f t="shared" si="17"/>
        <v>16.100000000000001</v>
      </c>
      <c r="AS44" s="348">
        <f t="shared" si="18"/>
        <v>0.97467166979362097</v>
      </c>
      <c r="AT44" s="348">
        <f t="shared" si="18"/>
        <v>0.98150163220892273</v>
      </c>
      <c r="AU44" s="348">
        <f t="shared" si="18"/>
        <v>0.9814517975727044</v>
      </c>
      <c r="AV44" s="348">
        <f t="shared" si="18"/>
        <v>0.98146002317497105</v>
      </c>
      <c r="AW44" s="348">
        <f t="shared" si="18"/>
        <v>0.98656107511399083</v>
      </c>
      <c r="AX44" s="348" t="e">
        <f t="shared" si="19"/>
        <v>#N/A</v>
      </c>
      <c r="AY44" s="348" t="e">
        <f t="shared" si="19"/>
        <v>#N/A</v>
      </c>
      <c r="AZ44" s="348" t="e">
        <f t="shared" si="19"/>
        <v>#N/A</v>
      </c>
      <c r="BA44" s="348" t="e">
        <f t="shared" si="19"/>
        <v>#N/A</v>
      </c>
      <c r="BB44" s="348" t="e">
        <f t="shared" si="19"/>
        <v>#N/A</v>
      </c>
    </row>
    <row r="45" spans="1:54" s="76" customFormat="1" ht="14.25" customHeight="1" x14ac:dyDescent="0.2">
      <c r="A45" s="119"/>
      <c r="B45" s="107"/>
      <c r="C45" s="107"/>
      <c r="D45" s="108"/>
      <c r="E45" s="108"/>
      <c r="F45" s="108"/>
      <c r="G45" s="108"/>
      <c r="H45" s="108"/>
      <c r="I45" s="227"/>
      <c r="J45" s="15"/>
      <c r="K45" s="9"/>
      <c r="L45" s="9"/>
      <c r="M45" s="9"/>
      <c r="N45" s="9"/>
      <c r="O45" s="9"/>
      <c r="P45" s="9"/>
      <c r="Q45" s="9"/>
      <c r="R45" s="9"/>
      <c r="S45" s="9"/>
      <c r="T45" s="9"/>
      <c r="U45" s="9"/>
      <c r="V45" s="120"/>
      <c r="W45" s="138"/>
      <c r="X45" s="295"/>
      <c r="AD45" s="81"/>
      <c r="AE45" s="81"/>
      <c r="AF45" s="81"/>
      <c r="AG45" s="81"/>
      <c r="AH45" s="81"/>
      <c r="AI45" s="81"/>
      <c r="AJ45" s="585" t="b">
        <v>1</v>
      </c>
      <c r="AK45" s="160" t="s">
        <v>6</v>
      </c>
      <c r="AL45" s="87" t="str">
        <f t="shared" si="15"/>
        <v>Hampshire</v>
      </c>
      <c r="AM45" s="146">
        <f t="shared" si="16"/>
        <v>591.20255409719766</v>
      </c>
      <c r="AN45" s="146">
        <f t="shared" si="16"/>
        <v>687.23479490806221</v>
      </c>
      <c r="AO45" s="146">
        <f t="shared" si="16"/>
        <v>568.83162725026466</v>
      </c>
      <c r="AP45" s="146">
        <f t="shared" si="16"/>
        <v>648.16901408450701</v>
      </c>
      <c r="AQ45" s="146">
        <f t="shared" si="16"/>
        <v>711.22054168132252</v>
      </c>
      <c r="AR45" s="147">
        <f t="shared" si="17"/>
        <v>10.100000000000001</v>
      </c>
      <c r="AS45" s="348">
        <f t="shared" si="18"/>
        <v>0.89961598463938552</v>
      </c>
      <c r="AT45" s="348">
        <f t="shared" si="18"/>
        <v>0.82588114226910214</v>
      </c>
      <c r="AU45" s="348">
        <f t="shared" si="18"/>
        <v>0.83599131244182434</v>
      </c>
      <c r="AV45" s="348">
        <f t="shared" si="18"/>
        <v>0.85495436766623212</v>
      </c>
      <c r="AW45" s="348">
        <f t="shared" si="18"/>
        <v>0.86641938674579622</v>
      </c>
      <c r="AX45" s="348" t="e">
        <f t="shared" si="19"/>
        <v>#N/A</v>
      </c>
      <c r="AY45" s="348" t="e">
        <f t="shared" si="19"/>
        <v>#N/A</v>
      </c>
      <c r="AZ45" s="348" t="e">
        <f t="shared" si="19"/>
        <v>#N/A</v>
      </c>
      <c r="BA45" s="348" t="e">
        <f t="shared" si="19"/>
        <v>#N/A</v>
      </c>
      <c r="BB45" s="348" t="e">
        <f t="shared" si="19"/>
        <v>#N/A</v>
      </c>
    </row>
    <row r="46" spans="1:54" ht="14.25" customHeight="1" x14ac:dyDescent="0.2">
      <c r="A46" s="118"/>
      <c r="B46" s="108"/>
      <c r="C46" s="108"/>
      <c r="D46" s="108"/>
      <c r="E46" s="108"/>
      <c r="F46" s="108"/>
      <c r="G46" s="108"/>
      <c r="H46" s="108"/>
      <c r="I46" s="227"/>
      <c r="J46" s="12"/>
      <c r="K46" s="14"/>
      <c r="L46" s="14"/>
      <c r="M46" s="14"/>
      <c r="N46" s="14"/>
      <c r="O46" s="9"/>
      <c r="P46" s="9"/>
      <c r="Q46" s="9"/>
      <c r="R46" s="9"/>
      <c r="S46" s="9"/>
      <c r="T46" s="9"/>
      <c r="U46" s="9"/>
      <c r="V46" s="117"/>
      <c r="W46" s="137"/>
      <c r="X46" s="294"/>
      <c r="AJ46" s="585" t="b">
        <v>1</v>
      </c>
      <c r="AK46" s="160" t="s">
        <v>1</v>
      </c>
      <c r="AL46" s="87" t="str">
        <f t="shared" si="15"/>
        <v>Isle of Wight</v>
      </c>
      <c r="AM46" s="146">
        <f t="shared" si="16"/>
        <v>944.26877470355737</v>
      </c>
      <c r="AN46" s="146">
        <f t="shared" si="16"/>
        <v>1036.9047619047619</v>
      </c>
      <c r="AO46" s="146">
        <f t="shared" si="16"/>
        <v>881.27490039840632</v>
      </c>
      <c r="AP46" s="146">
        <f t="shared" si="16"/>
        <v>973.49397590361446</v>
      </c>
      <c r="AQ46" s="146">
        <f t="shared" si="16"/>
        <v>1080.9716599190283</v>
      </c>
      <c r="AR46" s="147">
        <f t="shared" si="17"/>
        <v>18</v>
      </c>
      <c r="AS46" s="348">
        <f t="shared" si="18"/>
        <v>0.89284219338635418</v>
      </c>
      <c r="AT46" s="348">
        <f t="shared" si="18"/>
        <v>0.83773440489858397</v>
      </c>
      <c r="AU46" s="348">
        <f t="shared" si="18"/>
        <v>0.80605786618444841</v>
      </c>
      <c r="AV46" s="348">
        <f t="shared" si="18"/>
        <v>0.77846534653465349</v>
      </c>
      <c r="AW46" s="348">
        <f t="shared" si="18"/>
        <v>0.82958801498127344</v>
      </c>
      <c r="AX46" s="348" t="e">
        <f t="shared" si="19"/>
        <v>#N/A</v>
      </c>
      <c r="AY46" s="348" t="e">
        <f t="shared" si="19"/>
        <v>#N/A</v>
      </c>
      <c r="AZ46" s="348" t="e">
        <f t="shared" si="19"/>
        <v>#N/A</v>
      </c>
      <c r="BA46" s="348" t="e">
        <f t="shared" si="19"/>
        <v>#N/A</v>
      </c>
      <c r="BB46" s="348" t="e">
        <f t="shared" si="19"/>
        <v>#N/A</v>
      </c>
    </row>
    <row r="47" spans="1:54" ht="14.25" customHeight="1" x14ac:dyDescent="0.2">
      <c r="A47" s="118"/>
      <c r="B47" s="108"/>
      <c r="C47" s="108"/>
      <c r="D47" s="108"/>
      <c r="E47" s="108"/>
      <c r="F47" s="108"/>
      <c r="G47" s="108"/>
      <c r="H47" s="108"/>
      <c r="I47" s="227"/>
      <c r="J47" s="12"/>
      <c r="K47" s="14"/>
      <c r="L47" s="14"/>
      <c r="M47" s="14"/>
      <c r="N47" s="14"/>
      <c r="O47" s="9"/>
      <c r="P47" s="9"/>
      <c r="Q47" s="9"/>
      <c r="R47" s="9"/>
      <c r="S47" s="9"/>
      <c r="T47" s="9"/>
      <c r="U47" s="9"/>
      <c r="V47" s="117"/>
      <c r="W47" s="137"/>
      <c r="X47" s="294"/>
      <c r="AD47" s="207"/>
      <c r="AJ47" s="585" t="b">
        <v>1</v>
      </c>
      <c r="AK47" s="160" t="s">
        <v>9</v>
      </c>
      <c r="AL47" s="87" t="str">
        <f t="shared" si="15"/>
        <v>Kent</v>
      </c>
      <c r="AM47" s="146">
        <f t="shared" si="16"/>
        <v>464.34624697336562</v>
      </c>
      <c r="AN47" s="146">
        <f t="shared" si="16"/>
        <v>474.62462462462463</v>
      </c>
      <c r="AO47" s="146">
        <f t="shared" si="16"/>
        <v>576.40583159773882</v>
      </c>
      <c r="AP47" s="146">
        <f t="shared" si="16"/>
        <v>537.57718318141724</v>
      </c>
      <c r="AQ47" s="146">
        <f t="shared" si="16"/>
        <v>650.05817335660277</v>
      </c>
      <c r="AR47" s="147">
        <f t="shared" si="17"/>
        <v>15.8</v>
      </c>
      <c r="AS47" s="348">
        <f t="shared" si="18"/>
        <v>0.99302568113674883</v>
      </c>
      <c r="AT47" s="348">
        <f t="shared" si="18"/>
        <v>0.99462195507750717</v>
      </c>
      <c r="AU47" s="348">
        <f t="shared" si="18"/>
        <v>0.99236050172921075</v>
      </c>
      <c r="AV47" s="348">
        <f t="shared" si="18"/>
        <v>0.99431165563638357</v>
      </c>
      <c r="AW47" s="348">
        <f t="shared" si="18"/>
        <v>0.99525705848136381</v>
      </c>
      <c r="AX47" s="348" t="e">
        <f t="shared" si="19"/>
        <v>#N/A</v>
      </c>
      <c r="AY47" s="348" t="e">
        <f t="shared" si="19"/>
        <v>#N/A</v>
      </c>
      <c r="AZ47" s="348" t="e">
        <f t="shared" si="19"/>
        <v>#N/A</v>
      </c>
      <c r="BA47" s="348" t="e">
        <f t="shared" si="19"/>
        <v>#N/A</v>
      </c>
      <c r="BB47" s="348" t="e">
        <f t="shared" si="19"/>
        <v>#N/A</v>
      </c>
    </row>
    <row r="48" spans="1:54" ht="14.25" customHeight="1" x14ac:dyDescent="0.2">
      <c r="A48" s="118"/>
      <c r="B48" s="58"/>
      <c r="C48" s="58"/>
      <c r="D48" s="58"/>
      <c r="E48" s="58"/>
      <c r="F48" s="58"/>
      <c r="G48" s="58"/>
      <c r="H48" s="58"/>
      <c r="I48" s="58"/>
      <c r="J48" s="12"/>
      <c r="K48" s="14"/>
      <c r="L48" s="14"/>
      <c r="M48" s="14"/>
      <c r="N48" s="14"/>
      <c r="O48" s="9"/>
      <c r="P48" s="9"/>
      <c r="Q48" s="9"/>
      <c r="R48" s="9"/>
      <c r="S48" s="9"/>
      <c r="T48" s="9"/>
      <c r="U48" s="9"/>
      <c r="V48" s="117"/>
      <c r="W48" s="137"/>
      <c r="X48" s="294"/>
      <c r="AD48" s="184"/>
      <c r="AJ48" s="585" t="b">
        <v>1</v>
      </c>
      <c r="AK48" s="160" t="s">
        <v>2</v>
      </c>
      <c r="AL48" s="87" t="str">
        <f t="shared" si="15"/>
        <v>Medway</v>
      </c>
      <c r="AM48" s="146">
        <f t="shared" si="16"/>
        <v>532.91139240506334</v>
      </c>
      <c r="AN48" s="146">
        <f t="shared" si="16"/>
        <v>428.88540031397173</v>
      </c>
      <c r="AO48" s="146">
        <f t="shared" si="16"/>
        <v>408.76369327073553</v>
      </c>
      <c r="AP48" s="146">
        <f t="shared" si="16"/>
        <v>625</v>
      </c>
      <c r="AQ48" s="146">
        <f t="shared" si="16"/>
        <v>754.46153846153845</v>
      </c>
      <c r="AR48" s="147">
        <f t="shared" si="17"/>
        <v>18.899999999999999</v>
      </c>
      <c r="AS48" s="348">
        <f t="shared" si="18"/>
        <v>0.88004750593824232</v>
      </c>
      <c r="AT48" s="348">
        <f t="shared" si="18"/>
        <v>0.91617862371888725</v>
      </c>
      <c r="AU48" s="348">
        <f t="shared" si="18"/>
        <v>0.92534456355283312</v>
      </c>
      <c r="AV48" s="348">
        <f t="shared" si="18"/>
        <v>0.92670807453416149</v>
      </c>
      <c r="AW48" s="348">
        <f t="shared" si="18"/>
        <v>0.95207993474714514</v>
      </c>
      <c r="AX48" s="348" t="e">
        <f t="shared" si="19"/>
        <v>#N/A</v>
      </c>
      <c r="AY48" s="348" t="e">
        <f t="shared" si="19"/>
        <v>#N/A</v>
      </c>
      <c r="AZ48" s="348" t="e">
        <f t="shared" si="19"/>
        <v>#N/A</v>
      </c>
      <c r="BA48" s="348" t="e">
        <f t="shared" si="19"/>
        <v>#N/A</v>
      </c>
      <c r="BB48" s="348" t="e">
        <f t="shared" si="19"/>
        <v>#N/A</v>
      </c>
    </row>
    <row r="49" spans="1:54" ht="14.25" customHeight="1" x14ac:dyDescent="0.2">
      <c r="A49" s="118"/>
      <c r="B49" s="58"/>
      <c r="C49" s="58"/>
      <c r="D49" s="69"/>
      <c r="E49" s="70"/>
      <c r="F49" s="69"/>
      <c r="G49" s="70"/>
      <c r="H49" s="70"/>
      <c r="I49" s="70"/>
      <c r="J49" s="12"/>
      <c r="K49" s="14"/>
      <c r="L49" s="14"/>
      <c r="M49" s="14"/>
      <c r="N49" s="14"/>
      <c r="O49" s="9"/>
      <c r="P49" s="9"/>
      <c r="Q49" s="9"/>
      <c r="R49" s="9"/>
      <c r="S49" s="9"/>
      <c r="T49" s="9"/>
      <c r="U49" s="9"/>
      <c r="V49" s="117"/>
      <c r="W49" s="137"/>
      <c r="X49" s="294"/>
      <c r="AJ49" s="585" t="b">
        <v>1</v>
      </c>
      <c r="AK49" s="160" t="s">
        <v>10</v>
      </c>
      <c r="AL49" s="87" t="str">
        <f t="shared" si="15"/>
        <v>Milton Keynes</v>
      </c>
      <c r="AM49" s="146">
        <f t="shared" si="16"/>
        <v>418.91074130105898</v>
      </c>
      <c r="AN49" s="146">
        <f t="shared" si="16"/>
        <v>459.46348733233981</v>
      </c>
      <c r="AO49" s="146">
        <f t="shared" si="16"/>
        <v>348.96449704142009</v>
      </c>
      <c r="AP49" s="146">
        <f t="shared" si="16"/>
        <v>397.80380673499269</v>
      </c>
      <c r="AQ49" s="146">
        <f t="shared" si="16"/>
        <v>449.12790697674421</v>
      </c>
      <c r="AR49" s="147">
        <f t="shared" si="17"/>
        <v>15</v>
      </c>
      <c r="AS49" s="348">
        <f t="shared" si="18"/>
        <v>0.76778620440592271</v>
      </c>
      <c r="AT49" s="348">
        <f t="shared" si="18"/>
        <v>0.81673694453454426</v>
      </c>
      <c r="AU49" s="348">
        <f t="shared" si="18"/>
        <v>0.81644764730818142</v>
      </c>
      <c r="AV49" s="348">
        <f t="shared" si="18"/>
        <v>0.83216783216783219</v>
      </c>
      <c r="AW49" s="348">
        <f t="shared" si="18"/>
        <v>0.90647249190938506</v>
      </c>
      <c r="AX49" s="348" t="e">
        <f t="shared" si="19"/>
        <v>#N/A</v>
      </c>
      <c r="AY49" s="348" t="e">
        <f t="shared" si="19"/>
        <v>#N/A</v>
      </c>
      <c r="AZ49" s="348" t="e">
        <f t="shared" si="19"/>
        <v>#N/A</v>
      </c>
      <c r="BA49" s="348" t="e">
        <f t="shared" si="19"/>
        <v>#N/A</v>
      </c>
      <c r="BB49" s="348" t="e">
        <f t="shared" si="19"/>
        <v>#N/A</v>
      </c>
    </row>
    <row r="50" spans="1:54" ht="14.25" customHeight="1" x14ac:dyDescent="0.2">
      <c r="A50" s="118"/>
      <c r="B50" s="58"/>
      <c r="C50" s="58"/>
      <c r="D50" s="61"/>
      <c r="E50" s="61"/>
      <c r="F50" s="61"/>
      <c r="G50" s="61"/>
      <c r="H50" s="61"/>
      <c r="I50" s="61"/>
      <c r="J50" s="12"/>
      <c r="K50" s="14"/>
      <c r="L50" s="14"/>
      <c r="M50" s="14"/>
      <c r="N50" s="14"/>
      <c r="O50" s="9"/>
      <c r="P50" s="9"/>
      <c r="Q50" s="9"/>
      <c r="R50" s="9"/>
      <c r="S50" s="9"/>
      <c r="T50" s="9"/>
      <c r="U50" s="9"/>
      <c r="V50" s="117"/>
      <c r="W50" s="137"/>
      <c r="X50" s="294"/>
      <c r="AJ50" s="585" t="b">
        <v>1</v>
      </c>
      <c r="AK50" s="160" t="s">
        <v>11</v>
      </c>
      <c r="AL50" s="87" t="str">
        <f t="shared" si="15"/>
        <v>Oxfordshire</v>
      </c>
      <c r="AM50" s="146">
        <f t="shared" si="16"/>
        <v>476.02256699576873</v>
      </c>
      <c r="AN50" s="146">
        <f t="shared" si="16"/>
        <v>494.47165850244926</v>
      </c>
      <c r="AO50" s="146">
        <f t="shared" si="16"/>
        <v>475.17433751743374</v>
      </c>
      <c r="AP50" s="146">
        <f t="shared" si="16"/>
        <v>468.16298342541438</v>
      </c>
      <c r="AQ50" s="146">
        <f t="shared" si="16"/>
        <v>513.48391512662556</v>
      </c>
      <c r="AR50" s="147">
        <f t="shared" si="17"/>
        <v>10.100000000000001</v>
      </c>
      <c r="AS50" s="348">
        <f t="shared" si="18"/>
        <v>0.91629629629629628</v>
      </c>
      <c r="AT50" s="348">
        <f t="shared" si="18"/>
        <v>0.93362581375601472</v>
      </c>
      <c r="AU50" s="348">
        <f t="shared" si="18"/>
        <v>0.79439389492221901</v>
      </c>
      <c r="AV50" s="348">
        <f t="shared" si="18"/>
        <v>0.82873580174066974</v>
      </c>
      <c r="AW50" s="348">
        <f t="shared" si="18"/>
        <v>0.92948547054118902</v>
      </c>
      <c r="AX50" s="348" t="e">
        <f t="shared" si="19"/>
        <v>#N/A</v>
      </c>
      <c r="AY50" s="348" t="e">
        <f t="shared" si="19"/>
        <v>#N/A</v>
      </c>
      <c r="AZ50" s="348" t="e">
        <f t="shared" si="19"/>
        <v>#N/A</v>
      </c>
      <c r="BA50" s="348" t="e">
        <f t="shared" si="19"/>
        <v>#N/A</v>
      </c>
      <c r="BB50" s="348" t="e">
        <f t="shared" si="19"/>
        <v>#N/A</v>
      </c>
    </row>
    <row r="51" spans="1:54" ht="14.25" customHeight="1" x14ac:dyDescent="0.2">
      <c r="A51" s="118"/>
      <c r="B51" s="67"/>
      <c r="C51" s="67"/>
      <c r="D51" s="58"/>
      <c r="E51" s="58"/>
      <c r="F51" s="58"/>
      <c r="G51" s="58"/>
      <c r="H51" s="58"/>
      <c r="I51" s="58"/>
      <c r="J51" s="12"/>
      <c r="K51" s="14"/>
      <c r="L51" s="14"/>
      <c r="M51" s="14"/>
      <c r="N51" s="14"/>
      <c r="O51" s="9"/>
      <c r="P51" s="9"/>
      <c r="Q51" s="9"/>
      <c r="R51" s="9"/>
      <c r="S51" s="9"/>
      <c r="T51" s="9"/>
      <c r="U51" s="9"/>
      <c r="V51" s="117"/>
      <c r="W51" s="137"/>
      <c r="X51" s="294"/>
      <c r="AJ51" s="585" t="b">
        <v>1</v>
      </c>
      <c r="AK51" s="160" t="s">
        <v>12</v>
      </c>
      <c r="AL51" s="87" t="str">
        <f t="shared" si="15"/>
        <v>Portsmouth</v>
      </c>
      <c r="AM51" s="146">
        <f t="shared" ref="AM51:AQ64" si="20">VLOOKUP($AL51,$B$10:$O$33,AM$37,FALSE)</f>
        <v>477.85388127853878</v>
      </c>
      <c r="AN51" s="146">
        <f t="shared" si="20"/>
        <v>565.22727272727275</v>
      </c>
      <c r="AO51" s="146">
        <f t="shared" si="20"/>
        <v>643.66515837104066</v>
      </c>
      <c r="AP51" s="146">
        <f t="shared" si="20"/>
        <v>646.36363636363626</v>
      </c>
      <c r="AQ51" s="146">
        <f t="shared" si="20"/>
        <v>608.21917808219177</v>
      </c>
      <c r="AR51" s="147">
        <f t="shared" si="17"/>
        <v>20.200000000000003</v>
      </c>
      <c r="AS51" s="348">
        <f t="shared" ref="AS51:AW64" si="21">VLOOKUP($AL51,$B$148:$H$171,AS$37,FALSE)</f>
        <v>0.97515527950310554</v>
      </c>
      <c r="AT51" s="348">
        <f t="shared" si="21"/>
        <v>0.9545637314032972</v>
      </c>
      <c r="AU51" s="348">
        <f t="shared" si="21"/>
        <v>0.98137082601054482</v>
      </c>
      <c r="AV51" s="348">
        <f t="shared" si="21"/>
        <v>0.9743319268635724</v>
      </c>
      <c r="AW51" s="348">
        <f t="shared" si="21"/>
        <v>0.97822822822822819</v>
      </c>
      <c r="AX51" s="348" t="e">
        <f t="shared" ref="AX51:BB64" si="22">VLOOKUP($AL51,$B$112:$H$135,AX$37,FALSE)</f>
        <v>#N/A</v>
      </c>
      <c r="AY51" s="348" t="e">
        <f t="shared" si="22"/>
        <v>#N/A</v>
      </c>
      <c r="AZ51" s="348" t="e">
        <f t="shared" si="22"/>
        <v>#N/A</v>
      </c>
      <c r="BA51" s="348" t="e">
        <f t="shared" si="22"/>
        <v>#N/A</v>
      </c>
      <c r="BB51" s="348" t="e">
        <f t="shared" si="22"/>
        <v>#N/A</v>
      </c>
    </row>
    <row r="52" spans="1:54" ht="14.25" customHeight="1" x14ac:dyDescent="0.2">
      <c r="A52" s="118"/>
      <c r="B52" s="67"/>
      <c r="C52" s="67"/>
      <c r="D52" s="58"/>
      <c r="E52" s="58"/>
      <c r="F52" s="58"/>
      <c r="G52" s="58"/>
      <c r="H52" s="58"/>
      <c r="I52" s="58"/>
      <c r="J52" s="12"/>
      <c r="K52" s="14"/>
      <c r="L52" s="14"/>
      <c r="M52" s="14"/>
      <c r="N52" s="14"/>
      <c r="O52" s="9"/>
      <c r="P52" s="9"/>
      <c r="Q52" s="9"/>
      <c r="R52" s="9"/>
      <c r="S52" s="9"/>
      <c r="T52" s="9"/>
      <c r="U52" s="9"/>
      <c r="V52" s="117"/>
      <c r="W52" s="137"/>
      <c r="X52" s="294"/>
      <c r="AJ52" s="585" t="b">
        <v>1</v>
      </c>
      <c r="AK52" s="160" t="s">
        <v>3</v>
      </c>
      <c r="AL52" s="87" t="str">
        <f t="shared" si="15"/>
        <v>Reading</v>
      </c>
      <c r="AM52" s="146">
        <f t="shared" si="20"/>
        <v>845.60439560439556</v>
      </c>
      <c r="AN52" s="146">
        <f t="shared" si="20"/>
        <v>892.62295081967216</v>
      </c>
      <c r="AO52" s="146">
        <f t="shared" si="20"/>
        <v>708.35579514824803</v>
      </c>
      <c r="AP52" s="146">
        <f t="shared" si="20"/>
        <v>738.27493261455527</v>
      </c>
      <c r="AQ52" s="146">
        <f t="shared" si="20"/>
        <v>692.97297297297291</v>
      </c>
      <c r="AR52" s="147">
        <f t="shared" si="17"/>
        <v>16</v>
      </c>
      <c r="AS52" s="348">
        <f t="shared" si="21"/>
        <v>0.89993502274204029</v>
      </c>
      <c r="AT52" s="348">
        <f t="shared" si="21"/>
        <v>0.95102540557086013</v>
      </c>
      <c r="AU52" s="348">
        <f t="shared" si="21"/>
        <v>0.98820395738203959</v>
      </c>
      <c r="AV52" s="348">
        <f t="shared" si="21"/>
        <v>0.98612632347572104</v>
      </c>
      <c r="AW52" s="348">
        <f t="shared" si="21"/>
        <v>0.99063962558502339</v>
      </c>
      <c r="AX52" s="348" t="e">
        <f t="shared" si="22"/>
        <v>#N/A</v>
      </c>
      <c r="AY52" s="348" t="e">
        <f t="shared" si="22"/>
        <v>#N/A</v>
      </c>
      <c r="AZ52" s="348" t="e">
        <f t="shared" si="22"/>
        <v>#N/A</v>
      </c>
      <c r="BA52" s="348" t="e">
        <f t="shared" si="22"/>
        <v>#N/A</v>
      </c>
      <c r="BB52" s="348" t="e">
        <f t="shared" si="22"/>
        <v>#N/A</v>
      </c>
    </row>
    <row r="53" spans="1:54" ht="14.25" customHeight="1" x14ac:dyDescent="0.2">
      <c r="A53" s="118"/>
      <c r="B53" s="67"/>
      <c r="C53" s="67"/>
      <c r="D53" s="58"/>
      <c r="E53" s="58"/>
      <c r="F53" s="58"/>
      <c r="G53" s="58"/>
      <c r="H53" s="58"/>
      <c r="I53" s="58"/>
      <c r="J53" s="12"/>
      <c r="K53" s="14"/>
      <c r="L53" s="14"/>
      <c r="M53" s="14"/>
      <c r="N53" s="14"/>
      <c r="O53" s="9"/>
      <c r="P53" s="9"/>
      <c r="Q53" s="9"/>
      <c r="R53" s="9"/>
      <c r="S53" s="9"/>
      <c r="T53" s="9"/>
      <c r="U53" s="9"/>
      <c r="V53" s="117"/>
      <c r="W53" s="137"/>
      <c r="X53" s="294"/>
      <c r="AJ53" s="585" t="b">
        <v>1</v>
      </c>
      <c r="AK53" s="160" t="s">
        <v>13</v>
      </c>
      <c r="AL53" s="87" t="str">
        <f t="shared" si="15"/>
        <v>Slough</v>
      </c>
      <c r="AM53" s="146">
        <f t="shared" si="20"/>
        <v>683.25123152709364</v>
      </c>
      <c r="AN53" s="146">
        <f t="shared" si="20"/>
        <v>1373.913043478261</v>
      </c>
      <c r="AO53" s="146">
        <f t="shared" si="20"/>
        <v>377.01421800947867</v>
      </c>
      <c r="AP53" s="146">
        <f t="shared" si="20"/>
        <v>464.87119437939111</v>
      </c>
      <c r="AQ53" s="146">
        <f t="shared" si="20"/>
        <v>589.3271461716937</v>
      </c>
      <c r="AR53" s="147">
        <f t="shared" si="17"/>
        <v>14.7</v>
      </c>
      <c r="AS53" s="348">
        <f t="shared" si="21"/>
        <v>0.9895457822638789</v>
      </c>
      <c r="AT53" s="348">
        <f t="shared" si="21"/>
        <v>0.39170182841068918</v>
      </c>
      <c r="AU53" s="348">
        <f t="shared" si="21"/>
        <v>0.99245757385292266</v>
      </c>
      <c r="AV53" s="348">
        <f t="shared" si="21"/>
        <v>0.95516372795969773</v>
      </c>
      <c r="AW53" s="348">
        <f t="shared" si="21"/>
        <v>0.971259842519685</v>
      </c>
      <c r="AX53" s="348" t="e">
        <f t="shared" si="22"/>
        <v>#N/A</v>
      </c>
      <c r="AY53" s="348" t="e">
        <f t="shared" si="22"/>
        <v>#N/A</v>
      </c>
      <c r="AZ53" s="348" t="e">
        <f t="shared" si="22"/>
        <v>#N/A</v>
      </c>
      <c r="BA53" s="348" t="e">
        <f t="shared" si="22"/>
        <v>#N/A</v>
      </c>
      <c r="BB53" s="348" t="e">
        <f t="shared" si="22"/>
        <v>#N/A</v>
      </c>
    </row>
    <row r="54" spans="1:54" ht="14.25" customHeight="1" x14ac:dyDescent="0.2">
      <c r="A54" s="118"/>
      <c r="B54" s="67"/>
      <c r="C54" s="67"/>
      <c r="D54" s="58"/>
      <c r="E54" s="58"/>
      <c r="F54" s="58"/>
      <c r="G54" s="58"/>
      <c r="H54" s="58"/>
      <c r="I54" s="58"/>
      <c r="J54" s="12"/>
      <c r="K54" s="14"/>
      <c r="L54" s="14"/>
      <c r="M54" s="14"/>
      <c r="N54" s="14"/>
      <c r="O54" s="9"/>
      <c r="P54" s="9"/>
      <c r="Q54" s="9"/>
      <c r="R54" s="9"/>
      <c r="S54" s="9"/>
      <c r="T54" s="9"/>
      <c r="U54" s="9"/>
      <c r="V54" s="117"/>
      <c r="W54" s="137"/>
      <c r="X54" s="294"/>
      <c r="AJ54" s="585" t="b">
        <v>1</v>
      </c>
      <c r="AK54" s="160" t="s">
        <v>95</v>
      </c>
      <c r="AL54" s="87" t="str">
        <f t="shared" si="15"/>
        <v>Somerset</v>
      </c>
      <c r="AM54" s="146">
        <f t="shared" si="20"/>
        <v>378.47985347985349</v>
      </c>
      <c r="AN54" s="146">
        <f t="shared" si="20"/>
        <v>435.46034639927075</v>
      </c>
      <c r="AO54" s="146">
        <f t="shared" si="20"/>
        <v>469.11898274296095</v>
      </c>
      <c r="AP54" s="146">
        <f t="shared" si="20"/>
        <v>345.98012646793137</v>
      </c>
      <c r="AQ54" s="146">
        <f t="shared" si="20"/>
        <v>325.44964028776974</v>
      </c>
      <c r="AR54" s="147">
        <f t="shared" si="17"/>
        <v>13.600000000000001</v>
      </c>
      <c r="AS54" s="348">
        <f t="shared" si="21"/>
        <v>0.99395112509073313</v>
      </c>
      <c r="AT54" s="348">
        <f t="shared" si="21"/>
        <v>0.99267322587397944</v>
      </c>
      <c r="AU54" s="348">
        <f t="shared" si="21"/>
        <v>0.97715392061955475</v>
      </c>
      <c r="AV54" s="348">
        <f t="shared" si="21"/>
        <v>0.94908616187989558</v>
      </c>
      <c r="AW54" s="348">
        <f t="shared" si="21"/>
        <v>0.93699917104172425</v>
      </c>
      <c r="AX54" s="348" t="e">
        <f t="shared" si="22"/>
        <v>#N/A</v>
      </c>
      <c r="AY54" s="348" t="e">
        <f t="shared" si="22"/>
        <v>#N/A</v>
      </c>
      <c r="AZ54" s="348" t="e">
        <f t="shared" si="22"/>
        <v>#N/A</v>
      </c>
      <c r="BA54" s="348" t="e">
        <f t="shared" si="22"/>
        <v>#N/A</v>
      </c>
      <c r="BB54" s="348" t="e">
        <f t="shared" si="22"/>
        <v>#N/A</v>
      </c>
    </row>
    <row r="55" spans="1:54" ht="14.25" customHeight="1" x14ac:dyDescent="0.2">
      <c r="A55" s="118"/>
      <c r="B55" s="67"/>
      <c r="C55" s="67"/>
      <c r="D55" s="58"/>
      <c r="E55" s="58"/>
      <c r="F55" s="58"/>
      <c r="G55" s="58"/>
      <c r="H55" s="58"/>
      <c r="I55" s="58"/>
      <c r="J55" s="12"/>
      <c r="K55" s="14"/>
      <c r="L55" s="14"/>
      <c r="M55" s="14"/>
      <c r="N55" s="14"/>
      <c r="O55" s="9"/>
      <c r="P55" s="9"/>
      <c r="Q55" s="9"/>
      <c r="R55" s="9"/>
      <c r="S55" s="9"/>
      <c r="T55" s="9"/>
      <c r="U55" s="9"/>
      <c r="V55" s="117"/>
      <c r="W55" s="137"/>
      <c r="X55" s="294"/>
      <c r="AJ55" s="585" t="b">
        <v>1</v>
      </c>
      <c r="AK55" s="160" t="s">
        <v>14</v>
      </c>
      <c r="AL55" s="87" t="str">
        <f t="shared" si="15"/>
        <v>Southampton</v>
      </c>
      <c r="AM55" s="146">
        <f t="shared" si="20"/>
        <v>836.58536585365857</v>
      </c>
      <c r="AN55" s="146">
        <f t="shared" si="20"/>
        <v>610.02004008016036</v>
      </c>
      <c r="AO55" s="146">
        <f t="shared" si="20"/>
        <v>519.48310139165005</v>
      </c>
      <c r="AP55" s="146">
        <f t="shared" si="20"/>
        <v>511.41732283464569</v>
      </c>
      <c r="AQ55" s="146">
        <f t="shared" si="20"/>
        <v>943.46978557504872</v>
      </c>
      <c r="AR55" s="147">
        <f t="shared" si="17"/>
        <v>20.5</v>
      </c>
      <c r="AS55" s="348">
        <f t="shared" si="21"/>
        <v>1</v>
      </c>
      <c r="AT55" s="348">
        <f t="shared" si="21"/>
        <v>0.99737187910643887</v>
      </c>
      <c r="AU55" s="348">
        <f t="shared" si="21"/>
        <v>0.99540757749712971</v>
      </c>
      <c r="AV55" s="348">
        <f t="shared" si="21"/>
        <v>0.87336412625096227</v>
      </c>
      <c r="AW55" s="348">
        <f t="shared" si="21"/>
        <v>0.81714876033057848</v>
      </c>
      <c r="AX55" s="348" t="e">
        <f t="shared" si="22"/>
        <v>#N/A</v>
      </c>
      <c r="AY55" s="348" t="e">
        <f t="shared" si="22"/>
        <v>#N/A</v>
      </c>
      <c r="AZ55" s="348" t="e">
        <f t="shared" si="22"/>
        <v>#N/A</v>
      </c>
      <c r="BA55" s="348" t="e">
        <f t="shared" si="22"/>
        <v>#N/A</v>
      </c>
      <c r="BB55" s="348" t="e">
        <f t="shared" si="22"/>
        <v>#N/A</v>
      </c>
    </row>
    <row r="56" spans="1:54" ht="14.25" customHeight="1" x14ac:dyDescent="0.2">
      <c r="A56" s="118"/>
      <c r="B56" s="67"/>
      <c r="C56" s="67"/>
      <c r="D56" s="58"/>
      <c r="E56" s="58"/>
      <c r="F56" s="58"/>
      <c r="G56" s="58"/>
      <c r="H56" s="58"/>
      <c r="I56" s="58"/>
      <c r="J56" s="12"/>
      <c r="K56" s="14"/>
      <c r="L56" s="14"/>
      <c r="M56" s="14"/>
      <c r="N56" s="14"/>
      <c r="O56" s="9"/>
      <c r="P56" s="9"/>
      <c r="Q56" s="9"/>
      <c r="R56" s="9"/>
      <c r="S56" s="9"/>
      <c r="T56" s="9"/>
      <c r="U56" s="9"/>
      <c r="V56" s="117"/>
      <c r="W56" s="137"/>
      <c r="X56" s="294"/>
      <c r="AJ56" s="585" t="b">
        <v>1</v>
      </c>
      <c r="AK56" s="160" t="s">
        <v>7</v>
      </c>
      <c r="AL56" s="87" t="str">
        <f t="shared" si="15"/>
        <v>Surrey</v>
      </c>
      <c r="AM56" s="146">
        <f t="shared" si="20"/>
        <v>458.97035881435261</v>
      </c>
      <c r="AN56" s="146">
        <f t="shared" si="20"/>
        <v>450.92664092664091</v>
      </c>
      <c r="AO56" s="146">
        <f t="shared" si="20"/>
        <v>523.47291586630809</v>
      </c>
      <c r="AP56" s="146">
        <f t="shared" si="20"/>
        <v>406.07101947308132</v>
      </c>
      <c r="AQ56" s="146">
        <f t="shared" si="20"/>
        <v>322.93404094010617</v>
      </c>
      <c r="AR56" s="147">
        <f t="shared" si="17"/>
        <v>8.3000000000000007</v>
      </c>
      <c r="AS56" s="348">
        <f t="shared" si="21"/>
        <v>0.9845343303874915</v>
      </c>
      <c r="AT56" s="348">
        <f t="shared" si="21"/>
        <v>0.99075263293090166</v>
      </c>
      <c r="AU56" s="348">
        <f t="shared" si="21"/>
        <v>0.99288125642154701</v>
      </c>
      <c r="AV56" s="348">
        <f t="shared" si="21"/>
        <v>0.98627174424071462</v>
      </c>
      <c r="AW56" s="348">
        <f t="shared" si="21"/>
        <v>0.96818875454865594</v>
      </c>
      <c r="AX56" s="348" t="e">
        <f t="shared" si="22"/>
        <v>#N/A</v>
      </c>
      <c r="AY56" s="348" t="e">
        <f t="shared" si="22"/>
        <v>#N/A</v>
      </c>
      <c r="AZ56" s="348" t="e">
        <f t="shared" si="22"/>
        <v>#N/A</v>
      </c>
      <c r="BA56" s="348" t="e">
        <f t="shared" si="22"/>
        <v>#N/A</v>
      </c>
      <c r="BB56" s="348" t="e">
        <f t="shared" si="22"/>
        <v>#N/A</v>
      </c>
    </row>
    <row r="57" spans="1:54" ht="14.25" customHeight="1" x14ac:dyDescent="0.2">
      <c r="A57" s="278"/>
      <c r="B57" s="67"/>
      <c r="C57" s="67"/>
      <c r="D57" s="58"/>
      <c r="E57" s="58"/>
      <c r="F57" s="58"/>
      <c r="G57" s="58"/>
      <c r="H57" s="58"/>
      <c r="I57" s="58"/>
      <c r="J57" s="12"/>
      <c r="K57" s="14"/>
      <c r="L57" s="14"/>
      <c r="M57" s="14"/>
      <c r="N57" s="14"/>
      <c r="O57" s="9"/>
      <c r="P57" s="9"/>
      <c r="Q57" s="9"/>
      <c r="R57" s="9"/>
      <c r="S57" s="9"/>
      <c r="T57" s="9"/>
      <c r="U57" s="9"/>
      <c r="V57" s="117"/>
      <c r="W57" s="137"/>
      <c r="X57" s="294"/>
      <c r="AJ57" s="585" t="b">
        <v>1</v>
      </c>
      <c r="AK57" s="160" t="s">
        <v>113</v>
      </c>
      <c r="AL57" s="87" t="str">
        <f t="shared" si="15"/>
        <v>Swindon</v>
      </c>
      <c r="AM57" s="146">
        <f t="shared" si="20"/>
        <v>694.89795918367349</v>
      </c>
      <c r="AN57" s="146">
        <f t="shared" si="20"/>
        <v>610.30303030303037</v>
      </c>
      <c r="AO57" s="146">
        <f t="shared" si="20"/>
        <v>726.85370741482973</v>
      </c>
      <c r="AP57" s="146">
        <f t="shared" si="20"/>
        <v>645.81673306772905</v>
      </c>
      <c r="AQ57" s="146">
        <f t="shared" si="20"/>
        <v>600.39682539682542</v>
      </c>
      <c r="AR57" s="147">
        <f t="shared" si="17"/>
        <v>14.899999999999999</v>
      </c>
      <c r="AS57" s="348">
        <f t="shared" si="21"/>
        <v>0.87900146842878124</v>
      </c>
      <c r="AT57" s="348">
        <f t="shared" si="21"/>
        <v>0.96722939424031773</v>
      </c>
      <c r="AU57" s="348">
        <f t="shared" si="21"/>
        <v>0.92390405293631095</v>
      </c>
      <c r="AV57" s="348">
        <f t="shared" si="21"/>
        <v>0.93522516964836522</v>
      </c>
      <c r="AW57" s="348">
        <f t="shared" si="21"/>
        <v>0.87144745538664903</v>
      </c>
      <c r="AX57" s="348" t="e">
        <f t="shared" si="22"/>
        <v>#N/A</v>
      </c>
      <c r="AY57" s="348" t="e">
        <f t="shared" si="22"/>
        <v>#N/A</v>
      </c>
      <c r="AZ57" s="348" t="e">
        <f t="shared" si="22"/>
        <v>#N/A</v>
      </c>
      <c r="BA57" s="348" t="e">
        <f t="shared" si="22"/>
        <v>#N/A</v>
      </c>
      <c r="BB57" s="348" t="e">
        <f t="shared" si="22"/>
        <v>#N/A</v>
      </c>
    </row>
    <row r="58" spans="1:54" ht="14.25" customHeight="1" x14ac:dyDescent="0.2">
      <c r="A58" s="278"/>
      <c r="B58" s="67"/>
      <c r="C58" s="67"/>
      <c r="D58" s="58"/>
      <c r="E58" s="58"/>
      <c r="F58" s="58"/>
      <c r="G58" s="58"/>
      <c r="H58" s="58"/>
      <c r="I58" s="58"/>
      <c r="J58" s="12"/>
      <c r="K58" s="14"/>
      <c r="L58" s="14"/>
      <c r="M58" s="14"/>
      <c r="N58" s="14"/>
      <c r="O58" s="9"/>
      <c r="P58" s="9"/>
      <c r="Q58" s="9"/>
      <c r="R58" s="9"/>
      <c r="S58" s="9"/>
      <c r="T58" s="9"/>
      <c r="U58" s="9"/>
      <c r="V58" s="117"/>
      <c r="W58" s="137"/>
      <c r="X58" s="294"/>
      <c r="AJ58" s="585" t="b">
        <v>1</v>
      </c>
      <c r="AK58" s="160" t="s">
        <v>509</v>
      </c>
      <c r="AL58" s="87" t="str">
        <f t="shared" si="15"/>
        <v>Torbay</v>
      </c>
      <c r="AM58" s="146">
        <f t="shared" si="20"/>
        <v>788.8888888888888</v>
      </c>
      <c r="AN58" s="146">
        <f t="shared" si="20"/>
        <v>636.22047244094483</v>
      </c>
      <c r="AO58" s="146">
        <f t="shared" si="20"/>
        <v>710.6299212598426</v>
      </c>
      <c r="AP58" s="146">
        <f t="shared" si="20"/>
        <v>695.27559055118104</v>
      </c>
      <c r="AQ58" s="146">
        <f t="shared" si="20"/>
        <v>730.078125</v>
      </c>
      <c r="AR58" s="147">
        <f t="shared" si="17"/>
        <v>21.9</v>
      </c>
      <c r="AS58" s="348">
        <f t="shared" si="21"/>
        <v>0.85412474849094566</v>
      </c>
      <c r="AT58" s="348">
        <f t="shared" si="21"/>
        <v>0.85767326732673266</v>
      </c>
      <c r="AU58" s="348">
        <f t="shared" si="21"/>
        <v>0.87922437673130194</v>
      </c>
      <c r="AV58" s="348">
        <f t="shared" si="21"/>
        <v>0.87146092865232161</v>
      </c>
      <c r="AW58" s="348">
        <f t="shared" si="21"/>
        <v>0.8715890850722311</v>
      </c>
      <c r="AX58" s="348" t="e">
        <f t="shared" si="22"/>
        <v>#N/A</v>
      </c>
      <c r="AY58" s="348" t="e">
        <f t="shared" si="22"/>
        <v>#N/A</v>
      </c>
      <c r="AZ58" s="348" t="e">
        <f t="shared" si="22"/>
        <v>#N/A</v>
      </c>
      <c r="BA58" s="348" t="e">
        <f t="shared" si="22"/>
        <v>#N/A</v>
      </c>
      <c r="BB58" s="348" t="e">
        <f t="shared" si="22"/>
        <v>#N/A</v>
      </c>
    </row>
    <row r="59" spans="1:54" ht="14.25" customHeight="1" x14ac:dyDescent="0.2">
      <c r="A59" s="118"/>
      <c r="B59" s="67"/>
      <c r="C59" s="67"/>
      <c r="D59" s="58"/>
      <c r="E59" s="58"/>
      <c r="F59" s="58"/>
      <c r="G59" s="58"/>
      <c r="H59" s="58"/>
      <c r="I59" s="58"/>
      <c r="J59" s="12"/>
      <c r="K59" s="14"/>
      <c r="L59" s="14"/>
      <c r="M59" s="14"/>
      <c r="N59" s="14"/>
      <c r="O59" s="9"/>
      <c r="P59" s="9"/>
      <c r="Q59" s="9"/>
      <c r="R59" s="9"/>
      <c r="S59" s="9"/>
      <c r="T59" s="9"/>
      <c r="U59" s="9"/>
      <c r="V59" s="117"/>
      <c r="W59" s="137"/>
      <c r="X59" s="294"/>
      <c r="AJ59" s="585" t="b">
        <v>1</v>
      </c>
      <c r="AK59" s="160" t="s">
        <v>15</v>
      </c>
      <c r="AL59" s="87" t="str">
        <f t="shared" si="15"/>
        <v>West Berkshire</v>
      </c>
      <c r="AM59" s="146">
        <f t="shared" si="20"/>
        <v>382.35294117647061</v>
      </c>
      <c r="AN59" s="146">
        <f t="shared" si="20"/>
        <v>460.16713091922003</v>
      </c>
      <c r="AO59" s="146">
        <f t="shared" si="20"/>
        <v>422.34636871508377</v>
      </c>
      <c r="AP59" s="146">
        <f t="shared" si="20"/>
        <v>473.59550561797755</v>
      </c>
      <c r="AQ59" s="146">
        <f t="shared" si="20"/>
        <v>464.60674157303373</v>
      </c>
      <c r="AR59" s="147">
        <f t="shared" si="17"/>
        <v>8.6999999999999993</v>
      </c>
      <c r="AS59" s="348">
        <f t="shared" si="21"/>
        <v>1</v>
      </c>
      <c r="AT59" s="348">
        <f t="shared" si="21"/>
        <v>1</v>
      </c>
      <c r="AU59" s="348">
        <f t="shared" si="21"/>
        <v>1</v>
      </c>
      <c r="AV59" s="348">
        <f t="shared" si="21"/>
        <v>1</v>
      </c>
      <c r="AW59" s="348">
        <f t="shared" si="21"/>
        <v>1</v>
      </c>
      <c r="AX59" s="348" t="e">
        <f t="shared" si="22"/>
        <v>#N/A</v>
      </c>
      <c r="AY59" s="348" t="e">
        <f t="shared" si="22"/>
        <v>#N/A</v>
      </c>
      <c r="AZ59" s="348" t="e">
        <f t="shared" si="22"/>
        <v>#N/A</v>
      </c>
      <c r="BA59" s="348" t="e">
        <f t="shared" si="22"/>
        <v>#N/A</v>
      </c>
      <c r="BB59" s="348" t="e">
        <f t="shared" si="22"/>
        <v>#N/A</v>
      </c>
    </row>
    <row r="60" spans="1:54" ht="14.25" customHeight="1" x14ac:dyDescent="0.2">
      <c r="A60" s="118"/>
      <c r="B60" s="67"/>
      <c r="C60" s="67"/>
      <c r="D60" s="58"/>
      <c r="E60" s="58"/>
      <c r="F60" s="58"/>
      <c r="G60" s="58"/>
      <c r="H60" s="58"/>
      <c r="I60" s="58"/>
      <c r="J60" s="12"/>
      <c r="K60" s="14"/>
      <c r="L60" s="14"/>
      <c r="M60" s="14"/>
      <c r="N60" s="14"/>
      <c r="O60" s="9"/>
      <c r="P60" s="9"/>
      <c r="Q60" s="9"/>
      <c r="R60" s="9"/>
      <c r="S60" s="9"/>
      <c r="T60" s="9"/>
      <c r="U60" s="9"/>
      <c r="V60" s="117"/>
      <c r="W60" s="137"/>
      <c r="X60" s="294"/>
      <c r="AJ60" s="585" t="b">
        <v>1</v>
      </c>
      <c r="AK60" s="160" t="s">
        <v>5</v>
      </c>
      <c r="AL60" s="87" t="str">
        <f t="shared" si="15"/>
        <v>West Sussex</v>
      </c>
      <c r="AM60" s="146">
        <f t="shared" si="20"/>
        <v>478.11032863849766</v>
      </c>
      <c r="AN60" s="146">
        <f t="shared" si="20"/>
        <v>508.78928987194411</v>
      </c>
      <c r="AO60" s="146">
        <f t="shared" si="20"/>
        <v>576.74552798615116</v>
      </c>
      <c r="AP60" s="146">
        <f t="shared" si="20"/>
        <v>543.21694333142534</v>
      </c>
      <c r="AQ60" s="146">
        <f t="shared" si="20"/>
        <v>567.4616695059625</v>
      </c>
      <c r="AR60" s="147">
        <f t="shared" si="17"/>
        <v>11</v>
      </c>
      <c r="AS60" s="348">
        <f t="shared" si="21"/>
        <v>0.87786915428992263</v>
      </c>
      <c r="AT60" s="348">
        <f t="shared" si="21"/>
        <v>0.87106738359455438</v>
      </c>
      <c r="AU60" s="348">
        <f t="shared" si="21"/>
        <v>1</v>
      </c>
      <c r="AV60" s="348">
        <f t="shared" si="21"/>
        <v>1</v>
      </c>
      <c r="AW60" s="348">
        <f t="shared" si="21"/>
        <v>1</v>
      </c>
      <c r="AX60" s="348" t="e">
        <f t="shared" si="22"/>
        <v>#N/A</v>
      </c>
      <c r="AY60" s="348" t="e">
        <f t="shared" si="22"/>
        <v>#N/A</v>
      </c>
      <c r="AZ60" s="348" t="e">
        <f t="shared" si="22"/>
        <v>#N/A</v>
      </c>
      <c r="BA60" s="348" t="e">
        <f t="shared" si="22"/>
        <v>#N/A</v>
      </c>
      <c r="BB60" s="348" t="e">
        <f t="shared" si="22"/>
        <v>#N/A</v>
      </c>
    </row>
    <row r="61" spans="1:54" s="81" customFormat="1" ht="14.25" customHeight="1" x14ac:dyDescent="0.2">
      <c r="A61" s="118"/>
      <c r="B61" s="67"/>
      <c r="C61" s="67"/>
      <c r="D61" s="58"/>
      <c r="E61" s="58"/>
      <c r="F61" s="58"/>
      <c r="G61" s="58"/>
      <c r="H61" s="58"/>
      <c r="I61" s="58"/>
      <c r="J61" s="12"/>
      <c r="K61" s="14"/>
      <c r="L61" s="14"/>
      <c r="M61" s="14"/>
      <c r="N61" s="14"/>
      <c r="O61" s="9"/>
      <c r="P61" s="9"/>
      <c r="Q61" s="9"/>
      <c r="R61" s="9"/>
      <c r="S61" s="9"/>
      <c r="T61" s="9"/>
      <c r="U61" s="9"/>
      <c r="V61" s="117"/>
      <c r="W61" s="137"/>
      <c r="X61" s="294"/>
      <c r="AJ61" s="585" t="b">
        <v>1</v>
      </c>
      <c r="AK61" s="160" t="s">
        <v>30</v>
      </c>
      <c r="AL61" s="87" t="str">
        <f t="shared" si="15"/>
        <v>Windsor &amp; Maidenhead</v>
      </c>
      <c r="AM61" s="146">
        <f t="shared" si="20"/>
        <v>330.86053412462905</v>
      </c>
      <c r="AN61" s="146">
        <f t="shared" si="20"/>
        <v>290.05847953216374</v>
      </c>
      <c r="AO61" s="146">
        <f t="shared" si="20"/>
        <v>308.43023255813955</v>
      </c>
      <c r="AP61" s="146">
        <f t="shared" si="20"/>
        <v>328.03468208092482</v>
      </c>
      <c r="AQ61" s="146">
        <f t="shared" si="20"/>
        <v>390.77809798270891</v>
      </c>
      <c r="AR61" s="147">
        <f t="shared" si="17"/>
        <v>6.7</v>
      </c>
      <c r="AS61" s="348">
        <f t="shared" si="21"/>
        <v>0.81434977578475332</v>
      </c>
      <c r="AT61" s="348">
        <f t="shared" si="21"/>
        <v>0.88306451612903225</v>
      </c>
      <c r="AU61" s="348">
        <f t="shared" si="21"/>
        <v>0.85768143261074459</v>
      </c>
      <c r="AV61" s="348">
        <f t="shared" si="21"/>
        <v>0.945374449339207</v>
      </c>
      <c r="AW61" s="348">
        <f t="shared" si="21"/>
        <v>0.94321533923303835</v>
      </c>
      <c r="AX61" s="348" t="e">
        <f t="shared" si="22"/>
        <v>#N/A</v>
      </c>
      <c r="AY61" s="348" t="e">
        <f t="shared" si="22"/>
        <v>#N/A</v>
      </c>
      <c r="AZ61" s="348" t="e">
        <f t="shared" si="22"/>
        <v>#N/A</v>
      </c>
      <c r="BA61" s="348" t="e">
        <f t="shared" si="22"/>
        <v>#N/A</v>
      </c>
      <c r="BB61" s="348" t="e">
        <f t="shared" si="22"/>
        <v>#N/A</v>
      </c>
    </row>
    <row r="62" spans="1:54" s="81" customFormat="1" ht="14.25" customHeight="1" x14ac:dyDescent="0.2">
      <c r="A62" s="118"/>
      <c r="B62" s="67"/>
      <c r="C62" s="67"/>
      <c r="D62" s="58"/>
      <c r="E62" s="58"/>
      <c r="F62" s="58"/>
      <c r="G62" s="58"/>
      <c r="H62" s="58"/>
      <c r="I62" s="58"/>
      <c r="J62" s="12"/>
      <c r="K62" s="14"/>
      <c r="L62" s="14"/>
      <c r="M62" s="14"/>
      <c r="N62" s="14"/>
      <c r="O62" s="9"/>
      <c r="P62" s="9"/>
      <c r="Q62" s="9"/>
      <c r="R62" s="9"/>
      <c r="S62" s="9"/>
      <c r="T62" s="9"/>
      <c r="U62" s="9"/>
      <c r="V62" s="117"/>
      <c r="W62" s="137"/>
      <c r="X62" s="294"/>
      <c r="AJ62" s="585" t="b">
        <v>1</v>
      </c>
      <c r="AK62" s="160" t="s">
        <v>16</v>
      </c>
      <c r="AL62" s="87" t="str">
        <f t="shared" si="15"/>
        <v>Wokingham</v>
      </c>
      <c r="AM62" s="146">
        <f t="shared" si="20"/>
        <v>303.21715817694371</v>
      </c>
      <c r="AN62" s="146">
        <f t="shared" si="20"/>
        <v>238.68421052631581</v>
      </c>
      <c r="AO62" s="146">
        <f t="shared" si="20"/>
        <v>354.26356589147287</v>
      </c>
      <c r="AP62" s="146">
        <f t="shared" si="20"/>
        <v>431.64556962025313</v>
      </c>
      <c r="AQ62" s="146">
        <f t="shared" si="20"/>
        <v>439.10891089108907</v>
      </c>
      <c r="AR62" s="147">
        <f t="shared" si="17"/>
        <v>5.6000000000000005</v>
      </c>
      <c r="AS62" s="348">
        <f t="shared" si="21"/>
        <v>1</v>
      </c>
      <c r="AT62" s="348">
        <f t="shared" si="21"/>
        <v>0.99228224917309815</v>
      </c>
      <c r="AU62" s="348">
        <f t="shared" si="21"/>
        <v>0.96425966447848288</v>
      </c>
      <c r="AV62" s="348">
        <f t="shared" si="21"/>
        <v>0.98768328445747799</v>
      </c>
      <c r="AW62" s="348">
        <f t="shared" si="21"/>
        <v>0.9751972942502819</v>
      </c>
      <c r="AX62" s="348" t="e">
        <f t="shared" si="22"/>
        <v>#N/A</v>
      </c>
      <c r="AY62" s="348" t="e">
        <f t="shared" si="22"/>
        <v>#N/A</v>
      </c>
      <c r="AZ62" s="348" t="e">
        <f t="shared" si="22"/>
        <v>#N/A</v>
      </c>
      <c r="BA62" s="348" t="e">
        <f t="shared" si="22"/>
        <v>#N/A</v>
      </c>
      <c r="BB62" s="348" t="e">
        <f t="shared" si="22"/>
        <v>#N/A</v>
      </c>
    </row>
    <row r="63" spans="1:54" s="81" customFormat="1" ht="14.25" customHeight="1" x14ac:dyDescent="0.2">
      <c r="A63" s="118"/>
      <c r="B63" s="67"/>
      <c r="C63" s="67"/>
      <c r="D63" s="58"/>
      <c r="E63" s="58"/>
      <c r="F63" s="58"/>
      <c r="G63" s="58"/>
      <c r="H63" s="58"/>
      <c r="I63" s="58"/>
      <c r="J63" s="12"/>
      <c r="K63" s="14"/>
      <c r="L63" s="14"/>
      <c r="M63" s="14"/>
      <c r="N63" s="14"/>
      <c r="O63" s="9"/>
      <c r="P63" s="9"/>
      <c r="Q63" s="9"/>
      <c r="R63" s="9"/>
      <c r="S63" s="9"/>
      <c r="T63" s="9"/>
      <c r="U63" s="9"/>
      <c r="V63" s="117"/>
      <c r="W63" s="137"/>
      <c r="X63" s="294"/>
      <c r="AJ63" s="585" t="b">
        <v>1</v>
      </c>
      <c r="AK63" s="160" t="s">
        <v>74</v>
      </c>
      <c r="AL63" s="87" t="str">
        <f t="shared" si="15"/>
        <v>South East</v>
      </c>
      <c r="AM63" s="146">
        <f t="shared" si="20"/>
        <v>509.67102862207395</v>
      </c>
      <c r="AN63" s="146">
        <f t="shared" si="20"/>
        <v>554.13584398117018</v>
      </c>
      <c r="AO63" s="146">
        <f t="shared" si="20"/>
        <v>548.33067544626783</v>
      </c>
      <c r="AP63" s="146">
        <f t="shared" si="20"/>
        <v>535.86390109328704</v>
      </c>
      <c r="AQ63" s="146">
        <f t="shared" si="20"/>
        <v>581.14970546414793</v>
      </c>
      <c r="AR63" s="147">
        <f t="shared" si="17"/>
        <v>12.371268250968637</v>
      </c>
      <c r="AS63" s="348">
        <f t="shared" si="21"/>
        <v>0.92645253682487727</v>
      </c>
      <c r="AT63" s="348">
        <f t="shared" si="21"/>
        <v>0.88974981329350267</v>
      </c>
      <c r="AU63" s="348">
        <f t="shared" si="21"/>
        <v>0.91697157331832257</v>
      </c>
      <c r="AV63" s="348">
        <f t="shared" si="21"/>
        <v>0.9144818381161216</v>
      </c>
      <c r="AW63" s="348">
        <f t="shared" si="21"/>
        <v>0.93184201328206917</v>
      </c>
      <c r="AX63" s="348" t="e">
        <f t="shared" si="22"/>
        <v>#N/A</v>
      </c>
      <c r="AY63" s="348" t="e">
        <f t="shared" si="22"/>
        <v>#N/A</v>
      </c>
      <c r="AZ63" s="348" t="e">
        <f t="shared" si="22"/>
        <v>#N/A</v>
      </c>
      <c r="BA63" s="348" t="e">
        <f t="shared" si="22"/>
        <v>#N/A</v>
      </c>
      <c r="BB63" s="348" t="e">
        <f t="shared" si="22"/>
        <v>#N/A</v>
      </c>
    </row>
    <row r="64" spans="1:54" s="81" customFormat="1" ht="14.25" customHeight="1" x14ac:dyDescent="0.2">
      <c r="A64" s="118"/>
      <c r="B64" s="67"/>
      <c r="C64" s="67"/>
      <c r="D64" s="58"/>
      <c r="E64" s="58"/>
      <c r="F64" s="58"/>
      <c r="G64" s="58"/>
      <c r="H64" s="58"/>
      <c r="I64" s="58"/>
      <c r="J64" s="12"/>
      <c r="K64" s="9"/>
      <c r="L64" s="110"/>
      <c r="M64" s="1823" t="s">
        <v>72</v>
      </c>
      <c r="N64" s="1790"/>
      <c r="O64" s="1790"/>
      <c r="P64" s="1824"/>
      <c r="Q64" s="364"/>
      <c r="R64" s="1802" t="s">
        <v>100</v>
      </c>
      <c r="S64" s="1803"/>
      <c r="T64" s="1803"/>
      <c r="U64" s="1804"/>
      <c r="V64" s="117"/>
      <c r="W64" s="137"/>
      <c r="X64" s="294"/>
      <c r="AJ64" s="585" t="b">
        <v>1</v>
      </c>
      <c r="AK64" s="160" t="s">
        <v>127</v>
      </c>
      <c r="AL64" s="87" t="str">
        <f t="shared" si="15"/>
        <v>England</v>
      </c>
      <c r="AM64" s="146">
        <f t="shared" si="20"/>
        <v>532.17616180991445</v>
      </c>
      <c r="AN64" s="146">
        <f t="shared" si="20"/>
        <v>548.24230185061049</v>
      </c>
      <c r="AO64" s="146">
        <f t="shared" si="20"/>
        <v>552.48167186314993</v>
      </c>
      <c r="AP64" s="146">
        <f t="shared" si="20"/>
        <v>544.50169809111139</v>
      </c>
      <c r="AQ64" s="146">
        <f t="shared" si="20"/>
        <v>534.76496224092614</v>
      </c>
      <c r="AR64" s="147">
        <f t="shared" si="17"/>
        <v>17.084413405029373</v>
      </c>
      <c r="AS64" s="348">
        <f t="shared" si="21"/>
        <v>0.90055835358102565</v>
      </c>
      <c r="AT64" s="348">
        <f t="shared" si="21"/>
        <v>0.89778988423203121</v>
      </c>
      <c r="AU64" s="348">
        <f t="shared" si="21"/>
        <v>0.90590729527324865</v>
      </c>
      <c r="AV64" s="348">
        <f t="shared" si="21"/>
        <v>0.91917717726944526</v>
      </c>
      <c r="AW64" s="348">
        <f t="shared" si="21"/>
        <v>0.93716756353230268</v>
      </c>
      <c r="AX64" s="348" t="e">
        <f t="shared" si="22"/>
        <v>#N/A</v>
      </c>
      <c r="AY64" s="348" t="e">
        <f t="shared" si="22"/>
        <v>#N/A</v>
      </c>
      <c r="AZ64" s="348" t="e">
        <f t="shared" si="22"/>
        <v>#N/A</v>
      </c>
      <c r="BA64" s="348" t="e">
        <f t="shared" si="22"/>
        <v>#N/A</v>
      </c>
      <c r="BB64" s="348" t="e">
        <f t="shared" si="22"/>
        <v>#N/A</v>
      </c>
    </row>
    <row r="65" spans="1:54" s="81" customFormat="1" ht="14.25" customHeight="1" x14ac:dyDescent="0.2">
      <c r="A65" s="118"/>
      <c r="B65" s="67"/>
      <c r="C65" s="67"/>
      <c r="D65" s="58"/>
      <c r="E65" s="58"/>
      <c r="F65" s="58"/>
      <c r="G65" s="58"/>
      <c r="H65" s="58"/>
      <c r="I65" s="58"/>
      <c r="J65" s="12"/>
      <c r="K65" s="9"/>
      <c r="L65" s="111"/>
      <c r="M65" s="1802" t="str">
        <f>AA4</f>
        <v>Selected LA- (none)</v>
      </c>
      <c r="N65" s="1803"/>
      <c r="O65" s="1803"/>
      <c r="P65" s="1803"/>
      <c r="Q65" s="110"/>
      <c r="R65" s="1806" t="s">
        <v>187</v>
      </c>
      <c r="S65" s="1806"/>
      <c r="T65" s="1806"/>
      <c r="U65" s="1807"/>
      <c r="V65" s="117"/>
      <c r="W65" s="137"/>
      <c r="X65" s="150"/>
      <c r="AK65" s="161"/>
      <c r="AL65" s="74" t="str">
        <f>AA4</f>
        <v>Selected LA- (none)</v>
      </c>
      <c r="AM65" s="148" t="e">
        <f>VLOOKUP($Z4,$B$10:$O$32,AM$37,FALSE)</f>
        <v>#N/A</v>
      </c>
      <c r="AN65" s="148" t="e">
        <f>VLOOKUP($Z4,$B$10:$O$32,AN$37,FALSE)</f>
        <v>#N/A</v>
      </c>
      <c r="AO65" s="148" t="e">
        <f>VLOOKUP($Z4,$B$10:$O$32,AO$37,FALSE)</f>
        <v>#N/A</v>
      </c>
      <c r="AP65" s="148" t="e">
        <f>VLOOKUP($Z4,$B$10:$O$32,AP$37,FALSE)</f>
        <v>#N/A</v>
      </c>
      <c r="AQ65" s="148" t="e">
        <f>VLOOKUP($Z4,$B$10:$O$32,AQ$37,FALSE)</f>
        <v>#N/A</v>
      </c>
      <c r="AR65" s="147" t="e">
        <f>VLOOKUP($Z$4,$B$10:$U$32,$AR$37,FALSE)</f>
        <v>#N/A</v>
      </c>
      <c r="AS65" s="171" t="e">
        <f>VLOOKUP($Z$4,$B$148:$H$171,AS$37,FALSE)</f>
        <v>#N/A</v>
      </c>
      <c r="AT65" s="171" t="e">
        <f>VLOOKUP($Z$4,$B$148:$H$171,AT$37,FALSE)</f>
        <v>#N/A</v>
      </c>
      <c r="AU65" s="171" t="e">
        <f>VLOOKUP($Z$4,$B$148:$H$171,AU$37,FALSE)</f>
        <v>#N/A</v>
      </c>
      <c r="AV65" s="171" t="e">
        <f>VLOOKUP($Z$4,$B$148:$H$171,AV$37,FALSE)</f>
        <v>#N/A</v>
      </c>
      <c r="AW65" s="171" t="e">
        <f>VLOOKUP($Z$4,$B$148:$H$171,AW$37,FALSE)</f>
        <v>#N/A</v>
      </c>
      <c r="AX65" s="171" t="e">
        <f>VLOOKUP($Z$4,$B$112:$H$135,AX$37,FALSE)</f>
        <v>#N/A</v>
      </c>
      <c r="AY65" s="171" t="e">
        <f>VLOOKUP($Z$4,$B$112:$H$135,AY$37,FALSE)</f>
        <v>#N/A</v>
      </c>
      <c r="AZ65" s="171" t="e">
        <f>VLOOKUP($Z$4,$B$112:$H$135,AZ$37,FALSE)</f>
        <v>#N/A</v>
      </c>
      <c r="BA65" s="171" t="e">
        <f>VLOOKUP($Z$4,$B$112:$H$135,BA$37,FALSE)</f>
        <v>#N/A</v>
      </c>
      <c r="BB65" s="171" t="e">
        <f>VLOOKUP($Z$4,$B$112:$H$135,BB$37,FALSE)</f>
        <v>#N/A</v>
      </c>
    </row>
    <row r="66" spans="1:54" s="81" customFormat="1" ht="38.450000000000003" customHeight="1" x14ac:dyDescent="0.2">
      <c r="A66" s="118"/>
      <c r="B66" s="67"/>
      <c r="C66" s="67"/>
      <c r="D66" s="58"/>
      <c r="E66" s="58"/>
      <c r="F66" s="58"/>
      <c r="G66" s="58"/>
      <c r="H66" s="58"/>
      <c r="I66" s="58"/>
      <c r="J66" s="12"/>
      <c r="K66" s="9"/>
      <c r="L66" s="9"/>
      <c r="M66" s="9"/>
      <c r="N66" s="9"/>
      <c r="O66" s="9"/>
      <c r="P66" s="9"/>
      <c r="Q66" s="9"/>
      <c r="R66" s="9"/>
      <c r="S66" s="9"/>
      <c r="T66" s="9"/>
      <c r="U66" s="9"/>
      <c r="V66" s="117"/>
      <c r="W66" s="137"/>
      <c r="X66" s="150"/>
      <c r="AK66" s="161"/>
    </row>
    <row r="67" spans="1:54" s="87" customFormat="1" ht="39.6" customHeight="1" x14ac:dyDescent="0.2">
      <c r="A67" s="121"/>
      <c r="B67" s="109"/>
      <c r="C67" s="109"/>
      <c r="D67" s="109"/>
      <c r="E67" s="109"/>
      <c r="F67" s="109"/>
      <c r="G67" s="109"/>
      <c r="H67" s="109"/>
      <c r="I67" s="109"/>
      <c r="J67" s="96"/>
      <c r="K67" s="85"/>
      <c r="L67" s="85"/>
      <c r="M67" s="85"/>
      <c r="N67" s="85"/>
      <c r="O67" s="85"/>
      <c r="P67" s="85"/>
      <c r="Q67" s="85"/>
      <c r="R67" s="85"/>
      <c r="S67" s="85"/>
      <c r="T67" s="85"/>
      <c r="U67" s="85"/>
      <c r="V67" s="122"/>
      <c r="W67" s="139"/>
      <c r="X67" s="152"/>
      <c r="AE67" s="190"/>
      <c r="AF67" s="190"/>
      <c r="AG67" s="190"/>
      <c r="AH67" s="190"/>
      <c r="AI67" s="190"/>
      <c r="AJ67" s="202"/>
      <c r="AK67" s="160"/>
    </row>
    <row r="68" spans="1:54" s="87" customFormat="1" ht="48.75" customHeight="1" x14ac:dyDescent="0.2">
      <c r="A68" s="121"/>
      <c r="B68" s="109"/>
      <c r="C68" s="109"/>
      <c r="D68" s="109"/>
      <c r="E68" s="109"/>
      <c r="F68" s="109"/>
      <c r="G68" s="109"/>
      <c r="H68" s="109"/>
      <c r="I68" s="109"/>
      <c r="J68" s="96"/>
      <c r="K68" s="85"/>
      <c r="L68" s="85"/>
      <c r="M68" s="85"/>
      <c r="N68" s="85"/>
      <c r="O68" s="85"/>
      <c r="P68" s="85"/>
      <c r="Q68" s="85"/>
      <c r="R68" s="85"/>
      <c r="S68" s="85"/>
      <c r="T68" s="85"/>
      <c r="U68" s="85"/>
      <c r="V68" s="122"/>
      <c r="W68" s="139"/>
      <c r="X68" s="371"/>
      <c r="AE68" s="190"/>
      <c r="AF68" s="190"/>
      <c r="AG68" s="190"/>
      <c r="AH68" s="190"/>
      <c r="AI68" s="190"/>
      <c r="AJ68" s="202"/>
      <c r="AK68" s="160"/>
    </row>
    <row r="69" spans="1:54" ht="7.5" customHeight="1" x14ac:dyDescent="0.2">
      <c r="A69" s="118"/>
      <c r="B69" s="17"/>
      <c r="C69" s="17"/>
      <c r="D69" s="16"/>
      <c r="E69" s="16"/>
      <c r="F69" s="16"/>
      <c r="G69" s="16"/>
      <c r="H69" s="16"/>
      <c r="I69" s="16"/>
      <c r="J69" s="12"/>
      <c r="K69" s="18"/>
      <c r="L69" s="18"/>
      <c r="M69" s="18"/>
      <c r="N69" s="18"/>
      <c r="O69" s="18"/>
      <c r="P69" s="18"/>
      <c r="Q69" s="18"/>
      <c r="R69" s="18"/>
      <c r="S69" s="18"/>
      <c r="T69" s="18"/>
      <c r="U69" s="19"/>
      <c r="V69" s="117"/>
      <c r="W69" s="137"/>
      <c r="X69" s="150"/>
      <c r="Y69" s="87"/>
      <c r="Z69" s="87"/>
      <c r="AA69" s="87"/>
      <c r="AB69" s="87"/>
      <c r="AC69" s="87"/>
      <c r="AJ69" s="184"/>
      <c r="AK69" s="157"/>
    </row>
    <row r="70" spans="1:54" ht="15" customHeight="1" x14ac:dyDescent="0.2">
      <c r="A70" s="1716"/>
      <c r="B70" s="1760"/>
      <c r="C70" s="1760"/>
      <c r="D70" s="1760"/>
      <c r="E70" s="1760"/>
      <c r="F70" s="1760"/>
      <c r="G70" s="1760"/>
      <c r="H70" s="1760"/>
      <c r="I70" s="1760"/>
      <c r="J70" s="1760"/>
      <c r="K70" s="1760"/>
      <c r="L70" s="1760"/>
      <c r="M70" s="1760"/>
      <c r="N70" s="1760"/>
      <c r="O70" s="1760"/>
      <c r="P70" s="1760"/>
      <c r="Q70" s="1760"/>
      <c r="R70" s="1760"/>
      <c r="S70" s="1760"/>
      <c r="T70" s="1760"/>
      <c r="U70" s="1760"/>
      <c r="V70" s="1761"/>
      <c r="W70" s="137"/>
      <c r="X70" s="150"/>
      <c r="Y70" s="87"/>
      <c r="Z70" s="87"/>
      <c r="AA70" s="87"/>
      <c r="AB70" s="87"/>
      <c r="AC70" s="87"/>
      <c r="AJ70" s="184"/>
      <c r="AK70" s="157"/>
    </row>
    <row r="71" spans="1:54" ht="11.1" customHeight="1" x14ac:dyDescent="0.2">
      <c r="A71" s="1765" t="str">
        <f>Home!$A$39</f>
        <v xml:space="preserve"> </v>
      </c>
      <c r="B71" s="1766"/>
      <c r="C71" s="1766"/>
      <c r="D71" s="1766"/>
      <c r="E71" s="1766"/>
      <c r="F71" s="1766"/>
      <c r="G71" s="1766"/>
      <c r="H71" s="1766"/>
      <c r="I71" s="1767"/>
      <c r="J71" s="1766"/>
      <c r="K71" s="1766"/>
      <c r="L71" s="1766"/>
      <c r="M71" s="1766"/>
      <c r="N71" s="1766"/>
      <c r="O71" s="1766"/>
      <c r="P71" s="1768"/>
      <c r="Q71" s="1766"/>
      <c r="R71" s="1766"/>
      <c r="S71" s="1766"/>
      <c r="T71" s="1767"/>
      <c r="U71" s="1766"/>
      <c r="V71" s="1769"/>
      <c r="W71" s="137"/>
      <c r="X71" s="150"/>
      <c r="Y71" s="87"/>
      <c r="Z71" s="87"/>
      <c r="AA71" s="87"/>
      <c r="AB71" s="87"/>
      <c r="AC71" s="87"/>
      <c r="AJ71" s="184"/>
      <c r="AK71" s="157"/>
    </row>
    <row r="72" spans="1:54" ht="11.25" customHeight="1" x14ac:dyDescent="0.2">
      <c r="A72" s="112"/>
      <c r="B72" s="113"/>
      <c r="C72" s="113"/>
      <c r="D72" s="113"/>
      <c r="E72" s="113"/>
      <c r="F72" s="113"/>
      <c r="G72" s="113"/>
      <c r="H72" s="113"/>
      <c r="I72" s="113"/>
      <c r="J72" s="114"/>
      <c r="K72" s="113"/>
      <c r="L72" s="113"/>
      <c r="M72" s="113"/>
      <c r="N72" s="113"/>
      <c r="O72" s="113"/>
      <c r="P72" s="113"/>
      <c r="Q72" s="113"/>
      <c r="R72" s="113"/>
      <c r="S72" s="113"/>
      <c r="T72" s="113"/>
      <c r="U72" s="113"/>
      <c r="V72" s="115"/>
      <c r="W72" s="137"/>
      <c r="X72" s="150"/>
      <c r="Y72" s="188"/>
      <c r="Z72" s="188"/>
      <c r="AA72" s="188"/>
      <c r="AJ72" s="184"/>
      <c r="AK72" s="157"/>
    </row>
    <row r="73" spans="1:54" s="76" customFormat="1" ht="17.100000000000001" customHeight="1" x14ac:dyDescent="0.2">
      <c r="A73" s="119"/>
      <c r="B73" s="59"/>
      <c r="C73" s="313"/>
      <c r="D73" s="313"/>
      <c r="E73" s="313"/>
      <c r="F73" s="313"/>
      <c r="G73" s="313"/>
      <c r="H73" s="313"/>
      <c r="I73" s="313"/>
      <c r="J73" s="70"/>
      <c r="K73" s="70"/>
      <c r="L73" s="70"/>
      <c r="M73" s="70"/>
      <c r="N73" s="312"/>
      <c r="O73" s="70"/>
      <c r="P73" s="70"/>
      <c r="Q73" s="70"/>
      <c r="R73" s="70"/>
      <c r="S73" s="70"/>
      <c r="T73" s="70"/>
      <c r="U73" s="70"/>
      <c r="V73" s="120"/>
      <c r="W73" s="138"/>
      <c r="X73" s="151"/>
      <c r="Y73" s="188"/>
      <c r="Z73" s="188"/>
      <c r="AA73" s="188"/>
      <c r="AB73" s="188"/>
      <c r="AC73" s="188"/>
      <c r="AD73" s="188"/>
      <c r="AE73" s="188"/>
      <c r="AF73" s="188"/>
      <c r="AG73" s="188"/>
      <c r="AH73" s="188"/>
      <c r="AI73" s="188"/>
      <c r="AJ73" s="188"/>
      <c r="AK73" s="158"/>
    </row>
    <row r="74" spans="1:54" ht="13.5" customHeight="1" x14ac:dyDescent="0.2">
      <c r="A74" s="118"/>
      <c r="B74" s="313"/>
      <c r="C74" s="313"/>
      <c r="D74" s="313"/>
      <c r="E74" s="313"/>
      <c r="F74" s="313"/>
      <c r="G74" s="313"/>
      <c r="H74" s="313"/>
      <c r="I74" s="313"/>
      <c r="J74" s="70"/>
      <c r="K74" s="70"/>
      <c r="L74" s="70"/>
      <c r="M74" s="70"/>
      <c r="N74" s="312"/>
      <c r="O74" s="70"/>
      <c r="P74" s="70"/>
      <c r="Q74" s="70"/>
      <c r="R74" s="10"/>
      <c r="S74" s="70"/>
      <c r="T74" s="70"/>
      <c r="U74" s="70"/>
      <c r="V74" s="117"/>
      <c r="W74" s="137"/>
      <c r="X74" s="150"/>
      <c r="Y74" s="188"/>
      <c r="Z74" s="188"/>
      <c r="AA74" s="196"/>
      <c r="AB74" s="196"/>
      <c r="AC74" s="197"/>
      <c r="AD74" s="197"/>
      <c r="AJ74" s="184"/>
      <c r="AK74" s="157"/>
    </row>
    <row r="75" spans="1:54" s="87" customFormat="1" ht="12" customHeight="1" x14ac:dyDescent="0.2">
      <c r="A75" s="121"/>
      <c r="B75" s="313"/>
      <c r="C75" s="313"/>
      <c r="D75" s="313"/>
      <c r="E75" s="313"/>
      <c r="F75" s="313"/>
      <c r="G75" s="313"/>
      <c r="H75" s="313"/>
      <c r="I75" s="96"/>
      <c r="J75" s="96"/>
      <c r="K75" s="61"/>
      <c r="L75" s="61"/>
      <c r="M75" s="61"/>
      <c r="N75" s="61"/>
      <c r="O75" s="61"/>
      <c r="P75" s="61"/>
      <c r="Q75" s="314"/>
      <c r="R75" s="314"/>
      <c r="S75" s="159"/>
      <c r="T75" s="159"/>
      <c r="U75" s="315"/>
      <c r="V75" s="122"/>
      <c r="W75" s="139"/>
      <c r="X75" s="152"/>
      <c r="Y75" s="188"/>
      <c r="Z75" s="188"/>
      <c r="AA75" s="196"/>
      <c r="AB75" s="196"/>
      <c r="AC75" s="197"/>
      <c r="AD75" s="197"/>
      <c r="AE75" s="199"/>
      <c r="AF75" s="190"/>
      <c r="AG75" s="190"/>
      <c r="AH75" s="190"/>
      <c r="AI75" s="190"/>
      <c r="AJ75" s="202"/>
      <c r="AK75" s="160"/>
    </row>
    <row r="76" spans="1:54" s="87" customFormat="1" ht="24" customHeight="1" x14ac:dyDescent="0.2">
      <c r="A76" s="121"/>
      <c r="B76" s="313"/>
      <c r="C76" s="313"/>
      <c r="D76" s="313"/>
      <c r="E76" s="313"/>
      <c r="F76" s="313"/>
      <c r="G76" s="313"/>
      <c r="H76" s="313"/>
      <c r="I76" s="96"/>
      <c r="J76" s="96"/>
      <c r="K76" s="166"/>
      <c r="L76" s="166"/>
      <c r="M76" s="166"/>
      <c r="N76" s="166"/>
      <c r="O76" s="166"/>
      <c r="P76" s="166"/>
      <c r="Q76" s="166"/>
      <c r="R76" s="167"/>
      <c r="S76" s="159"/>
      <c r="T76" s="159"/>
      <c r="U76" s="166"/>
      <c r="V76" s="122"/>
      <c r="W76" s="139"/>
      <c r="X76" s="152"/>
      <c r="Z76" s="353" t="s">
        <v>130</v>
      </c>
      <c r="AA76" s="354" t="s">
        <v>131</v>
      </c>
      <c r="AB76" s="196"/>
      <c r="AC76" s="197"/>
      <c r="AD76" s="197"/>
      <c r="AE76" s="199"/>
      <c r="AF76" s="190"/>
      <c r="AG76" s="190"/>
      <c r="AH76" s="190"/>
      <c r="AI76" s="190"/>
      <c r="AJ76" s="202"/>
      <c r="AK76" s="160"/>
    </row>
    <row r="77" spans="1:54" s="87" customFormat="1" ht="12.75" customHeight="1" x14ac:dyDescent="0.2">
      <c r="A77" s="121"/>
      <c r="B77" s="313"/>
      <c r="C77" s="313"/>
      <c r="D77" s="313"/>
      <c r="E77" s="313"/>
      <c r="F77" s="313"/>
      <c r="G77" s="313"/>
      <c r="H77" s="313"/>
      <c r="I77" s="96"/>
      <c r="J77" s="96"/>
      <c r="K77" s="166"/>
      <c r="L77" s="166"/>
      <c r="M77" s="166"/>
      <c r="N77" s="166"/>
      <c r="O77" s="166"/>
      <c r="P77" s="166"/>
      <c r="Q77" s="166"/>
      <c r="R77" s="167"/>
      <c r="S77" s="159"/>
      <c r="T77" s="159"/>
      <c r="U77" s="166"/>
      <c r="V77" s="122"/>
      <c r="W77" s="139"/>
      <c r="X77" s="152"/>
      <c r="Y77" s="355" t="str">
        <f t="shared" ref="Y77:Y100" si="23">B10</f>
        <v>Bracknell Forest</v>
      </c>
      <c r="Z77" s="356" t="e">
        <f t="shared" ref="Z77:Z100" si="24">IF(Y77=$Z$4,I10,#N/A)</f>
        <v>#N/A</v>
      </c>
      <c r="AA77" s="356" t="e">
        <f>IF(Y77=$Z$4,U10,#N/A)</f>
        <v>#N/A</v>
      </c>
      <c r="AB77" s="196"/>
      <c r="AC77" s="197"/>
      <c r="AD77" s="197"/>
      <c r="AE77" s="199"/>
      <c r="AF77" s="190"/>
      <c r="AG77" s="190"/>
      <c r="AH77" s="190"/>
      <c r="AI77" s="190"/>
      <c r="AJ77" s="202"/>
      <c r="AK77" s="160"/>
    </row>
    <row r="78" spans="1:54" s="87" customFormat="1" ht="12.75" customHeight="1" x14ac:dyDescent="0.2">
      <c r="A78" s="121"/>
      <c r="B78" s="313"/>
      <c r="C78" s="313"/>
      <c r="D78" s="313"/>
      <c r="E78" s="313"/>
      <c r="F78" s="313"/>
      <c r="G78" s="313"/>
      <c r="H78" s="313"/>
      <c r="I78" s="96"/>
      <c r="J78" s="96"/>
      <c r="K78" s="166"/>
      <c r="L78" s="166"/>
      <c r="M78" s="166"/>
      <c r="N78" s="166"/>
      <c r="O78" s="166"/>
      <c r="P78" s="166"/>
      <c r="Q78" s="166"/>
      <c r="R78" s="167"/>
      <c r="S78" s="159"/>
      <c r="T78" s="159"/>
      <c r="U78" s="166"/>
      <c r="V78" s="122"/>
      <c r="W78" s="139"/>
      <c r="X78" s="152"/>
      <c r="Y78" s="355" t="str">
        <f t="shared" si="23"/>
        <v>Brighton &amp; Hove</v>
      </c>
      <c r="Z78" s="356" t="e">
        <f t="shared" si="24"/>
        <v>#N/A</v>
      </c>
      <c r="AA78" s="356" t="e">
        <f t="shared" ref="AA78:AA100" si="25">IF(Y78=$Z$4,U11,#N/A)</f>
        <v>#N/A</v>
      </c>
      <c r="AB78" s="196"/>
      <c r="AC78" s="197"/>
      <c r="AD78" s="197"/>
      <c r="AE78" s="199"/>
      <c r="AF78" s="190"/>
      <c r="AG78" s="190"/>
      <c r="AH78" s="190"/>
      <c r="AI78" s="190"/>
      <c r="AJ78" s="202"/>
      <c r="AK78" s="160"/>
    </row>
    <row r="79" spans="1:54" s="87" customFormat="1" ht="12.75" customHeight="1" x14ac:dyDescent="0.2">
      <c r="A79" s="121"/>
      <c r="B79" s="313"/>
      <c r="C79" s="313"/>
      <c r="D79" s="313"/>
      <c r="E79" s="313"/>
      <c r="F79" s="313"/>
      <c r="G79" s="313"/>
      <c r="H79" s="313"/>
      <c r="I79" s="96"/>
      <c r="J79" s="96"/>
      <c r="K79" s="166"/>
      <c r="L79" s="166"/>
      <c r="M79" s="166"/>
      <c r="N79" s="166"/>
      <c r="O79" s="166"/>
      <c r="P79" s="166"/>
      <c r="Q79" s="166"/>
      <c r="R79" s="167"/>
      <c r="S79" s="159"/>
      <c r="T79" s="159"/>
      <c r="U79" s="166"/>
      <c r="V79" s="122"/>
      <c r="W79" s="139"/>
      <c r="X79" s="152"/>
      <c r="Y79" s="355" t="str">
        <f t="shared" si="23"/>
        <v>Buckinghamshire</v>
      </c>
      <c r="Z79" s="356" t="e">
        <f t="shared" si="24"/>
        <v>#N/A</v>
      </c>
      <c r="AA79" s="356" t="e">
        <f t="shared" si="25"/>
        <v>#N/A</v>
      </c>
      <c r="AB79" s="196"/>
      <c r="AC79" s="197"/>
      <c r="AD79" s="197"/>
      <c r="AE79" s="199"/>
      <c r="AF79" s="190"/>
      <c r="AG79" s="190"/>
      <c r="AH79" s="190"/>
      <c r="AI79" s="190"/>
      <c r="AJ79" s="202"/>
      <c r="AK79" s="160"/>
    </row>
    <row r="80" spans="1:54" s="87" customFormat="1" ht="12.75" customHeight="1" x14ac:dyDescent="0.2">
      <c r="A80" s="121"/>
      <c r="B80" s="313"/>
      <c r="C80" s="313"/>
      <c r="D80" s="313"/>
      <c r="E80" s="313"/>
      <c r="F80" s="313"/>
      <c r="G80" s="313"/>
      <c r="H80" s="313"/>
      <c r="I80" s="96"/>
      <c r="J80" s="96"/>
      <c r="K80" s="166"/>
      <c r="L80" s="166"/>
      <c r="M80" s="166"/>
      <c r="N80" s="166"/>
      <c r="O80" s="166"/>
      <c r="P80" s="166"/>
      <c r="Q80" s="166"/>
      <c r="R80" s="167"/>
      <c r="S80" s="159"/>
      <c r="T80" s="159"/>
      <c r="U80" s="166"/>
      <c r="V80" s="122"/>
      <c r="W80" s="139"/>
      <c r="X80" s="152"/>
      <c r="Y80" s="355" t="str">
        <f t="shared" si="23"/>
        <v>East Sussex</v>
      </c>
      <c r="Z80" s="356" t="e">
        <f t="shared" si="24"/>
        <v>#N/A</v>
      </c>
      <c r="AA80" s="356" t="e">
        <f t="shared" si="25"/>
        <v>#N/A</v>
      </c>
      <c r="AB80" s="196"/>
      <c r="AC80" s="197"/>
      <c r="AD80" s="197"/>
      <c r="AE80" s="199"/>
      <c r="AF80" s="190"/>
      <c r="AG80" s="190"/>
      <c r="AH80" s="190"/>
      <c r="AI80" s="190"/>
      <c r="AJ80" s="202"/>
      <c r="AK80" s="160"/>
    </row>
    <row r="81" spans="1:45" s="87" customFormat="1" ht="12.75" customHeight="1" x14ac:dyDescent="0.2">
      <c r="A81" s="121"/>
      <c r="B81" s="313"/>
      <c r="C81" s="313"/>
      <c r="D81" s="313"/>
      <c r="E81" s="313"/>
      <c r="F81" s="313"/>
      <c r="G81" s="313"/>
      <c r="H81" s="313"/>
      <c r="I81" s="96"/>
      <c r="J81" s="96"/>
      <c r="K81" s="166"/>
      <c r="L81" s="166"/>
      <c r="M81" s="166"/>
      <c r="N81" s="166"/>
      <c r="O81" s="166"/>
      <c r="P81" s="166"/>
      <c r="Q81" s="166"/>
      <c r="R81" s="167"/>
      <c r="S81" s="159"/>
      <c r="T81" s="159"/>
      <c r="U81" s="166"/>
      <c r="V81" s="122"/>
      <c r="W81" s="139"/>
      <c r="X81" s="152"/>
      <c r="Y81" s="355" t="str">
        <f t="shared" si="23"/>
        <v>Hampshire</v>
      </c>
      <c r="Z81" s="356" t="e">
        <f t="shared" si="24"/>
        <v>#N/A</v>
      </c>
      <c r="AA81" s="356" t="e">
        <f t="shared" si="25"/>
        <v>#N/A</v>
      </c>
      <c r="AB81" s="196"/>
      <c r="AC81" s="197"/>
      <c r="AD81" s="197"/>
      <c r="AE81" s="199"/>
      <c r="AF81" s="190"/>
      <c r="AG81" s="190"/>
      <c r="AH81" s="190"/>
      <c r="AI81" s="190"/>
      <c r="AJ81" s="202"/>
      <c r="AK81" s="160"/>
      <c r="AS81" s="87" t="s">
        <v>102</v>
      </c>
    </row>
    <row r="82" spans="1:45" s="87" customFormat="1" ht="12.75" customHeight="1" x14ac:dyDescent="0.2">
      <c r="A82" s="121"/>
      <c r="B82" s="313"/>
      <c r="C82" s="313"/>
      <c r="D82" s="313"/>
      <c r="E82" s="313"/>
      <c r="F82" s="313"/>
      <c r="G82" s="313"/>
      <c r="H82" s="313"/>
      <c r="I82" s="96"/>
      <c r="J82" s="96"/>
      <c r="K82" s="166"/>
      <c r="L82" s="166"/>
      <c r="M82" s="166"/>
      <c r="N82" s="166"/>
      <c r="O82" s="166"/>
      <c r="P82" s="166"/>
      <c r="Q82" s="166"/>
      <c r="R82" s="167"/>
      <c r="S82" s="159"/>
      <c r="T82" s="159"/>
      <c r="U82" s="166"/>
      <c r="V82" s="122"/>
      <c r="W82" s="139"/>
      <c r="X82" s="152"/>
      <c r="Y82" s="355" t="str">
        <f t="shared" si="23"/>
        <v>Isle of Wight</v>
      </c>
      <c r="Z82" s="356" t="e">
        <f t="shared" si="24"/>
        <v>#N/A</v>
      </c>
      <c r="AA82" s="356" t="e">
        <f t="shared" si="25"/>
        <v>#N/A</v>
      </c>
      <c r="AB82" s="196"/>
      <c r="AC82" s="197"/>
      <c r="AD82" s="197"/>
      <c r="AE82" s="199"/>
      <c r="AF82" s="190"/>
      <c r="AG82" s="190"/>
      <c r="AH82" s="190"/>
      <c r="AI82" s="190"/>
      <c r="AJ82" s="202"/>
      <c r="AK82" s="160"/>
    </row>
    <row r="83" spans="1:45" s="87" customFormat="1" ht="12.75" customHeight="1" x14ac:dyDescent="0.2">
      <c r="A83" s="121"/>
      <c r="B83" s="313"/>
      <c r="C83" s="313"/>
      <c r="D83" s="313"/>
      <c r="E83" s="313"/>
      <c r="F83" s="313"/>
      <c r="G83" s="313"/>
      <c r="H83" s="313"/>
      <c r="I83" s="96"/>
      <c r="J83" s="96"/>
      <c r="K83" s="166"/>
      <c r="L83" s="166"/>
      <c r="M83" s="166"/>
      <c r="N83" s="166"/>
      <c r="O83" s="166"/>
      <c r="P83" s="166"/>
      <c r="Q83" s="166"/>
      <c r="R83" s="167"/>
      <c r="S83" s="159"/>
      <c r="T83" s="159"/>
      <c r="U83" s="166"/>
      <c r="V83" s="122"/>
      <c r="W83" s="139"/>
      <c r="X83" s="152"/>
      <c r="Y83" s="355" t="str">
        <f t="shared" si="23"/>
        <v>Kent</v>
      </c>
      <c r="Z83" s="356" t="e">
        <f t="shared" si="24"/>
        <v>#N/A</v>
      </c>
      <c r="AA83" s="356" t="e">
        <f t="shared" si="25"/>
        <v>#N/A</v>
      </c>
      <c r="AB83" s="196"/>
      <c r="AC83" s="197"/>
      <c r="AD83" s="197"/>
      <c r="AE83" s="199"/>
      <c r="AF83" s="190"/>
      <c r="AG83" s="190"/>
      <c r="AH83" s="190"/>
      <c r="AI83" s="190"/>
      <c r="AJ83" s="202"/>
      <c r="AK83" s="160"/>
    </row>
    <row r="84" spans="1:45" s="87" customFormat="1" ht="12.75" customHeight="1" x14ac:dyDescent="0.2">
      <c r="A84" s="121"/>
      <c r="B84" s="313"/>
      <c r="C84" s="313"/>
      <c r="D84" s="313"/>
      <c r="E84" s="313"/>
      <c r="F84" s="313"/>
      <c r="G84" s="313"/>
      <c r="H84" s="313"/>
      <c r="I84" s="96"/>
      <c r="J84" s="96"/>
      <c r="K84" s="166"/>
      <c r="L84" s="166"/>
      <c r="M84" s="166"/>
      <c r="N84" s="166"/>
      <c r="O84" s="166"/>
      <c r="P84" s="166"/>
      <c r="Q84" s="166"/>
      <c r="R84" s="167"/>
      <c r="S84" s="159"/>
      <c r="T84" s="159"/>
      <c r="U84" s="166"/>
      <c r="V84" s="122"/>
      <c r="W84" s="139"/>
      <c r="X84" s="152"/>
      <c r="Y84" s="355" t="str">
        <f t="shared" si="23"/>
        <v>Medway</v>
      </c>
      <c r="Z84" s="356" t="e">
        <f t="shared" si="24"/>
        <v>#N/A</v>
      </c>
      <c r="AA84" s="356" t="e">
        <f t="shared" si="25"/>
        <v>#N/A</v>
      </c>
      <c r="AB84" s="196"/>
      <c r="AC84" s="197"/>
      <c r="AD84" s="197"/>
      <c r="AE84" s="199"/>
      <c r="AF84" s="190"/>
      <c r="AG84" s="190"/>
      <c r="AH84" s="190"/>
      <c r="AI84" s="190"/>
      <c r="AJ84" s="202"/>
      <c r="AK84" s="160"/>
    </row>
    <row r="85" spans="1:45" s="87" customFormat="1" ht="12.75" customHeight="1" x14ac:dyDescent="0.2">
      <c r="A85" s="121"/>
      <c r="B85" s="313"/>
      <c r="C85" s="313"/>
      <c r="D85" s="313"/>
      <c r="E85" s="313"/>
      <c r="F85" s="313"/>
      <c r="G85" s="313"/>
      <c r="H85" s="313"/>
      <c r="I85" s="96"/>
      <c r="J85" s="96"/>
      <c r="K85" s="166"/>
      <c r="L85" s="166"/>
      <c r="M85" s="166"/>
      <c r="N85" s="166"/>
      <c r="O85" s="166"/>
      <c r="P85" s="166"/>
      <c r="Q85" s="166"/>
      <c r="R85" s="167"/>
      <c r="S85" s="159"/>
      <c r="T85" s="159"/>
      <c r="U85" s="166"/>
      <c r="V85" s="122"/>
      <c r="W85" s="139"/>
      <c r="X85" s="152"/>
      <c r="Y85" s="355" t="str">
        <f t="shared" si="23"/>
        <v>Milton Keynes</v>
      </c>
      <c r="Z85" s="356" t="e">
        <f t="shared" si="24"/>
        <v>#N/A</v>
      </c>
      <c r="AA85" s="356" t="e">
        <f t="shared" si="25"/>
        <v>#N/A</v>
      </c>
      <c r="AB85" s="196"/>
      <c r="AC85" s="197"/>
      <c r="AD85" s="197"/>
      <c r="AE85" s="199"/>
      <c r="AF85" s="190"/>
      <c r="AG85" s="190"/>
      <c r="AH85" s="190"/>
      <c r="AI85" s="190"/>
      <c r="AJ85" s="202"/>
      <c r="AK85" s="160"/>
    </row>
    <row r="86" spans="1:45" s="87" customFormat="1" ht="12.75" customHeight="1" x14ac:dyDescent="0.2">
      <c r="A86" s="121"/>
      <c r="B86" s="313"/>
      <c r="C86" s="313"/>
      <c r="D86" s="313"/>
      <c r="E86" s="313"/>
      <c r="F86" s="313"/>
      <c r="G86" s="313"/>
      <c r="H86" s="313"/>
      <c r="I86" s="96"/>
      <c r="J86" s="96"/>
      <c r="K86" s="166"/>
      <c r="L86" s="166"/>
      <c r="M86" s="166"/>
      <c r="N86" s="166"/>
      <c r="O86" s="166"/>
      <c r="P86" s="166"/>
      <c r="Q86" s="166"/>
      <c r="R86" s="167"/>
      <c r="S86" s="159"/>
      <c r="T86" s="159"/>
      <c r="U86" s="166"/>
      <c r="V86" s="122"/>
      <c r="W86" s="139"/>
      <c r="X86" s="152"/>
      <c r="Y86" s="355" t="str">
        <f t="shared" si="23"/>
        <v>Oxfordshire</v>
      </c>
      <c r="Z86" s="356" t="e">
        <f t="shared" si="24"/>
        <v>#N/A</v>
      </c>
      <c r="AA86" s="356" t="e">
        <f t="shared" si="25"/>
        <v>#N/A</v>
      </c>
      <c r="AB86" s="196"/>
      <c r="AC86" s="197"/>
      <c r="AD86" s="197"/>
      <c r="AE86" s="199"/>
      <c r="AF86" s="190"/>
      <c r="AG86" s="190"/>
      <c r="AH86" s="190"/>
      <c r="AI86" s="190"/>
      <c r="AJ86" s="202"/>
      <c r="AK86" s="160"/>
    </row>
    <row r="87" spans="1:45" s="87" customFormat="1" ht="12.75" customHeight="1" x14ac:dyDescent="0.2">
      <c r="A87" s="121"/>
      <c r="B87" s="313"/>
      <c r="C87" s="313"/>
      <c r="D87" s="313"/>
      <c r="E87" s="313"/>
      <c r="F87" s="313"/>
      <c r="G87" s="313"/>
      <c r="H87" s="313"/>
      <c r="I87" s="96"/>
      <c r="J87" s="96"/>
      <c r="K87" s="166"/>
      <c r="L87" s="166"/>
      <c r="M87" s="166"/>
      <c r="N87" s="166"/>
      <c r="O87" s="166"/>
      <c r="P87" s="166"/>
      <c r="Q87" s="166"/>
      <c r="R87" s="167"/>
      <c r="S87" s="159"/>
      <c r="T87" s="159"/>
      <c r="U87" s="166"/>
      <c r="V87" s="122"/>
      <c r="W87" s="139"/>
      <c r="X87" s="152"/>
      <c r="Y87" s="355" t="str">
        <f t="shared" si="23"/>
        <v>Portsmouth</v>
      </c>
      <c r="Z87" s="356" t="e">
        <f t="shared" si="24"/>
        <v>#N/A</v>
      </c>
      <c r="AA87" s="356" t="e">
        <f t="shared" si="25"/>
        <v>#N/A</v>
      </c>
      <c r="AB87" s="196"/>
      <c r="AC87" s="197"/>
      <c r="AD87" s="197"/>
      <c r="AE87" s="199"/>
      <c r="AF87" s="190"/>
      <c r="AG87" s="190"/>
      <c r="AH87" s="190"/>
      <c r="AI87" s="190"/>
      <c r="AJ87" s="202"/>
      <c r="AK87" s="160"/>
    </row>
    <row r="88" spans="1:45" s="87" customFormat="1" ht="12.75" customHeight="1" x14ac:dyDescent="0.2">
      <c r="A88" s="121"/>
      <c r="B88" s="313"/>
      <c r="C88" s="313"/>
      <c r="D88" s="313"/>
      <c r="E88" s="313"/>
      <c r="F88" s="313"/>
      <c r="G88" s="313"/>
      <c r="H88" s="313"/>
      <c r="I88" s="96"/>
      <c r="J88" s="96"/>
      <c r="K88" s="166"/>
      <c r="L88" s="166"/>
      <c r="M88" s="166"/>
      <c r="N88" s="166"/>
      <c r="O88" s="166"/>
      <c r="P88" s="166"/>
      <c r="Q88" s="166"/>
      <c r="R88" s="167"/>
      <c r="S88" s="159"/>
      <c r="T88" s="159"/>
      <c r="U88" s="166"/>
      <c r="V88" s="122"/>
      <c r="W88" s="139"/>
      <c r="X88" s="152"/>
      <c r="Y88" s="355" t="str">
        <f t="shared" si="23"/>
        <v>Reading</v>
      </c>
      <c r="Z88" s="356" t="e">
        <f t="shared" si="24"/>
        <v>#N/A</v>
      </c>
      <c r="AA88" s="356" t="e">
        <f t="shared" si="25"/>
        <v>#N/A</v>
      </c>
      <c r="AB88" s="196"/>
      <c r="AC88" s="197"/>
      <c r="AD88" s="197"/>
      <c r="AE88" s="199"/>
      <c r="AF88" s="190"/>
      <c r="AG88" s="190"/>
      <c r="AH88" s="190"/>
      <c r="AI88" s="190"/>
      <c r="AJ88" s="202"/>
      <c r="AK88" s="160"/>
    </row>
    <row r="89" spans="1:45" s="87" customFormat="1" ht="12.75" customHeight="1" x14ac:dyDescent="0.2">
      <c r="A89" s="121"/>
      <c r="B89" s="313"/>
      <c r="C89" s="313"/>
      <c r="D89" s="313"/>
      <c r="E89" s="313"/>
      <c r="F89" s="313"/>
      <c r="G89" s="313"/>
      <c r="H89" s="313"/>
      <c r="I89" s="96"/>
      <c r="J89" s="96"/>
      <c r="K89" s="166"/>
      <c r="L89" s="166"/>
      <c r="M89" s="166"/>
      <c r="N89" s="166"/>
      <c r="O89" s="166"/>
      <c r="P89" s="166"/>
      <c r="Q89" s="166"/>
      <c r="R89" s="167"/>
      <c r="S89" s="159"/>
      <c r="T89" s="159"/>
      <c r="U89" s="166"/>
      <c r="V89" s="122"/>
      <c r="W89" s="139"/>
      <c r="X89" s="152"/>
      <c r="Y89" s="355" t="str">
        <f t="shared" si="23"/>
        <v>Slough</v>
      </c>
      <c r="Z89" s="356" t="e">
        <f t="shared" si="24"/>
        <v>#N/A</v>
      </c>
      <c r="AA89" s="356" t="e">
        <f t="shared" si="25"/>
        <v>#N/A</v>
      </c>
      <c r="AB89" s="196"/>
      <c r="AC89" s="197"/>
      <c r="AD89" s="197"/>
      <c r="AE89" s="199"/>
      <c r="AF89" s="190"/>
      <c r="AG89" s="190"/>
      <c r="AH89" s="190"/>
      <c r="AI89" s="190"/>
      <c r="AJ89" s="202"/>
      <c r="AK89" s="160"/>
    </row>
    <row r="90" spans="1:45" s="87" customFormat="1" ht="12.75" customHeight="1" x14ac:dyDescent="0.2">
      <c r="A90" s="121"/>
      <c r="B90" s="313"/>
      <c r="C90" s="313"/>
      <c r="D90" s="313"/>
      <c r="E90" s="313"/>
      <c r="F90" s="313"/>
      <c r="G90" s="313"/>
      <c r="H90" s="313"/>
      <c r="I90" s="96"/>
      <c r="J90" s="96"/>
      <c r="K90" s="166"/>
      <c r="L90" s="166"/>
      <c r="M90" s="166"/>
      <c r="N90" s="166"/>
      <c r="O90" s="166"/>
      <c r="P90" s="166"/>
      <c r="Q90" s="166"/>
      <c r="R90" s="167"/>
      <c r="S90" s="159"/>
      <c r="T90" s="159"/>
      <c r="U90" s="166"/>
      <c r="V90" s="122"/>
      <c r="W90" s="139"/>
      <c r="X90" s="152"/>
      <c r="Y90" s="355" t="str">
        <f t="shared" si="23"/>
        <v>Somerset</v>
      </c>
      <c r="Z90" s="356" t="e">
        <f t="shared" si="24"/>
        <v>#N/A</v>
      </c>
      <c r="AA90" s="356" t="e">
        <f t="shared" si="25"/>
        <v>#N/A</v>
      </c>
      <c r="AB90" s="196"/>
      <c r="AC90" s="197"/>
      <c r="AD90" s="197"/>
      <c r="AE90" s="199"/>
      <c r="AF90" s="190"/>
      <c r="AG90" s="190"/>
      <c r="AH90" s="190"/>
      <c r="AI90" s="190"/>
      <c r="AJ90" s="202"/>
      <c r="AK90" s="160"/>
    </row>
    <row r="91" spans="1:45" s="87" customFormat="1" ht="12.75" customHeight="1" x14ac:dyDescent="0.2">
      <c r="A91" s="121"/>
      <c r="B91" s="313"/>
      <c r="C91" s="313"/>
      <c r="D91" s="313"/>
      <c r="E91" s="313"/>
      <c r="F91" s="313"/>
      <c r="G91" s="313"/>
      <c r="H91" s="313"/>
      <c r="I91" s="96"/>
      <c r="J91" s="96"/>
      <c r="K91" s="166"/>
      <c r="L91" s="166"/>
      <c r="M91" s="166"/>
      <c r="N91" s="166"/>
      <c r="O91" s="166"/>
      <c r="P91" s="166"/>
      <c r="Q91" s="166"/>
      <c r="R91" s="167"/>
      <c r="S91" s="159"/>
      <c r="T91" s="159"/>
      <c r="U91" s="166"/>
      <c r="V91" s="122"/>
      <c r="W91" s="139"/>
      <c r="X91" s="152"/>
      <c r="Y91" s="355" t="str">
        <f t="shared" si="23"/>
        <v>Southampton</v>
      </c>
      <c r="Z91" s="356" t="e">
        <f t="shared" si="24"/>
        <v>#N/A</v>
      </c>
      <c r="AA91" s="356" t="e">
        <f t="shared" si="25"/>
        <v>#N/A</v>
      </c>
      <c r="AB91" s="196"/>
      <c r="AC91" s="197"/>
      <c r="AD91" s="197"/>
      <c r="AE91" s="199"/>
      <c r="AF91" s="190"/>
      <c r="AG91" s="190"/>
      <c r="AH91" s="190"/>
      <c r="AI91" s="190"/>
      <c r="AJ91" s="202"/>
      <c r="AK91" s="160"/>
    </row>
    <row r="92" spans="1:45" s="87" customFormat="1" ht="12.75" customHeight="1" x14ac:dyDescent="0.2">
      <c r="A92" s="292"/>
      <c r="B92" s="313"/>
      <c r="C92" s="313"/>
      <c r="D92" s="313"/>
      <c r="E92" s="313"/>
      <c r="F92" s="313"/>
      <c r="G92" s="313"/>
      <c r="H92" s="313"/>
      <c r="I92" s="96"/>
      <c r="J92" s="96"/>
      <c r="K92" s="166"/>
      <c r="L92" s="166"/>
      <c r="M92" s="166"/>
      <c r="N92" s="166"/>
      <c r="O92" s="166"/>
      <c r="P92" s="166"/>
      <c r="Q92" s="166"/>
      <c r="R92" s="167"/>
      <c r="S92" s="159"/>
      <c r="T92" s="159"/>
      <c r="U92" s="166"/>
      <c r="V92" s="122"/>
      <c r="W92" s="139"/>
      <c r="X92" s="152"/>
      <c r="Y92" s="355" t="str">
        <f t="shared" si="23"/>
        <v>Surrey</v>
      </c>
      <c r="Z92" s="356" t="e">
        <f t="shared" si="24"/>
        <v>#N/A</v>
      </c>
      <c r="AA92" s="356" t="e">
        <f t="shared" si="25"/>
        <v>#N/A</v>
      </c>
      <c r="AB92" s="196"/>
      <c r="AC92" s="197"/>
      <c r="AD92" s="197"/>
      <c r="AE92" s="199"/>
      <c r="AF92" s="190"/>
      <c r="AG92" s="190"/>
      <c r="AH92" s="190"/>
      <c r="AI92" s="190"/>
      <c r="AJ92" s="202"/>
      <c r="AK92" s="160"/>
    </row>
    <row r="93" spans="1:45" s="87" customFormat="1" ht="12.75" customHeight="1" x14ac:dyDescent="0.2">
      <c r="A93" s="292"/>
      <c r="B93" s="313"/>
      <c r="C93" s="313"/>
      <c r="D93" s="313"/>
      <c r="E93" s="313"/>
      <c r="F93" s="313"/>
      <c r="G93" s="313"/>
      <c r="H93" s="313"/>
      <c r="I93" s="96"/>
      <c r="J93" s="96"/>
      <c r="K93" s="166"/>
      <c r="L93" s="166"/>
      <c r="M93" s="166"/>
      <c r="N93" s="166"/>
      <c r="O93" s="166"/>
      <c r="P93" s="166"/>
      <c r="Q93" s="166"/>
      <c r="R93" s="167"/>
      <c r="S93" s="159"/>
      <c r="T93" s="159"/>
      <c r="U93" s="166"/>
      <c r="V93" s="122"/>
      <c r="W93" s="139"/>
      <c r="X93" s="152"/>
      <c r="Y93" s="355" t="str">
        <f t="shared" si="23"/>
        <v>Swindon</v>
      </c>
      <c r="Z93" s="356" t="e">
        <f t="shared" si="24"/>
        <v>#N/A</v>
      </c>
      <c r="AA93" s="356" t="e">
        <f t="shared" si="25"/>
        <v>#N/A</v>
      </c>
      <c r="AB93" s="196"/>
      <c r="AC93" s="197"/>
      <c r="AD93" s="197"/>
      <c r="AE93" s="199"/>
      <c r="AF93" s="190"/>
      <c r="AG93" s="190"/>
      <c r="AH93" s="190"/>
      <c r="AI93" s="190"/>
      <c r="AJ93" s="202"/>
      <c r="AK93" s="160"/>
    </row>
    <row r="94" spans="1:45" s="87" customFormat="1" ht="12.75" customHeight="1" x14ac:dyDescent="0.2">
      <c r="A94" s="121"/>
      <c r="B94" s="313"/>
      <c r="C94" s="313"/>
      <c r="D94" s="313"/>
      <c r="E94" s="313"/>
      <c r="F94" s="313"/>
      <c r="G94" s="313"/>
      <c r="H94" s="313"/>
      <c r="I94" s="96"/>
      <c r="J94" s="96"/>
      <c r="K94" s="166"/>
      <c r="L94" s="166"/>
      <c r="M94" s="166"/>
      <c r="N94" s="166"/>
      <c r="O94" s="166"/>
      <c r="P94" s="166"/>
      <c r="Q94" s="166"/>
      <c r="R94" s="167"/>
      <c r="S94" s="159"/>
      <c r="T94" s="159"/>
      <c r="U94" s="166"/>
      <c r="V94" s="122"/>
      <c r="W94" s="139"/>
      <c r="X94" s="152"/>
      <c r="Y94" s="355" t="str">
        <f t="shared" si="23"/>
        <v>Torbay</v>
      </c>
      <c r="Z94" s="356" t="e">
        <f t="shared" si="24"/>
        <v>#N/A</v>
      </c>
      <c r="AA94" s="356" t="e">
        <f t="shared" si="25"/>
        <v>#N/A</v>
      </c>
      <c r="AB94" s="196"/>
      <c r="AC94" s="197"/>
      <c r="AD94" s="197"/>
      <c r="AE94" s="199"/>
      <c r="AF94" s="202"/>
      <c r="AG94" s="190"/>
      <c r="AH94" s="190"/>
      <c r="AI94" s="190"/>
      <c r="AJ94" s="202"/>
      <c r="AK94" s="160"/>
    </row>
    <row r="95" spans="1:45" s="87" customFormat="1" ht="12.75" customHeight="1" x14ac:dyDescent="0.2">
      <c r="A95" s="121"/>
      <c r="B95" s="313"/>
      <c r="C95" s="313"/>
      <c r="D95" s="313"/>
      <c r="E95" s="313"/>
      <c r="F95" s="313"/>
      <c r="G95" s="313"/>
      <c r="H95" s="313"/>
      <c r="I95" s="96"/>
      <c r="J95" s="96"/>
      <c r="K95" s="166"/>
      <c r="L95" s="166"/>
      <c r="M95" s="166"/>
      <c r="N95" s="166"/>
      <c r="O95" s="166"/>
      <c r="P95" s="166"/>
      <c r="Q95" s="166"/>
      <c r="R95" s="167"/>
      <c r="S95" s="159"/>
      <c r="T95" s="159"/>
      <c r="U95" s="166"/>
      <c r="V95" s="122"/>
      <c r="W95" s="139"/>
      <c r="X95" s="152"/>
      <c r="Y95" s="355" t="str">
        <f t="shared" si="23"/>
        <v>West Berkshire</v>
      </c>
      <c r="Z95" s="356" t="e">
        <f t="shared" si="24"/>
        <v>#N/A</v>
      </c>
      <c r="AA95" s="356" t="e">
        <f t="shared" si="25"/>
        <v>#N/A</v>
      </c>
      <c r="AB95" s="196"/>
      <c r="AC95" s="197"/>
      <c r="AD95" s="197"/>
      <c r="AE95" s="199"/>
      <c r="AF95" s="202"/>
      <c r="AG95" s="190"/>
      <c r="AH95" s="190"/>
      <c r="AI95" s="190"/>
      <c r="AJ95" s="202"/>
      <c r="AK95" s="160"/>
    </row>
    <row r="96" spans="1:45" s="87" customFormat="1" ht="12.75" customHeight="1" x14ac:dyDescent="0.2">
      <c r="A96" s="121"/>
      <c r="B96" s="313"/>
      <c r="C96" s="313"/>
      <c r="D96" s="313"/>
      <c r="E96" s="313"/>
      <c r="F96" s="313"/>
      <c r="G96" s="313"/>
      <c r="H96" s="313"/>
      <c r="I96" s="96"/>
      <c r="J96" s="96"/>
      <c r="K96" s="166"/>
      <c r="L96" s="166"/>
      <c r="M96" s="166"/>
      <c r="N96" s="166"/>
      <c r="O96" s="166"/>
      <c r="P96" s="166"/>
      <c r="Q96" s="166"/>
      <c r="R96" s="167"/>
      <c r="S96" s="159"/>
      <c r="T96" s="159"/>
      <c r="U96" s="166"/>
      <c r="V96" s="122"/>
      <c r="W96" s="139"/>
      <c r="X96" s="152"/>
      <c r="Y96" s="355" t="str">
        <f t="shared" si="23"/>
        <v>West Sussex</v>
      </c>
      <c r="Z96" s="356" t="e">
        <f t="shared" si="24"/>
        <v>#N/A</v>
      </c>
      <c r="AA96" s="356" t="e">
        <f t="shared" si="25"/>
        <v>#N/A</v>
      </c>
      <c r="AB96" s="196"/>
      <c r="AC96" s="197"/>
      <c r="AD96" s="197"/>
      <c r="AE96" s="199"/>
      <c r="AF96" s="202"/>
      <c r="AG96" s="202"/>
      <c r="AH96" s="202"/>
      <c r="AI96" s="190"/>
      <c r="AJ96" s="202"/>
      <c r="AK96" s="160"/>
    </row>
    <row r="97" spans="1:46" s="87" customFormat="1" ht="12.75" customHeight="1" x14ac:dyDescent="0.2">
      <c r="A97" s="121"/>
      <c r="B97" s="313"/>
      <c r="C97" s="313"/>
      <c r="D97" s="313"/>
      <c r="E97" s="313"/>
      <c r="F97" s="313"/>
      <c r="G97" s="313"/>
      <c r="H97" s="313"/>
      <c r="I97" s="96"/>
      <c r="J97" s="96"/>
      <c r="K97" s="166"/>
      <c r="L97" s="166"/>
      <c r="M97" s="166"/>
      <c r="N97" s="166"/>
      <c r="O97" s="166"/>
      <c r="P97" s="166"/>
      <c r="Q97" s="166"/>
      <c r="R97" s="167"/>
      <c r="S97" s="159"/>
      <c r="T97" s="159"/>
      <c r="U97" s="166"/>
      <c r="V97" s="122"/>
      <c r="W97" s="139"/>
      <c r="X97" s="152"/>
      <c r="Y97" s="355" t="str">
        <f t="shared" si="23"/>
        <v>Windsor &amp; Maidenhead</v>
      </c>
      <c r="Z97" s="356" t="e">
        <f t="shared" si="24"/>
        <v>#N/A</v>
      </c>
      <c r="AA97" s="356" t="e">
        <f t="shared" si="25"/>
        <v>#N/A</v>
      </c>
      <c r="AB97" s="196"/>
      <c r="AC97" s="197"/>
      <c r="AD97" s="197"/>
      <c r="AE97" s="199"/>
      <c r="AF97" s="202"/>
      <c r="AG97" s="202"/>
      <c r="AH97" s="202"/>
      <c r="AI97" s="190"/>
      <c r="AJ97" s="202"/>
      <c r="AK97" s="160"/>
    </row>
    <row r="98" spans="1:46" s="87" customFormat="1" ht="12.75" customHeight="1" x14ac:dyDescent="0.2">
      <c r="A98" s="121"/>
      <c r="B98" s="313"/>
      <c r="C98" s="313"/>
      <c r="D98" s="313"/>
      <c r="E98" s="313"/>
      <c r="F98" s="313"/>
      <c r="G98" s="313"/>
      <c r="H98" s="313"/>
      <c r="I98" s="96"/>
      <c r="J98" s="96"/>
      <c r="K98" s="168"/>
      <c r="L98" s="168"/>
      <c r="M98" s="168"/>
      <c r="N98" s="168"/>
      <c r="O98" s="168"/>
      <c r="P98" s="168"/>
      <c r="Q98" s="168"/>
      <c r="R98" s="169"/>
      <c r="S98" s="159"/>
      <c r="T98" s="159"/>
      <c r="U98" s="170"/>
      <c r="V98" s="122"/>
      <c r="W98" s="139"/>
      <c r="X98" s="152"/>
      <c r="Y98" s="355" t="str">
        <f t="shared" si="23"/>
        <v>Wokingham</v>
      </c>
      <c r="Z98" s="356" t="e">
        <f t="shared" si="24"/>
        <v>#N/A</v>
      </c>
      <c r="AA98" s="356" t="e">
        <f t="shared" si="25"/>
        <v>#N/A</v>
      </c>
      <c r="AB98" s="196"/>
      <c r="AC98" s="197"/>
      <c r="AD98" s="197"/>
      <c r="AE98" s="199"/>
      <c r="AF98" s="202"/>
      <c r="AG98" s="202"/>
      <c r="AH98" s="202"/>
      <c r="AI98" s="190"/>
      <c r="AJ98" s="202"/>
      <c r="AK98" s="160"/>
    </row>
    <row r="99" spans="1:46" s="87" customFormat="1" ht="12.75" customHeight="1" x14ac:dyDescent="0.2">
      <c r="A99" s="121"/>
      <c r="B99" s="313"/>
      <c r="C99" s="313"/>
      <c r="D99" s="313"/>
      <c r="E99" s="313"/>
      <c r="F99" s="313"/>
      <c r="G99" s="313"/>
      <c r="H99" s="313"/>
      <c r="I99" s="96"/>
      <c r="J99" s="96"/>
      <c r="K99" s="168"/>
      <c r="L99" s="168"/>
      <c r="M99" s="168"/>
      <c r="N99" s="168"/>
      <c r="O99" s="168"/>
      <c r="P99" s="168"/>
      <c r="Q99" s="168"/>
      <c r="R99" s="169"/>
      <c r="S99" s="159"/>
      <c r="T99" s="159"/>
      <c r="U99" s="170"/>
      <c r="V99" s="122"/>
      <c r="W99" s="139"/>
      <c r="X99" s="152"/>
      <c r="Y99" s="355" t="str">
        <f t="shared" si="23"/>
        <v>South East</v>
      </c>
      <c r="Z99" s="356" t="e">
        <f t="shared" si="24"/>
        <v>#N/A</v>
      </c>
      <c r="AA99" s="356" t="e">
        <f t="shared" si="25"/>
        <v>#N/A</v>
      </c>
      <c r="AB99" s="196"/>
      <c r="AC99" s="197"/>
      <c r="AD99" s="197"/>
      <c r="AE99" s="199"/>
      <c r="AF99" s="202"/>
      <c r="AG99" s="202"/>
      <c r="AH99" s="202"/>
      <c r="AI99" s="190"/>
      <c r="AJ99" s="202"/>
      <c r="AK99" s="160"/>
    </row>
    <row r="100" spans="1:46" s="87" customFormat="1" ht="11.25" customHeight="1" x14ac:dyDescent="0.2">
      <c r="A100" s="292"/>
      <c r="B100" s="313"/>
      <c r="C100" s="313"/>
      <c r="D100" s="313"/>
      <c r="E100" s="313"/>
      <c r="F100" s="313"/>
      <c r="G100" s="313"/>
      <c r="H100" s="313"/>
      <c r="I100" s="96"/>
      <c r="J100" s="96"/>
      <c r="K100" s="168"/>
      <c r="L100" s="168"/>
      <c r="M100" s="168"/>
      <c r="N100" s="168"/>
      <c r="O100" s="168"/>
      <c r="P100" s="168"/>
      <c r="Q100" s="168"/>
      <c r="R100" s="169"/>
      <c r="S100" s="159"/>
      <c r="T100" s="159"/>
      <c r="U100" s="170"/>
      <c r="V100" s="122"/>
      <c r="W100" s="139"/>
      <c r="X100" s="152"/>
      <c r="Y100" s="355" t="str">
        <f t="shared" si="23"/>
        <v>England</v>
      </c>
      <c r="Z100" s="356" t="e">
        <f t="shared" si="24"/>
        <v>#N/A</v>
      </c>
      <c r="AA100" s="356" t="e">
        <f t="shared" si="25"/>
        <v>#N/A</v>
      </c>
      <c r="AB100" s="196"/>
      <c r="AC100" s="197"/>
      <c r="AD100" s="197"/>
      <c r="AE100" s="199"/>
      <c r="AF100" s="202"/>
      <c r="AG100" s="202"/>
      <c r="AH100" s="202"/>
      <c r="AI100" s="190"/>
      <c r="AJ100" s="202"/>
      <c r="AK100" s="160"/>
    </row>
    <row r="101" spans="1:46" s="81" customFormat="1" ht="35.1" customHeight="1" x14ac:dyDescent="0.2">
      <c r="A101" s="217"/>
      <c r="B101" s="313"/>
      <c r="C101" s="313"/>
      <c r="D101" s="313"/>
      <c r="E101" s="313"/>
      <c r="F101" s="313"/>
      <c r="G101" s="313"/>
      <c r="H101" s="313"/>
      <c r="I101" s="316"/>
      <c r="J101" s="172"/>
      <c r="K101" s="172"/>
      <c r="L101" s="172"/>
      <c r="M101" s="172"/>
      <c r="N101" s="172"/>
      <c r="O101" s="172"/>
      <c r="P101" s="172"/>
      <c r="Q101" s="172"/>
      <c r="R101" s="136"/>
      <c r="S101" s="172"/>
      <c r="T101" s="172"/>
      <c r="U101" s="172"/>
      <c r="V101" s="117"/>
      <c r="W101" s="137"/>
      <c r="X101" s="150"/>
      <c r="AD101" s="197"/>
      <c r="AE101" s="199"/>
      <c r="AF101" s="184"/>
      <c r="AG101" s="184"/>
      <c r="AH101" s="184"/>
      <c r="AJ101" s="184"/>
      <c r="AK101" s="161"/>
    </row>
    <row r="102" spans="1:46" s="81" customFormat="1" ht="35.1" customHeight="1" x14ac:dyDescent="0.2">
      <c r="A102" s="217"/>
      <c r="B102" s="313"/>
      <c r="C102" s="313"/>
      <c r="D102" s="313"/>
      <c r="E102" s="313"/>
      <c r="F102" s="313"/>
      <c r="G102" s="313"/>
      <c r="H102" s="313"/>
      <c r="I102" s="316"/>
      <c r="J102" s="172"/>
      <c r="K102" s="172"/>
      <c r="L102" s="172"/>
      <c r="M102" s="172"/>
      <c r="N102" s="172"/>
      <c r="O102" s="172"/>
      <c r="P102" s="172"/>
      <c r="Q102" s="172"/>
      <c r="R102" s="136"/>
      <c r="S102" s="172"/>
      <c r="T102" s="172"/>
      <c r="U102" s="172"/>
      <c r="V102" s="117"/>
      <c r="W102" s="137"/>
      <c r="X102" s="150"/>
      <c r="Z102" s="190"/>
      <c r="AE102" s="199"/>
      <c r="AF102" s="184"/>
      <c r="AG102" s="184"/>
      <c r="AH102" s="184"/>
      <c r="AJ102" s="184"/>
      <c r="AK102" s="161"/>
    </row>
    <row r="103" spans="1:46" s="81" customFormat="1" ht="45" customHeight="1" x14ac:dyDescent="0.2">
      <c r="A103" s="217"/>
      <c r="B103" s="316"/>
      <c r="C103" s="316"/>
      <c r="D103" s="316"/>
      <c r="E103" s="316"/>
      <c r="F103" s="316"/>
      <c r="G103" s="316"/>
      <c r="H103" s="316"/>
      <c r="I103" s="316"/>
      <c r="J103" s="172"/>
      <c r="K103" s="172"/>
      <c r="L103" s="172"/>
      <c r="M103" s="172"/>
      <c r="N103" s="172"/>
      <c r="O103" s="172"/>
      <c r="P103" s="172"/>
      <c r="Q103" s="172"/>
      <c r="R103" s="136"/>
      <c r="S103" s="172"/>
      <c r="T103" s="172"/>
      <c r="U103" s="172"/>
      <c r="V103" s="117"/>
      <c r="W103" s="137"/>
      <c r="X103" s="150"/>
      <c r="Z103" s="190"/>
      <c r="AE103" s="199"/>
      <c r="AF103" s="184"/>
      <c r="AG103" s="184"/>
      <c r="AH103" s="184"/>
      <c r="AJ103" s="184"/>
      <c r="AK103" s="161"/>
    </row>
    <row r="104" spans="1:46" s="81" customFormat="1" ht="7.5" customHeight="1" x14ac:dyDescent="0.2">
      <c r="A104" s="118"/>
      <c r="B104" s="17"/>
      <c r="C104" s="17"/>
      <c r="D104" s="16"/>
      <c r="E104" s="16"/>
      <c r="F104" s="16"/>
      <c r="G104" s="16"/>
      <c r="H104" s="16"/>
      <c r="I104" s="16"/>
      <c r="J104" s="12"/>
      <c r="K104" s="18"/>
      <c r="L104" s="18"/>
      <c r="M104" s="18"/>
      <c r="N104" s="18"/>
      <c r="O104" s="18"/>
      <c r="P104" s="18"/>
      <c r="Q104" s="18"/>
      <c r="R104" s="18"/>
      <c r="S104" s="18"/>
      <c r="T104" s="18"/>
      <c r="U104" s="19"/>
      <c r="V104" s="117"/>
      <c r="W104" s="137"/>
      <c r="X104" s="150"/>
      <c r="Z104" s="190"/>
      <c r="AJ104" s="184"/>
      <c r="AK104" s="157"/>
      <c r="AL104" s="74"/>
      <c r="AM104" s="74"/>
      <c r="AN104" s="74"/>
      <c r="AO104" s="74"/>
      <c r="AP104" s="74"/>
      <c r="AQ104" s="74"/>
      <c r="AR104" s="74"/>
    </row>
    <row r="105" spans="1:46" s="81" customFormat="1" ht="15" customHeight="1" x14ac:dyDescent="0.2">
      <c r="A105" s="1775"/>
      <c r="B105" s="1814"/>
      <c r="C105" s="1814"/>
      <c r="D105" s="1814"/>
      <c r="E105" s="1814"/>
      <c r="F105" s="1814"/>
      <c r="G105" s="1814"/>
      <c r="H105" s="1814"/>
      <c r="I105" s="1814"/>
      <c r="J105" s="1814"/>
      <c r="K105" s="1814"/>
      <c r="L105" s="1814"/>
      <c r="M105" s="1814"/>
      <c r="N105" s="1814"/>
      <c r="O105" s="1814"/>
      <c r="P105" s="1814"/>
      <c r="Q105" s="1814"/>
      <c r="R105" s="1814"/>
      <c r="S105" s="1814"/>
      <c r="T105" s="1814"/>
      <c r="U105" s="1814"/>
      <c r="V105" s="1815"/>
      <c r="W105" s="137"/>
      <c r="X105" s="150"/>
      <c r="Y105" s="188"/>
      <c r="Z105" s="188"/>
      <c r="AK105" s="161"/>
      <c r="AT105" s="74"/>
    </row>
    <row r="106" spans="1:46" s="81" customFormat="1" ht="11.1" customHeight="1" x14ac:dyDescent="0.2">
      <c r="A106" s="1776" t="str">
        <f>Home!$A$39</f>
        <v xml:space="preserve"> </v>
      </c>
      <c r="B106" s="1828"/>
      <c r="C106" s="1828"/>
      <c r="D106" s="1828"/>
      <c r="E106" s="1828"/>
      <c r="F106" s="1828"/>
      <c r="G106" s="1828"/>
      <c r="H106" s="1828"/>
      <c r="I106" s="1828"/>
      <c r="J106" s="1828"/>
      <c r="K106" s="1828"/>
      <c r="L106" s="1828"/>
      <c r="M106" s="1828"/>
      <c r="N106" s="1828"/>
      <c r="O106" s="1828"/>
      <c r="P106" s="1828"/>
      <c r="Q106" s="1828"/>
      <c r="R106" s="1828"/>
      <c r="S106" s="1828"/>
      <c r="T106" s="1828"/>
      <c r="U106" s="1828"/>
      <c r="V106" s="1829"/>
      <c r="W106" s="137"/>
      <c r="X106" s="150"/>
      <c r="Y106" s="188"/>
      <c r="Z106" s="188"/>
      <c r="AJ106" s="184"/>
      <c r="AK106" s="160"/>
      <c r="AL106" s="87"/>
      <c r="AT106" s="74"/>
    </row>
    <row r="107" spans="1:46" ht="11.1" hidden="1" customHeight="1" x14ac:dyDescent="0.2">
      <c r="A107" s="112"/>
      <c r="B107" s="113"/>
      <c r="C107" s="113"/>
      <c r="D107" s="113"/>
      <c r="E107" s="113"/>
      <c r="F107" s="113"/>
      <c r="G107" s="113"/>
      <c r="H107" s="113"/>
      <c r="I107" s="113"/>
      <c r="J107" s="114"/>
      <c r="K107" s="113"/>
      <c r="L107" s="113"/>
      <c r="M107" s="113"/>
      <c r="N107" s="113"/>
      <c r="O107" s="113"/>
      <c r="P107" s="113"/>
      <c r="Q107" s="113"/>
      <c r="R107" s="113"/>
      <c r="S107" s="113"/>
      <c r="T107" s="113"/>
      <c r="U107" s="113"/>
      <c r="V107" s="115"/>
      <c r="W107" s="137"/>
      <c r="X107" s="150"/>
      <c r="Z107" s="196"/>
      <c r="AA107" s="188"/>
      <c r="AJ107" s="184"/>
      <c r="AK107" s="157"/>
    </row>
    <row r="108" spans="1:46" s="76" customFormat="1" ht="15" hidden="1" customHeight="1" x14ac:dyDescent="0.2">
      <c r="A108" s="119"/>
      <c r="B108" s="1770" t="s">
        <v>238</v>
      </c>
      <c r="C108" s="1770"/>
      <c r="D108" s="1770"/>
      <c r="E108" s="1770"/>
      <c r="F108" s="1770"/>
      <c r="G108" s="1770"/>
      <c r="H108" s="1770"/>
      <c r="I108" s="1770"/>
      <c r="J108" s="70"/>
      <c r="K108" s="70"/>
      <c r="L108" s="70"/>
      <c r="M108" s="70"/>
      <c r="N108" s="501"/>
      <c r="O108" s="70"/>
      <c r="P108" s="70"/>
      <c r="Q108" s="70"/>
      <c r="R108" s="70"/>
      <c r="S108" s="70"/>
      <c r="T108" s="70"/>
      <c r="U108" s="70"/>
      <c r="V108" s="120"/>
      <c r="W108" s="138"/>
      <c r="X108" s="151"/>
      <c r="Y108" s="198" t="s">
        <v>240</v>
      </c>
      <c r="Z108" s="188"/>
      <c r="AA108" s="188"/>
      <c r="AB108" s="188"/>
      <c r="AC108" s="188"/>
      <c r="AD108" s="188"/>
      <c r="AE108" s="188"/>
      <c r="AF108" s="198" t="s">
        <v>728</v>
      </c>
      <c r="AH108" s="188"/>
      <c r="AI108" s="188"/>
      <c r="AJ108" s="188"/>
      <c r="AK108" s="158"/>
    </row>
    <row r="109" spans="1:46" ht="15" hidden="1" customHeight="1" x14ac:dyDescent="0.2">
      <c r="A109" s="118"/>
      <c r="B109" s="1770"/>
      <c r="C109" s="1770"/>
      <c r="D109" s="1770"/>
      <c r="E109" s="1770"/>
      <c r="F109" s="1770"/>
      <c r="G109" s="1770"/>
      <c r="H109" s="1770"/>
      <c r="I109" s="1770"/>
      <c r="J109" s="70"/>
      <c r="K109" s="70"/>
      <c r="L109" s="70"/>
      <c r="M109" s="70"/>
      <c r="N109" s="501"/>
      <c r="O109" s="70"/>
      <c r="P109" s="70"/>
      <c r="Q109" s="70"/>
      <c r="R109" s="10"/>
      <c r="S109" s="70"/>
      <c r="T109" s="70"/>
      <c r="U109" s="70"/>
      <c r="V109" s="117"/>
      <c r="W109" s="137"/>
      <c r="X109" s="150"/>
      <c r="Y109" s="74"/>
      <c r="Z109" s="789" t="str">
        <f>Sheet1!$D$27</f>
        <v>2015-16</v>
      </c>
      <c r="AA109" s="790" t="str">
        <f>Sheet1!$E$27</f>
        <v>2016-17</v>
      </c>
      <c r="AB109" s="790" t="str">
        <f>Sheet1!$F$27</f>
        <v>2017-18</v>
      </c>
      <c r="AC109" s="790" t="str">
        <f>Sheet1!$G$27</f>
        <v>2018-19</v>
      </c>
      <c r="AD109" s="791" t="str">
        <f>Sheet1!$H$27</f>
        <v>2019-20</v>
      </c>
      <c r="AF109" s="789" t="str">
        <f>Sheet1!$D$27</f>
        <v>2015-16</v>
      </c>
      <c r="AG109" s="790" t="str">
        <f>Sheet1!$E$27</f>
        <v>2016-17</v>
      </c>
      <c r="AH109" s="790" t="str">
        <f>Sheet1!$F$27</f>
        <v>2017-18</v>
      </c>
      <c r="AI109" s="790" t="str">
        <f>Sheet1!$G$27</f>
        <v>2018-19</v>
      </c>
      <c r="AJ109" s="791" t="str">
        <f>Sheet1!$H$27</f>
        <v>2019-20</v>
      </c>
      <c r="AK109" s="157"/>
    </row>
    <row r="110" spans="1:46" ht="13.5" hidden="1" customHeight="1" x14ac:dyDescent="0.2">
      <c r="A110" s="278"/>
      <c r="B110" s="1791" t="s">
        <v>205</v>
      </c>
      <c r="C110" s="778"/>
      <c r="D110" s="789" t="str">
        <f>Sheet1!$D$27</f>
        <v>2015-16</v>
      </c>
      <c r="E110" s="790" t="str">
        <f>Sheet1!$E$27</f>
        <v>2016-17</v>
      </c>
      <c r="F110" s="790" t="str">
        <f>Sheet1!$F$27</f>
        <v>2017-18</v>
      </c>
      <c r="G110" s="790" t="str">
        <f>Sheet1!$G$27</f>
        <v>2018-19</v>
      </c>
      <c r="H110" s="791" t="str">
        <f>Sheet1!$H$27</f>
        <v>2019-20</v>
      </c>
      <c r="I110" s="778"/>
      <c r="J110" s="70"/>
      <c r="K110" s="70"/>
      <c r="L110" s="70"/>
      <c r="M110" s="70"/>
      <c r="N110" s="775"/>
      <c r="O110" s="70"/>
      <c r="P110" s="70"/>
      <c r="Q110" s="70"/>
      <c r="R110" s="10"/>
      <c r="S110" s="70"/>
      <c r="T110" s="70"/>
      <c r="U110" s="70"/>
      <c r="V110" s="117"/>
      <c r="W110" s="137"/>
      <c r="X110" s="150"/>
      <c r="Y110" s="74"/>
      <c r="Z110" s="792" t="e">
        <f>Sheet1!$D$28</f>
        <v>#N/A</v>
      </c>
      <c r="AA110" s="792" t="e">
        <f>Sheet1!$E$28</f>
        <v>#N/A</v>
      </c>
      <c r="AB110" s="792" t="e">
        <f>Sheet1!$F$28</f>
        <v>#N/A</v>
      </c>
      <c r="AC110" s="792" t="e">
        <f>Sheet1!$G$28</f>
        <v>#N/A</v>
      </c>
      <c r="AD110" s="793" t="e">
        <f>Sheet1!$H$28</f>
        <v>#N/A</v>
      </c>
      <c r="AF110" s="792" t="e">
        <f>Sheet1!$D$28</f>
        <v>#N/A</v>
      </c>
      <c r="AG110" s="792" t="e">
        <f>Sheet1!$E$28</f>
        <v>#N/A</v>
      </c>
      <c r="AH110" s="792" t="e">
        <f>Sheet1!$F$28</f>
        <v>#N/A</v>
      </c>
      <c r="AI110" s="792" t="e">
        <f>Sheet1!$G$28</f>
        <v>#N/A</v>
      </c>
      <c r="AJ110" s="793" t="e">
        <f>Sheet1!$H$28</f>
        <v>#N/A</v>
      </c>
      <c r="AK110" s="157"/>
    </row>
    <row r="111" spans="1:46" s="87" customFormat="1" ht="13.5" hidden="1" customHeight="1" x14ac:dyDescent="0.2">
      <c r="A111" s="121"/>
      <c r="B111" s="1792"/>
      <c r="C111" s="85"/>
      <c r="D111" s="792" t="e">
        <f>Sheet1!$D$28</f>
        <v>#N/A</v>
      </c>
      <c r="E111" s="792" t="e">
        <f>Sheet1!$E$28</f>
        <v>#N/A</v>
      </c>
      <c r="F111" s="792" t="e">
        <f>Sheet1!$F$28</f>
        <v>#N/A</v>
      </c>
      <c r="G111" s="792" t="e">
        <f>Sheet1!$G$28</f>
        <v>#N/A</v>
      </c>
      <c r="H111" s="793" t="e">
        <f>Sheet1!$H$28</f>
        <v>#N/A</v>
      </c>
      <c r="I111" s="96"/>
      <c r="J111" s="96"/>
      <c r="K111" s="61"/>
      <c r="L111" s="61"/>
      <c r="M111" s="61"/>
      <c r="N111" s="61"/>
      <c r="O111" s="61"/>
      <c r="P111" s="61"/>
      <c r="Q111" s="503"/>
      <c r="R111" s="503"/>
      <c r="S111" s="159"/>
      <c r="T111" s="159"/>
      <c r="U111" s="504"/>
      <c r="V111" s="122"/>
      <c r="W111" s="139"/>
      <c r="X111" s="152"/>
      <c r="Y111" s="45" t="str">
        <f t="shared" ref="Y111:Y134" si="26">B112</f>
        <v>Bracknell Forest</v>
      </c>
      <c r="Z111" s="41" t="str">
        <f>IF(Year1_Bracknell_Forest Year1_ReferralsPriorEH="","",Year1_Bracknell_Forest Year1_ReferralsPriorEH)</f>
        <v/>
      </c>
      <c r="AA111" s="41" t="str">
        <f>IF(Year2_Bracknell_Forest Year2_ReferralsPriorEH="","",Year2_Bracknell_Forest Year2_ReferralsPriorEH)</f>
        <v/>
      </c>
      <c r="AB111" s="41" t="str">
        <f>IF(Year3_Bracknell_Forest Year3_ReferralsPriorEH="","",Year3_Bracknell_Forest Year3_ReferralsPriorEH)</f>
        <v/>
      </c>
      <c r="AC111" s="41" t="str">
        <f>IF(Year4_Bracknell_Forest Year4_ReferralsPriorEH="","",Year4_Bracknell_Forest Year4_ReferralsPriorEH)</f>
        <v/>
      </c>
      <c r="AD111" s="41" t="str">
        <f>IF(Year5_Bracknell_Forest Year5_ReferralsPriorEH="","",Year5_Bracknell_Forest Year5_ReferralsPriorEH)</f>
        <v/>
      </c>
      <c r="AE111" s="199"/>
      <c r="AF111" s="190">
        <f>IF(ISNUMBER(Z111),D10,0)</f>
        <v>0</v>
      </c>
      <c r="AG111" s="190">
        <f t="shared" ref="AG111:AJ111" si="27">IF(ISNUMBER(AA111),E10,0)</f>
        <v>0</v>
      </c>
      <c r="AH111" s="190">
        <f t="shared" si="27"/>
        <v>0</v>
      </c>
      <c r="AI111" s="190">
        <f t="shared" si="27"/>
        <v>0</v>
      </c>
      <c r="AJ111" s="190">
        <f t="shared" si="27"/>
        <v>0</v>
      </c>
      <c r="AK111" s="160"/>
    </row>
    <row r="112" spans="1:46" s="87" customFormat="1" ht="12.75" hidden="1" customHeight="1" x14ac:dyDescent="0.2">
      <c r="A112" s="488">
        <f>VLOOKUP(B112,Sheet1!$AQ$4:$AR$25,2,FALSE)</f>
        <v>0</v>
      </c>
      <c r="B112" s="93" t="str">
        <f t="shared" ref="B112:B135" si="28">B10</f>
        <v>Bracknell Forest</v>
      </c>
      <c r="C112" s="85"/>
      <c r="D112" s="162" t="e">
        <f>IF(AND(ISNUMBER(Z111),ISNUMBER(AF111)),Z111/AF111,NA())</f>
        <v>#N/A</v>
      </c>
      <c r="E112" s="162" t="e">
        <f t="shared" ref="E112:H112" si="29">IF(AND(ISNUMBER(AA111),ISNUMBER(AG111)),AA111/AG111,NA())</f>
        <v>#N/A</v>
      </c>
      <c r="F112" s="162" t="e">
        <f t="shared" si="29"/>
        <v>#N/A</v>
      </c>
      <c r="G112" s="162" t="e">
        <f t="shared" si="29"/>
        <v>#N/A</v>
      </c>
      <c r="H112" s="560" t="e">
        <f t="shared" si="29"/>
        <v>#N/A</v>
      </c>
      <c r="I112" s="96"/>
      <c r="J112" s="96"/>
      <c r="K112" s="166"/>
      <c r="L112" s="166"/>
      <c r="M112" s="166"/>
      <c r="N112" s="166"/>
      <c r="O112" s="166"/>
      <c r="P112" s="166"/>
      <c r="Q112" s="166"/>
      <c r="R112" s="167"/>
      <c r="S112" s="159"/>
      <c r="T112" s="159"/>
      <c r="U112" s="166"/>
      <c r="V112" s="122"/>
      <c r="W112" s="139"/>
      <c r="X112" s="152"/>
      <c r="Y112" s="45" t="str">
        <f t="shared" si="26"/>
        <v>Brighton &amp; Hove</v>
      </c>
      <c r="Z112" s="41" t="str">
        <f>IF(Year1_Brighton_Hove Year1_ReferralsPriorEH="","",Year1_Brighton_Hove Year1_ReferralsPriorEH)</f>
        <v/>
      </c>
      <c r="AA112" s="41" t="str">
        <f>IF(Year2_Brighton_Hove Year2_ReferralsPriorEH="","",Year2_Brighton_Hove Year2_ReferralsPriorEH)</f>
        <v/>
      </c>
      <c r="AB112" s="41" t="str">
        <f>IF(Year3_Brighton_Hove Year3_ReferralsPriorEH="","",Year3_Brighton_Hove Year3_ReferralsPriorEH)</f>
        <v/>
      </c>
      <c r="AC112" s="41" t="str">
        <f>IF(Year4_Brighton_Hove Year4_ReferralsPriorEH="","",Year4_Brighton_Hove Year4_ReferralsPriorEH)</f>
        <v/>
      </c>
      <c r="AD112" s="41" t="str">
        <f>IF(Year5_Brighton_Hove Year5_ReferralsPriorEH="","",Year5_Brighton_Hove Year5_ReferralsPriorEH)</f>
        <v/>
      </c>
      <c r="AE112" s="199"/>
      <c r="AF112" s="190">
        <f t="shared" ref="AF112:AF132" si="30">IF(ISNUMBER(Z112),D11,0)</f>
        <v>0</v>
      </c>
      <c r="AG112" s="190">
        <f t="shared" ref="AG112:AG132" si="31">IF(ISNUMBER(AA112),E11,0)</f>
        <v>0</v>
      </c>
      <c r="AH112" s="190">
        <f t="shared" ref="AH112:AH132" si="32">IF(ISNUMBER(AB112),F11,0)</f>
        <v>0</v>
      </c>
      <c r="AI112" s="190">
        <f t="shared" ref="AI112:AI132" si="33">IF(ISNUMBER(AC112),G11,0)</f>
        <v>0</v>
      </c>
      <c r="AJ112" s="190">
        <f t="shared" ref="AJ112:AJ132" si="34">IF(ISNUMBER(AD112),H11,0)</f>
        <v>0</v>
      </c>
      <c r="AK112" s="160"/>
    </row>
    <row r="113" spans="1:45" s="87" customFormat="1" ht="12.75" hidden="1" customHeight="1" x14ac:dyDescent="0.2">
      <c r="A113" s="488">
        <f>VLOOKUP(B113,Sheet1!$AQ$4:$AR$25,2,FALSE)</f>
        <v>0</v>
      </c>
      <c r="B113" s="93" t="str">
        <f t="shared" si="28"/>
        <v>Brighton &amp; Hove</v>
      </c>
      <c r="C113" s="85"/>
      <c r="D113" s="162" t="e">
        <f t="shared" ref="D113:D135" si="35">IF(AND(ISNUMBER(Z112),ISNUMBER(AF112)),Z112/AF112,NA())</f>
        <v>#N/A</v>
      </c>
      <c r="E113" s="162" t="e">
        <f t="shared" ref="E113:E135" si="36">IF(AND(ISNUMBER(AA112),ISNUMBER(AG112)),AA112/AG112,NA())</f>
        <v>#N/A</v>
      </c>
      <c r="F113" s="162" t="e">
        <f t="shared" ref="F113:F135" si="37">IF(AND(ISNUMBER(AB112),ISNUMBER(AH112)),AB112/AH112,NA())</f>
        <v>#N/A</v>
      </c>
      <c r="G113" s="162" t="e">
        <f t="shared" ref="G113:G135" si="38">IF(AND(ISNUMBER(AC112),ISNUMBER(AI112)),AC112/AI112,NA())</f>
        <v>#N/A</v>
      </c>
      <c r="H113" s="560" t="e">
        <f t="shared" ref="H113:H135" si="39">IF(AND(ISNUMBER(AD112),ISNUMBER(AJ112)),AD112/AJ112,NA())</f>
        <v>#N/A</v>
      </c>
      <c r="I113" s="96"/>
      <c r="J113" s="96"/>
      <c r="K113" s="166"/>
      <c r="L113" s="166"/>
      <c r="M113" s="166"/>
      <c r="N113" s="166"/>
      <c r="O113" s="166"/>
      <c r="P113" s="166"/>
      <c r="Q113" s="166"/>
      <c r="R113" s="167"/>
      <c r="S113" s="159"/>
      <c r="T113" s="159"/>
      <c r="U113" s="166"/>
      <c r="V113" s="122"/>
      <c r="W113" s="139"/>
      <c r="X113" s="152"/>
      <c r="Y113" s="45" t="str">
        <f t="shared" si="26"/>
        <v>Buckinghamshire</v>
      </c>
      <c r="Z113" s="41" t="str">
        <f>IF(Year1_Buckinghamshire Year1_ReferralsPriorEH="","",Year1_Buckinghamshire Year1_ReferralsPriorEH)</f>
        <v/>
      </c>
      <c r="AA113" s="41" t="str">
        <f>IF(Year2_Buckinghamshire Year2_ReferralsPriorEH="","",Year2_Buckinghamshire Year2_ReferralsPriorEH)</f>
        <v/>
      </c>
      <c r="AB113" s="41" t="str">
        <f>IF(Year3_Buckinghamshire Year3_ReferralsPriorEH="","",Year3_Buckinghamshire Year3_ReferralsPriorEH)</f>
        <v/>
      </c>
      <c r="AC113" s="41" t="str">
        <f>IF(Year4_Buckinghamshire Year4_ReferralsPriorEH="","",Year4_Buckinghamshire Year4_ReferralsPriorEH)</f>
        <v/>
      </c>
      <c r="AD113" s="41" t="str">
        <f>IF(Year5_Buckinghamshire Year5_ReferralsPriorEH="","",Year5_Buckinghamshire Year5_ReferralsPriorEH)</f>
        <v/>
      </c>
      <c r="AE113" s="199"/>
      <c r="AF113" s="190">
        <f t="shared" si="30"/>
        <v>0</v>
      </c>
      <c r="AG113" s="190">
        <f t="shared" si="31"/>
        <v>0</v>
      </c>
      <c r="AH113" s="190">
        <f t="shared" si="32"/>
        <v>0</v>
      </c>
      <c r="AI113" s="190">
        <f t="shared" si="33"/>
        <v>0</v>
      </c>
      <c r="AJ113" s="190">
        <f t="shared" si="34"/>
        <v>0</v>
      </c>
      <c r="AK113" s="160"/>
    </row>
    <row r="114" spans="1:45" s="87" customFormat="1" ht="12.75" hidden="1" customHeight="1" x14ac:dyDescent="0.2">
      <c r="A114" s="488">
        <f>VLOOKUP(B114,Sheet1!$AQ$4:$AR$25,2,FALSE)</f>
        <v>0</v>
      </c>
      <c r="B114" s="93" t="str">
        <f t="shared" si="28"/>
        <v>Buckinghamshire</v>
      </c>
      <c r="C114" s="85"/>
      <c r="D114" s="162" t="e">
        <f t="shared" si="35"/>
        <v>#N/A</v>
      </c>
      <c r="E114" s="162" t="e">
        <f t="shared" si="36"/>
        <v>#N/A</v>
      </c>
      <c r="F114" s="162" t="e">
        <f t="shared" si="37"/>
        <v>#N/A</v>
      </c>
      <c r="G114" s="162" t="e">
        <f t="shared" si="38"/>
        <v>#N/A</v>
      </c>
      <c r="H114" s="560" t="e">
        <f t="shared" si="39"/>
        <v>#N/A</v>
      </c>
      <c r="I114" s="96"/>
      <c r="J114" s="96"/>
      <c r="K114" s="166"/>
      <c r="L114" s="166"/>
      <c r="M114" s="166"/>
      <c r="N114" s="166"/>
      <c r="O114" s="166"/>
      <c r="P114" s="166"/>
      <c r="Q114" s="166"/>
      <c r="R114" s="167"/>
      <c r="S114" s="159"/>
      <c r="T114" s="159"/>
      <c r="U114" s="166"/>
      <c r="V114" s="122"/>
      <c r="W114" s="139"/>
      <c r="X114" s="152"/>
      <c r="Y114" s="45" t="str">
        <f t="shared" si="26"/>
        <v>East Sussex</v>
      </c>
      <c r="Z114" s="41" t="str">
        <f>IF(Year1_East_Sussex Year1_ReferralsPriorEH="","",Year1_East_Sussex Year1_ReferralsPriorEH)</f>
        <v/>
      </c>
      <c r="AA114" s="41" t="str">
        <f>IF(Year2_East_Sussex Year2_ReferralsPriorEH="","",Year2_East_Sussex Year2_ReferralsPriorEH)</f>
        <v/>
      </c>
      <c r="AB114" s="41" t="str">
        <f>IF(Year3_East_Sussex Year3_ReferralsPriorEH="","",Year3_East_Sussex Year3_ReferralsPriorEH)</f>
        <v/>
      </c>
      <c r="AC114" s="41" t="str">
        <f>IF(Year4_East_Sussex Year4_ReferralsPriorEH="","",Year4_East_Sussex Year4_ReferralsPriorEH)</f>
        <v/>
      </c>
      <c r="AD114" s="41" t="str">
        <f>IF(Year5_East_Sussex Year5_ReferralsPriorEH="","",Year5_East_Sussex Year5_ReferralsPriorEH)</f>
        <v/>
      </c>
      <c r="AE114" s="199"/>
      <c r="AF114" s="190">
        <f t="shared" si="30"/>
        <v>0</v>
      </c>
      <c r="AG114" s="190">
        <f t="shared" si="31"/>
        <v>0</v>
      </c>
      <c r="AH114" s="190">
        <f t="shared" si="32"/>
        <v>0</v>
      </c>
      <c r="AI114" s="190">
        <f t="shared" si="33"/>
        <v>0</v>
      </c>
      <c r="AJ114" s="190">
        <f t="shared" si="34"/>
        <v>0</v>
      </c>
      <c r="AK114" s="160"/>
    </row>
    <row r="115" spans="1:45" s="87" customFormat="1" ht="12.75" hidden="1" customHeight="1" x14ac:dyDescent="0.2">
      <c r="A115" s="488">
        <f>VLOOKUP(B115,Sheet1!$AQ$4:$AR$25,2,FALSE)</f>
        <v>0</v>
      </c>
      <c r="B115" s="93" t="str">
        <f t="shared" si="28"/>
        <v>East Sussex</v>
      </c>
      <c r="C115" s="85"/>
      <c r="D115" s="162" t="e">
        <f t="shared" si="35"/>
        <v>#N/A</v>
      </c>
      <c r="E115" s="162" t="e">
        <f t="shared" si="36"/>
        <v>#N/A</v>
      </c>
      <c r="F115" s="162" t="e">
        <f t="shared" si="37"/>
        <v>#N/A</v>
      </c>
      <c r="G115" s="162" t="e">
        <f t="shared" si="38"/>
        <v>#N/A</v>
      </c>
      <c r="H115" s="560" t="e">
        <f t="shared" si="39"/>
        <v>#N/A</v>
      </c>
      <c r="I115" s="96"/>
      <c r="J115" s="96"/>
      <c r="K115" s="166"/>
      <c r="L115" s="166"/>
      <c r="M115" s="166"/>
      <c r="N115" s="166"/>
      <c r="O115" s="166"/>
      <c r="P115" s="166"/>
      <c r="Q115" s="166"/>
      <c r="R115" s="167"/>
      <c r="S115" s="159"/>
      <c r="T115" s="159"/>
      <c r="U115" s="166"/>
      <c r="V115" s="122"/>
      <c r="W115" s="139"/>
      <c r="X115" s="152"/>
      <c r="Y115" s="45" t="str">
        <f t="shared" si="26"/>
        <v>Hampshire</v>
      </c>
      <c r="Z115" s="41" t="str">
        <f>IF(Year1_Hampshire Year1_ReferralsPriorEH="","",Year1_Hampshire Year1_ReferralsPriorEH)</f>
        <v/>
      </c>
      <c r="AA115" s="41" t="str">
        <f>IF(Year2_Hampshire Year2_ReferralsPriorEH="","",Year2_Hampshire Year2_ReferralsPriorEH)</f>
        <v/>
      </c>
      <c r="AB115" s="41" t="str">
        <f>IF(Year3_Hampshire Year3_ReferralsPriorEH="","",Year3_Hampshire Year3_ReferralsPriorEH)</f>
        <v/>
      </c>
      <c r="AC115" s="41" t="str">
        <f>IF(Year4_Hampshire Year4_ReferralsPriorEH="","",Year4_Hampshire Year4_ReferralsPriorEH)</f>
        <v/>
      </c>
      <c r="AD115" s="41" t="str">
        <f>IF(Year5_Hampshire Year5_ReferralsPriorEH="","",Year5_Hampshire Year5_ReferralsPriorEH)</f>
        <v/>
      </c>
      <c r="AE115" s="199"/>
      <c r="AF115" s="190">
        <f t="shared" si="30"/>
        <v>0</v>
      </c>
      <c r="AG115" s="190">
        <f t="shared" si="31"/>
        <v>0</v>
      </c>
      <c r="AH115" s="190">
        <f t="shared" si="32"/>
        <v>0</v>
      </c>
      <c r="AI115" s="190">
        <f t="shared" si="33"/>
        <v>0</v>
      </c>
      <c r="AJ115" s="190">
        <f t="shared" si="34"/>
        <v>0</v>
      </c>
      <c r="AK115" s="160"/>
    </row>
    <row r="116" spans="1:45" s="87" customFormat="1" ht="12.75" hidden="1" customHeight="1" x14ac:dyDescent="0.2">
      <c r="A116" s="488">
        <f>VLOOKUP(B116,Sheet1!$AQ$4:$AR$25,2,FALSE)</f>
        <v>0</v>
      </c>
      <c r="B116" s="93" t="str">
        <f t="shared" si="28"/>
        <v>Hampshire</v>
      </c>
      <c r="C116" s="85"/>
      <c r="D116" s="162" t="e">
        <f t="shared" si="35"/>
        <v>#N/A</v>
      </c>
      <c r="E116" s="162" t="e">
        <f t="shared" si="36"/>
        <v>#N/A</v>
      </c>
      <c r="F116" s="162" t="e">
        <f t="shared" si="37"/>
        <v>#N/A</v>
      </c>
      <c r="G116" s="162" t="e">
        <f t="shared" si="38"/>
        <v>#N/A</v>
      </c>
      <c r="H116" s="560" t="e">
        <f t="shared" si="39"/>
        <v>#N/A</v>
      </c>
      <c r="I116" s="96"/>
      <c r="J116" s="96"/>
      <c r="K116" s="166"/>
      <c r="L116" s="166"/>
      <c r="M116" s="166"/>
      <c r="N116" s="166"/>
      <c r="O116" s="166"/>
      <c r="P116" s="166"/>
      <c r="Q116" s="166"/>
      <c r="R116" s="167"/>
      <c r="S116" s="159"/>
      <c r="T116" s="159"/>
      <c r="U116" s="166"/>
      <c r="V116" s="122"/>
      <c r="W116" s="139"/>
      <c r="X116" s="152"/>
      <c r="Y116" s="45" t="str">
        <f t="shared" si="26"/>
        <v>Isle of Wight</v>
      </c>
      <c r="Z116" s="41" t="str">
        <f>IF(Year1_Isle_of_Wight Year1_ReferralsPriorEH="","",Year1_Isle_of_Wight Year1_ReferralsPriorEH)</f>
        <v/>
      </c>
      <c r="AA116" s="41" t="str">
        <f>IF(Year2_Isle_of_Wight Year2_ReferralsPriorEH="","",Year2_Isle_of_Wight Year2_ReferralsPriorEH)</f>
        <v/>
      </c>
      <c r="AB116" s="41" t="str">
        <f>IF(Year3_Isle_of_Wight Year3_ReferralsPriorEH="","",Year3_Isle_of_Wight Year3_ReferralsPriorEH)</f>
        <v/>
      </c>
      <c r="AC116" s="41" t="str">
        <f>IF(Year4_Isle_of_Wight Year4_ReferralsPriorEH="","",Year4_Isle_of_Wight Year4_ReferralsPriorEH)</f>
        <v/>
      </c>
      <c r="AD116" s="41" t="str">
        <f>IF(Year5_Isle_of_Wight Year5_ReferralsPriorEH="","",Year5_Isle_of_Wight Year5_ReferralsPriorEH)</f>
        <v/>
      </c>
      <c r="AE116" s="199"/>
      <c r="AF116" s="190">
        <f t="shared" si="30"/>
        <v>0</v>
      </c>
      <c r="AG116" s="190">
        <f t="shared" si="31"/>
        <v>0</v>
      </c>
      <c r="AH116" s="190">
        <f t="shared" si="32"/>
        <v>0</v>
      </c>
      <c r="AI116" s="190">
        <f t="shared" si="33"/>
        <v>0</v>
      </c>
      <c r="AJ116" s="190">
        <f t="shared" si="34"/>
        <v>0</v>
      </c>
      <c r="AK116" s="160"/>
    </row>
    <row r="117" spans="1:45" s="87" customFormat="1" ht="12.75" hidden="1" customHeight="1" x14ac:dyDescent="0.2">
      <c r="A117" s="488">
        <f>VLOOKUP(B117,Sheet1!$AQ$4:$AR$25,2,FALSE)</f>
        <v>0</v>
      </c>
      <c r="B117" s="93" t="str">
        <f t="shared" si="28"/>
        <v>Isle of Wight</v>
      </c>
      <c r="C117" s="85"/>
      <c r="D117" s="162" t="e">
        <f t="shared" si="35"/>
        <v>#N/A</v>
      </c>
      <c r="E117" s="162" t="e">
        <f t="shared" si="36"/>
        <v>#N/A</v>
      </c>
      <c r="F117" s="162" t="e">
        <f t="shared" si="37"/>
        <v>#N/A</v>
      </c>
      <c r="G117" s="162" t="e">
        <f t="shared" si="38"/>
        <v>#N/A</v>
      </c>
      <c r="H117" s="560" t="e">
        <f t="shared" si="39"/>
        <v>#N/A</v>
      </c>
      <c r="I117" s="96"/>
      <c r="J117" s="96"/>
      <c r="K117" s="166"/>
      <c r="L117" s="166"/>
      <c r="M117" s="166"/>
      <c r="N117" s="166"/>
      <c r="O117" s="166"/>
      <c r="P117" s="166"/>
      <c r="Q117" s="166"/>
      <c r="R117" s="167"/>
      <c r="S117" s="159"/>
      <c r="T117" s="159"/>
      <c r="U117" s="166"/>
      <c r="V117" s="122"/>
      <c r="W117" s="139"/>
      <c r="X117" s="152"/>
      <c r="Y117" s="45" t="str">
        <f t="shared" si="26"/>
        <v>Kent</v>
      </c>
      <c r="Z117" s="41" t="str">
        <f>IF(Year1_Kent Year1_ReferralsPriorEH="","",Year1_Kent Year1_ReferralsPriorEH)</f>
        <v/>
      </c>
      <c r="AA117" s="41" t="str">
        <f>IF(Year2_Kent Year2_ReferralsPriorEH="","",Year2_Kent Year2_ReferralsPriorEH)</f>
        <v/>
      </c>
      <c r="AB117" s="41" t="str">
        <f>IF(Year3_Kent Year3_ReferralsPriorEH="","",Year3_Kent Year3_ReferralsPriorEH)</f>
        <v/>
      </c>
      <c r="AC117" s="41" t="str">
        <f>IF(Year4_Kent Year4_ReferralsPriorEH="","",Year4_Kent Year4_ReferralsPriorEH)</f>
        <v/>
      </c>
      <c r="AD117" s="41" t="str">
        <f>IF(Year5_Kent Year5_ReferralsPriorEH="","",Year5_Kent Year5_ReferralsPriorEH)</f>
        <v/>
      </c>
      <c r="AE117" s="199"/>
      <c r="AF117" s="190">
        <f t="shared" si="30"/>
        <v>0</v>
      </c>
      <c r="AG117" s="190">
        <f t="shared" si="31"/>
        <v>0</v>
      </c>
      <c r="AH117" s="190">
        <f t="shared" si="32"/>
        <v>0</v>
      </c>
      <c r="AI117" s="190">
        <f t="shared" si="33"/>
        <v>0</v>
      </c>
      <c r="AJ117" s="190">
        <f t="shared" si="34"/>
        <v>0</v>
      </c>
      <c r="AK117" s="160"/>
      <c r="AS117" s="87" t="s">
        <v>102</v>
      </c>
    </row>
    <row r="118" spans="1:45" s="87" customFormat="1" ht="12.75" hidden="1" customHeight="1" x14ac:dyDescent="0.2">
      <c r="A118" s="488">
        <f>VLOOKUP(B118,Sheet1!$AQ$4:$AR$25,2,FALSE)</f>
        <v>0</v>
      </c>
      <c r="B118" s="93" t="str">
        <f t="shared" si="28"/>
        <v>Kent</v>
      </c>
      <c r="C118" s="85"/>
      <c r="D118" s="162" t="e">
        <f t="shared" si="35"/>
        <v>#N/A</v>
      </c>
      <c r="E118" s="162" t="e">
        <f t="shared" si="36"/>
        <v>#N/A</v>
      </c>
      <c r="F118" s="162" t="e">
        <f t="shared" si="37"/>
        <v>#N/A</v>
      </c>
      <c r="G118" s="162" t="e">
        <f t="shared" si="38"/>
        <v>#N/A</v>
      </c>
      <c r="H118" s="560" t="e">
        <f t="shared" si="39"/>
        <v>#N/A</v>
      </c>
      <c r="I118" s="96"/>
      <c r="J118" s="96"/>
      <c r="K118" s="166"/>
      <c r="L118" s="166"/>
      <c r="M118" s="166"/>
      <c r="N118" s="166"/>
      <c r="O118" s="166"/>
      <c r="P118" s="166"/>
      <c r="Q118" s="166"/>
      <c r="R118" s="167"/>
      <c r="S118" s="159"/>
      <c r="T118" s="159"/>
      <c r="U118" s="166"/>
      <c r="V118" s="122"/>
      <c r="W118" s="139"/>
      <c r="X118" s="152"/>
      <c r="Y118" s="45" t="str">
        <f t="shared" si="26"/>
        <v>Medway</v>
      </c>
      <c r="Z118" s="41" t="str">
        <f>IF(Year1_Medway Year1_ReferralsPriorEH="","",Year1_Medway Year1_ReferralsPriorEH)</f>
        <v/>
      </c>
      <c r="AA118" s="41" t="str">
        <f>IF(Year2_Medway Year2_ReferralsPriorEH="","",Year2_Medway Year2_ReferralsPriorEH)</f>
        <v/>
      </c>
      <c r="AB118" s="41" t="str">
        <f>IF(Year3_Medway Year3_ReferralsPriorEH="","",Year3_Medway Year3_ReferralsPriorEH)</f>
        <v/>
      </c>
      <c r="AC118" s="41" t="str">
        <f>IF(Year4_Medway Year4_ReferralsPriorEH="","",Year4_Medway Year4_ReferralsPriorEH)</f>
        <v/>
      </c>
      <c r="AD118" s="41" t="str">
        <f>IF(Year5_Medway Year5_ReferralsPriorEH="","",Year5_Medway Year5_ReferralsPriorEH)</f>
        <v/>
      </c>
      <c r="AE118" s="199"/>
      <c r="AF118" s="190">
        <f t="shared" si="30"/>
        <v>0</v>
      </c>
      <c r="AG118" s="190">
        <f t="shared" si="31"/>
        <v>0</v>
      </c>
      <c r="AH118" s="190">
        <f t="shared" si="32"/>
        <v>0</v>
      </c>
      <c r="AI118" s="190">
        <f t="shared" si="33"/>
        <v>0</v>
      </c>
      <c r="AJ118" s="190">
        <f t="shared" si="34"/>
        <v>0</v>
      </c>
      <c r="AK118" s="160"/>
    </row>
    <row r="119" spans="1:45" s="87" customFormat="1" ht="12.75" hidden="1" customHeight="1" x14ac:dyDescent="0.2">
      <c r="A119" s="488">
        <f>VLOOKUP(B119,Sheet1!$AQ$4:$AR$25,2,FALSE)</f>
        <v>0</v>
      </c>
      <c r="B119" s="93" t="str">
        <f t="shared" si="28"/>
        <v>Medway</v>
      </c>
      <c r="C119" s="85"/>
      <c r="D119" s="162" t="e">
        <f t="shared" si="35"/>
        <v>#N/A</v>
      </c>
      <c r="E119" s="162" t="e">
        <f t="shared" si="36"/>
        <v>#N/A</v>
      </c>
      <c r="F119" s="162" t="e">
        <f t="shared" si="37"/>
        <v>#N/A</v>
      </c>
      <c r="G119" s="162" t="e">
        <f t="shared" si="38"/>
        <v>#N/A</v>
      </c>
      <c r="H119" s="560" t="e">
        <f t="shared" si="39"/>
        <v>#N/A</v>
      </c>
      <c r="I119" s="96"/>
      <c r="J119" s="96"/>
      <c r="K119" s="166"/>
      <c r="L119" s="166"/>
      <c r="M119" s="166"/>
      <c r="N119" s="166"/>
      <c r="O119" s="166"/>
      <c r="P119" s="166"/>
      <c r="Q119" s="166"/>
      <c r="R119" s="167"/>
      <c r="S119" s="159"/>
      <c r="T119" s="159"/>
      <c r="U119" s="166"/>
      <c r="V119" s="122"/>
      <c r="W119" s="139"/>
      <c r="X119" s="152"/>
      <c r="Y119" s="45" t="str">
        <f t="shared" si="26"/>
        <v>Milton Keynes</v>
      </c>
      <c r="Z119" s="41" t="str">
        <f>IF(Year1_Milton_Keynes Year1_ReferralsPriorEH="","",Year1_Milton_Keynes Year1_ReferralsPriorEH)</f>
        <v/>
      </c>
      <c r="AA119" s="41" t="str">
        <f>IF(Year2_Milton_Keynes Year2_ReferralsPriorEH="","",Year2_Milton_Keynes Year2_ReferralsPriorEH)</f>
        <v/>
      </c>
      <c r="AB119" s="41" t="str">
        <f>IF(Year3_Milton_Keynes Year3_ReferralsPriorEH="","",Year3_Milton_Keynes Year3_ReferralsPriorEH)</f>
        <v/>
      </c>
      <c r="AC119" s="41" t="str">
        <f>IF(Year4_Milton_Keynes Year4_ReferralsPriorEH="","",Year4_Milton_Keynes Year4_ReferralsPriorEH)</f>
        <v/>
      </c>
      <c r="AD119" s="41" t="str">
        <f>IF(Year5_Milton_Keynes Year5_ReferralsPriorEH="","",Year5_Milton_Keynes Year5_ReferralsPriorEH)</f>
        <v/>
      </c>
      <c r="AE119" s="199"/>
      <c r="AF119" s="190">
        <f t="shared" si="30"/>
        <v>0</v>
      </c>
      <c r="AG119" s="190">
        <f t="shared" si="31"/>
        <v>0</v>
      </c>
      <c r="AH119" s="190">
        <f t="shared" si="32"/>
        <v>0</v>
      </c>
      <c r="AI119" s="190">
        <f t="shared" si="33"/>
        <v>0</v>
      </c>
      <c r="AJ119" s="190">
        <f t="shared" si="34"/>
        <v>0</v>
      </c>
      <c r="AK119" s="160"/>
    </row>
    <row r="120" spans="1:45" s="87" customFormat="1" ht="12.75" hidden="1" customHeight="1" x14ac:dyDescent="0.2">
      <c r="A120" s="488">
        <f>VLOOKUP(B120,Sheet1!$AQ$4:$AR$25,2,FALSE)</f>
        <v>0</v>
      </c>
      <c r="B120" s="93" t="str">
        <f t="shared" si="28"/>
        <v>Milton Keynes</v>
      </c>
      <c r="C120" s="85"/>
      <c r="D120" s="162" t="e">
        <f t="shared" si="35"/>
        <v>#N/A</v>
      </c>
      <c r="E120" s="162" t="e">
        <f t="shared" si="36"/>
        <v>#N/A</v>
      </c>
      <c r="F120" s="162" t="e">
        <f t="shared" si="37"/>
        <v>#N/A</v>
      </c>
      <c r="G120" s="162" t="e">
        <f t="shared" si="38"/>
        <v>#N/A</v>
      </c>
      <c r="H120" s="560" t="e">
        <f t="shared" si="39"/>
        <v>#N/A</v>
      </c>
      <c r="I120" s="96"/>
      <c r="J120" s="96"/>
      <c r="K120" s="166"/>
      <c r="L120" s="166"/>
      <c r="M120" s="166"/>
      <c r="N120" s="166"/>
      <c r="O120" s="166"/>
      <c r="P120" s="166"/>
      <c r="Q120" s="166"/>
      <c r="R120" s="167"/>
      <c r="S120" s="159"/>
      <c r="T120" s="159"/>
      <c r="U120" s="166"/>
      <c r="V120" s="122"/>
      <c r="W120" s="139"/>
      <c r="X120" s="152"/>
      <c r="Y120" s="45" t="str">
        <f t="shared" si="26"/>
        <v>Oxfordshire</v>
      </c>
      <c r="Z120" s="41" t="str">
        <f>IF(Year1_Oxfordshire Year1_ReferralsPriorEH="","",Year1_Oxfordshire Year1_ReferralsPriorEH)</f>
        <v/>
      </c>
      <c r="AA120" s="41" t="str">
        <f>IF(Year2_Oxfordshire Year2_ReferralsPriorEH="","",Year2_Oxfordshire Year2_ReferralsPriorEH)</f>
        <v/>
      </c>
      <c r="AB120" s="41" t="str">
        <f>IF(Year3_Oxfordshire Year3_ReferralsPriorEH="","",Year3_Oxfordshire Year3_ReferralsPriorEH)</f>
        <v/>
      </c>
      <c r="AC120" s="41" t="str">
        <f>IF(Year4_Oxfordshire Year4_ReferralsPriorEH="","",Year4_Oxfordshire Year4_ReferralsPriorEH)</f>
        <v/>
      </c>
      <c r="AD120" s="41" t="str">
        <f>IF(Year5_Oxfordshire Year5_ReferralsPriorEH="","",Year5_Oxfordshire Year5_ReferralsPriorEH)</f>
        <v/>
      </c>
      <c r="AE120" s="199"/>
      <c r="AF120" s="190">
        <f t="shared" si="30"/>
        <v>0</v>
      </c>
      <c r="AG120" s="190">
        <f t="shared" si="31"/>
        <v>0</v>
      </c>
      <c r="AH120" s="190">
        <f t="shared" si="32"/>
        <v>0</v>
      </c>
      <c r="AI120" s="190">
        <f t="shared" si="33"/>
        <v>0</v>
      </c>
      <c r="AJ120" s="190">
        <f t="shared" si="34"/>
        <v>0</v>
      </c>
      <c r="AK120" s="160"/>
    </row>
    <row r="121" spans="1:45" s="87" customFormat="1" ht="12.75" hidden="1" customHeight="1" x14ac:dyDescent="0.2">
      <c r="A121" s="488">
        <f>VLOOKUP(B121,Sheet1!$AQ$4:$AR$25,2,FALSE)</f>
        <v>0</v>
      </c>
      <c r="B121" s="93" t="str">
        <f t="shared" si="28"/>
        <v>Oxfordshire</v>
      </c>
      <c r="C121" s="85"/>
      <c r="D121" s="162" t="e">
        <f t="shared" si="35"/>
        <v>#N/A</v>
      </c>
      <c r="E121" s="162" t="e">
        <f t="shared" si="36"/>
        <v>#N/A</v>
      </c>
      <c r="F121" s="162" t="e">
        <f t="shared" si="37"/>
        <v>#N/A</v>
      </c>
      <c r="G121" s="162" t="e">
        <f t="shared" si="38"/>
        <v>#N/A</v>
      </c>
      <c r="H121" s="560" t="e">
        <f t="shared" si="39"/>
        <v>#N/A</v>
      </c>
      <c r="I121" s="96"/>
      <c r="J121" s="96"/>
      <c r="K121" s="166"/>
      <c r="L121" s="166"/>
      <c r="M121" s="166"/>
      <c r="N121" s="166"/>
      <c r="O121" s="166"/>
      <c r="P121" s="166"/>
      <c r="Q121" s="166"/>
      <c r="R121" s="167"/>
      <c r="S121" s="159"/>
      <c r="T121" s="159"/>
      <c r="U121" s="166"/>
      <c r="V121" s="122"/>
      <c r="W121" s="139"/>
      <c r="X121" s="152"/>
      <c r="Y121" s="45" t="str">
        <f t="shared" si="26"/>
        <v>Portsmouth</v>
      </c>
      <c r="Z121" s="41" t="str">
        <f>IF(Year1_Portsmouth Year1_ReferralsPriorEH="","",Year1_Portsmouth Year1_ReferralsPriorEH)</f>
        <v/>
      </c>
      <c r="AA121" s="41" t="str">
        <f>IF(Year2_Portsmouth Year2_ReferralsPriorEH="","",Year2_Portsmouth Year2_ReferralsPriorEH)</f>
        <v/>
      </c>
      <c r="AB121" s="41" t="str">
        <f>IF(Year3_Portsmouth Year3_ReferralsPriorEH="","",Year3_Portsmouth Year3_ReferralsPriorEH)</f>
        <v/>
      </c>
      <c r="AC121" s="41" t="str">
        <f>IF(Year4_Portsmouth Year4_ReferralsPriorEH="","",Year4_Portsmouth Year4_ReferralsPriorEH)</f>
        <v/>
      </c>
      <c r="AD121" s="41" t="str">
        <f>IF(Year5_Portsmouth Year5_ReferralsPriorEH="","",Year5_Portsmouth Year5_ReferralsPriorEH)</f>
        <v/>
      </c>
      <c r="AE121" s="199"/>
      <c r="AF121" s="190">
        <f t="shared" si="30"/>
        <v>0</v>
      </c>
      <c r="AG121" s="190">
        <f t="shared" si="31"/>
        <v>0</v>
      </c>
      <c r="AH121" s="190">
        <f t="shared" si="32"/>
        <v>0</v>
      </c>
      <c r="AI121" s="190">
        <f t="shared" si="33"/>
        <v>0</v>
      </c>
      <c r="AJ121" s="190">
        <f t="shared" si="34"/>
        <v>0</v>
      </c>
      <c r="AK121" s="160"/>
    </row>
    <row r="122" spans="1:45" s="87" customFormat="1" ht="12.75" hidden="1" customHeight="1" x14ac:dyDescent="0.2">
      <c r="A122" s="488">
        <f>VLOOKUP(B122,Sheet1!$AQ$4:$AR$25,2,FALSE)</f>
        <v>0</v>
      </c>
      <c r="B122" s="93" t="str">
        <f t="shared" si="28"/>
        <v>Portsmouth</v>
      </c>
      <c r="C122" s="85"/>
      <c r="D122" s="162" t="e">
        <f t="shared" si="35"/>
        <v>#N/A</v>
      </c>
      <c r="E122" s="162" t="e">
        <f t="shared" si="36"/>
        <v>#N/A</v>
      </c>
      <c r="F122" s="162" t="e">
        <f t="shared" si="37"/>
        <v>#N/A</v>
      </c>
      <c r="G122" s="162" t="e">
        <f t="shared" si="38"/>
        <v>#N/A</v>
      </c>
      <c r="H122" s="560" t="e">
        <f t="shared" si="39"/>
        <v>#N/A</v>
      </c>
      <c r="I122" s="96"/>
      <c r="J122" s="96"/>
      <c r="K122" s="166"/>
      <c r="L122" s="166"/>
      <c r="M122" s="166"/>
      <c r="N122" s="166"/>
      <c r="O122" s="166"/>
      <c r="P122" s="166"/>
      <c r="Q122" s="166"/>
      <c r="R122" s="167"/>
      <c r="S122" s="159"/>
      <c r="T122" s="159"/>
      <c r="U122" s="166"/>
      <c r="V122" s="122"/>
      <c r="W122" s="139"/>
      <c r="X122" s="152"/>
      <c r="Y122" s="45" t="str">
        <f t="shared" si="26"/>
        <v>Reading</v>
      </c>
      <c r="Z122" s="41" t="str">
        <f>IF(Year1_Reading Year1_ReferralsPriorEH="","",Year1_Reading Year1_ReferralsPriorEH)</f>
        <v/>
      </c>
      <c r="AA122" s="41" t="str">
        <f>IF(Year2_Reading Year2_ReferralsPriorEH="","",Year2_Reading Year2_ReferralsPriorEH)</f>
        <v/>
      </c>
      <c r="AB122" s="41" t="str">
        <f>IF(Year3_Reading Year3_ReferralsPriorEH="","",Year3_Reading Year3_ReferralsPriorEH)</f>
        <v/>
      </c>
      <c r="AC122" s="41" t="str">
        <f>IF(Year4_Reading Year4_ReferralsPriorEH="","",Year4_Reading Year4_ReferralsPriorEH)</f>
        <v/>
      </c>
      <c r="AD122" s="41" t="str">
        <f>IF(Year5_Reading Year5_ReferralsPriorEH="","",Year5_Reading Year5_ReferralsPriorEH)</f>
        <v/>
      </c>
      <c r="AE122" s="199"/>
      <c r="AF122" s="190">
        <f t="shared" si="30"/>
        <v>0</v>
      </c>
      <c r="AG122" s="190">
        <f t="shared" si="31"/>
        <v>0</v>
      </c>
      <c r="AH122" s="190">
        <f t="shared" si="32"/>
        <v>0</v>
      </c>
      <c r="AI122" s="190">
        <f t="shared" si="33"/>
        <v>0</v>
      </c>
      <c r="AJ122" s="190">
        <f t="shared" si="34"/>
        <v>0</v>
      </c>
      <c r="AK122" s="160"/>
    </row>
    <row r="123" spans="1:45" s="87" customFormat="1" ht="12.75" hidden="1" customHeight="1" x14ac:dyDescent="0.2">
      <c r="A123" s="488">
        <f>VLOOKUP(B123,Sheet1!$AQ$4:$AR$25,2,FALSE)</f>
        <v>0</v>
      </c>
      <c r="B123" s="93" t="str">
        <f t="shared" si="28"/>
        <v>Reading</v>
      </c>
      <c r="C123" s="85"/>
      <c r="D123" s="162" t="e">
        <f t="shared" si="35"/>
        <v>#N/A</v>
      </c>
      <c r="E123" s="162" t="e">
        <f t="shared" si="36"/>
        <v>#N/A</v>
      </c>
      <c r="F123" s="162" t="e">
        <f t="shared" si="37"/>
        <v>#N/A</v>
      </c>
      <c r="G123" s="162" t="e">
        <f t="shared" si="38"/>
        <v>#N/A</v>
      </c>
      <c r="H123" s="560" t="e">
        <f t="shared" si="39"/>
        <v>#N/A</v>
      </c>
      <c r="I123" s="96"/>
      <c r="J123" s="96"/>
      <c r="K123" s="166"/>
      <c r="L123" s="166"/>
      <c r="M123" s="166"/>
      <c r="N123" s="166"/>
      <c r="O123" s="166"/>
      <c r="P123" s="166"/>
      <c r="Q123" s="166"/>
      <c r="R123" s="167"/>
      <c r="S123" s="159"/>
      <c r="T123" s="159"/>
      <c r="U123" s="166"/>
      <c r="V123" s="122"/>
      <c r="W123" s="139"/>
      <c r="X123" s="152"/>
      <c r="Y123" s="45" t="str">
        <f t="shared" si="26"/>
        <v>Slough</v>
      </c>
      <c r="Z123" s="41" t="str">
        <f>IF(Year1_Slough Year1_ReferralsPriorEH="","",Year1_Slough Year1_ReferralsPriorEH)</f>
        <v/>
      </c>
      <c r="AA123" s="41" t="str">
        <f>IF(Year2_Slough Year2_ReferralsPriorEH="","",Year2_Slough Year2_ReferralsPriorEH)</f>
        <v/>
      </c>
      <c r="AB123" s="41" t="str">
        <f>IF(Year3_Slough Year3_ReferralsPriorEH="","",Year3_Slough Year3_ReferralsPriorEH)</f>
        <v/>
      </c>
      <c r="AC123" s="41" t="str">
        <f>IF(Year4_Slough Year4_ReferralsPriorEH="","",Year4_Slough Year4_ReferralsPriorEH)</f>
        <v/>
      </c>
      <c r="AD123" s="41" t="str">
        <f>IF(Year5_Slough Year5_ReferralsPriorEH="","",Year5_Slough Year5_ReferralsPriorEH)</f>
        <v/>
      </c>
      <c r="AE123" s="199"/>
      <c r="AF123" s="190">
        <f t="shared" si="30"/>
        <v>0</v>
      </c>
      <c r="AG123" s="190">
        <f t="shared" si="31"/>
        <v>0</v>
      </c>
      <c r="AH123" s="190">
        <f t="shared" si="32"/>
        <v>0</v>
      </c>
      <c r="AI123" s="190">
        <f t="shared" si="33"/>
        <v>0</v>
      </c>
      <c r="AJ123" s="190">
        <f t="shared" si="34"/>
        <v>0</v>
      </c>
      <c r="AK123" s="160"/>
    </row>
    <row r="124" spans="1:45" s="87" customFormat="1" ht="12.75" hidden="1" customHeight="1" x14ac:dyDescent="0.2">
      <c r="A124" s="488">
        <f>VLOOKUP(B124,Sheet1!$AQ$4:$AR$25,2,FALSE)</f>
        <v>0</v>
      </c>
      <c r="B124" s="93" t="str">
        <f t="shared" si="28"/>
        <v>Slough</v>
      </c>
      <c r="C124" s="85"/>
      <c r="D124" s="162" t="e">
        <f t="shared" si="35"/>
        <v>#N/A</v>
      </c>
      <c r="E124" s="162" t="e">
        <f t="shared" si="36"/>
        <v>#N/A</v>
      </c>
      <c r="F124" s="162" t="e">
        <f t="shared" si="37"/>
        <v>#N/A</v>
      </c>
      <c r="G124" s="162" t="e">
        <f t="shared" si="38"/>
        <v>#N/A</v>
      </c>
      <c r="H124" s="560" t="e">
        <f t="shared" si="39"/>
        <v>#N/A</v>
      </c>
      <c r="I124" s="96"/>
      <c r="J124" s="96"/>
      <c r="K124" s="166"/>
      <c r="L124" s="166"/>
      <c r="M124" s="166"/>
      <c r="N124" s="166"/>
      <c r="O124" s="166"/>
      <c r="P124" s="166"/>
      <c r="Q124" s="166"/>
      <c r="R124" s="167"/>
      <c r="S124" s="159"/>
      <c r="T124" s="159"/>
      <c r="U124" s="166"/>
      <c r="V124" s="122"/>
      <c r="W124" s="139"/>
      <c r="X124" s="152"/>
      <c r="Y124" s="45" t="str">
        <f t="shared" si="26"/>
        <v>Somerset</v>
      </c>
      <c r="Z124" s="41" t="str">
        <f>IF(Year1_Somerset Year1_ReferralsPriorEH="","",Year1_Somerset Year1_ReferralsPriorEH)</f>
        <v/>
      </c>
      <c r="AA124" s="41" t="str">
        <f>IF(Year2_Somerset Year2_ReferralsPriorEH="","",Year2_Somerset Year2_ReferralsPriorEH)</f>
        <v/>
      </c>
      <c r="AB124" s="41" t="str">
        <f>IF(Year3_Somerset Year3_ReferralsPriorEH="","",Year3_Somerset Year3_ReferralsPriorEH)</f>
        <v/>
      </c>
      <c r="AC124" s="41" t="str">
        <f>IF(Year4_Somerset Year4_ReferralsPriorEH="","",Year4_Somerset Year4_ReferralsPriorEH)</f>
        <v/>
      </c>
      <c r="AD124" s="41" t="str">
        <f>IF(Year5_Somerset Year5_ReferralsPriorEH="","",Year5_Somerset Year5_ReferralsPriorEH)</f>
        <v/>
      </c>
      <c r="AE124" s="199"/>
      <c r="AF124" s="190">
        <f t="shared" si="30"/>
        <v>0</v>
      </c>
      <c r="AG124" s="190">
        <f t="shared" si="31"/>
        <v>0</v>
      </c>
      <c r="AH124" s="190">
        <f t="shared" si="32"/>
        <v>0</v>
      </c>
      <c r="AI124" s="190">
        <f t="shared" si="33"/>
        <v>0</v>
      </c>
      <c r="AJ124" s="190">
        <f t="shared" si="34"/>
        <v>0</v>
      </c>
      <c r="AK124" s="160"/>
    </row>
    <row r="125" spans="1:45" s="87" customFormat="1" ht="12.75" hidden="1" customHeight="1" x14ac:dyDescent="0.2">
      <c r="A125" s="488">
        <f>VLOOKUP(B125,Sheet1!$AQ$4:$AR$25,2,FALSE)</f>
        <v>0</v>
      </c>
      <c r="B125" s="93" t="str">
        <f t="shared" si="28"/>
        <v>Somerset</v>
      </c>
      <c r="C125" s="85"/>
      <c r="D125" s="162" t="e">
        <f t="shared" si="35"/>
        <v>#N/A</v>
      </c>
      <c r="E125" s="162" t="e">
        <f t="shared" si="36"/>
        <v>#N/A</v>
      </c>
      <c r="F125" s="162" t="e">
        <f t="shared" si="37"/>
        <v>#N/A</v>
      </c>
      <c r="G125" s="162" t="e">
        <f t="shared" si="38"/>
        <v>#N/A</v>
      </c>
      <c r="H125" s="560" t="e">
        <f t="shared" si="39"/>
        <v>#N/A</v>
      </c>
      <c r="I125" s="96"/>
      <c r="J125" s="96"/>
      <c r="K125" s="166"/>
      <c r="L125" s="166"/>
      <c r="M125" s="166"/>
      <c r="N125" s="166"/>
      <c r="O125" s="166"/>
      <c r="P125" s="166"/>
      <c r="Q125" s="166"/>
      <c r="R125" s="167"/>
      <c r="S125" s="159"/>
      <c r="T125" s="159"/>
      <c r="U125" s="166"/>
      <c r="V125" s="122"/>
      <c r="W125" s="139"/>
      <c r="X125" s="152"/>
      <c r="Y125" s="45" t="str">
        <f t="shared" si="26"/>
        <v>Southampton</v>
      </c>
      <c r="Z125" s="41" t="str">
        <f>IF(Year1_Southampton Year1_ReferralsPriorEH="","",Year1_Southampton Year1_ReferralsPriorEH)</f>
        <v/>
      </c>
      <c r="AA125" s="41" t="str">
        <f>IF(Year2_Southampton Year2_ReferralsPriorEH="","",Year2_Southampton Year2_ReferralsPriorEH)</f>
        <v/>
      </c>
      <c r="AB125" s="41" t="str">
        <f>IF(Year3_Southampton Year3_ReferralsPriorEH="","",Year3_Southampton Year3_ReferralsPriorEH)</f>
        <v/>
      </c>
      <c r="AC125" s="41" t="str">
        <f>IF(Year4_Southampton Year4_ReferralsPriorEH="","",Year4_Southampton Year4_ReferralsPriorEH)</f>
        <v/>
      </c>
      <c r="AD125" s="41" t="str">
        <f>IF(Year5_Southampton Year5_ReferralsPriorEH="","",Year5_Southampton Year5_ReferralsPriorEH)</f>
        <v/>
      </c>
      <c r="AE125" s="199"/>
      <c r="AF125" s="190">
        <f t="shared" si="30"/>
        <v>0</v>
      </c>
      <c r="AG125" s="190">
        <f t="shared" si="31"/>
        <v>0</v>
      </c>
      <c r="AH125" s="190">
        <f t="shared" si="32"/>
        <v>0</v>
      </c>
      <c r="AI125" s="190">
        <f t="shared" si="33"/>
        <v>0</v>
      </c>
      <c r="AJ125" s="190">
        <f t="shared" si="34"/>
        <v>0</v>
      </c>
      <c r="AK125" s="160"/>
    </row>
    <row r="126" spans="1:45" s="87" customFormat="1" ht="12.75" hidden="1" customHeight="1" x14ac:dyDescent="0.2">
      <c r="A126" s="488">
        <f>VLOOKUP(B126,Sheet1!$AQ$4:$AR$25,2,FALSE)</f>
        <v>0</v>
      </c>
      <c r="B126" s="93" t="str">
        <f t="shared" si="28"/>
        <v>Southampton</v>
      </c>
      <c r="C126" s="85"/>
      <c r="D126" s="162" t="e">
        <f t="shared" si="35"/>
        <v>#N/A</v>
      </c>
      <c r="E126" s="162" t="e">
        <f t="shared" si="36"/>
        <v>#N/A</v>
      </c>
      <c r="F126" s="162" t="e">
        <f t="shared" si="37"/>
        <v>#N/A</v>
      </c>
      <c r="G126" s="162" t="e">
        <f t="shared" si="38"/>
        <v>#N/A</v>
      </c>
      <c r="H126" s="560" t="e">
        <f t="shared" si="39"/>
        <v>#N/A</v>
      </c>
      <c r="I126" s="96"/>
      <c r="J126" s="96"/>
      <c r="K126" s="166"/>
      <c r="L126" s="166"/>
      <c r="M126" s="166"/>
      <c r="N126" s="166"/>
      <c r="O126" s="166"/>
      <c r="P126" s="166"/>
      <c r="Q126" s="166"/>
      <c r="R126" s="167"/>
      <c r="S126" s="159"/>
      <c r="T126" s="159"/>
      <c r="U126" s="166"/>
      <c r="V126" s="122"/>
      <c r="W126" s="139"/>
      <c r="X126" s="152"/>
      <c r="Y126" s="45" t="str">
        <f t="shared" si="26"/>
        <v>Surrey</v>
      </c>
      <c r="Z126" s="41" t="str">
        <f>IF(Year1_Surrey Year1_ReferralsPriorEH="","",Year1_Surrey Year1_ReferralsPriorEH)</f>
        <v/>
      </c>
      <c r="AA126" s="41" t="str">
        <f>IF(Year2_Surrey Year2_ReferralsPriorEH="","",Year2_Surrey Year2_ReferralsPriorEH)</f>
        <v/>
      </c>
      <c r="AB126" s="41" t="str">
        <f>IF(Year3_Surrey Year3_ReferralsPriorEH="","",Year3_Surrey Year3_ReferralsPriorEH)</f>
        <v/>
      </c>
      <c r="AC126" s="41" t="str">
        <f>IF(Year4_Surrey Year4_ReferralsPriorEH="","",Year4_Surrey Year4_ReferralsPriorEH)</f>
        <v/>
      </c>
      <c r="AD126" s="41" t="str">
        <f>IF(Year5_Surrey Year5_ReferralsPriorEH="","",Year5_Surrey Year5_ReferralsPriorEH)</f>
        <v/>
      </c>
      <c r="AE126" s="199"/>
      <c r="AF126" s="190">
        <f t="shared" si="30"/>
        <v>0</v>
      </c>
      <c r="AG126" s="190">
        <f t="shared" si="31"/>
        <v>0</v>
      </c>
      <c r="AH126" s="190">
        <f t="shared" si="32"/>
        <v>0</v>
      </c>
      <c r="AI126" s="190">
        <f t="shared" si="33"/>
        <v>0</v>
      </c>
      <c r="AJ126" s="190">
        <f t="shared" si="34"/>
        <v>0</v>
      </c>
      <c r="AK126" s="160"/>
    </row>
    <row r="127" spans="1:45" s="87" customFormat="1" ht="12.75" hidden="1" customHeight="1" x14ac:dyDescent="0.2">
      <c r="A127" s="488">
        <f>VLOOKUP(B127,Sheet1!$AQ$4:$AR$25,2,FALSE)</f>
        <v>0</v>
      </c>
      <c r="B127" s="93" t="str">
        <f t="shared" si="28"/>
        <v>Surrey</v>
      </c>
      <c r="C127" s="85"/>
      <c r="D127" s="162" t="e">
        <f t="shared" si="35"/>
        <v>#N/A</v>
      </c>
      <c r="E127" s="162" t="e">
        <f t="shared" si="36"/>
        <v>#N/A</v>
      </c>
      <c r="F127" s="162" t="e">
        <f t="shared" si="37"/>
        <v>#N/A</v>
      </c>
      <c r="G127" s="162" t="e">
        <f t="shared" si="38"/>
        <v>#N/A</v>
      </c>
      <c r="H127" s="560" t="e">
        <f t="shared" si="39"/>
        <v>#N/A</v>
      </c>
      <c r="I127" s="96"/>
      <c r="J127" s="96"/>
      <c r="K127" s="166"/>
      <c r="L127" s="166"/>
      <c r="M127" s="166"/>
      <c r="N127" s="166"/>
      <c r="O127" s="166"/>
      <c r="P127" s="166"/>
      <c r="Q127" s="166"/>
      <c r="R127" s="167"/>
      <c r="S127" s="159"/>
      <c r="T127" s="159"/>
      <c r="U127" s="166"/>
      <c r="V127" s="122"/>
      <c r="W127" s="139"/>
      <c r="X127" s="152"/>
      <c r="Y127" s="45" t="str">
        <f t="shared" si="26"/>
        <v>Swindon</v>
      </c>
      <c r="Z127" s="41" t="str">
        <f>IF(Year1_Swindon Year1_ReferralsPriorEH="","",Year1_Swindon Year1_ReferralsPriorEH)</f>
        <v/>
      </c>
      <c r="AA127" s="41" t="str">
        <f>IF(Year2_Swindon Year2_ReferralsPriorEH="","",Year2_Swindon Year2_ReferralsPriorEH)</f>
        <v/>
      </c>
      <c r="AB127" s="41" t="str">
        <f>IF(Year3_Swindon Year3_ReferralsPriorEH="","",Year3_Swindon Year3_ReferralsPriorEH)</f>
        <v/>
      </c>
      <c r="AC127" s="41" t="str">
        <f>IF(Year4_Swindon Year4_ReferralsPriorEH="","",Year4_Swindon Year4_ReferralsPriorEH)</f>
        <v/>
      </c>
      <c r="AD127" s="41" t="str">
        <f>IF(Year5_Swindon Year5_ReferralsPriorEH="","",Year5_Swindon Year5_ReferralsPriorEH)</f>
        <v/>
      </c>
      <c r="AE127" s="199"/>
      <c r="AF127" s="190">
        <f t="shared" si="30"/>
        <v>0</v>
      </c>
      <c r="AG127" s="190">
        <f t="shared" si="31"/>
        <v>0</v>
      </c>
      <c r="AH127" s="190">
        <f t="shared" si="32"/>
        <v>0</v>
      </c>
      <c r="AI127" s="190">
        <f t="shared" si="33"/>
        <v>0</v>
      </c>
      <c r="AJ127" s="190">
        <f t="shared" si="34"/>
        <v>0</v>
      </c>
      <c r="AK127" s="160"/>
    </row>
    <row r="128" spans="1:45" s="87" customFormat="1" ht="12.75" hidden="1" customHeight="1" x14ac:dyDescent="0.2">
      <c r="A128" s="488">
        <f>VLOOKUP(B128,Sheet1!$AQ$4:$AR$25,2,FALSE)</f>
        <v>0</v>
      </c>
      <c r="B128" s="93" t="str">
        <f t="shared" si="28"/>
        <v>Swindon</v>
      </c>
      <c r="C128" s="85"/>
      <c r="D128" s="162" t="e">
        <f t="shared" si="35"/>
        <v>#N/A</v>
      </c>
      <c r="E128" s="162" t="e">
        <f t="shared" si="36"/>
        <v>#N/A</v>
      </c>
      <c r="F128" s="162" t="e">
        <f t="shared" si="37"/>
        <v>#N/A</v>
      </c>
      <c r="G128" s="162" t="e">
        <f t="shared" si="38"/>
        <v>#N/A</v>
      </c>
      <c r="H128" s="560" t="e">
        <f t="shared" si="39"/>
        <v>#N/A</v>
      </c>
      <c r="I128" s="96"/>
      <c r="J128" s="96"/>
      <c r="K128" s="166"/>
      <c r="L128" s="166"/>
      <c r="M128" s="166"/>
      <c r="N128" s="166"/>
      <c r="O128" s="166"/>
      <c r="P128" s="166"/>
      <c r="Q128" s="166"/>
      <c r="R128" s="167"/>
      <c r="S128" s="159"/>
      <c r="T128" s="159"/>
      <c r="U128" s="166"/>
      <c r="V128" s="122"/>
      <c r="W128" s="139"/>
      <c r="X128" s="152"/>
      <c r="Y128" s="45" t="str">
        <f t="shared" si="26"/>
        <v>Torbay</v>
      </c>
      <c r="Z128" s="41" t="str">
        <f>IF(Year1_Torbay Year1_ReferralsPriorEH="","",Year1_Torbay Year1_ReferralsPriorEH)</f>
        <v/>
      </c>
      <c r="AA128" s="41" t="str">
        <f>IF(Year2_Torbay Year2_ReferralsPriorEH="","",Year2_Torbay Year2_ReferralsPriorEH)</f>
        <v/>
      </c>
      <c r="AB128" s="41" t="str">
        <f>IF(Year3_Torbay Year3_ReferralsPriorEH="","",Year3_Torbay Year3_ReferralsPriorEH)</f>
        <v/>
      </c>
      <c r="AC128" s="41" t="str">
        <f>IF(Year4_Torbay Year4_ReferralsPriorEH="","",Year4_Torbay Year4_ReferralsPriorEH)</f>
        <v/>
      </c>
      <c r="AD128" s="41" t="str">
        <f>IF(Year5_Torbay Year5_ReferralsPriorEH="","",Year5_Torbay Year5_ReferralsPriorEH)</f>
        <v/>
      </c>
      <c r="AE128" s="199"/>
      <c r="AF128" s="190">
        <f t="shared" si="30"/>
        <v>0</v>
      </c>
      <c r="AG128" s="190">
        <f t="shared" si="31"/>
        <v>0</v>
      </c>
      <c r="AH128" s="190">
        <f t="shared" si="32"/>
        <v>0</v>
      </c>
      <c r="AI128" s="190">
        <f t="shared" si="33"/>
        <v>0</v>
      </c>
      <c r="AJ128" s="190">
        <f t="shared" si="34"/>
        <v>0</v>
      </c>
      <c r="AK128" s="160"/>
    </row>
    <row r="129" spans="1:46" s="87" customFormat="1" ht="12.75" hidden="1" customHeight="1" x14ac:dyDescent="0.2">
      <c r="A129" s="488">
        <f>VLOOKUP(B129,Sheet1!$AQ$4:$AR$25,2,FALSE)</f>
        <v>0</v>
      </c>
      <c r="B129" s="93" t="str">
        <f t="shared" si="28"/>
        <v>Torbay</v>
      </c>
      <c r="C129" s="85"/>
      <c r="D129" s="162" t="e">
        <f t="shared" si="35"/>
        <v>#N/A</v>
      </c>
      <c r="E129" s="162" t="e">
        <f t="shared" si="36"/>
        <v>#N/A</v>
      </c>
      <c r="F129" s="162" t="e">
        <f t="shared" si="37"/>
        <v>#N/A</v>
      </c>
      <c r="G129" s="162" t="e">
        <f t="shared" si="38"/>
        <v>#N/A</v>
      </c>
      <c r="H129" s="560" t="e">
        <f t="shared" si="39"/>
        <v>#N/A</v>
      </c>
      <c r="I129" s="96"/>
      <c r="J129" s="96"/>
      <c r="K129" s="166"/>
      <c r="L129" s="166"/>
      <c r="M129" s="166"/>
      <c r="N129" s="166"/>
      <c r="O129" s="166"/>
      <c r="P129" s="166"/>
      <c r="Q129" s="166"/>
      <c r="R129" s="167"/>
      <c r="S129" s="159"/>
      <c r="T129" s="159"/>
      <c r="U129" s="166"/>
      <c r="V129" s="122"/>
      <c r="W129" s="139"/>
      <c r="X129" s="152"/>
      <c r="Y129" s="45" t="str">
        <f t="shared" si="26"/>
        <v>West Berkshire</v>
      </c>
      <c r="Z129" s="41" t="str">
        <f>IF(Year1_West_Berkshire Year1_ReferralsPriorEH="","",Year1_West_Berkshire Year1_ReferralsPriorEH)</f>
        <v/>
      </c>
      <c r="AA129" s="41" t="str">
        <f>IF(Year2_West_Berkshire Year2_ReferralsPriorEH="","",Year2_West_Berkshire Year2_ReferralsPriorEH)</f>
        <v/>
      </c>
      <c r="AB129" s="41" t="str">
        <f>IF(Year3_West_Berkshire Year3_ReferralsPriorEH="","",Year3_West_Berkshire Year3_ReferralsPriorEH)</f>
        <v/>
      </c>
      <c r="AC129" s="41" t="str">
        <f>IF(Year4_West_Berkshire Year4_ReferralsPriorEH="","",Year4_West_Berkshire Year4_ReferralsPriorEH)</f>
        <v/>
      </c>
      <c r="AD129" s="41" t="str">
        <f>IF(Year5_West_Berkshire Year5_ReferralsPriorEH="","",Year5_West_Berkshire Year5_ReferralsPriorEH)</f>
        <v/>
      </c>
      <c r="AE129" s="199"/>
      <c r="AF129" s="190">
        <f t="shared" si="30"/>
        <v>0</v>
      </c>
      <c r="AG129" s="190">
        <f t="shared" si="31"/>
        <v>0</v>
      </c>
      <c r="AH129" s="190">
        <f t="shared" si="32"/>
        <v>0</v>
      </c>
      <c r="AI129" s="190">
        <f t="shared" si="33"/>
        <v>0</v>
      </c>
      <c r="AJ129" s="190">
        <f t="shared" si="34"/>
        <v>0</v>
      </c>
      <c r="AK129" s="160"/>
    </row>
    <row r="130" spans="1:46" s="87" customFormat="1" ht="12.75" hidden="1" customHeight="1" x14ac:dyDescent="0.2">
      <c r="A130" s="488">
        <f>VLOOKUP(B130,Sheet1!$AQ$4:$AR$25,2,FALSE)</f>
        <v>0</v>
      </c>
      <c r="B130" s="93" t="str">
        <f t="shared" si="28"/>
        <v>West Berkshire</v>
      </c>
      <c r="C130" s="85"/>
      <c r="D130" s="162" t="e">
        <f t="shared" si="35"/>
        <v>#N/A</v>
      </c>
      <c r="E130" s="162" t="e">
        <f t="shared" si="36"/>
        <v>#N/A</v>
      </c>
      <c r="F130" s="162" t="e">
        <f t="shared" si="37"/>
        <v>#N/A</v>
      </c>
      <c r="G130" s="162" t="e">
        <f t="shared" si="38"/>
        <v>#N/A</v>
      </c>
      <c r="H130" s="560" t="e">
        <f t="shared" si="39"/>
        <v>#N/A</v>
      </c>
      <c r="I130" s="96"/>
      <c r="J130" s="96"/>
      <c r="K130" s="166"/>
      <c r="L130" s="166"/>
      <c r="M130" s="166"/>
      <c r="N130" s="166"/>
      <c r="O130" s="166"/>
      <c r="P130" s="166"/>
      <c r="Q130" s="166"/>
      <c r="R130" s="167"/>
      <c r="S130" s="159"/>
      <c r="T130" s="159"/>
      <c r="U130" s="166"/>
      <c r="V130" s="122"/>
      <c r="W130" s="139"/>
      <c r="X130" s="152"/>
      <c r="Y130" s="45" t="str">
        <f t="shared" si="26"/>
        <v>West Sussex</v>
      </c>
      <c r="Z130" s="41" t="str">
        <f>IF(Year1_West_Sussex Year1_ReferralsPriorEH="","",Year1_West_Sussex Year1_ReferralsPriorEH)</f>
        <v/>
      </c>
      <c r="AA130" s="41" t="str">
        <f>IF(Year2_West_Sussex Year2_ReferralsPriorEH="","",Year2_West_Sussex Year2_ReferralsPriorEH)</f>
        <v/>
      </c>
      <c r="AB130" s="41" t="str">
        <f>IF(Year3_West_Sussex Year3_ReferralsPriorEH="","",Year3_West_Sussex Year3_ReferralsPriorEH)</f>
        <v/>
      </c>
      <c r="AC130" s="41" t="str">
        <f>IF(Year4_West_Sussex Year4_ReferralsPriorEH="","",Year4_West_Sussex Year4_ReferralsPriorEH)</f>
        <v/>
      </c>
      <c r="AD130" s="41" t="str">
        <f>IF(Year5_West_Sussex Year5_ReferralsPriorEH="","",Year5_West_Sussex Year5_ReferralsPriorEH)</f>
        <v/>
      </c>
      <c r="AE130" s="199"/>
      <c r="AF130" s="190">
        <f t="shared" si="30"/>
        <v>0</v>
      </c>
      <c r="AG130" s="190">
        <f t="shared" si="31"/>
        <v>0</v>
      </c>
      <c r="AH130" s="190">
        <f t="shared" si="32"/>
        <v>0</v>
      </c>
      <c r="AI130" s="190">
        <f t="shared" si="33"/>
        <v>0</v>
      </c>
      <c r="AJ130" s="190">
        <f t="shared" si="34"/>
        <v>0</v>
      </c>
      <c r="AK130" s="160"/>
    </row>
    <row r="131" spans="1:46" s="87" customFormat="1" ht="12.75" hidden="1" customHeight="1" x14ac:dyDescent="0.2">
      <c r="A131" s="488">
        <f>VLOOKUP(B131,Sheet1!$AQ$4:$AR$25,2,FALSE)</f>
        <v>0</v>
      </c>
      <c r="B131" s="93" t="str">
        <f t="shared" si="28"/>
        <v>West Sussex</v>
      </c>
      <c r="C131" s="85"/>
      <c r="D131" s="162" t="e">
        <f t="shared" si="35"/>
        <v>#N/A</v>
      </c>
      <c r="E131" s="162" t="e">
        <f t="shared" si="36"/>
        <v>#N/A</v>
      </c>
      <c r="F131" s="162" t="e">
        <f t="shared" si="37"/>
        <v>#N/A</v>
      </c>
      <c r="G131" s="162" t="e">
        <f t="shared" si="38"/>
        <v>#N/A</v>
      </c>
      <c r="H131" s="560" t="e">
        <f t="shared" si="39"/>
        <v>#N/A</v>
      </c>
      <c r="I131" s="96"/>
      <c r="J131" s="96"/>
      <c r="K131" s="166"/>
      <c r="L131" s="166"/>
      <c r="M131" s="166"/>
      <c r="N131" s="166"/>
      <c r="O131" s="166"/>
      <c r="P131" s="166"/>
      <c r="Q131" s="166"/>
      <c r="R131" s="167"/>
      <c r="S131" s="159"/>
      <c r="T131" s="159"/>
      <c r="U131" s="166"/>
      <c r="V131" s="122"/>
      <c r="W131" s="139"/>
      <c r="X131" s="152"/>
      <c r="Y131" s="45" t="str">
        <f t="shared" si="26"/>
        <v>Windsor &amp; Maidenhead</v>
      </c>
      <c r="Z131" s="41" t="str">
        <f>IF(Year1_Windsor_Maidenhead Year1_ReferralsPriorEH="","",Year1_Windsor_Maidenhead Year1_ReferralsPriorEH)</f>
        <v/>
      </c>
      <c r="AA131" s="41" t="str">
        <f>IF(Year2_Windsor_Maidenhead Year2_ReferralsPriorEH="","",Year2_Windsor_Maidenhead Year2_ReferralsPriorEH)</f>
        <v/>
      </c>
      <c r="AB131" s="41" t="str">
        <f>IF(Year3_Windsor_Maidenhead Year3_ReferralsPriorEH="","",Year3_Windsor_Maidenhead Year3_ReferralsPriorEH)</f>
        <v/>
      </c>
      <c r="AC131" s="41" t="str">
        <f>IF(Year4_Windsor_Maidenhead Year4_ReferralsPriorEH="","",Year4_Windsor_Maidenhead Year4_ReferralsPriorEH)</f>
        <v/>
      </c>
      <c r="AD131" s="41" t="str">
        <f>IF(Year5_Windsor_Maidenhead Year5_ReferralsPriorEH="","",Year5_Windsor_Maidenhead Year5_ReferralsPriorEH)</f>
        <v/>
      </c>
      <c r="AE131" s="199"/>
      <c r="AF131" s="190">
        <f t="shared" si="30"/>
        <v>0</v>
      </c>
      <c r="AG131" s="190">
        <f t="shared" si="31"/>
        <v>0</v>
      </c>
      <c r="AH131" s="190">
        <f t="shared" si="32"/>
        <v>0</v>
      </c>
      <c r="AI131" s="190">
        <f t="shared" si="33"/>
        <v>0</v>
      </c>
      <c r="AJ131" s="190">
        <f t="shared" si="34"/>
        <v>0</v>
      </c>
      <c r="AK131" s="160"/>
    </row>
    <row r="132" spans="1:46" s="87" customFormat="1" ht="12.6" hidden="1" customHeight="1" x14ac:dyDescent="0.2">
      <c r="A132" s="488">
        <f>VLOOKUP(B132,Sheet1!$AQ$4:$AR$25,2,FALSE)</f>
        <v>0</v>
      </c>
      <c r="B132" s="93" t="str">
        <f t="shared" si="28"/>
        <v>Windsor &amp; Maidenhead</v>
      </c>
      <c r="C132" s="85"/>
      <c r="D132" s="162" t="e">
        <f t="shared" si="35"/>
        <v>#N/A</v>
      </c>
      <c r="E132" s="162" t="e">
        <f t="shared" si="36"/>
        <v>#N/A</v>
      </c>
      <c r="F132" s="162" t="e">
        <f t="shared" si="37"/>
        <v>#N/A</v>
      </c>
      <c r="G132" s="162" t="e">
        <f t="shared" si="38"/>
        <v>#N/A</v>
      </c>
      <c r="H132" s="560" t="e">
        <f t="shared" si="39"/>
        <v>#N/A</v>
      </c>
      <c r="I132" s="96"/>
      <c r="J132" s="96"/>
      <c r="K132" s="166"/>
      <c r="L132" s="166"/>
      <c r="M132" s="166"/>
      <c r="N132" s="166"/>
      <c r="O132" s="166"/>
      <c r="P132" s="166"/>
      <c r="Q132" s="166"/>
      <c r="R132" s="167"/>
      <c r="S132" s="159"/>
      <c r="T132" s="159"/>
      <c r="U132" s="166"/>
      <c r="V132" s="122"/>
      <c r="W132" s="139"/>
      <c r="X132" s="152"/>
      <c r="Y132" s="45" t="str">
        <f t="shared" si="26"/>
        <v>Wokingham</v>
      </c>
      <c r="Z132" s="41" t="str">
        <f>IF(Year1_Wokingham Year1_ReferralsPriorEH="","",Year1_Wokingham Year1_ReferralsPriorEH)</f>
        <v/>
      </c>
      <c r="AA132" s="41" t="str">
        <f>IF(Year2_Wokingham Year2_ReferralsPriorEH="","",Year2_Wokingham Year2_ReferralsPriorEH)</f>
        <v/>
      </c>
      <c r="AB132" s="41" t="str">
        <f>IF(Year3_Wokingham Year3_ReferralsPriorEH="","",Year3_Wokingham Year3_ReferralsPriorEH)</f>
        <v/>
      </c>
      <c r="AC132" s="41" t="str">
        <f>IF(Year4_Wokingham Year4_ReferralsPriorEH="","",Year4_Wokingham Year4_ReferralsPriorEH)</f>
        <v/>
      </c>
      <c r="AD132" s="41" t="str">
        <f>IF(Year5_Wokingham Year5_ReferralsPriorEH="","",Year5_Wokingham Year5_ReferralsPriorEH)</f>
        <v/>
      </c>
      <c r="AE132" s="199"/>
      <c r="AF132" s="190">
        <f t="shared" si="30"/>
        <v>0</v>
      </c>
      <c r="AG132" s="190">
        <f t="shared" si="31"/>
        <v>0</v>
      </c>
      <c r="AH132" s="190">
        <f t="shared" si="32"/>
        <v>0</v>
      </c>
      <c r="AI132" s="190">
        <f t="shared" si="33"/>
        <v>0</v>
      </c>
      <c r="AJ132" s="190">
        <f t="shared" si="34"/>
        <v>0</v>
      </c>
      <c r="AK132" s="160"/>
    </row>
    <row r="133" spans="1:46" s="87" customFormat="1" ht="12.75" hidden="1" customHeight="1" x14ac:dyDescent="0.2">
      <c r="A133" s="488">
        <f>VLOOKUP(B133,Sheet1!$AQ$4:$AR$25,2,FALSE)</f>
        <v>0</v>
      </c>
      <c r="B133" s="93" t="str">
        <f t="shared" si="28"/>
        <v>Wokingham</v>
      </c>
      <c r="C133" s="85"/>
      <c r="D133" s="162" t="e">
        <f t="shared" si="35"/>
        <v>#N/A</v>
      </c>
      <c r="E133" s="162" t="e">
        <f t="shared" si="36"/>
        <v>#N/A</v>
      </c>
      <c r="F133" s="162" t="e">
        <f t="shared" si="37"/>
        <v>#N/A</v>
      </c>
      <c r="G133" s="162" t="e">
        <f t="shared" si="38"/>
        <v>#N/A</v>
      </c>
      <c r="H133" s="560" t="e">
        <f t="shared" si="39"/>
        <v>#N/A</v>
      </c>
      <c r="I133" s="96"/>
      <c r="J133" s="96"/>
      <c r="K133" s="166"/>
      <c r="L133" s="166"/>
      <c r="M133" s="166"/>
      <c r="N133" s="166"/>
      <c r="O133" s="166"/>
      <c r="P133" s="166"/>
      <c r="Q133" s="166"/>
      <c r="R133" s="167"/>
      <c r="S133" s="159"/>
      <c r="T133" s="159"/>
      <c r="U133" s="166"/>
      <c r="V133" s="122"/>
      <c r="W133" s="139"/>
      <c r="X133" s="152"/>
      <c r="Y133" s="45" t="str">
        <f t="shared" si="26"/>
        <v>South East</v>
      </c>
      <c r="Z133" s="54" t="e">
        <f>IF(Year1_SouthEast Year1_ReferralsPriorEH=0,NA(),Year1_SouthEast Year1_ReferralsPriorEH)</f>
        <v>#N/A</v>
      </c>
      <c r="AA133" s="54" t="e">
        <f>IF(Year2_SouthEast Year2_ReferralsPriorEH=0,NA(),Year2_SouthEast Year2_ReferralsPriorEH)</f>
        <v>#N/A</v>
      </c>
      <c r="AB133" s="54" t="e">
        <f>IF(Year3_SouthEast Year3_ReferralsPriorEH=0,NA(),Year3_SouthEast Year3_ReferralsPriorEH)</f>
        <v>#N/A</v>
      </c>
      <c r="AC133" s="54" t="e">
        <f>IF(Year4_SouthEast Year4_ReferralsPriorEH=0,NA(),Year4_SouthEast Year4_ReferralsPriorEH)</f>
        <v>#N/A</v>
      </c>
      <c r="AD133" s="54" t="e">
        <f>IF(Year5_SouthEast Year5_ReferralsPriorEH=0,NA(),Year5_SouthEast Year5_ReferralsPriorEH)</f>
        <v>#N/A</v>
      </c>
      <c r="AE133" s="199"/>
      <c r="AF133" s="202">
        <f>SUM(AF111:AF123,AF125:AF126,AF129:AF132)</f>
        <v>0</v>
      </c>
      <c r="AG133" s="202">
        <f t="shared" ref="AG133:AJ133" si="40">SUM(AG111:AG123,AG125:AG126,AG129:AG132)</f>
        <v>0</v>
      </c>
      <c r="AH133" s="202">
        <f t="shared" si="40"/>
        <v>0</v>
      </c>
      <c r="AI133" s="202">
        <f t="shared" si="40"/>
        <v>0</v>
      </c>
      <c r="AJ133" s="202">
        <f t="shared" si="40"/>
        <v>0</v>
      </c>
      <c r="AK133" s="160"/>
    </row>
    <row r="134" spans="1:46" s="87" customFormat="1" ht="12.75" hidden="1" customHeight="1" x14ac:dyDescent="0.2">
      <c r="A134" s="121"/>
      <c r="B134" s="129" t="str">
        <f t="shared" si="28"/>
        <v>South East</v>
      </c>
      <c r="C134" s="85"/>
      <c r="D134" s="163" t="e">
        <f t="shared" si="35"/>
        <v>#N/A</v>
      </c>
      <c r="E134" s="163" t="e">
        <f t="shared" si="36"/>
        <v>#N/A</v>
      </c>
      <c r="F134" s="163" t="e">
        <f t="shared" si="37"/>
        <v>#N/A</v>
      </c>
      <c r="G134" s="163" t="e">
        <f t="shared" si="38"/>
        <v>#N/A</v>
      </c>
      <c r="H134" s="561" t="e">
        <f t="shared" si="39"/>
        <v>#N/A</v>
      </c>
      <c r="I134" s="96"/>
      <c r="J134" s="96"/>
      <c r="K134" s="168"/>
      <c r="L134" s="168"/>
      <c r="M134" s="168"/>
      <c r="N134" s="168"/>
      <c r="O134" s="168"/>
      <c r="P134" s="168"/>
      <c r="Q134" s="168"/>
      <c r="R134" s="169"/>
      <c r="S134" s="159"/>
      <c r="T134" s="159"/>
      <c r="U134" s="170"/>
      <c r="V134" s="122"/>
      <c r="W134" s="139"/>
      <c r="X134" s="152"/>
      <c r="Y134" s="45" t="str">
        <f t="shared" si="26"/>
        <v>England</v>
      </c>
      <c r="Z134" s="54"/>
      <c r="AA134" s="54"/>
      <c r="AB134" s="54"/>
      <c r="AC134" s="54"/>
      <c r="AD134" s="54"/>
      <c r="AE134" s="199"/>
      <c r="AF134" s="190">
        <f t="shared" ref="AF134" si="41">IF(ISNUMBER(Z134),D33,0)</f>
        <v>0</v>
      </c>
      <c r="AG134" s="190">
        <f t="shared" ref="AG134" si="42">IF(ISNUMBER(AA134),E33,0)</f>
        <v>0</v>
      </c>
      <c r="AH134" s="190">
        <f t="shared" ref="AH134" si="43">IF(ISNUMBER(AB134),F33,0)</f>
        <v>0</v>
      </c>
      <c r="AI134" s="190">
        <f t="shared" ref="AI134" si="44">IF(ISNUMBER(AC134),G33,0)</f>
        <v>0</v>
      </c>
      <c r="AJ134" s="190">
        <f t="shared" ref="AJ134" si="45">IF(ISNUMBER(AD134),H33,0)</f>
        <v>0</v>
      </c>
      <c r="AK134" s="160"/>
    </row>
    <row r="135" spans="1:46" s="87" customFormat="1" ht="12.75" hidden="1" customHeight="1" x14ac:dyDescent="0.2">
      <c r="A135" s="121"/>
      <c r="B135" s="329" t="str">
        <f t="shared" si="28"/>
        <v>England</v>
      </c>
      <c r="C135" s="85"/>
      <c r="D135" s="351" t="e">
        <f t="shared" si="35"/>
        <v>#N/A</v>
      </c>
      <c r="E135" s="351" t="e">
        <f t="shared" si="36"/>
        <v>#N/A</v>
      </c>
      <c r="F135" s="351" t="e">
        <f t="shared" si="37"/>
        <v>#N/A</v>
      </c>
      <c r="G135" s="351" t="e">
        <f t="shared" si="38"/>
        <v>#N/A</v>
      </c>
      <c r="H135" s="562" t="e">
        <f t="shared" si="39"/>
        <v>#N/A</v>
      </c>
      <c r="I135" s="96"/>
      <c r="J135" s="96"/>
      <c r="K135" s="168"/>
      <c r="L135" s="168"/>
      <c r="M135" s="168"/>
      <c r="N135" s="168"/>
      <c r="O135" s="168"/>
      <c r="P135" s="168"/>
      <c r="Q135" s="168"/>
      <c r="R135" s="169"/>
      <c r="S135" s="159"/>
      <c r="T135" s="159"/>
      <c r="U135" s="170"/>
      <c r="V135" s="122"/>
      <c r="W135" s="139"/>
      <c r="X135" s="152"/>
      <c r="Y135" s="81"/>
      <c r="Z135" s="81"/>
      <c r="AA135" s="196"/>
      <c r="AB135" s="196"/>
      <c r="AC135" s="197"/>
      <c r="AD135" s="197"/>
      <c r="AE135" s="199"/>
      <c r="AF135" s="202"/>
      <c r="AG135" s="202"/>
      <c r="AH135" s="202"/>
      <c r="AI135" s="190"/>
      <c r="AJ135" s="202"/>
      <c r="AK135" s="160"/>
    </row>
    <row r="136" spans="1:46" s="87" customFormat="1" ht="7.5" hidden="1" customHeight="1" x14ac:dyDescent="0.2">
      <c r="A136" s="292"/>
      <c r="B136" s="96"/>
      <c r="C136" s="96"/>
      <c r="D136" s="96"/>
      <c r="E136" s="96"/>
      <c r="F136" s="96"/>
      <c r="G136" s="96"/>
      <c r="H136" s="96"/>
      <c r="I136" s="96"/>
      <c r="J136" s="96"/>
      <c r="K136" s="168"/>
      <c r="L136" s="168"/>
      <c r="M136" s="168"/>
      <c r="N136" s="168"/>
      <c r="O136" s="168"/>
      <c r="P136" s="168"/>
      <c r="Q136" s="168"/>
      <c r="R136" s="169"/>
      <c r="S136" s="159"/>
      <c r="T136" s="159"/>
      <c r="U136" s="170"/>
      <c r="V136" s="122"/>
      <c r="W136" s="139"/>
      <c r="X136" s="152"/>
      <c r="Y136" s="81"/>
      <c r="Z136" s="81"/>
      <c r="AA136" s="196"/>
      <c r="AB136" s="196"/>
      <c r="AC136" s="197"/>
      <c r="AD136" s="197"/>
      <c r="AE136" s="199"/>
      <c r="AF136" s="202"/>
      <c r="AG136" s="202"/>
      <c r="AH136" s="202"/>
      <c r="AI136" s="190"/>
      <c r="AJ136" s="202"/>
      <c r="AK136" s="160"/>
    </row>
    <row r="137" spans="1:46" s="81" customFormat="1" ht="39.6" hidden="1" customHeight="1" x14ac:dyDescent="0.2">
      <c r="A137" s="217"/>
      <c r="B137" s="392"/>
      <c r="C137" s="392"/>
      <c r="D137" s="392"/>
      <c r="E137" s="392"/>
      <c r="F137" s="392"/>
      <c r="G137" s="392"/>
      <c r="H137" s="392"/>
      <c r="I137" s="392"/>
      <c r="J137" s="172"/>
      <c r="K137" s="172"/>
      <c r="L137" s="172"/>
      <c r="M137" s="172"/>
      <c r="N137" s="172"/>
      <c r="O137" s="172"/>
      <c r="P137" s="172"/>
      <c r="Q137" s="172"/>
      <c r="R137" s="136"/>
      <c r="S137" s="172"/>
      <c r="T137" s="172"/>
      <c r="U137" s="172"/>
      <c r="V137" s="117"/>
      <c r="W137" s="137"/>
      <c r="X137" s="150"/>
      <c r="AD137" s="197"/>
      <c r="AE137" s="199"/>
      <c r="AF137" s="184"/>
      <c r="AG137" s="184"/>
      <c r="AH137" s="184"/>
      <c r="AJ137" s="184"/>
      <c r="AK137" s="161"/>
    </row>
    <row r="138" spans="1:46" s="81" customFormat="1" ht="39.6" hidden="1" customHeight="1" x14ac:dyDescent="0.2">
      <c r="A138" s="217"/>
      <c r="B138" s="392"/>
      <c r="C138" s="392"/>
      <c r="D138" s="392"/>
      <c r="E138" s="392"/>
      <c r="F138" s="392"/>
      <c r="G138" s="392"/>
      <c r="H138" s="392"/>
      <c r="I138" s="392"/>
      <c r="J138" s="172"/>
      <c r="K138" s="172"/>
      <c r="L138" s="172"/>
      <c r="M138" s="172"/>
      <c r="N138" s="172"/>
      <c r="O138" s="172"/>
      <c r="P138" s="172"/>
      <c r="Q138" s="172"/>
      <c r="R138" s="136"/>
      <c r="S138" s="172"/>
      <c r="T138" s="172"/>
      <c r="U138" s="172"/>
      <c r="V138" s="117"/>
      <c r="W138" s="137"/>
      <c r="X138" s="150"/>
      <c r="Z138" s="190"/>
      <c r="AE138" s="199"/>
      <c r="AF138" s="184"/>
      <c r="AG138" s="184"/>
      <c r="AH138" s="184"/>
      <c r="AJ138" s="184"/>
      <c r="AK138" s="161"/>
    </row>
    <row r="139" spans="1:46" s="81" customFormat="1" ht="49.5" hidden="1" customHeight="1" x14ac:dyDescent="0.2">
      <c r="A139" s="217"/>
      <c r="B139" s="392"/>
      <c r="C139" s="392"/>
      <c r="D139" s="392"/>
      <c r="E139" s="392"/>
      <c r="F139" s="392"/>
      <c r="G139" s="392"/>
      <c r="H139" s="392"/>
      <c r="I139" s="392"/>
      <c r="J139" s="172"/>
      <c r="K139" s="172"/>
      <c r="L139" s="172"/>
      <c r="M139" s="172"/>
      <c r="N139" s="172"/>
      <c r="O139" s="172"/>
      <c r="P139" s="172"/>
      <c r="Q139" s="172"/>
      <c r="R139" s="136"/>
      <c r="S139" s="172"/>
      <c r="T139" s="172"/>
      <c r="U139" s="172"/>
      <c r="V139" s="117"/>
      <c r="W139" s="137"/>
      <c r="X139" s="150"/>
      <c r="Z139" s="190"/>
      <c r="AE139" s="199"/>
      <c r="AF139" s="184"/>
      <c r="AG139" s="184"/>
      <c r="AH139" s="184"/>
      <c r="AJ139" s="184"/>
      <c r="AK139" s="161"/>
    </row>
    <row r="140" spans="1:46" s="81" customFormat="1" ht="7.5" hidden="1" customHeight="1" x14ac:dyDescent="0.2">
      <c r="A140" s="118"/>
      <c r="B140" s="17"/>
      <c r="C140" s="17"/>
      <c r="D140" s="16"/>
      <c r="E140" s="16"/>
      <c r="F140" s="16"/>
      <c r="G140" s="16"/>
      <c r="H140" s="16"/>
      <c r="I140" s="16"/>
      <c r="J140" s="12"/>
      <c r="K140" s="18"/>
      <c r="L140" s="18"/>
      <c r="M140" s="18"/>
      <c r="N140" s="18"/>
      <c r="O140" s="18"/>
      <c r="P140" s="18"/>
      <c r="Q140" s="18"/>
      <c r="R140" s="18"/>
      <c r="S140" s="18"/>
      <c r="T140" s="18"/>
      <c r="U140" s="19"/>
      <c r="V140" s="117"/>
      <c r="W140" s="137"/>
      <c r="X140" s="150"/>
      <c r="Z140" s="190"/>
      <c r="AJ140" s="184"/>
      <c r="AK140" s="157"/>
      <c r="AL140" s="74"/>
      <c r="AM140" s="74"/>
      <c r="AN140" s="74"/>
      <c r="AO140" s="74"/>
      <c r="AP140" s="74"/>
      <c r="AQ140" s="74"/>
      <c r="AR140" s="74"/>
    </row>
    <row r="141" spans="1:46" s="81" customFormat="1" ht="15" hidden="1" customHeight="1" x14ac:dyDescent="0.2">
      <c r="A141" s="1716"/>
      <c r="B141" s="1760"/>
      <c r="C141" s="1760"/>
      <c r="D141" s="1760"/>
      <c r="E141" s="1760"/>
      <c r="F141" s="1760"/>
      <c r="G141" s="1760"/>
      <c r="H141" s="1760"/>
      <c r="I141" s="1760"/>
      <c r="J141" s="1760"/>
      <c r="K141" s="1760"/>
      <c r="L141" s="1760"/>
      <c r="M141" s="1760"/>
      <c r="N141" s="1760"/>
      <c r="O141" s="1760"/>
      <c r="P141" s="1760"/>
      <c r="Q141" s="1760"/>
      <c r="R141" s="1760"/>
      <c r="S141" s="1760"/>
      <c r="T141" s="1760"/>
      <c r="U141" s="1760"/>
      <c r="V141" s="1761"/>
      <c r="W141" s="137"/>
      <c r="X141" s="150"/>
      <c r="AK141" s="161"/>
      <c r="AT141" s="74"/>
    </row>
    <row r="142" spans="1:46" s="81" customFormat="1" ht="11.45" hidden="1" customHeight="1" x14ac:dyDescent="0.2">
      <c r="A142" s="1765" t="str">
        <f>Home!$A$39</f>
        <v xml:space="preserve"> </v>
      </c>
      <c r="B142" s="1766"/>
      <c r="C142" s="1766"/>
      <c r="D142" s="1766"/>
      <c r="E142" s="1766"/>
      <c r="F142" s="1766"/>
      <c r="G142" s="1766"/>
      <c r="H142" s="1766"/>
      <c r="I142" s="1767"/>
      <c r="J142" s="1766"/>
      <c r="K142" s="1766"/>
      <c r="L142" s="1766"/>
      <c r="M142" s="1766"/>
      <c r="N142" s="1766"/>
      <c r="O142" s="1766"/>
      <c r="P142" s="1768"/>
      <c r="Q142" s="1766"/>
      <c r="R142" s="1766"/>
      <c r="S142" s="1766"/>
      <c r="T142" s="1767"/>
      <c r="U142" s="1766"/>
      <c r="V142" s="1769"/>
      <c r="W142" s="137"/>
      <c r="X142" s="150"/>
      <c r="AJ142" s="184"/>
      <c r="AK142" s="160"/>
      <c r="AL142" s="87"/>
      <c r="AT142" s="74"/>
    </row>
    <row r="143" spans="1:46" ht="11.1" customHeight="1" x14ac:dyDescent="0.2">
      <c r="A143" s="112"/>
      <c r="B143" s="113"/>
      <c r="C143" s="113"/>
      <c r="D143" s="113"/>
      <c r="E143" s="113"/>
      <c r="F143" s="113"/>
      <c r="G143" s="113"/>
      <c r="H143" s="113"/>
      <c r="I143" s="113"/>
      <c r="J143" s="114"/>
      <c r="K143" s="113"/>
      <c r="L143" s="113"/>
      <c r="M143" s="113"/>
      <c r="N143" s="113"/>
      <c r="O143" s="113"/>
      <c r="P143" s="113"/>
      <c r="Q143" s="113"/>
      <c r="R143" s="113"/>
      <c r="S143" s="113"/>
      <c r="T143" s="113"/>
      <c r="U143" s="113"/>
      <c r="V143" s="115"/>
      <c r="W143" s="137"/>
      <c r="X143" s="150"/>
      <c r="Z143" s="196"/>
      <c r="AA143" s="188"/>
      <c r="AJ143" s="184"/>
      <c r="AK143" s="157"/>
    </row>
    <row r="144" spans="1:46" s="76" customFormat="1" ht="15" customHeight="1" x14ac:dyDescent="0.2">
      <c r="A144" s="119"/>
      <c r="B144" s="59" t="s">
        <v>27</v>
      </c>
      <c r="C144" s="313"/>
      <c r="D144" s="313"/>
      <c r="E144" s="313"/>
      <c r="F144" s="313"/>
      <c r="G144" s="313"/>
      <c r="H144" s="313"/>
      <c r="I144" s="313"/>
      <c r="J144" s="70"/>
      <c r="K144" s="70"/>
      <c r="L144" s="70"/>
      <c r="M144" s="70"/>
      <c r="N144" s="312"/>
      <c r="O144" s="70"/>
      <c r="P144" s="70"/>
      <c r="Q144" s="70"/>
      <c r="R144" s="70"/>
      <c r="S144" s="70"/>
      <c r="T144" s="70"/>
      <c r="U144" s="70"/>
      <c r="V144" s="120"/>
      <c r="W144" s="138"/>
      <c r="X144" s="151"/>
      <c r="Y144" s="188"/>
      <c r="Z144" s="188"/>
      <c r="AA144" s="188"/>
      <c r="AB144" s="188"/>
      <c r="AC144" s="188"/>
      <c r="AD144" s="188"/>
      <c r="AE144" s="188"/>
      <c r="AF144" s="188"/>
      <c r="AG144" s="188"/>
      <c r="AH144" s="188"/>
      <c r="AI144" s="188"/>
      <c r="AJ144" s="188"/>
      <c r="AK144" s="158"/>
    </row>
    <row r="145" spans="1:45" ht="15" customHeight="1" x14ac:dyDescent="0.2">
      <c r="A145" s="118"/>
      <c r="B145" s="623" t="s">
        <v>607</v>
      </c>
      <c r="C145" s="313"/>
      <c r="D145" s="313"/>
      <c r="E145" s="313"/>
      <c r="F145" s="313"/>
      <c r="G145" s="313"/>
      <c r="H145" s="313"/>
      <c r="I145" s="313"/>
      <c r="J145" s="70"/>
      <c r="K145" s="70"/>
      <c r="L145" s="70"/>
      <c r="M145" s="70"/>
      <c r="N145" s="312"/>
      <c r="O145" s="70"/>
      <c r="P145" s="70"/>
      <c r="Q145" s="70"/>
      <c r="R145" s="10"/>
      <c r="S145" s="70"/>
      <c r="T145" s="70"/>
      <c r="U145" s="70"/>
      <c r="V145" s="117"/>
      <c r="W145" s="137"/>
      <c r="X145" s="150"/>
      <c r="Y145" s="198" t="s">
        <v>86</v>
      </c>
      <c r="AJ145" s="184"/>
      <c r="AK145" s="157"/>
    </row>
    <row r="146" spans="1:45" ht="13.5" customHeight="1" x14ac:dyDescent="0.2">
      <c r="A146" s="278"/>
      <c r="B146" s="1771" t="s">
        <v>205</v>
      </c>
      <c r="C146" s="778"/>
      <c r="D146" s="789" t="str">
        <f>Sheet1!$D$27</f>
        <v>2015-16</v>
      </c>
      <c r="E146" s="790" t="str">
        <f>Sheet1!$E$27</f>
        <v>2016-17</v>
      </c>
      <c r="F146" s="790" t="str">
        <f>Sheet1!$F$27</f>
        <v>2017-18</v>
      </c>
      <c r="G146" s="790" t="str">
        <f>Sheet1!$G$27</f>
        <v>2018-19</v>
      </c>
      <c r="H146" s="791" t="str">
        <f>Sheet1!$H$27</f>
        <v>2019-20</v>
      </c>
      <c r="I146" s="776"/>
      <c r="J146" s="70"/>
      <c r="K146" s="70"/>
      <c r="L146" s="70"/>
      <c r="M146" s="70"/>
      <c r="N146" s="775"/>
      <c r="O146" s="70"/>
      <c r="P146" s="70"/>
      <c r="Q146" s="70"/>
      <c r="R146" s="10"/>
      <c r="S146" s="70"/>
      <c r="T146" s="70"/>
      <c r="U146" s="70"/>
      <c r="V146" s="117"/>
      <c r="W146" s="137"/>
      <c r="X146" s="150"/>
      <c r="Z146" s="789" t="str">
        <f>Sheet1!$D$27</f>
        <v>2015-16</v>
      </c>
      <c r="AA146" s="790" t="str">
        <f>Sheet1!$E$27</f>
        <v>2016-17</v>
      </c>
      <c r="AB146" s="790" t="str">
        <f>Sheet1!$F$27</f>
        <v>2017-18</v>
      </c>
      <c r="AC146" s="790" t="str">
        <f>Sheet1!$G$27</f>
        <v>2018-19</v>
      </c>
      <c r="AD146" s="791" t="str">
        <f>Sheet1!$H$27</f>
        <v>2019-20</v>
      </c>
      <c r="AJ146" s="184"/>
      <c r="AK146" s="157"/>
    </row>
    <row r="147" spans="1:45" s="87" customFormat="1" ht="13.5" customHeight="1" x14ac:dyDescent="0.2">
      <c r="A147" s="121"/>
      <c r="B147" s="1772"/>
      <c r="C147" s="85"/>
      <c r="D147" s="792" t="e">
        <f>Sheet1!$D$28</f>
        <v>#N/A</v>
      </c>
      <c r="E147" s="792" t="e">
        <f>Sheet1!$E$28</f>
        <v>#N/A</v>
      </c>
      <c r="F147" s="792" t="e">
        <f>Sheet1!$F$28</f>
        <v>#N/A</v>
      </c>
      <c r="G147" s="792" t="e">
        <f>Sheet1!$G$28</f>
        <v>#N/A</v>
      </c>
      <c r="H147" s="793" t="e">
        <f>Sheet1!$H$28</f>
        <v>#N/A</v>
      </c>
      <c r="I147" s="96"/>
      <c r="J147" s="96"/>
      <c r="K147" s="61"/>
      <c r="L147" s="61"/>
      <c r="M147" s="61"/>
      <c r="N147" s="61"/>
      <c r="O147" s="61"/>
      <c r="P147" s="61"/>
      <c r="Q147" s="314"/>
      <c r="R147" s="314"/>
      <c r="S147" s="159"/>
      <c r="T147" s="159"/>
      <c r="U147" s="315"/>
      <c r="V147" s="122"/>
      <c r="W147" s="139"/>
      <c r="X147" s="152"/>
      <c r="Z147" s="792" t="e">
        <f>Sheet1!$D$28</f>
        <v>#N/A</v>
      </c>
      <c r="AA147" s="792" t="e">
        <f>Sheet1!$E$28</f>
        <v>#N/A</v>
      </c>
      <c r="AB147" s="792" t="e">
        <f>Sheet1!$F$28</f>
        <v>#N/A</v>
      </c>
      <c r="AC147" s="792" t="e">
        <f>Sheet1!$G$28</f>
        <v>#N/A</v>
      </c>
      <c r="AD147" s="793" t="e">
        <f>Sheet1!$H$28</f>
        <v>#N/A</v>
      </c>
      <c r="AE147" s="199"/>
      <c r="AF147" s="190"/>
      <c r="AG147" s="190"/>
      <c r="AH147" s="190"/>
      <c r="AI147" s="190"/>
      <c r="AJ147" s="202"/>
      <c r="AK147" s="160"/>
    </row>
    <row r="148" spans="1:45" s="87" customFormat="1" ht="12.75" customHeight="1" x14ac:dyDescent="0.2">
      <c r="A148" s="488">
        <f>VLOOKUP(B148,Sheet1!$AQ$4:$AR$25,2,FALSE)</f>
        <v>0</v>
      </c>
      <c r="B148" s="93" t="str">
        <f t="shared" ref="B148:B171" si="46">B10</f>
        <v>Bracknell Forest</v>
      </c>
      <c r="C148" s="85"/>
      <c r="D148" s="162">
        <f t="shared" ref="D148:D171" si="47">IF(ISNUMBER(Z148),Z148/D10,NA())</f>
        <v>0.82695252679938747</v>
      </c>
      <c r="E148" s="162">
        <f t="shared" ref="E148:E171" si="48">IF(ISNUMBER(AA148),AA148/E10,NA())</f>
        <v>0.87591240875912413</v>
      </c>
      <c r="F148" s="162">
        <f t="shared" ref="F148:F171" si="49">IF(ISNUMBER(AB148),AB148/F10,NA())</f>
        <v>0.9279824079164376</v>
      </c>
      <c r="G148" s="162">
        <f t="shared" ref="G148:G171" si="50">IF(ISNUMBER(AC148),AC148/G10,NA())</f>
        <v>0.71875</v>
      </c>
      <c r="H148" s="164">
        <f t="shared" ref="H148:H170" si="51">IF(ISNUMBER(AD148),AD148/H10,NA())</f>
        <v>0.81871689228958211</v>
      </c>
      <c r="I148" s="96"/>
      <c r="J148" s="96"/>
      <c r="K148" s="166"/>
      <c r="L148" s="166"/>
      <c r="M148" s="166"/>
      <c r="N148" s="166"/>
      <c r="O148" s="166"/>
      <c r="P148" s="166"/>
      <c r="Q148" s="166"/>
      <c r="R148" s="167"/>
      <c r="S148" s="159"/>
      <c r="T148" s="159"/>
      <c r="U148" s="166"/>
      <c r="V148" s="122"/>
      <c r="W148" s="139"/>
      <c r="X148" s="152"/>
      <c r="Y148" s="45" t="str">
        <f t="shared" ref="Y148:Y171" si="52">B10</f>
        <v>Bracknell Forest</v>
      </c>
      <c r="Z148" s="41">
        <f>IF(Year1_Bracknell_Forest Year1_ReferralsAssessment="","",Year1_Bracknell_Forest Year1_ReferralsAssessment)</f>
        <v>1080</v>
      </c>
      <c r="AA148" s="41">
        <f>IF(Year2_Bracknell_Forest Year2_ReferralsAssessment="","",Year2_Bracknell_Forest Year2_ReferralsAssessment)</f>
        <v>1440</v>
      </c>
      <c r="AB148" s="41">
        <f>IF(Year3_Bracknell_Forest Year3_ReferralsAssessment="","",Year3_Bracknell_Forest Year3_ReferralsAssessment)</f>
        <v>1688</v>
      </c>
      <c r="AC148" s="41">
        <f>IF(Year4_Bracknell_Forest Year4_ReferralsAssessment="","",Year4_Bracknell_Forest Year4_ReferralsAssessment)</f>
        <v>1610</v>
      </c>
      <c r="AD148" s="41">
        <f>IF(Year5_Bracknell_Forest Year5_ReferralsAssessment="","",Year5_Bracknell_Forest Year5_ReferralsAssessment)</f>
        <v>1391</v>
      </c>
      <c r="AE148" s="199"/>
      <c r="AF148" s="190"/>
      <c r="AG148" s="190"/>
      <c r="AH148" s="190"/>
      <c r="AI148" s="190"/>
      <c r="AJ148" s="202"/>
      <c r="AK148" s="160"/>
    </row>
    <row r="149" spans="1:45" s="87" customFormat="1" ht="12.75" customHeight="1" x14ac:dyDescent="0.2">
      <c r="A149" s="488">
        <f>VLOOKUP(B149,Sheet1!$AQ$4:$AR$25,2,FALSE)</f>
        <v>0</v>
      </c>
      <c r="B149" s="93" t="str">
        <f t="shared" si="46"/>
        <v>Brighton &amp; Hove</v>
      </c>
      <c r="C149" s="85"/>
      <c r="D149" s="162">
        <f t="shared" si="47"/>
        <v>0.90455341506129594</v>
      </c>
      <c r="E149" s="162">
        <f t="shared" si="48"/>
        <v>0.90249632892804699</v>
      </c>
      <c r="F149" s="162">
        <f t="shared" si="49"/>
        <v>0.9087918660287081</v>
      </c>
      <c r="G149" s="162">
        <f t="shared" si="50"/>
        <v>0.92466810744056804</v>
      </c>
      <c r="H149" s="164">
        <f t="shared" si="51"/>
        <v>0.86782413889666765</v>
      </c>
      <c r="I149" s="96"/>
      <c r="J149" s="96"/>
      <c r="K149" s="166"/>
      <c r="L149" s="166"/>
      <c r="M149" s="166"/>
      <c r="N149" s="166"/>
      <c r="O149" s="166"/>
      <c r="P149" s="166"/>
      <c r="Q149" s="166"/>
      <c r="R149" s="167"/>
      <c r="S149" s="159"/>
      <c r="T149" s="159"/>
      <c r="U149" s="166"/>
      <c r="V149" s="122"/>
      <c r="W149" s="139"/>
      <c r="X149" s="152"/>
      <c r="Y149" s="45" t="str">
        <f t="shared" si="52"/>
        <v>Brighton &amp; Hove</v>
      </c>
      <c r="Z149" s="41">
        <f>IF(Year1_Brighton_Hove Year1_ReferralsAssessment="","",Year1_Brighton_Hove Year1_ReferralsAssessment)</f>
        <v>3099</v>
      </c>
      <c r="AA149" s="41">
        <f>IF(Year2_Brighton_Hove Year2_ReferralsAssessment="","",Year2_Brighton_Hove Year2_ReferralsAssessment)</f>
        <v>3073</v>
      </c>
      <c r="AB149" s="41">
        <f>IF(Year3_Brighton_Hove Year3_ReferralsAssessment="","",Year3_Brighton_Hove Year3_ReferralsAssessment)</f>
        <v>3039</v>
      </c>
      <c r="AC149" s="41">
        <f>IF(Year4_Brighton_Hove Year4_ReferralsAssessment="","",Year4_Brighton_Hove Year4_ReferralsAssessment)</f>
        <v>2995</v>
      </c>
      <c r="AD149" s="41">
        <f>IF(Year5_Brighton_Hove Year5_ReferralsAssessment="","",Year5_Brighton_Hove Year5_ReferralsAssessment)</f>
        <v>3099</v>
      </c>
      <c r="AE149" s="199"/>
      <c r="AF149" s="190"/>
      <c r="AG149" s="190"/>
      <c r="AH149" s="190"/>
      <c r="AI149" s="190"/>
      <c r="AJ149" s="202"/>
      <c r="AK149" s="160"/>
    </row>
    <row r="150" spans="1:45" s="87" customFormat="1" ht="12.75" customHeight="1" x14ac:dyDescent="0.2">
      <c r="A150" s="488">
        <f>VLOOKUP(B150,Sheet1!$AQ$4:$AR$25,2,FALSE)</f>
        <v>0</v>
      </c>
      <c r="B150" s="93" t="str">
        <f t="shared" si="46"/>
        <v>Buckinghamshire</v>
      </c>
      <c r="C150" s="85"/>
      <c r="D150" s="162">
        <f t="shared" si="47"/>
        <v>0.83702213279678073</v>
      </c>
      <c r="E150" s="162">
        <f t="shared" si="48"/>
        <v>0.89710995219469791</v>
      </c>
      <c r="F150" s="162">
        <f t="shared" si="49"/>
        <v>0.74102737738221924</v>
      </c>
      <c r="G150" s="162">
        <f t="shared" si="50"/>
        <v>0.73390052356020941</v>
      </c>
      <c r="H150" s="164">
        <f t="shared" si="51"/>
        <v>0.85502569618740287</v>
      </c>
      <c r="I150" s="96"/>
      <c r="J150" s="96"/>
      <c r="K150" s="166"/>
      <c r="L150" s="166"/>
      <c r="M150" s="166"/>
      <c r="N150" s="166"/>
      <c r="O150" s="166"/>
      <c r="P150" s="166"/>
      <c r="Q150" s="166"/>
      <c r="R150" s="167"/>
      <c r="S150" s="159"/>
      <c r="T150" s="159"/>
      <c r="U150" s="166"/>
      <c r="V150" s="122"/>
      <c r="W150" s="139"/>
      <c r="X150" s="152"/>
      <c r="Y150" s="45" t="str">
        <f t="shared" si="52"/>
        <v>Buckinghamshire</v>
      </c>
      <c r="Z150" s="41">
        <f>IF(Year1_Buckinghamshire Year1_ReferralsAssessment="","",Year1_Buckinghamshire Year1_ReferralsAssessment)</f>
        <v>5824</v>
      </c>
      <c r="AA150" s="41">
        <f>IF(Year2_Buckinghamshire Year2_ReferralsAssessment="","",Year2_Buckinghamshire Year2_ReferralsAssessment)</f>
        <v>8257</v>
      </c>
      <c r="AB150" s="41">
        <f>IF(Year3_Buckinghamshire Year3_ReferralsAssessment="","",Year3_Buckinghamshire Year3_ReferralsAssessment)</f>
        <v>7660</v>
      </c>
      <c r="AC150" s="41">
        <f>IF(Year4_Buckinghamshire Year4_ReferralsAssessment="","",Year4_Buckinghamshire Year4_ReferralsAssessment)</f>
        <v>5607</v>
      </c>
      <c r="AD150" s="41">
        <f>IF(Year5_Buckinghamshire Year5_ReferralsAssessment="","",Year5_Buckinghamshire Year5_ReferralsAssessment)</f>
        <v>7154</v>
      </c>
      <c r="AE150" s="199"/>
      <c r="AF150" s="190"/>
      <c r="AG150" s="190"/>
      <c r="AH150" s="190"/>
      <c r="AI150" s="190"/>
      <c r="AJ150" s="202"/>
      <c r="AK150" s="160"/>
    </row>
    <row r="151" spans="1:45" s="87" customFormat="1" ht="12.75" customHeight="1" x14ac:dyDescent="0.2">
      <c r="A151" s="488">
        <f>VLOOKUP(B151,Sheet1!$AQ$4:$AR$25,2,FALSE)</f>
        <v>0</v>
      </c>
      <c r="B151" s="93" t="str">
        <f t="shared" si="46"/>
        <v>East Sussex</v>
      </c>
      <c r="C151" s="85"/>
      <c r="D151" s="162">
        <f t="shared" si="47"/>
        <v>0.97467166979362097</v>
      </c>
      <c r="E151" s="162">
        <f t="shared" si="48"/>
        <v>0.98150163220892273</v>
      </c>
      <c r="F151" s="162">
        <f t="shared" si="49"/>
        <v>0.9814517975727044</v>
      </c>
      <c r="G151" s="162">
        <f t="shared" si="50"/>
        <v>0.98146002317497105</v>
      </c>
      <c r="H151" s="164">
        <f t="shared" si="51"/>
        <v>0.98656107511399083</v>
      </c>
      <c r="I151" s="96"/>
      <c r="J151" s="96"/>
      <c r="K151" s="166"/>
      <c r="L151" s="166"/>
      <c r="M151" s="166"/>
      <c r="N151" s="166"/>
      <c r="O151" s="166"/>
      <c r="P151" s="166"/>
      <c r="Q151" s="166"/>
      <c r="R151" s="167"/>
      <c r="S151" s="159"/>
      <c r="T151" s="159"/>
      <c r="U151" s="166"/>
      <c r="V151" s="122"/>
      <c r="W151" s="139"/>
      <c r="X151" s="152"/>
      <c r="Y151" s="45" t="str">
        <f t="shared" si="52"/>
        <v>East Sussex</v>
      </c>
      <c r="Z151" s="41">
        <f>IF(Year1_East_Sussex Year1_ReferralsAssessment="","",Year1_East_Sussex Year1_ReferralsAssessment)</f>
        <v>3117</v>
      </c>
      <c r="AA151" s="41">
        <f>IF(Year2_East_Sussex Year2_ReferralsAssessment="","",Year2_East_Sussex Year2_ReferralsAssessment)</f>
        <v>3608</v>
      </c>
      <c r="AB151" s="41">
        <f>IF(Year3_East_Sussex Year3_ReferralsAssessment="","",Year3_East_Sussex Year3_ReferralsAssessment)</f>
        <v>4286</v>
      </c>
      <c r="AC151" s="41">
        <f>IF(Year4_East_Sussex Year4_ReferralsAssessment="","",Year4_East_Sussex Year4_ReferralsAssessment)</f>
        <v>4235</v>
      </c>
      <c r="AD151" s="41">
        <f>IF(Year5_East_Sussex Year5_ReferralsAssessment="","",Year5_East_Sussex Year5_ReferralsAssessment)</f>
        <v>4111</v>
      </c>
      <c r="AE151" s="199"/>
      <c r="AF151" s="190"/>
      <c r="AG151" s="190"/>
      <c r="AH151" s="190"/>
      <c r="AI151" s="190"/>
      <c r="AJ151" s="202"/>
      <c r="AK151" s="160"/>
    </row>
    <row r="152" spans="1:45" s="87" customFormat="1" ht="12.75" customHeight="1" x14ac:dyDescent="0.2">
      <c r="A152" s="488">
        <f>VLOOKUP(B152,Sheet1!$AQ$4:$AR$25,2,FALSE)</f>
        <v>0</v>
      </c>
      <c r="B152" s="93" t="str">
        <f t="shared" si="46"/>
        <v>Hampshire</v>
      </c>
      <c r="C152" s="85"/>
      <c r="D152" s="162">
        <f t="shared" si="47"/>
        <v>0.89961598463938552</v>
      </c>
      <c r="E152" s="162">
        <f t="shared" si="48"/>
        <v>0.82588114226910214</v>
      </c>
      <c r="F152" s="162">
        <f t="shared" si="49"/>
        <v>0.83599131244182434</v>
      </c>
      <c r="G152" s="162">
        <f t="shared" si="50"/>
        <v>0.85495436766623212</v>
      </c>
      <c r="H152" s="164">
        <f t="shared" si="51"/>
        <v>0.86641938674579622</v>
      </c>
      <c r="I152" s="96"/>
      <c r="J152" s="96"/>
      <c r="K152" s="166"/>
      <c r="L152" s="166"/>
      <c r="M152" s="166"/>
      <c r="N152" s="166"/>
      <c r="O152" s="166"/>
      <c r="P152" s="166"/>
      <c r="Q152" s="166"/>
      <c r="R152" s="167"/>
      <c r="S152" s="159"/>
      <c r="T152" s="159"/>
      <c r="U152" s="166"/>
      <c r="V152" s="122"/>
      <c r="W152" s="139"/>
      <c r="X152" s="152"/>
      <c r="Y152" s="45" t="str">
        <f t="shared" si="52"/>
        <v>Hampshire</v>
      </c>
      <c r="Z152" s="41">
        <f>IF(Year1_Hampshire Year1_ReferralsAssessment="","",Year1_Hampshire Year1_ReferralsAssessment)</f>
        <v>14993</v>
      </c>
      <c r="AA152" s="41">
        <f>IF(Year2_Hampshire Year2_ReferralsAssessment="","",Year2_Hampshire Year2_ReferralsAssessment)</f>
        <v>16051</v>
      </c>
      <c r="AB152" s="41">
        <f>IF(Year3_Hampshire Year3_ReferralsAssessment="","",Year3_Hampshire Year3_ReferralsAssessment)</f>
        <v>13472</v>
      </c>
      <c r="AC152" s="41">
        <f>IF(Year4_Hampshire Year4_ReferralsAssessment="","",Year4_Hampshire Year4_ReferralsAssessment)</f>
        <v>15738</v>
      </c>
      <c r="AD152" s="41">
        <f>IF(Year5_Hampshire Year5_ReferralsAssessment="","",Year5_Hampshire Year5_ReferralsAssessment)</f>
        <v>17519</v>
      </c>
      <c r="AE152" s="199"/>
      <c r="AF152" s="190"/>
      <c r="AG152" s="190"/>
      <c r="AH152" s="190"/>
      <c r="AI152" s="190"/>
      <c r="AJ152" s="202"/>
      <c r="AK152" s="160"/>
    </row>
    <row r="153" spans="1:45" s="87" customFormat="1" ht="12.75" customHeight="1" x14ac:dyDescent="0.2">
      <c r="A153" s="488">
        <f>VLOOKUP(B153,Sheet1!$AQ$4:$AR$25,2,FALSE)</f>
        <v>0</v>
      </c>
      <c r="B153" s="93" t="str">
        <f t="shared" si="46"/>
        <v>Isle of Wight</v>
      </c>
      <c r="C153" s="85"/>
      <c r="D153" s="162">
        <f t="shared" si="47"/>
        <v>0.89284219338635418</v>
      </c>
      <c r="E153" s="162">
        <f t="shared" si="48"/>
        <v>0.83773440489858397</v>
      </c>
      <c r="F153" s="162">
        <f t="shared" si="49"/>
        <v>0.80605786618444841</v>
      </c>
      <c r="G153" s="162">
        <f t="shared" si="50"/>
        <v>0.77846534653465349</v>
      </c>
      <c r="H153" s="164">
        <f t="shared" si="51"/>
        <v>0.82958801498127344</v>
      </c>
      <c r="I153" s="96"/>
      <c r="J153" s="96"/>
      <c r="K153" s="166"/>
      <c r="L153" s="166"/>
      <c r="M153" s="166"/>
      <c r="N153" s="166"/>
      <c r="O153" s="166"/>
      <c r="P153" s="166"/>
      <c r="Q153" s="166"/>
      <c r="R153" s="167"/>
      <c r="S153" s="159"/>
      <c r="T153" s="159"/>
      <c r="U153" s="166"/>
      <c r="V153" s="122"/>
      <c r="W153" s="139"/>
      <c r="X153" s="152"/>
      <c r="Y153" s="45" t="str">
        <f t="shared" si="52"/>
        <v>Isle of Wight</v>
      </c>
      <c r="Z153" s="41">
        <f>IF(Year1_Isle_of_Wight Year1_ReferralsAssessment="","",Year1_Isle_of_Wight Year1_ReferralsAssessment)</f>
        <v>2133</v>
      </c>
      <c r="AA153" s="41">
        <f>IF(Year2_Isle_of_Wight Year2_ReferralsAssessment="","",Year2_Isle_of_Wight Year2_ReferralsAssessment)</f>
        <v>2189</v>
      </c>
      <c r="AB153" s="41">
        <f>IF(Year3_Isle_of_Wight Year3_ReferralsAssessment="","",Year3_Isle_of_Wight Year3_ReferralsAssessment)</f>
        <v>1783</v>
      </c>
      <c r="AC153" s="41">
        <f>IF(Year4_Isle_of_Wight Year4_ReferralsAssessment="","",Year4_Isle_of_Wight Year4_ReferralsAssessment)</f>
        <v>1887</v>
      </c>
      <c r="AD153" s="41">
        <f>IF(Year5_Isle_of_Wight Year5_ReferralsAssessment="","",Year5_Isle_of_Wight Year5_ReferralsAssessment)</f>
        <v>2215</v>
      </c>
      <c r="AE153" s="199"/>
      <c r="AF153" s="190"/>
      <c r="AG153" s="190"/>
      <c r="AH153" s="190"/>
      <c r="AI153" s="190"/>
      <c r="AJ153" s="202"/>
      <c r="AK153" s="160"/>
      <c r="AS153" s="87" t="s">
        <v>102</v>
      </c>
    </row>
    <row r="154" spans="1:45" s="87" customFormat="1" ht="12.75" customHeight="1" x14ac:dyDescent="0.2">
      <c r="A154" s="488">
        <f>VLOOKUP(B154,Sheet1!$AQ$4:$AR$25,2,FALSE)</f>
        <v>0</v>
      </c>
      <c r="B154" s="93" t="str">
        <f t="shared" si="46"/>
        <v>Kent</v>
      </c>
      <c r="C154" s="85"/>
      <c r="D154" s="162">
        <f t="shared" si="47"/>
        <v>0.99302568113674883</v>
      </c>
      <c r="E154" s="162">
        <f t="shared" si="48"/>
        <v>0.99462195507750717</v>
      </c>
      <c r="F154" s="162">
        <f t="shared" si="49"/>
        <v>0.99236050172921075</v>
      </c>
      <c r="G154" s="162">
        <f t="shared" si="50"/>
        <v>0.99431165563638357</v>
      </c>
      <c r="H154" s="164">
        <f t="shared" si="51"/>
        <v>0.99525705848136381</v>
      </c>
      <c r="I154" s="96"/>
      <c r="J154" s="96"/>
      <c r="K154" s="166"/>
      <c r="L154" s="166"/>
      <c r="M154" s="166"/>
      <c r="N154" s="166"/>
      <c r="O154" s="166"/>
      <c r="P154" s="166"/>
      <c r="Q154" s="166"/>
      <c r="R154" s="167"/>
      <c r="S154" s="159"/>
      <c r="T154" s="159"/>
      <c r="U154" s="166"/>
      <c r="V154" s="122"/>
      <c r="W154" s="139"/>
      <c r="X154" s="152"/>
      <c r="Y154" s="45" t="str">
        <f t="shared" si="52"/>
        <v>Kent</v>
      </c>
      <c r="Z154" s="41">
        <f>IF(Year1_Kent Year1_ReferralsAssessment="","",Year1_Kent Year1_ReferralsAssessment)</f>
        <v>15235</v>
      </c>
      <c r="AA154" s="41">
        <f>IF(Year2_Kent Year2_ReferralsAssessment="","",Year2_Kent Year2_ReferralsAssessment)</f>
        <v>15720</v>
      </c>
      <c r="AB154" s="41">
        <f>IF(Year3_Kent Year3_ReferralsAssessment="","",Year3_Kent Year3_ReferralsAssessment)</f>
        <v>19225</v>
      </c>
      <c r="AC154" s="41">
        <f>IF(Year4_Kent Year4_ReferralsAssessment="","",Year4_Kent Year4_ReferralsAssessment)</f>
        <v>18179</v>
      </c>
      <c r="AD154" s="41">
        <f>IF(Year5_Kent Year5_ReferralsAssessment="","",Year5_Kent Year5_ReferralsAssessment)</f>
        <v>22243</v>
      </c>
      <c r="AE154" s="199"/>
      <c r="AF154" s="190"/>
      <c r="AG154" s="190"/>
      <c r="AH154" s="190"/>
      <c r="AI154" s="190"/>
      <c r="AJ154" s="202"/>
      <c r="AK154" s="160"/>
    </row>
    <row r="155" spans="1:45" s="87" customFormat="1" ht="12.75" customHeight="1" x14ac:dyDescent="0.2">
      <c r="A155" s="488">
        <f>VLOOKUP(B155,Sheet1!$AQ$4:$AR$25,2,FALSE)</f>
        <v>0</v>
      </c>
      <c r="B155" s="93" t="str">
        <f t="shared" si="46"/>
        <v>Medway</v>
      </c>
      <c r="C155" s="85"/>
      <c r="D155" s="162">
        <f t="shared" si="47"/>
        <v>0.88004750593824232</v>
      </c>
      <c r="E155" s="162">
        <f t="shared" si="48"/>
        <v>0.91617862371888725</v>
      </c>
      <c r="F155" s="162">
        <f t="shared" si="49"/>
        <v>0.92534456355283312</v>
      </c>
      <c r="G155" s="162">
        <f t="shared" si="50"/>
        <v>0.92670807453416149</v>
      </c>
      <c r="H155" s="164">
        <f t="shared" si="51"/>
        <v>0.95207993474714514</v>
      </c>
      <c r="I155" s="96"/>
      <c r="J155" s="96"/>
      <c r="K155" s="166"/>
      <c r="L155" s="166"/>
      <c r="M155" s="166"/>
      <c r="N155" s="166"/>
      <c r="O155" s="166"/>
      <c r="P155" s="166"/>
      <c r="Q155" s="166"/>
      <c r="R155" s="167"/>
      <c r="S155" s="159"/>
      <c r="T155" s="159"/>
      <c r="U155" s="166"/>
      <c r="V155" s="122"/>
      <c r="W155" s="139"/>
      <c r="X155" s="152"/>
      <c r="Y155" s="45" t="str">
        <f t="shared" si="52"/>
        <v>Medway</v>
      </c>
      <c r="Z155" s="41">
        <f>IF(Year1_Medway Year1_ReferralsAssessment="","",Year1_Medway Year1_ReferralsAssessment)</f>
        <v>2964</v>
      </c>
      <c r="AA155" s="41">
        <f>IF(Year2_Medway Year2_ReferralsAssessment="","",Year2_Medway Year2_ReferralsAssessment)</f>
        <v>2503</v>
      </c>
      <c r="AB155" s="41">
        <f>IF(Year3_Medway Year3_ReferralsAssessment="","",Year3_Medway Year3_ReferralsAssessment)</f>
        <v>2417</v>
      </c>
      <c r="AC155" s="41">
        <f>IF(Year4_Medway Year4_ReferralsAssessment="","",Year4_Medway Year4_ReferralsAssessment)</f>
        <v>3730</v>
      </c>
      <c r="AD155" s="41">
        <f>IF(Year5_Medway Year5_ReferralsAssessment="","",Year5_Medway Year5_ReferralsAssessment)</f>
        <v>4669</v>
      </c>
      <c r="AE155" s="199"/>
      <c r="AF155" s="190"/>
      <c r="AG155" s="190"/>
      <c r="AH155" s="190"/>
      <c r="AI155" s="190"/>
      <c r="AJ155" s="202"/>
      <c r="AK155" s="160"/>
    </row>
    <row r="156" spans="1:45" s="87" customFormat="1" ht="12.75" customHeight="1" x14ac:dyDescent="0.2">
      <c r="A156" s="488">
        <f>VLOOKUP(B156,Sheet1!$AQ$4:$AR$25,2,FALSE)</f>
        <v>0</v>
      </c>
      <c r="B156" s="93" t="str">
        <f t="shared" si="46"/>
        <v>Milton Keynes</v>
      </c>
      <c r="C156" s="85"/>
      <c r="D156" s="162">
        <f t="shared" si="47"/>
        <v>0.76778620440592271</v>
      </c>
      <c r="E156" s="162">
        <f t="shared" si="48"/>
        <v>0.81673694453454426</v>
      </c>
      <c r="F156" s="162">
        <f t="shared" si="49"/>
        <v>0.81644764730818142</v>
      </c>
      <c r="G156" s="162">
        <f t="shared" si="50"/>
        <v>0.83216783216783219</v>
      </c>
      <c r="H156" s="164">
        <f t="shared" si="51"/>
        <v>0.90647249190938506</v>
      </c>
      <c r="I156" s="96"/>
      <c r="J156" s="96"/>
      <c r="K156" s="166"/>
      <c r="L156" s="166"/>
      <c r="M156" s="166"/>
      <c r="N156" s="166"/>
      <c r="O156" s="166"/>
      <c r="P156" s="166"/>
      <c r="Q156" s="166"/>
      <c r="R156" s="167"/>
      <c r="S156" s="159"/>
      <c r="T156" s="159"/>
      <c r="U156" s="166"/>
      <c r="V156" s="122"/>
      <c r="W156" s="139"/>
      <c r="X156" s="152"/>
      <c r="Y156" s="45" t="str">
        <f t="shared" si="52"/>
        <v>Milton Keynes</v>
      </c>
      <c r="Z156" s="41">
        <f>IF(Year1_Milton_Keynes Year1_ReferralsAssessment="","",Year1_Milton_Keynes Year1_ReferralsAssessment)</f>
        <v>2126</v>
      </c>
      <c r="AA156" s="41">
        <f>IF(Year2_Milton_Keynes Year2_ReferralsAssessment="","",Year2_Milton_Keynes Year2_ReferralsAssessment)</f>
        <v>2518</v>
      </c>
      <c r="AB156" s="41">
        <f>IF(Year3_Milton_Keynes Year3_ReferralsAssessment="","",Year3_Milton_Keynes Year3_ReferralsAssessment)</f>
        <v>1926</v>
      </c>
      <c r="AC156" s="41">
        <f>IF(Year4_Milton_Keynes Year4_ReferralsAssessment="","",Year4_Milton_Keynes Year4_ReferralsAssessment)</f>
        <v>2261</v>
      </c>
      <c r="AD156" s="41">
        <f>IF(Year5_Milton_Keynes Year5_ReferralsAssessment="","",Year5_Milton_Keynes Year5_ReferralsAssessment)</f>
        <v>2801</v>
      </c>
      <c r="AE156" s="199"/>
      <c r="AF156" s="190"/>
      <c r="AG156" s="190"/>
      <c r="AH156" s="190"/>
      <c r="AI156" s="190"/>
      <c r="AJ156" s="202"/>
      <c r="AK156" s="160"/>
    </row>
    <row r="157" spans="1:45" s="87" customFormat="1" ht="12.75" customHeight="1" x14ac:dyDescent="0.2">
      <c r="A157" s="488">
        <f>VLOOKUP(B157,Sheet1!$AQ$4:$AR$25,2,FALSE)</f>
        <v>0</v>
      </c>
      <c r="B157" s="93" t="str">
        <f t="shared" si="46"/>
        <v>Oxfordshire</v>
      </c>
      <c r="C157" s="85"/>
      <c r="D157" s="162">
        <f t="shared" si="47"/>
        <v>0.91629629629629628</v>
      </c>
      <c r="E157" s="162">
        <f t="shared" si="48"/>
        <v>0.93362581375601472</v>
      </c>
      <c r="F157" s="162">
        <f t="shared" si="49"/>
        <v>0.79439389492221901</v>
      </c>
      <c r="G157" s="162">
        <f t="shared" si="50"/>
        <v>0.82873580174066974</v>
      </c>
      <c r="H157" s="164">
        <f t="shared" si="51"/>
        <v>0.92948547054118902</v>
      </c>
      <c r="I157" s="96"/>
      <c r="J157" s="96"/>
      <c r="K157" s="166"/>
      <c r="L157" s="166"/>
      <c r="M157" s="166"/>
      <c r="N157" s="166"/>
      <c r="O157" s="166"/>
      <c r="P157" s="166"/>
      <c r="Q157" s="166"/>
      <c r="R157" s="167"/>
      <c r="S157" s="159"/>
      <c r="T157" s="159"/>
      <c r="U157" s="166"/>
      <c r="V157" s="122"/>
      <c r="W157" s="139"/>
      <c r="X157" s="152"/>
      <c r="Y157" s="45" t="str">
        <f t="shared" si="52"/>
        <v>Oxfordshire</v>
      </c>
      <c r="Z157" s="41">
        <f>IF(Year1_Oxfordshire Year1_ReferralsAssessment="","",Year1_Oxfordshire Year1_ReferralsAssessment)</f>
        <v>6185</v>
      </c>
      <c r="AA157" s="41">
        <f>IF(Year2_Oxfordshire Year2_ReferralsAssessment="","",Year2_Oxfordshire Year2_ReferralsAssessment)</f>
        <v>6597</v>
      </c>
      <c r="AB157" s="41">
        <f>IF(Year3_Oxfordshire Year3_ReferralsAssessment="","",Year3_Oxfordshire Year3_ReferralsAssessment)</f>
        <v>5413</v>
      </c>
      <c r="AC157" s="41">
        <f>IF(Year4_Oxfordshire Year4_ReferralsAssessment="","",Year4_Oxfordshire Year4_ReferralsAssessment)</f>
        <v>5618</v>
      </c>
      <c r="AD157" s="41">
        <f>IF(Year5_Oxfordshire Year5_ReferralsAssessment="","",Year5_Oxfordshire Year5_ReferralsAssessment)</f>
        <v>6973</v>
      </c>
      <c r="AE157" s="199"/>
      <c r="AF157" s="190"/>
      <c r="AG157" s="190"/>
      <c r="AH157" s="190"/>
      <c r="AI157" s="190"/>
      <c r="AJ157" s="202"/>
      <c r="AK157" s="160"/>
    </row>
    <row r="158" spans="1:45" s="87" customFormat="1" ht="12.75" customHeight="1" x14ac:dyDescent="0.2">
      <c r="A158" s="488">
        <f>VLOOKUP(B158,Sheet1!$AQ$4:$AR$25,2,FALSE)</f>
        <v>0</v>
      </c>
      <c r="B158" s="93" t="str">
        <f t="shared" si="46"/>
        <v>Portsmouth</v>
      </c>
      <c r="C158" s="85"/>
      <c r="D158" s="162">
        <f t="shared" si="47"/>
        <v>0.97515527950310554</v>
      </c>
      <c r="E158" s="162">
        <f t="shared" si="48"/>
        <v>0.9545637314032972</v>
      </c>
      <c r="F158" s="162">
        <f t="shared" si="49"/>
        <v>0.98137082601054482</v>
      </c>
      <c r="G158" s="162">
        <f t="shared" si="50"/>
        <v>0.9743319268635724</v>
      </c>
      <c r="H158" s="164">
        <f t="shared" si="51"/>
        <v>0.97822822822822819</v>
      </c>
      <c r="I158" s="96"/>
      <c r="J158" s="96"/>
      <c r="K158" s="166"/>
      <c r="L158" s="166"/>
      <c r="M158" s="166"/>
      <c r="N158" s="166"/>
      <c r="O158" s="166"/>
      <c r="P158" s="166"/>
      <c r="Q158" s="166"/>
      <c r="R158" s="167"/>
      <c r="S158" s="159"/>
      <c r="T158" s="159"/>
      <c r="U158" s="166"/>
      <c r="V158" s="122"/>
      <c r="W158" s="139"/>
      <c r="X158" s="152"/>
      <c r="Y158" s="45" t="str">
        <f t="shared" si="52"/>
        <v>Portsmouth</v>
      </c>
      <c r="Z158" s="41">
        <f>IF(Year1_Portsmouth Year1_ReferralsAssessment="","",Year1_Portsmouth Year1_ReferralsAssessment)</f>
        <v>2041</v>
      </c>
      <c r="AA158" s="41">
        <f>IF(Year2_Portsmouth Year2_ReferralsAssessment="","",Year2_Portsmouth Year2_ReferralsAssessment)</f>
        <v>2374</v>
      </c>
      <c r="AB158" s="41">
        <f>IF(Year3_Portsmouth Year3_ReferralsAssessment="","",Year3_Portsmouth Year3_ReferralsAssessment)</f>
        <v>2792</v>
      </c>
      <c r="AC158" s="41">
        <f>IF(Year4_Portsmouth Year4_ReferralsAssessment="","",Year4_Portsmouth Year4_ReferralsAssessment)</f>
        <v>2771</v>
      </c>
      <c r="AD158" s="41">
        <f>IF(Year5_Portsmouth Year5_ReferralsAssessment="","",Year5_Portsmouth Year5_ReferralsAssessment)</f>
        <v>2606</v>
      </c>
      <c r="AE158" s="199"/>
      <c r="AF158" s="190"/>
      <c r="AG158" s="190"/>
      <c r="AH158" s="190"/>
      <c r="AI158" s="190"/>
      <c r="AJ158" s="202"/>
      <c r="AK158" s="160"/>
    </row>
    <row r="159" spans="1:45" s="87" customFormat="1" ht="12.75" customHeight="1" x14ac:dyDescent="0.2">
      <c r="A159" s="488">
        <f>VLOOKUP(B159,Sheet1!$AQ$4:$AR$25,2,FALSE)</f>
        <v>0</v>
      </c>
      <c r="B159" s="93" t="str">
        <f t="shared" si="46"/>
        <v>Reading</v>
      </c>
      <c r="C159" s="85"/>
      <c r="D159" s="162">
        <f t="shared" si="47"/>
        <v>0.89993502274204029</v>
      </c>
      <c r="E159" s="162">
        <f t="shared" si="48"/>
        <v>0.95102540557086013</v>
      </c>
      <c r="F159" s="162">
        <f t="shared" si="49"/>
        <v>0.98820395738203959</v>
      </c>
      <c r="G159" s="162">
        <f t="shared" si="50"/>
        <v>0.98612632347572104</v>
      </c>
      <c r="H159" s="164">
        <f t="shared" si="51"/>
        <v>0.99063962558502339</v>
      </c>
      <c r="I159" s="96"/>
      <c r="J159" s="96"/>
      <c r="K159" s="166"/>
      <c r="L159" s="166"/>
      <c r="M159" s="166"/>
      <c r="N159" s="166"/>
      <c r="O159" s="166"/>
      <c r="P159" s="166"/>
      <c r="Q159" s="166"/>
      <c r="R159" s="167"/>
      <c r="S159" s="159"/>
      <c r="T159" s="159"/>
      <c r="U159" s="166"/>
      <c r="V159" s="122"/>
      <c r="W159" s="139"/>
      <c r="X159" s="152"/>
      <c r="Y159" s="45" t="str">
        <f t="shared" si="52"/>
        <v>Reading</v>
      </c>
      <c r="Z159" s="41">
        <f>IF(Year1_Reading Year1_ReferralsAssessment="","",Year1_Reading Year1_ReferralsAssessment)</f>
        <v>2770</v>
      </c>
      <c r="AA159" s="41">
        <f>IF(Year2_Reading Year2_ReferralsAssessment="","",Year2_Reading Year2_ReferralsAssessment)</f>
        <v>3107</v>
      </c>
      <c r="AB159" s="41">
        <f>IF(Year3_Reading Year3_ReferralsAssessment="","",Year3_Reading Year3_ReferralsAssessment)</f>
        <v>2597</v>
      </c>
      <c r="AC159" s="41">
        <f>IF(Year4_Reading Year4_ReferralsAssessment="","",Year4_Reading Year4_ReferralsAssessment)</f>
        <v>2701</v>
      </c>
      <c r="AD159" s="41">
        <f>IF(Year5_Reading Year5_ReferralsAssessment="","",Year5_Reading Year5_ReferralsAssessment)</f>
        <v>2540</v>
      </c>
      <c r="AE159" s="199"/>
      <c r="AF159" s="190"/>
      <c r="AG159" s="190"/>
      <c r="AH159" s="190"/>
      <c r="AI159" s="190"/>
      <c r="AJ159" s="202"/>
      <c r="AK159" s="160"/>
    </row>
    <row r="160" spans="1:45" s="87" customFormat="1" ht="12.75" customHeight="1" x14ac:dyDescent="0.2">
      <c r="A160" s="488">
        <f>VLOOKUP(B160,Sheet1!$AQ$4:$AR$25,2,FALSE)</f>
        <v>0</v>
      </c>
      <c r="B160" s="93" t="str">
        <f t="shared" si="46"/>
        <v>Slough</v>
      </c>
      <c r="C160" s="85"/>
      <c r="D160" s="162">
        <f t="shared" si="47"/>
        <v>0.9895457822638789</v>
      </c>
      <c r="E160" s="162">
        <f t="shared" si="48"/>
        <v>0.39170182841068918</v>
      </c>
      <c r="F160" s="162">
        <f t="shared" si="49"/>
        <v>0.99245757385292266</v>
      </c>
      <c r="G160" s="162">
        <f t="shared" si="50"/>
        <v>0.95516372795969773</v>
      </c>
      <c r="H160" s="164">
        <f t="shared" si="51"/>
        <v>0.971259842519685</v>
      </c>
      <c r="I160" s="96"/>
      <c r="J160" s="96"/>
      <c r="K160" s="166"/>
      <c r="L160" s="166"/>
      <c r="M160" s="166"/>
      <c r="N160" s="166"/>
      <c r="O160" s="166"/>
      <c r="P160" s="166"/>
      <c r="Q160" s="166"/>
      <c r="R160" s="167"/>
      <c r="S160" s="159"/>
      <c r="T160" s="159"/>
      <c r="U160" s="166"/>
      <c r="V160" s="122"/>
      <c r="W160" s="139"/>
      <c r="X160" s="152"/>
      <c r="Y160" s="45" t="str">
        <f t="shared" si="52"/>
        <v>Slough</v>
      </c>
      <c r="Z160" s="41">
        <f>IF(Year1_Slough Year1_ReferralsAssessment="","",Year1_Slough Year1_ReferralsAssessment)</f>
        <v>2745</v>
      </c>
      <c r="AA160" s="41">
        <f>IF(Year2_Slough Year2_ReferralsAssessment="","",Year2_Slough Year2_ReferralsAssessment)</f>
        <v>2228</v>
      </c>
      <c r="AB160" s="41">
        <f>IF(Year3_Slough Year3_ReferralsAssessment="","",Year3_Slough Year3_ReferralsAssessment)</f>
        <v>1579</v>
      </c>
      <c r="AC160" s="41">
        <f>IF(Year4_Slough Year4_ReferralsAssessment="","",Year4_Slough Year4_ReferralsAssessment)</f>
        <v>1896</v>
      </c>
      <c r="AD160" s="41">
        <f>IF(Year5_Slough Year5_ReferralsAssessment="","",Year5_Slough Year5_ReferralsAssessment)</f>
        <v>2467</v>
      </c>
      <c r="AE160" s="199"/>
      <c r="AF160" s="190"/>
      <c r="AG160" s="190"/>
      <c r="AH160" s="190"/>
      <c r="AI160" s="190"/>
      <c r="AJ160" s="202"/>
      <c r="AK160" s="160"/>
    </row>
    <row r="161" spans="1:37" s="87" customFormat="1" ht="12.75" customHeight="1" x14ac:dyDescent="0.2">
      <c r="A161" s="488">
        <f>VLOOKUP(B161,Sheet1!$AQ$4:$AR$25,2,FALSE)</f>
        <v>0</v>
      </c>
      <c r="B161" s="93" t="str">
        <f t="shared" si="46"/>
        <v>Somerset</v>
      </c>
      <c r="C161" s="85"/>
      <c r="D161" s="162">
        <f t="shared" si="47"/>
        <v>0.99395112509073313</v>
      </c>
      <c r="E161" s="162">
        <f t="shared" si="48"/>
        <v>0.99267322587397944</v>
      </c>
      <c r="F161" s="162">
        <f t="shared" si="49"/>
        <v>0.97715392061955475</v>
      </c>
      <c r="G161" s="162">
        <f t="shared" si="50"/>
        <v>0.94908616187989558</v>
      </c>
      <c r="H161" s="164">
        <f t="shared" si="51"/>
        <v>0.93699917104172425</v>
      </c>
      <c r="I161" s="96"/>
      <c r="J161" s="96"/>
      <c r="K161" s="166"/>
      <c r="L161" s="166"/>
      <c r="M161" s="166"/>
      <c r="N161" s="166"/>
      <c r="O161" s="166"/>
      <c r="P161" s="166"/>
      <c r="Q161" s="166"/>
      <c r="R161" s="167"/>
      <c r="S161" s="159"/>
      <c r="T161" s="159"/>
      <c r="U161" s="166"/>
      <c r="V161" s="122"/>
      <c r="W161" s="139"/>
      <c r="X161" s="152"/>
      <c r="Y161" s="45" t="str">
        <f t="shared" si="52"/>
        <v>Somerset</v>
      </c>
      <c r="Z161" s="41">
        <f>IF(Year1_Somerset Year1_ReferralsAssessment="","",Year1_Somerset Year1_ReferralsAssessment)</f>
        <v>4108</v>
      </c>
      <c r="AA161" s="41">
        <f>IF(Year2_Somerset Year2_ReferralsAssessment="","",Year2_Somerset Year2_ReferralsAssessment)</f>
        <v>4742</v>
      </c>
      <c r="AB161" s="41">
        <f>IF(Year3_Somerset Year3_ReferralsAssessment="","",Year3_Somerset Year3_ReferralsAssessment)</f>
        <v>5047</v>
      </c>
      <c r="AC161" s="41">
        <f>IF(Year4_Somerset Year4_ReferralsAssessment="","",Year4_Somerset Year4_ReferralsAssessment)</f>
        <v>3635</v>
      </c>
      <c r="AD161" s="41">
        <f>IF(Year5_Somerset Year5_ReferralsAssessment="","",Year5_Somerset Year5_ReferralsAssessment)</f>
        <v>3391</v>
      </c>
      <c r="AE161" s="199"/>
      <c r="AF161" s="190"/>
      <c r="AG161" s="190"/>
      <c r="AH161" s="190"/>
      <c r="AI161" s="190"/>
      <c r="AJ161" s="202"/>
      <c r="AK161" s="160"/>
    </row>
    <row r="162" spans="1:37" s="87" customFormat="1" ht="12.75" customHeight="1" x14ac:dyDescent="0.2">
      <c r="A162" s="488">
        <f>VLOOKUP(B162,Sheet1!$AQ$4:$AR$25,2,FALSE)</f>
        <v>0</v>
      </c>
      <c r="B162" s="93" t="str">
        <f t="shared" si="46"/>
        <v>Southampton</v>
      </c>
      <c r="C162" s="85"/>
      <c r="D162" s="162">
        <f t="shared" si="47"/>
        <v>1</v>
      </c>
      <c r="E162" s="162">
        <f t="shared" si="48"/>
        <v>0.99737187910643887</v>
      </c>
      <c r="F162" s="162">
        <f t="shared" si="49"/>
        <v>0.99540757749712971</v>
      </c>
      <c r="G162" s="162">
        <f t="shared" si="50"/>
        <v>0.87336412625096227</v>
      </c>
      <c r="H162" s="164">
        <f t="shared" si="51"/>
        <v>0.81714876033057848</v>
      </c>
      <c r="I162" s="96"/>
      <c r="J162" s="96"/>
      <c r="K162" s="166"/>
      <c r="L162" s="166"/>
      <c r="M162" s="166"/>
      <c r="N162" s="166"/>
      <c r="O162" s="166"/>
      <c r="P162" s="166"/>
      <c r="Q162" s="166"/>
      <c r="R162" s="167"/>
      <c r="S162" s="159"/>
      <c r="T162" s="159"/>
      <c r="U162" s="166"/>
      <c r="V162" s="122"/>
      <c r="W162" s="139"/>
      <c r="X162" s="152"/>
      <c r="Y162" s="45" t="str">
        <f t="shared" si="52"/>
        <v>Southampton</v>
      </c>
      <c r="Z162" s="41">
        <f>IF(Year1_Southampton Year1_ReferralsAssessment="","",Year1_Southampton Year1_ReferralsAssessment)</f>
        <v>4116</v>
      </c>
      <c r="AA162" s="41">
        <f>IF(Year2_Southampton Year2_ReferralsAssessment="","",Year2_Southampton Year2_ReferralsAssessment)</f>
        <v>3036</v>
      </c>
      <c r="AB162" s="41">
        <f>IF(Year3_Southampton Year3_ReferralsAssessment="","",Year3_Southampton Year3_ReferralsAssessment)</f>
        <v>2601</v>
      </c>
      <c r="AC162" s="41">
        <f>IF(Year4_Southampton Year4_ReferralsAssessment="","",Year4_Southampton Year4_ReferralsAssessment)</f>
        <v>2269</v>
      </c>
      <c r="AD162" s="41">
        <f>IF(Year5_Southampton Year5_ReferralsAssessment="","",Year5_Southampton Year5_ReferralsAssessment)</f>
        <v>3955</v>
      </c>
      <c r="AE162" s="199"/>
      <c r="AF162" s="190"/>
      <c r="AG162" s="190"/>
      <c r="AH162" s="190"/>
      <c r="AI162" s="190"/>
      <c r="AJ162" s="202"/>
      <c r="AK162" s="160"/>
    </row>
    <row r="163" spans="1:37" s="87" customFormat="1" ht="12.75" customHeight="1" x14ac:dyDescent="0.2">
      <c r="A163" s="488">
        <f>VLOOKUP(B163,Sheet1!$AQ$4:$AR$25,2,FALSE)</f>
        <v>0</v>
      </c>
      <c r="B163" s="93" t="str">
        <f t="shared" si="46"/>
        <v>Surrey</v>
      </c>
      <c r="C163" s="85"/>
      <c r="D163" s="162">
        <f t="shared" si="47"/>
        <v>0.9845343303874915</v>
      </c>
      <c r="E163" s="162">
        <f t="shared" si="48"/>
        <v>0.99075263293090166</v>
      </c>
      <c r="F163" s="162">
        <f t="shared" si="49"/>
        <v>0.99288125642154701</v>
      </c>
      <c r="G163" s="162">
        <f t="shared" si="50"/>
        <v>0.98627174424071462</v>
      </c>
      <c r="H163" s="164">
        <f t="shared" si="51"/>
        <v>0.96818875454865594</v>
      </c>
      <c r="I163" s="96"/>
      <c r="J163" s="96"/>
      <c r="K163" s="166"/>
      <c r="L163" s="166"/>
      <c r="M163" s="166"/>
      <c r="N163" s="166"/>
      <c r="O163" s="166"/>
      <c r="P163" s="166"/>
      <c r="Q163" s="166"/>
      <c r="R163" s="167"/>
      <c r="S163" s="159"/>
      <c r="T163" s="159"/>
      <c r="U163" s="166"/>
      <c r="V163" s="122"/>
      <c r="W163" s="139"/>
      <c r="X163" s="152"/>
      <c r="Y163" s="45" t="str">
        <f t="shared" si="52"/>
        <v>Surrey</v>
      </c>
      <c r="Z163" s="41">
        <f>IF(Year1_Surrey Year1_ReferralsAssessment="","",Year1_Surrey Year1_ReferralsAssessment)</f>
        <v>11586</v>
      </c>
      <c r="AA163" s="41">
        <f>IF(Year2_Surrey Year2_ReferralsAssessment="","",Year2_Surrey Year2_ReferralsAssessment)</f>
        <v>11571</v>
      </c>
      <c r="AB163" s="41">
        <f>IF(Year3_Surrey Year3_ReferralsAssessment="","",Year3_Surrey Year3_ReferralsAssessment)</f>
        <v>13529</v>
      </c>
      <c r="AC163" s="41">
        <f>IF(Year4_Surrey Year4_ReferralsAssessment="","",Year4_Surrey Year4_ReferralsAssessment)</f>
        <v>10489</v>
      </c>
      <c r="AD163" s="41">
        <f>IF(Year5_Surrey Year5_ReferralsAssessment="","",Year5_Surrey Year5_ReferralsAssessment)</f>
        <v>8248</v>
      </c>
      <c r="AE163" s="199"/>
      <c r="AF163" s="190"/>
      <c r="AG163" s="190"/>
      <c r="AH163" s="190"/>
      <c r="AI163" s="190"/>
      <c r="AJ163" s="202"/>
      <c r="AK163" s="160"/>
    </row>
    <row r="164" spans="1:37" s="87" customFormat="1" ht="12.75" customHeight="1" x14ac:dyDescent="0.2">
      <c r="A164" s="488">
        <f>VLOOKUP(B164,Sheet1!$AQ$4:$AR$25,2,FALSE)</f>
        <v>0</v>
      </c>
      <c r="B164" s="93" t="str">
        <f t="shared" si="46"/>
        <v>Swindon</v>
      </c>
      <c r="C164" s="85"/>
      <c r="D164" s="162">
        <f t="shared" si="47"/>
        <v>0.87900146842878124</v>
      </c>
      <c r="E164" s="162">
        <f t="shared" si="48"/>
        <v>0.96722939424031773</v>
      </c>
      <c r="F164" s="162">
        <f t="shared" si="49"/>
        <v>0.92390405293631095</v>
      </c>
      <c r="G164" s="162">
        <f t="shared" si="50"/>
        <v>0.93522516964836522</v>
      </c>
      <c r="H164" s="164">
        <f t="shared" si="51"/>
        <v>0.87144745538664903</v>
      </c>
      <c r="I164" s="96"/>
      <c r="J164" s="96"/>
      <c r="K164" s="166"/>
      <c r="L164" s="166"/>
      <c r="M164" s="166"/>
      <c r="N164" s="166"/>
      <c r="O164" s="166"/>
      <c r="P164" s="166"/>
      <c r="Q164" s="166"/>
      <c r="R164" s="167"/>
      <c r="S164" s="159"/>
      <c r="T164" s="159"/>
      <c r="U164" s="166"/>
      <c r="V164" s="122"/>
      <c r="W164" s="139"/>
      <c r="X164" s="152"/>
      <c r="Y164" s="45" t="str">
        <f t="shared" si="52"/>
        <v>Swindon</v>
      </c>
      <c r="Z164" s="41">
        <f>IF(Year1_Swindon Year1_ReferralsAssessment="","",Year1_Swindon Year1_ReferralsAssessment)</f>
        <v>2993</v>
      </c>
      <c r="AA164" s="41">
        <f>IF(Year2_Swindon Year2_ReferralsAssessment="","",Year2_Swindon Year2_ReferralsAssessment)</f>
        <v>2922</v>
      </c>
      <c r="AB164" s="41">
        <f>IF(Year3_Swindon Year3_ReferralsAssessment="","",Year3_Swindon Year3_ReferralsAssessment)</f>
        <v>3351</v>
      </c>
      <c r="AC164" s="41">
        <f>IF(Year4_Swindon Year4_ReferralsAssessment="","",Year4_Swindon Year4_ReferralsAssessment)</f>
        <v>3032</v>
      </c>
      <c r="AD164" s="41">
        <f>IF(Year5_Swindon Year5_ReferralsAssessment="","",Year5_Swindon Year5_ReferralsAssessment)</f>
        <v>2637</v>
      </c>
      <c r="AE164" s="199"/>
      <c r="AF164" s="190"/>
      <c r="AG164" s="190"/>
      <c r="AH164" s="190"/>
      <c r="AI164" s="190"/>
      <c r="AJ164" s="202"/>
      <c r="AK164" s="160"/>
    </row>
    <row r="165" spans="1:37" s="87" customFormat="1" ht="12.75" customHeight="1" x14ac:dyDescent="0.2">
      <c r="A165" s="488">
        <f>VLOOKUP(B165,Sheet1!$AQ$4:$AR$25,2,FALSE)</f>
        <v>0</v>
      </c>
      <c r="B165" s="93" t="str">
        <f t="shared" si="46"/>
        <v>Torbay</v>
      </c>
      <c r="C165" s="85"/>
      <c r="D165" s="162">
        <f t="shared" si="47"/>
        <v>0.85412474849094566</v>
      </c>
      <c r="E165" s="162">
        <f t="shared" si="48"/>
        <v>0.85767326732673266</v>
      </c>
      <c r="F165" s="162">
        <f t="shared" si="49"/>
        <v>0.87922437673130194</v>
      </c>
      <c r="G165" s="162">
        <f t="shared" si="50"/>
        <v>0.87146092865232161</v>
      </c>
      <c r="H165" s="164">
        <f t="shared" si="51"/>
        <v>0.8715890850722311</v>
      </c>
      <c r="I165" s="96"/>
      <c r="J165" s="96"/>
      <c r="K165" s="166"/>
      <c r="L165" s="166"/>
      <c r="M165" s="166"/>
      <c r="N165" s="166"/>
      <c r="O165" s="166"/>
      <c r="P165" s="166"/>
      <c r="Q165" s="166"/>
      <c r="R165" s="167"/>
      <c r="S165" s="159"/>
      <c r="T165" s="159"/>
      <c r="U165" s="166"/>
      <c r="V165" s="122"/>
      <c r="W165" s="139"/>
      <c r="X165" s="152"/>
      <c r="Y165" s="45" t="str">
        <f t="shared" si="52"/>
        <v>Torbay</v>
      </c>
      <c r="Z165" s="41">
        <f>IF(Year1_Torbay Year1_ReferralsAssessment="","",Year1_Torbay Year1_ReferralsAssessment)</f>
        <v>1698</v>
      </c>
      <c r="AA165" s="41">
        <f>IF(Year2_Torbay Year2_ReferralsAssessment="","",Year2_Torbay Year2_ReferralsAssessment)</f>
        <v>1386</v>
      </c>
      <c r="AB165" s="41">
        <f>IF(Year3_Torbay Year3_ReferralsAssessment="","",Year3_Torbay Year3_ReferralsAssessment)</f>
        <v>1587</v>
      </c>
      <c r="AC165" s="41">
        <f>IF(Year4_Torbay Year4_ReferralsAssessment="","",Year4_Torbay Year4_ReferralsAssessment)</f>
        <v>1539</v>
      </c>
      <c r="AD165" s="41">
        <f>IF(Year5_Torbay Year5_ReferralsAssessment="","",Year5_Torbay Year5_ReferralsAssessment)</f>
        <v>1629</v>
      </c>
      <c r="AE165" s="199"/>
      <c r="AF165" s="190"/>
      <c r="AG165" s="190"/>
      <c r="AH165" s="190"/>
      <c r="AI165" s="190"/>
      <c r="AJ165" s="202"/>
      <c r="AK165" s="160"/>
    </row>
    <row r="166" spans="1:37" s="87" customFormat="1" ht="12.75" customHeight="1" x14ac:dyDescent="0.2">
      <c r="A166" s="488">
        <f>VLOOKUP(B166,Sheet1!$AQ$4:$AR$25,2,FALSE)</f>
        <v>0</v>
      </c>
      <c r="B166" s="93" t="str">
        <f t="shared" si="46"/>
        <v>West Berkshire</v>
      </c>
      <c r="C166" s="85"/>
      <c r="D166" s="162">
        <f t="shared" si="47"/>
        <v>1</v>
      </c>
      <c r="E166" s="162">
        <f t="shared" si="48"/>
        <v>1</v>
      </c>
      <c r="F166" s="162">
        <f t="shared" si="49"/>
        <v>1</v>
      </c>
      <c r="G166" s="162">
        <f t="shared" si="50"/>
        <v>1</v>
      </c>
      <c r="H166" s="164">
        <f t="shared" si="51"/>
        <v>1</v>
      </c>
      <c r="I166" s="96"/>
      <c r="J166" s="96"/>
      <c r="K166" s="166"/>
      <c r="L166" s="166"/>
      <c r="M166" s="166"/>
      <c r="N166" s="166"/>
      <c r="O166" s="166"/>
      <c r="P166" s="166"/>
      <c r="Q166" s="166"/>
      <c r="R166" s="167"/>
      <c r="S166" s="159"/>
      <c r="T166" s="159"/>
      <c r="U166" s="166"/>
      <c r="V166" s="122"/>
      <c r="W166" s="139"/>
      <c r="X166" s="152"/>
      <c r="Y166" s="45" t="str">
        <f t="shared" si="52"/>
        <v>West Berkshire</v>
      </c>
      <c r="Z166" s="41">
        <f>IF(Year1_West_Berkshire Year1_ReferralsAssessment="","",Year1_West_Berkshire Year1_ReferralsAssessment)</f>
        <v>1365</v>
      </c>
      <c r="AA166" s="41">
        <f>IF(Year2_West_Berkshire Year2_ReferralsAssessment="","",Year2_West_Berkshire Year2_ReferralsAssessment)</f>
        <v>1652</v>
      </c>
      <c r="AB166" s="41">
        <f>IF(Year3_West_Berkshire Year3_ReferralsAssessment="","",Year3_West_Berkshire Year3_ReferralsAssessment)</f>
        <v>1512</v>
      </c>
      <c r="AC166" s="41">
        <f>IF(Year4_West_Berkshire Year4_ReferralsAssessment="","",Year4_West_Berkshire Year4_ReferralsAssessment)</f>
        <v>1686</v>
      </c>
      <c r="AD166" s="41">
        <f>IF(Year5_West_Berkshire Year5_ReferralsAssessment="","",Year5_West_Berkshire Year5_ReferralsAssessment)</f>
        <v>1654</v>
      </c>
      <c r="AE166" s="199"/>
      <c r="AF166" s="202"/>
      <c r="AG166" s="190"/>
      <c r="AH166" s="190"/>
      <c r="AI166" s="190"/>
      <c r="AJ166" s="202"/>
      <c r="AK166" s="160"/>
    </row>
    <row r="167" spans="1:37" s="87" customFormat="1" ht="12.75" customHeight="1" x14ac:dyDescent="0.2">
      <c r="A167" s="488">
        <f>VLOOKUP(B167,Sheet1!$AQ$4:$AR$25,2,FALSE)</f>
        <v>0</v>
      </c>
      <c r="B167" s="93" t="str">
        <f t="shared" si="46"/>
        <v>West Sussex</v>
      </c>
      <c r="C167" s="85"/>
      <c r="D167" s="162">
        <f t="shared" si="47"/>
        <v>0.87786915428992263</v>
      </c>
      <c r="E167" s="162">
        <f t="shared" si="48"/>
        <v>0.87106738359455438</v>
      </c>
      <c r="F167" s="162">
        <f t="shared" si="49"/>
        <v>1</v>
      </c>
      <c r="G167" s="162">
        <f t="shared" si="50"/>
        <v>1</v>
      </c>
      <c r="H167" s="164">
        <f t="shared" si="51"/>
        <v>1</v>
      </c>
      <c r="I167" s="96"/>
      <c r="J167" s="96"/>
      <c r="K167" s="166"/>
      <c r="L167" s="166"/>
      <c r="M167" s="166"/>
      <c r="N167" s="166"/>
      <c r="O167" s="166"/>
      <c r="P167" s="166"/>
      <c r="Q167" s="166"/>
      <c r="R167" s="167"/>
      <c r="S167" s="159"/>
      <c r="T167" s="159"/>
      <c r="U167" s="166"/>
      <c r="V167" s="122"/>
      <c r="W167" s="139"/>
      <c r="X167" s="152"/>
      <c r="Y167" s="45" t="str">
        <f t="shared" si="52"/>
        <v>West Sussex</v>
      </c>
      <c r="Z167" s="41">
        <f>IF(Year1_West_Sussex Year1_ReferralsAssessment="","",Year1_West_Sussex Year1_ReferralsAssessment)</f>
        <v>7152</v>
      </c>
      <c r="AA167" s="41">
        <f>IF(Year2_West_Sussex Year2_ReferralsAssessment="","",Year2_West_Sussex Year2_ReferralsAssessment)</f>
        <v>7614</v>
      </c>
      <c r="AB167" s="41">
        <f>IF(Year3_West_Sussex Year3_ReferralsAssessment="","",Year3_West_Sussex Year3_ReferralsAssessment)</f>
        <v>9995</v>
      </c>
      <c r="AC167" s="41">
        <f>IF(Year4_West_Sussex Year4_ReferralsAssessment="","",Year4_West_Sussex Year4_ReferralsAssessment)</f>
        <v>9490</v>
      </c>
      <c r="AD167" s="41">
        <f>IF(Year5_West_Sussex Year5_ReferralsAssessment="","",Year5_West_Sussex Year5_ReferralsAssessment)</f>
        <v>9993</v>
      </c>
      <c r="AE167" s="199"/>
      <c r="AF167" s="202"/>
      <c r="AG167" s="190"/>
      <c r="AH167" s="190"/>
      <c r="AI167" s="190"/>
      <c r="AJ167" s="202"/>
      <c r="AK167" s="160"/>
    </row>
    <row r="168" spans="1:37" s="87" customFormat="1" ht="12.75" customHeight="1" x14ac:dyDescent="0.2">
      <c r="A168" s="488">
        <f>VLOOKUP(B168,Sheet1!$AQ$4:$AR$25,2,FALSE)</f>
        <v>0</v>
      </c>
      <c r="B168" s="93" t="str">
        <f t="shared" si="46"/>
        <v>Windsor &amp; Maidenhead</v>
      </c>
      <c r="C168" s="85"/>
      <c r="D168" s="162">
        <f t="shared" si="47"/>
        <v>0.81434977578475332</v>
      </c>
      <c r="E168" s="162">
        <f t="shared" si="48"/>
        <v>0.88306451612903225</v>
      </c>
      <c r="F168" s="162">
        <f t="shared" si="49"/>
        <v>0.85768143261074459</v>
      </c>
      <c r="G168" s="162">
        <f t="shared" si="50"/>
        <v>0.945374449339207</v>
      </c>
      <c r="H168" s="164">
        <f t="shared" si="51"/>
        <v>0.94321533923303835</v>
      </c>
      <c r="I168" s="96"/>
      <c r="J168" s="96"/>
      <c r="K168" s="166"/>
      <c r="L168" s="166"/>
      <c r="M168" s="166"/>
      <c r="N168" s="166"/>
      <c r="O168" s="166"/>
      <c r="P168" s="166"/>
      <c r="Q168" s="166"/>
      <c r="R168" s="167"/>
      <c r="S168" s="159"/>
      <c r="T168" s="159"/>
      <c r="U168" s="166"/>
      <c r="V168" s="122"/>
      <c r="W168" s="139"/>
      <c r="X168" s="152"/>
      <c r="Y168" s="45" t="str">
        <f t="shared" si="52"/>
        <v>Windsor &amp; Maidenhead</v>
      </c>
      <c r="Z168" s="41">
        <f>IF(Year1_Windsor_Maidenhead Year1_ReferralsAssessment="","",Year1_Windsor_Maidenhead Year1_ReferralsAssessment)</f>
        <v>908</v>
      </c>
      <c r="AA168" s="41">
        <f>IF(Year2_Windsor_Maidenhead Year2_ReferralsAssessment="","",Year2_Windsor_Maidenhead Year2_ReferralsAssessment)</f>
        <v>876</v>
      </c>
      <c r="AB168" s="41">
        <f>IF(Year3_Windsor_Maidenhead Year3_ReferralsAssessment="","",Year3_Windsor_Maidenhead Year3_ReferralsAssessment)</f>
        <v>910</v>
      </c>
      <c r="AC168" s="41">
        <f>IF(Year4_Windsor_Maidenhead Year4_ReferralsAssessment="","",Year4_Windsor_Maidenhead Year4_ReferralsAssessment)</f>
        <v>1073</v>
      </c>
      <c r="AD168" s="41">
        <f>IF(Year5_Windsor_Maidenhead Year5_ReferralsAssessment="","",Year5_Windsor_Maidenhead Year5_ReferralsAssessment)</f>
        <v>1279</v>
      </c>
      <c r="AE168" s="199"/>
      <c r="AF168" s="202"/>
      <c r="AG168" s="202"/>
      <c r="AH168" s="202"/>
      <c r="AI168" s="190"/>
      <c r="AJ168" s="202"/>
      <c r="AK168" s="160"/>
    </row>
    <row r="169" spans="1:37" s="87" customFormat="1" ht="12.75" customHeight="1" x14ac:dyDescent="0.2">
      <c r="A169" s="488">
        <f>VLOOKUP(B169,Sheet1!$AQ$4:$AR$25,2,FALSE)</f>
        <v>0</v>
      </c>
      <c r="B169" s="93" t="str">
        <f t="shared" si="46"/>
        <v>Wokingham</v>
      </c>
      <c r="C169" s="85"/>
      <c r="D169" s="162">
        <f t="shared" si="47"/>
        <v>1</v>
      </c>
      <c r="E169" s="162">
        <f t="shared" si="48"/>
        <v>0.99228224917309815</v>
      </c>
      <c r="F169" s="162">
        <f t="shared" si="49"/>
        <v>0.96425966447848288</v>
      </c>
      <c r="G169" s="162">
        <f t="shared" si="50"/>
        <v>0.98768328445747799</v>
      </c>
      <c r="H169" s="164">
        <f t="shared" si="51"/>
        <v>0.9751972942502819</v>
      </c>
      <c r="I169" s="96"/>
      <c r="J169" s="96"/>
      <c r="K169" s="166"/>
      <c r="L169" s="166"/>
      <c r="M169" s="166"/>
      <c r="N169" s="166"/>
      <c r="O169" s="166"/>
      <c r="P169" s="166"/>
      <c r="Q169" s="166"/>
      <c r="R169" s="167"/>
      <c r="S169" s="159"/>
      <c r="T169" s="159"/>
      <c r="U169" s="166"/>
      <c r="V169" s="122"/>
      <c r="W169" s="139"/>
      <c r="X169" s="152"/>
      <c r="Y169" s="45" t="str">
        <f t="shared" si="52"/>
        <v>Wokingham</v>
      </c>
      <c r="Z169" s="41">
        <f>IF(Year1_Wokingham Year1_ReferralsAssessment="","",Year1_Wokingham Year1_ReferralsAssessment)</f>
        <v>1131</v>
      </c>
      <c r="AA169" s="41">
        <f>IF(Year2_Wokingham Year2_ReferralsAssessment="","",Year2_Wokingham Year2_ReferralsAssessment)</f>
        <v>900</v>
      </c>
      <c r="AB169" s="41">
        <f>IF(Year3_Wokingham Year3_ReferralsAssessment="","",Year3_Wokingham Year3_ReferralsAssessment)</f>
        <v>1322</v>
      </c>
      <c r="AC169" s="41">
        <f>IF(Year4_Wokingham Year4_ReferralsAssessment="","",Year4_Wokingham Year4_ReferralsAssessment)</f>
        <v>1684</v>
      </c>
      <c r="AD169" s="41">
        <f>IF(Year5_Wokingham Year5_ReferralsAssessment="","",Year5_Wokingham Year5_ReferralsAssessment)</f>
        <v>1730</v>
      </c>
      <c r="AE169" s="199"/>
      <c r="AF169" s="202"/>
      <c r="AG169" s="202"/>
      <c r="AH169" s="202"/>
      <c r="AI169" s="190"/>
      <c r="AJ169" s="202"/>
      <c r="AK169" s="160"/>
    </row>
    <row r="170" spans="1:37" s="87" customFormat="1" ht="12.75" customHeight="1" x14ac:dyDescent="0.2">
      <c r="A170" s="121"/>
      <c r="B170" s="129" t="str">
        <f t="shared" si="46"/>
        <v>South East</v>
      </c>
      <c r="C170" s="85"/>
      <c r="D170" s="163">
        <f t="shared" si="47"/>
        <v>0.92645253682487727</v>
      </c>
      <c r="E170" s="163">
        <f t="shared" si="48"/>
        <v>0.88974981329350267</v>
      </c>
      <c r="F170" s="163">
        <f t="shared" si="49"/>
        <v>0.91697157331832257</v>
      </c>
      <c r="G170" s="163">
        <f t="shared" si="50"/>
        <v>0.9144818381161216</v>
      </c>
      <c r="H170" s="165">
        <f t="shared" si="51"/>
        <v>0.93184201328206917</v>
      </c>
      <c r="I170" s="96"/>
      <c r="J170" s="96"/>
      <c r="K170" s="168"/>
      <c r="L170" s="168"/>
      <c r="M170" s="168"/>
      <c r="N170" s="168"/>
      <c r="O170" s="168"/>
      <c r="P170" s="168"/>
      <c r="Q170" s="168"/>
      <c r="R170" s="169"/>
      <c r="S170" s="159"/>
      <c r="T170" s="159"/>
      <c r="U170" s="170"/>
      <c r="V170" s="122"/>
      <c r="W170" s="139"/>
      <c r="X170" s="152"/>
      <c r="Y170" s="45" t="str">
        <f t="shared" si="52"/>
        <v>South East</v>
      </c>
      <c r="Z170" s="54">
        <f>IF(Year1_SouthEast Year1_ReferralsAssessment="","",Year1_SouthEast Year1_ReferralsAssessment)</f>
        <v>90570</v>
      </c>
      <c r="AA170" s="54">
        <f>IF(Year2_SouthEast Year2_ReferralsAssessment="","",Year2_SouthEast Year2_ReferralsAssessment)</f>
        <v>95310</v>
      </c>
      <c r="AB170" s="54">
        <f>IF(Year3_SouthEast Year3_ReferralsAssessment="","",Year3_SouthEast Year3_ReferralsAssessment)</f>
        <v>97740</v>
      </c>
      <c r="AC170" s="54">
        <f>IF(Year4_SouthEast Year4_ReferralsAssessment="","",Year4_SouthEast Year4_ReferralsAssessment)</f>
        <v>95920</v>
      </c>
      <c r="AD170" s="54">
        <f>IF(Year5_SouthEast Year5_ReferralsAssessment="","",Year5_SouthEast Year5_ReferralsAssessment)</f>
        <v>106640</v>
      </c>
      <c r="AE170" s="199"/>
      <c r="AF170" s="202"/>
      <c r="AG170" s="202"/>
      <c r="AH170" s="202"/>
      <c r="AI170" s="190"/>
      <c r="AJ170" s="202"/>
      <c r="AK170" s="160"/>
    </row>
    <row r="171" spans="1:37" s="87" customFormat="1" ht="12.75" x14ac:dyDescent="0.2">
      <c r="A171" s="121"/>
      <c r="B171" s="329" t="str">
        <f t="shared" si="46"/>
        <v>England</v>
      </c>
      <c r="C171" s="85"/>
      <c r="D171" s="351">
        <f t="shared" si="47"/>
        <v>0.90055835358102565</v>
      </c>
      <c r="E171" s="351">
        <f t="shared" si="48"/>
        <v>0.89778988423203121</v>
      </c>
      <c r="F171" s="351">
        <f t="shared" si="49"/>
        <v>0.90590729527324865</v>
      </c>
      <c r="G171" s="351">
        <f t="shared" si="50"/>
        <v>0.91917717726944526</v>
      </c>
      <c r="H171" s="352">
        <f>IF(ISNUMBER(AD171),AD171/H33,NA())</f>
        <v>0.93716756353230268</v>
      </c>
      <c r="I171" s="96"/>
      <c r="J171" s="96"/>
      <c r="K171" s="168"/>
      <c r="L171" s="168"/>
      <c r="M171" s="168"/>
      <c r="N171" s="168"/>
      <c r="O171" s="168"/>
      <c r="P171" s="168"/>
      <c r="Q171" s="168"/>
      <c r="R171" s="169"/>
      <c r="S171" s="159"/>
      <c r="T171" s="159"/>
      <c r="U171" s="170"/>
      <c r="V171" s="122"/>
      <c r="W171" s="139"/>
      <c r="X171" s="152"/>
      <c r="Y171" s="45" t="str">
        <f t="shared" si="52"/>
        <v>England</v>
      </c>
      <c r="Z171" s="54">
        <f>IF(Year1_England Year1_ReferralsAssessment="","",Year1_England Year1_ReferralsAssessment)</f>
        <v>559670</v>
      </c>
      <c r="AA171" s="54">
        <f>IF(Year2_England Year2_ReferralsAssessment="","",Year2_England Year2_ReferralsAssessment)</f>
        <v>580080</v>
      </c>
      <c r="AB171" s="54">
        <f>IF(Year3_England Year3_ReferralsAssessment="","",Year3_England Year3_ReferralsAssessment)</f>
        <v>593940</v>
      </c>
      <c r="AC171" s="54">
        <f>IF(Year4_England Year4_ReferralsAssessment="","",Year4_England Year4_ReferralsAssessment)</f>
        <v>598320</v>
      </c>
      <c r="AD171" s="54">
        <f>IF(Year5_England Year5_ReferralsAssessment="","",Year5_England Year5_ReferralsAssessment)</f>
        <v>602580</v>
      </c>
      <c r="AE171" s="199"/>
      <c r="AF171" s="202"/>
      <c r="AG171" s="202"/>
      <c r="AH171" s="202"/>
      <c r="AI171" s="190"/>
      <c r="AJ171" s="202"/>
      <c r="AK171" s="160"/>
    </row>
    <row r="172" spans="1:37" s="87" customFormat="1" ht="7.5" customHeight="1" x14ac:dyDescent="0.2">
      <c r="A172" s="292"/>
      <c r="B172" s="96"/>
      <c r="C172" s="96"/>
      <c r="D172" s="96"/>
      <c r="E172" s="96"/>
      <c r="F172" s="96"/>
      <c r="G172" s="96"/>
      <c r="H172" s="96"/>
      <c r="I172" s="96"/>
      <c r="J172" s="96"/>
      <c r="K172" s="168"/>
      <c r="L172" s="168"/>
      <c r="M172" s="168"/>
      <c r="N172" s="168"/>
      <c r="O172" s="168"/>
      <c r="P172" s="168"/>
      <c r="Q172" s="168"/>
      <c r="R172" s="169"/>
      <c r="S172" s="159"/>
      <c r="T172" s="159"/>
      <c r="U172" s="170"/>
      <c r="V172" s="122"/>
      <c r="W172" s="139"/>
      <c r="X172" s="152"/>
      <c r="Y172" s="81"/>
      <c r="Z172" s="81"/>
      <c r="AA172" s="196"/>
      <c r="AB172" s="196"/>
      <c r="AC172" s="197"/>
      <c r="AD172" s="197"/>
      <c r="AE172" s="199"/>
      <c r="AF172" s="202"/>
      <c r="AG172" s="202"/>
      <c r="AH172" s="202"/>
      <c r="AI172" s="190"/>
      <c r="AJ172" s="202"/>
      <c r="AK172" s="160"/>
    </row>
    <row r="173" spans="1:37" s="81" customFormat="1" ht="42.75" customHeight="1" x14ac:dyDescent="0.2">
      <c r="A173" s="217"/>
      <c r="B173" s="222"/>
      <c r="C173" s="222"/>
      <c r="D173" s="222"/>
      <c r="E173" s="222"/>
      <c r="F173" s="222"/>
      <c r="G173" s="222"/>
      <c r="H173" s="222"/>
      <c r="I173" s="316"/>
      <c r="J173" s="172"/>
      <c r="K173" s="172"/>
      <c r="L173" s="172"/>
      <c r="M173" s="172"/>
      <c r="N173" s="172"/>
      <c r="O173" s="172"/>
      <c r="P173" s="172"/>
      <c r="Q173" s="172"/>
      <c r="R173" s="136"/>
      <c r="S173" s="172"/>
      <c r="T173" s="172"/>
      <c r="U173" s="172"/>
      <c r="V173" s="117"/>
      <c r="W173" s="137"/>
      <c r="X173" s="150"/>
      <c r="AD173" s="197"/>
      <c r="AE173" s="199"/>
      <c r="AF173" s="184"/>
      <c r="AG173" s="184"/>
      <c r="AH173" s="184"/>
      <c r="AJ173" s="184"/>
      <c r="AK173" s="161"/>
    </row>
    <row r="174" spans="1:37" s="81" customFormat="1" ht="36.75" customHeight="1" x14ac:dyDescent="0.2">
      <c r="A174" s="217"/>
      <c r="B174" s="222"/>
      <c r="C174" s="222"/>
      <c r="D174" s="222"/>
      <c r="E174" s="222"/>
      <c r="F174" s="222"/>
      <c r="G174" s="222"/>
      <c r="H174" s="222"/>
      <c r="I174" s="316"/>
      <c r="J174" s="172"/>
      <c r="K174" s="172"/>
      <c r="L174" s="172"/>
      <c r="M174" s="172"/>
      <c r="N174" s="172"/>
      <c r="O174" s="172"/>
      <c r="P174" s="172"/>
      <c r="Q174" s="172"/>
      <c r="R174" s="136"/>
      <c r="S174" s="172"/>
      <c r="T174" s="172"/>
      <c r="U174" s="172"/>
      <c r="V174" s="117"/>
      <c r="W174" s="137"/>
      <c r="X174" s="150"/>
      <c r="Z174" s="190"/>
      <c r="AE174" s="199"/>
      <c r="AF174" s="184"/>
      <c r="AG174" s="184"/>
      <c r="AH174" s="184"/>
      <c r="AJ174" s="184"/>
      <c r="AK174" s="161"/>
    </row>
    <row r="175" spans="1:37" s="81" customFormat="1" ht="36.75" customHeight="1" x14ac:dyDescent="0.2">
      <c r="A175" s="217"/>
      <c r="B175" s="222"/>
      <c r="C175" s="222"/>
      <c r="D175" s="222"/>
      <c r="E175" s="222"/>
      <c r="F175" s="222"/>
      <c r="G175" s="222"/>
      <c r="H175" s="222"/>
      <c r="I175" s="316"/>
      <c r="J175" s="172"/>
      <c r="K175" s="172"/>
      <c r="L175" s="172"/>
      <c r="M175" s="172"/>
      <c r="N175" s="172"/>
      <c r="O175" s="172"/>
      <c r="P175" s="172"/>
      <c r="Q175" s="172"/>
      <c r="R175" s="136"/>
      <c r="S175" s="172"/>
      <c r="T175" s="172"/>
      <c r="U175" s="172"/>
      <c r="V175" s="117"/>
      <c r="W175" s="137"/>
      <c r="X175" s="150"/>
      <c r="Z175" s="190"/>
      <c r="AE175" s="199"/>
      <c r="AF175" s="184"/>
      <c r="AG175" s="184"/>
      <c r="AH175" s="184"/>
      <c r="AJ175" s="184"/>
      <c r="AK175" s="161"/>
    </row>
    <row r="176" spans="1:37" s="81" customFormat="1" ht="7.5" customHeight="1" x14ac:dyDescent="0.2">
      <c r="A176" s="118"/>
      <c r="B176" s="17"/>
      <c r="C176" s="17"/>
      <c r="D176" s="16"/>
      <c r="E176" s="16"/>
      <c r="F176" s="16"/>
      <c r="G176" s="16"/>
      <c r="H176" s="16"/>
      <c r="I176" s="16"/>
      <c r="J176" s="12"/>
      <c r="K176" s="18"/>
      <c r="L176" s="18"/>
      <c r="M176" s="18"/>
      <c r="N176" s="18"/>
      <c r="O176" s="18"/>
      <c r="P176" s="18"/>
      <c r="Q176" s="18"/>
      <c r="R176" s="18"/>
      <c r="S176" s="18"/>
      <c r="T176" s="18"/>
      <c r="U176" s="19"/>
      <c r="V176" s="117"/>
      <c r="W176" s="137"/>
      <c r="X176" s="150"/>
      <c r="Z176" s="190"/>
      <c r="AJ176" s="184"/>
      <c r="AK176" s="161"/>
    </row>
    <row r="177" spans="1:66" s="81" customFormat="1" ht="15" customHeight="1" x14ac:dyDescent="0.2">
      <c r="A177" s="1716"/>
      <c r="B177" s="1760"/>
      <c r="C177" s="1760"/>
      <c r="D177" s="1760"/>
      <c r="E177" s="1760"/>
      <c r="F177" s="1760"/>
      <c r="G177" s="1760"/>
      <c r="H177" s="1760"/>
      <c r="I177" s="1760"/>
      <c r="J177" s="1760"/>
      <c r="K177" s="1760"/>
      <c r="L177" s="1760"/>
      <c r="M177" s="1760"/>
      <c r="N177" s="1760"/>
      <c r="O177" s="1760"/>
      <c r="P177" s="1760"/>
      <c r="Q177" s="1760"/>
      <c r="R177" s="1760"/>
      <c r="S177" s="1760"/>
      <c r="T177" s="1760"/>
      <c r="U177" s="1760"/>
      <c r="V177" s="1761"/>
      <c r="W177" s="137"/>
      <c r="X177" s="150"/>
      <c r="AK177" s="161"/>
    </row>
    <row r="178" spans="1:66" s="81" customFormat="1" ht="11.1" customHeight="1" x14ac:dyDescent="0.2">
      <c r="A178" s="1765" t="str">
        <f>Home!$A$39</f>
        <v xml:space="preserve"> </v>
      </c>
      <c r="B178" s="1766"/>
      <c r="C178" s="1766"/>
      <c r="D178" s="1766"/>
      <c r="E178" s="1766"/>
      <c r="F178" s="1766"/>
      <c r="G178" s="1766"/>
      <c r="H178" s="1766"/>
      <c r="I178" s="1767"/>
      <c r="J178" s="1766"/>
      <c r="K178" s="1766"/>
      <c r="L178" s="1766"/>
      <c r="M178" s="1766"/>
      <c r="N178" s="1766"/>
      <c r="O178" s="1766"/>
      <c r="P178" s="1768"/>
      <c r="Q178" s="1766"/>
      <c r="R178" s="1766"/>
      <c r="S178" s="1766"/>
      <c r="T178" s="1767"/>
      <c r="U178" s="1766"/>
      <c r="V178" s="1769"/>
      <c r="W178" s="137"/>
      <c r="X178" s="150"/>
      <c r="AJ178" s="184"/>
      <c r="AK178" s="161"/>
    </row>
    <row r="179" spans="1:66" ht="11.25" customHeight="1" x14ac:dyDescent="0.2">
      <c r="A179" s="142"/>
      <c r="B179" s="9"/>
      <c r="C179" s="9"/>
      <c r="D179" s="9"/>
      <c r="E179" s="9"/>
      <c r="F179" s="58"/>
      <c r="G179" s="58"/>
      <c r="H179" s="58"/>
      <c r="I179" s="58"/>
      <c r="J179" s="114"/>
      <c r="K179" s="113"/>
      <c r="L179" s="113"/>
      <c r="M179" s="113"/>
      <c r="N179" s="113"/>
      <c r="O179" s="113"/>
      <c r="P179" s="113"/>
      <c r="Q179" s="113"/>
      <c r="R179" s="113"/>
      <c r="S179" s="113"/>
      <c r="T179" s="113"/>
      <c r="U179" s="113"/>
      <c r="V179" s="113"/>
      <c r="W179" s="137"/>
      <c r="X179" s="150"/>
      <c r="AJ179" s="81"/>
      <c r="AK179" s="161"/>
      <c r="AL179" s="81"/>
      <c r="AM179" s="81"/>
      <c r="AN179" s="81"/>
      <c r="AO179" s="81"/>
      <c r="AP179" s="81"/>
      <c r="AQ179" s="81"/>
      <c r="AR179" s="81"/>
      <c r="AS179" s="81"/>
      <c r="AT179" s="81"/>
      <c r="AU179" s="81"/>
      <c r="AV179" s="81"/>
      <c r="AW179" s="81"/>
      <c r="AX179" s="81"/>
      <c r="AY179" s="81"/>
      <c r="AZ179" s="81"/>
      <c r="BA179" s="81"/>
      <c r="BB179" s="81"/>
      <c r="BC179" s="81"/>
      <c r="BD179" s="81"/>
      <c r="BE179" s="81"/>
      <c r="BF179" s="81"/>
      <c r="BG179" s="81"/>
      <c r="BH179" s="81"/>
      <c r="BI179" s="81"/>
      <c r="BJ179" s="81"/>
      <c r="BK179" s="81"/>
      <c r="BL179" s="81"/>
      <c r="BM179" s="81"/>
      <c r="BN179" s="81"/>
    </row>
    <row r="180" spans="1:66" ht="11.25" customHeight="1" x14ac:dyDescent="0.2">
      <c r="A180" s="142"/>
      <c r="B180" s="1685" t="s">
        <v>82</v>
      </c>
      <c r="C180" s="1685"/>
      <c r="D180" s="1685"/>
      <c r="E180" s="1685"/>
      <c r="F180" s="1685"/>
      <c r="G180" s="1685"/>
      <c r="H180" s="1685"/>
      <c r="I180" s="1685"/>
      <c r="J180" s="12"/>
      <c r="K180" s="9"/>
      <c r="L180" s="9"/>
      <c r="M180" s="9"/>
      <c r="N180" s="9"/>
      <c r="O180" s="9"/>
      <c r="P180" s="9"/>
      <c r="Q180" s="9"/>
      <c r="R180" s="9"/>
      <c r="S180" s="9"/>
      <c r="T180" s="9"/>
      <c r="U180" s="9"/>
      <c r="V180" s="9"/>
      <c r="W180" s="137"/>
      <c r="X180" s="150"/>
      <c r="AJ180" s="81"/>
      <c r="AK180" s="161"/>
      <c r="AL180" s="81"/>
      <c r="AM180" s="81"/>
      <c r="AN180" s="81"/>
      <c r="AO180" s="81"/>
      <c r="AP180" s="81"/>
      <c r="AQ180" s="81"/>
      <c r="AR180" s="81"/>
      <c r="AS180" s="81"/>
      <c r="AT180" s="81"/>
      <c r="AU180" s="81"/>
      <c r="AV180" s="81"/>
      <c r="AW180" s="81"/>
      <c r="AX180" s="81"/>
      <c r="AY180" s="81"/>
      <c r="AZ180" s="81"/>
      <c r="BA180" s="81"/>
      <c r="BB180" s="81"/>
      <c r="BC180" s="81"/>
      <c r="BD180" s="81"/>
    </row>
    <row r="181" spans="1:66" ht="11.25" customHeight="1" x14ac:dyDescent="0.2">
      <c r="A181" s="142"/>
      <c r="B181" s="1685"/>
      <c r="C181" s="1685"/>
      <c r="D181" s="1685"/>
      <c r="E181" s="1685"/>
      <c r="F181" s="1685"/>
      <c r="G181" s="1685"/>
      <c r="H181" s="1685"/>
      <c r="I181" s="1685"/>
      <c r="J181" s="12"/>
      <c r="K181" s="9"/>
      <c r="L181" s="9"/>
      <c r="M181" s="9"/>
      <c r="N181" s="9"/>
      <c r="O181" s="9"/>
      <c r="P181" s="9"/>
      <c r="Q181" s="9"/>
      <c r="R181" s="9"/>
      <c r="S181" s="9"/>
      <c r="T181" s="9"/>
      <c r="U181" s="9"/>
      <c r="V181" s="9"/>
      <c r="W181" s="137"/>
      <c r="X181" s="150"/>
      <c r="AJ181" s="81"/>
      <c r="AK181" s="161"/>
      <c r="AL181" s="81"/>
      <c r="AM181" s="81"/>
      <c r="AN181" s="81"/>
      <c r="AO181" s="81"/>
      <c r="AP181" s="81"/>
      <c r="AQ181" s="81"/>
      <c r="AR181" s="81"/>
      <c r="AS181" s="81"/>
      <c r="AT181" s="81"/>
      <c r="AU181" s="81"/>
      <c r="AV181" s="81"/>
      <c r="AW181" s="81"/>
      <c r="AX181" s="81"/>
      <c r="AY181" s="81"/>
      <c r="AZ181" s="81"/>
      <c r="BA181" s="81"/>
      <c r="BB181" s="81"/>
      <c r="BC181" s="81"/>
      <c r="BD181" s="81"/>
    </row>
    <row r="182" spans="1:66" ht="11.25" customHeight="1" x14ac:dyDescent="0.2">
      <c r="A182" s="142"/>
      <c r="B182" s="1680" t="s">
        <v>800</v>
      </c>
      <c r="C182" s="1680"/>
      <c r="D182" s="1680"/>
      <c r="E182" s="1680"/>
      <c r="F182" s="1680"/>
      <c r="G182" s="1680"/>
      <c r="H182" s="1680"/>
      <c r="I182" s="1680"/>
      <c r="J182" s="12"/>
      <c r="K182" s="9"/>
      <c r="L182" s="9"/>
      <c r="M182" s="9"/>
      <c r="N182" s="9"/>
      <c r="O182" s="9"/>
      <c r="P182" s="9"/>
      <c r="Q182" s="9"/>
      <c r="R182" s="9"/>
      <c r="S182" s="9"/>
      <c r="T182" s="9"/>
      <c r="U182" s="9"/>
      <c r="V182" s="9"/>
      <c r="W182" s="137"/>
      <c r="X182" s="150"/>
      <c r="AJ182" s="81"/>
      <c r="AK182" s="161"/>
      <c r="AL182" s="81"/>
      <c r="AM182" s="81"/>
      <c r="AN182" s="81"/>
      <c r="AO182" s="81"/>
      <c r="AP182" s="81"/>
      <c r="AQ182" s="81"/>
      <c r="AR182" s="81"/>
      <c r="AS182" s="81"/>
      <c r="AT182" s="81"/>
      <c r="AU182" s="81"/>
      <c r="AV182" s="81"/>
      <c r="AW182" s="81"/>
      <c r="AX182" s="81"/>
      <c r="AY182" s="81"/>
      <c r="AZ182" s="81"/>
      <c r="BA182" s="81"/>
      <c r="BB182" s="81"/>
      <c r="BC182" s="81"/>
      <c r="BD182" s="81"/>
    </row>
    <row r="183" spans="1:66" ht="11.25" customHeight="1" x14ac:dyDescent="0.2">
      <c r="A183" s="142"/>
      <c r="B183" s="1680"/>
      <c r="C183" s="1680"/>
      <c r="D183" s="1680"/>
      <c r="E183" s="1680"/>
      <c r="F183" s="1680"/>
      <c r="G183" s="1680"/>
      <c r="H183" s="1680"/>
      <c r="I183" s="1680"/>
      <c r="J183" s="12"/>
      <c r="K183" s="9"/>
      <c r="L183" s="9"/>
      <c r="M183" s="9"/>
      <c r="N183" s="9"/>
      <c r="O183" s="9"/>
      <c r="P183" s="9"/>
      <c r="Q183" s="9"/>
      <c r="R183" s="9"/>
      <c r="S183" s="9"/>
      <c r="T183" s="9"/>
      <c r="U183" s="9"/>
      <c r="V183" s="9"/>
      <c r="W183" s="137"/>
      <c r="X183" s="150"/>
      <c r="AJ183" s="81"/>
      <c r="AK183" s="161"/>
      <c r="AL183" s="81"/>
      <c r="AM183" s="81"/>
      <c r="AN183" s="81"/>
      <c r="AO183" s="81"/>
      <c r="AP183" s="81"/>
      <c r="AQ183" s="81"/>
      <c r="AR183" s="81"/>
      <c r="AS183" s="81"/>
      <c r="AT183" s="81"/>
      <c r="AU183" s="81"/>
      <c r="AV183" s="81"/>
      <c r="AW183" s="81"/>
      <c r="AX183" s="81"/>
      <c r="AY183" s="81"/>
      <c r="AZ183" s="81"/>
      <c r="BA183" s="81"/>
      <c r="BB183" s="81"/>
      <c r="BC183" s="81"/>
      <c r="BD183" s="81"/>
    </row>
    <row r="184" spans="1:66" s="76" customFormat="1" ht="11.25" hidden="1" customHeight="1" x14ac:dyDescent="0.2">
      <c r="A184" s="142"/>
      <c r="B184" s="1680" t="s">
        <v>81</v>
      </c>
      <c r="C184" s="1680"/>
      <c r="D184" s="1680"/>
      <c r="E184" s="1680"/>
      <c r="F184" s="1680"/>
      <c r="G184" s="1680"/>
      <c r="H184" s="1680"/>
      <c r="I184" s="1680"/>
      <c r="J184" s="14"/>
      <c r="K184" s="14"/>
      <c r="L184" s="14"/>
      <c r="M184" s="14"/>
      <c r="N184" s="14"/>
      <c r="O184" s="14"/>
      <c r="P184" s="14"/>
      <c r="Q184" s="14"/>
      <c r="R184" s="14"/>
      <c r="S184" s="14"/>
      <c r="T184" s="14"/>
      <c r="U184" s="14"/>
      <c r="V184" s="14"/>
      <c r="W184" s="140"/>
      <c r="X184" s="154"/>
      <c r="Y184" s="81"/>
      <c r="Z184" s="81"/>
      <c r="AA184" s="81"/>
      <c r="AB184" s="81"/>
      <c r="AC184" s="81"/>
      <c r="AD184" s="81"/>
      <c r="AE184" s="81"/>
      <c r="AF184" s="81"/>
      <c r="AG184" s="81"/>
      <c r="AH184" s="81"/>
      <c r="AI184" s="81"/>
      <c r="AJ184" s="81"/>
      <c r="AK184" s="161"/>
      <c r="AL184" s="81"/>
      <c r="AM184" s="81"/>
      <c r="AN184" s="81"/>
      <c r="AO184" s="81"/>
      <c r="AP184" s="81"/>
      <c r="AQ184" s="81"/>
      <c r="AR184" s="81"/>
      <c r="AS184" s="81"/>
      <c r="AT184" s="81"/>
      <c r="AU184" s="81"/>
      <c r="AV184" s="81"/>
      <c r="AW184" s="81"/>
      <c r="AX184" s="81"/>
      <c r="AY184" s="81"/>
      <c r="AZ184" s="81"/>
      <c r="BA184" s="81"/>
      <c r="BB184" s="81"/>
      <c r="BC184" s="81"/>
      <c r="BD184" s="81"/>
    </row>
    <row r="185" spans="1:66" ht="11.25" hidden="1" customHeight="1" x14ac:dyDescent="0.2">
      <c r="A185" s="142"/>
      <c r="B185" s="1680"/>
      <c r="C185" s="1680"/>
      <c r="D185" s="1680"/>
      <c r="E185" s="1680"/>
      <c r="F185" s="1680"/>
      <c r="G185" s="1680"/>
      <c r="H185" s="1680"/>
      <c r="I185" s="1680"/>
      <c r="J185" s="12"/>
      <c r="K185" s="9"/>
      <c r="L185" s="9"/>
      <c r="M185" s="9"/>
      <c r="N185" s="9"/>
      <c r="O185" s="9"/>
      <c r="P185" s="9"/>
      <c r="Q185" s="9"/>
      <c r="R185" s="9"/>
      <c r="S185" s="9"/>
      <c r="T185" s="9"/>
      <c r="U185" s="9"/>
      <c r="V185" s="9"/>
      <c r="W185" s="137"/>
      <c r="X185" s="150"/>
      <c r="AJ185" s="81"/>
      <c r="AK185" s="161"/>
      <c r="AL185" s="81"/>
      <c r="AM185" s="81"/>
      <c r="AN185" s="81"/>
      <c r="AO185" s="81"/>
      <c r="AP185" s="81"/>
      <c r="AQ185" s="81"/>
      <c r="AR185" s="81"/>
      <c r="AS185" s="81"/>
      <c r="AT185" s="81"/>
      <c r="AU185" s="81"/>
      <c r="AV185" s="81"/>
      <c r="AW185" s="81"/>
      <c r="AX185" s="81"/>
      <c r="AY185" s="81"/>
      <c r="AZ185" s="81"/>
      <c r="BA185" s="81"/>
      <c r="BB185" s="81"/>
      <c r="BC185" s="81"/>
      <c r="BD185" s="81"/>
    </row>
    <row r="186" spans="1:66" ht="11.25" customHeight="1" x14ac:dyDescent="0.2">
      <c r="A186" s="142"/>
      <c r="B186" s="1680" t="s">
        <v>78</v>
      </c>
      <c r="C186" s="1680"/>
      <c r="D186" s="1680"/>
      <c r="E186" s="1680"/>
      <c r="F186" s="1680"/>
      <c r="G186" s="1680"/>
      <c r="H186" s="1680"/>
      <c r="I186" s="1680"/>
      <c r="J186" s="12"/>
      <c r="K186" s="9"/>
      <c r="L186" s="9"/>
      <c r="M186" s="9"/>
      <c r="N186" s="9"/>
      <c r="O186" s="9"/>
      <c r="P186" s="9"/>
      <c r="Q186" s="9"/>
      <c r="R186" s="9"/>
      <c r="S186" s="9"/>
      <c r="T186" s="9"/>
      <c r="U186" s="9"/>
      <c r="V186" s="9"/>
      <c r="W186" s="137"/>
      <c r="X186" s="150"/>
      <c r="AJ186" s="81"/>
      <c r="AK186" s="161"/>
      <c r="AL186" s="81"/>
      <c r="AM186" s="81"/>
      <c r="AN186" s="81"/>
      <c r="AO186" s="81"/>
      <c r="AP186" s="81"/>
      <c r="AQ186" s="81"/>
      <c r="AR186" s="81"/>
      <c r="AS186" s="81"/>
      <c r="AT186" s="81"/>
      <c r="AU186" s="81"/>
      <c r="AV186" s="81"/>
      <c r="AW186" s="81"/>
      <c r="AX186" s="81"/>
      <c r="AY186" s="81"/>
      <c r="AZ186" s="81"/>
      <c r="BA186" s="81"/>
      <c r="BB186" s="81"/>
      <c r="BC186" s="81"/>
      <c r="BD186" s="81"/>
    </row>
    <row r="187" spans="1:66" ht="11.25" customHeight="1" x14ac:dyDescent="0.2">
      <c r="A187" s="142"/>
      <c r="B187" s="1680"/>
      <c r="C187" s="1680"/>
      <c r="D187" s="1680"/>
      <c r="E187" s="1680"/>
      <c r="F187" s="1680"/>
      <c r="G187" s="1680"/>
      <c r="H187" s="1680"/>
      <c r="I187" s="1680"/>
      <c r="J187" s="12"/>
      <c r="K187" s="9"/>
      <c r="L187" s="9"/>
      <c r="M187" s="9"/>
      <c r="N187" s="9"/>
      <c r="O187" s="9"/>
      <c r="P187" s="9"/>
      <c r="Q187" s="9"/>
      <c r="R187" s="9"/>
      <c r="S187" s="9"/>
      <c r="T187" s="9"/>
      <c r="U187" s="9"/>
      <c r="V187" s="9"/>
      <c r="W187" s="137"/>
      <c r="X187" s="150"/>
      <c r="AJ187" s="81"/>
      <c r="AK187" s="161"/>
      <c r="AL187" s="81"/>
      <c r="AM187" s="81"/>
      <c r="AN187" s="81"/>
      <c r="AO187" s="81"/>
      <c r="AP187" s="81"/>
      <c r="AQ187" s="81"/>
      <c r="AR187" s="81"/>
      <c r="AS187" s="81"/>
      <c r="AT187" s="81"/>
      <c r="AU187" s="81"/>
      <c r="AV187" s="81"/>
      <c r="AW187" s="81"/>
      <c r="AX187" s="81"/>
      <c r="AY187" s="81"/>
      <c r="AZ187" s="81"/>
      <c r="BA187" s="81"/>
      <c r="BB187" s="81"/>
      <c r="BC187" s="81"/>
      <c r="BD187" s="81"/>
    </row>
    <row r="188" spans="1:66" ht="11.25" customHeight="1" x14ac:dyDescent="0.2">
      <c r="A188" s="142"/>
      <c r="B188" s="1680" t="s">
        <v>17</v>
      </c>
      <c r="C188" s="1680"/>
      <c r="D188" s="1680"/>
      <c r="E188" s="1680"/>
      <c r="F188" s="1680"/>
      <c r="G188" s="1680"/>
      <c r="H188" s="1680"/>
      <c r="I188" s="1680"/>
      <c r="J188" s="12"/>
      <c r="K188" s="9"/>
      <c r="L188" s="9"/>
      <c r="M188" s="9"/>
      <c r="N188" s="9"/>
      <c r="O188" s="9"/>
      <c r="P188" s="9"/>
      <c r="Q188" s="9"/>
      <c r="R188" s="9"/>
      <c r="S188" s="9"/>
      <c r="T188" s="9"/>
      <c r="U188" s="9"/>
      <c r="V188" s="11"/>
      <c r="W188" s="252"/>
      <c r="X188" s="150"/>
      <c r="AA188" s="74"/>
      <c r="AB188" s="74"/>
      <c r="AJ188" s="81"/>
      <c r="AK188" s="161"/>
      <c r="AL188" s="81"/>
      <c r="AM188" s="81"/>
      <c r="AN188" s="81"/>
      <c r="AO188" s="81"/>
      <c r="AP188" s="81"/>
      <c r="AQ188" s="81"/>
      <c r="AR188" s="81"/>
      <c r="AS188" s="81"/>
      <c r="AT188" s="81"/>
      <c r="AU188" s="81"/>
      <c r="AV188" s="81"/>
      <c r="AW188" s="81"/>
      <c r="AX188" s="81"/>
      <c r="AY188" s="81"/>
      <c r="AZ188" s="81"/>
      <c r="BA188" s="81"/>
      <c r="BB188" s="81"/>
      <c r="BC188" s="81"/>
      <c r="BD188" s="81"/>
    </row>
    <row r="189" spans="1:66" ht="11.25" customHeight="1" x14ac:dyDescent="0.2">
      <c r="A189" s="142"/>
      <c r="B189" s="1680"/>
      <c r="C189" s="1680"/>
      <c r="D189" s="1680"/>
      <c r="E189" s="1680"/>
      <c r="F189" s="1680"/>
      <c r="G189" s="1680"/>
      <c r="H189" s="1680"/>
      <c r="I189" s="1680"/>
      <c r="J189" s="12"/>
      <c r="K189" s="9"/>
      <c r="L189" s="9"/>
      <c r="M189" s="9"/>
      <c r="N189" s="9"/>
      <c r="O189" s="9"/>
      <c r="P189" s="9"/>
      <c r="Q189" s="9"/>
      <c r="R189" s="9"/>
      <c r="S189" s="9"/>
      <c r="T189" s="9"/>
      <c r="U189" s="9"/>
      <c r="V189" s="11"/>
      <c r="W189" s="252"/>
      <c r="X189" s="150"/>
      <c r="AA189" s="74"/>
      <c r="AB189" s="74"/>
      <c r="AJ189" s="81"/>
      <c r="AK189" s="161"/>
      <c r="AL189" s="81"/>
      <c r="AM189" s="81"/>
      <c r="AN189" s="81"/>
      <c r="AO189" s="81"/>
      <c r="AP189" s="81"/>
      <c r="AQ189" s="81"/>
      <c r="AR189" s="81"/>
      <c r="AS189" s="81"/>
      <c r="AT189" s="81"/>
      <c r="AU189" s="81"/>
      <c r="AV189" s="81"/>
      <c r="AW189" s="81"/>
      <c r="AX189" s="81"/>
      <c r="AY189" s="81"/>
      <c r="AZ189" s="81"/>
      <c r="BA189" s="81"/>
      <c r="BB189" s="81"/>
      <c r="BC189" s="81"/>
      <c r="BD189" s="81"/>
    </row>
    <row r="190" spans="1:66" ht="11.25" customHeight="1" x14ac:dyDescent="0.2">
      <c r="A190" s="142"/>
      <c r="B190" s="1680" t="s">
        <v>80</v>
      </c>
      <c r="C190" s="1680"/>
      <c r="D190" s="1680"/>
      <c r="E190" s="1680"/>
      <c r="F190" s="1680"/>
      <c r="G190" s="1680"/>
      <c r="H190" s="1680"/>
      <c r="I190" s="1680"/>
      <c r="J190" s="12"/>
      <c r="K190" s="9"/>
      <c r="L190" s="9"/>
      <c r="M190" s="9"/>
      <c r="N190" s="9"/>
      <c r="O190" s="9"/>
      <c r="P190" s="9"/>
      <c r="Q190" s="9"/>
      <c r="R190" s="9"/>
      <c r="S190" s="9"/>
      <c r="T190" s="9"/>
      <c r="U190" s="9"/>
      <c r="V190" s="11"/>
      <c r="W190" s="252"/>
      <c r="X190" s="150"/>
      <c r="AA190" s="74"/>
      <c r="AB190" s="74"/>
      <c r="AJ190" s="81"/>
      <c r="AK190" s="161"/>
      <c r="AL190" s="81"/>
      <c r="AM190" s="81"/>
      <c r="AN190" s="81"/>
      <c r="AO190" s="81"/>
      <c r="AP190" s="81"/>
      <c r="AQ190" s="81"/>
      <c r="AR190" s="81"/>
      <c r="AS190" s="81"/>
      <c r="AT190" s="81"/>
      <c r="AU190" s="81"/>
      <c r="AV190" s="81"/>
      <c r="AW190" s="81"/>
      <c r="AX190" s="81"/>
      <c r="AY190" s="81"/>
      <c r="AZ190" s="81"/>
      <c r="BA190" s="81"/>
      <c r="BB190" s="81"/>
      <c r="BC190" s="81"/>
      <c r="BD190" s="81"/>
    </row>
    <row r="191" spans="1:66" ht="11.25" customHeight="1" x14ac:dyDescent="0.2">
      <c r="A191" s="142"/>
      <c r="B191" s="1680"/>
      <c r="C191" s="1680"/>
      <c r="D191" s="1680"/>
      <c r="E191" s="1680"/>
      <c r="F191" s="1680"/>
      <c r="G191" s="1680"/>
      <c r="H191" s="1680"/>
      <c r="I191" s="1680"/>
      <c r="J191" s="12"/>
      <c r="K191" s="9"/>
      <c r="L191" s="9"/>
      <c r="M191" s="9"/>
      <c r="N191" s="9"/>
      <c r="O191" s="9"/>
      <c r="P191" s="9"/>
      <c r="Q191" s="9"/>
      <c r="R191" s="9"/>
      <c r="S191" s="9"/>
      <c r="T191" s="9"/>
      <c r="U191" s="9"/>
      <c r="V191" s="11"/>
      <c r="W191" s="252"/>
      <c r="X191" s="150"/>
      <c r="AA191" s="74"/>
      <c r="AB191" s="74"/>
      <c r="AJ191" s="81"/>
      <c r="AK191" s="161"/>
      <c r="AL191" s="81"/>
      <c r="AM191" s="81"/>
      <c r="AN191" s="81"/>
      <c r="AO191" s="81"/>
      <c r="AP191" s="81"/>
      <c r="AQ191" s="81"/>
      <c r="AR191" s="81"/>
      <c r="AS191" s="81"/>
      <c r="AT191" s="81"/>
      <c r="AU191" s="81"/>
      <c r="AV191" s="81"/>
      <c r="AW191" s="81"/>
      <c r="AX191" s="81"/>
      <c r="AY191" s="81"/>
      <c r="AZ191" s="81"/>
      <c r="BA191" s="81"/>
      <c r="BB191" s="81"/>
      <c r="BC191" s="81"/>
      <c r="BD191" s="81"/>
    </row>
    <row r="192" spans="1:66" ht="11.25" customHeight="1" x14ac:dyDescent="0.2">
      <c r="A192" s="142"/>
      <c r="B192" s="1680" t="s">
        <v>69</v>
      </c>
      <c r="C192" s="1680"/>
      <c r="D192" s="1680"/>
      <c r="E192" s="1680"/>
      <c r="F192" s="1680"/>
      <c r="G192" s="1680"/>
      <c r="H192" s="1680"/>
      <c r="I192" s="1680"/>
      <c r="J192" s="12"/>
      <c r="K192" s="9"/>
      <c r="L192" s="9"/>
      <c r="M192" s="9"/>
      <c r="N192" s="9"/>
      <c r="O192" s="9"/>
      <c r="P192" s="9"/>
      <c r="Q192" s="9"/>
      <c r="R192" s="9"/>
      <c r="S192" s="9"/>
      <c r="T192" s="9"/>
      <c r="U192" s="9"/>
      <c r="V192" s="11"/>
      <c r="W192" s="252"/>
      <c r="X192" s="150"/>
      <c r="AA192" s="74"/>
      <c r="AB192" s="74"/>
      <c r="AJ192" s="81"/>
      <c r="AK192" s="161"/>
      <c r="AL192" s="81"/>
      <c r="AM192" s="81"/>
      <c r="AN192" s="81"/>
      <c r="AO192" s="81"/>
      <c r="AP192" s="81"/>
      <c r="AQ192" s="81"/>
      <c r="AR192" s="81"/>
      <c r="AS192" s="81"/>
      <c r="AT192" s="81"/>
      <c r="AU192" s="81"/>
      <c r="AV192" s="81"/>
      <c r="AW192" s="81"/>
      <c r="AX192" s="81"/>
      <c r="AY192" s="81"/>
      <c r="AZ192" s="81"/>
      <c r="BA192" s="81"/>
      <c r="BB192" s="81"/>
      <c r="BC192" s="81"/>
      <c r="BD192" s="81"/>
    </row>
    <row r="193" spans="1:56" ht="11.25" customHeight="1" x14ac:dyDescent="0.2">
      <c r="A193" s="142"/>
      <c r="B193" s="1680"/>
      <c r="C193" s="1680"/>
      <c r="D193" s="1680"/>
      <c r="E193" s="1680"/>
      <c r="F193" s="1680"/>
      <c r="G193" s="1680"/>
      <c r="H193" s="1680"/>
      <c r="I193" s="1680"/>
      <c r="J193" s="12"/>
      <c r="K193" s="9"/>
      <c r="L193" s="9"/>
      <c r="M193" s="9"/>
      <c r="N193" s="9"/>
      <c r="O193" s="9"/>
      <c r="P193" s="9"/>
      <c r="Q193" s="9"/>
      <c r="R193" s="9"/>
      <c r="S193" s="9"/>
      <c r="T193" s="9"/>
      <c r="U193" s="9"/>
      <c r="V193" s="11"/>
      <c r="W193" s="252"/>
      <c r="X193" s="150"/>
      <c r="AA193" s="74"/>
      <c r="AB193" s="74"/>
      <c r="AJ193" s="81"/>
      <c r="AK193" s="161"/>
      <c r="AL193" s="81"/>
      <c r="AM193" s="81"/>
      <c r="AN193" s="81"/>
      <c r="AO193" s="81"/>
      <c r="AP193" s="81"/>
      <c r="AQ193" s="81"/>
      <c r="AR193" s="81"/>
      <c r="AS193" s="81"/>
      <c r="AT193" s="81"/>
      <c r="AU193" s="81"/>
      <c r="AV193" s="81"/>
      <c r="AW193" s="81"/>
      <c r="AX193" s="81"/>
      <c r="AY193" s="81"/>
      <c r="AZ193" s="81"/>
      <c r="BA193" s="81"/>
      <c r="BB193" s="81"/>
      <c r="BC193" s="81"/>
      <c r="BD193" s="81"/>
    </row>
    <row r="194" spans="1:56" ht="11.25" customHeight="1" x14ac:dyDescent="0.2">
      <c r="A194" s="142"/>
      <c r="B194" s="1680" t="s">
        <v>24</v>
      </c>
      <c r="C194" s="1680"/>
      <c r="D194" s="1680"/>
      <c r="E194" s="1680"/>
      <c r="F194" s="1680"/>
      <c r="G194" s="1680"/>
      <c r="H194" s="1680"/>
      <c r="I194" s="1680"/>
      <c r="J194" s="12"/>
      <c r="K194" s="9"/>
      <c r="L194" s="9"/>
      <c r="M194" s="9"/>
      <c r="N194" s="9"/>
      <c r="O194" s="9"/>
      <c r="P194" s="9"/>
      <c r="Q194" s="9"/>
      <c r="R194" s="9"/>
      <c r="S194" s="9"/>
      <c r="T194" s="9"/>
      <c r="U194" s="9"/>
      <c r="V194" s="9"/>
      <c r="W194" s="137"/>
      <c r="X194" s="150"/>
      <c r="AJ194" s="81"/>
      <c r="AK194" s="161"/>
      <c r="AL194" s="81"/>
      <c r="AM194" s="81"/>
      <c r="AN194" s="81"/>
      <c r="AO194" s="81"/>
      <c r="AP194" s="81"/>
      <c r="AQ194" s="81"/>
      <c r="AR194" s="81"/>
      <c r="AS194" s="81"/>
      <c r="AT194" s="81"/>
      <c r="AU194" s="81"/>
      <c r="AV194" s="81"/>
      <c r="AW194" s="81"/>
      <c r="AX194" s="81"/>
      <c r="AY194" s="81"/>
      <c r="AZ194" s="81"/>
      <c r="BA194" s="81"/>
      <c r="BB194" s="81"/>
      <c r="BC194" s="81"/>
      <c r="BD194" s="81"/>
    </row>
    <row r="195" spans="1:56" ht="11.25" customHeight="1" x14ac:dyDescent="0.2">
      <c r="A195" s="142"/>
      <c r="B195" s="1680"/>
      <c r="C195" s="1680"/>
      <c r="D195" s="1680"/>
      <c r="E195" s="1680"/>
      <c r="F195" s="1680"/>
      <c r="G195" s="1680"/>
      <c r="H195" s="1680"/>
      <c r="I195" s="1680"/>
      <c r="J195" s="12"/>
      <c r="K195" s="9"/>
      <c r="L195" s="9"/>
      <c r="M195" s="9"/>
      <c r="N195" s="9"/>
      <c r="O195" s="9"/>
      <c r="P195" s="9"/>
      <c r="Q195" s="9"/>
      <c r="R195" s="9"/>
      <c r="S195" s="9"/>
      <c r="T195" s="9"/>
      <c r="U195" s="9"/>
      <c r="V195" s="9"/>
      <c r="W195" s="137"/>
      <c r="X195" s="150"/>
      <c r="AJ195" s="81"/>
      <c r="AK195" s="161"/>
      <c r="AL195" s="81"/>
      <c r="AM195" s="81"/>
      <c r="AN195" s="81"/>
      <c r="AO195" s="81"/>
      <c r="AP195" s="81"/>
      <c r="AQ195" s="81"/>
      <c r="AR195" s="81"/>
      <c r="AS195" s="81"/>
      <c r="AT195" s="81"/>
      <c r="AU195" s="81"/>
      <c r="AV195" s="81"/>
      <c r="AW195" s="81"/>
      <c r="AX195" s="81"/>
      <c r="AY195" s="81"/>
      <c r="AZ195" s="81"/>
      <c r="BA195" s="81"/>
      <c r="BB195" s="81"/>
      <c r="BC195" s="81"/>
      <c r="BD195" s="81"/>
    </row>
    <row r="196" spans="1:56" ht="11.25" customHeight="1" x14ac:dyDescent="0.2">
      <c r="A196" s="142"/>
      <c r="B196" s="1680" t="s">
        <v>22</v>
      </c>
      <c r="C196" s="1680"/>
      <c r="D196" s="1680"/>
      <c r="E196" s="1680"/>
      <c r="F196" s="1680"/>
      <c r="G196" s="1680"/>
      <c r="H196" s="1680"/>
      <c r="I196" s="1680"/>
      <c r="J196" s="12"/>
      <c r="K196" s="9"/>
      <c r="L196" s="9"/>
      <c r="M196" s="9"/>
      <c r="N196" s="9"/>
      <c r="O196" s="9"/>
      <c r="P196" s="9"/>
      <c r="Q196" s="9"/>
      <c r="R196" s="9"/>
      <c r="S196" s="9"/>
      <c r="T196" s="9"/>
      <c r="U196" s="9"/>
      <c r="V196" s="9"/>
      <c r="W196" s="137"/>
      <c r="X196" s="150"/>
      <c r="AJ196" s="81"/>
      <c r="AK196" s="161"/>
      <c r="AL196" s="81"/>
      <c r="AM196" s="81"/>
      <c r="AN196" s="81"/>
      <c r="AO196" s="81"/>
      <c r="AP196" s="81"/>
      <c r="AQ196" s="81"/>
      <c r="AR196" s="81"/>
      <c r="AS196" s="81"/>
      <c r="AT196" s="81"/>
      <c r="AU196" s="81"/>
      <c r="AV196" s="81"/>
      <c r="AW196" s="81"/>
      <c r="AX196" s="81"/>
      <c r="AY196" s="81"/>
      <c r="AZ196" s="81"/>
      <c r="BA196" s="81"/>
      <c r="BB196" s="81"/>
      <c r="BC196" s="81"/>
      <c r="BD196" s="81"/>
    </row>
    <row r="197" spans="1:56" ht="11.25" customHeight="1" x14ac:dyDescent="0.2">
      <c r="A197" s="142"/>
      <c r="B197" s="1680"/>
      <c r="C197" s="1680"/>
      <c r="D197" s="1680"/>
      <c r="E197" s="1680"/>
      <c r="F197" s="1680"/>
      <c r="G197" s="1680"/>
      <c r="H197" s="1680"/>
      <c r="I197" s="1680"/>
      <c r="J197" s="12"/>
      <c r="K197" s="9"/>
      <c r="L197" s="9"/>
      <c r="M197" s="9"/>
      <c r="N197" s="9"/>
      <c r="O197" s="9"/>
      <c r="P197" s="9"/>
      <c r="Q197" s="9"/>
      <c r="R197" s="9"/>
      <c r="S197" s="9"/>
      <c r="T197" s="9"/>
      <c r="U197" s="9"/>
      <c r="V197" s="9"/>
      <c r="W197" s="137"/>
      <c r="X197" s="150"/>
      <c r="AJ197" s="81"/>
      <c r="AK197" s="161"/>
      <c r="AL197" s="81"/>
      <c r="AM197" s="81"/>
      <c r="AN197" s="81"/>
      <c r="AO197" s="81"/>
      <c r="AP197" s="81"/>
      <c r="AQ197" s="81"/>
      <c r="AR197" s="81"/>
      <c r="AS197" s="81"/>
      <c r="AT197" s="81"/>
      <c r="AU197" s="81"/>
      <c r="AV197" s="81"/>
      <c r="AW197" s="81"/>
      <c r="AX197" s="81"/>
      <c r="AY197" s="81"/>
      <c r="AZ197" s="81"/>
      <c r="BA197" s="81"/>
      <c r="BB197" s="81"/>
      <c r="BC197" s="81"/>
      <c r="BD197" s="81"/>
    </row>
    <row r="198" spans="1:56" ht="11.25" customHeight="1" x14ac:dyDescent="0.2">
      <c r="A198" s="142"/>
      <c r="B198" s="1680" t="s">
        <v>25</v>
      </c>
      <c r="C198" s="1680"/>
      <c r="D198" s="1680"/>
      <c r="E198" s="1680"/>
      <c r="F198" s="1680"/>
      <c r="G198" s="1680"/>
      <c r="H198" s="1680"/>
      <c r="I198" s="1680"/>
      <c r="J198" s="12"/>
      <c r="K198" s="9"/>
      <c r="L198" s="9"/>
      <c r="M198" s="9"/>
      <c r="N198" s="9"/>
      <c r="O198" s="9"/>
      <c r="P198" s="9"/>
      <c r="Q198" s="9"/>
      <c r="R198" s="9"/>
      <c r="S198" s="9"/>
      <c r="T198" s="9"/>
      <c r="U198" s="9"/>
      <c r="V198" s="9"/>
      <c r="W198" s="137"/>
      <c r="X198" s="150"/>
      <c r="AJ198" s="81"/>
      <c r="AK198" s="161"/>
      <c r="AL198" s="81"/>
      <c r="AM198" s="81"/>
      <c r="AN198" s="81"/>
      <c r="AO198" s="81"/>
      <c r="AP198" s="81"/>
      <c r="AQ198" s="81"/>
      <c r="AR198" s="81"/>
      <c r="AS198" s="81"/>
      <c r="AT198" s="81"/>
      <c r="AU198" s="81"/>
      <c r="AV198" s="81"/>
      <c r="AW198" s="81"/>
      <c r="AX198" s="81"/>
      <c r="AY198" s="81"/>
      <c r="AZ198" s="81"/>
      <c r="BA198" s="81"/>
      <c r="BB198" s="81"/>
      <c r="BC198" s="81"/>
      <c r="BD198" s="81"/>
    </row>
    <row r="199" spans="1:56" ht="11.25" customHeight="1" x14ac:dyDescent="0.2">
      <c r="A199" s="142"/>
      <c r="B199" s="1680"/>
      <c r="C199" s="1680"/>
      <c r="D199" s="1680"/>
      <c r="E199" s="1680"/>
      <c r="F199" s="1680"/>
      <c r="G199" s="1680"/>
      <c r="H199" s="1680"/>
      <c r="I199" s="1680"/>
      <c r="J199" s="12"/>
      <c r="K199" s="9"/>
      <c r="L199" s="9"/>
      <c r="M199" s="9"/>
      <c r="N199" s="9"/>
      <c r="O199" s="9"/>
      <c r="P199" s="9"/>
      <c r="Q199" s="9"/>
      <c r="R199" s="9"/>
      <c r="S199" s="9"/>
      <c r="T199" s="9"/>
      <c r="U199" s="9"/>
      <c r="V199" s="9"/>
      <c r="W199" s="137"/>
      <c r="X199" s="150"/>
      <c r="AJ199" s="81"/>
      <c r="AK199" s="161"/>
      <c r="AL199" s="81"/>
      <c r="AM199" s="81"/>
      <c r="AN199" s="81"/>
      <c r="AO199" s="81"/>
      <c r="AP199" s="81"/>
      <c r="AQ199" s="81"/>
      <c r="AR199" s="81"/>
      <c r="AS199" s="81"/>
      <c r="AT199" s="81"/>
      <c r="AU199" s="81"/>
      <c r="AV199" s="81"/>
      <c r="AW199" s="81"/>
      <c r="AX199" s="81"/>
      <c r="AY199" s="81"/>
      <c r="AZ199" s="81"/>
      <c r="BA199" s="81"/>
      <c r="BB199" s="81"/>
      <c r="BC199" s="81"/>
      <c r="BD199" s="81"/>
    </row>
    <row r="200" spans="1:56" ht="11.25" customHeight="1" x14ac:dyDescent="0.2">
      <c r="A200" s="142"/>
      <c r="B200" s="1680" t="s">
        <v>18</v>
      </c>
      <c r="C200" s="1680"/>
      <c r="D200" s="1680"/>
      <c r="E200" s="1680"/>
      <c r="F200" s="1680"/>
      <c r="G200" s="1680"/>
      <c r="H200" s="1680"/>
      <c r="I200" s="1680"/>
      <c r="J200" s="12"/>
      <c r="K200" s="9"/>
      <c r="L200" s="9"/>
      <c r="M200" s="9"/>
      <c r="N200" s="9"/>
      <c r="O200" s="9"/>
      <c r="P200" s="9"/>
      <c r="Q200" s="9"/>
      <c r="R200" s="9"/>
      <c r="S200" s="9"/>
      <c r="T200" s="9"/>
      <c r="U200" s="9"/>
      <c r="V200" s="9"/>
      <c r="W200" s="137"/>
      <c r="X200" s="150"/>
      <c r="AJ200" s="81"/>
      <c r="AK200" s="161"/>
      <c r="AL200" s="81"/>
      <c r="AM200" s="81"/>
      <c r="AN200" s="81"/>
      <c r="AO200" s="81"/>
      <c r="AP200" s="81"/>
      <c r="AQ200" s="81"/>
      <c r="AR200" s="81"/>
      <c r="AS200" s="81"/>
      <c r="AT200" s="81"/>
      <c r="AU200" s="81"/>
      <c r="AV200" s="81"/>
      <c r="AW200" s="81"/>
      <c r="AX200" s="81"/>
      <c r="AY200" s="81"/>
      <c r="AZ200" s="81"/>
      <c r="BA200" s="81"/>
      <c r="BB200" s="81"/>
      <c r="BC200" s="81"/>
      <c r="BD200" s="81"/>
    </row>
    <row r="201" spans="1:56" ht="11.25" customHeight="1" x14ac:dyDescent="0.2">
      <c r="A201" s="142"/>
      <c r="B201" s="1680"/>
      <c r="C201" s="1680"/>
      <c r="D201" s="1680"/>
      <c r="E201" s="1680"/>
      <c r="F201" s="1680"/>
      <c r="G201" s="1680"/>
      <c r="H201" s="1680"/>
      <c r="I201" s="1680"/>
      <c r="J201" s="12"/>
      <c r="K201" s="9"/>
      <c r="L201" s="9"/>
      <c r="M201" s="9"/>
      <c r="N201" s="9"/>
      <c r="O201" s="9"/>
      <c r="P201" s="9"/>
      <c r="Q201" s="9"/>
      <c r="R201" s="9"/>
      <c r="S201" s="9"/>
      <c r="T201" s="9"/>
      <c r="U201" s="9"/>
      <c r="V201" s="9"/>
      <c r="W201" s="137"/>
      <c r="X201" s="150"/>
      <c r="AJ201" s="81"/>
      <c r="AK201" s="161"/>
      <c r="AL201" s="81"/>
      <c r="AM201" s="81"/>
      <c r="AN201" s="81"/>
      <c r="AO201" s="81"/>
      <c r="AP201" s="81"/>
      <c r="AQ201" s="81"/>
      <c r="AR201" s="81"/>
      <c r="AS201" s="81"/>
      <c r="AT201" s="81"/>
      <c r="AU201" s="81"/>
      <c r="AV201" s="81"/>
      <c r="AW201" s="81"/>
      <c r="AX201" s="81"/>
      <c r="AY201" s="81"/>
      <c r="AZ201" s="81"/>
      <c r="BA201" s="81"/>
      <c r="BB201" s="81"/>
      <c r="BC201" s="81"/>
      <c r="BD201" s="81"/>
    </row>
    <row r="202" spans="1:56" ht="11.25" customHeight="1" x14ac:dyDescent="0.2">
      <c r="A202" s="142"/>
      <c r="B202" s="1680" t="s">
        <v>19</v>
      </c>
      <c r="C202" s="1680"/>
      <c r="D202" s="1680"/>
      <c r="E202" s="1680"/>
      <c r="F202" s="1680"/>
      <c r="G202" s="1680"/>
      <c r="H202" s="1680"/>
      <c r="I202" s="1680"/>
      <c r="J202" s="12"/>
      <c r="K202" s="9"/>
      <c r="L202" s="9"/>
      <c r="M202" s="9"/>
      <c r="N202" s="9"/>
      <c r="O202" s="9"/>
      <c r="P202" s="9"/>
      <c r="Q202" s="9"/>
      <c r="R202" s="9"/>
      <c r="S202" s="9"/>
      <c r="T202" s="9"/>
      <c r="U202" s="9"/>
      <c r="V202" s="9"/>
      <c r="W202" s="137"/>
      <c r="X202" s="150"/>
      <c r="AJ202" s="81"/>
      <c r="AK202" s="161"/>
      <c r="AL202" s="81"/>
      <c r="AM202" s="81"/>
      <c r="AN202" s="81"/>
      <c r="AO202" s="81"/>
      <c r="AP202" s="81"/>
      <c r="AQ202" s="81"/>
      <c r="AR202" s="81"/>
      <c r="AS202" s="81"/>
      <c r="AT202" s="81"/>
      <c r="AU202" s="81"/>
      <c r="AV202" s="81"/>
      <c r="AW202" s="81"/>
      <c r="AX202" s="81"/>
      <c r="AY202" s="81"/>
      <c r="AZ202" s="81"/>
      <c r="BA202" s="81"/>
      <c r="BB202" s="81"/>
      <c r="BC202" s="81"/>
      <c r="BD202" s="81"/>
    </row>
    <row r="203" spans="1:56" ht="11.25" customHeight="1" x14ac:dyDescent="0.2">
      <c r="A203" s="142"/>
      <c r="B203" s="1680"/>
      <c r="C203" s="1680"/>
      <c r="D203" s="1680"/>
      <c r="E203" s="1680"/>
      <c r="F203" s="1680"/>
      <c r="G203" s="1680"/>
      <c r="H203" s="1680"/>
      <c r="I203" s="1680"/>
      <c r="J203" s="12"/>
      <c r="K203" s="9"/>
      <c r="L203" s="9"/>
      <c r="M203" s="9"/>
      <c r="N203" s="9"/>
      <c r="O203" s="9"/>
      <c r="P203" s="9"/>
      <c r="Q203" s="9"/>
      <c r="R203" s="9"/>
      <c r="S203" s="9"/>
      <c r="T203" s="9"/>
      <c r="U203" s="9"/>
      <c r="V203" s="9"/>
      <c r="W203" s="137"/>
      <c r="X203" s="150"/>
      <c r="AJ203" s="81"/>
      <c r="AK203" s="161"/>
      <c r="AL203" s="81"/>
      <c r="AM203" s="81"/>
      <c r="AN203" s="81"/>
      <c r="AO203" s="81"/>
      <c r="AP203" s="81"/>
      <c r="AQ203" s="81"/>
      <c r="AR203" s="81"/>
      <c r="AS203" s="81"/>
      <c r="AT203" s="81"/>
      <c r="AU203" s="81"/>
      <c r="AV203" s="81"/>
      <c r="AW203" s="81"/>
      <c r="AX203" s="81"/>
      <c r="AY203" s="81"/>
      <c r="AZ203" s="81"/>
      <c r="BA203" s="81"/>
      <c r="BB203" s="81"/>
      <c r="BC203" s="81"/>
      <c r="BD203" s="81"/>
    </row>
    <row r="204" spans="1:56" ht="11.25" customHeight="1" x14ac:dyDescent="0.2">
      <c r="A204" s="142"/>
      <c r="B204" s="1680" t="s">
        <v>20</v>
      </c>
      <c r="C204" s="1680"/>
      <c r="D204" s="1680"/>
      <c r="E204" s="1680"/>
      <c r="F204" s="1680"/>
      <c r="G204" s="1680"/>
      <c r="H204" s="1680"/>
      <c r="I204" s="1680"/>
      <c r="J204" s="12"/>
      <c r="K204" s="9"/>
      <c r="L204" s="9"/>
      <c r="M204" s="9"/>
      <c r="N204" s="9"/>
      <c r="O204" s="9"/>
      <c r="P204" s="9"/>
      <c r="Q204" s="9"/>
      <c r="R204" s="9"/>
      <c r="S204" s="9"/>
      <c r="T204" s="9"/>
      <c r="U204" s="9"/>
      <c r="V204" s="9"/>
      <c r="W204" s="137"/>
      <c r="X204" s="150"/>
      <c r="AJ204" s="81"/>
      <c r="AK204" s="161"/>
      <c r="AL204" s="81"/>
      <c r="AM204" s="81"/>
      <c r="AN204" s="81"/>
      <c r="AO204" s="81"/>
      <c r="AP204" s="81"/>
      <c r="AQ204" s="81"/>
      <c r="AR204" s="81"/>
      <c r="AS204" s="81"/>
      <c r="AT204" s="81"/>
      <c r="AU204" s="81"/>
      <c r="AV204" s="81"/>
      <c r="AW204" s="81"/>
      <c r="AX204" s="81"/>
      <c r="AY204" s="81"/>
      <c r="AZ204" s="81"/>
      <c r="BA204" s="81"/>
      <c r="BB204" s="81"/>
      <c r="BC204" s="81"/>
      <c r="BD204" s="81"/>
    </row>
    <row r="205" spans="1:56" ht="11.25" customHeight="1" x14ac:dyDescent="0.2">
      <c r="A205" s="142"/>
      <c r="B205" s="1680"/>
      <c r="C205" s="1680"/>
      <c r="D205" s="1680"/>
      <c r="E205" s="1680"/>
      <c r="F205" s="1680"/>
      <c r="G205" s="1680"/>
      <c r="H205" s="1680"/>
      <c r="I205" s="1680"/>
      <c r="J205" s="12"/>
      <c r="K205" s="9"/>
      <c r="L205" s="9"/>
      <c r="M205" s="9"/>
      <c r="N205" s="9"/>
      <c r="O205" s="9"/>
      <c r="P205" s="9"/>
      <c r="Q205" s="9"/>
      <c r="R205" s="9"/>
      <c r="S205" s="9"/>
      <c r="T205" s="9"/>
      <c r="U205" s="9"/>
      <c r="V205" s="9"/>
      <c r="W205" s="137"/>
      <c r="X205" s="150"/>
      <c r="AJ205" s="81"/>
      <c r="AK205" s="161"/>
      <c r="AL205" s="81"/>
      <c r="AM205" s="81"/>
      <c r="AN205" s="81"/>
      <c r="AO205" s="81"/>
      <c r="AP205" s="81"/>
      <c r="AQ205" s="81"/>
      <c r="AR205" s="81"/>
      <c r="AS205" s="81"/>
      <c r="AT205" s="81"/>
      <c r="AU205" s="81"/>
      <c r="AV205" s="81"/>
      <c r="AW205" s="81"/>
      <c r="AX205" s="81"/>
      <c r="AY205" s="81"/>
      <c r="AZ205" s="81"/>
      <c r="BA205" s="81"/>
      <c r="BB205" s="81"/>
      <c r="BC205" s="81"/>
      <c r="BD205" s="81"/>
    </row>
    <row r="206" spans="1:56" ht="11.25" customHeight="1" x14ac:dyDescent="0.2">
      <c r="A206" s="142"/>
      <c r="B206" s="1680" t="s">
        <v>26</v>
      </c>
      <c r="C206" s="1680"/>
      <c r="D206" s="1680"/>
      <c r="E206" s="1680"/>
      <c r="F206" s="1680"/>
      <c r="G206" s="1680"/>
      <c r="H206" s="1680"/>
      <c r="I206" s="1680"/>
      <c r="J206" s="12"/>
      <c r="K206" s="9"/>
      <c r="L206" s="9"/>
      <c r="M206" s="9"/>
      <c r="N206" s="9"/>
      <c r="O206" s="9"/>
      <c r="P206" s="9"/>
      <c r="Q206" s="9"/>
      <c r="R206" s="9"/>
      <c r="S206" s="9"/>
      <c r="T206" s="9"/>
      <c r="U206" s="9"/>
      <c r="V206" s="9"/>
      <c r="W206" s="137"/>
      <c r="X206" s="150"/>
      <c r="AJ206" s="81"/>
      <c r="AK206" s="161"/>
      <c r="AL206" s="81"/>
      <c r="AM206" s="81"/>
      <c r="AN206" s="81"/>
      <c r="AO206" s="81"/>
      <c r="AP206" s="81"/>
      <c r="AQ206" s="81"/>
      <c r="AR206" s="81"/>
      <c r="AS206" s="81"/>
      <c r="AT206" s="81"/>
      <c r="AU206" s="81"/>
      <c r="AV206" s="81"/>
      <c r="AW206" s="81"/>
      <c r="AX206" s="81"/>
      <c r="AY206" s="81"/>
      <c r="AZ206" s="81"/>
      <c r="BA206" s="81"/>
      <c r="BB206" s="81"/>
      <c r="BC206" s="81"/>
      <c r="BD206" s="81"/>
    </row>
    <row r="207" spans="1:56" ht="11.25" customHeight="1" x14ac:dyDescent="0.2">
      <c r="A207" s="142"/>
      <c r="B207" s="1680"/>
      <c r="C207" s="1680"/>
      <c r="D207" s="1680"/>
      <c r="E207" s="1680"/>
      <c r="F207" s="1680"/>
      <c r="G207" s="1680"/>
      <c r="H207" s="1680"/>
      <c r="I207" s="1680"/>
      <c r="J207" s="12"/>
      <c r="K207" s="9"/>
      <c r="L207" s="9"/>
      <c r="M207" s="9"/>
      <c r="N207" s="9"/>
      <c r="O207" s="9"/>
      <c r="P207" s="9"/>
      <c r="Q207" s="9"/>
      <c r="R207" s="9"/>
      <c r="S207" s="9"/>
      <c r="T207" s="9"/>
      <c r="U207" s="9"/>
      <c r="V207" s="9"/>
      <c r="W207" s="137"/>
      <c r="X207" s="150"/>
      <c r="AJ207" s="81"/>
      <c r="AK207" s="161"/>
      <c r="AL207" s="81"/>
      <c r="AM207" s="81"/>
      <c r="AN207" s="81"/>
      <c r="AO207" s="81"/>
      <c r="AP207" s="81"/>
      <c r="AQ207" s="81"/>
      <c r="AR207" s="81"/>
      <c r="AS207" s="81"/>
      <c r="AT207" s="81"/>
      <c r="AU207" s="81"/>
      <c r="AV207" s="81"/>
      <c r="AW207" s="81"/>
      <c r="AX207" s="81"/>
      <c r="AY207" s="81"/>
      <c r="AZ207" s="81"/>
      <c r="BA207" s="81"/>
      <c r="BB207" s="81"/>
      <c r="BC207" s="81"/>
      <c r="BD207" s="81"/>
    </row>
    <row r="208" spans="1:56" ht="11.25" customHeight="1" x14ac:dyDescent="0.2">
      <c r="A208" s="142"/>
      <c r="B208" s="1680" t="s">
        <v>21</v>
      </c>
      <c r="C208" s="1680"/>
      <c r="D208" s="1680"/>
      <c r="E208" s="1680"/>
      <c r="F208" s="1680"/>
      <c r="G208" s="1680"/>
      <c r="H208" s="1680"/>
      <c r="I208" s="1680"/>
      <c r="J208" s="12"/>
      <c r="K208" s="9"/>
      <c r="L208" s="9"/>
      <c r="M208" s="9"/>
      <c r="N208" s="9"/>
      <c r="O208" s="9"/>
      <c r="P208" s="9"/>
      <c r="Q208" s="9"/>
      <c r="R208" s="9"/>
      <c r="S208" s="9"/>
      <c r="T208" s="9"/>
      <c r="U208" s="9"/>
      <c r="V208" s="9"/>
      <c r="W208" s="137"/>
      <c r="X208" s="150"/>
      <c r="AJ208" s="81"/>
      <c r="AK208" s="161"/>
      <c r="AL208" s="81"/>
      <c r="AM208" s="81"/>
      <c r="AN208" s="81"/>
      <c r="AO208" s="81"/>
      <c r="AP208" s="81"/>
      <c r="AQ208" s="81"/>
      <c r="AR208" s="81"/>
      <c r="AS208" s="81"/>
      <c r="AT208" s="81"/>
      <c r="AU208" s="81"/>
      <c r="AV208" s="81"/>
      <c r="AW208" s="81"/>
      <c r="AX208" s="81"/>
      <c r="AY208" s="81"/>
      <c r="AZ208" s="81"/>
      <c r="BA208" s="81"/>
      <c r="BB208" s="81"/>
      <c r="BC208" s="81"/>
      <c r="BD208" s="81"/>
    </row>
    <row r="209" spans="1:58" ht="11.25" customHeight="1" x14ac:dyDescent="0.2">
      <c r="A209" s="142"/>
      <c r="B209" s="1680"/>
      <c r="C209" s="1680"/>
      <c r="D209" s="1680"/>
      <c r="E209" s="1680"/>
      <c r="F209" s="1680"/>
      <c r="G209" s="1680"/>
      <c r="H209" s="1680"/>
      <c r="I209" s="1680"/>
      <c r="J209" s="12"/>
      <c r="K209" s="9"/>
      <c r="L209" s="9"/>
      <c r="M209" s="9"/>
      <c r="N209" s="9"/>
      <c r="O209" s="9"/>
      <c r="P209" s="9"/>
      <c r="Q209" s="9"/>
      <c r="R209" s="9"/>
      <c r="S209" s="9"/>
      <c r="T209" s="9"/>
      <c r="U209" s="9"/>
      <c r="V209" s="9"/>
      <c r="W209" s="137"/>
      <c r="X209" s="150"/>
      <c r="AJ209" s="81"/>
      <c r="AK209" s="161"/>
      <c r="AL209" s="81"/>
      <c r="AM209" s="81"/>
      <c r="AN209" s="81"/>
      <c r="AO209" s="81"/>
      <c r="AP209" s="81"/>
      <c r="AQ209" s="81"/>
      <c r="AR209" s="81"/>
      <c r="AS209" s="81"/>
      <c r="AT209" s="81"/>
      <c r="AU209" s="81"/>
      <c r="AV209" s="81"/>
      <c r="AW209" s="81"/>
      <c r="AX209" s="81"/>
      <c r="AY209" s="81"/>
      <c r="AZ209" s="81"/>
      <c r="BA209" s="81"/>
      <c r="BB209" s="81"/>
      <c r="BC209" s="81"/>
      <c r="BD209" s="81"/>
    </row>
    <row r="210" spans="1:58" ht="11.25" customHeight="1" x14ac:dyDescent="0.2">
      <c r="A210" s="142"/>
      <c r="B210" s="1680" t="s">
        <v>905</v>
      </c>
      <c r="C210" s="1680"/>
      <c r="D210" s="1680"/>
      <c r="E210" s="1680"/>
      <c r="F210" s="1680"/>
      <c r="G210" s="1680"/>
      <c r="H210" s="1680"/>
      <c r="I210" s="1680"/>
      <c r="J210" s="12"/>
      <c r="K210" s="9"/>
      <c r="L210" s="9"/>
      <c r="M210" s="9"/>
      <c r="N210" s="9"/>
      <c r="O210" s="9"/>
      <c r="P210" s="9"/>
      <c r="Q210" s="9"/>
      <c r="R210" s="9"/>
      <c r="S210" s="9"/>
      <c r="T210" s="9"/>
      <c r="U210" s="9"/>
      <c r="V210" s="9"/>
      <c r="W210" s="137"/>
      <c r="X210" s="150"/>
      <c r="AJ210" s="81"/>
      <c r="AK210" s="161"/>
      <c r="AL210" s="81"/>
      <c r="AM210" s="81"/>
      <c r="AN210" s="81"/>
      <c r="AO210" s="81"/>
      <c r="AP210" s="81"/>
      <c r="AQ210" s="81"/>
      <c r="AR210" s="81"/>
      <c r="AS210" s="81"/>
      <c r="AT210" s="81"/>
      <c r="AU210" s="81"/>
      <c r="AV210" s="81"/>
      <c r="AW210" s="81"/>
      <c r="AX210" s="81"/>
      <c r="AY210" s="81"/>
      <c r="AZ210" s="81"/>
      <c r="BA210" s="81"/>
      <c r="BB210" s="81"/>
      <c r="BC210" s="81"/>
      <c r="BD210" s="81"/>
    </row>
    <row r="211" spans="1:58" ht="11.25" customHeight="1" x14ac:dyDescent="0.2">
      <c r="A211" s="142"/>
      <c r="B211" s="1680"/>
      <c r="C211" s="1680"/>
      <c r="D211" s="1680"/>
      <c r="E211" s="1680"/>
      <c r="F211" s="1680"/>
      <c r="G211" s="1680"/>
      <c r="H211" s="1680"/>
      <c r="I211" s="1680"/>
      <c r="J211" s="12"/>
      <c r="K211" s="9"/>
      <c r="L211" s="9"/>
      <c r="M211" s="9"/>
      <c r="N211" s="9"/>
      <c r="O211" s="9"/>
      <c r="P211" s="9"/>
      <c r="Q211" s="9"/>
      <c r="R211" s="9"/>
      <c r="S211" s="9"/>
      <c r="T211" s="9"/>
      <c r="U211" s="9"/>
      <c r="V211" s="9"/>
      <c r="W211" s="137"/>
      <c r="X211" s="150"/>
      <c r="AJ211" s="81"/>
      <c r="AK211" s="161"/>
      <c r="AL211" s="81"/>
      <c r="AM211" s="81"/>
      <c r="AN211" s="81"/>
      <c r="AO211" s="81"/>
      <c r="AP211" s="81"/>
      <c r="AQ211" s="81"/>
      <c r="AR211" s="81"/>
      <c r="AS211" s="81"/>
      <c r="AT211" s="81"/>
      <c r="AU211" s="81"/>
      <c r="AV211" s="81"/>
      <c r="AW211" s="81"/>
      <c r="AX211" s="81"/>
      <c r="AY211" s="81"/>
      <c r="AZ211" s="81"/>
      <c r="BA211" s="81"/>
      <c r="BB211" s="81"/>
      <c r="BC211" s="81"/>
      <c r="BD211" s="81"/>
    </row>
    <row r="212" spans="1:58" ht="11.25" customHeight="1" x14ac:dyDescent="0.2">
      <c r="A212" s="142"/>
      <c r="B212" s="1680" t="s">
        <v>32</v>
      </c>
      <c r="C212" s="1680"/>
      <c r="D212" s="1680"/>
      <c r="E212" s="1680"/>
      <c r="F212" s="1680"/>
      <c r="G212" s="1680"/>
      <c r="H212" s="1680"/>
      <c r="I212" s="1680"/>
      <c r="J212" s="12"/>
      <c r="K212" s="9"/>
      <c r="L212" s="9"/>
      <c r="M212" s="9"/>
      <c r="N212" s="9"/>
      <c r="O212" s="9"/>
      <c r="P212" s="9"/>
      <c r="Q212" s="9"/>
      <c r="R212" s="9"/>
      <c r="S212" s="9"/>
      <c r="T212" s="9"/>
      <c r="U212" s="9"/>
      <c r="V212" s="9"/>
      <c r="W212" s="137"/>
      <c r="X212" s="150"/>
      <c r="AJ212" s="81"/>
      <c r="AK212" s="161"/>
      <c r="AL212" s="81"/>
      <c r="AM212" s="81"/>
      <c r="AN212" s="81"/>
      <c r="AO212" s="81"/>
      <c r="AP212" s="81"/>
      <c r="AQ212" s="81"/>
      <c r="AR212" s="81"/>
      <c r="AS212" s="81"/>
      <c r="AT212" s="81"/>
      <c r="AU212" s="81"/>
      <c r="AV212" s="81"/>
      <c r="AW212" s="81"/>
      <c r="AX212" s="81"/>
      <c r="AY212" s="81"/>
      <c r="AZ212" s="81"/>
      <c r="BA212" s="81"/>
      <c r="BB212" s="81"/>
      <c r="BC212" s="81"/>
      <c r="BD212" s="81"/>
    </row>
    <row r="213" spans="1:58" ht="11.25" customHeight="1" x14ac:dyDescent="0.2">
      <c r="A213" s="142"/>
      <c r="B213" s="1680"/>
      <c r="C213" s="1680"/>
      <c r="D213" s="1680"/>
      <c r="E213" s="1680"/>
      <c r="F213" s="1680"/>
      <c r="G213" s="1680"/>
      <c r="H213" s="1680"/>
      <c r="I213" s="1680"/>
      <c r="J213" s="12"/>
      <c r="K213" s="9"/>
      <c r="L213" s="9"/>
      <c r="M213" s="9"/>
      <c r="N213" s="9"/>
      <c r="O213" s="9"/>
      <c r="P213" s="9"/>
      <c r="Q213" s="9"/>
      <c r="R213" s="9"/>
      <c r="S213" s="9"/>
      <c r="T213" s="9"/>
      <c r="U213" s="9"/>
      <c r="V213" s="9"/>
      <c r="W213" s="137"/>
      <c r="X213" s="150"/>
      <c r="AJ213" s="81"/>
      <c r="AK213" s="161"/>
      <c r="AL213" s="81"/>
      <c r="AM213" s="81"/>
      <c r="AN213" s="81"/>
      <c r="AO213" s="81"/>
      <c r="AP213" s="81"/>
      <c r="AQ213" s="81"/>
      <c r="AR213" s="81"/>
      <c r="AS213" s="81"/>
      <c r="AT213" s="81"/>
      <c r="AU213" s="81"/>
      <c r="AV213" s="81"/>
      <c r="AW213" s="81"/>
      <c r="AX213" s="81"/>
      <c r="AY213" s="81"/>
      <c r="AZ213" s="81"/>
      <c r="BA213" s="81"/>
      <c r="BB213" s="81"/>
      <c r="BC213" s="81"/>
      <c r="BD213" s="81"/>
    </row>
    <row r="214" spans="1:58" ht="11.25" customHeight="1" x14ac:dyDescent="0.2">
      <c r="A214" s="142"/>
      <c r="B214" s="1680" t="s">
        <v>666</v>
      </c>
      <c r="C214" s="1680"/>
      <c r="D214" s="1680"/>
      <c r="E214" s="1680"/>
      <c r="F214" s="1680"/>
      <c r="G214" s="1680"/>
      <c r="H214" s="1680"/>
      <c r="I214" s="1680"/>
      <c r="J214" s="12"/>
      <c r="K214" s="9"/>
      <c r="L214" s="9"/>
      <c r="M214" s="9"/>
      <c r="N214" s="9"/>
      <c r="O214" s="9"/>
      <c r="P214" s="9"/>
      <c r="Q214" s="9"/>
      <c r="R214" s="9"/>
      <c r="S214" s="9"/>
      <c r="T214" s="9"/>
      <c r="U214" s="9"/>
      <c r="V214" s="9"/>
      <c r="W214" s="137"/>
      <c r="X214" s="150"/>
      <c r="AJ214" s="81"/>
      <c r="AK214" s="161"/>
      <c r="AL214" s="81"/>
      <c r="AM214" s="81"/>
      <c r="AN214" s="81"/>
      <c r="AO214" s="81"/>
      <c r="AP214" s="81"/>
      <c r="AQ214" s="81"/>
      <c r="AR214" s="81"/>
      <c r="AS214" s="81"/>
      <c r="AT214" s="81"/>
      <c r="AU214" s="81"/>
      <c r="AV214" s="81"/>
      <c r="AW214" s="81"/>
      <c r="AX214" s="81"/>
      <c r="AY214" s="81"/>
      <c r="AZ214" s="81"/>
      <c r="BA214" s="81"/>
      <c r="BB214" s="81"/>
      <c r="BC214" s="81"/>
      <c r="BD214" s="81"/>
    </row>
    <row r="215" spans="1:58" ht="11.25" customHeight="1" x14ac:dyDescent="0.2">
      <c r="A215" s="142"/>
      <c r="B215" s="1680"/>
      <c r="C215" s="1680"/>
      <c r="D215" s="1680"/>
      <c r="E215" s="1680"/>
      <c r="F215" s="1680"/>
      <c r="G215" s="1680"/>
      <c r="H215" s="1680"/>
      <c r="I215" s="1680"/>
      <c r="J215" s="12"/>
      <c r="K215" s="9"/>
      <c r="L215" s="9"/>
      <c r="M215" s="9"/>
      <c r="N215" s="9"/>
      <c r="O215" s="9"/>
      <c r="P215" s="9"/>
      <c r="Q215" s="9"/>
      <c r="R215" s="9"/>
      <c r="S215" s="9"/>
      <c r="T215" s="9"/>
      <c r="U215" s="9"/>
      <c r="V215" s="9"/>
      <c r="W215" s="137"/>
      <c r="X215" s="150"/>
      <c r="AJ215" s="81"/>
      <c r="AK215" s="161"/>
      <c r="AL215" s="81"/>
      <c r="AM215" s="81"/>
      <c r="AN215" s="81"/>
      <c r="AO215" s="81"/>
      <c r="AP215" s="81"/>
      <c r="AQ215" s="81"/>
      <c r="AR215" s="81"/>
      <c r="AS215" s="81"/>
      <c r="AT215" s="81"/>
      <c r="AU215" s="81"/>
      <c r="AV215" s="81"/>
      <c r="AW215" s="81"/>
      <c r="AX215" s="81"/>
      <c r="AY215" s="81"/>
      <c r="AZ215" s="81"/>
      <c r="BA215" s="81"/>
      <c r="BB215" s="81"/>
      <c r="BC215" s="81"/>
      <c r="BD215" s="81"/>
    </row>
    <row r="216" spans="1:58" ht="11.25" customHeight="1" x14ac:dyDescent="0.2">
      <c r="A216" s="142"/>
      <c r="B216" s="1680" t="s">
        <v>906</v>
      </c>
      <c r="C216" s="1680"/>
      <c r="D216" s="1680"/>
      <c r="E216" s="1680"/>
      <c r="F216" s="1680"/>
      <c r="G216" s="1680"/>
      <c r="H216" s="1680"/>
      <c r="I216" s="1680"/>
      <c r="J216" s="12"/>
      <c r="K216" s="9"/>
      <c r="L216" s="9"/>
      <c r="M216" s="9"/>
      <c r="N216" s="9"/>
      <c r="O216" s="9"/>
      <c r="P216" s="9"/>
      <c r="Q216" s="9"/>
      <c r="R216" s="9"/>
      <c r="S216" s="9"/>
      <c r="T216" s="9"/>
      <c r="U216" s="9"/>
      <c r="V216" s="9"/>
      <c r="W216" s="137"/>
      <c r="X216" s="150"/>
      <c r="AJ216" s="81"/>
      <c r="AK216" s="161"/>
      <c r="AL216" s="81"/>
      <c r="AM216" s="81"/>
      <c r="AN216" s="81"/>
      <c r="AO216" s="81"/>
      <c r="AP216" s="81"/>
      <c r="AQ216" s="81"/>
      <c r="AR216" s="81"/>
      <c r="AS216" s="81"/>
      <c r="AT216" s="81"/>
      <c r="AU216" s="81"/>
      <c r="AV216" s="81"/>
      <c r="AW216" s="81"/>
      <c r="AX216" s="81"/>
      <c r="AY216" s="81"/>
      <c r="AZ216" s="81"/>
      <c r="BA216" s="81"/>
      <c r="BB216" s="81"/>
      <c r="BC216" s="81"/>
      <c r="BD216" s="81"/>
    </row>
    <row r="217" spans="1:58" ht="11.25" customHeight="1" x14ac:dyDescent="0.2">
      <c r="A217" s="142"/>
      <c r="B217" s="1680"/>
      <c r="C217" s="1680"/>
      <c r="D217" s="1680"/>
      <c r="E217" s="1680"/>
      <c r="F217" s="1680"/>
      <c r="G217" s="1680"/>
      <c r="H217" s="1680"/>
      <c r="I217" s="1680"/>
      <c r="J217" s="12"/>
      <c r="K217" s="9"/>
      <c r="L217" s="9"/>
      <c r="M217" s="9"/>
      <c r="N217" s="9"/>
      <c r="O217" s="9"/>
      <c r="P217" s="9"/>
      <c r="Q217" s="9"/>
      <c r="R217" s="9"/>
      <c r="S217" s="9"/>
      <c r="T217" s="9"/>
      <c r="U217" s="9"/>
      <c r="V217" s="9"/>
      <c r="W217" s="137"/>
      <c r="X217" s="150"/>
      <c r="AJ217" s="81"/>
      <c r="AK217" s="161"/>
      <c r="AL217" s="81"/>
      <c r="AM217" s="81"/>
      <c r="AN217" s="81"/>
      <c r="AO217" s="81"/>
      <c r="AP217" s="81"/>
      <c r="AQ217" s="81"/>
      <c r="AR217" s="81"/>
      <c r="AS217" s="81"/>
      <c r="AT217" s="81"/>
      <c r="AU217" s="81"/>
      <c r="AV217" s="81"/>
      <c r="AW217" s="81"/>
      <c r="AX217" s="81"/>
      <c r="AY217" s="81"/>
      <c r="AZ217" s="81"/>
      <c r="BA217" s="81"/>
      <c r="BB217" s="81"/>
      <c r="BC217" s="81"/>
      <c r="BD217" s="81"/>
    </row>
    <row r="218" spans="1:58" ht="11.25" customHeight="1" x14ac:dyDescent="0.2">
      <c r="A218" s="142"/>
      <c r="B218" s="1680" t="s">
        <v>672</v>
      </c>
      <c r="C218" s="1680"/>
      <c r="D218" s="1680"/>
      <c r="E218" s="1680"/>
      <c r="F218" s="1680"/>
      <c r="G218" s="1680"/>
      <c r="H218" s="1680"/>
      <c r="I218" s="1680"/>
      <c r="J218" s="12"/>
      <c r="K218" s="9"/>
      <c r="L218" s="9"/>
      <c r="M218" s="9"/>
      <c r="N218" s="9"/>
      <c r="O218" s="9"/>
      <c r="P218" s="9"/>
      <c r="Q218" s="9"/>
      <c r="R218" s="9"/>
      <c r="S218" s="9"/>
      <c r="T218" s="9"/>
      <c r="U218" s="9"/>
      <c r="V218" s="9"/>
      <c r="W218" s="137"/>
      <c r="X218" s="150"/>
      <c r="AJ218" s="81"/>
      <c r="AK218" s="161"/>
      <c r="AL218" s="81"/>
      <c r="AM218" s="81"/>
      <c r="AN218" s="81"/>
      <c r="AO218" s="81"/>
      <c r="AP218" s="81"/>
      <c r="AQ218" s="81"/>
      <c r="AR218" s="81"/>
      <c r="AS218" s="81"/>
      <c r="AT218" s="81"/>
      <c r="AU218" s="81"/>
      <c r="AV218" s="81"/>
      <c r="AW218" s="81"/>
      <c r="AX218" s="81"/>
      <c r="AY218" s="81"/>
      <c r="AZ218" s="81"/>
      <c r="BA218" s="81"/>
      <c r="BB218" s="81"/>
      <c r="BC218" s="81"/>
      <c r="BD218" s="81"/>
    </row>
    <row r="219" spans="1:58" s="80" customFormat="1" ht="11.25" customHeight="1" x14ac:dyDescent="0.2">
      <c r="A219" s="142"/>
      <c r="B219" s="1680"/>
      <c r="C219" s="1680"/>
      <c r="D219" s="1680"/>
      <c r="E219" s="1680"/>
      <c r="F219" s="1680"/>
      <c r="G219" s="1680"/>
      <c r="H219" s="1680"/>
      <c r="I219" s="1680"/>
      <c r="J219" s="12"/>
      <c r="K219" s="9"/>
      <c r="L219" s="9"/>
      <c r="M219" s="9"/>
      <c r="N219" s="9"/>
      <c r="O219" s="9"/>
      <c r="P219" s="9"/>
      <c r="Q219" s="9"/>
      <c r="R219" s="9"/>
      <c r="S219" s="9"/>
      <c r="T219" s="9"/>
      <c r="U219" s="9"/>
      <c r="V219" s="9"/>
      <c r="W219" s="137"/>
      <c r="X219" s="150"/>
      <c r="Y219" s="81"/>
      <c r="Z219" s="81"/>
      <c r="AA219" s="81"/>
      <c r="AB219" s="81"/>
      <c r="AC219" s="81"/>
      <c r="AD219" s="81"/>
      <c r="AE219" s="81"/>
      <c r="AF219" s="81"/>
      <c r="AG219" s="81"/>
      <c r="AH219" s="81"/>
      <c r="AI219" s="81"/>
      <c r="AJ219" s="81"/>
      <c r="AK219" s="161"/>
      <c r="AL219" s="81"/>
      <c r="AM219" s="81"/>
      <c r="AN219" s="81"/>
      <c r="AO219" s="81"/>
      <c r="AP219" s="81"/>
      <c r="AQ219" s="81"/>
      <c r="AR219" s="81"/>
      <c r="AS219" s="81"/>
      <c r="AT219" s="81"/>
      <c r="AU219" s="81"/>
      <c r="AV219" s="81"/>
      <c r="AW219" s="81"/>
      <c r="AX219" s="81"/>
      <c r="AY219" s="81"/>
      <c r="AZ219" s="81"/>
      <c r="BA219" s="81"/>
      <c r="BB219" s="81"/>
      <c r="BC219" s="81"/>
      <c r="BD219" s="81"/>
      <c r="BE219" s="74"/>
      <c r="BF219" s="74"/>
    </row>
    <row r="220" spans="1:58" ht="11.25" customHeight="1" x14ac:dyDescent="0.2">
      <c r="A220" s="1273"/>
      <c r="B220" s="1274"/>
      <c r="C220" s="1275"/>
      <c r="D220" s="1275"/>
      <c r="E220" s="1275"/>
      <c r="F220" s="1275"/>
      <c r="G220" s="1275"/>
      <c r="H220" s="1275"/>
      <c r="I220" s="1275"/>
      <c r="J220" s="1276"/>
      <c r="K220" s="201"/>
      <c r="L220" s="201"/>
      <c r="M220" s="201"/>
      <c r="N220" s="201"/>
      <c r="O220" s="201"/>
      <c r="P220" s="201"/>
      <c r="Q220" s="201"/>
      <c r="R220" s="201"/>
      <c r="S220" s="201"/>
      <c r="T220" s="201"/>
      <c r="U220" s="201"/>
      <c r="V220" s="201"/>
      <c r="W220" s="1277"/>
      <c r="X220" s="1271"/>
      <c r="Y220" s="200"/>
      <c r="Z220" s="200"/>
      <c r="AA220" s="200"/>
      <c r="AB220" s="200"/>
      <c r="AC220" s="200"/>
      <c r="AD220" s="200"/>
      <c r="AE220" s="200"/>
      <c r="AF220" s="200"/>
      <c r="AG220" s="200"/>
      <c r="AH220" s="200"/>
      <c r="AI220" s="200"/>
      <c r="AJ220" s="200"/>
      <c r="AK220" s="1570"/>
      <c r="AL220" s="81"/>
      <c r="AM220" s="81"/>
      <c r="AN220" s="81"/>
      <c r="AO220" s="81"/>
      <c r="AP220" s="81"/>
      <c r="AQ220" s="81"/>
      <c r="AR220" s="81"/>
      <c r="AS220" s="81"/>
      <c r="AT220" s="81"/>
      <c r="AU220" s="81"/>
      <c r="AV220" s="81"/>
      <c r="AW220" s="81"/>
      <c r="AX220" s="81"/>
      <c r="AY220" s="81"/>
      <c r="AZ220" s="81"/>
      <c r="BA220" s="81"/>
      <c r="BB220" s="81"/>
      <c r="BC220" s="81"/>
      <c r="BD220" s="81"/>
    </row>
    <row r="221" spans="1:58" ht="11.25" customHeight="1" x14ac:dyDescent="0.2">
      <c r="AJ221" s="81"/>
      <c r="AK221" s="81"/>
      <c r="AL221" s="81"/>
      <c r="AM221" s="81"/>
      <c r="AN221" s="81"/>
      <c r="AO221" s="81"/>
      <c r="AR221" s="184"/>
    </row>
    <row r="222" spans="1:58" ht="11.25" customHeight="1" x14ac:dyDescent="0.2">
      <c r="AJ222" s="81"/>
      <c r="AK222" s="81"/>
      <c r="AL222" s="81"/>
      <c r="AM222" s="81"/>
      <c r="AN222" s="81"/>
      <c r="AO222" s="81"/>
      <c r="AR222" s="184"/>
    </row>
    <row r="223" spans="1:58" ht="11.25" customHeight="1" x14ac:dyDescent="0.2">
      <c r="AJ223" s="81"/>
      <c r="AK223" s="81"/>
      <c r="AL223" s="81"/>
      <c r="AM223" s="81"/>
      <c r="AN223" s="81"/>
      <c r="AO223" s="81"/>
      <c r="AR223" s="184"/>
    </row>
    <row r="224" spans="1:58" ht="11.25" customHeight="1" x14ac:dyDescent="0.2">
      <c r="AJ224" s="81"/>
      <c r="AK224" s="81"/>
      <c r="AL224" s="81"/>
      <c r="AM224" s="81"/>
      <c r="AN224" s="81"/>
      <c r="AO224" s="81"/>
      <c r="AR224" s="184"/>
    </row>
    <row r="225" spans="36:44" ht="11.25" customHeight="1" x14ac:dyDescent="0.2">
      <c r="AJ225" s="81"/>
      <c r="AK225" s="81"/>
      <c r="AL225" s="81"/>
      <c r="AM225" s="81"/>
      <c r="AN225" s="81"/>
      <c r="AO225" s="81"/>
      <c r="AR225" s="184"/>
    </row>
    <row r="226" spans="36:44" ht="11.25" customHeight="1" x14ac:dyDescent="0.2">
      <c r="AJ226" s="81"/>
      <c r="AK226" s="81"/>
      <c r="AL226" s="81"/>
      <c r="AM226" s="81"/>
      <c r="AN226" s="81"/>
      <c r="AO226" s="81"/>
      <c r="AR226" s="184"/>
    </row>
    <row r="227" spans="36:44" ht="11.25" customHeight="1" x14ac:dyDescent="0.2">
      <c r="AJ227" s="81"/>
      <c r="AK227" s="81"/>
      <c r="AL227" s="81"/>
      <c r="AM227" s="81"/>
      <c r="AN227" s="81"/>
      <c r="AO227" s="81"/>
      <c r="AR227" s="184"/>
    </row>
    <row r="228" spans="36:44" ht="11.25" customHeight="1" x14ac:dyDescent="0.2">
      <c r="AJ228" s="81"/>
      <c r="AK228" s="81"/>
      <c r="AL228" s="81"/>
      <c r="AM228" s="81"/>
      <c r="AN228" s="81"/>
      <c r="AO228" s="81"/>
      <c r="AR228" s="184"/>
    </row>
    <row r="229" spans="36:44" ht="11.25" customHeight="1" x14ac:dyDescent="0.2">
      <c r="AJ229" s="81"/>
      <c r="AK229" s="81"/>
      <c r="AL229" s="81"/>
      <c r="AM229" s="81"/>
      <c r="AN229" s="81"/>
      <c r="AO229" s="81"/>
      <c r="AR229" s="184"/>
    </row>
    <row r="230" spans="36:44" ht="11.25" customHeight="1" x14ac:dyDescent="0.2">
      <c r="AJ230" s="81"/>
      <c r="AK230" s="81"/>
      <c r="AL230" s="81"/>
      <c r="AM230" s="81"/>
      <c r="AN230" s="81"/>
      <c r="AO230" s="81"/>
      <c r="AR230" s="184"/>
    </row>
    <row r="231" spans="36:44" ht="11.25" customHeight="1" x14ac:dyDescent="0.2">
      <c r="AJ231" s="81"/>
      <c r="AK231" s="81"/>
      <c r="AL231" s="81"/>
      <c r="AM231" s="81"/>
      <c r="AN231" s="81"/>
      <c r="AO231" s="81"/>
      <c r="AR231" s="184"/>
    </row>
    <row r="232" spans="36:44" ht="11.25" customHeight="1" x14ac:dyDescent="0.2">
      <c r="AJ232" s="81"/>
      <c r="AK232" s="81"/>
      <c r="AL232" s="81"/>
      <c r="AM232" s="81"/>
      <c r="AN232" s="81"/>
      <c r="AO232" s="81"/>
      <c r="AR232" s="184"/>
    </row>
    <row r="233" spans="36:44" ht="11.25" customHeight="1" x14ac:dyDescent="0.2">
      <c r="AJ233" s="81"/>
      <c r="AK233" s="81"/>
      <c r="AL233" s="81"/>
      <c r="AM233" s="81"/>
      <c r="AN233" s="81"/>
      <c r="AO233" s="81"/>
      <c r="AR233" s="184"/>
    </row>
    <row r="234" spans="36:44" ht="11.25" customHeight="1" x14ac:dyDescent="0.2">
      <c r="AJ234" s="81"/>
      <c r="AK234" s="81"/>
      <c r="AL234" s="81"/>
      <c r="AM234" s="81"/>
      <c r="AN234" s="81"/>
      <c r="AO234" s="81"/>
      <c r="AR234" s="184"/>
    </row>
    <row r="235" spans="36:44" ht="11.25" customHeight="1" x14ac:dyDescent="0.2">
      <c r="AJ235" s="81"/>
      <c r="AK235" s="81"/>
      <c r="AL235" s="81"/>
      <c r="AM235" s="81"/>
      <c r="AN235" s="81"/>
      <c r="AO235" s="81"/>
      <c r="AR235" s="184"/>
    </row>
    <row r="236" spans="36:44" ht="11.25" customHeight="1" x14ac:dyDescent="0.2">
      <c r="AJ236" s="81"/>
      <c r="AK236" s="81"/>
      <c r="AL236" s="81"/>
      <c r="AM236" s="81"/>
      <c r="AN236" s="81"/>
      <c r="AO236" s="81"/>
      <c r="AR236" s="184"/>
    </row>
    <row r="237" spans="36:44" ht="11.25" customHeight="1" x14ac:dyDescent="0.2">
      <c r="AJ237" s="81"/>
      <c r="AK237" s="81"/>
      <c r="AL237" s="81"/>
      <c r="AM237" s="81"/>
      <c r="AN237" s="81"/>
      <c r="AO237" s="81"/>
      <c r="AR237" s="184"/>
    </row>
    <row r="238" spans="36:44" ht="11.25" customHeight="1" x14ac:dyDescent="0.2">
      <c r="AJ238" s="81"/>
      <c r="AK238" s="81"/>
      <c r="AL238" s="81"/>
      <c r="AM238" s="81"/>
      <c r="AN238" s="81"/>
      <c r="AO238" s="81"/>
      <c r="AR238" s="184"/>
    </row>
    <row r="239" spans="36:44" ht="11.25" customHeight="1" x14ac:dyDescent="0.2">
      <c r="AJ239" s="81"/>
      <c r="AK239" s="81"/>
      <c r="AL239" s="81"/>
      <c r="AM239" s="81"/>
      <c r="AN239" s="81"/>
      <c r="AO239" s="81"/>
      <c r="AR239" s="184"/>
    </row>
    <row r="240" spans="36:44" ht="11.25" customHeight="1" x14ac:dyDescent="0.2">
      <c r="AJ240" s="81"/>
      <c r="AK240" s="81"/>
      <c r="AL240" s="81"/>
      <c r="AM240" s="81"/>
      <c r="AN240" s="81"/>
      <c r="AO240" s="81"/>
      <c r="AR240" s="184"/>
    </row>
    <row r="241" spans="36:44" ht="11.25" customHeight="1" x14ac:dyDescent="0.2">
      <c r="AJ241" s="81"/>
      <c r="AK241" s="81"/>
      <c r="AL241" s="81"/>
      <c r="AM241" s="81"/>
      <c r="AN241" s="81"/>
      <c r="AO241" s="81"/>
      <c r="AR241" s="184"/>
    </row>
    <row r="242" spans="36:44" ht="11.25" customHeight="1" x14ac:dyDescent="0.2">
      <c r="AJ242" s="81"/>
      <c r="AK242" s="81"/>
      <c r="AL242" s="81"/>
      <c r="AM242" s="81"/>
      <c r="AN242" s="81"/>
      <c r="AO242" s="81"/>
      <c r="AR242" s="184"/>
    </row>
    <row r="243" spans="36:44" ht="11.25" customHeight="1" x14ac:dyDescent="0.2">
      <c r="AJ243" s="81"/>
      <c r="AK243" s="81"/>
      <c r="AL243" s="81"/>
      <c r="AM243" s="81"/>
      <c r="AN243" s="81"/>
      <c r="AO243" s="81"/>
      <c r="AR243" s="184"/>
    </row>
    <row r="244" spans="36:44" ht="11.25" customHeight="1" x14ac:dyDescent="0.2">
      <c r="AJ244" s="81"/>
      <c r="AK244" s="81"/>
      <c r="AL244" s="81"/>
      <c r="AM244" s="81"/>
      <c r="AN244" s="81"/>
      <c r="AO244" s="81"/>
      <c r="AR244" s="184"/>
    </row>
    <row r="245" spans="36:44" ht="11.25" customHeight="1" x14ac:dyDescent="0.2">
      <c r="AJ245" s="81"/>
      <c r="AK245" s="81"/>
      <c r="AL245" s="81"/>
      <c r="AM245" s="81"/>
      <c r="AN245" s="81"/>
      <c r="AO245" s="81"/>
      <c r="AR245" s="184"/>
    </row>
    <row r="246" spans="36:44" ht="11.25" customHeight="1" x14ac:dyDescent="0.2">
      <c r="AJ246" s="81"/>
      <c r="AK246" s="81"/>
      <c r="AL246" s="81"/>
      <c r="AM246" s="81"/>
      <c r="AN246" s="81"/>
      <c r="AO246" s="81"/>
      <c r="AR246" s="184"/>
    </row>
    <row r="247" spans="36:44" ht="11.25" customHeight="1" x14ac:dyDescent="0.2">
      <c r="AJ247" s="81"/>
      <c r="AK247" s="81"/>
      <c r="AL247" s="81"/>
      <c r="AM247" s="81"/>
      <c r="AN247" s="81"/>
      <c r="AO247" s="81"/>
      <c r="AR247" s="184"/>
    </row>
    <row r="248" spans="36:44" ht="11.25" customHeight="1" x14ac:dyDescent="0.2">
      <c r="AJ248" s="81"/>
      <c r="AK248" s="81"/>
      <c r="AL248" s="81"/>
      <c r="AM248" s="81"/>
      <c r="AN248" s="81"/>
      <c r="AO248" s="81"/>
      <c r="AR248" s="184"/>
    </row>
    <row r="249" spans="36:44" ht="11.25" customHeight="1" x14ac:dyDescent="0.2">
      <c r="AJ249" s="81"/>
      <c r="AK249" s="81"/>
      <c r="AL249" s="81"/>
      <c r="AM249" s="81"/>
      <c r="AN249" s="81"/>
      <c r="AO249" s="81"/>
      <c r="AR249" s="184"/>
    </row>
    <row r="250" spans="36:44" ht="11.25" customHeight="1" x14ac:dyDescent="0.2">
      <c r="AJ250" s="81"/>
      <c r="AK250" s="81"/>
      <c r="AL250" s="81"/>
      <c r="AM250" s="81"/>
      <c r="AN250" s="81"/>
      <c r="AO250" s="81"/>
      <c r="AR250" s="184"/>
    </row>
    <row r="251" spans="36:44" ht="11.25" customHeight="1" x14ac:dyDescent="0.2">
      <c r="AJ251" s="81"/>
      <c r="AK251" s="81"/>
      <c r="AL251" s="81"/>
      <c r="AM251" s="81"/>
      <c r="AN251" s="81"/>
      <c r="AO251" s="81"/>
      <c r="AR251" s="184"/>
    </row>
    <row r="252" spans="36:44" ht="11.25" customHeight="1" x14ac:dyDescent="0.2">
      <c r="AJ252" s="81"/>
      <c r="AK252" s="81"/>
      <c r="AL252" s="81"/>
      <c r="AM252" s="81"/>
      <c r="AN252" s="81"/>
      <c r="AO252" s="81"/>
      <c r="AR252" s="184"/>
    </row>
    <row r="253" spans="36:44" ht="11.25" customHeight="1" x14ac:dyDescent="0.2">
      <c r="AJ253" s="81"/>
      <c r="AK253" s="81"/>
      <c r="AL253" s="81"/>
      <c r="AM253" s="81"/>
      <c r="AN253" s="81"/>
      <c r="AO253" s="81"/>
      <c r="AR253" s="184"/>
    </row>
    <row r="346" spans="38:38" ht="11.25" customHeight="1" x14ac:dyDescent="0.2">
      <c r="AL346" s="74" t="b">
        <v>1</v>
      </c>
    </row>
  </sheetData>
  <sheetProtection sheet="1" objects="1" scenarios="1"/>
  <mergeCells count="53">
    <mergeCell ref="B204:I205"/>
    <mergeCell ref="B194:I195"/>
    <mergeCell ref="B196:I197"/>
    <mergeCell ref="B198:I199"/>
    <mergeCell ref="B200:I201"/>
    <mergeCell ref="B202:I203"/>
    <mergeCell ref="B182:I183"/>
    <mergeCell ref="AA8:AA9"/>
    <mergeCell ref="R64:U64"/>
    <mergeCell ref="A106:V106"/>
    <mergeCell ref="B110:B111"/>
    <mergeCell ref="B146:B147"/>
    <mergeCell ref="A141:V141"/>
    <mergeCell ref="Z8:Z9"/>
    <mergeCell ref="B35:U35"/>
    <mergeCell ref="A37:V37"/>
    <mergeCell ref="A38:V38"/>
    <mergeCell ref="O9:P9"/>
    <mergeCell ref="B180:I181"/>
    <mergeCell ref="B5:N6"/>
    <mergeCell ref="D7:H7"/>
    <mergeCell ref="I7:I9"/>
    <mergeCell ref="A177:V177"/>
    <mergeCell ref="A178:V178"/>
    <mergeCell ref="B108:I109"/>
    <mergeCell ref="A105:V105"/>
    <mergeCell ref="Q7:Q9"/>
    <mergeCell ref="B7:B9"/>
    <mergeCell ref="S7:U8"/>
    <mergeCell ref="A70:V70"/>
    <mergeCell ref="A71:V71"/>
    <mergeCell ref="O8:P8"/>
    <mergeCell ref="K7:P7"/>
    <mergeCell ref="M65:P65"/>
    <mergeCell ref="M64:P64"/>
    <mergeCell ref="AX38:BB38"/>
    <mergeCell ref="AS38:AW38"/>
    <mergeCell ref="AM38:AQ38"/>
    <mergeCell ref="AR38:AR40"/>
    <mergeCell ref="A142:V142"/>
    <mergeCell ref="R65:U65"/>
    <mergeCell ref="B184:I185"/>
    <mergeCell ref="B186:I187"/>
    <mergeCell ref="B188:I189"/>
    <mergeCell ref="B190:I191"/>
    <mergeCell ref="B192:I193"/>
    <mergeCell ref="B216:I217"/>
    <mergeCell ref="B218:I219"/>
    <mergeCell ref="B206:I207"/>
    <mergeCell ref="B208:I209"/>
    <mergeCell ref="B210:I211"/>
    <mergeCell ref="B212:I213"/>
    <mergeCell ref="B214:I215"/>
  </mergeCells>
  <conditionalFormatting sqref="AB9:AF9">
    <cfRule type="cellIs" dxfId="918" priority="81" stopIfTrue="1" operator="equal">
      <formula>0</formula>
    </cfRule>
  </conditionalFormatting>
  <conditionalFormatting sqref="B10:B31 B51:C66 B148:B169 H148:H169 K10:O31">
    <cfRule type="containsErrors" dxfId="917" priority="89">
      <formula>ISERROR(B10)</formula>
    </cfRule>
  </conditionalFormatting>
  <conditionalFormatting sqref="B32 B134:B135 B170:B171">
    <cfRule type="expression" dxfId="916" priority="84" stopIfTrue="1">
      <formula>$B32=$Z$4</formula>
    </cfRule>
  </conditionalFormatting>
  <conditionalFormatting sqref="S10:T31">
    <cfRule type="containsErrors" dxfId="915" priority="63">
      <formula>ISERROR(S10)</formula>
    </cfRule>
  </conditionalFormatting>
  <conditionalFormatting sqref="K10:O31 B10:B31 D10:I31 P10:Q32 S10:U31 B112:B133 H112:H133 B148:B169 G148:H169 B51:C66 P33">
    <cfRule type="expression" dxfId="914" priority="57">
      <formula>$B10=$Z$4</formula>
    </cfRule>
  </conditionalFormatting>
  <conditionalFormatting sqref="D112:G133 D148:G169">
    <cfRule type="expression" dxfId="913" priority="59">
      <formula>$B112=$Z$4</formula>
    </cfRule>
    <cfRule type="containsErrors" dxfId="912" priority="60">
      <formula>ISERROR(D112)</formula>
    </cfRule>
  </conditionalFormatting>
  <conditionalFormatting sqref="A10:A31">
    <cfRule type="cellIs" dxfId="911" priority="58" operator="equal">
      <formula>0</formula>
    </cfRule>
  </conditionalFormatting>
  <conditionalFormatting sqref="A148:A169">
    <cfRule type="cellIs" dxfId="910" priority="85" operator="equal">
      <formula>0</formula>
    </cfRule>
  </conditionalFormatting>
  <conditionalFormatting sqref="A1:A70 A143:A177 A72:A105 A254:A1048576">
    <cfRule type="containsErrors" dxfId="909" priority="56">
      <formula>ISERROR(A1)</formula>
    </cfRule>
  </conditionalFormatting>
  <conditionalFormatting sqref="B112:B133 H112:H133">
    <cfRule type="containsErrors" dxfId="908" priority="54">
      <formula>ISERROR(B112)</formula>
    </cfRule>
  </conditionalFormatting>
  <conditionalFormatting sqref="A112:A133">
    <cfRule type="cellIs" dxfId="907" priority="49" operator="equal">
      <formula>0</formula>
    </cfRule>
  </conditionalFormatting>
  <conditionalFormatting sqref="A107:A141">
    <cfRule type="containsErrors" dxfId="906" priority="48">
      <formula>ISERROR(A107)</formula>
    </cfRule>
  </conditionalFormatting>
  <conditionalFormatting sqref="G148:G169">
    <cfRule type="containsErrors" dxfId="905" priority="47">
      <formula>ISERROR(G148)</formula>
    </cfRule>
  </conditionalFormatting>
  <conditionalFormatting sqref="D10:H31">
    <cfRule type="containsErrors" dxfId="904" priority="45">
      <formula>ISERROR(D10)</formula>
    </cfRule>
  </conditionalFormatting>
  <conditionalFormatting sqref="AG10:AG28">
    <cfRule type="containsErrors" dxfId="903" priority="43">
      <formula>ISERROR(AG10)</formula>
    </cfRule>
  </conditionalFormatting>
  <conditionalFormatting sqref="AG10:AG21">
    <cfRule type="expression" dxfId="902" priority="42">
      <formula>$B10=$X$4</formula>
    </cfRule>
  </conditionalFormatting>
  <conditionalFormatting sqref="D134:H134 D170:H170 D32:I32 K32:O32 S32:T32 Q32">
    <cfRule type="containsErrors" dxfId="901" priority="39">
      <formula>ISERROR(D32)</formula>
    </cfRule>
  </conditionalFormatting>
  <conditionalFormatting sqref="A71">
    <cfRule type="containsErrors" dxfId="900" priority="38">
      <formula>ISERROR(A71)</formula>
    </cfRule>
  </conditionalFormatting>
  <conditionalFormatting sqref="A106">
    <cfRule type="containsErrors" dxfId="899" priority="37">
      <formula>ISERROR(A106)</formula>
    </cfRule>
  </conditionalFormatting>
  <conditionalFormatting sqref="A142">
    <cfRule type="containsErrors" dxfId="898" priority="36">
      <formula>ISERROR(A142)</formula>
    </cfRule>
  </conditionalFormatting>
  <conditionalFormatting sqref="A178">
    <cfRule type="containsErrors" dxfId="897" priority="35">
      <formula>ISERROR(A178)</formula>
    </cfRule>
  </conditionalFormatting>
  <conditionalFormatting sqref="D8:H8">
    <cfRule type="containsErrors" dxfId="896" priority="34">
      <formula>ISERROR(D8)</formula>
    </cfRule>
  </conditionalFormatting>
  <conditionalFormatting sqref="D9:H9">
    <cfRule type="containsErrors" dxfId="895" priority="87">
      <formula>ISERROR(D9)</formula>
    </cfRule>
  </conditionalFormatting>
  <conditionalFormatting sqref="K8:O9">
    <cfRule type="containsErrors" dxfId="894" priority="90">
      <formula>ISERROR(K8)</formula>
    </cfRule>
  </conditionalFormatting>
  <conditionalFormatting sqref="D110:H110">
    <cfRule type="containsErrors" dxfId="893" priority="29">
      <formula>ISERROR(D110)</formula>
    </cfRule>
  </conditionalFormatting>
  <conditionalFormatting sqref="D111:H111">
    <cfRule type="containsErrors" dxfId="892" priority="30">
      <formula>ISERROR(D111)</formula>
    </cfRule>
  </conditionalFormatting>
  <conditionalFormatting sqref="Z146:AD146">
    <cfRule type="containsErrors" dxfId="891" priority="25">
      <formula>ISERROR(Z146)</formula>
    </cfRule>
  </conditionalFormatting>
  <conditionalFormatting sqref="D146:H146">
    <cfRule type="containsErrors" dxfId="890" priority="27">
      <formula>ISERROR(D146)</formula>
    </cfRule>
  </conditionalFormatting>
  <conditionalFormatting sqref="D147:H147">
    <cfRule type="containsErrors" dxfId="889" priority="28">
      <formula>ISERROR(D147)</formula>
    </cfRule>
  </conditionalFormatting>
  <conditionalFormatting sqref="Z147:AD147">
    <cfRule type="containsErrors" dxfId="888" priority="26">
      <formula>ISERROR(Z147)</formula>
    </cfRule>
  </conditionalFormatting>
  <conditionalFormatting sqref="Z109:AD109">
    <cfRule type="containsErrors" dxfId="887" priority="23">
      <formula>ISERROR(Z109)</formula>
    </cfRule>
  </conditionalFormatting>
  <conditionalFormatting sqref="Z110:AD110">
    <cfRule type="containsErrors" dxfId="886" priority="24">
      <formula>ISERROR(Z110)</formula>
    </cfRule>
  </conditionalFormatting>
  <conditionalFormatting sqref="I10:I31">
    <cfRule type="containsErrors" dxfId="885" priority="20">
      <formula>ISERROR(I10)</formula>
    </cfRule>
  </conditionalFormatting>
  <conditionalFormatting sqref="Q10:Q31">
    <cfRule type="containsErrors" dxfId="884" priority="19">
      <formula>ISERROR(Q10)</formula>
    </cfRule>
  </conditionalFormatting>
  <conditionalFormatting sqref="B33:O33 Q33:T33">
    <cfRule type="containsErrors" dxfId="883" priority="18">
      <formula>ISERROR(B33)</formula>
    </cfRule>
  </conditionalFormatting>
  <conditionalFormatting sqref="P32:P33">
    <cfRule type="containsErrors" dxfId="882" priority="16">
      <formula>ISERROR(P32)</formula>
    </cfRule>
  </conditionalFormatting>
  <conditionalFormatting sqref="P10:P33">
    <cfRule type="containsErrors" dxfId="881" priority="14">
      <formula>ISERROR(P10)</formula>
    </cfRule>
    <cfRule type="dataBar" priority="15">
      <dataBar showValue="0">
        <cfvo type="min"/>
        <cfvo type="max"/>
        <color theme="9"/>
      </dataBar>
      <extLst>
        <ext xmlns:x14="http://schemas.microsoft.com/office/spreadsheetml/2009/9/main" uri="{B025F937-C7B1-47D3-B67F-A62EFF666E3E}">
          <x14:id>{88103D56-1589-4710-8C9C-228A0803790D}</x14:id>
        </ext>
      </extLst>
    </cfRule>
  </conditionalFormatting>
  <conditionalFormatting sqref="Y2">
    <cfRule type="containsErrors" dxfId="880" priority="12">
      <formula>ISERROR(Y2)</formula>
    </cfRule>
  </conditionalFormatting>
  <conditionalFormatting sqref="Y3">
    <cfRule type="containsErrors" dxfId="879" priority="13">
      <formula>ISERROR(Y3)</formula>
    </cfRule>
  </conditionalFormatting>
  <conditionalFormatting sqref="AF109:AJ109">
    <cfRule type="containsErrors" dxfId="878" priority="10">
      <formula>ISERROR(AF109)</formula>
    </cfRule>
  </conditionalFormatting>
  <conditionalFormatting sqref="AF110:AJ110">
    <cfRule type="containsErrors" dxfId="877" priority="11">
      <formula>ISERROR(AF110)</formula>
    </cfRule>
  </conditionalFormatting>
  <conditionalFormatting sqref="U10:U31">
    <cfRule type="containsErrors" dxfId="876" priority="9">
      <formula>ISERROR(U10)</formula>
    </cfRule>
  </conditionalFormatting>
  <conditionalFormatting sqref="U32">
    <cfRule type="containsErrors" dxfId="875" priority="7">
      <formula>ISERROR(U32)</formula>
    </cfRule>
  </conditionalFormatting>
  <conditionalFormatting sqref="U33">
    <cfRule type="containsErrors" dxfId="874" priority="6">
      <formula>ISERROR(U33)</formula>
    </cfRule>
  </conditionalFormatting>
  <conditionalFormatting sqref="Z3:AD3">
    <cfRule type="containsErrors" dxfId="873" priority="5">
      <formula>ISERROR(Z3)</formula>
    </cfRule>
  </conditionalFormatting>
  <conditionalFormatting sqref="Z2:AD2">
    <cfRule type="containsErrors" dxfId="872" priority="4">
      <formula>ISERROR(Z2)</formula>
    </cfRule>
  </conditionalFormatting>
  <conditionalFormatting sqref="D135:H135">
    <cfRule type="containsErrors" dxfId="871" priority="3">
      <formula>ISERROR(D135)</formula>
    </cfRule>
  </conditionalFormatting>
  <conditionalFormatting sqref="D171:H171">
    <cfRule type="containsErrors" dxfId="870" priority="2">
      <formula>ISERROR(D171)</formula>
    </cfRule>
  </conditionalFormatting>
  <conditionalFormatting sqref="A221:A253">
    <cfRule type="containsErrors" dxfId="869" priority="1">
      <formula>ISERROR(A221)</formula>
    </cfRule>
  </conditionalFormatting>
  <hyperlinks>
    <hyperlink ref="B184:H185" location="IDACI!A1" display="IDACI" xr:uid="{22F2A815-4E6F-4B21-A622-24EA491D9998}"/>
    <hyperlink ref="B208:I209" location="ROSGO!A1" display="Child Arrangement &amp; Special Guardianship Orders" xr:uid="{C4D09DC0-6650-4C86-8265-BEE14E04C967}"/>
    <hyperlink ref="B188:G189" location="EH_Referrals!A1" display="Early Help Referrals" xr:uid="{238721B8-74A8-4198-83D6-4D9752F64C77}"/>
    <hyperlink ref="B208:E209" location="ROSGO!A1" display="Child Arrangement &amp; Special Guardianship Orders" xr:uid="{CF66226B-4726-42B2-9915-8D5C7F792502}"/>
    <hyperlink ref="B188:E189" location="EH_Referrals!A1" display="Early Help Referrals" xr:uid="{434D7B51-0E10-4A5C-9B9F-7FDEE546EDAD}"/>
    <hyperlink ref="B186:D187" location="IDACI!A1" display="IDACI" xr:uid="{B449FAEA-ABB6-447D-972F-FA120F8CD5E1}"/>
    <hyperlink ref="B182:D183" location="Indicators!A1" display="Indicators" xr:uid="{8AD21933-99A3-4629-8671-979439D7D2D6}"/>
    <hyperlink ref="B210:D211" location="New_Ceased_LAC!A1" display="New/ Ceased Looked After Children" xr:uid="{1390F110-83C6-4760-94A8-733C62017243}"/>
    <hyperlink ref="B214:D215" location="Care_Leavers!A1" display="Care Leavers" xr:uid="{91B7BE4B-AE51-4BB2-A51A-E257CEE90A5B}"/>
    <hyperlink ref="B218:D219" location="Offending!A1" display="Offending" xr:uid="{DA1B8C27-AE3E-4071-904A-CA20CB3640F3}"/>
    <hyperlink ref="B216:D217" location="EHCP!A1" display="Education Health and Care Plans (EHCP)" xr:uid="{8A4A0131-1EE9-49E5-9991-91218C353991}"/>
    <hyperlink ref="B184:B185" location="Coverage!A1" display="Participating LA's" xr:uid="{C3A5114D-3C20-41D5-B483-9FFF8DFA6F35}"/>
    <hyperlink ref="B186:B187" location="IDACI!A1" display="IDACI" xr:uid="{FBD0078D-6B07-4F64-9B05-77C698A0C67A}"/>
    <hyperlink ref="B212:B213" location="Adoption!A1" display="Adoption" xr:uid="{E0420C58-702F-4675-A98A-54299AF6AC34}"/>
    <hyperlink ref="B208:B209" location="'Looked After Children'!A1" display="Looked After Children" xr:uid="{0D9FF49C-F0C1-41D6-B5F5-E60CF7791CA3}"/>
    <hyperlink ref="B206:B207" location="'Court Applications'!A1" display="Court Applications" xr:uid="{A1A93BF5-0130-4C25-BE6C-A61B149CEC4D}"/>
    <hyperlink ref="B204:B205" location="'Child Protection Plans'!A1" display="Child Protection Plans" xr:uid="{BD350041-4BBB-4C1A-B5D3-13C467D6C2BC}"/>
    <hyperlink ref="B202:B203" location="'Initial CP Conferences'!A1" display="Initial Child Protection Conferences" xr:uid="{5DB1C61F-79DE-42A9-A442-B27035948BD2}"/>
    <hyperlink ref="B200:B201" location="'Section 47 Enquiries'!A1" display="Section 47 Enquiries" xr:uid="{14A33024-565D-4D88-967C-2B9E3483455A}"/>
    <hyperlink ref="B198:B199" location="'Children in Need'!A1" display="Children in Need" xr:uid="{F20F4F78-2184-45A3-886E-08D5C9E9C1FD}"/>
    <hyperlink ref="B196:B197" location="Assessments!A1" display="Assessments" xr:uid="{80F10D29-6250-4E2F-9EA5-FEF8AB6842D9}"/>
    <hyperlink ref="B194:B195" location="'Re-referrals'!A1" display="Re-referrals" xr:uid="{05810D17-A5F9-4F97-8DEA-CF19CDAF93BD}"/>
    <hyperlink ref="B192:B193" location="Referral_Source!A1" display="Referral Source" xr:uid="{91AAAEF8-F1AE-4CB3-9030-884E3EB24672}"/>
    <hyperlink ref="B190:B191" location="Referrals!A1" display="Referrals" xr:uid="{FD1435BE-39DB-4951-83EC-B30126C06FFD}"/>
    <hyperlink ref="B188:B189" location="Population!A1" display="Population" xr:uid="{515E143C-FCF0-4FA0-B6F4-4C46377871FC}"/>
    <hyperlink ref="B186:C187" location="IDACI!A1" display="IDACI" xr:uid="{688F786E-E497-4E97-B8F3-CE3C53747C6A}"/>
    <hyperlink ref="B182:B183" location="Coverage!A1" display="Participating LA's" xr:uid="{E95C0D1C-9CF4-4CA5-ADAC-FF82E60D055D}"/>
    <hyperlink ref="B182:C183" location="Indicators!A1" display="Indicators" xr:uid="{18BEBDF2-AEEB-4AF6-96E6-61A79CACE174}"/>
    <hyperlink ref="B214:B215" location="'Looked After Children'!A1" display="Looked After Children" xr:uid="{490318D0-4B17-454C-9017-51928A9F2A3B}"/>
    <hyperlink ref="B210:B211" location="'Court Applications'!A1" display="Court Applications" xr:uid="{161A6E25-5F8B-4684-8CEC-71CC549A9596}"/>
    <hyperlink ref="B210:C211" location="New_Ceased_LAC!A1" display="New/ Ceased Looked After Children" xr:uid="{542E7B27-4807-4216-ABE9-5BE3CC25CCB8}"/>
    <hyperlink ref="B214:C215" location="Care_Leavers!A1" display="Care Leavers" xr:uid="{8913F620-FB02-41F8-8482-06E4324978FC}"/>
    <hyperlink ref="B217:B219" location="Adoption!A1" display="Adoption" xr:uid="{D52A031B-8180-42B9-B0B9-476E8D9937F1}"/>
    <hyperlink ref="B218:B219" location="'Looked After Children'!A1" display="Looked After Children" xr:uid="{62B010D7-8CED-489F-8117-B589D155D817}"/>
    <hyperlink ref="B218:C219" location="Offending!A1" display="Offending" xr:uid="{7D9863ED-70CB-4F38-8460-144D975856A9}"/>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8" max="18" man="1"/>
    <brk id="71" max="20" man="1"/>
    <brk id="142" max="20" man="1"/>
  </rowBreaks>
  <ignoredErrors>
    <ignoredError sqref="A10:A31 A148:A171 D8:O9 D7:H7 J7:K7 D110:H111 D147:H147"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defaultSize="0" autoFill="0" autoLine="0" autoPict="0" macro="[0]!CheckBox1_Click" altText="">
                <anchor>
                  <from>
                    <xdr:col>23</xdr:col>
                    <xdr:colOff>76200</xdr:colOff>
                    <xdr:row>40</xdr:row>
                    <xdr:rowOff>0</xdr:rowOff>
                  </from>
                  <to>
                    <xdr:col>36</xdr:col>
                    <xdr:colOff>47625</xdr:colOff>
                    <xdr:row>41</xdr:row>
                    <xdr:rowOff>19050</xdr:rowOff>
                  </to>
                </anchor>
              </controlPr>
            </control>
          </mc:Choice>
        </mc:AlternateContent>
        <mc:AlternateContent xmlns:mc="http://schemas.openxmlformats.org/markup-compatibility/2006">
          <mc:Choice Requires="x14">
            <control shapeId="34818" r:id="rId5" name="Check Box 2">
              <controlPr defaultSize="0" autoFill="0" autoLine="0" autoPict="0" macro="[0]!CheckBox1_Click" altText="">
                <anchor>
                  <from>
                    <xdr:col>23</xdr:col>
                    <xdr:colOff>76200</xdr:colOff>
                    <xdr:row>40</xdr:row>
                    <xdr:rowOff>161925</xdr:rowOff>
                  </from>
                  <to>
                    <xdr:col>36</xdr:col>
                    <xdr:colOff>47625</xdr:colOff>
                    <xdr:row>42</xdr:row>
                    <xdr:rowOff>19050</xdr:rowOff>
                  </to>
                </anchor>
              </controlPr>
            </control>
          </mc:Choice>
        </mc:AlternateContent>
        <mc:AlternateContent xmlns:mc="http://schemas.openxmlformats.org/markup-compatibility/2006">
          <mc:Choice Requires="x14">
            <control shapeId="34819" r:id="rId6" name="Check Box 3">
              <controlPr defaultSize="0" autoFill="0" autoLine="0" autoPict="0" macro="[0]!CheckBox1_Click" altText="">
                <anchor>
                  <from>
                    <xdr:col>23</xdr:col>
                    <xdr:colOff>76200</xdr:colOff>
                    <xdr:row>41</xdr:row>
                    <xdr:rowOff>161925</xdr:rowOff>
                  </from>
                  <to>
                    <xdr:col>36</xdr:col>
                    <xdr:colOff>47625</xdr:colOff>
                    <xdr:row>43</xdr:row>
                    <xdr:rowOff>19050</xdr:rowOff>
                  </to>
                </anchor>
              </controlPr>
            </control>
          </mc:Choice>
        </mc:AlternateContent>
        <mc:AlternateContent xmlns:mc="http://schemas.openxmlformats.org/markup-compatibility/2006">
          <mc:Choice Requires="x14">
            <control shapeId="34820" r:id="rId7" name="Check Box 4">
              <controlPr defaultSize="0" autoFill="0" autoLine="0" autoPict="0" macro="[0]!CheckBox1_Click" altText="">
                <anchor>
                  <from>
                    <xdr:col>23</xdr:col>
                    <xdr:colOff>76200</xdr:colOff>
                    <xdr:row>42</xdr:row>
                    <xdr:rowOff>161925</xdr:rowOff>
                  </from>
                  <to>
                    <xdr:col>36</xdr:col>
                    <xdr:colOff>47625</xdr:colOff>
                    <xdr:row>44</xdr:row>
                    <xdr:rowOff>19050</xdr:rowOff>
                  </to>
                </anchor>
              </controlPr>
            </control>
          </mc:Choice>
        </mc:AlternateContent>
        <mc:AlternateContent xmlns:mc="http://schemas.openxmlformats.org/markup-compatibility/2006">
          <mc:Choice Requires="x14">
            <control shapeId="34821" r:id="rId8" name="Check Box 5">
              <controlPr defaultSize="0" autoFill="0" autoLine="0" autoPict="0" macro="[0]!CheckBox1_Click" altText="">
                <anchor>
                  <from>
                    <xdr:col>23</xdr:col>
                    <xdr:colOff>76200</xdr:colOff>
                    <xdr:row>43</xdr:row>
                    <xdr:rowOff>161925</xdr:rowOff>
                  </from>
                  <to>
                    <xdr:col>36</xdr:col>
                    <xdr:colOff>47625</xdr:colOff>
                    <xdr:row>45</xdr:row>
                    <xdr:rowOff>19050</xdr:rowOff>
                  </to>
                </anchor>
              </controlPr>
            </control>
          </mc:Choice>
        </mc:AlternateContent>
        <mc:AlternateContent xmlns:mc="http://schemas.openxmlformats.org/markup-compatibility/2006">
          <mc:Choice Requires="x14">
            <control shapeId="34822" r:id="rId9" name="Check Box 6">
              <controlPr defaultSize="0" autoFill="0" autoLine="0" autoPict="0" macro="[0]!CheckBox1_Click" altText="">
                <anchor>
                  <from>
                    <xdr:col>23</xdr:col>
                    <xdr:colOff>76200</xdr:colOff>
                    <xdr:row>44</xdr:row>
                    <xdr:rowOff>161925</xdr:rowOff>
                  </from>
                  <to>
                    <xdr:col>36</xdr:col>
                    <xdr:colOff>47625</xdr:colOff>
                    <xdr:row>46</xdr:row>
                    <xdr:rowOff>19050</xdr:rowOff>
                  </to>
                </anchor>
              </controlPr>
            </control>
          </mc:Choice>
        </mc:AlternateContent>
        <mc:AlternateContent xmlns:mc="http://schemas.openxmlformats.org/markup-compatibility/2006">
          <mc:Choice Requires="x14">
            <control shapeId="34823" r:id="rId10" name="Check Box 7">
              <controlPr defaultSize="0" autoFill="0" autoLine="0" autoPict="0" macro="[0]!CheckBox1_Click" altText="">
                <anchor>
                  <from>
                    <xdr:col>23</xdr:col>
                    <xdr:colOff>76200</xdr:colOff>
                    <xdr:row>45</xdr:row>
                    <xdr:rowOff>161925</xdr:rowOff>
                  </from>
                  <to>
                    <xdr:col>36</xdr:col>
                    <xdr:colOff>47625</xdr:colOff>
                    <xdr:row>47</xdr:row>
                    <xdr:rowOff>19050</xdr:rowOff>
                  </to>
                </anchor>
              </controlPr>
            </control>
          </mc:Choice>
        </mc:AlternateContent>
        <mc:AlternateContent xmlns:mc="http://schemas.openxmlformats.org/markup-compatibility/2006">
          <mc:Choice Requires="x14">
            <control shapeId="34824" r:id="rId11" name="Check Box 8">
              <controlPr defaultSize="0" autoFill="0" autoLine="0" autoPict="0" macro="[0]!CheckBox1_Click" altText="">
                <anchor>
                  <from>
                    <xdr:col>23</xdr:col>
                    <xdr:colOff>76200</xdr:colOff>
                    <xdr:row>46</xdr:row>
                    <xdr:rowOff>161925</xdr:rowOff>
                  </from>
                  <to>
                    <xdr:col>36</xdr:col>
                    <xdr:colOff>47625</xdr:colOff>
                    <xdr:row>48</xdr:row>
                    <xdr:rowOff>19050</xdr:rowOff>
                  </to>
                </anchor>
              </controlPr>
            </control>
          </mc:Choice>
        </mc:AlternateContent>
        <mc:AlternateContent xmlns:mc="http://schemas.openxmlformats.org/markup-compatibility/2006">
          <mc:Choice Requires="x14">
            <control shapeId="34825" r:id="rId12" name="Check Box 9">
              <controlPr defaultSize="0" autoFill="0" autoLine="0" autoPict="0" macro="[0]!CheckBox1_Click" altText="">
                <anchor>
                  <from>
                    <xdr:col>23</xdr:col>
                    <xdr:colOff>76200</xdr:colOff>
                    <xdr:row>47</xdr:row>
                    <xdr:rowOff>161925</xdr:rowOff>
                  </from>
                  <to>
                    <xdr:col>36</xdr:col>
                    <xdr:colOff>47625</xdr:colOff>
                    <xdr:row>49</xdr:row>
                    <xdr:rowOff>19050</xdr:rowOff>
                  </to>
                </anchor>
              </controlPr>
            </control>
          </mc:Choice>
        </mc:AlternateContent>
        <mc:AlternateContent xmlns:mc="http://schemas.openxmlformats.org/markup-compatibility/2006">
          <mc:Choice Requires="x14">
            <control shapeId="34826" r:id="rId13" name="Check Box 10">
              <controlPr defaultSize="0" autoFill="0" autoLine="0" autoPict="0" macro="[0]!CheckBox1_Click" altText="">
                <anchor>
                  <from>
                    <xdr:col>23</xdr:col>
                    <xdr:colOff>76200</xdr:colOff>
                    <xdr:row>48</xdr:row>
                    <xdr:rowOff>161925</xdr:rowOff>
                  </from>
                  <to>
                    <xdr:col>36</xdr:col>
                    <xdr:colOff>47625</xdr:colOff>
                    <xdr:row>50</xdr:row>
                    <xdr:rowOff>19050</xdr:rowOff>
                  </to>
                </anchor>
              </controlPr>
            </control>
          </mc:Choice>
        </mc:AlternateContent>
        <mc:AlternateContent xmlns:mc="http://schemas.openxmlformats.org/markup-compatibility/2006">
          <mc:Choice Requires="x14">
            <control shapeId="34827" r:id="rId14" name="Check Box 11">
              <controlPr defaultSize="0" autoFill="0" autoLine="0" autoPict="0" macro="[0]!CheckBox1_Click" altText="">
                <anchor>
                  <from>
                    <xdr:col>23</xdr:col>
                    <xdr:colOff>76200</xdr:colOff>
                    <xdr:row>49</xdr:row>
                    <xdr:rowOff>161925</xdr:rowOff>
                  </from>
                  <to>
                    <xdr:col>36</xdr:col>
                    <xdr:colOff>47625</xdr:colOff>
                    <xdr:row>51</xdr:row>
                    <xdr:rowOff>19050</xdr:rowOff>
                  </to>
                </anchor>
              </controlPr>
            </control>
          </mc:Choice>
        </mc:AlternateContent>
        <mc:AlternateContent xmlns:mc="http://schemas.openxmlformats.org/markup-compatibility/2006">
          <mc:Choice Requires="x14">
            <control shapeId="34828" r:id="rId15" name="Check Box 12">
              <controlPr defaultSize="0" autoFill="0" autoLine="0" autoPict="0" macro="[0]!CheckBox1_Click" altText="">
                <anchor>
                  <from>
                    <xdr:col>23</xdr:col>
                    <xdr:colOff>76200</xdr:colOff>
                    <xdr:row>50</xdr:row>
                    <xdr:rowOff>161925</xdr:rowOff>
                  </from>
                  <to>
                    <xdr:col>36</xdr:col>
                    <xdr:colOff>47625</xdr:colOff>
                    <xdr:row>52</xdr:row>
                    <xdr:rowOff>19050</xdr:rowOff>
                  </to>
                </anchor>
              </controlPr>
            </control>
          </mc:Choice>
        </mc:AlternateContent>
        <mc:AlternateContent xmlns:mc="http://schemas.openxmlformats.org/markup-compatibility/2006">
          <mc:Choice Requires="x14">
            <control shapeId="34829" r:id="rId16" name="Check Box 13">
              <controlPr defaultSize="0" autoFill="0" autoLine="0" autoPict="0" macro="[0]!CheckBox1_Click" altText="">
                <anchor>
                  <from>
                    <xdr:col>23</xdr:col>
                    <xdr:colOff>76200</xdr:colOff>
                    <xdr:row>51</xdr:row>
                    <xdr:rowOff>161925</xdr:rowOff>
                  </from>
                  <to>
                    <xdr:col>36</xdr:col>
                    <xdr:colOff>47625</xdr:colOff>
                    <xdr:row>53</xdr:row>
                    <xdr:rowOff>19050</xdr:rowOff>
                  </to>
                </anchor>
              </controlPr>
            </control>
          </mc:Choice>
        </mc:AlternateContent>
        <mc:AlternateContent xmlns:mc="http://schemas.openxmlformats.org/markup-compatibility/2006">
          <mc:Choice Requires="x14">
            <control shapeId="34830" r:id="rId17" name="Check Box 14">
              <controlPr defaultSize="0" autoFill="0" autoLine="0" autoPict="0" macro="[0]!CheckBox1_Click" altText="">
                <anchor>
                  <from>
                    <xdr:col>23</xdr:col>
                    <xdr:colOff>76200</xdr:colOff>
                    <xdr:row>52</xdr:row>
                    <xdr:rowOff>161925</xdr:rowOff>
                  </from>
                  <to>
                    <xdr:col>36</xdr:col>
                    <xdr:colOff>47625</xdr:colOff>
                    <xdr:row>54</xdr:row>
                    <xdr:rowOff>19050</xdr:rowOff>
                  </to>
                </anchor>
              </controlPr>
            </control>
          </mc:Choice>
        </mc:AlternateContent>
        <mc:AlternateContent xmlns:mc="http://schemas.openxmlformats.org/markup-compatibility/2006">
          <mc:Choice Requires="x14">
            <control shapeId="34831" r:id="rId18" name="Check Box 15">
              <controlPr defaultSize="0" autoFill="0" autoLine="0" autoPict="0" macro="[0]!CheckBox1_Click" altText="">
                <anchor>
                  <from>
                    <xdr:col>23</xdr:col>
                    <xdr:colOff>76200</xdr:colOff>
                    <xdr:row>53</xdr:row>
                    <xdr:rowOff>161925</xdr:rowOff>
                  </from>
                  <to>
                    <xdr:col>36</xdr:col>
                    <xdr:colOff>47625</xdr:colOff>
                    <xdr:row>55</xdr:row>
                    <xdr:rowOff>19050</xdr:rowOff>
                  </to>
                </anchor>
              </controlPr>
            </control>
          </mc:Choice>
        </mc:AlternateContent>
        <mc:AlternateContent xmlns:mc="http://schemas.openxmlformats.org/markup-compatibility/2006">
          <mc:Choice Requires="x14">
            <control shapeId="34832" r:id="rId19" name="Check Box 16">
              <controlPr defaultSize="0" autoFill="0" autoLine="0" autoPict="0" macro="[0]!CheckBox1_Click" altText="">
                <anchor>
                  <from>
                    <xdr:col>23</xdr:col>
                    <xdr:colOff>76200</xdr:colOff>
                    <xdr:row>54</xdr:row>
                    <xdr:rowOff>161925</xdr:rowOff>
                  </from>
                  <to>
                    <xdr:col>36</xdr:col>
                    <xdr:colOff>47625</xdr:colOff>
                    <xdr:row>56</xdr:row>
                    <xdr:rowOff>19050</xdr:rowOff>
                  </to>
                </anchor>
              </controlPr>
            </control>
          </mc:Choice>
        </mc:AlternateContent>
        <mc:AlternateContent xmlns:mc="http://schemas.openxmlformats.org/markup-compatibility/2006">
          <mc:Choice Requires="x14">
            <control shapeId="34833" r:id="rId20" name="Check Box 17">
              <controlPr defaultSize="0" autoFill="0" autoLine="0" autoPict="0" macro="[0]!CheckBox1_Click" altText="">
                <anchor>
                  <from>
                    <xdr:col>23</xdr:col>
                    <xdr:colOff>76200</xdr:colOff>
                    <xdr:row>57</xdr:row>
                    <xdr:rowOff>161925</xdr:rowOff>
                  </from>
                  <to>
                    <xdr:col>36</xdr:col>
                    <xdr:colOff>47625</xdr:colOff>
                    <xdr:row>59</xdr:row>
                    <xdr:rowOff>19050</xdr:rowOff>
                  </to>
                </anchor>
              </controlPr>
            </control>
          </mc:Choice>
        </mc:AlternateContent>
        <mc:AlternateContent xmlns:mc="http://schemas.openxmlformats.org/markup-compatibility/2006">
          <mc:Choice Requires="x14">
            <control shapeId="34834" r:id="rId21" name="Check Box 18">
              <controlPr defaultSize="0" autoFill="0" autoLine="0" autoPict="0" macro="[0]!CheckBox1_Click" altText="">
                <anchor>
                  <from>
                    <xdr:col>23</xdr:col>
                    <xdr:colOff>76200</xdr:colOff>
                    <xdr:row>58</xdr:row>
                    <xdr:rowOff>161925</xdr:rowOff>
                  </from>
                  <to>
                    <xdr:col>36</xdr:col>
                    <xdr:colOff>47625</xdr:colOff>
                    <xdr:row>60</xdr:row>
                    <xdr:rowOff>19050</xdr:rowOff>
                  </to>
                </anchor>
              </controlPr>
            </control>
          </mc:Choice>
        </mc:AlternateContent>
        <mc:AlternateContent xmlns:mc="http://schemas.openxmlformats.org/markup-compatibility/2006">
          <mc:Choice Requires="x14">
            <control shapeId="34835" r:id="rId22" name="Check Box 19">
              <controlPr defaultSize="0" autoFill="0" autoLine="0" autoPict="0" macro="[0]!CheckBox1_Click" altText="">
                <anchor>
                  <from>
                    <xdr:col>23</xdr:col>
                    <xdr:colOff>76200</xdr:colOff>
                    <xdr:row>59</xdr:row>
                    <xdr:rowOff>161925</xdr:rowOff>
                  </from>
                  <to>
                    <xdr:col>36</xdr:col>
                    <xdr:colOff>47625</xdr:colOff>
                    <xdr:row>61</xdr:row>
                    <xdr:rowOff>19050</xdr:rowOff>
                  </to>
                </anchor>
              </controlPr>
            </control>
          </mc:Choice>
        </mc:AlternateContent>
        <mc:AlternateContent xmlns:mc="http://schemas.openxmlformats.org/markup-compatibility/2006">
          <mc:Choice Requires="x14">
            <control shapeId="34836" r:id="rId23" name="Check Box 20">
              <controlPr defaultSize="0" autoFill="0" autoLine="0" autoPict="0" macro="[0]!CheckBox1_Click" altText="">
                <anchor>
                  <from>
                    <xdr:col>23</xdr:col>
                    <xdr:colOff>76200</xdr:colOff>
                    <xdr:row>60</xdr:row>
                    <xdr:rowOff>161925</xdr:rowOff>
                  </from>
                  <to>
                    <xdr:col>36</xdr:col>
                    <xdr:colOff>47625</xdr:colOff>
                    <xdr:row>62</xdr:row>
                    <xdr:rowOff>19050</xdr:rowOff>
                  </to>
                </anchor>
              </controlPr>
            </control>
          </mc:Choice>
        </mc:AlternateContent>
        <mc:AlternateContent xmlns:mc="http://schemas.openxmlformats.org/markup-compatibility/2006">
          <mc:Choice Requires="x14">
            <control shapeId="34837" r:id="rId24" name="Check Box 21">
              <controlPr defaultSize="0" autoFill="0" autoLine="0" autoPict="0" macro="[0]!CheckBox1_Click" altText="">
                <anchor>
                  <from>
                    <xdr:col>23</xdr:col>
                    <xdr:colOff>76200</xdr:colOff>
                    <xdr:row>61</xdr:row>
                    <xdr:rowOff>161925</xdr:rowOff>
                  </from>
                  <to>
                    <xdr:col>36</xdr:col>
                    <xdr:colOff>47625</xdr:colOff>
                    <xdr:row>63</xdr:row>
                    <xdr:rowOff>19050</xdr:rowOff>
                  </to>
                </anchor>
              </controlPr>
            </control>
          </mc:Choice>
        </mc:AlternateContent>
        <mc:AlternateContent xmlns:mc="http://schemas.openxmlformats.org/markup-compatibility/2006">
          <mc:Choice Requires="x14">
            <control shapeId="34838" r:id="rId25" name="Check Box 22">
              <controlPr defaultSize="0" autoFill="0" autoLine="0" autoPict="0" macro="[0]!CheckBox1_Click" altText="">
                <anchor>
                  <from>
                    <xdr:col>23</xdr:col>
                    <xdr:colOff>76200</xdr:colOff>
                    <xdr:row>55</xdr:row>
                    <xdr:rowOff>161925</xdr:rowOff>
                  </from>
                  <to>
                    <xdr:col>36</xdr:col>
                    <xdr:colOff>47625</xdr:colOff>
                    <xdr:row>57</xdr:row>
                    <xdr:rowOff>19050</xdr:rowOff>
                  </to>
                </anchor>
              </controlPr>
            </control>
          </mc:Choice>
        </mc:AlternateContent>
        <mc:AlternateContent xmlns:mc="http://schemas.openxmlformats.org/markup-compatibility/2006">
          <mc:Choice Requires="x14">
            <control shapeId="34839" r:id="rId26" name="Check Box 23">
              <controlPr defaultSize="0" autoFill="0" autoLine="0" autoPict="0" macro="[0]!CheckBox1_Click" altText="">
                <anchor>
                  <from>
                    <xdr:col>23</xdr:col>
                    <xdr:colOff>76200</xdr:colOff>
                    <xdr:row>56</xdr:row>
                    <xdr:rowOff>161925</xdr:rowOff>
                  </from>
                  <to>
                    <xdr:col>36</xdr:col>
                    <xdr:colOff>47625</xdr:colOff>
                    <xdr:row>58</xdr:row>
                    <xdr:rowOff>19050</xdr:rowOff>
                  </to>
                </anchor>
              </controlPr>
            </control>
          </mc:Choice>
        </mc:AlternateContent>
        <mc:AlternateContent xmlns:mc="http://schemas.openxmlformats.org/markup-compatibility/2006">
          <mc:Choice Requires="x14">
            <control shapeId="34840" r:id="rId27" name="Check Box 24">
              <controlPr defaultSize="0" autoFill="0" autoLine="0" autoPict="0" macro="[0]!CheckBox1_Click" altText="">
                <anchor>
                  <from>
                    <xdr:col>23</xdr:col>
                    <xdr:colOff>76200</xdr:colOff>
                    <xdr:row>62</xdr:row>
                    <xdr:rowOff>161925</xdr:rowOff>
                  </from>
                  <to>
                    <xdr:col>36</xdr:col>
                    <xdr:colOff>47625</xdr:colOff>
                    <xdr:row>64</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88103D56-1589-4710-8C9C-228A0803790D}">
            <x14:dataBar minLength="0" maxLength="100" gradient="0" negativeBarColorSameAsPositive="1">
              <x14:cfvo type="autoMin"/>
              <x14:cfvo type="autoMax"/>
              <x14:axisColor rgb="FF000000"/>
            </x14:dataBar>
          </x14:cfRule>
          <xm:sqref>P10:P33</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1">
    <tabColor rgb="FFFFC000"/>
  </sheetPr>
  <dimension ref="A1:EC215"/>
  <sheetViews>
    <sheetView showRowColHeaders="0" zoomScaleNormal="100" workbookViewId="0"/>
  </sheetViews>
  <sheetFormatPr defaultColWidth="9.140625" defaultRowHeight="11.25" customHeight="1" x14ac:dyDescent="0.2"/>
  <cols>
    <col min="1" max="1" width="2.140625" style="74" customWidth="1"/>
    <col min="2" max="2" width="17.85546875" style="74" customWidth="1"/>
    <col min="3" max="3" width="1.42578125" style="74" customWidth="1"/>
    <col min="4" max="14" width="5.42578125" style="74" customWidth="1"/>
    <col min="15" max="15" width="5.42578125" style="88" customWidth="1"/>
    <col min="16" max="22" width="5.42578125" style="74" customWidth="1"/>
    <col min="23" max="24" width="5.5703125" style="74" customWidth="1"/>
    <col min="25" max="25" width="2.140625" style="74" customWidth="1"/>
    <col min="26" max="26" width="6.42578125" style="80" customWidth="1"/>
    <col min="27" max="27" width="4.85546875" style="80" hidden="1" customWidth="1"/>
    <col min="28" max="28" width="17" style="81" hidden="1" customWidth="1"/>
    <col min="29" max="29" width="11.5703125" style="81" hidden="1" customWidth="1"/>
    <col min="30" max="30" width="30.42578125" style="81" hidden="1" customWidth="1"/>
    <col min="31" max="38" width="6.42578125" style="81" hidden="1" customWidth="1"/>
    <col min="39" max="77" width="6.42578125" style="74" hidden="1" customWidth="1"/>
    <col min="78" max="132" width="6.5703125" style="74" hidden="1" customWidth="1"/>
    <col min="133" max="133" width="9.140625" style="74" hidden="1" customWidth="1"/>
    <col min="134" max="134" width="0" style="74" hidden="1" customWidth="1"/>
    <col min="135" max="16384" width="9.140625" style="74"/>
  </cols>
  <sheetData>
    <row r="1" spans="1:55" ht="18.75" customHeight="1" thickBot="1" x14ac:dyDescent="0.25">
      <c r="A1" s="112"/>
      <c r="B1" s="113"/>
      <c r="C1" s="113"/>
      <c r="D1" s="113"/>
      <c r="E1" s="113"/>
      <c r="F1" s="113"/>
      <c r="G1" s="113"/>
      <c r="H1" s="113"/>
      <c r="I1" s="113"/>
      <c r="J1" s="113"/>
      <c r="K1" s="113"/>
      <c r="L1" s="113"/>
      <c r="M1" s="113"/>
      <c r="N1" s="113"/>
      <c r="O1" s="114"/>
      <c r="P1" s="113"/>
      <c r="Q1" s="113"/>
      <c r="R1" s="113"/>
      <c r="S1" s="113"/>
      <c r="T1" s="113"/>
      <c r="U1" s="113"/>
      <c r="V1" s="113"/>
      <c r="W1" s="113"/>
      <c r="X1" s="113"/>
      <c r="Y1" s="115"/>
      <c r="Z1" s="275"/>
      <c r="AA1" s="1424"/>
      <c r="AB1" s="180"/>
      <c r="AC1" s="180"/>
      <c r="AD1" s="180"/>
      <c r="AE1" s="180"/>
      <c r="AF1" s="180"/>
      <c r="AG1" s="180"/>
      <c r="AH1" s="180"/>
      <c r="AI1" s="180"/>
      <c r="AJ1" s="180"/>
      <c r="AK1" s="180"/>
      <c r="AL1" s="180"/>
      <c r="AM1" s="181"/>
      <c r="AN1" s="182"/>
    </row>
    <row r="2" spans="1:55" ht="18.75" customHeight="1" x14ac:dyDescent="0.2">
      <c r="A2" s="118"/>
      <c r="B2" s="128" t="s">
        <v>69</v>
      </c>
      <c r="C2" s="9"/>
      <c r="D2" s="9"/>
      <c r="E2" s="9"/>
      <c r="F2" s="9"/>
      <c r="G2" s="9"/>
      <c r="H2" s="9"/>
      <c r="I2" s="9"/>
      <c r="J2" s="9"/>
      <c r="K2" s="9"/>
      <c r="L2" s="9"/>
      <c r="M2" s="9"/>
      <c r="N2" s="9"/>
      <c r="O2" s="12"/>
      <c r="P2" s="9"/>
      <c r="Q2" s="9"/>
      <c r="R2" s="9"/>
      <c r="S2" s="9"/>
      <c r="T2" s="9"/>
      <c r="U2" s="9"/>
      <c r="V2" s="9"/>
      <c r="W2" s="9"/>
      <c r="X2" s="9"/>
      <c r="Y2" s="117"/>
      <c r="Z2" s="161"/>
      <c r="AA2" s="183"/>
      <c r="AB2" s="866">
        <f>IF(Sheet1!$C$3="Annual",1,4)</f>
        <v>1</v>
      </c>
      <c r="AC2" s="800" t="str">
        <f>IF(Sheet1!$C$3="Annual","",Sheet1!$D$28)</f>
        <v/>
      </c>
      <c r="AD2" s="801" t="str">
        <f>IF(Sheet1!$C$3="Annual","",Sheet1!$E$28)</f>
        <v/>
      </c>
      <c r="AE2" s="801" t="str">
        <f>IF(Sheet1!$C$3="Annual","",Sheet1!$F$28)</f>
        <v/>
      </c>
      <c r="AF2" s="801" t="str">
        <f>IF(Sheet1!$C$3="Annual","",Sheet1!$G$28)</f>
        <v/>
      </c>
      <c r="AG2" s="802" t="str">
        <f>IF(Sheet1!$C$3="Annual","",Sheet1!$H$28)</f>
        <v/>
      </c>
      <c r="AM2" s="184"/>
      <c r="AN2" s="185"/>
    </row>
    <row r="3" spans="1:55" ht="18.75" customHeight="1" thickBot="1" x14ac:dyDescent="0.25">
      <c r="A3" s="124"/>
      <c r="B3" s="125"/>
      <c r="C3" s="125"/>
      <c r="D3" s="125"/>
      <c r="E3" s="125"/>
      <c r="F3" s="125"/>
      <c r="G3" s="125"/>
      <c r="H3" s="125"/>
      <c r="I3" s="125"/>
      <c r="J3" s="125"/>
      <c r="K3" s="125"/>
      <c r="L3" s="125"/>
      <c r="M3" s="125"/>
      <c r="N3" s="125"/>
      <c r="O3" s="126"/>
      <c r="P3" s="125"/>
      <c r="Q3" s="125"/>
      <c r="R3" s="125"/>
      <c r="S3" s="125"/>
      <c r="T3" s="125"/>
      <c r="U3" s="125"/>
      <c r="V3" s="125"/>
      <c r="W3" s="125"/>
      <c r="X3" s="125"/>
      <c r="Y3" s="127"/>
      <c r="Z3" s="161"/>
      <c r="AA3" s="183"/>
      <c r="AB3" s="803"/>
      <c r="AC3" s="803" t="str">
        <f>Sheet1!$D$27</f>
        <v>2015-16</v>
      </c>
      <c r="AD3" s="804" t="str">
        <f>Sheet1!$E$27</f>
        <v>2016-17</v>
      </c>
      <c r="AE3" s="804" t="str">
        <f>Sheet1!$F$27</f>
        <v>2017-18</v>
      </c>
      <c r="AF3" s="804" t="str">
        <f>Sheet1!$G$27</f>
        <v>2018-19</v>
      </c>
      <c r="AG3" s="805" t="str">
        <f>Sheet1!$H$27</f>
        <v>2019-20</v>
      </c>
      <c r="AM3" s="184"/>
      <c r="AN3" s="185"/>
    </row>
    <row r="4" spans="1:55" ht="11.45" hidden="1" customHeight="1" x14ac:dyDescent="0.2">
      <c r="A4" s="112"/>
      <c r="B4" s="113"/>
      <c r="C4" s="113"/>
      <c r="D4" s="113"/>
      <c r="E4" s="113"/>
      <c r="F4" s="113"/>
      <c r="G4" s="113"/>
      <c r="H4" s="113"/>
      <c r="I4" s="113"/>
      <c r="J4" s="113"/>
      <c r="K4" s="113"/>
      <c r="L4" s="113"/>
      <c r="M4" s="113"/>
      <c r="N4" s="113"/>
      <c r="O4" s="114"/>
      <c r="P4" s="113"/>
      <c r="Q4" s="113"/>
      <c r="R4" s="113"/>
      <c r="S4" s="113"/>
      <c r="T4" s="113"/>
      <c r="U4" s="113"/>
      <c r="V4" s="113"/>
      <c r="W4" s="113"/>
      <c r="X4" s="113"/>
      <c r="Y4" s="115"/>
      <c r="Z4" s="137"/>
      <c r="AA4" s="183"/>
      <c r="AB4" s="186"/>
      <c r="AC4" s="77" t="str">
        <f>Home!$D$10</f>
        <v>(none)</v>
      </c>
      <c r="AD4" s="42" t="str">
        <f>"Selected LA- "&amp;AC4</f>
        <v>Selected LA- (none)</v>
      </c>
      <c r="AM4" s="184"/>
      <c r="AN4" s="185"/>
    </row>
    <row r="5" spans="1:55" s="76" customFormat="1" ht="15" hidden="1" customHeight="1" x14ac:dyDescent="0.2">
      <c r="A5" s="461"/>
      <c r="B5" s="639" t="str">
        <f>AB8&amp;" of Referrals from each Source "&amp;Frontpage!J5</f>
        <v>Proportion (%) of Referrals from each Source 2019-20</v>
      </c>
      <c r="C5" s="636"/>
      <c r="D5" s="636"/>
      <c r="E5" s="636"/>
      <c r="F5" s="636"/>
      <c r="G5" s="636"/>
      <c r="H5" s="636"/>
      <c r="I5" s="636"/>
      <c r="J5" s="636"/>
      <c r="K5" s="636"/>
      <c r="L5" s="636"/>
      <c r="M5" s="62"/>
      <c r="N5" s="70"/>
      <c r="O5" s="70"/>
      <c r="P5" s="70"/>
      <c r="Q5" s="70"/>
      <c r="R5" s="70"/>
      <c r="S5" s="70"/>
      <c r="T5" s="70"/>
      <c r="U5" s="70"/>
      <c r="V5" s="70"/>
      <c r="W5" s="70"/>
      <c r="X5" s="70"/>
      <c r="Y5" s="120"/>
      <c r="Z5" s="138"/>
      <c r="AA5" s="187"/>
      <c r="AB5" s="902" t="s">
        <v>88</v>
      </c>
      <c r="AC5" s="188"/>
      <c r="AD5" s="188"/>
      <c r="AE5" s="188"/>
      <c r="AF5" s="188"/>
      <c r="AG5" s="188"/>
      <c r="AH5" s="188"/>
      <c r="AI5" s="188"/>
      <c r="AJ5" s="188"/>
      <c r="AK5" s="188"/>
      <c r="AL5" s="188"/>
      <c r="AM5" s="188"/>
      <c r="AN5" s="189"/>
    </row>
    <row r="6" spans="1:55" ht="15" hidden="1" customHeight="1" x14ac:dyDescent="0.2">
      <c r="A6" s="278"/>
      <c r="B6" s="638" t="s">
        <v>110</v>
      </c>
      <c r="C6" s="636"/>
      <c r="D6" s="636"/>
      <c r="E6" s="636"/>
      <c r="F6" s="636"/>
      <c r="G6" s="636"/>
      <c r="H6" s="636"/>
      <c r="I6" s="636"/>
      <c r="J6" s="636"/>
      <c r="K6" s="636"/>
      <c r="L6" s="636"/>
      <c r="M6" s="70"/>
      <c r="N6" s="70"/>
      <c r="O6" s="70"/>
      <c r="P6" s="70"/>
      <c r="Q6" s="70"/>
      <c r="R6" s="70"/>
      <c r="S6" s="70"/>
      <c r="T6" s="70"/>
      <c r="U6" s="70"/>
      <c r="V6" s="58"/>
      <c r="W6" s="70"/>
      <c r="X6" s="70"/>
      <c r="Y6" s="117"/>
      <c r="Z6" s="137"/>
      <c r="AA6" s="183"/>
      <c r="AB6" s="902" t="s">
        <v>104</v>
      </c>
      <c r="AC6" s="190"/>
      <c r="AF6" s="81">
        <v>3</v>
      </c>
      <c r="AG6" s="81">
        <v>4</v>
      </c>
      <c r="AH6" s="81">
        <v>5</v>
      </c>
      <c r="AI6" s="81">
        <v>6</v>
      </c>
      <c r="AJ6" s="81">
        <v>7</v>
      </c>
      <c r="AK6" s="81">
        <v>8</v>
      </c>
      <c r="AL6" s="81">
        <v>9</v>
      </c>
      <c r="AM6" s="81">
        <v>10</v>
      </c>
      <c r="AN6" s="81">
        <v>11</v>
      </c>
      <c r="AO6" s="81">
        <v>12</v>
      </c>
      <c r="AP6" s="81">
        <v>13</v>
      </c>
      <c r="AQ6" s="81">
        <v>14</v>
      </c>
      <c r="AR6" s="81">
        <v>15</v>
      </c>
      <c r="AS6" s="81">
        <v>16</v>
      </c>
      <c r="AT6" s="81">
        <v>17</v>
      </c>
      <c r="AU6" s="81">
        <v>18</v>
      </c>
      <c r="AV6" s="81">
        <v>19</v>
      </c>
      <c r="AW6" s="81">
        <v>20</v>
      </c>
      <c r="AX6" s="81">
        <v>21</v>
      </c>
      <c r="AY6" s="81">
        <v>22</v>
      </c>
      <c r="AZ6" s="81">
        <v>23</v>
      </c>
      <c r="BA6" s="81">
        <v>24</v>
      </c>
    </row>
    <row r="7" spans="1:55" ht="12.95" hidden="1" customHeight="1" x14ac:dyDescent="0.2">
      <c r="A7" s="278"/>
      <c r="B7" s="1867" t="s">
        <v>681</v>
      </c>
      <c r="C7" s="70"/>
      <c r="D7" s="177" t="s">
        <v>49</v>
      </c>
      <c r="E7" s="177" t="s">
        <v>50</v>
      </c>
      <c r="F7" s="177" t="s">
        <v>51</v>
      </c>
      <c r="G7" s="177" t="s">
        <v>52</v>
      </c>
      <c r="H7" s="177" t="s">
        <v>53</v>
      </c>
      <c r="I7" s="177" t="s">
        <v>54</v>
      </c>
      <c r="J7" s="177" t="s">
        <v>55</v>
      </c>
      <c r="K7" s="177" t="s">
        <v>56</v>
      </c>
      <c r="L7" s="177" t="s">
        <v>57</v>
      </c>
      <c r="M7" s="177" t="s">
        <v>58</v>
      </c>
      <c r="N7" s="177" t="s">
        <v>59</v>
      </c>
      <c r="O7" s="177" t="s">
        <v>60</v>
      </c>
      <c r="P7" s="177">
        <v>4</v>
      </c>
      <c r="Q7" s="177" t="s">
        <v>61</v>
      </c>
      <c r="R7" s="177" t="s">
        <v>62</v>
      </c>
      <c r="S7" s="177" t="s">
        <v>63</v>
      </c>
      <c r="T7" s="177">
        <v>6</v>
      </c>
      <c r="U7" s="177">
        <v>7</v>
      </c>
      <c r="V7" s="177">
        <v>8</v>
      </c>
      <c r="W7" s="177">
        <v>9</v>
      </c>
      <c r="X7" s="178">
        <v>10</v>
      </c>
      <c r="Y7" s="117"/>
      <c r="Z7" s="137"/>
      <c r="AA7" s="183"/>
      <c r="AB7" s="902" t="s">
        <v>103</v>
      </c>
      <c r="AC7" s="191"/>
      <c r="AD7" s="192"/>
      <c r="AE7" s="192"/>
      <c r="AF7" s="49" t="s">
        <v>49</v>
      </c>
      <c r="AG7" s="179" t="s">
        <v>50</v>
      </c>
      <c r="AH7" s="179" t="s">
        <v>51</v>
      </c>
      <c r="AI7" s="179" t="s">
        <v>52</v>
      </c>
      <c r="AJ7" s="179" t="s">
        <v>53</v>
      </c>
      <c r="AK7" s="179" t="s">
        <v>54</v>
      </c>
      <c r="AL7" s="179" t="s">
        <v>55</v>
      </c>
      <c r="AM7" s="179" t="s">
        <v>56</v>
      </c>
      <c r="AN7" s="179" t="s">
        <v>57</v>
      </c>
      <c r="AO7" s="179" t="s">
        <v>58</v>
      </c>
      <c r="AP7" s="179" t="s">
        <v>59</v>
      </c>
      <c r="AQ7" s="179" t="s">
        <v>60</v>
      </c>
      <c r="AR7" s="179">
        <v>4</v>
      </c>
      <c r="AS7" s="179" t="s">
        <v>61</v>
      </c>
      <c r="AT7" s="179" t="s">
        <v>62</v>
      </c>
      <c r="AU7" s="179" t="s">
        <v>63</v>
      </c>
      <c r="AV7" s="179">
        <v>6</v>
      </c>
      <c r="AW7" s="179">
        <v>7</v>
      </c>
      <c r="AX7" s="179">
        <v>8</v>
      </c>
      <c r="AY7" s="179">
        <v>9</v>
      </c>
      <c r="AZ7" s="50">
        <v>10</v>
      </c>
      <c r="BA7" s="1863" t="s">
        <v>87</v>
      </c>
    </row>
    <row r="8" spans="1:55" s="87" customFormat="1" ht="61.5" hidden="1" customHeight="1" thickBot="1" x14ac:dyDescent="0.25">
      <c r="A8" s="292"/>
      <c r="B8" s="1868"/>
      <c r="C8" s="159"/>
      <c r="D8" s="173" t="s">
        <v>34</v>
      </c>
      <c r="E8" s="106" t="s">
        <v>35</v>
      </c>
      <c r="F8" s="106" t="s">
        <v>36</v>
      </c>
      <c r="G8" s="106" t="s">
        <v>37</v>
      </c>
      <c r="H8" s="106" t="s">
        <v>38</v>
      </c>
      <c r="I8" s="106" t="s">
        <v>39</v>
      </c>
      <c r="J8" s="106" t="s">
        <v>40</v>
      </c>
      <c r="K8" s="106" t="s">
        <v>41</v>
      </c>
      <c r="L8" s="106" t="s">
        <v>42</v>
      </c>
      <c r="M8" s="106" t="s">
        <v>43</v>
      </c>
      <c r="N8" s="106" t="s">
        <v>44</v>
      </c>
      <c r="O8" s="106" t="s">
        <v>45</v>
      </c>
      <c r="P8" s="106" t="s">
        <v>46</v>
      </c>
      <c r="Q8" s="106" t="s">
        <v>47</v>
      </c>
      <c r="R8" s="106" t="s">
        <v>48</v>
      </c>
      <c r="S8" s="106" t="s">
        <v>68</v>
      </c>
      <c r="T8" s="106" t="s">
        <v>23</v>
      </c>
      <c r="U8" s="106" t="s">
        <v>67</v>
      </c>
      <c r="V8" s="106" t="s">
        <v>66</v>
      </c>
      <c r="W8" s="106" t="s">
        <v>64</v>
      </c>
      <c r="X8" s="104" t="s">
        <v>65</v>
      </c>
      <c r="Y8" s="122"/>
      <c r="Z8" s="139"/>
      <c r="AA8" s="193"/>
      <c r="AB8" s="901" t="s">
        <v>103</v>
      </c>
      <c r="AC8" s="191"/>
      <c r="AD8" s="192"/>
      <c r="AE8" s="192"/>
      <c r="AF8" s="105" t="s">
        <v>34</v>
      </c>
      <c r="AG8" s="103" t="s">
        <v>35</v>
      </c>
      <c r="AH8" s="103" t="s">
        <v>36</v>
      </c>
      <c r="AI8" s="103" t="s">
        <v>37</v>
      </c>
      <c r="AJ8" s="103" t="s">
        <v>38</v>
      </c>
      <c r="AK8" s="103" t="s">
        <v>39</v>
      </c>
      <c r="AL8" s="103" t="s">
        <v>40</v>
      </c>
      <c r="AM8" s="103" t="s">
        <v>41</v>
      </c>
      <c r="AN8" s="103" t="s">
        <v>42</v>
      </c>
      <c r="AO8" s="103" t="s">
        <v>43</v>
      </c>
      <c r="AP8" s="103" t="s">
        <v>44</v>
      </c>
      <c r="AQ8" s="103" t="s">
        <v>45</v>
      </c>
      <c r="AR8" s="103" t="s">
        <v>46</v>
      </c>
      <c r="AS8" s="103" t="s">
        <v>47</v>
      </c>
      <c r="AT8" s="103" t="s">
        <v>48</v>
      </c>
      <c r="AU8" s="103" t="s">
        <v>68</v>
      </c>
      <c r="AV8" s="103" t="s">
        <v>23</v>
      </c>
      <c r="AW8" s="103" t="s">
        <v>67</v>
      </c>
      <c r="AX8" s="103" t="s">
        <v>66</v>
      </c>
      <c r="AY8" s="103" t="s">
        <v>64</v>
      </c>
      <c r="AZ8" s="102" t="s">
        <v>65</v>
      </c>
      <c r="BA8" s="1864"/>
    </row>
    <row r="9" spans="1:55" s="87" customFormat="1" ht="13.5" hidden="1" customHeight="1" x14ac:dyDescent="0.2">
      <c r="A9" s="488">
        <f>VLOOKUP(B9,Sheet1!$AQ$4:$AR$25,2,FALSE)</f>
        <v>0</v>
      </c>
      <c r="B9" s="93" t="str">
        <f>Sheet1!$K$4</f>
        <v>Bracknell Forest</v>
      </c>
      <c r="C9" s="85"/>
      <c r="D9" s="234">
        <f t="shared" ref="D9:D31" si="0">VLOOKUP(CONCATENATE($B9,$AB$8),$AD$9:$BA$79,AF$6,FALSE)</f>
        <v>6.650971159505592</v>
      </c>
      <c r="E9" s="234"/>
      <c r="F9" s="234"/>
      <c r="G9" s="234"/>
      <c r="H9" s="234">
        <f t="shared" ref="H9:H31" si="1">VLOOKUP(CONCATENATE($B9,$AB$8),$AD$9:$BA$79,AJ$6,FALSE)</f>
        <v>27.781047675103004</v>
      </c>
      <c r="I9" s="234">
        <f t="shared" ref="I9:I31" si="2">VLOOKUP(CONCATENATE($B9,$AB$8),$AD$9:$BA$79,AK$6,FALSE)</f>
        <v>1.2948793407886992</v>
      </c>
      <c r="J9" s="234">
        <f t="shared" ref="J9:J31" si="3">VLOOKUP(CONCATENATE($B9,$AB$8),$AD$9:$BA$79,AL$6,FALSE)</f>
        <v>10.417892878163626</v>
      </c>
      <c r="K9" s="234"/>
      <c r="L9" s="234"/>
      <c r="M9" s="234"/>
      <c r="N9" s="234"/>
      <c r="O9" s="234"/>
      <c r="P9" s="234">
        <f t="shared" ref="P9:P31" si="4">VLOOKUP(CONCATENATE($B9,$AB$8),$AD$9:$BA$79,AR$6,FALSE)</f>
        <v>1.0594467333725721</v>
      </c>
      <c r="Q9" s="234">
        <f t="shared" ref="Q9:Q31" si="5">VLOOKUP(CONCATENATE($B9,$AB$8),$AD$9:$BA$79,AS$6,FALSE)</f>
        <v>22.189523248969984</v>
      </c>
      <c r="R9" s="234"/>
      <c r="S9" s="234"/>
      <c r="T9" s="234">
        <f t="shared" ref="T9:T31" si="6">VLOOKUP(CONCATENATE($B9,$AB$8),$AD$9:$BA$79,AV$6,FALSE)</f>
        <v>22.778104767510303</v>
      </c>
      <c r="U9" s="234">
        <f t="shared" ref="U9:U31" si="7">VLOOKUP(CONCATENATE($B9,$AB$8),$AD$9:$BA$79,AW$6,FALSE)</f>
        <v>2.4720423778693346</v>
      </c>
      <c r="V9" s="234">
        <f t="shared" ref="V9:V31" si="8">VLOOKUP(CONCATENATE($B9,$AB$8),$AD$9:$BA$79,AX$6,FALSE)</f>
        <v>4.002354326074161</v>
      </c>
      <c r="W9" s="234">
        <f t="shared" ref="W9:W31" si="9">VLOOKUP(CONCATENATE($B9,$AB$8),$AD$9:$BA$79,AY$6,FALSE)</f>
        <v>1.353737492642731</v>
      </c>
      <c r="X9" s="408">
        <f t="shared" ref="X9:X31" si="10">VLOOKUP(CONCATENATE($B9,$AB$8),$AD$9:$BA$79,AZ$6,FALSE)</f>
        <v>0</v>
      </c>
      <c r="Y9" s="122"/>
      <c r="Z9" s="139"/>
      <c r="AA9" s="193"/>
      <c r="AB9" s="47" t="str">
        <f>B9</f>
        <v>Bracknell Forest</v>
      </c>
      <c r="AC9" s="46">
        <v>1</v>
      </c>
      <c r="AD9" s="47" t="str">
        <f>CONCATENATE(AB9,$AB$5)</f>
        <v>Bracknell ForestNumber</v>
      </c>
      <c r="AE9" s="48" t="b">
        <f>IF(AB9=$AA$6,1)</f>
        <v>0</v>
      </c>
      <c r="AF9" s="563">
        <f>IF(Year5_Bracknell_Forest Year5_ReferralSource_Individual_Family="","",Year5_Bracknell_Forest Year5_ReferralSource_Individual_Family)</f>
        <v>113</v>
      </c>
      <c r="AG9" s="564" t="str">
        <f>IF(Year5_Bracknell_Forest Year5_ReferralSource_Individual_Acquaintance="","",Year5_Bracknell_Forest Year5_ReferralSource_Individual_Acquaintance)</f>
        <v/>
      </c>
      <c r="AH9" s="564" t="str">
        <f>IF(Year5_Bracknell_Forest Year5_ReferralSource_Individual_Self="","",Year5_Bracknell_Forest Year5_ReferralSource_Individual_Self)</f>
        <v/>
      </c>
      <c r="AI9" s="564" t="str">
        <f>IF(Year5_Bracknell_Forest Year5_ReferralSource_Individual_Other="","",Year5_Bracknell_Forest Year5_ReferralSource_Individual_Other)</f>
        <v/>
      </c>
      <c r="AJ9" s="564">
        <f>IF(Year5_Bracknell_Forest Year5_ReferralSource_School="","",Year5_Bracknell_Forest Year5_ReferralSource_School)</f>
        <v>472</v>
      </c>
      <c r="AK9" s="564">
        <f>IF(Year5_Bracknell_Forest Year5_ReferralSource_EducationServices="","",Year5_Bracknell_Forest Year5_ReferralSource_EducationServices)</f>
        <v>22</v>
      </c>
      <c r="AL9" s="564">
        <f>IF(Year5_Bracknell_Forest Year5_ReferralSource_Health_services_GP="","",Year5_Bracknell_Forest Year5_ReferralSource_Health_services_GP)</f>
        <v>177</v>
      </c>
      <c r="AM9" s="564" t="str">
        <f>IF(Year5_Bracknell_Forest Year5_ReferralSource_Health_services_HealthVisitor="","",Year5_Bracknell_Forest Year5_ReferralSource_Health_services_HealthVisitor)</f>
        <v/>
      </c>
      <c r="AN9" s="564" t="str">
        <f>IF(Year5_Bracknell_Forest Year5_ReferralSource_Health_services_SchoolNurse="","",Year5_Bracknell_Forest Year5_ReferralSource_Health_services_SchoolNurse)</f>
        <v/>
      </c>
      <c r="AO9" s="564" t="str">
        <f>IF(Year5_Bracknell_Forest Year5_ReferralSource_Health_services_OthPrimary="","",Year5_Bracknell_Forest Year5_ReferralSource_Health_services_OthPrimary)</f>
        <v/>
      </c>
      <c r="AP9" s="564" t="str">
        <f>IF(Year5_Bracknell_Forest Year5_ReferralSource_Health_services_AE="","",Year5_Bracknell_Forest Year5_ReferralSource_Health_services_AE)</f>
        <v/>
      </c>
      <c r="AQ9" s="564" t="str">
        <f>IF(Year5_Bracknell_Forest Year5_ReferralSource_Health_services_Other="","",Year5_Bracknell_Forest Year5_ReferralSource_Health_services_Other)</f>
        <v/>
      </c>
      <c r="AR9" s="564">
        <f>IF(Year5_Bracknell_Forest Year5_ReferralSource_Housing="","",Year5_Bracknell_Forest Year5_ReferralSource_Housing)</f>
        <v>18</v>
      </c>
      <c r="AS9" s="564">
        <f>IF(Year5_Bracknell_Forest Year5_ReferralSource_LA_SC="","",Year5_Bracknell_Forest Year5_ReferralSource_LA_SC)</f>
        <v>377</v>
      </c>
      <c r="AT9" s="564" t="str">
        <f>IF(Year5_Bracknell_Forest Year5_ReferralSource_LA_Other="","",Year5_Bracknell_Forest Year5_ReferralSource_LA_Other)</f>
        <v/>
      </c>
      <c r="AU9" s="564" t="str">
        <f>IF(Year5_Bracknell_Forest Year5_ReferralSource_LA_External="","",Year5_Bracknell_Forest Year5_ReferralSource_LA_External)</f>
        <v/>
      </c>
      <c r="AV9" s="564">
        <f>IF(Year5_Bracknell_Forest Year5_ReferralSource_Police="","",Year5_Bracknell_Forest Year5_ReferralSource_Police)</f>
        <v>387</v>
      </c>
      <c r="AW9" s="564">
        <f>IF(Year5_Bracknell_Forest Year5_ReferralSource_Other_Legal="","",Year5_Bracknell_Forest Year5_ReferralSource_Other_Legal)</f>
        <v>42</v>
      </c>
      <c r="AX9" s="564">
        <f>IF(Year5_Bracknell_Forest Year5_ReferralSource_Other="","",Year5_Bracknell_Forest Year5_ReferralSource_Other)</f>
        <v>68</v>
      </c>
      <c r="AY9" s="564">
        <f>IF(Year5_Bracknell_Forest Year5_ReferralSource_Anonymous="","",Year5_Bracknell_Forest Year5_ReferralSource_Anonymous)</f>
        <v>23</v>
      </c>
      <c r="AZ9" s="565">
        <f>IF(Year5_Bracknell_Forest Year5_ReferralSource_Unknown="","",Year5_Bracknell_Forest Year5_ReferralSource_Unknown)</f>
        <v>0</v>
      </c>
      <c r="BA9" s="648">
        <f>SUM(AF9:AZ9)</f>
        <v>1699</v>
      </c>
      <c r="BB9" s="87">
        <f>IF(BA9&gt;0,Population!H10,0)</f>
        <v>28400</v>
      </c>
      <c r="BC9" s="146">
        <f>BA9/BB9*10000</f>
        <v>598.23943661971828</v>
      </c>
    </row>
    <row r="10" spans="1:55" s="87" customFormat="1" ht="13.5" hidden="1" customHeight="1" x14ac:dyDescent="0.2">
      <c r="A10" s="488">
        <f>VLOOKUP(B10,Sheet1!$AQ$4:$AR$25,2,FALSE)</f>
        <v>0</v>
      </c>
      <c r="B10" s="93" t="str">
        <f>Sheet1!$K$5</f>
        <v>Brighton &amp; Hove</v>
      </c>
      <c r="C10" s="85"/>
      <c r="D10" s="234">
        <f t="shared" si="0"/>
        <v>2.9403528423410807</v>
      </c>
      <c r="E10" s="234"/>
      <c r="F10" s="234"/>
      <c r="G10" s="234"/>
      <c r="H10" s="234">
        <f t="shared" si="1"/>
        <v>15.289834780173619</v>
      </c>
      <c r="I10" s="234">
        <f t="shared" si="2"/>
        <v>3.5284234108092969</v>
      </c>
      <c r="J10" s="234">
        <f t="shared" si="3"/>
        <v>12.629515541865025</v>
      </c>
      <c r="K10" s="234"/>
      <c r="L10" s="234"/>
      <c r="M10" s="234"/>
      <c r="N10" s="234"/>
      <c r="O10" s="234"/>
      <c r="P10" s="234">
        <f t="shared" si="4"/>
        <v>1.792215065807897</v>
      </c>
      <c r="Q10" s="234">
        <f t="shared" si="5"/>
        <v>13.917670120414449</v>
      </c>
      <c r="R10" s="234"/>
      <c r="S10" s="234"/>
      <c r="T10" s="234">
        <f t="shared" si="6"/>
        <v>28.591430971716608</v>
      </c>
      <c r="U10" s="234">
        <f t="shared" si="7"/>
        <v>2.6323158779053486</v>
      </c>
      <c r="V10" s="234">
        <f t="shared" si="8"/>
        <v>3.2763931671800619</v>
      </c>
      <c r="W10" s="234">
        <f t="shared" si="9"/>
        <v>1.3161579389526743</v>
      </c>
      <c r="X10" s="408">
        <f t="shared" si="10"/>
        <v>14.085690282833941</v>
      </c>
      <c r="Y10" s="122"/>
      <c r="Z10" s="139"/>
      <c r="AA10" s="193"/>
      <c r="AB10" s="47" t="str">
        <f t="shared" ref="AB10:AB30" si="11">B10</f>
        <v>Brighton &amp; Hove</v>
      </c>
      <c r="AC10" s="46">
        <v>2</v>
      </c>
      <c r="AD10" s="47" t="str">
        <f t="shared" ref="AD10:AD32" si="12">CONCATENATE(AB10,$AB$5)</f>
        <v>Brighton &amp; HoveNumber</v>
      </c>
      <c r="AE10" s="48" t="b">
        <f t="shared" ref="AE10:AE75" si="13">IF(AB10=$AA$6,1)</f>
        <v>0</v>
      </c>
      <c r="AF10" s="566">
        <f>IF(Year5_Brighton_Hove Year5_ReferralSource_Individual_Family="","",Year5_Brighton_Hove Year5_ReferralSource_Individual_Family)</f>
        <v>105</v>
      </c>
      <c r="AG10" s="567" t="str">
        <f>IF(Year5_Brighton_Hove Year5_ReferralSource_Individual_Acquaintance="","",Year5_Brighton_Hove Year5_ReferralSource_Individual_Acquaintance)</f>
        <v/>
      </c>
      <c r="AH10" s="567" t="str">
        <f>IF(Year5_Brighton_Hove Year5_ReferralSource_Individual_Self="","",Year5_Brighton_Hove Year5_ReferralSource_Individual_Self)</f>
        <v/>
      </c>
      <c r="AI10" s="567" t="str">
        <f>IF(Year5_Brighton_Hove Year5_ReferralSource_Individual_Other="","",Year5_Brighton_Hove Year5_ReferralSource_Individual_Other)</f>
        <v/>
      </c>
      <c r="AJ10" s="567">
        <f>IF(Year5_Brighton_Hove Year5_ReferralSource_School="","",Year5_Brighton_Hove Year5_ReferralSource_School)</f>
        <v>546</v>
      </c>
      <c r="AK10" s="567">
        <f>IF(Year5_Brighton_Hove Year5_ReferralSource_EducationServices="","",Year5_Brighton_Hove Year5_ReferralSource_EducationServices)</f>
        <v>126</v>
      </c>
      <c r="AL10" s="567">
        <f>IF(Year5_Brighton_Hove Year5_ReferralSource_Health_services_GP="","",Year5_Brighton_Hove Year5_ReferralSource_Health_services_GP)</f>
        <v>451</v>
      </c>
      <c r="AM10" s="567" t="str">
        <f>IF(Year5_Brighton_Hove Year5_ReferralSource_Health_services_HealthVisitor="","",Year5_Brighton_Hove Year5_ReferralSource_Health_services_HealthVisitor)</f>
        <v/>
      </c>
      <c r="AN10" s="567" t="str">
        <f>IF(Year5_Brighton_Hove Year5_ReferralSource_Health_services_SchoolNurse="","",Year5_Brighton_Hove Year5_ReferralSource_Health_services_SchoolNurse)</f>
        <v/>
      </c>
      <c r="AO10" s="567" t="str">
        <f>IF(Year5_Brighton_Hove Year5_ReferralSource_Health_services_OthPrimary="","",Year5_Brighton_Hove Year5_ReferralSource_Health_services_OthPrimary)</f>
        <v/>
      </c>
      <c r="AP10" s="567" t="str">
        <f>IF(Year5_Brighton_Hove Year5_ReferralSource_Health_services_AE="","",Year5_Brighton_Hove Year5_ReferralSource_Health_services_AE)</f>
        <v/>
      </c>
      <c r="AQ10" s="567" t="str">
        <f>IF(Year5_Brighton_Hove Year5_ReferralSource_Health_services_Other="","",Year5_Brighton_Hove Year5_ReferralSource_Health_services_Other)</f>
        <v/>
      </c>
      <c r="AR10" s="567">
        <f>IF(Year5_Brighton_Hove Year5_ReferralSource_Housing="","",Year5_Brighton_Hove Year5_ReferralSource_Housing)</f>
        <v>64</v>
      </c>
      <c r="AS10" s="567">
        <f>IF(Year5_Brighton_Hove Year5_ReferralSource_LA_SC="","",Year5_Brighton_Hove Year5_ReferralSource_LA_SC)</f>
        <v>497</v>
      </c>
      <c r="AT10" s="567" t="str">
        <f>IF(Year5_Brighton_Hove Year5_ReferralSource_LA_Other="","",Year5_Brighton_Hove Year5_ReferralSource_LA_Other)</f>
        <v/>
      </c>
      <c r="AU10" s="567" t="str">
        <f>IF(Year5_Brighton_Hove Year5_ReferralSource_LA_External="","",Year5_Brighton_Hove Year5_ReferralSource_LA_External)</f>
        <v/>
      </c>
      <c r="AV10" s="567">
        <f>IF(Year5_Brighton_Hove Year5_ReferralSource_Police="","",Year5_Brighton_Hove Year5_ReferralSource_Police)</f>
        <v>1021</v>
      </c>
      <c r="AW10" s="567">
        <f>IF(Year5_Brighton_Hove Year5_ReferralSource_Other_Legal="","",Year5_Brighton_Hove Year5_ReferralSource_Other_Legal)</f>
        <v>94</v>
      </c>
      <c r="AX10" s="567">
        <f>IF(Year5_Brighton_Hove Year5_ReferralSource_Other="","",Year5_Brighton_Hove Year5_ReferralSource_Other)</f>
        <v>117</v>
      </c>
      <c r="AY10" s="567">
        <f>IF(Year5_Brighton_Hove Year5_ReferralSource_Anonymous="","",Year5_Brighton_Hove Year5_ReferralSource_Anonymous)</f>
        <v>47</v>
      </c>
      <c r="AZ10" s="568">
        <f>IF(Year5_Brighton_Hove Year5_ReferralSource_Unknown="","",Year5_Brighton_Hove Year5_ReferralSource_Unknown)</f>
        <v>503</v>
      </c>
      <c r="BA10" s="56">
        <f t="shared" ref="BA10:BA29" si="14">SUM(AF10:AZ10)</f>
        <v>3571</v>
      </c>
      <c r="BB10" s="87">
        <f>IF(BA10&gt;0,Population!H11,0)</f>
        <v>50300</v>
      </c>
      <c r="BC10" s="146">
        <f t="shared" ref="BC10:BC30" si="15">BA10/BB10*10000</f>
        <v>709.94035785288281</v>
      </c>
    </row>
    <row r="11" spans="1:55" s="87" customFormat="1" ht="13.5" hidden="1" customHeight="1" x14ac:dyDescent="0.2">
      <c r="A11" s="488">
        <f>VLOOKUP(B11,Sheet1!$AQ$4:$AR$25,2,FALSE)</f>
        <v>0</v>
      </c>
      <c r="B11" s="93" t="str">
        <f>Sheet1!$K$6</f>
        <v>Buckinghamshire</v>
      </c>
      <c r="C11" s="85"/>
      <c r="D11" s="234">
        <f t="shared" si="0"/>
        <v>7.5896078903055084</v>
      </c>
      <c r="E11" s="234"/>
      <c r="F11" s="234"/>
      <c r="G11" s="234"/>
      <c r="H11" s="234">
        <f t="shared" si="1"/>
        <v>19.461149867693049</v>
      </c>
      <c r="I11" s="234" t="e">
        <f t="shared" si="2"/>
        <v>#N/A</v>
      </c>
      <c r="J11" s="234">
        <f t="shared" si="3"/>
        <v>15.479913399085879</v>
      </c>
      <c r="K11" s="234"/>
      <c r="L11" s="234"/>
      <c r="M11" s="234"/>
      <c r="N11" s="234"/>
      <c r="O11" s="234"/>
      <c r="P11" s="234">
        <f t="shared" si="4"/>
        <v>1.491460187635314</v>
      </c>
      <c r="Q11" s="234">
        <f t="shared" si="5"/>
        <v>11.655039692085639</v>
      </c>
      <c r="R11" s="234"/>
      <c r="S11" s="234"/>
      <c r="T11" s="234">
        <f t="shared" si="6"/>
        <v>35.001202790473904</v>
      </c>
      <c r="U11" s="234">
        <f t="shared" si="7"/>
        <v>2.6701948520567718</v>
      </c>
      <c r="V11" s="234">
        <f t="shared" si="8"/>
        <v>4.7991339908587918</v>
      </c>
      <c r="W11" s="234">
        <f t="shared" si="9"/>
        <v>1.8522973298051482</v>
      </c>
      <c r="X11" s="408" t="e">
        <f t="shared" si="10"/>
        <v>#N/A</v>
      </c>
      <c r="Y11" s="122"/>
      <c r="Z11" s="139"/>
      <c r="AA11" s="193"/>
      <c r="AB11" s="47" t="str">
        <f t="shared" si="11"/>
        <v>Buckinghamshire</v>
      </c>
      <c r="AC11" s="46">
        <v>3</v>
      </c>
      <c r="AD11" s="47" t="str">
        <f t="shared" si="12"/>
        <v>BuckinghamshireNumber</v>
      </c>
      <c r="AE11" s="48" t="b">
        <f t="shared" si="13"/>
        <v>0</v>
      </c>
      <c r="AF11" s="566">
        <f>IF(Year5_Buckinghamshire Year5_ReferralSource_Individual_Family="","",Year5_Buckinghamshire Year5_ReferralSource_Individual_Family)</f>
        <v>631</v>
      </c>
      <c r="AG11" s="567" t="str">
        <f>IF(Year5_Buckinghamshire Year5_ReferralSource_Individual_Acquaintance="","",Year5_Buckinghamshire Year5_ReferralSource_Individual_Acquaintance)</f>
        <v/>
      </c>
      <c r="AH11" s="567" t="str">
        <f>IF(Year5_Buckinghamshire Year5_ReferralSource_Individual_Self="","",Year5_Buckinghamshire Year5_ReferralSource_Individual_Self)</f>
        <v/>
      </c>
      <c r="AI11" s="567" t="str">
        <f>IF(Year5_Buckinghamshire Year5_ReferralSource_Individual_Other="","",Year5_Buckinghamshire Year5_ReferralSource_Individual_Other)</f>
        <v/>
      </c>
      <c r="AJ11" s="567">
        <f>IF(Year5_Buckinghamshire Year5_ReferralSource_School="","",Year5_Buckinghamshire Year5_ReferralSource_School)</f>
        <v>1618</v>
      </c>
      <c r="AK11" s="567" t="str">
        <f>IF(Year5_Buckinghamshire Year5_ReferralSource_EducationServices="","",Year5_Buckinghamshire Year5_ReferralSource_EducationServices)</f>
        <v>c</v>
      </c>
      <c r="AL11" s="567">
        <f>IF(Year5_Buckinghamshire Year5_ReferralSource_Health_services_GP="","",Year5_Buckinghamshire Year5_ReferralSource_Health_services_GP)</f>
        <v>1287</v>
      </c>
      <c r="AM11" s="567" t="str">
        <f>IF(Year5_Buckinghamshire Year5_ReferralSource_Health_services_HealthVisitor="","",Year5_Buckinghamshire Year5_ReferralSource_Health_services_HealthVisitor)</f>
        <v/>
      </c>
      <c r="AN11" s="567" t="str">
        <f>IF(Year5_Buckinghamshire Year5_ReferralSource_Health_services_SchoolNurse="","",Year5_Buckinghamshire Year5_ReferralSource_Health_services_SchoolNurse)</f>
        <v/>
      </c>
      <c r="AO11" s="567" t="str">
        <f>IF(Year5_Buckinghamshire Year5_ReferralSource_Health_services_OthPrimary="","",Year5_Buckinghamshire Year5_ReferralSource_Health_services_OthPrimary)</f>
        <v/>
      </c>
      <c r="AP11" s="567" t="str">
        <f>IF(Year5_Buckinghamshire Year5_ReferralSource_Health_services_AE="","",Year5_Buckinghamshire Year5_ReferralSource_Health_services_AE)</f>
        <v/>
      </c>
      <c r="AQ11" s="567" t="str">
        <f>IF(Year5_Buckinghamshire Year5_ReferralSource_Health_services_Other="","",Year5_Buckinghamshire Year5_ReferralSource_Health_services_Other)</f>
        <v/>
      </c>
      <c r="AR11" s="567">
        <f>IF(Year5_Buckinghamshire Year5_ReferralSource_Housing="","",Year5_Buckinghamshire Year5_ReferralSource_Housing)</f>
        <v>124</v>
      </c>
      <c r="AS11" s="567">
        <f>IF(Year5_Buckinghamshire Year5_ReferralSource_LA_SC="","",Year5_Buckinghamshire Year5_ReferralSource_LA_SC)</f>
        <v>969</v>
      </c>
      <c r="AT11" s="567" t="str">
        <f>IF(Year5_Buckinghamshire Year5_ReferralSource_LA_Other="","",Year5_Buckinghamshire Year5_ReferralSource_LA_Other)</f>
        <v/>
      </c>
      <c r="AU11" s="567" t="str">
        <f>IF(Year5_Buckinghamshire Year5_ReferralSource_LA_External="","",Year5_Buckinghamshire Year5_ReferralSource_LA_External)</f>
        <v/>
      </c>
      <c r="AV11" s="567">
        <f>IF(Year5_Buckinghamshire Year5_ReferralSource_Police="","",Year5_Buckinghamshire Year5_ReferralSource_Police)</f>
        <v>2910</v>
      </c>
      <c r="AW11" s="567">
        <f>IF(Year5_Buckinghamshire Year5_ReferralSource_Other_Legal="","",Year5_Buckinghamshire Year5_ReferralSource_Other_Legal)</f>
        <v>222</v>
      </c>
      <c r="AX11" s="567">
        <f>IF(Year5_Buckinghamshire Year5_ReferralSource_Other="","",Year5_Buckinghamshire Year5_ReferralSource_Other)</f>
        <v>399</v>
      </c>
      <c r="AY11" s="567">
        <f>IF(Year5_Buckinghamshire Year5_ReferralSource_Anonymous="","",Year5_Buckinghamshire Year5_ReferralSource_Anonymous)</f>
        <v>154</v>
      </c>
      <c r="AZ11" s="568" t="str">
        <f>IF(Year5_Buckinghamshire Year5_ReferralSource_Unknown="","",Year5_Buckinghamshire Year5_ReferralSource_Unknown)</f>
        <v>c</v>
      </c>
      <c r="BA11" s="56">
        <f t="shared" si="14"/>
        <v>8314</v>
      </c>
      <c r="BB11" s="87">
        <f>IF(BA11&gt;0,Population!H12,0)</f>
        <v>125700</v>
      </c>
      <c r="BC11" s="146">
        <f t="shared" si="15"/>
        <v>661.41607000795545</v>
      </c>
    </row>
    <row r="12" spans="1:55" s="87" customFormat="1" ht="13.5" hidden="1" customHeight="1" x14ac:dyDescent="0.2">
      <c r="A12" s="488">
        <f>VLOOKUP(B12,Sheet1!$AQ$4:$AR$25,2,FALSE)</f>
        <v>0</v>
      </c>
      <c r="B12" s="93" t="str">
        <f>Sheet1!$K$7</f>
        <v>East Sussex</v>
      </c>
      <c r="C12" s="85"/>
      <c r="D12" s="234">
        <f t="shared" si="0"/>
        <v>9.3112550995920316</v>
      </c>
      <c r="E12" s="234"/>
      <c r="F12" s="234"/>
      <c r="G12" s="234"/>
      <c r="H12" s="234">
        <f t="shared" si="1"/>
        <v>14.326853851691865</v>
      </c>
      <c r="I12" s="234">
        <f t="shared" si="2"/>
        <v>2.4718022558195343</v>
      </c>
      <c r="J12" s="234">
        <f t="shared" si="3"/>
        <v>11.159107271418286</v>
      </c>
      <c r="K12" s="234"/>
      <c r="L12" s="234"/>
      <c r="M12" s="234"/>
      <c r="N12" s="234"/>
      <c r="O12" s="234"/>
      <c r="P12" s="234">
        <f t="shared" si="4"/>
        <v>1.3678905687544995</v>
      </c>
      <c r="Q12" s="234">
        <f t="shared" si="5"/>
        <v>19.462443004559635</v>
      </c>
      <c r="R12" s="234"/>
      <c r="S12" s="234"/>
      <c r="T12" s="234">
        <f t="shared" si="6"/>
        <v>26.661867050635951</v>
      </c>
      <c r="U12" s="234">
        <f t="shared" si="7"/>
        <v>4.6556275497960158</v>
      </c>
      <c r="V12" s="234">
        <f t="shared" si="8"/>
        <v>6.5754739620830343</v>
      </c>
      <c r="W12" s="234">
        <f t="shared" si="9"/>
        <v>2.2798176145908329</v>
      </c>
      <c r="X12" s="408">
        <f t="shared" si="10"/>
        <v>1.7278617710583155</v>
      </c>
      <c r="Y12" s="122"/>
      <c r="Z12" s="139"/>
      <c r="AA12" s="193"/>
      <c r="AB12" s="47" t="str">
        <f t="shared" si="11"/>
        <v>East Sussex</v>
      </c>
      <c r="AC12" s="46">
        <v>4</v>
      </c>
      <c r="AD12" s="47" t="str">
        <f t="shared" si="12"/>
        <v>East SussexNumber</v>
      </c>
      <c r="AE12" s="48" t="b">
        <f t="shared" si="13"/>
        <v>0</v>
      </c>
      <c r="AF12" s="649">
        <f>IF(Year5_East_Sussex Year5_ReferralSource_Individual_Family="","",Year5_East_Sussex Year5_ReferralSource_Individual_Family)</f>
        <v>388</v>
      </c>
      <c r="AG12" s="569" t="str">
        <f>IF(Year5_East_Sussex Year5_ReferralSource_Individual_Acquaintance="","",Year5_East_Sussex Year5_ReferralSource_Individual_Acquaintance)</f>
        <v/>
      </c>
      <c r="AH12" s="569" t="str">
        <f>IF(Year5_East_Sussex Year5_ReferralSource_Individual_Self="","",Year5_East_Sussex Year5_ReferralSource_Individual_Self)</f>
        <v/>
      </c>
      <c r="AI12" s="569" t="str">
        <f>IF(Year5_East_Sussex Year5_ReferralSource_Individual_Other="","",Year5_East_Sussex Year5_ReferralSource_Individual_Other)</f>
        <v/>
      </c>
      <c r="AJ12" s="569">
        <f>IF(Year5_East_Sussex Year5_ReferralSource_School="","",Year5_East_Sussex Year5_ReferralSource_School)</f>
        <v>597</v>
      </c>
      <c r="AK12" s="569">
        <f>IF(Year5_East_Sussex Year5_ReferralSource_EducationServices="","",Year5_East_Sussex Year5_ReferralSource_EducationServices)</f>
        <v>103</v>
      </c>
      <c r="AL12" s="569">
        <f>IF(Year5_East_Sussex Year5_ReferralSource_Health_services_GP="","",Year5_East_Sussex Year5_ReferralSource_Health_services_GP)</f>
        <v>465</v>
      </c>
      <c r="AM12" s="569" t="str">
        <f>IF(Year5_East_Sussex Year5_ReferralSource_Health_services_HealthVisitor="","",Year5_East_Sussex Year5_ReferralSource_Health_services_HealthVisitor)</f>
        <v/>
      </c>
      <c r="AN12" s="569" t="str">
        <f>IF(Year5_East_Sussex Year5_ReferralSource_Health_services_SchoolNurse="","",Year5_East_Sussex Year5_ReferralSource_Health_services_SchoolNurse)</f>
        <v/>
      </c>
      <c r="AO12" s="569" t="str">
        <f>IF(Year5_East_Sussex Year5_ReferralSource_Health_services_OthPrimary="","",Year5_East_Sussex Year5_ReferralSource_Health_services_OthPrimary)</f>
        <v/>
      </c>
      <c r="AP12" s="569" t="str">
        <f>IF(Year5_East_Sussex Year5_ReferralSource_Health_services_AE="","",Year5_East_Sussex Year5_ReferralSource_Health_services_AE)</f>
        <v/>
      </c>
      <c r="AQ12" s="569" t="str">
        <f>IF(Year5_East_Sussex Year5_ReferralSource_Health_services_Other="","",Year5_East_Sussex Year5_ReferralSource_Health_services_Other)</f>
        <v/>
      </c>
      <c r="AR12" s="569">
        <f>IF(Year5_East_Sussex Year5_ReferralSource_Housing="","",Year5_East_Sussex Year5_ReferralSource_Housing)</f>
        <v>57</v>
      </c>
      <c r="AS12" s="569">
        <f>IF(Year5_East_Sussex Year5_ReferralSource_LA_SC="","",Year5_East_Sussex Year5_ReferralSource_LA_SC)</f>
        <v>811</v>
      </c>
      <c r="AT12" s="569" t="str">
        <f>IF(Year5_East_Sussex Year5_ReferralSource_LA_Other="","",Year5_East_Sussex Year5_ReferralSource_LA_Other)</f>
        <v/>
      </c>
      <c r="AU12" s="569" t="str">
        <f>IF(Year5_East_Sussex Year5_ReferralSource_LA_External="","",Year5_East_Sussex Year5_ReferralSource_LA_External)</f>
        <v/>
      </c>
      <c r="AV12" s="569">
        <f>IF(Year5_East_Sussex Year5_ReferralSource_Police="","",Year5_East_Sussex Year5_ReferralSource_Police)</f>
        <v>1111</v>
      </c>
      <c r="AW12" s="569">
        <f>IF(Year5_East_Sussex Year5_ReferralSource_Other_Legal="","",Year5_East_Sussex Year5_ReferralSource_Other_Legal)</f>
        <v>194</v>
      </c>
      <c r="AX12" s="569">
        <f>IF(Year5_East_Sussex Year5_ReferralSource_Other="","",Year5_East_Sussex Year5_ReferralSource_Other)</f>
        <v>274</v>
      </c>
      <c r="AY12" s="569">
        <f>IF(Year5_East_Sussex Year5_ReferralSource_Anonymous="","",Year5_East_Sussex Year5_ReferralSource_Anonymous)</f>
        <v>95</v>
      </c>
      <c r="AZ12" s="569">
        <f>IF(Year5_East_Sussex Year5_ReferralSource_Unknown="","",Year5_East_Sussex Year5_ReferralSource_Unknown)</f>
        <v>72</v>
      </c>
      <c r="BA12" s="56">
        <f t="shared" si="14"/>
        <v>4167</v>
      </c>
      <c r="BB12" s="87">
        <f>IF(BA12&gt;0,Population!H13,0)</f>
        <v>106300</v>
      </c>
      <c r="BC12" s="146">
        <f t="shared" si="15"/>
        <v>392.00376293508936</v>
      </c>
    </row>
    <row r="13" spans="1:55" s="87" customFormat="1" ht="13.5" hidden="1" customHeight="1" x14ac:dyDescent="0.2">
      <c r="A13" s="488">
        <f>VLOOKUP(B13,Sheet1!$AQ$4:$AR$25,2,FALSE)</f>
        <v>0</v>
      </c>
      <c r="B13" s="93" t="str">
        <f>Sheet1!$K$8</f>
        <v>Hampshire</v>
      </c>
      <c r="C13" s="85"/>
      <c r="D13" s="234">
        <f t="shared" si="0"/>
        <v>11.389713155291791</v>
      </c>
      <c r="E13" s="234"/>
      <c r="F13" s="234"/>
      <c r="G13" s="234"/>
      <c r="H13" s="234">
        <f t="shared" si="1"/>
        <v>24.762611275964392</v>
      </c>
      <c r="I13" s="234">
        <f t="shared" si="2"/>
        <v>0</v>
      </c>
      <c r="J13" s="234">
        <f t="shared" si="3"/>
        <v>18.081107814045499</v>
      </c>
      <c r="K13" s="234"/>
      <c r="L13" s="234"/>
      <c r="M13" s="234"/>
      <c r="N13" s="234"/>
      <c r="O13" s="234"/>
      <c r="P13" s="234">
        <f t="shared" si="4"/>
        <v>1.2265084075173096</v>
      </c>
      <c r="Q13" s="234">
        <f t="shared" si="5"/>
        <v>7.9129574678536096</v>
      </c>
      <c r="R13" s="234"/>
      <c r="S13" s="234"/>
      <c r="T13" s="234">
        <f t="shared" si="6"/>
        <v>22.675568743818005</v>
      </c>
      <c r="U13" s="234">
        <f t="shared" si="7"/>
        <v>3.4421364985163203</v>
      </c>
      <c r="V13" s="234">
        <f t="shared" si="8"/>
        <v>6.2413452027695353</v>
      </c>
      <c r="W13" s="234">
        <f t="shared" si="9"/>
        <v>2.6261127596439167</v>
      </c>
      <c r="X13" s="408">
        <f t="shared" si="10"/>
        <v>1.6419386745796243</v>
      </c>
      <c r="Y13" s="122"/>
      <c r="Z13" s="139"/>
      <c r="AA13" s="193"/>
      <c r="AB13" s="47" t="str">
        <f t="shared" si="11"/>
        <v>Hampshire</v>
      </c>
      <c r="AC13" s="46">
        <v>5</v>
      </c>
      <c r="AD13" s="47" t="str">
        <f t="shared" si="12"/>
        <v>HampshireNumber</v>
      </c>
      <c r="AE13" s="48" t="b">
        <f t="shared" si="13"/>
        <v>0</v>
      </c>
      <c r="AF13" s="566">
        <f>IF(Year5_Hampshire Year5_ReferralSource_Individual_Family="","",Year5_Hampshire Year5_ReferralSource_Individual_Family)</f>
        <v>2303</v>
      </c>
      <c r="AG13" s="567" t="str">
        <f>IF(Year5_Hampshire Year5_ReferralSource_Individual_Acquaintance="","",Year5_Hampshire Year5_ReferralSource_Individual_Acquaintance)</f>
        <v/>
      </c>
      <c r="AH13" s="567" t="str">
        <f>IF(Year5_Hampshire Year5_ReferralSource_Individual_Self="","",Year5_Hampshire Year5_ReferralSource_Individual_Self)</f>
        <v/>
      </c>
      <c r="AI13" s="567" t="str">
        <f>IF(Year5_Hampshire Year5_ReferralSource_Individual_Other="","",Year5_Hampshire Year5_ReferralSource_Individual_Other)</f>
        <v/>
      </c>
      <c r="AJ13" s="567">
        <f>IF(Year5_Hampshire Year5_ReferralSource_School="","",Year5_Hampshire Year5_ReferralSource_School)</f>
        <v>5007</v>
      </c>
      <c r="AK13" s="567">
        <f>IF(Year5_Hampshire Year5_ReferralSource_EducationServices="","",Year5_Hampshire Year5_ReferralSource_EducationServices)</f>
        <v>0</v>
      </c>
      <c r="AL13" s="567">
        <f>IF(Year5_Hampshire Year5_ReferralSource_Health_services_GP="","",Year5_Hampshire Year5_ReferralSource_Health_services_GP)</f>
        <v>3656</v>
      </c>
      <c r="AM13" s="567" t="str">
        <f>IF(Year5_Hampshire Year5_ReferralSource_Health_services_HealthVisitor="","",Year5_Hampshire Year5_ReferralSource_Health_services_HealthVisitor)</f>
        <v/>
      </c>
      <c r="AN13" s="567" t="str">
        <f>IF(Year5_Hampshire Year5_ReferralSource_Health_services_SchoolNurse="","",Year5_Hampshire Year5_ReferralSource_Health_services_SchoolNurse)</f>
        <v/>
      </c>
      <c r="AO13" s="567" t="str">
        <f>IF(Year5_Hampshire Year5_ReferralSource_Health_services_OthPrimary="","",Year5_Hampshire Year5_ReferralSource_Health_services_OthPrimary)</f>
        <v/>
      </c>
      <c r="AP13" s="567" t="str">
        <f>IF(Year5_Hampshire Year5_ReferralSource_Health_services_AE="","",Year5_Hampshire Year5_ReferralSource_Health_services_AE)</f>
        <v/>
      </c>
      <c r="AQ13" s="567" t="str">
        <f>IF(Year5_Hampshire Year5_ReferralSource_Health_services_Other="","",Year5_Hampshire Year5_ReferralSource_Health_services_Other)</f>
        <v/>
      </c>
      <c r="AR13" s="567">
        <f>IF(Year5_Hampshire Year5_ReferralSource_Housing="","",Year5_Hampshire Year5_ReferralSource_Housing)</f>
        <v>248</v>
      </c>
      <c r="AS13" s="567">
        <f>IF(Year5_Hampshire Year5_ReferralSource_LA_SC="","",Year5_Hampshire Year5_ReferralSource_LA_SC)</f>
        <v>1600</v>
      </c>
      <c r="AT13" s="567" t="str">
        <f>IF(Year5_Hampshire Year5_ReferralSource_LA_Other="","",Year5_Hampshire Year5_ReferralSource_LA_Other)</f>
        <v/>
      </c>
      <c r="AU13" s="567" t="str">
        <f>IF(Year5_Hampshire Year5_ReferralSource_LA_External="","",Year5_Hampshire Year5_ReferralSource_LA_External)</f>
        <v/>
      </c>
      <c r="AV13" s="567">
        <f>IF(Year5_Hampshire Year5_ReferralSource_Police="","",Year5_Hampshire Year5_ReferralSource_Police)</f>
        <v>4585</v>
      </c>
      <c r="AW13" s="567">
        <f>IF(Year5_Hampshire Year5_ReferralSource_Other_Legal="","",Year5_Hampshire Year5_ReferralSource_Other_Legal)</f>
        <v>696</v>
      </c>
      <c r="AX13" s="567">
        <f>IF(Year5_Hampshire Year5_ReferralSource_Other="","",Year5_Hampshire Year5_ReferralSource_Other)</f>
        <v>1262</v>
      </c>
      <c r="AY13" s="567">
        <f>IF(Year5_Hampshire Year5_ReferralSource_Anonymous="","",Year5_Hampshire Year5_ReferralSource_Anonymous)</f>
        <v>531</v>
      </c>
      <c r="AZ13" s="568">
        <f>IF(Year5_Hampshire Year5_ReferralSource_Unknown="","",Year5_Hampshire Year5_ReferralSource_Unknown)</f>
        <v>332</v>
      </c>
      <c r="BA13" s="56">
        <f t="shared" si="14"/>
        <v>20220</v>
      </c>
      <c r="BB13" s="87">
        <f>IF(BA13&gt;0,Population!H14,0)</f>
        <v>284300</v>
      </c>
      <c r="BC13" s="146">
        <f t="shared" si="15"/>
        <v>711.22054168132252</v>
      </c>
    </row>
    <row r="14" spans="1:55" s="87" customFormat="1" ht="13.5" hidden="1" customHeight="1" x14ac:dyDescent="0.2">
      <c r="A14" s="488">
        <f>VLOOKUP(B14,Sheet1!$AQ$4:$AR$25,2,FALSE)</f>
        <v>0</v>
      </c>
      <c r="B14" s="93" t="str">
        <f>Sheet1!$K$9</f>
        <v>Isle of Wight</v>
      </c>
      <c r="C14" s="85"/>
      <c r="D14" s="234">
        <f t="shared" si="0"/>
        <v>11.535580524344569</v>
      </c>
      <c r="E14" s="234"/>
      <c r="F14" s="234"/>
      <c r="G14" s="234"/>
      <c r="H14" s="234">
        <f t="shared" si="1"/>
        <v>26.591760299625467</v>
      </c>
      <c r="I14" s="234">
        <f t="shared" si="2"/>
        <v>0.29962546816479402</v>
      </c>
      <c r="J14" s="234">
        <f t="shared" si="3"/>
        <v>13.745318352059927</v>
      </c>
      <c r="K14" s="234"/>
      <c r="L14" s="234"/>
      <c r="M14" s="234"/>
      <c r="N14" s="234"/>
      <c r="O14" s="234"/>
      <c r="P14" s="234">
        <f t="shared" si="4"/>
        <v>1.5355805243445693</v>
      </c>
      <c r="Q14" s="234">
        <f t="shared" si="5"/>
        <v>9.4756554307116101</v>
      </c>
      <c r="R14" s="234"/>
      <c r="S14" s="234"/>
      <c r="T14" s="234">
        <f t="shared" si="6"/>
        <v>19.438202247191011</v>
      </c>
      <c r="U14" s="234">
        <f t="shared" si="7"/>
        <v>2.6217228464419478</v>
      </c>
      <c r="V14" s="234">
        <f t="shared" si="8"/>
        <v>12.95880149812734</v>
      </c>
      <c r="W14" s="234">
        <f t="shared" si="9"/>
        <v>0</v>
      </c>
      <c r="X14" s="408">
        <f t="shared" si="10"/>
        <v>1.7977528089887642</v>
      </c>
      <c r="Y14" s="122"/>
      <c r="Z14" s="139"/>
      <c r="AA14" s="193"/>
      <c r="AB14" s="47" t="str">
        <f t="shared" si="11"/>
        <v>Isle of Wight</v>
      </c>
      <c r="AC14" s="46">
        <v>6</v>
      </c>
      <c r="AD14" s="47" t="str">
        <f t="shared" si="12"/>
        <v>Isle of WightNumber</v>
      </c>
      <c r="AE14" s="48" t="b">
        <f t="shared" si="13"/>
        <v>0</v>
      </c>
      <c r="AF14" s="566">
        <f>IF(Year5_Isle_of_Wight Year5_ReferralSource_Individual_Family="","",Year5_Isle_of_Wight Year5_ReferralSource_Individual_Family)</f>
        <v>308</v>
      </c>
      <c r="AG14" s="567" t="str">
        <f>IF(Year5_Isle_of_Wight Year5_ReferralSource_Individual_Acquaintance="","",Year5_Isle_of_Wight Year5_ReferralSource_Individual_Acquaintance)</f>
        <v/>
      </c>
      <c r="AH14" s="567" t="str">
        <f>IF(Year5_Isle_of_Wight Year5_ReferralSource_Individual_Self="","",Year5_Isle_of_Wight Year5_ReferralSource_Individual_Self)</f>
        <v/>
      </c>
      <c r="AI14" s="567" t="str">
        <f>IF(Year5_Isle_of_Wight Year5_ReferralSource_Individual_Other="","",Year5_Isle_of_Wight Year5_ReferralSource_Individual_Other)</f>
        <v/>
      </c>
      <c r="AJ14" s="567">
        <f>IF(Year5_Isle_of_Wight Year5_ReferralSource_School="","",Year5_Isle_of_Wight Year5_ReferralSource_School)</f>
        <v>710</v>
      </c>
      <c r="AK14" s="567">
        <f>IF(Year5_Isle_of_Wight Year5_ReferralSource_EducationServices="","",Year5_Isle_of_Wight Year5_ReferralSource_EducationServices)</f>
        <v>8</v>
      </c>
      <c r="AL14" s="567">
        <f>IF(Year5_Isle_of_Wight Year5_ReferralSource_Health_services_GP="","",Year5_Isle_of_Wight Year5_ReferralSource_Health_services_GP)</f>
        <v>367</v>
      </c>
      <c r="AM14" s="567" t="str">
        <f>IF(Year5_Isle_of_Wight Year5_ReferralSource_Health_services_HealthVisitor="","",Year5_Isle_of_Wight Year5_ReferralSource_Health_services_HealthVisitor)</f>
        <v/>
      </c>
      <c r="AN14" s="567" t="str">
        <f>IF(Year5_Isle_of_Wight Year5_ReferralSource_Health_services_SchoolNurse="","",Year5_Isle_of_Wight Year5_ReferralSource_Health_services_SchoolNurse)</f>
        <v/>
      </c>
      <c r="AO14" s="567" t="str">
        <f>IF(Year5_Isle_of_Wight Year5_ReferralSource_Health_services_OthPrimary="","",Year5_Isle_of_Wight Year5_ReferralSource_Health_services_OthPrimary)</f>
        <v/>
      </c>
      <c r="AP14" s="567" t="str">
        <f>IF(Year5_Isle_of_Wight Year5_ReferralSource_Health_services_AE="","",Year5_Isle_of_Wight Year5_ReferralSource_Health_services_AE)</f>
        <v/>
      </c>
      <c r="AQ14" s="567" t="str">
        <f>IF(Year5_Isle_of_Wight Year5_ReferralSource_Health_services_Other="","",Year5_Isle_of_Wight Year5_ReferralSource_Health_services_Other)</f>
        <v/>
      </c>
      <c r="AR14" s="567">
        <f>IF(Year5_Isle_of_Wight Year5_ReferralSource_Housing="","",Year5_Isle_of_Wight Year5_ReferralSource_Housing)</f>
        <v>41</v>
      </c>
      <c r="AS14" s="567">
        <f>IF(Year5_Isle_of_Wight Year5_ReferralSource_LA_SC="","",Year5_Isle_of_Wight Year5_ReferralSource_LA_SC)</f>
        <v>253</v>
      </c>
      <c r="AT14" s="567" t="str">
        <f>IF(Year5_Isle_of_Wight Year5_ReferralSource_LA_Other="","",Year5_Isle_of_Wight Year5_ReferralSource_LA_Other)</f>
        <v/>
      </c>
      <c r="AU14" s="567" t="str">
        <f>IF(Year5_Isle_of_Wight Year5_ReferralSource_LA_External="","",Year5_Isle_of_Wight Year5_ReferralSource_LA_External)</f>
        <v/>
      </c>
      <c r="AV14" s="567">
        <f>IF(Year5_Isle_of_Wight Year5_ReferralSource_Police="","",Year5_Isle_of_Wight Year5_ReferralSource_Police)</f>
        <v>519</v>
      </c>
      <c r="AW14" s="567">
        <f>IF(Year5_Isle_of_Wight Year5_ReferralSource_Other_Legal="","",Year5_Isle_of_Wight Year5_ReferralSource_Other_Legal)</f>
        <v>70</v>
      </c>
      <c r="AX14" s="567">
        <f>IF(Year5_Isle_of_Wight Year5_ReferralSource_Other="","",Year5_Isle_of_Wight Year5_ReferralSource_Other)</f>
        <v>346</v>
      </c>
      <c r="AY14" s="567">
        <f>IF(Year5_Isle_of_Wight Year5_ReferralSource_Anonymous="","",Year5_Isle_of_Wight Year5_ReferralSource_Anonymous)</f>
        <v>0</v>
      </c>
      <c r="AZ14" s="568">
        <f>IF(Year5_Isle_of_Wight Year5_ReferralSource_Unknown="","",Year5_Isle_of_Wight Year5_ReferralSource_Unknown)</f>
        <v>48</v>
      </c>
      <c r="BA14" s="56">
        <f t="shared" si="14"/>
        <v>2670</v>
      </c>
      <c r="BB14" s="87">
        <f>IF(BA14&gt;0,Population!H15,0)</f>
        <v>24700</v>
      </c>
      <c r="BC14" s="146">
        <f t="shared" si="15"/>
        <v>1080.9716599190283</v>
      </c>
    </row>
    <row r="15" spans="1:55" s="87" customFormat="1" ht="13.5" hidden="1" customHeight="1" x14ac:dyDescent="0.2">
      <c r="A15" s="488">
        <f>VLOOKUP(B15,Sheet1!$AQ$4:$AR$25,2,FALSE)</f>
        <v>0</v>
      </c>
      <c r="B15" s="93" t="str">
        <f>Sheet1!$K$10</f>
        <v>Kent</v>
      </c>
      <c r="C15" s="85"/>
      <c r="D15" s="234">
        <f t="shared" si="0"/>
        <v>7.5350127522484227</v>
      </c>
      <c r="E15" s="234"/>
      <c r="F15" s="234"/>
      <c r="G15" s="234"/>
      <c r="H15" s="234">
        <f t="shared" si="1"/>
        <v>19.244708935522841</v>
      </c>
      <c r="I15" s="234">
        <f t="shared" si="2"/>
        <v>0.34453443107074144</v>
      </c>
      <c r="J15" s="234">
        <f t="shared" si="3"/>
        <v>13.21759362835026</v>
      </c>
      <c r="K15" s="234"/>
      <c r="L15" s="234"/>
      <c r="M15" s="234"/>
      <c r="N15" s="234"/>
      <c r="O15" s="234"/>
      <c r="P15" s="234">
        <f t="shared" si="4"/>
        <v>2.0090384357241935</v>
      </c>
      <c r="Q15" s="234">
        <f t="shared" si="5"/>
        <v>12.107924291914628</v>
      </c>
      <c r="R15" s="234"/>
      <c r="S15" s="234"/>
      <c r="T15" s="234">
        <f t="shared" si="6"/>
        <v>33.24533536176115</v>
      </c>
      <c r="U15" s="234">
        <f t="shared" si="7"/>
        <v>5.4946530046087076</v>
      </c>
      <c r="V15" s="234">
        <f t="shared" si="8"/>
        <v>3.1902993422524499</v>
      </c>
      <c r="W15" s="234">
        <f t="shared" si="9"/>
        <v>1.4094590361984878</v>
      </c>
      <c r="X15" s="408">
        <f t="shared" si="10"/>
        <v>2.201440780348114</v>
      </c>
      <c r="Y15" s="122"/>
      <c r="Z15" s="139"/>
      <c r="AA15" s="193"/>
      <c r="AB15" s="47" t="str">
        <f t="shared" si="11"/>
        <v>Kent</v>
      </c>
      <c r="AC15" s="46">
        <v>7</v>
      </c>
      <c r="AD15" s="47" t="str">
        <f t="shared" si="12"/>
        <v>KentNumber</v>
      </c>
      <c r="AE15" s="48" t="b">
        <f t="shared" si="13"/>
        <v>0</v>
      </c>
      <c r="AF15" s="566">
        <f>IF(Year5_Kent Year5_ReferralSource_Individual_Family="","",Year5_Kent Year5_ReferralSource_Individual_Family)</f>
        <v>1684</v>
      </c>
      <c r="AG15" s="567" t="str">
        <f>IF(Year5_Kent Year5_ReferralSource_Individual_Acquaintance="","",Year5_Kent Year5_ReferralSource_Individual_Acquaintance)</f>
        <v/>
      </c>
      <c r="AH15" s="567" t="str">
        <f>IF(Year5_Kent Year5_ReferralSource_Individual_Self="","",Year5_Kent Year5_ReferralSource_Individual_Self)</f>
        <v/>
      </c>
      <c r="AI15" s="567" t="str">
        <f>IF(Year5_Kent Year5_ReferralSource_Individual_Other="","",Year5_Kent Year5_ReferralSource_Individual_Other)</f>
        <v/>
      </c>
      <c r="AJ15" s="567">
        <f>IF(Year5_Kent Year5_ReferralSource_School="","",Year5_Kent Year5_ReferralSource_School)</f>
        <v>4301</v>
      </c>
      <c r="AK15" s="567">
        <f>IF(Year5_Kent Year5_ReferralSource_EducationServices="","",Year5_Kent Year5_ReferralSource_EducationServices)</f>
        <v>77</v>
      </c>
      <c r="AL15" s="567">
        <f>IF(Year5_Kent Year5_ReferralSource_Health_services_GP="","",Year5_Kent Year5_ReferralSource_Health_services_GP)</f>
        <v>2954</v>
      </c>
      <c r="AM15" s="567" t="str">
        <f>IF(Year5_Kent Year5_ReferralSource_Health_services_HealthVisitor="","",Year5_Kent Year5_ReferralSource_Health_services_HealthVisitor)</f>
        <v/>
      </c>
      <c r="AN15" s="567" t="str">
        <f>IF(Year5_Kent Year5_ReferralSource_Health_services_SchoolNurse="","",Year5_Kent Year5_ReferralSource_Health_services_SchoolNurse)</f>
        <v/>
      </c>
      <c r="AO15" s="567" t="str">
        <f>IF(Year5_Kent Year5_ReferralSource_Health_services_OthPrimary="","",Year5_Kent Year5_ReferralSource_Health_services_OthPrimary)</f>
        <v/>
      </c>
      <c r="AP15" s="567" t="str">
        <f>IF(Year5_Kent Year5_ReferralSource_Health_services_AE="","",Year5_Kent Year5_ReferralSource_Health_services_AE)</f>
        <v/>
      </c>
      <c r="AQ15" s="567" t="str">
        <f>IF(Year5_Kent Year5_ReferralSource_Health_services_Other="","",Year5_Kent Year5_ReferralSource_Health_services_Other)</f>
        <v/>
      </c>
      <c r="AR15" s="567">
        <f>IF(Year5_Kent Year5_ReferralSource_Housing="","",Year5_Kent Year5_ReferralSource_Housing)</f>
        <v>449</v>
      </c>
      <c r="AS15" s="567">
        <f>IF(Year5_Kent Year5_ReferralSource_LA_SC="","",Year5_Kent Year5_ReferralSource_LA_SC)</f>
        <v>2706</v>
      </c>
      <c r="AT15" s="567" t="str">
        <f>IF(Year5_Kent Year5_ReferralSource_LA_Other="","",Year5_Kent Year5_ReferralSource_LA_Other)</f>
        <v/>
      </c>
      <c r="AU15" s="567" t="str">
        <f>IF(Year5_Kent Year5_ReferralSource_LA_External="","",Year5_Kent Year5_ReferralSource_LA_External)</f>
        <v/>
      </c>
      <c r="AV15" s="567">
        <f>IF(Year5_Kent Year5_ReferralSource_Police="","",Year5_Kent Year5_ReferralSource_Police)</f>
        <v>7430</v>
      </c>
      <c r="AW15" s="567">
        <f>IF(Year5_Kent Year5_ReferralSource_Other_Legal="","",Year5_Kent Year5_ReferralSource_Other_Legal)</f>
        <v>1228</v>
      </c>
      <c r="AX15" s="567">
        <f>IF(Year5_Kent Year5_ReferralSource_Other="","",Year5_Kent Year5_ReferralSource_Other)</f>
        <v>713</v>
      </c>
      <c r="AY15" s="567">
        <f>IF(Year5_Kent Year5_ReferralSource_Anonymous="","",Year5_Kent Year5_ReferralSource_Anonymous)</f>
        <v>315</v>
      </c>
      <c r="AZ15" s="568">
        <f>IF(Year5_Kent Year5_ReferralSource_Unknown="","",Year5_Kent Year5_ReferralSource_Unknown)</f>
        <v>492</v>
      </c>
      <c r="BA15" s="56">
        <f t="shared" si="14"/>
        <v>22349</v>
      </c>
      <c r="BB15" s="87">
        <f>IF(BA15&gt;0,Population!H16,0)</f>
        <v>343800</v>
      </c>
      <c r="BC15" s="146">
        <f t="shared" si="15"/>
        <v>650.05817335660277</v>
      </c>
    </row>
    <row r="16" spans="1:55" s="87" customFormat="1" ht="13.5" hidden="1" customHeight="1" x14ac:dyDescent="0.2">
      <c r="A16" s="488">
        <f>VLOOKUP(B16,Sheet1!$AQ$4:$AR$25,2,FALSE)</f>
        <v>0</v>
      </c>
      <c r="B16" s="93" t="str">
        <f>Sheet1!$K$11</f>
        <v>Medway</v>
      </c>
      <c r="C16" s="85"/>
      <c r="D16" s="234">
        <f t="shared" si="0"/>
        <v>9.0538336052202286</v>
      </c>
      <c r="E16" s="234"/>
      <c r="F16" s="234"/>
      <c r="G16" s="234"/>
      <c r="H16" s="234">
        <f t="shared" si="1"/>
        <v>23.674551386623165</v>
      </c>
      <c r="I16" s="234">
        <f t="shared" si="2"/>
        <v>0.4486133768352365</v>
      </c>
      <c r="J16" s="234">
        <f t="shared" si="3"/>
        <v>9.2577487765089721</v>
      </c>
      <c r="K16" s="234"/>
      <c r="L16" s="234"/>
      <c r="M16" s="234"/>
      <c r="N16" s="234"/>
      <c r="O16" s="234"/>
      <c r="P16" s="234">
        <f t="shared" si="4"/>
        <v>1.5293637846655792</v>
      </c>
      <c r="Q16" s="234">
        <f t="shared" si="5"/>
        <v>12.663132137030994</v>
      </c>
      <c r="R16" s="234"/>
      <c r="S16" s="234"/>
      <c r="T16" s="234">
        <f t="shared" si="6"/>
        <v>34.665579119086459</v>
      </c>
      <c r="U16" s="234">
        <f t="shared" si="7"/>
        <v>2.6508972267536701</v>
      </c>
      <c r="V16" s="234">
        <f t="shared" si="8"/>
        <v>4.0579119086460027</v>
      </c>
      <c r="W16" s="234">
        <f t="shared" si="9"/>
        <v>1.7740619902120718</v>
      </c>
      <c r="X16" s="408">
        <f t="shared" si="10"/>
        <v>0.22430668841761825</v>
      </c>
      <c r="Y16" s="122"/>
      <c r="Z16" s="139"/>
      <c r="AA16" s="193"/>
      <c r="AB16" s="47" t="str">
        <f t="shared" si="11"/>
        <v>Medway</v>
      </c>
      <c r="AC16" s="46">
        <v>8</v>
      </c>
      <c r="AD16" s="47" t="str">
        <f t="shared" si="12"/>
        <v>MedwayNumber</v>
      </c>
      <c r="AE16" s="48" t="b">
        <f t="shared" si="13"/>
        <v>0</v>
      </c>
      <c r="AF16" s="566">
        <f>IF(Year5_Medway Year5_ReferralSource_Individual_Family="","",Year5_Medway Year5_ReferralSource_Individual_Family)</f>
        <v>444</v>
      </c>
      <c r="AG16" s="567" t="str">
        <f>IF(Year5_Medway Year5_ReferralSource_Individual_Acquaintance="","",Year5_Medway Year5_ReferralSource_Individual_Acquaintance)</f>
        <v/>
      </c>
      <c r="AH16" s="567" t="str">
        <f>IF(Year5_Medway Year5_ReferralSource_Individual_Self="","",Year5_Medway Year5_ReferralSource_Individual_Self)</f>
        <v/>
      </c>
      <c r="AI16" s="567" t="str">
        <f>IF(Year5_Medway Year5_ReferralSource_Individual_Other="","",Year5_Medway Year5_ReferralSource_Individual_Other)</f>
        <v/>
      </c>
      <c r="AJ16" s="567">
        <f>IF(Year5_Medway Year5_ReferralSource_School="","",Year5_Medway Year5_ReferralSource_School)</f>
        <v>1161</v>
      </c>
      <c r="AK16" s="567">
        <f>IF(Year5_Medway Year5_ReferralSource_EducationServices="","",Year5_Medway Year5_ReferralSource_EducationServices)</f>
        <v>22</v>
      </c>
      <c r="AL16" s="567">
        <f>IF(Year5_Medway Year5_ReferralSource_Health_services_GP="","",Year5_Medway Year5_ReferralSource_Health_services_GP)</f>
        <v>454</v>
      </c>
      <c r="AM16" s="567" t="str">
        <f>IF(Year5_Medway Year5_ReferralSource_Health_services_HealthVisitor="","",Year5_Medway Year5_ReferralSource_Health_services_HealthVisitor)</f>
        <v/>
      </c>
      <c r="AN16" s="567" t="str">
        <f>IF(Year5_Medway Year5_ReferralSource_Health_services_SchoolNurse="","",Year5_Medway Year5_ReferralSource_Health_services_SchoolNurse)</f>
        <v/>
      </c>
      <c r="AO16" s="567" t="str">
        <f>IF(Year5_Medway Year5_ReferralSource_Health_services_OthPrimary="","",Year5_Medway Year5_ReferralSource_Health_services_OthPrimary)</f>
        <v/>
      </c>
      <c r="AP16" s="567" t="str">
        <f>IF(Year5_Medway Year5_ReferralSource_Health_services_AE="","",Year5_Medway Year5_ReferralSource_Health_services_AE)</f>
        <v/>
      </c>
      <c r="AQ16" s="567" t="str">
        <f>IF(Year5_Medway Year5_ReferralSource_Health_services_Other="","",Year5_Medway Year5_ReferralSource_Health_services_Other)</f>
        <v/>
      </c>
      <c r="AR16" s="567">
        <f>IF(Year5_Medway Year5_ReferralSource_Housing="","",Year5_Medway Year5_ReferralSource_Housing)</f>
        <v>75</v>
      </c>
      <c r="AS16" s="567">
        <f>IF(Year5_Medway Year5_ReferralSource_LA_SC="","",Year5_Medway Year5_ReferralSource_LA_SC)</f>
        <v>621</v>
      </c>
      <c r="AT16" s="567" t="str">
        <f>IF(Year5_Medway Year5_ReferralSource_LA_Other="","",Year5_Medway Year5_ReferralSource_LA_Other)</f>
        <v/>
      </c>
      <c r="AU16" s="567" t="str">
        <f>IF(Year5_Medway Year5_ReferralSource_LA_External="","",Year5_Medway Year5_ReferralSource_LA_External)</f>
        <v/>
      </c>
      <c r="AV16" s="567">
        <f>IF(Year5_Medway Year5_ReferralSource_Police="","",Year5_Medway Year5_ReferralSource_Police)</f>
        <v>1700</v>
      </c>
      <c r="AW16" s="567">
        <f>IF(Year5_Medway Year5_ReferralSource_Other_Legal="","",Year5_Medway Year5_ReferralSource_Other_Legal)</f>
        <v>130</v>
      </c>
      <c r="AX16" s="567">
        <f>IF(Year5_Medway Year5_ReferralSource_Other="","",Year5_Medway Year5_ReferralSource_Other)</f>
        <v>199</v>
      </c>
      <c r="AY16" s="567">
        <f>IF(Year5_Medway Year5_ReferralSource_Anonymous="","",Year5_Medway Year5_ReferralSource_Anonymous)</f>
        <v>87</v>
      </c>
      <c r="AZ16" s="568">
        <f>IF(Year5_Medway Year5_ReferralSource_Unknown="","",Year5_Medway Year5_ReferralSource_Unknown)</f>
        <v>11</v>
      </c>
      <c r="BA16" s="56">
        <f t="shared" si="14"/>
        <v>4904</v>
      </c>
      <c r="BB16" s="87">
        <f>IF(BA16&gt;0,Population!H17,0)</f>
        <v>65000</v>
      </c>
      <c r="BC16" s="146">
        <f t="shared" si="15"/>
        <v>754.46153846153845</v>
      </c>
    </row>
    <row r="17" spans="1:65" s="87" customFormat="1" ht="13.5" hidden="1" customHeight="1" x14ac:dyDescent="0.2">
      <c r="A17" s="488">
        <f>VLOOKUP(B17,Sheet1!$AQ$4:$AR$25,2,FALSE)</f>
        <v>0</v>
      </c>
      <c r="B17" s="93" t="str">
        <f>Sheet1!$K$12</f>
        <v>Milton Keynes</v>
      </c>
      <c r="C17" s="85"/>
      <c r="D17" s="234">
        <f t="shared" si="0"/>
        <v>8.9967637540453076</v>
      </c>
      <c r="E17" s="234"/>
      <c r="F17" s="234"/>
      <c r="G17" s="234"/>
      <c r="H17" s="234">
        <f t="shared" si="1"/>
        <v>18.608414239482201</v>
      </c>
      <c r="I17" s="234">
        <f t="shared" si="2"/>
        <v>3.1067961165048543</v>
      </c>
      <c r="J17" s="234">
        <f t="shared" si="3"/>
        <v>15.275080906148867</v>
      </c>
      <c r="K17" s="234"/>
      <c r="L17" s="234"/>
      <c r="M17" s="234"/>
      <c r="N17" s="234"/>
      <c r="O17" s="234"/>
      <c r="P17" s="234">
        <f t="shared" si="4"/>
        <v>1.1326860841423949</v>
      </c>
      <c r="Q17" s="234">
        <f t="shared" si="5"/>
        <v>12.686084142394821</v>
      </c>
      <c r="R17" s="234"/>
      <c r="S17" s="234"/>
      <c r="T17" s="234">
        <f t="shared" si="6"/>
        <v>30.776699029126213</v>
      </c>
      <c r="U17" s="234">
        <f t="shared" si="7"/>
        <v>3.5922330097087376</v>
      </c>
      <c r="V17" s="234">
        <f t="shared" si="8"/>
        <v>3.6569579288025893</v>
      </c>
      <c r="W17" s="234">
        <f t="shared" si="9"/>
        <v>1.9093851132686084</v>
      </c>
      <c r="X17" s="408">
        <f t="shared" si="10"/>
        <v>0.25889967637540451</v>
      </c>
      <c r="Y17" s="122"/>
      <c r="Z17" s="139"/>
      <c r="AA17" s="193"/>
      <c r="AB17" s="47" t="str">
        <f t="shared" si="11"/>
        <v>Milton Keynes</v>
      </c>
      <c r="AC17" s="46">
        <v>9</v>
      </c>
      <c r="AD17" s="47" t="str">
        <f t="shared" si="12"/>
        <v>Milton KeynesNumber</v>
      </c>
      <c r="AE17" s="48" t="b">
        <f t="shared" si="13"/>
        <v>0</v>
      </c>
      <c r="AF17" s="566">
        <f>IF(Year5_Milton_Keynes Year5_ReferralSource_Individual_Family="","",Year5_Milton_Keynes Year5_ReferralSource_Individual_Family)</f>
        <v>278</v>
      </c>
      <c r="AG17" s="567" t="str">
        <f>IF(Year5_Milton_Keynes Year5_ReferralSource_Individual_Acquaintance="","",Year5_Milton_Keynes Year5_ReferralSource_Individual_Acquaintance)</f>
        <v/>
      </c>
      <c r="AH17" s="567" t="str">
        <f>IF(Year5_Milton_Keynes Year5_ReferralSource_Individual_Self="","",Year5_Milton_Keynes Year5_ReferralSource_Individual_Self)</f>
        <v/>
      </c>
      <c r="AI17" s="567" t="str">
        <f>IF(Year5_Milton_Keynes Year5_ReferralSource_Individual_Other="","",Year5_Milton_Keynes Year5_ReferralSource_Individual_Other)</f>
        <v/>
      </c>
      <c r="AJ17" s="567">
        <f>IF(Year5_Milton_Keynes Year5_ReferralSource_School="","",Year5_Milton_Keynes Year5_ReferralSource_School)</f>
        <v>575</v>
      </c>
      <c r="AK17" s="567">
        <f>IF(Year5_Milton_Keynes Year5_ReferralSource_EducationServices="","",Year5_Milton_Keynes Year5_ReferralSource_EducationServices)</f>
        <v>96</v>
      </c>
      <c r="AL17" s="567">
        <f>IF(Year5_Milton_Keynes Year5_ReferralSource_Health_services_GP="","",Year5_Milton_Keynes Year5_ReferralSource_Health_services_GP)</f>
        <v>472</v>
      </c>
      <c r="AM17" s="567" t="str">
        <f>IF(Year5_Milton_Keynes Year5_ReferralSource_Health_services_HealthVisitor="","",Year5_Milton_Keynes Year5_ReferralSource_Health_services_HealthVisitor)</f>
        <v/>
      </c>
      <c r="AN17" s="567" t="str">
        <f>IF(Year5_Milton_Keynes Year5_ReferralSource_Health_services_SchoolNurse="","",Year5_Milton_Keynes Year5_ReferralSource_Health_services_SchoolNurse)</f>
        <v/>
      </c>
      <c r="AO17" s="567" t="str">
        <f>IF(Year5_Milton_Keynes Year5_ReferralSource_Health_services_OthPrimary="","",Year5_Milton_Keynes Year5_ReferralSource_Health_services_OthPrimary)</f>
        <v/>
      </c>
      <c r="AP17" s="567" t="str">
        <f>IF(Year5_Milton_Keynes Year5_ReferralSource_Health_services_AE="","",Year5_Milton_Keynes Year5_ReferralSource_Health_services_AE)</f>
        <v/>
      </c>
      <c r="AQ17" s="567" t="str">
        <f>IF(Year5_Milton_Keynes Year5_ReferralSource_Health_services_Other="","",Year5_Milton_Keynes Year5_ReferralSource_Health_services_Other)</f>
        <v/>
      </c>
      <c r="AR17" s="567">
        <f>IF(Year5_Milton_Keynes Year5_ReferralSource_Housing="","",Year5_Milton_Keynes Year5_ReferralSource_Housing)</f>
        <v>35</v>
      </c>
      <c r="AS17" s="567">
        <f>IF(Year5_Milton_Keynes Year5_ReferralSource_LA_SC="","",Year5_Milton_Keynes Year5_ReferralSource_LA_SC)</f>
        <v>392</v>
      </c>
      <c r="AT17" s="567" t="str">
        <f>IF(Year5_Milton_Keynes Year5_ReferralSource_LA_Other="","",Year5_Milton_Keynes Year5_ReferralSource_LA_Other)</f>
        <v/>
      </c>
      <c r="AU17" s="567" t="str">
        <f>IF(Year5_Milton_Keynes Year5_ReferralSource_LA_External="","",Year5_Milton_Keynes Year5_ReferralSource_LA_External)</f>
        <v/>
      </c>
      <c r="AV17" s="567">
        <f>IF(Year5_Milton_Keynes Year5_ReferralSource_Police="","",Year5_Milton_Keynes Year5_ReferralSource_Police)</f>
        <v>951</v>
      </c>
      <c r="AW17" s="567">
        <f>IF(Year5_Milton_Keynes Year5_ReferralSource_Other_Legal="","",Year5_Milton_Keynes Year5_ReferralSource_Other_Legal)</f>
        <v>111</v>
      </c>
      <c r="AX17" s="567">
        <f>IF(Year5_Milton_Keynes Year5_ReferralSource_Other="","",Year5_Milton_Keynes Year5_ReferralSource_Other)</f>
        <v>113</v>
      </c>
      <c r="AY17" s="567">
        <f>IF(Year5_Milton_Keynes Year5_ReferralSource_Anonymous="","",Year5_Milton_Keynes Year5_ReferralSource_Anonymous)</f>
        <v>59</v>
      </c>
      <c r="AZ17" s="568">
        <f>IF(Year5_Milton_Keynes Year5_ReferralSource_Unknown="","",Year5_Milton_Keynes Year5_ReferralSource_Unknown)</f>
        <v>8</v>
      </c>
      <c r="BA17" s="56">
        <f t="shared" si="14"/>
        <v>3090</v>
      </c>
      <c r="BB17" s="87">
        <f>IF(BA17&gt;0,Population!H18,0)</f>
        <v>68800</v>
      </c>
      <c r="BC17" s="146">
        <f t="shared" si="15"/>
        <v>449.12790697674421</v>
      </c>
    </row>
    <row r="18" spans="1:65" s="87" customFormat="1" ht="13.5" hidden="1" customHeight="1" x14ac:dyDescent="0.2">
      <c r="A18" s="488">
        <f>VLOOKUP(B18,Sheet1!$AQ$4:$AR$25,2,FALSE)</f>
        <v>0</v>
      </c>
      <c r="B18" s="93" t="str">
        <f>Sheet1!$K$13</f>
        <v>Oxfordshire</v>
      </c>
      <c r="C18" s="85"/>
      <c r="D18" s="234">
        <f t="shared" si="0"/>
        <v>7.2647294054918685</v>
      </c>
      <c r="E18" s="234"/>
      <c r="F18" s="234"/>
      <c r="G18" s="234"/>
      <c r="H18" s="234">
        <f t="shared" si="1"/>
        <v>9.650759797387364</v>
      </c>
      <c r="I18" s="234">
        <f t="shared" si="2"/>
        <v>12.383364436150361</v>
      </c>
      <c r="J18" s="234">
        <f t="shared" si="3"/>
        <v>13.129832044788056</v>
      </c>
      <c r="K18" s="234"/>
      <c r="L18" s="234"/>
      <c r="M18" s="234"/>
      <c r="N18" s="234"/>
      <c r="O18" s="234"/>
      <c r="P18" s="234">
        <f t="shared" si="4"/>
        <v>0.46654225539856037</v>
      </c>
      <c r="Q18" s="234">
        <f t="shared" si="5"/>
        <v>18.515062649960008</v>
      </c>
      <c r="R18" s="234"/>
      <c r="S18" s="234"/>
      <c r="T18" s="234">
        <f t="shared" si="6"/>
        <v>29.845374566782191</v>
      </c>
      <c r="U18" s="234">
        <f t="shared" si="7"/>
        <v>2.7859237536656889</v>
      </c>
      <c r="V18" s="234">
        <f t="shared" si="8"/>
        <v>4.3055185283924287</v>
      </c>
      <c r="W18" s="234">
        <f t="shared" si="9"/>
        <v>1.1996800853105838</v>
      </c>
      <c r="X18" s="408">
        <f t="shared" si="10"/>
        <v>0.45321247667288722</v>
      </c>
      <c r="Y18" s="122"/>
      <c r="Z18" s="139"/>
      <c r="AA18" s="193"/>
      <c r="AB18" s="47" t="str">
        <f t="shared" si="11"/>
        <v>Oxfordshire</v>
      </c>
      <c r="AC18" s="46">
        <v>10</v>
      </c>
      <c r="AD18" s="47" t="str">
        <f t="shared" si="12"/>
        <v>OxfordshireNumber</v>
      </c>
      <c r="AE18" s="48" t="b">
        <f t="shared" si="13"/>
        <v>0</v>
      </c>
      <c r="AF18" s="649">
        <f>IF(Year5_Oxfordshire Year5_ReferralSource_Individual_Family="","",Year5_Oxfordshire Year5_ReferralSource_Individual_Family)</f>
        <v>545</v>
      </c>
      <c r="AG18" s="569" t="str">
        <f>IF(Year5_Oxfordshire Year5_ReferralSource_Individual_Acquaintance="","",Year5_Oxfordshire Year5_ReferralSource_Individual_Acquaintance)</f>
        <v/>
      </c>
      <c r="AH18" s="569" t="str">
        <f>IF(Year5_Oxfordshire Year5_ReferralSource_Individual_Self="","",Year5_Oxfordshire Year5_ReferralSource_Individual_Self)</f>
        <v/>
      </c>
      <c r="AI18" s="569" t="str">
        <f>IF(Year5_Oxfordshire Year5_ReferralSource_Individual_Other="","",Year5_Oxfordshire Year5_ReferralSource_Individual_Other)</f>
        <v/>
      </c>
      <c r="AJ18" s="569">
        <f>IF(Year5_Oxfordshire Year5_ReferralSource_School="","",Year5_Oxfordshire Year5_ReferralSource_School)</f>
        <v>724</v>
      </c>
      <c r="AK18" s="569">
        <f>IF(Year5_Oxfordshire Year5_ReferralSource_EducationServices="","",Year5_Oxfordshire Year5_ReferralSource_EducationServices)</f>
        <v>929</v>
      </c>
      <c r="AL18" s="569">
        <f>IF(Year5_Oxfordshire Year5_ReferralSource_Health_services_GP="","",Year5_Oxfordshire Year5_ReferralSource_Health_services_GP)</f>
        <v>985</v>
      </c>
      <c r="AM18" s="569" t="str">
        <f>IF(Year5_Oxfordshire Year5_ReferralSource_Health_services_HealthVisitor="","",Year5_Oxfordshire Year5_ReferralSource_Health_services_HealthVisitor)</f>
        <v/>
      </c>
      <c r="AN18" s="569" t="str">
        <f>IF(Year5_Oxfordshire Year5_ReferralSource_Health_services_SchoolNurse="","",Year5_Oxfordshire Year5_ReferralSource_Health_services_SchoolNurse)</f>
        <v/>
      </c>
      <c r="AO18" s="569" t="str">
        <f>IF(Year5_Oxfordshire Year5_ReferralSource_Health_services_OthPrimary="","",Year5_Oxfordshire Year5_ReferralSource_Health_services_OthPrimary)</f>
        <v/>
      </c>
      <c r="AP18" s="569" t="str">
        <f>IF(Year5_Oxfordshire Year5_ReferralSource_Health_services_AE="","",Year5_Oxfordshire Year5_ReferralSource_Health_services_AE)</f>
        <v/>
      </c>
      <c r="AQ18" s="569" t="str">
        <f>IF(Year5_Oxfordshire Year5_ReferralSource_Health_services_Other="","",Year5_Oxfordshire Year5_ReferralSource_Health_services_Other)</f>
        <v/>
      </c>
      <c r="AR18" s="569">
        <f>IF(Year5_Oxfordshire Year5_ReferralSource_Housing="","",Year5_Oxfordshire Year5_ReferralSource_Housing)</f>
        <v>35</v>
      </c>
      <c r="AS18" s="569">
        <f>IF(Year5_Oxfordshire Year5_ReferralSource_LA_SC="","",Year5_Oxfordshire Year5_ReferralSource_LA_SC)</f>
        <v>1389</v>
      </c>
      <c r="AT18" s="569" t="str">
        <f>IF(Year5_Oxfordshire Year5_ReferralSource_LA_Other="","",Year5_Oxfordshire Year5_ReferralSource_LA_Other)</f>
        <v/>
      </c>
      <c r="AU18" s="569" t="str">
        <f>IF(Year5_Oxfordshire Year5_ReferralSource_LA_External="","",Year5_Oxfordshire Year5_ReferralSource_LA_External)</f>
        <v/>
      </c>
      <c r="AV18" s="569">
        <f>IF(Year5_Oxfordshire Year5_ReferralSource_Police="","",Year5_Oxfordshire Year5_ReferralSource_Police)</f>
        <v>2239</v>
      </c>
      <c r="AW18" s="569">
        <f>IF(Year5_Oxfordshire Year5_ReferralSource_Other_Legal="","",Year5_Oxfordshire Year5_ReferralSource_Other_Legal)</f>
        <v>209</v>
      </c>
      <c r="AX18" s="569">
        <f>IF(Year5_Oxfordshire Year5_ReferralSource_Other="","",Year5_Oxfordshire Year5_ReferralSource_Other)</f>
        <v>323</v>
      </c>
      <c r="AY18" s="569">
        <f>IF(Year5_Oxfordshire Year5_ReferralSource_Anonymous="","",Year5_Oxfordshire Year5_ReferralSource_Anonymous)</f>
        <v>90</v>
      </c>
      <c r="AZ18" s="569">
        <f>IF(Year5_Oxfordshire Year5_ReferralSource_Unknown="","",Year5_Oxfordshire Year5_ReferralSource_Unknown)</f>
        <v>34</v>
      </c>
      <c r="BA18" s="56">
        <f t="shared" si="14"/>
        <v>7502</v>
      </c>
      <c r="BB18" s="87">
        <f>IF(BA18&gt;0,Population!H19,0)</f>
        <v>146100</v>
      </c>
      <c r="BC18" s="146">
        <f t="shared" si="15"/>
        <v>513.48391512662556</v>
      </c>
    </row>
    <row r="19" spans="1:65" s="87" customFormat="1" ht="13.5" hidden="1" customHeight="1" x14ac:dyDescent="0.2">
      <c r="A19" s="488">
        <f>VLOOKUP(B19,Sheet1!$AQ$4:$AR$25,2,FALSE)</f>
        <v>0</v>
      </c>
      <c r="B19" s="93" t="str">
        <f>Sheet1!$K$14</f>
        <v>Portsmouth</v>
      </c>
      <c r="C19" s="85"/>
      <c r="D19" s="234">
        <f t="shared" si="0"/>
        <v>5.818318318318318</v>
      </c>
      <c r="E19" s="234"/>
      <c r="F19" s="234"/>
      <c r="G19" s="234"/>
      <c r="H19" s="234">
        <f t="shared" si="1"/>
        <v>21.771771771771771</v>
      </c>
      <c r="I19" s="234">
        <f t="shared" si="2"/>
        <v>0.45045045045045046</v>
      </c>
      <c r="J19" s="234">
        <f t="shared" si="3"/>
        <v>14.114114114114114</v>
      </c>
      <c r="K19" s="234"/>
      <c r="L19" s="234"/>
      <c r="M19" s="234"/>
      <c r="N19" s="234"/>
      <c r="O19" s="234"/>
      <c r="P19" s="234">
        <f t="shared" si="4"/>
        <v>2.3648648648648649</v>
      </c>
      <c r="Q19" s="234">
        <f t="shared" si="5"/>
        <v>16.92942942942943</v>
      </c>
      <c r="R19" s="234"/>
      <c r="S19" s="234"/>
      <c r="T19" s="234">
        <f t="shared" si="6"/>
        <v>27.214714714714717</v>
      </c>
      <c r="U19" s="234">
        <f t="shared" si="7"/>
        <v>4.6546546546546548</v>
      </c>
      <c r="V19" s="234">
        <f t="shared" si="8"/>
        <v>5.1426426426426426</v>
      </c>
      <c r="W19" s="234">
        <f t="shared" si="9"/>
        <v>1.3138138138138138</v>
      </c>
      <c r="X19" s="408">
        <f t="shared" si="10"/>
        <v>0.22522522522522523</v>
      </c>
      <c r="Y19" s="122"/>
      <c r="Z19" s="139"/>
      <c r="AA19" s="193"/>
      <c r="AB19" s="47" t="str">
        <f t="shared" si="11"/>
        <v>Portsmouth</v>
      </c>
      <c r="AC19" s="46">
        <v>11</v>
      </c>
      <c r="AD19" s="47" t="str">
        <f t="shared" si="12"/>
        <v>PortsmouthNumber</v>
      </c>
      <c r="AE19" s="48" t="b">
        <f t="shared" si="13"/>
        <v>0</v>
      </c>
      <c r="AF19" s="649">
        <f>IF(Year5_Portsmouth Year5_ReferralSource_Individual_Family="","",Year5_Portsmouth Year5_ReferralSource_Individual_Family)</f>
        <v>155</v>
      </c>
      <c r="AG19" s="569" t="str">
        <f>IF(Year5_Portsmouth Year5_ReferralSource_Individual_Acquaintance="","",Year5_Portsmouth Year5_ReferralSource_Individual_Acquaintance)</f>
        <v/>
      </c>
      <c r="AH19" s="569" t="str">
        <f>IF(Year5_Portsmouth Year5_ReferralSource_Individual_Self="","",Year5_Portsmouth Year5_ReferralSource_Individual_Self)</f>
        <v/>
      </c>
      <c r="AI19" s="569" t="str">
        <f>IF(Year5_Portsmouth Year5_ReferralSource_Individual_Other="","",Year5_Portsmouth Year5_ReferralSource_Individual_Other)</f>
        <v/>
      </c>
      <c r="AJ19" s="569">
        <f>IF(Year5_Portsmouth Year5_ReferralSource_School="","",Year5_Portsmouth Year5_ReferralSource_School)</f>
        <v>580</v>
      </c>
      <c r="AK19" s="569">
        <f>IF(Year5_Portsmouth Year5_ReferralSource_EducationServices="","",Year5_Portsmouth Year5_ReferralSource_EducationServices)</f>
        <v>12</v>
      </c>
      <c r="AL19" s="569">
        <f>IF(Year5_Portsmouth Year5_ReferralSource_Health_services_GP="","",Year5_Portsmouth Year5_ReferralSource_Health_services_GP)</f>
        <v>376</v>
      </c>
      <c r="AM19" s="569" t="str">
        <f>IF(Year5_Portsmouth Year5_ReferralSource_Health_services_HealthVisitor="","",Year5_Portsmouth Year5_ReferralSource_Health_services_HealthVisitor)</f>
        <v/>
      </c>
      <c r="AN19" s="569" t="str">
        <f>IF(Year5_Portsmouth Year5_ReferralSource_Health_services_SchoolNurse="","",Year5_Portsmouth Year5_ReferralSource_Health_services_SchoolNurse)</f>
        <v/>
      </c>
      <c r="AO19" s="569" t="str">
        <f>IF(Year5_Portsmouth Year5_ReferralSource_Health_services_OthPrimary="","",Year5_Portsmouth Year5_ReferralSource_Health_services_OthPrimary)</f>
        <v/>
      </c>
      <c r="AP19" s="569" t="str">
        <f>IF(Year5_Portsmouth Year5_ReferralSource_Health_services_AE="","",Year5_Portsmouth Year5_ReferralSource_Health_services_AE)</f>
        <v/>
      </c>
      <c r="AQ19" s="569" t="str">
        <f>IF(Year5_Portsmouth Year5_ReferralSource_Health_services_Other="","",Year5_Portsmouth Year5_ReferralSource_Health_services_Other)</f>
        <v/>
      </c>
      <c r="AR19" s="569">
        <f>IF(Year5_Portsmouth Year5_ReferralSource_Housing="","",Year5_Portsmouth Year5_ReferralSource_Housing)</f>
        <v>63</v>
      </c>
      <c r="AS19" s="569">
        <f>IF(Year5_Portsmouth Year5_ReferralSource_LA_SC="","",Year5_Portsmouth Year5_ReferralSource_LA_SC)</f>
        <v>451</v>
      </c>
      <c r="AT19" s="569" t="str">
        <f>IF(Year5_Portsmouth Year5_ReferralSource_LA_Other="","",Year5_Portsmouth Year5_ReferralSource_LA_Other)</f>
        <v/>
      </c>
      <c r="AU19" s="569" t="str">
        <f>IF(Year5_Portsmouth Year5_ReferralSource_LA_External="","",Year5_Portsmouth Year5_ReferralSource_LA_External)</f>
        <v/>
      </c>
      <c r="AV19" s="569">
        <f>IF(Year5_Portsmouth Year5_ReferralSource_Police="","",Year5_Portsmouth Year5_ReferralSource_Police)</f>
        <v>725</v>
      </c>
      <c r="AW19" s="569">
        <f>IF(Year5_Portsmouth Year5_ReferralSource_Other_Legal="","",Year5_Portsmouth Year5_ReferralSource_Other_Legal)</f>
        <v>124</v>
      </c>
      <c r="AX19" s="569">
        <f>IF(Year5_Portsmouth Year5_ReferralSource_Other="","",Year5_Portsmouth Year5_ReferralSource_Other)</f>
        <v>137</v>
      </c>
      <c r="AY19" s="569">
        <f>IF(Year5_Portsmouth Year5_ReferralSource_Anonymous="","",Year5_Portsmouth Year5_ReferralSource_Anonymous)</f>
        <v>35</v>
      </c>
      <c r="AZ19" s="569">
        <f>IF(Year5_Portsmouth Year5_ReferralSource_Unknown="","",Year5_Portsmouth Year5_ReferralSource_Unknown)</f>
        <v>6</v>
      </c>
      <c r="BA19" s="56">
        <f t="shared" si="14"/>
        <v>2664</v>
      </c>
      <c r="BB19" s="87">
        <f>IF(BA19&gt;0,Population!H20,0)</f>
        <v>43800</v>
      </c>
      <c r="BC19" s="146">
        <f t="shared" si="15"/>
        <v>608.21917808219177</v>
      </c>
    </row>
    <row r="20" spans="1:65" s="87" customFormat="1" ht="13.5" hidden="1" customHeight="1" x14ac:dyDescent="0.2">
      <c r="A20" s="488">
        <f>VLOOKUP(B20,Sheet1!$AQ$4:$AR$25,2,FALSE)</f>
        <v>0</v>
      </c>
      <c r="B20" s="93" t="str">
        <f>Sheet1!$K$15</f>
        <v>Reading</v>
      </c>
      <c r="C20" s="85"/>
      <c r="D20" s="234">
        <f t="shared" si="0"/>
        <v>7.48829953198128</v>
      </c>
      <c r="E20" s="234"/>
      <c r="F20" s="234"/>
      <c r="G20" s="234"/>
      <c r="H20" s="234">
        <f t="shared" si="1"/>
        <v>17.940717628705151</v>
      </c>
      <c r="I20" s="234">
        <f t="shared" si="2"/>
        <v>2.8471138845553821</v>
      </c>
      <c r="J20" s="234">
        <f t="shared" si="3"/>
        <v>14.508580343213728</v>
      </c>
      <c r="K20" s="234"/>
      <c r="L20" s="234"/>
      <c r="M20" s="234"/>
      <c r="N20" s="234"/>
      <c r="O20" s="234"/>
      <c r="P20" s="234">
        <f t="shared" si="4"/>
        <v>2.4960998439937598</v>
      </c>
      <c r="Q20" s="234">
        <f t="shared" si="5"/>
        <v>10.257410296411857</v>
      </c>
      <c r="R20" s="234"/>
      <c r="S20" s="234"/>
      <c r="T20" s="234">
        <f t="shared" si="6"/>
        <v>36.271450858034321</v>
      </c>
      <c r="U20" s="234">
        <f t="shared" si="7"/>
        <v>2.1450858034321372</v>
      </c>
      <c r="V20" s="234">
        <f t="shared" si="8"/>
        <v>4.9921996879875197</v>
      </c>
      <c r="W20" s="234">
        <f t="shared" si="9"/>
        <v>0.7410296411856474</v>
      </c>
      <c r="X20" s="408">
        <f t="shared" si="10"/>
        <v>0.31201248049921998</v>
      </c>
      <c r="Y20" s="122"/>
      <c r="Z20" s="139"/>
      <c r="AA20" s="193"/>
      <c r="AB20" s="47" t="str">
        <f t="shared" si="11"/>
        <v>Reading</v>
      </c>
      <c r="AC20" s="46">
        <v>12</v>
      </c>
      <c r="AD20" s="47" t="str">
        <f t="shared" si="12"/>
        <v>ReadingNumber</v>
      </c>
      <c r="AE20" s="48" t="b">
        <f t="shared" si="13"/>
        <v>0</v>
      </c>
      <c r="AF20" s="649">
        <f>IF(Year5_Reading Year5_ReferralSource_Individual_Family="","",Year5_Reading Year5_ReferralSource_Individual_Family)</f>
        <v>192</v>
      </c>
      <c r="AG20" s="569" t="str">
        <f>IF(Year5_Reading Year5_ReferralSource_Individual_Acquaintance="","",Year5_Reading Year5_ReferralSource_Individual_Acquaintance)</f>
        <v/>
      </c>
      <c r="AH20" s="569" t="str">
        <f>IF(Year5_Reading Year5_ReferralSource_Individual_Self="","",Year5_Reading Year5_ReferralSource_Individual_Self)</f>
        <v/>
      </c>
      <c r="AI20" s="569" t="str">
        <f>IF(Year5_Reading Year5_ReferralSource_Individual_Other="","",Year5_Reading Year5_ReferralSource_Individual_Other)</f>
        <v/>
      </c>
      <c r="AJ20" s="569">
        <f>IF(Year5_Reading Year5_ReferralSource_School="","",Year5_Reading Year5_ReferralSource_School)</f>
        <v>460</v>
      </c>
      <c r="AK20" s="569">
        <f>IF(Year5_Reading Year5_ReferralSource_EducationServices="","",Year5_Reading Year5_ReferralSource_EducationServices)</f>
        <v>73</v>
      </c>
      <c r="AL20" s="569">
        <f>IF(Year5_Reading Year5_ReferralSource_Health_services_GP="","",Year5_Reading Year5_ReferralSource_Health_services_GP)</f>
        <v>372</v>
      </c>
      <c r="AM20" s="569" t="str">
        <f>IF(Year5_Reading Year5_ReferralSource_Health_services_HealthVisitor="","",Year5_Reading Year5_ReferralSource_Health_services_HealthVisitor)</f>
        <v/>
      </c>
      <c r="AN20" s="569" t="str">
        <f>IF(Year5_Reading Year5_ReferralSource_Health_services_SchoolNurse="","",Year5_Reading Year5_ReferralSource_Health_services_SchoolNurse)</f>
        <v/>
      </c>
      <c r="AO20" s="569" t="str">
        <f>IF(Year5_Reading Year5_ReferralSource_Health_services_OthPrimary="","",Year5_Reading Year5_ReferralSource_Health_services_OthPrimary)</f>
        <v/>
      </c>
      <c r="AP20" s="569" t="str">
        <f>IF(Year5_Reading Year5_ReferralSource_Health_services_AE="","",Year5_Reading Year5_ReferralSource_Health_services_AE)</f>
        <v/>
      </c>
      <c r="AQ20" s="569" t="str">
        <f>IF(Year5_Reading Year5_ReferralSource_Health_services_Other="","",Year5_Reading Year5_ReferralSource_Health_services_Other)</f>
        <v/>
      </c>
      <c r="AR20" s="569">
        <f>IF(Year5_Reading Year5_ReferralSource_Housing="","",Year5_Reading Year5_ReferralSource_Housing)</f>
        <v>64</v>
      </c>
      <c r="AS20" s="569">
        <f>IF(Year5_Reading Year5_ReferralSource_LA_SC="","",Year5_Reading Year5_ReferralSource_LA_SC)</f>
        <v>263</v>
      </c>
      <c r="AT20" s="569" t="str">
        <f>IF(Year5_Reading Year5_ReferralSource_LA_Other="","",Year5_Reading Year5_ReferralSource_LA_Other)</f>
        <v/>
      </c>
      <c r="AU20" s="569" t="str">
        <f>IF(Year5_Reading Year5_ReferralSource_LA_External="","",Year5_Reading Year5_ReferralSource_LA_External)</f>
        <v/>
      </c>
      <c r="AV20" s="569">
        <f>IF(Year5_Reading Year5_ReferralSource_Police="","",Year5_Reading Year5_ReferralSource_Police)</f>
        <v>930</v>
      </c>
      <c r="AW20" s="569">
        <f>IF(Year5_Reading Year5_ReferralSource_Other_Legal="","",Year5_Reading Year5_ReferralSource_Other_Legal)</f>
        <v>55</v>
      </c>
      <c r="AX20" s="569">
        <f>IF(Year5_Reading Year5_ReferralSource_Other="","",Year5_Reading Year5_ReferralSource_Other)</f>
        <v>128</v>
      </c>
      <c r="AY20" s="569">
        <f>IF(Year5_Reading Year5_ReferralSource_Anonymous="","",Year5_Reading Year5_ReferralSource_Anonymous)</f>
        <v>19</v>
      </c>
      <c r="AZ20" s="569">
        <f>IF(Year5_Reading Year5_ReferralSource_Unknown="","",Year5_Reading Year5_ReferralSource_Unknown)</f>
        <v>8</v>
      </c>
      <c r="BA20" s="56">
        <f t="shared" si="14"/>
        <v>2564</v>
      </c>
      <c r="BB20" s="87">
        <f>IF(BA20&gt;0,Population!H21,0)</f>
        <v>37000</v>
      </c>
      <c r="BC20" s="146">
        <f t="shared" si="15"/>
        <v>692.97297297297291</v>
      </c>
    </row>
    <row r="21" spans="1:65" s="87" customFormat="1" ht="13.5" hidden="1" customHeight="1" x14ac:dyDescent="0.2">
      <c r="A21" s="488">
        <f>VLOOKUP(B21,Sheet1!$AQ$4:$AR$25,2,FALSE)</f>
        <v>0</v>
      </c>
      <c r="B21" s="93" t="str">
        <f>Sheet1!$K$16</f>
        <v>Slough</v>
      </c>
      <c r="C21" s="85"/>
      <c r="D21" s="234">
        <f t="shared" si="0"/>
        <v>4.0944881889763778</v>
      </c>
      <c r="E21" s="234"/>
      <c r="F21" s="234"/>
      <c r="G21" s="234"/>
      <c r="H21" s="234">
        <f t="shared" si="1"/>
        <v>24.133858267716533</v>
      </c>
      <c r="I21" s="234">
        <f t="shared" si="2"/>
        <v>0.82677165354330706</v>
      </c>
      <c r="J21" s="234">
        <f t="shared" si="3"/>
        <v>13.543307086614172</v>
      </c>
      <c r="K21" s="234"/>
      <c r="L21" s="234"/>
      <c r="M21" s="234"/>
      <c r="N21" s="234"/>
      <c r="O21" s="234"/>
      <c r="P21" s="234">
        <f t="shared" si="4"/>
        <v>0</v>
      </c>
      <c r="Q21" s="234">
        <f t="shared" si="5"/>
        <v>15.393700787401574</v>
      </c>
      <c r="R21" s="234"/>
      <c r="S21" s="234"/>
      <c r="T21" s="234">
        <f t="shared" si="6"/>
        <v>32.480314960629919</v>
      </c>
      <c r="U21" s="234">
        <f t="shared" si="7"/>
        <v>3.582677165354331</v>
      </c>
      <c r="V21" s="234">
        <f t="shared" si="8"/>
        <v>4.2125984251968509</v>
      </c>
      <c r="W21" s="234">
        <f t="shared" si="9"/>
        <v>1.7322834645669292</v>
      </c>
      <c r="X21" s="408">
        <f t="shared" si="10"/>
        <v>0</v>
      </c>
      <c r="Y21" s="122"/>
      <c r="Z21" s="139"/>
      <c r="AA21" s="193"/>
      <c r="AB21" s="47" t="str">
        <f t="shared" si="11"/>
        <v>Slough</v>
      </c>
      <c r="AC21" s="46">
        <v>13</v>
      </c>
      <c r="AD21" s="47" t="str">
        <f t="shared" si="12"/>
        <v>SloughNumber</v>
      </c>
      <c r="AE21" s="48" t="b">
        <f t="shared" si="13"/>
        <v>0</v>
      </c>
      <c r="AF21" s="546">
        <f>IF(Year5_Slough Year5_ReferralSource_Individual_Family="","",Year5_Slough Year5_ReferralSource_Individual_Family)</f>
        <v>104</v>
      </c>
      <c r="AG21" s="547" t="str">
        <f>IF(Year5_Slough Year5_ReferralSource_Individual_Acquaintance="","",Year5_Slough Year5_ReferralSource_Individual_Acquaintance)</f>
        <v/>
      </c>
      <c r="AH21" s="547" t="str">
        <f>IF(Year5_Slough Year5_ReferralSource_Individual_Self="","",Year5_Slough Year5_ReferralSource_Individual_Self)</f>
        <v/>
      </c>
      <c r="AI21" s="547" t="str">
        <f>IF(Year5_Slough Year5_ReferralSource_Individual_Other="","",Year5_Slough Year5_ReferralSource_Individual_Other)</f>
        <v/>
      </c>
      <c r="AJ21" s="547">
        <f>IF(Year5_Slough Year5_ReferralSource_School="","",Year5_Slough Year5_ReferralSource_School)</f>
        <v>613</v>
      </c>
      <c r="AK21" s="547">
        <f>IF(Year5_Slough Year5_ReferralSource_EducationServices="","",Year5_Slough Year5_ReferralSource_EducationServices)</f>
        <v>21</v>
      </c>
      <c r="AL21" s="547">
        <f>IF(Year5_Slough Year5_ReferralSource_Health_services_GP="","",Year5_Slough Year5_ReferralSource_Health_services_GP)</f>
        <v>344</v>
      </c>
      <c r="AM21" s="547" t="str">
        <f>IF(Year5_Slough Year5_ReferralSource_Health_services_HealthVisitor="","",Year5_Slough Year5_ReferralSource_Health_services_HealthVisitor)</f>
        <v/>
      </c>
      <c r="AN21" s="547" t="str">
        <f>IF(Year5_Slough Year5_ReferralSource_Health_services_SchoolNurse="","",Year5_Slough Year5_ReferralSource_Health_services_SchoolNurse)</f>
        <v/>
      </c>
      <c r="AO21" s="547" t="str">
        <f>IF(Year5_Slough Year5_ReferralSource_Health_services_OthPrimary="","",Year5_Slough Year5_ReferralSource_Health_services_OthPrimary)</f>
        <v/>
      </c>
      <c r="AP21" s="547" t="str">
        <f>IF(Year5_Slough Year5_ReferralSource_Health_services_AE="","",Year5_Slough Year5_ReferralSource_Health_services_AE)</f>
        <v/>
      </c>
      <c r="AQ21" s="547" t="str">
        <f>IF(Year5_Slough Year5_ReferralSource_Health_services_Other="","",Year5_Slough Year5_ReferralSource_Health_services_Other)</f>
        <v/>
      </c>
      <c r="AR21" s="547">
        <f>IF(Year5_Slough Year5_ReferralSource_Housing="","",Year5_Slough Year5_ReferralSource_Housing)</f>
        <v>0</v>
      </c>
      <c r="AS21" s="547">
        <f>IF(Year5_Slough Year5_ReferralSource_LA_SC="","",Year5_Slough Year5_ReferralSource_LA_SC)</f>
        <v>391</v>
      </c>
      <c r="AT21" s="547" t="str">
        <f>IF(Year5_Slough Year5_ReferralSource_LA_Other="","",Year5_Slough Year5_ReferralSource_LA_Other)</f>
        <v/>
      </c>
      <c r="AU21" s="547" t="str">
        <f>IF(Year5_Slough Year5_ReferralSource_LA_External="","",Year5_Slough Year5_ReferralSource_LA_External)</f>
        <v/>
      </c>
      <c r="AV21" s="547">
        <f>IF(Year5_Slough Year5_ReferralSource_Police="","",Year5_Slough Year5_ReferralSource_Police)</f>
        <v>825</v>
      </c>
      <c r="AW21" s="547">
        <f>IF(Year5_Slough Year5_ReferralSource_Other_Legal="","",Year5_Slough Year5_ReferralSource_Other_Legal)</f>
        <v>91</v>
      </c>
      <c r="AX21" s="547">
        <f>IF(Year5_Slough Year5_ReferralSource_Other="","",Year5_Slough Year5_ReferralSource_Other)</f>
        <v>107</v>
      </c>
      <c r="AY21" s="547">
        <f>IF(Year5_Slough Year5_ReferralSource_Anonymous="","",Year5_Slough Year5_ReferralSource_Anonymous)</f>
        <v>44</v>
      </c>
      <c r="AZ21" s="548">
        <f>IF(Year5_Slough Year5_ReferralSource_Unknown="","",Year5_Slough Year5_ReferralSource_Unknown)</f>
        <v>0</v>
      </c>
      <c r="BA21" s="56">
        <f t="shared" si="14"/>
        <v>2540</v>
      </c>
      <c r="BB21" s="87">
        <f>IF(BA21&gt;0,Population!H22,0)</f>
        <v>43100</v>
      </c>
      <c r="BC21" s="146">
        <f t="shared" si="15"/>
        <v>589.3271461716937</v>
      </c>
    </row>
    <row r="22" spans="1:65" s="87" customFormat="1" ht="13.5" hidden="1" customHeight="1" x14ac:dyDescent="0.2">
      <c r="A22" s="488">
        <f>VLOOKUP(B22,Sheet1!$AQ$4:$AR$25,2,FALSE)</f>
        <v>0</v>
      </c>
      <c r="B22" s="93" t="str">
        <f>Sheet1!$K$17</f>
        <v>Somerset</v>
      </c>
      <c r="C22" s="85"/>
      <c r="D22" s="234">
        <f t="shared" si="0"/>
        <v>8.6764299530256981</v>
      </c>
      <c r="E22" s="234"/>
      <c r="F22" s="234"/>
      <c r="G22" s="234"/>
      <c r="H22" s="234">
        <f t="shared" si="1"/>
        <v>12.683061619231831</v>
      </c>
      <c r="I22" s="234">
        <f t="shared" si="2"/>
        <v>0.8842221608179055</v>
      </c>
      <c r="J22" s="234">
        <f t="shared" si="3"/>
        <v>14.368610113290964</v>
      </c>
      <c r="K22" s="234"/>
      <c r="L22" s="234"/>
      <c r="M22" s="234"/>
      <c r="N22" s="234"/>
      <c r="O22" s="234"/>
      <c r="P22" s="234">
        <f t="shared" si="4"/>
        <v>0.41447913788339324</v>
      </c>
      <c r="Q22" s="234">
        <f t="shared" si="5"/>
        <v>14.865985078751038</v>
      </c>
      <c r="R22" s="234"/>
      <c r="S22" s="234"/>
      <c r="T22" s="234">
        <f t="shared" si="6"/>
        <v>32.053053329649074</v>
      </c>
      <c r="U22" s="234">
        <f t="shared" si="7"/>
        <v>5.5540204476374688</v>
      </c>
      <c r="V22" s="234">
        <f t="shared" si="8"/>
        <v>6.2448190107764576</v>
      </c>
      <c r="W22" s="234">
        <f t="shared" si="9"/>
        <v>3.757944183476098</v>
      </c>
      <c r="X22" s="408">
        <f t="shared" si="10"/>
        <v>0.49737496546007187</v>
      </c>
      <c r="Y22" s="122"/>
      <c r="Z22" s="139"/>
      <c r="AA22" s="193"/>
      <c r="AB22" s="47" t="str">
        <f t="shared" si="11"/>
        <v>Somerset</v>
      </c>
      <c r="AC22" s="46">
        <v>14</v>
      </c>
      <c r="AD22" s="47" t="str">
        <f t="shared" si="12"/>
        <v>SomersetNumber</v>
      </c>
      <c r="AE22" s="48" t="b">
        <f t="shared" si="13"/>
        <v>0</v>
      </c>
      <c r="AF22" s="650">
        <f>IF(Year5_Somerset Year5_ReferralSource_Individual_Family="","",Year5_Somerset Year5_ReferralSource_Individual_Family)</f>
        <v>314</v>
      </c>
      <c r="AG22" s="559" t="str">
        <f>IF(Year5_Somerset Year5_ReferralSource_Individual_Acquaintance="","",Year5_Somerset Year5_ReferralSource_Individual_Acquaintance)</f>
        <v/>
      </c>
      <c r="AH22" s="559" t="str">
        <f>IF(Year5_Somerset Year5_ReferralSource_Individual_Self="","",Year5_Somerset Year5_ReferralSource_Individual_Self)</f>
        <v/>
      </c>
      <c r="AI22" s="559" t="str">
        <f>IF(Year5_Somerset Year5_ReferralSource_Individual_Other="","",Year5_Somerset Year5_ReferralSource_Individual_Other)</f>
        <v/>
      </c>
      <c r="AJ22" s="559">
        <f>IF(Year5_Somerset Year5_ReferralSource_School="","",Year5_Somerset Year5_ReferralSource_School)</f>
        <v>459</v>
      </c>
      <c r="AK22" s="559">
        <f>IF(Year5_Somerset Year5_ReferralSource_EducationServices="","",Year5_Somerset Year5_ReferralSource_EducationServices)</f>
        <v>32</v>
      </c>
      <c r="AL22" s="559">
        <f>IF(Year5_Somerset Year5_ReferralSource_Health_services_GP="","",Year5_Somerset Year5_ReferralSource_Health_services_GP)</f>
        <v>520</v>
      </c>
      <c r="AM22" s="559" t="str">
        <f>IF(Year5_Somerset Year5_ReferralSource_Health_services_HealthVisitor="","",Year5_Somerset Year5_ReferralSource_Health_services_HealthVisitor)</f>
        <v/>
      </c>
      <c r="AN22" s="559" t="str">
        <f>IF(Year5_Somerset Year5_ReferralSource_Health_services_SchoolNurse="","",Year5_Somerset Year5_ReferralSource_Health_services_SchoolNurse)</f>
        <v/>
      </c>
      <c r="AO22" s="559" t="str">
        <f>IF(Year5_Somerset Year5_ReferralSource_Health_services_OthPrimary="","",Year5_Somerset Year5_ReferralSource_Health_services_OthPrimary)</f>
        <v/>
      </c>
      <c r="AP22" s="559" t="str">
        <f>IF(Year5_Somerset Year5_ReferralSource_Health_services_AE="","",Year5_Somerset Year5_ReferralSource_Health_services_AE)</f>
        <v/>
      </c>
      <c r="AQ22" s="559" t="str">
        <f>IF(Year5_Somerset Year5_ReferralSource_Health_services_Other="","",Year5_Somerset Year5_ReferralSource_Health_services_Other)</f>
        <v/>
      </c>
      <c r="AR22" s="559">
        <f>IF(Year5_Somerset Year5_ReferralSource_Housing="","",Year5_Somerset Year5_ReferralSource_Housing)</f>
        <v>15</v>
      </c>
      <c r="AS22" s="559">
        <f>IF(Year5_Somerset Year5_ReferralSource_LA_SC="","",Year5_Somerset Year5_ReferralSource_LA_SC)</f>
        <v>538</v>
      </c>
      <c r="AT22" s="559" t="str">
        <f>IF(Year5_Somerset Year5_ReferralSource_LA_Other="","",Year5_Somerset Year5_ReferralSource_LA_Other)</f>
        <v/>
      </c>
      <c r="AU22" s="559" t="str">
        <f>IF(Year5_Somerset Year5_ReferralSource_LA_External="","",Year5_Somerset Year5_ReferralSource_LA_External)</f>
        <v/>
      </c>
      <c r="AV22" s="559">
        <f>IF(Year5_Somerset Year5_ReferralSource_Police="","",Year5_Somerset Year5_ReferralSource_Police)</f>
        <v>1160</v>
      </c>
      <c r="AW22" s="559">
        <f>IF(Year5_Somerset Year5_ReferralSource_Other_Legal="","",Year5_Somerset Year5_ReferralSource_Other_Legal)</f>
        <v>201</v>
      </c>
      <c r="AX22" s="559">
        <f>IF(Year5_Somerset Year5_ReferralSource_Other="","",Year5_Somerset Year5_ReferralSource_Other)</f>
        <v>226</v>
      </c>
      <c r="AY22" s="559">
        <f>IF(Year5_Somerset Year5_ReferralSource_Anonymous="","",Year5_Somerset Year5_ReferralSource_Anonymous)</f>
        <v>136</v>
      </c>
      <c r="AZ22" s="559">
        <f>IF(Year5_Somerset Year5_ReferralSource_Unknown="","",Year5_Somerset Year5_ReferralSource_Unknown)</f>
        <v>18</v>
      </c>
      <c r="BA22" s="56">
        <f t="shared" si="14"/>
        <v>3619</v>
      </c>
      <c r="BB22" s="87">
        <f>IF(BA22&gt;0,Population!H23,0)</f>
        <v>111200</v>
      </c>
      <c r="BC22" s="146">
        <f t="shared" si="15"/>
        <v>325.44964028776974</v>
      </c>
    </row>
    <row r="23" spans="1:65" s="87" customFormat="1" ht="13.5" hidden="1" customHeight="1" x14ac:dyDescent="0.2">
      <c r="A23" s="488">
        <f>VLOOKUP(B23,Sheet1!$AQ$4:$AR$25,2,FALSE)</f>
        <v>0</v>
      </c>
      <c r="B23" s="93" t="str">
        <f>Sheet1!$K$18</f>
        <v>Southampton</v>
      </c>
      <c r="C23" s="85"/>
      <c r="D23" s="234">
        <f t="shared" si="0"/>
        <v>4.5661157024793386</v>
      </c>
      <c r="E23" s="234"/>
      <c r="F23" s="234"/>
      <c r="G23" s="234"/>
      <c r="H23" s="234">
        <f t="shared" si="1"/>
        <v>19.545454545454547</v>
      </c>
      <c r="I23" s="234">
        <f t="shared" si="2"/>
        <v>0.12396694214876033</v>
      </c>
      <c r="J23" s="234">
        <f t="shared" si="3"/>
        <v>15.723140495867769</v>
      </c>
      <c r="K23" s="234"/>
      <c r="L23" s="234"/>
      <c r="M23" s="234"/>
      <c r="N23" s="234"/>
      <c r="O23" s="234"/>
      <c r="P23" s="234">
        <f t="shared" si="4"/>
        <v>0.57851239669421484</v>
      </c>
      <c r="Q23" s="234">
        <f t="shared" si="5"/>
        <v>20.24793388429752</v>
      </c>
      <c r="R23" s="234"/>
      <c r="S23" s="234"/>
      <c r="T23" s="234">
        <f t="shared" si="6"/>
        <v>28.285123966942148</v>
      </c>
      <c r="U23" s="234">
        <f t="shared" si="7"/>
        <v>1.115702479338843</v>
      </c>
      <c r="V23" s="234">
        <f t="shared" si="8"/>
        <v>6.1983471074380168</v>
      </c>
      <c r="W23" s="234">
        <f t="shared" si="9"/>
        <v>3.3677685950413228</v>
      </c>
      <c r="X23" s="408">
        <f t="shared" si="10"/>
        <v>0.24793388429752067</v>
      </c>
      <c r="Y23" s="122"/>
      <c r="Z23" s="139"/>
      <c r="AA23" s="193"/>
      <c r="AB23" s="47" t="str">
        <f t="shared" si="11"/>
        <v>Southampton</v>
      </c>
      <c r="AC23" s="46">
        <v>15</v>
      </c>
      <c r="AD23" s="47" t="str">
        <f t="shared" si="12"/>
        <v>SouthamptonNumber</v>
      </c>
      <c r="AE23" s="48" t="b">
        <f t="shared" si="13"/>
        <v>0</v>
      </c>
      <c r="AF23" s="651">
        <f>IF(Year5_Southampton Year5_ReferralSource_Individual_Family="","",Year5_Southampton Year5_ReferralSource_Individual_Family)</f>
        <v>221</v>
      </c>
      <c r="AG23" s="571" t="str">
        <f>IF(Year5_Southampton Year5_ReferralSource_Individual_Acquaintance="","",Year5_Southampton Year5_ReferralSource_Individual_Acquaintance)</f>
        <v/>
      </c>
      <c r="AH23" s="571" t="str">
        <f>IF(Year5_Southampton Year5_ReferralSource_Individual_Self="","",Year5_Southampton Year5_ReferralSource_Individual_Self)</f>
        <v/>
      </c>
      <c r="AI23" s="571" t="str">
        <f>IF(Year5_Southampton Year5_ReferralSource_Individual_Other="","",Year5_Southampton Year5_ReferralSource_Individual_Other)</f>
        <v/>
      </c>
      <c r="AJ23" s="571">
        <f>IF(Year5_Southampton Year5_ReferralSource_School="","",Year5_Southampton Year5_ReferralSource_School)</f>
        <v>946</v>
      </c>
      <c r="AK23" s="570">
        <f>IF(Year5_Southampton Year5_ReferralSource_EducationServices="","",Year5_Southampton Year5_ReferralSource_EducationServices)</f>
        <v>6</v>
      </c>
      <c r="AL23" s="570">
        <f>IF(Year5_Southampton Year5_ReferralSource_Health_services_GP="","",Year5_Southampton Year5_ReferralSource_Health_services_GP)</f>
        <v>761</v>
      </c>
      <c r="AM23" s="571" t="str">
        <f>IF(Year5_Southampton Year5_ReferralSource_Health_services_HealthVisitor="","",Year5_Southampton Year5_ReferralSource_Health_services_HealthVisitor)</f>
        <v/>
      </c>
      <c r="AN23" s="571" t="str">
        <f>IF(Year5_Southampton Year5_ReferralSource_Health_services_SchoolNurse="","",Year5_Southampton Year5_ReferralSource_Health_services_SchoolNurse)</f>
        <v/>
      </c>
      <c r="AO23" s="571" t="str">
        <f>IF(Year5_Southampton Year5_ReferralSource_Health_services_OthPrimary="","",Year5_Southampton Year5_ReferralSource_Health_services_OthPrimary)</f>
        <v/>
      </c>
      <c r="AP23" s="571" t="str">
        <f>IF(Year5_Southampton Year5_ReferralSource_Health_services_AE="","",Year5_Southampton Year5_ReferralSource_Health_services_AE)</f>
        <v/>
      </c>
      <c r="AQ23" s="571" t="str">
        <f>IF(Year5_Southampton Year5_ReferralSource_Health_services_Other="","",Year5_Southampton Year5_ReferralSource_Health_services_Other)</f>
        <v/>
      </c>
      <c r="AR23" s="570">
        <f>IF(Year5_Southampton Year5_ReferralSource_Housing="","",Year5_Southampton Year5_ReferralSource_Housing)</f>
        <v>28</v>
      </c>
      <c r="AS23" s="570">
        <f>IF(Year5_Southampton Year5_ReferralSource_LA_SC="","",Year5_Southampton Year5_ReferralSource_LA_SC)</f>
        <v>980</v>
      </c>
      <c r="AT23" s="571" t="str">
        <f>IF(Year5_Southampton Year5_ReferralSource_LA_Other="","",Year5_Southampton Year5_ReferralSource_LA_Other)</f>
        <v/>
      </c>
      <c r="AU23" s="571" t="str">
        <f>IF(Year5_Southampton Year5_ReferralSource_LA_External="","",Year5_Southampton Year5_ReferralSource_LA_External)</f>
        <v/>
      </c>
      <c r="AV23" s="570">
        <f>IF(Year5_Southampton Year5_ReferralSource_Police="","",Year5_Southampton Year5_ReferralSource_Police)</f>
        <v>1369</v>
      </c>
      <c r="AW23" s="570">
        <f>IF(Year5_Southampton Year5_ReferralSource_Other_Legal="","",Year5_Southampton Year5_ReferralSource_Other_Legal)</f>
        <v>54</v>
      </c>
      <c r="AX23" s="570">
        <f>IF(Year5_Southampton Year5_ReferralSource_Other="","",Year5_Southampton Year5_ReferralSource_Other)</f>
        <v>300</v>
      </c>
      <c r="AY23" s="570">
        <f>IF(Year5_Southampton Year5_ReferralSource_Anonymous="","",Year5_Southampton Year5_ReferralSource_Anonymous)</f>
        <v>163</v>
      </c>
      <c r="AZ23" s="570">
        <f>IF(Year5_Southampton Year5_ReferralSource_Unknown="","",Year5_Southampton Year5_ReferralSource_Unknown)</f>
        <v>12</v>
      </c>
      <c r="BA23" s="56">
        <f t="shared" si="14"/>
        <v>4840</v>
      </c>
      <c r="BB23" s="87">
        <f>IF(BA23&gt;0,Population!H24,0)</f>
        <v>51300</v>
      </c>
      <c r="BC23" s="146">
        <f t="shared" si="15"/>
        <v>943.46978557504872</v>
      </c>
    </row>
    <row r="24" spans="1:65" s="87" customFormat="1" ht="13.5" hidden="1" customHeight="1" x14ac:dyDescent="0.2">
      <c r="A24" s="488">
        <f>VLOOKUP(B24,Sheet1!$AQ$4:$AR$25,2,FALSE)</f>
        <v>0</v>
      </c>
      <c r="B24" s="93" t="str">
        <f>Sheet1!$K$19</f>
        <v>Surrey</v>
      </c>
      <c r="C24" s="85"/>
      <c r="D24" s="234">
        <f t="shared" si="0"/>
        <v>7.1956802441601129</v>
      </c>
      <c r="E24" s="234"/>
      <c r="F24" s="234"/>
      <c r="G24" s="234"/>
      <c r="H24" s="234">
        <f t="shared" si="1"/>
        <v>18.006808310834604</v>
      </c>
      <c r="I24" s="234">
        <f t="shared" si="2"/>
        <v>1.1855851625777674</v>
      </c>
      <c r="J24" s="234">
        <f t="shared" si="3"/>
        <v>15.776499589153655</v>
      </c>
      <c r="K24" s="234"/>
      <c r="L24" s="234"/>
      <c r="M24" s="234"/>
      <c r="N24" s="234"/>
      <c r="O24" s="234"/>
      <c r="P24" s="234">
        <f t="shared" si="4"/>
        <v>1.1855851625777674</v>
      </c>
      <c r="Q24" s="234">
        <f t="shared" si="5"/>
        <v>12.513205775325742</v>
      </c>
      <c r="R24" s="234"/>
      <c r="S24" s="234"/>
      <c r="T24" s="234">
        <f t="shared" si="6"/>
        <v>33.384200023476936</v>
      </c>
      <c r="U24" s="234">
        <f t="shared" si="7"/>
        <v>3.5215400868646549</v>
      </c>
      <c r="V24" s="234">
        <f t="shared" si="8"/>
        <v>4.484094377274328</v>
      </c>
      <c r="W24" s="234">
        <f t="shared" si="9"/>
        <v>2.7468012677544311</v>
      </c>
      <c r="X24" s="408">
        <f t="shared" si="10"/>
        <v>0</v>
      </c>
      <c r="Y24" s="122"/>
      <c r="Z24" s="139"/>
      <c r="AA24" s="193"/>
      <c r="AB24" s="47" t="str">
        <f t="shared" si="11"/>
        <v>Surrey</v>
      </c>
      <c r="AC24" s="46">
        <v>16</v>
      </c>
      <c r="AD24" s="47" t="str">
        <f t="shared" si="12"/>
        <v>SurreyNumber</v>
      </c>
      <c r="AE24" s="48" t="b">
        <f t="shared" si="13"/>
        <v>0</v>
      </c>
      <c r="AF24" s="546">
        <f>IF(Year5_Surrey Year5_ReferralSource_Individual_Family="","",Year5_Surrey Year5_ReferralSource_Individual_Family)</f>
        <v>613</v>
      </c>
      <c r="AG24" s="547" t="str">
        <f>IF(Year5_Surrey Year5_ReferralSource_Individual_Acquaintance="","",Year5_Surrey Year5_ReferralSource_Individual_Acquaintance)</f>
        <v/>
      </c>
      <c r="AH24" s="547" t="str">
        <f>IF(Year5_Surrey Year5_ReferralSource_Individual_Self="","",Year5_Surrey Year5_ReferralSource_Individual_Self)</f>
        <v/>
      </c>
      <c r="AI24" s="547" t="str">
        <f>IF(Year5_Surrey Year5_ReferralSource_Individual_Other="","",Year5_Surrey Year5_ReferralSource_Individual_Other)</f>
        <v/>
      </c>
      <c r="AJ24" s="547">
        <f>IF(Year5_Surrey Year5_ReferralSource_School="","",Year5_Surrey Year5_ReferralSource_School)</f>
        <v>1534</v>
      </c>
      <c r="AK24" s="547">
        <f>IF(Year5_Surrey Year5_ReferralSource_EducationServices="","",Year5_Surrey Year5_ReferralSource_EducationServices)</f>
        <v>101</v>
      </c>
      <c r="AL24" s="547">
        <f>IF(Year5_Surrey Year5_ReferralSource_Health_services_GP="","",Year5_Surrey Year5_ReferralSource_Health_services_GP)</f>
        <v>1344</v>
      </c>
      <c r="AM24" s="547" t="str">
        <f>IF(Year5_Surrey Year5_ReferralSource_Health_services_HealthVisitor="","",Year5_Surrey Year5_ReferralSource_Health_services_HealthVisitor)</f>
        <v/>
      </c>
      <c r="AN24" s="547" t="str">
        <f>IF(Year5_Surrey Year5_ReferralSource_Health_services_SchoolNurse="","",Year5_Surrey Year5_ReferralSource_Health_services_SchoolNurse)</f>
        <v/>
      </c>
      <c r="AO24" s="547" t="str">
        <f>IF(Year5_Surrey Year5_ReferralSource_Health_services_OthPrimary="","",Year5_Surrey Year5_ReferralSource_Health_services_OthPrimary)</f>
        <v/>
      </c>
      <c r="AP24" s="547" t="str">
        <f>IF(Year5_Surrey Year5_ReferralSource_Health_services_AE="","",Year5_Surrey Year5_ReferralSource_Health_services_AE)</f>
        <v/>
      </c>
      <c r="AQ24" s="547" t="str">
        <f>IF(Year5_Surrey Year5_ReferralSource_Health_services_Other="","",Year5_Surrey Year5_ReferralSource_Health_services_Other)</f>
        <v/>
      </c>
      <c r="AR24" s="547">
        <f>IF(Year5_Surrey Year5_ReferralSource_Housing="","",Year5_Surrey Year5_ReferralSource_Housing)</f>
        <v>101</v>
      </c>
      <c r="AS24" s="547">
        <f>IF(Year5_Surrey Year5_ReferralSource_LA_SC="","",Year5_Surrey Year5_ReferralSource_LA_SC)</f>
        <v>1066</v>
      </c>
      <c r="AT24" s="547" t="str">
        <f>IF(Year5_Surrey Year5_ReferralSource_LA_Other="","",Year5_Surrey Year5_ReferralSource_LA_Other)</f>
        <v/>
      </c>
      <c r="AU24" s="547" t="str">
        <f>IF(Year5_Surrey Year5_ReferralSource_LA_External="","",Year5_Surrey Year5_ReferralSource_LA_External)</f>
        <v/>
      </c>
      <c r="AV24" s="547">
        <f>IF(Year5_Surrey Year5_ReferralSource_Police="","",Year5_Surrey Year5_ReferralSource_Police)</f>
        <v>2844</v>
      </c>
      <c r="AW24" s="547">
        <f>IF(Year5_Surrey Year5_ReferralSource_Other_Legal="","",Year5_Surrey Year5_ReferralSource_Other_Legal)</f>
        <v>300</v>
      </c>
      <c r="AX24" s="547">
        <f>IF(Year5_Surrey Year5_ReferralSource_Other="","",Year5_Surrey Year5_ReferralSource_Other)</f>
        <v>382</v>
      </c>
      <c r="AY24" s="547">
        <f>IF(Year5_Surrey Year5_ReferralSource_Anonymous="","",Year5_Surrey Year5_ReferralSource_Anonymous)</f>
        <v>234</v>
      </c>
      <c r="AZ24" s="548">
        <f>IF(Year5_Surrey Year5_ReferralSource_Unknown="","",Year5_Surrey Year5_ReferralSource_Unknown)</f>
        <v>0</v>
      </c>
      <c r="BA24" s="56">
        <f t="shared" si="14"/>
        <v>8519</v>
      </c>
      <c r="BB24" s="87">
        <f>IF(BA24&gt;0,Population!H25,0)</f>
        <v>263800</v>
      </c>
      <c r="BC24" s="146">
        <f t="shared" si="15"/>
        <v>322.93404094010617</v>
      </c>
    </row>
    <row r="25" spans="1:65" s="87" customFormat="1" ht="13.5" hidden="1" customHeight="1" x14ac:dyDescent="0.2">
      <c r="A25" s="488">
        <f>VLOOKUP(B25,Sheet1!$AQ$4:$AR$25,2,FALSE)</f>
        <v>0</v>
      </c>
      <c r="B25" s="93" t="str">
        <f>Sheet1!$K$20</f>
        <v>Swindon</v>
      </c>
      <c r="C25" s="85"/>
      <c r="D25" s="234">
        <f t="shared" si="0"/>
        <v>5.9484467944481167</v>
      </c>
      <c r="E25" s="234"/>
      <c r="F25" s="234"/>
      <c r="G25" s="234"/>
      <c r="H25" s="234">
        <f t="shared" si="1"/>
        <v>17.977528089887642</v>
      </c>
      <c r="I25" s="234">
        <f t="shared" si="2"/>
        <v>0.19828155981493722</v>
      </c>
      <c r="J25" s="234">
        <f t="shared" si="3"/>
        <v>14.937210839391938</v>
      </c>
      <c r="K25" s="234"/>
      <c r="L25" s="234"/>
      <c r="M25" s="234"/>
      <c r="N25" s="234"/>
      <c r="O25" s="234"/>
      <c r="P25" s="234">
        <f t="shared" si="4"/>
        <v>1.0905485789821545</v>
      </c>
      <c r="Q25" s="234">
        <f t="shared" si="5"/>
        <v>8.9226701916721751</v>
      </c>
      <c r="R25" s="234"/>
      <c r="S25" s="234"/>
      <c r="T25" s="234">
        <f t="shared" si="6"/>
        <v>37.739590218109711</v>
      </c>
      <c r="U25" s="234">
        <f t="shared" si="7"/>
        <v>4.7257105089226705</v>
      </c>
      <c r="V25" s="234">
        <f t="shared" si="8"/>
        <v>3.2716457369464638</v>
      </c>
      <c r="W25" s="234">
        <f t="shared" si="9"/>
        <v>2.5115664243225382</v>
      </c>
      <c r="X25" s="408">
        <f t="shared" si="10"/>
        <v>2.6768010575016521</v>
      </c>
      <c r="Y25" s="122"/>
      <c r="Z25" s="139"/>
      <c r="AA25" s="193"/>
      <c r="AB25" s="47" t="str">
        <f t="shared" si="11"/>
        <v>Swindon</v>
      </c>
      <c r="AC25" s="46">
        <v>17</v>
      </c>
      <c r="AD25" s="47" t="str">
        <f t="shared" si="12"/>
        <v>SwindonNumber</v>
      </c>
      <c r="AE25" s="48" t="b">
        <f t="shared" si="13"/>
        <v>0</v>
      </c>
      <c r="AF25" s="649">
        <f>IF(Year5_Swindon Year5_ReferralSource_Individual_Family="","",Year5_Swindon Year5_ReferralSource_Individual_Family)</f>
        <v>180</v>
      </c>
      <c r="AG25" s="569" t="str">
        <f>IF(Year5_Swindon Year5_ReferralSource_Individual_Acquaintance="","",Year5_Swindon Year5_ReferralSource_Individual_Acquaintance)</f>
        <v/>
      </c>
      <c r="AH25" s="569" t="str">
        <f>IF(Year5_Swindon Year5_ReferralSource_Individual_Self="","",Year5_Swindon Year5_ReferralSource_Individual_Self)</f>
        <v/>
      </c>
      <c r="AI25" s="569" t="str">
        <f>IF(Year5_Swindon Year5_ReferralSource_Individual_Other="","",Year5_Swindon Year5_ReferralSource_Individual_Other)</f>
        <v/>
      </c>
      <c r="AJ25" s="569">
        <f>IF(Year5_Swindon Year5_ReferralSource_School="","",Year5_Swindon Year5_ReferralSource_School)</f>
        <v>544</v>
      </c>
      <c r="AK25" s="569">
        <f>IF(Year5_Swindon Year5_ReferralSource_EducationServices="","",Year5_Swindon Year5_ReferralSource_EducationServices)</f>
        <v>6</v>
      </c>
      <c r="AL25" s="569">
        <f>IF(Year5_Swindon Year5_ReferralSource_Health_services_GP="","",Year5_Swindon Year5_ReferralSource_Health_services_GP)</f>
        <v>452</v>
      </c>
      <c r="AM25" s="569" t="str">
        <f>IF(Year5_Swindon Year5_ReferralSource_Health_services_HealthVisitor="","",Year5_Swindon Year5_ReferralSource_Health_services_HealthVisitor)</f>
        <v/>
      </c>
      <c r="AN25" s="569" t="str">
        <f>IF(Year5_Swindon Year5_ReferralSource_Health_services_SchoolNurse="","",Year5_Swindon Year5_ReferralSource_Health_services_SchoolNurse)</f>
        <v/>
      </c>
      <c r="AO25" s="569" t="str">
        <f>IF(Year5_Swindon Year5_ReferralSource_Health_services_OthPrimary="","",Year5_Swindon Year5_ReferralSource_Health_services_OthPrimary)</f>
        <v/>
      </c>
      <c r="AP25" s="569" t="str">
        <f>IF(Year5_Swindon Year5_ReferralSource_Health_services_AE="","",Year5_Swindon Year5_ReferralSource_Health_services_AE)</f>
        <v/>
      </c>
      <c r="AQ25" s="569" t="str">
        <f>IF(Year5_Swindon Year5_ReferralSource_Health_services_Other="","",Year5_Swindon Year5_ReferralSource_Health_services_Other)</f>
        <v/>
      </c>
      <c r="AR25" s="569">
        <f>IF(Year5_Swindon Year5_ReferralSource_Housing="","",Year5_Swindon Year5_ReferralSource_Housing)</f>
        <v>33</v>
      </c>
      <c r="AS25" s="569">
        <f>IF(Year5_Swindon Year5_ReferralSource_LA_SC="","",Year5_Swindon Year5_ReferralSource_LA_SC)</f>
        <v>270</v>
      </c>
      <c r="AT25" s="569" t="str">
        <f>IF(Year5_Swindon Year5_ReferralSource_LA_Other="","",Year5_Swindon Year5_ReferralSource_LA_Other)</f>
        <v/>
      </c>
      <c r="AU25" s="569" t="str">
        <f>IF(Year5_Swindon Year5_ReferralSource_LA_External="","",Year5_Swindon Year5_ReferralSource_LA_External)</f>
        <v/>
      </c>
      <c r="AV25" s="569">
        <f>IF(Year5_Swindon Year5_ReferralSource_Police="","",Year5_Swindon Year5_ReferralSource_Police)</f>
        <v>1142</v>
      </c>
      <c r="AW25" s="569">
        <f>IF(Year5_Swindon Year5_ReferralSource_Other_Legal="","",Year5_Swindon Year5_ReferralSource_Other_Legal)</f>
        <v>143</v>
      </c>
      <c r="AX25" s="569">
        <f>IF(Year5_Swindon Year5_ReferralSource_Other="","",Year5_Swindon Year5_ReferralSource_Other)</f>
        <v>99</v>
      </c>
      <c r="AY25" s="569">
        <f>IF(Year5_Swindon Year5_ReferralSource_Anonymous="","",Year5_Swindon Year5_ReferralSource_Anonymous)</f>
        <v>76</v>
      </c>
      <c r="AZ25" s="569">
        <f>IF(Year5_Swindon Year5_ReferralSource_Unknown="","",Year5_Swindon Year5_ReferralSource_Unknown)</f>
        <v>81</v>
      </c>
      <c r="BA25" s="56">
        <f t="shared" si="14"/>
        <v>3026</v>
      </c>
      <c r="BB25" s="87">
        <f>IF(BA25&gt;0,Population!H26,0)</f>
        <v>50400</v>
      </c>
      <c r="BC25" s="146">
        <f t="shared" si="15"/>
        <v>600.39682539682542</v>
      </c>
    </row>
    <row r="26" spans="1:65" s="87" customFormat="1" ht="13.5" hidden="1" customHeight="1" x14ac:dyDescent="0.2">
      <c r="A26" s="488">
        <f>VLOOKUP(B26,Sheet1!$AQ$4:$AR$25,2,FALSE)</f>
        <v>0</v>
      </c>
      <c r="B26" s="93" t="str">
        <f>Sheet1!$K$21</f>
        <v>Torbay</v>
      </c>
      <c r="C26" s="85"/>
      <c r="D26" s="234">
        <f t="shared" si="0"/>
        <v>7.4731182795698929</v>
      </c>
      <c r="E26" s="234"/>
      <c r="F26" s="234"/>
      <c r="G26" s="234"/>
      <c r="H26" s="234">
        <f t="shared" si="1"/>
        <v>16.021505376344088</v>
      </c>
      <c r="I26" s="234" t="e">
        <f t="shared" si="2"/>
        <v>#N/A</v>
      </c>
      <c r="J26" s="234">
        <f t="shared" si="3"/>
        <v>10.698924731182796</v>
      </c>
      <c r="K26" s="234"/>
      <c r="L26" s="234"/>
      <c r="M26" s="234"/>
      <c r="N26" s="234"/>
      <c r="O26" s="234"/>
      <c r="P26" s="234" t="e">
        <f t="shared" si="4"/>
        <v>#N/A</v>
      </c>
      <c r="Q26" s="234">
        <f t="shared" si="5"/>
        <v>23.387096774193548</v>
      </c>
      <c r="R26" s="234"/>
      <c r="S26" s="234"/>
      <c r="T26" s="234">
        <f t="shared" si="6"/>
        <v>27.956989247311824</v>
      </c>
      <c r="U26" s="234">
        <f t="shared" si="7"/>
        <v>1.5591397849462365</v>
      </c>
      <c r="V26" s="234">
        <f t="shared" si="8"/>
        <v>8.172043010752688</v>
      </c>
      <c r="W26" s="234">
        <f t="shared" si="9"/>
        <v>3.6021505376344085</v>
      </c>
      <c r="X26" s="408">
        <f t="shared" si="10"/>
        <v>1.129032258064516</v>
      </c>
      <c r="Y26" s="122"/>
      <c r="Z26" s="139"/>
      <c r="AA26" s="193"/>
      <c r="AB26" s="47" t="str">
        <f t="shared" si="11"/>
        <v>Torbay</v>
      </c>
      <c r="AC26" s="46">
        <v>18</v>
      </c>
      <c r="AD26" s="47" t="str">
        <f t="shared" si="12"/>
        <v>TorbayNumber</v>
      </c>
      <c r="AE26" s="48" t="b">
        <f t="shared" si="13"/>
        <v>0</v>
      </c>
      <c r="AF26" s="649">
        <f>IF(Year5_Torbay Year5_ReferralSource_Individual_Family="","",Year5_Torbay Year5_ReferralSource_Individual_Family)</f>
        <v>139</v>
      </c>
      <c r="AG26" s="569" t="str">
        <f>IF(Year5_Torbay Year5_ReferralSource_Individual_Acquaintance="","",Year5_Torbay Year5_ReferralSource_Individual_Acquaintance)</f>
        <v/>
      </c>
      <c r="AH26" s="569" t="str">
        <f>IF(Year5_Torbay Year5_ReferralSource_Individual_Self="","",Year5_Torbay Year5_ReferralSource_Individual_Self)</f>
        <v/>
      </c>
      <c r="AI26" s="569" t="str">
        <f>IF(Year5_Torbay Year5_ReferralSource_Individual_Other="","",Year5_Torbay Year5_ReferralSource_Individual_Other)</f>
        <v/>
      </c>
      <c r="AJ26" s="569">
        <f>IF(Year5_Torbay Year5_ReferralSource_School="","",Year5_Torbay Year5_ReferralSource_School)</f>
        <v>298</v>
      </c>
      <c r="AK26" s="569" t="str">
        <f>IF(Year5_Torbay Year5_ReferralSource_EducationServices="","",Year5_Torbay Year5_ReferralSource_EducationServices)</f>
        <v>c</v>
      </c>
      <c r="AL26" s="569">
        <f>IF(Year5_Torbay Year5_ReferralSource_Health_services_GP="","",Year5_Torbay Year5_ReferralSource_Health_services_GP)</f>
        <v>199</v>
      </c>
      <c r="AM26" s="569" t="str">
        <f>IF(Year5_Torbay Year5_ReferralSource_Health_services_HealthVisitor="","",Year5_Torbay Year5_ReferralSource_Health_services_HealthVisitor)</f>
        <v/>
      </c>
      <c r="AN26" s="569" t="str">
        <f>IF(Year5_Torbay Year5_ReferralSource_Health_services_SchoolNurse="","",Year5_Torbay Year5_ReferralSource_Health_services_SchoolNurse)</f>
        <v/>
      </c>
      <c r="AO26" s="569" t="str">
        <f>IF(Year5_Torbay Year5_ReferralSource_Health_services_OthPrimary="","",Year5_Torbay Year5_ReferralSource_Health_services_OthPrimary)</f>
        <v/>
      </c>
      <c r="AP26" s="569" t="str">
        <f>IF(Year5_Torbay Year5_ReferralSource_Health_services_AE="","",Year5_Torbay Year5_ReferralSource_Health_services_AE)</f>
        <v/>
      </c>
      <c r="AQ26" s="569" t="str">
        <f>IF(Year5_Torbay Year5_ReferralSource_Health_services_Other="","",Year5_Torbay Year5_ReferralSource_Health_services_Other)</f>
        <v/>
      </c>
      <c r="AR26" s="569" t="str">
        <f>IF(Year5_Torbay Year5_ReferralSource_Housing="","",Year5_Torbay Year5_ReferralSource_Housing)</f>
        <v>c</v>
      </c>
      <c r="AS26" s="569">
        <f>IF(Year5_Torbay Year5_ReferralSource_LA_SC="","",Year5_Torbay Year5_ReferralSource_LA_SC)</f>
        <v>435</v>
      </c>
      <c r="AT26" s="569" t="str">
        <f>IF(Year5_Torbay Year5_ReferralSource_LA_Other="","",Year5_Torbay Year5_ReferralSource_LA_Other)</f>
        <v/>
      </c>
      <c r="AU26" s="569" t="str">
        <f>IF(Year5_Torbay Year5_ReferralSource_LA_External="","",Year5_Torbay Year5_ReferralSource_LA_External)</f>
        <v/>
      </c>
      <c r="AV26" s="569">
        <f>IF(Year5_Torbay Year5_ReferralSource_Police="","",Year5_Torbay Year5_ReferralSource_Police)</f>
        <v>520</v>
      </c>
      <c r="AW26" s="569">
        <f>IF(Year5_Torbay Year5_ReferralSource_Other_Legal="","",Year5_Torbay Year5_ReferralSource_Other_Legal)</f>
        <v>29</v>
      </c>
      <c r="AX26" s="569">
        <f>IF(Year5_Torbay Year5_ReferralSource_Other="","",Year5_Torbay Year5_ReferralSource_Other)</f>
        <v>152</v>
      </c>
      <c r="AY26" s="569">
        <f>IF(Year5_Torbay Year5_ReferralSource_Anonymous="","",Year5_Torbay Year5_ReferralSource_Anonymous)</f>
        <v>67</v>
      </c>
      <c r="AZ26" s="569">
        <f>IF(Year5_Torbay Year5_ReferralSource_Unknown="","",Year5_Torbay Year5_ReferralSource_Unknown)</f>
        <v>21</v>
      </c>
      <c r="BA26" s="56">
        <f t="shared" si="14"/>
        <v>1860</v>
      </c>
      <c r="BB26" s="87">
        <f>IF(BA26&gt;0,Population!H27,0)</f>
        <v>25600</v>
      </c>
      <c r="BC26" s="146">
        <f t="shared" si="15"/>
        <v>726.5625</v>
      </c>
    </row>
    <row r="27" spans="1:65" s="87" customFormat="1" ht="13.5" hidden="1" customHeight="1" x14ac:dyDescent="0.2">
      <c r="A27" s="488">
        <f>VLOOKUP(B27,Sheet1!$AQ$4:$AR$25,2,FALSE)</f>
        <v>0</v>
      </c>
      <c r="B27" s="93" t="str">
        <f>Sheet1!$K$22</f>
        <v>West Berkshire</v>
      </c>
      <c r="C27" s="85"/>
      <c r="D27" s="234">
        <f t="shared" si="0"/>
        <v>13.663845223700122</v>
      </c>
      <c r="E27" s="234"/>
      <c r="F27" s="234"/>
      <c r="G27" s="234"/>
      <c r="H27" s="234">
        <f t="shared" si="1"/>
        <v>21.221281741233376</v>
      </c>
      <c r="I27" s="234">
        <f t="shared" si="2"/>
        <v>3.0229746070133015</v>
      </c>
      <c r="J27" s="234">
        <f t="shared" si="3"/>
        <v>11.910519951632406</v>
      </c>
      <c r="K27" s="234"/>
      <c r="L27" s="234"/>
      <c r="M27" s="234"/>
      <c r="N27" s="234"/>
      <c r="O27" s="234"/>
      <c r="P27" s="234">
        <f t="shared" si="4"/>
        <v>1.3301088270858523</v>
      </c>
      <c r="Q27" s="234">
        <f t="shared" si="5"/>
        <v>16.807738814993954</v>
      </c>
      <c r="R27" s="234"/>
      <c r="S27" s="234"/>
      <c r="T27" s="234">
        <f t="shared" si="6"/>
        <v>24.365175332527205</v>
      </c>
      <c r="U27" s="234">
        <f t="shared" si="7"/>
        <v>1.9951632406287789</v>
      </c>
      <c r="V27" s="234">
        <f t="shared" si="8"/>
        <v>3.2043530834340994</v>
      </c>
      <c r="W27" s="234">
        <f t="shared" si="9"/>
        <v>1.9951632406287789</v>
      </c>
      <c r="X27" s="408">
        <f t="shared" si="10"/>
        <v>0.48367593712212814</v>
      </c>
      <c r="Y27" s="122"/>
      <c r="Z27" s="139"/>
      <c r="AA27" s="193"/>
      <c r="AB27" s="47" t="str">
        <f t="shared" si="11"/>
        <v>West Berkshire</v>
      </c>
      <c r="AC27" s="46">
        <v>19</v>
      </c>
      <c r="AD27" s="47" t="str">
        <f t="shared" si="12"/>
        <v>West BerkshireNumber</v>
      </c>
      <c r="AE27" s="48" t="b">
        <f t="shared" si="13"/>
        <v>0</v>
      </c>
      <c r="AF27" s="649">
        <f>IF(Year5_West_Berkshire Year5_ReferralSource_Individual_Family="","",Year5_West_Berkshire Year5_ReferralSource_Individual_Family)</f>
        <v>226</v>
      </c>
      <c r="AG27" s="569" t="str">
        <f>IF(Year5_West_Berkshire Year5_ReferralSource_Individual_Acquaintance="","",Year5_West_Berkshire Year5_ReferralSource_Individual_Acquaintance)</f>
        <v/>
      </c>
      <c r="AH27" s="569" t="str">
        <f>IF(Year5_West_Berkshire Year5_ReferralSource_Individual_Self="","",Year5_West_Berkshire Year5_ReferralSource_Individual_Self)</f>
        <v/>
      </c>
      <c r="AI27" s="569" t="str">
        <f>IF(Year5_West_Berkshire Year5_ReferralSource_Individual_Other="","",Year5_West_Berkshire Year5_ReferralSource_Individual_Other)</f>
        <v/>
      </c>
      <c r="AJ27" s="569">
        <f>IF(Year5_West_Berkshire Year5_ReferralSource_School="","",Year5_West_Berkshire Year5_ReferralSource_School)</f>
        <v>351</v>
      </c>
      <c r="AK27" s="569">
        <f>IF(Year5_West_Berkshire Year5_ReferralSource_EducationServices="","",Year5_West_Berkshire Year5_ReferralSource_EducationServices)</f>
        <v>50</v>
      </c>
      <c r="AL27" s="569">
        <f>IF(Year5_West_Berkshire Year5_ReferralSource_Health_services_GP="","",Year5_West_Berkshire Year5_ReferralSource_Health_services_GP)</f>
        <v>197</v>
      </c>
      <c r="AM27" s="569" t="str">
        <f>IF(Year5_West_Berkshire Year5_ReferralSource_Health_services_HealthVisitor="","",Year5_West_Berkshire Year5_ReferralSource_Health_services_HealthVisitor)</f>
        <v/>
      </c>
      <c r="AN27" s="569" t="str">
        <f>IF(Year5_West_Berkshire Year5_ReferralSource_Health_services_SchoolNurse="","",Year5_West_Berkshire Year5_ReferralSource_Health_services_SchoolNurse)</f>
        <v/>
      </c>
      <c r="AO27" s="569" t="str">
        <f>IF(Year5_West_Berkshire Year5_ReferralSource_Health_services_OthPrimary="","",Year5_West_Berkshire Year5_ReferralSource_Health_services_OthPrimary)</f>
        <v/>
      </c>
      <c r="AP27" s="569" t="str">
        <f>IF(Year5_West_Berkshire Year5_ReferralSource_Health_services_AE="","",Year5_West_Berkshire Year5_ReferralSource_Health_services_AE)</f>
        <v/>
      </c>
      <c r="AQ27" s="569" t="str">
        <f>IF(Year5_West_Berkshire Year5_ReferralSource_Health_services_Other="","",Year5_West_Berkshire Year5_ReferralSource_Health_services_Other)</f>
        <v/>
      </c>
      <c r="AR27" s="569">
        <f>IF(Year5_West_Berkshire Year5_ReferralSource_Housing="","",Year5_West_Berkshire Year5_ReferralSource_Housing)</f>
        <v>22</v>
      </c>
      <c r="AS27" s="569">
        <f>IF(Year5_West_Berkshire Year5_ReferralSource_LA_SC="","",Year5_West_Berkshire Year5_ReferralSource_LA_SC)</f>
        <v>278</v>
      </c>
      <c r="AT27" s="569" t="str">
        <f>IF(Year5_West_Berkshire Year5_ReferralSource_LA_Other="","",Year5_West_Berkshire Year5_ReferralSource_LA_Other)</f>
        <v/>
      </c>
      <c r="AU27" s="569" t="str">
        <f>IF(Year5_West_Berkshire Year5_ReferralSource_LA_External="","",Year5_West_Berkshire Year5_ReferralSource_LA_External)</f>
        <v/>
      </c>
      <c r="AV27" s="569">
        <f>IF(Year5_West_Berkshire Year5_ReferralSource_Police="","",Year5_West_Berkshire Year5_ReferralSource_Police)</f>
        <v>403</v>
      </c>
      <c r="AW27" s="569">
        <f>IF(Year5_West_Berkshire Year5_ReferralSource_Other_Legal="","",Year5_West_Berkshire Year5_ReferralSource_Other_Legal)</f>
        <v>33</v>
      </c>
      <c r="AX27" s="569">
        <f>IF(Year5_West_Berkshire Year5_ReferralSource_Other="","",Year5_West_Berkshire Year5_ReferralSource_Other)</f>
        <v>53</v>
      </c>
      <c r="AY27" s="569">
        <f>IF(Year5_West_Berkshire Year5_ReferralSource_Anonymous="","",Year5_West_Berkshire Year5_ReferralSource_Anonymous)</f>
        <v>33</v>
      </c>
      <c r="AZ27" s="569">
        <f>IF(Year5_West_Berkshire Year5_ReferralSource_Unknown="","",Year5_West_Berkshire Year5_ReferralSource_Unknown)</f>
        <v>8</v>
      </c>
      <c r="BA27" s="56">
        <f t="shared" si="14"/>
        <v>1654</v>
      </c>
      <c r="BB27" s="87">
        <f>IF(BA27&gt;0,Population!H28,0)</f>
        <v>35600</v>
      </c>
      <c r="BC27" s="146">
        <f t="shared" si="15"/>
        <v>464.60674157303373</v>
      </c>
    </row>
    <row r="28" spans="1:65" s="87" customFormat="1" ht="13.5" hidden="1" customHeight="1" x14ac:dyDescent="0.2">
      <c r="A28" s="488">
        <f>VLOOKUP(B28,Sheet1!$AQ$4:$AR$25,2,FALSE)</f>
        <v>0</v>
      </c>
      <c r="B28" s="93" t="str">
        <f>Sheet1!$K$23</f>
        <v>West Sussex</v>
      </c>
      <c r="C28" s="85"/>
      <c r="D28" s="234">
        <f t="shared" si="0"/>
        <v>8.8061643150205153</v>
      </c>
      <c r="E28" s="234"/>
      <c r="F28" s="234"/>
      <c r="G28" s="234"/>
      <c r="H28" s="234">
        <f t="shared" si="1"/>
        <v>20.294205944160911</v>
      </c>
      <c r="I28" s="234">
        <f t="shared" si="2"/>
        <v>0</v>
      </c>
      <c r="J28" s="234">
        <f t="shared" si="3"/>
        <v>13.169218452917042</v>
      </c>
      <c r="K28" s="234"/>
      <c r="L28" s="234"/>
      <c r="M28" s="234"/>
      <c r="N28" s="234"/>
      <c r="O28" s="234"/>
      <c r="P28" s="234">
        <f t="shared" si="4"/>
        <v>2.0614430101070749</v>
      </c>
      <c r="Q28" s="234">
        <f t="shared" si="5"/>
        <v>17.562293605523866</v>
      </c>
      <c r="R28" s="234"/>
      <c r="S28" s="234"/>
      <c r="T28" s="234">
        <f t="shared" si="6"/>
        <v>27.979585709996996</v>
      </c>
      <c r="U28" s="234">
        <f t="shared" si="7"/>
        <v>3.4223956769738813</v>
      </c>
      <c r="V28" s="234">
        <f t="shared" si="8"/>
        <v>6.2343640548383874</v>
      </c>
      <c r="W28" s="234">
        <f t="shared" si="9"/>
        <v>0</v>
      </c>
      <c r="X28" s="408">
        <f t="shared" si="10"/>
        <v>0.47032923046132291</v>
      </c>
      <c r="Y28" s="122"/>
      <c r="Z28" s="139"/>
      <c r="AA28" s="193"/>
      <c r="AB28" s="47" t="str">
        <f t="shared" si="11"/>
        <v>West Sussex</v>
      </c>
      <c r="AC28" s="46">
        <v>20</v>
      </c>
      <c r="AD28" s="47" t="str">
        <f t="shared" si="12"/>
        <v>West SussexNumber</v>
      </c>
      <c r="AE28" s="48" t="b">
        <f t="shared" si="13"/>
        <v>0</v>
      </c>
      <c r="AF28" s="649">
        <f>IF(Year5_West_Sussex Year5_ReferralSource_Individual_Family="","",Year5_West_Sussex Year5_ReferralSource_Individual_Family)</f>
        <v>880</v>
      </c>
      <c r="AG28" s="569" t="str">
        <f>IF(Year5_West_Sussex Year5_ReferralSource_Individual_Acquaintance="","",Year5_West_Sussex Year5_ReferralSource_Individual_Acquaintance)</f>
        <v/>
      </c>
      <c r="AH28" s="569" t="str">
        <f>IF(Year5_West_Sussex Year5_ReferralSource_Individual_Self="","",Year5_West_Sussex Year5_ReferralSource_Individual_Self)</f>
        <v/>
      </c>
      <c r="AI28" s="569" t="str">
        <f>IF(Year5_West_Sussex Year5_ReferralSource_Individual_Other="","",Year5_West_Sussex Year5_ReferralSource_Individual_Other)</f>
        <v/>
      </c>
      <c r="AJ28" s="569">
        <f>IF(Year5_West_Sussex Year5_ReferralSource_School="","",Year5_West_Sussex Year5_ReferralSource_School)</f>
        <v>2028</v>
      </c>
      <c r="AK28" s="569">
        <f>IF(Year5_West_Sussex Year5_ReferralSource_EducationServices="","",Year5_West_Sussex Year5_ReferralSource_EducationServices)</f>
        <v>0</v>
      </c>
      <c r="AL28" s="569">
        <f>IF(Year5_West_Sussex Year5_ReferralSource_Health_services_GP="","",Year5_West_Sussex Year5_ReferralSource_Health_services_GP)</f>
        <v>1316</v>
      </c>
      <c r="AM28" s="569" t="str">
        <f>IF(Year5_West_Sussex Year5_ReferralSource_Health_services_HealthVisitor="","",Year5_West_Sussex Year5_ReferralSource_Health_services_HealthVisitor)</f>
        <v/>
      </c>
      <c r="AN28" s="569" t="str">
        <f>IF(Year5_West_Sussex Year5_ReferralSource_Health_services_SchoolNurse="","",Year5_West_Sussex Year5_ReferralSource_Health_services_SchoolNurse)</f>
        <v/>
      </c>
      <c r="AO28" s="569" t="str">
        <f>IF(Year5_West_Sussex Year5_ReferralSource_Health_services_OthPrimary="","",Year5_West_Sussex Year5_ReferralSource_Health_services_OthPrimary)</f>
        <v/>
      </c>
      <c r="AP28" s="569" t="str">
        <f>IF(Year5_West_Sussex Year5_ReferralSource_Health_services_AE="","",Year5_West_Sussex Year5_ReferralSource_Health_services_AE)</f>
        <v/>
      </c>
      <c r="AQ28" s="569" t="str">
        <f>IF(Year5_West_Sussex Year5_ReferralSource_Health_services_Other="","",Year5_West_Sussex Year5_ReferralSource_Health_services_Other)</f>
        <v/>
      </c>
      <c r="AR28" s="569">
        <f>IF(Year5_West_Sussex Year5_ReferralSource_Housing="","",Year5_West_Sussex Year5_ReferralSource_Housing)</f>
        <v>206</v>
      </c>
      <c r="AS28" s="569">
        <f>IF(Year5_West_Sussex Year5_ReferralSource_LA_SC="","",Year5_West_Sussex Year5_ReferralSource_LA_SC)</f>
        <v>1755</v>
      </c>
      <c r="AT28" s="569" t="str">
        <f>IF(Year5_West_Sussex Year5_ReferralSource_LA_Other="","",Year5_West_Sussex Year5_ReferralSource_LA_Other)</f>
        <v/>
      </c>
      <c r="AU28" s="569" t="str">
        <f>IF(Year5_West_Sussex Year5_ReferralSource_LA_External="","",Year5_West_Sussex Year5_ReferralSource_LA_External)</f>
        <v/>
      </c>
      <c r="AV28" s="569">
        <f>IF(Year5_West_Sussex Year5_ReferralSource_Police="","",Year5_West_Sussex Year5_ReferralSource_Police)</f>
        <v>2796</v>
      </c>
      <c r="AW28" s="569">
        <f>IF(Year5_West_Sussex Year5_ReferralSource_Other_Legal="","",Year5_West_Sussex Year5_ReferralSource_Other_Legal)</f>
        <v>342</v>
      </c>
      <c r="AX28" s="569">
        <f>IF(Year5_West_Sussex Year5_ReferralSource_Other="","",Year5_West_Sussex Year5_ReferralSource_Other)</f>
        <v>623</v>
      </c>
      <c r="AY28" s="569">
        <f>IF(Year5_West_Sussex Year5_ReferralSource_Anonymous="","",Year5_West_Sussex Year5_ReferralSource_Anonymous)</f>
        <v>0</v>
      </c>
      <c r="AZ28" s="569">
        <f>IF(Year5_West_Sussex Year5_ReferralSource_Unknown="","",Year5_West_Sussex Year5_ReferralSource_Unknown)</f>
        <v>47</v>
      </c>
      <c r="BA28" s="56">
        <f t="shared" si="14"/>
        <v>9993</v>
      </c>
      <c r="BB28" s="87">
        <f>IF(BA28&gt;0,Population!H29,0)</f>
        <v>176100</v>
      </c>
      <c r="BC28" s="146">
        <f t="shared" si="15"/>
        <v>567.4616695059625</v>
      </c>
    </row>
    <row r="29" spans="1:65" s="87" customFormat="1" ht="13.5" hidden="1" customHeight="1" x14ac:dyDescent="0.2">
      <c r="A29" s="488">
        <f>VLOOKUP(B29,Sheet1!$AQ$4:$AR$25,2,FALSE)</f>
        <v>0</v>
      </c>
      <c r="B29" s="93" t="str">
        <f>Sheet1!$K$24</f>
        <v>Windsor &amp; Maidenhead</v>
      </c>
      <c r="C29" s="85"/>
      <c r="D29" s="234">
        <f t="shared" si="0"/>
        <v>7.1533923303834808</v>
      </c>
      <c r="E29" s="234"/>
      <c r="F29" s="234"/>
      <c r="G29" s="234"/>
      <c r="H29" s="234">
        <f t="shared" si="1"/>
        <v>20.943952802359885</v>
      </c>
      <c r="I29" s="234">
        <f t="shared" si="2"/>
        <v>0</v>
      </c>
      <c r="J29" s="234">
        <f t="shared" si="3"/>
        <v>12.094395280235988</v>
      </c>
      <c r="K29" s="234"/>
      <c r="L29" s="234"/>
      <c r="M29" s="234"/>
      <c r="N29" s="234"/>
      <c r="O29" s="234"/>
      <c r="P29" s="234">
        <f t="shared" si="4"/>
        <v>1.1061946902654867</v>
      </c>
      <c r="Q29" s="234">
        <f t="shared" si="5"/>
        <v>11.725663716814159</v>
      </c>
      <c r="R29" s="234"/>
      <c r="S29" s="234"/>
      <c r="T29" s="234">
        <f t="shared" si="6"/>
        <v>37.315634218289084</v>
      </c>
      <c r="U29" s="234">
        <f t="shared" si="7"/>
        <v>1.3274336283185841</v>
      </c>
      <c r="V29" s="234">
        <f t="shared" si="8"/>
        <v>5.2359882005899712</v>
      </c>
      <c r="W29" s="234">
        <f t="shared" si="9"/>
        <v>3.0973451327433628</v>
      </c>
      <c r="X29" s="408">
        <f t="shared" si="10"/>
        <v>0</v>
      </c>
      <c r="Y29" s="122"/>
      <c r="Z29" s="139"/>
      <c r="AA29" s="193"/>
      <c r="AB29" s="47" t="str">
        <f t="shared" si="11"/>
        <v>Windsor &amp; Maidenhead</v>
      </c>
      <c r="AC29" s="46">
        <v>21</v>
      </c>
      <c r="AD29" s="47" t="str">
        <f t="shared" si="12"/>
        <v>Windsor &amp; MaidenheadNumber</v>
      </c>
      <c r="AE29" s="48" t="b">
        <f t="shared" si="13"/>
        <v>0</v>
      </c>
      <c r="AF29" s="546">
        <f>IF(Year5_Windsor_Maidenhead Year5_ReferralSource_Individual_Family="","",Year5_Windsor_Maidenhead Year5_ReferralSource_Individual_Family)</f>
        <v>97</v>
      </c>
      <c r="AG29" s="547" t="str">
        <f>IF(Year5_Windsor_Maidenhead Year5_ReferralSource_Individual_Acquaintance="","",Year5_Windsor_Maidenhead Year5_ReferralSource_Individual_Acquaintance)</f>
        <v/>
      </c>
      <c r="AH29" s="547" t="str">
        <f>IF(Year5_Windsor_Maidenhead Year5_ReferralSource_Individual_Self="","",Year5_Windsor_Maidenhead Year5_ReferralSource_Individual_Self)</f>
        <v/>
      </c>
      <c r="AI29" s="547" t="str">
        <f>IF(Year5_Windsor_Maidenhead Year5_ReferralSource_Individual_Other="","",Year5_Windsor_Maidenhead Year5_ReferralSource_Individual_Other)</f>
        <v/>
      </c>
      <c r="AJ29" s="547">
        <f>IF(Year5_Windsor_Maidenhead Year5_ReferralSource_School="","",Year5_Windsor_Maidenhead Year5_ReferralSource_School)</f>
        <v>284</v>
      </c>
      <c r="AK29" s="547">
        <f>IF(Year5_Windsor_Maidenhead Year5_ReferralSource_EducationServices="","",Year5_Windsor_Maidenhead Year5_ReferralSource_EducationServices)</f>
        <v>0</v>
      </c>
      <c r="AL29" s="547">
        <f>IF(Year5_Windsor_Maidenhead Year5_ReferralSource_Health_services_GP="","",Year5_Windsor_Maidenhead Year5_ReferralSource_Health_services_GP)</f>
        <v>164</v>
      </c>
      <c r="AM29" s="547" t="str">
        <f>IF(Year5_Windsor_Maidenhead Year5_ReferralSource_Health_services_HealthVisitor="","",Year5_Windsor_Maidenhead Year5_ReferralSource_Health_services_HealthVisitor)</f>
        <v/>
      </c>
      <c r="AN29" s="547" t="str">
        <f>IF(Year5_Windsor_Maidenhead Year5_ReferralSource_Health_services_SchoolNurse="","",Year5_Windsor_Maidenhead Year5_ReferralSource_Health_services_SchoolNurse)</f>
        <v/>
      </c>
      <c r="AO29" s="547" t="str">
        <f>IF(Year5_Windsor_Maidenhead Year5_ReferralSource_Health_services_OthPrimary="","",Year5_Windsor_Maidenhead Year5_ReferralSource_Health_services_OthPrimary)</f>
        <v/>
      </c>
      <c r="AP29" s="547" t="str">
        <f>IF(Year5_Windsor_Maidenhead Year5_ReferralSource_Health_services_AE="","",Year5_Windsor_Maidenhead Year5_ReferralSource_Health_services_AE)</f>
        <v/>
      </c>
      <c r="AQ29" s="547" t="str">
        <f>IF(Year5_Windsor_Maidenhead Year5_ReferralSource_Health_services_Other="","",Year5_Windsor_Maidenhead Year5_ReferralSource_Health_services_Other)</f>
        <v/>
      </c>
      <c r="AR29" s="547">
        <f>IF(Year5_Windsor_Maidenhead Year5_ReferralSource_Housing="","",Year5_Windsor_Maidenhead Year5_ReferralSource_Housing)</f>
        <v>15</v>
      </c>
      <c r="AS29" s="547">
        <f>IF(Year5_Windsor_Maidenhead Year5_ReferralSource_LA_SC="","",Year5_Windsor_Maidenhead Year5_ReferralSource_LA_SC)</f>
        <v>159</v>
      </c>
      <c r="AT29" s="547" t="str">
        <f>IF(Year5_Windsor_Maidenhead Year5_ReferralSource_LA_Other="","",Year5_Windsor_Maidenhead Year5_ReferralSource_LA_Other)</f>
        <v/>
      </c>
      <c r="AU29" s="547" t="str">
        <f>IF(Year5_Windsor_Maidenhead Year5_ReferralSource_LA_External="","",Year5_Windsor_Maidenhead Year5_ReferralSource_LA_External)</f>
        <v/>
      </c>
      <c r="AV29" s="547">
        <f>IF(Year5_Windsor_Maidenhead Year5_ReferralSource_Police="","",Year5_Windsor_Maidenhead Year5_ReferralSource_Police)</f>
        <v>506</v>
      </c>
      <c r="AW29" s="547">
        <f>IF(Year5_Windsor_Maidenhead Year5_ReferralSource_Other_Legal="","",Year5_Windsor_Maidenhead Year5_ReferralSource_Other_Legal)</f>
        <v>18</v>
      </c>
      <c r="AX29" s="547">
        <f>IF(Year5_Windsor_Maidenhead Year5_ReferralSource_Other="","",Year5_Windsor_Maidenhead Year5_ReferralSource_Other)</f>
        <v>71</v>
      </c>
      <c r="AY29" s="547">
        <f>IF(Year5_Windsor_Maidenhead Year5_ReferralSource_Anonymous="","",Year5_Windsor_Maidenhead Year5_ReferralSource_Anonymous)</f>
        <v>42</v>
      </c>
      <c r="AZ29" s="548">
        <f>IF(Year5_Windsor_Maidenhead Year5_ReferralSource_Unknown="","",Year5_Windsor_Maidenhead Year5_ReferralSource_Unknown)</f>
        <v>0</v>
      </c>
      <c r="BA29" s="56">
        <f t="shared" si="14"/>
        <v>1356</v>
      </c>
      <c r="BB29" s="87">
        <f>IF(BA29&gt;0,Population!H30,0)</f>
        <v>34700</v>
      </c>
      <c r="BC29" s="146">
        <f t="shared" si="15"/>
        <v>390.77809798270891</v>
      </c>
    </row>
    <row r="30" spans="1:65" s="87" customFormat="1" ht="13.5" hidden="1" customHeight="1" x14ac:dyDescent="0.2">
      <c r="A30" s="488">
        <f>VLOOKUP(B30,Sheet1!$AQ$4:$AR$25,2,FALSE)</f>
        <v>0</v>
      </c>
      <c r="B30" s="93" t="str">
        <f>Sheet1!$K$25</f>
        <v>Wokingham</v>
      </c>
      <c r="C30" s="85"/>
      <c r="D30" s="234">
        <f t="shared" si="0"/>
        <v>8.4090909090909083</v>
      </c>
      <c r="E30" s="234"/>
      <c r="F30" s="234"/>
      <c r="G30" s="234"/>
      <c r="H30" s="234">
        <f t="shared" si="1"/>
        <v>20.397727272727273</v>
      </c>
      <c r="I30" s="234" t="e">
        <f t="shared" si="2"/>
        <v>#N/A</v>
      </c>
      <c r="J30" s="234">
        <f t="shared" si="3"/>
        <v>12.556818181818183</v>
      </c>
      <c r="K30" s="234"/>
      <c r="L30" s="234"/>
      <c r="M30" s="234"/>
      <c r="N30" s="234"/>
      <c r="O30" s="234"/>
      <c r="P30" s="234">
        <f t="shared" si="4"/>
        <v>0.625</v>
      </c>
      <c r="Q30" s="234">
        <f t="shared" si="5"/>
        <v>13.693181818181818</v>
      </c>
      <c r="R30" s="234"/>
      <c r="S30" s="234"/>
      <c r="T30" s="234">
        <f t="shared" si="6"/>
        <v>36.420454545454547</v>
      </c>
      <c r="U30" s="234">
        <f t="shared" si="7"/>
        <v>2.5</v>
      </c>
      <c r="V30" s="234">
        <f t="shared" si="8"/>
        <v>3.9772727272727271</v>
      </c>
      <c r="W30" s="234">
        <f t="shared" si="9"/>
        <v>1.4204545454545454</v>
      </c>
      <c r="X30" s="408" t="e">
        <f t="shared" si="10"/>
        <v>#N/A</v>
      </c>
      <c r="Y30" s="122"/>
      <c r="Z30" s="139"/>
      <c r="AA30" s="193"/>
      <c r="AB30" s="47" t="str">
        <f t="shared" si="11"/>
        <v>Wokingham</v>
      </c>
      <c r="AC30" s="46">
        <v>22</v>
      </c>
      <c r="AD30" s="47" t="str">
        <f t="shared" si="12"/>
        <v>WokinghamNumber</v>
      </c>
      <c r="AE30" s="48" t="b">
        <f t="shared" si="13"/>
        <v>0</v>
      </c>
      <c r="AF30" s="572">
        <f>IF(Year5_Wokingham Year5_ReferralSource_Individual_Family="","",Year5_Wokingham Year5_ReferralSource_Individual_Family)</f>
        <v>148</v>
      </c>
      <c r="AG30" s="573" t="str">
        <f>IF(Year5_Wokingham Year5_ReferralSource_Individual_Acquaintance="","",Year5_Wokingham Year5_ReferralSource_Individual_Acquaintance)</f>
        <v/>
      </c>
      <c r="AH30" s="573" t="str">
        <f>IF(Year5_Wokingham Year5_ReferralSource_Individual_Self="","",Year5_Wokingham Year5_ReferralSource_Individual_Self)</f>
        <v/>
      </c>
      <c r="AI30" s="573" t="str">
        <f>IF(Year5_Wokingham Year5_ReferralSource_Individual_Other="","",Year5_Wokingham Year5_ReferralSource_Individual_Other)</f>
        <v/>
      </c>
      <c r="AJ30" s="573">
        <f>IF(Year5_Wokingham Year5_ReferralSource_School="","",Year5_Wokingham Year5_ReferralSource_School)</f>
        <v>359</v>
      </c>
      <c r="AK30" s="573" t="str">
        <f>IF(Year5_Wokingham Year5_ReferralSource_EducationServices="","",Year5_Wokingham Year5_ReferralSource_EducationServices)</f>
        <v>c</v>
      </c>
      <c r="AL30" s="573">
        <f>IF(Year5_Wokingham Year5_ReferralSource_Health_services_GP="","",Year5_Wokingham Year5_ReferralSource_Health_services_GP)</f>
        <v>221</v>
      </c>
      <c r="AM30" s="573" t="str">
        <f>IF(Year5_Wokingham Year5_ReferralSource_Health_services_HealthVisitor="","",Year5_Wokingham Year5_ReferralSource_Health_services_HealthVisitor)</f>
        <v/>
      </c>
      <c r="AN30" s="573" t="str">
        <f>IF(Year5_Wokingham Year5_ReferralSource_Health_services_SchoolNurse="","",Year5_Wokingham Year5_ReferralSource_Health_services_SchoolNurse)</f>
        <v/>
      </c>
      <c r="AO30" s="573" t="str">
        <f>IF(Year5_Wokingham Year5_ReferralSource_Health_services_OthPrimary="","",Year5_Wokingham Year5_ReferralSource_Health_services_OthPrimary)</f>
        <v/>
      </c>
      <c r="AP30" s="573" t="str">
        <f>IF(Year5_Wokingham Year5_ReferralSource_Health_services_AE="","",Year5_Wokingham Year5_ReferralSource_Health_services_AE)</f>
        <v/>
      </c>
      <c r="AQ30" s="573" t="str">
        <f>IF(Year5_Wokingham Year5_ReferralSource_Health_services_Other="","",Year5_Wokingham Year5_ReferralSource_Health_services_Other)</f>
        <v/>
      </c>
      <c r="AR30" s="573">
        <f>IF(Year5_Wokingham Year5_ReferralSource_Housing="","",Year5_Wokingham Year5_ReferralSource_Housing)</f>
        <v>11</v>
      </c>
      <c r="AS30" s="573">
        <f>IF(Year5_Wokingham Year5_ReferralSource_LA_SC="","",Year5_Wokingham Year5_ReferralSource_LA_SC)</f>
        <v>241</v>
      </c>
      <c r="AT30" s="573" t="str">
        <f>IF(Year5_Wokingham Year5_ReferralSource_LA_Other="","",Year5_Wokingham Year5_ReferralSource_LA_Other)</f>
        <v/>
      </c>
      <c r="AU30" s="573" t="str">
        <f>IF(Year5_Wokingham Year5_ReferralSource_LA_External="","",Year5_Wokingham Year5_ReferralSource_LA_External)</f>
        <v/>
      </c>
      <c r="AV30" s="573">
        <f>IF(Year5_Wokingham Year5_ReferralSource_Police="","",Year5_Wokingham Year5_ReferralSource_Police)</f>
        <v>641</v>
      </c>
      <c r="AW30" s="573">
        <f>IF(Year5_Wokingham Year5_ReferralSource_Other_Legal="","",Year5_Wokingham Year5_ReferralSource_Other_Legal)</f>
        <v>44</v>
      </c>
      <c r="AX30" s="573">
        <f>IF(Year5_Wokingham Year5_ReferralSource_Other="","",Year5_Wokingham Year5_ReferralSource_Other)</f>
        <v>70</v>
      </c>
      <c r="AY30" s="573">
        <f>IF(Year5_Wokingham Year5_ReferralSource_Anonymous="","",Year5_Wokingham Year5_ReferralSource_Anonymous)</f>
        <v>25</v>
      </c>
      <c r="AZ30" s="574" t="str">
        <f>IF(Year5_Wokingham Year5_ReferralSource_Unknown="","",Year5_Wokingham Year5_ReferralSource_Unknown)</f>
        <v>c</v>
      </c>
      <c r="BA30" s="56">
        <f>SUM(AF30:AZ30)</f>
        <v>1760</v>
      </c>
      <c r="BB30" s="87">
        <f>IF(BA30&gt;0,Population!H31,0)</f>
        <v>40400</v>
      </c>
      <c r="BC30" s="146">
        <f t="shared" si="15"/>
        <v>435.6435643564356</v>
      </c>
      <c r="BD30" s="87" t="s">
        <v>610</v>
      </c>
    </row>
    <row r="31" spans="1:65" s="87" customFormat="1" ht="13.5" hidden="1" customHeight="1" x14ac:dyDescent="0.2">
      <c r="A31" s="292"/>
      <c r="B31" s="153" t="str">
        <f>Sheet1!$K$26</f>
        <v>South East</v>
      </c>
      <c r="C31" s="85"/>
      <c r="D31" s="234">
        <f t="shared" si="0"/>
        <v>8.2491082045184303</v>
      </c>
      <c r="E31" s="234"/>
      <c r="F31" s="234"/>
      <c r="G31" s="234"/>
      <c r="H31" s="234">
        <f t="shared" si="1"/>
        <v>19.99195635447996</v>
      </c>
      <c r="I31" s="234">
        <f t="shared" si="2"/>
        <v>1.439113100650486</v>
      </c>
      <c r="J31" s="234">
        <f t="shared" si="3"/>
        <v>14.306323004826188</v>
      </c>
      <c r="K31" s="234"/>
      <c r="L31" s="234"/>
      <c r="M31" s="234"/>
      <c r="N31" s="234"/>
      <c r="O31" s="234"/>
      <c r="P31" s="234">
        <f t="shared" si="4"/>
        <v>1.4478561936070504</v>
      </c>
      <c r="Q31" s="234">
        <f t="shared" si="5"/>
        <v>13.2886269846821</v>
      </c>
      <c r="R31" s="234"/>
      <c r="S31" s="234"/>
      <c r="T31" s="234">
        <f t="shared" si="6"/>
        <v>29.63209064838777</v>
      </c>
      <c r="U31" s="234">
        <f t="shared" si="7"/>
        <v>3.5470728124781421</v>
      </c>
      <c r="V31" s="234">
        <f t="shared" si="8"/>
        <v>4.9704483458068127</v>
      </c>
      <c r="W31" s="234">
        <f t="shared" si="9"/>
        <v>1.7451213541302371</v>
      </c>
      <c r="X31" s="408">
        <f t="shared" si="10"/>
        <v>1.382282996432818</v>
      </c>
      <c r="Y31" s="122"/>
      <c r="Z31" s="139"/>
      <c r="AA31" s="193"/>
      <c r="AB31" s="47" t="str">
        <f>B31</f>
        <v>South East</v>
      </c>
      <c r="AC31" s="46">
        <v>23</v>
      </c>
      <c r="AD31" s="47" t="str">
        <f t="shared" si="12"/>
        <v>South EastNumber</v>
      </c>
      <c r="AE31" s="48" t="b">
        <f t="shared" si="13"/>
        <v>0</v>
      </c>
      <c r="AF31" s="51">
        <f>SUM(AF9:AF21,AF23:AF24,AF27:AF30)</f>
        <v>9435</v>
      </c>
      <c r="AG31" s="51">
        <f t="shared" ref="AG31:AY31" si="16">SUM(AG9:AG21,AG23:AG24,AG27:AG30)</f>
        <v>0</v>
      </c>
      <c r="AH31" s="51">
        <f t="shared" si="16"/>
        <v>0</v>
      </c>
      <c r="AI31" s="51">
        <f t="shared" si="16"/>
        <v>0</v>
      </c>
      <c r="AJ31" s="51">
        <f t="shared" si="16"/>
        <v>22866</v>
      </c>
      <c r="AK31" s="51">
        <f t="shared" si="16"/>
        <v>1646</v>
      </c>
      <c r="AL31" s="51">
        <f t="shared" si="16"/>
        <v>16363</v>
      </c>
      <c r="AM31" s="51">
        <f t="shared" si="16"/>
        <v>0</v>
      </c>
      <c r="AN31" s="51">
        <f t="shared" si="16"/>
        <v>0</v>
      </c>
      <c r="AO31" s="51">
        <f t="shared" si="16"/>
        <v>0</v>
      </c>
      <c r="AP31" s="51">
        <f t="shared" si="16"/>
        <v>0</v>
      </c>
      <c r="AQ31" s="51">
        <f t="shared" si="16"/>
        <v>0</v>
      </c>
      <c r="AR31" s="51">
        <f t="shared" si="16"/>
        <v>1656</v>
      </c>
      <c r="AS31" s="51">
        <f t="shared" si="16"/>
        <v>15199</v>
      </c>
      <c r="AT31" s="51">
        <f t="shared" si="16"/>
        <v>0</v>
      </c>
      <c r="AU31" s="51">
        <f t="shared" si="16"/>
        <v>0</v>
      </c>
      <c r="AV31" s="51">
        <f t="shared" si="16"/>
        <v>33892</v>
      </c>
      <c r="AW31" s="51">
        <f t="shared" si="16"/>
        <v>4057</v>
      </c>
      <c r="AX31" s="51">
        <f t="shared" si="16"/>
        <v>5685</v>
      </c>
      <c r="AY31" s="51">
        <f t="shared" si="16"/>
        <v>1996</v>
      </c>
      <c r="AZ31" s="51">
        <f>SUM(AZ9:AZ21,AZ23:AZ24,AZ27:AZ30)</f>
        <v>1581</v>
      </c>
      <c r="BA31" s="56">
        <f>SUM(AF31:AZ31)</f>
        <v>114376</v>
      </c>
      <c r="BB31" s="87">
        <f>IF(BA31&gt;0,Population!H32,0)</f>
        <v>1969300</v>
      </c>
    </row>
    <row r="32" spans="1:65" s="87" customFormat="1" ht="13.5" hidden="1" customHeight="1" thickBot="1" x14ac:dyDescent="0.25">
      <c r="A32" s="292"/>
      <c r="B32" s="153" t="str">
        <f>Sheet1!$K$27</f>
        <v>England</v>
      </c>
      <c r="C32" s="85"/>
      <c r="D32" s="234">
        <f>VLOOKUP(CONCATENATE($B32,$AB$8),$AD$9:$BA$80,AF$6,FALSE)</f>
        <v>8.1324457992472556</v>
      </c>
      <c r="E32" s="234"/>
      <c r="F32" s="234"/>
      <c r="G32" s="234"/>
      <c r="H32" s="234">
        <f t="shared" ref="H32:X32" si="17">VLOOKUP(CONCATENATE($B32,$AB$8),$AD$9:$BA$80,AJ$6,FALSE)</f>
        <v>18.198077700706087</v>
      </c>
      <c r="I32" s="234">
        <f t="shared" si="17"/>
        <v>2.1198171016205793</v>
      </c>
      <c r="J32" s="234">
        <f t="shared" si="17"/>
        <v>14.977137702572396</v>
      </c>
      <c r="K32" s="234"/>
      <c r="L32" s="234"/>
      <c r="M32" s="234"/>
      <c r="N32" s="234"/>
      <c r="O32" s="234"/>
      <c r="P32" s="234">
        <f t="shared" si="17"/>
        <v>1.2908644125789295</v>
      </c>
      <c r="Q32" s="234">
        <f t="shared" si="17"/>
        <v>14.123300880276213</v>
      </c>
      <c r="R32" s="234"/>
      <c r="S32" s="234"/>
      <c r="T32" s="234">
        <f t="shared" si="17"/>
        <v>28.734952875672647</v>
      </c>
      <c r="U32" s="234">
        <f t="shared" si="17"/>
        <v>3.9161404709322216</v>
      </c>
      <c r="V32" s="234">
        <f t="shared" si="17"/>
        <v>4.9192820927556067</v>
      </c>
      <c r="W32" s="234">
        <f t="shared" si="17"/>
        <v>2.1415907182182963</v>
      </c>
      <c r="X32" s="408">
        <f t="shared" si="17"/>
        <v>1.4463902454197641</v>
      </c>
      <c r="Y32" s="122"/>
      <c r="Z32" s="139"/>
      <c r="AA32" s="193"/>
      <c r="AB32" s="47" t="str">
        <f>B32</f>
        <v>England</v>
      </c>
      <c r="AC32" s="46">
        <v>24</v>
      </c>
      <c r="AD32" s="47" t="str">
        <f t="shared" si="12"/>
        <v>EnglandNumber</v>
      </c>
      <c r="AE32" s="48" t="b">
        <f t="shared" si="13"/>
        <v>0</v>
      </c>
      <c r="AF32" s="652">
        <f>IF(Year5_England Year5_ReferralSource_Individual_Family="","",Year5_England Year5_ReferralSource_Individual_Family)</f>
        <v>52290</v>
      </c>
      <c r="AG32" s="653" t="str">
        <f>IF(Year5_England Year5_ReferralSource_Individual_Acquaintance="","",Year5_England Year5_ReferralSource_Individual_Acquaintance)</f>
        <v/>
      </c>
      <c r="AH32" s="653" t="str">
        <f>IF(Year5_England Year5_ReferralSource_Individual_Self="","",Year5_England Year5_ReferralSource_Individual_Self)</f>
        <v/>
      </c>
      <c r="AI32" s="653" t="str">
        <f>IF(Year5_England Year5_ReferralSource_Individual_Other="","",Year5_England Year5_ReferralSource_Individual_Other)</f>
        <v/>
      </c>
      <c r="AJ32" s="653">
        <f>IF(Year5_England Year5_ReferralSource_School="","",Year5_England Year5_ReferralSource_School)</f>
        <v>117010</v>
      </c>
      <c r="AK32" s="653">
        <f>IF(Year5_England Year5_ReferralSource_EducationServices="","",Year5_England Year5_ReferralSource_EducationServices)</f>
        <v>13630</v>
      </c>
      <c r="AL32" s="653">
        <f>IF(Year5_England Year5_ReferralSource_Health_services_GP="","",Year5_England Year5_ReferralSource_Health_services_GP)</f>
        <v>96300</v>
      </c>
      <c r="AM32" s="653" t="str">
        <f>IF(Year5_England Year5_ReferralSource_Health_services_HealthVisitor="","",Year5_England Year5_ReferralSource_Health_services_HealthVisitor)</f>
        <v/>
      </c>
      <c r="AN32" s="653" t="str">
        <f>IF(Year5_England Year5_ReferralSource_Health_services_SchoolNurse="","",Year5_England Year5_ReferralSource_Health_services_SchoolNurse)</f>
        <v/>
      </c>
      <c r="AO32" s="653" t="str">
        <f>IF(Year5_England Year5_ReferralSource_Health_services_OthPrimary="","",Year5_England Year5_ReferralSource_Health_services_OthPrimary)</f>
        <v/>
      </c>
      <c r="AP32" s="653" t="str">
        <f>IF(Year5_England Year5_ReferralSource_Health_services_AE="","",Year5_England Year5_ReferralSource_Health_services_AE)</f>
        <v/>
      </c>
      <c r="AQ32" s="653" t="str">
        <f>IF(Year5_England Year5_ReferralSource_Health_services_Other="","",Year5_England Year5_ReferralSource_Health_services_Other)</f>
        <v/>
      </c>
      <c r="AR32" s="653">
        <f>IF(Year5_England Year5_ReferralSource_Housing="","",Year5_England Year5_ReferralSource_Housing)</f>
        <v>8300</v>
      </c>
      <c r="AS32" s="653">
        <f>IF(Year5_England Year5_ReferralSource_LA_SC="","",Year5_England Year5_ReferralSource_LA_SC)</f>
        <v>90810</v>
      </c>
      <c r="AT32" s="653" t="str">
        <f>IF(Year5_England Year5_ReferralSource_LA_Other="","",Year5_England Year5_ReferralSource_LA_Other)</f>
        <v/>
      </c>
      <c r="AU32" s="653" t="str">
        <f>IF(Year5_England Year5_ReferralSource_LA_External="","",Year5_England Year5_ReferralSource_LA_External)</f>
        <v/>
      </c>
      <c r="AV32" s="653">
        <f>IF(Year5_England Year5_ReferralSource_Police="","",Year5_England Year5_ReferralSource_Police)</f>
        <v>184760</v>
      </c>
      <c r="AW32" s="653">
        <f>IF(Year5_England Year5_ReferralSource_Other_Legal="","",Year5_England Year5_ReferralSource_Other_Legal)</f>
        <v>25180</v>
      </c>
      <c r="AX32" s="653">
        <f>IF(Year5_England Year5_ReferralSource_Other="","",Year5_England Year5_ReferralSource_Other)</f>
        <v>31630</v>
      </c>
      <c r="AY32" s="653">
        <f>IF(Year5_England Year5_ReferralSource_Anonymous="","",Year5_England Year5_ReferralSource_Anonymous)</f>
        <v>13770</v>
      </c>
      <c r="AZ32" s="653">
        <f>IF(Year5_England Year5_ReferralSource_Unknown="","",Year5_England Year5_ReferralSource_Unknown)</f>
        <v>9300</v>
      </c>
      <c r="BA32" s="654">
        <f>SUM(AF32:AZ32)</f>
        <v>642980</v>
      </c>
      <c r="BB32" s="87">
        <f>IF(BA32&gt;0,Population!H33,0)</f>
        <v>12023600</v>
      </c>
      <c r="BD32" s="655" t="s">
        <v>96</v>
      </c>
      <c r="BE32" s="655" t="s">
        <v>38</v>
      </c>
      <c r="BF32" s="655" t="s">
        <v>105</v>
      </c>
      <c r="BG32" s="655" t="s">
        <v>46</v>
      </c>
      <c r="BH32" s="655" t="s">
        <v>106</v>
      </c>
      <c r="BI32" s="655" t="s">
        <v>23</v>
      </c>
      <c r="BJ32" s="655" t="s">
        <v>67</v>
      </c>
      <c r="BK32" s="655" t="s">
        <v>66</v>
      </c>
      <c r="BL32" s="655" t="s">
        <v>64</v>
      </c>
      <c r="BM32" s="655" t="s">
        <v>65</v>
      </c>
    </row>
    <row r="33" spans="1:65" s="81" customFormat="1" ht="24" hidden="1" customHeight="1" x14ac:dyDescent="0.2">
      <c r="A33" s="278"/>
      <c r="B33" s="17"/>
      <c r="C33" s="17"/>
      <c r="D33" s="16"/>
      <c r="E33" s="16"/>
      <c r="F33" s="16"/>
      <c r="G33" s="16"/>
      <c r="H33" s="16"/>
      <c r="I33" s="16"/>
      <c r="J33" s="16"/>
      <c r="K33" s="16"/>
      <c r="L33" s="16"/>
      <c r="M33" s="16"/>
      <c r="N33" s="16"/>
      <c r="O33" s="12"/>
      <c r="P33" s="18"/>
      <c r="Q33" s="18"/>
      <c r="R33" s="18"/>
      <c r="S33" s="18"/>
      <c r="T33" s="18"/>
      <c r="U33" s="18"/>
      <c r="V33" s="18"/>
      <c r="W33" s="18"/>
      <c r="X33" s="230"/>
      <c r="Y33" s="117"/>
      <c r="Z33" s="137"/>
      <c r="AA33" s="183"/>
      <c r="AB33" s="47" t="str">
        <f t="shared" ref="AB33:AB38" si="18">B9</f>
        <v>Bracknell Forest</v>
      </c>
      <c r="AC33" s="46">
        <v>1</v>
      </c>
      <c r="AD33" s="47" t="str">
        <f>CONCATENATE(AB33,$AB$6)</f>
        <v>Bracknell ForestRate per 10,000</v>
      </c>
      <c r="AE33" s="48" t="b">
        <f t="shared" si="13"/>
        <v>0</v>
      </c>
      <c r="AF33" s="644">
        <f>IF(ISERROR(AF9/$BB9*10000),NA(),AF9/$BB9*10000)</f>
        <v>39.7887323943662</v>
      </c>
      <c r="AG33" s="645" t="e">
        <f t="shared" ref="AG33:BA33" si="19">IF(ISERROR(AG9/$BB9*10000),NA(),AG9/$BB9*10000)</f>
        <v>#N/A</v>
      </c>
      <c r="AH33" s="645" t="e">
        <f t="shared" si="19"/>
        <v>#N/A</v>
      </c>
      <c r="AI33" s="645" t="e">
        <f t="shared" si="19"/>
        <v>#N/A</v>
      </c>
      <c r="AJ33" s="645">
        <f t="shared" si="19"/>
        <v>166.19718309859155</v>
      </c>
      <c r="AK33" s="645">
        <f t="shared" si="19"/>
        <v>7.7464788732394361</v>
      </c>
      <c r="AL33" s="645">
        <f t="shared" si="19"/>
        <v>62.323943661971832</v>
      </c>
      <c r="AM33" s="645" t="e">
        <f t="shared" si="19"/>
        <v>#N/A</v>
      </c>
      <c r="AN33" s="645" t="e">
        <f t="shared" si="19"/>
        <v>#N/A</v>
      </c>
      <c r="AO33" s="645" t="e">
        <f t="shared" si="19"/>
        <v>#N/A</v>
      </c>
      <c r="AP33" s="645" t="e">
        <f t="shared" si="19"/>
        <v>#N/A</v>
      </c>
      <c r="AQ33" s="645" t="e">
        <f t="shared" si="19"/>
        <v>#N/A</v>
      </c>
      <c r="AR33" s="645">
        <f t="shared" si="19"/>
        <v>6.3380281690140841</v>
      </c>
      <c r="AS33" s="645">
        <f t="shared" si="19"/>
        <v>132.74647887323945</v>
      </c>
      <c r="AT33" s="645" t="e">
        <f t="shared" si="19"/>
        <v>#N/A</v>
      </c>
      <c r="AU33" s="645" t="e">
        <f t="shared" si="19"/>
        <v>#N/A</v>
      </c>
      <c r="AV33" s="645">
        <f t="shared" si="19"/>
        <v>136.26760563380282</v>
      </c>
      <c r="AW33" s="645">
        <f t="shared" si="19"/>
        <v>14.788732394366198</v>
      </c>
      <c r="AX33" s="645">
        <f t="shared" si="19"/>
        <v>23.943661971830988</v>
      </c>
      <c r="AY33" s="645">
        <f>IF(ISERROR(AY9/$BB9*10000),NA(),AY9/$BB9*10000)</f>
        <v>8.0985915492957741</v>
      </c>
      <c r="AZ33" s="646">
        <f t="shared" si="19"/>
        <v>0</v>
      </c>
      <c r="BA33" s="647">
        <f t="shared" si="19"/>
        <v>598.23943661971828</v>
      </c>
      <c r="BB33" s="87"/>
      <c r="BC33" s="81" t="str">
        <f>AB33</f>
        <v>Bracknell Forest</v>
      </c>
      <c r="BD33" s="171">
        <f>SUM(AF9:AI9)/$BA9</f>
        <v>6.650971159505592E-2</v>
      </c>
      <c r="BE33" s="171">
        <f>SUM(AJ9:AK9)/$BA9</f>
        <v>0.290759270158917</v>
      </c>
      <c r="BF33" s="171">
        <f>SUM(AL9:AQ9)/$BA9</f>
        <v>0.10417892878163626</v>
      </c>
      <c r="BG33" s="171">
        <f>AR9/$BA9</f>
        <v>1.059446733372572E-2</v>
      </c>
      <c r="BH33" s="171">
        <f>SUM(AS9:AU9)/$BA9</f>
        <v>0.22189523248969983</v>
      </c>
      <c r="BI33" s="171">
        <f>AV9/$BA9</f>
        <v>0.22778104767510302</v>
      </c>
      <c r="BJ33" s="171">
        <f>AW9/$BA9</f>
        <v>2.4720423778693348E-2</v>
      </c>
      <c r="BK33" s="171">
        <f>AX9/$BA9</f>
        <v>4.0023543260741611E-2</v>
      </c>
      <c r="BL33" s="171">
        <f>AY9/$BA9</f>
        <v>1.3537374926427309E-2</v>
      </c>
      <c r="BM33" s="171">
        <f>AZ9/$BA9</f>
        <v>0</v>
      </c>
    </row>
    <row r="34" spans="1:65" s="81" customFormat="1" ht="15" hidden="1" customHeight="1" x14ac:dyDescent="0.2">
      <c r="A34" s="1775"/>
      <c r="B34" s="1760"/>
      <c r="C34" s="1760"/>
      <c r="D34" s="1760"/>
      <c r="E34" s="1760"/>
      <c r="F34" s="1760"/>
      <c r="G34" s="1760"/>
      <c r="H34" s="1760"/>
      <c r="I34" s="1760"/>
      <c r="J34" s="1760"/>
      <c r="K34" s="1760"/>
      <c r="L34" s="1760"/>
      <c r="M34" s="1760"/>
      <c r="N34" s="1760"/>
      <c r="O34" s="1760"/>
      <c r="P34" s="1760"/>
      <c r="Q34" s="1760"/>
      <c r="R34" s="1760"/>
      <c r="S34" s="1760"/>
      <c r="T34" s="1760"/>
      <c r="U34" s="1760"/>
      <c r="V34" s="1760"/>
      <c r="W34" s="1760"/>
      <c r="X34" s="1760"/>
      <c r="Y34" s="1761"/>
      <c r="Z34" s="137"/>
      <c r="AB34" s="47" t="str">
        <f t="shared" si="18"/>
        <v>Brighton &amp; Hove</v>
      </c>
      <c r="AC34" s="46">
        <v>2</v>
      </c>
      <c r="AD34" s="47" t="str">
        <f t="shared" ref="AD34:AD55" si="20">CONCATENATE(AB34,$AB$6)</f>
        <v>Brighton &amp; HoveRate per 10,000</v>
      </c>
      <c r="AE34" s="48" t="b">
        <f t="shared" si="13"/>
        <v>0</v>
      </c>
      <c r="AF34" s="51">
        <f>IF(ISERROR(AF10/$BB10*10000),NA(),AF10/$BB10*10000)</f>
        <v>20.874751491053679</v>
      </c>
      <c r="AG34" s="52" t="e">
        <f>IF(ISERROR(AG10/$BB10*10000),NA(),AG10/$BB10*10000)</f>
        <v>#N/A</v>
      </c>
      <c r="AH34" s="52" t="e">
        <f>IF(ISERROR(AH10/$BB10*10000),NA(),AH10/$BB10*10000)</f>
        <v>#N/A</v>
      </c>
      <c r="AI34" s="52" t="e">
        <f>IF(ISERROR(AI10/$BB10*10000),NA(),AI10/$BB10*10000)</f>
        <v>#N/A</v>
      </c>
      <c r="AJ34" s="52">
        <f t="shared" ref="AJ34:BA34" si="21">IF(ISERROR(AJ10/$BB10*10000),NA(),AJ10/$BB10*10000)</f>
        <v>108.54870775347912</v>
      </c>
      <c r="AK34" s="52">
        <f t="shared" si="21"/>
        <v>25.049701789264414</v>
      </c>
      <c r="AL34" s="52">
        <f t="shared" si="21"/>
        <v>89.662027833001986</v>
      </c>
      <c r="AM34" s="52" t="e">
        <f t="shared" si="21"/>
        <v>#N/A</v>
      </c>
      <c r="AN34" s="52" t="e">
        <f t="shared" si="21"/>
        <v>#N/A</v>
      </c>
      <c r="AO34" s="52" t="e">
        <f t="shared" si="21"/>
        <v>#N/A</v>
      </c>
      <c r="AP34" s="52" t="e">
        <f t="shared" si="21"/>
        <v>#N/A</v>
      </c>
      <c r="AQ34" s="52" t="e">
        <f t="shared" si="21"/>
        <v>#N/A</v>
      </c>
      <c r="AR34" s="52">
        <f t="shared" si="21"/>
        <v>12.723658051689862</v>
      </c>
      <c r="AS34" s="52">
        <f t="shared" si="21"/>
        <v>98.807157057654081</v>
      </c>
      <c r="AT34" s="52" t="e">
        <f t="shared" si="21"/>
        <v>#N/A</v>
      </c>
      <c r="AU34" s="52" t="e">
        <f t="shared" si="21"/>
        <v>#N/A</v>
      </c>
      <c r="AV34" s="52">
        <f t="shared" si="21"/>
        <v>202.9821073558648</v>
      </c>
      <c r="AW34" s="52">
        <f t="shared" si="21"/>
        <v>18.687872763419481</v>
      </c>
      <c r="AX34" s="52">
        <f t="shared" si="21"/>
        <v>23.260437375745525</v>
      </c>
      <c r="AY34" s="52">
        <f t="shared" si="21"/>
        <v>9.3439363817097405</v>
      </c>
      <c r="AZ34" s="53">
        <f t="shared" si="21"/>
        <v>100</v>
      </c>
      <c r="BA34" s="56">
        <f t="shared" si="21"/>
        <v>709.94035785288281</v>
      </c>
      <c r="BC34" s="81" t="str">
        <f t="shared" ref="BC34:BC56" si="22">AB34</f>
        <v>Brighton &amp; Hove</v>
      </c>
      <c r="BD34" s="171">
        <f t="shared" ref="BD34:BD38" si="23">SUM(AF10:AI10)/$BA10</f>
        <v>2.9403528423410808E-2</v>
      </c>
      <c r="BE34" s="171">
        <f t="shared" ref="BE34:BE38" si="24">SUM(AJ10:AK10)/$BA10</f>
        <v>0.18818258190982917</v>
      </c>
      <c r="BF34" s="171">
        <f t="shared" ref="BF34:BF38" si="25">SUM(AL10:AQ10)/$BA10</f>
        <v>0.12629515541865025</v>
      </c>
      <c r="BG34" s="171">
        <f t="shared" ref="BG34:BG38" si="26">AR10/$BA10</f>
        <v>1.7922150658078971E-2</v>
      </c>
      <c r="BH34" s="171">
        <f t="shared" ref="BH34:BH38" si="27">SUM(AS10:AU10)/$BA10</f>
        <v>0.13917670120414449</v>
      </c>
      <c r="BI34" s="171">
        <f t="shared" ref="BI34:BM34" si="28">AV10/$BA10</f>
        <v>0.28591430971716608</v>
      </c>
      <c r="BJ34" s="171">
        <f t="shared" si="28"/>
        <v>2.6323158779053488E-2</v>
      </c>
      <c r="BK34" s="171">
        <f t="shared" si="28"/>
        <v>3.2763931671800618E-2</v>
      </c>
      <c r="BL34" s="171">
        <f t="shared" si="28"/>
        <v>1.3161579389526744E-2</v>
      </c>
      <c r="BM34" s="171">
        <f t="shared" si="28"/>
        <v>0.1408569028283394</v>
      </c>
    </row>
    <row r="35" spans="1:65" s="81" customFormat="1" ht="9.9499999999999993" hidden="1" customHeight="1" x14ac:dyDescent="0.2">
      <c r="A35" s="1847" t="str">
        <f>Home!$A$39</f>
        <v xml:space="preserve"> </v>
      </c>
      <c r="B35" s="1768"/>
      <c r="C35" s="1768"/>
      <c r="D35" s="1768"/>
      <c r="E35" s="1768"/>
      <c r="F35" s="1768"/>
      <c r="G35" s="1768"/>
      <c r="H35" s="1768"/>
      <c r="I35" s="1768"/>
      <c r="J35" s="1768"/>
      <c r="K35" s="1768"/>
      <c r="L35" s="1768"/>
      <c r="M35" s="1768"/>
      <c r="N35" s="1768"/>
      <c r="O35" s="1768"/>
      <c r="P35" s="1768"/>
      <c r="Q35" s="1768"/>
      <c r="R35" s="1768"/>
      <c r="S35" s="1768"/>
      <c r="T35" s="1768"/>
      <c r="U35" s="1768"/>
      <c r="V35" s="1768"/>
      <c r="W35" s="1768"/>
      <c r="X35" s="1768"/>
      <c r="Y35" s="1848"/>
      <c r="Z35" s="137"/>
      <c r="AB35" s="47" t="str">
        <f t="shared" si="18"/>
        <v>Buckinghamshire</v>
      </c>
      <c r="AC35" s="46">
        <v>3</v>
      </c>
      <c r="AD35" s="47" t="str">
        <f t="shared" si="20"/>
        <v>BuckinghamshireRate per 10,000</v>
      </c>
      <c r="AE35" s="48" t="b">
        <f t="shared" si="13"/>
        <v>0</v>
      </c>
      <c r="AF35" s="51">
        <f t="shared" ref="AF35:BA35" si="29">IF(ISERROR(AF11/$BB11*10000),NA(),AF11/$BB11*10000)</f>
        <v>50.198886237072394</v>
      </c>
      <c r="AG35" s="52" t="e">
        <f t="shared" si="29"/>
        <v>#N/A</v>
      </c>
      <c r="AH35" s="52" t="e">
        <f t="shared" si="29"/>
        <v>#N/A</v>
      </c>
      <c r="AI35" s="52" t="e">
        <f t="shared" si="29"/>
        <v>#N/A</v>
      </c>
      <c r="AJ35" s="52">
        <f t="shared" si="29"/>
        <v>128.71917263325378</v>
      </c>
      <c r="AK35" s="52" t="e">
        <f t="shared" si="29"/>
        <v>#N/A</v>
      </c>
      <c r="AL35" s="52">
        <f t="shared" si="29"/>
        <v>102.38663484486872</v>
      </c>
      <c r="AM35" s="52" t="e">
        <f t="shared" si="29"/>
        <v>#N/A</v>
      </c>
      <c r="AN35" s="52" t="e">
        <f t="shared" si="29"/>
        <v>#N/A</v>
      </c>
      <c r="AO35" s="52" t="e">
        <f t="shared" si="29"/>
        <v>#N/A</v>
      </c>
      <c r="AP35" s="52" t="e">
        <f t="shared" si="29"/>
        <v>#N/A</v>
      </c>
      <c r="AQ35" s="52" t="e">
        <f t="shared" si="29"/>
        <v>#N/A</v>
      </c>
      <c r="AR35" s="52">
        <f t="shared" si="29"/>
        <v>9.8647573587907722</v>
      </c>
      <c r="AS35" s="52">
        <f t="shared" si="29"/>
        <v>77.088305489260151</v>
      </c>
      <c r="AT35" s="52" t="e">
        <f t="shared" si="29"/>
        <v>#N/A</v>
      </c>
      <c r="AU35" s="52" t="e">
        <f t="shared" si="29"/>
        <v>#N/A</v>
      </c>
      <c r="AV35" s="52">
        <f t="shared" si="29"/>
        <v>231.5035799522673</v>
      </c>
      <c r="AW35" s="52">
        <f t="shared" si="29"/>
        <v>17.661097852028639</v>
      </c>
      <c r="AX35" s="52">
        <f t="shared" si="29"/>
        <v>31.742243436754176</v>
      </c>
      <c r="AY35" s="52">
        <f t="shared" si="29"/>
        <v>12.251392203659506</v>
      </c>
      <c r="AZ35" s="53" t="e">
        <f t="shared" si="29"/>
        <v>#N/A</v>
      </c>
      <c r="BA35" s="56">
        <f t="shared" si="29"/>
        <v>661.41607000795545</v>
      </c>
      <c r="BC35" s="81" t="str">
        <f t="shared" si="22"/>
        <v>Buckinghamshire</v>
      </c>
      <c r="BD35" s="171">
        <f t="shared" si="23"/>
        <v>7.5896078903055081E-2</v>
      </c>
      <c r="BE35" s="171">
        <f t="shared" si="24"/>
        <v>0.19461149867693048</v>
      </c>
      <c r="BF35" s="171">
        <f t="shared" si="25"/>
        <v>0.15479913399085879</v>
      </c>
      <c r="BG35" s="171">
        <f t="shared" si="26"/>
        <v>1.4914601876353139E-2</v>
      </c>
      <c r="BH35" s="171">
        <f t="shared" si="27"/>
        <v>0.11655039692085639</v>
      </c>
      <c r="BI35" s="171">
        <f t="shared" ref="BI35:BM35" si="30">AV11/$BA11</f>
        <v>0.35001202790473901</v>
      </c>
      <c r="BJ35" s="171">
        <f t="shared" si="30"/>
        <v>2.6701948520567717E-2</v>
      </c>
      <c r="BK35" s="171">
        <f t="shared" si="30"/>
        <v>4.7991339908587921E-2</v>
      </c>
      <c r="BL35" s="171">
        <f t="shared" si="30"/>
        <v>1.8522973298051481E-2</v>
      </c>
      <c r="BM35" s="171" t="e">
        <f t="shared" si="30"/>
        <v>#VALUE!</v>
      </c>
    </row>
    <row r="36" spans="1:65" s="81" customFormat="1" ht="11.1" customHeight="1" x14ac:dyDescent="0.2">
      <c r="A36" s="112"/>
      <c r="B36" s="113"/>
      <c r="C36" s="113"/>
      <c r="D36" s="113"/>
      <c r="E36" s="113"/>
      <c r="F36" s="113"/>
      <c r="G36" s="113"/>
      <c r="H36" s="113"/>
      <c r="I36" s="113"/>
      <c r="J36" s="113"/>
      <c r="K36" s="113"/>
      <c r="L36" s="113"/>
      <c r="M36" s="113"/>
      <c r="N36" s="113"/>
      <c r="O36" s="114"/>
      <c r="P36" s="113"/>
      <c r="Q36" s="113"/>
      <c r="R36" s="113"/>
      <c r="S36" s="113"/>
      <c r="T36" s="113"/>
      <c r="U36" s="113"/>
      <c r="V36" s="113"/>
      <c r="W36" s="113"/>
      <c r="X36" s="113"/>
      <c r="Y36" s="115"/>
      <c r="Z36" s="137"/>
      <c r="AB36" s="47" t="str">
        <f t="shared" si="18"/>
        <v>East Sussex</v>
      </c>
      <c r="AC36" s="46">
        <v>4</v>
      </c>
      <c r="AD36" s="47" t="str">
        <f t="shared" si="20"/>
        <v>East SussexRate per 10,000</v>
      </c>
      <c r="AE36" s="48" t="b">
        <f t="shared" si="13"/>
        <v>0</v>
      </c>
      <c r="AF36" s="51">
        <f t="shared" ref="AF36:BA36" si="31">IF(ISERROR(AF12/$BB12*10000),NA(),AF12/$BB12*10000)</f>
        <v>36.500470366886169</v>
      </c>
      <c r="AG36" s="52" t="e">
        <f t="shared" si="31"/>
        <v>#N/A</v>
      </c>
      <c r="AH36" s="52" t="e">
        <f t="shared" si="31"/>
        <v>#N/A</v>
      </c>
      <c r="AI36" s="52" t="e">
        <f t="shared" si="31"/>
        <v>#N/A</v>
      </c>
      <c r="AJ36" s="52">
        <f t="shared" si="31"/>
        <v>56.161806208842897</v>
      </c>
      <c r="AK36" s="52">
        <f t="shared" si="31"/>
        <v>9.6895578551269992</v>
      </c>
      <c r="AL36" s="52">
        <f t="shared" si="31"/>
        <v>43.744120413922857</v>
      </c>
      <c r="AM36" s="52" t="e">
        <f t="shared" si="31"/>
        <v>#N/A</v>
      </c>
      <c r="AN36" s="52" t="e">
        <f t="shared" si="31"/>
        <v>#N/A</v>
      </c>
      <c r="AO36" s="52" t="e">
        <f t="shared" si="31"/>
        <v>#N/A</v>
      </c>
      <c r="AP36" s="52" t="e">
        <f t="shared" si="31"/>
        <v>#N/A</v>
      </c>
      <c r="AQ36" s="52" t="e">
        <f t="shared" si="31"/>
        <v>#N/A</v>
      </c>
      <c r="AR36" s="52">
        <f t="shared" si="31"/>
        <v>5.3621825023518346</v>
      </c>
      <c r="AS36" s="52">
        <f t="shared" si="31"/>
        <v>76.293508936970838</v>
      </c>
      <c r="AT36" s="52" t="e">
        <f t="shared" si="31"/>
        <v>#N/A</v>
      </c>
      <c r="AU36" s="52" t="e">
        <f t="shared" si="31"/>
        <v>#N/A</v>
      </c>
      <c r="AV36" s="52">
        <f t="shared" si="31"/>
        <v>104.51552210724364</v>
      </c>
      <c r="AW36" s="52">
        <f t="shared" si="31"/>
        <v>18.250235183443085</v>
      </c>
      <c r="AX36" s="52">
        <f t="shared" si="31"/>
        <v>25.776105362182502</v>
      </c>
      <c r="AY36" s="52">
        <f t="shared" si="31"/>
        <v>8.9369708372530567</v>
      </c>
      <c r="AZ36" s="53">
        <f t="shared" si="31"/>
        <v>6.7732831608654749</v>
      </c>
      <c r="BA36" s="56">
        <f t="shared" si="31"/>
        <v>392.00376293508936</v>
      </c>
      <c r="BC36" s="81" t="str">
        <f t="shared" si="22"/>
        <v>East Sussex</v>
      </c>
      <c r="BD36" s="171">
        <f t="shared" si="23"/>
        <v>9.3112550995920321E-2</v>
      </c>
      <c r="BE36" s="171">
        <f t="shared" si="24"/>
        <v>0.16798656107511398</v>
      </c>
      <c r="BF36" s="171">
        <f t="shared" si="25"/>
        <v>0.11159107271418287</v>
      </c>
      <c r="BG36" s="171">
        <f t="shared" si="26"/>
        <v>1.3678905687544997E-2</v>
      </c>
      <c r="BH36" s="171">
        <f t="shared" si="27"/>
        <v>0.19462443004559635</v>
      </c>
      <c r="BI36" s="171">
        <f t="shared" ref="BI36:BM36" si="32">AV12/$BA12</f>
        <v>0.26661867050635951</v>
      </c>
      <c r="BJ36" s="171">
        <f t="shared" si="32"/>
        <v>4.655627549796016E-2</v>
      </c>
      <c r="BK36" s="171">
        <f t="shared" si="32"/>
        <v>6.5754739620830338E-2</v>
      </c>
      <c r="BL36" s="171">
        <f t="shared" si="32"/>
        <v>2.2798176145908327E-2</v>
      </c>
      <c r="BM36" s="171">
        <f t="shared" si="32"/>
        <v>1.7278617710583154E-2</v>
      </c>
    </row>
    <row r="37" spans="1:65" s="81" customFormat="1" ht="17.100000000000001" customHeight="1" x14ac:dyDescent="0.2">
      <c r="A37" s="461"/>
      <c r="B37" s="739" t="str">
        <f>$AB$8&amp;" of Referrals from each Source "&amp;Frontpage!J5</f>
        <v>Proportion (%) of Referrals from each Source 2019-20</v>
      </c>
      <c r="C37" s="637"/>
      <c r="D37" s="637"/>
      <c r="E37" s="637"/>
      <c r="F37" s="637"/>
      <c r="G37" s="637"/>
      <c r="H37" s="637"/>
      <c r="I37" s="637"/>
      <c r="J37" s="637"/>
      <c r="K37" s="637"/>
      <c r="L37" s="637"/>
      <c r="M37" s="62"/>
      <c r="N37" s="70"/>
      <c r="O37" s="70"/>
      <c r="P37" s="70"/>
      <c r="Q37" s="70"/>
      <c r="R37" s="70"/>
      <c r="S37" s="70"/>
      <c r="T37" s="70"/>
      <c r="U37" s="70"/>
      <c r="V37" s="70"/>
      <c r="W37" s="70"/>
      <c r="X37" s="70"/>
      <c r="Y37" s="120"/>
      <c r="Z37" s="137"/>
      <c r="AB37" s="47" t="str">
        <f t="shared" si="18"/>
        <v>Hampshire</v>
      </c>
      <c r="AC37" s="46">
        <v>5</v>
      </c>
      <c r="AD37" s="47" t="str">
        <f t="shared" si="20"/>
        <v>HampshireRate per 10,000</v>
      </c>
      <c r="AE37" s="48" t="b">
        <f t="shared" si="13"/>
        <v>0</v>
      </c>
      <c r="AF37" s="51">
        <f t="shared" ref="AF37:BA37" si="33">IF(ISERROR(AF13/$BB13*10000),NA(),AF13/$BB13*10000)</f>
        <v>81.00597959901512</v>
      </c>
      <c r="AG37" s="52" t="e">
        <f t="shared" si="33"/>
        <v>#N/A</v>
      </c>
      <c r="AH37" s="52" t="e">
        <f t="shared" si="33"/>
        <v>#N/A</v>
      </c>
      <c r="AI37" s="52" t="e">
        <f t="shared" si="33"/>
        <v>#N/A</v>
      </c>
      <c r="AJ37" s="52">
        <f t="shared" si="33"/>
        <v>176.1167780513542</v>
      </c>
      <c r="AK37" s="52">
        <f t="shared" si="33"/>
        <v>0</v>
      </c>
      <c r="AL37" s="52">
        <f t="shared" si="33"/>
        <v>128.59655293703833</v>
      </c>
      <c r="AM37" s="52" t="e">
        <f t="shared" si="33"/>
        <v>#N/A</v>
      </c>
      <c r="AN37" s="52" t="e">
        <f t="shared" si="33"/>
        <v>#N/A</v>
      </c>
      <c r="AO37" s="52" t="e">
        <f t="shared" si="33"/>
        <v>#N/A</v>
      </c>
      <c r="AP37" s="52" t="e">
        <f t="shared" si="33"/>
        <v>#N/A</v>
      </c>
      <c r="AQ37" s="52" t="e">
        <f t="shared" si="33"/>
        <v>#N/A</v>
      </c>
      <c r="AR37" s="52">
        <f t="shared" si="33"/>
        <v>8.723179739711572</v>
      </c>
      <c r="AS37" s="52">
        <f t="shared" si="33"/>
        <v>56.27857896588111</v>
      </c>
      <c r="AT37" s="52" t="e">
        <f t="shared" si="33"/>
        <v>#N/A</v>
      </c>
      <c r="AU37" s="52" t="e">
        <f t="shared" si="33"/>
        <v>#N/A</v>
      </c>
      <c r="AV37" s="52">
        <f t="shared" si="33"/>
        <v>161.27330284910306</v>
      </c>
      <c r="AW37" s="52">
        <f t="shared" si="33"/>
        <v>24.481181850158283</v>
      </c>
      <c r="AX37" s="52">
        <f t="shared" si="33"/>
        <v>44.389729159338721</v>
      </c>
      <c r="AY37" s="52">
        <f t="shared" si="33"/>
        <v>18.677453394301793</v>
      </c>
      <c r="AZ37" s="53">
        <f t="shared" si="33"/>
        <v>11.67780513542033</v>
      </c>
      <c r="BA37" s="56">
        <f t="shared" si="33"/>
        <v>711.22054168132252</v>
      </c>
      <c r="BC37" s="81" t="str">
        <f t="shared" si="22"/>
        <v>Hampshire</v>
      </c>
      <c r="BD37" s="171">
        <f t="shared" si="23"/>
        <v>0.1138971315529179</v>
      </c>
      <c r="BE37" s="171">
        <f t="shared" si="24"/>
        <v>0.24762611275964391</v>
      </c>
      <c r="BF37" s="171">
        <f t="shared" si="25"/>
        <v>0.18081107814045499</v>
      </c>
      <c r="BG37" s="171">
        <f t="shared" si="26"/>
        <v>1.2265084075173096E-2</v>
      </c>
      <c r="BH37" s="171">
        <f t="shared" si="27"/>
        <v>7.9129574678536096E-2</v>
      </c>
      <c r="BI37" s="171">
        <f t="shared" ref="BI37:BM37" si="34">AV13/$BA13</f>
        <v>0.22675568743818003</v>
      </c>
      <c r="BJ37" s="171">
        <f t="shared" si="34"/>
        <v>3.4421364985163204E-2</v>
      </c>
      <c r="BK37" s="171">
        <f t="shared" si="34"/>
        <v>6.2413452027695354E-2</v>
      </c>
      <c r="BL37" s="171">
        <f t="shared" si="34"/>
        <v>2.6261127596439168E-2</v>
      </c>
      <c r="BM37" s="171">
        <f t="shared" si="34"/>
        <v>1.6419386745796242E-2</v>
      </c>
    </row>
    <row r="38" spans="1:65" s="81" customFormat="1" ht="13.5" customHeight="1" x14ac:dyDescent="0.2">
      <c r="A38" s="278"/>
      <c r="B38" s="638" t="s">
        <v>110</v>
      </c>
      <c r="C38" s="637"/>
      <c r="D38" s="637"/>
      <c r="E38" s="637"/>
      <c r="F38" s="637"/>
      <c r="G38" s="637"/>
      <c r="H38" s="637"/>
      <c r="I38" s="637"/>
      <c r="J38" s="637"/>
      <c r="K38" s="637"/>
      <c r="L38" s="637"/>
      <c r="M38" s="70"/>
      <c r="N38" s="70"/>
      <c r="O38" s="70"/>
      <c r="P38" s="70"/>
      <c r="Q38" s="70"/>
      <c r="R38" s="70"/>
      <c r="S38" s="70"/>
      <c r="T38" s="70"/>
      <c r="U38" s="70"/>
      <c r="V38" s="58"/>
      <c r="W38" s="70"/>
      <c r="X38" s="70"/>
      <c r="Y38" s="117"/>
      <c r="Z38" s="137"/>
      <c r="AB38" s="47" t="str">
        <f t="shared" si="18"/>
        <v>Isle of Wight</v>
      </c>
      <c r="AC38" s="46">
        <v>6</v>
      </c>
      <c r="AD38" s="47" t="str">
        <f t="shared" si="20"/>
        <v>Isle of WightRate per 10,000</v>
      </c>
      <c r="AE38" s="48" t="b">
        <f t="shared" si="13"/>
        <v>0</v>
      </c>
      <c r="AF38" s="51">
        <f t="shared" ref="AF38:BA38" si="35">IF(ISERROR(AF14/$BB14*10000),NA(),AF14/$BB14*10000)</f>
        <v>124.69635627530364</v>
      </c>
      <c r="AG38" s="52" t="e">
        <f t="shared" si="35"/>
        <v>#N/A</v>
      </c>
      <c r="AH38" s="52" t="e">
        <f t="shared" si="35"/>
        <v>#N/A</v>
      </c>
      <c r="AI38" s="52" t="e">
        <f t="shared" si="35"/>
        <v>#N/A</v>
      </c>
      <c r="AJ38" s="52">
        <f t="shared" si="35"/>
        <v>287.4493927125506</v>
      </c>
      <c r="AK38" s="52">
        <f t="shared" si="35"/>
        <v>3.2388663967611335</v>
      </c>
      <c r="AL38" s="52">
        <f t="shared" si="35"/>
        <v>148.58299595141699</v>
      </c>
      <c r="AM38" s="52" t="e">
        <f t="shared" si="35"/>
        <v>#N/A</v>
      </c>
      <c r="AN38" s="52" t="e">
        <f t="shared" si="35"/>
        <v>#N/A</v>
      </c>
      <c r="AO38" s="52" t="e">
        <f t="shared" si="35"/>
        <v>#N/A</v>
      </c>
      <c r="AP38" s="52" t="e">
        <f t="shared" si="35"/>
        <v>#N/A</v>
      </c>
      <c r="AQ38" s="52" t="e">
        <f t="shared" si="35"/>
        <v>#N/A</v>
      </c>
      <c r="AR38" s="52">
        <f t="shared" si="35"/>
        <v>16.599190283400809</v>
      </c>
      <c r="AS38" s="52">
        <f t="shared" si="35"/>
        <v>102.42914979757084</v>
      </c>
      <c r="AT38" s="52" t="e">
        <f t="shared" si="35"/>
        <v>#N/A</v>
      </c>
      <c r="AU38" s="52" t="e">
        <f t="shared" si="35"/>
        <v>#N/A</v>
      </c>
      <c r="AV38" s="52">
        <f t="shared" si="35"/>
        <v>210.12145748987854</v>
      </c>
      <c r="AW38" s="52">
        <f t="shared" si="35"/>
        <v>28.340080971659923</v>
      </c>
      <c r="AX38" s="52">
        <f t="shared" si="35"/>
        <v>140.08097165991904</v>
      </c>
      <c r="AY38" s="52">
        <f t="shared" si="35"/>
        <v>0</v>
      </c>
      <c r="AZ38" s="53">
        <f t="shared" si="35"/>
        <v>19.433198380566804</v>
      </c>
      <c r="BA38" s="56">
        <f t="shared" si="35"/>
        <v>1080.9716599190283</v>
      </c>
      <c r="BC38" s="81" t="str">
        <f t="shared" si="22"/>
        <v>Isle of Wight</v>
      </c>
      <c r="BD38" s="171">
        <f t="shared" si="23"/>
        <v>0.11535580524344569</v>
      </c>
      <c r="BE38" s="171">
        <f t="shared" si="24"/>
        <v>0.2689138576779026</v>
      </c>
      <c r="BF38" s="171">
        <f t="shared" si="25"/>
        <v>0.13745318352059926</v>
      </c>
      <c r="BG38" s="171">
        <f t="shared" si="26"/>
        <v>1.5355805243445693E-2</v>
      </c>
      <c r="BH38" s="171">
        <f t="shared" si="27"/>
        <v>9.4756554307116103E-2</v>
      </c>
      <c r="BI38" s="171">
        <f t="shared" ref="BI38:BM38" si="36">AV14/$BA14</f>
        <v>0.19438202247191011</v>
      </c>
      <c r="BJ38" s="171">
        <f t="shared" si="36"/>
        <v>2.6217228464419477E-2</v>
      </c>
      <c r="BK38" s="171">
        <f t="shared" si="36"/>
        <v>0.1295880149812734</v>
      </c>
      <c r="BL38" s="171">
        <f t="shared" si="36"/>
        <v>0</v>
      </c>
      <c r="BM38" s="171">
        <f t="shared" si="36"/>
        <v>1.7977528089887642E-2</v>
      </c>
    </row>
    <row r="39" spans="1:65" s="81" customFormat="1" ht="12.6" customHeight="1" x14ac:dyDescent="0.2">
      <c r="A39" s="278"/>
      <c r="B39" s="1865" t="s">
        <v>205</v>
      </c>
      <c r="C39" s="9"/>
      <c r="D39" s="1857">
        <v>1</v>
      </c>
      <c r="E39" s="1858"/>
      <c r="F39" s="1857">
        <v>2</v>
      </c>
      <c r="G39" s="1858"/>
      <c r="H39" s="1857">
        <v>3</v>
      </c>
      <c r="I39" s="1858"/>
      <c r="J39" s="1857">
        <v>4</v>
      </c>
      <c r="K39" s="1858"/>
      <c r="L39" s="1857">
        <v>5</v>
      </c>
      <c r="M39" s="1858"/>
      <c r="N39" s="1857">
        <v>6</v>
      </c>
      <c r="O39" s="1858"/>
      <c r="P39" s="1857">
        <v>7</v>
      </c>
      <c r="Q39" s="1858"/>
      <c r="R39" s="1857">
        <v>8</v>
      </c>
      <c r="S39" s="1858"/>
      <c r="T39" s="1857">
        <v>9</v>
      </c>
      <c r="U39" s="1858"/>
      <c r="V39" s="1857">
        <v>10</v>
      </c>
      <c r="W39" s="1861"/>
      <c r="X39" s="9"/>
      <c r="Y39" s="117"/>
      <c r="Z39" s="137"/>
      <c r="AB39" s="47" t="str">
        <f t="shared" ref="AB39:AB56" si="37">B15</f>
        <v>Kent</v>
      </c>
      <c r="AC39" s="46">
        <v>7</v>
      </c>
      <c r="AD39" s="47" t="str">
        <f t="shared" si="20"/>
        <v>KentRate per 10,000</v>
      </c>
      <c r="AE39" s="48" t="b">
        <f t="shared" si="13"/>
        <v>0</v>
      </c>
      <c r="AF39" s="51">
        <f t="shared" ref="AF39:BA39" si="38">IF(ISERROR(AF15/$BB15*10000),NA(),AF15/$BB15*10000)</f>
        <v>48.981966259453166</v>
      </c>
      <c r="AG39" s="52" t="e">
        <f t="shared" si="38"/>
        <v>#N/A</v>
      </c>
      <c r="AH39" s="52" t="e">
        <f t="shared" si="38"/>
        <v>#N/A</v>
      </c>
      <c r="AI39" s="52" t="e">
        <f t="shared" si="38"/>
        <v>#N/A</v>
      </c>
      <c r="AJ39" s="52">
        <f t="shared" si="38"/>
        <v>125.1018033740547</v>
      </c>
      <c r="AK39" s="52">
        <f t="shared" si="38"/>
        <v>2.2396742292030249</v>
      </c>
      <c r="AL39" s="52">
        <f t="shared" si="38"/>
        <v>85.922047702152412</v>
      </c>
      <c r="AM39" s="52" t="e">
        <f t="shared" si="38"/>
        <v>#N/A</v>
      </c>
      <c r="AN39" s="52" t="e">
        <f t="shared" si="38"/>
        <v>#N/A</v>
      </c>
      <c r="AO39" s="52" t="e">
        <f t="shared" si="38"/>
        <v>#N/A</v>
      </c>
      <c r="AP39" s="52" t="e">
        <f t="shared" si="38"/>
        <v>#N/A</v>
      </c>
      <c r="AQ39" s="52" t="e">
        <f t="shared" si="38"/>
        <v>#N/A</v>
      </c>
      <c r="AR39" s="52">
        <f t="shared" si="38"/>
        <v>13.059918557300756</v>
      </c>
      <c r="AS39" s="52">
        <f t="shared" si="38"/>
        <v>78.708551483420592</v>
      </c>
      <c r="AT39" s="52" t="e">
        <f t="shared" si="38"/>
        <v>#N/A</v>
      </c>
      <c r="AU39" s="52" t="e">
        <f t="shared" si="38"/>
        <v>#N/A</v>
      </c>
      <c r="AV39" s="52">
        <f t="shared" si="38"/>
        <v>216.11401977894127</v>
      </c>
      <c r="AW39" s="52">
        <f t="shared" si="38"/>
        <v>35.718440954043047</v>
      </c>
      <c r="AX39" s="52">
        <f t="shared" si="38"/>
        <v>20.738801628853984</v>
      </c>
      <c r="AY39" s="52">
        <f t="shared" si="38"/>
        <v>9.1623036649214669</v>
      </c>
      <c r="AZ39" s="53">
        <f t="shared" si="38"/>
        <v>14.310645724258288</v>
      </c>
      <c r="BA39" s="56">
        <f t="shared" si="38"/>
        <v>650.05817335660277</v>
      </c>
      <c r="BC39" s="81" t="str">
        <f t="shared" si="22"/>
        <v>Kent</v>
      </c>
      <c r="BD39" s="171">
        <f t="shared" ref="BD39:BD56" si="39">SUM(AF15:AI15)/$BA15</f>
        <v>7.5350127522484225E-2</v>
      </c>
      <c r="BE39" s="171">
        <f t="shared" ref="BE39:BE56" si="40">SUM(AJ15:AK15)/$BA15</f>
        <v>0.19589243366593584</v>
      </c>
      <c r="BF39" s="171">
        <f t="shared" ref="BF39:BF56" si="41">SUM(AL15:AQ15)/$BA15</f>
        <v>0.1321759362835026</v>
      </c>
      <c r="BG39" s="171">
        <f t="shared" ref="BG39:BG56" si="42">AR15/$BA15</f>
        <v>2.0090384357241933E-2</v>
      </c>
      <c r="BH39" s="171">
        <f t="shared" ref="BH39:BH56" si="43">SUM(AS15:AU15)/$BA15</f>
        <v>0.12107924291914628</v>
      </c>
      <c r="BI39" s="171">
        <f t="shared" ref="BI39:BI56" si="44">AV15/$BA15</f>
        <v>0.33245335361761152</v>
      </c>
      <c r="BJ39" s="171">
        <f t="shared" ref="BJ39:BJ56" si="45">AW15/$BA15</f>
        <v>5.4946530046087072E-2</v>
      </c>
      <c r="BK39" s="171">
        <f t="shared" ref="BK39:BK56" si="46">AX15/$BA15</f>
        <v>3.1902993422524499E-2</v>
      </c>
      <c r="BL39" s="171">
        <f t="shared" ref="BL39:BL56" si="47">AY15/$BA15</f>
        <v>1.4094590361984877E-2</v>
      </c>
      <c r="BM39" s="171">
        <f t="shared" ref="BM39:BM56" si="48">AZ15/$BA15</f>
        <v>2.2014407803481139E-2</v>
      </c>
    </row>
    <row r="40" spans="1:65" s="81" customFormat="1" ht="37.5" customHeight="1" x14ac:dyDescent="0.25">
      <c r="A40" s="462"/>
      <c r="B40" s="1866"/>
      <c r="D40" s="1859" t="s">
        <v>96</v>
      </c>
      <c r="E40" s="1860"/>
      <c r="F40" s="1859" t="s">
        <v>38</v>
      </c>
      <c r="G40" s="1860"/>
      <c r="H40" s="1859" t="s">
        <v>105</v>
      </c>
      <c r="I40" s="1860"/>
      <c r="J40" s="1859" t="s">
        <v>46</v>
      </c>
      <c r="K40" s="1860"/>
      <c r="L40" s="1859" t="s">
        <v>106</v>
      </c>
      <c r="M40" s="1860"/>
      <c r="N40" s="1859" t="s">
        <v>23</v>
      </c>
      <c r="O40" s="1860"/>
      <c r="P40" s="1859" t="s">
        <v>67</v>
      </c>
      <c r="Q40" s="1860"/>
      <c r="R40" s="1859" t="s">
        <v>66</v>
      </c>
      <c r="S40" s="1860"/>
      <c r="T40" s="1859" t="s">
        <v>64</v>
      </c>
      <c r="U40" s="1860"/>
      <c r="V40" s="1859" t="s">
        <v>65</v>
      </c>
      <c r="W40" s="1869"/>
      <c r="X40" s="9"/>
      <c r="Y40" s="117"/>
      <c r="Z40" s="137"/>
      <c r="AB40" s="47" t="str">
        <f t="shared" si="37"/>
        <v>Medway</v>
      </c>
      <c r="AC40" s="46">
        <v>8</v>
      </c>
      <c r="AD40" s="47" t="str">
        <f t="shared" si="20"/>
        <v>MedwayRate per 10,000</v>
      </c>
      <c r="AE40" s="48" t="b">
        <f t="shared" si="13"/>
        <v>0</v>
      </c>
      <c r="AF40" s="51">
        <f t="shared" ref="AF40:BA40" si="49">IF(ISERROR(AF16/$BB16*10000),NA(),AF16/$BB16*10000)</f>
        <v>68.307692307692307</v>
      </c>
      <c r="AG40" s="52" t="e">
        <f t="shared" si="49"/>
        <v>#N/A</v>
      </c>
      <c r="AH40" s="52" t="e">
        <f t="shared" si="49"/>
        <v>#N/A</v>
      </c>
      <c r="AI40" s="52" t="e">
        <f t="shared" si="49"/>
        <v>#N/A</v>
      </c>
      <c r="AJ40" s="52">
        <f t="shared" si="49"/>
        <v>178.61538461538461</v>
      </c>
      <c r="AK40" s="52">
        <f t="shared" si="49"/>
        <v>3.3846153846153846</v>
      </c>
      <c r="AL40" s="52">
        <f t="shared" si="49"/>
        <v>69.84615384615384</v>
      </c>
      <c r="AM40" s="52" t="e">
        <f t="shared" si="49"/>
        <v>#N/A</v>
      </c>
      <c r="AN40" s="52" t="e">
        <f t="shared" si="49"/>
        <v>#N/A</v>
      </c>
      <c r="AO40" s="52" t="e">
        <f t="shared" si="49"/>
        <v>#N/A</v>
      </c>
      <c r="AP40" s="52" t="e">
        <f t="shared" si="49"/>
        <v>#N/A</v>
      </c>
      <c r="AQ40" s="52" t="e">
        <f t="shared" si="49"/>
        <v>#N/A</v>
      </c>
      <c r="AR40" s="52">
        <f t="shared" si="49"/>
        <v>11.53846153846154</v>
      </c>
      <c r="AS40" s="52">
        <f t="shared" si="49"/>
        <v>95.538461538461547</v>
      </c>
      <c r="AT40" s="52" t="e">
        <f t="shared" si="49"/>
        <v>#N/A</v>
      </c>
      <c r="AU40" s="52" t="e">
        <f t="shared" si="49"/>
        <v>#N/A</v>
      </c>
      <c r="AV40" s="52">
        <f t="shared" si="49"/>
        <v>261.53846153846155</v>
      </c>
      <c r="AW40" s="52">
        <f t="shared" si="49"/>
        <v>20</v>
      </c>
      <c r="AX40" s="52">
        <f t="shared" si="49"/>
        <v>30.615384615384613</v>
      </c>
      <c r="AY40" s="52">
        <f t="shared" si="49"/>
        <v>13.384615384615383</v>
      </c>
      <c r="AZ40" s="53">
        <f t="shared" si="49"/>
        <v>1.6923076923076923</v>
      </c>
      <c r="BA40" s="56">
        <f t="shared" si="49"/>
        <v>754.46153846153845</v>
      </c>
      <c r="BC40" s="81" t="str">
        <f t="shared" si="22"/>
        <v>Medway</v>
      </c>
      <c r="BD40" s="171">
        <f t="shared" si="39"/>
        <v>9.0538336052202281E-2</v>
      </c>
      <c r="BE40" s="171">
        <f t="shared" si="40"/>
        <v>0.24123164763458402</v>
      </c>
      <c r="BF40" s="171">
        <f t="shared" si="41"/>
        <v>9.2577487765089728E-2</v>
      </c>
      <c r="BG40" s="171">
        <f t="shared" si="42"/>
        <v>1.5293637846655791E-2</v>
      </c>
      <c r="BH40" s="171">
        <f t="shared" si="43"/>
        <v>0.12663132137030994</v>
      </c>
      <c r="BI40" s="171">
        <f t="shared" si="44"/>
        <v>0.34665579119086459</v>
      </c>
      <c r="BJ40" s="171">
        <f t="shared" si="45"/>
        <v>2.6508972267536703E-2</v>
      </c>
      <c r="BK40" s="171">
        <f t="shared" si="46"/>
        <v>4.057911908646003E-2</v>
      </c>
      <c r="BL40" s="171">
        <f t="shared" si="47"/>
        <v>1.7740619902120718E-2</v>
      </c>
      <c r="BM40" s="171">
        <f t="shared" si="48"/>
        <v>2.2430668841761825E-3</v>
      </c>
    </row>
    <row r="41" spans="1:65" ht="13.5" customHeight="1" x14ac:dyDescent="0.2">
      <c r="A41" s="488">
        <f>VLOOKUP(B41,Sheet1!$AQ$4:$AR$25,2,FALSE)</f>
        <v>0</v>
      </c>
      <c r="B41" s="175" t="str">
        <f>Sheet1!$K$4</f>
        <v>Bracknell Forest</v>
      </c>
      <c r="C41" s="73"/>
      <c r="D41" s="1839">
        <f>SUM(D9:G9)</f>
        <v>6.650971159505592</v>
      </c>
      <c r="E41" s="1840"/>
      <c r="F41" s="1839">
        <f t="shared" ref="F41:F63" si="50">SUM(H9:I9)</f>
        <v>29.075927015891704</v>
      </c>
      <c r="G41" s="1840"/>
      <c r="H41" s="1839">
        <f t="shared" ref="H41:H63" si="51">SUM(J9:O9)</f>
        <v>10.417892878163626</v>
      </c>
      <c r="I41" s="1840"/>
      <c r="J41" s="1839">
        <f t="shared" ref="J41:J63" si="52">P9</f>
        <v>1.0594467333725721</v>
      </c>
      <c r="K41" s="1840"/>
      <c r="L41" s="1839">
        <f t="shared" ref="L41:L63" si="53">SUM(Q9:S9)</f>
        <v>22.189523248969984</v>
      </c>
      <c r="M41" s="1840"/>
      <c r="N41" s="1839">
        <f t="shared" ref="N41:N63" si="54">T9</f>
        <v>22.778104767510303</v>
      </c>
      <c r="O41" s="1840"/>
      <c r="P41" s="1839">
        <f t="shared" ref="P41:P63" si="55">U9</f>
        <v>2.4720423778693346</v>
      </c>
      <c r="Q41" s="1840"/>
      <c r="R41" s="1839">
        <f t="shared" ref="R41:R63" si="56">V9</f>
        <v>4.002354326074161</v>
      </c>
      <c r="S41" s="1840"/>
      <c r="T41" s="1839">
        <f t="shared" ref="T41:T63" si="57">W9</f>
        <v>1.353737492642731</v>
      </c>
      <c r="U41" s="1840"/>
      <c r="V41" s="1839">
        <f t="shared" ref="V41:V63" si="58">X9</f>
        <v>0</v>
      </c>
      <c r="W41" s="1862"/>
      <c r="X41" s="9"/>
      <c r="Y41" s="117"/>
      <c r="Z41" s="137"/>
      <c r="AA41" s="74"/>
      <c r="AB41" s="47" t="str">
        <f t="shared" si="37"/>
        <v>Milton Keynes</v>
      </c>
      <c r="AC41" s="46">
        <v>9</v>
      </c>
      <c r="AD41" s="47" t="str">
        <f t="shared" si="20"/>
        <v>Milton KeynesRate per 10,000</v>
      </c>
      <c r="AE41" s="48" t="b">
        <f t="shared" si="13"/>
        <v>0</v>
      </c>
      <c r="AF41" s="51">
        <f t="shared" ref="AF41:BA41" si="59">IF(ISERROR(AF17/$BB17*10000),NA(),AF17/$BB17*10000)</f>
        <v>40.406976744186046</v>
      </c>
      <c r="AG41" s="52" t="e">
        <f t="shared" si="59"/>
        <v>#N/A</v>
      </c>
      <c r="AH41" s="52" t="e">
        <f t="shared" si="59"/>
        <v>#N/A</v>
      </c>
      <c r="AI41" s="52" t="e">
        <f t="shared" si="59"/>
        <v>#N/A</v>
      </c>
      <c r="AJ41" s="52">
        <f t="shared" si="59"/>
        <v>83.575581395348834</v>
      </c>
      <c r="AK41" s="52">
        <f t="shared" si="59"/>
        <v>13.953488372093023</v>
      </c>
      <c r="AL41" s="52">
        <f t="shared" si="59"/>
        <v>68.604651162790702</v>
      </c>
      <c r="AM41" s="52" t="e">
        <f t="shared" si="59"/>
        <v>#N/A</v>
      </c>
      <c r="AN41" s="52" t="e">
        <f t="shared" si="59"/>
        <v>#N/A</v>
      </c>
      <c r="AO41" s="52" t="e">
        <f t="shared" si="59"/>
        <v>#N/A</v>
      </c>
      <c r="AP41" s="52" t="e">
        <f t="shared" si="59"/>
        <v>#N/A</v>
      </c>
      <c r="AQ41" s="52" t="e">
        <f t="shared" si="59"/>
        <v>#N/A</v>
      </c>
      <c r="AR41" s="52">
        <f t="shared" si="59"/>
        <v>5.0872093023255811</v>
      </c>
      <c r="AS41" s="52">
        <f t="shared" si="59"/>
        <v>56.97674418604651</v>
      </c>
      <c r="AT41" s="52" t="e">
        <f t="shared" si="59"/>
        <v>#N/A</v>
      </c>
      <c r="AU41" s="52" t="e">
        <f t="shared" si="59"/>
        <v>#N/A</v>
      </c>
      <c r="AV41" s="52">
        <f t="shared" si="59"/>
        <v>138.22674418604652</v>
      </c>
      <c r="AW41" s="52">
        <f t="shared" si="59"/>
        <v>16.13372093023256</v>
      </c>
      <c r="AX41" s="52">
        <f t="shared" si="59"/>
        <v>16.424418604651162</v>
      </c>
      <c r="AY41" s="52">
        <f t="shared" si="59"/>
        <v>8.5755813953488378</v>
      </c>
      <c r="AZ41" s="53">
        <f t="shared" si="59"/>
        <v>1.1627906976744187</v>
      </c>
      <c r="BA41" s="56">
        <f t="shared" si="59"/>
        <v>449.12790697674421</v>
      </c>
      <c r="BC41" s="81" t="str">
        <f t="shared" si="22"/>
        <v>Milton Keynes</v>
      </c>
      <c r="BD41" s="171">
        <f t="shared" si="39"/>
        <v>8.9967637540453074E-2</v>
      </c>
      <c r="BE41" s="171">
        <f t="shared" si="40"/>
        <v>0.21715210355987055</v>
      </c>
      <c r="BF41" s="171">
        <f t="shared" si="41"/>
        <v>0.15275080906148866</v>
      </c>
      <c r="BG41" s="171">
        <f t="shared" si="42"/>
        <v>1.1326860841423949E-2</v>
      </c>
      <c r="BH41" s="171">
        <f t="shared" si="43"/>
        <v>0.12686084142394821</v>
      </c>
      <c r="BI41" s="171">
        <f t="shared" si="44"/>
        <v>0.30776699029126214</v>
      </c>
      <c r="BJ41" s="171">
        <f t="shared" si="45"/>
        <v>3.5922330097087375E-2</v>
      </c>
      <c r="BK41" s="171">
        <f t="shared" si="46"/>
        <v>3.6569579288025893E-2</v>
      </c>
      <c r="BL41" s="171">
        <f t="shared" si="47"/>
        <v>1.9093851132686083E-2</v>
      </c>
      <c r="BM41" s="171">
        <f t="shared" si="48"/>
        <v>2.5889967637540453E-3</v>
      </c>
    </row>
    <row r="42" spans="1:65" ht="13.5" customHeight="1" x14ac:dyDescent="0.2">
      <c r="A42" s="488">
        <f>VLOOKUP(B42,Sheet1!$AQ$4:$AR$25,2,FALSE)</f>
        <v>0</v>
      </c>
      <c r="B42" s="175" t="str">
        <f>Sheet1!$K$5</f>
        <v>Brighton &amp; Hove</v>
      </c>
      <c r="C42" s="9"/>
      <c r="D42" s="1839">
        <f t="shared" ref="D42" si="60">SUM(D10:G10)</f>
        <v>2.9403528423410807</v>
      </c>
      <c r="E42" s="1840"/>
      <c r="F42" s="1839">
        <f t="shared" si="50"/>
        <v>18.818258190982917</v>
      </c>
      <c r="G42" s="1840"/>
      <c r="H42" s="1839">
        <f t="shared" si="51"/>
        <v>12.629515541865025</v>
      </c>
      <c r="I42" s="1840"/>
      <c r="J42" s="1839">
        <f t="shared" si="52"/>
        <v>1.792215065807897</v>
      </c>
      <c r="K42" s="1840"/>
      <c r="L42" s="1839">
        <f t="shared" si="53"/>
        <v>13.917670120414449</v>
      </c>
      <c r="M42" s="1840"/>
      <c r="N42" s="1839">
        <f t="shared" si="54"/>
        <v>28.591430971716608</v>
      </c>
      <c r="O42" s="1840"/>
      <c r="P42" s="1839">
        <f t="shared" si="55"/>
        <v>2.6323158779053486</v>
      </c>
      <c r="Q42" s="1840"/>
      <c r="R42" s="1839">
        <f t="shared" si="56"/>
        <v>3.2763931671800619</v>
      </c>
      <c r="S42" s="1840"/>
      <c r="T42" s="1839">
        <f t="shared" si="57"/>
        <v>1.3161579389526743</v>
      </c>
      <c r="U42" s="1840"/>
      <c r="V42" s="1839">
        <f t="shared" si="58"/>
        <v>14.085690282833941</v>
      </c>
      <c r="W42" s="1862"/>
      <c r="X42" s="9"/>
      <c r="Y42" s="117"/>
      <c r="Z42" s="137"/>
      <c r="AA42" s="74"/>
      <c r="AB42" s="47" t="str">
        <f t="shared" si="37"/>
        <v>Oxfordshire</v>
      </c>
      <c r="AC42" s="46">
        <v>10</v>
      </c>
      <c r="AD42" s="47" t="str">
        <f t="shared" si="20"/>
        <v>OxfordshireRate per 10,000</v>
      </c>
      <c r="AE42" s="48" t="b">
        <f t="shared" si="13"/>
        <v>0</v>
      </c>
      <c r="AF42" s="51">
        <f t="shared" ref="AF42:BA42" si="61">IF(ISERROR(AF18/$BB18*10000),NA(),AF18/$BB18*10000)</f>
        <v>37.303216974674875</v>
      </c>
      <c r="AG42" s="52" t="e">
        <f t="shared" si="61"/>
        <v>#N/A</v>
      </c>
      <c r="AH42" s="52" t="e">
        <f t="shared" si="61"/>
        <v>#N/A</v>
      </c>
      <c r="AI42" s="52" t="e">
        <f t="shared" si="61"/>
        <v>#N/A</v>
      </c>
      <c r="AJ42" s="52">
        <f t="shared" si="61"/>
        <v>49.555099247091029</v>
      </c>
      <c r="AK42" s="52">
        <f t="shared" si="61"/>
        <v>63.586584531143053</v>
      </c>
      <c r="AL42" s="52">
        <f t="shared" si="61"/>
        <v>67.419575633128005</v>
      </c>
      <c r="AM42" s="52" t="e">
        <f t="shared" si="61"/>
        <v>#N/A</v>
      </c>
      <c r="AN42" s="52" t="e">
        <f t="shared" si="61"/>
        <v>#N/A</v>
      </c>
      <c r="AO42" s="52" t="e">
        <f t="shared" si="61"/>
        <v>#N/A</v>
      </c>
      <c r="AP42" s="52" t="e">
        <f t="shared" si="61"/>
        <v>#N/A</v>
      </c>
      <c r="AQ42" s="52" t="e">
        <f t="shared" si="61"/>
        <v>#N/A</v>
      </c>
      <c r="AR42" s="52">
        <f t="shared" si="61"/>
        <v>2.3956194387405887</v>
      </c>
      <c r="AS42" s="52">
        <f t="shared" si="61"/>
        <v>95.071868583162214</v>
      </c>
      <c r="AT42" s="52" t="e">
        <f t="shared" si="61"/>
        <v>#N/A</v>
      </c>
      <c r="AU42" s="52" t="e">
        <f t="shared" si="61"/>
        <v>#N/A</v>
      </c>
      <c r="AV42" s="52">
        <f t="shared" si="61"/>
        <v>153.25119780971937</v>
      </c>
      <c r="AW42" s="52">
        <f t="shared" si="61"/>
        <v>14.30527036276523</v>
      </c>
      <c r="AX42" s="52">
        <f t="shared" si="61"/>
        <v>22.108145106091719</v>
      </c>
      <c r="AY42" s="52">
        <f t="shared" si="61"/>
        <v>6.1601642710472282</v>
      </c>
      <c r="AZ42" s="53">
        <f t="shared" si="61"/>
        <v>2.3271731690622861</v>
      </c>
      <c r="BA42" s="56">
        <f t="shared" si="61"/>
        <v>513.48391512662556</v>
      </c>
      <c r="BC42" s="81" t="str">
        <f t="shared" si="22"/>
        <v>Oxfordshire</v>
      </c>
      <c r="BD42" s="171">
        <f t="shared" si="39"/>
        <v>7.2647294054918682E-2</v>
      </c>
      <c r="BE42" s="171">
        <f t="shared" si="40"/>
        <v>0.22034124233537725</v>
      </c>
      <c r="BF42" s="171">
        <f t="shared" si="41"/>
        <v>0.13129832044788056</v>
      </c>
      <c r="BG42" s="171">
        <f t="shared" si="42"/>
        <v>4.6654225539856037E-3</v>
      </c>
      <c r="BH42" s="171">
        <f t="shared" si="43"/>
        <v>0.1851506264996001</v>
      </c>
      <c r="BI42" s="171">
        <f t="shared" si="44"/>
        <v>0.2984537456678219</v>
      </c>
      <c r="BJ42" s="171">
        <f t="shared" si="45"/>
        <v>2.7859237536656891E-2</v>
      </c>
      <c r="BK42" s="171">
        <f t="shared" si="46"/>
        <v>4.305518528392429E-2</v>
      </c>
      <c r="BL42" s="171">
        <f t="shared" si="47"/>
        <v>1.1996800853105838E-2</v>
      </c>
      <c r="BM42" s="171">
        <f t="shared" si="48"/>
        <v>4.5321247667288725E-3</v>
      </c>
    </row>
    <row r="43" spans="1:65" s="76" customFormat="1" ht="13.5" customHeight="1" x14ac:dyDescent="0.2">
      <c r="A43" s="488">
        <f>VLOOKUP(B43,Sheet1!$AQ$4:$AR$25,2,FALSE)</f>
        <v>0</v>
      </c>
      <c r="B43" s="175" t="str">
        <f>Sheet1!$K$6</f>
        <v>Buckinghamshire</v>
      </c>
      <c r="C43" s="9"/>
      <c r="D43" s="1839">
        <f t="shared" ref="D43:D62" si="62">SUM(D11:G11)</f>
        <v>7.5896078903055084</v>
      </c>
      <c r="E43" s="1840"/>
      <c r="F43" s="1839" t="e">
        <f t="shared" si="50"/>
        <v>#N/A</v>
      </c>
      <c r="G43" s="1840"/>
      <c r="H43" s="1839">
        <f t="shared" si="51"/>
        <v>15.479913399085879</v>
      </c>
      <c r="I43" s="1840"/>
      <c r="J43" s="1839">
        <f t="shared" si="52"/>
        <v>1.491460187635314</v>
      </c>
      <c r="K43" s="1840"/>
      <c r="L43" s="1839">
        <f t="shared" si="53"/>
        <v>11.655039692085639</v>
      </c>
      <c r="M43" s="1840"/>
      <c r="N43" s="1839">
        <f t="shared" si="54"/>
        <v>35.001202790473904</v>
      </c>
      <c r="O43" s="1840"/>
      <c r="P43" s="1839">
        <f t="shared" si="55"/>
        <v>2.6701948520567718</v>
      </c>
      <c r="Q43" s="1840"/>
      <c r="R43" s="1839">
        <f t="shared" si="56"/>
        <v>4.7991339908587918</v>
      </c>
      <c r="S43" s="1840"/>
      <c r="T43" s="1839">
        <f t="shared" si="57"/>
        <v>1.8522973298051482</v>
      </c>
      <c r="U43" s="1840"/>
      <c r="V43" s="1839" t="e">
        <f t="shared" si="58"/>
        <v>#N/A</v>
      </c>
      <c r="W43" s="1862"/>
      <c r="X43" s="9"/>
      <c r="Y43" s="117"/>
      <c r="Z43" s="138"/>
      <c r="AB43" s="47" t="str">
        <f t="shared" si="37"/>
        <v>Portsmouth</v>
      </c>
      <c r="AC43" s="46">
        <v>11</v>
      </c>
      <c r="AD43" s="47" t="str">
        <f t="shared" si="20"/>
        <v>PortsmouthRate per 10,000</v>
      </c>
      <c r="AE43" s="48" t="b">
        <f t="shared" si="13"/>
        <v>0</v>
      </c>
      <c r="AF43" s="51">
        <f t="shared" ref="AF43:BA43" si="63">IF(ISERROR(AF19/$BB19*10000),NA(),AF19/$BB19*10000)</f>
        <v>35.388127853881279</v>
      </c>
      <c r="AG43" s="52" t="e">
        <f t="shared" si="63"/>
        <v>#N/A</v>
      </c>
      <c r="AH43" s="52" t="e">
        <f t="shared" si="63"/>
        <v>#N/A</v>
      </c>
      <c r="AI43" s="52" t="e">
        <f t="shared" si="63"/>
        <v>#N/A</v>
      </c>
      <c r="AJ43" s="52">
        <f t="shared" si="63"/>
        <v>132.42009132420091</v>
      </c>
      <c r="AK43" s="52">
        <f t="shared" si="63"/>
        <v>2.7397260273972601</v>
      </c>
      <c r="AL43" s="52">
        <f t="shared" si="63"/>
        <v>85.844748858447488</v>
      </c>
      <c r="AM43" s="52" t="e">
        <f t="shared" si="63"/>
        <v>#N/A</v>
      </c>
      <c r="AN43" s="52" t="e">
        <f t="shared" si="63"/>
        <v>#N/A</v>
      </c>
      <c r="AO43" s="52" t="e">
        <f t="shared" si="63"/>
        <v>#N/A</v>
      </c>
      <c r="AP43" s="52" t="e">
        <f t="shared" si="63"/>
        <v>#N/A</v>
      </c>
      <c r="AQ43" s="52" t="e">
        <f t="shared" si="63"/>
        <v>#N/A</v>
      </c>
      <c r="AR43" s="52">
        <f t="shared" si="63"/>
        <v>14.383561643835616</v>
      </c>
      <c r="AS43" s="52">
        <f t="shared" si="63"/>
        <v>102.96803652968036</v>
      </c>
      <c r="AT43" s="52" t="e">
        <f t="shared" si="63"/>
        <v>#N/A</v>
      </c>
      <c r="AU43" s="52" t="e">
        <f t="shared" si="63"/>
        <v>#N/A</v>
      </c>
      <c r="AV43" s="52">
        <f t="shared" si="63"/>
        <v>165.52511415525115</v>
      </c>
      <c r="AW43" s="52">
        <f t="shared" si="63"/>
        <v>28.310502283105023</v>
      </c>
      <c r="AX43" s="52">
        <f t="shared" si="63"/>
        <v>31.278538812785389</v>
      </c>
      <c r="AY43" s="52">
        <f t="shared" si="63"/>
        <v>7.9908675799086764</v>
      </c>
      <c r="AZ43" s="53">
        <f t="shared" si="63"/>
        <v>1.3698630136986301</v>
      </c>
      <c r="BA43" s="56">
        <f t="shared" si="63"/>
        <v>608.21917808219177</v>
      </c>
      <c r="BC43" s="81" t="str">
        <f t="shared" si="22"/>
        <v>Portsmouth</v>
      </c>
      <c r="BD43" s="171">
        <f t="shared" si="39"/>
        <v>5.8183183183183183E-2</v>
      </c>
      <c r="BE43" s="171">
        <f t="shared" si="40"/>
        <v>0.22222222222222221</v>
      </c>
      <c r="BF43" s="171">
        <f t="shared" si="41"/>
        <v>0.14114114114114115</v>
      </c>
      <c r="BG43" s="171">
        <f t="shared" si="42"/>
        <v>2.364864864864865E-2</v>
      </c>
      <c r="BH43" s="171">
        <f t="shared" si="43"/>
        <v>0.1692942942942943</v>
      </c>
      <c r="BI43" s="171">
        <f t="shared" si="44"/>
        <v>0.27214714714714716</v>
      </c>
      <c r="BJ43" s="171">
        <f t="shared" si="45"/>
        <v>4.6546546546546545E-2</v>
      </c>
      <c r="BK43" s="171">
        <f t="shared" si="46"/>
        <v>5.1426426426426426E-2</v>
      </c>
      <c r="BL43" s="171">
        <f t="shared" si="47"/>
        <v>1.3138138138138139E-2</v>
      </c>
      <c r="BM43" s="171">
        <f t="shared" si="48"/>
        <v>2.2522522522522522E-3</v>
      </c>
    </row>
    <row r="44" spans="1:65" ht="13.5" customHeight="1" x14ac:dyDescent="0.2">
      <c r="A44" s="488">
        <f>VLOOKUP(B44,Sheet1!$AQ$4:$AR$25,2,FALSE)</f>
        <v>0</v>
      </c>
      <c r="B44" s="175" t="str">
        <f>Sheet1!$K$7</f>
        <v>East Sussex</v>
      </c>
      <c r="C44" s="9"/>
      <c r="D44" s="1839">
        <f t="shared" si="62"/>
        <v>9.3112550995920316</v>
      </c>
      <c r="E44" s="1840"/>
      <c r="F44" s="1839">
        <f t="shared" si="50"/>
        <v>16.798656107511398</v>
      </c>
      <c r="G44" s="1840"/>
      <c r="H44" s="1839">
        <f t="shared" si="51"/>
        <v>11.159107271418286</v>
      </c>
      <c r="I44" s="1840"/>
      <c r="J44" s="1839">
        <f t="shared" si="52"/>
        <v>1.3678905687544995</v>
      </c>
      <c r="K44" s="1840"/>
      <c r="L44" s="1839">
        <f t="shared" si="53"/>
        <v>19.462443004559635</v>
      </c>
      <c r="M44" s="1840"/>
      <c r="N44" s="1839">
        <f t="shared" si="54"/>
        <v>26.661867050635951</v>
      </c>
      <c r="O44" s="1840"/>
      <c r="P44" s="1839">
        <f t="shared" si="55"/>
        <v>4.6556275497960158</v>
      </c>
      <c r="Q44" s="1840"/>
      <c r="R44" s="1839">
        <f t="shared" si="56"/>
        <v>6.5754739620830343</v>
      </c>
      <c r="S44" s="1840"/>
      <c r="T44" s="1839">
        <f t="shared" si="57"/>
        <v>2.2798176145908329</v>
      </c>
      <c r="U44" s="1840"/>
      <c r="V44" s="1839">
        <f t="shared" si="58"/>
        <v>1.7278617710583155</v>
      </c>
      <c r="W44" s="1862"/>
      <c r="X44" s="14"/>
      <c r="Y44" s="117"/>
      <c r="Z44" s="137"/>
      <c r="AA44" s="74"/>
      <c r="AB44" s="47" t="str">
        <f t="shared" si="37"/>
        <v>Reading</v>
      </c>
      <c r="AC44" s="46">
        <v>12</v>
      </c>
      <c r="AD44" s="47" t="str">
        <f t="shared" si="20"/>
        <v>ReadingRate per 10,000</v>
      </c>
      <c r="AE44" s="48" t="b">
        <f t="shared" si="13"/>
        <v>0</v>
      </c>
      <c r="AF44" s="51">
        <f t="shared" ref="AF44:BA44" si="64">IF(ISERROR(AF20/$BB20*10000),NA(),AF20/$BB20*10000)</f>
        <v>51.891891891891888</v>
      </c>
      <c r="AG44" s="52" t="e">
        <f t="shared" si="64"/>
        <v>#N/A</v>
      </c>
      <c r="AH44" s="52" t="e">
        <f t="shared" si="64"/>
        <v>#N/A</v>
      </c>
      <c r="AI44" s="52" t="e">
        <f t="shared" si="64"/>
        <v>#N/A</v>
      </c>
      <c r="AJ44" s="52">
        <f t="shared" si="64"/>
        <v>124.32432432432432</v>
      </c>
      <c r="AK44" s="52">
        <f t="shared" si="64"/>
        <v>19.72972972972973</v>
      </c>
      <c r="AL44" s="52">
        <f t="shared" si="64"/>
        <v>100.54054054054055</v>
      </c>
      <c r="AM44" s="52" t="e">
        <f t="shared" si="64"/>
        <v>#N/A</v>
      </c>
      <c r="AN44" s="52" t="e">
        <f t="shared" si="64"/>
        <v>#N/A</v>
      </c>
      <c r="AO44" s="52" t="e">
        <f t="shared" si="64"/>
        <v>#N/A</v>
      </c>
      <c r="AP44" s="52" t="e">
        <f t="shared" si="64"/>
        <v>#N/A</v>
      </c>
      <c r="AQ44" s="52" t="e">
        <f t="shared" si="64"/>
        <v>#N/A</v>
      </c>
      <c r="AR44" s="52">
        <f t="shared" si="64"/>
        <v>17.297297297297298</v>
      </c>
      <c r="AS44" s="52">
        <f t="shared" si="64"/>
        <v>71.081081081081081</v>
      </c>
      <c r="AT44" s="52" t="e">
        <f t="shared" si="64"/>
        <v>#N/A</v>
      </c>
      <c r="AU44" s="52" t="e">
        <f t="shared" si="64"/>
        <v>#N/A</v>
      </c>
      <c r="AV44" s="52">
        <f t="shared" si="64"/>
        <v>251.35135135135135</v>
      </c>
      <c r="AW44" s="52">
        <f t="shared" si="64"/>
        <v>14.864864864864865</v>
      </c>
      <c r="AX44" s="52">
        <f t="shared" si="64"/>
        <v>34.594594594594597</v>
      </c>
      <c r="AY44" s="52">
        <f t="shared" si="64"/>
        <v>5.135135135135136</v>
      </c>
      <c r="AZ44" s="53">
        <f t="shared" si="64"/>
        <v>2.1621621621621623</v>
      </c>
      <c r="BA44" s="56">
        <f t="shared" si="64"/>
        <v>692.97297297297291</v>
      </c>
      <c r="BC44" s="81" t="str">
        <f t="shared" si="22"/>
        <v>Reading</v>
      </c>
      <c r="BD44" s="171">
        <f t="shared" si="39"/>
        <v>7.4882995319812795E-2</v>
      </c>
      <c r="BE44" s="171">
        <f t="shared" si="40"/>
        <v>0.2078783151326053</v>
      </c>
      <c r="BF44" s="171">
        <f t="shared" si="41"/>
        <v>0.14508580343213728</v>
      </c>
      <c r="BG44" s="171">
        <f t="shared" si="42"/>
        <v>2.4960998439937598E-2</v>
      </c>
      <c r="BH44" s="171">
        <f t="shared" si="43"/>
        <v>0.10257410296411856</v>
      </c>
      <c r="BI44" s="171">
        <f t="shared" si="44"/>
        <v>0.36271450858034321</v>
      </c>
      <c r="BJ44" s="171">
        <f t="shared" si="45"/>
        <v>2.1450858034321372E-2</v>
      </c>
      <c r="BK44" s="171">
        <f t="shared" si="46"/>
        <v>4.9921996879875197E-2</v>
      </c>
      <c r="BL44" s="171">
        <f t="shared" si="47"/>
        <v>7.4102964118564745E-3</v>
      </c>
      <c r="BM44" s="171">
        <f t="shared" si="48"/>
        <v>3.1201248049921998E-3</v>
      </c>
    </row>
    <row r="45" spans="1:65" ht="13.5" customHeight="1" x14ac:dyDescent="0.2">
      <c r="A45" s="488">
        <f>VLOOKUP(B45,Sheet1!$AQ$4:$AR$25,2,FALSE)</f>
        <v>0</v>
      </c>
      <c r="B45" s="175" t="str">
        <f>Sheet1!$K$8</f>
        <v>Hampshire</v>
      </c>
      <c r="C45" s="9"/>
      <c r="D45" s="1839">
        <f t="shared" si="62"/>
        <v>11.389713155291791</v>
      </c>
      <c r="E45" s="1840"/>
      <c r="F45" s="1839">
        <f t="shared" si="50"/>
        <v>24.762611275964392</v>
      </c>
      <c r="G45" s="1840"/>
      <c r="H45" s="1839">
        <f t="shared" si="51"/>
        <v>18.081107814045499</v>
      </c>
      <c r="I45" s="1840"/>
      <c r="J45" s="1839">
        <f t="shared" si="52"/>
        <v>1.2265084075173096</v>
      </c>
      <c r="K45" s="1840"/>
      <c r="L45" s="1839">
        <f t="shared" si="53"/>
        <v>7.9129574678536096</v>
      </c>
      <c r="M45" s="1840"/>
      <c r="N45" s="1839">
        <f t="shared" si="54"/>
        <v>22.675568743818005</v>
      </c>
      <c r="O45" s="1840"/>
      <c r="P45" s="1839">
        <f t="shared" si="55"/>
        <v>3.4421364985163203</v>
      </c>
      <c r="Q45" s="1840"/>
      <c r="R45" s="1839">
        <f t="shared" si="56"/>
        <v>6.2413452027695353</v>
      </c>
      <c r="S45" s="1840"/>
      <c r="T45" s="1839">
        <f t="shared" si="57"/>
        <v>2.6261127596439167</v>
      </c>
      <c r="U45" s="1840"/>
      <c r="V45" s="1839">
        <f t="shared" si="58"/>
        <v>1.6419386745796243</v>
      </c>
      <c r="W45" s="1862"/>
      <c r="X45" s="9"/>
      <c r="Y45" s="120"/>
      <c r="Z45" s="137"/>
      <c r="AA45" s="74"/>
      <c r="AB45" s="47" t="str">
        <f t="shared" si="37"/>
        <v>Slough</v>
      </c>
      <c r="AC45" s="46">
        <v>13</v>
      </c>
      <c r="AD45" s="47" t="str">
        <f t="shared" si="20"/>
        <v>SloughRate per 10,000</v>
      </c>
      <c r="AE45" s="48" t="b">
        <f t="shared" si="13"/>
        <v>0</v>
      </c>
      <c r="AF45" s="51">
        <f t="shared" ref="AF45:BA45" si="65">IF(ISERROR(AF21/$BB21*10000),NA(),AF21/$BB21*10000)</f>
        <v>24.129930394431554</v>
      </c>
      <c r="AG45" s="52" t="e">
        <f t="shared" si="65"/>
        <v>#N/A</v>
      </c>
      <c r="AH45" s="52" t="e">
        <f t="shared" si="65"/>
        <v>#N/A</v>
      </c>
      <c r="AI45" s="52" t="e">
        <f t="shared" si="65"/>
        <v>#N/A</v>
      </c>
      <c r="AJ45" s="52">
        <f t="shared" si="65"/>
        <v>142.22737819025522</v>
      </c>
      <c r="AK45" s="52">
        <f t="shared" si="65"/>
        <v>4.872389791183295</v>
      </c>
      <c r="AL45" s="52">
        <f t="shared" si="65"/>
        <v>79.814385150812072</v>
      </c>
      <c r="AM45" s="52" t="e">
        <f t="shared" si="65"/>
        <v>#N/A</v>
      </c>
      <c r="AN45" s="52" t="e">
        <f t="shared" si="65"/>
        <v>#N/A</v>
      </c>
      <c r="AO45" s="52" t="e">
        <f t="shared" si="65"/>
        <v>#N/A</v>
      </c>
      <c r="AP45" s="52" t="e">
        <f t="shared" si="65"/>
        <v>#N/A</v>
      </c>
      <c r="AQ45" s="52" t="e">
        <f t="shared" si="65"/>
        <v>#N/A</v>
      </c>
      <c r="AR45" s="52">
        <f t="shared" si="65"/>
        <v>0</v>
      </c>
      <c r="AS45" s="52">
        <f t="shared" si="65"/>
        <v>90.719257540603238</v>
      </c>
      <c r="AT45" s="52" t="e">
        <f t="shared" si="65"/>
        <v>#N/A</v>
      </c>
      <c r="AU45" s="52" t="e">
        <f t="shared" si="65"/>
        <v>#N/A</v>
      </c>
      <c r="AV45" s="52">
        <f t="shared" si="65"/>
        <v>191.41531322505799</v>
      </c>
      <c r="AW45" s="52">
        <f t="shared" si="65"/>
        <v>21.113689095127608</v>
      </c>
      <c r="AX45" s="52">
        <f t="shared" si="65"/>
        <v>24.825986078886313</v>
      </c>
      <c r="AY45" s="52">
        <f t="shared" si="65"/>
        <v>10.208816705336426</v>
      </c>
      <c r="AZ45" s="53">
        <f t="shared" si="65"/>
        <v>0</v>
      </c>
      <c r="BA45" s="56">
        <f t="shared" si="65"/>
        <v>589.3271461716937</v>
      </c>
      <c r="BC45" s="81" t="str">
        <f t="shared" si="22"/>
        <v>Slough</v>
      </c>
      <c r="BD45" s="171">
        <f t="shared" si="39"/>
        <v>4.0944881889763779E-2</v>
      </c>
      <c r="BE45" s="171">
        <f t="shared" si="40"/>
        <v>0.24960629921259841</v>
      </c>
      <c r="BF45" s="171">
        <f t="shared" si="41"/>
        <v>0.13543307086614173</v>
      </c>
      <c r="BG45" s="171">
        <f t="shared" si="42"/>
        <v>0</v>
      </c>
      <c r="BH45" s="171">
        <f t="shared" si="43"/>
        <v>0.15393700787401574</v>
      </c>
      <c r="BI45" s="171">
        <f t="shared" si="44"/>
        <v>0.32480314960629919</v>
      </c>
      <c r="BJ45" s="171">
        <f t="shared" si="45"/>
        <v>3.582677165354331E-2</v>
      </c>
      <c r="BK45" s="171">
        <f t="shared" si="46"/>
        <v>4.2125984251968507E-2</v>
      </c>
      <c r="BL45" s="171">
        <f t="shared" si="47"/>
        <v>1.7322834645669291E-2</v>
      </c>
      <c r="BM45" s="171">
        <f t="shared" si="48"/>
        <v>0</v>
      </c>
    </row>
    <row r="46" spans="1:65" ht="13.5" customHeight="1" x14ac:dyDescent="0.2">
      <c r="A46" s="488">
        <f>VLOOKUP(B46,Sheet1!$AQ$4:$AR$25,2,FALSE)</f>
        <v>0</v>
      </c>
      <c r="B46" s="175" t="str">
        <f>Sheet1!$K$9</f>
        <v>Isle of Wight</v>
      </c>
      <c r="C46" s="9"/>
      <c r="D46" s="1839">
        <f t="shared" si="62"/>
        <v>11.535580524344569</v>
      </c>
      <c r="E46" s="1840"/>
      <c r="F46" s="1839">
        <f t="shared" si="50"/>
        <v>26.891385767790261</v>
      </c>
      <c r="G46" s="1840"/>
      <c r="H46" s="1839">
        <f t="shared" si="51"/>
        <v>13.745318352059927</v>
      </c>
      <c r="I46" s="1840"/>
      <c r="J46" s="1839">
        <f t="shared" si="52"/>
        <v>1.5355805243445693</v>
      </c>
      <c r="K46" s="1840"/>
      <c r="L46" s="1839">
        <f t="shared" si="53"/>
        <v>9.4756554307116101</v>
      </c>
      <c r="M46" s="1840"/>
      <c r="N46" s="1839">
        <f t="shared" si="54"/>
        <v>19.438202247191011</v>
      </c>
      <c r="O46" s="1840"/>
      <c r="P46" s="1839">
        <f t="shared" si="55"/>
        <v>2.6217228464419478</v>
      </c>
      <c r="Q46" s="1840"/>
      <c r="R46" s="1839">
        <f t="shared" si="56"/>
        <v>12.95880149812734</v>
      </c>
      <c r="S46" s="1840"/>
      <c r="T46" s="1839">
        <f t="shared" si="57"/>
        <v>0</v>
      </c>
      <c r="U46" s="1840"/>
      <c r="V46" s="1839">
        <f t="shared" si="58"/>
        <v>1.7977528089887642</v>
      </c>
      <c r="W46" s="1862"/>
      <c r="X46" s="9"/>
      <c r="Y46" s="117"/>
      <c r="Z46" s="137"/>
      <c r="AA46" s="74"/>
      <c r="AB46" s="47" t="str">
        <f t="shared" si="37"/>
        <v>Somerset</v>
      </c>
      <c r="AC46" s="46">
        <v>14</v>
      </c>
      <c r="AD46" s="47" t="str">
        <f t="shared" si="20"/>
        <v>SomersetRate per 10,000</v>
      </c>
      <c r="AE46" s="48" t="b">
        <f t="shared" si="13"/>
        <v>0</v>
      </c>
      <c r="AF46" s="51">
        <f t="shared" ref="AF46:BA46" si="66">IF(ISERROR(AF22/$BB22*10000),NA(),AF22/$BB22*10000)</f>
        <v>28.237410071942445</v>
      </c>
      <c r="AG46" s="52" t="e">
        <f t="shared" si="66"/>
        <v>#N/A</v>
      </c>
      <c r="AH46" s="52" t="e">
        <f t="shared" si="66"/>
        <v>#N/A</v>
      </c>
      <c r="AI46" s="52" t="e">
        <f t="shared" si="66"/>
        <v>#N/A</v>
      </c>
      <c r="AJ46" s="52">
        <f t="shared" si="66"/>
        <v>41.276978417266186</v>
      </c>
      <c r="AK46" s="52">
        <f t="shared" si="66"/>
        <v>2.8776978417266186</v>
      </c>
      <c r="AL46" s="52">
        <f t="shared" si="66"/>
        <v>46.762589928057551</v>
      </c>
      <c r="AM46" s="52" t="e">
        <f t="shared" si="66"/>
        <v>#N/A</v>
      </c>
      <c r="AN46" s="52" t="e">
        <f t="shared" si="66"/>
        <v>#N/A</v>
      </c>
      <c r="AO46" s="52" t="e">
        <f t="shared" si="66"/>
        <v>#N/A</v>
      </c>
      <c r="AP46" s="52" t="e">
        <f t="shared" si="66"/>
        <v>#N/A</v>
      </c>
      <c r="AQ46" s="52" t="e">
        <f t="shared" si="66"/>
        <v>#N/A</v>
      </c>
      <c r="AR46" s="52">
        <f t="shared" si="66"/>
        <v>1.3489208633093526</v>
      </c>
      <c r="AS46" s="52">
        <f t="shared" si="66"/>
        <v>48.381294964028783</v>
      </c>
      <c r="AT46" s="52" t="e">
        <f t="shared" si="66"/>
        <v>#N/A</v>
      </c>
      <c r="AU46" s="52" t="e">
        <f t="shared" si="66"/>
        <v>#N/A</v>
      </c>
      <c r="AV46" s="52">
        <f t="shared" si="66"/>
        <v>104.31654676258994</v>
      </c>
      <c r="AW46" s="52">
        <f t="shared" si="66"/>
        <v>18.075539568345324</v>
      </c>
      <c r="AX46" s="52">
        <f t="shared" si="66"/>
        <v>20.323741007194247</v>
      </c>
      <c r="AY46" s="52">
        <f t="shared" si="66"/>
        <v>12.23021582733813</v>
      </c>
      <c r="AZ46" s="53">
        <f t="shared" si="66"/>
        <v>1.6187050359712229</v>
      </c>
      <c r="BA46" s="56">
        <f t="shared" si="66"/>
        <v>325.44964028776974</v>
      </c>
      <c r="BC46" s="81" t="str">
        <f t="shared" si="22"/>
        <v>Somerset</v>
      </c>
      <c r="BD46" s="171">
        <f t="shared" si="39"/>
        <v>8.676429953025698E-2</v>
      </c>
      <c r="BE46" s="171">
        <f t="shared" si="40"/>
        <v>0.13567283780049738</v>
      </c>
      <c r="BF46" s="171">
        <f t="shared" si="41"/>
        <v>0.14368610113290964</v>
      </c>
      <c r="BG46" s="171">
        <f t="shared" si="42"/>
        <v>4.1447913788339322E-3</v>
      </c>
      <c r="BH46" s="171">
        <f t="shared" si="43"/>
        <v>0.14865985078751037</v>
      </c>
      <c r="BI46" s="171">
        <f t="shared" si="44"/>
        <v>0.32053053329649073</v>
      </c>
      <c r="BJ46" s="171">
        <f t="shared" si="45"/>
        <v>5.5540204476374692E-2</v>
      </c>
      <c r="BK46" s="171">
        <f t="shared" si="46"/>
        <v>6.2448190107764576E-2</v>
      </c>
      <c r="BL46" s="171">
        <f t="shared" si="47"/>
        <v>3.7579441834760981E-2</v>
      </c>
      <c r="BM46" s="171">
        <f t="shared" si="48"/>
        <v>4.9737496546007186E-3</v>
      </c>
    </row>
    <row r="47" spans="1:65" ht="13.5" customHeight="1" x14ac:dyDescent="0.2">
      <c r="A47" s="488">
        <f>VLOOKUP(B47,Sheet1!$AQ$4:$AR$25,2,FALSE)</f>
        <v>0</v>
      </c>
      <c r="B47" s="175" t="str">
        <f>Sheet1!$K$10</f>
        <v>Kent</v>
      </c>
      <c r="C47" s="9"/>
      <c r="D47" s="1839">
        <f t="shared" si="62"/>
        <v>7.5350127522484227</v>
      </c>
      <c r="E47" s="1840"/>
      <c r="F47" s="1839">
        <f t="shared" si="50"/>
        <v>19.589243366593582</v>
      </c>
      <c r="G47" s="1840"/>
      <c r="H47" s="1839">
        <f t="shared" si="51"/>
        <v>13.21759362835026</v>
      </c>
      <c r="I47" s="1840"/>
      <c r="J47" s="1839">
        <f t="shared" si="52"/>
        <v>2.0090384357241935</v>
      </c>
      <c r="K47" s="1840"/>
      <c r="L47" s="1839">
        <f t="shared" si="53"/>
        <v>12.107924291914628</v>
      </c>
      <c r="M47" s="1840"/>
      <c r="N47" s="1839">
        <f t="shared" si="54"/>
        <v>33.24533536176115</v>
      </c>
      <c r="O47" s="1840"/>
      <c r="P47" s="1839">
        <f t="shared" si="55"/>
        <v>5.4946530046087076</v>
      </c>
      <c r="Q47" s="1840"/>
      <c r="R47" s="1839">
        <f t="shared" si="56"/>
        <v>3.1902993422524499</v>
      </c>
      <c r="S47" s="1840"/>
      <c r="T47" s="1839">
        <f t="shared" si="57"/>
        <v>1.4094590361984878</v>
      </c>
      <c r="U47" s="1840"/>
      <c r="V47" s="1839">
        <f t="shared" si="58"/>
        <v>2.201440780348114</v>
      </c>
      <c r="W47" s="1862"/>
      <c r="X47" s="9"/>
      <c r="Y47" s="117"/>
      <c r="Z47" s="137"/>
      <c r="AA47" s="74"/>
      <c r="AB47" s="47" t="str">
        <f t="shared" si="37"/>
        <v>Southampton</v>
      </c>
      <c r="AC47" s="46">
        <v>15</v>
      </c>
      <c r="AD47" s="47" t="str">
        <f t="shared" si="20"/>
        <v>SouthamptonRate per 10,000</v>
      </c>
      <c r="AE47" s="48" t="b">
        <f t="shared" si="13"/>
        <v>0</v>
      </c>
      <c r="AF47" s="51">
        <f t="shared" ref="AF47:BA47" si="67">IF(ISERROR(AF23/$BB23*10000),NA(),AF23/$BB23*10000)</f>
        <v>43.079922027290444</v>
      </c>
      <c r="AG47" s="52" t="e">
        <f t="shared" si="67"/>
        <v>#N/A</v>
      </c>
      <c r="AH47" s="52" t="e">
        <f t="shared" si="67"/>
        <v>#N/A</v>
      </c>
      <c r="AI47" s="52" t="e">
        <f t="shared" si="67"/>
        <v>#N/A</v>
      </c>
      <c r="AJ47" s="52">
        <f t="shared" si="67"/>
        <v>184.40545808966863</v>
      </c>
      <c r="AK47" s="52">
        <f t="shared" si="67"/>
        <v>1.169590643274854</v>
      </c>
      <c r="AL47" s="52">
        <f t="shared" si="67"/>
        <v>148.3430799220273</v>
      </c>
      <c r="AM47" s="52" t="e">
        <f t="shared" si="67"/>
        <v>#N/A</v>
      </c>
      <c r="AN47" s="52" t="e">
        <f t="shared" si="67"/>
        <v>#N/A</v>
      </c>
      <c r="AO47" s="52" t="e">
        <f t="shared" si="67"/>
        <v>#N/A</v>
      </c>
      <c r="AP47" s="52" t="e">
        <f t="shared" si="67"/>
        <v>#N/A</v>
      </c>
      <c r="AQ47" s="52" t="e">
        <f t="shared" si="67"/>
        <v>#N/A</v>
      </c>
      <c r="AR47" s="52">
        <f t="shared" si="67"/>
        <v>5.4580896686159841</v>
      </c>
      <c r="AS47" s="52">
        <f t="shared" si="67"/>
        <v>191.03313840155946</v>
      </c>
      <c r="AT47" s="52" t="e">
        <f t="shared" si="67"/>
        <v>#N/A</v>
      </c>
      <c r="AU47" s="52" t="e">
        <f t="shared" si="67"/>
        <v>#N/A</v>
      </c>
      <c r="AV47" s="52">
        <f t="shared" si="67"/>
        <v>266.86159844054583</v>
      </c>
      <c r="AW47" s="52">
        <f t="shared" si="67"/>
        <v>10.526315789473683</v>
      </c>
      <c r="AX47" s="52">
        <f t="shared" si="67"/>
        <v>58.479532163742689</v>
      </c>
      <c r="AY47" s="52">
        <f t="shared" si="67"/>
        <v>31.773879142300196</v>
      </c>
      <c r="AZ47" s="53">
        <f t="shared" si="67"/>
        <v>2.3391812865497079</v>
      </c>
      <c r="BA47" s="56">
        <f t="shared" si="67"/>
        <v>943.46978557504872</v>
      </c>
      <c r="BC47" s="81" t="str">
        <f t="shared" si="22"/>
        <v>Southampton</v>
      </c>
      <c r="BD47" s="171">
        <f t="shared" si="39"/>
        <v>4.566115702479339E-2</v>
      </c>
      <c r="BE47" s="171">
        <f t="shared" si="40"/>
        <v>0.19669421487603306</v>
      </c>
      <c r="BF47" s="171">
        <f t="shared" si="41"/>
        <v>0.15723140495867768</v>
      </c>
      <c r="BG47" s="171">
        <f t="shared" si="42"/>
        <v>5.7851239669421484E-3</v>
      </c>
      <c r="BH47" s="171">
        <f t="shared" si="43"/>
        <v>0.2024793388429752</v>
      </c>
      <c r="BI47" s="171">
        <f t="shared" si="44"/>
        <v>0.28285123966942149</v>
      </c>
      <c r="BJ47" s="171">
        <f t="shared" si="45"/>
        <v>1.1157024793388429E-2</v>
      </c>
      <c r="BK47" s="171">
        <f t="shared" si="46"/>
        <v>6.1983471074380167E-2</v>
      </c>
      <c r="BL47" s="171">
        <f t="shared" si="47"/>
        <v>3.3677685950413226E-2</v>
      </c>
      <c r="BM47" s="171">
        <f t="shared" si="48"/>
        <v>2.4793388429752068E-3</v>
      </c>
    </row>
    <row r="48" spans="1:65" ht="13.5" customHeight="1" x14ac:dyDescent="0.2">
      <c r="A48" s="488">
        <f>VLOOKUP(B48,Sheet1!$AQ$4:$AR$25,2,FALSE)</f>
        <v>0</v>
      </c>
      <c r="B48" s="175" t="str">
        <f>Sheet1!$K$11</f>
        <v>Medway</v>
      </c>
      <c r="C48" s="9"/>
      <c r="D48" s="1839">
        <f t="shared" si="62"/>
        <v>9.0538336052202286</v>
      </c>
      <c r="E48" s="1840"/>
      <c r="F48" s="1839">
        <f t="shared" si="50"/>
        <v>24.123164763458401</v>
      </c>
      <c r="G48" s="1840"/>
      <c r="H48" s="1839">
        <f t="shared" si="51"/>
        <v>9.2577487765089721</v>
      </c>
      <c r="I48" s="1840"/>
      <c r="J48" s="1839">
        <f t="shared" si="52"/>
        <v>1.5293637846655792</v>
      </c>
      <c r="K48" s="1840"/>
      <c r="L48" s="1839">
        <f t="shared" si="53"/>
        <v>12.663132137030994</v>
      </c>
      <c r="M48" s="1840"/>
      <c r="N48" s="1839">
        <f t="shared" si="54"/>
        <v>34.665579119086459</v>
      </c>
      <c r="O48" s="1840"/>
      <c r="P48" s="1839">
        <f t="shared" si="55"/>
        <v>2.6508972267536701</v>
      </c>
      <c r="Q48" s="1840"/>
      <c r="R48" s="1839">
        <f t="shared" si="56"/>
        <v>4.0579119086460027</v>
      </c>
      <c r="S48" s="1840"/>
      <c r="T48" s="1839">
        <f t="shared" si="57"/>
        <v>1.7740619902120718</v>
      </c>
      <c r="U48" s="1840"/>
      <c r="V48" s="1839">
        <f t="shared" si="58"/>
        <v>0.22430668841761825</v>
      </c>
      <c r="W48" s="1862"/>
      <c r="X48" s="9"/>
      <c r="Y48" s="117"/>
      <c r="Z48" s="137"/>
      <c r="AA48" s="74"/>
      <c r="AB48" s="47" t="str">
        <f t="shared" si="37"/>
        <v>Surrey</v>
      </c>
      <c r="AC48" s="46">
        <v>16</v>
      </c>
      <c r="AD48" s="47" t="str">
        <f t="shared" si="20"/>
        <v>SurreyRate per 10,000</v>
      </c>
      <c r="AE48" s="48" t="b">
        <f t="shared" si="13"/>
        <v>0</v>
      </c>
      <c r="AF48" s="51">
        <f t="shared" ref="AF48:BA48" si="68">IF(ISERROR(AF24/$BB24*10000),NA(),AF24/$BB24*10000)</f>
        <v>23.237300985595148</v>
      </c>
      <c r="AG48" s="52" t="e">
        <f t="shared" si="68"/>
        <v>#N/A</v>
      </c>
      <c r="AH48" s="52" t="e">
        <f t="shared" si="68"/>
        <v>#N/A</v>
      </c>
      <c r="AI48" s="52" t="e">
        <f t="shared" si="68"/>
        <v>#N/A</v>
      </c>
      <c r="AJ48" s="52">
        <f t="shared" si="68"/>
        <v>58.150113722517062</v>
      </c>
      <c r="AK48" s="52">
        <f t="shared" si="68"/>
        <v>3.8286580742987111</v>
      </c>
      <c r="AL48" s="52">
        <f t="shared" si="68"/>
        <v>50.947687642153149</v>
      </c>
      <c r="AM48" s="52" t="e">
        <f t="shared" si="68"/>
        <v>#N/A</v>
      </c>
      <c r="AN48" s="52" t="e">
        <f t="shared" si="68"/>
        <v>#N/A</v>
      </c>
      <c r="AO48" s="52" t="e">
        <f t="shared" si="68"/>
        <v>#N/A</v>
      </c>
      <c r="AP48" s="52" t="e">
        <f t="shared" si="68"/>
        <v>#N/A</v>
      </c>
      <c r="AQ48" s="52" t="e">
        <f t="shared" si="68"/>
        <v>#N/A</v>
      </c>
      <c r="AR48" s="52">
        <f t="shared" si="68"/>
        <v>3.8286580742987111</v>
      </c>
      <c r="AS48" s="52">
        <f t="shared" si="68"/>
        <v>40.409401061410158</v>
      </c>
      <c r="AT48" s="52" t="e">
        <f t="shared" si="68"/>
        <v>#N/A</v>
      </c>
      <c r="AU48" s="52" t="e">
        <f t="shared" si="68"/>
        <v>#N/A</v>
      </c>
      <c r="AV48" s="52">
        <f t="shared" si="68"/>
        <v>107.80894617134192</v>
      </c>
      <c r="AW48" s="52">
        <f t="shared" si="68"/>
        <v>11.372251705837757</v>
      </c>
      <c r="AX48" s="52">
        <f t="shared" si="68"/>
        <v>14.480667172100075</v>
      </c>
      <c r="AY48" s="52">
        <f t="shared" si="68"/>
        <v>8.8703563305534505</v>
      </c>
      <c r="AZ48" s="53">
        <f t="shared" si="68"/>
        <v>0</v>
      </c>
      <c r="BA48" s="56">
        <f t="shared" si="68"/>
        <v>322.93404094010617</v>
      </c>
      <c r="BC48" s="81" t="str">
        <f t="shared" si="22"/>
        <v>Surrey</v>
      </c>
      <c r="BD48" s="171">
        <f t="shared" si="39"/>
        <v>7.1956802441601131E-2</v>
      </c>
      <c r="BE48" s="171">
        <f t="shared" si="40"/>
        <v>0.19192393473412372</v>
      </c>
      <c r="BF48" s="171">
        <f t="shared" si="41"/>
        <v>0.15776499589153656</v>
      </c>
      <c r="BG48" s="171">
        <f t="shared" si="42"/>
        <v>1.1855851625777673E-2</v>
      </c>
      <c r="BH48" s="171">
        <f t="shared" si="43"/>
        <v>0.12513205775325742</v>
      </c>
      <c r="BI48" s="171">
        <f t="shared" si="44"/>
        <v>0.33384200023476934</v>
      </c>
      <c r="BJ48" s="171">
        <f t="shared" si="45"/>
        <v>3.5215400868646551E-2</v>
      </c>
      <c r="BK48" s="171">
        <f t="shared" si="46"/>
        <v>4.484094377274328E-2</v>
      </c>
      <c r="BL48" s="171">
        <f t="shared" si="47"/>
        <v>2.7468012677544312E-2</v>
      </c>
      <c r="BM48" s="171">
        <f t="shared" si="48"/>
        <v>0</v>
      </c>
    </row>
    <row r="49" spans="1:65" ht="13.5" customHeight="1" x14ac:dyDescent="0.2">
      <c r="A49" s="488">
        <f>VLOOKUP(B49,Sheet1!$AQ$4:$AR$25,2,FALSE)</f>
        <v>0</v>
      </c>
      <c r="B49" s="175" t="str">
        <f>Sheet1!$K$12</f>
        <v>Milton Keynes</v>
      </c>
      <c r="C49" s="9"/>
      <c r="D49" s="1839">
        <f t="shared" si="62"/>
        <v>8.9967637540453076</v>
      </c>
      <c r="E49" s="1840"/>
      <c r="F49" s="1839">
        <f t="shared" si="50"/>
        <v>21.715210355987054</v>
      </c>
      <c r="G49" s="1840"/>
      <c r="H49" s="1839">
        <f t="shared" si="51"/>
        <v>15.275080906148867</v>
      </c>
      <c r="I49" s="1840"/>
      <c r="J49" s="1839">
        <f t="shared" si="52"/>
        <v>1.1326860841423949</v>
      </c>
      <c r="K49" s="1840"/>
      <c r="L49" s="1839">
        <f t="shared" si="53"/>
        <v>12.686084142394821</v>
      </c>
      <c r="M49" s="1840"/>
      <c r="N49" s="1839">
        <f t="shared" si="54"/>
        <v>30.776699029126213</v>
      </c>
      <c r="O49" s="1840"/>
      <c r="P49" s="1839">
        <f t="shared" si="55"/>
        <v>3.5922330097087376</v>
      </c>
      <c r="Q49" s="1840"/>
      <c r="R49" s="1839">
        <f t="shared" si="56"/>
        <v>3.6569579288025893</v>
      </c>
      <c r="S49" s="1840"/>
      <c r="T49" s="1839">
        <f t="shared" si="57"/>
        <v>1.9093851132686084</v>
      </c>
      <c r="U49" s="1840"/>
      <c r="V49" s="1839">
        <f t="shared" si="58"/>
        <v>0.25889967637540451</v>
      </c>
      <c r="W49" s="1862"/>
      <c r="X49" s="9"/>
      <c r="Y49" s="117"/>
      <c r="Z49" s="137"/>
      <c r="AA49" s="74"/>
      <c r="AB49" s="47" t="str">
        <f t="shared" si="37"/>
        <v>Swindon</v>
      </c>
      <c r="AC49" s="46">
        <v>17</v>
      </c>
      <c r="AD49" s="47" t="str">
        <f t="shared" si="20"/>
        <v>SwindonRate per 10,000</v>
      </c>
      <c r="AE49" s="48" t="b">
        <f t="shared" si="13"/>
        <v>0</v>
      </c>
      <c r="AF49" s="51">
        <f t="shared" ref="AF49:BA49" si="69">IF(ISERROR(AF25/$BB25*10000),NA(),AF25/$BB25*10000)</f>
        <v>35.714285714285715</v>
      </c>
      <c r="AG49" s="52" t="e">
        <f t="shared" si="69"/>
        <v>#N/A</v>
      </c>
      <c r="AH49" s="52" t="e">
        <f t="shared" si="69"/>
        <v>#N/A</v>
      </c>
      <c r="AI49" s="52" t="e">
        <f t="shared" si="69"/>
        <v>#N/A</v>
      </c>
      <c r="AJ49" s="52">
        <f t="shared" si="69"/>
        <v>107.93650793650795</v>
      </c>
      <c r="AK49" s="52">
        <f t="shared" si="69"/>
        <v>1.1904761904761905</v>
      </c>
      <c r="AL49" s="52">
        <f t="shared" si="69"/>
        <v>89.682539682539684</v>
      </c>
      <c r="AM49" s="52" t="e">
        <f t="shared" si="69"/>
        <v>#N/A</v>
      </c>
      <c r="AN49" s="52" t="e">
        <f t="shared" si="69"/>
        <v>#N/A</v>
      </c>
      <c r="AO49" s="52" t="e">
        <f t="shared" si="69"/>
        <v>#N/A</v>
      </c>
      <c r="AP49" s="52" t="e">
        <f t="shared" si="69"/>
        <v>#N/A</v>
      </c>
      <c r="AQ49" s="52" t="e">
        <f t="shared" si="69"/>
        <v>#N/A</v>
      </c>
      <c r="AR49" s="52">
        <f t="shared" si="69"/>
        <v>6.5476190476190474</v>
      </c>
      <c r="AS49" s="52">
        <f t="shared" si="69"/>
        <v>53.571428571428569</v>
      </c>
      <c r="AT49" s="52" t="e">
        <f t="shared" si="69"/>
        <v>#N/A</v>
      </c>
      <c r="AU49" s="52" t="e">
        <f t="shared" si="69"/>
        <v>#N/A</v>
      </c>
      <c r="AV49" s="52">
        <f t="shared" si="69"/>
        <v>226.5873015873016</v>
      </c>
      <c r="AW49" s="52">
        <f t="shared" si="69"/>
        <v>28.37301587301587</v>
      </c>
      <c r="AX49" s="52">
        <f t="shared" si="69"/>
        <v>19.642857142857146</v>
      </c>
      <c r="AY49" s="52">
        <f t="shared" si="69"/>
        <v>15.079365079365081</v>
      </c>
      <c r="AZ49" s="53">
        <f t="shared" si="69"/>
        <v>16.071428571428569</v>
      </c>
      <c r="BA49" s="56">
        <f t="shared" si="69"/>
        <v>600.39682539682542</v>
      </c>
      <c r="BC49" s="81" t="str">
        <f t="shared" si="22"/>
        <v>Swindon</v>
      </c>
      <c r="BD49" s="171">
        <f t="shared" si="39"/>
        <v>5.9484467944481166E-2</v>
      </c>
      <c r="BE49" s="171">
        <f t="shared" si="40"/>
        <v>0.18175809649702579</v>
      </c>
      <c r="BF49" s="171">
        <f t="shared" si="41"/>
        <v>0.14937210839391937</v>
      </c>
      <c r="BG49" s="171">
        <f t="shared" si="42"/>
        <v>1.0905485789821546E-2</v>
      </c>
      <c r="BH49" s="171">
        <f t="shared" si="43"/>
        <v>8.9226701916721746E-2</v>
      </c>
      <c r="BI49" s="171">
        <f t="shared" si="44"/>
        <v>0.37739590218109714</v>
      </c>
      <c r="BJ49" s="171">
        <f t="shared" si="45"/>
        <v>4.7257105089226703E-2</v>
      </c>
      <c r="BK49" s="171">
        <f t="shared" si="46"/>
        <v>3.2716457369464637E-2</v>
      </c>
      <c r="BL49" s="171">
        <f t="shared" si="47"/>
        <v>2.511566424322538E-2</v>
      </c>
      <c r="BM49" s="171">
        <f t="shared" si="48"/>
        <v>2.6768010575016522E-2</v>
      </c>
    </row>
    <row r="50" spans="1:65" ht="13.5" customHeight="1" x14ac:dyDescent="0.2">
      <c r="A50" s="488">
        <f>VLOOKUP(B50,Sheet1!$AQ$4:$AR$25,2,FALSE)</f>
        <v>0</v>
      </c>
      <c r="B50" s="175" t="str">
        <f>Sheet1!$K$13</f>
        <v>Oxfordshire</v>
      </c>
      <c r="C50" s="9"/>
      <c r="D50" s="1839">
        <f t="shared" si="62"/>
        <v>7.2647294054918685</v>
      </c>
      <c r="E50" s="1840"/>
      <c r="F50" s="1839">
        <f t="shared" si="50"/>
        <v>22.034124233537725</v>
      </c>
      <c r="G50" s="1840"/>
      <c r="H50" s="1839">
        <f t="shared" si="51"/>
        <v>13.129832044788056</v>
      </c>
      <c r="I50" s="1840"/>
      <c r="J50" s="1839">
        <f t="shared" si="52"/>
        <v>0.46654225539856037</v>
      </c>
      <c r="K50" s="1840"/>
      <c r="L50" s="1839">
        <f t="shared" si="53"/>
        <v>18.515062649960008</v>
      </c>
      <c r="M50" s="1840"/>
      <c r="N50" s="1839">
        <f t="shared" si="54"/>
        <v>29.845374566782191</v>
      </c>
      <c r="O50" s="1840"/>
      <c r="P50" s="1839">
        <f t="shared" si="55"/>
        <v>2.7859237536656889</v>
      </c>
      <c r="Q50" s="1840"/>
      <c r="R50" s="1839">
        <f t="shared" si="56"/>
        <v>4.3055185283924287</v>
      </c>
      <c r="S50" s="1840"/>
      <c r="T50" s="1839">
        <f t="shared" si="57"/>
        <v>1.1996800853105838</v>
      </c>
      <c r="U50" s="1840"/>
      <c r="V50" s="1839">
        <f t="shared" si="58"/>
        <v>0.45321247667288722</v>
      </c>
      <c r="W50" s="1862"/>
      <c r="X50" s="9"/>
      <c r="Y50" s="117"/>
      <c r="Z50" s="137"/>
      <c r="AA50" s="74"/>
      <c r="AB50" s="47" t="str">
        <f t="shared" si="37"/>
        <v>Torbay</v>
      </c>
      <c r="AC50" s="46">
        <v>18</v>
      </c>
      <c r="AD50" s="47" t="str">
        <f t="shared" si="20"/>
        <v>TorbayRate per 10,000</v>
      </c>
      <c r="AE50" s="48" t="b">
        <f t="shared" si="13"/>
        <v>0</v>
      </c>
      <c r="AF50" s="51">
        <f t="shared" ref="AF50:BA50" si="70">IF(ISERROR(AF26/$BB26*10000),NA(),AF26/$BB26*10000)</f>
        <v>54.296874999999993</v>
      </c>
      <c r="AG50" s="52" t="e">
        <f t="shared" si="70"/>
        <v>#N/A</v>
      </c>
      <c r="AH50" s="52" t="e">
        <f t="shared" si="70"/>
        <v>#N/A</v>
      </c>
      <c r="AI50" s="52" t="e">
        <f t="shared" si="70"/>
        <v>#N/A</v>
      </c>
      <c r="AJ50" s="52">
        <f t="shared" si="70"/>
        <v>116.40625</v>
      </c>
      <c r="AK50" s="52" t="e">
        <f t="shared" si="70"/>
        <v>#N/A</v>
      </c>
      <c r="AL50" s="52">
        <f t="shared" si="70"/>
        <v>77.734375</v>
      </c>
      <c r="AM50" s="52" t="e">
        <f t="shared" si="70"/>
        <v>#N/A</v>
      </c>
      <c r="AN50" s="52" t="e">
        <f t="shared" si="70"/>
        <v>#N/A</v>
      </c>
      <c r="AO50" s="52" t="e">
        <f t="shared" si="70"/>
        <v>#N/A</v>
      </c>
      <c r="AP50" s="52" t="e">
        <f t="shared" si="70"/>
        <v>#N/A</v>
      </c>
      <c r="AQ50" s="52" t="e">
        <f t="shared" si="70"/>
        <v>#N/A</v>
      </c>
      <c r="AR50" s="52" t="e">
        <f t="shared" si="70"/>
        <v>#N/A</v>
      </c>
      <c r="AS50" s="52">
        <f t="shared" si="70"/>
        <v>169.921875</v>
      </c>
      <c r="AT50" s="52" t="e">
        <f t="shared" si="70"/>
        <v>#N/A</v>
      </c>
      <c r="AU50" s="52" t="e">
        <f t="shared" si="70"/>
        <v>#N/A</v>
      </c>
      <c r="AV50" s="52">
        <f t="shared" si="70"/>
        <v>203.125</v>
      </c>
      <c r="AW50" s="52">
        <f t="shared" si="70"/>
        <v>11.328125</v>
      </c>
      <c r="AX50" s="52">
        <f t="shared" si="70"/>
        <v>59.375</v>
      </c>
      <c r="AY50" s="52">
        <f t="shared" si="70"/>
        <v>26.171875</v>
      </c>
      <c r="AZ50" s="53">
        <f t="shared" si="70"/>
        <v>8.203125</v>
      </c>
      <c r="BA50" s="56">
        <f t="shared" si="70"/>
        <v>726.5625</v>
      </c>
      <c r="BC50" s="81" t="str">
        <f t="shared" si="22"/>
        <v>Torbay</v>
      </c>
      <c r="BD50" s="171">
        <f t="shared" si="39"/>
        <v>7.4731182795698931E-2</v>
      </c>
      <c r="BE50" s="171">
        <f t="shared" si="40"/>
        <v>0.16021505376344086</v>
      </c>
      <c r="BF50" s="171">
        <f t="shared" si="41"/>
        <v>0.10698924731182796</v>
      </c>
      <c r="BG50" s="171" t="e">
        <f t="shared" si="42"/>
        <v>#VALUE!</v>
      </c>
      <c r="BH50" s="171">
        <f t="shared" si="43"/>
        <v>0.23387096774193547</v>
      </c>
      <c r="BI50" s="171">
        <f t="shared" si="44"/>
        <v>0.27956989247311825</v>
      </c>
      <c r="BJ50" s="171">
        <f t="shared" si="45"/>
        <v>1.5591397849462365E-2</v>
      </c>
      <c r="BK50" s="171">
        <f t="shared" si="46"/>
        <v>8.1720430107526887E-2</v>
      </c>
      <c r="BL50" s="171">
        <f t="shared" si="47"/>
        <v>3.6021505376344083E-2</v>
      </c>
      <c r="BM50" s="171">
        <f t="shared" si="48"/>
        <v>1.1290322580645161E-2</v>
      </c>
    </row>
    <row r="51" spans="1:65" ht="13.5" customHeight="1" x14ac:dyDescent="0.2">
      <c r="A51" s="488">
        <f>VLOOKUP(B51,Sheet1!$AQ$4:$AR$25,2,FALSE)</f>
        <v>0</v>
      </c>
      <c r="B51" s="175" t="str">
        <f>Sheet1!$K$14</f>
        <v>Portsmouth</v>
      </c>
      <c r="C51" s="9"/>
      <c r="D51" s="1839">
        <f t="shared" si="62"/>
        <v>5.818318318318318</v>
      </c>
      <c r="E51" s="1840"/>
      <c r="F51" s="1839">
        <f t="shared" si="50"/>
        <v>22.222222222222221</v>
      </c>
      <c r="G51" s="1840"/>
      <c r="H51" s="1839">
        <f t="shared" si="51"/>
        <v>14.114114114114114</v>
      </c>
      <c r="I51" s="1840"/>
      <c r="J51" s="1839">
        <f t="shared" si="52"/>
        <v>2.3648648648648649</v>
      </c>
      <c r="K51" s="1840"/>
      <c r="L51" s="1839">
        <f t="shared" si="53"/>
        <v>16.92942942942943</v>
      </c>
      <c r="M51" s="1840"/>
      <c r="N51" s="1839">
        <f t="shared" si="54"/>
        <v>27.214714714714717</v>
      </c>
      <c r="O51" s="1840"/>
      <c r="P51" s="1839">
        <f t="shared" si="55"/>
        <v>4.6546546546546548</v>
      </c>
      <c r="Q51" s="1840"/>
      <c r="R51" s="1839">
        <f t="shared" si="56"/>
        <v>5.1426426426426426</v>
      </c>
      <c r="S51" s="1840"/>
      <c r="T51" s="1839">
        <f t="shared" si="57"/>
        <v>1.3138138138138138</v>
      </c>
      <c r="U51" s="1840"/>
      <c r="V51" s="1839">
        <f t="shared" si="58"/>
        <v>0.22522522522522523</v>
      </c>
      <c r="W51" s="1862"/>
      <c r="X51" s="9"/>
      <c r="Y51" s="117"/>
      <c r="Z51" s="137"/>
      <c r="AA51" s="74"/>
      <c r="AB51" s="47" t="str">
        <f t="shared" si="37"/>
        <v>West Berkshire</v>
      </c>
      <c r="AC51" s="46">
        <v>19</v>
      </c>
      <c r="AD51" s="47" t="str">
        <f t="shared" si="20"/>
        <v>West BerkshireRate per 10,000</v>
      </c>
      <c r="AE51" s="48" t="b">
        <f t="shared" si="13"/>
        <v>0</v>
      </c>
      <c r="AF51" s="51">
        <f t="shared" ref="AF51:BA51" si="71">IF(ISERROR(AF27/$BB27*10000),NA(),AF27/$BB27*10000)</f>
        <v>63.483146067415724</v>
      </c>
      <c r="AG51" s="52" t="e">
        <f t="shared" si="71"/>
        <v>#N/A</v>
      </c>
      <c r="AH51" s="52" t="e">
        <f t="shared" si="71"/>
        <v>#N/A</v>
      </c>
      <c r="AI51" s="52" t="e">
        <f t="shared" si="71"/>
        <v>#N/A</v>
      </c>
      <c r="AJ51" s="52">
        <f t="shared" si="71"/>
        <v>98.595505617977523</v>
      </c>
      <c r="AK51" s="52">
        <f t="shared" si="71"/>
        <v>14.044943820224718</v>
      </c>
      <c r="AL51" s="52">
        <f t="shared" si="71"/>
        <v>55.337078651685388</v>
      </c>
      <c r="AM51" s="52" t="e">
        <f t="shared" si="71"/>
        <v>#N/A</v>
      </c>
      <c r="AN51" s="52" t="e">
        <f t="shared" si="71"/>
        <v>#N/A</v>
      </c>
      <c r="AO51" s="52" t="e">
        <f t="shared" si="71"/>
        <v>#N/A</v>
      </c>
      <c r="AP51" s="52" t="e">
        <f t="shared" si="71"/>
        <v>#N/A</v>
      </c>
      <c r="AQ51" s="52" t="e">
        <f t="shared" si="71"/>
        <v>#N/A</v>
      </c>
      <c r="AR51" s="52">
        <f t="shared" si="71"/>
        <v>6.179775280898876</v>
      </c>
      <c r="AS51" s="52">
        <f t="shared" si="71"/>
        <v>78.089887640449433</v>
      </c>
      <c r="AT51" s="52" t="e">
        <f t="shared" si="71"/>
        <v>#N/A</v>
      </c>
      <c r="AU51" s="52" t="e">
        <f t="shared" si="71"/>
        <v>#N/A</v>
      </c>
      <c r="AV51" s="52">
        <f t="shared" si="71"/>
        <v>113.20224719101124</v>
      </c>
      <c r="AW51" s="52">
        <f t="shared" si="71"/>
        <v>9.2696629213483153</v>
      </c>
      <c r="AX51" s="52">
        <f t="shared" si="71"/>
        <v>14.887640449438202</v>
      </c>
      <c r="AY51" s="52">
        <f t="shared" si="71"/>
        <v>9.2696629213483153</v>
      </c>
      <c r="AZ51" s="53">
        <f t="shared" si="71"/>
        <v>2.2471910112359552</v>
      </c>
      <c r="BA51" s="56">
        <f t="shared" si="71"/>
        <v>464.60674157303373</v>
      </c>
      <c r="BC51" s="81" t="str">
        <f t="shared" si="22"/>
        <v>West Berkshire</v>
      </c>
      <c r="BD51" s="171">
        <f t="shared" si="39"/>
        <v>0.13663845223700122</v>
      </c>
      <c r="BE51" s="171">
        <f t="shared" si="40"/>
        <v>0.24244256348246676</v>
      </c>
      <c r="BF51" s="171">
        <f t="shared" si="41"/>
        <v>0.11910519951632406</v>
      </c>
      <c r="BG51" s="171">
        <f t="shared" si="42"/>
        <v>1.3301088270858524E-2</v>
      </c>
      <c r="BH51" s="171">
        <f t="shared" si="43"/>
        <v>0.16807738814993953</v>
      </c>
      <c r="BI51" s="171">
        <f t="shared" si="44"/>
        <v>0.24365175332527206</v>
      </c>
      <c r="BJ51" s="171">
        <f t="shared" si="45"/>
        <v>1.9951632406287789E-2</v>
      </c>
      <c r="BK51" s="171">
        <f t="shared" si="46"/>
        <v>3.2043530834340993E-2</v>
      </c>
      <c r="BL51" s="171">
        <f t="shared" si="47"/>
        <v>1.9951632406287789E-2</v>
      </c>
      <c r="BM51" s="171">
        <f t="shared" si="48"/>
        <v>4.8367593712212815E-3</v>
      </c>
    </row>
    <row r="52" spans="1:65" ht="13.5" customHeight="1" x14ac:dyDescent="0.2">
      <c r="A52" s="488">
        <f>VLOOKUP(B52,Sheet1!$AQ$4:$AR$25,2,FALSE)</f>
        <v>0</v>
      </c>
      <c r="B52" s="175" t="str">
        <f>Sheet1!$K$15</f>
        <v>Reading</v>
      </c>
      <c r="C52" s="9"/>
      <c r="D52" s="1839">
        <f t="shared" si="62"/>
        <v>7.48829953198128</v>
      </c>
      <c r="E52" s="1840"/>
      <c r="F52" s="1839">
        <f t="shared" si="50"/>
        <v>20.787831513260535</v>
      </c>
      <c r="G52" s="1840"/>
      <c r="H52" s="1839">
        <f t="shared" si="51"/>
        <v>14.508580343213728</v>
      </c>
      <c r="I52" s="1840"/>
      <c r="J52" s="1839">
        <f t="shared" si="52"/>
        <v>2.4960998439937598</v>
      </c>
      <c r="K52" s="1840"/>
      <c r="L52" s="1839">
        <f t="shared" si="53"/>
        <v>10.257410296411857</v>
      </c>
      <c r="M52" s="1840"/>
      <c r="N52" s="1839">
        <f t="shared" si="54"/>
        <v>36.271450858034321</v>
      </c>
      <c r="O52" s="1840"/>
      <c r="P52" s="1839">
        <f t="shared" si="55"/>
        <v>2.1450858034321372</v>
      </c>
      <c r="Q52" s="1840"/>
      <c r="R52" s="1839">
        <f t="shared" si="56"/>
        <v>4.9921996879875197</v>
      </c>
      <c r="S52" s="1840"/>
      <c r="T52" s="1839">
        <f t="shared" si="57"/>
        <v>0.7410296411856474</v>
      </c>
      <c r="U52" s="1840"/>
      <c r="V52" s="1839">
        <f t="shared" si="58"/>
        <v>0.31201248049921998</v>
      </c>
      <c r="W52" s="1862"/>
      <c r="X52" s="9"/>
      <c r="Y52" s="117"/>
      <c r="Z52" s="137"/>
      <c r="AA52" s="74"/>
      <c r="AB52" s="47" t="str">
        <f t="shared" si="37"/>
        <v>West Sussex</v>
      </c>
      <c r="AC52" s="46">
        <v>20</v>
      </c>
      <c r="AD52" s="47" t="str">
        <f t="shared" si="20"/>
        <v>West SussexRate per 10,000</v>
      </c>
      <c r="AE52" s="48" t="b">
        <f t="shared" si="13"/>
        <v>0</v>
      </c>
      <c r="AF52" s="51">
        <f t="shared" ref="AF52:BA52" si="72">IF(ISERROR(AF28/$BB28*10000),NA(),AF28/$BB28*10000)</f>
        <v>49.971607041453716</v>
      </c>
      <c r="AG52" s="52" t="e">
        <f t="shared" si="72"/>
        <v>#N/A</v>
      </c>
      <c r="AH52" s="52" t="e">
        <f t="shared" si="72"/>
        <v>#N/A</v>
      </c>
      <c r="AI52" s="52" t="e">
        <f t="shared" si="72"/>
        <v>#N/A</v>
      </c>
      <c r="AJ52" s="52">
        <f t="shared" si="72"/>
        <v>115.16183986371379</v>
      </c>
      <c r="AK52" s="52">
        <f t="shared" si="72"/>
        <v>0</v>
      </c>
      <c r="AL52" s="52">
        <f t="shared" si="72"/>
        <v>74.730266893810338</v>
      </c>
      <c r="AM52" s="52" t="e">
        <f t="shared" si="72"/>
        <v>#N/A</v>
      </c>
      <c r="AN52" s="52" t="e">
        <f t="shared" si="72"/>
        <v>#N/A</v>
      </c>
      <c r="AO52" s="52" t="e">
        <f t="shared" si="72"/>
        <v>#N/A</v>
      </c>
      <c r="AP52" s="52" t="e">
        <f t="shared" si="72"/>
        <v>#N/A</v>
      </c>
      <c r="AQ52" s="52" t="e">
        <f t="shared" si="72"/>
        <v>#N/A</v>
      </c>
      <c r="AR52" s="52">
        <f t="shared" si="72"/>
        <v>11.697898921067575</v>
      </c>
      <c r="AS52" s="52">
        <f t="shared" si="72"/>
        <v>99.659284497444631</v>
      </c>
      <c r="AT52" s="52" t="e">
        <f t="shared" si="72"/>
        <v>#N/A</v>
      </c>
      <c r="AU52" s="52" t="e">
        <f t="shared" si="72"/>
        <v>#N/A</v>
      </c>
      <c r="AV52" s="52">
        <f t="shared" si="72"/>
        <v>158.77342419080068</v>
      </c>
      <c r="AW52" s="52">
        <f t="shared" si="72"/>
        <v>19.420783645655877</v>
      </c>
      <c r="AX52" s="52">
        <f t="shared" si="72"/>
        <v>35.37762634866553</v>
      </c>
      <c r="AY52" s="52">
        <f t="shared" si="72"/>
        <v>0</v>
      </c>
      <c r="AZ52" s="53">
        <f t="shared" si="72"/>
        <v>2.668938103350369</v>
      </c>
      <c r="BA52" s="56">
        <f t="shared" si="72"/>
        <v>567.4616695059625</v>
      </c>
      <c r="BC52" s="81" t="str">
        <f t="shared" si="22"/>
        <v>West Sussex</v>
      </c>
      <c r="BD52" s="171">
        <f t="shared" si="39"/>
        <v>8.8061643150205149E-2</v>
      </c>
      <c r="BE52" s="171">
        <f t="shared" si="40"/>
        <v>0.20294205944160912</v>
      </c>
      <c r="BF52" s="171">
        <f t="shared" si="41"/>
        <v>0.13169218452917042</v>
      </c>
      <c r="BG52" s="171">
        <f t="shared" si="42"/>
        <v>2.0614430101070749E-2</v>
      </c>
      <c r="BH52" s="171">
        <f t="shared" si="43"/>
        <v>0.17562293605523865</v>
      </c>
      <c r="BI52" s="171">
        <f t="shared" si="44"/>
        <v>0.27979585709996996</v>
      </c>
      <c r="BJ52" s="171">
        <f t="shared" si="45"/>
        <v>3.4223956769738814E-2</v>
      </c>
      <c r="BK52" s="171">
        <f t="shared" si="46"/>
        <v>6.2343640548383872E-2</v>
      </c>
      <c r="BL52" s="171">
        <f t="shared" si="47"/>
        <v>0</v>
      </c>
      <c r="BM52" s="171">
        <f t="shared" si="48"/>
        <v>4.7032923046132291E-3</v>
      </c>
    </row>
    <row r="53" spans="1:65" ht="13.5" customHeight="1" x14ac:dyDescent="0.2">
      <c r="A53" s="488">
        <f>VLOOKUP(B53,Sheet1!$AQ$4:$AR$25,2,FALSE)</f>
        <v>0</v>
      </c>
      <c r="B53" s="175" t="str">
        <f>Sheet1!$K$16</f>
        <v>Slough</v>
      </c>
      <c r="C53" s="9"/>
      <c r="D53" s="1839">
        <f t="shared" si="62"/>
        <v>4.0944881889763778</v>
      </c>
      <c r="E53" s="1840"/>
      <c r="F53" s="1839">
        <f t="shared" si="50"/>
        <v>24.960629921259841</v>
      </c>
      <c r="G53" s="1840"/>
      <c r="H53" s="1839">
        <f t="shared" si="51"/>
        <v>13.543307086614172</v>
      </c>
      <c r="I53" s="1840"/>
      <c r="J53" s="1839">
        <f t="shared" si="52"/>
        <v>0</v>
      </c>
      <c r="K53" s="1840"/>
      <c r="L53" s="1839">
        <f t="shared" si="53"/>
        <v>15.393700787401574</v>
      </c>
      <c r="M53" s="1840"/>
      <c r="N53" s="1839">
        <f t="shared" si="54"/>
        <v>32.480314960629919</v>
      </c>
      <c r="O53" s="1840"/>
      <c r="P53" s="1839">
        <f t="shared" si="55"/>
        <v>3.582677165354331</v>
      </c>
      <c r="Q53" s="1840"/>
      <c r="R53" s="1839">
        <f t="shared" si="56"/>
        <v>4.2125984251968509</v>
      </c>
      <c r="S53" s="1840"/>
      <c r="T53" s="1839">
        <f t="shared" si="57"/>
        <v>1.7322834645669292</v>
      </c>
      <c r="U53" s="1840"/>
      <c r="V53" s="1839">
        <f t="shared" si="58"/>
        <v>0</v>
      </c>
      <c r="W53" s="1862"/>
      <c r="X53" s="9"/>
      <c r="Y53" s="117"/>
      <c r="Z53" s="137"/>
      <c r="AA53" s="74"/>
      <c r="AB53" s="47" t="str">
        <f t="shared" si="37"/>
        <v>Windsor &amp; Maidenhead</v>
      </c>
      <c r="AC53" s="46">
        <v>21</v>
      </c>
      <c r="AD53" s="47" t="str">
        <f t="shared" si="20"/>
        <v>Windsor &amp; MaidenheadRate per 10,000</v>
      </c>
      <c r="AE53" s="48" t="b">
        <f t="shared" si="13"/>
        <v>0</v>
      </c>
      <c r="AF53" s="51">
        <f t="shared" ref="AF53:BA53" si="73">IF(ISERROR(AF29/$BB29*10000),NA(),AF29/$BB29*10000)</f>
        <v>27.953890489913544</v>
      </c>
      <c r="AG53" s="52" t="e">
        <f t="shared" si="73"/>
        <v>#N/A</v>
      </c>
      <c r="AH53" s="52" t="e">
        <f t="shared" si="73"/>
        <v>#N/A</v>
      </c>
      <c r="AI53" s="52" t="e">
        <f t="shared" si="73"/>
        <v>#N/A</v>
      </c>
      <c r="AJ53" s="52">
        <f t="shared" si="73"/>
        <v>81.844380403458203</v>
      </c>
      <c r="AK53" s="52">
        <f t="shared" si="73"/>
        <v>0</v>
      </c>
      <c r="AL53" s="52">
        <f t="shared" si="73"/>
        <v>47.262247838616709</v>
      </c>
      <c r="AM53" s="52" t="e">
        <f t="shared" si="73"/>
        <v>#N/A</v>
      </c>
      <c r="AN53" s="52" t="e">
        <f t="shared" si="73"/>
        <v>#N/A</v>
      </c>
      <c r="AO53" s="52" t="e">
        <f t="shared" si="73"/>
        <v>#N/A</v>
      </c>
      <c r="AP53" s="52" t="e">
        <f t="shared" si="73"/>
        <v>#N/A</v>
      </c>
      <c r="AQ53" s="52" t="e">
        <f t="shared" si="73"/>
        <v>#N/A</v>
      </c>
      <c r="AR53" s="52">
        <f t="shared" si="73"/>
        <v>4.3227665706051877</v>
      </c>
      <c r="AS53" s="52">
        <f t="shared" si="73"/>
        <v>45.821325648414984</v>
      </c>
      <c r="AT53" s="52" t="e">
        <f t="shared" si="73"/>
        <v>#N/A</v>
      </c>
      <c r="AU53" s="52" t="e">
        <f t="shared" si="73"/>
        <v>#N/A</v>
      </c>
      <c r="AV53" s="52">
        <f t="shared" si="73"/>
        <v>145.82132564841498</v>
      </c>
      <c r="AW53" s="52">
        <f t="shared" si="73"/>
        <v>5.1873198847262243</v>
      </c>
      <c r="AX53" s="52">
        <f t="shared" si="73"/>
        <v>20.461095100864551</v>
      </c>
      <c r="AY53" s="52">
        <f t="shared" si="73"/>
        <v>12.103746397694524</v>
      </c>
      <c r="AZ53" s="53">
        <f t="shared" si="73"/>
        <v>0</v>
      </c>
      <c r="BA53" s="56">
        <f t="shared" si="73"/>
        <v>390.77809798270891</v>
      </c>
      <c r="BC53" s="81" t="str">
        <f t="shared" si="22"/>
        <v>Windsor &amp; Maidenhead</v>
      </c>
      <c r="BD53" s="171">
        <f t="shared" si="39"/>
        <v>7.1533923303834804E-2</v>
      </c>
      <c r="BE53" s="171">
        <f t="shared" si="40"/>
        <v>0.20943952802359883</v>
      </c>
      <c r="BF53" s="171">
        <f t="shared" si="41"/>
        <v>0.12094395280235988</v>
      </c>
      <c r="BG53" s="171">
        <f t="shared" si="42"/>
        <v>1.1061946902654867E-2</v>
      </c>
      <c r="BH53" s="171">
        <f t="shared" si="43"/>
        <v>0.11725663716814159</v>
      </c>
      <c r="BI53" s="171">
        <f t="shared" si="44"/>
        <v>0.37315634218289084</v>
      </c>
      <c r="BJ53" s="171">
        <f t="shared" si="45"/>
        <v>1.3274336283185841E-2</v>
      </c>
      <c r="BK53" s="171">
        <f t="shared" si="46"/>
        <v>5.2359882005899708E-2</v>
      </c>
      <c r="BL53" s="171">
        <f t="shared" si="47"/>
        <v>3.0973451327433628E-2</v>
      </c>
      <c r="BM53" s="171">
        <f t="shared" si="48"/>
        <v>0</v>
      </c>
    </row>
    <row r="54" spans="1:65" ht="13.5" customHeight="1" x14ac:dyDescent="0.2">
      <c r="A54" s="488">
        <f>VLOOKUP(B54,Sheet1!$AQ$4:$AR$25,2,FALSE)</f>
        <v>0</v>
      </c>
      <c r="B54" s="175" t="str">
        <f>Sheet1!$K$17</f>
        <v>Somerset</v>
      </c>
      <c r="C54" s="9"/>
      <c r="D54" s="1839">
        <f t="shared" si="62"/>
        <v>8.6764299530256981</v>
      </c>
      <c r="E54" s="1840"/>
      <c r="F54" s="1839">
        <f t="shared" si="50"/>
        <v>13.567283780049737</v>
      </c>
      <c r="G54" s="1840"/>
      <c r="H54" s="1839">
        <f t="shared" si="51"/>
        <v>14.368610113290964</v>
      </c>
      <c r="I54" s="1840"/>
      <c r="J54" s="1839">
        <f t="shared" si="52"/>
        <v>0.41447913788339324</v>
      </c>
      <c r="K54" s="1840"/>
      <c r="L54" s="1839">
        <f t="shared" si="53"/>
        <v>14.865985078751038</v>
      </c>
      <c r="M54" s="1840"/>
      <c r="N54" s="1839">
        <f t="shared" si="54"/>
        <v>32.053053329649074</v>
      </c>
      <c r="O54" s="1840"/>
      <c r="P54" s="1839">
        <f t="shared" si="55"/>
        <v>5.5540204476374688</v>
      </c>
      <c r="Q54" s="1840"/>
      <c r="R54" s="1839">
        <f t="shared" si="56"/>
        <v>6.2448190107764576</v>
      </c>
      <c r="S54" s="1840"/>
      <c r="T54" s="1839">
        <f t="shared" si="57"/>
        <v>3.757944183476098</v>
      </c>
      <c r="U54" s="1840"/>
      <c r="V54" s="1839">
        <f t="shared" si="58"/>
        <v>0.49737496546007187</v>
      </c>
      <c r="W54" s="1862"/>
      <c r="X54" s="14"/>
      <c r="Y54" s="117"/>
      <c r="Z54" s="137"/>
      <c r="AA54" s="74"/>
      <c r="AB54" s="47" t="str">
        <f t="shared" si="37"/>
        <v>Wokingham</v>
      </c>
      <c r="AC54" s="46">
        <v>22</v>
      </c>
      <c r="AD54" s="47" t="str">
        <f t="shared" si="20"/>
        <v>WokinghamRate per 10,000</v>
      </c>
      <c r="AE54" s="48" t="b">
        <f t="shared" si="13"/>
        <v>0</v>
      </c>
      <c r="AF54" s="51">
        <f t="shared" ref="AF54:BA54" si="74">IF(ISERROR(AF30/$BB30*10000),NA(),AF30/$BB30*10000)</f>
        <v>36.633663366336634</v>
      </c>
      <c r="AG54" s="52" t="e">
        <f t="shared" si="74"/>
        <v>#N/A</v>
      </c>
      <c r="AH54" s="52" t="e">
        <f t="shared" si="74"/>
        <v>#N/A</v>
      </c>
      <c r="AI54" s="52" t="e">
        <f t="shared" si="74"/>
        <v>#N/A</v>
      </c>
      <c r="AJ54" s="52">
        <f t="shared" si="74"/>
        <v>88.861386138613852</v>
      </c>
      <c r="AK54" s="52" t="e">
        <f t="shared" si="74"/>
        <v>#N/A</v>
      </c>
      <c r="AL54" s="52">
        <f t="shared" si="74"/>
        <v>54.702970297029701</v>
      </c>
      <c r="AM54" s="52" t="e">
        <f t="shared" si="74"/>
        <v>#N/A</v>
      </c>
      <c r="AN54" s="52" t="e">
        <f t="shared" si="74"/>
        <v>#N/A</v>
      </c>
      <c r="AO54" s="52" t="e">
        <f t="shared" si="74"/>
        <v>#N/A</v>
      </c>
      <c r="AP54" s="52" t="e">
        <f t="shared" si="74"/>
        <v>#N/A</v>
      </c>
      <c r="AQ54" s="52" t="e">
        <f t="shared" si="74"/>
        <v>#N/A</v>
      </c>
      <c r="AR54" s="52">
        <f t="shared" si="74"/>
        <v>2.722772277227723</v>
      </c>
      <c r="AS54" s="52">
        <f t="shared" si="74"/>
        <v>59.653465346534652</v>
      </c>
      <c r="AT54" s="52" t="e">
        <f t="shared" si="74"/>
        <v>#N/A</v>
      </c>
      <c r="AU54" s="52" t="e">
        <f t="shared" si="74"/>
        <v>#N/A</v>
      </c>
      <c r="AV54" s="52">
        <f t="shared" si="74"/>
        <v>158.66336633663366</v>
      </c>
      <c r="AW54" s="52">
        <f t="shared" si="74"/>
        <v>10.891089108910892</v>
      </c>
      <c r="AX54" s="52">
        <f t="shared" si="74"/>
        <v>17.326732673267326</v>
      </c>
      <c r="AY54" s="52">
        <f t="shared" si="74"/>
        <v>6.1881188118811883</v>
      </c>
      <c r="AZ54" s="53" t="e">
        <f t="shared" si="74"/>
        <v>#N/A</v>
      </c>
      <c r="BA54" s="56">
        <f t="shared" si="74"/>
        <v>435.6435643564356</v>
      </c>
      <c r="BC54" s="81" t="str">
        <f t="shared" si="22"/>
        <v>Wokingham</v>
      </c>
      <c r="BD54" s="171">
        <f t="shared" si="39"/>
        <v>8.4090909090909091E-2</v>
      </c>
      <c r="BE54" s="171">
        <f t="shared" si="40"/>
        <v>0.20397727272727273</v>
      </c>
      <c r="BF54" s="171">
        <f t="shared" si="41"/>
        <v>0.12556818181818183</v>
      </c>
      <c r="BG54" s="171">
        <f t="shared" si="42"/>
        <v>6.2500000000000003E-3</v>
      </c>
      <c r="BH54" s="171">
        <f t="shared" si="43"/>
        <v>0.13693181818181818</v>
      </c>
      <c r="BI54" s="171">
        <f t="shared" si="44"/>
        <v>0.36420454545454545</v>
      </c>
      <c r="BJ54" s="171">
        <f t="shared" si="45"/>
        <v>2.5000000000000001E-2</v>
      </c>
      <c r="BK54" s="171">
        <f t="shared" si="46"/>
        <v>3.9772727272727272E-2</v>
      </c>
      <c r="BL54" s="171">
        <f t="shared" si="47"/>
        <v>1.4204545454545454E-2</v>
      </c>
      <c r="BM54" s="171" t="e">
        <f t="shared" si="48"/>
        <v>#VALUE!</v>
      </c>
    </row>
    <row r="55" spans="1:65" ht="13.5" customHeight="1" x14ac:dyDescent="0.2">
      <c r="A55" s="488">
        <f>VLOOKUP(B55,Sheet1!$AQ$4:$AR$25,2,FALSE)</f>
        <v>0</v>
      </c>
      <c r="B55" s="175" t="str">
        <f>Sheet1!$K$18</f>
        <v>Southampton</v>
      </c>
      <c r="C55" s="9"/>
      <c r="D55" s="1839">
        <f t="shared" si="62"/>
        <v>4.5661157024793386</v>
      </c>
      <c r="E55" s="1840"/>
      <c r="F55" s="1839">
        <f t="shared" si="50"/>
        <v>19.669421487603309</v>
      </c>
      <c r="G55" s="1840"/>
      <c r="H55" s="1839">
        <f t="shared" si="51"/>
        <v>15.723140495867769</v>
      </c>
      <c r="I55" s="1840"/>
      <c r="J55" s="1839">
        <f t="shared" si="52"/>
        <v>0.57851239669421484</v>
      </c>
      <c r="K55" s="1840"/>
      <c r="L55" s="1839">
        <f t="shared" si="53"/>
        <v>20.24793388429752</v>
      </c>
      <c r="M55" s="1840"/>
      <c r="N55" s="1839">
        <f t="shared" si="54"/>
        <v>28.285123966942148</v>
      </c>
      <c r="O55" s="1840"/>
      <c r="P55" s="1839">
        <f t="shared" si="55"/>
        <v>1.115702479338843</v>
      </c>
      <c r="Q55" s="1840"/>
      <c r="R55" s="1839">
        <f t="shared" si="56"/>
        <v>6.1983471074380168</v>
      </c>
      <c r="S55" s="1840"/>
      <c r="T55" s="1839">
        <f t="shared" si="57"/>
        <v>3.3677685950413228</v>
      </c>
      <c r="U55" s="1840"/>
      <c r="V55" s="1839">
        <f t="shared" si="58"/>
        <v>0.24793388429752067</v>
      </c>
      <c r="W55" s="1862"/>
      <c r="X55" s="14"/>
      <c r="Y55" s="117"/>
      <c r="Z55" s="137"/>
      <c r="AA55" s="74"/>
      <c r="AB55" s="47" t="str">
        <f t="shared" si="37"/>
        <v>South East</v>
      </c>
      <c r="AC55" s="46">
        <v>23</v>
      </c>
      <c r="AD55" s="47" t="str">
        <f t="shared" si="20"/>
        <v>South EastRate per 10,000</v>
      </c>
      <c r="AE55" s="48" t="b">
        <f t="shared" si="13"/>
        <v>0</v>
      </c>
      <c r="AF55" s="51">
        <f t="shared" ref="AF55:BA55" si="75">IF(ISERROR(AF31/$BB31*10000),NA(),AF31/$BB31*10000)</f>
        <v>47.910425024120251</v>
      </c>
      <c r="AG55" s="52">
        <f t="shared" si="75"/>
        <v>0</v>
      </c>
      <c r="AH55" s="52">
        <f t="shared" si="75"/>
        <v>0</v>
      </c>
      <c r="AI55" s="52">
        <f t="shared" si="75"/>
        <v>0</v>
      </c>
      <c r="AJ55" s="52">
        <f t="shared" si="75"/>
        <v>116.11232417610319</v>
      </c>
      <c r="AK55" s="52">
        <f t="shared" si="75"/>
        <v>8.3582999035190166</v>
      </c>
      <c r="AL55" s="52">
        <f t="shared" si="75"/>
        <v>83.090438226781089</v>
      </c>
      <c r="AM55" s="52">
        <f t="shared" si="75"/>
        <v>0</v>
      </c>
      <c r="AN55" s="52">
        <f t="shared" si="75"/>
        <v>0</v>
      </c>
      <c r="AO55" s="52">
        <f t="shared" si="75"/>
        <v>0</v>
      </c>
      <c r="AP55" s="52">
        <f t="shared" si="75"/>
        <v>0</v>
      </c>
      <c r="AQ55" s="52">
        <f t="shared" si="75"/>
        <v>0</v>
      </c>
      <c r="AR55" s="52">
        <f t="shared" si="75"/>
        <v>8.409079368303459</v>
      </c>
      <c r="AS55" s="52">
        <f t="shared" si="75"/>
        <v>77.179708525872144</v>
      </c>
      <c r="AT55" s="52">
        <f t="shared" si="75"/>
        <v>0</v>
      </c>
      <c r="AU55" s="52">
        <f t="shared" si="75"/>
        <v>0</v>
      </c>
      <c r="AV55" s="52">
        <f t="shared" si="75"/>
        <v>172.10176204742802</v>
      </c>
      <c r="AW55" s="52">
        <f t="shared" si="75"/>
        <v>20.601228863047783</v>
      </c>
      <c r="AX55" s="52">
        <f t="shared" si="75"/>
        <v>28.868125729954809</v>
      </c>
      <c r="AY55" s="52">
        <f t="shared" si="75"/>
        <v>10.135581170974458</v>
      </c>
      <c r="AZ55" s="53">
        <f t="shared" si="75"/>
        <v>8.0282333824201491</v>
      </c>
      <c r="BA55" s="56">
        <f t="shared" si="75"/>
        <v>580.79520641852434</v>
      </c>
      <c r="BC55" s="81" t="str">
        <f t="shared" si="22"/>
        <v>South East</v>
      </c>
      <c r="BD55" s="171">
        <f t="shared" si="39"/>
        <v>8.2491082045184308E-2</v>
      </c>
      <c r="BE55" s="171">
        <f t="shared" si="40"/>
        <v>0.21431069455130447</v>
      </c>
      <c r="BF55" s="171">
        <f t="shared" si="41"/>
        <v>0.14306323004826188</v>
      </c>
      <c r="BG55" s="171">
        <f t="shared" si="42"/>
        <v>1.4478561936070505E-2</v>
      </c>
      <c r="BH55" s="171">
        <f t="shared" si="43"/>
        <v>0.132886269846821</v>
      </c>
      <c r="BI55" s="171">
        <f t="shared" si="44"/>
        <v>0.29632090648387771</v>
      </c>
      <c r="BJ55" s="171">
        <f t="shared" si="45"/>
        <v>3.5470728124781421E-2</v>
      </c>
      <c r="BK55" s="171">
        <f t="shared" si="46"/>
        <v>4.9704483458068126E-2</v>
      </c>
      <c r="BL55" s="171">
        <f t="shared" si="47"/>
        <v>1.7451213541302371E-2</v>
      </c>
      <c r="BM55" s="171">
        <f t="shared" si="48"/>
        <v>1.3822829964328182E-2</v>
      </c>
    </row>
    <row r="56" spans="1:65" ht="13.5" customHeight="1" x14ac:dyDescent="0.2">
      <c r="A56" s="488">
        <f>VLOOKUP(B56,Sheet1!$AQ$4:$AR$25,2,FALSE)</f>
        <v>0</v>
      </c>
      <c r="B56" s="175" t="str">
        <f>Sheet1!$K$19</f>
        <v>Surrey</v>
      </c>
      <c r="C56" s="9"/>
      <c r="D56" s="1839">
        <f t="shared" si="62"/>
        <v>7.1956802441601129</v>
      </c>
      <c r="E56" s="1840"/>
      <c r="F56" s="1839">
        <f t="shared" si="50"/>
        <v>19.19239347341237</v>
      </c>
      <c r="G56" s="1840"/>
      <c r="H56" s="1839">
        <f t="shared" si="51"/>
        <v>15.776499589153655</v>
      </c>
      <c r="I56" s="1840"/>
      <c r="J56" s="1839">
        <f t="shared" si="52"/>
        <v>1.1855851625777674</v>
      </c>
      <c r="K56" s="1840"/>
      <c r="L56" s="1839">
        <f t="shared" si="53"/>
        <v>12.513205775325742</v>
      </c>
      <c r="M56" s="1840"/>
      <c r="N56" s="1839">
        <f t="shared" si="54"/>
        <v>33.384200023476936</v>
      </c>
      <c r="O56" s="1840"/>
      <c r="P56" s="1839">
        <f t="shared" si="55"/>
        <v>3.5215400868646549</v>
      </c>
      <c r="Q56" s="1840"/>
      <c r="R56" s="1839">
        <f t="shared" si="56"/>
        <v>4.484094377274328</v>
      </c>
      <c r="S56" s="1840"/>
      <c r="T56" s="1839">
        <f t="shared" si="57"/>
        <v>2.7468012677544311</v>
      </c>
      <c r="U56" s="1840"/>
      <c r="V56" s="1839">
        <f t="shared" si="58"/>
        <v>0</v>
      </c>
      <c r="W56" s="1862"/>
      <c r="X56" s="14"/>
      <c r="Y56" s="117"/>
      <c r="Z56" s="137"/>
      <c r="AA56" s="74"/>
      <c r="AB56" s="47" t="str">
        <f t="shared" si="37"/>
        <v>England</v>
      </c>
      <c r="AC56" s="46">
        <v>24</v>
      </c>
      <c r="AD56" s="47" t="str">
        <f t="shared" ref="AD56" si="76">CONCATENATE(AB56,$AB$6)</f>
        <v>EnglandRate per 10,000</v>
      </c>
      <c r="AE56" s="48" t="b">
        <f t="shared" ref="AE56" si="77">IF(AB56=$AA$6,1)</f>
        <v>0</v>
      </c>
      <c r="AF56" s="51">
        <f t="shared" ref="AF56:BA56" si="78">IF(ISERROR(AF32/$BB32*10000),NA(),AF32/$BB32*10000)</f>
        <v>43.489470707608369</v>
      </c>
      <c r="AG56" s="52" t="e">
        <f t="shared" si="78"/>
        <v>#N/A</v>
      </c>
      <c r="AH56" s="52" t="e">
        <f t="shared" si="78"/>
        <v>#N/A</v>
      </c>
      <c r="AI56" s="52" t="e">
        <f t="shared" si="78"/>
        <v>#N/A</v>
      </c>
      <c r="AJ56" s="52">
        <f t="shared" si="78"/>
        <v>97.316943344755316</v>
      </c>
      <c r="AK56" s="52">
        <f t="shared" si="78"/>
        <v>11.336039123057986</v>
      </c>
      <c r="AL56" s="52">
        <f t="shared" si="78"/>
        <v>80.092484779932803</v>
      </c>
      <c r="AM56" s="52" t="e">
        <f t="shared" si="78"/>
        <v>#N/A</v>
      </c>
      <c r="AN56" s="52" t="e">
        <f t="shared" si="78"/>
        <v>#N/A</v>
      </c>
      <c r="AO56" s="52" t="e">
        <f t="shared" si="78"/>
        <v>#N/A</v>
      </c>
      <c r="AP56" s="52" t="e">
        <f t="shared" si="78"/>
        <v>#N/A</v>
      </c>
      <c r="AQ56" s="52" t="e">
        <f t="shared" si="78"/>
        <v>#N/A</v>
      </c>
      <c r="AR56" s="52">
        <f t="shared" si="78"/>
        <v>6.903090588509265</v>
      </c>
      <c r="AS56" s="52">
        <f t="shared" si="78"/>
        <v>75.526464619581489</v>
      </c>
      <c r="AT56" s="52" t="e">
        <f t="shared" si="78"/>
        <v>#N/A</v>
      </c>
      <c r="AU56" s="52" t="e">
        <f t="shared" si="78"/>
        <v>#N/A</v>
      </c>
      <c r="AV56" s="52">
        <f t="shared" si="78"/>
        <v>153.66445989553878</v>
      </c>
      <c r="AW56" s="52">
        <f t="shared" si="78"/>
        <v>20.942147110682324</v>
      </c>
      <c r="AX56" s="52">
        <f t="shared" si="78"/>
        <v>26.306597025849165</v>
      </c>
      <c r="AY56" s="52">
        <f t="shared" si="78"/>
        <v>11.452476795635251</v>
      </c>
      <c r="AZ56" s="53">
        <f t="shared" si="78"/>
        <v>7.7347882497754412</v>
      </c>
      <c r="BA56" s="56">
        <f t="shared" si="78"/>
        <v>534.76496224092614</v>
      </c>
      <c r="BC56" s="81" t="str">
        <f t="shared" si="22"/>
        <v>England</v>
      </c>
      <c r="BD56" s="171">
        <f t="shared" si="39"/>
        <v>8.1324457992472551E-2</v>
      </c>
      <c r="BE56" s="171">
        <f t="shared" si="40"/>
        <v>0.20317894802326666</v>
      </c>
      <c r="BF56" s="171">
        <f t="shared" si="41"/>
        <v>0.14977137702572396</v>
      </c>
      <c r="BG56" s="171">
        <f t="shared" si="42"/>
        <v>1.2908644125789294E-2</v>
      </c>
      <c r="BH56" s="171">
        <f t="shared" si="43"/>
        <v>0.14123300880276213</v>
      </c>
      <c r="BI56" s="171">
        <f t="shared" si="44"/>
        <v>0.28734952875672648</v>
      </c>
      <c r="BJ56" s="171">
        <f t="shared" si="45"/>
        <v>3.9161404709322216E-2</v>
      </c>
      <c r="BK56" s="171">
        <f t="shared" si="46"/>
        <v>4.9192820927556065E-2</v>
      </c>
      <c r="BL56" s="171">
        <f t="shared" si="47"/>
        <v>2.1415907182182961E-2</v>
      </c>
      <c r="BM56" s="171">
        <f t="shared" si="48"/>
        <v>1.4463902454197642E-2</v>
      </c>
    </row>
    <row r="57" spans="1:65" s="81" customFormat="1" ht="13.5" customHeight="1" x14ac:dyDescent="0.2">
      <c r="A57" s="488">
        <f>VLOOKUP(B57,Sheet1!$AQ$4:$AR$25,2,FALSE)</f>
        <v>0</v>
      </c>
      <c r="B57" s="175" t="str">
        <f>Sheet1!$K$20</f>
        <v>Swindon</v>
      </c>
      <c r="C57" s="9"/>
      <c r="D57" s="1839">
        <f t="shared" si="62"/>
        <v>5.9484467944481167</v>
      </c>
      <c r="E57" s="1840"/>
      <c r="F57" s="1839">
        <f t="shared" si="50"/>
        <v>18.175809649702579</v>
      </c>
      <c r="G57" s="1840"/>
      <c r="H57" s="1839">
        <f t="shared" si="51"/>
        <v>14.937210839391938</v>
      </c>
      <c r="I57" s="1840"/>
      <c r="J57" s="1839">
        <f t="shared" si="52"/>
        <v>1.0905485789821545</v>
      </c>
      <c r="K57" s="1840"/>
      <c r="L57" s="1839">
        <f t="shared" si="53"/>
        <v>8.9226701916721751</v>
      </c>
      <c r="M57" s="1840"/>
      <c r="N57" s="1839">
        <f t="shared" si="54"/>
        <v>37.739590218109711</v>
      </c>
      <c r="O57" s="1840"/>
      <c r="P57" s="1839">
        <f t="shared" si="55"/>
        <v>4.7257105089226705</v>
      </c>
      <c r="Q57" s="1840"/>
      <c r="R57" s="1839">
        <f t="shared" si="56"/>
        <v>3.2716457369464638</v>
      </c>
      <c r="S57" s="1840"/>
      <c r="T57" s="1839">
        <f t="shared" si="57"/>
        <v>2.5115664243225382</v>
      </c>
      <c r="U57" s="1840"/>
      <c r="V57" s="1839">
        <f t="shared" si="58"/>
        <v>2.6768010575016521</v>
      </c>
      <c r="W57" s="1862"/>
      <c r="X57" s="14"/>
      <c r="Y57" s="117"/>
      <c r="Z57" s="137"/>
      <c r="AB57" s="47" t="str">
        <f t="shared" ref="AB57:AB64" si="79">B9</f>
        <v>Bracknell Forest</v>
      </c>
      <c r="AC57" s="46">
        <v>1</v>
      </c>
      <c r="AD57" s="47" t="str">
        <f>CONCATENATE(AB57,$AB$7)</f>
        <v>Bracknell ForestProportion (%)</v>
      </c>
      <c r="AE57" s="48" t="b">
        <f t="shared" si="13"/>
        <v>0</v>
      </c>
      <c r="AF57" s="51">
        <f t="shared" ref="AF57:BA57" si="80">IF(ISERROR(AF9/$BA9*100),NA(),AF9/$BA9*100)</f>
        <v>6.650971159505592</v>
      </c>
      <c r="AG57" s="52" t="e">
        <f t="shared" si="80"/>
        <v>#N/A</v>
      </c>
      <c r="AH57" s="52" t="e">
        <f t="shared" si="80"/>
        <v>#N/A</v>
      </c>
      <c r="AI57" s="52" t="e">
        <f t="shared" si="80"/>
        <v>#N/A</v>
      </c>
      <c r="AJ57" s="52">
        <f t="shared" si="80"/>
        <v>27.781047675103004</v>
      </c>
      <c r="AK57" s="52">
        <f t="shared" si="80"/>
        <v>1.2948793407886992</v>
      </c>
      <c r="AL57" s="52">
        <f t="shared" si="80"/>
        <v>10.417892878163626</v>
      </c>
      <c r="AM57" s="52" t="e">
        <f t="shared" si="80"/>
        <v>#N/A</v>
      </c>
      <c r="AN57" s="52" t="e">
        <f t="shared" si="80"/>
        <v>#N/A</v>
      </c>
      <c r="AO57" s="52" t="e">
        <f t="shared" si="80"/>
        <v>#N/A</v>
      </c>
      <c r="AP57" s="52" t="e">
        <f t="shared" si="80"/>
        <v>#N/A</v>
      </c>
      <c r="AQ57" s="52" t="e">
        <f t="shared" si="80"/>
        <v>#N/A</v>
      </c>
      <c r="AR57" s="52">
        <f t="shared" si="80"/>
        <v>1.0594467333725721</v>
      </c>
      <c r="AS57" s="52">
        <f t="shared" si="80"/>
        <v>22.189523248969984</v>
      </c>
      <c r="AT57" s="52" t="e">
        <f t="shared" si="80"/>
        <v>#N/A</v>
      </c>
      <c r="AU57" s="52" t="e">
        <f t="shared" si="80"/>
        <v>#N/A</v>
      </c>
      <c r="AV57" s="52">
        <f t="shared" si="80"/>
        <v>22.778104767510303</v>
      </c>
      <c r="AW57" s="52">
        <f t="shared" si="80"/>
        <v>2.4720423778693346</v>
      </c>
      <c r="AX57" s="52">
        <f t="shared" si="80"/>
        <v>4.002354326074161</v>
      </c>
      <c r="AY57" s="52">
        <f t="shared" si="80"/>
        <v>1.353737492642731</v>
      </c>
      <c r="AZ57" s="53">
        <f t="shared" si="80"/>
        <v>0</v>
      </c>
      <c r="BA57" s="56">
        <f t="shared" si="80"/>
        <v>100</v>
      </c>
      <c r="BB57" s="74"/>
      <c r="BC57" s="74"/>
      <c r="BD57" s="656"/>
      <c r="BE57" s="656"/>
      <c r="BF57" s="656"/>
      <c r="BG57" s="656"/>
      <c r="BH57" s="656"/>
      <c r="BI57" s="656"/>
      <c r="BJ57" s="656"/>
      <c r="BK57" s="656"/>
      <c r="BL57" s="656"/>
      <c r="BM57" s="656"/>
    </row>
    <row r="58" spans="1:65" s="81" customFormat="1" ht="13.5" customHeight="1" x14ac:dyDescent="0.2">
      <c r="A58" s="488">
        <f>VLOOKUP(B58,Sheet1!$AQ$4:$AR$25,2,FALSE)</f>
        <v>0</v>
      </c>
      <c r="B58" s="175" t="str">
        <f>Sheet1!$K$21</f>
        <v>Torbay</v>
      </c>
      <c r="C58" s="9"/>
      <c r="D58" s="1839">
        <f t="shared" si="62"/>
        <v>7.4731182795698929</v>
      </c>
      <c r="E58" s="1840"/>
      <c r="F58" s="1839" t="e">
        <f t="shared" si="50"/>
        <v>#N/A</v>
      </c>
      <c r="G58" s="1840"/>
      <c r="H58" s="1839">
        <f t="shared" si="51"/>
        <v>10.698924731182796</v>
      </c>
      <c r="I58" s="1840"/>
      <c r="J58" s="1839" t="e">
        <f t="shared" si="52"/>
        <v>#N/A</v>
      </c>
      <c r="K58" s="1840"/>
      <c r="L58" s="1839">
        <f t="shared" si="53"/>
        <v>23.387096774193548</v>
      </c>
      <c r="M58" s="1840"/>
      <c r="N58" s="1839">
        <f t="shared" si="54"/>
        <v>27.956989247311824</v>
      </c>
      <c r="O58" s="1840"/>
      <c r="P58" s="1839">
        <f t="shared" si="55"/>
        <v>1.5591397849462365</v>
      </c>
      <c r="Q58" s="1840"/>
      <c r="R58" s="1839">
        <f t="shared" si="56"/>
        <v>8.172043010752688</v>
      </c>
      <c r="S58" s="1840"/>
      <c r="T58" s="1839">
        <f t="shared" si="57"/>
        <v>3.6021505376344085</v>
      </c>
      <c r="U58" s="1840"/>
      <c r="V58" s="1839">
        <f t="shared" si="58"/>
        <v>1.129032258064516</v>
      </c>
      <c r="W58" s="1862"/>
      <c r="X58" s="14"/>
      <c r="Y58" s="117"/>
      <c r="Z58" s="137"/>
      <c r="AB58" s="47" t="str">
        <f t="shared" si="79"/>
        <v>Brighton &amp; Hove</v>
      </c>
      <c r="AC58" s="46">
        <v>2</v>
      </c>
      <c r="AD58" s="47" t="str">
        <f t="shared" ref="AD58:AD79" si="81">CONCATENATE(AB58,$AB$7)</f>
        <v>Brighton &amp; HoveProportion (%)</v>
      </c>
      <c r="AE58" s="48" t="b">
        <f t="shared" si="13"/>
        <v>0</v>
      </c>
      <c r="AF58" s="51">
        <f t="shared" ref="AF58:BA58" si="82">IF(ISERROR(AF10/$BA10*100),NA(),AF10/$BA10*100)</f>
        <v>2.9403528423410807</v>
      </c>
      <c r="AG58" s="52" t="e">
        <f t="shared" si="82"/>
        <v>#N/A</v>
      </c>
      <c r="AH58" s="52" t="e">
        <f t="shared" si="82"/>
        <v>#N/A</v>
      </c>
      <c r="AI58" s="52" t="e">
        <f t="shared" si="82"/>
        <v>#N/A</v>
      </c>
      <c r="AJ58" s="52">
        <f t="shared" si="82"/>
        <v>15.289834780173619</v>
      </c>
      <c r="AK58" s="52">
        <f t="shared" si="82"/>
        <v>3.5284234108092969</v>
      </c>
      <c r="AL58" s="52">
        <f t="shared" si="82"/>
        <v>12.629515541865025</v>
      </c>
      <c r="AM58" s="52" t="e">
        <f t="shared" si="82"/>
        <v>#N/A</v>
      </c>
      <c r="AN58" s="52" t="e">
        <f t="shared" si="82"/>
        <v>#N/A</v>
      </c>
      <c r="AO58" s="52" t="e">
        <f t="shared" si="82"/>
        <v>#N/A</v>
      </c>
      <c r="AP58" s="52" t="e">
        <f t="shared" si="82"/>
        <v>#N/A</v>
      </c>
      <c r="AQ58" s="52" t="e">
        <f t="shared" si="82"/>
        <v>#N/A</v>
      </c>
      <c r="AR58" s="52">
        <f t="shared" si="82"/>
        <v>1.792215065807897</v>
      </c>
      <c r="AS58" s="52">
        <f t="shared" si="82"/>
        <v>13.917670120414449</v>
      </c>
      <c r="AT58" s="52" t="e">
        <f t="shared" si="82"/>
        <v>#N/A</v>
      </c>
      <c r="AU58" s="52" t="e">
        <f t="shared" si="82"/>
        <v>#N/A</v>
      </c>
      <c r="AV58" s="52">
        <f t="shared" si="82"/>
        <v>28.591430971716608</v>
      </c>
      <c r="AW58" s="52">
        <f t="shared" si="82"/>
        <v>2.6323158779053486</v>
      </c>
      <c r="AX58" s="52">
        <f t="shared" si="82"/>
        <v>3.2763931671800619</v>
      </c>
      <c r="AY58" s="52">
        <f t="shared" si="82"/>
        <v>1.3161579389526743</v>
      </c>
      <c r="AZ58" s="53">
        <f t="shared" si="82"/>
        <v>14.085690282833941</v>
      </c>
      <c r="BA58" s="56">
        <f t="shared" si="82"/>
        <v>100</v>
      </c>
      <c r="BD58" s="656"/>
      <c r="BE58" s="656"/>
      <c r="BF58" s="656"/>
      <c r="BG58" s="656"/>
      <c r="BH58" s="656"/>
      <c r="BI58" s="656"/>
      <c r="BJ58" s="656"/>
      <c r="BK58" s="656"/>
      <c r="BL58" s="656"/>
      <c r="BM58" s="656"/>
    </row>
    <row r="59" spans="1:65" s="81" customFormat="1" ht="13.5" customHeight="1" x14ac:dyDescent="0.2">
      <c r="A59" s="488">
        <f>VLOOKUP(B59,Sheet1!$AQ$4:$AR$25,2,FALSE)</f>
        <v>0</v>
      </c>
      <c r="B59" s="175" t="str">
        <f>Sheet1!$K$22</f>
        <v>West Berkshire</v>
      </c>
      <c r="C59" s="9"/>
      <c r="D59" s="1839">
        <f t="shared" si="62"/>
        <v>13.663845223700122</v>
      </c>
      <c r="E59" s="1840"/>
      <c r="F59" s="1839">
        <f t="shared" si="50"/>
        <v>24.24425634824668</v>
      </c>
      <c r="G59" s="1840"/>
      <c r="H59" s="1839">
        <f t="shared" si="51"/>
        <v>11.910519951632406</v>
      </c>
      <c r="I59" s="1840"/>
      <c r="J59" s="1839">
        <f t="shared" si="52"/>
        <v>1.3301088270858523</v>
      </c>
      <c r="K59" s="1840"/>
      <c r="L59" s="1839">
        <f t="shared" si="53"/>
        <v>16.807738814993954</v>
      </c>
      <c r="M59" s="1840"/>
      <c r="N59" s="1839">
        <f t="shared" si="54"/>
        <v>24.365175332527205</v>
      </c>
      <c r="O59" s="1840"/>
      <c r="P59" s="1839">
        <f t="shared" si="55"/>
        <v>1.9951632406287789</v>
      </c>
      <c r="Q59" s="1840"/>
      <c r="R59" s="1839">
        <f t="shared" si="56"/>
        <v>3.2043530834340994</v>
      </c>
      <c r="S59" s="1840"/>
      <c r="T59" s="1839">
        <f t="shared" si="57"/>
        <v>1.9951632406287789</v>
      </c>
      <c r="U59" s="1840"/>
      <c r="V59" s="1839">
        <f t="shared" si="58"/>
        <v>0.48367593712212814</v>
      </c>
      <c r="W59" s="1862"/>
      <c r="X59" s="14"/>
      <c r="Y59" s="117"/>
      <c r="Z59" s="137"/>
      <c r="AB59" s="47" t="str">
        <f t="shared" si="79"/>
        <v>Buckinghamshire</v>
      </c>
      <c r="AC59" s="46">
        <v>3</v>
      </c>
      <c r="AD59" s="47" t="str">
        <f t="shared" si="81"/>
        <v>BuckinghamshireProportion (%)</v>
      </c>
      <c r="AE59" s="48" t="b">
        <f t="shared" si="13"/>
        <v>0</v>
      </c>
      <c r="AF59" s="51">
        <f t="shared" ref="AF59:BA59" si="83">IF(ISERROR(AF11/$BA11*100),NA(),AF11/$BA11*100)</f>
        <v>7.5896078903055084</v>
      </c>
      <c r="AG59" s="52" t="e">
        <f t="shared" si="83"/>
        <v>#N/A</v>
      </c>
      <c r="AH59" s="52" t="e">
        <f t="shared" si="83"/>
        <v>#N/A</v>
      </c>
      <c r="AI59" s="52" t="e">
        <f t="shared" si="83"/>
        <v>#N/A</v>
      </c>
      <c r="AJ59" s="52">
        <f t="shared" si="83"/>
        <v>19.461149867693049</v>
      </c>
      <c r="AK59" s="52" t="e">
        <f t="shared" si="83"/>
        <v>#N/A</v>
      </c>
      <c r="AL59" s="52">
        <f t="shared" si="83"/>
        <v>15.479913399085879</v>
      </c>
      <c r="AM59" s="52" t="e">
        <f t="shared" si="83"/>
        <v>#N/A</v>
      </c>
      <c r="AN59" s="52" t="e">
        <f t="shared" si="83"/>
        <v>#N/A</v>
      </c>
      <c r="AO59" s="52" t="e">
        <f t="shared" si="83"/>
        <v>#N/A</v>
      </c>
      <c r="AP59" s="52" t="e">
        <f t="shared" si="83"/>
        <v>#N/A</v>
      </c>
      <c r="AQ59" s="52" t="e">
        <f t="shared" si="83"/>
        <v>#N/A</v>
      </c>
      <c r="AR59" s="52">
        <f t="shared" si="83"/>
        <v>1.491460187635314</v>
      </c>
      <c r="AS59" s="52">
        <f t="shared" si="83"/>
        <v>11.655039692085639</v>
      </c>
      <c r="AT59" s="52" t="e">
        <f t="shared" si="83"/>
        <v>#N/A</v>
      </c>
      <c r="AU59" s="52" t="e">
        <f t="shared" si="83"/>
        <v>#N/A</v>
      </c>
      <c r="AV59" s="52">
        <f t="shared" si="83"/>
        <v>35.001202790473904</v>
      </c>
      <c r="AW59" s="52">
        <f t="shared" si="83"/>
        <v>2.6701948520567718</v>
      </c>
      <c r="AX59" s="52">
        <f t="shared" si="83"/>
        <v>4.7991339908587918</v>
      </c>
      <c r="AY59" s="52">
        <f t="shared" si="83"/>
        <v>1.8522973298051482</v>
      </c>
      <c r="AZ59" s="53" t="e">
        <f t="shared" si="83"/>
        <v>#N/A</v>
      </c>
      <c r="BA59" s="56">
        <f t="shared" si="83"/>
        <v>100</v>
      </c>
      <c r="BD59" s="656"/>
      <c r="BE59" s="656"/>
      <c r="BF59" s="656"/>
      <c r="BG59" s="656"/>
      <c r="BH59" s="656"/>
      <c r="BI59" s="656"/>
      <c r="BJ59" s="656"/>
      <c r="BK59" s="656"/>
      <c r="BL59" s="656"/>
      <c r="BM59" s="656"/>
    </row>
    <row r="60" spans="1:65" s="81" customFormat="1" ht="13.5" customHeight="1" x14ac:dyDescent="0.2">
      <c r="A60" s="488">
        <f>VLOOKUP(B60,Sheet1!$AQ$4:$AR$25,2,FALSE)</f>
        <v>0</v>
      </c>
      <c r="B60" s="175" t="str">
        <f>Sheet1!$K$23</f>
        <v>West Sussex</v>
      </c>
      <c r="C60" s="9"/>
      <c r="D60" s="1839">
        <f t="shared" si="62"/>
        <v>8.8061643150205153</v>
      </c>
      <c r="E60" s="1840"/>
      <c r="F60" s="1839">
        <f t="shared" si="50"/>
        <v>20.294205944160911</v>
      </c>
      <c r="G60" s="1840"/>
      <c r="H60" s="1839">
        <f t="shared" si="51"/>
        <v>13.169218452917042</v>
      </c>
      <c r="I60" s="1840"/>
      <c r="J60" s="1839">
        <f t="shared" si="52"/>
        <v>2.0614430101070749</v>
      </c>
      <c r="K60" s="1840"/>
      <c r="L60" s="1839">
        <f t="shared" si="53"/>
        <v>17.562293605523866</v>
      </c>
      <c r="M60" s="1840"/>
      <c r="N60" s="1839">
        <f t="shared" si="54"/>
        <v>27.979585709996996</v>
      </c>
      <c r="O60" s="1840"/>
      <c r="P60" s="1839">
        <f t="shared" si="55"/>
        <v>3.4223956769738813</v>
      </c>
      <c r="Q60" s="1840"/>
      <c r="R60" s="1839">
        <f t="shared" si="56"/>
        <v>6.2343640548383874</v>
      </c>
      <c r="S60" s="1840"/>
      <c r="T60" s="1839">
        <f t="shared" si="57"/>
        <v>0</v>
      </c>
      <c r="U60" s="1840"/>
      <c r="V60" s="1839">
        <f t="shared" si="58"/>
        <v>0.47032923046132291</v>
      </c>
      <c r="W60" s="1862"/>
      <c r="X60" s="14"/>
      <c r="Y60" s="117"/>
      <c r="Z60" s="137"/>
      <c r="AB60" s="47" t="str">
        <f t="shared" si="79"/>
        <v>East Sussex</v>
      </c>
      <c r="AC60" s="46">
        <v>4</v>
      </c>
      <c r="AD60" s="47" t="str">
        <f t="shared" si="81"/>
        <v>East SussexProportion (%)</v>
      </c>
      <c r="AE60" s="48" t="b">
        <f t="shared" si="13"/>
        <v>0</v>
      </c>
      <c r="AF60" s="51">
        <f t="shared" ref="AF60:BA60" si="84">IF(ISERROR(AF12/$BA12*100),NA(),AF12/$BA12*100)</f>
        <v>9.3112550995920316</v>
      </c>
      <c r="AG60" s="52" t="e">
        <f t="shared" si="84"/>
        <v>#N/A</v>
      </c>
      <c r="AH60" s="52" t="e">
        <f t="shared" si="84"/>
        <v>#N/A</v>
      </c>
      <c r="AI60" s="52" t="e">
        <f t="shared" si="84"/>
        <v>#N/A</v>
      </c>
      <c r="AJ60" s="52">
        <f t="shared" si="84"/>
        <v>14.326853851691865</v>
      </c>
      <c r="AK60" s="52">
        <f t="shared" si="84"/>
        <v>2.4718022558195343</v>
      </c>
      <c r="AL60" s="52">
        <f t="shared" si="84"/>
        <v>11.159107271418286</v>
      </c>
      <c r="AM60" s="52" t="e">
        <f t="shared" si="84"/>
        <v>#N/A</v>
      </c>
      <c r="AN60" s="52" t="e">
        <f t="shared" si="84"/>
        <v>#N/A</v>
      </c>
      <c r="AO60" s="52" t="e">
        <f t="shared" si="84"/>
        <v>#N/A</v>
      </c>
      <c r="AP60" s="52" t="e">
        <f t="shared" si="84"/>
        <v>#N/A</v>
      </c>
      <c r="AQ60" s="52" t="e">
        <f t="shared" si="84"/>
        <v>#N/A</v>
      </c>
      <c r="AR60" s="52">
        <f t="shared" si="84"/>
        <v>1.3678905687544995</v>
      </c>
      <c r="AS60" s="52">
        <f t="shared" si="84"/>
        <v>19.462443004559635</v>
      </c>
      <c r="AT60" s="52" t="e">
        <f t="shared" si="84"/>
        <v>#N/A</v>
      </c>
      <c r="AU60" s="52" t="e">
        <f t="shared" si="84"/>
        <v>#N/A</v>
      </c>
      <c r="AV60" s="52">
        <f t="shared" si="84"/>
        <v>26.661867050635951</v>
      </c>
      <c r="AW60" s="52">
        <f t="shared" si="84"/>
        <v>4.6556275497960158</v>
      </c>
      <c r="AX60" s="52">
        <f t="shared" si="84"/>
        <v>6.5754739620830343</v>
      </c>
      <c r="AY60" s="52">
        <f t="shared" si="84"/>
        <v>2.2798176145908329</v>
      </c>
      <c r="AZ60" s="53">
        <f t="shared" si="84"/>
        <v>1.7278617710583155</v>
      </c>
      <c r="BA60" s="56">
        <f t="shared" si="84"/>
        <v>100</v>
      </c>
      <c r="BD60" s="656"/>
      <c r="BE60" s="656"/>
      <c r="BF60" s="656"/>
      <c r="BG60" s="656"/>
      <c r="BH60" s="656"/>
      <c r="BI60" s="656"/>
      <c r="BJ60" s="656"/>
      <c r="BK60" s="656"/>
      <c r="BL60" s="656"/>
      <c r="BM60" s="656"/>
    </row>
    <row r="61" spans="1:65" s="81" customFormat="1" ht="13.5" customHeight="1" x14ac:dyDescent="0.2">
      <c r="A61" s="488">
        <f>VLOOKUP(B61,Sheet1!$AQ$4:$AR$25,2,FALSE)</f>
        <v>0</v>
      </c>
      <c r="B61" s="175" t="str">
        <f>Sheet1!$K$24</f>
        <v>Windsor &amp; Maidenhead</v>
      </c>
      <c r="C61" s="9"/>
      <c r="D61" s="1839">
        <f t="shared" si="62"/>
        <v>7.1533923303834808</v>
      </c>
      <c r="E61" s="1840"/>
      <c r="F61" s="1839">
        <f t="shared" si="50"/>
        <v>20.943952802359885</v>
      </c>
      <c r="G61" s="1840"/>
      <c r="H61" s="1839">
        <f t="shared" si="51"/>
        <v>12.094395280235988</v>
      </c>
      <c r="I61" s="1840"/>
      <c r="J61" s="1839">
        <f t="shared" si="52"/>
        <v>1.1061946902654867</v>
      </c>
      <c r="K61" s="1840"/>
      <c r="L61" s="1839">
        <f t="shared" si="53"/>
        <v>11.725663716814159</v>
      </c>
      <c r="M61" s="1840"/>
      <c r="N61" s="1839">
        <f t="shared" si="54"/>
        <v>37.315634218289084</v>
      </c>
      <c r="O61" s="1840"/>
      <c r="P61" s="1839">
        <f t="shared" si="55"/>
        <v>1.3274336283185841</v>
      </c>
      <c r="Q61" s="1840"/>
      <c r="R61" s="1839">
        <f t="shared" si="56"/>
        <v>5.2359882005899712</v>
      </c>
      <c r="S61" s="1840"/>
      <c r="T61" s="1839">
        <f t="shared" si="57"/>
        <v>3.0973451327433628</v>
      </c>
      <c r="U61" s="1840"/>
      <c r="V61" s="1839">
        <f t="shared" si="58"/>
        <v>0</v>
      </c>
      <c r="W61" s="1862"/>
      <c r="X61" s="14"/>
      <c r="Y61" s="117"/>
      <c r="Z61" s="137"/>
      <c r="AB61" s="47" t="str">
        <f t="shared" si="79"/>
        <v>Hampshire</v>
      </c>
      <c r="AC61" s="46">
        <v>5</v>
      </c>
      <c r="AD61" s="47" t="str">
        <f t="shared" si="81"/>
        <v>HampshireProportion (%)</v>
      </c>
      <c r="AE61" s="48" t="b">
        <f t="shared" si="13"/>
        <v>0</v>
      </c>
      <c r="AF61" s="51">
        <f t="shared" ref="AF61:BA61" si="85">IF(ISERROR(AF13/$BA13*100),NA(),AF13/$BA13*100)</f>
        <v>11.389713155291791</v>
      </c>
      <c r="AG61" s="52" t="e">
        <f t="shared" si="85"/>
        <v>#N/A</v>
      </c>
      <c r="AH61" s="52" t="e">
        <f t="shared" si="85"/>
        <v>#N/A</v>
      </c>
      <c r="AI61" s="52" t="e">
        <f t="shared" si="85"/>
        <v>#N/A</v>
      </c>
      <c r="AJ61" s="52">
        <f t="shared" si="85"/>
        <v>24.762611275964392</v>
      </c>
      <c r="AK61" s="52">
        <f t="shared" si="85"/>
        <v>0</v>
      </c>
      <c r="AL61" s="52">
        <f t="shared" si="85"/>
        <v>18.081107814045499</v>
      </c>
      <c r="AM61" s="52" t="e">
        <f t="shared" si="85"/>
        <v>#N/A</v>
      </c>
      <c r="AN61" s="52" t="e">
        <f t="shared" si="85"/>
        <v>#N/A</v>
      </c>
      <c r="AO61" s="52" t="e">
        <f t="shared" si="85"/>
        <v>#N/A</v>
      </c>
      <c r="AP61" s="52" t="e">
        <f t="shared" si="85"/>
        <v>#N/A</v>
      </c>
      <c r="AQ61" s="52" t="e">
        <f t="shared" si="85"/>
        <v>#N/A</v>
      </c>
      <c r="AR61" s="52">
        <f t="shared" si="85"/>
        <v>1.2265084075173096</v>
      </c>
      <c r="AS61" s="52">
        <f t="shared" si="85"/>
        <v>7.9129574678536096</v>
      </c>
      <c r="AT61" s="52" t="e">
        <f t="shared" si="85"/>
        <v>#N/A</v>
      </c>
      <c r="AU61" s="52" t="e">
        <f t="shared" si="85"/>
        <v>#N/A</v>
      </c>
      <c r="AV61" s="52">
        <f t="shared" si="85"/>
        <v>22.675568743818005</v>
      </c>
      <c r="AW61" s="52">
        <f t="shared" si="85"/>
        <v>3.4421364985163203</v>
      </c>
      <c r="AX61" s="52">
        <f t="shared" si="85"/>
        <v>6.2413452027695353</v>
      </c>
      <c r="AY61" s="52">
        <f t="shared" si="85"/>
        <v>2.6261127596439167</v>
      </c>
      <c r="AZ61" s="53">
        <f t="shared" si="85"/>
        <v>1.6419386745796243</v>
      </c>
      <c r="BA61" s="56">
        <f t="shared" si="85"/>
        <v>100</v>
      </c>
    </row>
    <row r="62" spans="1:65" s="81" customFormat="1" ht="13.5" customHeight="1" x14ac:dyDescent="0.2">
      <c r="A62" s="732">
        <f>VLOOKUP(B62,Sheet1!$AQ$4:$AR$25,2,FALSE)</f>
        <v>0</v>
      </c>
      <c r="B62" s="175" t="str">
        <f>Sheet1!$K$25</f>
        <v>Wokingham</v>
      </c>
      <c r="C62" s="9"/>
      <c r="D62" s="1839">
        <f t="shared" si="62"/>
        <v>8.4090909090909083</v>
      </c>
      <c r="E62" s="1840"/>
      <c r="F62" s="1839" t="e">
        <f t="shared" si="50"/>
        <v>#N/A</v>
      </c>
      <c r="G62" s="1840"/>
      <c r="H62" s="1839">
        <f t="shared" si="51"/>
        <v>12.556818181818183</v>
      </c>
      <c r="I62" s="1840"/>
      <c r="J62" s="1839">
        <f t="shared" si="52"/>
        <v>0.625</v>
      </c>
      <c r="K62" s="1840"/>
      <c r="L62" s="1839">
        <f t="shared" si="53"/>
        <v>13.693181818181818</v>
      </c>
      <c r="M62" s="1840"/>
      <c r="N62" s="1839">
        <f t="shared" si="54"/>
        <v>36.420454545454547</v>
      </c>
      <c r="O62" s="1840"/>
      <c r="P62" s="1839">
        <f t="shared" si="55"/>
        <v>2.5</v>
      </c>
      <c r="Q62" s="1840"/>
      <c r="R62" s="1839">
        <f t="shared" si="56"/>
        <v>3.9772727272727271</v>
      </c>
      <c r="S62" s="1840"/>
      <c r="T62" s="1839">
        <f t="shared" si="57"/>
        <v>1.4204545454545454</v>
      </c>
      <c r="U62" s="1840"/>
      <c r="V62" s="1839" t="e">
        <f t="shared" si="58"/>
        <v>#N/A</v>
      </c>
      <c r="W62" s="1862"/>
      <c r="X62" s="14"/>
      <c r="Y62" s="117"/>
      <c r="Z62" s="137"/>
      <c r="AB62" s="47" t="str">
        <f t="shared" si="79"/>
        <v>Isle of Wight</v>
      </c>
      <c r="AC62" s="46">
        <v>6</v>
      </c>
      <c r="AD62" s="47" t="str">
        <f t="shared" si="81"/>
        <v>Isle of WightProportion (%)</v>
      </c>
      <c r="AE62" s="48" t="b">
        <f t="shared" si="13"/>
        <v>0</v>
      </c>
      <c r="AF62" s="51">
        <f t="shared" ref="AF62:BA62" si="86">IF(ISERROR(AF14/$BA14*100),NA(),AF14/$BA14*100)</f>
        <v>11.535580524344569</v>
      </c>
      <c r="AG62" s="52" t="e">
        <f t="shared" si="86"/>
        <v>#N/A</v>
      </c>
      <c r="AH62" s="52" t="e">
        <f t="shared" si="86"/>
        <v>#N/A</v>
      </c>
      <c r="AI62" s="52" t="e">
        <f t="shared" si="86"/>
        <v>#N/A</v>
      </c>
      <c r="AJ62" s="52">
        <f t="shared" si="86"/>
        <v>26.591760299625467</v>
      </c>
      <c r="AK62" s="52">
        <f t="shared" si="86"/>
        <v>0.29962546816479402</v>
      </c>
      <c r="AL62" s="52">
        <f t="shared" si="86"/>
        <v>13.745318352059927</v>
      </c>
      <c r="AM62" s="52" t="e">
        <f t="shared" si="86"/>
        <v>#N/A</v>
      </c>
      <c r="AN62" s="52" t="e">
        <f t="shared" si="86"/>
        <v>#N/A</v>
      </c>
      <c r="AO62" s="52" t="e">
        <f t="shared" si="86"/>
        <v>#N/A</v>
      </c>
      <c r="AP62" s="52" t="e">
        <f t="shared" si="86"/>
        <v>#N/A</v>
      </c>
      <c r="AQ62" s="52" t="e">
        <f t="shared" si="86"/>
        <v>#N/A</v>
      </c>
      <c r="AR62" s="52">
        <f t="shared" si="86"/>
        <v>1.5355805243445693</v>
      </c>
      <c r="AS62" s="52">
        <f t="shared" si="86"/>
        <v>9.4756554307116101</v>
      </c>
      <c r="AT62" s="52" t="e">
        <f t="shared" si="86"/>
        <v>#N/A</v>
      </c>
      <c r="AU62" s="52" t="e">
        <f t="shared" si="86"/>
        <v>#N/A</v>
      </c>
      <c r="AV62" s="52">
        <f t="shared" si="86"/>
        <v>19.438202247191011</v>
      </c>
      <c r="AW62" s="52">
        <f t="shared" si="86"/>
        <v>2.6217228464419478</v>
      </c>
      <c r="AX62" s="52">
        <f t="shared" si="86"/>
        <v>12.95880149812734</v>
      </c>
      <c r="AY62" s="52">
        <f t="shared" si="86"/>
        <v>0</v>
      </c>
      <c r="AZ62" s="53">
        <f t="shared" si="86"/>
        <v>1.7977528089887642</v>
      </c>
      <c r="BA62" s="56">
        <f t="shared" si="86"/>
        <v>100</v>
      </c>
    </row>
    <row r="63" spans="1:65" s="81" customFormat="1" ht="13.5" customHeight="1" x14ac:dyDescent="0.2">
      <c r="A63" s="740"/>
      <c r="B63" s="175" t="str">
        <f>Sheet1!$K$26</f>
        <v>South East</v>
      </c>
      <c r="C63" s="9"/>
      <c r="D63" s="1839">
        <f>SUM(D31:G31)</f>
        <v>8.2491082045184303</v>
      </c>
      <c r="E63" s="1840"/>
      <c r="F63" s="1839">
        <f t="shared" si="50"/>
        <v>21.431069455130448</v>
      </c>
      <c r="G63" s="1840"/>
      <c r="H63" s="1839">
        <f t="shared" si="51"/>
        <v>14.306323004826188</v>
      </c>
      <c r="I63" s="1840"/>
      <c r="J63" s="1839">
        <f t="shared" si="52"/>
        <v>1.4478561936070504</v>
      </c>
      <c r="K63" s="1840"/>
      <c r="L63" s="1839">
        <f t="shared" si="53"/>
        <v>13.2886269846821</v>
      </c>
      <c r="M63" s="1840"/>
      <c r="N63" s="1839">
        <f t="shared" si="54"/>
        <v>29.63209064838777</v>
      </c>
      <c r="O63" s="1840"/>
      <c r="P63" s="1839">
        <f t="shared" si="55"/>
        <v>3.5470728124781421</v>
      </c>
      <c r="Q63" s="1840"/>
      <c r="R63" s="1839">
        <f t="shared" si="56"/>
        <v>4.9704483458068127</v>
      </c>
      <c r="S63" s="1840"/>
      <c r="T63" s="1839">
        <f t="shared" si="57"/>
        <v>1.7451213541302371</v>
      </c>
      <c r="U63" s="1840"/>
      <c r="V63" s="1839">
        <f t="shared" si="58"/>
        <v>1.382282996432818</v>
      </c>
      <c r="W63" s="1862"/>
      <c r="X63" s="62"/>
      <c r="Y63" s="244"/>
      <c r="Z63" s="137"/>
      <c r="AB63" s="47" t="str">
        <f t="shared" si="79"/>
        <v>Kent</v>
      </c>
      <c r="AC63" s="46">
        <v>7</v>
      </c>
      <c r="AD63" s="47" t="str">
        <f t="shared" si="81"/>
        <v>KentProportion (%)</v>
      </c>
      <c r="AE63" s="48" t="b">
        <f t="shared" si="13"/>
        <v>0</v>
      </c>
      <c r="AF63" s="51">
        <f t="shared" ref="AF63:BA63" si="87">IF(ISERROR(AF15/$BA15*100),NA(),AF15/$BA15*100)</f>
        <v>7.5350127522484227</v>
      </c>
      <c r="AG63" s="52" t="e">
        <f t="shared" si="87"/>
        <v>#N/A</v>
      </c>
      <c r="AH63" s="52" t="e">
        <f t="shared" si="87"/>
        <v>#N/A</v>
      </c>
      <c r="AI63" s="52" t="e">
        <f t="shared" si="87"/>
        <v>#N/A</v>
      </c>
      <c r="AJ63" s="52">
        <f t="shared" si="87"/>
        <v>19.244708935522841</v>
      </c>
      <c r="AK63" s="52">
        <f t="shared" si="87"/>
        <v>0.34453443107074144</v>
      </c>
      <c r="AL63" s="52">
        <f t="shared" si="87"/>
        <v>13.21759362835026</v>
      </c>
      <c r="AM63" s="52" t="e">
        <f t="shared" si="87"/>
        <v>#N/A</v>
      </c>
      <c r="AN63" s="52" t="e">
        <f t="shared" si="87"/>
        <v>#N/A</v>
      </c>
      <c r="AO63" s="52" t="e">
        <f t="shared" si="87"/>
        <v>#N/A</v>
      </c>
      <c r="AP63" s="52" t="e">
        <f t="shared" si="87"/>
        <v>#N/A</v>
      </c>
      <c r="AQ63" s="52" t="e">
        <f t="shared" si="87"/>
        <v>#N/A</v>
      </c>
      <c r="AR63" s="52">
        <f t="shared" si="87"/>
        <v>2.0090384357241935</v>
      </c>
      <c r="AS63" s="52">
        <f t="shared" si="87"/>
        <v>12.107924291914628</v>
      </c>
      <c r="AT63" s="52" t="e">
        <f t="shared" si="87"/>
        <v>#N/A</v>
      </c>
      <c r="AU63" s="52" t="e">
        <f t="shared" si="87"/>
        <v>#N/A</v>
      </c>
      <c r="AV63" s="52">
        <f t="shared" si="87"/>
        <v>33.24533536176115</v>
      </c>
      <c r="AW63" s="52">
        <f t="shared" si="87"/>
        <v>5.4946530046087076</v>
      </c>
      <c r="AX63" s="52">
        <f t="shared" si="87"/>
        <v>3.1902993422524499</v>
      </c>
      <c r="AY63" s="52">
        <f t="shared" si="87"/>
        <v>1.4094590361984878</v>
      </c>
      <c r="AZ63" s="53">
        <f t="shared" si="87"/>
        <v>2.201440780348114</v>
      </c>
      <c r="BA63" s="56">
        <f t="shared" si="87"/>
        <v>100</v>
      </c>
    </row>
    <row r="64" spans="1:65" s="81" customFormat="1" ht="13.5" customHeight="1" x14ac:dyDescent="0.2">
      <c r="A64" s="740"/>
      <c r="B64" s="175" t="str">
        <f>Sheet1!$K$27</f>
        <v>England</v>
      </c>
      <c r="C64" s="9"/>
      <c r="D64" s="1839">
        <f>SUM(D32:G32)</f>
        <v>8.1324457992472556</v>
      </c>
      <c r="E64" s="1840"/>
      <c r="F64" s="1839">
        <f t="shared" ref="F64" si="88">SUM(H32:I32)</f>
        <v>20.317894802326666</v>
      </c>
      <c r="G64" s="1840"/>
      <c r="H64" s="1839">
        <f t="shared" ref="H64" si="89">SUM(J32:O32)</f>
        <v>14.977137702572396</v>
      </c>
      <c r="I64" s="1840"/>
      <c r="J64" s="1839">
        <f t="shared" ref="J64" si="90">P32</f>
        <v>1.2908644125789295</v>
      </c>
      <c r="K64" s="1840"/>
      <c r="L64" s="1839">
        <f t="shared" ref="L64" si="91">SUM(Q32:S32)</f>
        <v>14.123300880276213</v>
      </c>
      <c r="M64" s="1840"/>
      <c r="N64" s="1839">
        <f t="shared" ref="N64" si="92">T32</f>
        <v>28.734952875672647</v>
      </c>
      <c r="O64" s="1840"/>
      <c r="P64" s="1839">
        <f t="shared" ref="P64" si="93">U32</f>
        <v>3.9161404709322216</v>
      </c>
      <c r="Q64" s="1840"/>
      <c r="R64" s="1839">
        <f t="shared" ref="R64" si="94">V32</f>
        <v>4.9192820927556067</v>
      </c>
      <c r="S64" s="1840"/>
      <c r="T64" s="1839">
        <f t="shared" ref="T64" si="95">W32</f>
        <v>2.1415907182182963</v>
      </c>
      <c r="U64" s="1840"/>
      <c r="V64" s="1839">
        <f t="shared" ref="V64" si="96">X32</f>
        <v>1.4463902454197641</v>
      </c>
      <c r="W64" s="1862"/>
      <c r="X64" s="58"/>
      <c r="Y64" s="244"/>
      <c r="Z64" s="779"/>
      <c r="AA64" s="183"/>
      <c r="AB64" s="47" t="str">
        <f t="shared" si="79"/>
        <v>Medway</v>
      </c>
      <c r="AC64" s="46">
        <v>8</v>
      </c>
      <c r="AD64" s="47" t="str">
        <f t="shared" si="81"/>
        <v>MedwayProportion (%)</v>
      </c>
      <c r="AE64" s="48" t="b">
        <f t="shared" si="13"/>
        <v>0</v>
      </c>
      <c r="AF64" s="51">
        <f t="shared" ref="AF64:BA64" si="97">IF(ISERROR(AF16/$BA16*100),NA(),AF16/$BA16*100)</f>
        <v>9.0538336052202286</v>
      </c>
      <c r="AG64" s="52" t="e">
        <f t="shared" si="97"/>
        <v>#N/A</v>
      </c>
      <c r="AH64" s="52" t="e">
        <f t="shared" si="97"/>
        <v>#N/A</v>
      </c>
      <c r="AI64" s="52" t="e">
        <f t="shared" si="97"/>
        <v>#N/A</v>
      </c>
      <c r="AJ64" s="52">
        <f t="shared" si="97"/>
        <v>23.674551386623165</v>
      </c>
      <c r="AK64" s="52">
        <f t="shared" si="97"/>
        <v>0.4486133768352365</v>
      </c>
      <c r="AL64" s="52">
        <f t="shared" si="97"/>
        <v>9.2577487765089721</v>
      </c>
      <c r="AM64" s="52" t="e">
        <f t="shared" si="97"/>
        <v>#N/A</v>
      </c>
      <c r="AN64" s="52" t="e">
        <f t="shared" si="97"/>
        <v>#N/A</v>
      </c>
      <c r="AO64" s="52" t="e">
        <f t="shared" si="97"/>
        <v>#N/A</v>
      </c>
      <c r="AP64" s="52" t="e">
        <f t="shared" si="97"/>
        <v>#N/A</v>
      </c>
      <c r="AQ64" s="52" t="e">
        <f t="shared" si="97"/>
        <v>#N/A</v>
      </c>
      <c r="AR64" s="52">
        <f t="shared" si="97"/>
        <v>1.5293637846655792</v>
      </c>
      <c r="AS64" s="52">
        <f t="shared" si="97"/>
        <v>12.663132137030994</v>
      </c>
      <c r="AT64" s="52" t="e">
        <f t="shared" si="97"/>
        <v>#N/A</v>
      </c>
      <c r="AU64" s="52" t="e">
        <f t="shared" si="97"/>
        <v>#N/A</v>
      </c>
      <c r="AV64" s="52">
        <f t="shared" si="97"/>
        <v>34.665579119086459</v>
      </c>
      <c r="AW64" s="52">
        <f t="shared" si="97"/>
        <v>2.6508972267536701</v>
      </c>
      <c r="AX64" s="52">
        <f t="shared" si="97"/>
        <v>4.0579119086460027</v>
      </c>
      <c r="AY64" s="52">
        <f t="shared" si="97"/>
        <v>1.7740619902120718</v>
      </c>
      <c r="AZ64" s="53">
        <f t="shared" si="97"/>
        <v>0.22430668841761825</v>
      </c>
      <c r="BA64" s="56">
        <f t="shared" si="97"/>
        <v>100</v>
      </c>
    </row>
    <row r="65" spans="1:55" s="81" customFormat="1" ht="12" customHeight="1" x14ac:dyDescent="0.2">
      <c r="A65" s="740"/>
      <c r="B65" s="123" t="s">
        <v>90</v>
      </c>
      <c r="C65" s="9"/>
      <c r="D65" s="9"/>
      <c r="E65" s="9"/>
      <c r="F65" s="9"/>
      <c r="G65" s="9"/>
      <c r="H65" s="12"/>
      <c r="I65" s="12"/>
      <c r="J65" s="12"/>
      <c r="K65" s="9"/>
      <c r="L65" s="9"/>
      <c r="M65" s="9"/>
      <c r="N65" s="9"/>
      <c r="O65" s="9"/>
      <c r="P65" s="12"/>
      <c r="Q65" s="12"/>
      <c r="R65" s="12"/>
      <c r="S65" s="9"/>
      <c r="T65" s="12"/>
      <c r="U65" s="12"/>
      <c r="V65" s="12"/>
      <c r="W65" s="229"/>
      <c r="X65" s="14"/>
      <c r="Y65" s="117"/>
      <c r="Z65" s="137"/>
      <c r="AA65" s="183"/>
      <c r="AB65" s="47" t="str">
        <f t="shared" ref="AB65:AB80" si="98">B17</f>
        <v>Milton Keynes</v>
      </c>
      <c r="AC65" s="46">
        <v>9</v>
      </c>
      <c r="AD65" s="47" t="str">
        <f t="shared" si="81"/>
        <v>Milton KeynesProportion (%)</v>
      </c>
      <c r="AE65" s="48" t="b">
        <f t="shared" si="13"/>
        <v>0</v>
      </c>
      <c r="AF65" s="51">
        <f t="shared" ref="AF65:BA65" si="99">IF(ISERROR(AF17/$BA17*100),NA(),AF17/$BA17*100)</f>
        <v>8.9967637540453076</v>
      </c>
      <c r="AG65" s="52" t="e">
        <f t="shared" si="99"/>
        <v>#N/A</v>
      </c>
      <c r="AH65" s="52" t="e">
        <f t="shared" si="99"/>
        <v>#N/A</v>
      </c>
      <c r="AI65" s="52" t="e">
        <f t="shared" si="99"/>
        <v>#N/A</v>
      </c>
      <c r="AJ65" s="52">
        <f t="shared" si="99"/>
        <v>18.608414239482201</v>
      </c>
      <c r="AK65" s="52">
        <f t="shared" si="99"/>
        <v>3.1067961165048543</v>
      </c>
      <c r="AL65" s="52">
        <f t="shared" si="99"/>
        <v>15.275080906148867</v>
      </c>
      <c r="AM65" s="52" t="e">
        <f t="shared" si="99"/>
        <v>#N/A</v>
      </c>
      <c r="AN65" s="52" t="e">
        <f t="shared" si="99"/>
        <v>#N/A</v>
      </c>
      <c r="AO65" s="52" t="e">
        <f t="shared" si="99"/>
        <v>#N/A</v>
      </c>
      <c r="AP65" s="52" t="e">
        <f t="shared" si="99"/>
        <v>#N/A</v>
      </c>
      <c r="AQ65" s="52" t="e">
        <f t="shared" si="99"/>
        <v>#N/A</v>
      </c>
      <c r="AR65" s="52">
        <f t="shared" si="99"/>
        <v>1.1326860841423949</v>
      </c>
      <c r="AS65" s="52">
        <f t="shared" si="99"/>
        <v>12.686084142394821</v>
      </c>
      <c r="AT65" s="52" t="e">
        <f t="shared" si="99"/>
        <v>#N/A</v>
      </c>
      <c r="AU65" s="52" t="e">
        <f t="shared" si="99"/>
        <v>#N/A</v>
      </c>
      <c r="AV65" s="52">
        <f t="shared" si="99"/>
        <v>30.776699029126213</v>
      </c>
      <c r="AW65" s="52">
        <f t="shared" si="99"/>
        <v>3.5922330097087376</v>
      </c>
      <c r="AX65" s="52">
        <f t="shared" si="99"/>
        <v>3.6569579288025893</v>
      </c>
      <c r="AY65" s="52">
        <f t="shared" si="99"/>
        <v>1.9093851132686084</v>
      </c>
      <c r="AZ65" s="53">
        <f t="shared" si="99"/>
        <v>0.25889967637540451</v>
      </c>
      <c r="BA65" s="56">
        <f t="shared" si="99"/>
        <v>100</v>
      </c>
    </row>
    <row r="66" spans="1:55" s="81" customFormat="1" ht="3" customHeight="1" x14ac:dyDescent="0.2">
      <c r="A66" s="278"/>
      <c r="B66" s="1830"/>
      <c r="C66" s="1831"/>
      <c r="D66" s="1831"/>
      <c r="E66" s="1831"/>
      <c r="F66" s="1831"/>
      <c r="G66" s="1831"/>
      <c r="H66" s="1831"/>
      <c r="I66" s="1831"/>
      <c r="J66" s="1831"/>
      <c r="K66" s="1831"/>
      <c r="L66" s="1831"/>
      <c r="M66" s="1831"/>
      <c r="N66" s="1831"/>
      <c r="O66" s="1831"/>
      <c r="P66" s="1831"/>
      <c r="Q66" s="1831"/>
      <c r="R66" s="1831"/>
      <c r="S66" s="1831"/>
      <c r="T66" s="1831"/>
      <c r="U66" s="1831"/>
      <c r="V66" s="1831"/>
      <c r="W66" s="1832"/>
      <c r="X66" s="1269"/>
      <c r="Y66" s="117"/>
      <c r="Z66" s="137"/>
      <c r="AB66" s="47" t="str">
        <f t="shared" si="98"/>
        <v>Oxfordshire</v>
      </c>
      <c r="AC66" s="46">
        <v>10</v>
      </c>
      <c r="AD66" s="47" t="str">
        <f t="shared" si="81"/>
        <v>OxfordshireProportion (%)</v>
      </c>
      <c r="AE66" s="48" t="b">
        <f t="shared" si="13"/>
        <v>0</v>
      </c>
      <c r="AF66" s="51">
        <f t="shared" ref="AF66:BA66" si="100">IF(ISERROR(AF18/$BA18*100),NA(),AF18/$BA18*100)</f>
        <v>7.2647294054918685</v>
      </c>
      <c r="AG66" s="52" t="e">
        <f t="shared" si="100"/>
        <v>#N/A</v>
      </c>
      <c r="AH66" s="52" t="e">
        <f t="shared" si="100"/>
        <v>#N/A</v>
      </c>
      <c r="AI66" s="52" t="e">
        <f t="shared" si="100"/>
        <v>#N/A</v>
      </c>
      <c r="AJ66" s="52">
        <f t="shared" si="100"/>
        <v>9.650759797387364</v>
      </c>
      <c r="AK66" s="52">
        <f t="shared" si="100"/>
        <v>12.383364436150361</v>
      </c>
      <c r="AL66" s="52">
        <f t="shared" si="100"/>
        <v>13.129832044788056</v>
      </c>
      <c r="AM66" s="52" t="e">
        <f t="shared" si="100"/>
        <v>#N/A</v>
      </c>
      <c r="AN66" s="52" t="e">
        <f t="shared" si="100"/>
        <v>#N/A</v>
      </c>
      <c r="AO66" s="52" t="e">
        <f t="shared" si="100"/>
        <v>#N/A</v>
      </c>
      <c r="AP66" s="52" t="e">
        <f t="shared" si="100"/>
        <v>#N/A</v>
      </c>
      <c r="AQ66" s="52" t="e">
        <f t="shared" si="100"/>
        <v>#N/A</v>
      </c>
      <c r="AR66" s="52">
        <f t="shared" si="100"/>
        <v>0.46654225539856037</v>
      </c>
      <c r="AS66" s="52">
        <f t="shared" si="100"/>
        <v>18.515062649960008</v>
      </c>
      <c r="AT66" s="52" t="e">
        <f t="shared" si="100"/>
        <v>#N/A</v>
      </c>
      <c r="AU66" s="52" t="e">
        <f t="shared" si="100"/>
        <v>#N/A</v>
      </c>
      <c r="AV66" s="52">
        <f t="shared" si="100"/>
        <v>29.845374566782191</v>
      </c>
      <c r="AW66" s="52">
        <f t="shared" si="100"/>
        <v>2.7859237536656889</v>
      </c>
      <c r="AX66" s="52">
        <f t="shared" si="100"/>
        <v>4.3055185283924287</v>
      </c>
      <c r="AY66" s="52">
        <f t="shared" si="100"/>
        <v>1.1996800853105838</v>
      </c>
      <c r="AZ66" s="53">
        <f t="shared" si="100"/>
        <v>0.45321247667288722</v>
      </c>
      <c r="BA66" s="56">
        <f t="shared" si="100"/>
        <v>100</v>
      </c>
    </row>
    <row r="67" spans="1:55" s="81" customFormat="1" ht="11.25" customHeight="1" x14ac:dyDescent="0.2">
      <c r="A67" s="278"/>
      <c r="B67" s="1833"/>
      <c r="C67" s="1834"/>
      <c r="D67" s="1834"/>
      <c r="E67" s="1834"/>
      <c r="F67" s="1834"/>
      <c r="G67" s="1834"/>
      <c r="H67" s="1834"/>
      <c r="I67" s="1834"/>
      <c r="J67" s="1834"/>
      <c r="K67" s="1834"/>
      <c r="L67" s="1834"/>
      <c r="M67" s="1834"/>
      <c r="N67" s="1834"/>
      <c r="O67" s="1834"/>
      <c r="P67" s="1834"/>
      <c r="Q67" s="1834"/>
      <c r="R67" s="1834"/>
      <c r="S67" s="1834"/>
      <c r="T67" s="1834"/>
      <c r="U67" s="1834"/>
      <c r="V67" s="1834"/>
      <c r="W67" s="1835"/>
      <c r="X67" s="1269"/>
      <c r="Y67" s="117"/>
      <c r="Z67" s="137"/>
      <c r="AB67" s="47" t="str">
        <f t="shared" si="98"/>
        <v>Portsmouth</v>
      </c>
      <c r="AC67" s="46">
        <v>11</v>
      </c>
      <c r="AD67" s="47" t="str">
        <f t="shared" si="81"/>
        <v>PortsmouthProportion (%)</v>
      </c>
      <c r="AE67" s="48" t="b">
        <f t="shared" si="13"/>
        <v>0</v>
      </c>
      <c r="AF67" s="51">
        <f t="shared" ref="AF67:BA67" si="101">IF(ISERROR(AF19/$BA19*100),NA(),AF19/$BA19*100)</f>
        <v>5.818318318318318</v>
      </c>
      <c r="AG67" s="52" t="e">
        <f t="shared" si="101"/>
        <v>#N/A</v>
      </c>
      <c r="AH67" s="52" t="e">
        <f t="shared" si="101"/>
        <v>#N/A</v>
      </c>
      <c r="AI67" s="52" t="e">
        <f t="shared" si="101"/>
        <v>#N/A</v>
      </c>
      <c r="AJ67" s="52">
        <f t="shared" si="101"/>
        <v>21.771771771771771</v>
      </c>
      <c r="AK67" s="52">
        <f t="shared" si="101"/>
        <v>0.45045045045045046</v>
      </c>
      <c r="AL67" s="52">
        <f t="shared" si="101"/>
        <v>14.114114114114114</v>
      </c>
      <c r="AM67" s="52" t="e">
        <f t="shared" si="101"/>
        <v>#N/A</v>
      </c>
      <c r="AN67" s="52" t="e">
        <f t="shared" si="101"/>
        <v>#N/A</v>
      </c>
      <c r="AO67" s="52" t="e">
        <f t="shared" si="101"/>
        <v>#N/A</v>
      </c>
      <c r="AP67" s="52" t="e">
        <f t="shared" si="101"/>
        <v>#N/A</v>
      </c>
      <c r="AQ67" s="52" t="e">
        <f t="shared" si="101"/>
        <v>#N/A</v>
      </c>
      <c r="AR67" s="52">
        <f t="shared" si="101"/>
        <v>2.3648648648648649</v>
      </c>
      <c r="AS67" s="52">
        <f t="shared" si="101"/>
        <v>16.92942942942943</v>
      </c>
      <c r="AT67" s="52" t="e">
        <f t="shared" si="101"/>
        <v>#N/A</v>
      </c>
      <c r="AU67" s="52" t="e">
        <f t="shared" si="101"/>
        <v>#N/A</v>
      </c>
      <c r="AV67" s="52">
        <f t="shared" si="101"/>
        <v>27.214714714714717</v>
      </c>
      <c r="AW67" s="52">
        <f t="shared" si="101"/>
        <v>4.6546546546546548</v>
      </c>
      <c r="AX67" s="52">
        <f t="shared" si="101"/>
        <v>5.1426426426426426</v>
      </c>
      <c r="AY67" s="52">
        <f t="shared" si="101"/>
        <v>1.3138138138138138</v>
      </c>
      <c r="AZ67" s="53">
        <f t="shared" si="101"/>
        <v>0.22522522522522523</v>
      </c>
      <c r="BA67" s="56">
        <f t="shared" si="101"/>
        <v>100</v>
      </c>
    </row>
    <row r="68" spans="1:55" s="81" customFormat="1" ht="7.5" customHeight="1" x14ac:dyDescent="0.2">
      <c r="A68" s="292"/>
      <c r="B68" s="293"/>
      <c r="C68" s="293"/>
      <c r="D68" s="293"/>
      <c r="E68" s="293"/>
      <c r="F68" s="293"/>
      <c r="G68" s="293"/>
      <c r="H68" s="293"/>
      <c r="I68" s="293"/>
      <c r="J68" s="293"/>
      <c r="K68" s="293"/>
      <c r="L68" s="293"/>
      <c r="M68" s="293"/>
      <c r="N68" s="293"/>
      <c r="O68" s="293"/>
      <c r="P68" s="293"/>
      <c r="Q68" s="293"/>
      <c r="R68" s="293"/>
      <c r="S68" s="293"/>
      <c r="T68" s="293"/>
      <c r="U68" s="293"/>
      <c r="V68" s="293"/>
      <c r="W68" s="293"/>
      <c r="X68" s="293"/>
      <c r="Y68" s="122"/>
      <c r="Z68" s="137"/>
      <c r="AB68" s="47" t="str">
        <f t="shared" si="98"/>
        <v>Reading</v>
      </c>
      <c r="AC68" s="46">
        <v>12</v>
      </c>
      <c r="AD68" s="47" t="str">
        <f t="shared" si="81"/>
        <v>ReadingProportion (%)</v>
      </c>
      <c r="AE68" s="48" t="b">
        <f t="shared" si="13"/>
        <v>0</v>
      </c>
      <c r="AF68" s="51">
        <f t="shared" ref="AF68:BA68" si="102">IF(ISERROR(AF20/$BA20*100),NA(),AF20/$BA20*100)</f>
        <v>7.48829953198128</v>
      </c>
      <c r="AG68" s="52" t="e">
        <f t="shared" si="102"/>
        <v>#N/A</v>
      </c>
      <c r="AH68" s="52" t="e">
        <f t="shared" si="102"/>
        <v>#N/A</v>
      </c>
      <c r="AI68" s="52" t="e">
        <f t="shared" si="102"/>
        <v>#N/A</v>
      </c>
      <c r="AJ68" s="52">
        <f t="shared" si="102"/>
        <v>17.940717628705151</v>
      </c>
      <c r="AK68" s="52">
        <f t="shared" si="102"/>
        <v>2.8471138845553821</v>
      </c>
      <c r="AL68" s="52">
        <f t="shared" si="102"/>
        <v>14.508580343213728</v>
      </c>
      <c r="AM68" s="52" t="e">
        <f t="shared" si="102"/>
        <v>#N/A</v>
      </c>
      <c r="AN68" s="52" t="e">
        <f t="shared" si="102"/>
        <v>#N/A</v>
      </c>
      <c r="AO68" s="52" t="e">
        <f t="shared" si="102"/>
        <v>#N/A</v>
      </c>
      <c r="AP68" s="52" t="e">
        <f t="shared" si="102"/>
        <v>#N/A</v>
      </c>
      <c r="AQ68" s="52" t="e">
        <f t="shared" si="102"/>
        <v>#N/A</v>
      </c>
      <c r="AR68" s="52">
        <f t="shared" si="102"/>
        <v>2.4960998439937598</v>
      </c>
      <c r="AS68" s="52">
        <f t="shared" si="102"/>
        <v>10.257410296411857</v>
      </c>
      <c r="AT68" s="52" t="e">
        <f t="shared" si="102"/>
        <v>#N/A</v>
      </c>
      <c r="AU68" s="52" t="e">
        <f t="shared" si="102"/>
        <v>#N/A</v>
      </c>
      <c r="AV68" s="52">
        <f t="shared" si="102"/>
        <v>36.271450858034321</v>
      </c>
      <c r="AW68" s="52">
        <f t="shared" si="102"/>
        <v>2.1450858034321372</v>
      </c>
      <c r="AX68" s="52">
        <f t="shared" si="102"/>
        <v>4.9921996879875197</v>
      </c>
      <c r="AY68" s="52">
        <f t="shared" si="102"/>
        <v>0.7410296411856474</v>
      </c>
      <c r="AZ68" s="53">
        <f t="shared" si="102"/>
        <v>0.31201248049921998</v>
      </c>
      <c r="BA68" s="56">
        <f t="shared" si="102"/>
        <v>100</v>
      </c>
    </row>
    <row r="69" spans="1:55" s="81" customFormat="1" ht="15" customHeight="1" x14ac:dyDescent="0.2">
      <c r="A69" s="278"/>
      <c r="B69" s="293"/>
      <c r="C69" s="293"/>
      <c r="D69" s="293"/>
      <c r="E69" s="293"/>
      <c r="F69" s="293"/>
      <c r="G69" s="293"/>
      <c r="H69" s="293"/>
      <c r="I69" s="293"/>
      <c r="J69" s="293"/>
      <c r="K69" s="293"/>
      <c r="L69" s="293"/>
      <c r="M69" s="293"/>
      <c r="N69" s="293"/>
      <c r="O69" s="293"/>
      <c r="P69" s="293"/>
      <c r="Q69" s="293"/>
      <c r="R69" s="293"/>
      <c r="S69" s="293"/>
      <c r="T69" s="293"/>
      <c r="U69" s="293"/>
      <c r="V69" s="293"/>
      <c r="W69" s="293"/>
      <c r="X69" s="293"/>
      <c r="Y69" s="117"/>
      <c r="Z69" s="137"/>
      <c r="AB69" s="47" t="str">
        <f t="shared" si="98"/>
        <v>Slough</v>
      </c>
      <c r="AC69" s="46">
        <v>13</v>
      </c>
      <c r="AD69" s="47" t="str">
        <f t="shared" si="81"/>
        <v>SloughProportion (%)</v>
      </c>
      <c r="AE69" s="48" t="b">
        <f t="shared" si="13"/>
        <v>0</v>
      </c>
      <c r="AF69" s="51">
        <f t="shared" ref="AF69:BA69" si="103">IF(ISERROR(AF21/$BA21*100),NA(),AF21/$BA21*100)</f>
        <v>4.0944881889763778</v>
      </c>
      <c r="AG69" s="52" t="e">
        <f t="shared" si="103"/>
        <v>#N/A</v>
      </c>
      <c r="AH69" s="52" t="e">
        <f t="shared" si="103"/>
        <v>#N/A</v>
      </c>
      <c r="AI69" s="52" t="e">
        <f t="shared" si="103"/>
        <v>#N/A</v>
      </c>
      <c r="AJ69" s="52">
        <f t="shared" si="103"/>
        <v>24.133858267716533</v>
      </c>
      <c r="AK69" s="52">
        <f t="shared" si="103"/>
        <v>0.82677165354330706</v>
      </c>
      <c r="AL69" s="52">
        <f t="shared" si="103"/>
        <v>13.543307086614172</v>
      </c>
      <c r="AM69" s="52" t="e">
        <f t="shared" si="103"/>
        <v>#N/A</v>
      </c>
      <c r="AN69" s="52" t="e">
        <f t="shared" si="103"/>
        <v>#N/A</v>
      </c>
      <c r="AO69" s="52" t="e">
        <f t="shared" si="103"/>
        <v>#N/A</v>
      </c>
      <c r="AP69" s="52" t="e">
        <f t="shared" si="103"/>
        <v>#N/A</v>
      </c>
      <c r="AQ69" s="52" t="e">
        <f t="shared" si="103"/>
        <v>#N/A</v>
      </c>
      <c r="AR69" s="52">
        <f t="shared" si="103"/>
        <v>0</v>
      </c>
      <c r="AS69" s="52">
        <f t="shared" si="103"/>
        <v>15.393700787401574</v>
      </c>
      <c r="AT69" s="52" t="e">
        <f t="shared" si="103"/>
        <v>#N/A</v>
      </c>
      <c r="AU69" s="52" t="e">
        <f t="shared" si="103"/>
        <v>#N/A</v>
      </c>
      <c r="AV69" s="52">
        <f t="shared" si="103"/>
        <v>32.480314960629919</v>
      </c>
      <c r="AW69" s="52">
        <f t="shared" si="103"/>
        <v>3.582677165354331</v>
      </c>
      <c r="AX69" s="52">
        <f t="shared" si="103"/>
        <v>4.2125984251968509</v>
      </c>
      <c r="AY69" s="52">
        <f t="shared" si="103"/>
        <v>1.7322834645669292</v>
      </c>
      <c r="AZ69" s="53">
        <f t="shared" si="103"/>
        <v>0</v>
      </c>
      <c r="BA69" s="56">
        <f t="shared" si="103"/>
        <v>100</v>
      </c>
    </row>
    <row r="70" spans="1:55" ht="11.1" customHeight="1" x14ac:dyDescent="0.2">
      <c r="A70" s="1847" t="str">
        <f>Home!$A$39</f>
        <v xml:space="preserve"> </v>
      </c>
      <c r="B70" s="1768"/>
      <c r="C70" s="1768"/>
      <c r="D70" s="1768"/>
      <c r="E70" s="1768"/>
      <c r="F70" s="1768"/>
      <c r="G70" s="1768"/>
      <c r="H70" s="1768"/>
      <c r="I70" s="1768"/>
      <c r="J70" s="1768"/>
      <c r="K70" s="1768"/>
      <c r="L70" s="1768"/>
      <c r="M70" s="1768"/>
      <c r="N70" s="1768"/>
      <c r="O70" s="1768"/>
      <c r="P70" s="1768"/>
      <c r="Q70" s="1768"/>
      <c r="R70" s="1768"/>
      <c r="S70" s="1768"/>
      <c r="T70" s="1768"/>
      <c r="U70" s="1768"/>
      <c r="V70" s="1768"/>
      <c r="W70" s="1768"/>
      <c r="X70" s="1768"/>
      <c r="Y70" s="1848"/>
      <c r="Z70" s="137"/>
      <c r="AA70" s="74"/>
      <c r="AB70" s="47" t="str">
        <f t="shared" si="98"/>
        <v>Somerset</v>
      </c>
      <c r="AC70" s="46">
        <v>14</v>
      </c>
      <c r="AD70" s="47" t="str">
        <f t="shared" si="81"/>
        <v>SomersetProportion (%)</v>
      </c>
      <c r="AE70" s="48" t="b">
        <f t="shared" si="13"/>
        <v>0</v>
      </c>
      <c r="AF70" s="51">
        <f t="shared" ref="AF70:BA70" si="104">IF(ISERROR(AF22/$BA22*100),NA(),AF22/$BA22*100)</f>
        <v>8.6764299530256981</v>
      </c>
      <c r="AG70" s="52" t="e">
        <f t="shared" si="104"/>
        <v>#N/A</v>
      </c>
      <c r="AH70" s="52" t="e">
        <f t="shared" si="104"/>
        <v>#N/A</v>
      </c>
      <c r="AI70" s="52" t="e">
        <f t="shared" si="104"/>
        <v>#N/A</v>
      </c>
      <c r="AJ70" s="52">
        <f t="shared" si="104"/>
        <v>12.683061619231831</v>
      </c>
      <c r="AK70" s="52">
        <f t="shared" si="104"/>
        <v>0.8842221608179055</v>
      </c>
      <c r="AL70" s="52">
        <f t="shared" si="104"/>
        <v>14.368610113290964</v>
      </c>
      <c r="AM70" s="52" t="e">
        <f t="shared" si="104"/>
        <v>#N/A</v>
      </c>
      <c r="AN70" s="52" t="e">
        <f t="shared" si="104"/>
        <v>#N/A</v>
      </c>
      <c r="AO70" s="52" t="e">
        <f t="shared" si="104"/>
        <v>#N/A</v>
      </c>
      <c r="AP70" s="52" t="e">
        <f t="shared" si="104"/>
        <v>#N/A</v>
      </c>
      <c r="AQ70" s="52" t="e">
        <f t="shared" si="104"/>
        <v>#N/A</v>
      </c>
      <c r="AR70" s="52">
        <f t="shared" si="104"/>
        <v>0.41447913788339324</v>
      </c>
      <c r="AS70" s="52">
        <f t="shared" si="104"/>
        <v>14.865985078751038</v>
      </c>
      <c r="AT70" s="52" t="e">
        <f t="shared" si="104"/>
        <v>#N/A</v>
      </c>
      <c r="AU70" s="52" t="e">
        <f t="shared" si="104"/>
        <v>#N/A</v>
      </c>
      <c r="AV70" s="52">
        <f t="shared" si="104"/>
        <v>32.053053329649074</v>
      </c>
      <c r="AW70" s="52">
        <f t="shared" si="104"/>
        <v>5.5540204476374688</v>
      </c>
      <c r="AX70" s="52">
        <f t="shared" si="104"/>
        <v>6.2448190107764576</v>
      </c>
      <c r="AY70" s="52">
        <f t="shared" si="104"/>
        <v>3.757944183476098</v>
      </c>
      <c r="AZ70" s="53">
        <f t="shared" si="104"/>
        <v>0.49737496546007187</v>
      </c>
      <c r="BA70" s="56">
        <f t="shared" si="104"/>
        <v>100</v>
      </c>
      <c r="BB70" s="81"/>
      <c r="BC70" s="81"/>
    </row>
    <row r="71" spans="1:55" ht="11.25" customHeight="1" x14ac:dyDescent="0.2">
      <c r="A71" s="112"/>
      <c r="B71" s="113"/>
      <c r="C71" s="113"/>
      <c r="D71" s="113"/>
      <c r="E71" s="113"/>
      <c r="F71" s="113"/>
      <c r="G71" s="113"/>
      <c r="H71" s="113"/>
      <c r="I71" s="113"/>
      <c r="J71" s="113"/>
      <c r="K71" s="113"/>
      <c r="L71" s="113"/>
      <c r="M71" s="113"/>
      <c r="N71" s="113"/>
      <c r="O71" s="114"/>
      <c r="P71" s="113"/>
      <c r="Q71" s="113"/>
      <c r="R71" s="113"/>
      <c r="S71" s="113"/>
      <c r="T71" s="113"/>
      <c r="U71" s="113"/>
      <c r="V71" s="113"/>
      <c r="W71" s="113"/>
      <c r="X71" s="113"/>
      <c r="Y71" s="115"/>
      <c r="Z71" s="137"/>
      <c r="AA71" s="74"/>
      <c r="AB71" s="47" t="str">
        <f t="shared" si="98"/>
        <v>Southampton</v>
      </c>
      <c r="AC71" s="46">
        <v>15</v>
      </c>
      <c r="AD71" s="47" t="str">
        <f t="shared" si="81"/>
        <v>SouthamptonProportion (%)</v>
      </c>
      <c r="AE71" s="48" t="b">
        <f t="shared" si="13"/>
        <v>0</v>
      </c>
      <c r="AF71" s="51">
        <f t="shared" ref="AF71:BA71" si="105">IF(ISERROR(AF23/$BA23*100),NA(),AF23/$BA23*100)</f>
        <v>4.5661157024793386</v>
      </c>
      <c r="AG71" s="52" t="e">
        <f t="shared" si="105"/>
        <v>#N/A</v>
      </c>
      <c r="AH71" s="52" t="e">
        <f t="shared" si="105"/>
        <v>#N/A</v>
      </c>
      <c r="AI71" s="52" t="e">
        <f t="shared" si="105"/>
        <v>#N/A</v>
      </c>
      <c r="AJ71" s="52">
        <f t="shared" si="105"/>
        <v>19.545454545454547</v>
      </c>
      <c r="AK71" s="52">
        <f t="shared" si="105"/>
        <v>0.12396694214876033</v>
      </c>
      <c r="AL71" s="52">
        <f t="shared" si="105"/>
        <v>15.723140495867769</v>
      </c>
      <c r="AM71" s="52" t="e">
        <f t="shared" si="105"/>
        <v>#N/A</v>
      </c>
      <c r="AN71" s="52" t="e">
        <f t="shared" si="105"/>
        <v>#N/A</v>
      </c>
      <c r="AO71" s="52" t="e">
        <f t="shared" si="105"/>
        <v>#N/A</v>
      </c>
      <c r="AP71" s="52" t="e">
        <f t="shared" si="105"/>
        <v>#N/A</v>
      </c>
      <c r="AQ71" s="52" t="e">
        <f t="shared" si="105"/>
        <v>#N/A</v>
      </c>
      <c r="AR71" s="52">
        <f t="shared" si="105"/>
        <v>0.57851239669421484</v>
      </c>
      <c r="AS71" s="52">
        <f t="shared" si="105"/>
        <v>20.24793388429752</v>
      </c>
      <c r="AT71" s="52" t="e">
        <f t="shared" si="105"/>
        <v>#N/A</v>
      </c>
      <c r="AU71" s="52" t="e">
        <f t="shared" si="105"/>
        <v>#N/A</v>
      </c>
      <c r="AV71" s="52">
        <f t="shared" si="105"/>
        <v>28.285123966942148</v>
      </c>
      <c r="AW71" s="52">
        <f t="shared" si="105"/>
        <v>1.115702479338843</v>
      </c>
      <c r="AX71" s="52">
        <f t="shared" si="105"/>
        <v>6.1983471074380168</v>
      </c>
      <c r="AY71" s="52">
        <f t="shared" si="105"/>
        <v>3.3677685950413228</v>
      </c>
      <c r="AZ71" s="53">
        <f t="shared" si="105"/>
        <v>0.24793388429752067</v>
      </c>
      <c r="BA71" s="56">
        <f t="shared" si="105"/>
        <v>100</v>
      </c>
    </row>
    <row r="72" spans="1:55" s="76" customFormat="1" ht="17.25" customHeight="1" x14ac:dyDescent="0.25">
      <c r="A72" s="462"/>
      <c r="B72" s="1746" t="str">
        <f>$AB$8&amp;" of Referrals from each Source "&amp;Frontpage!J5</f>
        <v>Proportion (%) of Referrals from each Source 2019-20</v>
      </c>
      <c r="C72" s="1746"/>
      <c r="D72" s="1746"/>
      <c r="E72" s="1746"/>
      <c r="F72" s="1746"/>
      <c r="G72" s="1746"/>
      <c r="H72" s="1746"/>
      <c r="I72" s="1746"/>
      <c r="J72" s="1746"/>
      <c r="K72" s="1746"/>
      <c r="L72" s="1746"/>
      <c r="M72" s="62"/>
      <c r="N72" s="70"/>
      <c r="O72" s="70"/>
      <c r="P72" s="70"/>
      <c r="Q72" s="70"/>
      <c r="R72" s="62"/>
      <c r="S72" s="70"/>
      <c r="T72" s="70"/>
      <c r="U72" s="70"/>
      <c r="V72" s="70"/>
      <c r="W72" s="70"/>
      <c r="X72" s="70"/>
      <c r="Y72" s="117"/>
      <c r="Z72" s="137"/>
      <c r="AB72" s="47" t="str">
        <f t="shared" si="98"/>
        <v>Surrey</v>
      </c>
      <c r="AC72" s="46">
        <v>16</v>
      </c>
      <c r="AD72" s="47" t="str">
        <f t="shared" si="81"/>
        <v>SurreyProportion (%)</v>
      </c>
      <c r="AE72" s="48" t="b">
        <f t="shared" si="13"/>
        <v>0</v>
      </c>
      <c r="AF72" s="51">
        <f t="shared" ref="AF72:BA72" si="106">IF(ISERROR(AF24/$BA24*100),NA(),AF24/$BA24*100)</f>
        <v>7.1956802441601129</v>
      </c>
      <c r="AG72" s="52" t="e">
        <f t="shared" si="106"/>
        <v>#N/A</v>
      </c>
      <c r="AH72" s="52" t="e">
        <f t="shared" si="106"/>
        <v>#N/A</v>
      </c>
      <c r="AI72" s="52" t="e">
        <f t="shared" si="106"/>
        <v>#N/A</v>
      </c>
      <c r="AJ72" s="52">
        <f t="shared" si="106"/>
        <v>18.006808310834604</v>
      </c>
      <c r="AK72" s="52">
        <f t="shared" si="106"/>
        <v>1.1855851625777674</v>
      </c>
      <c r="AL72" s="52">
        <f t="shared" si="106"/>
        <v>15.776499589153655</v>
      </c>
      <c r="AM72" s="52" t="e">
        <f t="shared" si="106"/>
        <v>#N/A</v>
      </c>
      <c r="AN72" s="52" t="e">
        <f t="shared" si="106"/>
        <v>#N/A</v>
      </c>
      <c r="AO72" s="52" t="e">
        <f t="shared" si="106"/>
        <v>#N/A</v>
      </c>
      <c r="AP72" s="52" t="e">
        <f t="shared" si="106"/>
        <v>#N/A</v>
      </c>
      <c r="AQ72" s="52" t="e">
        <f t="shared" si="106"/>
        <v>#N/A</v>
      </c>
      <c r="AR72" s="52">
        <f t="shared" si="106"/>
        <v>1.1855851625777674</v>
      </c>
      <c r="AS72" s="52">
        <f t="shared" si="106"/>
        <v>12.513205775325742</v>
      </c>
      <c r="AT72" s="52" t="e">
        <f t="shared" si="106"/>
        <v>#N/A</v>
      </c>
      <c r="AU72" s="52" t="e">
        <f t="shared" si="106"/>
        <v>#N/A</v>
      </c>
      <c r="AV72" s="52">
        <f t="shared" si="106"/>
        <v>33.384200023476936</v>
      </c>
      <c r="AW72" s="52">
        <f t="shared" si="106"/>
        <v>3.5215400868646549</v>
      </c>
      <c r="AX72" s="52">
        <f t="shared" si="106"/>
        <v>4.484094377274328</v>
      </c>
      <c r="AY72" s="52">
        <f t="shared" si="106"/>
        <v>2.7468012677544311</v>
      </c>
      <c r="AZ72" s="53">
        <f t="shared" si="106"/>
        <v>0</v>
      </c>
      <c r="BA72" s="56">
        <f t="shared" si="106"/>
        <v>100</v>
      </c>
      <c r="BB72" s="74"/>
      <c r="BC72" s="74"/>
    </row>
    <row r="73" spans="1:55" ht="7.5" customHeight="1" x14ac:dyDescent="0.2">
      <c r="A73" s="278"/>
      <c r="B73" s="1746"/>
      <c r="C73" s="1746"/>
      <c r="D73" s="1746"/>
      <c r="E73" s="1746"/>
      <c r="F73" s="1746"/>
      <c r="G73" s="1746"/>
      <c r="H73" s="1746"/>
      <c r="I73" s="1746"/>
      <c r="J73" s="1746"/>
      <c r="K73" s="1746"/>
      <c r="L73" s="1746"/>
      <c r="M73" s="70"/>
      <c r="N73" s="70"/>
      <c r="O73" s="70"/>
      <c r="P73" s="70"/>
      <c r="Q73" s="70"/>
      <c r="R73" s="70"/>
      <c r="S73" s="70"/>
      <c r="T73" s="70"/>
      <c r="U73" s="70"/>
      <c r="V73" s="58"/>
      <c r="W73" s="70"/>
      <c r="X73" s="70"/>
      <c r="Y73" s="117"/>
      <c r="Z73" s="138"/>
      <c r="AA73" s="74"/>
      <c r="AB73" s="47" t="str">
        <f t="shared" si="98"/>
        <v>Swindon</v>
      </c>
      <c r="AC73" s="46">
        <v>17</v>
      </c>
      <c r="AD73" s="47" t="str">
        <f t="shared" si="81"/>
        <v>SwindonProportion (%)</v>
      </c>
      <c r="AE73" s="48" t="b">
        <f t="shared" si="13"/>
        <v>0</v>
      </c>
      <c r="AF73" s="51">
        <f t="shared" ref="AF73:BA73" si="107">IF(ISERROR(AF25/$BA25*100),NA(),AF25/$BA25*100)</f>
        <v>5.9484467944481167</v>
      </c>
      <c r="AG73" s="52" t="e">
        <f t="shared" si="107"/>
        <v>#N/A</v>
      </c>
      <c r="AH73" s="52" t="e">
        <f t="shared" si="107"/>
        <v>#N/A</v>
      </c>
      <c r="AI73" s="52" t="e">
        <f t="shared" si="107"/>
        <v>#N/A</v>
      </c>
      <c r="AJ73" s="52">
        <f t="shared" si="107"/>
        <v>17.977528089887642</v>
      </c>
      <c r="AK73" s="52">
        <f t="shared" si="107"/>
        <v>0.19828155981493722</v>
      </c>
      <c r="AL73" s="52">
        <f t="shared" si="107"/>
        <v>14.937210839391938</v>
      </c>
      <c r="AM73" s="52" t="e">
        <f t="shared" si="107"/>
        <v>#N/A</v>
      </c>
      <c r="AN73" s="52" t="e">
        <f t="shared" si="107"/>
        <v>#N/A</v>
      </c>
      <c r="AO73" s="52" t="e">
        <f t="shared" si="107"/>
        <v>#N/A</v>
      </c>
      <c r="AP73" s="52" t="e">
        <f t="shared" si="107"/>
        <v>#N/A</v>
      </c>
      <c r="AQ73" s="52" t="e">
        <f t="shared" si="107"/>
        <v>#N/A</v>
      </c>
      <c r="AR73" s="52">
        <f t="shared" si="107"/>
        <v>1.0905485789821545</v>
      </c>
      <c r="AS73" s="52">
        <f t="shared" si="107"/>
        <v>8.9226701916721751</v>
      </c>
      <c r="AT73" s="52" t="e">
        <f t="shared" si="107"/>
        <v>#N/A</v>
      </c>
      <c r="AU73" s="52" t="e">
        <f t="shared" si="107"/>
        <v>#N/A</v>
      </c>
      <c r="AV73" s="52">
        <f t="shared" si="107"/>
        <v>37.739590218109711</v>
      </c>
      <c r="AW73" s="52">
        <f t="shared" si="107"/>
        <v>4.7257105089226705</v>
      </c>
      <c r="AX73" s="52">
        <f t="shared" si="107"/>
        <v>3.2716457369464638</v>
      </c>
      <c r="AY73" s="52">
        <f t="shared" si="107"/>
        <v>2.5115664243225382</v>
      </c>
      <c r="AZ73" s="53">
        <f t="shared" si="107"/>
        <v>2.6768010575016521</v>
      </c>
      <c r="BA73" s="56">
        <f t="shared" si="107"/>
        <v>100</v>
      </c>
      <c r="BB73" s="76"/>
      <c r="BC73" s="76"/>
    </row>
    <row r="74" spans="1:55" ht="12.75" customHeight="1" x14ac:dyDescent="0.2">
      <c r="A74" s="278"/>
      <c r="B74" s="1865" t="s">
        <v>205</v>
      </c>
      <c r="C74" s="9"/>
      <c r="D74" s="1870">
        <v>1</v>
      </c>
      <c r="E74" s="1871"/>
      <c r="F74" s="1872">
        <v>2</v>
      </c>
      <c r="G74" s="1873"/>
      <c r="H74" s="1874">
        <v>3</v>
      </c>
      <c r="I74" s="1875"/>
      <c r="J74" s="1876">
        <v>4</v>
      </c>
      <c r="K74" s="1877"/>
      <c r="L74" s="1878">
        <v>5</v>
      </c>
      <c r="M74" s="1879"/>
      <c r="N74" s="1880">
        <v>6</v>
      </c>
      <c r="O74" s="1881"/>
      <c r="P74" s="1882">
        <v>7</v>
      </c>
      <c r="Q74" s="1883"/>
      <c r="R74" s="1884">
        <v>8</v>
      </c>
      <c r="S74" s="1885"/>
      <c r="T74" s="1886">
        <v>9</v>
      </c>
      <c r="U74" s="1887"/>
      <c r="V74" s="1888">
        <v>10</v>
      </c>
      <c r="W74" s="1889"/>
      <c r="X74" s="9"/>
      <c r="Y74" s="117"/>
      <c r="Z74" s="137"/>
      <c r="AA74" s="74"/>
      <c r="AB74" s="47" t="str">
        <f t="shared" si="98"/>
        <v>Torbay</v>
      </c>
      <c r="AC74" s="46">
        <v>18</v>
      </c>
      <c r="AD74" s="47" t="str">
        <f t="shared" si="81"/>
        <v>TorbayProportion (%)</v>
      </c>
      <c r="AE74" s="48" t="b">
        <f t="shared" si="13"/>
        <v>0</v>
      </c>
      <c r="AF74" s="51">
        <f t="shared" ref="AF74:BA74" si="108">IF(ISERROR(AF26/$BA26*100),NA(),AF26/$BA26*100)</f>
        <v>7.4731182795698929</v>
      </c>
      <c r="AG74" s="52" t="e">
        <f t="shared" si="108"/>
        <v>#N/A</v>
      </c>
      <c r="AH74" s="52" t="e">
        <f t="shared" si="108"/>
        <v>#N/A</v>
      </c>
      <c r="AI74" s="52" t="e">
        <f t="shared" si="108"/>
        <v>#N/A</v>
      </c>
      <c r="AJ74" s="52">
        <f t="shared" si="108"/>
        <v>16.021505376344088</v>
      </c>
      <c r="AK74" s="52" t="e">
        <f t="shared" si="108"/>
        <v>#N/A</v>
      </c>
      <c r="AL74" s="52">
        <f t="shared" si="108"/>
        <v>10.698924731182796</v>
      </c>
      <c r="AM74" s="52" t="e">
        <f t="shared" si="108"/>
        <v>#N/A</v>
      </c>
      <c r="AN74" s="52" t="e">
        <f t="shared" si="108"/>
        <v>#N/A</v>
      </c>
      <c r="AO74" s="52" t="e">
        <f t="shared" si="108"/>
        <v>#N/A</v>
      </c>
      <c r="AP74" s="52" t="e">
        <f t="shared" si="108"/>
        <v>#N/A</v>
      </c>
      <c r="AQ74" s="52" t="e">
        <f t="shared" si="108"/>
        <v>#N/A</v>
      </c>
      <c r="AR74" s="52" t="e">
        <f t="shared" si="108"/>
        <v>#N/A</v>
      </c>
      <c r="AS74" s="52">
        <f t="shared" si="108"/>
        <v>23.387096774193548</v>
      </c>
      <c r="AT74" s="52" t="e">
        <f t="shared" si="108"/>
        <v>#N/A</v>
      </c>
      <c r="AU74" s="52" t="e">
        <f t="shared" si="108"/>
        <v>#N/A</v>
      </c>
      <c r="AV74" s="52">
        <f t="shared" si="108"/>
        <v>27.956989247311824</v>
      </c>
      <c r="AW74" s="52">
        <f t="shared" si="108"/>
        <v>1.5591397849462365</v>
      </c>
      <c r="AX74" s="52">
        <f t="shared" si="108"/>
        <v>8.172043010752688</v>
      </c>
      <c r="AY74" s="52">
        <f t="shared" si="108"/>
        <v>3.6021505376344085</v>
      </c>
      <c r="AZ74" s="53">
        <f t="shared" si="108"/>
        <v>1.129032258064516</v>
      </c>
      <c r="BA74" s="56">
        <f t="shared" si="108"/>
        <v>100</v>
      </c>
    </row>
    <row r="75" spans="1:55" ht="26.25" customHeight="1" x14ac:dyDescent="0.2">
      <c r="A75" s="278"/>
      <c r="B75" s="1866"/>
      <c r="C75" s="81"/>
      <c r="D75" s="1854" t="s">
        <v>96</v>
      </c>
      <c r="E75" s="1855"/>
      <c r="F75" s="1854" t="s">
        <v>38</v>
      </c>
      <c r="G75" s="1855"/>
      <c r="H75" s="1854" t="s">
        <v>105</v>
      </c>
      <c r="I75" s="1855"/>
      <c r="J75" s="1854" t="s">
        <v>46</v>
      </c>
      <c r="K75" s="1855"/>
      <c r="L75" s="1854" t="s">
        <v>106</v>
      </c>
      <c r="M75" s="1855"/>
      <c r="N75" s="1854" t="s">
        <v>23</v>
      </c>
      <c r="O75" s="1855"/>
      <c r="P75" s="1854" t="s">
        <v>67</v>
      </c>
      <c r="Q75" s="1855"/>
      <c r="R75" s="1854" t="s">
        <v>66</v>
      </c>
      <c r="S75" s="1855"/>
      <c r="T75" s="1854" t="s">
        <v>64</v>
      </c>
      <c r="U75" s="1855"/>
      <c r="V75" s="1854" t="s">
        <v>65</v>
      </c>
      <c r="W75" s="1856"/>
      <c r="X75" s="9"/>
      <c r="Y75" s="117"/>
      <c r="Z75" s="137"/>
      <c r="AA75" s="74"/>
      <c r="AB75" s="47" t="str">
        <f t="shared" si="98"/>
        <v>West Berkshire</v>
      </c>
      <c r="AC75" s="46">
        <v>19</v>
      </c>
      <c r="AD75" s="47" t="str">
        <f t="shared" si="81"/>
        <v>West BerkshireProportion (%)</v>
      </c>
      <c r="AE75" s="48" t="b">
        <f t="shared" si="13"/>
        <v>0</v>
      </c>
      <c r="AF75" s="51">
        <f t="shared" ref="AF75:BA75" si="109">IF(ISERROR(AF27/$BA27*100),NA(),AF27/$BA27*100)</f>
        <v>13.663845223700122</v>
      </c>
      <c r="AG75" s="52" t="e">
        <f t="shared" si="109"/>
        <v>#N/A</v>
      </c>
      <c r="AH75" s="52" t="e">
        <f t="shared" si="109"/>
        <v>#N/A</v>
      </c>
      <c r="AI75" s="52" t="e">
        <f t="shared" si="109"/>
        <v>#N/A</v>
      </c>
      <c r="AJ75" s="52">
        <f t="shared" si="109"/>
        <v>21.221281741233376</v>
      </c>
      <c r="AK75" s="52">
        <f t="shared" si="109"/>
        <v>3.0229746070133015</v>
      </c>
      <c r="AL75" s="52">
        <f t="shared" si="109"/>
        <v>11.910519951632406</v>
      </c>
      <c r="AM75" s="52" t="e">
        <f t="shared" si="109"/>
        <v>#N/A</v>
      </c>
      <c r="AN75" s="52" t="e">
        <f t="shared" si="109"/>
        <v>#N/A</v>
      </c>
      <c r="AO75" s="52" t="e">
        <f t="shared" si="109"/>
        <v>#N/A</v>
      </c>
      <c r="AP75" s="52" t="e">
        <f t="shared" si="109"/>
        <v>#N/A</v>
      </c>
      <c r="AQ75" s="52" t="e">
        <f t="shared" si="109"/>
        <v>#N/A</v>
      </c>
      <c r="AR75" s="52">
        <f t="shared" si="109"/>
        <v>1.3301088270858523</v>
      </c>
      <c r="AS75" s="52">
        <f t="shared" si="109"/>
        <v>16.807738814993954</v>
      </c>
      <c r="AT75" s="52" t="e">
        <f t="shared" si="109"/>
        <v>#N/A</v>
      </c>
      <c r="AU75" s="52" t="e">
        <f t="shared" si="109"/>
        <v>#N/A</v>
      </c>
      <c r="AV75" s="52">
        <f t="shared" si="109"/>
        <v>24.365175332527205</v>
      </c>
      <c r="AW75" s="52">
        <f t="shared" si="109"/>
        <v>1.9951632406287789</v>
      </c>
      <c r="AX75" s="52">
        <f t="shared" si="109"/>
        <v>3.2043530834340994</v>
      </c>
      <c r="AY75" s="52">
        <f t="shared" si="109"/>
        <v>1.9951632406287789</v>
      </c>
      <c r="AZ75" s="53">
        <f t="shared" si="109"/>
        <v>0.48367593712212814</v>
      </c>
      <c r="BA75" s="56">
        <f t="shared" si="109"/>
        <v>100</v>
      </c>
    </row>
    <row r="76" spans="1:55" ht="15.75" customHeight="1" x14ac:dyDescent="0.2">
      <c r="A76" s="278"/>
      <c r="B76" s="175" t="str">
        <f>Sheet1!$K$4</f>
        <v>Bracknell Forest</v>
      </c>
      <c r="C76" s="73"/>
      <c r="D76" s="1841"/>
      <c r="E76" s="1842"/>
      <c r="F76" s="1841"/>
      <c r="G76" s="1842"/>
      <c r="H76" s="1841"/>
      <c r="I76" s="1842"/>
      <c r="J76" s="1841"/>
      <c r="K76" s="1842"/>
      <c r="L76" s="1841"/>
      <c r="M76" s="1842"/>
      <c r="N76" s="1841"/>
      <c r="O76" s="1842"/>
      <c r="P76" s="1841"/>
      <c r="Q76" s="1842"/>
      <c r="R76" s="1841"/>
      <c r="S76" s="1842"/>
      <c r="T76" s="1841"/>
      <c r="U76" s="1842"/>
      <c r="V76" s="1841"/>
      <c r="W76" s="1843"/>
      <c r="X76" s="14"/>
      <c r="Y76" s="117"/>
      <c r="Z76" s="137"/>
      <c r="AA76" s="74"/>
      <c r="AB76" s="47" t="str">
        <f t="shared" si="98"/>
        <v>West Sussex</v>
      </c>
      <c r="AC76" s="46">
        <v>20</v>
      </c>
      <c r="AD76" s="47" t="str">
        <f t="shared" si="81"/>
        <v>West SussexProportion (%)</v>
      </c>
      <c r="AE76" s="48" t="b">
        <f t="shared" ref="AE76:AE79" si="110">IF(AB76=$AA$6,1)</f>
        <v>0</v>
      </c>
      <c r="AF76" s="51">
        <f t="shared" ref="AF76:BA76" si="111">IF(ISERROR(AF28/$BA28*100),NA(),AF28/$BA28*100)</f>
        <v>8.8061643150205153</v>
      </c>
      <c r="AG76" s="52" t="e">
        <f t="shared" si="111"/>
        <v>#N/A</v>
      </c>
      <c r="AH76" s="52" t="e">
        <f t="shared" si="111"/>
        <v>#N/A</v>
      </c>
      <c r="AI76" s="52" t="e">
        <f t="shared" si="111"/>
        <v>#N/A</v>
      </c>
      <c r="AJ76" s="52">
        <f t="shared" si="111"/>
        <v>20.294205944160911</v>
      </c>
      <c r="AK76" s="52">
        <f t="shared" si="111"/>
        <v>0</v>
      </c>
      <c r="AL76" s="52">
        <f t="shared" si="111"/>
        <v>13.169218452917042</v>
      </c>
      <c r="AM76" s="52" t="e">
        <f t="shared" si="111"/>
        <v>#N/A</v>
      </c>
      <c r="AN76" s="52" t="e">
        <f t="shared" si="111"/>
        <v>#N/A</v>
      </c>
      <c r="AO76" s="52" t="e">
        <f t="shared" si="111"/>
        <v>#N/A</v>
      </c>
      <c r="AP76" s="52" t="e">
        <f t="shared" si="111"/>
        <v>#N/A</v>
      </c>
      <c r="AQ76" s="52" t="e">
        <f t="shared" si="111"/>
        <v>#N/A</v>
      </c>
      <c r="AR76" s="52">
        <f t="shared" si="111"/>
        <v>2.0614430101070749</v>
      </c>
      <c r="AS76" s="52">
        <f t="shared" si="111"/>
        <v>17.562293605523866</v>
      </c>
      <c r="AT76" s="52" t="e">
        <f t="shared" si="111"/>
        <v>#N/A</v>
      </c>
      <c r="AU76" s="52" t="e">
        <f t="shared" si="111"/>
        <v>#N/A</v>
      </c>
      <c r="AV76" s="52">
        <f t="shared" si="111"/>
        <v>27.979585709996996</v>
      </c>
      <c r="AW76" s="52">
        <f t="shared" si="111"/>
        <v>3.4223956769738813</v>
      </c>
      <c r="AX76" s="52">
        <f t="shared" si="111"/>
        <v>6.2343640548383874</v>
      </c>
      <c r="AY76" s="52">
        <f t="shared" si="111"/>
        <v>0</v>
      </c>
      <c r="AZ76" s="53">
        <f t="shared" si="111"/>
        <v>0.47032923046132291</v>
      </c>
      <c r="BA76" s="56">
        <f t="shared" si="111"/>
        <v>100</v>
      </c>
    </row>
    <row r="77" spans="1:55" ht="15.75" customHeight="1" x14ac:dyDescent="0.2">
      <c r="A77" s="461"/>
      <c r="B77" s="175" t="str">
        <f>Sheet1!$K$5</f>
        <v>Brighton &amp; Hove</v>
      </c>
      <c r="C77" s="9"/>
      <c r="D77" s="1844"/>
      <c r="E77" s="1846"/>
      <c r="F77" s="1844"/>
      <c r="G77" s="1846"/>
      <c r="H77" s="1844"/>
      <c r="I77" s="1846"/>
      <c r="J77" s="1844"/>
      <c r="K77" s="1846"/>
      <c r="L77" s="1844"/>
      <c r="M77" s="1846"/>
      <c r="N77" s="1844"/>
      <c r="O77" s="1846"/>
      <c r="P77" s="1844"/>
      <c r="Q77" s="1846"/>
      <c r="R77" s="1844"/>
      <c r="S77" s="1846"/>
      <c r="T77" s="1844"/>
      <c r="U77" s="1846"/>
      <c r="V77" s="1844"/>
      <c r="W77" s="1845"/>
      <c r="X77" s="9"/>
      <c r="Y77" s="120"/>
      <c r="Z77" s="137"/>
      <c r="AA77" s="74"/>
      <c r="AB77" s="47" t="str">
        <f t="shared" si="98"/>
        <v>Windsor &amp; Maidenhead</v>
      </c>
      <c r="AC77" s="46">
        <v>21</v>
      </c>
      <c r="AD77" s="47" t="str">
        <f t="shared" si="81"/>
        <v>Windsor &amp; MaidenheadProportion (%)</v>
      </c>
      <c r="AE77" s="48" t="b">
        <f t="shared" si="110"/>
        <v>0</v>
      </c>
      <c r="AF77" s="51">
        <f t="shared" ref="AF77:BA77" si="112">IF(ISERROR(AF29/$BA29*100),NA(),AF29/$BA29*100)</f>
        <v>7.1533923303834808</v>
      </c>
      <c r="AG77" s="52" t="e">
        <f t="shared" si="112"/>
        <v>#N/A</v>
      </c>
      <c r="AH77" s="52" t="e">
        <f t="shared" si="112"/>
        <v>#N/A</v>
      </c>
      <c r="AI77" s="52" t="e">
        <f t="shared" si="112"/>
        <v>#N/A</v>
      </c>
      <c r="AJ77" s="52">
        <f t="shared" si="112"/>
        <v>20.943952802359885</v>
      </c>
      <c r="AK77" s="52">
        <f t="shared" si="112"/>
        <v>0</v>
      </c>
      <c r="AL77" s="52">
        <f t="shared" si="112"/>
        <v>12.094395280235988</v>
      </c>
      <c r="AM77" s="52" t="e">
        <f t="shared" si="112"/>
        <v>#N/A</v>
      </c>
      <c r="AN77" s="52" t="e">
        <f t="shared" si="112"/>
        <v>#N/A</v>
      </c>
      <c r="AO77" s="52" t="e">
        <f t="shared" si="112"/>
        <v>#N/A</v>
      </c>
      <c r="AP77" s="52" t="e">
        <f t="shared" si="112"/>
        <v>#N/A</v>
      </c>
      <c r="AQ77" s="52" t="e">
        <f t="shared" si="112"/>
        <v>#N/A</v>
      </c>
      <c r="AR77" s="52">
        <f t="shared" si="112"/>
        <v>1.1061946902654867</v>
      </c>
      <c r="AS77" s="52">
        <f t="shared" si="112"/>
        <v>11.725663716814159</v>
      </c>
      <c r="AT77" s="52" t="e">
        <f t="shared" si="112"/>
        <v>#N/A</v>
      </c>
      <c r="AU77" s="52" t="e">
        <f t="shared" si="112"/>
        <v>#N/A</v>
      </c>
      <c r="AV77" s="52">
        <f t="shared" si="112"/>
        <v>37.315634218289084</v>
      </c>
      <c r="AW77" s="52">
        <f t="shared" si="112"/>
        <v>1.3274336283185841</v>
      </c>
      <c r="AX77" s="52">
        <f t="shared" si="112"/>
        <v>5.2359882005899712</v>
      </c>
      <c r="AY77" s="52">
        <f t="shared" si="112"/>
        <v>3.0973451327433628</v>
      </c>
      <c r="AZ77" s="53">
        <f t="shared" si="112"/>
        <v>0</v>
      </c>
      <c r="BA77" s="56">
        <f t="shared" si="112"/>
        <v>100</v>
      </c>
    </row>
    <row r="78" spans="1:55" ht="15.75" customHeight="1" x14ac:dyDescent="0.2">
      <c r="A78" s="278"/>
      <c r="B78" s="175" t="str">
        <f>Sheet1!$K$6</f>
        <v>Buckinghamshire</v>
      </c>
      <c r="C78" s="9"/>
      <c r="D78" s="1844"/>
      <c r="E78" s="1846"/>
      <c r="F78" s="1844"/>
      <c r="G78" s="1846"/>
      <c r="H78" s="1844"/>
      <c r="I78" s="1846"/>
      <c r="J78" s="1844"/>
      <c r="K78" s="1846"/>
      <c r="L78" s="1844"/>
      <c r="M78" s="1846"/>
      <c r="N78" s="1844"/>
      <c r="O78" s="1846"/>
      <c r="P78" s="1844"/>
      <c r="Q78" s="1846"/>
      <c r="R78" s="1844"/>
      <c r="S78" s="1846"/>
      <c r="T78" s="1844"/>
      <c r="U78" s="1846"/>
      <c r="V78" s="1844"/>
      <c r="W78" s="1845"/>
      <c r="X78" s="9"/>
      <c r="Y78" s="117"/>
      <c r="Z78" s="137"/>
      <c r="AA78" s="74"/>
      <c r="AB78" s="47" t="str">
        <f t="shared" si="98"/>
        <v>Wokingham</v>
      </c>
      <c r="AC78" s="46">
        <v>22</v>
      </c>
      <c r="AD78" s="47" t="str">
        <f t="shared" si="81"/>
        <v>WokinghamProportion (%)</v>
      </c>
      <c r="AE78" s="48" t="b">
        <f t="shared" si="110"/>
        <v>0</v>
      </c>
      <c r="AF78" s="51">
        <f t="shared" ref="AF78:BA78" si="113">IF(ISERROR(AF30/$BA30*100),NA(),AF30/$BA30*100)</f>
        <v>8.4090909090909083</v>
      </c>
      <c r="AG78" s="52" t="e">
        <f t="shared" si="113"/>
        <v>#N/A</v>
      </c>
      <c r="AH78" s="52" t="e">
        <f t="shared" si="113"/>
        <v>#N/A</v>
      </c>
      <c r="AI78" s="52" t="e">
        <f t="shared" si="113"/>
        <v>#N/A</v>
      </c>
      <c r="AJ78" s="52">
        <f t="shared" si="113"/>
        <v>20.397727272727273</v>
      </c>
      <c r="AK78" s="52" t="e">
        <f t="shared" si="113"/>
        <v>#N/A</v>
      </c>
      <c r="AL78" s="52">
        <f t="shared" si="113"/>
        <v>12.556818181818183</v>
      </c>
      <c r="AM78" s="52" t="e">
        <f t="shared" si="113"/>
        <v>#N/A</v>
      </c>
      <c r="AN78" s="52" t="e">
        <f t="shared" si="113"/>
        <v>#N/A</v>
      </c>
      <c r="AO78" s="52" t="e">
        <f t="shared" si="113"/>
        <v>#N/A</v>
      </c>
      <c r="AP78" s="52" t="e">
        <f t="shared" si="113"/>
        <v>#N/A</v>
      </c>
      <c r="AQ78" s="52" t="e">
        <f t="shared" si="113"/>
        <v>#N/A</v>
      </c>
      <c r="AR78" s="52">
        <f t="shared" si="113"/>
        <v>0.625</v>
      </c>
      <c r="AS78" s="52">
        <f t="shared" si="113"/>
        <v>13.693181818181818</v>
      </c>
      <c r="AT78" s="52" t="e">
        <f t="shared" si="113"/>
        <v>#N/A</v>
      </c>
      <c r="AU78" s="52" t="e">
        <f t="shared" si="113"/>
        <v>#N/A</v>
      </c>
      <c r="AV78" s="52">
        <f t="shared" si="113"/>
        <v>36.420454545454547</v>
      </c>
      <c r="AW78" s="52">
        <f t="shared" si="113"/>
        <v>2.5</v>
      </c>
      <c r="AX78" s="52">
        <f t="shared" si="113"/>
        <v>3.9772727272727271</v>
      </c>
      <c r="AY78" s="52">
        <f t="shared" si="113"/>
        <v>1.4204545454545454</v>
      </c>
      <c r="AZ78" s="53" t="e">
        <f t="shared" si="113"/>
        <v>#N/A</v>
      </c>
      <c r="BA78" s="56">
        <f t="shared" si="113"/>
        <v>100</v>
      </c>
    </row>
    <row r="79" spans="1:55" ht="15.75" customHeight="1" x14ac:dyDescent="0.2">
      <c r="A79" s="278"/>
      <c r="B79" s="175" t="str">
        <f>Sheet1!$K$7</f>
        <v>East Sussex</v>
      </c>
      <c r="C79" s="9"/>
      <c r="D79" s="1844"/>
      <c r="E79" s="1844"/>
      <c r="F79" s="1844"/>
      <c r="G79" s="1844"/>
      <c r="H79" s="1844"/>
      <c r="I79" s="1844"/>
      <c r="J79" s="1844"/>
      <c r="K79" s="1844"/>
      <c r="L79" s="1844"/>
      <c r="M79" s="1844"/>
      <c r="N79" s="1844"/>
      <c r="O79" s="1844"/>
      <c r="P79" s="1844"/>
      <c r="Q79" s="1844"/>
      <c r="R79" s="1844"/>
      <c r="S79" s="1844"/>
      <c r="T79" s="1844"/>
      <c r="U79" s="1844"/>
      <c r="V79" s="1844"/>
      <c r="W79" s="1890"/>
      <c r="X79" s="9"/>
      <c r="Y79" s="117"/>
      <c r="Z79" s="137"/>
      <c r="AA79" s="74"/>
      <c r="AB79" s="47" t="str">
        <f t="shared" si="98"/>
        <v>South East</v>
      </c>
      <c r="AC79" s="46">
        <v>23</v>
      </c>
      <c r="AD79" s="47" t="str">
        <f t="shared" si="81"/>
        <v>South EastProportion (%)</v>
      </c>
      <c r="AE79" s="48" t="b">
        <f t="shared" si="110"/>
        <v>0</v>
      </c>
      <c r="AF79" s="51">
        <f t="shared" ref="AF79:BA80" si="114">IF(ISERROR(AF31/$BA31*100),NA(),AF31/$BA31*100)</f>
        <v>8.2491082045184303</v>
      </c>
      <c r="AG79" s="52">
        <f t="shared" si="114"/>
        <v>0</v>
      </c>
      <c r="AH79" s="52">
        <f t="shared" si="114"/>
        <v>0</v>
      </c>
      <c r="AI79" s="52">
        <f t="shared" si="114"/>
        <v>0</v>
      </c>
      <c r="AJ79" s="52">
        <f t="shared" si="114"/>
        <v>19.99195635447996</v>
      </c>
      <c r="AK79" s="52">
        <f t="shared" si="114"/>
        <v>1.439113100650486</v>
      </c>
      <c r="AL79" s="52">
        <f t="shared" si="114"/>
        <v>14.306323004826188</v>
      </c>
      <c r="AM79" s="52">
        <f t="shared" si="114"/>
        <v>0</v>
      </c>
      <c r="AN79" s="52">
        <f t="shared" si="114"/>
        <v>0</v>
      </c>
      <c r="AO79" s="52">
        <f t="shared" si="114"/>
        <v>0</v>
      </c>
      <c r="AP79" s="52">
        <f t="shared" si="114"/>
        <v>0</v>
      </c>
      <c r="AQ79" s="52">
        <f t="shared" si="114"/>
        <v>0</v>
      </c>
      <c r="AR79" s="52">
        <f t="shared" si="114"/>
        <v>1.4478561936070504</v>
      </c>
      <c r="AS79" s="52">
        <f t="shared" si="114"/>
        <v>13.2886269846821</v>
      </c>
      <c r="AT79" s="52">
        <f t="shared" si="114"/>
        <v>0</v>
      </c>
      <c r="AU79" s="52">
        <f t="shared" si="114"/>
        <v>0</v>
      </c>
      <c r="AV79" s="52">
        <f t="shared" si="114"/>
        <v>29.63209064838777</v>
      </c>
      <c r="AW79" s="52">
        <f t="shared" si="114"/>
        <v>3.5470728124781421</v>
      </c>
      <c r="AX79" s="52">
        <f t="shared" si="114"/>
        <v>4.9704483458068127</v>
      </c>
      <c r="AY79" s="52">
        <f t="shared" si="114"/>
        <v>1.7451213541302371</v>
      </c>
      <c r="AZ79" s="53">
        <f t="shared" si="114"/>
        <v>1.382282996432818</v>
      </c>
      <c r="BA79" s="56">
        <f t="shared" si="114"/>
        <v>100</v>
      </c>
    </row>
    <row r="80" spans="1:55" ht="15.75" customHeight="1" x14ac:dyDescent="0.2">
      <c r="A80" s="278"/>
      <c r="B80" s="175" t="str">
        <f>Sheet1!$K$8</f>
        <v>Hampshire</v>
      </c>
      <c r="C80" s="9"/>
      <c r="D80" s="1844"/>
      <c r="E80" s="1846"/>
      <c r="F80" s="1844"/>
      <c r="G80" s="1846"/>
      <c r="H80" s="1844"/>
      <c r="I80" s="1846"/>
      <c r="J80" s="1844"/>
      <c r="K80" s="1846"/>
      <c r="L80" s="1844"/>
      <c r="M80" s="1846"/>
      <c r="N80" s="1844"/>
      <c r="O80" s="1846"/>
      <c r="P80" s="1844"/>
      <c r="Q80" s="1846"/>
      <c r="R80" s="1844"/>
      <c r="S80" s="1846"/>
      <c r="T80" s="1844"/>
      <c r="U80" s="1846"/>
      <c r="V80" s="1844"/>
      <c r="W80" s="1845"/>
      <c r="X80" s="9"/>
      <c r="Y80" s="117"/>
      <c r="Z80" s="137"/>
      <c r="AA80" s="74"/>
      <c r="AB80" s="47" t="str">
        <f t="shared" si="98"/>
        <v>England</v>
      </c>
      <c r="AC80" s="640">
        <v>24</v>
      </c>
      <c r="AD80" s="47" t="str">
        <f t="shared" ref="AD80" si="115">CONCATENATE(AB80,$AB$7)</f>
        <v>EnglandProportion (%)</v>
      </c>
      <c r="AE80" s="48" t="b">
        <f t="shared" ref="AE80" si="116">IF(AB80=$AA$6,1)</f>
        <v>0</v>
      </c>
      <c r="AF80" s="51">
        <f t="shared" si="114"/>
        <v>8.1324457992472556</v>
      </c>
      <c r="AG80" s="52" t="e">
        <f t="shared" si="114"/>
        <v>#N/A</v>
      </c>
      <c r="AH80" s="52" t="e">
        <f t="shared" si="114"/>
        <v>#N/A</v>
      </c>
      <c r="AI80" s="52" t="e">
        <f t="shared" si="114"/>
        <v>#N/A</v>
      </c>
      <c r="AJ80" s="52">
        <f t="shared" si="114"/>
        <v>18.198077700706087</v>
      </c>
      <c r="AK80" s="52">
        <f t="shared" si="114"/>
        <v>2.1198171016205793</v>
      </c>
      <c r="AL80" s="52">
        <f t="shared" si="114"/>
        <v>14.977137702572396</v>
      </c>
      <c r="AM80" s="52" t="e">
        <f t="shared" si="114"/>
        <v>#N/A</v>
      </c>
      <c r="AN80" s="52" t="e">
        <f t="shared" si="114"/>
        <v>#N/A</v>
      </c>
      <c r="AO80" s="52" t="e">
        <f t="shared" si="114"/>
        <v>#N/A</v>
      </c>
      <c r="AP80" s="52" t="e">
        <f t="shared" si="114"/>
        <v>#N/A</v>
      </c>
      <c r="AQ80" s="52" t="e">
        <f t="shared" si="114"/>
        <v>#N/A</v>
      </c>
      <c r="AR80" s="52">
        <f t="shared" si="114"/>
        <v>1.2908644125789295</v>
      </c>
      <c r="AS80" s="52">
        <f t="shared" si="114"/>
        <v>14.123300880276213</v>
      </c>
      <c r="AT80" s="52" t="e">
        <f t="shared" si="114"/>
        <v>#N/A</v>
      </c>
      <c r="AU80" s="52" t="e">
        <f t="shared" si="114"/>
        <v>#N/A</v>
      </c>
      <c r="AV80" s="52">
        <f t="shared" si="114"/>
        <v>28.734952875672647</v>
      </c>
      <c r="AW80" s="52">
        <f t="shared" si="114"/>
        <v>3.9161404709322216</v>
      </c>
      <c r="AX80" s="52">
        <f t="shared" si="114"/>
        <v>4.9192820927556067</v>
      </c>
      <c r="AY80" s="52">
        <f t="shared" si="114"/>
        <v>2.1415907182182963</v>
      </c>
      <c r="AZ80" s="53">
        <f t="shared" si="114"/>
        <v>1.4463902454197641</v>
      </c>
      <c r="BA80" s="56">
        <f t="shared" si="114"/>
        <v>100</v>
      </c>
    </row>
    <row r="81" spans="1:55" ht="15.75" customHeight="1" x14ac:dyDescent="0.2">
      <c r="A81" s="278"/>
      <c r="B81" s="175" t="str">
        <f>Sheet1!$K$9</f>
        <v>Isle of Wight</v>
      </c>
      <c r="C81" s="9"/>
      <c r="D81" s="1844"/>
      <c r="E81" s="1844"/>
      <c r="F81" s="1844"/>
      <c r="G81" s="1844"/>
      <c r="H81" s="1844"/>
      <c r="I81" s="1844"/>
      <c r="J81" s="1844"/>
      <c r="K81" s="1844"/>
      <c r="L81" s="1844"/>
      <c r="M81" s="1844"/>
      <c r="N81" s="1844"/>
      <c r="O81" s="1844"/>
      <c r="P81" s="1844"/>
      <c r="Q81" s="1844"/>
      <c r="R81" s="1844"/>
      <c r="S81" s="1844"/>
      <c r="T81" s="1844"/>
      <c r="U81" s="1844"/>
      <c r="V81" s="1844"/>
      <c r="W81" s="1890"/>
      <c r="X81" s="9"/>
      <c r="Y81" s="117"/>
      <c r="Z81" s="137"/>
      <c r="AA81" s="74"/>
      <c r="AB81" s="47"/>
      <c r="AC81" s="640"/>
      <c r="AD81" s="641"/>
      <c r="AE81" s="642"/>
      <c r="AF81" s="643"/>
      <c r="AG81" s="643"/>
      <c r="AH81" s="643"/>
      <c r="AI81" s="643"/>
      <c r="AJ81" s="643"/>
      <c r="AK81" s="643"/>
      <c r="AL81" s="643"/>
      <c r="AM81" s="643"/>
      <c r="AN81" s="643"/>
      <c r="AO81" s="643"/>
      <c r="AP81" s="643"/>
      <c r="AQ81" s="643"/>
      <c r="AR81" s="643"/>
      <c r="AS81" s="643"/>
      <c r="AT81" s="643"/>
      <c r="AU81" s="643"/>
      <c r="AV81" s="643"/>
      <c r="AW81" s="643"/>
      <c r="AX81" s="643"/>
      <c r="AY81" s="643"/>
      <c r="AZ81" s="643"/>
      <c r="BA81" s="640"/>
    </row>
    <row r="82" spans="1:55" ht="15.75" customHeight="1" x14ac:dyDescent="0.2">
      <c r="A82" s="278"/>
      <c r="B82" s="175" t="str">
        <f>Sheet1!$K$10</f>
        <v>Kent</v>
      </c>
      <c r="C82" s="9"/>
      <c r="D82" s="1844"/>
      <c r="E82" s="1846"/>
      <c r="F82" s="1844"/>
      <c r="G82" s="1846"/>
      <c r="H82" s="1844"/>
      <c r="I82" s="1846"/>
      <c r="J82" s="1844"/>
      <c r="K82" s="1846"/>
      <c r="L82" s="1844"/>
      <c r="M82" s="1846"/>
      <c r="N82" s="1844"/>
      <c r="O82" s="1846"/>
      <c r="P82" s="1844"/>
      <c r="Q82" s="1846"/>
      <c r="R82" s="1844"/>
      <c r="S82" s="1846"/>
      <c r="T82" s="1844"/>
      <c r="U82" s="1846"/>
      <c r="V82" s="1844"/>
      <c r="W82" s="1845"/>
      <c r="X82" s="9"/>
      <c r="Y82" s="117"/>
      <c r="Z82" s="137"/>
      <c r="AA82" s="74"/>
      <c r="AB82" s="1851" t="s">
        <v>96</v>
      </c>
      <c r="AC82" s="81">
        <v>0.5</v>
      </c>
      <c r="AD82" s="194">
        <f>IF(AB8="Number",NA(),D63)</f>
        <v>8.2491082045184303</v>
      </c>
      <c r="AM82" s="184"/>
      <c r="AN82" s="184"/>
      <c r="AO82" s="184"/>
      <c r="AP82" s="184"/>
      <c r="AQ82" s="184"/>
    </row>
    <row r="83" spans="1:55" ht="15.75" customHeight="1" x14ac:dyDescent="0.2">
      <c r="A83" s="278"/>
      <c r="B83" s="175" t="str">
        <f>Sheet1!$K$11</f>
        <v>Medway</v>
      </c>
      <c r="C83" s="9"/>
      <c r="D83" s="1844"/>
      <c r="E83" s="1844"/>
      <c r="F83" s="1844"/>
      <c r="G83" s="1844"/>
      <c r="H83" s="1844"/>
      <c r="I83" s="1844"/>
      <c r="J83" s="1844"/>
      <c r="K83" s="1844"/>
      <c r="L83" s="1844"/>
      <c r="M83" s="1844"/>
      <c r="N83" s="1844"/>
      <c r="O83" s="1844"/>
      <c r="P83" s="1844"/>
      <c r="Q83" s="1844"/>
      <c r="R83" s="1844"/>
      <c r="S83" s="1844"/>
      <c r="T83" s="1844"/>
      <c r="U83" s="1844"/>
      <c r="V83" s="1844"/>
      <c r="W83" s="1890"/>
      <c r="X83" s="9"/>
      <c r="Y83" s="117"/>
      <c r="Z83" s="137"/>
      <c r="AA83" s="74"/>
      <c r="AB83" s="1853"/>
      <c r="AC83" s="81">
        <v>23.5</v>
      </c>
      <c r="AD83" s="195">
        <f>AD82</f>
        <v>8.2491082045184303</v>
      </c>
      <c r="AM83" s="184"/>
      <c r="AN83" s="184"/>
      <c r="AO83" s="184"/>
      <c r="AP83" s="184"/>
      <c r="AQ83" s="184"/>
    </row>
    <row r="84" spans="1:55" ht="15.75" customHeight="1" x14ac:dyDescent="0.2">
      <c r="A84" s="278"/>
      <c r="B84" s="175" t="str">
        <f>Sheet1!$K$12</f>
        <v>Milton Keynes</v>
      </c>
      <c r="C84" s="9"/>
      <c r="D84" s="1844"/>
      <c r="E84" s="1846"/>
      <c r="F84" s="1844"/>
      <c r="G84" s="1846"/>
      <c r="H84" s="1844"/>
      <c r="I84" s="1846"/>
      <c r="J84" s="1844"/>
      <c r="K84" s="1846"/>
      <c r="L84" s="1844"/>
      <c r="M84" s="1846"/>
      <c r="N84" s="1844"/>
      <c r="O84" s="1846"/>
      <c r="P84" s="1844"/>
      <c r="Q84" s="1846"/>
      <c r="R84" s="1844"/>
      <c r="S84" s="1846"/>
      <c r="T84" s="1844"/>
      <c r="U84" s="1846"/>
      <c r="V84" s="1844"/>
      <c r="W84" s="1845"/>
      <c r="X84" s="9"/>
      <c r="Y84" s="117"/>
      <c r="Z84" s="137"/>
      <c r="AA84" s="74"/>
      <c r="AB84" s="1851" t="s">
        <v>38</v>
      </c>
      <c r="AC84" s="81">
        <v>0.5</v>
      </c>
      <c r="AD84" s="194">
        <f>IF($AB$8="Number",NA(),F63)</f>
        <v>21.431069455130448</v>
      </c>
      <c r="AH84" s="188"/>
      <c r="AI84" s="188"/>
      <c r="AJ84" s="188"/>
      <c r="AK84" s="188"/>
      <c r="AL84" s="188"/>
      <c r="AM84" s="184"/>
      <c r="AN84" s="184"/>
      <c r="AO84" s="184"/>
      <c r="AP84" s="184"/>
      <c r="AQ84" s="184"/>
      <c r="AR84" s="76"/>
      <c r="AS84" s="76"/>
      <c r="AT84" s="76"/>
      <c r="AU84" s="76"/>
      <c r="AV84" s="76"/>
      <c r="AW84" s="76"/>
      <c r="AX84" s="76"/>
      <c r="AY84" s="76"/>
      <c r="AZ84" s="76"/>
      <c r="BA84" s="76"/>
    </row>
    <row r="85" spans="1:55" ht="15.75" customHeight="1" x14ac:dyDescent="0.2">
      <c r="A85" s="278"/>
      <c r="B85" s="175" t="str">
        <f>Sheet1!$K$13</f>
        <v>Oxfordshire</v>
      </c>
      <c r="C85" s="9"/>
      <c r="D85" s="1844"/>
      <c r="E85" s="1846"/>
      <c r="F85" s="1844"/>
      <c r="G85" s="1846"/>
      <c r="H85" s="1844"/>
      <c r="I85" s="1846"/>
      <c r="J85" s="1844"/>
      <c r="K85" s="1846"/>
      <c r="L85" s="1844"/>
      <c r="M85" s="1846"/>
      <c r="N85" s="1844"/>
      <c r="O85" s="1846"/>
      <c r="P85" s="1844"/>
      <c r="Q85" s="1844"/>
      <c r="R85" s="1844"/>
      <c r="S85" s="1844"/>
      <c r="T85" s="1844"/>
      <c r="U85" s="1844"/>
      <c r="V85" s="1844"/>
      <c r="W85" s="1890"/>
      <c r="X85" s="9"/>
      <c r="Y85" s="117"/>
      <c r="Z85" s="137"/>
      <c r="AA85" s="74"/>
      <c r="AB85" s="1853"/>
      <c r="AC85" s="81">
        <f>$AC$83</f>
        <v>23.5</v>
      </c>
      <c r="AD85" s="195">
        <f>AD84</f>
        <v>21.431069455130448</v>
      </c>
      <c r="AE85" s="196"/>
      <c r="AF85" s="197"/>
      <c r="AG85" s="197"/>
      <c r="AM85" s="184"/>
      <c r="AN85" s="184"/>
      <c r="AO85" s="184"/>
      <c r="AP85" s="184"/>
      <c r="AQ85" s="184"/>
    </row>
    <row r="86" spans="1:55" s="81" customFormat="1" ht="15.75" customHeight="1" x14ac:dyDescent="0.2">
      <c r="A86" s="278"/>
      <c r="B86" s="175" t="str">
        <f>Sheet1!$K$14</f>
        <v>Portsmouth</v>
      </c>
      <c r="C86" s="9"/>
      <c r="D86" s="1844"/>
      <c r="E86" s="1846"/>
      <c r="F86" s="1844"/>
      <c r="G86" s="1846"/>
      <c r="H86" s="1844"/>
      <c r="I86" s="1846"/>
      <c r="J86" s="1844"/>
      <c r="K86" s="1846"/>
      <c r="L86" s="1844"/>
      <c r="M86" s="1846"/>
      <c r="N86" s="1844"/>
      <c r="O86" s="1846"/>
      <c r="P86" s="1844"/>
      <c r="Q86" s="1846"/>
      <c r="R86" s="1844"/>
      <c r="S86" s="1846"/>
      <c r="T86" s="1844"/>
      <c r="U86" s="1846"/>
      <c r="V86" s="1844"/>
      <c r="W86" s="1845"/>
      <c r="X86" s="14"/>
      <c r="Y86" s="117"/>
      <c r="Z86" s="137"/>
      <c r="AB86" s="1851" t="s">
        <v>105</v>
      </c>
      <c r="AC86" s="81">
        <v>0.5</v>
      </c>
      <c r="AD86" s="194">
        <f>IF($AB$8="Number",NA(),H$63)</f>
        <v>14.306323004826188</v>
      </c>
      <c r="AH86" s="188"/>
      <c r="AI86" s="188"/>
      <c r="AJ86" s="188"/>
      <c r="AK86" s="188"/>
      <c r="AL86" s="188"/>
      <c r="AM86" s="184"/>
      <c r="AN86" s="184"/>
      <c r="AO86" s="184"/>
      <c r="AP86" s="184"/>
      <c r="AQ86" s="184"/>
      <c r="AR86" s="87"/>
      <c r="AS86" s="87"/>
      <c r="AT86" s="87"/>
      <c r="AU86" s="87"/>
      <c r="AV86" s="87"/>
      <c r="AW86" s="87"/>
      <c r="AX86" s="87"/>
      <c r="AY86" s="87"/>
      <c r="AZ86" s="87"/>
      <c r="BA86" s="87"/>
      <c r="BB86" s="74"/>
      <c r="BC86" s="74"/>
    </row>
    <row r="87" spans="1:55" s="81" customFormat="1" ht="15.75" customHeight="1" x14ac:dyDescent="0.2">
      <c r="A87" s="278"/>
      <c r="B87" s="175" t="str">
        <f>Sheet1!$K$15</f>
        <v>Reading</v>
      </c>
      <c r="C87" s="9"/>
      <c r="D87" s="1844"/>
      <c r="E87" s="1844"/>
      <c r="F87" s="1844"/>
      <c r="G87" s="1844"/>
      <c r="H87" s="1844"/>
      <c r="I87" s="1844"/>
      <c r="J87" s="1844"/>
      <c r="K87" s="1844"/>
      <c r="L87" s="1844"/>
      <c r="M87" s="1844"/>
      <c r="N87" s="1844"/>
      <c r="O87" s="1844"/>
      <c r="P87" s="1844"/>
      <c r="Q87" s="1844"/>
      <c r="R87" s="1844"/>
      <c r="S87" s="1844"/>
      <c r="T87" s="1844"/>
      <c r="U87" s="1844"/>
      <c r="V87" s="1844"/>
      <c r="W87" s="1890"/>
      <c r="X87" s="14"/>
      <c r="Y87" s="117"/>
      <c r="Z87" s="137"/>
      <c r="AB87" s="1853"/>
      <c r="AC87" s="81">
        <f>$AC$83</f>
        <v>23.5</v>
      </c>
      <c r="AD87" s="195">
        <f>AD86</f>
        <v>14.306323004826188</v>
      </c>
      <c r="AE87" s="196"/>
      <c r="AF87" s="197"/>
      <c r="AG87" s="197"/>
      <c r="AM87" s="184"/>
      <c r="AN87" s="184"/>
      <c r="AO87" s="184"/>
      <c r="AP87" s="184"/>
      <c r="AQ87" s="184"/>
      <c r="AR87" s="87"/>
      <c r="AS87" s="87"/>
      <c r="AT87" s="87"/>
      <c r="AU87" s="87"/>
      <c r="AV87" s="87"/>
      <c r="AW87" s="87"/>
      <c r="AX87" s="87"/>
      <c r="AY87" s="87"/>
      <c r="AZ87" s="87"/>
      <c r="BA87" s="87"/>
      <c r="BB87" s="74"/>
    </row>
    <row r="88" spans="1:55" s="81" customFormat="1" ht="15.75" customHeight="1" x14ac:dyDescent="0.2">
      <c r="A88" s="278"/>
      <c r="B88" s="175" t="str">
        <f>Sheet1!$K$16</f>
        <v>Slough</v>
      </c>
      <c r="C88" s="9"/>
      <c r="D88" s="1844"/>
      <c r="E88" s="1846"/>
      <c r="F88" s="1844"/>
      <c r="G88" s="1846"/>
      <c r="H88" s="1844"/>
      <c r="I88" s="1846"/>
      <c r="J88" s="1844"/>
      <c r="K88" s="1846"/>
      <c r="L88" s="1844"/>
      <c r="M88" s="1846"/>
      <c r="N88" s="1844"/>
      <c r="O88" s="1846"/>
      <c r="P88" s="1844"/>
      <c r="Q88" s="1846"/>
      <c r="R88" s="1844"/>
      <c r="S88" s="1846"/>
      <c r="T88" s="1844"/>
      <c r="U88" s="1846"/>
      <c r="V88" s="1844"/>
      <c r="W88" s="1845"/>
      <c r="X88" s="14"/>
      <c r="Y88" s="117"/>
      <c r="Z88" s="137"/>
      <c r="AB88" s="1851" t="s">
        <v>46</v>
      </c>
      <c r="AC88" s="81">
        <v>0.5</v>
      </c>
      <c r="AD88" s="194">
        <f>IF($AB$8="Number",NA(),J$63)</f>
        <v>1.4478561936070504</v>
      </c>
      <c r="AH88" s="188"/>
      <c r="AI88" s="188"/>
      <c r="AJ88" s="188"/>
      <c r="AK88" s="188"/>
      <c r="AL88" s="188"/>
      <c r="AM88" s="184"/>
      <c r="AN88" s="184"/>
      <c r="AO88" s="184"/>
      <c r="AP88" s="184"/>
      <c r="AQ88" s="184"/>
      <c r="AR88" s="87"/>
      <c r="AS88" s="87"/>
      <c r="AT88" s="87"/>
      <c r="AU88" s="87"/>
      <c r="AV88" s="87"/>
      <c r="AW88" s="87"/>
      <c r="AX88" s="87"/>
      <c r="AY88" s="87"/>
      <c r="AZ88" s="87"/>
      <c r="BA88" s="87"/>
      <c r="BB88" s="74"/>
    </row>
    <row r="89" spans="1:55" s="81" customFormat="1" ht="15.75" customHeight="1" x14ac:dyDescent="0.2">
      <c r="A89" s="278"/>
      <c r="B89" s="175" t="str">
        <f>Sheet1!$K$17</f>
        <v>Somerset</v>
      </c>
      <c r="C89" s="9"/>
      <c r="D89" s="1844"/>
      <c r="E89" s="1846"/>
      <c r="F89" s="1844"/>
      <c r="G89" s="1846"/>
      <c r="H89" s="1844"/>
      <c r="I89" s="1846"/>
      <c r="J89" s="1844"/>
      <c r="K89" s="1846"/>
      <c r="L89" s="1844"/>
      <c r="M89" s="1846"/>
      <c r="N89" s="1844"/>
      <c r="O89" s="1846"/>
      <c r="P89" s="1844"/>
      <c r="Q89" s="1846"/>
      <c r="R89" s="1844"/>
      <c r="S89" s="1846"/>
      <c r="T89" s="1844"/>
      <c r="U89" s="1846"/>
      <c r="V89" s="1844"/>
      <c r="W89" s="1845"/>
      <c r="X89" s="14"/>
      <c r="Y89" s="117"/>
      <c r="Z89" s="137"/>
      <c r="AB89" s="1853"/>
      <c r="AC89" s="81">
        <f>$AC$83</f>
        <v>23.5</v>
      </c>
      <c r="AD89" s="195">
        <f>AD88</f>
        <v>1.4478561936070504</v>
      </c>
      <c r="AE89" s="196"/>
      <c r="AF89" s="197"/>
      <c r="AG89" s="197"/>
      <c r="AM89" s="184"/>
      <c r="AN89" s="184"/>
      <c r="AO89" s="184"/>
      <c r="AP89" s="184"/>
      <c r="AQ89" s="184"/>
      <c r="AR89" s="87"/>
      <c r="AS89" s="87"/>
      <c r="AT89" s="87"/>
      <c r="AU89" s="87"/>
      <c r="AV89" s="87"/>
      <c r="AW89" s="87"/>
      <c r="AX89" s="87"/>
      <c r="AY89" s="87"/>
      <c r="AZ89" s="87"/>
      <c r="BA89" s="87"/>
    </row>
    <row r="90" spans="1:55" s="81" customFormat="1" ht="15.75" customHeight="1" x14ac:dyDescent="0.2">
      <c r="A90" s="278"/>
      <c r="B90" s="175" t="str">
        <f>Sheet1!$K$18</f>
        <v>Southampton</v>
      </c>
      <c r="C90" s="9"/>
      <c r="D90" s="1844"/>
      <c r="E90" s="1846"/>
      <c r="F90" s="1844"/>
      <c r="G90" s="1846"/>
      <c r="H90" s="1844"/>
      <c r="I90" s="1846"/>
      <c r="J90" s="1844"/>
      <c r="K90" s="1846"/>
      <c r="L90" s="1844"/>
      <c r="M90" s="1846"/>
      <c r="N90" s="1844"/>
      <c r="O90" s="1846"/>
      <c r="P90" s="1844"/>
      <c r="Q90" s="1846"/>
      <c r="R90" s="1844"/>
      <c r="S90" s="1846"/>
      <c r="T90" s="1844"/>
      <c r="U90" s="1846"/>
      <c r="V90" s="1844"/>
      <c r="W90" s="1845"/>
      <c r="X90" s="14"/>
      <c r="Y90" s="117"/>
      <c r="Z90" s="137"/>
      <c r="AB90" s="1851" t="s">
        <v>106</v>
      </c>
      <c r="AC90" s="81">
        <v>0.5</v>
      </c>
      <c r="AD90" s="194">
        <f>IF($AB$8="Number",NA(),L$63)</f>
        <v>13.2886269846821</v>
      </c>
      <c r="AH90" s="188"/>
      <c r="AI90" s="188"/>
      <c r="AJ90" s="188"/>
      <c r="AK90" s="188"/>
      <c r="AL90" s="188"/>
      <c r="AM90" s="184"/>
      <c r="AN90" s="184"/>
      <c r="AO90" s="184"/>
      <c r="AP90" s="184"/>
      <c r="AQ90" s="184"/>
      <c r="AR90" s="87"/>
      <c r="AS90" s="87"/>
      <c r="AT90" s="87"/>
      <c r="AU90" s="87"/>
      <c r="AV90" s="87"/>
      <c r="AW90" s="87"/>
      <c r="AX90" s="87"/>
      <c r="AY90" s="87"/>
      <c r="AZ90" s="87"/>
      <c r="BA90" s="87"/>
    </row>
    <row r="91" spans="1:55" s="81" customFormat="1" ht="15.75" customHeight="1" x14ac:dyDescent="0.2">
      <c r="A91" s="278"/>
      <c r="B91" s="175" t="str">
        <f>Sheet1!$K$19</f>
        <v>Surrey</v>
      </c>
      <c r="C91" s="9"/>
      <c r="D91" s="1844"/>
      <c r="E91" s="1846"/>
      <c r="F91" s="1844"/>
      <c r="G91" s="1846"/>
      <c r="H91" s="1844"/>
      <c r="I91" s="1846"/>
      <c r="J91" s="1844"/>
      <c r="K91" s="1846"/>
      <c r="L91" s="1844"/>
      <c r="M91" s="1846"/>
      <c r="N91" s="1844"/>
      <c r="O91" s="1846"/>
      <c r="P91" s="1844"/>
      <c r="Q91" s="1846"/>
      <c r="R91" s="1844"/>
      <c r="S91" s="1846"/>
      <c r="T91" s="1844"/>
      <c r="U91" s="1846"/>
      <c r="V91" s="1844"/>
      <c r="W91" s="1845"/>
      <c r="X91" s="14"/>
      <c r="Y91" s="117"/>
      <c r="Z91" s="137"/>
      <c r="AB91" s="1853"/>
      <c r="AC91" s="81">
        <f>$AC$83</f>
        <v>23.5</v>
      </c>
      <c r="AD91" s="195">
        <f>AD90</f>
        <v>13.2886269846821</v>
      </c>
      <c r="AE91" s="196"/>
      <c r="AF91" s="197"/>
      <c r="AG91" s="197"/>
      <c r="AM91" s="184"/>
      <c r="AN91" s="184"/>
      <c r="AO91" s="184"/>
      <c r="AP91" s="184"/>
      <c r="AQ91" s="184"/>
      <c r="AR91" s="87"/>
      <c r="AS91" s="87"/>
      <c r="AT91" s="87"/>
      <c r="AU91" s="87"/>
      <c r="AV91" s="87"/>
      <c r="AW91" s="87"/>
      <c r="AX91" s="87"/>
      <c r="AY91" s="87"/>
      <c r="AZ91" s="87"/>
      <c r="BA91" s="87"/>
    </row>
    <row r="92" spans="1:55" s="81" customFormat="1" ht="15.75" customHeight="1" x14ac:dyDescent="0.2">
      <c r="A92" s="278"/>
      <c r="B92" s="175" t="str">
        <f>Sheet1!$K$20</f>
        <v>Swindon</v>
      </c>
      <c r="C92" s="9"/>
      <c r="D92" s="1844"/>
      <c r="E92" s="1846"/>
      <c r="F92" s="1844"/>
      <c r="G92" s="1846"/>
      <c r="H92" s="1844"/>
      <c r="I92" s="1846"/>
      <c r="J92" s="1844"/>
      <c r="K92" s="1846"/>
      <c r="L92" s="1844"/>
      <c r="M92" s="1846"/>
      <c r="N92" s="1844"/>
      <c r="O92" s="1846"/>
      <c r="P92" s="1844"/>
      <c r="Q92" s="1846"/>
      <c r="R92" s="1844"/>
      <c r="S92" s="1846"/>
      <c r="T92" s="1844"/>
      <c r="U92" s="1846"/>
      <c r="V92" s="1844"/>
      <c r="W92" s="1845"/>
      <c r="X92" s="14"/>
      <c r="Y92" s="117"/>
      <c r="Z92" s="137"/>
      <c r="AB92" s="1849" t="s">
        <v>23</v>
      </c>
      <c r="AC92" s="81">
        <v>0.5</v>
      </c>
      <c r="AD92" s="194">
        <f>IF($AB$8="Number",NA(),N$63)</f>
        <v>29.63209064838777</v>
      </c>
      <c r="AH92" s="188"/>
      <c r="AI92" s="188"/>
      <c r="AJ92" s="188"/>
      <c r="AK92" s="188"/>
      <c r="AL92" s="188"/>
      <c r="AM92" s="184"/>
      <c r="AN92" s="184"/>
      <c r="AO92" s="184"/>
      <c r="AP92" s="184"/>
      <c r="AQ92" s="184"/>
      <c r="AR92" s="87"/>
      <c r="AS92" s="87"/>
      <c r="AT92" s="87"/>
      <c r="AU92" s="87"/>
      <c r="AV92" s="87"/>
      <c r="AW92" s="87"/>
      <c r="AX92" s="87"/>
      <c r="AY92" s="87"/>
      <c r="AZ92" s="87"/>
      <c r="BA92" s="87"/>
    </row>
    <row r="93" spans="1:55" s="81" customFormat="1" ht="15.75" customHeight="1" x14ac:dyDescent="0.2">
      <c r="A93" s="278"/>
      <c r="B93" s="175" t="str">
        <f>Sheet1!$K$21</f>
        <v>Torbay</v>
      </c>
      <c r="C93" s="9"/>
      <c r="D93" s="1844"/>
      <c r="E93" s="1844"/>
      <c r="F93" s="1844"/>
      <c r="G93" s="1844"/>
      <c r="H93" s="1844"/>
      <c r="I93" s="1844"/>
      <c r="J93" s="1844"/>
      <c r="K93" s="1844"/>
      <c r="L93" s="1844"/>
      <c r="M93" s="1844"/>
      <c r="N93" s="1844"/>
      <c r="O93" s="1844"/>
      <c r="P93" s="1844"/>
      <c r="Q93" s="1844"/>
      <c r="R93" s="1844"/>
      <c r="S93" s="1844"/>
      <c r="T93" s="1844"/>
      <c r="U93" s="1844"/>
      <c r="V93" s="1844"/>
      <c r="W93" s="1890"/>
      <c r="X93" s="14"/>
      <c r="Y93" s="117"/>
      <c r="Z93" s="137"/>
      <c r="AB93" s="1850"/>
      <c r="AC93" s="81">
        <f>$AC$83</f>
        <v>23.5</v>
      </c>
      <c r="AD93" s="195">
        <f>AD92</f>
        <v>29.63209064838777</v>
      </c>
      <c r="AH93" s="188"/>
      <c r="AI93" s="188"/>
      <c r="AJ93" s="188"/>
      <c r="AK93" s="188"/>
      <c r="AL93" s="188"/>
      <c r="AM93" s="184"/>
      <c r="AN93" s="184"/>
      <c r="AO93" s="184"/>
      <c r="AP93" s="184"/>
      <c r="AQ93" s="184"/>
      <c r="AR93" s="87"/>
      <c r="AS93" s="87"/>
      <c r="AT93" s="87"/>
      <c r="AU93" s="87"/>
      <c r="AV93" s="87"/>
      <c r="AW93" s="87"/>
      <c r="AX93" s="87"/>
      <c r="AY93" s="87"/>
      <c r="AZ93" s="87"/>
      <c r="BA93" s="87"/>
    </row>
    <row r="94" spans="1:55" s="81" customFormat="1" ht="15.75" customHeight="1" x14ac:dyDescent="0.2">
      <c r="A94" s="278"/>
      <c r="B94" s="175" t="str">
        <f>Sheet1!$K$22</f>
        <v>West Berkshire</v>
      </c>
      <c r="C94" s="9"/>
      <c r="D94" s="1844"/>
      <c r="E94" s="1844"/>
      <c r="F94" s="1844"/>
      <c r="G94" s="1844"/>
      <c r="H94" s="1844"/>
      <c r="I94" s="1844"/>
      <c r="J94" s="1844"/>
      <c r="K94" s="1844"/>
      <c r="L94" s="1844"/>
      <c r="M94" s="1844"/>
      <c r="N94" s="1844"/>
      <c r="O94" s="1844"/>
      <c r="P94" s="1844"/>
      <c r="Q94" s="1844"/>
      <c r="R94" s="1844"/>
      <c r="S94" s="1844"/>
      <c r="T94" s="1844"/>
      <c r="U94" s="1844"/>
      <c r="V94" s="1844"/>
      <c r="W94" s="1890"/>
      <c r="X94" s="14"/>
      <c r="Y94" s="117"/>
      <c r="Z94" s="137"/>
      <c r="AA94" s="183"/>
      <c r="AB94" s="1851" t="s">
        <v>67</v>
      </c>
      <c r="AC94" s="81">
        <v>0.5</v>
      </c>
      <c r="AD94" s="194">
        <f>IF($AB$8="Number",NA(),P$63)</f>
        <v>3.5470728124781421</v>
      </c>
      <c r="AH94" s="188"/>
      <c r="AI94" s="188"/>
      <c r="AJ94" s="188"/>
      <c r="AK94" s="188"/>
      <c r="AL94" s="188"/>
      <c r="AM94" s="184"/>
      <c r="AN94" s="184"/>
      <c r="AO94" s="184"/>
      <c r="AP94" s="184"/>
      <c r="AQ94" s="184"/>
      <c r="AR94" s="87"/>
      <c r="AS94" s="87"/>
      <c r="AT94" s="87"/>
      <c r="AU94" s="87"/>
      <c r="AV94" s="87"/>
      <c r="AW94" s="87"/>
      <c r="AX94" s="87"/>
      <c r="AY94" s="87"/>
      <c r="AZ94" s="87"/>
      <c r="BA94" s="87"/>
    </row>
    <row r="95" spans="1:55" s="81" customFormat="1" ht="15.75" customHeight="1" x14ac:dyDescent="0.2">
      <c r="A95" s="278"/>
      <c r="B95" s="175" t="str">
        <f>Sheet1!$K$23</f>
        <v>West Sussex</v>
      </c>
      <c r="C95" s="9"/>
      <c r="D95" s="1844"/>
      <c r="E95" s="1846"/>
      <c r="F95" s="1844"/>
      <c r="G95" s="1846"/>
      <c r="H95" s="1844"/>
      <c r="I95" s="1846"/>
      <c r="J95" s="1844"/>
      <c r="K95" s="1846"/>
      <c r="L95" s="1844"/>
      <c r="M95" s="1846"/>
      <c r="N95" s="1844"/>
      <c r="O95" s="1846"/>
      <c r="P95" s="1844"/>
      <c r="Q95" s="1846"/>
      <c r="R95" s="1844"/>
      <c r="S95" s="1846"/>
      <c r="T95" s="1844"/>
      <c r="U95" s="1846"/>
      <c r="V95" s="1844"/>
      <c r="W95" s="1845"/>
      <c r="X95" s="14"/>
      <c r="Y95" s="117"/>
      <c r="Z95" s="137"/>
      <c r="AA95" s="183"/>
      <c r="AB95" s="1853"/>
      <c r="AC95" s="81">
        <f>$AC$83</f>
        <v>23.5</v>
      </c>
      <c r="AD95" s="195">
        <f>AD94</f>
        <v>3.5470728124781421</v>
      </c>
      <c r="AE95" s="196"/>
      <c r="AF95" s="197"/>
      <c r="AG95" s="197"/>
      <c r="AM95" s="184"/>
      <c r="AN95" s="184"/>
      <c r="AO95" s="184"/>
      <c r="AP95" s="184"/>
      <c r="AQ95" s="184"/>
      <c r="AR95" s="87"/>
      <c r="AS95" s="87"/>
      <c r="AT95" s="87"/>
      <c r="AU95" s="87"/>
      <c r="AV95" s="87"/>
      <c r="AW95" s="87"/>
      <c r="AX95" s="87"/>
      <c r="AY95" s="87"/>
      <c r="AZ95" s="87"/>
      <c r="BA95" s="87"/>
    </row>
    <row r="96" spans="1:55" ht="15.75" customHeight="1" x14ac:dyDescent="0.2">
      <c r="A96" s="278"/>
      <c r="B96" s="175" t="str">
        <f>Sheet1!$K$24</f>
        <v>Windsor &amp; Maidenhead</v>
      </c>
      <c r="C96" s="9"/>
      <c r="D96" s="1844"/>
      <c r="E96" s="1846"/>
      <c r="F96" s="1844"/>
      <c r="G96" s="1846"/>
      <c r="H96" s="1844"/>
      <c r="I96" s="1846"/>
      <c r="J96" s="1844"/>
      <c r="K96" s="1846"/>
      <c r="L96" s="1844"/>
      <c r="M96" s="1846"/>
      <c r="N96" s="1844"/>
      <c r="O96" s="1846"/>
      <c r="P96" s="1844"/>
      <c r="Q96" s="1846"/>
      <c r="R96" s="1844"/>
      <c r="S96" s="1846"/>
      <c r="T96" s="1844"/>
      <c r="U96" s="1846"/>
      <c r="V96" s="1844"/>
      <c r="W96" s="1845"/>
      <c r="X96" s="14"/>
      <c r="Y96" s="117"/>
      <c r="Z96" s="137"/>
      <c r="AA96" s="183"/>
      <c r="AB96" s="1851" t="s">
        <v>66</v>
      </c>
      <c r="AC96" s="81">
        <v>0.5</v>
      </c>
      <c r="AD96" s="194">
        <f>IF($AB$8="Number",NA(),R$63)</f>
        <v>4.9704483458068127</v>
      </c>
      <c r="AH96" s="188"/>
      <c r="AI96" s="188"/>
      <c r="AJ96" s="188"/>
      <c r="AK96" s="188"/>
      <c r="AL96" s="188"/>
      <c r="AM96" s="184"/>
      <c r="AN96" s="184"/>
      <c r="AO96" s="184"/>
      <c r="AP96" s="184"/>
      <c r="AQ96" s="184"/>
      <c r="AR96" s="87"/>
      <c r="AS96" s="87"/>
      <c r="AT96" s="87"/>
      <c r="AU96" s="87"/>
      <c r="AV96" s="87" t="s">
        <v>102</v>
      </c>
      <c r="AW96" s="87"/>
      <c r="AX96" s="87"/>
      <c r="AY96" s="87"/>
      <c r="AZ96" s="87"/>
      <c r="BA96" s="87"/>
      <c r="BB96" s="81"/>
      <c r="BC96" s="81"/>
    </row>
    <row r="97" spans="1:132" ht="15.75" customHeight="1" x14ac:dyDescent="0.2">
      <c r="A97" s="278"/>
      <c r="B97" s="175" t="str">
        <f>Sheet1!$K$25</f>
        <v>Wokingham</v>
      </c>
      <c r="C97" s="9"/>
      <c r="D97" s="1844"/>
      <c r="E97" s="1846"/>
      <c r="F97" s="1844"/>
      <c r="G97" s="1846"/>
      <c r="H97" s="1844"/>
      <c r="I97" s="1846"/>
      <c r="J97" s="1844"/>
      <c r="K97" s="1846"/>
      <c r="L97" s="1844"/>
      <c r="M97" s="1846"/>
      <c r="N97" s="1844"/>
      <c r="O97" s="1846"/>
      <c r="P97" s="1844"/>
      <c r="Q97" s="1844"/>
      <c r="R97" s="1844"/>
      <c r="S97" s="1844"/>
      <c r="T97" s="1844"/>
      <c r="U97" s="1844"/>
      <c r="V97" s="1844"/>
      <c r="W97" s="1890"/>
      <c r="X97" s="14"/>
      <c r="Y97" s="117"/>
      <c r="Z97" s="137"/>
      <c r="AA97" s="183"/>
      <c r="AB97" s="1853"/>
      <c r="AC97" s="81">
        <f>$AC$83</f>
        <v>23.5</v>
      </c>
      <c r="AD97" s="195">
        <f>AD96</f>
        <v>4.9704483458068127</v>
      </c>
      <c r="AE97" s="196"/>
      <c r="AF97" s="197"/>
      <c r="AG97" s="197"/>
      <c r="AM97" s="184"/>
      <c r="AN97" s="184"/>
      <c r="AO97" s="184"/>
      <c r="AP97" s="184"/>
      <c r="AQ97" s="184"/>
      <c r="AR97" s="87"/>
      <c r="AS97" s="87"/>
      <c r="AT97" s="87"/>
      <c r="AU97" s="87"/>
      <c r="AV97" s="87"/>
      <c r="AW97" s="87"/>
      <c r="AX97" s="87"/>
      <c r="AY97" s="87"/>
      <c r="AZ97" s="87"/>
      <c r="BA97" s="87"/>
      <c r="BB97" s="81"/>
    </row>
    <row r="98" spans="1:132" ht="15.75" customHeight="1" x14ac:dyDescent="0.2">
      <c r="A98" s="278"/>
      <c r="B98" s="175" t="str">
        <f>Sheet1!$K$26</f>
        <v>South East</v>
      </c>
      <c r="C98" s="9"/>
      <c r="D98" s="1844"/>
      <c r="E98" s="1844"/>
      <c r="F98" s="1844"/>
      <c r="G98" s="1844"/>
      <c r="H98" s="1844"/>
      <c r="I98" s="1844"/>
      <c r="J98" s="1844"/>
      <c r="K98" s="1844"/>
      <c r="L98" s="1844"/>
      <c r="M98" s="1844"/>
      <c r="N98" s="1844"/>
      <c r="O98" s="1844"/>
      <c r="P98" s="1844"/>
      <c r="Q98" s="1844"/>
      <c r="R98" s="1844"/>
      <c r="S98" s="1844"/>
      <c r="T98" s="1844"/>
      <c r="U98" s="1844"/>
      <c r="V98" s="1844"/>
      <c r="W98" s="1890"/>
      <c r="X98" s="14"/>
      <c r="Y98" s="117"/>
      <c r="Z98" s="137"/>
      <c r="AA98" s="183"/>
      <c r="AB98" s="1851" t="s">
        <v>64</v>
      </c>
      <c r="AC98" s="81">
        <v>0.5</v>
      </c>
      <c r="AD98" s="194">
        <f>IF($AB$8="Number",NA(),T$63)</f>
        <v>1.7451213541302371</v>
      </c>
      <c r="AH98" s="188"/>
      <c r="AI98" s="188"/>
      <c r="AJ98" s="188"/>
      <c r="AK98" s="188"/>
      <c r="AL98" s="188"/>
      <c r="AM98" s="184"/>
      <c r="AN98" s="184"/>
      <c r="AO98" s="184"/>
      <c r="AP98" s="184"/>
      <c r="AQ98" s="184"/>
      <c r="AR98" s="87"/>
      <c r="AS98" s="87"/>
      <c r="AT98" s="87"/>
      <c r="AU98" s="87"/>
      <c r="AV98" s="87"/>
      <c r="AW98" s="87"/>
      <c r="AX98" s="87"/>
      <c r="AY98" s="87"/>
      <c r="AZ98" s="87"/>
      <c r="BA98" s="87"/>
      <c r="BB98" s="81"/>
    </row>
    <row r="99" spans="1:132" s="87" customFormat="1" ht="15.75" customHeight="1" x14ac:dyDescent="0.2">
      <c r="A99" s="292"/>
      <c r="B99" s="175" t="str">
        <f>Sheet1!$K$27</f>
        <v>England</v>
      </c>
      <c r="C99" s="9"/>
      <c r="D99" s="1891"/>
      <c r="E99" s="1891"/>
      <c r="F99" s="1891"/>
      <c r="G99" s="1891"/>
      <c r="H99" s="1891"/>
      <c r="I99" s="1891"/>
      <c r="J99" s="1891"/>
      <c r="K99" s="1891"/>
      <c r="L99" s="1891"/>
      <c r="M99" s="1891"/>
      <c r="N99" s="1891"/>
      <c r="O99" s="1891"/>
      <c r="P99" s="1891"/>
      <c r="Q99" s="1891"/>
      <c r="R99" s="1891"/>
      <c r="S99" s="1891"/>
      <c r="T99" s="1891"/>
      <c r="U99" s="1891"/>
      <c r="V99" s="1891"/>
      <c r="W99" s="1892"/>
      <c r="X99" s="85"/>
      <c r="Y99" s="122"/>
      <c r="Z99" s="137"/>
      <c r="AA99" s="183"/>
      <c r="AB99" s="1853"/>
      <c r="AC99" s="81">
        <f>$AC$83</f>
        <v>23.5</v>
      </c>
      <c r="AD99" s="195">
        <f>AD98</f>
        <v>1.7451213541302371</v>
      </c>
      <c r="AE99" s="196"/>
      <c r="AF99" s="197"/>
      <c r="AG99" s="197"/>
      <c r="AH99" s="81"/>
      <c r="AI99" s="81"/>
      <c r="AJ99" s="81"/>
      <c r="AK99" s="81"/>
      <c r="AL99" s="81"/>
      <c r="AM99" s="184"/>
      <c r="AN99" s="184"/>
      <c r="AO99" s="184"/>
      <c r="AP99" s="184"/>
      <c r="AQ99" s="184"/>
      <c r="BB99" s="81"/>
      <c r="BC99" s="74"/>
    </row>
    <row r="100" spans="1:132" s="87" customFormat="1" ht="15" customHeight="1" x14ac:dyDescent="0.2">
      <c r="A100" s="292"/>
      <c r="B100" s="123" t="s">
        <v>90</v>
      </c>
      <c r="C100" s="9"/>
      <c r="D100" s="9"/>
      <c r="E100" s="9"/>
      <c r="F100" s="9"/>
      <c r="G100" s="9"/>
      <c r="H100" s="12"/>
      <c r="I100" s="12"/>
      <c r="J100" s="12"/>
      <c r="K100" s="9"/>
      <c r="L100" s="9"/>
      <c r="M100" s="9"/>
      <c r="N100" s="9"/>
      <c r="O100" s="9"/>
      <c r="P100" s="12"/>
      <c r="Q100" s="12"/>
      <c r="R100" s="12"/>
      <c r="S100" s="9"/>
      <c r="T100" s="12"/>
      <c r="U100" s="12"/>
      <c r="V100" s="12"/>
      <c r="W100" s="229"/>
      <c r="X100" s="85"/>
      <c r="Y100" s="122"/>
      <c r="Z100" s="137"/>
      <c r="AA100" s="183"/>
      <c r="AB100" s="1851" t="s">
        <v>65</v>
      </c>
      <c r="AC100" s="81">
        <v>0.5</v>
      </c>
      <c r="AD100" s="194">
        <f>IF($AB$8="Number",NA(),V$63)</f>
        <v>1.382282996432818</v>
      </c>
      <c r="AE100" s="196"/>
      <c r="AF100" s="197"/>
      <c r="AG100" s="197"/>
      <c r="AH100" s="81"/>
      <c r="AI100" s="81"/>
      <c r="AJ100" s="81"/>
      <c r="AK100" s="81"/>
      <c r="AL100" s="81"/>
      <c r="AM100" s="184"/>
      <c r="AN100" s="184"/>
      <c r="AO100" s="184"/>
      <c r="AP100" s="184"/>
      <c r="AQ100" s="184"/>
      <c r="BB100" s="81"/>
      <c r="BC100" s="74"/>
    </row>
    <row r="101" spans="1:132" s="87" customFormat="1" ht="11.45" customHeight="1" x14ac:dyDescent="0.2">
      <c r="A101" s="292"/>
      <c r="B101" s="1830"/>
      <c r="C101" s="1831"/>
      <c r="D101" s="1831"/>
      <c r="E101" s="1831"/>
      <c r="F101" s="1831"/>
      <c r="G101" s="1831"/>
      <c r="H101" s="1831"/>
      <c r="I101" s="1831"/>
      <c r="J101" s="1831"/>
      <c r="K101" s="1831"/>
      <c r="L101" s="1831"/>
      <c r="M101" s="1831"/>
      <c r="N101" s="1831"/>
      <c r="O101" s="1831"/>
      <c r="P101" s="1831"/>
      <c r="Q101" s="1831"/>
      <c r="R101" s="1831"/>
      <c r="S101" s="1831"/>
      <c r="T101" s="1831"/>
      <c r="U101" s="1831"/>
      <c r="V101" s="1831"/>
      <c r="W101" s="1832"/>
      <c r="X101" s="85"/>
      <c r="Y101" s="122"/>
      <c r="Z101" s="137"/>
      <c r="AA101" s="183"/>
      <c r="AB101" s="1852"/>
      <c r="AC101" s="81">
        <f>$AC$83</f>
        <v>23.5</v>
      </c>
      <c r="AD101" s="195">
        <f>AD100</f>
        <v>1.382282996432818</v>
      </c>
      <c r="AE101" s="196"/>
      <c r="AF101" s="197"/>
      <c r="AG101" s="197"/>
      <c r="AH101" s="81"/>
      <c r="AI101" s="81"/>
      <c r="AJ101" s="81"/>
      <c r="AK101" s="81"/>
      <c r="AL101" s="81"/>
      <c r="AM101" s="184"/>
      <c r="AN101" s="184"/>
      <c r="AO101" s="184"/>
      <c r="AP101" s="184"/>
      <c r="AQ101" s="184"/>
      <c r="BB101" s="81"/>
      <c r="BC101" s="74"/>
    </row>
    <row r="102" spans="1:132" s="87" customFormat="1" ht="18.75" customHeight="1" x14ac:dyDescent="0.2">
      <c r="A102" s="292"/>
      <c r="B102" s="1833"/>
      <c r="C102" s="1834"/>
      <c r="D102" s="1834"/>
      <c r="E102" s="1834"/>
      <c r="F102" s="1834"/>
      <c r="G102" s="1834"/>
      <c r="H102" s="1834"/>
      <c r="I102" s="1834"/>
      <c r="J102" s="1834"/>
      <c r="K102" s="1834"/>
      <c r="L102" s="1834"/>
      <c r="M102" s="1834"/>
      <c r="N102" s="1834"/>
      <c r="O102" s="1834"/>
      <c r="P102" s="1834"/>
      <c r="Q102" s="1834"/>
      <c r="R102" s="1834"/>
      <c r="S102" s="1834"/>
      <c r="T102" s="1834"/>
      <c r="U102" s="1834"/>
      <c r="V102" s="1834"/>
      <c r="W102" s="1835"/>
      <c r="X102" s="85"/>
      <c r="Y102" s="122"/>
      <c r="Z102" s="137"/>
      <c r="AA102" s="183"/>
      <c r="AB102" s="865"/>
      <c r="AC102" s="81"/>
      <c r="AD102" s="195"/>
      <c r="AE102" s="196"/>
      <c r="AF102" s="197"/>
      <c r="AG102" s="197"/>
      <c r="AH102" s="81"/>
      <c r="AI102" s="81"/>
      <c r="AJ102" s="81"/>
      <c r="AK102" s="81"/>
      <c r="AL102" s="81"/>
      <c r="AM102" s="184"/>
      <c r="AN102" s="184"/>
      <c r="AO102" s="184"/>
      <c r="AP102" s="184"/>
      <c r="AQ102" s="184"/>
      <c r="BB102" s="81"/>
      <c r="BC102" s="74"/>
    </row>
    <row r="103" spans="1:132" s="87" customFormat="1" ht="8.1" customHeight="1" x14ac:dyDescent="0.2">
      <c r="A103" s="292"/>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85"/>
      <c r="Y103" s="122"/>
      <c r="Z103" s="137"/>
      <c r="AA103" s="183"/>
      <c r="AB103" s="869"/>
      <c r="AC103" s="81"/>
      <c r="AD103" s="195"/>
      <c r="AE103" s="196"/>
      <c r="AF103" s="197"/>
      <c r="AG103" s="197"/>
      <c r="AH103" s="81"/>
      <c r="AI103" s="81"/>
      <c r="AJ103" s="81"/>
      <c r="AK103" s="81"/>
      <c r="AL103" s="81"/>
      <c r="AM103" s="184"/>
      <c r="AN103" s="184"/>
      <c r="AO103" s="184"/>
      <c r="AP103" s="184"/>
      <c r="AQ103" s="184"/>
      <c r="BB103" s="81"/>
      <c r="BC103" s="74"/>
    </row>
    <row r="104" spans="1:132" s="87" customFormat="1" ht="15" customHeight="1" x14ac:dyDescent="0.2">
      <c r="A104" s="278"/>
      <c r="B104" s="17"/>
      <c r="C104" s="17"/>
      <c r="D104" s="16"/>
      <c r="E104" s="16"/>
      <c r="F104" s="16"/>
      <c r="G104" s="16"/>
      <c r="H104" s="16"/>
      <c r="I104" s="16"/>
      <c r="J104" s="16"/>
      <c r="K104" s="16"/>
      <c r="L104" s="16"/>
      <c r="M104" s="16"/>
      <c r="N104" s="16"/>
      <c r="O104" s="12"/>
      <c r="P104" s="18"/>
      <c r="Q104" s="18"/>
      <c r="R104" s="18"/>
      <c r="S104" s="18"/>
      <c r="T104" s="18"/>
      <c r="U104" s="18"/>
      <c r="V104" s="18"/>
      <c r="W104" s="18"/>
      <c r="X104" s="19"/>
      <c r="Y104" s="117"/>
      <c r="Z104" s="139"/>
      <c r="AA104" s="183"/>
      <c r="AE104" s="81"/>
      <c r="AF104" s="81"/>
      <c r="AG104" s="81"/>
      <c r="AH104" s="188"/>
      <c r="AI104" s="188"/>
      <c r="AJ104" s="188"/>
      <c r="AK104" s="188"/>
      <c r="AL104" s="188"/>
      <c r="AM104" s="184"/>
      <c r="AN104" s="184"/>
      <c r="AO104" s="184"/>
      <c r="AP104" s="184"/>
      <c r="AQ104" s="184"/>
      <c r="BB104" s="81"/>
    </row>
    <row r="105" spans="1:132" s="87" customFormat="1" ht="11.1" customHeight="1" x14ac:dyDescent="0.2">
      <c r="A105" s="1847" t="str">
        <f>Home!$A$39</f>
        <v xml:space="preserve"> </v>
      </c>
      <c r="B105" s="1768"/>
      <c r="C105" s="1768"/>
      <c r="D105" s="1768"/>
      <c r="E105" s="1768"/>
      <c r="F105" s="1768"/>
      <c r="G105" s="1768"/>
      <c r="H105" s="1768"/>
      <c r="I105" s="1768"/>
      <c r="J105" s="1768"/>
      <c r="K105" s="1768"/>
      <c r="L105" s="1768"/>
      <c r="M105" s="1768"/>
      <c r="N105" s="1768"/>
      <c r="O105" s="1768"/>
      <c r="P105" s="1768"/>
      <c r="Q105" s="1768"/>
      <c r="R105" s="1768"/>
      <c r="S105" s="1768"/>
      <c r="T105" s="1768"/>
      <c r="U105" s="1768"/>
      <c r="V105" s="1768"/>
      <c r="W105" s="1768"/>
      <c r="X105" s="1768"/>
      <c r="Y105" s="1848"/>
      <c r="Z105" s="139"/>
      <c r="AA105" s="193"/>
      <c r="AE105" s="196"/>
      <c r="AF105" s="197"/>
      <c r="AG105" s="197"/>
      <c r="AH105" s="81"/>
      <c r="AI105" s="81"/>
      <c r="AJ105" s="81"/>
      <c r="AK105" s="81"/>
      <c r="AL105" s="81"/>
      <c r="AM105" s="184"/>
      <c r="AN105" s="184"/>
      <c r="AO105" s="184"/>
      <c r="AP105" s="184"/>
      <c r="AQ105" s="184"/>
      <c r="BB105" s="74"/>
    </row>
    <row r="106" spans="1:132" ht="11.1" customHeight="1" x14ac:dyDescent="0.2">
      <c r="A106" s="112"/>
      <c r="B106" s="113"/>
      <c r="C106" s="113"/>
      <c r="D106" s="113"/>
      <c r="E106" s="113"/>
      <c r="F106" s="113"/>
      <c r="G106" s="113"/>
      <c r="H106" s="113"/>
      <c r="I106" s="113"/>
      <c r="J106" s="113"/>
      <c r="K106" s="113"/>
      <c r="L106" s="113"/>
      <c r="M106" s="113"/>
      <c r="N106" s="113"/>
      <c r="O106" s="114"/>
      <c r="P106" s="113"/>
      <c r="Q106" s="113"/>
      <c r="R106" s="113"/>
      <c r="S106" s="113"/>
      <c r="T106" s="113"/>
      <c r="U106" s="113"/>
      <c r="V106" s="113"/>
      <c r="W106" s="113"/>
      <c r="X106" s="113"/>
      <c r="Y106" s="115"/>
      <c r="Z106" s="137"/>
      <c r="AA106" s="74"/>
      <c r="AI106" s="82"/>
      <c r="AK106" s="74"/>
      <c r="AL106" s="74"/>
    </row>
    <row r="107" spans="1:132" s="76" customFormat="1" ht="17.25" customHeight="1" x14ac:dyDescent="0.25">
      <c r="A107" s="462"/>
      <c r="B107" s="639" t="str">
        <f>"Proportion (%) of Referrals from each Source - Trend over last 5 "&amp;Sheet1!$F$3</f>
        <v>Proportion (%) of Referrals from each Source - Trend over last 5 Years</v>
      </c>
      <c r="C107" s="639"/>
      <c r="D107" s="639"/>
      <c r="E107" s="639"/>
      <c r="F107" s="639"/>
      <c r="G107" s="639"/>
      <c r="H107" s="639"/>
      <c r="I107" s="639"/>
      <c r="J107" s="639"/>
      <c r="K107" s="639"/>
      <c r="L107" s="639"/>
      <c r="M107" s="62"/>
      <c r="N107" s="70"/>
      <c r="O107" s="70"/>
      <c r="P107" s="70"/>
      <c r="Q107" s="70"/>
      <c r="R107" s="62"/>
      <c r="S107" s="70"/>
      <c r="T107" s="70"/>
      <c r="U107" s="70"/>
      <c r="V107" s="70"/>
      <c r="W107" s="70"/>
      <c r="X107" s="70"/>
      <c r="Y107" s="117"/>
      <c r="Z107" s="137"/>
      <c r="AB107" s="81"/>
      <c r="AC107" s="81"/>
      <c r="AD107" s="81"/>
      <c r="AE107" s="81"/>
      <c r="AF107" s="81"/>
      <c r="AG107" s="81"/>
      <c r="AH107" s="81"/>
      <c r="AI107" s="82"/>
      <c r="AJ107" s="81"/>
      <c r="AK107" s="74"/>
      <c r="AL107" s="74"/>
      <c r="AM107" s="74"/>
      <c r="AN107" s="74"/>
      <c r="AO107" s="74"/>
      <c r="AP107" s="74"/>
      <c r="AQ107" s="74"/>
      <c r="AR107" s="74"/>
      <c r="AS107" s="74"/>
      <c r="AT107" s="74"/>
      <c r="AU107" s="74"/>
      <c r="AV107" s="74"/>
      <c r="AW107" s="74"/>
      <c r="AX107" s="74"/>
      <c r="AY107" s="74"/>
      <c r="AZ107" s="74"/>
      <c r="BA107" s="74"/>
      <c r="BB107" s="74"/>
      <c r="BC107" s="74"/>
    </row>
    <row r="108" spans="1:132" ht="7.5" customHeight="1" x14ac:dyDescent="0.2">
      <c r="A108" s="278"/>
      <c r="B108" s="639"/>
      <c r="C108" s="639"/>
      <c r="D108" s="639"/>
      <c r="E108" s="639"/>
      <c r="F108" s="639"/>
      <c r="G108" s="639"/>
      <c r="H108" s="639"/>
      <c r="I108" s="639"/>
      <c r="J108" s="639"/>
      <c r="K108" s="639"/>
      <c r="L108" s="639"/>
      <c r="M108" s="70"/>
      <c r="N108" s="70"/>
      <c r="O108" s="70"/>
      <c r="P108" s="70"/>
      <c r="Q108" s="70"/>
      <c r="R108" s="70"/>
      <c r="S108" s="70"/>
      <c r="T108" s="70"/>
      <c r="U108" s="70"/>
      <c r="V108" s="58"/>
      <c r="W108" s="70"/>
      <c r="X108" s="70"/>
      <c r="Y108" s="117"/>
      <c r="Z108" s="138"/>
      <c r="AA108" s="74"/>
      <c r="AB108" s="1836" t="str">
        <f>D8</f>
        <v>Relative/ Carer</v>
      </c>
      <c r="AC108" s="1837"/>
      <c r="AD108" s="1837"/>
      <c r="AE108" s="1837"/>
      <c r="AF108" s="1898"/>
      <c r="AG108" s="1836" t="str">
        <f>E8</f>
        <v>Acquaintance</v>
      </c>
      <c r="AH108" s="1837"/>
      <c r="AI108" s="1837"/>
      <c r="AJ108" s="1837"/>
      <c r="AK108" s="1838"/>
      <c r="AL108" s="1836" t="str">
        <f>F8</f>
        <v>Self</v>
      </c>
      <c r="AM108" s="1837"/>
      <c r="AN108" s="1837"/>
      <c r="AO108" s="1837"/>
      <c r="AP108" s="1838"/>
      <c r="AQ108" s="1836" t="str">
        <f>G8</f>
        <v>Other Individual</v>
      </c>
      <c r="AR108" s="1837"/>
      <c r="AS108" s="1837"/>
      <c r="AT108" s="1837"/>
      <c r="AU108" s="1838"/>
      <c r="AV108" s="1899" t="str">
        <f>H8</f>
        <v>Schools</v>
      </c>
      <c r="AW108" s="1837"/>
      <c r="AX108" s="1837"/>
      <c r="AY108" s="1837"/>
      <c r="AZ108" s="1837"/>
      <c r="BA108" s="1837" t="str">
        <f>I8</f>
        <v>Education Services</v>
      </c>
      <c r="BB108" s="1837"/>
      <c r="BC108" s="1837"/>
      <c r="BD108" s="1837"/>
      <c r="BE108" s="1837"/>
      <c r="BF108" s="1837" t="str">
        <f>J8</f>
        <v>GP</v>
      </c>
      <c r="BG108" s="1837"/>
      <c r="BH108" s="1837"/>
      <c r="BI108" s="1837"/>
      <c r="BJ108" s="1837"/>
      <c r="BK108" s="1837" t="str">
        <f>AM8</f>
        <v>Health Visitor</v>
      </c>
      <c r="BL108" s="1837"/>
      <c r="BM108" s="1837"/>
      <c r="BN108" s="1837"/>
      <c r="BO108" s="1837"/>
      <c r="BP108" s="1837" t="str">
        <f>AN8</f>
        <v>School Nurse</v>
      </c>
      <c r="BQ108" s="1837"/>
      <c r="BR108" s="1837"/>
      <c r="BS108" s="1837"/>
      <c r="BT108" s="1837"/>
      <c r="BU108" s="1837" t="str">
        <f>AO8</f>
        <v>Other primary health</v>
      </c>
      <c r="BV108" s="1837"/>
      <c r="BW108" s="1837"/>
      <c r="BX108" s="1837"/>
      <c r="BY108" s="1837"/>
      <c r="BZ108" s="1837" t="str">
        <f>AP8</f>
        <v>A&amp;E</v>
      </c>
      <c r="CA108" s="1837"/>
      <c r="CB108" s="1837"/>
      <c r="CC108" s="1837"/>
      <c r="CD108" s="1837"/>
      <c r="CE108" s="1897" t="str">
        <f>AQ8</f>
        <v>Other Health services</v>
      </c>
      <c r="CF108" s="1897"/>
      <c r="CG108" s="1897"/>
      <c r="CH108" s="1897"/>
      <c r="CI108" s="1897"/>
      <c r="CJ108" s="1897" t="str">
        <f>AR8</f>
        <v>Housing</v>
      </c>
      <c r="CK108" s="1897"/>
      <c r="CL108" s="1897"/>
      <c r="CM108" s="1897"/>
      <c r="CN108" s="1897"/>
      <c r="CO108" s="1897" t="str">
        <f>AS8</f>
        <v>Social care</v>
      </c>
      <c r="CP108" s="1897"/>
      <c r="CQ108" s="1897"/>
      <c r="CR108" s="1897"/>
      <c r="CS108" s="1897"/>
      <c r="CT108" s="1897" t="str">
        <f>AT8</f>
        <v xml:space="preserve">Other Internal LA </v>
      </c>
      <c r="CU108" s="1897"/>
      <c r="CV108" s="1897"/>
      <c r="CW108" s="1897"/>
      <c r="CX108" s="1897"/>
      <c r="CY108" s="1897" t="str">
        <f>AU8</f>
        <v>External LA services</v>
      </c>
      <c r="CZ108" s="1897"/>
      <c r="DA108" s="1897"/>
      <c r="DB108" s="1897"/>
      <c r="DC108" s="1897"/>
      <c r="DD108" s="1897" t="str">
        <f>AV8</f>
        <v>Police</v>
      </c>
      <c r="DE108" s="1897"/>
      <c r="DF108" s="1897"/>
      <c r="DG108" s="1897"/>
      <c r="DH108" s="1897"/>
      <c r="DI108" s="1897" t="str">
        <f>AW8</f>
        <v>Other legal agency</v>
      </c>
      <c r="DJ108" s="1897"/>
      <c r="DK108" s="1897"/>
      <c r="DL108" s="1897"/>
      <c r="DM108" s="1897"/>
      <c r="DN108" s="1897" t="str">
        <f>AX8</f>
        <v>Other</v>
      </c>
      <c r="DO108" s="1897"/>
      <c r="DP108" s="1897"/>
      <c r="DQ108" s="1897"/>
      <c r="DR108" s="1897"/>
      <c r="DS108" s="1897" t="str">
        <f>AY8</f>
        <v>Anonymous</v>
      </c>
      <c r="DT108" s="1897"/>
      <c r="DU108" s="1897"/>
      <c r="DV108" s="1897"/>
      <c r="DW108" s="1897"/>
      <c r="DX108" s="1897" t="str">
        <f>AZ8</f>
        <v>Unknown</v>
      </c>
      <c r="DY108" s="1897"/>
      <c r="DZ108" s="1897"/>
      <c r="EA108" s="1897"/>
      <c r="EB108" s="1897"/>
    </row>
    <row r="109" spans="1:132" ht="12.75" customHeight="1" x14ac:dyDescent="0.2">
      <c r="A109" s="278"/>
      <c r="B109" s="1865" t="s">
        <v>205</v>
      </c>
      <c r="C109" s="9"/>
      <c r="D109" s="1870">
        <v>1</v>
      </c>
      <c r="E109" s="1871"/>
      <c r="F109" s="1872">
        <v>2</v>
      </c>
      <c r="G109" s="1873"/>
      <c r="H109" s="1874">
        <v>3</v>
      </c>
      <c r="I109" s="1875"/>
      <c r="J109" s="1876">
        <v>4</v>
      </c>
      <c r="K109" s="1877"/>
      <c r="L109" s="1878">
        <v>5</v>
      </c>
      <c r="M109" s="1879"/>
      <c r="N109" s="1880">
        <v>6</v>
      </c>
      <c r="O109" s="1881"/>
      <c r="P109" s="1882">
        <v>7</v>
      </c>
      <c r="Q109" s="1883"/>
      <c r="R109" s="1884">
        <v>8</v>
      </c>
      <c r="S109" s="1885"/>
      <c r="T109" s="1886">
        <v>9</v>
      </c>
      <c r="U109" s="1887"/>
      <c r="V109" s="1888">
        <v>10</v>
      </c>
      <c r="W109" s="1889"/>
      <c r="X109" s="9"/>
      <c r="Y109" s="117"/>
      <c r="Z109" s="137"/>
      <c r="AA109" s="74"/>
      <c r="AB109" s="1577" t="str">
        <f>$AC$2</f>
        <v/>
      </c>
      <c r="AC109" s="1578" t="str">
        <f>$AD$2</f>
        <v/>
      </c>
      <c r="AD109" s="1578" t="str">
        <f>$AE$2</f>
        <v/>
      </c>
      <c r="AE109" s="1578" t="str">
        <f>$AF$2</f>
        <v/>
      </c>
      <c r="AF109" s="1579" t="str">
        <f>$AG$2</f>
        <v/>
      </c>
      <c r="AG109" s="1577" t="str">
        <f>$AC$2</f>
        <v/>
      </c>
      <c r="AH109" s="1578" t="str">
        <f>$AD$2</f>
        <v/>
      </c>
      <c r="AI109" s="1578" t="str">
        <f>$AE$2</f>
        <v/>
      </c>
      <c r="AJ109" s="1578" t="str">
        <f>$AF$2</f>
        <v/>
      </c>
      <c r="AK109" s="1580" t="str">
        <f>$AG$2</f>
        <v/>
      </c>
      <c r="AL109" s="1577" t="str">
        <f>$AC$2</f>
        <v/>
      </c>
      <c r="AM109" s="1578" t="str">
        <f>$AD$2</f>
        <v/>
      </c>
      <c r="AN109" s="1578" t="str">
        <f>$AE$2</f>
        <v/>
      </c>
      <c r="AO109" s="1578" t="str">
        <f>$AF$2</f>
        <v/>
      </c>
      <c r="AP109" s="1580" t="str">
        <f>$AG$2</f>
        <v/>
      </c>
      <c r="AQ109" s="1577" t="str">
        <f>$AC$2</f>
        <v/>
      </c>
      <c r="AR109" s="1578" t="str">
        <f>$AD$2</f>
        <v/>
      </c>
      <c r="AS109" s="1578" t="str">
        <f>$AE$2</f>
        <v/>
      </c>
      <c r="AT109" s="1578" t="str">
        <f>$AF$2</f>
        <v/>
      </c>
      <c r="AU109" s="1580" t="str">
        <f>$AG$2</f>
        <v/>
      </c>
      <c r="AV109" s="1581" t="str">
        <f t="shared" ref="AV109" si="117">$AC$2</f>
        <v/>
      </c>
      <c r="AW109" s="1578" t="str">
        <f t="shared" ref="AW109" si="118">$AD$2</f>
        <v/>
      </c>
      <c r="AX109" s="1578" t="str">
        <f t="shared" ref="AX109" si="119">$AE$2</f>
        <v/>
      </c>
      <c r="AY109" s="1578" t="str">
        <f t="shared" ref="AY109" si="120">$AF$2</f>
        <v/>
      </c>
      <c r="AZ109" s="1578" t="str">
        <f t="shared" ref="AZ109" si="121">$AG$2</f>
        <v/>
      </c>
      <c r="BA109" s="1578" t="str">
        <f t="shared" ref="BA109" si="122">$AC$2</f>
        <v/>
      </c>
      <c r="BB109" s="1578" t="str">
        <f t="shared" ref="BB109" si="123">$AD$2</f>
        <v/>
      </c>
      <c r="BC109" s="1578" t="str">
        <f t="shared" ref="BC109" si="124">$AE$2</f>
        <v/>
      </c>
      <c r="BD109" s="1578" t="str">
        <f t="shared" ref="BD109" si="125">$AF$2</f>
        <v/>
      </c>
      <c r="BE109" s="1578" t="str">
        <f t="shared" ref="BE109" si="126">$AG$2</f>
        <v/>
      </c>
      <c r="BF109" s="1578" t="str">
        <f t="shared" ref="BF109" si="127">$AC$2</f>
        <v/>
      </c>
      <c r="BG109" s="1578" t="str">
        <f t="shared" ref="BG109" si="128">$AD$2</f>
        <v/>
      </c>
      <c r="BH109" s="1578" t="str">
        <f t="shared" ref="BH109" si="129">$AE$2</f>
        <v/>
      </c>
      <c r="BI109" s="1578" t="str">
        <f t="shared" ref="BI109" si="130">$AF$2</f>
        <v/>
      </c>
      <c r="BJ109" s="1578" t="str">
        <f t="shared" ref="BJ109" si="131">$AG$2</f>
        <v/>
      </c>
      <c r="BK109" s="1578" t="str">
        <f t="shared" ref="BK109" si="132">$AC$2</f>
        <v/>
      </c>
      <c r="BL109" s="1578" t="str">
        <f t="shared" ref="BL109" si="133">$AD$2</f>
        <v/>
      </c>
      <c r="BM109" s="1578" t="str">
        <f t="shared" ref="BM109" si="134">$AE$2</f>
        <v/>
      </c>
      <c r="BN109" s="1578" t="str">
        <f t="shared" ref="BN109" si="135">$AF$2</f>
        <v/>
      </c>
      <c r="BO109" s="1578" t="str">
        <f t="shared" ref="BO109" si="136">$AG$2</f>
        <v/>
      </c>
      <c r="BP109" s="1578" t="str">
        <f t="shared" ref="BP109" si="137">$AC$2</f>
        <v/>
      </c>
      <c r="BQ109" s="1578" t="str">
        <f t="shared" ref="BQ109" si="138">$AD$2</f>
        <v/>
      </c>
      <c r="BR109" s="1578" t="str">
        <f t="shared" ref="BR109" si="139">$AE$2</f>
        <v/>
      </c>
      <c r="BS109" s="1578" t="str">
        <f t="shared" ref="BS109" si="140">$AF$2</f>
        <v/>
      </c>
      <c r="BT109" s="1578" t="str">
        <f t="shared" ref="BT109" si="141">$AG$2</f>
        <v/>
      </c>
      <c r="BU109" s="1578" t="str">
        <f t="shared" ref="BU109" si="142">$AC$2</f>
        <v/>
      </c>
      <c r="BV109" s="1578" t="str">
        <f t="shared" ref="BV109" si="143">$AD$2</f>
        <v/>
      </c>
      <c r="BW109" s="1578" t="str">
        <f t="shared" ref="BW109" si="144">$AE$2</f>
        <v/>
      </c>
      <c r="BX109" s="1578" t="str">
        <f t="shared" ref="BX109" si="145">$AF$2</f>
        <v/>
      </c>
      <c r="BY109" s="1578" t="str">
        <f t="shared" ref="BY109" si="146">$AG$2</f>
        <v/>
      </c>
      <c r="BZ109" s="1578" t="str">
        <f t="shared" ref="BZ109" si="147">$AC$2</f>
        <v/>
      </c>
      <c r="CA109" s="1578" t="str">
        <f t="shared" ref="CA109" si="148">$AD$2</f>
        <v/>
      </c>
      <c r="CB109" s="1578" t="str">
        <f t="shared" ref="CB109" si="149">$AE$2</f>
        <v/>
      </c>
      <c r="CC109" s="1578" t="str">
        <f t="shared" ref="CC109" si="150">$AF$2</f>
        <v/>
      </c>
      <c r="CD109" s="1578" t="str">
        <f t="shared" ref="CD109" si="151">$AG$2</f>
        <v/>
      </c>
      <c r="CE109" s="579" t="str">
        <f t="shared" ref="CE109" si="152">$AC$2</f>
        <v/>
      </c>
      <c r="CF109" s="579" t="str">
        <f t="shared" ref="CF109" si="153">$AD$2</f>
        <v/>
      </c>
      <c r="CG109" s="579" t="str">
        <f t="shared" ref="CG109" si="154">$AE$2</f>
        <v/>
      </c>
      <c r="CH109" s="579" t="str">
        <f t="shared" ref="CH109" si="155">$AF$2</f>
        <v/>
      </c>
      <c r="CI109" s="579" t="str">
        <f t="shared" ref="CI109" si="156">$AG$2</f>
        <v/>
      </c>
      <c r="CJ109" s="579" t="str">
        <f t="shared" ref="CJ109:CO109" si="157">$AC$2</f>
        <v/>
      </c>
      <c r="CK109" s="579" t="str">
        <f t="shared" ref="CK109:CP109" si="158">$AD$2</f>
        <v/>
      </c>
      <c r="CL109" s="579" t="str">
        <f t="shared" ref="CL109" si="159">$AE$2</f>
        <v/>
      </c>
      <c r="CM109" s="579" t="str">
        <f t="shared" ref="CM109" si="160">$AF$2</f>
        <v/>
      </c>
      <c r="CN109" s="579" t="str">
        <f t="shared" ref="CN109" si="161">$AG$2</f>
        <v/>
      </c>
      <c r="CO109" s="579" t="str">
        <f t="shared" si="157"/>
        <v/>
      </c>
      <c r="CP109" s="579" t="str">
        <f t="shared" si="158"/>
        <v/>
      </c>
      <c r="CQ109" s="579" t="str">
        <f t="shared" ref="CQ109" si="162">$AE$2</f>
        <v/>
      </c>
      <c r="CR109" s="579" t="str">
        <f t="shared" ref="CR109" si="163">$AF$2</f>
        <v/>
      </c>
      <c r="CS109" s="579" t="str">
        <f t="shared" ref="CS109" si="164">$AG$2</f>
        <v/>
      </c>
      <c r="CT109" s="579" t="str">
        <f t="shared" ref="CT109:CY109" si="165">$AC$2</f>
        <v/>
      </c>
      <c r="CU109" s="579" t="str">
        <f t="shared" ref="CU109:CZ109" si="166">$AD$2</f>
        <v/>
      </c>
      <c r="CV109" s="579" t="str">
        <f t="shared" ref="CV109" si="167">$AE$2</f>
        <v/>
      </c>
      <c r="CW109" s="579" t="str">
        <f t="shared" ref="CW109" si="168">$AF$2</f>
        <v/>
      </c>
      <c r="CX109" s="579" t="str">
        <f t="shared" ref="CX109" si="169">$AG$2</f>
        <v/>
      </c>
      <c r="CY109" s="579" t="str">
        <f t="shared" si="165"/>
        <v/>
      </c>
      <c r="CZ109" s="579" t="str">
        <f t="shared" si="166"/>
        <v/>
      </c>
      <c r="DA109" s="579" t="str">
        <f t="shared" ref="DA109" si="170">$AE$2</f>
        <v/>
      </c>
      <c r="DB109" s="579" t="str">
        <f t="shared" ref="DB109" si="171">$AF$2</f>
        <v/>
      </c>
      <c r="DC109" s="579" t="str">
        <f t="shared" ref="DC109" si="172">$AG$2</f>
        <v/>
      </c>
      <c r="DD109" s="579" t="str">
        <f t="shared" ref="DD109:DI109" si="173">$AC$2</f>
        <v/>
      </c>
      <c r="DE109" s="579" t="str">
        <f t="shared" ref="DE109:DJ109" si="174">$AD$2</f>
        <v/>
      </c>
      <c r="DF109" s="579" t="str">
        <f t="shared" ref="DF109" si="175">$AE$2</f>
        <v/>
      </c>
      <c r="DG109" s="579" t="str">
        <f t="shared" ref="DG109" si="176">$AF$2</f>
        <v/>
      </c>
      <c r="DH109" s="579" t="str">
        <f t="shared" ref="DH109" si="177">$AG$2</f>
        <v/>
      </c>
      <c r="DI109" s="579" t="str">
        <f t="shared" si="173"/>
        <v/>
      </c>
      <c r="DJ109" s="579" t="str">
        <f t="shared" si="174"/>
        <v/>
      </c>
      <c r="DK109" s="579" t="str">
        <f t="shared" ref="DK109" si="178">$AE$2</f>
        <v/>
      </c>
      <c r="DL109" s="579" t="str">
        <f t="shared" ref="DL109" si="179">$AF$2</f>
        <v/>
      </c>
      <c r="DM109" s="579" t="str">
        <f t="shared" ref="DM109" si="180">$AG$2</f>
        <v/>
      </c>
      <c r="DN109" s="579" t="str">
        <f t="shared" ref="DN109:DS109" si="181">$AC$2</f>
        <v/>
      </c>
      <c r="DO109" s="579" t="str">
        <f t="shared" ref="DO109:DT109" si="182">$AD$2</f>
        <v/>
      </c>
      <c r="DP109" s="579" t="str">
        <f t="shared" ref="DP109" si="183">$AE$2</f>
        <v/>
      </c>
      <c r="DQ109" s="579" t="str">
        <f t="shared" ref="DQ109" si="184">$AF$2</f>
        <v/>
      </c>
      <c r="DR109" s="579" t="str">
        <f t="shared" ref="DR109" si="185">$AG$2</f>
        <v/>
      </c>
      <c r="DS109" s="579" t="str">
        <f t="shared" si="181"/>
        <v/>
      </c>
      <c r="DT109" s="579" t="str">
        <f t="shared" si="182"/>
        <v/>
      </c>
      <c r="DU109" s="579" t="str">
        <f t="shared" ref="DU109" si="186">$AE$2</f>
        <v/>
      </c>
      <c r="DV109" s="579" t="str">
        <f t="shared" ref="DV109" si="187">$AF$2</f>
        <v/>
      </c>
      <c r="DW109" s="579" t="str">
        <f t="shared" ref="DW109" si="188">$AG$2</f>
        <v/>
      </c>
      <c r="DX109" s="579" t="str">
        <f t="shared" ref="DX109" si="189">$AC$2</f>
        <v/>
      </c>
      <c r="DY109" s="579" t="str">
        <f t="shared" ref="DY109" si="190">$AD$2</f>
        <v/>
      </c>
      <c r="DZ109" s="579" t="str">
        <f t="shared" ref="DZ109" si="191">$AE$2</f>
        <v/>
      </c>
      <c r="EA109" s="579" t="str">
        <f t="shared" ref="EA109" si="192">$AF$2</f>
        <v/>
      </c>
      <c r="EB109" s="579" t="str">
        <f t="shared" ref="EB109" si="193">$AG$2</f>
        <v/>
      </c>
    </row>
    <row r="110" spans="1:132" ht="26.25" customHeight="1" x14ac:dyDescent="0.2">
      <c r="A110" s="278"/>
      <c r="B110" s="1866"/>
      <c r="C110" s="81"/>
      <c r="D110" s="1854" t="s">
        <v>96</v>
      </c>
      <c r="E110" s="1855"/>
      <c r="F110" s="1854" t="s">
        <v>38</v>
      </c>
      <c r="G110" s="1855"/>
      <c r="H110" s="1854" t="s">
        <v>105</v>
      </c>
      <c r="I110" s="1855"/>
      <c r="J110" s="1854" t="s">
        <v>46</v>
      </c>
      <c r="K110" s="1855"/>
      <c r="L110" s="1854" t="s">
        <v>106</v>
      </c>
      <c r="M110" s="1855"/>
      <c r="N110" s="1854" t="s">
        <v>23</v>
      </c>
      <c r="O110" s="1855"/>
      <c r="P110" s="1854" t="s">
        <v>67</v>
      </c>
      <c r="Q110" s="1855"/>
      <c r="R110" s="1854" t="s">
        <v>66</v>
      </c>
      <c r="S110" s="1855"/>
      <c r="T110" s="1854" t="s">
        <v>64</v>
      </c>
      <c r="U110" s="1855"/>
      <c r="V110" s="1854" t="s">
        <v>65</v>
      </c>
      <c r="W110" s="1856"/>
      <c r="X110" s="9"/>
      <c r="Y110" s="117"/>
      <c r="Z110" s="137"/>
      <c r="AA110" s="74"/>
      <c r="AB110" s="1582" t="str">
        <f>$AC$3</f>
        <v>2015-16</v>
      </c>
      <c r="AC110" s="1583" t="str">
        <f>$AD$3</f>
        <v>2016-17</v>
      </c>
      <c r="AD110" s="1583" t="str">
        <f>$AE$3</f>
        <v>2017-18</v>
      </c>
      <c r="AE110" s="1583" t="str">
        <f>$AF$3</f>
        <v>2018-19</v>
      </c>
      <c r="AF110" s="1584" t="str">
        <f>$AG$3</f>
        <v>2019-20</v>
      </c>
      <c r="AG110" s="1577" t="str">
        <f>$AC$3</f>
        <v>2015-16</v>
      </c>
      <c r="AH110" s="1578" t="str">
        <f>$AD$3</f>
        <v>2016-17</v>
      </c>
      <c r="AI110" s="1578" t="str">
        <f>$AE$3</f>
        <v>2017-18</v>
      </c>
      <c r="AJ110" s="1578" t="str">
        <f>$AF$3</f>
        <v>2018-19</v>
      </c>
      <c r="AK110" s="1580" t="str">
        <f>$AG$3</f>
        <v>2019-20</v>
      </c>
      <c r="AL110" s="1577" t="str">
        <f>$AC$3</f>
        <v>2015-16</v>
      </c>
      <c r="AM110" s="1578" t="str">
        <f>$AD$3</f>
        <v>2016-17</v>
      </c>
      <c r="AN110" s="1578" t="str">
        <f>$AE$3</f>
        <v>2017-18</v>
      </c>
      <c r="AO110" s="1578" t="str">
        <f>$AF$3</f>
        <v>2018-19</v>
      </c>
      <c r="AP110" s="1580" t="str">
        <f>$AG$3</f>
        <v>2019-20</v>
      </c>
      <c r="AQ110" s="1577" t="str">
        <f>$AC$3</f>
        <v>2015-16</v>
      </c>
      <c r="AR110" s="1578" t="str">
        <f>$AD$3</f>
        <v>2016-17</v>
      </c>
      <c r="AS110" s="1578" t="str">
        <f>$AE$3</f>
        <v>2017-18</v>
      </c>
      <c r="AT110" s="1578" t="str">
        <f>$AF$3</f>
        <v>2018-19</v>
      </c>
      <c r="AU110" s="1580" t="str">
        <f>$AG$3</f>
        <v>2019-20</v>
      </c>
      <c r="AV110" s="1581" t="str">
        <f t="shared" ref="AV110" si="194">$AC$3</f>
        <v>2015-16</v>
      </c>
      <c r="AW110" s="1578" t="str">
        <f t="shared" ref="AW110" si="195">$AD$3</f>
        <v>2016-17</v>
      </c>
      <c r="AX110" s="1578" t="str">
        <f t="shared" ref="AX110" si="196">$AE$3</f>
        <v>2017-18</v>
      </c>
      <c r="AY110" s="1578" t="str">
        <f t="shared" ref="AY110" si="197">$AF$3</f>
        <v>2018-19</v>
      </c>
      <c r="AZ110" s="1578" t="str">
        <f t="shared" ref="AZ110" si="198">$AG$3</f>
        <v>2019-20</v>
      </c>
      <c r="BA110" s="1578" t="str">
        <f t="shared" ref="BA110" si="199">$AC$3</f>
        <v>2015-16</v>
      </c>
      <c r="BB110" s="1578" t="str">
        <f t="shared" ref="BB110" si="200">$AD$3</f>
        <v>2016-17</v>
      </c>
      <c r="BC110" s="1578" t="str">
        <f t="shared" ref="BC110" si="201">$AE$3</f>
        <v>2017-18</v>
      </c>
      <c r="BD110" s="1578" t="str">
        <f t="shared" ref="BD110" si="202">$AF$3</f>
        <v>2018-19</v>
      </c>
      <c r="BE110" s="1578" t="str">
        <f t="shared" ref="BE110" si="203">$AG$3</f>
        <v>2019-20</v>
      </c>
      <c r="BF110" s="1578" t="str">
        <f t="shared" ref="BF110" si="204">$AC$3</f>
        <v>2015-16</v>
      </c>
      <c r="BG110" s="1578" t="str">
        <f t="shared" ref="BG110" si="205">$AD$3</f>
        <v>2016-17</v>
      </c>
      <c r="BH110" s="1578" t="str">
        <f t="shared" ref="BH110" si="206">$AE$3</f>
        <v>2017-18</v>
      </c>
      <c r="BI110" s="1578" t="str">
        <f t="shared" ref="BI110" si="207">$AF$3</f>
        <v>2018-19</v>
      </c>
      <c r="BJ110" s="1578" t="str">
        <f t="shared" ref="BJ110" si="208">$AG$3</f>
        <v>2019-20</v>
      </c>
      <c r="BK110" s="1578" t="str">
        <f t="shared" ref="BK110" si="209">$AC$3</f>
        <v>2015-16</v>
      </c>
      <c r="BL110" s="1578" t="str">
        <f t="shared" ref="BL110" si="210">$AD$3</f>
        <v>2016-17</v>
      </c>
      <c r="BM110" s="1578" t="str">
        <f t="shared" ref="BM110" si="211">$AE$3</f>
        <v>2017-18</v>
      </c>
      <c r="BN110" s="1578" t="str">
        <f t="shared" ref="BN110" si="212">$AF$3</f>
        <v>2018-19</v>
      </c>
      <c r="BO110" s="1578" t="str">
        <f t="shared" ref="BO110" si="213">$AG$3</f>
        <v>2019-20</v>
      </c>
      <c r="BP110" s="1578" t="str">
        <f t="shared" ref="BP110" si="214">$AC$3</f>
        <v>2015-16</v>
      </c>
      <c r="BQ110" s="1578" t="str">
        <f t="shared" ref="BQ110" si="215">$AD$3</f>
        <v>2016-17</v>
      </c>
      <c r="BR110" s="1578" t="str">
        <f t="shared" ref="BR110" si="216">$AE$3</f>
        <v>2017-18</v>
      </c>
      <c r="BS110" s="1578" t="str">
        <f t="shared" ref="BS110" si="217">$AF$3</f>
        <v>2018-19</v>
      </c>
      <c r="BT110" s="1578" t="str">
        <f t="shared" ref="BT110" si="218">$AG$3</f>
        <v>2019-20</v>
      </c>
      <c r="BU110" s="1578" t="str">
        <f t="shared" ref="BU110" si="219">$AC$3</f>
        <v>2015-16</v>
      </c>
      <c r="BV110" s="1578" t="str">
        <f t="shared" ref="BV110" si="220">$AD$3</f>
        <v>2016-17</v>
      </c>
      <c r="BW110" s="1578" t="str">
        <f t="shared" ref="BW110" si="221">$AE$3</f>
        <v>2017-18</v>
      </c>
      <c r="BX110" s="1578" t="str">
        <f t="shared" ref="BX110" si="222">$AF$3</f>
        <v>2018-19</v>
      </c>
      <c r="BY110" s="1578" t="str">
        <f t="shared" ref="BY110" si="223">$AG$3</f>
        <v>2019-20</v>
      </c>
      <c r="BZ110" s="1578" t="str">
        <f t="shared" ref="BZ110" si="224">$AC$3</f>
        <v>2015-16</v>
      </c>
      <c r="CA110" s="1578" t="str">
        <f t="shared" ref="CA110" si="225">$AD$3</f>
        <v>2016-17</v>
      </c>
      <c r="CB110" s="1578" t="str">
        <f t="shared" ref="CB110" si="226">$AE$3</f>
        <v>2017-18</v>
      </c>
      <c r="CC110" s="1578" t="str">
        <f t="shared" ref="CC110" si="227">$AF$3</f>
        <v>2018-19</v>
      </c>
      <c r="CD110" s="1578" t="str">
        <f t="shared" ref="CD110" si="228">$AG$3</f>
        <v>2019-20</v>
      </c>
      <c r="CE110" s="579" t="str">
        <f t="shared" ref="CE110" si="229">$AC$3</f>
        <v>2015-16</v>
      </c>
      <c r="CF110" s="579" t="str">
        <f t="shared" ref="CF110" si="230">$AD$3</f>
        <v>2016-17</v>
      </c>
      <c r="CG110" s="579" t="str">
        <f t="shared" ref="CG110" si="231">$AE$3</f>
        <v>2017-18</v>
      </c>
      <c r="CH110" s="579" t="str">
        <f t="shared" ref="CH110" si="232">$AF$3</f>
        <v>2018-19</v>
      </c>
      <c r="CI110" s="579" t="str">
        <f t="shared" ref="CI110" si="233">$AG$3</f>
        <v>2019-20</v>
      </c>
      <c r="CJ110" s="579" t="str">
        <f t="shared" ref="CJ110:CO110" si="234">$AC$3</f>
        <v>2015-16</v>
      </c>
      <c r="CK110" s="579" t="str">
        <f t="shared" ref="CK110:CP110" si="235">$AD$3</f>
        <v>2016-17</v>
      </c>
      <c r="CL110" s="579" t="str">
        <f t="shared" ref="CL110" si="236">$AE$3</f>
        <v>2017-18</v>
      </c>
      <c r="CM110" s="579" t="str">
        <f t="shared" ref="CM110" si="237">$AF$3</f>
        <v>2018-19</v>
      </c>
      <c r="CN110" s="579" t="str">
        <f t="shared" ref="CN110" si="238">$AG$3</f>
        <v>2019-20</v>
      </c>
      <c r="CO110" s="579" t="str">
        <f t="shared" si="234"/>
        <v>2015-16</v>
      </c>
      <c r="CP110" s="579" t="str">
        <f t="shared" si="235"/>
        <v>2016-17</v>
      </c>
      <c r="CQ110" s="579" t="str">
        <f t="shared" ref="CQ110" si="239">$AE$3</f>
        <v>2017-18</v>
      </c>
      <c r="CR110" s="579" t="str">
        <f t="shared" ref="CR110" si="240">$AF$3</f>
        <v>2018-19</v>
      </c>
      <c r="CS110" s="579" t="str">
        <f t="shared" ref="CS110" si="241">$AG$3</f>
        <v>2019-20</v>
      </c>
      <c r="CT110" s="579" t="str">
        <f t="shared" ref="CT110:CY110" si="242">$AC$3</f>
        <v>2015-16</v>
      </c>
      <c r="CU110" s="579" t="str">
        <f t="shared" ref="CU110:CZ110" si="243">$AD$3</f>
        <v>2016-17</v>
      </c>
      <c r="CV110" s="579" t="str">
        <f t="shared" ref="CV110" si="244">$AE$3</f>
        <v>2017-18</v>
      </c>
      <c r="CW110" s="579" t="str">
        <f t="shared" ref="CW110" si="245">$AF$3</f>
        <v>2018-19</v>
      </c>
      <c r="CX110" s="579" t="str">
        <f t="shared" ref="CX110" si="246">$AG$3</f>
        <v>2019-20</v>
      </c>
      <c r="CY110" s="579" t="str">
        <f t="shared" si="242"/>
        <v>2015-16</v>
      </c>
      <c r="CZ110" s="579" t="str">
        <f t="shared" si="243"/>
        <v>2016-17</v>
      </c>
      <c r="DA110" s="579" t="str">
        <f t="shared" ref="DA110" si="247">$AE$3</f>
        <v>2017-18</v>
      </c>
      <c r="DB110" s="579" t="str">
        <f t="shared" ref="DB110" si="248">$AF$3</f>
        <v>2018-19</v>
      </c>
      <c r="DC110" s="579" t="str">
        <f t="shared" ref="DC110" si="249">$AG$3</f>
        <v>2019-20</v>
      </c>
      <c r="DD110" s="579" t="str">
        <f t="shared" ref="DD110:DI110" si="250">$AC$3</f>
        <v>2015-16</v>
      </c>
      <c r="DE110" s="579" t="str">
        <f t="shared" ref="DE110:DJ110" si="251">$AD$3</f>
        <v>2016-17</v>
      </c>
      <c r="DF110" s="579" t="str">
        <f t="shared" ref="DF110" si="252">$AE$3</f>
        <v>2017-18</v>
      </c>
      <c r="DG110" s="579" t="str">
        <f t="shared" ref="DG110" si="253">$AF$3</f>
        <v>2018-19</v>
      </c>
      <c r="DH110" s="579" t="str">
        <f t="shared" ref="DH110" si="254">$AG$3</f>
        <v>2019-20</v>
      </c>
      <c r="DI110" s="579" t="str">
        <f t="shared" si="250"/>
        <v>2015-16</v>
      </c>
      <c r="DJ110" s="579" t="str">
        <f t="shared" si="251"/>
        <v>2016-17</v>
      </c>
      <c r="DK110" s="579" t="str">
        <f t="shared" ref="DK110" si="255">$AE$3</f>
        <v>2017-18</v>
      </c>
      <c r="DL110" s="579" t="str">
        <f t="shared" ref="DL110" si="256">$AF$3</f>
        <v>2018-19</v>
      </c>
      <c r="DM110" s="579" t="str">
        <f t="shared" ref="DM110" si="257">$AG$3</f>
        <v>2019-20</v>
      </c>
      <c r="DN110" s="579" t="str">
        <f t="shared" ref="DN110:DS110" si="258">$AC$3</f>
        <v>2015-16</v>
      </c>
      <c r="DO110" s="579" t="str">
        <f t="shared" ref="DO110:DT110" si="259">$AD$3</f>
        <v>2016-17</v>
      </c>
      <c r="DP110" s="579" t="str">
        <f t="shared" ref="DP110" si="260">$AE$3</f>
        <v>2017-18</v>
      </c>
      <c r="DQ110" s="579" t="str">
        <f t="shared" ref="DQ110" si="261">$AF$3</f>
        <v>2018-19</v>
      </c>
      <c r="DR110" s="579" t="str">
        <f t="shared" ref="DR110" si="262">$AG$3</f>
        <v>2019-20</v>
      </c>
      <c r="DS110" s="579" t="str">
        <f t="shared" si="258"/>
        <v>2015-16</v>
      </c>
      <c r="DT110" s="579" t="str">
        <f t="shared" si="259"/>
        <v>2016-17</v>
      </c>
      <c r="DU110" s="579" t="str">
        <f t="shared" ref="DU110" si="263">$AE$3</f>
        <v>2017-18</v>
      </c>
      <c r="DV110" s="579" t="str">
        <f t="shared" ref="DV110" si="264">$AF$3</f>
        <v>2018-19</v>
      </c>
      <c r="DW110" s="579" t="str">
        <f t="shared" ref="DW110" si="265">$AG$3</f>
        <v>2019-20</v>
      </c>
      <c r="DX110" s="579" t="str">
        <f t="shared" ref="DX110" si="266">$AC$3</f>
        <v>2015-16</v>
      </c>
      <c r="DY110" s="579" t="str">
        <f t="shared" ref="DY110" si="267">$AD$3</f>
        <v>2016-17</v>
      </c>
      <c r="DZ110" s="579" t="str">
        <f t="shared" ref="DZ110" si="268">$AE$3</f>
        <v>2017-18</v>
      </c>
      <c r="EA110" s="579" t="str">
        <f t="shared" ref="EA110" si="269">$AF$3</f>
        <v>2018-19</v>
      </c>
      <c r="EB110" s="579" t="str">
        <f t="shared" ref="EB110" si="270">$AG$3</f>
        <v>2019-20</v>
      </c>
    </row>
    <row r="111" spans="1:132" ht="16.5" customHeight="1" x14ac:dyDescent="0.2">
      <c r="A111" s="278"/>
      <c r="B111" s="175" t="str">
        <f>Sheet1!$K$4</f>
        <v>Bracknell Forest</v>
      </c>
      <c r="C111" s="73"/>
      <c r="D111" s="1841"/>
      <c r="E111" s="1842"/>
      <c r="F111" s="1841"/>
      <c r="G111" s="1842"/>
      <c r="H111" s="1841"/>
      <c r="I111" s="1842"/>
      <c r="J111" s="1841"/>
      <c r="K111" s="1842"/>
      <c r="L111" s="1841"/>
      <c r="M111" s="1842"/>
      <c r="N111" s="1841"/>
      <c r="O111" s="1842"/>
      <c r="P111" s="1841"/>
      <c r="Q111" s="1842"/>
      <c r="R111" s="1841"/>
      <c r="S111" s="1842"/>
      <c r="T111" s="1841"/>
      <c r="U111" s="1842"/>
      <c r="V111" s="1841"/>
      <c r="W111" s="1842"/>
      <c r="X111" s="14"/>
      <c r="Y111" s="117"/>
      <c r="Z111" s="137"/>
      <c r="AA111" s="74"/>
      <c r="AB111" s="1585">
        <f>IF(Year1_Bracknell_Forest Year1_ReferralSource_Individual_Family="","",Year1_Bracknell_Forest Year1_ReferralSource_Individual_Family)</f>
        <v>153</v>
      </c>
      <c r="AC111" s="1586">
        <f>IF(Year2_Bracknell_Forest Year2_ReferralSource_Individual_Family="","",Year2_Bracknell_Forest Year2_ReferralSource_Individual_Family)</f>
        <v>170</v>
      </c>
      <c r="AD111" s="1586">
        <f>IF(Year3_Bracknell_Forest Year3_ReferralSource_Individual_Family="","",Year3_Bracknell_Forest Year3_ReferralSource_Individual_Family)</f>
        <v>117</v>
      </c>
      <c r="AE111" s="1586">
        <f>IF(Year4_Bracknell_Forest Year4_ReferralSource_Individual_Family="","",Year4_Bracknell_Forest Year4_ReferralSource_Individual_Family)</f>
        <v>215</v>
      </c>
      <c r="AF111" s="1587">
        <f>IF(Year5_Bracknell_Forest Year5_ReferralSource_Individual_Family="","",Year5_Bracknell_Forest Year5_ReferralSource_Individual_Family)</f>
        <v>113</v>
      </c>
      <c r="AG111" s="1585" t="str">
        <f>IF(Year1_Bracknell_Forest Year1_ReferralSource_Individual_Acquaintance="","",Year1_Bracknell_Forest Year1_ReferralSource_Individual_Acquaintance)</f>
        <v/>
      </c>
      <c r="AH111" s="1586" t="str">
        <f>IF(Year2_Bracknell_Forest Year2_ReferralSource_Individual_Acquaintance="","",Year2_Bracknell_Forest Year2_ReferralSource_Individual_Acquaintance)</f>
        <v/>
      </c>
      <c r="AI111" s="1586" t="str">
        <f>IF(Year3_Bracknell_Forest Year3_ReferralSource_Individual_Acquaintance="","",Year3_Bracknell_Forest Year3_ReferralSource_Individual_Acquaintance)</f>
        <v/>
      </c>
      <c r="AJ111" s="1586" t="str">
        <f>IF(Year4_Bracknell_Forest Year4_ReferralSource_Individual_Acquaintance="","",Year4_Bracknell_Forest Year4_ReferralSource_Individual_Acquaintance)</f>
        <v/>
      </c>
      <c r="AK111" s="1588" t="str">
        <f>IF(Year5_Bracknell_Forest Year5_ReferralSource_Individual_Acquaintance="","",Year5_Bracknell_Forest Year5_ReferralSource_Individual_Acquaintance)</f>
        <v/>
      </c>
      <c r="AL111" s="1585" t="str">
        <f>IF(Year1_Bracknell_Forest Year1_ReferralSource_Individual_Self="","",Year1_Bracknell_Forest Year1_ReferralSource_Individual_Self)</f>
        <v/>
      </c>
      <c r="AM111" s="1586" t="str">
        <f>IF(Year2_Bracknell_Forest Year2_ReferralSource_Individual_Self="","",Year2_Bracknell_Forest Year2_ReferralSource_Individual_Self)</f>
        <v/>
      </c>
      <c r="AN111" s="1586" t="str">
        <f>IF(Year3_Bracknell_Forest Year3_ReferralSource_Individual_Self="","",Year3_Bracknell_Forest Year3_ReferralSource_Individual_Self)</f>
        <v/>
      </c>
      <c r="AO111" s="1586" t="str">
        <f>IF(Year4_Bracknell_Forest Year4_ReferralSource_Individual_Self="","",Year4_Bracknell_Forest Year4_ReferralSource_Individual_Self)</f>
        <v/>
      </c>
      <c r="AP111" s="1588" t="str">
        <f>IF(Year5_Bracknell_Forest Year5_ReferralSource_Individual_Self="","",Year5_Bracknell_Forest Year5_ReferralSource_Individual_Self)</f>
        <v/>
      </c>
      <c r="AQ111" s="1585" t="str">
        <f>IF(Year1_Bracknell_Forest Year1_ReferralSource_Individual_Other="","",Year1_Bracknell_Forest Year1_ReferralSource_Individual_Other)</f>
        <v/>
      </c>
      <c r="AR111" s="1586" t="str">
        <f>IF(Year2_Bracknell_Forest Year2_ReferralSource_Individual_Other="","",Year2_Bracknell_Forest Year2_ReferralSource_Individual_Other)</f>
        <v/>
      </c>
      <c r="AS111" s="1586" t="str">
        <f>IF(Year3_Bracknell_Forest Year3_ReferralSource_Individual_Other="","",Year3_Bracknell_Forest Year3_ReferralSource_Individual_Other)</f>
        <v/>
      </c>
      <c r="AT111" s="1586" t="str">
        <f>IF(Year4_Bracknell_Forest Year4_ReferralSource_Individual_Other="","",Year4_Bracknell_Forest Year4_ReferralSource_Individual_Other)</f>
        <v/>
      </c>
      <c r="AU111" s="1588" t="str">
        <f>IF(Year5_Bracknell_Forest Year5_ReferralSource_Individual_Other="","",Year5_Bracknell_Forest Year5_ReferralSource_Individual_Other)</f>
        <v/>
      </c>
      <c r="AV111" s="1585">
        <f>IF(Year1_Bracknell_Forest Year1_ReferralSource_School="","",Year1_Bracknell_Forest Year1_ReferralSource_School)</f>
        <v>343</v>
      </c>
      <c r="AW111" s="1586">
        <f>IF(Year2_Bracknell_Forest Year2_ReferralSource_School="","",Year2_Bracknell_Forest Year2_ReferralSource_School)</f>
        <v>353</v>
      </c>
      <c r="AX111" s="1586">
        <f>IF(Year3_Bracknell_Forest Year3_ReferralSource_School="","",Year3_Bracknell_Forest Year3_ReferralSource_School)</f>
        <v>497</v>
      </c>
      <c r="AY111" s="1586">
        <f>IF(Year4_Bracknell_Forest Year4_ReferralSource_School="","",Year4_Bracknell_Forest Year4_ReferralSource_School)</f>
        <v>592</v>
      </c>
      <c r="AZ111" s="1588">
        <f>IF(Year5_Bracknell_Forest Year5_ReferralSource_School="","",Year5_Bracknell_Forest Year5_ReferralSource_School)</f>
        <v>472</v>
      </c>
      <c r="BA111" s="1585">
        <f>IF(Year1_Bracknell_Forest Year1_ReferralSource_EducationServices="","",Year1_Bracknell_Forest Year1_ReferralSource_EducationServices)</f>
        <v>19</v>
      </c>
      <c r="BB111" s="1586">
        <f>IF(Year2_Bracknell_Forest Year2_ReferralSource_EducationServices="","",Year2_Bracknell_Forest Year2_ReferralSource_EducationServices)</f>
        <v>32</v>
      </c>
      <c r="BC111" s="1586">
        <f>IF(Year3_Bracknell_Forest Year3_ReferralSource_EducationServices="","",Year3_Bracknell_Forest Year3_ReferralSource_EducationServices)</f>
        <v>39</v>
      </c>
      <c r="BD111" s="1586">
        <f>IF(Year4_Bracknell_Forest Year4_ReferralSource_EducationServices="","",Year4_Bracknell_Forest Year4_ReferralSource_EducationServices)</f>
        <v>0</v>
      </c>
      <c r="BE111" s="1588">
        <f>IF(Year5_Bracknell_Forest Year5_ReferralSource_EducationServices="","",Year5_Bracknell_Forest Year5_ReferralSource_EducationServices)</f>
        <v>22</v>
      </c>
      <c r="BF111" s="882">
        <f>IF(Year1_Bracknell_Forest Year1_ReferralSource_Health_services_GP="","",Year1_Bracknell_Forest Year1_ReferralSource_Health_services_GP)</f>
        <v>118</v>
      </c>
      <c r="BG111" s="883">
        <f>IF(Year2_Bracknell_Forest Year2_ReferralSource_Health_services_GP="","",Year2_Bracknell_Forest Year2_ReferralSource_Health_services_GP)</f>
        <v>132</v>
      </c>
      <c r="BH111" s="883">
        <f>IF(Year3_Bracknell_Forest Year3_ReferralSource_Health_services_GP="","",Year3_Bracknell_Forest Year3_ReferralSource_Health_services_GP)</f>
        <v>136</v>
      </c>
      <c r="BI111" s="883">
        <f>IF(Year4_Bracknell_Forest Year4_ReferralSource_Health_services_GP="","",Year4_Bracknell_Forest Year4_ReferralSource_Health_services_GP)</f>
        <v>254</v>
      </c>
      <c r="BJ111" s="884">
        <f>IF(Year5_Bracknell_Forest Year5_ReferralSource_Health_services_GP="","",Year5_Bracknell_Forest Year5_ReferralSource_Health_services_GP)</f>
        <v>177</v>
      </c>
      <c r="BK111" s="882" t="str">
        <f>IF(Year1_Bracknell_Forest Year1_ReferralSource_Health_services_HealthVisitor="","",Year1_Bracknell_Forest Year1_ReferralSource_Health_services_HealthVisitor)</f>
        <v/>
      </c>
      <c r="BL111" s="883" t="str">
        <f>IF(Year2_Bracknell_Forest Year2_ReferralSource_Health_services_HealthVisitor="","",Year2_Bracknell_Forest Year2_ReferralSource_Health_services_HealthVisitor)</f>
        <v/>
      </c>
      <c r="BM111" s="883" t="str">
        <f>IF(Year3_Bracknell_Forest Year3_ReferralSource_Health_services_HealthVisitor="","",Year3_Bracknell_Forest Year3_ReferralSource_Health_services_HealthVisitor)</f>
        <v/>
      </c>
      <c r="BN111" s="883" t="str">
        <f>IF(Year4_Bracknell_Forest Year4_ReferralSource_Health_services_HealthVisitor="","",Year4_Bracknell_Forest Year4_ReferralSource_Health_services_HealthVisitor)</f>
        <v/>
      </c>
      <c r="BO111" s="884" t="str">
        <f>IF(Year5_Bracknell_Forest Year5_ReferralSource_Health_services_HealthVisitor="","",Year5_Bracknell_Forest Year5_ReferralSource_Health_services_HealthVisitor)</f>
        <v/>
      </c>
      <c r="BP111" s="882" t="str">
        <f>IF(Year1_Bracknell_Forest Year1_ReferralSource_Health_services_SchoolNurse="","",Year1_Bracknell_Forest Year1_ReferralSource_Health_services_SchoolNurse)</f>
        <v/>
      </c>
      <c r="BQ111" s="883" t="str">
        <f>IF(Year2_Bracknell_Forest Year2_ReferralSource_Health_services_SchoolNurse="","",Year2_Bracknell_Forest Year2_ReferralSource_Health_services_SchoolNurse)</f>
        <v/>
      </c>
      <c r="BR111" s="883" t="str">
        <f>IF(Year3_Bracknell_Forest Year3_ReferralSource_Health_services_SchoolNurse="","",Year3_Bracknell_Forest Year3_ReferralSource_Health_services_SchoolNurse)</f>
        <v/>
      </c>
      <c r="BS111" s="883" t="str">
        <f>IF(Year4_Bracknell_Forest Year4_ReferralSource_Health_services_SchoolNurse="","",Year4_Bracknell_Forest Year4_ReferralSource_Health_services_SchoolNurse)</f>
        <v/>
      </c>
      <c r="BT111" s="884" t="str">
        <f>IF(Year5_Bracknell_Forest Year5_ReferralSource_Health_services_SchoolNurse="","",Year5_Bracknell_Forest Year5_ReferralSource_Health_services_SchoolNurse)</f>
        <v/>
      </c>
      <c r="BU111" s="882" t="str">
        <f>IF(Year1_Bracknell_Forest Year1_ReferralSource_Health_services_OthPrimary="","",Year1_Bracknell_Forest Year1_ReferralSource_Health_services_OthPrimary)</f>
        <v/>
      </c>
      <c r="BV111" s="883" t="str">
        <f>IF(Year2_Bracknell_Forest Year2_ReferralSource_Health_services_OthPrimary="","",Year2_Bracknell_Forest Year2_ReferralSource_Health_services_OthPrimary)</f>
        <v/>
      </c>
      <c r="BW111" s="883" t="str">
        <f>IF(Year3_Bracknell_Forest Year3_ReferralSource_Health_services_OthPrimary="","",Year3_Bracknell_Forest Year3_ReferralSource_Health_services_OthPrimary)</f>
        <v/>
      </c>
      <c r="BX111" s="883" t="str">
        <f>IF(Year4_Bracknell_Forest Year4_ReferralSource_Health_services_OthPrimary="","",Year4_Bracknell_Forest Year4_ReferralSource_Health_services_OthPrimary)</f>
        <v/>
      </c>
      <c r="BY111" s="884" t="str">
        <f>IF(Year5_Bracknell_Forest Year5_ReferralSource_Health_services_OthPrimary="","",Year5_Bracknell_Forest Year5_ReferralSource_Health_services_OthPrimary)</f>
        <v/>
      </c>
      <c r="BZ111" s="882" t="str">
        <f>IF(Year1_Bracknell_Forest Year1_ReferralSource_Health_services_AE="","",Year1_Bracknell_Forest Year1_ReferralSource_Health_services_AE)</f>
        <v/>
      </c>
      <c r="CA111" s="883" t="str">
        <f>IF(Year2_Bracknell_Forest Year2_ReferralSource_Health_services_AE="","",Year2_Bracknell_Forest Year2_ReferralSource_Health_services_AE)</f>
        <v/>
      </c>
      <c r="CB111" s="883" t="str">
        <f>IF(Year3_Bracknell_Forest Year3_ReferralSource_Health_services_AE="","",Year3_Bracknell_Forest Year3_ReferralSource_Health_services_AE)</f>
        <v/>
      </c>
      <c r="CC111" s="883" t="str">
        <f>IF(Year4_Bracknell_Forest Year4_ReferralSource_Health_services_AE="","",Year4_Bracknell_Forest Year4_ReferralSource_Health_services_AE)</f>
        <v/>
      </c>
      <c r="CD111" s="884" t="str">
        <f>IF(Year5_Bracknell_Forest Year5_ReferralSource_Health_services_AE="","",Year5_Bracknell_Forest Year5_ReferralSource_Health_services_AE)</f>
        <v/>
      </c>
      <c r="CE111" s="882" t="str">
        <f>IF(Year1_Bracknell_Forest Year1_ReferralSource_Health_services_Other="","",Year1_Bracknell_Forest Year1_ReferralSource_Health_services_Other)</f>
        <v/>
      </c>
      <c r="CF111" s="883" t="str">
        <f>IF(Year2_Bracknell_Forest Year2_ReferralSource_Health_services_Other="","",Year2_Bracknell_Forest Year2_ReferralSource_Health_services_Other)</f>
        <v/>
      </c>
      <c r="CG111" s="883" t="str">
        <f>IF(Year3_Bracknell_Forest Year3_ReferralSource_Health_services_Other="","",Year3_Bracknell_Forest Year3_ReferralSource_Health_services_Other)</f>
        <v/>
      </c>
      <c r="CH111" s="883" t="str">
        <f>IF(Year4_Bracknell_Forest Year4_ReferralSource_Health_services_Other="","",Year4_Bracknell_Forest Year4_ReferralSource_Health_services_Other)</f>
        <v/>
      </c>
      <c r="CI111" s="884" t="str">
        <f>IF(Year5_Bracknell_Forest Year5_ReferralSource_Health_services_Other="","",Year5_Bracknell_Forest Year5_ReferralSource_Health_services_Other)</f>
        <v/>
      </c>
      <c r="CJ111" s="870">
        <f>IF(Year1_Bracknell_Forest Year1_ReferralSource_Housing="","",Year1_Bracknell_Forest Year1_ReferralSource_Housing)</f>
        <v>10</v>
      </c>
      <c r="CK111" s="871">
        <f>IF(Year2_Bracknell_Forest Year2_ReferralSource_Housing="","",Year2_Bracknell_Forest Year2_ReferralSource_Housing)</f>
        <v>19</v>
      </c>
      <c r="CL111" s="871">
        <f>IF(Year3_Bracknell_Forest Year3_ReferralSource_Housing="","",Year3_Bracknell_Forest Year3_ReferralSource_Housing)</f>
        <v>24</v>
      </c>
      <c r="CM111" s="871">
        <f>IF(Year4_Bracknell_Forest Year4_ReferralSource_Housing="","",Year4_Bracknell_Forest Year4_ReferralSource_Housing)</f>
        <v>30</v>
      </c>
      <c r="CN111" s="872">
        <f>IF(Year5_Bracknell_Forest Year5_ReferralSource_Housing="","",Year5_Bracknell_Forest Year5_ReferralSource_Housing)</f>
        <v>18</v>
      </c>
      <c r="CO111" s="870">
        <f>IF(Year1_Bracknell_Forest Year1_ReferralSource_LA_SC="","",Year1_Bracknell_Forest Year1_ReferralSource_LA_SC)</f>
        <v>229</v>
      </c>
      <c r="CP111" s="871">
        <f>IF(Year2_Bracknell_Forest Year2_ReferralSource_LA_SC="","",Year2_Bracknell_Forest Year2_ReferralSource_LA_SC)</f>
        <v>290</v>
      </c>
      <c r="CQ111" s="871">
        <f>IF(Year3_Bracknell_Forest Year3_ReferralSource_LA_SC="","",Year3_Bracknell_Forest Year3_ReferralSource_LA_SC)</f>
        <v>372</v>
      </c>
      <c r="CR111" s="871">
        <f>IF(Year4_Bracknell_Forest Year4_ReferralSource_LA_SC="","",Year4_Bracknell_Forest Year4_ReferralSource_LA_SC)</f>
        <v>466</v>
      </c>
      <c r="CS111" s="872">
        <f>IF(Year5_Bracknell_Forest Year5_ReferralSource_LA_SC="","",Year5_Bracknell_Forest Year5_ReferralSource_LA_SC)</f>
        <v>377</v>
      </c>
      <c r="CT111" s="870" t="str">
        <f>IF(Year1_Bracknell_Forest Year1_ReferralSource_LA_Other="","",Year1_Bracknell_Forest Year1_ReferralSource_LA_Other)</f>
        <v/>
      </c>
      <c r="CU111" s="871" t="str">
        <f>IF(Year2_Bracknell_Forest Year2_ReferralSource_LA_Other="","",Year2_Bracknell_Forest Year2_ReferralSource_LA_Other)</f>
        <v/>
      </c>
      <c r="CV111" s="871" t="str">
        <f>IF(Year3_Bracknell_Forest Year3_ReferralSource_LA_Other="","",Year3_Bracknell_Forest Year3_ReferralSource_LA_Other)</f>
        <v/>
      </c>
      <c r="CW111" s="871" t="str">
        <f>IF(Year4_Bracknell_Forest Year4_ReferralSource_LA_Other="","",Year4_Bracknell_Forest Year4_ReferralSource_LA_Other)</f>
        <v/>
      </c>
      <c r="CX111" s="872" t="str">
        <f>IF(Year5_Bracknell_Forest Year5_ReferralSource_LA_Other="","",Year5_Bracknell_Forest Year5_ReferralSource_LA_Other)</f>
        <v/>
      </c>
      <c r="CY111" s="870" t="str">
        <f>IF(Year1_Bracknell_Forest Year1_ReferralSource_LA_External="","",Year1_Bracknell_Forest Year1_ReferralSource_LA_External)</f>
        <v/>
      </c>
      <c r="CZ111" s="871" t="str">
        <f>IF(Year2_Bracknell_Forest Year2_ReferralSource_LA_External="","",Year2_Bracknell_Forest Year2_ReferralSource_LA_External)</f>
        <v/>
      </c>
      <c r="DA111" s="871" t="str">
        <f>IF(Year3_Bracknell_Forest Year3_ReferralSource_LA_External="","",Year3_Bracknell_Forest Year3_ReferralSource_LA_External)</f>
        <v/>
      </c>
      <c r="DB111" s="871" t="str">
        <f>IF(Year4_Bracknell_Forest Year4_ReferralSource_LA_External="","",Year4_Bracknell_Forest Year4_ReferralSource_LA_External)</f>
        <v/>
      </c>
      <c r="DC111" s="872" t="str">
        <f>IF(Year5_Bracknell_Forest Year5_ReferralSource_LA_External="","",Year5_Bracknell_Forest Year5_ReferralSource_LA_External)</f>
        <v/>
      </c>
      <c r="DD111" s="870">
        <f>IF(Year1_Bracknell_Forest Year1_ReferralSource_Police="","",Year1_Bracknell_Forest Year1_ReferralSource_Police)</f>
        <v>317</v>
      </c>
      <c r="DE111" s="871">
        <f>IF(Year2_Bracknell_Forest Year2_ReferralSource_Police="","",Year2_Bracknell_Forest Year2_ReferralSource_Police)</f>
        <v>323</v>
      </c>
      <c r="DF111" s="871">
        <f>IF(Year3_Bracknell_Forest Year3_ReferralSource_Police="","",Year3_Bracknell_Forest Year3_ReferralSource_Police)</f>
        <v>412</v>
      </c>
      <c r="DG111" s="871">
        <f>IF(Year4_Bracknell_Forest Year4_ReferralSource_Police="","",Year4_Bracknell_Forest Year4_ReferralSource_Police)</f>
        <v>443</v>
      </c>
      <c r="DH111" s="872">
        <f>IF(Year5_Bracknell_Forest Year5_ReferralSource_Police="","",Year5_Bracknell_Forest Year5_ReferralSource_Police)</f>
        <v>387</v>
      </c>
      <c r="DI111" s="870">
        <f>IF(Year1_Bracknell_Forest Year1_ReferralSource_Other_Legal="","",Year1_Bracknell_Forest Year1_ReferralSource_Other_Legal)</f>
        <v>21</v>
      </c>
      <c r="DJ111" s="871">
        <f>IF(Year2_Bracknell_Forest Year2_ReferralSource_Other_Legal="","",Year2_Bracknell_Forest Year2_ReferralSource_Other_Legal)</f>
        <v>42</v>
      </c>
      <c r="DK111" s="871">
        <f>IF(Year3_Bracknell_Forest Year3_ReferralSource_Other_Legal="","",Year3_Bracknell_Forest Year3_ReferralSource_Other_Legal)</f>
        <v>26</v>
      </c>
      <c r="DL111" s="871">
        <f>IF(Year4_Bracknell_Forest Year4_ReferralSource_Other_Legal="","",Year4_Bracknell_Forest Year4_ReferralSource_Other_Legal)</f>
        <v>53</v>
      </c>
      <c r="DM111" s="872">
        <f>IF(Year5_Bracknell_Forest Year5_ReferralSource_Other_Legal="","",Year5_Bracknell_Forest Year5_ReferralSource_Other_Legal)</f>
        <v>42</v>
      </c>
      <c r="DN111" s="870">
        <f>IF(Year1_Bracknell_Forest Year1_ReferralSource_Other="","",Year1_Bracknell_Forest Year1_ReferralSource_Other)</f>
        <v>84</v>
      </c>
      <c r="DO111" s="871">
        <f>IF(Year2_Bracknell_Forest Year2_ReferralSource_Other="","",Year2_Bracknell_Forest Year2_ReferralSource_Other)</f>
        <v>114</v>
      </c>
      <c r="DP111" s="871">
        <f>IF(Year3_Bracknell_Forest Year3_ReferralSource_Other="","",Year3_Bracknell_Forest Year3_ReferralSource_Other)</f>
        <v>135</v>
      </c>
      <c r="DQ111" s="871">
        <f>IF(Year4_Bracknell_Forest Year4_ReferralSource_Other="","",Year4_Bracknell_Forest Year4_ReferralSource_Other)</f>
        <v>95</v>
      </c>
      <c r="DR111" s="872">
        <f>IF(Year5_Bracknell_Forest Year5_ReferralSource_Other="","",Year5_Bracknell_Forest Year5_ReferralSource_Other)</f>
        <v>68</v>
      </c>
      <c r="DS111" s="870" t="str">
        <f>IF(Year1_Bracknell_Forest Year1_ReferralSource_Anonymous="","",Year1_Bracknell_Forest Year1_ReferralSource_Anonymous)</f>
        <v>x</v>
      </c>
      <c r="DT111" s="871">
        <f>IF(Year2_Bracknell_Forest Year2_ReferralSource_Anonymous="","",Year2_Bracknell_Forest Year2_ReferralSource_Anonymous)</f>
        <v>22</v>
      </c>
      <c r="DU111" s="871">
        <f>IF(Year3_Bracknell_Forest Year3_ReferralSource_Anonymous="","",Year3_Bracknell_Forest Year3_ReferralSource_Anonymous)</f>
        <v>55</v>
      </c>
      <c r="DV111" s="871">
        <f>IF(Year4_Bracknell_Forest Year4_ReferralSource_Anonymous="","",Year4_Bracknell_Forest Year4_ReferralSource_Anonymous)</f>
        <v>65</v>
      </c>
      <c r="DW111" s="872">
        <f>IF(Year5_Bracknell_Forest Year5_ReferralSource_Anonymous="","",Year5_Bracknell_Forest Year5_ReferralSource_Anonymous)</f>
        <v>23</v>
      </c>
      <c r="DX111" s="870" t="str">
        <f>IF(Year1_Bracknell_Forest Year1_ReferralSource_Unknown="","",Year1_Bracknell_Forest Year1_ReferralSource_Unknown)</f>
        <v>x</v>
      </c>
      <c r="DY111" s="871">
        <f>IF(Year2_Bracknell_Forest Year2_ReferralSource_Unknown="","",Year2_Bracknell_Forest Year2_ReferralSource_Unknown)</f>
        <v>147</v>
      </c>
      <c r="DZ111" s="871">
        <f>IF(Year3_Bracknell_Forest Year3_ReferralSource_Unknown="","",Year3_Bracknell_Forest Year3_ReferralSource_Unknown)</f>
        <v>6</v>
      </c>
      <c r="EA111" s="871">
        <f>IF(Year4_Bracknell_Forest Year4_ReferralSource_Unknown="","",Year4_Bracknell_Forest Year4_ReferralSource_Unknown)</f>
        <v>0</v>
      </c>
      <c r="EB111" s="872">
        <f>IF(Year5_Bracknell_Forest Year5_ReferralSource_Unknown="","",Year5_Bracknell_Forest Year5_ReferralSource_Unknown)</f>
        <v>0</v>
      </c>
    </row>
    <row r="112" spans="1:132" ht="16.5" customHeight="1" x14ac:dyDescent="0.2">
      <c r="A112" s="461"/>
      <c r="B112" s="175" t="str">
        <f>Sheet1!$K$5</f>
        <v>Brighton &amp; Hove</v>
      </c>
      <c r="C112" s="9"/>
      <c r="D112" s="1893"/>
      <c r="E112" s="1894"/>
      <c r="F112" s="1893"/>
      <c r="G112" s="1894"/>
      <c r="H112" s="1893"/>
      <c r="I112" s="1894"/>
      <c r="J112" s="1893"/>
      <c r="K112" s="1894"/>
      <c r="L112" s="1893"/>
      <c r="M112" s="1894"/>
      <c r="N112" s="1893"/>
      <c r="O112" s="1894"/>
      <c r="P112" s="1893"/>
      <c r="Q112" s="1894"/>
      <c r="R112" s="1893"/>
      <c r="S112" s="1894"/>
      <c r="T112" s="1893"/>
      <c r="U112" s="1894"/>
      <c r="V112" s="1893"/>
      <c r="W112" s="1894"/>
      <c r="X112" s="9"/>
      <c r="Y112" s="120"/>
      <c r="Z112" s="137"/>
      <c r="AA112" s="74"/>
      <c r="AB112" s="1585">
        <f>IF(Year1_Brighton_Hove Year1_ReferralSource_Individual_Family="","",Year1_Brighton_Hove Year1_ReferralSource_Individual_Family)</f>
        <v>179</v>
      </c>
      <c r="AC112" s="1586">
        <f>IF(Year2_Brighton_Hove Year2_ReferralSource_Individual_Family="","",Year2_Brighton_Hove Year2_ReferralSource_Individual_Family)</f>
        <v>176</v>
      </c>
      <c r="AD112" s="1586">
        <f>IF(Year3_Brighton_Hove Year3_ReferralSource_Individual_Family="","",Year3_Brighton_Hove Year3_ReferralSource_Individual_Family)</f>
        <v>155</v>
      </c>
      <c r="AE112" s="1586">
        <f>IF(Year4_Brighton_Hove Year4_ReferralSource_Individual_Family="","",Year4_Brighton_Hove Year4_ReferralSource_Individual_Family)</f>
        <v>105</v>
      </c>
      <c r="AF112" s="1587">
        <f>IF(Year5_Brighton_Hove Year5_ReferralSource_Individual_Family="","",Year5_Brighton_Hove Year5_ReferralSource_Individual_Family)</f>
        <v>105</v>
      </c>
      <c r="AG112" s="1585" t="str">
        <f>IF(Year1_Brighton_Hove Year1_ReferralSource_Individual_Acquaintance="","",Year1_Brighton_Hove Year1_ReferralSource_Individual_Acquaintance)</f>
        <v/>
      </c>
      <c r="AH112" s="1586" t="str">
        <f>IF(Year2_Brighton_Hove Year2_ReferralSource_Individual_Acquaintance="","",Year2_Brighton_Hove Year2_ReferralSource_Individual_Acquaintance)</f>
        <v/>
      </c>
      <c r="AI112" s="1586" t="str">
        <f>IF(Year3_Brighton_Hove Year3_ReferralSource_Individual_Acquaintance="","",Year3_Brighton_Hove Year3_ReferralSource_Individual_Acquaintance)</f>
        <v/>
      </c>
      <c r="AJ112" s="1586" t="str">
        <f>IF(Year4_Brighton_Hove Year4_ReferralSource_Individual_Acquaintance="","",Year4_Brighton_Hove Year4_ReferralSource_Individual_Acquaintance)</f>
        <v/>
      </c>
      <c r="AK112" s="1588" t="str">
        <f>IF(Year5_Brighton_Hove Year5_ReferralSource_Individual_Acquaintance="","",Year5_Brighton_Hove Year5_ReferralSource_Individual_Acquaintance)</f>
        <v/>
      </c>
      <c r="AL112" s="1585" t="str">
        <f>IF(Year1_Brighton_Hove Year1_ReferralSource_Individual_Self="","",Year1_Brighton_Hove Year1_ReferralSource_Individual_Self)</f>
        <v/>
      </c>
      <c r="AM112" s="1586" t="str">
        <f>IF(Year2_Brighton_Hove Year2_ReferralSource_Individual_Self="","",Year2_Brighton_Hove Year2_ReferralSource_Individual_Self)</f>
        <v/>
      </c>
      <c r="AN112" s="1586" t="str">
        <f>IF(Year3_Brighton_Hove Year3_ReferralSource_Individual_Self="","",Year3_Brighton_Hove Year3_ReferralSource_Individual_Self)</f>
        <v/>
      </c>
      <c r="AO112" s="1586" t="str">
        <f>IF(Year4_Brighton_Hove Year4_ReferralSource_Individual_Self="","",Year4_Brighton_Hove Year4_ReferralSource_Individual_Self)</f>
        <v/>
      </c>
      <c r="AP112" s="1588" t="str">
        <f>IF(Year5_Brighton_Hove Year5_ReferralSource_Individual_Self="","",Year5_Brighton_Hove Year5_ReferralSource_Individual_Self)</f>
        <v/>
      </c>
      <c r="AQ112" s="1585" t="str">
        <f>IF(Year1_Brighton_Hove Year1_ReferralSource_Individual_Other="","",Year1_Brighton_Hove Year1_ReferralSource_Individual_Other)</f>
        <v/>
      </c>
      <c r="AR112" s="1586" t="str">
        <f>IF(Year2_Brighton_Hove Year2_ReferralSource_Individual_Other="","",Year2_Brighton_Hove Year2_ReferralSource_Individual_Other)</f>
        <v/>
      </c>
      <c r="AS112" s="1586" t="str">
        <f>IF(Year3_Brighton_Hove Year3_ReferralSource_Individual_Other="","",Year3_Brighton_Hove Year3_ReferralSource_Individual_Other)</f>
        <v/>
      </c>
      <c r="AT112" s="1586" t="str">
        <f>IF(Year4_Brighton_Hove Year4_ReferralSource_Individual_Other="","",Year4_Brighton_Hove Year4_ReferralSource_Individual_Other)</f>
        <v/>
      </c>
      <c r="AU112" s="1588" t="str">
        <f>IF(Year5_Brighton_Hove Year5_ReferralSource_Individual_Other="","",Year5_Brighton_Hove Year5_ReferralSource_Individual_Other)</f>
        <v/>
      </c>
      <c r="AV112" s="1585">
        <f>IF(Year1_Brighton_Hove Year1_ReferralSource_School="","",Year1_Brighton_Hove Year1_ReferralSource_School)</f>
        <v>523</v>
      </c>
      <c r="AW112" s="1586">
        <f>IF(Year2_Brighton_Hove Year2_ReferralSource_School="","",Year2_Brighton_Hove Year2_ReferralSource_School)</f>
        <v>629</v>
      </c>
      <c r="AX112" s="1586">
        <f>IF(Year3_Brighton_Hove Year3_ReferralSource_School="","",Year3_Brighton_Hove Year3_ReferralSource_School)</f>
        <v>560</v>
      </c>
      <c r="AY112" s="1586">
        <f>IF(Year4_Brighton_Hove Year4_ReferralSource_School="","",Year4_Brighton_Hove Year4_ReferralSource_School)</f>
        <v>508</v>
      </c>
      <c r="AZ112" s="1588">
        <f>IF(Year5_Brighton_Hove Year5_ReferralSource_School="","",Year5_Brighton_Hove Year5_ReferralSource_School)</f>
        <v>546</v>
      </c>
      <c r="BA112" s="1585">
        <f>IF(Year1_Brighton_Hove Year1_ReferralSource_EducationServices="","",Year1_Brighton_Hove Year1_ReferralSource_EducationServices)</f>
        <v>76</v>
      </c>
      <c r="BB112" s="1586">
        <f>IF(Year2_Brighton_Hove Year2_ReferralSource_EducationServices="","",Year2_Brighton_Hove Year2_ReferralSource_EducationServices)</f>
        <v>42</v>
      </c>
      <c r="BC112" s="1586">
        <f>IF(Year3_Brighton_Hove Year3_ReferralSource_EducationServices="","",Year3_Brighton_Hove Year3_ReferralSource_EducationServices)</f>
        <v>62</v>
      </c>
      <c r="BD112" s="1586">
        <f>IF(Year4_Brighton_Hove Year4_ReferralSource_EducationServices="","",Year4_Brighton_Hove Year4_ReferralSource_EducationServices)</f>
        <v>101</v>
      </c>
      <c r="BE112" s="1588">
        <f>IF(Year5_Brighton_Hove Year5_ReferralSource_EducationServices="","",Year5_Brighton_Hove Year5_ReferralSource_EducationServices)</f>
        <v>126</v>
      </c>
      <c r="BF112" s="882">
        <f>IF(Year1_Brighton_Hove Year1_ReferralSource_Health_services_GP="","",Year1_Brighton_Hove Year1_ReferralSource_Health_services_GP)</f>
        <v>488</v>
      </c>
      <c r="BG112" s="883">
        <f>IF(Year2_Brighton_Hove Year2_ReferralSource_Health_services_GP="","",Year2_Brighton_Hove Year2_ReferralSource_Health_services_GP)</f>
        <v>336</v>
      </c>
      <c r="BH112" s="883">
        <f>IF(Year3_Brighton_Hove Year3_ReferralSource_Health_services_GP="","",Year3_Brighton_Hove Year3_ReferralSource_Health_services_GP)</f>
        <v>370</v>
      </c>
      <c r="BI112" s="883">
        <f>IF(Year4_Brighton_Hove Year4_ReferralSource_Health_services_GP="","",Year4_Brighton_Hove Year4_ReferralSource_Health_services_GP)</f>
        <v>305</v>
      </c>
      <c r="BJ112" s="884">
        <f>IF(Year5_Brighton_Hove Year5_ReferralSource_Health_services_GP="","",Year5_Brighton_Hove Year5_ReferralSource_Health_services_GP)</f>
        <v>451</v>
      </c>
      <c r="BK112" s="882" t="str">
        <f>IF(Year1_Brighton_Hove Year1_ReferralSource_Health_services_HealthVisitor="","",Year1_Brighton_Hove Year1_ReferralSource_Health_services_HealthVisitor)</f>
        <v/>
      </c>
      <c r="BL112" s="883" t="str">
        <f>IF(Year2_Brighton_Hove Year2_ReferralSource_Health_services_HealthVisitor="","",Year2_Brighton_Hove Year2_ReferralSource_Health_services_HealthVisitor)</f>
        <v/>
      </c>
      <c r="BM112" s="883" t="str">
        <f>IF(Year3_Brighton_Hove Year3_ReferralSource_Health_services_HealthVisitor="","",Year3_Brighton_Hove Year3_ReferralSource_Health_services_HealthVisitor)</f>
        <v/>
      </c>
      <c r="BN112" s="883" t="str">
        <f>IF(Year4_Brighton_Hove Year4_ReferralSource_Health_services_HealthVisitor="","",Year4_Brighton_Hove Year4_ReferralSource_Health_services_HealthVisitor)</f>
        <v/>
      </c>
      <c r="BO112" s="884" t="str">
        <f>IF(Year5_Brighton_Hove Year5_ReferralSource_Health_services_HealthVisitor="","",Year5_Brighton_Hove Year5_ReferralSource_Health_services_HealthVisitor)</f>
        <v/>
      </c>
      <c r="BP112" s="882" t="str">
        <f>IF(Year1_Brighton_Hove Year1_ReferralSource_Health_services_SchoolNurse="","",Year1_Brighton_Hove Year1_ReferralSource_Health_services_SchoolNurse)</f>
        <v/>
      </c>
      <c r="BQ112" s="883" t="str">
        <f>IF(Year2_Brighton_Hove Year2_ReferralSource_Health_services_SchoolNurse="","",Year2_Brighton_Hove Year2_ReferralSource_Health_services_SchoolNurse)</f>
        <v/>
      </c>
      <c r="BR112" s="883" t="str">
        <f>IF(Year3_Brighton_Hove Year3_ReferralSource_Health_services_SchoolNurse="","",Year3_Brighton_Hove Year3_ReferralSource_Health_services_SchoolNurse)</f>
        <v/>
      </c>
      <c r="BS112" s="883" t="str">
        <f>IF(Year4_Brighton_Hove Year4_ReferralSource_Health_services_SchoolNurse="","",Year4_Brighton_Hove Year4_ReferralSource_Health_services_SchoolNurse)</f>
        <v/>
      </c>
      <c r="BT112" s="884" t="str">
        <f>IF(Year5_Brighton_Hove Year5_ReferralSource_Health_services_SchoolNurse="","",Year5_Brighton_Hove Year5_ReferralSource_Health_services_SchoolNurse)</f>
        <v/>
      </c>
      <c r="BU112" s="882" t="str">
        <f>IF(Year1_Brighton_Hove Year1_ReferralSource_Health_services_OthPrimary="","",Year1_Brighton_Hove Year1_ReferralSource_Health_services_OthPrimary)</f>
        <v/>
      </c>
      <c r="BV112" s="883" t="str">
        <f>IF(Year2_Brighton_Hove Year2_ReferralSource_Health_services_OthPrimary="","",Year2_Brighton_Hove Year2_ReferralSource_Health_services_OthPrimary)</f>
        <v/>
      </c>
      <c r="BW112" s="883" t="str">
        <f>IF(Year3_Brighton_Hove Year3_ReferralSource_Health_services_OthPrimary="","",Year3_Brighton_Hove Year3_ReferralSource_Health_services_OthPrimary)</f>
        <v/>
      </c>
      <c r="BX112" s="883" t="str">
        <f>IF(Year4_Brighton_Hove Year4_ReferralSource_Health_services_OthPrimary="","",Year4_Brighton_Hove Year4_ReferralSource_Health_services_OthPrimary)</f>
        <v/>
      </c>
      <c r="BY112" s="884" t="str">
        <f>IF(Year5_Brighton_Hove Year5_ReferralSource_Health_services_OthPrimary="","",Year5_Brighton_Hove Year5_ReferralSource_Health_services_OthPrimary)</f>
        <v/>
      </c>
      <c r="BZ112" s="882" t="str">
        <f>IF(Year1_Brighton_Hove Year1_ReferralSource_Health_services_AE="","",Year1_Brighton_Hove Year1_ReferralSource_Health_services_AE)</f>
        <v/>
      </c>
      <c r="CA112" s="883" t="str">
        <f>IF(Year2_Brighton_Hove Year2_ReferralSource_Health_services_AE="","",Year2_Brighton_Hove Year2_ReferralSource_Health_services_AE)</f>
        <v/>
      </c>
      <c r="CB112" s="883" t="str">
        <f>IF(Year3_Brighton_Hove Year3_ReferralSource_Health_services_AE="","",Year3_Brighton_Hove Year3_ReferralSource_Health_services_AE)</f>
        <v/>
      </c>
      <c r="CC112" s="883" t="str">
        <f>IF(Year4_Brighton_Hove Year4_ReferralSource_Health_services_AE="","",Year4_Brighton_Hove Year4_ReferralSource_Health_services_AE)</f>
        <v/>
      </c>
      <c r="CD112" s="884" t="str">
        <f>IF(Year5_Brighton_Hove Year5_ReferralSource_Health_services_AE="","",Year5_Brighton_Hove Year5_ReferralSource_Health_services_AE)</f>
        <v/>
      </c>
      <c r="CE112" s="882" t="str">
        <f>IF(Year1_Brighton_Hove Year1_ReferralSource_Health_services_Other="","",Year1_Brighton_Hove Year1_ReferralSource_Health_services_Other)</f>
        <v/>
      </c>
      <c r="CF112" s="883" t="str">
        <f>IF(Year2_Brighton_Hove Year2_ReferralSource_Health_services_Other="","",Year2_Brighton_Hove Year2_ReferralSource_Health_services_Other)</f>
        <v/>
      </c>
      <c r="CG112" s="883" t="str">
        <f>IF(Year3_Brighton_Hove Year3_ReferralSource_Health_services_Other="","",Year3_Brighton_Hove Year3_ReferralSource_Health_services_Other)</f>
        <v/>
      </c>
      <c r="CH112" s="883" t="str">
        <f>IF(Year4_Brighton_Hove Year4_ReferralSource_Health_services_Other="","",Year4_Brighton_Hove Year4_ReferralSource_Health_services_Other)</f>
        <v/>
      </c>
      <c r="CI112" s="884" t="str">
        <f>IF(Year5_Brighton_Hove Year5_ReferralSource_Health_services_Other="","",Year5_Brighton_Hove Year5_ReferralSource_Health_services_Other)</f>
        <v/>
      </c>
      <c r="CJ112" s="870">
        <f>IF(Year1_Brighton_Hove Year1_ReferralSource_Housing="","",Year1_Brighton_Hove Year1_ReferralSource_Housing)</f>
        <v>0</v>
      </c>
      <c r="CK112" s="871">
        <f>IF(Year2_Brighton_Hove Year2_ReferralSource_Housing="","",Year2_Brighton_Hove Year2_ReferralSource_Housing)</f>
        <v>39</v>
      </c>
      <c r="CL112" s="871">
        <f>IF(Year3_Brighton_Hove Year3_ReferralSource_Housing="","",Year3_Brighton_Hove Year3_ReferralSource_Housing)</f>
        <v>55</v>
      </c>
      <c r="CM112" s="871">
        <f>IF(Year4_Brighton_Hove Year4_ReferralSource_Housing="","",Year4_Brighton_Hove Year4_ReferralSource_Housing)</f>
        <v>41</v>
      </c>
      <c r="CN112" s="872">
        <f>IF(Year5_Brighton_Hove Year5_ReferralSource_Housing="","",Year5_Brighton_Hove Year5_ReferralSource_Housing)</f>
        <v>64</v>
      </c>
      <c r="CO112" s="870">
        <f>IF(Year1_Brighton_Hove Year1_ReferralSource_LA_SC="","",Year1_Brighton_Hove Year1_ReferralSource_LA_SC)</f>
        <v>709</v>
      </c>
      <c r="CP112" s="871">
        <f>IF(Year2_Brighton_Hove Year2_ReferralSource_LA_SC="","",Year2_Brighton_Hove Year2_ReferralSource_LA_SC)</f>
        <v>632</v>
      </c>
      <c r="CQ112" s="871">
        <f>IF(Year3_Brighton_Hove Year3_ReferralSource_LA_SC="","",Year3_Brighton_Hove Year3_ReferralSource_LA_SC)</f>
        <v>531</v>
      </c>
      <c r="CR112" s="871">
        <f>IF(Year4_Brighton_Hove Year4_ReferralSource_LA_SC="","",Year4_Brighton_Hove Year4_ReferralSource_LA_SC)</f>
        <v>419</v>
      </c>
      <c r="CS112" s="872">
        <f>IF(Year5_Brighton_Hove Year5_ReferralSource_LA_SC="","",Year5_Brighton_Hove Year5_ReferralSource_LA_SC)</f>
        <v>497</v>
      </c>
      <c r="CT112" s="870" t="str">
        <f>IF(Year1_Brighton_Hove Year1_ReferralSource_LA_Other="","",Year1_Brighton_Hove Year1_ReferralSource_LA_Other)</f>
        <v/>
      </c>
      <c r="CU112" s="871" t="str">
        <f>IF(Year2_Brighton_Hove Year2_ReferralSource_LA_Other="","",Year2_Brighton_Hove Year2_ReferralSource_LA_Other)</f>
        <v/>
      </c>
      <c r="CV112" s="871" t="str">
        <f>IF(Year3_Brighton_Hove Year3_ReferralSource_LA_Other="","",Year3_Brighton_Hove Year3_ReferralSource_LA_Other)</f>
        <v/>
      </c>
      <c r="CW112" s="871" t="str">
        <f>IF(Year4_Brighton_Hove Year4_ReferralSource_LA_Other="","",Year4_Brighton_Hove Year4_ReferralSource_LA_Other)</f>
        <v/>
      </c>
      <c r="CX112" s="872" t="str">
        <f>IF(Year5_Brighton_Hove Year5_ReferralSource_LA_Other="","",Year5_Brighton_Hove Year5_ReferralSource_LA_Other)</f>
        <v/>
      </c>
      <c r="CY112" s="870" t="str">
        <f>IF(Year1_Brighton_Hove Year1_ReferralSource_LA_External="","",Year1_Brighton_Hove Year1_ReferralSource_LA_External)</f>
        <v/>
      </c>
      <c r="CZ112" s="871" t="str">
        <f>IF(Year2_Brighton_Hove Year2_ReferralSource_LA_External="","",Year2_Brighton_Hove Year2_ReferralSource_LA_External)</f>
        <v/>
      </c>
      <c r="DA112" s="871" t="str">
        <f>IF(Year3_Brighton_Hove Year3_ReferralSource_LA_External="","",Year3_Brighton_Hove Year3_ReferralSource_LA_External)</f>
        <v/>
      </c>
      <c r="DB112" s="871" t="str">
        <f>IF(Year4_Brighton_Hove Year4_ReferralSource_LA_External="","",Year4_Brighton_Hove Year4_ReferralSource_LA_External)</f>
        <v/>
      </c>
      <c r="DC112" s="872" t="str">
        <f>IF(Year5_Brighton_Hove Year5_ReferralSource_LA_External="","",Year5_Brighton_Hove Year5_ReferralSource_LA_External)</f>
        <v/>
      </c>
      <c r="DD112" s="870">
        <f>IF(Year1_Brighton_Hove Year1_ReferralSource_Police="","",Year1_Brighton_Hove Year1_ReferralSource_Police)</f>
        <v>844</v>
      </c>
      <c r="DE112" s="871">
        <f>IF(Year2_Brighton_Hove Year2_ReferralSource_Police="","",Year2_Brighton_Hove Year2_ReferralSource_Police)</f>
        <v>871</v>
      </c>
      <c r="DF112" s="871">
        <f>IF(Year3_Brighton_Hove Year3_ReferralSource_Police="","",Year3_Brighton_Hove Year3_ReferralSource_Police)</f>
        <v>863</v>
      </c>
      <c r="DG112" s="871">
        <f>IF(Year4_Brighton_Hove Year4_ReferralSource_Police="","",Year4_Brighton_Hove Year4_ReferralSource_Police)</f>
        <v>780</v>
      </c>
      <c r="DH112" s="872">
        <f>IF(Year5_Brighton_Hove Year5_ReferralSource_Police="","",Year5_Brighton_Hove Year5_ReferralSource_Police)</f>
        <v>1021</v>
      </c>
      <c r="DI112" s="870">
        <f>IF(Year1_Brighton_Hove Year1_ReferralSource_Other_Legal="","",Year1_Brighton_Hove Year1_ReferralSource_Other_Legal)</f>
        <v>69</v>
      </c>
      <c r="DJ112" s="871">
        <f>IF(Year2_Brighton_Hove Year2_ReferralSource_Other_Legal="","",Year2_Brighton_Hove Year2_ReferralSource_Other_Legal)</f>
        <v>82</v>
      </c>
      <c r="DK112" s="871">
        <f>IF(Year3_Brighton_Hove Year3_ReferralSource_Other_Legal="","",Year3_Brighton_Hove Year3_ReferralSource_Other_Legal)</f>
        <v>83</v>
      </c>
      <c r="DL112" s="871">
        <f>IF(Year4_Brighton_Hove Year4_ReferralSource_Other_Legal="","",Year4_Brighton_Hove Year4_ReferralSource_Other_Legal)</f>
        <v>80</v>
      </c>
      <c r="DM112" s="872">
        <f>IF(Year5_Brighton_Hove Year5_ReferralSource_Other_Legal="","",Year5_Brighton_Hove Year5_ReferralSource_Other_Legal)</f>
        <v>94</v>
      </c>
      <c r="DN112" s="870">
        <f>IF(Year1_Brighton_Hove Year1_ReferralSource_Other="","",Year1_Brighton_Hove Year1_ReferralSource_Other)</f>
        <v>99</v>
      </c>
      <c r="DO112" s="871">
        <f>IF(Year2_Brighton_Hove Year2_ReferralSource_Other="","",Year2_Brighton_Hove Year2_ReferralSource_Other)</f>
        <v>193</v>
      </c>
      <c r="DP112" s="871">
        <f>IF(Year3_Brighton_Hove Year3_ReferralSource_Other="","",Year3_Brighton_Hove Year3_ReferralSource_Other)</f>
        <v>153</v>
      </c>
      <c r="DQ112" s="871">
        <f>IF(Year4_Brighton_Hove Year4_ReferralSource_Other="","",Year4_Brighton_Hove Year4_ReferralSource_Other)</f>
        <v>156</v>
      </c>
      <c r="DR112" s="872">
        <f>IF(Year5_Brighton_Hove Year5_ReferralSource_Other="","",Year5_Brighton_Hove Year5_ReferralSource_Other)</f>
        <v>117</v>
      </c>
      <c r="DS112" s="870">
        <f>IF(Year1_Brighton_Hove Year1_ReferralSource_Anonymous="","",Year1_Brighton_Hove Year1_ReferralSource_Anonymous)</f>
        <v>87</v>
      </c>
      <c r="DT112" s="871">
        <f>IF(Year2_Brighton_Hove Year2_ReferralSource_Anonymous="","",Year2_Brighton_Hove Year2_ReferralSource_Anonymous)</f>
        <v>66</v>
      </c>
      <c r="DU112" s="871">
        <f>IF(Year3_Brighton_Hove Year3_ReferralSource_Anonymous="","",Year3_Brighton_Hove Year3_ReferralSource_Anonymous)</f>
        <v>42</v>
      </c>
      <c r="DV112" s="871">
        <f>IF(Year4_Brighton_Hove Year4_ReferralSource_Anonymous="","",Year4_Brighton_Hove Year4_ReferralSource_Anonymous)</f>
        <v>44</v>
      </c>
      <c r="DW112" s="872">
        <f>IF(Year5_Brighton_Hove Year5_ReferralSource_Anonymous="","",Year5_Brighton_Hove Year5_ReferralSource_Anonymous)</f>
        <v>47</v>
      </c>
      <c r="DX112" s="870">
        <f>IF(Year1_Brighton_Hove Year1_ReferralSource_Unknown="","",Year1_Brighton_Hove Year1_ReferralSource_Unknown)</f>
        <v>352</v>
      </c>
      <c r="DY112" s="871">
        <f>IF(Year2_Brighton_Hove Year2_ReferralSource_Unknown="","",Year2_Brighton_Hove Year2_ReferralSource_Unknown)</f>
        <v>339</v>
      </c>
      <c r="DZ112" s="871">
        <f>IF(Year3_Brighton_Hove Year3_ReferralSource_Unknown="","",Year3_Brighton_Hove Year3_ReferralSource_Unknown)</f>
        <v>470</v>
      </c>
      <c r="EA112" s="871">
        <f>IF(Year4_Brighton_Hove Year4_ReferralSource_Unknown="","",Year4_Brighton_Hove Year4_ReferralSource_Unknown)</f>
        <v>700</v>
      </c>
      <c r="EB112" s="872">
        <f>IF(Year5_Brighton_Hove Year5_ReferralSource_Unknown="","",Year5_Brighton_Hove Year5_ReferralSource_Unknown)</f>
        <v>503</v>
      </c>
    </row>
    <row r="113" spans="1:132" ht="16.5" customHeight="1" x14ac:dyDescent="0.2">
      <c r="A113" s="278"/>
      <c r="B113" s="175" t="str">
        <f>Sheet1!$K$6</f>
        <v>Buckinghamshire</v>
      </c>
      <c r="C113" s="9"/>
      <c r="D113" s="1893"/>
      <c r="E113" s="1894"/>
      <c r="F113" s="1893"/>
      <c r="G113" s="1894"/>
      <c r="H113" s="1893"/>
      <c r="I113" s="1894"/>
      <c r="J113" s="1893"/>
      <c r="K113" s="1894"/>
      <c r="L113" s="1893"/>
      <c r="M113" s="1894"/>
      <c r="N113" s="1893"/>
      <c r="O113" s="1894"/>
      <c r="P113" s="1893"/>
      <c r="Q113" s="1894"/>
      <c r="R113" s="1893"/>
      <c r="S113" s="1894"/>
      <c r="T113" s="1893"/>
      <c r="U113" s="1894"/>
      <c r="V113" s="1893"/>
      <c r="W113" s="1894"/>
      <c r="X113" s="9"/>
      <c r="Y113" s="117"/>
      <c r="Z113" s="137"/>
      <c r="AA113" s="74"/>
      <c r="AB113" s="1585">
        <f>IF(Year1_Buckinghamshire Year1_ReferralSource_Individual_Family="","",Year1_Buckinghamshire Year1_ReferralSource_Individual_Family)</f>
        <v>560</v>
      </c>
      <c r="AC113" s="1586">
        <f>IF(Year2_Buckinghamshire Year2_ReferralSource_Individual_Family="","",Year2_Buckinghamshire Year2_ReferralSource_Individual_Family)</f>
        <v>682</v>
      </c>
      <c r="AD113" s="1586">
        <f>IF(Year3_Buckinghamshire Year3_ReferralSource_Individual_Family="","",Year3_Buckinghamshire Year3_ReferralSource_Individual_Family)</f>
        <v>751</v>
      </c>
      <c r="AE113" s="1586">
        <f>IF(Year4_Buckinghamshire Year4_ReferralSource_Individual_Family="","",Year4_Buckinghamshire Year4_ReferralSource_Individual_Family)</f>
        <v>571</v>
      </c>
      <c r="AF113" s="1587">
        <f>IF(Year5_Buckinghamshire Year5_ReferralSource_Individual_Family="","",Year5_Buckinghamshire Year5_ReferralSource_Individual_Family)</f>
        <v>631</v>
      </c>
      <c r="AG113" s="1585" t="str">
        <f>IF(Year1_Buckinghamshire Year1_ReferralSource_Individual_Acquaintance="","",Year1_Buckinghamshire Year1_ReferralSource_Individual_Acquaintance)</f>
        <v/>
      </c>
      <c r="AH113" s="1586" t="str">
        <f>IF(Year2_Buckinghamshire Year2_ReferralSource_Individual_Acquaintance="","",Year2_Buckinghamshire Year2_ReferralSource_Individual_Acquaintance)</f>
        <v/>
      </c>
      <c r="AI113" s="1586" t="str">
        <f>IF(Year3_Buckinghamshire Year3_ReferralSource_Individual_Acquaintance="","",Year3_Buckinghamshire Year3_ReferralSource_Individual_Acquaintance)</f>
        <v/>
      </c>
      <c r="AJ113" s="1586" t="str">
        <f>IF(Year4_Buckinghamshire Year4_ReferralSource_Individual_Acquaintance="","",Year4_Buckinghamshire Year4_ReferralSource_Individual_Acquaintance)</f>
        <v/>
      </c>
      <c r="AK113" s="1588" t="str">
        <f>IF(Year5_Buckinghamshire Year5_ReferralSource_Individual_Acquaintance="","",Year5_Buckinghamshire Year5_ReferralSource_Individual_Acquaintance)</f>
        <v/>
      </c>
      <c r="AL113" s="1585" t="str">
        <f>IF(Year1_Buckinghamshire Year1_ReferralSource_Individual_Self="","",Year1_Buckinghamshire Year1_ReferralSource_Individual_Self)</f>
        <v/>
      </c>
      <c r="AM113" s="1586" t="str">
        <f>IF(Year2_Buckinghamshire Year2_ReferralSource_Individual_Self="","",Year2_Buckinghamshire Year2_ReferralSource_Individual_Self)</f>
        <v/>
      </c>
      <c r="AN113" s="1586" t="str">
        <f>IF(Year3_Buckinghamshire Year3_ReferralSource_Individual_Self="","",Year3_Buckinghamshire Year3_ReferralSource_Individual_Self)</f>
        <v/>
      </c>
      <c r="AO113" s="1586" t="str">
        <f>IF(Year4_Buckinghamshire Year4_ReferralSource_Individual_Self="","",Year4_Buckinghamshire Year4_ReferralSource_Individual_Self)</f>
        <v/>
      </c>
      <c r="AP113" s="1588" t="str">
        <f>IF(Year5_Buckinghamshire Year5_ReferralSource_Individual_Self="","",Year5_Buckinghamshire Year5_ReferralSource_Individual_Self)</f>
        <v/>
      </c>
      <c r="AQ113" s="1585" t="str">
        <f>IF(Year1_Buckinghamshire Year1_ReferralSource_Individual_Other="","",Year1_Buckinghamshire Year1_ReferralSource_Individual_Other)</f>
        <v/>
      </c>
      <c r="AR113" s="1586" t="str">
        <f>IF(Year2_Buckinghamshire Year2_ReferralSource_Individual_Other="","",Year2_Buckinghamshire Year2_ReferralSource_Individual_Other)</f>
        <v/>
      </c>
      <c r="AS113" s="1586" t="str">
        <f>IF(Year3_Buckinghamshire Year3_ReferralSource_Individual_Other="","",Year3_Buckinghamshire Year3_ReferralSource_Individual_Other)</f>
        <v/>
      </c>
      <c r="AT113" s="1586" t="str">
        <f>IF(Year4_Buckinghamshire Year4_ReferralSource_Individual_Other="","",Year4_Buckinghamshire Year4_ReferralSource_Individual_Other)</f>
        <v/>
      </c>
      <c r="AU113" s="1588" t="str">
        <f>IF(Year5_Buckinghamshire Year5_ReferralSource_Individual_Other="","",Year5_Buckinghamshire Year5_ReferralSource_Individual_Other)</f>
        <v/>
      </c>
      <c r="AV113" s="1585">
        <f>IF(Year1_Buckinghamshire Year1_ReferralSource_School="","",Year1_Buckinghamshire Year1_ReferralSource_School)</f>
        <v>1650</v>
      </c>
      <c r="AW113" s="1586">
        <f>IF(Year2_Buckinghamshire Year2_ReferralSource_School="","",Year2_Buckinghamshire Year2_ReferralSource_School)</f>
        <v>2287</v>
      </c>
      <c r="AX113" s="1586">
        <f>IF(Year3_Buckinghamshire Year3_ReferralSource_School="","",Year3_Buckinghamshire Year3_ReferralSource_School)</f>
        <v>2000</v>
      </c>
      <c r="AY113" s="1586">
        <f>IF(Year4_Buckinghamshire Year4_ReferralSource_School="","",Year4_Buckinghamshire Year4_ReferralSource_School)</f>
        <v>1537</v>
      </c>
      <c r="AZ113" s="1588">
        <f>IF(Year5_Buckinghamshire Year5_ReferralSource_School="","",Year5_Buckinghamshire Year5_ReferralSource_School)</f>
        <v>1618</v>
      </c>
      <c r="BA113" s="1585" t="str">
        <f>IF(Year1_Buckinghamshire Year1_ReferralSource_EducationServices="","",Year1_Buckinghamshire Year1_ReferralSource_EducationServices)</f>
        <v>x</v>
      </c>
      <c r="BB113" s="1586">
        <f>IF(Year2_Buckinghamshire Year2_ReferralSource_EducationServices="","",Year2_Buckinghamshire Year2_ReferralSource_EducationServices)</f>
        <v>105</v>
      </c>
      <c r="BC113" s="1586">
        <f>IF(Year3_Buckinghamshire Year3_ReferralSource_EducationServices="","",Year3_Buckinghamshire Year3_ReferralSource_EducationServices)</f>
        <v>51</v>
      </c>
      <c r="BD113" s="1586">
        <f>IF(Year4_Buckinghamshire Year4_ReferralSource_EducationServices="","",Year4_Buckinghamshire Year4_ReferralSource_EducationServices)</f>
        <v>19</v>
      </c>
      <c r="BE113" s="1588" t="str">
        <f>IF(Year5_Buckinghamshire Year5_ReferralSource_EducationServices="","",Year5_Buckinghamshire Year5_ReferralSource_EducationServices)</f>
        <v>c</v>
      </c>
      <c r="BF113" s="882">
        <f>IF(Year1_Buckinghamshire Year1_ReferralSource_Health_services_GP="","",Year1_Buckinghamshire Year1_ReferralSource_Health_services_GP)</f>
        <v>1150</v>
      </c>
      <c r="BG113" s="883">
        <f>IF(Year2_Buckinghamshire Year2_ReferralSource_Health_services_GP="","",Year2_Buckinghamshire Year2_ReferralSource_Health_services_GP)</f>
        <v>1587</v>
      </c>
      <c r="BH113" s="883">
        <f>IF(Year3_Buckinghamshire Year3_ReferralSource_Health_services_GP="","",Year3_Buckinghamshire Year3_ReferralSource_Health_services_GP)</f>
        <v>1708</v>
      </c>
      <c r="BI113" s="883">
        <f>IF(Year4_Buckinghamshire Year4_ReferralSource_Health_services_GP="","",Year4_Buckinghamshire Year4_ReferralSource_Health_services_GP)</f>
        <v>1182</v>
      </c>
      <c r="BJ113" s="884">
        <f>IF(Year5_Buckinghamshire Year5_ReferralSource_Health_services_GP="","",Year5_Buckinghamshire Year5_ReferralSource_Health_services_GP)</f>
        <v>1287</v>
      </c>
      <c r="BK113" s="882" t="str">
        <f>IF(Year1_Buckinghamshire Year1_ReferralSource_Health_services_HealthVisitor="","",Year1_Buckinghamshire Year1_ReferralSource_Health_services_HealthVisitor)</f>
        <v/>
      </c>
      <c r="BL113" s="883" t="str">
        <f>IF(Year2_Buckinghamshire Year2_ReferralSource_Health_services_HealthVisitor="","",Year2_Buckinghamshire Year2_ReferralSource_Health_services_HealthVisitor)</f>
        <v/>
      </c>
      <c r="BM113" s="883" t="str">
        <f>IF(Year3_Buckinghamshire Year3_ReferralSource_Health_services_HealthVisitor="","",Year3_Buckinghamshire Year3_ReferralSource_Health_services_HealthVisitor)</f>
        <v/>
      </c>
      <c r="BN113" s="883" t="str">
        <f>IF(Year4_Buckinghamshire Year4_ReferralSource_Health_services_HealthVisitor="","",Year4_Buckinghamshire Year4_ReferralSource_Health_services_HealthVisitor)</f>
        <v/>
      </c>
      <c r="BO113" s="884" t="str">
        <f>IF(Year5_Buckinghamshire Year5_ReferralSource_Health_services_HealthVisitor="","",Year5_Buckinghamshire Year5_ReferralSource_Health_services_HealthVisitor)</f>
        <v/>
      </c>
      <c r="BP113" s="882" t="str">
        <f>IF(Year1_Buckinghamshire Year1_ReferralSource_Health_services_SchoolNurse="","",Year1_Buckinghamshire Year1_ReferralSource_Health_services_SchoolNurse)</f>
        <v/>
      </c>
      <c r="BQ113" s="883" t="str">
        <f>IF(Year2_Buckinghamshire Year2_ReferralSource_Health_services_SchoolNurse="","",Year2_Buckinghamshire Year2_ReferralSource_Health_services_SchoolNurse)</f>
        <v/>
      </c>
      <c r="BR113" s="883" t="str">
        <f>IF(Year3_Buckinghamshire Year3_ReferralSource_Health_services_SchoolNurse="","",Year3_Buckinghamshire Year3_ReferralSource_Health_services_SchoolNurse)</f>
        <v/>
      </c>
      <c r="BS113" s="883" t="str">
        <f>IF(Year4_Buckinghamshire Year4_ReferralSource_Health_services_SchoolNurse="","",Year4_Buckinghamshire Year4_ReferralSource_Health_services_SchoolNurse)</f>
        <v/>
      </c>
      <c r="BT113" s="884" t="str">
        <f>IF(Year5_Buckinghamshire Year5_ReferralSource_Health_services_SchoolNurse="","",Year5_Buckinghamshire Year5_ReferralSource_Health_services_SchoolNurse)</f>
        <v/>
      </c>
      <c r="BU113" s="882" t="str">
        <f>IF(Year1_Buckinghamshire Year1_ReferralSource_Health_services_OthPrimary="","",Year1_Buckinghamshire Year1_ReferralSource_Health_services_OthPrimary)</f>
        <v/>
      </c>
      <c r="BV113" s="883" t="str">
        <f>IF(Year2_Buckinghamshire Year2_ReferralSource_Health_services_OthPrimary="","",Year2_Buckinghamshire Year2_ReferralSource_Health_services_OthPrimary)</f>
        <v/>
      </c>
      <c r="BW113" s="883" t="str">
        <f>IF(Year3_Buckinghamshire Year3_ReferralSource_Health_services_OthPrimary="","",Year3_Buckinghamshire Year3_ReferralSource_Health_services_OthPrimary)</f>
        <v/>
      </c>
      <c r="BX113" s="883" t="str">
        <f>IF(Year4_Buckinghamshire Year4_ReferralSource_Health_services_OthPrimary="","",Year4_Buckinghamshire Year4_ReferralSource_Health_services_OthPrimary)</f>
        <v/>
      </c>
      <c r="BY113" s="884" t="str">
        <f>IF(Year5_Buckinghamshire Year5_ReferralSource_Health_services_OthPrimary="","",Year5_Buckinghamshire Year5_ReferralSource_Health_services_OthPrimary)</f>
        <v/>
      </c>
      <c r="BZ113" s="882" t="str">
        <f>IF(Year1_Buckinghamshire Year1_ReferralSource_Health_services_AE="","",Year1_Buckinghamshire Year1_ReferralSource_Health_services_AE)</f>
        <v/>
      </c>
      <c r="CA113" s="883" t="str">
        <f>IF(Year2_Buckinghamshire Year2_ReferralSource_Health_services_AE="","",Year2_Buckinghamshire Year2_ReferralSource_Health_services_AE)</f>
        <v/>
      </c>
      <c r="CB113" s="883" t="str">
        <f>IF(Year3_Buckinghamshire Year3_ReferralSource_Health_services_AE="","",Year3_Buckinghamshire Year3_ReferralSource_Health_services_AE)</f>
        <v/>
      </c>
      <c r="CC113" s="883" t="str">
        <f>IF(Year4_Buckinghamshire Year4_ReferralSource_Health_services_AE="","",Year4_Buckinghamshire Year4_ReferralSource_Health_services_AE)</f>
        <v/>
      </c>
      <c r="CD113" s="884" t="str">
        <f>IF(Year5_Buckinghamshire Year5_ReferralSource_Health_services_AE="","",Year5_Buckinghamshire Year5_ReferralSource_Health_services_AE)</f>
        <v/>
      </c>
      <c r="CE113" s="882" t="str">
        <f>IF(Year1_Buckinghamshire Year1_ReferralSource_Health_services_Other="","",Year1_Buckinghamshire Year1_ReferralSource_Health_services_Other)</f>
        <v/>
      </c>
      <c r="CF113" s="883" t="str">
        <f>IF(Year2_Buckinghamshire Year2_ReferralSource_Health_services_Other="","",Year2_Buckinghamshire Year2_ReferralSource_Health_services_Other)</f>
        <v/>
      </c>
      <c r="CG113" s="883" t="str">
        <f>IF(Year3_Buckinghamshire Year3_ReferralSource_Health_services_Other="","",Year3_Buckinghamshire Year3_ReferralSource_Health_services_Other)</f>
        <v/>
      </c>
      <c r="CH113" s="883" t="str">
        <f>IF(Year4_Buckinghamshire Year4_ReferralSource_Health_services_Other="","",Year4_Buckinghamshire Year4_ReferralSource_Health_services_Other)</f>
        <v/>
      </c>
      <c r="CI113" s="884" t="str">
        <f>IF(Year5_Buckinghamshire Year5_ReferralSource_Health_services_Other="","",Year5_Buckinghamshire Year5_ReferralSource_Health_services_Other)</f>
        <v/>
      </c>
      <c r="CJ113" s="870">
        <f>IF(Year1_Buckinghamshire Year1_ReferralSource_Housing="","",Year1_Buckinghamshire Year1_ReferralSource_Housing)</f>
        <v>54</v>
      </c>
      <c r="CK113" s="871">
        <f>IF(Year2_Buckinghamshire Year2_ReferralSource_Housing="","",Year2_Buckinghamshire Year2_ReferralSource_Housing)</f>
        <v>93</v>
      </c>
      <c r="CL113" s="871">
        <f>IF(Year3_Buckinghamshire Year3_ReferralSource_Housing="","",Year3_Buckinghamshire Year3_ReferralSource_Housing)</f>
        <v>88</v>
      </c>
      <c r="CM113" s="871">
        <f>IF(Year4_Buckinghamshire Year4_ReferralSource_Housing="","",Year4_Buckinghamshire Year4_ReferralSource_Housing)</f>
        <v>66</v>
      </c>
      <c r="CN113" s="872">
        <f>IF(Year5_Buckinghamshire Year5_ReferralSource_Housing="","",Year5_Buckinghamshire Year5_ReferralSource_Housing)</f>
        <v>124</v>
      </c>
      <c r="CO113" s="870">
        <f>IF(Year1_Buckinghamshire Year1_ReferralSource_LA_SC="","",Year1_Buckinghamshire Year1_ReferralSource_LA_SC)</f>
        <v>937</v>
      </c>
      <c r="CP113" s="871">
        <f>IF(Year2_Buckinghamshire Year2_ReferralSource_LA_SC="","",Year2_Buckinghamshire Year2_ReferralSource_LA_SC)</f>
        <v>1023</v>
      </c>
      <c r="CQ113" s="871">
        <f>IF(Year3_Buckinghamshire Year3_ReferralSource_LA_SC="","",Year3_Buckinghamshire Year3_ReferralSource_LA_SC)</f>
        <v>995</v>
      </c>
      <c r="CR113" s="871">
        <f>IF(Year4_Buckinghamshire Year4_ReferralSource_LA_SC="","",Year4_Buckinghamshire Year4_ReferralSource_LA_SC)</f>
        <v>766</v>
      </c>
      <c r="CS113" s="872">
        <f>IF(Year5_Buckinghamshire Year5_ReferralSource_LA_SC="","",Year5_Buckinghamshire Year5_ReferralSource_LA_SC)</f>
        <v>969</v>
      </c>
      <c r="CT113" s="870" t="str">
        <f>IF(Year1_Buckinghamshire Year1_ReferralSource_LA_Other="","",Year1_Buckinghamshire Year1_ReferralSource_LA_Other)</f>
        <v/>
      </c>
      <c r="CU113" s="871" t="str">
        <f>IF(Year2_Buckinghamshire Year2_ReferralSource_LA_Other="","",Year2_Buckinghamshire Year2_ReferralSource_LA_Other)</f>
        <v/>
      </c>
      <c r="CV113" s="871" t="str">
        <f>IF(Year3_Buckinghamshire Year3_ReferralSource_LA_Other="","",Year3_Buckinghamshire Year3_ReferralSource_LA_Other)</f>
        <v/>
      </c>
      <c r="CW113" s="871" t="str">
        <f>IF(Year4_Buckinghamshire Year4_ReferralSource_LA_Other="","",Year4_Buckinghamshire Year4_ReferralSource_LA_Other)</f>
        <v/>
      </c>
      <c r="CX113" s="872" t="str">
        <f>IF(Year5_Buckinghamshire Year5_ReferralSource_LA_Other="","",Year5_Buckinghamshire Year5_ReferralSource_LA_Other)</f>
        <v/>
      </c>
      <c r="CY113" s="870" t="str">
        <f>IF(Year1_Buckinghamshire Year1_ReferralSource_LA_External="","",Year1_Buckinghamshire Year1_ReferralSource_LA_External)</f>
        <v/>
      </c>
      <c r="CZ113" s="871" t="str">
        <f>IF(Year2_Buckinghamshire Year2_ReferralSource_LA_External="","",Year2_Buckinghamshire Year2_ReferralSource_LA_External)</f>
        <v/>
      </c>
      <c r="DA113" s="871" t="str">
        <f>IF(Year3_Buckinghamshire Year3_ReferralSource_LA_External="","",Year3_Buckinghamshire Year3_ReferralSource_LA_External)</f>
        <v/>
      </c>
      <c r="DB113" s="871" t="str">
        <f>IF(Year4_Buckinghamshire Year4_ReferralSource_LA_External="","",Year4_Buckinghamshire Year4_ReferralSource_LA_External)</f>
        <v/>
      </c>
      <c r="DC113" s="872" t="str">
        <f>IF(Year5_Buckinghamshire Year5_ReferralSource_LA_External="","",Year5_Buckinghamshire Year5_ReferralSource_LA_External)</f>
        <v/>
      </c>
      <c r="DD113" s="870">
        <f>IF(Year1_Buckinghamshire Year1_ReferralSource_Police="","",Year1_Buckinghamshire Year1_ReferralSource_Police)</f>
        <v>1884</v>
      </c>
      <c r="DE113" s="871">
        <f>IF(Year2_Buckinghamshire Year2_ReferralSource_Police="","",Year2_Buckinghamshire Year2_ReferralSource_Police)</f>
        <v>2528</v>
      </c>
      <c r="DF113" s="871">
        <f>IF(Year3_Buckinghamshire Year3_ReferralSource_Police="","",Year3_Buckinghamshire Year3_ReferralSource_Police)</f>
        <v>3532</v>
      </c>
      <c r="DG113" s="871">
        <f>IF(Year4_Buckinghamshire Year4_ReferralSource_Police="","",Year4_Buckinghamshire Year4_ReferralSource_Police)</f>
        <v>2712</v>
      </c>
      <c r="DH113" s="872">
        <f>IF(Year5_Buckinghamshire Year5_ReferralSource_Police="","",Year5_Buckinghamshire Year5_ReferralSource_Police)</f>
        <v>2910</v>
      </c>
      <c r="DI113" s="870">
        <f>IF(Year1_Buckinghamshire Year1_ReferralSource_Other_Legal="","",Year1_Buckinghamshire Year1_ReferralSource_Other_Legal)</f>
        <v>158</v>
      </c>
      <c r="DJ113" s="871">
        <f>IF(Year2_Buckinghamshire Year2_ReferralSource_Other_Legal="","",Year2_Buckinghamshire Year2_ReferralSource_Other_Legal)</f>
        <v>225</v>
      </c>
      <c r="DK113" s="871">
        <f>IF(Year3_Buckinghamshire Year3_ReferralSource_Other_Legal="","",Year3_Buckinghamshire Year3_ReferralSource_Other_Legal)</f>
        <v>245</v>
      </c>
      <c r="DL113" s="871">
        <f>IF(Year4_Buckinghamshire Year4_ReferralSource_Other_Legal="","",Year4_Buckinghamshire Year4_ReferralSource_Other_Legal)</f>
        <v>244</v>
      </c>
      <c r="DM113" s="872">
        <f>IF(Year5_Buckinghamshire Year5_ReferralSource_Other_Legal="","",Year5_Buckinghamshire Year5_ReferralSource_Other_Legal)</f>
        <v>222</v>
      </c>
      <c r="DN113" s="870">
        <f>IF(Year1_Buckinghamshire Year1_ReferralSource_Other="","",Year1_Buckinghamshire Year1_ReferralSource_Other)</f>
        <v>421</v>
      </c>
      <c r="DO113" s="871">
        <f>IF(Year2_Buckinghamshire Year2_ReferralSource_Other="","",Year2_Buckinghamshire Year2_ReferralSource_Other)</f>
        <v>505</v>
      </c>
      <c r="DP113" s="871">
        <f>IF(Year3_Buckinghamshire Year3_ReferralSource_Other="","",Year3_Buckinghamshire Year3_ReferralSource_Other)</f>
        <v>456</v>
      </c>
      <c r="DQ113" s="871">
        <f>IF(Year4_Buckinghamshire Year4_ReferralSource_Other="","",Year4_Buckinghamshire Year4_ReferralSource_Other)</f>
        <v>345</v>
      </c>
      <c r="DR113" s="872">
        <f>IF(Year5_Buckinghamshire Year5_ReferralSource_Other="","",Year5_Buckinghamshire Year5_ReferralSource_Other)</f>
        <v>399</v>
      </c>
      <c r="DS113" s="870">
        <f>IF(Year1_Buckinghamshire Year1_ReferralSource_Anonymous="","",Year1_Buckinghamshire Year1_ReferralSource_Anonymous)</f>
        <v>100</v>
      </c>
      <c r="DT113" s="871">
        <f>IF(Year2_Buckinghamshire Year2_ReferralSource_Anonymous="","",Year2_Buckinghamshire Year2_ReferralSource_Anonymous)</f>
        <v>143</v>
      </c>
      <c r="DU113" s="871">
        <f>IF(Year3_Buckinghamshire Year3_ReferralSource_Anonymous="","",Year3_Buckinghamshire Year3_ReferralSource_Anonymous)</f>
        <v>305</v>
      </c>
      <c r="DV113" s="871">
        <f>IF(Year4_Buckinghamshire Year4_ReferralSource_Anonymous="","",Year4_Buckinghamshire Year4_ReferralSource_Anonymous)</f>
        <v>186</v>
      </c>
      <c r="DW113" s="872">
        <f>IF(Year5_Buckinghamshire Year5_ReferralSource_Anonymous="","",Year5_Buckinghamshire Year5_ReferralSource_Anonymous)</f>
        <v>154</v>
      </c>
      <c r="DX113" s="870" t="str">
        <f>IF(Year1_Buckinghamshire Year1_ReferralSource_Unknown="","",Year1_Buckinghamshire Year1_ReferralSource_Unknown)</f>
        <v>x</v>
      </c>
      <c r="DY113" s="871">
        <f>IF(Year2_Buckinghamshire Year2_ReferralSource_Unknown="","",Year2_Buckinghamshire Year2_ReferralSource_Unknown)</f>
        <v>26</v>
      </c>
      <c r="DZ113" s="871">
        <f>IF(Year3_Buckinghamshire Year3_ReferralSource_Unknown="","",Year3_Buckinghamshire Year3_ReferralSource_Unknown)</f>
        <v>206</v>
      </c>
      <c r="EA113" s="871">
        <f>IF(Year4_Buckinghamshire Year4_ReferralSource_Unknown="","",Year4_Buckinghamshire Year4_ReferralSource_Unknown)</f>
        <v>12</v>
      </c>
      <c r="EB113" s="872" t="str">
        <f>IF(Year5_Buckinghamshire Year5_ReferralSource_Unknown="","",Year5_Buckinghamshire Year5_ReferralSource_Unknown)</f>
        <v>c</v>
      </c>
    </row>
    <row r="114" spans="1:132" ht="16.5" customHeight="1" x14ac:dyDescent="0.2">
      <c r="A114" s="278"/>
      <c r="B114" s="175" t="str">
        <f>Sheet1!$K$7</f>
        <v>East Sussex</v>
      </c>
      <c r="C114" s="9"/>
      <c r="D114" s="1893"/>
      <c r="E114" s="1894"/>
      <c r="F114" s="1893"/>
      <c r="G114" s="1894"/>
      <c r="H114" s="1893"/>
      <c r="I114" s="1894"/>
      <c r="J114" s="1893"/>
      <c r="K114" s="1894"/>
      <c r="L114" s="1893"/>
      <c r="M114" s="1894"/>
      <c r="N114" s="1893"/>
      <c r="O114" s="1894"/>
      <c r="P114" s="1893"/>
      <c r="Q114" s="1894"/>
      <c r="R114" s="1893"/>
      <c r="S114" s="1894"/>
      <c r="T114" s="1893"/>
      <c r="U114" s="1894"/>
      <c r="V114" s="1893"/>
      <c r="W114" s="1894"/>
      <c r="X114" s="9"/>
      <c r="Y114" s="117"/>
      <c r="Z114" s="137"/>
      <c r="AA114" s="74"/>
      <c r="AB114" s="1585">
        <f>IF(Year1_East_Sussex Year1_ReferralSource_Individual_Family="","",Year1_East_Sussex Year1_ReferralSource_Individual_Family)</f>
        <v>157</v>
      </c>
      <c r="AC114" s="1586">
        <f>IF(Year2_East_Sussex Year2_ReferralSource_Individual_Family="","",Year2_East_Sussex Year2_ReferralSource_Individual_Family)</f>
        <v>279</v>
      </c>
      <c r="AD114" s="1586">
        <f>IF(Year3_East_Sussex Year3_ReferralSource_Individual_Family="","",Year3_East_Sussex Year3_ReferralSource_Individual_Family)</f>
        <v>415</v>
      </c>
      <c r="AE114" s="1586">
        <f>IF(Year4_East_Sussex Year4_ReferralSource_Individual_Family="","",Year4_East_Sussex Year4_ReferralSource_Individual_Family)</f>
        <v>458</v>
      </c>
      <c r="AF114" s="1587">
        <f>IF(Year5_East_Sussex Year5_ReferralSource_Individual_Family="","",Year5_East_Sussex Year5_ReferralSource_Individual_Family)</f>
        <v>388</v>
      </c>
      <c r="AG114" s="1585" t="str">
        <f>IF(Year1_East_Sussex Year1_ReferralSource_Individual_Acquaintance="","",Year1_East_Sussex Year1_ReferralSource_Individual_Acquaintance)</f>
        <v/>
      </c>
      <c r="AH114" s="1586" t="str">
        <f>IF(Year2_East_Sussex Year2_ReferralSource_Individual_Acquaintance="","",Year2_East_Sussex Year2_ReferralSource_Individual_Acquaintance)</f>
        <v/>
      </c>
      <c r="AI114" s="1586" t="str">
        <f>IF(Year3_East_Sussex Year3_ReferralSource_Individual_Acquaintance="","",Year3_East_Sussex Year3_ReferralSource_Individual_Acquaintance)</f>
        <v/>
      </c>
      <c r="AJ114" s="1586" t="str">
        <f>IF(Year4_East_Sussex Year4_ReferralSource_Individual_Acquaintance="","",Year4_East_Sussex Year4_ReferralSource_Individual_Acquaintance)</f>
        <v/>
      </c>
      <c r="AK114" s="1588" t="str">
        <f>IF(Year5_East_Sussex Year5_ReferralSource_Individual_Acquaintance="","",Year5_East_Sussex Year5_ReferralSource_Individual_Acquaintance)</f>
        <v/>
      </c>
      <c r="AL114" s="1585" t="str">
        <f>IF(Year1_East_Sussex Year1_ReferralSource_Individual_Self="","",Year1_East_Sussex Year1_ReferralSource_Individual_Self)</f>
        <v/>
      </c>
      <c r="AM114" s="1586" t="str">
        <f>IF(Year2_East_Sussex Year2_ReferralSource_Individual_Self="","",Year2_East_Sussex Year2_ReferralSource_Individual_Self)</f>
        <v/>
      </c>
      <c r="AN114" s="1586" t="str">
        <f>IF(Year3_East_Sussex Year3_ReferralSource_Individual_Self="","",Year3_East_Sussex Year3_ReferralSource_Individual_Self)</f>
        <v/>
      </c>
      <c r="AO114" s="1586" t="str">
        <f>IF(Year4_East_Sussex Year4_ReferralSource_Individual_Self="","",Year4_East_Sussex Year4_ReferralSource_Individual_Self)</f>
        <v/>
      </c>
      <c r="AP114" s="1588" t="str">
        <f>IF(Year5_East_Sussex Year5_ReferralSource_Individual_Self="","",Year5_East_Sussex Year5_ReferralSource_Individual_Self)</f>
        <v/>
      </c>
      <c r="AQ114" s="1585" t="str">
        <f>IF(Year1_East_Sussex Year1_ReferralSource_Individual_Other="","",Year1_East_Sussex Year1_ReferralSource_Individual_Other)</f>
        <v/>
      </c>
      <c r="AR114" s="1586" t="str">
        <f>IF(Year2_East_Sussex Year2_ReferralSource_Individual_Other="","",Year2_East_Sussex Year2_ReferralSource_Individual_Other)</f>
        <v/>
      </c>
      <c r="AS114" s="1586" t="str">
        <f>IF(Year3_East_Sussex Year3_ReferralSource_Individual_Other="","",Year3_East_Sussex Year3_ReferralSource_Individual_Other)</f>
        <v/>
      </c>
      <c r="AT114" s="1586" t="str">
        <f>IF(Year4_East_Sussex Year4_ReferralSource_Individual_Other="","",Year4_East_Sussex Year4_ReferralSource_Individual_Other)</f>
        <v/>
      </c>
      <c r="AU114" s="1588" t="str">
        <f>IF(Year5_East_Sussex Year5_ReferralSource_Individual_Other="","",Year5_East_Sussex Year5_ReferralSource_Individual_Other)</f>
        <v/>
      </c>
      <c r="AV114" s="1585">
        <f>IF(Year1_East_Sussex Year1_ReferralSource_School="","",Year1_East_Sussex Year1_ReferralSource_School)</f>
        <v>241</v>
      </c>
      <c r="AW114" s="1586">
        <f>IF(Year2_East_Sussex Year2_ReferralSource_School="","",Year2_East_Sussex Year2_ReferralSource_School)</f>
        <v>588</v>
      </c>
      <c r="AX114" s="1586">
        <f>IF(Year3_East_Sussex Year3_ReferralSource_School="","",Year3_East_Sussex Year3_ReferralSource_School)</f>
        <v>824</v>
      </c>
      <c r="AY114" s="1586">
        <f>IF(Year4_East_Sussex Year4_ReferralSource_School="","",Year4_East_Sussex Year4_ReferralSource_School)</f>
        <v>669</v>
      </c>
      <c r="AZ114" s="1588">
        <f>IF(Year5_East_Sussex Year5_ReferralSource_School="","",Year5_East_Sussex Year5_ReferralSource_School)</f>
        <v>597</v>
      </c>
      <c r="BA114" s="1585">
        <f>IF(Year1_East_Sussex Year1_ReferralSource_EducationServices="","",Year1_East_Sussex Year1_ReferralSource_EducationServices)</f>
        <v>20</v>
      </c>
      <c r="BB114" s="1586">
        <f>IF(Year2_East_Sussex Year2_ReferralSource_EducationServices="","",Year2_East_Sussex Year2_ReferralSource_EducationServices)</f>
        <v>93</v>
      </c>
      <c r="BC114" s="1586">
        <f>IF(Year3_East_Sussex Year3_ReferralSource_EducationServices="","",Year3_East_Sussex Year3_ReferralSource_EducationServices)</f>
        <v>67</v>
      </c>
      <c r="BD114" s="1586">
        <f>IF(Year4_East_Sussex Year4_ReferralSource_EducationServices="","",Year4_East_Sussex Year4_ReferralSource_EducationServices)</f>
        <v>189</v>
      </c>
      <c r="BE114" s="1588">
        <f>IF(Year5_East_Sussex Year5_ReferralSource_EducationServices="","",Year5_East_Sussex Year5_ReferralSource_EducationServices)</f>
        <v>103</v>
      </c>
      <c r="BF114" s="882">
        <f>IF(Year1_East_Sussex Year1_ReferralSource_Health_services_GP="","",Year1_East_Sussex Year1_ReferralSource_Health_services_GP)</f>
        <v>191</v>
      </c>
      <c r="BG114" s="883">
        <f>IF(Year2_East_Sussex Year2_ReferralSource_Health_services_GP="","",Year2_East_Sussex Year2_ReferralSource_Health_services_GP)</f>
        <v>384</v>
      </c>
      <c r="BH114" s="883">
        <f>IF(Year3_East_Sussex Year3_ReferralSource_Health_services_GP="","",Year3_East_Sussex Year3_ReferralSource_Health_services_GP)</f>
        <v>445</v>
      </c>
      <c r="BI114" s="883">
        <f>IF(Year4_East_Sussex Year4_ReferralSource_Health_services_GP="","",Year4_East_Sussex Year4_ReferralSource_Health_services_GP)</f>
        <v>408</v>
      </c>
      <c r="BJ114" s="884">
        <f>IF(Year5_East_Sussex Year5_ReferralSource_Health_services_GP="","",Year5_East_Sussex Year5_ReferralSource_Health_services_GP)</f>
        <v>465</v>
      </c>
      <c r="BK114" s="882" t="str">
        <f>IF(Year1_East_Sussex Year1_ReferralSource_Health_services_HealthVisitor="","",Year1_East_Sussex Year1_ReferralSource_Health_services_HealthVisitor)</f>
        <v/>
      </c>
      <c r="BL114" s="883" t="str">
        <f>IF(Year2_East_Sussex Year2_ReferralSource_Health_services_HealthVisitor="","",Year2_East_Sussex Year2_ReferralSource_Health_services_HealthVisitor)</f>
        <v/>
      </c>
      <c r="BM114" s="883" t="str">
        <f>IF(Year3_East_Sussex Year3_ReferralSource_Health_services_HealthVisitor="","",Year3_East_Sussex Year3_ReferralSource_Health_services_HealthVisitor)</f>
        <v/>
      </c>
      <c r="BN114" s="883" t="str">
        <f>IF(Year4_East_Sussex Year4_ReferralSource_Health_services_HealthVisitor="","",Year4_East_Sussex Year4_ReferralSource_Health_services_HealthVisitor)</f>
        <v/>
      </c>
      <c r="BO114" s="884" t="str">
        <f>IF(Year5_East_Sussex Year5_ReferralSource_Health_services_HealthVisitor="","",Year5_East_Sussex Year5_ReferralSource_Health_services_HealthVisitor)</f>
        <v/>
      </c>
      <c r="BP114" s="882" t="str">
        <f>IF(Year1_East_Sussex Year1_ReferralSource_Health_services_SchoolNurse="","",Year1_East_Sussex Year1_ReferralSource_Health_services_SchoolNurse)</f>
        <v/>
      </c>
      <c r="BQ114" s="883" t="str">
        <f>IF(Year2_East_Sussex Year2_ReferralSource_Health_services_SchoolNurse="","",Year2_East_Sussex Year2_ReferralSource_Health_services_SchoolNurse)</f>
        <v/>
      </c>
      <c r="BR114" s="883" t="str">
        <f>IF(Year3_East_Sussex Year3_ReferralSource_Health_services_SchoolNurse="","",Year3_East_Sussex Year3_ReferralSource_Health_services_SchoolNurse)</f>
        <v/>
      </c>
      <c r="BS114" s="883" t="str">
        <f>IF(Year4_East_Sussex Year4_ReferralSource_Health_services_SchoolNurse="","",Year4_East_Sussex Year4_ReferralSource_Health_services_SchoolNurse)</f>
        <v/>
      </c>
      <c r="BT114" s="884" t="str">
        <f>IF(Year5_East_Sussex Year5_ReferralSource_Health_services_SchoolNurse="","",Year5_East_Sussex Year5_ReferralSource_Health_services_SchoolNurse)</f>
        <v/>
      </c>
      <c r="BU114" s="882" t="str">
        <f>IF(Year1_East_Sussex Year1_ReferralSource_Health_services_OthPrimary="","",Year1_East_Sussex Year1_ReferralSource_Health_services_OthPrimary)</f>
        <v/>
      </c>
      <c r="BV114" s="883" t="str">
        <f>IF(Year2_East_Sussex Year2_ReferralSource_Health_services_OthPrimary="","",Year2_East_Sussex Year2_ReferralSource_Health_services_OthPrimary)</f>
        <v/>
      </c>
      <c r="BW114" s="883" t="str">
        <f>IF(Year3_East_Sussex Year3_ReferralSource_Health_services_OthPrimary="","",Year3_East_Sussex Year3_ReferralSource_Health_services_OthPrimary)</f>
        <v/>
      </c>
      <c r="BX114" s="883" t="str">
        <f>IF(Year4_East_Sussex Year4_ReferralSource_Health_services_OthPrimary="","",Year4_East_Sussex Year4_ReferralSource_Health_services_OthPrimary)</f>
        <v/>
      </c>
      <c r="BY114" s="884" t="str">
        <f>IF(Year5_East_Sussex Year5_ReferralSource_Health_services_OthPrimary="","",Year5_East_Sussex Year5_ReferralSource_Health_services_OthPrimary)</f>
        <v/>
      </c>
      <c r="BZ114" s="882" t="str">
        <f>IF(Year1_East_Sussex Year1_ReferralSource_Health_services_AE="","",Year1_East_Sussex Year1_ReferralSource_Health_services_AE)</f>
        <v/>
      </c>
      <c r="CA114" s="883" t="str">
        <f>IF(Year2_East_Sussex Year2_ReferralSource_Health_services_AE="","",Year2_East_Sussex Year2_ReferralSource_Health_services_AE)</f>
        <v/>
      </c>
      <c r="CB114" s="883" t="str">
        <f>IF(Year3_East_Sussex Year3_ReferralSource_Health_services_AE="","",Year3_East_Sussex Year3_ReferralSource_Health_services_AE)</f>
        <v/>
      </c>
      <c r="CC114" s="883" t="str">
        <f>IF(Year4_East_Sussex Year4_ReferralSource_Health_services_AE="","",Year4_East_Sussex Year4_ReferralSource_Health_services_AE)</f>
        <v/>
      </c>
      <c r="CD114" s="884" t="str">
        <f>IF(Year5_East_Sussex Year5_ReferralSource_Health_services_AE="","",Year5_East_Sussex Year5_ReferralSource_Health_services_AE)</f>
        <v/>
      </c>
      <c r="CE114" s="882" t="str">
        <f>IF(Year1_East_Sussex Year1_ReferralSource_Health_services_Other="","",Year1_East_Sussex Year1_ReferralSource_Health_services_Other)</f>
        <v/>
      </c>
      <c r="CF114" s="883" t="str">
        <f>IF(Year2_East_Sussex Year2_ReferralSource_Health_services_Other="","",Year2_East_Sussex Year2_ReferralSource_Health_services_Other)</f>
        <v/>
      </c>
      <c r="CG114" s="883" t="str">
        <f>IF(Year3_East_Sussex Year3_ReferralSource_Health_services_Other="","",Year3_East_Sussex Year3_ReferralSource_Health_services_Other)</f>
        <v/>
      </c>
      <c r="CH114" s="883" t="str">
        <f>IF(Year4_East_Sussex Year4_ReferralSource_Health_services_Other="","",Year4_East_Sussex Year4_ReferralSource_Health_services_Other)</f>
        <v/>
      </c>
      <c r="CI114" s="884" t="str">
        <f>IF(Year5_East_Sussex Year5_ReferralSource_Health_services_Other="","",Year5_East_Sussex Year5_ReferralSource_Health_services_Other)</f>
        <v/>
      </c>
      <c r="CJ114" s="870">
        <f>IF(Year1_East_Sussex Year1_ReferralSource_Housing="","",Year1_East_Sussex Year1_ReferralSource_Housing)</f>
        <v>18</v>
      </c>
      <c r="CK114" s="871">
        <f>IF(Year2_East_Sussex Year2_ReferralSource_Housing="","",Year2_East_Sussex Year2_ReferralSource_Housing)</f>
        <v>35</v>
      </c>
      <c r="CL114" s="871">
        <f>IF(Year3_East_Sussex Year3_ReferralSource_Housing="","",Year3_East_Sussex Year3_ReferralSource_Housing)</f>
        <v>40</v>
      </c>
      <c r="CM114" s="871">
        <f>IF(Year4_East_Sussex Year4_ReferralSource_Housing="","",Year4_East_Sussex Year4_ReferralSource_Housing)</f>
        <v>98</v>
      </c>
      <c r="CN114" s="872">
        <f>IF(Year5_East_Sussex Year5_ReferralSource_Housing="","",Year5_East_Sussex Year5_ReferralSource_Housing)</f>
        <v>57</v>
      </c>
      <c r="CO114" s="870">
        <f>IF(Year1_East_Sussex Year1_ReferralSource_LA_SC="","",Year1_East_Sussex Year1_ReferralSource_LA_SC)</f>
        <v>300</v>
      </c>
      <c r="CP114" s="871">
        <f>IF(Year2_East_Sussex Year2_ReferralSource_LA_SC="","",Year2_East_Sussex Year2_ReferralSource_LA_SC)</f>
        <v>815</v>
      </c>
      <c r="CQ114" s="871">
        <f>IF(Year3_East_Sussex Year3_ReferralSource_LA_SC="","",Year3_East_Sussex Year3_ReferralSource_LA_SC)</f>
        <v>771</v>
      </c>
      <c r="CR114" s="871">
        <f>IF(Year4_East_Sussex Year4_ReferralSource_LA_SC="","",Year4_East_Sussex Year4_ReferralSource_LA_SC)</f>
        <v>706</v>
      </c>
      <c r="CS114" s="872">
        <f>IF(Year5_East_Sussex Year5_ReferralSource_LA_SC="","",Year5_East_Sussex Year5_ReferralSource_LA_SC)</f>
        <v>811</v>
      </c>
      <c r="CT114" s="870" t="str">
        <f>IF(Year1_East_Sussex Year1_ReferralSource_LA_Other="","",Year1_East_Sussex Year1_ReferralSource_LA_Other)</f>
        <v/>
      </c>
      <c r="CU114" s="871" t="str">
        <f>IF(Year2_East_Sussex Year2_ReferralSource_LA_Other="","",Year2_East_Sussex Year2_ReferralSource_LA_Other)</f>
        <v/>
      </c>
      <c r="CV114" s="871" t="str">
        <f>IF(Year3_East_Sussex Year3_ReferralSource_LA_Other="","",Year3_East_Sussex Year3_ReferralSource_LA_Other)</f>
        <v/>
      </c>
      <c r="CW114" s="871" t="str">
        <f>IF(Year4_East_Sussex Year4_ReferralSource_LA_Other="","",Year4_East_Sussex Year4_ReferralSource_LA_Other)</f>
        <v/>
      </c>
      <c r="CX114" s="872" t="str">
        <f>IF(Year5_East_Sussex Year5_ReferralSource_LA_Other="","",Year5_East_Sussex Year5_ReferralSource_LA_Other)</f>
        <v/>
      </c>
      <c r="CY114" s="870" t="str">
        <f>IF(Year1_East_Sussex Year1_ReferralSource_LA_External="","",Year1_East_Sussex Year1_ReferralSource_LA_External)</f>
        <v/>
      </c>
      <c r="CZ114" s="871" t="str">
        <f>IF(Year2_East_Sussex Year2_ReferralSource_LA_External="","",Year2_East_Sussex Year2_ReferralSource_LA_External)</f>
        <v/>
      </c>
      <c r="DA114" s="871" t="str">
        <f>IF(Year3_East_Sussex Year3_ReferralSource_LA_External="","",Year3_East_Sussex Year3_ReferralSource_LA_External)</f>
        <v/>
      </c>
      <c r="DB114" s="871" t="str">
        <f>IF(Year4_East_Sussex Year4_ReferralSource_LA_External="","",Year4_East_Sussex Year4_ReferralSource_LA_External)</f>
        <v/>
      </c>
      <c r="DC114" s="872" t="str">
        <f>IF(Year5_East_Sussex Year5_ReferralSource_LA_External="","",Year5_East_Sussex Year5_ReferralSource_LA_External)</f>
        <v/>
      </c>
      <c r="DD114" s="870">
        <f>IF(Year1_East_Sussex Year1_ReferralSource_Police="","",Year1_East_Sussex Year1_ReferralSource_Police)</f>
        <v>552</v>
      </c>
      <c r="DE114" s="871">
        <f>IF(Year2_East_Sussex Year2_ReferralSource_Police="","",Year2_East_Sussex Year2_ReferralSource_Police)</f>
        <v>1039</v>
      </c>
      <c r="DF114" s="871">
        <f>IF(Year3_East_Sussex Year3_ReferralSource_Police="","",Year3_East_Sussex Year3_ReferralSource_Police)</f>
        <v>1191</v>
      </c>
      <c r="DG114" s="871">
        <f>IF(Year4_East_Sussex Year4_ReferralSource_Police="","",Year4_East_Sussex Year4_ReferralSource_Police)</f>
        <v>1148</v>
      </c>
      <c r="DH114" s="872">
        <f>IF(Year5_East_Sussex Year5_ReferralSource_Police="","",Year5_East_Sussex Year5_ReferralSource_Police)</f>
        <v>1111</v>
      </c>
      <c r="DI114" s="870">
        <f>IF(Year1_East_Sussex Year1_ReferralSource_Other_Legal="","",Year1_East_Sussex Year1_ReferralSource_Other_Legal)</f>
        <v>57</v>
      </c>
      <c r="DJ114" s="871">
        <f>IF(Year2_East_Sussex Year2_ReferralSource_Other_Legal="","",Year2_East_Sussex Year2_ReferralSource_Other_Legal)</f>
        <v>172</v>
      </c>
      <c r="DK114" s="871">
        <f>IF(Year3_East_Sussex Year3_ReferralSource_Other_Legal="","",Year3_East_Sussex Year3_ReferralSource_Other_Legal)</f>
        <v>173</v>
      </c>
      <c r="DL114" s="871">
        <f>IF(Year4_East_Sussex Year4_ReferralSource_Other_Legal="","",Year4_East_Sussex Year4_ReferralSource_Other_Legal)</f>
        <v>217</v>
      </c>
      <c r="DM114" s="872">
        <f>IF(Year5_East_Sussex Year5_ReferralSource_Other_Legal="","",Year5_East_Sussex Year5_ReferralSource_Other_Legal)</f>
        <v>194</v>
      </c>
      <c r="DN114" s="870">
        <f>IF(Year1_East_Sussex Year1_ReferralSource_Other="","",Year1_East_Sussex Year1_ReferralSource_Other)</f>
        <v>153</v>
      </c>
      <c r="DO114" s="871">
        <f>IF(Year2_East_Sussex Year2_ReferralSource_Other="","",Year2_East_Sussex Year2_ReferralSource_Other)</f>
        <v>190</v>
      </c>
      <c r="DP114" s="871">
        <f>IF(Year3_East_Sussex Year3_ReferralSource_Other="","",Year3_East_Sussex Year3_ReferralSource_Other)</f>
        <v>343</v>
      </c>
      <c r="DQ114" s="871">
        <f>IF(Year4_East_Sussex Year4_ReferralSource_Other="","",Year4_East_Sussex Year4_ReferralSource_Other)</f>
        <v>318</v>
      </c>
      <c r="DR114" s="872">
        <f>IF(Year5_East_Sussex Year5_ReferralSource_Other="","",Year5_East_Sussex Year5_ReferralSource_Other)</f>
        <v>274</v>
      </c>
      <c r="DS114" s="870">
        <f>IF(Year1_East_Sussex Year1_ReferralSource_Anonymous="","",Year1_East_Sussex Year1_ReferralSource_Anonymous)</f>
        <v>28</v>
      </c>
      <c r="DT114" s="871">
        <f>IF(Year2_East_Sussex Year2_ReferralSource_Anonymous="","",Year2_East_Sussex Year2_ReferralSource_Anonymous)</f>
        <v>75</v>
      </c>
      <c r="DU114" s="871">
        <f>IF(Year3_East_Sussex Year3_ReferralSource_Anonymous="","",Year3_East_Sussex Year3_ReferralSource_Anonymous)</f>
        <v>76</v>
      </c>
      <c r="DV114" s="871">
        <f>IF(Year4_East_Sussex Year4_ReferralSource_Anonymous="","",Year4_East_Sussex Year4_ReferralSource_Anonymous)</f>
        <v>82</v>
      </c>
      <c r="DW114" s="872">
        <f>IF(Year5_East_Sussex Year5_ReferralSource_Anonymous="","",Year5_East_Sussex Year5_ReferralSource_Anonymous)</f>
        <v>95</v>
      </c>
      <c r="DX114" s="870">
        <f>IF(Year1_East_Sussex Year1_ReferralSource_Unknown="","",Year1_East_Sussex Year1_ReferralSource_Unknown)</f>
        <v>1481</v>
      </c>
      <c r="DY114" s="871">
        <f>IF(Year2_East_Sussex Year2_ReferralSource_Unknown="","",Year2_East_Sussex Year2_ReferralSource_Unknown)</f>
        <v>6</v>
      </c>
      <c r="DZ114" s="871">
        <f>IF(Year3_East_Sussex Year3_ReferralSource_Unknown="","",Year3_East_Sussex Year3_ReferralSource_Unknown)</f>
        <v>22</v>
      </c>
      <c r="EA114" s="871">
        <f>IF(Year4_East_Sussex Year4_ReferralSource_Unknown="","",Year4_East_Sussex Year4_ReferralSource_Unknown)</f>
        <v>22</v>
      </c>
      <c r="EB114" s="872">
        <f>IF(Year5_East_Sussex Year5_ReferralSource_Unknown="","",Year5_East_Sussex Year5_ReferralSource_Unknown)</f>
        <v>72</v>
      </c>
    </row>
    <row r="115" spans="1:132" ht="16.5" customHeight="1" x14ac:dyDescent="0.2">
      <c r="A115" s="278"/>
      <c r="B115" s="175" t="str">
        <f>Sheet1!$K$8</f>
        <v>Hampshire</v>
      </c>
      <c r="C115" s="9"/>
      <c r="D115" s="1893"/>
      <c r="E115" s="1894"/>
      <c r="F115" s="1893"/>
      <c r="G115" s="1894"/>
      <c r="H115" s="1893"/>
      <c r="I115" s="1894"/>
      <c r="J115" s="1893"/>
      <c r="K115" s="1894"/>
      <c r="L115" s="1893"/>
      <c r="M115" s="1894"/>
      <c r="N115" s="1893"/>
      <c r="O115" s="1894"/>
      <c r="P115" s="1893"/>
      <c r="Q115" s="1894"/>
      <c r="R115" s="1893"/>
      <c r="S115" s="1894"/>
      <c r="T115" s="1893"/>
      <c r="U115" s="1894"/>
      <c r="V115" s="1893"/>
      <c r="W115" s="1894"/>
      <c r="X115" s="9"/>
      <c r="Y115" s="117"/>
      <c r="Z115" s="137"/>
      <c r="AA115" s="74"/>
      <c r="AB115" s="1585">
        <f>IF(Year1_Hampshire Year1_ReferralSource_Individual_Family="","",Year1_Hampshire Year1_ReferralSource_Individual_Family)</f>
        <v>1835</v>
      </c>
      <c r="AC115" s="1586">
        <f>IF(Year2_Hampshire Year2_ReferralSource_Individual_Family="","",Year2_Hampshire Year2_ReferralSource_Individual_Family)</f>
        <v>2165</v>
      </c>
      <c r="AD115" s="1586">
        <f>IF(Year3_Hampshire Year3_ReferralSource_Individual_Family="","",Year3_Hampshire Year3_ReferralSource_Individual_Family)</f>
        <v>1837</v>
      </c>
      <c r="AE115" s="1586">
        <f>IF(Year4_Hampshire Year4_ReferralSource_Individual_Family="","",Year4_Hampshire Year4_ReferralSource_Individual_Family)</f>
        <v>1906</v>
      </c>
      <c r="AF115" s="1587">
        <f>IF(Year5_Hampshire Year5_ReferralSource_Individual_Family="","",Year5_Hampshire Year5_ReferralSource_Individual_Family)</f>
        <v>2303</v>
      </c>
      <c r="AG115" s="1585" t="str">
        <f>IF(Year1_Hampshire Year1_ReferralSource_Individual_Acquaintance="","",Year1_Hampshire Year1_ReferralSource_Individual_Acquaintance)</f>
        <v/>
      </c>
      <c r="AH115" s="1586" t="str">
        <f>IF(Year2_Hampshire Year2_ReferralSource_Individual_Acquaintance="","",Year2_Hampshire Year2_ReferralSource_Individual_Acquaintance)</f>
        <v/>
      </c>
      <c r="AI115" s="1586" t="str">
        <f>IF(Year3_Hampshire Year3_ReferralSource_Individual_Acquaintance="","",Year3_Hampshire Year3_ReferralSource_Individual_Acquaintance)</f>
        <v/>
      </c>
      <c r="AJ115" s="1586" t="str">
        <f>IF(Year4_Hampshire Year4_ReferralSource_Individual_Acquaintance="","",Year4_Hampshire Year4_ReferralSource_Individual_Acquaintance)</f>
        <v/>
      </c>
      <c r="AK115" s="1588" t="str">
        <f>IF(Year5_Hampshire Year5_ReferralSource_Individual_Acquaintance="","",Year5_Hampshire Year5_ReferralSource_Individual_Acquaintance)</f>
        <v/>
      </c>
      <c r="AL115" s="1585" t="str">
        <f>IF(Year1_Hampshire Year1_ReferralSource_Individual_Self="","",Year1_Hampshire Year1_ReferralSource_Individual_Self)</f>
        <v/>
      </c>
      <c r="AM115" s="1586" t="str">
        <f>IF(Year2_Hampshire Year2_ReferralSource_Individual_Self="","",Year2_Hampshire Year2_ReferralSource_Individual_Self)</f>
        <v/>
      </c>
      <c r="AN115" s="1586" t="str">
        <f>IF(Year3_Hampshire Year3_ReferralSource_Individual_Self="","",Year3_Hampshire Year3_ReferralSource_Individual_Self)</f>
        <v/>
      </c>
      <c r="AO115" s="1586" t="str">
        <f>IF(Year4_Hampshire Year4_ReferralSource_Individual_Self="","",Year4_Hampshire Year4_ReferralSource_Individual_Self)</f>
        <v/>
      </c>
      <c r="AP115" s="1588" t="str">
        <f>IF(Year5_Hampshire Year5_ReferralSource_Individual_Self="","",Year5_Hampshire Year5_ReferralSource_Individual_Self)</f>
        <v/>
      </c>
      <c r="AQ115" s="1585" t="str">
        <f>IF(Year1_Hampshire Year1_ReferralSource_Individual_Other="","",Year1_Hampshire Year1_ReferralSource_Individual_Other)</f>
        <v/>
      </c>
      <c r="AR115" s="1586" t="str">
        <f>IF(Year2_Hampshire Year2_ReferralSource_Individual_Other="","",Year2_Hampshire Year2_ReferralSource_Individual_Other)</f>
        <v/>
      </c>
      <c r="AS115" s="1586" t="str">
        <f>IF(Year3_Hampshire Year3_ReferralSource_Individual_Other="","",Year3_Hampshire Year3_ReferralSource_Individual_Other)</f>
        <v/>
      </c>
      <c r="AT115" s="1586" t="str">
        <f>IF(Year4_Hampshire Year4_ReferralSource_Individual_Other="","",Year4_Hampshire Year4_ReferralSource_Individual_Other)</f>
        <v/>
      </c>
      <c r="AU115" s="1588" t="str">
        <f>IF(Year5_Hampshire Year5_ReferralSource_Individual_Other="","",Year5_Hampshire Year5_ReferralSource_Individual_Other)</f>
        <v/>
      </c>
      <c r="AV115" s="1585">
        <f>IF(Year1_Hampshire Year1_ReferralSource_School="","",Year1_Hampshire Year1_ReferralSource_School)</f>
        <v>4149</v>
      </c>
      <c r="AW115" s="1586">
        <f>IF(Year2_Hampshire Year2_ReferralSource_School="","",Year2_Hampshire Year2_ReferralSource_School)</f>
        <v>4551</v>
      </c>
      <c r="AX115" s="1586">
        <f>IF(Year3_Hampshire Year3_ReferralSource_School="","",Year3_Hampshire Year3_ReferralSource_School)</f>
        <v>3772</v>
      </c>
      <c r="AY115" s="1586">
        <f>IF(Year4_Hampshire Year4_ReferralSource_School="","",Year4_Hampshire Year4_ReferralSource_School)</f>
        <v>4431</v>
      </c>
      <c r="AZ115" s="1588">
        <f>IF(Year5_Hampshire Year5_ReferralSource_School="","",Year5_Hampshire Year5_ReferralSource_School)</f>
        <v>5007</v>
      </c>
      <c r="BA115" s="1585">
        <f>IF(Year1_Hampshire Year1_ReferralSource_EducationServices="","",Year1_Hampshire Year1_ReferralSource_EducationServices)</f>
        <v>0</v>
      </c>
      <c r="BB115" s="1586">
        <f>IF(Year2_Hampshire Year2_ReferralSource_EducationServices="","",Year2_Hampshire Year2_ReferralSource_EducationServices)</f>
        <v>8</v>
      </c>
      <c r="BC115" s="1586">
        <f>IF(Year3_Hampshire Year3_ReferralSource_EducationServices="","",Year3_Hampshire Year3_ReferralSource_EducationServices)</f>
        <v>0</v>
      </c>
      <c r="BD115" s="1586">
        <f>IF(Year4_Hampshire Year4_ReferralSource_EducationServices="","",Year4_Hampshire Year4_ReferralSource_EducationServices)</f>
        <v>0</v>
      </c>
      <c r="BE115" s="1588">
        <f>IF(Year5_Hampshire Year5_ReferralSource_EducationServices="","",Year5_Hampshire Year5_ReferralSource_EducationServices)</f>
        <v>0</v>
      </c>
      <c r="BF115" s="882">
        <f>IF(Year1_Hampshire Year1_ReferralSource_Health_services_GP="","",Year1_Hampshire Year1_ReferralSource_Health_services_GP)</f>
        <v>2148</v>
      </c>
      <c r="BG115" s="883">
        <f>IF(Year2_Hampshire Year2_ReferralSource_Health_services_GP="","",Year2_Hampshire Year2_ReferralSource_Health_services_GP)</f>
        <v>2603</v>
      </c>
      <c r="BH115" s="883">
        <f>IF(Year3_Hampshire Year3_ReferralSource_Health_services_GP="","",Year3_Hampshire Year3_ReferralSource_Health_services_GP)</f>
        <v>2167</v>
      </c>
      <c r="BI115" s="883">
        <f>IF(Year4_Hampshire Year4_ReferralSource_Health_services_GP="","",Year4_Hampshire Year4_ReferralSource_Health_services_GP)</f>
        <v>3063</v>
      </c>
      <c r="BJ115" s="884">
        <f>IF(Year5_Hampshire Year5_ReferralSource_Health_services_GP="","",Year5_Hampshire Year5_ReferralSource_Health_services_GP)</f>
        <v>3656</v>
      </c>
      <c r="BK115" s="882" t="str">
        <f>IF(Year1_Hampshire Year1_ReferralSource_Health_services_HealthVisitor="","",Year1_Hampshire Year1_ReferralSource_Health_services_HealthVisitor)</f>
        <v/>
      </c>
      <c r="BL115" s="883" t="str">
        <f>IF(Year2_Hampshire Year2_ReferralSource_Health_services_HealthVisitor="","",Year2_Hampshire Year2_ReferralSource_Health_services_HealthVisitor)</f>
        <v/>
      </c>
      <c r="BM115" s="883" t="str">
        <f>IF(Year3_Hampshire Year3_ReferralSource_Health_services_HealthVisitor="","",Year3_Hampshire Year3_ReferralSource_Health_services_HealthVisitor)</f>
        <v/>
      </c>
      <c r="BN115" s="883" t="str">
        <f>IF(Year4_Hampshire Year4_ReferralSource_Health_services_HealthVisitor="","",Year4_Hampshire Year4_ReferralSource_Health_services_HealthVisitor)</f>
        <v/>
      </c>
      <c r="BO115" s="884" t="str">
        <f>IF(Year5_Hampshire Year5_ReferralSource_Health_services_HealthVisitor="","",Year5_Hampshire Year5_ReferralSource_Health_services_HealthVisitor)</f>
        <v/>
      </c>
      <c r="BP115" s="882" t="str">
        <f>IF(Year1_Hampshire Year1_ReferralSource_Health_services_SchoolNurse="","",Year1_Hampshire Year1_ReferralSource_Health_services_SchoolNurse)</f>
        <v/>
      </c>
      <c r="BQ115" s="883" t="str">
        <f>IF(Year2_Hampshire Year2_ReferralSource_Health_services_SchoolNurse="","",Year2_Hampshire Year2_ReferralSource_Health_services_SchoolNurse)</f>
        <v/>
      </c>
      <c r="BR115" s="883" t="str">
        <f>IF(Year3_Hampshire Year3_ReferralSource_Health_services_SchoolNurse="","",Year3_Hampshire Year3_ReferralSource_Health_services_SchoolNurse)</f>
        <v/>
      </c>
      <c r="BS115" s="883" t="str">
        <f>IF(Year4_Hampshire Year4_ReferralSource_Health_services_SchoolNurse="","",Year4_Hampshire Year4_ReferralSource_Health_services_SchoolNurse)</f>
        <v/>
      </c>
      <c r="BT115" s="884" t="str">
        <f>IF(Year5_Hampshire Year5_ReferralSource_Health_services_SchoolNurse="","",Year5_Hampshire Year5_ReferralSource_Health_services_SchoolNurse)</f>
        <v/>
      </c>
      <c r="BU115" s="882" t="str">
        <f>IF(Year1_Hampshire Year1_ReferralSource_Health_services_OthPrimary="","",Year1_Hampshire Year1_ReferralSource_Health_services_OthPrimary)</f>
        <v/>
      </c>
      <c r="BV115" s="883" t="str">
        <f>IF(Year2_Hampshire Year2_ReferralSource_Health_services_OthPrimary="","",Year2_Hampshire Year2_ReferralSource_Health_services_OthPrimary)</f>
        <v/>
      </c>
      <c r="BW115" s="883" t="str">
        <f>IF(Year3_Hampshire Year3_ReferralSource_Health_services_OthPrimary="","",Year3_Hampshire Year3_ReferralSource_Health_services_OthPrimary)</f>
        <v/>
      </c>
      <c r="BX115" s="883" t="str">
        <f>IF(Year4_Hampshire Year4_ReferralSource_Health_services_OthPrimary="","",Year4_Hampshire Year4_ReferralSource_Health_services_OthPrimary)</f>
        <v/>
      </c>
      <c r="BY115" s="884" t="str">
        <f>IF(Year5_Hampshire Year5_ReferralSource_Health_services_OthPrimary="","",Year5_Hampshire Year5_ReferralSource_Health_services_OthPrimary)</f>
        <v/>
      </c>
      <c r="BZ115" s="882" t="str">
        <f>IF(Year1_Hampshire Year1_ReferralSource_Health_services_AE="","",Year1_Hampshire Year1_ReferralSource_Health_services_AE)</f>
        <v/>
      </c>
      <c r="CA115" s="883" t="str">
        <f>IF(Year2_Hampshire Year2_ReferralSource_Health_services_AE="","",Year2_Hampshire Year2_ReferralSource_Health_services_AE)</f>
        <v/>
      </c>
      <c r="CB115" s="883" t="str">
        <f>IF(Year3_Hampshire Year3_ReferralSource_Health_services_AE="","",Year3_Hampshire Year3_ReferralSource_Health_services_AE)</f>
        <v/>
      </c>
      <c r="CC115" s="883" t="str">
        <f>IF(Year4_Hampshire Year4_ReferralSource_Health_services_AE="","",Year4_Hampshire Year4_ReferralSource_Health_services_AE)</f>
        <v/>
      </c>
      <c r="CD115" s="884" t="str">
        <f>IF(Year5_Hampshire Year5_ReferralSource_Health_services_AE="","",Year5_Hampshire Year5_ReferralSource_Health_services_AE)</f>
        <v/>
      </c>
      <c r="CE115" s="882" t="str">
        <f>IF(Year1_Hampshire Year1_ReferralSource_Health_services_Other="","",Year1_Hampshire Year1_ReferralSource_Health_services_Other)</f>
        <v/>
      </c>
      <c r="CF115" s="883" t="str">
        <f>IF(Year2_Hampshire Year2_ReferralSource_Health_services_Other="","",Year2_Hampshire Year2_ReferralSource_Health_services_Other)</f>
        <v/>
      </c>
      <c r="CG115" s="883" t="str">
        <f>IF(Year3_Hampshire Year3_ReferralSource_Health_services_Other="","",Year3_Hampshire Year3_ReferralSource_Health_services_Other)</f>
        <v/>
      </c>
      <c r="CH115" s="883" t="str">
        <f>IF(Year4_Hampshire Year4_ReferralSource_Health_services_Other="","",Year4_Hampshire Year4_ReferralSource_Health_services_Other)</f>
        <v/>
      </c>
      <c r="CI115" s="884" t="str">
        <f>IF(Year5_Hampshire Year5_ReferralSource_Health_services_Other="","",Year5_Hampshire Year5_ReferralSource_Health_services_Other)</f>
        <v/>
      </c>
      <c r="CJ115" s="870">
        <f>IF(Year1_Hampshire Year1_ReferralSource_Housing="","",Year1_Hampshire Year1_ReferralSource_Housing)</f>
        <v>277</v>
      </c>
      <c r="CK115" s="871">
        <f>IF(Year2_Hampshire Year2_ReferralSource_Housing="","",Year2_Hampshire Year2_ReferralSource_Housing)</f>
        <v>233</v>
      </c>
      <c r="CL115" s="871">
        <f>IF(Year3_Hampshire Year3_ReferralSource_Housing="","",Year3_Hampshire Year3_ReferralSource_Housing)</f>
        <v>170</v>
      </c>
      <c r="CM115" s="871">
        <f>IF(Year4_Hampshire Year4_ReferralSource_Housing="","",Year4_Hampshire Year4_ReferralSource_Housing)</f>
        <v>0</v>
      </c>
      <c r="CN115" s="872">
        <f>IF(Year5_Hampshire Year5_ReferralSource_Housing="","",Year5_Hampshire Year5_ReferralSource_Housing)</f>
        <v>248</v>
      </c>
      <c r="CO115" s="870">
        <f>IF(Year1_Hampshire Year1_ReferralSource_LA_SC="","",Year1_Hampshire Year1_ReferralSource_LA_SC)</f>
        <v>1596</v>
      </c>
      <c r="CP115" s="871">
        <f>IF(Year2_Hampshire Year2_ReferralSource_LA_SC="","",Year2_Hampshire Year2_ReferralSource_LA_SC)</f>
        <v>1606</v>
      </c>
      <c r="CQ115" s="871">
        <f>IF(Year3_Hampshire Year3_ReferralSource_LA_SC="","",Year3_Hampshire Year3_ReferralSource_LA_SC)</f>
        <v>1608</v>
      </c>
      <c r="CR115" s="871">
        <f>IF(Year4_Hampshire Year4_ReferralSource_LA_SC="","",Year4_Hampshire Year4_ReferralSource_LA_SC)</f>
        <v>1661</v>
      </c>
      <c r="CS115" s="872">
        <f>IF(Year5_Hampshire Year5_ReferralSource_LA_SC="","",Year5_Hampshire Year5_ReferralSource_LA_SC)</f>
        <v>1600</v>
      </c>
      <c r="CT115" s="870" t="str">
        <f>IF(Year1_Hampshire Year1_ReferralSource_LA_Other="","",Year1_Hampshire Year1_ReferralSource_LA_Other)</f>
        <v/>
      </c>
      <c r="CU115" s="871" t="str">
        <f>IF(Year2_Hampshire Year2_ReferralSource_LA_Other="","",Year2_Hampshire Year2_ReferralSource_LA_Other)</f>
        <v/>
      </c>
      <c r="CV115" s="871" t="str">
        <f>IF(Year3_Hampshire Year3_ReferralSource_LA_Other="","",Year3_Hampshire Year3_ReferralSource_LA_Other)</f>
        <v/>
      </c>
      <c r="CW115" s="871" t="str">
        <f>IF(Year4_Hampshire Year4_ReferralSource_LA_Other="","",Year4_Hampshire Year4_ReferralSource_LA_Other)</f>
        <v/>
      </c>
      <c r="CX115" s="872" t="str">
        <f>IF(Year5_Hampshire Year5_ReferralSource_LA_Other="","",Year5_Hampshire Year5_ReferralSource_LA_Other)</f>
        <v/>
      </c>
      <c r="CY115" s="870" t="str">
        <f>IF(Year1_Hampshire Year1_ReferralSource_LA_External="","",Year1_Hampshire Year1_ReferralSource_LA_External)</f>
        <v/>
      </c>
      <c r="CZ115" s="871" t="str">
        <f>IF(Year2_Hampshire Year2_ReferralSource_LA_External="","",Year2_Hampshire Year2_ReferralSource_LA_External)</f>
        <v/>
      </c>
      <c r="DA115" s="871" t="str">
        <f>IF(Year3_Hampshire Year3_ReferralSource_LA_External="","",Year3_Hampshire Year3_ReferralSource_LA_External)</f>
        <v/>
      </c>
      <c r="DB115" s="871" t="str">
        <f>IF(Year4_Hampshire Year4_ReferralSource_LA_External="","",Year4_Hampshire Year4_ReferralSource_LA_External)</f>
        <v/>
      </c>
      <c r="DC115" s="872" t="str">
        <f>IF(Year5_Hampshire Year5_ReferralSource_LA_External="","",Year5_Hampshire Year5_ReferralSource_LA_External)</f>
        <v/>
      </c>
      <c r="DD115" s="870">
        <f>IF(Year1_Hampshire Year1_ReferralSource_Police="","",Year1_Hampshire Year1_ReferralSource_Police)</f>
        <v>4346</v>
      </c>
      <c r="DE115" s="871">
        <f>IF(Year2_Hampshire Year2_ReferralSource_Police="","",Year2_Hampshire Year2_ReferralSource_Police)</f>
        <v>5360</v>
      </c>
      <c r="DF115" s="871">
        <f>IF(Year3_Hampshire Year3_ReferralSource_Police="","",Year3_Hampshire Year3_ReferralSource_Police)</f>
        <v>4198</v>
      </c>
      <c r="DG115" s="871">
        <f>IF(Year4_Hampshire Year4_ReferralSource_Police="","",Year4_Hampshire Year4_ReferralSource_Police)</f>
        <v>4559</v>
      </c>
      <c r="DH115" s="872">
        <f>IF(Year5_Hampshire Year5_ReferralSource_Police="","",Year5_Hampshire Year5_ReferralSource_Police)</f>
        <v>4585</v>
      </c>
      <c r="DI115" s="870">
        <f>IF(Year1_Hampshire Year1_ReferralSource_Other_Legal="","",Year1_Hampshire Year1_ReferralSource_Other_Legal)</f>
        <v>370</v>
      </c>
      <c r="DJ115" s="871">
        <f>IF(Year2_Hampshire Year2_ReferralSource_Other_Legal="","",Year2_Hampshire Year2_ReferralSource_Other_Legal)</f>
        <v>447</v>
      </c>
      <c r="DK115" s="871">
        <f>IF(Year3_Hampshire Year3_ReferralSource_Other_Legal="","",Year3_Hampshire Year3_ReferralSource_Other_Legal)</f>
        <v>381</v>
      </c>
      <c r="DL115" s="871">
        <f>IF(Year4_Hampshire Year4_ReferralSource_Other_Legal="","",Year4_Hampshire Year4_ReferralSource_Other_Legal)</f>
        <v>593</v>
      </c>
      <c r="DM115" s="872">
        <f>IF(Year5_Hampshire Year5_ReferralSource_Other_Legal="","",Year5_Hampshire Year5_ReferralSource_Other_Legal)</f>
        <v>696</v>
      </c>
      <c r="DN115" s="870">
        <f>IF(Year1_Hampshire Year1_ReferralSource_Other="","",Year1_Hampshire Year1_ReferralSource_Other)</f>
        <v>1255</v>
      </c>
      <c r="DO115" s="871">
        <f>IF(Year2_Hampshire Year2_ReferralSource_Other="","",Year2_Hampshire Year2_ReferralSource_Other)</f>
        <v>1765</v>
      </c>
      <c r="DP115" s="871">
        <f>IF(Year3_Hampshire Year3_ReferralSource_Other="","",Year3_Hampshire Year3_ReferralSource_Other)</f>
        <v>1159</v>
      </c>
      <c r="DQ115" s="871">
        <f>IF(Year4_Hampshire Year4_ReferralSource_Other="","",Year4_Hampshire Year4_ReferralSource_Other)</f>
        <v>1248</v>
      </c>
      <c r="DR115" s="872">
        <f>IF(Year5_Hampshire Year5_ReferralSource_Other="","",Year5_Hampshire Year5_ReferralSource_Other)</f>
        <v>1262</v>
      </c>
      <c r="DS115" s="870">
        <f>IF(Year1_Hampshire Year1_ReferralSource_Anonymous="","",Year1_Hampshire Year1_ReferralSource_Anonymous)</f>
        <v>400</v>
      </c>
      <c r="DT115" s="871">
        <f>IF(Year2_Hampshire Year2_ReferralSource_Anonymous="","",Year2_Hampshire Year2_ReferralSource_Anonymous)</f>
        <v>478</v>
      </c>
      <c r="DU115" s="871">
        <f>IF(Year3_Hampshire Year3_ReferralSource_Anonymous="","",Year3_Hampshire Year3_ReferralSource_Anonymous)</f>
        <v>370</v>
      </c>
      <c r="DV115" s="871">
        <f>IF(Year4_Hampshire Year4_ReferralSource_Anonymous="","",Year4_Hampshire Year4_ReferralSource_Anonymous)</f>
        <v>495</v>
      </c>
      <c r="DW115" s="872">
        <f>IF(Year5_Hampshire Year5_ReferralSource_Anonymous="","",Year5_Hampshire Year5_ReferralSource_Anonymous)</f>
        <v>531</v>
      </c>
      <c r="DX115" s="870">
        <f>IF(Year1_Hampshire Year1_ReferralSource_Unknown="","",Year1_Hampshire Year1_ReferralSource_Unknown)</f>
        <v>290</v>
      </c>
      <c r="DY115" s="871">
        <f>IF(Year2_Hampshire Year2_ReferralSource_Unknown="","",Year2_Hampshire Year2_ReferralSource_Unknown)</f>
        <v>219</v>
      </c>
      <c r="DZ115" s="871">
        <f>IF(Year3_Hampshire Year3_ReferralSource_Unknown="","",Year3_Hampshire Year3_ReferralSource_Unknown)</f>
        <v>453</v>
      </c>
      <c r="EA115" s="871">
        <f>IF(Year4_Hampshire Year4_ReferralSource_Unknown="","",Year4_Hampshire Year4_ReferralSource_Unknown)</f>
        <v>263</v>
      </c>
      <c r="EB115" s="872">
        <f>IF(Year5_Hampshire Year5_ReferralSource_Unknown="","",Year5_Hampshire Year5_ReferralSource_Unknown)</f>
        <v>332</v>
      </c>
    </row>
    <row r="116" spans="1:132" ht="16.5" customHeight="1" x14ac:dyDescent="0.2">
      <c r="A116" s="278"/>
      <c r="B116" s="175" t="str">
        <f>Sheet1!$K$9</f>
        <v>Isle of Wight</v>
      </c>
      <c r="C116" s="9"/>
      <c r="D116" s="1893"/>
      <c r="E116" s="1894"/>
      <c r="F116" s="1893"/>
      <c r="G116" s="1894"/>
      <c r="H116" s="1893"/>
      <c r="I116" s="1894"/>
      <c r="J116" s="1893"/>
      <c r="K116" s="1894"/>
      <c r="L116" s="1893"/>
      <c r="M116" s="1894"/>
      <c r="N116" s="1893"/>
      <c r="O116" s="1894"/>
      <c r="P116" s="1893"/>
      <c r="Q116" s="1894"/>
      <c r="R116" s="1893"/>
      <c r="S116" s="1894"/>
      <c r="T116" s="1893"/>
      <c r="U116" s="1894"/>
      <c r="V116" s="1893"/>
      <c r="W116" s="1894"/>
      <c r="X116" s="9"/>
      <c r="Y116" s="117"/>
      <c r="Z116" s="137"/>
      <c r="AA116" s="74"/>
      <c r="AB116" s="1585">
        <f>IF(Year1_Isle_of_Wight Year1_ReferralSource_Individual_Family="","",Year1_Isle_of_Wight Year1_ReferralSource_Individual_Family)</f>
        <v>248</v>
      </c>
      <c r="AC116" s="1586">
        <f>IF(Year2_Isle_of_Wight Year2_ReferralSource_Individual_Family="","",Year2_Isle_of_Wight Year2_ReferralSource_Individual_Family)</f>
        <v>244</v>
      </c>
      <c r="AD116" s="1586">
        <f>IF(Year3_Isle_of_Wight Year3_ReferralSource_Individual_Family="","",Year3_Isle_of_Wight Year3_ReferralSource_Individual_Family)</f>
        <v>215</v>
      </c>
      <c r="AE116" s="1586">
        <f>IF(Year4_Isle_of_Wight Year4_ReferralSource_Individual_Family="","",Year4_Isle_of_Wight Year4_ReferralSource_Individual_Family)</f>
        <v>176</v>
      </c>
      <c r="AF116" s="1587">
        <f>IF(Year5_Isle_of_Wight Year5_ReferralSource_Individual_Family="","",Year5_Isle_of_Wight Year5_ReferralSource_Individual_Family)</f>
        <v>308</v>
      </c>
      <c r="AG116" s="1585" t="str">
        <f>IF(Year1_Isle_of_Wight Year1_ReferralSource_Individual_Acquaintance="","",Year1_Isle_of_Wight Year1_ReferralSource_Individual_Acquaintance)</f>
        <v/>
      </c>
      <c r="AH116" s="1586" t="str">
        <f>IF(Year2_Isle_of_Wight Year2_ReferralSource_Individual_Acquaintance="","",Year2_Isle_of_Wight Year2_ReferralSource_Individual_Acquaintance)</f>
        <v/>
      </c>
      <c r="AI116" s="1586" t="str">
        <f>IF(Year3_Isle_of_Wight Year3_ReferralSource_Individual_Acquaintance="","",Year3_Isle_of_Wight Year3_ReferralSource_Individual_Acquaintance)</f>
        <v/>
      </c>
      <c r="AJ116" s="1586" t="str">
        <f>IF(Year4_Isle_of_Wight Year4_ReferralSource_Individual_Acquaintance="","",Year4_Isle_of_Wight Year4_ReferralSource_Individual_Acquaintance)</f>
        <v/>
      </c>
      <c r="AK116" s="1588" t="str">
        <f>IF(Year5_Isle_of_Wight Year5_ReferralSource_Individual_Acquaintance="","",Year5_Isle_of_Wight Year5_ReferralSource_Individual_Acquaintance)</f>
        <v/>
      </c>
      <c r="AL116" s="1585" t="str">
        <f>IF(Year1_Isle_of_Wight Year1_ReferralSource_Individual_Self="","",Year1_Isle_of_Wight Year1_ReferralSource_Individual_Self)</f>
        <v/>
      </c>
      <c r="AM116" s="1586" t="str">
        <f>IF(Year2_Isle_of_Wight Year2_ReferralSource_Individual_Self="","",Year2_Isle_of_Wight Year2_ReferralSource_Individual_Self)</f>
        <v/>
      </c>
      <c r="AN116" s="1586" t="str">
        <f>IF(Year3_Isle_of_Wight Year3_ReferralSource_Individual_Self="","",Year3_Isle_of_Wight Year3_ReferralSource_Individual_Self)</f>
        <v/>
      </c>
      <c r="AO116" s="1586" t="str">
        <f>IF(Year4_Isle_of_Wight Year4_ReferralSource_Individual_Self="","",Year4_Isle_of_Wight Year4_ReferralSource_Individual_Self)</f>
        <v/>
      </c>
      <c r="AP116" s="1588" t="str">
        <f>IF(Year5_Isle_of_Wight Year5_ReferralSource_Individual_Self="","",Year5_Isle_of_Wight Year5_ReferralSource_Individual_Self)</f>
        <v/>
      </c>
      <c r="AQ116" s="1585" t="str">
        <f>IF(Year1_Isle_of_Wight Year1_ReferralSource_Individual_Other="","",Year1_Isle_of_Wight Year1_ReferralSource_Individual_Other)</f>
        <v/>
      </c>
      <c r="AR116" s="1586" t="str">
        <f>IF(Year2_Isle_of_Wight Year2_ReferralSource_Individual_Other="","",Year2_Isle_of_Wight Year2_ReferralSource_Individual_Other)</f>
        <v/>
      </c>
      <c r="AS116" s="1586" t="str">
        <f>IF(Year3_Isle_of_Wight Year3_ReferralSource_Individual_Other="","",Year3_Isle_of_Wight Year3_ReferralSource_Individual_Other)</f>
        <v/>
      </c>
      <c r="AT116" s="1586" t="str">
        <f>IF(Year4_Isle_of_Wight Year4_ReferralSource_Individual_Other="","",Year4_Isle_of_Wight Year4_ReferralSource_Individual_Other)</f>
        <v/>
      </c>
      <c r="AU116" s="1588" t="str">
        <f>IF(Year5_Isle_of_Wight Year5_ReferralSource_Individual_Other="","",Year5_Isle_of_Wight Year5_ReferralSource_Individual_Other)</f>
        <v/>
      </c>
      <c r="AV116" s="1585">
        <f>IF(Year1_Isle_of_Wight Year1_ReferralSource_School="","",Year1_Isle_of_Wight Year1_ReferralSource_School)</f>
        <v>672</v>
      </c>
      <c r="AW116" s="1586">
        <f>IF(Year2_Isle_of_Wight Year2_ReferralSource_School="","",Year2_Isle_of_Wight Year2_ReferralSource_School)</f>
        <v>681</v>
      </c>
      <c r="AX116" s="1586">
        <f>IF(Year3_Isle_of_Wight Year3_ReferralSource_School="","",Year3_Isle_of_Wight Year3_ReferralSource_School)</f>
        <v>667</v>
      </c>
      <c r="AY116" s="1586">
        <f>IF(Year4_Isle_of_Wight Year4_ReferralSource_School="","",Year4_Isle_of_Wight Year4_ReferralSource_School)</f>
        <v>679</v>
      </c>
      <c r="AZ116" s="1588">
        <f>IF(Year5_Isle_of_Wight Year5_ReferralSource_School="","",Year5_Isle_of_Wight Year5_ReferralSource_School)</f>
        <v>710</v>
      </c>
      <c r="BA116" s="1585">
        <f>IF(Year1_Isle_of_Wight Year1_ReferralSource_EducationServices="","",Year1_Isle_of_Wight Year1_ReferralSource_EducationServices)</f>
        <v>0</v>
      </c>
      <c r="BB116" s="1586">
        <f>IF(Year2_Isle_of_Wight Year2_ReferralSource_EducationServices="","",Year2_Isle_of_Wight Year2_ReferralSource_EducationServices)</f>
        <v>0</v>
      </c>
      <c r="BC116" s="1586">
        <f>IF(Year3_Isle_of_Wight Year3_ReferralSource_EducationServices="","",Year3_Isle_of_Wight Year3_ReferralSource_EducationServices)</f>
        <v>0</v>
      </c>
      <c r="BD116" s="1586">
        <f>IF(Year4_Isle_of_Wight Year4_ReferralSource_EducationServices="","",Year4_Isle_of_Wight Year4_ReferralSource_EducationServices)</f>
        <v>0</v>
      </c>
      <c r="BE116" s="1588">
        <f>IF(Year5_Isle_of_Wight Year5_ReferralSource_EducationServices="","",Year5_Isle_of_Wight Year5_ReferralSource_EducationServices)</f>
        <v>8</v>
      </c>
      <c r="BF116" s="882">
        <f>IF(Year1_Isle_of_Wight Year1_ReferralSource_Health_services_GP="","",Year1_Isle_of_Wight Year1_ReferralSource_Health_services_GP)</f>
        <v>278</v>
      </c>
      <c r="BG116" s="883">
        <f>IF(Year2_Isle_of_Wight Year2_ReferralSource_Health_services_GP="","",Year2_Isle_of_Wight Year2_ReferralSource_Health_services_GP)</f>
        <v>307</v>
      </c>
      <c r="BH116" s="883">
        <f>IF(Year3_Isle_of_Wight Year3_ReferralSource_Health_services_GP="","",Year3_Isle_of_Wight Year3_ReferralSource_Health_services_GP)</f>
        <v>283</v>
      </c>
      <c r="BI116" s="883">
        <f>IF(Year4_Isle_of_Wight Year4_ReferralSource_Health_services_GP="","",Year4_Isle_of_Wight Year4_ReferralSource_Health_services_GP)</f>
        <v>308</v>
      </c>
      <c r="BJ116" s="884">
        <f>IF(Year5_Isle_of_Wight Year5_ReferralSource_Health_services_GP="","",Year5_Isle_of_Wight Year5_ReferralSource_Health_services_GP)</f>
        <v>367</v>
      </c>
      <c r="BK116" s="882" t="str">
        <f>IF(Year1_Isle_of_Wight Year1_ReferralSource_Health_services_HealthVisitor="","",Year1_Isle_of_Wight Year1_ReferralSource_Health_services_HealthVisitor)</f>
        <v/>
      </c>
      <c r="BL116" s="883" t="str">
        <f>IF(Year2_Isle_of_Wight Year2_ReferralSource_Health_services_HealthVisitor="","",Year2_Isle_of_Wight Year2_ReferralSource_Health_services_HealthVisitor)</f>
        <v/>
      </c>
      <c r="BM116" s="883" t="str">
        <f>IF(Year3_Isle_of_Wight Year3_ReferralSource_Health_services_HealthVisitor="","",Year3_Isle_of_Wight Year3_ReferralSource_Health_services_HealthVisitor)</f>
        <v/>
      </c>
      <c r="BN116" s="883" t="str">
        <f>IF(Year4_Isle_of_Wight Year4_ReferralSource_Health_services_HealthVisitor="","",Year4_Isle_of_Wight Year4_ReferralSource_Health_services_HealthVisitor)</f>
        <v/>
      </c>
      <c r="BO116" s="884" t="str">
        <f>IF(Year5_Isle_of_Wight Year5_ReferralSource_Health_services_HealthVisitor="","",Year5_Isle_of_Wight Year5_ReferralSource_Health_services_HealthVisitor)</f>
        <v/>
      </c>
      <c r="BP116" s="882" t="str">
        <f>IF(Year1_Isle_of_Wight Year1_ReferralSource_Health_services_SchoolNurse="","",Year1_Isle_of_Wight Year1_ReferralSource_Health_services_SchoolNurse)</f>
        <v/>
      </c>
      <c r="BQ116" s="883" t="str">
        <f>IF(Year2_Isle_of_Wight Year2_ReferralSource_Health_services_SchoolNurse="","",Year2_Isle_of_Wight Year2_ReferralSource_Health_services_SchoolNurse)</f>
        <v/>
      </c>
      <c r="BR116" s="883" t="str">
        <f>IF(Year3_Isle_of_Wight Year3_ReferralSource_Health_services_SchoolNurse="","",Year3_Isle_of_Wight Year3_ReferralSource_Health_services_SchoolNurse)</f>
        <v/>
      </c>
      <c r="BS116" s="883" t="str">
        <f>IF(Year4_Isle_of_Wight Year4_ReferralSource_Health_services_SchoolNurse="","",Year4_Isle_of_Wight Year4_ReferralSource_Health_services_SchoolNurse)</f>
        <v/>
      </c>
      <c r="BT116" s="884" t="str">
        <f>IF(Year5_Isle_of_Wight Year5_ReferralSource_Health_services_SchoolNurse="","",Year5_Isle_of_Wight Year5_ReferralSource_Health_services_SchoolNurse)</f>
        <v/>
      </c>
      <c r="BU116" s="882" t="str">
        <f>IF(Year1_Isle_of_Wight Year1_ReferralSource_Health_services_OthPrimary="","",Year1_Isle_of_Wight Year1_ReferralSource_Health_services_OthPrimary)</f>
        <v/>
      </c>
      <c r="BV116" s="883" t="str">
        <f>IF(Year2_Isle_of_Wight Year2_ReferralSource_Health_services_OthPrimary="","",Year2_Isle_of_Wight Year2_ReferralSource_Health_services_OthPrimary)</f>
        <v/>
      </c>
      <c r="BW116" s="883" t="str">
        <f>IF(Year3_Isle_of_Wight Year3_ReferralSource_Health_services_OthPrimary="","",Year3_Isle_of_Wight Year3_ReferralSource_Health_services_OthPrimary)</f>
        <v/>
      </c>
      <c r="BX116" s="883" t="str">
        <f>IF(Year4_Isle_of_Wight Year4_ReferralSource_Health_services_OthPrimary="","",Year4_Isle_of_Wight Year4_ReferralSource_Health_services_OthPrimary)</f>
        <v/>
      </c>
      <c r="BY116" s="884" t="str">
        <f>IF(Year5_Isle_of_Wight Year5_ReferralSource_Health_services_OthPrimary="","",Year5_Isle_of_Wight Year5_ReferralSource_Health_services_OthPrimary)</f>
        <v/>
      </c>
      <c r="BZ116" s="882" t="str">
        <f>IF(Year1_Isle_of_Wight Year1_ReferralSource_Health_services_AE="","",Year1_Isle_of_Wight Year1_ReferralSource_Health_services_AE)</f>
        <v/>
      </c>
      <c r="CA116" s="883" t="str">
        <f>IF(Year2_Isle_of_Wight Year2_ReferralSource_Health_services_AE="","",Year2_Isle_of_Wight Year2_ReferralSource_Health_services_AE)</f>
        <v/>
      </c>
      <c r="CB116" s="883" t="str">
        <f>IF(Year3_Isle_of_Wight Year3_ReferralSource_Health_services_AE="","",Year3_Isle_of_Wight Year3_ReferralSource_Health_services_AE)</f>
        <v/>
      </c>
      <c r="CC116" s="883" t="str">
        <f>IF(Year4_Isle_of_Wight Year4_ReferralSource_Health_services_AE="","",Year4_Isle_of_Wight Year4_ReferralSource_Health_services_AE)</f>
        <v/>
      </c>
      <c r="CD116" s="884" t="str">
        <f>IF(Year5_Isle_of_Wight Year5_ReferralSource_Health_services_AE="","",Year5_Isle_of_Wight Year5_ReferralSource_Health_services_AE)</f>
        <v/>
      </c>
      <c r="CE116" s="882" t="str">
        <f>IF(Year1_Isle_of_Wight Year1_ReferralSource_Health_services_Other="","",Year1_Isle_of_Wight Year1_ReferralSource_Health_services_Other)</f>
        <v/>
      </c>
      <c r="CF116" s="883" t="str">
        <f>IF(Year2_Isle_of_Wight Year2_ReferralSource_Health_services_Other="","",Year2_Isle_of_Wight Year2_ReferralSource_Health_services_Other)</f>
        <v/>
      </c>
      <c r="CG116" s="883" t="str">
        <f>IF(Year3_Isle_of_Wight Year3_ReferralSource_Health_services_Other="","",Year3_Isle_of_Wight Year3_ReferralSource_Health_services_Other)</f>
        <v/>
      </c>
      <c r="CH116" s="883" t="str">
        <f>IF(Year4_Isle_of_Wight Year4_ReferralSource_Health_services_Other="","",Year4_Isle_of_Wight Year4_ReferralSource_Health_services_Other)</f>
        <v/>
      </c>
      <c r="CI116" s="884" t="str">
        <f>IF(Year5_Isle_of_Wight Year5_ReferralSource_Health_services_Other="","",Year5_Isle_of_Wight Year5_ReferralSource_Health_services_Other)</f>
        <v/>
      </c>
      <c r="CJ116" s="870">
        <f>IF(Year1_Isle_of_Wight Year1_ReferralSource_Housing="","",Year1_Isle_of_Wight Year1_ReferralSource_Housing)</f>
        <v>13</v>
      </c>
      <c r="CK116" s="871">
        <f>IF(Year2_Isle_of_Wight Year2_ReferralSource_Housing="","",Year2_Isle_of_Wight Year2_ReferralSource_Housing)</f>
        <v>41</v>
      </c>
      <c r="CL116" s="871">
        <f>IF(Year3_Isle_of_Wight Year3_ReferralSource_Housing="","",Year3_Isle_of_Wight Year3_ReferralSource_Housing)</f>
        <v>33</v>
      </c>
      <c r="CM116" s="871">
        <f>IF(Year4_Isle_of_Wight Year4_ReferralSource_Housing="","",Year4_Isle_of_Wight Year4_ReferralSource_Housing)</f>
        <v>0</v>
      </c>
      <c r="CN116" s="872">
        <f>IF(Year5_Isle_of_Wight Year5_ReferralSource_Housing="","",Year5_Isle_of_Wight Year5_ReferralSource_Housing)</f>
        <v>41</v>
      </c>
      <c r="CO116" s="870">
        <f>IF(Year1_Isle_of_Wight Year1_ReferralSource_LA_SC="","",Year1_Isle_of_Wight Year1_ReferralSource_LA_SC)</f>
        <v>214</v>
      </c>
      <c r="CP116" s="871">
        <f>IF(Year2_Isle_of_Wight Year2_ReferralSource_LA_SC="","",Year2_Isle_of_Wight Year2_ReferralSource_LA_SC)</f>
        <v>231</v>
      </c>
      <c r="CQ116" s="871">
        <f>IF(Year3_Isle_of_Wight Year3_ReferralSource_LA_SC="","",Year3_Isle_of_Wight Year3_ReferralSource_LA_SC)</f>
        <v>265</v>
      </c>
      <c r="CR116" s="871">
        <f>IF(Year4_Isle_of_Wight Year4_ReferralSource_LA_SC="","",Year4_Isle_of_Wight Year4_ReferralSource_LA_SC)</f>
        <v>227</v>
      </c>
      <c r="CS116" s="872">
        <f>IF(Year5_Isle_of_Wight Year5_ReferralSource_LA_SC="","",Year5_Isle_of_Wight Year5_ReferralSource_LA_SC)</f>
        <v>253</v>
      </c>
      <c r="CT116" s="870" t="str">
        <f>IF(Year1_Isle_of_Wight Year1_ReferralSource_LA_Other="","",Year1_Isle_of_Wight Year1_ReferralSource_LA_Other)</f>
        <v/>
      </c>
      <c r="CU116" s="871" t="str">
        <f>IF(Year2_Isle_of_Wight Year2_ReferralSource_LA_Other="","",Year2_Isle_of_Wight Year2_ReferralSource_LA_Other)</f>
        <v/>
      </c>
      <c r="CV116" s="871" t="str">
        <f>IF(Year3_Isle_of_Wight Year3_ReferralSource_LA_Other="","",Year3_Isle_of_Wight Year3_ReferralSource_LA_Other)</f>
        <v/>
      </c>
      <c r="CW116" s="871" t="str">
        <f>IF(Year4_Isle_of_Wight Year4_ReferralSource_LA_Other="","",Year4_Isle_of_Wight Year4_ReferralSource_LA_Other)</f>
        <v/>
      </c>
      <c r="CX116" s="872" t="str">
        <f>IF(Year5_Isle_of_Wight Year5_ReferralSource_LA_Other="","",Year5_Isle_of_Wight Year5_ReferralSource_LA_Other)</f>
        <v/>
      </c>
      <c r="CY116" s="870" t="str">
        <f>IF(Year1_Isle_of_Wight Year1_ReferralSource_LA_External="","",Year1_Isle_of_Wight Year1_ReferralSource_LA_External)</f>
        <v/>
      </c>
      <c r="CZ116" s="871" t="str">
        <f>IF(Year2_Isle_of_Wight Year2_ReferralSource_LA_External="","",Year2_Isle_of_Wight Year2_ReferralSource_LA_External)</f>
        <v/>
      </c>
      <c r="DA116" s="871" t="str">
        <f>IF(Year3_Isle_of_Wight Year3_ReferralSource_LA_External="","",Year3_Isle_of_Wight Year3_ReferralSource_LA_External)</f>
        <v/>
      </c>
      <c r="DB116" s="871" t="str">
        <f>IF(Year4_Isle_of_Wight Year4_ReferralSource_LA_External="","",Year4_Isle_of_Wight Year4_ReferralSource_LA_External)</f>
        <v/>
      </c>
      <c r="DC116" s="872" t="str">
        <f>IF(Year5_Isle_of_Wight Year5_ReferralSource_LA_External="","",Year5_Isle_of_Wight Year5_ReferralSource_LA_External)</f>
        <v/>
      </c>
      <c r="DD116" s="870">
        <f>IF(Year1_Isle_of_Wight Year1_ReferralSource_Police="","",Year1_Isle_of_Wight Year1_ReferralSource_Police)</f>
        <v>606</v>
      </c>
      <c r="DE116" s="871">
        <f>IF(Year2_Isle_of_Wight Year2_ReferralSource_Police="","",Year2_Isle_of_Wight Year2_ReferralSource_Police)</f>
        <v>766</v>
      </c>
      <c r="DF116" s="871">
        <f>IF(Year3_Isle_of_Wight Year3_ReferralSource_Police="","",Year3_Isle_of_Wight Year3_ReferralSource_Police)</f>
        <v>478</v>
      </c>
      <c r="DG116" s="871">
        <f>IF(Year4_Isle_of_Wight Year4_ReferralSource_Police="","",Year4_Isle_of_Wight Year4_ReferralSource_Police)</f>
        <v>555</v>
      </c>
      <c r="DH116" s="872">
        <f>IF(Year5_Isle_of_Wight Year5_ReferralSource_Police="","",Year5_Isle_of_Wight Year5_ReferralSource_Police)</f>
        <v>519</v>
      </c>
      <c r="DI116" s="870">
        <f>IF(Year1_Isle_of_Wight Year1_ReferralSource_Other_Legal="","",Year1_Isle_of_Wight Year1_ReferralSource_Other_Legal)</f>
        <v>53</v>
      </c>
      <c r="DJ116" s="871">
        <f>IF(Year2_Isle_of_Wight Year2_ReferralSource_Other_Legal="","",Year2_Isle_of_Wight Year2_ReferralSource_Other_Legal)</f>
        <v>33</v>
      </c>
      <c r="DK116" s="871">
        <f>IF(Year3_Isle_of_Wight Year3_ReferralSource_Other_Legal="","",Year3_Isle_of_Wight Year3_ReferralSource_Other_Legal)</f>
        <v>39</v>
      </c>
      <c r="DL116" s="871">
        <f>IF(Year4_Isle_of_Wight Year4_ReferralSource_Other_Legal="","",Year4_Isle_of_Wight Year4_ReferralSource_Other_Legal)</f>
        <v>59</v>
      </c>
      <c r="DM116" s="872">
        <f>IF(Year5_Isle_of_Wight Year5_ReferralSource_Other_Legal="","",Year5_Isle_of_Wight Year5_ReferralSource_Other_Legal)</f>
        <v>70</v>
      </c>
      <c r="DN116" s="870">
        <f>IF(Year1_Isle_of_Wight Year1_ReferralSource_Other="","",Year1_Isle_of_Wight Year1_ReferralSource_Other)</f>
        <v>241</v>
      </c>
      <c r="DO116" s="871">
        <f>IF(Year2_Isle_of_Wight Year2_ReferralSource_Other="","",Year2_Isle_of_Wight Year2_ReferralSource_Other)</f>
        <v>262</v>
      </c>
      <c r="DP116" s="871">
        <f>IF(Year3_Isle_of_Wight Year3_ReferralSource_Other="","",Year3_Isle_of_Wight Year3_ReferralSource_Other)</f>
        <v>169</v>
      </c>
      <c r="DQ116" s="871">
        <f>IF(Year4_Isle_of_Wight Year4_ReferralSource_Other="","",Year4_Isle_of_Wight Year4_ReferralSource_Other)</f>
        <v>301</v>
      </c>
      <c r="DR116" s="872">
        <f>IF(Year5_Isle_of_Wight Year5_ReferralSource_Other="","",Year5_Isle_of_Wight Year5_ReferralSource_Other)</f>
        <v>346</v>
      </c>
      <c r="DS116" s="870">
        <f>IF(Year1_Isle_of_Wight Year1_ReferralSource_Anonymous="","",Year1_Isle_of_Wight Year1_ReferralSource_Anonymous)</f>
        <v>64</v>
      </c>
      <c r="DT116" s="871">
        <f>IF(Year2_Isle_of_Wight Year2_ReferralSource_Anonymous="","",Year2_Isle_of_Wight Year2_ReferralSource_Anonymous)</f>
        <v>48</v>
      </c>
      <c r="DU116" s="871">
        <f>IF(Year3_Isle_of_Wight Year3_ReferralSource_Anonymous="","",Year3_Isle_of_Wight Year3_ReferralSource_Anonymous)</f>
        <v>0</v>
      </c>
      <c r="DV116" s="871">
        <f>IF(Year4_Isle_of_Wight Year4_ReferralSource_Anonymous="","",Year4_Isle_of_Wight Year4_ReferralSource_Anonymous)</f>
        <v>0</v>
      </c>
      <c r="DW116" s="872">
        <f>IF(Year5_Isle_of_Wight Year5_ReferralSource_Anonymous="","",Year5_Isle_of_Wight Year5_ReferralSource_Anonymous)</f>
        <v>0</v>
      </c>
      <c r="DX116" s="870">
        <f>IF(Year1_Isle_of_Wight Year1_ReferralSource_Unknown="","",Year1_Isle_of_Wight Year1_ReferralSource_Unknown)</f>
        <v>0</v>
      </c>
      <c r="DY116" s="871">
        <f>IF(Year2_Isle_of_Wight Year2_ReferralSource_Unknown="","",Year2_Isle_of_Wight Year2_ReferralSource_Unknown)</f>
        <v>0</v>
      </c>
      <c r="DZ116" s="871">
        <f>IF(Year3_Isle_of_Wight Year3_ReferralSource_Unknown="","",Year3_Isle_of_Wight Year3_ReferralSource_Unknown)</f>
        <v>63</v>
      </c>
      <c r="EA116" s="871">
        <f>IF(Year4_Isle_of_Wight Year4_ReferralSource_Unknown="","",Year4_Isle_of_Wight Year4_ReferralSource_Unknown)</f>
        <v>61</v>
      </c>
      <c r="EB116" s="872">
        <f>IF(Year5_Isle_of_Wight Year5_ReferralSource_Unknown="","",Year5_Isle_of_Wight Year5_ReferralSource_Unknown)</f>
        <v>48</v>
      </c>
    </row>
    <row r="117" spans="1:132" ht="16.5" customHeight="1" x14ac:dyDescent="0.2">
      <c r="A117" s="278"/>
      <c r="B117" s="175" t="str">
        <f>Sheet1!$K$10</f>
        <v>Kent</v>
      </c>
      <c r="C117" s="9"/>
      <c r="D117" s="1893"/>
      <c r="E117" s="1894"/>
      <c r="F117" s="1893"/>
      <c r="G117" s="1894"/>
      <c r="H117" s="1893"/>
      <c r="I117" s="1894"/>
      <c r="J117" s="1893"/>
      <c r="K117" s="1894"/>
      <c r="L117" s="1893"/>
      <c r="M117" s="1894"/>
      <c r="N117" s="1893"/>
      <c r="O117" s="1894"/>
      <c r="P117" s="1893"/>
      <c r="Q117" s="1894"/>
      <c r="R117" s="1893"/>
      <c r="S117" s="1894"/>
      <c r="T117" s="1893"/>
      <c r="U117" s="1894"/>
      <c r="V117" s="1893"/>
      <c r="W117" s="1894"/>
      <c r="X117" s="9"/>
      <c r="Y117" s="117"/>
      <c r="Z117" s="137"/>
      <c r="AA117" s="74"/>
      <c r="AB117" s="1585">
        <f>IF(Year1_Kent Year1_ReferralSource_Individual_Family="","",Year1_Kent Year1_ReferralSource_Individual_Family)</f>
        <v>1577</v>
      </c>
      <c r="AC117" s="1586">
        <f>IF(Year2_Kent Year2_ReferralSource_Individual_Family="","",Year2_Kent Year2_ReferralSource_Individual_Family)</f>
        <v>1596</v>
      </c>
      <c r="AD117" s="1586">
        <f>IF(Year3_Kent Year3_ReferralSource_Individual_Family="","",Year3_Kent Year3_ReferralSource_Individual_Family)</f>
        <v>2168</v>
      </c>
      <c r="AE117" s="1586">
        <f>IF(Year4_Kent Year4_ReferralSource_Individual_Family="","",Year4_Kent Year4_ReferralSource_Individual_Family)</f>
        <v>1561</v>
      </c>
      <c r="AF117" s="1587">
        <f>IF(Year5_Kent Year5_ReferralSource_Individual_Family="","",Year5_Kent Year5_ReferralSource_Individual_Family)</f>
        <v>1684</v>
      </c>
      <c r="AG117" s="1585" t="str">
        <f>IF(Year1_Kent Year1_ReferralSource_Individual_Acquaintance="","",Year1_Kent Year1_ReferralSource_Individual_Acquaintance)</f>
        <v/>
      </c>
      <c r="AH117" s="1586" t="str">
        <f>IF(Year2_Kent Year2_ReferralSource_Individual_Acquaintance="","",Year2_Kent Year2_ReferralSource_Individual_Acquaintance)</f>
        <v/>
      </c>
      <c r="AI117" s="1586" t="str">
        <f>IF(Year3_Kent Year3_ReferralSource_Individual_Acquaintance="","",Year3_Kent Year3_ReferralSource_Individual_Acquaintance)</f>
        <v/>
      </c>
      <c r="AJ117" s="1586" t="str">
        <f>IF(Year4_Kent Year4_ReferralSource_Individual_Acquaintance="","",Year4_Kent Year4_ReferralSource_Individual_Acquaintance)</f>
        <v/>
      </c>
      <c r="AK117" s="1588" t="str">
        <f>IF(Year5_Kent Year5_ReferralSource_Individual_Acquaintance="","",Year5_Kent Year5_ReferralSource_Individual_Acquaintance)</f>
        <v/>
      </c>
      <c r="AL117" s="1585" t="str">
        <f>IF(Year1_Kent Year1_ReferralSource_Individual_Self="","",Year1_Kent Year1_ReferralSource_Individual_Self)</f>
        <v/>
      </c>
      <c r="AM117" s="1586" t="str">
        <f>IF(Year2_Kent Year2_ReferralSource_Individual_Self="","",Year2_Kent Year2_ReferralSource_Individual_Self)</f>
        <v/>
      </c>
      <c r="AN117" s="1586" t="str">
        <f>IF(Year3_Kent Year3_ReferralSource_Individual_Self="","",Year3_Kent Year3_ReferralSource_Individual_Self)</f>
        <v/>
      </c>
      <c r="AO117" s="1586" t="str">
        <f>IF(Year4_Kent Year4_ReferralSource_Individual_Self="","",Year4_Kent Year4_ReferralSource_Individual_Self)</f>
        <v/>
      </c>
      <c r="AP117" s="1588" t="str">
        <f>IF(Year5_Kent Year5_ReferralSource_Individual_Self="","",Year5_Kent Year5_ReferralSource_Individual_Self)</f>
        <v/>
      </c>
      <c r="AQ117" s="1585" t="str">
        <f>IF(Year1_Kent Year1_ReferralSource_Individual_Other="","",Year1_Kent Year1_ReferralSource_Individual_Other)</f>
        <v/>
      </c>
      <c r="AR117" s="1586" t="str">
        <f>IF(Year2_Kent Year2_ReferralSource_Individual_Other="","",Year2_Kent Year2_ReferralSource_Individual_Other)</f>
        <v/>
      </c>
      <c r="AS117" s="1586" t="str">
        <f>IF(Year3_Kent Year3_ReferralSource_Individual_Other="","",Year3_Kent Year3_ReferralSource_Individual_Other)</f>
        <v/>
      </c>
      <c r="AT117" s="1586" t="str">
        <f>IF(Year4_Kent Year4_ReferralSource_Individual_Other="","",Year4_Kent Year4_ReferralSource_Individual_Other)</f>
        <v/>
      </c>
      <c r="AU117" s="1588" t="str">
        <f>IF(Year5_Kent Year5_ReferralSource_Individual_Other="","",Year5_Kent Year5_ReferralSource_Individual_Other)</f>
        <v/>
      </c>
      <c r="AV117" s="1585">
        <f>IF(Year1_Kent Year1_ReferralSource_School="","",Year1_Kent Year1_ReferralSource_School)</f>
        <v>2617</v>
      </c>
      <c r="AW117" s="1586">
        <f>IF(Year2_Kent Year2_ReferralSource_School="","",Year2_Kent Year2_ReferralSource_School)</f>
        <v>2620</v>
      </c>
      <c r="AX117" s="1586">
        <f>IF(Year3_Kent Year3_ReferralSource_School="","",Year3_Kent Year3_ReferralSource_School)</f>
        <v>3172</v>
      </c>
      <c r="AY117" s="1586">
        <f>IF(Year4_Kent Year4_ReferralSource_School="","",Year4_Kent Year4_ReferralSource_School)</f>
        <v>3213</v>
      </c>
      <c r="AZ117" s="1588">
        <f>IF(Year5_Kent Year5_ReferralSource_School="","",Year5_Kent Year5_ReferralSource_School)</f>
        <v>4301</v>
      </c>
      <c r="BA117" s="1585">
        <f>IF(Year1_Kent Year1_ReferralSource_EducationServices="","",Year1_Kent Year1_ReferralSource_EducationServices)</f>
        <v>216</v>
      </c>
      <c r="BB117" s="1586">
        <f>IF(Year2_Kent Year2_ReferralSource_EducationServices="","",Year2_Kent Year2_ReferralSource_EducationServices)</f>
        <v>145</v>
      </c>
      <c r="BC117" s="1586">
        <f>IF(Year3_Kent Year3_ReferralSource_EducationServices="","",Year3_Kent Year3_ReferralSource_EducationServices)</f>
        <v>133</v>
      </c>
      <c r="BD117" s="1586">
        <f>IF(Year4_Kent Year4_ReferralSource_EducationServices="","",Year4_Kent Year4_ReferralSource_EducationServices)</f>
        <v>93</v>
      </c>
      <c r="BE117" s="1588">
        <f>IF(Year5_Kent Year5_ReferralSource_EducationServices="","",Year5_Kent Year5_ReferralSource_EducationServices)</f>
        <v>77</v>
      </c>
      <c r="BF117" s="882">
        <f>IF(Year1_Kent Year1_ReferralSource_Health_services_GP="","",Year1_Kent Year1_ReferralSource_Health_services_GP)</f>
        <v>2128</v>
      </c>
      <c r="BG117" s="883">
        <f>IF(Year2_Kent Year2_ReferralSource_Health_services_GP="","",Year2_Kent Year2_ReferralSource_Health_services_GP)</f>
        <v>1938</v>
      </c>
      <c r="BH117" s="883">
        <f>IF(Year3_Kent Year3_ReferralSource_Health_services_GP="","",Year3_Kent Year3_ReferralSource_Health_services_GP)</f>
        <v>2375</v>
      </c>
      <c r="BI117" s="883">
        <f>IF(Year4_Kent Year4_ReferralSource_Health_services_GP="","",Year4_Kent Year4_ReferralSource_Health_services_GP)</f>
        <v>2326</v>
      </c>
      <c r="BJ117" s="884">
        <f>IF(Year5_Kent Year5_ReferralSource_Health_services_GP="","",Year5_Kent Year5_ReferralSource_Health_services_GP)</f>
        <v>2954</v>
      </c>
      <c r="BK117" s="882" t="str">
        <f>IF(Year1_Kent Year1_ReferralSource_Health_services_HealthVisitor="","",Year1_Kent Year1_ReferralSource_Health_services_HealthVisitor)</f>
        <v/>
      </c>
      <c r="BL117" s="883" t="str">
        <f>IF(Year2_Kent Year2_ReferralSource_Health_services_HealthVisitor="","",Year2_Kent Year2_ReferralSource_Health_services_HealthVisitor)</f>
        <v/>
      </c>
      <c r="BM117" s="883" t="str">
        <f>IF(Year3_Kent Year3_ReferralSource_Health_services_HealthVisitor="","",Year3_Kent Year3_ReferralSource_Health_services_HealthVisitor)</f>
        <v/>
      </c>
      <c r="BN117" s="883" t="str">
        <f>IF(Year4_Kent Year4_ReferralSource_Health_services_HealthVisitor="","",Year4_Kent Year4_ReferralSource_Health_services_HealthVisitor)</f>
        <v/>
      </c>
      <c r="BO117" s="884" t="str">
        <f>IF(Year5_Kent Year5_ReferralSource_Health_services_HealthVisitor="","",Year5_Kent Year5_ReferralSource_Health_services_HealthVisitor)</f>
        <v/>
      </c>
      <c r="BP117" s="882" t="str">
        <f>IF(Year1_Kent Year1_ReferralSource_Health_services_SchoolNurse="","",Year1_Kent Year1_ReferralSource_Health_services_SchoolNurse)</f>
        <v/>
      </c>
      <c r="BQ117" s="883" t="str">
        <f>IF(Year2_Kent Year2_ReferralSource_Health_services_SchoolNurse="","",Year2_Kent Year2_ReferralSource_Health_services_SchoolNurse)</f>
        <v/>
      </c>
      <c r="BR117" s="883" t="str">
        <f>IF(Year3_Kent Year3_ReferralSource_Health_services_SchoolNurse="","",Year3_Kent Year3_ReferralSource_Health_services_SchoolNurse)</f>
        <v/>
      </c>
      <c r="BS117" s="883" t="str">
        <f>IF(Year4_Kent Year4_ReferralSource_Health_services_SchoolNurse="","",Year4_Kent Year4_ReferralSource_Health_services_SchoolNurse)</f>
        <v/>
      </c>
      <c r="BT117" s="884" t="str">
        <f>IF(Year5_Kent Year5_ReferralSource_Health_services_SchoolNurse="","",Year5_Kent Year5_ReferralSource_Health_services_SchoolNurse)</f>
        <v/>
      </c>
      <c r="BU117" s="882" t="str">
        <f>IF(Year1_Kent Year1_ReferralSource_Health_services_OthPrimary="","",Year1_Kent Year1_ReferralSource_Health_services_OthPrimary)</f>
        <v/>
      </c>
      <c r="BV117" s="883" t="str">
        <f>IF(Year2_Kent Year2_ReferralSource_Health_services_OthPrimary="","",Year2_Kent Year2_ReferralSource_Health_services_OthPrimary)</f>
        <v/>
      </c>
      <c r="BW117" s="883" t="str">
        <f>IF(Year3_Kent Year3_ReferralSource_Health_services_OthPrimary="","",Year3_Kent Year3_ReferralSource_Health_services_OthPrimary)</f>
        <v/>
      </c>
      <c r="BX117" s="883" t="str">
        <f>IF(Year4_Kent Year4_ReferralSource_Health_services_OthPrimary="","",Year4_Kent Year4_ReferralSource_Health_services_OthPrimary)</f>
        <v/>
      </c>
      <c r="BY117" s="884" t="str">
        <f>IF(Year5_Kent Year5_ReferralSource_Health_services_OthPrimary="","",Year5_Kent Year5_ReferralSource_Health_services_OthPrimary)</f>
        <v/>
      </c>
      <c r="BZ117" s="882" t="str">
        <f>IF(Year1_Kent Year1_ReferralSource_Health_services_AE="","",Year1_Kent Year1_ReferralSource_Health_services_AE)</f>
        <v/>
      </c>
      <c r="CA117" s="883" t="str">
        <f>IF(Year2_Kent Year2_ReferralSource_Health_services_AE="","",Year2_Kent Year2_ReferralSource_Health_services_AE)</f>
        <v/>
      </c>
      <c r="CB117" s="883" t="str">
        <f>IF(Year3_Kent Year3_ReferralSource_Health_services_AE="","",Year3_Kent Year3_ReferralSource_Health_services_AE)</f>
        <v/>
      </c>
      <c r="CC117" s="883" t="str">
        <f>IF(Year4_Kent Year4_ReferralSource_Health_services_AE="","",Year4_Kent Year4_ReferralSource_Health_services_AE)</f>
        <v/>
      </c>
      <c r="CD117" s="884" t="str">
        <f>IF(Year5_Kent Year5_ReferralSource_Health_services_AE="","",Year5_Kent Year5_ReferralSource_Health_services_AE)</f>
        <v/>
      </c>
      <c r="CE117" s="882" t="str">
        <f>IF(Year1_Kent Year1_ReferralSource_Health_services_Other="","",Year1_Kent Year1_ReferralSource_Health_services_Other)</f>
        <v/>
      </c>
      <c r="CF117" s="883" t="str">
        <f>IF(Year2_Kent Year2_ReferralSource_Health_services_Other="","",Year2_Kent Year2_ReferralSource_Health_services_Other)</f>
        <v/>
      </c>
      <c r="CG117" s="883" t="str">
        <f>IF(Year3_Kent Year3_ReferralSource_Health_services_Other="","",Year3_Kent Year3_ReferralSource_Health_services_Other)</f>
        <v/>
      </c>
      <c r="CH117" s="883" t="str">
        <f>IF(Year4_Kent Year4_ReferralSource_Health_services_Other="","",Year4_Kent Year4_ReferralSource_Health_services_Other)</f>
        <v/>
      </c>
      <c r="CI117" s="884" t="str">
        <f>IF(Year5_Kent Year5_ReferralSource_Health_services_Other="","",Year5_Kent Year5_ReferralSource_Health_services_Other)</f>
        <v/>
      </c>
      <c r="CJ117" s="870">
        <f>IF(Year1_Kent Year1_ReferralSource_Housing="","",Year1_Kent Year1_ReferralSource_Housing)</f>
        <v>395</v>
      </c>
      <c r="CK117" s="871">
        <f>IF(Year2_Kent Year2_ReferralSource_Housing="","",Year2_Kent Year2_ReferralSource_Housing)</f>
        <v>366</v>
      </c>
      <c r="CL117" s="871">
        <f>IF(Year3_Kent Year3_ReferralSource_Housing="","",Year3_Kent Year3_ReferralSource_Housing)</f>
        <v>406</v>
      </c>
      <c r="CM117" s="871">
        <f>IF(Year4_Kent Year4_ReferralSource_Housing="","",Year4_Kent Year4_ReferralSource_Housing)</f>
        <v>363</v>
      </c>
      <c r="CN117" s="872">
        <f>IF(Year5_Kent Year5_ReferralSource_Housing="","",Year5_Kent Year5_ReferralSource_Housing)</f>
        <v>449</v>
      </c>
      <c r="CO117" s="870">
        <f>IF(Year1_Kent Year1_ReferralSource_LA_SC="","",Year1_Kent Year1_ReferralSource_LA_SC)</f>
        <v>1670</v>
      </c>
      <c r="CP117" s="871">
        <f>IF(Year2_Kent Year2_ReferralSource_LA_SC="","",Year2_Kent Year2_ReferralSource_LA_SC)</f>
        <v>1976</v>
      </c>
      <c r="CQ117" s="871">
        <f>IF(Year3_Kent Year3_ReferralSource_LA_SC="","",Year3_Kent Year3_ReferralSource_LA_SC)</f>
        <v>2198</v>
      </c>
      <c r="CR117" s="871">
        <f>IF(Year4_Kent Year4_ReferralSource_LA_SC="","",Year4_Kent Year4_ReferralSource_LA_SC)</f>
        <v>2281</v>
      </c>
      <c r="CS117" s="872">
        <f>IF(Year5_Kent Year5_ReferralSource_LA_SC="","",Year5_Kent Year5_ReferralSource_LA_SC)</f>
        <v>2706</v>
      </c>
      <c r="CT117" s="870" t="str">
        <f>IF(Year1_Kent Year1_ReferralSource_LA_Other="","",Year1_Kent Year1_ReferralSource_LA_Other)</f>
        <v/>
      </c>
      <c r="CU117" s="871" t="str">
        <f>IF(Year2_Kent Year2_ReferralSource_LA_Other="","",Year2_Kent Year2_ReferralSource_LA_Other)</f>
        <v/>
      </c>
      <c r="CV117" s="871" t="str">
        <f>IF(Year3_Kent Year3_ReferralSource_LA_Other="","",Year3_Kent Year3_ReferralSource_LA_Other)</f>
        <v/>
      </c>
      <c r="CW117" s="871" t="str">
        <f>IF(Year4_Kent Year4_ReferralSource_LA_Other="","",Year4_Kent Year4_ReferralSource_LA_Other)</f>
        <v/>
      </c>
      <c r="CX117" s="872" t="str">
        <f>IF(Year5_Kent Year5_ReferralSource_LA_Other="","",Year5_Kent Year5_ReferralSource_LA_Other)</f>
        <v/>
      </c>
      <c r="CY117" s="870" t="str">
        <f>IF(Year1_Kent Year1_ReferralSource_LA_External="","",Year1_Kent Year1_ReferralSource_LA_External)</f>
        <v/>
      </c>
      <c r="CZ117" s="871" t="str">
        <f>IF(Year2_Kent Year2_ReferralSource_LA_External="","",Year2_Kent Year2_ReferralSource_LA_External)</f>
        <v/>
      </c>
      <c r="DA117" s="871" t="str">
        <f>IF(Year3_Kent Year3_ReferralSource_LA_External="","",Year3_Kent Year3_ReferralSource_LA_External)</f>
        <v/>
      </c>
      <c r="DB117" s="871" t="str">
        <f>IF(Year4_Kent Year4_ReferralSource_LA_External="","",Year4_Kent Year4_ReferralSource_LA_External)</f>
        <v/>
      </c>
      <c r="DC117" s="872" t="str">
        <f>IF(Year5_Kent Year5_ReferralSource_LA_External="","",Year5_Kent Year5_ReferralSource_LA_External)</f>
        <v/>
      </c>
      <c r="DD117" s="870">
        <f>IF(Year1_Kent Year1_ReferralSource_Police="","",Year1_Kent Year1_ReferralSource_Police)</f>
        <v>3886</v>
      </c>
      <c r="DE117" s="871">
        <f>IF(Year2_Kent Year2_ReferralSource_Police="","",Year2_Kent Year2_ReferralSource_Police)</f>
        <v>4508</v>
      </c>
      <c r="DF117" s="871">
        <f>IF(Year3_Kent Year3_ReferralSource_Police="","",Year3_Kent Year3_ReferralSource_Police)</f>
        <v>6675</v>
      </c>
      <c r="DG117" s="871">
        <f>IF(Year4_Kent Year4_ReferralSource_Police="","",Year4_Kent Year4_ReferralSource_Police)</f>
        <v>6290</v>
      </c>
      <c r="DH117" s="872">
        <f>IF(Year5_Kent Year5_ReferralSource_Police="","",Year5_Kent Year5_ReferralSource_Police)</f>
        <v>7430</v>
      </c>
      <c r="DI117" s="870">
        <f>IF(Year1_Kent Year1_ReferralSource_Other_Legal="","",Year1_Kent Year1_ReferralSource_Other_Legal)</f>
        <v>1321</v>
      </c>
      <c r="DJ117" s="871">
        <f>IF(Year2_Kent Year2_ReferralSource_Other_Legal="","",Year2_Kent Year2_ReferralSource_Other_Legal)</f>
        <v>735</v>
      </c>
      <c r="DK117" s="871">
        <f>IF(Year3_Kent Year3_ReferralSource_Other_Legal="","",Year3_Kent Year3_ReferralSource_Other_Legal)</f>
        <v>719</v>
      </c>
      <c r="DL117" s="871">
        <f>IF(Year4_Kent Year4_ReferralSource_Other_Legal="","",Year4_Kent Year4_ReferralSource_Other_Legal)</f>
        <v>884</v>
      </c>
      <c r="DM117" s="872">
        <f>IF(Year5_Kent Year5_ReferralSource_Other_Legal="","",Year5_Kent Year5_ReferralSource_Other_Legal)</f>
        <v>1228</v>
      </c>
      <c r="DN117" s="870">
        <f>IF(Year1_Kent Year1_ReferralSource_Other="","",Year1_Kent Year1_ReferralSource_Other)</f>
        <v>1244</v>
      </c>
      <c r="DO117" s="871">
        <f>IF(Year2_Kent Year2_ReferralSource_Other="","",Year2_Kent Year2_ReferralSource_Other)</f>
        <v>1563</v>
      </c>
      <c r="DP117" s="871">
        <f>IF(Year3_Kent Year3_ReferralSource_Other="","",Year3_Kent Year3_ReferralSource_Other)</f>
        <v>1050</v>
      </c>
      <c r="DQ117" s="871">
        <f>IF(Year4_Kent Year4_ReferralSource_Other="","",Year4_Kent Year4_ReferralSource_Other)</f>
        <v>698</v>
      </c>
      <c r="DR117" s="872">
        <f>IF(Year5_Kent Year5_ReferralSource_Other="","",Year5_Kent Year5_ReferralSource_Other)</f>
        <v>713</v>
      </c>
      <c r="DS117" s="870">
        <f>IF(Year1_Kent Year1_ReferralSource_Anonymous="","",Year1_Kent Year1_ReferralSource_Anonymous)</f>
        <v>230</v>
      </c>
      <c r="DT117" s="871">
        <f>IF(Year2_Kent Year2_ReferralSource_Anonymous="","",Year2_Kent Year2_ReferralSource_Anonymous)</f>
        <v>294</v>
      </c>
      <c r="DU117" s="871">
        <f>IF(Year3_Kent Year3_ReferralSource_Anonymous="","",Year3_Kent Year3_ReferralSource_Anonymous)</f>
        <v>413</v>
      </c>
      <c r="DV117" s="871">
        <f>IF(Year4_Kent Year4_ReferralSource_Anonymous="","",Year4_Kent Year4_ReferralSource_Anonymous)</f>
        <v>375</v>
      </c>
      <c r="DW117" s="872">
        <f>IF(Year5_Kent Year5_ReferralSource_Anonymous="","",Year5_Kent Year5_ReferralSource_Anonymous)</f>
        <v>315</v>
      </c>
      <c r="DX117" s="870">
        <f>IF(Year1_Kent Year1_ReferralSource_Unknown="","",Year1_Kent Year1_ReferralSource_Unknown)</f>
        <v>58</v>
      </c>
      <c r="DY117" s="871">
        <f>IF(Year2_Kent Year2_ReferralSource_Unknown="","",Year2_Kent Year2_ReferralSource_Unknown)</f>
        <v>64</v>
      </c>
      <c r="DZ117" s="871">
        <f>IF(Year3_Kent Year3_ReferralSource_Unknown="","",Year3_Kent Year3_ReferralSource_Unknown)</f>
        <v>64</v>
      </c>
      <c r="EA117" s="871">
        <f>IF(Year4_Kent Year4_ReferralSource_Unknown="","",Year4_Kent Year4_ReferralSource_Unknown)</f>
        <v>199</v>
      </c>
      <c r="EB117" s="872">
        <f>IF(Year5_Kent Year5_ReferralSource_Unknown="","",Year5_Kent Year5_ReferralSource_Unknown)</f>
        <v>492</v>
      </c>
    </row>
    <row r="118" spans="1:132" ht="16.5" customHeight="1" x14ac:dyDescent="0.2">
      <c r="A118" s="278"/>
      <c r="B118" s="175" t="str">
        <f>Sheet1!$K$11</f>
        <v>Medway</v>
      </c>
      <c r="C118" s="9"/>
      <c r="D118" s="1893"/>
      <c r="E118" s="1894"/>
      <c r="F118" s="1893"/>
      <c r="G118" s="1894"/>
      <c r="H118" s="1893"/>
      <c r="I118" s="1894"/>
      <c r="J118" s="1893"/>
      <c r="K118" s="1894"/>
      <c r="L118" s="1893"/>
      <c r="M118" s="1894"/>
      <c r="N118" s="1893"/>
      <c r="O118" s="1894"/>
      <c r="P118" s="1893"/>
      <c r="Q118" s="1894"/>
      <c r="R118" s="1893"/>
      <c r="S118" s="1894"/>
      <c r="T118" s="1893"/>
      <c r="U118" s="1894"/>
      <c r="V118" s="1893"/>
      <c r="W118" s="1894"/>
      <c r="X118" s="9"/>
      <c r="Y118" s="117"/>
      <c r="Z118" s="137"/>
      <c r="AA118" s="74"/>
      <c r="AB118" s="1585">
        <f>IF(Year1_Medway Year1_ReferralSource_Individual_Family="","",Year1_Medway Year1_ReferralSource_Individual_Family)</f>
        <v>375</v>
      </c>
      <c r="AC118" s="1586">
        <f>IF(Year2_Medway Year2_ReferralSource_Individual_Family="","",Year2_Medway Year2_ReferralSource_Individual_Family)</f>
        <v>343</v>
      </c>
      <c r="AD118" s="1586">
        <f>IF(Year3_Medway Year3_ReferralSource_Individual_Family="","",Year3_Medway Year3_ReferralSource_Individual_Family)</f>
        <v>247</v>
      </c>
      <c r="AE118" s="1586">
        <f>IF(Year4_Medway Year4_ReferralSource_Individual_Family="","",Year4_Medway Year4_ReferralSource_Individual_Family)</f>
        <v>415</v>
      </c>
      <c r="AF118" s="1587">
        <f>IF(Year5_Medway Year5_ReferralSource_Individual_Family="","",Year5_Medway Year5_ReferralSource_Individual_Family)</f>
        <v>444</v>
      </c>
      <c r="AG118" s="1585" t="str">
        <f>IF(Year1_Medway Year1_ReferralSource_Individual_Acquaintance="","",Year1_Medway Year1_ReferralSource_Individual_Acquaintance)</f>
        <v/>
      </c>
      <c r="AH118" s="1586" t="str">
        <f>IF(Year2_Medway Year2_ReferralSource_Individual_Acquaintance="","",Year2_Medway Year2_ReferralSource_Individual_Acquaintance)</f>
        <v/>
      </c>
      <c r="AI118" s="1586" t="str">
        <f>IF(Year3_Medway Year3_ReferralSource_Individual_Acquaintance="","",Year3_Medway Year3_ReferralSource_Individual_Acquaintance)</f>
        <v/>
      </c>
      <c r="AJ118" s="1586" t="str">
        <f>IF(Year4_Medway Year4_ReferralSource_Individual_Acquaintance="","",Year4_Medway Year4_ReferralSource_Individual_Acquaintance)</f>
        <v/>
      </c>
      <c r="AK118" s="1588" t="str">
        <f>IF(Year5_Medway Year5_ReferralSource_Individual_Acquaintance="","",Year5_Medway Year5_ReferralSource_Individual_Acquaintance)</f>
        <v/>
      </c>
      <c r="AL118" s="1585" t="str">
        <f>IF(Year1_Medway Year1_ReferralSource_Individual_Self="","",Year1_Medway Year1_ReferralSource_Individual_Self)</f>
        <v/>
      </c>
      <c r="AM118" s="1586" t="str">
        <f>IF(Year2_Medway Year2_ReferralSource_Individual_Self="","",Year2_Medway Year2_ReferralSource_Individual_Self)</f>
        <v/>
      </c>
      <c r="AN118" s="1586" t="str">
        <f>IF(Year3_Medway Year3_ReferralSource_Individual_Self="","",Year3_Medway Year3_ReferralSource_Individual_Self)</f>
        <v/>
      </c>
      <c r="AO118" s="1586" t="str">
        <f>IF(Year4_Medway Year4_ReferralSource_Individual_Self="","",Year4_Medway Year4_ReferralSource_Individual_Self)</f>
        <v/>
      </c>
      <c r="AP118" s="1588" t="str">
        <f>IF(Year5_Medway Year5_ReferralSource_Individual_Self="","",Year5_Medway Year5_ReferralSource_Individual_Self)</f>
        <v/>
      </c>
      <c r="AQ118" s="1585" t="str">
        <f>IF(Year1_Medway Year1_ReferralSource_Individual_Other="","",Year1_Medway Year1_ReferralSource_Individual_Other)</f>
        <v/>
      </c>
      <c r="AR118" s="1586" t="str">
        <f>IF(Year2_Medway Year2_ReferralSource_Individual_Other="","",Year2_Medway Year2_ReferralSource_Individual_Other)</f>
        <v/>
      </c>
      <c r="AS118" s="1586" t="str">
        <f>IF(Year3_Medway Year3_ReferralSource_Individual_Other="","",Year3_Medway Year3_ReferralSource_Individual_Other)</f>
        <v/>
      </c>
      <c r="AT118" s="1586" t="str">
        <f>IF(Year4_Medway Year4_ReferralSource_Individual_Other="","",Year4_Medway Year4_ReferralSource_Individual_Other)</f>
        <v/>
      </c>
      <c r="AU118" s="1588" t="str">
        <f>IF(Year5_Medway Year5_ReferralSource_Individual_Other="","",Year5_Medway Year5_ReferralSource_Individual_Other)</f>
        <v/>
      </c>
      <c r="AV118" s="1585">
        <f>IF(Year1_Medway Year1_ReferralSource_School="","",Year1_Medway Year1_ReferralSource_School)</f>
        <v>848</v>
      </c>
      <c r="AW118" s="1586">
        <f>IF(Year2_Medway Year2_ReferralSource_School="","",Year2_Medway Year2_ReferralSource_School)</f>
        <v>575</v>
      </c>
      <c r="AX118" s="1586">
        <f>IF(Year3_Medway Year3_ReferralSource_School="","",Year3_Medway Year3_ReferralSource_School)</f>
        <v>519</v>
      </c>
      <c r="AY118" s="1586">
        <f>IF(Year4_Medway Year4_ReferralSource_School="","",Year4_Medway Year4_ReferralSource_School)</f>
        <v>819</v>
      </c>
      <c r="AZ118" s="1588">
        <f>IF(Year5_Medway Year5_ReferralSource_School="","",Year5_Medway Year5_ReferralSource_School)</f>
        <v>1161</v>
      </c>
      <c r="BA118" s="1585">
        <f>IF(Year1_Medway Year1_ReferralSource_EducationServices="","",Year1_Medway Year1_ReferralSource_EducationServices)</f>
        <v>57</v>
      </c>
      <c r="BB118" s="1586">
        <f>IF(Year2_Medway Year2_ReferralSource_EducationServices="","",Year2_Medway Year2_ReferralSource_EducationServices)</f>
        <v>23</v>
      </c>
      <c r="BC118" s="1586">
        <f>IF(Year3_Medway Year3_ReferralSource_EducationServices="","",Year3_Medway Year3_ReferralSource_EducationServices)</f>
        <v>35</v>
      </c>
      <c r="BD118" s="1586">
        <f>IF(Year4_Medway Year4_ReferralSource_EducationServices="","",Year4_Medway Year4_ReferralSource_EducationServices)</f>
        <v>52</v>
      </c>
      <c r="BE118" s="1588">
        <f>IF(Year5_Medway Year5_ReferralSource_EducationServices="","",Year5_Medway Year5_ReferralSource_EducationServices)</f>
        <v>22</v>
      </c>
      <c r="BF118" s="882">
        <f>IF(Year1_Medway Year1_ReferralSource_Health_services_GP="","",Year1_Medway Year1_ReferralSource_Health_services_GP)</f>
        <v>350</v>
      </c>
      <c r="BG118" s="883">
        <f>IF(Year2_Medway Year2_ReferralSource_Health_services_GP="","",Year2_Medway Year2_ReferralSource_Health_services_GP)</f>
        <v>250</v>
      </c>
      <c r="BH118" s="883">
        <f>IF(Year3_Medway Year3_ReferralSource_Health_services_GP="","",Year3_Medway Year3_ReferralSource_Health_services_GP)</f>
        <v>316</v>
      </c>
      <c r="BI118" s="883">
        <f>IF(Year4_Medway Year4_ReferralSource_Health_services_GP="","",Year4_Medway Year4_ReferralSource_Health_services_GP)</f>
        <v>359</v>
      </c>
      <c r="BJ118" s="884">
        <f>IF(Year5_Medway Year5_ReferralSource_Health_services_GP="","",Year5_Medway Year5_ReferralSource_Health_services_GP)</f>
        <v>454</v>
      </c>
      <c r="BK118" s="882" t="str">
        <f>IF(Year1_Medway Year1_ReferralSource_Health_services_HealthVisitor="","",Year1_Medway Year1_ReferralSource_Health_services_HealthVisitor)</f>
        <v/>
      </c>
      <c r="BL118" s="883" t="str">
        <f>IF(Year2_Medway Year2_ReferralSource_Health_services_HealthVisitor="","",Year2_Medway Year2_ReferralSource_Health_services_HealthVisitor)</f>
        <v/>
      </c>
      <c r="BM118" s="883" t="str">
        <f>IF(Year3_Medway Year3_ReferralSource_Health_services_HealthVisitor="","",Year3_Medway Year3_ReferralSource_Health_services_HealthVisitor)</f>
        <v/>
      </c>
      <c r="BN118" s="883" t="str">
        <f>IF(Year4_Medway Year4_ReferralSource_Health_services_HealthVisitor="","",Year4_Medway Year4_ReferralSource_Health_services_HealthVisitor)</f>
        <v/>
      </c>
      <c r="BO118" s="884" t="str">
        <f>IF(Year5_Medway Year5_ReferralSource_Health_services_HealthVisitor="","",Year5_Medway Year5_ReferralSource_Health_services_HealthVisitor)</f>
        <v/>
      </c>
      <c r="BP118" s="882" t="str">
        <f>IF(Year1_Medway Year1_ReferralSource_Health_services_SchoolNurse="","",Year1_Medway Year1_ReferralSource_Health_services_SchoolNurse)</f>
        <v/>
      </c>
      <c r="BQ118" s="883" t="str">
        <f>IF(Year2_Medway Year2_ReferralSource_Health_services_SchoolNurse="","",Year2_Medway Year2_ReferralSource_Health_services_SchoolNurse)</f>
        <v/>
      </c>
      <c r="BR118" s="883" t="str">
        <f>IF(Year3_Medway Year3_ReferralSource_Health_services_SchoolNurse="","",Year3_Medway Year3_ReferralSource_Health_services_SchoolNurse)</f>
        <v/>
      </c>
      <c r="BS118" s="883" t="str">
        <f>IF(Year4_Medway Year4_ReferralSource_Health_services_SchoolNurse="","",Year4_Medway Year4_ReferralSource_Health_services_SchoolNurse)</f>
        <v/>
      </c>
      <c r="BT118" s="884" t="str">
        <f>IF(Year5_Medway Year5_ReferralSource_Health_services_SchoolNurse="","",Year5_Medway Year5_ReferralSource_Health_services_SchoolNurse)</f>
        <v/>
      </c>
      <c r="BU118" s="882" t="str">
        <f>IF(Year1_Medway Year1_ReferralSource_Health_services_OthPrimary="","",Year1_Medway Year1_ReferralSource_Health_services_OthPrimary)</f>
        <v/>
      </c>
      <c r="BV118" s="883" t="str">
        <f>IF(Year2_Medway Year2_ReferralSource_Health_services_OthPrimary="","",Year2_Medway Year2_ReferralSource_Health_services_OthPrimary)</f>
        <v/>
      </c>
      <c r="BW118" s="883" t="str">
        <f>IF(Year3_Medway Year3_ReferralSource_Health_services_OthPrimary="","",Year3_Medway Year3_ReferralSource_Health_services_OthPrimary)</f>
        <v/>
      </c>
      <c r="BX118" s="883" t="str">
        <f>IF(Year4_Medway Year4_ReferralSource_Health_services_OthPrimary="","",Year4_Medway Year4_ReferralSource_Health_services_OthPrimary)</f>
        <v/>
      </c>
      <c r="BY118" s="884" t="str">
        <f>IF(Year5_Medway Year5_ReferralSource_Health_services_OthPrimary="","",Year5_Medway Year5_ReferralSource_Health_services_OthPrimary)</f>
        <v/>
      </c>
      <c r="BZ118" s="882" t="str">
        <f>IF(Year1_Medway Year1_ReferralSource_Health_services_AE="","",Year1_Medway Year1_ReferralSource_Health_services_AE)</f>
        <v/>
      </c>
      <c r="CA118" s="883" t="str">
        <f>IF(Year2_Medway Year2_ReferralSource_Health_services_AE="","",Year2_Medway Year2_ReferralSource_Health_services_AE)</f>
        <v/>
      </c>
      <c r="CB118" s="883" t="str">
        <f>IF(Year3_Medway Year3_ReferralSource_Health_services_AE="","",Year3_Medway Year3_ReferralSource_Health_services_AE)</f>
        <v/>
      </c>
      <c r="CC118" s="883" t="str">
        <f>IF(Year4_Medway Year4_ReferralSource_Health_services_AE="","",Year4_Medway Year4_ReferralSource_Health_services_AE)</f>
        <v/>
      </c>
      <c r="CD118" s="884" t="str">
        <f>IF(Year5_Medway Year5_ReferralSource_Health_services_AE="","",Year5_Medway Year5_ReferralSource_Health_services_AE)</f>
        <v/>
      </c>
      <c r="CE118" s="882" t="str">
        <f>IF(Year1_Medway Year1_ReferralSource_Health_services_Other="","",Year1_Medway Year1_ReferralSource_Health_services_Other)</f>
        <v/>
      </c>
      <c r="CF118" s="883" t="str">
        <f>IF(Year2_Medway Year2_ReferralSource_Health_services_Other="","",Year2_Medway Year2_ReferralSource_Health_services_Other)</f>
        <v/>
      </c>
      <c r="CG118" s="883" t="str">
        <f>IF(Year3_Medway Year3_ReferralSource_Health_services_Other="","",Year3_Medway Year3_ReferralSource_Health_services_Other)</f>
        <v/>
      </c>
      <c r="CH118" s="883" t="str">
        <f>IF(Year4_Medway Year4_ReferralSource_Health_services_Other="","",Year4_Medway Year4_ReferralSource_Health_services_Other)</f>
        <v/>
      </c>
      <c r="CI118" s="884" t="str">
        <f>IF(Year5_Medway Year5_ReferralSource_Health_services_Other="","",Year5_Medway Year5_ReferralSource_Health_services_Other)</f>
        <v/>
      </c>
      <c r="CJ118" s="870">
        <f>IF(Year1_Medway Year1_ReferralSource_Housing="","",Year1_Medway Year1_ReferralSource_Housing)</f>
        <v>102</v>
      </c>
      <c r="CK118" s="871">
        <f>IF(Year2_Medway Year2_ReferralSource_Housing="","",Year2_Medway Year2_ReferralSource_Housing)</f>
        <v>81</v>
      </c>
      <c r="CL118" s="871">
        <f>IF(Year3_Medway Year3_ReferralSource_Housing="","",Year3_Medway Year3_ReferralSource_Housing)</f>
        <v>64</v>
      </c>
      <c r="CM118" s="871">
        <f>IF(Year4_Medway Year4_ReferralSource_Housing="","",Year4_Medway Year4_ReferralSource_Housing)</f>
        <v>67</v>
      </c>
      <c r="CN118" s="872">
        <f>IF(Year5_Medway Year5_ReferralSource_Housing="","",Year5_Medway Year5_ReferralSource_Housing)</f>
        <v>75</v>
      </c>
      <c r="CO118" s="870">
        <f>IF(Year1_Medway Year1_ReferralSource_LA_SC="","",Year1_Medway Year1_ReferralSource_LA_SC)</f>
        <v>515</v>
      </c>
      <c r="CP118" s="871">
        <f>IF(Year2_Medway Year2_ReferralSource_LA_SC="","",Year2_Medway Year2_ReferralSource_LA_SC)</f>
        <v>394</v>
      </c>
      <c r="CQ118" s="871">
        <f>IF(Year3_Medway Year3_ReferralSource_LA_SC="","",Year3_Medway Year3_ReferralSource_LA_SC)</f>
        <v>349</v>
      </c>
      <c r="CR118" s="871">
        <f>IF(Year4_Medway Year4_ReferralSource_LA_SC="","",Year4_Medway Year4_ReferralSource_LA_SC)</f>
        <v>506</v>
      </c>
      <c r="CS118" s="872">
        <f>IF(Year5_Medway Year5_ReferralSource_LA_SC="","",Year5_Medway Year5_ReferralSource_LA_SC)</f>
        <v>621</v>
      </c>
      <c r="CT118" s="870" t="str">
        <f>IF(Year1_Medway Year1_ReferralSource_LA_Other="","",Year1_Medway Year1_ReferralSource_LA_Other)</f>
        <v/>
      </c>
      <c r="CU118" s="871" t="str">
        <f>IF(Year2_Medway Year2_ReferralSource_LA_Other="","",Year2_Medway Year2_ReferralSource_LA_Other)</f>
        <v/>
      </c>
      <c r="CV118" s="871" t="str">
        <f>IF(Year3_Medway Year3_ReferralSource_LA_Other="","",Year3_Medway Year3_ReferralSource_LA_Other)</f>
        <v/>
      </c>
      <c r="CW118" s="871" t="str">
        <f>IF(Year4_Medway Year4_ReferralSource_LA_Other="","",Year4_Medway Year4_ReferralSource_LA_Other)</f>
        <v/>
      </c>
      <c r="CX118" s="872" t="str">
        <f>IF(Year5_Medway Year5_ReferralSource_LA_Other="","",Year5_Medway Year5_ReferralSource_LA_Other)</f>
        <v/>
      </c>
      <c r="CY118" s="870" t="str">
        <f>IF(Year1_Medway Year1_ReferralSource_LA_External="","",Year1_Medway Year1_ReferralSource_LA_External)</f>
        <v/>
      </c>
      <c r="CZ118" s="871" t="str">
        <f>IF(Year2_Medway Year2_ReferralSource_LA_External="","",Year2_Medway Year2_ReferralSource_LA_External)</f>
        <v/>
      </c>
      <c r="DA118" s="871" t="str">
        <f>IF(Year3_Medway Year3_ReferralSource_LA_External="","",Year3_Medway Year3_ReferralSource_LA_External)</f>
        <v/>
      </c>
      <c r="DB118" s="871" t="str">
        <f>IF(Year4_Medway Year4_ReferralSource_LA_External="","",Year4_Medway Year4_ReferralSource_LA_External)</f>
        <v/>
      </c>
      <c r="DC118" s="872" t="str">
        <f>IF(Year5_Medway Year5_ReferralSource_LA_External="","",Year5_Medway Year5_ReferralSource_LA_External)</f>
        <v/>
      </c>
      <c r="DD118" s="870">
        <f>IF(Year1_Medway Year1_ReferralSource_Police="","",Year1_Medway Year1_ReferralSource_Police)</f>
        <v>718</v>
      </c>
      <c r="DE118" s="871">
        <f>IF(Year2_Medway Year2_ReferralSource_Police="","",Year2_Medway Year2_ReferralSource_Police)</f>
        <v>770</v>
      </c>
      <c r="DF118" s="871">
        <f>IF(Year3_Medway Year3_ReferralSource_Police="","",Year3_Medway Year3_ReferralSource_Police)</f>
        <v>817</v>
      </c>
      <c r="DG118" s="871">
        <f>IF(Year4_Medway Year4_ReferralSource_Police="","",Year4_Medway Year4_ReferralSource_Police)</f>
        <v>1341</v>
      </c>
      <c r="DH118" s="872">
        <f>IF(Year5_Medway Year5_ReferralSource_Police="","",Year5_Medway Year5_ReferralSource_Police)</f>
        <v>1700</v>
      </c>
      <c r="DI118" s="870">
        <f>IF(Year1_Medway Year1_ReferralSource_Other_Legal="","",Year1_Medway Year1_ReferralSource_Other_Legal)</f>
        <v>142</v>
      </c>
      <c r="DJ118" s="871">
        <f>IF(Year2_Medway Year2_ReferralSource_Other_Legal="","",Year2_Medway Year2_ReferralSource_Other_Legal)</f>
        <v>89</v>
      </c>
      <c r="DK118" s="871">
        <f>IF(Year3_Medway Year3_ReferralSource_Other_Legal="","",Year3_Medway Year3_ReferralSource_Other_Legal)</f>
        <v>76</v>
      </c>
      <c r="DL118" s="871">
        <f>IF(Year4_Medway Year4_ReferralSource_Other_Legal="","",Year4_Medway Year4_ReferralSource_Other_Legal)</f>
        <v>135</v>
      </c>
      <c r="DM118" s="872">
        <f>IF(Year5_Medway Year5_ReferralSource_Other_Legal="","",Year5_Medway Year5_ReferralSource_Other_Legal)</f>
        <v>130</v>
      </c>
      <c r="DN118" s="870">
        <f>IF(Year1_Medway Year1_ReferralSource_Other="","",Year1_Medway Year1_ReferralSource_Other)</f>
        <v>150</v>
      </c>
      <c r="DO118" s="871">
        <f>IF(Year2_Medway Year2_ReferralSource_Other="","",Year2_Medway Year2_ReferralSource_Other)</f>
        <v>107</v>
      </c>
      <c r="DP118" s="871">
        <f>IF(Year3_Medway Year3_ReferralSource_Other="","",Year3_Medway Year3_ReferralSource_Other)</f>
        <v>81</v>
      </c>
      <c r="DQ118" s="871">
        <f>IF(Year4_Medway Year4_ReferralSource_Other="","",Year4_Medway Year4_ReferralSource_Other)</f>
        <v>163</v>
      </c>
      <c r="DR118" s="872">
        <f>IF(Year5_Medway Year5_ReferralSource_Other="","",Year5_Medway Year5_ReferralSource_Other)</f>
        <v>199</v>
      </c>
      <c r="DS118" s="870">
        <f>IF(Year1_Medway Year1_ReferralSource_Anonymous="","",Year1_Medway Year1_ReferralSource_Anonymous)</f>
        <v>96</v>
      </c>
      <c r="DT118" s="871">
        <f>IF(Year2_Medway Year2_ReferralSource_Anonymous="","",Year2_Medway Year2_ReferralSource_Anonymous)</f>
        <v>100</v>
      </c>
      <c r="DU118" s="871">
        <f>IF(Year3_Medway Year3_ReferralSource_Anonymous="","",Year3_Medway Year3_ReferralSource_Anonymous)</f>
        <v>83</v>
      </c>
      <c r="DV118" s="871">
        <f>IF(Year4_Medway Year4_ReferralSource_Anonymous="","",Year4_Medway Year4_ReferralSource_Anonymous)</f>
        <v>89</v>
      </c>
      <c r="DW118" s="872">
        <f>IF(Year5_Medway Year5_ReferralSource_Anonymous="","",Year5_Medway Year5_ReferralSource_Anonymous)</f>
        <v>87</v>
      </c>
      <c r="DX118" s="870">
        <f>IF(Year1_Medway Year1_ReferralSource_Unknown="","",Year1_Medway Year1_ReferralSource_Unknown)</f>
        <v>15</v>
      </c>
      <c r="DY118" s="871">
        <f>IF(Year2_Medway Year2_ReferralSource_Unknown="","",Year2_Medway Year2_ReferralSource_Unknown)</f>
        <v>0</v>
      </c>
      <c r="DZ118" s="871">
        <f>IF(Year3_Medway Year3_ReferralSource_Unknown="","",Year3_Medway Year3_ReferralSource_Unknown)</f>
        <v>25</v>
      </c>
      <c r="EA118" s="871">
        <f>IF(Year4_Medway Year4_ReferralSource_Unknown="","",Year4_Medway Year4_ReferralSource_Unknown)</f>
        <v>79</v>
      </c>
      <c r="EB118" s="872">
        <f>IF(Year5_Medway Year5_ReferralSource_Unknown="","",Year5_Medway Year5_ReferralSource_Unknown)</f>
        <v>11</v>
      </c>
    </row>
    <row r="119" spans="1:132" ht="16.5" customHeight="1" x14ac:dyDescent="0.2">
      <c r="A119" s="278"/>
      <c r="B119" s="175" t="str">
        <f>Sheet1!$K$12</f>
        <v>Milton Keynes</v>
      </c>
      <c r="C119" s="9"/>
      <c r="D119" s="1893"/>
      <c r="E119" s="1894"/>
      <c r="F119" s="1893"/>
      <c r="G119" s="1894"/>
      <c r="H119" s="1893"/>
      <c r="I119" s="1894"/>
      <c r="J119" s="1893"/>
      <c r="K119" s="1894"/>
      <c r="L119" s="1893"/>
      <c r="M119" s="1894"/>
      <c r="N119" s="1893"/>
      <c r="O119" s="1894"/>
      <c r="P119" s="1893"/>
      <c r="Q119" s="1894"/>
      <c r="R119" s="1893"/>
      <c r="S119" s="1894"/>
      <c r="T119" s="1893"/>
      <c r="U119" s="1894"/>
      <c r="V119" s="1893"/>
      <c r="W119" s="1894"/>
      <c r="X119" s="9"/>
      <c r="Y119" s="117"/>
      <c r="Z119" s="137"/>
      <c r="AA119" s="74"/>
      <c r="AB119" s="1585">
        <f>IF(Year1_Milton_Keynes Year1_ReferralSource_Individual_Family="","",Year1_Milton_Keynes Year1_ReferralSource_Individual_Family)</f>
        <v>219</v>
      </c>
      <c r="AC119" s="1586">
        <f>IF(Year2_Milton_Keynes Year2_ReferralSource_Individual_Family="","",Year2_Milton_Keynes Year2_ReferralSource_Individual_Family)</f>
        <v>255</v>
      </c>
      <c r="AD119" s="1586">
        <f>IF(Year3_Milton_Keynes Year3_ReferralSource_Individual_Family="","",Year3_Milton_Keynes Year3_ReferralSource_Individual_Family)</f>
        <v>214</v>
      </c>
      <c r="AE119" s="1586">
        <f>IF(Year4_Milton_Keynes Year4_ReferralSource_Individual_Family="","",Year4_Milton_Keynes Year4_ReferralSource_Individual_Family)</f>
        <v>287</v>
      </c>
      <c r="AF119" s="1587">
        <f>IF(Year5_Milton_Keynes Year5_ReferralSource_Individual_Family="","",Year5_Milton_Keynes Year5_ReferralSource_Individual_Family)</f>
        <v>278</v>
      </c>
      <c r="AG119" s="1585" t="str">
        <f>IF(Year1_Milton_Keynes Year1_ReferralSource_Individual_Acquaintance="","",Year1_Milton_Keynes Year1_ReferralSource_Individual_Acquaintance)</f>
        <v/>
      </c>
      <c r="AH119" s="1586" t="str">
        <f>IF(Year2_Milton_Keynes Year2_ReferralSource_Individual_Acquaintance="","",Year2_Milton_Keynes Year2_ReferralSource_Individual_Acquaintance)</f>
        <v/>
      </c>
      <c r="AI119" s="1586" t="str">
        <f>IF(Year3_Milton_Keynes Year3_ReferralSource_Individual_Acquaintance="","",Year3_Milton_Keynes Year3_ReferralSource_Individual_Acquaintance)</f>
        <v/>
      </c>
      <c r="AJ119" s="1586" t="str">
        <f>IF(Year4_Milton_Keynes Year4_ReferralSource_Individual_Acquaintance="","",Year4_Milton_Keynes Year4_ReferralSource_Individual_Acquaintance)</f>
        <v/>
      </c>
      <c r="AK119" s="1588" t="str">
        <f>IF(Year5_Milton_Keynes Year5_ReferralSource_Individual_Acquaintance="","",Year5_Milton_Keynes Year5_ReferralSource_Individual_Acquaintance)</f>
        <v/>
      </c>
      <c r="AL119" s="1585" t="str">
        <f>IF(Year1_Milton_Keynes Year1_ReferralSource_Individual_Self="","",Year1_Milton_Keynes Year1_ReferralSource_Individual_Self)</f>
        <v/>
      </c>
      <c r="AM119" s="1586" t="str">
        <f>IF(Year2_Milton_Keynes Year2_ReferralSource_Individual_Self="","",Year2_Milton_Keynes Year2_ReferralSource_Individual_Self)</f>
        <v/>
      </c>
      <c r="AN119" s="1586" t="str">
        <f>IF(Year3_Milton_Keynes Year3_ReferralSource_Individual_Self="","",Year3_Milton_Keynes Year3_ReferralSource_Individual_Self)</f>
        <v/>
      </c>
      <c r="AO119" s="1586" t="str">
        <f>IF(Year4_Milton_Keynes Year4_ReferralSource_Individual_Self="","",Year4_Milton_Keynes Year4_ReferralSource_Individual_Self)</f>
        <v/>
      </c>
      <c r="AP119" s="1588" t="str">
        <f>IF(Year5_Milton_Keynes Year5_ReferralSource_Individual_Self="","",Year5_Milton_Keynes Year5_ReferralSource_Individual_Self)</f>
        <v/>
      </c>
      <c r="AQ119" s="1585" t="str">
        <f>IF(Year1_Milton_Keynes Year1_ReferralSource_Individual_Other="","",Year1_Milton_Keynes Year1_ReferralSource_Individual_Other)</f>
        <v/>
      </c>
      <c r="AR119" s="1586" t="str">
        <f>IF(Year2_Milton_Keynes Year2_ReferralSource_Individual_Other="","",Year2_Milton_Keynes Year2_ReferralSource_Individual_Other)</f>
        <v/>
      </c>
      <c r="AS119" s="1586" t="str">
        <f>IF(Year3_Milton_Keynes Year3_ReferralSource_Individual_Other="","",Year3_Milton_Keynes Year3_ReferralSource_Individual_Other)</f>
        <v/>
      </c>
      <c r="AT119" s="1586" t="str">
        <f>IF(Year4_Milton_Keynes Year4_ReferralSource_Individual_Other="","",Year4_Milton_Keynes Year4_ReferralSource_Individual_Other)</f>
        <v/>
      </c>
      <c r="AU119" s="1588" t="str">
        <f>IF(Year5_Milton_Keynes Year5_ReferralSource_Individual_Other="","",Year5_Milton_Keynes Year5_ReferralSource_Individual_Other)</f>
        <v/>
      </c>
      <c r="AV119" s="1585">
        <f>IF(Year1_Milton_Keynes Year1_ReferralSource_School="","",Year1_Milton_Keynes Year1_ReferralSource_School)</f>
        <v>620</v>
      </c>
      <c r="AW119" s="1586">
        <f>IF(Year2_Milton_Keynes Year2_ReferralSource_School="","",Year2_Milton_Keynes Year2_ReferralSource_School)</f>
        <v>791</v>
      </c>
      <c r="AX119" s="1586">
        <f>IF(Year3_Milton_Keynes Year3_ReferralSource_School="","",Year3_Milton_Keynes Year3_ReferralSource_School)</f>
        <v>441</v>
      </c>
      <c r="AY119" s="1586">
        <f>IF(Year4_Milton_Keynes Year4_ReferralSource_School="","",Year4_Milton_Keynes Year4_ReferralSource_School)</f>
        <v>567</v>
      </c>
      <c r="AZ119" s="1588">
        <f>IF(Year5_Milton_Keynes Year5_ReferralSource_School="","",Year5_Milton_Keynes Year5_ReferralSource_School)</f>
        <v>575</v>
      </c>
      <c r="BA119" s="1585">
        <f>IF(Year1_Milton_Keynes Year1_ReferralSource_EducationServices="","",Year1_Milton_Keynes Year1_ReferralSource_EducationServices)</f>
        <v>69</v>
      </c>
      <c r="BB119" s="1586">
        <f>IF(Year2_Milton_Keynes Year2_ReferralSource_EducationServices="","",Year2_Milton_Keynes Year2_ReferralSource_EducationServices)</f>
        <v>33</v>
      </c>
      <c r="BC119" s="1586">
        <f>IF(Year3_Milton_Keynes Year3_ReferralSource_EducationServices="","",Year3_Milton_Keynes Year3_ReferralSource_EducationServices)</f>
        <v>27</v>
      </c>
      <c r="BD119" s="1586">
        <f>IF(Year4_Milton_Keynes Year4_ReferralSource_EducationServices="","",Year4_Milton_Keynes Year4_ReferralSource_EducationServices)</f>
        <v>0</v>
      </c>
      <c r="BE119" s="1588">
        <f>IF(Year5_Milton_Keynes Year5_ReferralSource_EducationServices="","",Year5_Milton_Keynes Year5_ReferralSource_EducationServices)</f>
        <v>96</v>
      </c>
      <c r="BF119" s="882">
        <f>IF(Year1_Milton_Keynes Year1_ReferralSource_Health_services_GP="","",Year1_Milton_Keynes Year1_ReferralSource_Health_services_GP)</f>
        <v>270</v>
      </c>
      <c r="BG119" s="883">
        <f>IF(Year2_Milton_Keynes Year2_ReferralSource_Health_services_GP="","",Year2_Milton_Keynes Year2_ReferralSource_Health_services_GP)</f>
        <v>331</v>
      </c>
      <c r="BH119" s="883">
        <f>IF(Year3_Milton_Keynes Year3_ReferralSource_Health_services_GP="","",Year3_Milton_Keynes Year3_ReferralSource_Health_services_GP)</f>
        <v>298</v>
      </c>
      <c r="BI119" s="883">
        <f>IF(Year4_Milton_Keynes Year4_ReferralSource_Health_services_GP="","",Year4_Milton_Keynes Year4_ReferralSource_Health_services_GP)</f>
        <v>332</v>
      </c>
      <c r="BJ119" s="884">
        <f>IF(Year5_Milton_Keynes Year5_ReferralSource_Health_services_GP="","",Year5_Milton_Keynes Year5_ReferralSource_Health_services_GP)</f>
        <v>472</v>
      </c>
      <c r="BK119" s="882" t="str">
        <f>IF(Year1_Milton_Keynes Year1_ReferralSource_Health_services_HealthVisitor="","",Year1_Milton_Keynes Year1_ReferralSource_Health_services_HealthVisitor)</f>
        <v/>
      </c>
      <c r="BL119" s="883" t="str">
        <f>IF(Year2_Milton_Keynes Year2_ReferralSource_Health_services_HealthVisitor="","",Year2_Milton_Keynes Year2_ReferralSource_Health_services_HealthVisitor)</f>
        <v/>
      </c>
      <c r="BM119" s="883" t="str">
        <f>IF(Year3_Milton_Keynes Year3_ReferralSource_Health_services_HealthVisitor="","",Year3_Milton_Keynes Year3_ReferralSource_Health_services_HealthVisitor)</f>
        <v/>
      </c>
      <c r="BN119" s="883" t="str">
        <f>IF(Year4_Milton_Keynes Year4_ReferralSource_Health_services_HealthVisitor="","",Year4_Milton_Keynes Year4_ReferralSource_Health_services_HealthVisitor)</f>
        <v/>
      </c>
      <c r="BO119" s="884" t="str">
        <f>IF(Year5_Milton_Keynes Year5_ReferralSource_Health_services_HealthVisitor="","",Year5_Milton_Keynes Year5_ReferralSource_Health_services_HealthVisitor)</f>
        <v/>
      </c>
      <c r="BP119" s="882" t="str">
        <f>IF(Year1_Milton_Keynes Year1_ReferralSource_Health_services_SchoolNurse="","",Year1_Milton_Keynes Year1_ReferralSource_Health_services_SchoolNurse)</f>
        <v/>
      </c>
      <c r="BQ119" s="883" t="str">
        <f>IF(Year2_Milton_Keynes Year2_ReferralSource_Health_services_SchoolNurse="","",Year2_Milton_Keynes Year2_ReferralSource_Health_services_SchoolNurse)</f>
        <v/>
      </c>
      <c r="BR119" s="883" t="str">
        <f>IF(Year3_Milton_Keynes Year3_ReferralSource_Health_services_SchoolNurse="","",Year3_Milton_Keynes Year3_ReferralSource_Health_services_SchoolNurse)</f>
        <v/>
      </c>
      <c r="BS119" s="883" t="str">
        <f>IF(Year4_Milton_Keynes Year4_ReferralSource_Health_services_SchoolNurse="","",Year4_Milton_Keynes Year4_ReferralSource_Health_services_SchoolNurse)</f>
        <v/>
      </c>
      <c r="BT119" s="884" t="str">
        <f>IF(Year5_Milton_Keynes Year5_ReferralSource_Health_services_SchoolNurse="","",Year5_Milton_Keynes Year5_ReferralSource_Health_services_SchoolNurse)</f>
        <v/>
      </c>
      <c r="BU119" s="882" t="str">
        <f>IF(Year1_Milton_Keynes Year1_ReferralSource_Health_services_OthPrimary="","",Year1_Milton_Keynes Year1_ReferralSource_Health_services_OthPrimary)</f>
        <v/>
      </c>
      <c r="BV119" s="883" t="str">
        <f>IF(Year2_Milton_Keynes Year2_ReferralSource_Health_services_OthPrimary="","",Year2_Milton_Keynes Year2_ReferralSource_Health_services_OthPrimary)</f>
        <v/>
      </c>
      <c r="BW119" s="883" t="str">
        <f>IF(Year3_Milton_Keynes Year3_ReferralSource_Health_services_OthPrimary="","",Year3_Milton_Keynes Year3_ReferralSource_Health_services_OthPrimary)</f>
        <v/>
      </c>
      <c r="BX119" s="883" t="str">
        <f>IF(Year4_Milton_Keynes Year4_ReferralSource_Health_services_OthPrimary="","",Year4_Milton_Keynes Year4_ReferralSource_Health_services_OthPrimary)</f>
        <v/>
      </c>
      <c r="BY119" s="884" t="str">
        <f>IF(Year5_Milton_Keynes Year5_ReferralSource_Health_services_OthPrimary="","",Year5_Milton_Keynes Year5_ReferralSource_Health_services_OthPrimary)</f>
        <v/>
      </c>
      <c r="BZ119" s="882" t="str">
        <f>IF(Year1_Milton_Keynes Year1_ReferralSource_Health_services_AE="","",Year1_Milton_Keynes Year1_ReferralSource_Health_services_AE)</f>
        <v/>
      </c>
      <c r="CA119" s="883" t="str">
        <f>IF(Year2_Milton_Keynes Year2_ReferralSource_Health_services_AE="","",Year2_Milton_Keynes Year2_ReferralSource_Health_services_AE)</f>
        <v/>
      </c>
      <c r="CB119" s="883" t="str">
        <f>IF(Year3_Milton_Keynes Year3_ReferralSource_Health_services_AE="","",Year3_Milton_Keynes Year3_ReferralSource_Health_services_AE)</f>
        <v/>
      </c>
      <c r="CC119" s="883" t="str">
        <f>IF(Year4_Milton_Keynes Year4_ReferralSource_Health_services_AE="","",Year4_Milton_Keynes Year4_ReferralSource_Health_services_AE)</f>
        <v/>
      </c>
      <c r="CD119" s="884" t="str">
        <f>IF(Year5_Milton_Keynes Year5_ReferralSource_Health_services_AE="","",Year5_Milton_Keynes Year5_ReferralSource_Health_services_AE)</f>
        <v/>
      </c>
      <c r="CE119" s="882" t="str">
        <f>IF(Year1_Milton_Keynes Year1_ReferralSource_Health_services_Other="","",Year1_Milton_Keynes Year1_ReferralSource_Health_services_Other)</f>
        <v/>
      </c>
      <c r="CF119" s="883" t="str">
        <f>IF(Year2_Milton_Keynes Year2_ReferralSource_Health_services_Other="","",Year2_Milton_Keynes Year2_ReferralSource_Health_services_Other)</f>
        <v/>
      </c>
      <c r="CG119" s="883" t="str">
        <f>IF(Year3_Milton_Keynes Year3_ReferralSource_Health_services_Other="","",Year3_Milton_Keynes Year3_ReferralSource_Health_services_Other)</f>
        <v/>
      </c>
      <c r="CH119" s="883" t="str">
        <f>IF(Year4_Milton_Keynes Year4_ReferralSource_Health_services_Other="","",Year4_Milton_Keynes Year4_ReferralSource_Health_services_Other)</f>
        <v/>
      </c>
      <c r="CI119" s="884" t="str">
        <f>IF(Year5_Milton_Keynes Year5_ReferralSource_Health_services_Other="","",Year5_Milton_Keynes Year5_ReferralSource_Health_services_Other)</f>
        <v/>
      </c>
      <c r="CJ119" s="870" t="str">
        <f>IF(Year1_Milton_Keynes Year1_ReferralSource_Housing="","",Year1_Milton_Keynes Year1_ReferralSource_Housing)</f>
        <v>x</v>
      </c>
      <c r="CK119" s="871" t="str">
        <f>IF(Year2_Milton_Keynes Year2_ReferralSource_Housing="","",Year2_Milton_Keynes Year2_ReferralSource_Housing)</f>
        <v>x</v>
      </c>
      <c r="CL119" s="871" t="str">
        <f>IF(Year3_Milton_Keynes Year3_ReferralSource_Housing="","",Year3_Milton_Keynes Year3_ReferralSource_Housing)</f>
        <v>x</v>
      </c>
      <c r="CM119" s="871">
        <f>IF(Year4_Milton_Keynes Year4_ReferralSource_Housing="","",Year4_Milton_Keynes Year4_ReferralSource_Housing)</f>
        <v>43</v>
      </c>
      <c r="CN119" s="872">
        <f>IF(Year5_Milton_Keynes Year5_ReferralSource_Housing="","",Year5_Milton_Keynes Year5_ReferralSource_Housing)</f>
        <v>35</v>
      </c>
      <c r="CO119" s="870">
        <f>IF(Year1_Milton_Keynes Year1_ReferralSource_LA_SC="","",Year1_Milton_Keynes Year1_ReferralSource_LA_SC)</f>
        <v>462</v>
      </c>
      <c r="CP119" s="871">
        <f>IF(Year2_Milton_Keynes Year2_ReferralSource_LA_SC="","",Year2_Milton_Keynes Year2_ReferralSource_LA_SC)</f>
        <v>529</v>
      </c>
      <c r="CQ119" s="871">
        <f>IF(Year3_Milton_Keynes Year3_ReferralSource_LA_SC="","",Year3_Milton_Keynes Year3_ReferralSource_LA_SC)</f>
        <v>406</v>
      </c>
      <c r="CR119" s="871">
        <f>IF(Year4_Milton_Keynes Year4_ReferralSource_LA_SC="","",Year4_Milton_Keynes Year4_ReferralSource_LA_SC)</f>
        <v>418</v>
      </c>
      <c r="CS119" s="872">
        <f>IF(Year5_Milton_Keynes Year5_ReferralSource_LA_SC="","",Year5_Milton_Keynes Year5_ReferralSource_LA_SC)</f>
        <v>392</v>
      </c>
      <c r="CT119" s="870" t="str">
        <f>IF(Year1_Milton_Keynes Year1_ReferralSource_LA_Other="","",Year1_Milton_Keynes Year1_ReferralSource_LA_Other)</f>
        <v/>
      </c>
      <c r="CU119" s="871" t="str">
        <f>IF(Year2_Milton_Keynes Year2_ReferralSource_LA_Other="","",Year2_Milton_Keynes Year2_ReferralSource_LA_Other)</f>
        <v/>
      </c>
      <c r="CV119" s="871" t="str">
        <f>IF(Year3_Milton_Keynes Year3_ReferralSource_LA_Other="","",Year3_Milton_Keynes Year3_ReferralSource_LA_Other)</f>
        <v/>
      </c>
      <c r="CW119" s="871" t="str">
        <f>IF(Year4_Milton_Keynes Year4_ReferralSource_LA_Other="","",Year4_Milton_Keynes Year4_ReferralSource_LA_Other)</f>
        <v/>
      </c>
      <c r="CX119" s="872" t="str">
        <f>IF(Year5_Milton_Keynes Year5_ReferralSource_LA_Other="","",Year5_Milton_Keynes Year5_ReferralSource_LA_Other)</f>
        <v/>
      </c>
      <c r="CY119" s="870" t="str">
        <f>IF(Year1_Milton_Keynes Year1_ReferralSource_LA_External="","",Year1_Milton_Keynes Year1_ReferralSource_LA_External)</f>
        <v/>
      </c>
      <c r="CZ119" s="871" t="str">
        <f>IF(Year2_Milton_Keynes Year2_ReferralSource_LA_External="","",Year2_Milton_Keynes Year2_ReferralSource_LA_External)</f>
        <v/>
      </c>
      <c r="DA119" s="871" t="str">
        <f>IF(Year3_Milton_Keynes Year3_ReferralSource_LA_External="","",Year3_Milton_Keynes Year3_ReferralSource_LA_External)</f>
        <v/>
      </c>
      <c r="DB119" s="871" t="str">
        <f>IF(Year4_Milton_Keynes Year4_ReferralSource_LA_External="","",Year4_Milton_Keynes Year4_ReferralSource_LA_External)</f>
        <v/>
      </c>
      <c r="DC119" s="872" t="str">
        <f>IF(Year5_Milton_Keynes Year5_ReferralSource_LA_External="","",Year5_Milton_Keynes Year5_ReferralSource_LA_External)</f>
        <v/>
      </c>
      <c r="DD119" s="870">
        <f>IF(Year1_Milton_Keynes Year1_ReferralSource_Police="","",Year1_Milton_Keynes Year1_ReferralSource_Police)</f>
        <v>718</v>
      </c>
      <c r="DE119" s="871">
        <f>IF(Year2_Milton_Keynes Year2_ReferralSource_Police="","",Year2_Milton_Keynes Year2_ReferralSource_Police)</f>
        <v>785</v>
      </c>
      <c r="DF119" s="871">
        <f>IF(Year3_Milton_Keynes Year3_ReferralSource_Police="","",Year3_Milton_Keynes Year3_ReferralSource_Police)</f>
        <v>666</v>
      </c>
      <c r="DG119" s="871">
        <f>IF(Year4_Milton_Keynes Year4_ReferralSource_Police="","",Year4_Milton_Keynes Year4_ReferralSource_Police)</f>
        <v>754</v>
      </c>
      <c r="DH119" s="872">
        <f>IF(Year5_Milton_Keynes Year5_ReferralSource_Police="","",Year5_Milton_Keynes Year5_ReferralSource_Police)</f>
        <v>951</v>
      </c>
      <c r="DI119" s="870">
        <f>IF(Year1_Milton_Keynes Year1_ReferralSource_Other_Legal="","",Year1_Milton_Keynes Year1_ReferralSource_Other_Legal)</f>
        <v>160</v>
      </c>
      <c r="DJ119" s="871">
        <f>IF(Year2_Milton_Keynes Year2_ReferralSource_Other_Legal="","",Year2_Milton_Keynes Year2_ReferralSource_Other_Legal)</f>
        <v>70</v>
      </c>
      <c r="DK119" s="871">
        <f>IF(Year3_Milton_Keynes Year3_ReferralSource_Other_Legal="","",Year3_Milton_Keynes Year3_ReferralSource_Other_Legal)</f>
        <v>141</v>
      </c>
      <c r="DL119" s="871">
        <f>IF(Year4_Milton_Keynes Year4_ReferralSource_Other_Legal="","",Year4_Milton_Keynes Year4_ReferralSource_Other_Legal)</f>
        <v>107</v>
      </c>
      <c r="DM119" s="872">
        <f>IF(Year5_Milton_Keynes Year5_ReferralSource_Other_Legal="","",Year5_Milton_Keynes Year5_ReferralSource_Other_Legal)</f>
        <v>111</v>
      </c>
      <c r="DN119" s="870">
        <f>IF(Year1_Milton_Keynes Year1_ReferralSource_Other="","",Year1_Milton_Keynes Year1_ReferralSource_Other)</f>
        <v>123</v>
      </c>
      <c r="DO119" s="871">
        <f>IF(Year2_Milton_Keynes Year2_ReferralSource_Other="","",Year2_Milton_Keynes Year2_ReferralSource_Other)</f>
        <v>165</v>
      </c>
      <c r="DP119" s="871">
        <f>IF(Year3_Milton_Keynes Year3_ReferralSource_Other="","",Year3_Milton_Keynes Year3_ReferralSource_Other)</f>
        <v>95</v>
      </c>
      <c r="DQ119" s="871">
        <f>IF(Year4_Milton_Keynes Year4_ReferralSource_Other="","",Year4_Milton_Keynes Year4_ReferralSource_Other)</f>
        <v>106</v>
      </c>
      <c r="DR119" s="872">
        <f>IF(Year5_Milton_Keynes Year5_ReferralSource_Other="","",Year5_Milton_Keynes Year5_ReferralSource_Other)</f>
        <v>113</v>
      </c>
      <c r="DS119" s="870">
        <f>IF(Year1_Milton_Keynes Year1_ReferralSource_Anonymous="","",Year1_Milton_Keynes Year1_ReferralSource_Anonymous)</f>
        <v>73</v>
      </c>
      <c r="DT119" s="871">
        <f>IF(Year2_Milton_Keynes Year2_ReferralSource_Anonymous="","",Year2_Milton_Keynes Year2_ReferralSource_Anonymous)</f>
        <v>90</v>
      </c>
      <c r="DU119" s="871">
        <f>IF(Year3_Milton_Keynes Year3_ReferralSource_Anonymous="","",Year3_Milton_Keynes Year3_ReferralSource_Anonymous)</f>
        <v>48</v>
      </c>
      <c r="DV119" s="871">
        <f>IF(Year4_Milton_Keynes Year4_ReferralSource_Anonymous="","",Year4_Milton_Keynes Year4_ReferralSource_Anonymous)</f>
        <v>63</v>
      </c>
      <c r="DW119" s="872">
        <f>IF(Year5_Milton_Keynes Year5_ReferralSource_Anonymous="","",Year5_Milton_Keynes Year5_ReferralSource_Anonymous)</f>
        <v>59</v>
      </c>
      <c r="DX119" s="870" t="str">
        <f>IF(Year1_Milton_Keynes Year1_ReferralSource_Unknown="","",Year1_Milton_Keynes Year1_ReferralSource_Unknown)</f>
        <v>x</v>
      </c>
      <c r="DY119" s="871" t="str">
        <f>IF(Year2_Milton_Keynes Year2_ReferralSource_Unknown="","",Year2_Milton_Keynes Year2_ReferralSource_Unknown)</f>
        <v>x</v>
      </c>
      <c r="DZ119" s="871" t="str">
        <f>IF(Year3_Milton_Keynes Year3_ReferralSource_Unknown="","",Year3_Milton_Keynes Year3_ReferralSource_Unknown)</f>
        <v>x</v>
      </c>
      <c r="EA119" s="871">
        <f>IF(Year4_Milton_Keynes Year4_ReferralSource_Unknown="","",Year4_Milton_Keynes Year4_ReferralSource_Unknown)</f>
        <v>0</v>
      </c>
      <c r="EB119" s="872">
        <f>IF(Year5_Milton_Keynes Year5_ReferralSource_Unknown="","",Year5_Milton_Keynes Year5_ReferralSource_Unknown)</f>
        <v>8</v>
      </c>
    </row>
    <row r="120" spans="1:132" ht="16.5" customHeight="1" x14ac:dyDescent="0.2">
      <c r="A120" s="278"/>
      <c r="B120" s="175" t="str">
        <f>Sheet1!$K$13</f>
        <v>Oxfordshire</v>
      </c>
      <c r="C120" s="9"/>
      <c r="D120" s="1893"/>
      <c r="E120" s="1894"/>
      <c r="F120" s="1893"/>
      <c r="G120" s="1894"/>
      <c r="H120" s="1893"/>
      <c r="I120" s="1894"/>
      <c r="J120" s="1893"/>
      <c r="K120" s="1894"/>
      <c r="L120" s="1893"/>
      <c r="M120" s="1894"/>
      <c r="N120" s="1893"/>
      <c r="O120" s="1894"/>
      <c r="P120" s="1893"/>
      <c r="Q120" s="1894"/>
      <c r="R120" s="1893"/>
      <c r="S120" s="1894"/>
      <c r="T120" s="1893"/>
      <c r="U120" s="1894"/>
      <c r="V120" s="1893"/>
      <c r="W120" s="1894"/>
      <c r="X120" s="9"/>
      <c r="Y120" s="117"/>
      <c r="Z120" s="137"/>
      <c r="AA120" s="74"/>
      <c r="AB120" s="1585">
        <f>IF(Year1_Oxfordshire Year1_ReferralSource_Individual_Family="","",Year1_Oxfordshire Year1_ReferralSource_Individual_Family)</f>
        <v>490</v>
      </c>
      <c r="AC120" s="1586">
        <f>IF(Year2_Oxfordshire Year2_ReferralSource_Individual_Family="","",Year2_Oxfordshire Year2_ReferralSource_Individual_Family)</f>
        <v>536</v>
      </c>
      <c r="AD120" s="1586">
        <f>IF(Year3_Oxfordshire Year3_ReferralSource_Individual_Family="","",Year3_Oxfordshire Year3_ReferralSource_Individual_Family)</f>
        <v>383</v>
      </c>
      <c r="AE120" s="1586">
        <f>IF(Year4_Oxfordshire Year4_ReferralSource_Individual_Family="","",Year4_Oxfordshire Year4_ReferralSource_Individual_Family)</f>
        <v>392</v>
      </c>
      <c r="AF120" s="1588">
        <f>IF(Year5_Oxfordshire Year5_ReferralSource_Individual_Family="","",Year5_Oxfordshire Year5_ReferralSource_Individual_Family)</f>
        <v>545</v>
      </c>
      <c r="AG120" s="1585" t="str">
        <f>IF(Year1_Oxfordshire Year1_ReferralSource_Individual_Acquaintance="","",Year1_Oxfordshire Year1_ReferralSource_Individual_Acquaintance)</f>
        <v/>
      </c>
      <c r="AH120" s="1586" t="str">
        <f>IF(Year2_Oxfordshire Year2_ReferralSource_Individual_Acquaintance="","",Year2_Oxfordshire Year2_ReferralSource_Individual_Acquaintance)</f>
        <v/>
      </c>
      <c r="AI120" s="1586" t="str">
        <f>IF(Year3_Oxfordshire Year3_ReferralSource_Individual_Acquaintance="","",Year3_Oxfordshire Year3_ReferralSource_Individual_Acquaintance)</f>
        <v/>
      </c>
      <c r="AJ120" s="1586" t="str">
        <f>IF(Year4_Oxfordshire Year4_ReferralSource_Individual_Acquaintance="","",Year4_Oxfordshire Year4_ReferralSource_Individual_Acquaintance)</f>
        <v/>
      </c>
      <c r="AK120" s="1588" t="str">
        <f>IF(Year5_Oxfordshire Year5_ReferralSource_Individual_Acquaintance="","",Year5_Oxfordshire Year5_ReferralSource_Individual_Acquaintance)</f>
        <v/>
      </c>
      <c r="AL120" s="1585" t="str">
        <f>IF(Year1_Oxfordshire Year1_ReferralSource_Individual_Self="","",Year1_Oxfordshire Year1_ReferralSource_Individual_Self)</f>
        <v/>
      </c>
      <c r="AM120" s="1586" t="str">
        <f>IF(Year2_Oxfordshire Year2_ReferralSource_Individual_Self="","",Year2_Oxfordshire Year2_ReferralSource_Individual_Self)</f>
        <v/>
      </c>
      <c r="AN120" s="1586" t="str">
        <f>IF(Year3_Oxfordshire Year3_ReferralSource_Individual_Self="","",Year3_Oxfordshire Year3_ReferralSource_Individual_Self)</f>
        <v/>
      </c>
      <c r="AO120" s="1586" t="str">
        <f>IF(Year4_Oxfordshire Year4_ReferralSource_Individual_Self="","",Year4_Oxfordshire Year4_ReferralSource_Individual_Self)</f>
        <v/>
      </c>
      <c r="AP120" s="1588" t="str">
        <f>IF(Year5_Oxfordshire Year5_ReferralSource_Individual_Self="","",Year5_Oxfordshire Year5_ReferralSource_Individual_Self)</f>
        <v/>
      </c>
      <c r="AQ120" s="1585" t="str">
        <f>IF(Year1_Oxfordshire Year1_ReferralSource_Individual_Other="","",Year1_Oxfordshire Year1_ReferralSource_Individual_Other)</f>
        <v/>
      </c>
      <c r="AR120" s="1586" t="str">
        <f>IF(Year2_Oxfordshire Year2_ReferralSource_Individual_Other="","",Year2_Oxfordshire Year2_ReferralSource_Individual_Other)</f>
        <v/>
      </c>
      <c r="AS120" s="1586" t="str">
        <f>IF(Year3_Oxfordshire Year3_ReferralSource_Individual_Other="","",Year3_Oxfordshire Year3_ReferralSource_Individual_Other)</f>
        <v/>
      </c>
      <c r="AT120" s="1586" t="str">
        <f>IF(Year4_Oxfordshire Year4_ReferralSource_Individual_Other="","",Year4_Oxfordshire Year4_ReferralSource_Individual_Other)</f>
        <v/>
      </c>
      <c r="AU120" s="1588" t="str">
        <f>IF(Year5_Oxfordshire Year5_ReferralSource_Individual_Other="","",Year5_Oxfordshire Year5_ReferralSource_Individual_Other)</f>
        <v/>
      </c>
      <c r="AV120" s="1585">
        <f>IF(Year1_Oxfordshire Year1_ReferralSource_School="","",Year1_Oxfordshire Year1_ReferralSource_School)</f>
        <v>964</v>
      </c>
      <c r="AW120" s="1586">
        <f>IF(Year2_Oxfordshire Year2_ReferralSource_School="","",Year2_Oxfordshire Year2_ReferralSource_School)</f>
        <v>1347</v>
      </c>
      <c r="AX120" s="1586">
        <f>IF(Year3_Oxfordshire Year3_ReferralSource_School="","",Year3_Oxfordshire Year3_ReferralSource_School)</f>
        <v>861</v>
      </c>
      <c r="AY120" s="1586">
        <f>IF(Year4_Oxfordshire Year4_ReferralSource_School="","",Year4_Oxfordshire Year4_ReferralSource_School)</f>
        <v>1387</v>
      </c>
      <c r="AZ120" s="1588">
        <f>IF(Year5_Oxfordshire Year5_ReferralSource_School="","",Year5_Oxfordshire Year5_ReferralSource_School)</f>
        <v>724</v>
      </c>
      <c r="BA120" s="1585">
        <f>IF(Year1_Oxfordshire Year1_ReferralSource_EducationServices="","",Year1_Oxfordshire Year1_ReferralSource_EducationServices)</f>
        <v>322</v>
      </c>
      <c r="BB120" s="1586">
        <f>IF(Year2_Oxfordshire Year2_ReferralSource_EducationServices="","",Year2_Oxfordshire Year2_ReferralSource_EducationServices)</f>
        <v>175</v>
      </c>
      <c r="BC120" s="1586">
        <f>IF(Year3_Oxfordshire Year3_ReferralSource_EducationServices="","",Year3_Oxfordshire Year3_ReferralSource_EducationServices)</f>
        <v>35</v>
      </c>
      <c r="BD120" s="1586">
        <f>IF(Year4_Oxfordshire Year4_ReferralSource_EducationServices="","",Year4_Oxfordshire Year4_ReferralSource_EducationServices)</f>
        <v>32</v>
      </c>
      <c r="BE120" s="1588">
        <f>IF(Year5_Oxfordshire Year5_ReferralSource_EducationServices="","",Year5_Oxfordshire Year5_ReferralSource_EducationServices)</f>
        <v>929</v>
      </c>
      <c r="BF120" s="882">
        <f>IF(Year1_Oxfordshire Year1_ReferralSource_Health_services_GP="","",Year1_Oxfordshire Year1_ReferralSource_Health_services_GP)</f>
        <v>1035</v>
      </c>
      <c r="BG120" s="883">
        <f>IF(Year2_Oxfordshire Year2_ReferralSource_Health_services_GP="","",Year2_Oxfordshire Year2_ReferralSource_Health_services_GP)</f>
        <v>1092</v>
      </c>
      <c r="BH120" s="883">
        <f>IF(Year3_Oxfordshire Year3_ReferralSource_Health_services_GP="","",Year3_Oxfordshire Year3_ReferralSource_Health_services_GP)</f>
        <v>621</v>
      </c>
      <c r="BI120" s="883">
        <f>IF(Year4_Oxfordshire Year4_ReferralSource_Health_services_GP="","",Year4_Oxfordshire Year4_ReferralSource_Health_services_GP)</f>
        <v>623</v>
      </c>
      <c r="BJ120" s="884">
        <f>IF(Year5_Oxfordshire Year5_ReferralSource_Health_services_GP="","",Year5_Oxfordshire Year5_ReferralSource_Health_services_GP)</f>
        <v>985</v>
      </c>
      <c r="BK120" s="882" t="str">
        <f>IF(Year1_Oxfordshire Year1_ReferralSource_Health_services_HealthVisitor="","",Year1_Oxfordshire Year1_ReferralSource_Health_services_HealthVisitor)</f>
        <v/>
      </c>
      <c r="BL120" s="883" t="str">
        <f>IF(Year2_Oxfordshire Year2_ReferralSource_Health_services_HealthVisitor="","",Year2_Oxfordshire Year2_ReferralSource_Health_services_HealthVisitor)</f>
        <v/>
      </c>
      <c r="BM120" s="883" t="str">
        <f>IF(Year3_Oxfordshire Year3_ReferralSource_Health_services_HealthVisitor="","",Year3_Oxfordshire Year3_ReferralSource_Health_services_HealthVisitor)</f>
        <v/>
      </c>
      <c r="BN120" s="883" t="str">
        <f>IF(Year4_Oxfordshire Year4_ReferralSource_Health_services_HealthVisitor="","",Year4_Oxfordshire Year4_ReferralSource_Health_services_HealthVisitor)</f>
        <v/>
      </c>
      <c r="BO120" s="884" t="str">
        <f>IF(Year5_Oxfordshire Year5_ReferralSource_Health_services_HealthVisitor="","",Year5_Oxfordshire Year5_ReferralSource_Health_services_HealthVisitor)</f>
        <v/>
      </c>
      <c r="BP120" s="882" t="str">
        <f>IF(Year1_Oxfordshire Year1_ReferralSource_Health_services_SchoolNurse="","",Year1_Oxfordshire Year1_ReferralSource_Health_services_SchoolNurse)</f>
        <v/>
      </c>
      <c r="BQ120" s="883" t="str">
        <f>IF(Year2_Oxfordshire Year2_ReferralSource_Health_services_SchoolNurse="","",Year2_Oxfordshire Year2_ReferralSource_Health_services_SchoolNurse)</f>
        <v/>
      </c>
      <c r="BR120" s="883" t="str">
        <f>IF(Year3_Oxfordshire Year3_ReferralSource_Health_services_SchoolNurse="","",Year3_Oxfordshire Year3_ReferralSource_Health_services_SchoolNurse)</f>
        <v/>
      </c>
      <c r="BS120" s="883" t="str">
        <f>IF(Year4_Oxfordshire Year4_ReferralSource_Health_services_SchoolNurse="","",Year4_Oxfordshire Year4_ReferralSource_Health_services_SchoolNurse)</f>
        <v/>
      </c>
      <c r="BT120" s="884" t="str">
        <f>IF(Year5_Oxfordshire Year5_ReferralSource_Health_services_SchoolNurse="","",Year5_Oxfordshire Year5_ReferralSource_Health_services_SchoolNurse)</f>
        <v/>
      </c>
      <c r="BU120" s="882" t="str">
        <f>IF(Year1_Oxfordshire Year1_ReferralSource_Health_services_OthPrimary="","",Year1_Oxfordshire Year1_ReferralSource_Health_services_OthPrimary)</f>
        <v/>
      </c>
      <c r="BV120" s="883" t="str">
        <f>IF(Year2_Oxfordshire Year2_ReferralSource_Health_services_OthPrimary="","",Year2_Oxfordshire Year2_ReferralSource_Health_services_OthPrimary)</f>
        <v/>
      </c>
      <c r="BW120" s="883" t="str">
        <f>IF(Year3_Oxfordshire Year3_ReferralSource_Health_services_OthPrimary="","",Year3_Oxfordshire Year3_ReferralSource_Health_services_OthPrimary)</f>
        <v/>
      </c>
      <c r="BX120" s="883" t="str">
        <f>IF(Year4_Oxfordshire Year4_ReferralSource_Health_services_OthPrimary="","",Year4_Oxfordshire Year4_ReferralSource_Health_services_OthPrimary)</f>
        <v/>
      </c>
      <c r="BY120" s="884" t="str">
        <f>IF(Year5_Oxfordshire Year5_ReferralSource_Health_services_OthPrimary="","",Year5_Oxfordshire Year5_ReferralSource_Health_services_OthPrimary)</f>
        <v/>
      </c>
      <c r="BZ120" s="882" t="str">
        <f>IF(Year1_Oxfordshire Year1_ReferralSource_Health_services_AE="","",Year1_Oxfordshire Year1_ReferralSource_Health_services_AE)</f>
        <v/>
      </c>
      <c r="CA120" s="883" t="str">
        <f>IF(Year2_Oxfordshire Year2_ReferralSource_Health_services_AE="","",Year2_Oxfordshire Year2_ReferralSource_Health_services_AE)</f>
        <v/>
      </c>
      <c r="CB120" s="883" t="str">
        <f>IF(Year3_Oxfordshire Year3_ReferralSource_Health_services_AE="","",Year3_Oxfordshire Year3_ReferralSource_Health_services_AE)</f>
        <v/>
      </c>
      <c r="CC120" s="883" t="str">
        <f>IF(Year4_Oxfordshire Year4_ReferralSource_Health_services_AE="","",Year4_Oxfordshire Year4_ReferralSource_Health_services_AE)</f>
        <v/>
      </c>
      <c r="CD120" s="884" t="str">
        <f>IF(Year5_Oxfordshire Year5_ReferralSource_Health_services_AE="","",Year5_Oxfordshire Year5_ReferralSource_Health_services_AE)</f>
        <v/>
      </c>
      <c r="CE120" s="882" t="str">
        <f>IF(Year1_Oxfordshire Year1_ReferralSource_Health_services_Other="","",Year1_Oxfordshire Year1_ReferralSource_Health_services_Other)</f>
        <v/>
      </c>
      <c r="CF120" s="883" t="str">
        <f>IF(Year2_Oxfordshire Year2_ReferralSource_Health_services_Other="","",Year2_Oxfordshire Year2_ReferralSource_Health_services_Other)</f>
        <v/>
      </c>
      <c r="CG120" s="883" t="str">
        <f>IF(Year3_Oxfordshire Year3_ReferralSource_Health_services_Other="","",Year3_Oxfordshire Year3_ReferralSource_Health_services_Other)</f>
        <v/>
      </c>
      <c r="CH120" s="883" t="str">
        <f>IF(Year4_Oxfordshire Year4_ReferralSource_Health_services_Other="","",Year4_Oxfordshire Year4_ReferralSource_Health_services_Other)</f>
        <v/>
      </c>
      <c r="CI120" s="884" t="str">
        <f>IF(Year5_Oxfordshire Year5_ReferralSource_Health_services_Other="","",Year5_Oxfordshire Year5_ReferralSource_Health_services_Other)</f>
        <v/>
      </c>
      <c r="CJ120" s="870">
        <f>IF(Year1_Oxfordshire Year1_ReferralSource_Housing="","",Year1_Oxfordshire Year1_ReferralSource_Housing)</f>
        <v>89</v>
      </c>
      <c r="CK120" s="871">
        <f>IF(Year2_Oxfordshire Year2_ReferralSource_Housing="","",Year2_Oxfordshire Year2_ReferralSource_Housing)</f>
        <v>73</v>
      </c>
      <c r="CL120" s="871">
        <f>IF(Year3_Oxfordshire Year3_ReferralSource_Housing="","",Year3_Oxfordshire Year3_ReferralSource_Housing)</f>
        <v>35</v>
      </c>
      <c r="CM120" s="871">
        <f>IF(Year4_Oxfordshire Year4_ReferralSource_Housing="","",Year4_Oxfordshire Year4_ReferralSource_Housing)</f>
        <v>53</v>
      </c>
      <c r="CN120" s="872">
        <f>IF(Year5_Oxfordshire Year5_ReferralSource_Housing="","",Year5_Oxfordshire Year5_ReferralSource_Housing)</f>
        <v>35</v>
      </c>
      <c r="CO120" s="870">
        <f>IF(Year1_Oxfordshire Year1_ReferralSource_LA_SC="","",Year1_Oxfordshire Year1_ReferralSource_LA_SC)</f>
        <v>655</v>
      </c>
      <c r="CP120" s="871">
        <f>IF(Year2_Oxfordshire Year2_ReferralSource_LA_SC="","",Year2_Oxfordshire Year2_ReferralSource_LA_SC)</f>
        <v>722</v>
      </c>
      <c r="CQ120" s="871">
        <f>IF(Year3_Oxfordshire Year3_ReferralSource_LA_SC="","",Year3_Oxfordshire Year3_ReferralSource_LA_SC)</f>
        <v>492</v>
      </c>
      <c r="CR120" s="871">
        <f>IF(Year4_Oxfordshire Year4_ReferralSource_LA_SC="","",Year4_Oxfordshire Year4_ReferralSource_LA_SC)</f>
        <v>331</v>
      </c>
      <c r="CS120" s="872">
        <f>IF(Year5_Oxfordshire Year5_ReferralSource_LA_SC="","",Year5_Oxfordshire Year5_ReferralSource_LA_SC)</f>
        <v>1389</v>
      </c>
      <c r="CT120" s="870" t="str">
        <f>IF(Year1_Oxfordshire Year1_ReferralSource_LA_Other="","",Year1_Oxfordshire Year1_ReferralSource_LA_Other)</f>
        <v/>
      </c>
      <c r="CU120" s="871" t="str">
        <f>IF(Year2_Oxfordshire Year2_ReferralSource_LA_Other="","",Year2_Oxfordshire Year2_ReferralSource_LA_Other)</f>
        <v/>
      </c>
      <c r="CV120" s="871" t="str">
        <f>IF(Year3_Oxfordshire Year3_ReferralSource_LA_Other="","",Year3_Oxfordshire Year3_ReferralSource_LA_Other)</f>
        <v/>
      </c>
      <c r="CW120" s="871" t="str">
        <f>IF(Year4_Oxfordshire Year4_ReferralSource_LA_Other="","",Year4_Oxfordshire Year4_ReferralSource_LA_Other)</f>
        <v/>
      </c>
      <c r="CX120" s="872" t="str">
        <f>IF(Year5_Oxfordshire Year5_ReferralSource_LA_Other="","",Year5_Oxfordshire Year5_ReferralSource_LA_Other)</f>
        <v/>
      </c>
      <c r="CY120" s="870" t="str">
        <f>IF(Year1_Oxfordshire Year1_ReferralSource_LA_External="","",Year1_Oxfordshire Year1_ReferralSource_LA_External)</f>
        <v/>
      </c>
      <c r="CZ120" s="871" t="str">
        <f>IF(Year2_Oxfordshire Year2_ReferralSource_LA_External="","",Year2_Oxfordshire Year2_ReferralSource_LA_External)</f>
        <v/>
      </c>
      <c r="DA120" s="871" t="str">
        <f>IF(Year3_Oxfordshire Year3_ReferralSource_LA_External="","",Year3_Oxfordshire Year3_ReferralSource_LA_External)</f>
        <v/>
      </c>
      <c r="DB120" s="871" t="str">
        <f>IF(Year4_Oxfordshire Year4_ReferralSource_LA_External="","",Year4_Oxfordshire Year4_ReferralSource_LA_External)</f>
        <v/>
      </c>
      <c r="DC120" s="872" t="str">
        <f>IF(Year5_Oxfordshire Year5_ReferralSource_LA_External="","",Year5_Oxfordshire Year5_ReferralSource_LA_External)</f>
        <v/>
      </c>
      <c r="DD120" s="870">
        <f>IF(Year1_Oxfordshire Year1_ReferralSource_Police="","",Year1_Oxfordshire Year1_ReferralSource_Police)</f>
        <v>2323</v>
      </c>
      <c r="DE120" s="871">
        <f>IF(Year2_Oxfordshire Year2_ReferralSource_Police="","",Year2_Oxfordshire Year2_ReferralSource_Police)</f>
        <v>2385</v>
      </c>
      <c r="DF120" s="871">
        <f>IF(Year3_Oxfordshire Year3_ReferralSource_Police="","",Year3_Oxfordshire Year3_ReferralSource_Police)</f>
        <v>1998</v>
      </c>
      <c r="DG120" s="871">
        <f>IF(Year4_Oxfordshire Year4_ReferralSource_Police="","",Year4_Oxfordshire Year4_ReferralSource_Police)</f>
        <v>2080</v>
      </c>
      <c r="DH120" s="872">
        <f>IF(Year5_Oxfordshire Year5_ReferralSource_Police="","",Year5_Oxfordshire Year5_ReferralSource_Police)</f>
        <v>2239</v>
      </c>
      <c r="DI120" s="870">
        <f>IF(Year1_Oxfordshire Year1_ReferralSource_Other_Legal="","",Year1_Oxfordshire Year1_ReferralSource_Other_Legal)</f>
        <v>128</v>
      </c>
      <c r="DJ120" s="871">
        <f>IF(Year2_Oxfordshire Year2_ReferralSource_Other_Legal="","",Year2_Oxfordshire Year2_ReferralSource_Other_Legal)</f>
        <v>150</v>
      </c>
      <c r="DK120" s="871">
        <f>IF(Year3_Oxfordshire Year3_ReferralSource_Other_Legal="","",Year3_Oxfordshire Year3_ReferralSource_Other_Legal)</f>
        <v>80</v>
      </c>
      <c r="DL120" s="871">
        <f>IF(Year4_Oxfordshire Year4_ReferralSource_Other_Legal="","",Year4_Oxfordshire Year4_ReferralSource_Other_Legal)</f>
        <v>73</v>
      </c>
      <c r="DM120" s="872">
        <f>IF(Year5_Oxfordshire Year5_ReferralSource_Other_Legal="","",Year5_Oxfordshire Year5_ReferralSource_Other_Legal)</f>
        <v>209</v>
      </c>
      <c r="DN120" s="870">
        <f>IF(Year1_Oxfordshire Year1_ReferralSource_Other="","",Year1_Oxfordshire Year1_ReferralSource_Other)</f>
        <v>371</v>
      </c>
      <c r="DO120" s="871">
        <f>IF(Year2_Oxfordshire Year2_ReferralSource_Other="","",Year2_Oxfordshire Year2_ReferralSource_Other)</f>
        <v>371</v>
      </c>
      <c r="DP120" s="871">
        <f>IF(Year3_Oxfordshire Year3_ReferralSource_Other="","",Year3_Oxfordshire Year3_ReferralSource_Other)</f>
        <v>1754</v>
      </c>
      <c r="DQ120" s="871">
        <f>IF(Year4_Oxfordshire Year4_ReferralSource_Other="","",Year4_Oxfordshire Year4_ReferralSource_Other)</f>
        <v>975</v>
      </c>
      <c r="DR120" s="872">
        <f>IF(Year5_Oxfordshire Year5_ReferralSource_Other="","",Year5_Oxfordshire Year5_ReferralSource_Other)</f>
        <v>323</v>
      </c>
      <c r="DS120" s="870">
        <f>IF(Year1_Oxfordshire Year1_ReferralSource_Anonymous="","",Year1_Oxfordshire Year1_ReferralSource_Anonymous)</f>
        <v>198</v>
      </c>
      <c r="DT120" s="871">
        <f>IF(Year2_Oxfordshire Year2_ReferralSource_Anonymous="","",Year2_Oxfordshire Year2_ReferralSource_Anonymous)</f>
        <v>192</v>
      </c>
      <c r="DU120" s="871">
        <f>IF(Year3_Oxfordshire Year3_ReferralSource_Anonymous="","",Year3_Oxfordshire Year3_ReferralSource_Anonymous)</f>
        <v>128</v>
      </c>
      <c r="DV120" s="871">
        <f>IF(Year4_Oxfordshire Year4_ReferralSource_Anonymous="","",Year4_Oxfordshire Year4_ReferralSource_Anonymous)</f>
        <v>70</v>
      </c>
      <c r="DW120" s="872">
        <f>IF(Year5_Oxfordshire Year5_ReferralSource_Anonymous="","",Year5_Oxfordshire Year5_ReferralSource_Anonymous)</f>
        <v>90</v>
      </c>
      <c r="DX120" s="870">
        <f>IF(Year1_Oxfordshire Year1_ReferralSource_Unknown="","",Year1_Oxfordshire Year1_ReferralSource_Unknown)</f>
        <v>175</v>
      </c>
      <c r="DY120" s="871">
        <f>IF(Year2_Oxfordshire Year2_ReferralSource_Unknown="","",Year2_Oxfordshire Year2_ReferralSource_Unknown)</f>
        <v>23</v>
      </c>
      <c r="DZ120" s="871">
        <f>IF(Year3_Oxfordshire Year3_ReferralSource_Unknown="","",Year3_Oxfordshire Year3_ReferralSource_Unknown)</f>
        <v>427</v>
      </c>
      <c r="EA120" s="871">
        <f>IF(Year4_Oxfordshire Year4_ReferralSource_Unknown="","",Year4_Oxfordshire Year4_ReferralSource_Unknown)</f>
        <v>763</v>
      </c>
      <c r="EB120" s="872">
        <f>IF(Year5_Oxfordshire Year5_ReferralSource_Unknown="","",Year5_Oxfordshire Year5_ReferralSource_Unknown)</f>
        <v>34</v>
      </c>
    </row>
    <row r="121" spans="1:132" s="81" customFormat="1" ht="16.5" customHeight="1" x14ac:dyDescent="0.2">
      <c r="A121" s="278"/>
      <c r="B121" s="175" t="str">
        <f>Sheet1!$K$14</f>
        <v>Portsmouth</v>
      </c>
      <c r="C121" s="9"/>
      <c r="D121" s="1893"/>
      <c r="E121" s="1894"/>
      <c r="F121" s="1893"/>
      <c r="G121" s="1894"/>
      <c r="H121" s="1893"/>
      <c r="I121" s="1894"/>
      <c r="J121" s="1893"/>
      <c r="K121" s="1894"/>
      <c r="L121" s="1893"/>
      <c r="M121" s="1894"/>
      <c r="N121" s="1893"/>
      <c r="O121" s="1894"/>
      <c r="P121" s="1893"/>
      <c r="Q121" s="1894"/>
      <c r="R121" s="1893"/>
      <c r="S121" s="1894"/>
      <c r="T121" s="1893"/>
      <c r="U121" s="1894"/>
      <c r="V121" s="1893"/>
      <c r="W121" s="1894"/>
      <c r="X121" s="14"/>
      <c r="Y121" s="117"/>
      <c r="Z121" s="137"/>
      <c r="AB121" s="1585">
        <f>IF(Year1_Portsmouth Year1_ReferralSource_Individual_Family="","",Year1_Portsmouth Year1_ReferralSource_Individual_Family)</f>
        <v>228</v>
      </c>
      <c r="AC121" s="1586">
        <f>IF(Year2_Portsmouth Year2_ReferralSource_Individual_Family="","",Year2_Portsmouth Year2_ReferralSource_Individual_Family)</f>
        <v>196</v>
      </c>
      <c r="AD121" s="1586">
        <f>IF(Year3_Portsmouth Year3_ReferralSource_Individual_Family="","",Year3_Portsmouth Year3_ReferralSource_Individual_Family)</f>
        <v>246</v>
      </c>
      <c r="AE121" s="1586">
        <f>IF(Year4_Portsmouth Year4_ReferralSource_Individual_Family="","",Year4_Portsmouth Year4_ReferralSource_Individual_Family)</f>
        <v>220</v>
      </c>
      <c r="AF121" s="1588">
        <f>IF(Year5_Portsmouth Year5_ReferralSource_Individual_Family="","",Year5_Portsmouth Year5_ReferralSource_Individual_Family)</f>
        <v>155</v>
      </c>
      <c r="AG121" s="1585" t="str">
        <f>IF(Year1_Portsmouth Year1_ReferralSource_Individual_Acquaintance="","",Year1_Portsmouth Year1_ReferralSource_Individual_Acquaintance)</f>
        <v/>
      </c>
      <c r="AH121" s="1586" t="str">
        <f>IF(Year2_Portsmouth Year2_ReferralSource_Individual_Acquaintance="","",Year2_Portsmouth Year2_ReferralSource_Individual_Acquaintance)</f>
        <v/>
      </c>
      <c r="AI121" s="1586" t="str">
        <f>IF(Year3_Portsmouth Year3_ReferralSource_Individual_Acquaintance="","",Year3_Portsmouth Year3_ReferralSource_Individual_Acquaintance)</f>
        <v/>
      </c>
      <c r="AJ121" s="1586" t="str">
        <f>IF(Year4_Portsmouth Year4_ReferralSource_Individual_Acquaintance="","",Year4_Portsmouth Year4_ReferralSource_Individual_Acquaintance)</f>
        <v/>
      </c>
      <c r="AK121" s="1588" t="str">
        <f>IF(Year5_Portsmouth Year5_ReferralSource_Individual_Acquaintance="","",Year5_Portsmouth Year5_ReferralSource_Individual_Acquaintance)</f>
        <v/>
      </c>
      <c r="AL121" s="1585" t="str">
        <f>IF(Year1_Portsmouth Year1_ReferralSource_Individual_Self="","",Year1_Portsmouth Year1_ReferralSource_Individual_Self)</f>
        <v/>
      </c>
      <c r="AM121" s="1586" t="str">
        <f>IF(Year2_Portsmouth Year2_ReferralSource_Individual_Self="","",Year2_Portsmouth Year2_ReferralSource_Individual_Self)</f>
        <v/>
      </c>
      <c r="AN121" s="1586" t="str">
        <f>IF(Year3_Portsmouth Year3_ReferralSource_Individual_Self="","",Year3_Portsmouth Year3_ReferralSource_Individual_Self)</f>
        <v/>
      </c>
      <c r="AO121" s="1586" t="str">
        <f>IF(Year4_Portsmouth Year4_ReferralSource_Individual_Self="","",Year4_Portsmouth Year4_ReferralSource_Individual_Self)</f>
        <v/>
      </c>
      <c r="AP121" s="1588" t="str">
        <f>IF(Year5_Portsmouth Year5_ReferralSource_Individual_Self="","",Year5_Portsmouth Year5_ReferralSource_Individual_Self)</f>
        <v/>
      </c>
      <c r="AQ121" s="1585" t="str">
        <f>IF(Year1_Portsmouth Year1_ReferralSource_Individual_Other="","",Year1_Portsmouth Year1_ReferralSource_Individual_Other)</f>
        <v/>
      </c>
      <c r="AR121" s="1586" t="str">
        <f>IF(Year2_Portsmouth Year2_ReferralSource_Individual_Other="","",Year2_Portsmouth Year2_ReferralSource_Individual_Other)</f>
        <v/>
      </c>
      <c r="AS121" s="1586" t="str">
        <f>IF(Year3_Portsmouth Year3_ReferralSource_Individual_Other="","",Year3_Portsmouth Year3_ReferralSource_Individual_Other)</f>
        <v/>
      </c>
      <c r="AT121" s="1586" t="str">
        <f>IF(Year4_Portsmouth Year4_ReferralSource_Individual_Other="","",Year4_Portsmouth Year4_ReferralSource_Individual_Other)</f>
        <v/>
      </c>
      <c r="AU121" s="1588" t="str">
        <f>IF(Year5_Portsmouth Year5_ReferralSource_Individual_Other="","",Year5_Portsmouth Year5_ReferralSource_Individual_Other)</f>
        <v/>
      </c>
      <c r="AV121" s="1585">
        <f>IF(Year1_Portsmouth Year1_ReferralSource_School="","",Year1_Portsmouth Year1_ReferralSource_School)</f>
        <v>341</v>
      </c>
      <c r="AW121" s="1586">
        <f>IF(Year2_Portsmouth Year2_ReferralSource_School="","",Year2_Portsmouth Year2_ReferralSource_School)</f>
        <v>454</v>
      </c>
      <c r="AX121" s="1586">
        <f>IF(Year3_Portsmouth Year3_ReferralSource_School="","",Year3_Portsmouth Year3_ReferralSource_School)</f>
        <v>517</v>
      </c>
      <c r="AY121" s="1586">
        <f>IF(Year4_Portsmouth Year4_ReferralSource_School="","",Year4_Portsmouth Year4_ReferralSource_School)</f>
        <v>548</v>
      </c>
      <c r="AZ121" s="1588">
        <f>IF(Year5_Portsmouth Year5_ReferralSource_School="","",Year5_Portsmouth Year5_ReferralSource_School)</f>
        <v>580</v>
      </c>
      <c r="BA121" s="1585">
        <f>IF(Year1_Portsmouth Year1_ReferralSource_EducationServices="","",Year1_Portsmouth Year1_ReferralSource_EducationServices)</f>
        <v>45</v>
      </c>
      <c r="BB121" s="1586">
        <f>IF(Year2_Portsmouth Year2_ReferralSource_EducationServices="","",Year2_Portsmouth Year2_ReferralSource_EducationServices)</f>
        <v>26</v>
      </c>
      <c r="BC121" s="1586">
        <f>IF(Year3_Portsmouth Year3_ReferralSource_EducationServices="","",Year3_Portsmouth Year3_ReferralSource_EducationServices)</f>
        <v>15</v>
      </c>
      <c r="BD121" s="1586">
        <f>IF(Year4_Portsmouth Year4_ReferralSource_EducationServices="","",Year4_Portsmouth Year4_ReferralSource_EducationServices)</f>
        <v>18</v>
      </c>
      <c r="BE121" s="1588">
        <f>IF(Year5_Portsmouth Year5_ReferralSource_EducationServices="","",Year5_Portsmouth Year5_ReferralSource_EducationServices)</f>
        <v>12</v>
      </c>
      <c r="BF121" s="882">
        <f>IF(Year1_Portsmouth Year1_ReferralSource_Health_services_GP="","",Year1_Portsmouth Year1_ReferralSource_Health_services_GP)</f>
        <v>300</v>
      </c>
      <c r="BG121" s="883">
        <f>IF(Year2_Portsmouth Year2_ReferralSource_Health_services_GP="","",Year2_Portsmouth Year2_ReferralSource_Health_services_GP)</f>
        <v>325</v>
      </c>
      <c r="BH121" s="883">
        <f>IF(Year3_Portsmouth Year3_ReferralSource_Health_services_GP="","",Year3_Portsmouth Year3_ReferralSource_Health_services_GP)</f>
        <v>437</v>
      </c>
      <c r="BI121" s="883">
        <f>IF(Year4_Portsmouth Year4_ReferralSource_Health_services_GP="","",Year4_Portsmouth Year4_ReferralSource_Health_services_GP)</f>
        <v>371</v>
      </c>
      <c r="BJ121" s="884">
        <f>IF(Year5_Portsmouth Year5_ReferralSource_Health_services_GP="","",Year5_Portsmouth Year5_ReferralSource_Health_services_GP)</f>
        <v>376</v>
      </c>
      <c r="BK121" s="882" t="str">
        <f>IF(Year1_Portsmouth Year1_ReferralSource_Health_services_HealthVisitor="","",Year1_Portsmouth Year1_ReferralSource_Health_services_HealthVisitor)</f>
        <v/>
      </c>
      <c r="BL121" s="883" t="str">
        <f>IF(Year2_Portsmouth Year2_ReferralSource_Health_services_HealthVisitor="","",Year2_Portsmouth Year2_ReferralSource_Health_services_HealthVisitor)</f>
        <v/>
      </c>
      <c r="BM121" s="883" t="str">
        <f>IF(Year3_Portsmouth Year3_ReferralSource_Health_services_HealthVisitor="","",Year3_Portsmouth Year3_ReferralSource_Health_services_HealthVisitor)</f>
        <v/>
      </c>
      <c r="BN121" s="883" t="str">
        <f>IF(Year4_Portsmouth Year4_ReferralSource_Health_services_HealthVisitor="","",Year4_Portsmouth Year4_ReferralSource_Health_services_HealthVisitor)</f>
        <v/>
      </c>
      <c r="BO121" s="884" t="str">
        <f>IF(Year5_Portsmouth Year5_ReferralSource_Health_services_HealthVisitor="","",Year5_Portsmouth Year5_ReferralSource_Health_services_HealthVisitor)</f>
        <v/>
      </c>
      <c r="BP121" s="882" t="str">
        <f>IF(Year1_Portsmouth Year1_ReferralSource_Health_services_SchoolNurse="","",Year1_Portsmouth Year1_ReferralSource_Health_services_SchoolNurse)</f>
        <v/>
      </c>
      <c r="BQ121" s="883" t="str">
        <f>IF(Year2_Portsmouth Year2_ReferralSource_Health_services_SchoolNurse="","",Year2_Portsmouth Year2_ReferralSource_Health_services_SchoolNurse)</f>
        <v/>
      </c>
      <c r="BR121" s="883" t="str">
        <f>IF(Year3_Portsmouth Year3_ReferralSource_Health_services_SchoolNurse="","",Year3_Portsmouth Year3_ReferralSource_Health_services_SchoolNurse)</f>
        <v/>
      </c>
      <c r="BS121" s="883" t="str">
        <f>IF(Year4_Portsmouth Year4_ReferralSource_Health_services_SchoolNurse="","",Year4_Portsmouth Year4_ReferralSource_Health_services_SchoolNurse)</f>
        <v/>
      </c>
      <c r="BT121" s="884" t="str">
        <f>IF(Year5_Portsmouth Year5_ReferralSource_Health_services_SchoolNurse="","",Year5_Portsmouth Year5_ReferralSource_Health_services_SchoolNurse)</f>
        <v/>
      </c>
      <c r="BU121" s="882" t="str">
        <f>IF(Year1_Portsmouth Year1_ReferralSource_Health_services_OthPrimary="","",Year1_Portsmouth Year1_ReferralSource_Health_services_OthPrimary)</f>
        <v/>
      </c>
      <c r="BV121" s="883" t="str">
        <f>IF(Year2_Portsmouth Year2_ReferralSource_Health_services_OthPrimary="","",Year2_Portsmouth Year2_ReferralSource_Health_services_OthPrimary)</f>
        <v/>
      </c>
      <c r="BW121" s="883" t="str">
        <f>IF(Year3_Portsmouth Year3_ReferralSource_Health_services_OthPrimary="","",Year3_Portsmouth Year3_ReferralSource_Health_services_OthPrimary)</f>
        <v/>
      </c>
      <c r="BX121" s="883" t="str">
        <f>IF(Year4_Portsmouth Year4_ReferralSource_Health_services_OthPrimary="","",Year4_Portsmouth Year4_ReferralSource_Health_services_OthPrimary)</f>
        <v/>
      </c>
      <c r="BY121" s="884" t="str">
        <f>IF(Year5_Portsmouth Year5_ReferralSource_Health_services_OthPrimary="","",Year5_Portsmouth Year5_ReferralSource_Health_services_OthPrimary)</f>
        <v/>
      </c>
      <c r="BZ121" s="882" t="str">
        <f>IF(Year1_Portsmouth Year1_ReferralSource_Health_services_AE="","",Year1_Portsmouth Year1_ReferralSource_Health_services_AE)</f>
        <v/>
      </c>
      <c r="CA121" s="883" t="str">
        <f>IF(Year2_Portsmouth Year2_ReferralSource_Health_services_AE="","",Year2_Portsmouth Year2_ReferralSource_Health_services_AE)</f>
        <v/>
      </c>
      <c r="CB121" s="883" t="str">
        <f>IF(Year3_Portsmouth Year3_ReferralSource_Health_services_AE="","",Year3_Portsmouth Year3_ReferralSource_Health_services_AE)</f>
        <v/>
      </c>
      <c r="CC121" s="883" t="str">
        <f>IF(Year4_Portsmouth Year4_ReferralSource_Health_services_AE="","",Year4_Portsmouth Year4_ReferralSource_Health_services_AE)</f>
        <v/>
      </c>
      <c r="CD121" s="884" t="str">
        <f>IF(Year5_Portsmouth Year5_ReferralSource_Health_services_AE="","",Year5_Portsmouth Year5_ReferralSource_Health_services_AE)</f>
        <v/>
      </c>
      <c r="CE121" s="882" t="str">
        <f>IF(Year1_Portsmouth Year1_ReferralSource_Health_services_Other="","",Year1_Portsmouth Year1_ReferralSource_Health_services_Other)</f>
        <v/>
      </c>
      <c r="CF121" s="883" t="str">
        <f>IF(Year2_Portsmouth Year2_ReferralSource_Health_services_Other="","",Year2_Portsmouth Year2_ReferralSource_Health_services_Other)</f>
        <v/>
      </c>
      <c r="CG121" s="883" t="str">
        <f>IF(Year3_Portsmouth Year3_ReferralSource_Health_services_Other="","",Year3_Portsmouth Year3_ReferralSource_Health_services_Other)</f>
        <v/>
      </c>
      <c r="CH121" s="883" t="str">
        <f>IF(Year4_Portsmouth Year4_ReferralSource_Health_services_Other="","",Year4_Portsmouth Year4_ReferralSource_Health_services_Other)</f>
        <v/>
      </c>
      <c r="CI121" s="884" t="str">
        <f>IF(Year5_Portsmouth Year5_ReferralSource_Health_services_Other="","",Year5_Portsmouth Year5_ReferralSource_Health_services_Other)</f>
        <v/>
      </c>
      <c r="CJ121" s="870">
        <f>IF(Year1_Portsmouth Year1_ReferralSource_Housing="","",Year1_Portsmouth Year1_ReferralSource_Housing)</f>
        <v>45</v>
      </c>
      <c r="CK121" s="871">
        <f>IF(Year2_Portsmouth Year2_ReferralSource_Housing="","",Year2_Portsmouth Year2_ReferralSource_Housing)</f>
        <v>69</v>
      </c>
      <c r="CL121" s="871">
        <f>IF(Year3_Portsmouth Year3_ReferralSource_Housing="","",Year3_Portsmouth Year3_ReferralSource_Housing)</f>
        <v>85</v>
      </c>
      <c r="CM121" s="871">
        <f>IF(Year4_Portsmouth Year4_ReferralSource_Housing="","",Year4_Portsmouth Year4_ReferralSource_Housing)</f>
        <v>108</v>
      </c>
      <c r="CN121" s="872">
        <f>IF(Year5_Portsmouth Year5_ReferralSource_Housing="","",Year5_Portsmouth Year5_ReferralSource_Housing)</f>
        <v>63</v>
      </c>
      <c r="CO121" s="870">
        <f>IF(Year1_Portsmouth Year1_ReferralSource_LA_SC="","",Year1_Portsmouth Year1_ReferralSource_LA_SC)</f>
        <v>246</v>
      </c>
      <c r="CP121" s="871">
        <f>IF(Year2_Portsmouth Year2_ReferralSource_LA_SC="","",Year2_Portsmouth Year2_ReferralSource_LA_SC)</f>
        <v>253</v>
      </c>
      <c r="CQ121" s="871">
        <f>IF(Year3_Portsmouth Year3_ReferralSource_LA_SC="","",Year3_Portsmouth Year3_ReferralSource_LA_SC)</f>
        <v>353</v>
      </c>
      <c r="CR121" s="871">
        <f>IF(Year4_Portsmouth Year4_ReferralSource_LA_SC="","",Year4_Portsmouth Year4_ReferralSource_LA_SC)</f>
        <v>513</v>
      </c>
      <c r="CS121" s="872">
        <f>IF(Year5_Portsmouth Year5_ReferralSource_LA_SC="","",Year5_Portsmouth Year5_ReferralSource_LA_SC)</f>
        <v>451</v>
      </c>
      <c r="CT121" s="870" t="str">
        <f>IF(Year1_Portsmouth Year1_ReferralSource_LA_Other="","",Year1_Portsmouth Year1_ReferralSource_LA_Other)</f>
        <v/>
      </c>
      <c r="CU121" s="871" t="str">
        <f>IF(Year2_Portsmouth Year2_ReferralSource_LA_Other="","",Year2_Portsmouth Year2_ReferralSource_LA_Other)</f>
        <v/>
      </c>
      <c r="CV121" s="871" t="str">
        <f>IF(Year3_Portsmouth Year3_ReferralSource_LA_Other="","",Year3_Portsmouth Year3_ReferralSource_LA_Other)</f>
        <v/>
      </c>
      <c r="CW121" s="871" t="str">
        <f>IF(Year4_Portsmouth Year4_ReferralSource_LA_Other="","",Year4_Portsmouth Year4_ReferralSource_LA_Other)</f>
        <v/>
      </c>
      <c r="CX121" s="872" t="str">
        <f>IF(Year5_Portsmouth Year5_ReferralSource_LA_Other="","",Year5_Portsmouth Year5_ReferralSource_LA_Other)</f>
        <v/>
      </c>
      <c r="CY121" s="870" t="str">
        <f>IF(Year1_Portsmouth Year1_ReferralSource_LA_External="","",Year1_Portsmouth Year1_ReferralSource_LA_External)</f>
        <v/>
      </c>
      <c r="CZ121" s="871" t="str">
        <f>IF(Year2_Portsmouth Year2_ReferralSource_LA_External="","",Year2_Portsmouth Year2_ReferralSource_LA_External)</f>
        <v/>
      </c>
      <c r="DA121" s="871" t="str">
        <f>IF(Year3_Portsmouth Year3_ReferralSource_LA_External="","",Year3_Portsmouth Year3_ReferralSource_LA_External)</f>
        <v/>
      </c>
      <c r="DB121" s="871" t="str">
        <f>IF(Year4_Portsmouth Year4_ReferralSource_LA_External="","",Year4_Portsmouth Year4_ReferralSource_LA_External)</f>
        <v/>
      </c>
      <c r="DC121" s="872" t="str">
        <f>IF(Year5_Portsmouth Year5_ReferralSource_LA_External="","",Year5_Portsmouth Year5_ReferralSource_LA_External)</f>
        <v/>
      </c>
      <c r="DD121" s="870">
        <f>IF(Year1_Portsmouth Year1_ReferralSource_Police="","",Year1_Portsmouth Year1_ReferralSource_Police)</f>
        <v>655</v>
      </c>
      <c r="DE121" s="871">
        <f>IF(Year2_Portsmouth Year2_ReferralSource_Police="","",Year2_Portsmouth Year2_ReferralSource_Police)</f>
        <v>825</v>
      </c>
      <c r="DF121" s="871">
        <f>IF(Year3_Portsmouth Year3_ReferralSource_Police="","",Year3_Portsmouth Year3_ReferralSource_Police)</f>
        <v>887</v>
      </c>
      <c r="DG121" s="871">
        <f>IF(Year4_Portsmouth Year4_ReferralSource_Police="","",Year4_Portsmouth Year4_ReferralSource_Police)</f>
        <v>700</v>
      </c>
      <c r="DH121" s="872">
        <f>IF(Year5_Portsmouth Year5_ReferralSource_Police="","",Year5_Portsmouth Year5_ReferralSource_Police)</f>
        <v>725</v>
      </c>
      <c r="DI121" s="870">
        <f>IF(Year1_Portsmouth Year1_ReferralSource_Other_Legal="","",Year1_Portsmouth Year1_ReferralSource_Other_Legal)</f>
        <v>70</v>
      </c>
      <c r="DJ121" s="871">
        <f>IF(Year2_Portsmouth Year2_ReferralSource_Other_Legal="","",Year2_Portsmouth Year2_ReferralSource_Other_Legal)</f>
        <v>105</v>
      </c>
      <c r="DK121" s="871">
        <f>IF(Year3_Portsmouth Year3_ReferralSource_Other_Legal="","",Year3_Portsmouth Year3_ReferralSource_Other_Legal)</f>
        <v>126</v>
      </c>
      <c r="DL121" s="871">
        <f>IF(Year4_Portsmouth Year4_ReferralSource_Other_Legal="","",Year4_Portsmouth Year4_ReferralSource_Other_Legal)</f>
        <v>151</v>
      </c>
      <c r="DM121" s="872">
        <f>IF(Year5_Portsmouth Year5_ReferralSource_Other_Legal="","",Year5_Portsmouth Year5_ReferralSource_Other_Legal)</f>
        <v>124</v>
      </c>
      <c r="DN121" s="870">
        <f>IF(Year1_Portsmouth Year1_ReferralSource_Other="","",Year1_Portsmouth Year1_ReferralSource_Other)</f>
        <v>117</v>
      </c>
      <c r="DO121" s="871">
        <f>IF(Year2_Portsmouth Year2_ReferralSource_Other="","",Year2_Portsmouth Year2_ReferralSource_Other)</f>
        <v>198</v>
      </c>
      <c r="DP121" s="871">
        <f>IF(Year3_Portsmouth Year3_ReferralSource_Other="","",Year3_Portsmouth Year3_ReferralSource_Other)</f>
        <v>130</v>
      </c>
      <c r="DQ121" s="871">
        <f>IF(Year4_Portsmouth Year4_ReferralSource_Other="","",Year4_Portsmouth Year4_ReferralSource_Other)</f>
        <v>149</v>
      </c>
      <c r="DR121" s="872">
        <f>IF(Year5_Portsmouth Year5_ReferralSource_Other="","",Year5_Portsmouth Year5_ReferralSource_Other)</f>
        <v>137</v>
      </c>
      <c r="DS121" s="870">
        <f>IF(Year1_Portsmouth Year1_ReferralSource_Anonymous="","",Year1_Portsmouth Year1_ReferralSource_Anonymous)</f>
        <v>46</v>
      </c>
      <c r="DT121" s="871">
        <f>IF(Year2_Portsmouth Year2_ReferralSource_Anonymous="","",Year2_Portsmouth Year2_ReferralSource_Anonymous)</f>
        <v>36</v>
      </c>
      <c r="DU121" s="871">
        <f>IF(Year3_Portsmouth Year3_ReferralSource_Anonymous="","",Year3_Portsmouth Year3_ReferralSource_Anonymous)</f>
        <v>49</v>
      </c>
      <c r="DV121" s="871">
        <f>IF(Year4_Portsmouth Year4_ReferralSource_Anonymous="","",Year4_Portsmouth Year4_ReferralSource_Anonymous)</f>
        <v>66</v>
      </c>
      <c r="DW121" s="872">
        <f>IF(Year5_Portsmouth Year5_ReferralSource_Anonymous="","",Year5_Portsmouth Year5_ReferralSource_Anonymous)</f>
        <v>35</v>
      </c>
      <c r="DX121" s="870">
        <f>IF(Year1_Portsmouth Year1_ReferralSource_Unknown="","",Year1_Portsmouth Year1_ReferralSource_Unknown)</f>
        <v>0</v>
      </c>
      <c r="DY121" s="871">
        <f>IF(Year2_Portsmouth Year2_ReferralSource_Unknown="","",Year2_Portsmouth Year2_ReferralSource_Unknown)</f>
        <v>0</v>
      </c>
      <c r="DZ121" s="871">
        <f>IF(Year3_Portsmouth Year3_ReferralSource_Unknown="","",Year3_Portsmouth Year3_ReferralSource_Unknown)</f>
        <v>0</v>
      </c>
      <c r="EA121" s="871">
        <f>IF(Year4_Portsmouth Year4_ReferralSource_Unknown="","",Year4_Portsmouth Year4_ReferralSource_Unknown)</f>
        <v>0</v>
      </c>
      <c r="EB121" s="872">
        <f>IF(Year5_Portsmouth Year5_ReferralSource_Unknown="","",Year5_Portsmouth Year5_ReferralSource_Unknown)</f>
        <v>6</v>
      </c>
    </row>
    <row r="122" spans="1:132" s="81" customFormat="1" ht="16.5" customHeight="1" x14ac:dyDescent="0.2">
      <c r="A122" s="278"/>
      <c r="B122" s="175" t="str">
        <f>Sheet1!$K$15</f>
        <v>Reading</v>
      </c>
      <c r="C122" s="9"/>
      <c r="D122" s="1893"/>
      <c r="E122" s="1894"/>
      <c r="F122" s="1893"/>
      <c r="G122" s="1894"/>
      <c r="H122" s="1893"/>
      <c r="I122" s="1894"/>
      <c r="J122" s="1893"/>
      <c r="K122" s="1894"/>
      <c r="L122" s="1893"/>
      <c r="M122" s="1894"/>
      <c r="N122" s="1893"/>
      <c r="O122" s="1894"/>
      <c r="P122" s="1893"/>
      <c r="Q122" s="1894"/>
      <c r="R122" s="1893"/>
      <c r="S122" s="1894"/>
      <c r="T122" s="1893"/>
      <c r="U122" s="1894"/>
      <c r="V122" s="1893"/>
      <c r="W122" s="1894"/>
      <c r="X122" s="14"/>
      <c r="Y122" s="117"/>
      <c r="Z122" s="137"/>
      <c r="AB122" s="1585">
        <f>IF(Year1_Reading Year1_ReferralSource_Individual_Family="","",Year1_Reading Year1_ReferralSource_Individual_Family)</f>
        <v>231</v>
      </c>
      <c r="AC122" s="1586">
        <f>IF(Year2_Reading Year2_ReferralSource_Individual_Family="","",Year2_Reading Year2_ReferralSource_Individual_Family)</f>
        <v>166</v>
      </c>
      <c r="AD122" s="1586">
        <f>IF(Year3_Reading Year3_ReferralSource_Individual_Family="","",Year3_Reading Year3_ReferralSource_Individual_Family)</f>
        <v>168</v>
      </c>
      <c r="AE122" s="1586">
        <f>IF(Year4_Reading Year4_ReferralSource_Individual_Family="","",Year4_Reading Year4_ReferralSource_Individual_Family)</f>
        <v>176</v>
      </c>
      <c r="AF122" s="1588">
        <f>IF(Year5_Reading Year5_ReferralSource_Individual_Family="","",Year5_Reading Year5_ReferralSource_Individual_Family)</f>
        <v>192</v>
      </c>
      <c r="AG122" s="1585" t="str">
        <f>IF(Year1_Reading Year1_ReferralSource_Individual_Acquaintance="","",Year1_Reading Year1_ReferralSource_Individual_Acquaintance)</f>
        <v/>
      </c>
      <c r="AH122" s="1586" t="str">
        <f>IF(Year2_Reading Year2_ReferralSource_Individual_Acquaintance="","",Year2_Reading Year2_ReferralSource_Individual_Acquaintance)</f>
        <v/>
      </c>
      <c r="AI122" s="1586" t="str">
        <f>IF(Year3_Reading Year3_ReferralSource_Individual_Acquaintance="","",Year3_Reading Year3_ReferralSource_Individual_Acquaintance)</f>
        <v/>
      </c>
      <c r="AJ122" s="1586" t="str">
        <f>IF(Year4_Reading Year4_ReferralSource_Individual_Acquaintance="","",Year4_Reading Year4_ReferralSource_Individual_Acquaintance)</f>
        <v/>
      </c>
      <c r="AK122" s="1588" t="str">
        <f>IF(Year5_Reading Year5_ReferralSource_Individual_Acquaintance="","",Year5_Reading Year5_ReferralSource_Individual_Acquaintance)</f>
        <v/>
      </c>
      <c r="AL122" s="1585" t="str">
        <f>IF(Year1_Reading Year1_ReferralSource_Individual_Self="","",Year1_Reading Year1_ReferralSource_Individual_Self)</f>
        <v/>
      </c>
      <c r="AM122" s="1586" t="str">
        <f>IF(Year2_Reading Year2_ReferralSource_Individual_Self="","",Year2_Reading Year2_ReferralSource_Individual_Self)</f>
        <v/>
      </c>
      <c r="AN122" s="1586" t="str">
        <f>IF(Year3_Reading Year3_ReferralSource_Individual_Self="","",Year3_Reading Year3_ReferralSource_Individual_Self)</f>
        <v/>
      </c>
      <c r="AO122" s="1586" t="str">
        <f>IF(Year4_Reading Year4_ReferralSource_Individual_Self="","",Year4_Reading Year4_ReferralSource_Individual_Self)</f>
        <v/>
      </c>
      <c r="AP122" s="1588" t="str">
        <f>IF(Year5_Reading Year5_ReferralSource_Individual_Self="","",Year5_Reading Year5_ReferralSource_Individual_Self)</f>
        <v/>
      </c>
      <c r="AQ122" s="1585" t="str">
        <f>IF(Year1_Reading Year1_ReferralSource_Individual_Other="","",Year1_Reading Year1_ReferralSource_Individual_Other)</f>
        <v/>
      </c>
      <c r="AR122" s="1586" t="str">
        <f>IF(Year2_Reading Year2_ReferralSource_Individual_Other="","",Year2_Reading Year2_ReferralSource_Individual_Other)</f>
        <v/>
      </c>
      <c r="AS122" s="1586" t="str">
        <f>IF(Year3_Reading Year3_ReferralSource_Individual_Other="","",Year3_Reading Year3_ReferralSource_Individual_Other)</f>
        <v/>
      </c>
      <c r="AT122" s="1586" t="str">
        <f>IF(Year4_Reading Year4_ReferralSource_Individual_Other="","",Year4_Reading Year4_ReferralSource_Individual_Other)</f>
        <v/>
      </c>
      <c r="AU122" s="1588" t="str">
        <f>IF(Year5_Reading Year5_ReferralSource_Individual_Other="","",Year5_Reading Year5_ReferralSource_Individual_Other)</f>
        <v/>
      </c>
      <c r="AV122" s="1585">
        <f>IF(Year1_Reading Year1_ReferralSource_School="","",Year1_Reading Year1_ReferralSource_School)</f>
        <v>590</v>
      </c>
      <c r="AW122" s="1586">
        <f>IF(Year2_Reading Year2_ReferralSource_School="","",Year2_Reading Year2_ReferralSource_School)</f>
        <v>536</v>
      </c>
      <c r="AX122" s="1586">
        <f>IF(Year3_Reading Year3_ReferralSource_School="","",Year3_Reading Year3_ReferralSource_School)</f>
        <v>444</v>
      </c>
      <c r="AY122" s="1586">
        <f>IF(Year4_Reading Year4_ReferralSource_School="","",Year4_Reading Year4_ReferralSource_School)</f>
        <v>458</v>
      </c>
      <c r="AZ122" s="1588">
        <f>IF(Year5_Reading Year5_ReferralSource_School="","",Year5_Reading Year5_ReferralSource_School)</f>
        <v>460</v>
      </c>
      <c r="BA122" s="1585">
        <f>IF(Year1_Reading Year1_ReferralSource_EducationServices="","",Year1_Reading Year1_ReferralSource_EducationServices)</f>
        <v>56</v>
      </c>
      <c r="BB122" s="1586">
        <f>IF(Year2_Reading Year2_ReferralSource_EducationServices="","",Year2_Reading Year2_ReferralSource_EducationServices)</f>
        <v>12</v>
      </c>
      <c r="BC122" s="1586">
        <f>IF(Year3_Reading Year3_ReferralSource_EducationServices="","",Year3_Reading Year3_ReferralSource_EducationServices)</f>
        <v>38</v>
      </c>
      <c r="BD122" s="1586">
        <f>IF(Year4_Reading Year4_ReferralSource_EducationServices="","",Year4_Reading Year4_ReferralSource_EducationServices)</f>
        <v>77</v>
      </c>
      <c r="BE122" s="1588">
        <f>IF(Year5_Reading Year5_ReferralSource_EducationServices="","",Year5_Reading Year5_ReferralSource_EducationServices)</f>
        <v>73</v>
      </c>
      <c r="BF122" s="882">
        <f>IF(Year1_Reading Year1_ReferralSource_Health_services_GP="","",Year1_Reading Year1_ReferralSource_Health_services_GP)</f>
        <v>402</v>
      </c>
      <c r="BG122" s="883">
        <f>IF(Year2_Reading Year2_ReferralSource_Health_services_GP="","",Year2_Reading Year2_ReferralSource_Health_services_GP)</f>
        <v>481</v>
      </c>
      <c r="BH122" s="883">
        <f>IF(Year3_Reading Year3_ReferralSource_Health_services_GP="","",Year3_Reading Year3_ReferralSource_Health_services_GP)</f>
        <v>397</v>
      </c>
      <c r="BI122" s="883">
        <f>IF(Year4_Reading Year4_ReferralSource_Health_services_GP="","",Year4_Reading Year4_ReferralSource_Health_services_GP)</f>
        <v>397</v>
      </c>
      <c r="BJ122" s="884">
        <f>IF(Year5_Reading Year5_ReferralSource_Health_services_GP="","",Year5_Reading Year5_ReferralSource_Health_services_GP)</f>
        <v>372</v>
      </c>
      <c r="BK122" s="882" t="str">
        <f>IF(Year1_Reading Year1_ReferralSource_Health_services_HealthVisitor="","",Year1_Reading Year1_ReferralSource_Health_services_HealthVisitor)</f>
        <v/>
      </c>
      <c r="BL122" s="883" t="str">
        <f>IF(Year2_Reading Year2_ReferralSource_Health_services_HealthVisitor="","",Year2_Reading Year2_ReferralSource_Health_services_HealthVisitor)</f>
        <v/>
      </c>
      <c r="BM122" s="883" t="str">
        <f>IF(Year3_Reading Year3_ReferralSource_Health_services_HealthVisitor="","",Year3_Reading Year3_ReferralSource_Health_services_HealthVisitor)</f>
        <v/>
      </c>
      <c r="BN122" s="883" t="str">
        <f>IF(Year4_Reading Year4_ReferralSource_Health_services_HealthVisitor="","",Year4_Reading Year4_ReferralSource_Health_services_HealthVisitor)</f>
        <v/>
      </c>
      <c r="BO122" s="884" t="str">
        <f>IF(Year5_Reading Year5_ReferralSource_Health_services_HealthVisitor="","",Year5_Reading Year5_ReferralSource_Health_services_HealthVisitor)</f>
        <v/>
      </c>
      <c r="BP122" s="882" t="str">
        <f>IF(Year1_Reading Year1_ReferralSource_Health_services_SchoolNurse="","",Year1_Reading Year1_ReferralSource_Health_services_SchoolNurse)</f>
        <v/>
      </c>
      <c r="BQ122" s="883" t="str">
        <f>IF(Year2_Reading Year2_ReferralSource_Health_services_SchoolNurse="","",Year2_Reading Year2_ReferralSource_Health_services_SchoolNurse)</f>
        <v/>
      </c>
      <c r="BR122" s="883" t="str">
        <f>IF(Year3_Reading Year3_ReferralSource_Health_services_SchoolNurse="","",Year3_Reading Year3_ReferralSource_Health_services_SchoolNurse)</f>
        <v/>
      </c>
      <c r="BS122" s="883" t="str">
        <f>IF(Year4_Reading Year4_ReferralSource_Health_services_SchoolNurse="","",Year4_Reading Year4_ReferralSource_Health_services_SchoolNurse)</f>
        <v/>
      </c>
      <c r="BT122" s="884" t="str">
        <f>IF(Year5_Reading Year5_ReferralSource_Health_services_SchoolNurse="","",Year5_Reading Year5_ReferralSource_Health_services_SchoolNurse)</f>
        <v/>
      </c>
      <c r="BU122" s="882" t="str">
        <f>IF(Year1_Reading Year1_ReferralSource_Health_services_OthPrimary="","",Year1_Reading Year1_ReferralSource_Health_services_OthPrimary)</f>
        <v/>
      </c>
      <c r="BV122" s="883" t="str">
        <f>IF(Year2_Reading Year2_ReferralSource_Health_services_OthPrimary="","",Year2_Reading Year2_ReferralSource_Health_services_OthPrimary)</f>
        <v/>
      </c>
      <c r="BW122" s="883" t="str">
        <f>IF(Year3_Reading Year3_ReferralSource_Health_services_OthPrimary="","",Year3_Reading Year3_ReferralSource_Health_services_OthPrimary)</f>
        <v/>
      </c>
      <c r="BX122" s="883" t="str">
        <f>IF(Year4_Reading Year4_ReferralSource_Health_services_OthPrimary="","",Year4_Reading Year4_ReferralSource_Health_services_OthPrimary)</f>
        <v/>
      </c>
      <c r="BY122" s="884" t="str">
        <f>IF(Year5_Reading Year5_ReferralSource_Health_services_OthPrimary="","",Year5_Reading Year5_ReferralSource_Health_services_OthPrimary)</f>
        <v/>
      </c>
      <c r="BZ122" s="882" t="str">
        <f>IF(Year1_Reading Year1_ReferralSource_Health_services_AE="","",Year1_Reading Year1_ReferralSource_Health_services_AE)</f>
        <v/>
      </c>
      <c r="CA122" s="883" t="str">
        <f>IF(Year2_Reading Year2_ReferralSource_Health_services_AE="","",Year2_Reading Year2_ReferralSource_Health_services_AE)</f>
        <v/>
      </c>
      <c r="CB122" s="883" t="str">
        <f>IF(Year3_Reading Year3_ReferralSource_Health_services_AE="","",Year3_Reading Year3_ReferralSource_Health_services_AE)</f>
        <v/>
      </c>
      <c r="CC122" s="883" t="str">
        <f>IF(Year4_Reading Year4_ReferralSource_Health_services_AE="","",Year4_Reading Year4_ReferralSource_Health_services_AE)</f>
        <v/>
      </c>
      <c r="CD122" s="884" t="str">
        <f>IF(Year5_Reading Year5_ReferralSource_Health_services_AE="","",Year5_Reading Year5_ReferralSource_Health_services_AE)</f>
        <v/>
      </c>
      <c r="CE122" s="882" t="str">
        <f>IF(Year1_Reading Year1_ReferralSource_Health_services_Other="","",Year1_Reading Year1_ReferralSource_Health_services_Other)</f>
        <v/>
      </c>
      <c r="CF122" s="883" t="str">
        <f>IF(Year2_Reading Year2_ReferralSource_Health_services_Other="","",Year2_Reading Year2_ReferralSource_Health_services_Other)</f>
        <v/>
      </c>
      <c r="CG122" s="883" t="str">
        <f>IF(Year3_Reading Year3_ReferralSource_Health_services_Other="","",Year3_Reading Year3_ReferralSource_Health_services_Other)</f>
        <v/>
      </c>
      <c r="CH122" s="883" t="str">
        <f>IF(Year4_Reading Year4_ReferralSource_Health_services_Other="","",Year4_Reading Year4_ReferralSource_Health_services_Other)</f>
        <v/>
      </c>
      <c r="CI122" s="884" t="str">
        <f>IF(Year5_Reading Year5_ReferralSource_Health_services_Other="","",Year5_Reading Year5_ReferralSource_Health_services_Other)</f>
        <v/>
      </c>
      <c r="CJ122" s="870">
        <f>IF(Year1_Reading Year1_ReferralSource_Housing="","",Year1_Reading Year1_ReferralSource_Housing)</f>
        <v>123</v>
      </c>
      <c r="CK122" s="871">
        <f>IF(Year2_Reading Year2_ReferralSource_Housing="","",Year2_Reading Year2_ReferralSource_Housing)</f>
        <v>113</v>
      </c>
      <c r="CL122" s="871">
        <f>IF(Year3_Reading Year3_ReferralSource_Housing="","",Year3_Reading Year3_ReferralSource_Housing)</f>
        <v>66</v>
      </c>
      <c r="CM122" s="871">
        <f>IF(Year4_Reading Year4_ReferralSource_Housing="","",Year4_Reading Year4_ReferralSource_Housing)</f>
        <v>76</v>
      </c>
      <c r="CN122" s="872">
        <f>IF(Year5_Reading Year5_ReferralSource_Housing="","",Year5_Reading Year5_ReferralSource_Housing)</f>
        <v>64</v>
      </c>
      <c r="CO122" s="870">
        <f>IF(Year1_Reading Year1_ReferralSource_LA_SC="","",Year1_Reading Year1_ReferralSource_LA_SC)</f>
        <v>254</v>
      </c>
      <c r="CP122" s="871">
        <f>IF(Year2_Reading Year2_ReferralSource_LA_SC="","",Year2_Reading Year2_ReferralSource_LA_SC)</f>
        <v>308</v>
      </c>
      <c r="CQ122" s="871">
        <f>IF(Year3_Reading Year3_ReferralSource_LA_SC="","",Year3_Reading Year3_ReferralSource_LA_SC)</f>
        <v>279</v>
      </c>
      <c r="CR122" s="871">
        <f>IF(Year4_Reading Year4_ReferralSource_LA_SC="","",Year4_Reading Year4_ReferralSource_LA_SC)</f>
        <v>249</v>
      </c>
      <c r="CS122" s="872">
        <f>IF(Year5_Reading Year5_ReferralSource_LA_SC="","",Year5_Reading Year5_ReferralSource_LA_SC)</f>
        <v>263</v>
      </c>
      <c r="CT122" s="870" t="str">
        <f>IF(Year1_Reading Year1_ReferralSource_LA_Other="","",Year1_Reading Year1_ReferralSource_LA_Other)</f>
        <v/>
      </c>
      <c r="CU122" s="871" t="str">
        <f>IF(Year2_Reading Year2_ReferralSource_LA_Other="","",Year2_Reading Year2_ReferralSource_LA_Other)</f>
        <v/>
      </c>
      <c r="CV122" s="871" t="str">
        <f>IF(Year3_Reading Year3_ReferralSource_LA_Other="","",Year3_Reading Year3_ReferralSource_LA_Other)</f>
        <v/>
      </c>
      <c r="CW122" s="871" t="str">
        <f>IF(Year4_Reading Year4_ReferralSource_LA_Other="","",Year4_Reading Year4_ReferralSource_LA_Other)</f>
        <v/>
      </c>
      <c r="CX122" s="872" t="str">
        <f>IF(Year5_Reading Year5_ReferralSource_LA_Other="","",Year5_Reading Year5_ReferralSource_LA_Other)</f>
        <v/>
      </c>
      <c r="CY122" s="870" t="str">
        <f>IF(Year1_Reading Year1_ReferralSource_LA_External="","",Year1_Reading Year1_ReferralSource_LA_External)</f>
        <v/>
      </c>
      <c r="CZ122" s="871" t="str">
        <f>IF(Year2_Reading Year2_ReferralSource_LA_External="","",Year2_Reading Year2_ReferralSource_LA_External)</f>
        <v/>
      </c>
      <c r="DA122" s="871" t="str">
        <f>IF(Year3_Reading Year3_ReferralSource_LA_External="","",Year3_Reading Year3_ReferralSource_LA_External)</f>
        <v/>
      </c>
      <c r="DB122" s="871" t="str">
        <f>IF(Year4_Reading Year4_ReferralSource_LA_External="","",Year4_Reading Year4_ReferralSource_LA_External)</f>
        <v/>
      </c>
      <c r="DC122" s="872" t="str">
        <f>IF(Year5_Reading Year5_ReferralSource_LA_External="","",Year5_Reading Year5_ReferralSource_LA_External)</f>
        <v/>
      </c>
      <c r="DD122" s="870">
        <f>IF(Year1_Reading Year1_ReferralSource_Police="","",Year1_Reading Year1_ReferralSource_Police)</f>
        <v>1014</v>
      </c>
      <c r="DE122" s="871">
        <f>IF(Year2_Reading Year2_ReferralSource_Police="","",Year2_Reading Year2_ReferralSource_Police)</f>
        <v>1198</v>
      </c>
      <c r="DF122" s="871">
        <f>IF(Year3_Reading Year3_ReferralSource_Police="","",Year3_Reading Year3_ReferralSource_Police)</f>
        <v>1014</v>
      </c>
      <c r="DG122" s="871">
        <f>IF(Year4_Reading Year4_ReferralSource_Police="","",Year4_Reading Year4_ReferralSource_Police)</f>
        <v>1062</v>
      </c>
      <c r="DH122" s="872">
        <f>IF(Year5_Reading Year5_ReferralSource_Police="","",Year5_Reading Year5_ReferralSource_Police)</f>
        <v>930</v>
      </c>
      <c r="DI122" s="870">
        <f>IF(Year1_Reading Year1_ReferralSource_Other_Legal="","",Year1_Reading Year1_ReferralSource_Other_Legal)</f>
        <v>135</v>
      </c>
      <c r="DJ122" s="871">
        <f>IF(Year2_Reading Year2_ReferralSource_Other_Legal="","",Year2_Reading Year2_ReferralSource_Other_Legal)</f>
        <v>79</v>
      </c>
      <c r="DK122" s="871">
        <f>IF(Year3_Reading Year3_ReferralSource_Other_Legal="","",Year3_Reading Year3_ReferralSource_Other_Legal)</f>
        <v>70</v>
      </c>
      <c r="DL122" s="871">
        <f>IF(Year4_Reading Year4_ReferralSource_Other_Legal="","",Year4_Reading Year4_ReferralSource_Other_Legal)</f>
        <v>71</v>
      </c>
      <c r="DM122" s="872">
        <f>IF(Year5_Reading Year5_ReferralSource_Other_Legal="","",Year5_Reading Year5_ReferralSource_Other_Legal)</f>
        <v>55</v>
      </c>
      <c r="DN122" s="870">
        <f>IF(Year1_Reading Year1_ReferralSource_Other="","",Year1_Reading Year1_ReferralSource_Other)</f>
        <v>204</v>
      </c>
      <c r="DO122" s="871">
        <f>IF(Year2_Reading Year2_ReferralSource_Other="","",Year2_Reading Year2_ReferralSource_Other)</f>
        <v>292</v>
      </c>
      <c r="DP122" s="871">
        <f>IF(Year3_Reading Year3_ReferralSource_Other="","",Year3_Reading Year3_ReferralSource_Other)</f>
        <v>122</v>
      </c>
      <c r="DQ122" s="871">
        <f>IF(Year4_Reading Year4_ReferralSource_Other="","",Year4_Reading Year4_ReferralSource_Other)</f>
        <v>138</v>
      </c>
      <c r="DR122" s="872">
        <f>IF(Year5_Reading Year5_ReferralSource_Other="","",Year5_Reading Year5_ReferralSource_Other)</f>
        <v>128</v>
      </c>
      <c r="DS122" s="870">
        <f>IF(Year1_Reading Year1_ReferralSource_Anonymous="","",Year1_Reading Year1_ReferralSource_Anonymous)</f>
        <v>22</v>
      </c>
      <c r="DT122" s="871">
        <f>IF(Year2_Reading Year2_ReferralSource_Anonymous="","",Year2_Reading Year2_ReferralSource_Anonymous)</f>
        <v>35</v>
      </c>
      <c r="DU122" s="871" t="str">
        <f>IF(Year3_Reading Year3_ReferralSource_Anonymous="","",Year3_Reading Year3_ReferralSource_Anonymous)</f>
        <v>x</v>
      </c>
      <c r="DV122" s="871">
        <f>IF(Year4_Reading Year4_ReferralSource_Anonymous="","",Year4_Reading Year4_ReferralSource_Anonymous)</f>
        <v>35</v>
      </c>
      <c r="DW122" s="872">
        <f>IF(Year5_Reading Year5_ReferralSource_Anonymous="","",Year5_Reading Year5_ReferralSource_Anonymous)</f>
        <v>19</v>
      </c>
      <c r="DX122" s="870">
        <f>IF(Year1_Reading Year1_ReferralSource_Unknown="","",Year1_Reading Year1_ReferralSource_Unknown)</f>
        <v>47</v>
      </c>
      <c r="DY122" s="871">
        <f>IF(Year2_Reading Year2_ReferralSource_Unknown="","",Year2_Reading Year2_ReferralSource_Unknown)</f>
        <v>47</v>
      </c>
      <c r="DZ122" s="871" t="str">
        <f>IF(Year3_Reading Year3_ReferralSource_Unknown="","",Year3_Reading Year3_ReferralSource_Unknown)</f>
        <v>x</v>
      </c>
      <c r="EA122" s="871">
        <f>IF(Year4_Reading Year4_ReferralSource_Unknown="","",Year4_Reading Year4_ReferralSource_Unknown)</f>
        <v>0</v>
      </c>
      <c r="EB122" s="872">
        <f>IF(Year5_Reading Year5_ReferralSource_Unknown="","",Year5_Reading Year5_ReferralSource_Unknown)</f>
        <v>8</v>
      </c>
    </row>
    <row r="123" spans="1:132" s="81" customFormat="1" ht="16.5" customHeight="1" x14ac:dyDescent="0.2">
      <c r="A123" s="278"/>
      <c r="B123" s="175" t="str">
        <f>Sheet1!$K$16</f>
        <v>Slough</v>
      </c>
      <c r="C123" s="9"/>
      <c r="D123" s="1893"/>
      <c r="E123" s="1894"/>
      <c r="F123" s="1893"/>
      <c r="G123" s="1894"/>
      <c r="H123" s="1893"/>
      <c r="I123" s="1894"/>
      <c r="J123" s="1893"/>
      <c r="K123" s="1894"/>
      <c r="L123" s="1893"/>
      <c r="M123" s="1894"/>
      <c r="N123" s="1893"/>
      <c r="O123" s="1894"/>
      <c r="P123" s="1893"/>
      <c r="Q123" s="1894"/>
      <c r="R123" s="1893"/>
      <c r="S123" s="1894"/>
      <c r="T123" s="1893"/>
      <c r="U123" s="1894"/>
      <c r="V123" s="1893"/>
      <c r="W123" s="1894"/>
      <c r="X123" s="14"/>
      <c r="Y123" s="117"/>
      <c r="Z123" s="137"/>
      <c r="AB123" s="1589">
        <f>IF(Year1_Slough Year1_ReferralSource_Individual_Family="","",Year1_Slough Year1_ReferralSource_Individual_Family)</f>
        <v>177</v>
      </c>
      <c r="AC123" s="1590">
        <f>IF(Year2_Slough Year2_ReferralSource_Individual_Family="","",Year2_Slough Year2_ReferralSource_Individual_Family)</f>
        <v>261</v>
      </c>
      <c r="AD123" s="1590">
        <f>IF(Year3_Slough Year3_ReferralSource_Individual_Family="","",Year3_Slough Year3_ReferralSource_Individual_Family)</f>
        <v>110</v>
      </c>
      <c r="AE123" s="1590">
        <f>IF(Year4_Slough Year4_ReferralSource_Individual_Family="","",Year4_Slough Year4_ReferralSource_Individual_Family)</f>
        <v>138</v>
      </c>
      <c r="AF123" s="1591">
        <f>IF(Year5_Slough Year5_ReferralSource_Individual_Family="","",Year5_Slough Year5_ReferralSource_Individual_Family)</f>
        <v>104</v>
      </c>
      <c r="AG123" s="1589" t="str">
        <f>IF(Year1_Slough Year1_ReferralSource_Individual_Acquaintance="","",Year1_Slough Year1_ReferralSource_Individual_Acquaintance)</f>
        <v/>
      </c>
      <c r="AH123" s="1590" t="str">
        <f>IF(Year2_Slough Year2_ReferralSource_Individual_Acquaintance="","",Year2_Slough Year2_ReferralSource_Individual_Acquaintance)</f>
        <v/>
      </c>
      <c r="AI123" s="1590" t="str">
        <f>IF(Year3_Slough Year3_ReferralSource_Individual_Acquaintance="","",Year3_Slough Year3_ReferralSource_Individual_Acquaintance)</f>
        <v/>
      </c>
      <c r="AJ123" s="1590" t="str">
        <f>IF(Year4_Slough Year4_ReferralSource_Individual_Acquaintance="","",Year4_Slough Year4_ReferralSource_Individual_Acquaintance)</f>
        <v/>
      </c>
      <c r="AK123" s="1591" t="str">
        <f>IF(Year5_Slough Year5_ReferralSource_Individual_Acquaintance="","",Year5_Slough Year5_ReferralSource_Individual_Acquaintance)</f>
        <v/>
      </c>
      <c r="AL123" s="1589" t="str">
        <f>IF(Year1_Slough Year1_ReferralSource_Individual_Self="","",Year1_Slough Year1_ReferralSource_Individual_Self)</f>
        <v/>
      </c>
      <c r="AM123" s="1590" t="str">
        <f>IF(Year2_Slough Year2_ReferralSource_Individual_Self="","",Year2_Slough Year2_ReferralSource_Individual_Self)</f>
        <v/>
      </c>
      <c r="AN123" s="1590" t="str">
        <f>IF(Year3_Slough Year3_ReferralSource_Individual_Self="","",Year3_Slough Year3_ReferralSource_Individual_Self)</f>
        <v/>
      </c>
      <c r="AO123" s="1590" t="str">
        <f>IF(Year4_Slough Year4_ReferralSource_Individual_Self="","",Year4_Slough Year4_ReferralSource_Individual_Self)</f>
        <v/>
      </c>
      <c r="AP123" s="1591" t="str">
        <f>IF(Year5_Slough Year5_ReferralSource_Individual_Self="","",Year5_Slough Year5_ReferralSource_Individual_Self)</f>
        <v/>
      </c>
      <c r="AQ123" s="1589" t="str">
        <f>IF(Year1_Slough Year1_ReferralSource_Individual_Other="","",Year1_Slough Year1_ReferralSource_Individual_Other)</f>
        <v/>
      </c>
      <c r="AR123" s="1590" t="str">
        <f>IF(Year2_Slough Year2_ReferralSource_Individual_Other="","",Year2_Slough Year2_ReferralSource_Individual_Other)</f>
        <v/>
      </c>
      <c r="AS123" s="1590" t="str">
        <f>IF(Year3_Slough Year3_ReferralSource_Individual_Other="","",Year3_Slough Year3_ReferralSource_Individual_Other)</f>
        <v/>
      </c>
      <c r="AT123" s="1590" t="str">
        <f>IF(Year4_Slough Year4_ReferralSource_Individual_Other="","",Year4_Slough Year4_ReferralSource_Individual_Other)</f>
        <v/>
      </c>
      <c r="AU123" s="1591" t="str">
        <f>IF(Year5_Slough Year5_ReferralSource_Individual_Other="","",Year5_Slough Year5_ReferralSource_Individual_Other)</f>
        <v/>
      </c>
      <c r="AV123" s="1589">
        <f>IF(Year1_Slough Year1_ReferralSource_School="","",Year1_Slough Year1_ReferralSource_School)</f>
        <v>524</v>
      </c>
      <c r="AW123" s="1590">
        <f>IF(Year2_Slough Year2_ReferralSource_School="","",Year2_Slough Year2_ReferralSource_School)</f>
        <v>712</v>
      </c>
      <c r="AX123" s="1590">
        <f>IF(Year3_Slough Year3_ReferralSource_School="","",Year3_Slough Year3_ReferralSource_School)</f>
        <v>266</v>
      </c>
      <c r="AY123" s="1590">
        <f>IF(Year4_Slough Year4_ReferralSource_School="","",Year4_Slough Year4_ReferralSource_School)</f>
        <v>459</v>
      </c>
      <c r="AZ123" s="1591">
        <f>IF(Year5_Slough Year5_ReferralSource_School="","",Year5_Slough Year5_ReferralSource_School)</f>
        <v>613</v>
      </c>
      <c r="BA123" s="1589">
        <f>IF(Year1_Slough Year1_ReferralSource_EducationServices="","",Year1_Slough Year1_ReferralSource_EducationServices)</f>
        <v>48</v>
      </c>
      <c r="BB123" s="1590">
        <f>IF(Year2_Slough Year2_ReferralSource_EducationServices="","",Year2_Slough Year2_ReferralSource_EducationServices)</f>
        <v>62</v>
      </c>
      <c r="BC123" s="1590">
        <f>IF(Year3_Slough Year3_ReferralSource_EducationServices="","",Year3_Slough Year3_ReferralSource_EducationServices)</f>
        <v>12</v>
      </c>
      <c r="BD123" s="1590">
        <f>IF(Year4_Slough Year4_ReferralSource_EducationServices="","",Year4_Slough Year4_ReferralSource_EducationServices)</f>
        <v>0</v>
      </c>
      <c r="BE123" s="1591">
        <f>IF(Year5_Slough Year5_ReferralSource_EducationServices="","",Year5_Slough Year5_ReferralSource_EducationServices)</f>
        <v>21</v>
      </c>
      <c r="BF123" s="1592">
        <f>IF(Year1_Slough Year1_ReferralSource_Health_services_GP="","",Year1_Slough Year1_ReferralSource_Health_services_GP)</f>
        <v>346</v>
      </c>
      <c r="BG123" s="1593">
        <f>IF(Year2_Slough Year2_ReferralSource_Health_services_GP="","",Year2_Slough Year2_ReferralSource_Health_services_GP)</f>
        <v>690</v>
      </c>
      <c r="BH123" s="1593">
        <f>IF(Year3_Slough Year3_ReferralSource_Health_services_GP="","",Year3_Slough Year3_ReferralSource_Health_services_GP)</f>
        <v>200</v>
      </c>
      <c r="BI123" s="1593">
        <f>IF(Year4_Slough Year4_ReferralSource_Health_services_GP="","",Year4_Slough Year4_ReferralSource_Health_services_GP)</f>
        <v>209</v>
      </c>
      <c r="BJ123" s="1594">
        <f>IF(Year5_Slough Year5_ReferralSource_Health_services_GP="","",Year5_Slough Year5_ReferralSource_Health_services_GP)</f>
        <v>344</v>
      </c>
      <c r="BK123" s="1592" t="str">
        <f>IF(Year1_Slough Year1_ReferralSource_Health_services_HealthVisitor="","",Year1_Slough Year1_ReferralSource_Health_services_HealthVisitor)</f>
        <v/>
      </c>
      <c r="BL123" s="1593" t="str">
        <f>IF(Year2_Slough Year2_ReferralSource_Health_services_HealthVisitor="","",Year2_Slough Year2_ReferralSource_Health_services_HealthVisitor)</f>
        <v/>
      </c>
      <c r="BM123" s="1593" t="str">
        <f>IF(Year3_Slough Year3_ReferralSource_Health_services_HealthVisitor="","",Year3_Slough Year3_ReferralSource_Health_services_HealthVisitor)</f>
        <v/>
      </c>
      <c r="BN123" s="1593" t="str">
        <f>IF(Year4_Slough Year4_ReferralSource_Health_services_HealthVisitor="","",Year4_Slough Year4_ReferralSource_Health_services_HealthVisitor)</f>
        <v/>
      </c>
      <c r="BO123" s="1594" t="str">
        <f>IF(Year5_Slough Year5_ReferralSource_Health_services_HealthVisitor="","",Year5_Slough Year5_ReferralSource_Health_services_HealthVisitor)</f>
        <v/>
      </c>
      <c r="BP123" s="1592" t="str">
        <f>IF(Year1_Slough Year1_ReferralSource_Health_services_SchoolNurse="","",Year1_Slough Year1_ReferralSource_Health_services_SchoolNurse)</f>
        <v/>
      </c>
      <c r="BQ123" s="1593" t="str">
        <f>IF(Year2_Slough Year2_ReferralSource_Health_services_SchoolNurse="","",Year2_Slough Year2_ReferralSource_Health_services_SchoolNurse)</f>
        <v/>
      </c>
      <c r="BR123" s="1593" t="str">
        <f>IF(Year3_Slough Year3_ReferralSource_Health_services_SchoolNurse="","",Year3_Slough Year3_ReferralSource_Health_services_SchoolNurse)</f>
        <v/>
      </c>
      <c r="BS123" s="1593" t="str">
        <f>IF(Year4_Slough Year4_ReferralSource_Health_services_SchoolNurse="","",Year4_Slough Year4_ReferralSource_Health_services_SchoolNurse)</f>
        <v/>
      </c>
      <c r="BT123" s="1594" t="str">
        <f>IF(Year5_Slough Year5_ReferralSource_Health_services_SchoolNurse="","",Year5_Slough Year5_ReferralSource_Health_services_SchoolNurse)</f>
        <v/>
      </c>
      <c r="BU123" s="1592" t="str">
        <f>IF(Year1_Slough Year1_ReferralSource_Health_services_OthPrimary="","",Year1_Slough Year1_ReferralSource_Health_services_OthPrimary)</f>
        <v/>
      </c>
      <c r="BV123" s="1593" t="str">
        <f>IF(Year2_Slough Year2_ReferralSource_Health_services_OthPrimary="","",Year2_Slough Year2_ReferralSource_Health_services_OthPrimary)</f>
        <v/>
      </c>
      <c r="BW123" s="1593" t="str">
        <f>IF(Year3_Slough Year3_ReferralSource_Health_services_OthPrimary="","",Year3_Slough Year3_ReferralSource_Health_services_OthPrimary)</f>
        <v/>
      </c>
      <c r="BX123" s="1593" t="str">
        <f>IF(Year4_Slough Year4_ReferralSource_Health_services_OthPrimary="","",Year4_Slough Year4_ReferralSource_Health_services_OthPrimary)</f>
        <v/>
      </c>
      <c r="BY123" s="1594" t="str">
        <f>IF(Year5_Slough Year5_ReferralSource_Health_services_OthPrimary="","",Year5_Slough Year5_ReferralSource_Health_services_OthPrimary)</f>
        <v/>
      </c>
      <c r="BZ123" s="1592" t="str">
        <f>IF(Year1_Slough Year1_ReferralSource_Health_services_AE="","",Year1_Slough Year1_ReferralSource_Health_services_AE)</f>
        <v/>
      </c>
      <c r="CA123" s="1593" t="str">
        <f>IF(Year2_Slough Year2_ReferralSource_Health_services_AE="","",Year2_Slough Year2_ReferralSource_Health_services_AE)</f>
        <v/>
      </c>
      <c r="CB123" s="1593" t="str">
        <f>IF(Year3_Slough Year3_ReferralSource_Health_services_AE="","",Year3_Slough Year3_ReferralSource_Health_services_AE)</f>
        <v/>
      </c>
      <c r="CC123" s="1593" t="str">
        <f>IF(Year4_Slough Year4_ReferralSource_Health_services_AE="","",Year4_Slough Year4_ReferralSource_Health_services_AE)</f>
        <v/>
      </c>
      <c r="CD123" s="1594" t="str">
        <f>IF(Year5_Slough Year5_ReferralSource_Health_services_AE="","",Year5_Slough Year5_ReferralSource_Health_services_AE)</f>
        <v/>
      </c>
      <c r="CE123" s="885" t="str">
        <f>IF(Year1_Slough Year1_ReferralSource_Health_services_Other="","",Year1_Slough Year1_ReferralSource_Health_services_Other)</f>
        <v/>
      </c>
      <c r="CF123" s="886" t="str">
        <f>IF(Year2_Slough Year2_ReferralSource_Health_services_Other="","",Year2_Slough Year2_ReferralSource_Health_services_Other)</f>
        <v/>
      </c>
      <c r="CG123" s="886" t="str">
        <f>IF(Year3_Slough Year3_ReferralSource_Health_services_Other="","",Year3_Slough Year3_ReferralSource_Health_services_Other)</f>
        <v/>
      </c>
      <c r="CH123" s="886" t="str">
        <f>IF(Year4_Slough Year4_ReferralSource_Health_services_Other="","",Year4_Slough Year4_ReferralSource_Health_services_Other)</f>
        <v/>
      </c>
      <c r="CI123" s="887" t="str">
        <f>IF(Year5_Slough Year5_ReferralSource_Health_services_Other="","",Year5_Slough Year5_ReferralSource_Health_services_Other)</f>
        <v/>
      </c>
      <c r="CJ123" s="879">
        <f>IF(Year1_Slough Year1_ReferralSource_Housing="","",Year1_Slough Year1_ReferralSource_Housing)</f>
        <v>21</v>
      </c>
      <c r="CK123" s="880" t="str">
        <f>IF(Year2_Slough Year2_ReferralSource_Housing="","",Year2_Slough Year2_ReferralSource_Housing)</f>
        <v>x</v>
      </c>
      <c r="CL123" s="880" t="str">
        <f>IF(Year3_Slough Year3_ReferralSource_Housing="","",Year3_Slough Year3_ReferralSource_Housing)</f>
        <v>x</v>
      </c>
      <c r="CM123" s="880">
        <f>IF(Year4_Slough Year4_ReferralSource_Housing="","",Year4_Slough Year4_ReferralSource_Housing)</f>
        <v>0</v>
      </c>
      <c r="CN123" s="881">
        <f>IF(Year5_Slough Year5_ReferralSource_Housing="","",Year5_Slough Year5_ReferralSource_Housing)</f>
        <v>0</v>
      </c>
      <c r="CO123" s="879">
        <f>IF(Year1_Slough Year1_ReferralSource_LA_SC="","",Year1_Slough Year1_ReferralSource_LA_SC)</f>
        <v>553</v>
      </c>
      <c r="CP123" s="880">
        <f>IF(Year2_Slough Year2_ReferralSource_LA_SC="","",Year2_Slough Year2_ReferralSource_LA_SC)</f>
        <v>997</v>
      </c>
      <c r="CQ123" s="880">
        <f>IF(Year3_Slough Year3_ReferralSource_LA_SC="","",Year3_Slough Year3_ReferralSource_LA_SC)</f>
        <v>368</v>
      </c>
      <c r="CR123" s="880">
        <f>IF(Year4_Slough Year4_ReferralSource_LA_SC="","",Year4_Slough Year4_ReferralSource_LA_SC)</f>
        <v>331</v>
      </c>
      <c r="CS123" s="881">
        <f>IF(Year5_Slough Year5_ReferralSource_LA_SC="","",Year5_Slough Year5_ReferralSource_LA_SC)</f>
        <v>391</v>
      </c>
      <c r="CT123" s="879" t="str">
        <f>IF(Year1_Slough Year1_ReferralSource_LA_Other="","",Year1_Slough Year1_ReferralSource_LA_Other)</f>
        <v/>
      </c>
      <c r="CU123" s="880" t="str">
        <f>IF(Year2_Slough Year2_ReferralSource_LA_Other="","",Year2_Slough Year2_ReferralSource_LA_Other)</f>
        <v/>
      </c>
      <c r="CV123" s="880" t="str">
        <f>IF(Year3_Slough Year3_ReferralSource_LA_Other="","",Year3_Slough Year3_ReferralSource_LA_Other)</f>
        <v/>
      </c>
      <c r="CW123" s="880" t="str">
        <f>IF(Year4_Slough Year4_ReferralSource_LA_Other="","",Year4_Slough Year4_ReferralSource_LA_Other)</f>
        <v/>
      </c>
      <c r="CX123" s="881" t="str">
        <f>IF(Year5_Slough Year5_ReferralSource_LA_Other="","",Year5_Slough Year5_ReferralSource_LA_Other)</f>
        <v/>
      </c>
      <c r="CY123" s="879" t="str">
        <f>IF(Year1_Slough Year1_ReferralSource_LA_External="","",Year1_Slough Year1_ReferralSource_LA_External)</f>
        <v/>
      </c>
      <c r="CZ123" s="880" t="str">
        <f>IF(Year2_Slough Year2_ReferralSource_LA_External="","",Year2_Slough Year2_ReferralSource_LA_External)</f>
        <v/>
      </c>
      <c r="DA123" s="880" t="str">
        <f>IF(Year3_Slough Year3_ReferralSource_LA_External="","",Year3_Slough Year3_ReferralSource_LA_External)</f>
        <v/>
      </c>
      <c r="DB123" s="880" t="str">
        <f>IF(Year4_Slough Year4_ReferralSource_LA_External="","",Year4_Slough Year4_ReferralSource_LA_External)</f>
        <v/>
      </c>
      <c r="DC123" s="881" t="str">
        <f>IF(Year5_Slough Year5_ReferralSource_LA_External="","",Year5_Slough Year5_ReferralSource_LA_External)</f>
        <v/>
      </c>
      <c r="DD123" s="879">
        <f>IF(Year1_Slough Year1_ReferralSource_Police="","",Year1_Slough Year1_ReferralSource_Police)</f>
        <v>917</v>
      </c>
      <c r="DE123" s="880">
        <f>IF(Year2_Slough Year2_ReferralSource_Police="","",Year2_Slough Year2_ReferralSource_Police)</f>
        <v>2192</v>
      </c>
      <c r="DF123" s="880">
        <f>IF(Year3_Slough Year3_ReferralSource_Police="","",Year3_Slough Year3_ReferralSource_Police)</f>
        <v>515</v>
      </c>
      <c r="DG123" s="880">
        <f>IF(Year4_Slough Year4_ReferralSource_Police="","",Year4_Slough Year4_ReferralSource_Police)</f>
        <v>624</v>
      </c>
      <c r="DH123" s="881">
        <f>IF(Year5_Slough Year5_ReferralSource_Police="","",Year5_Slough Year5_ReferralSource_Police)</f>
        <v>825</v>
      </c>
      <c r="DI123" s="879">
        <f>IF(Year1_Slough Year1_ReferralSource_Other_Legal="","",Year1_Slough Year1_ReferralSource_Other_Legal)</f>
        <v>68</v>
      </c>
      <c r="DJ123" s="880">
        <f>IF(Year2_Slough Year2_ReferralSource_Other_Legal="","",Year2_Slough Year2_ReferralSource_Other_Legal)</f>
        <v>574</v>
      </c>
      <c r="DK123" s="880">
        <f>IF(Year3_Slough Year3_ReferralSource_Other_Legal="","",Year3_Slough Year3_ReferralSource_Other_Legal)</f>
        <v>45</v>
      </c>
      <c r="DL123" s="880">
        <f>IF(Year4_Slough Year4_ReferralSource_Other_Legal="","",Year4_Slough Year4_ReferralSource_Other_Legal)</f>
        <v>69</v>
      </c>
      <c r="DM123" s="881">
        <f>IF(Year5_Slough Year5_ReferralSource_Other_Legal="","",Year5_Slough Year5_ReferralSource_Other_Legal)</f>
        <v>91</v>
      </c>
      <c r="DN123" s="879">
        <f>IF(Year1_Slough Year1_ReferralSource_Other="","",Year1_Slough Year1_ReferralSource_Other)</f>
        <v>89</v>
      </c>
      <c r="DO123" s="880">
        <f>IF(Year2_Slough Year2_ReferralSource_Other="","",Year2_Slough Year2_ReferralSource_Other)</f>
        <v>164</v>
      </c>
      <c r="DP123" s="880">
        <f>IF(Year3_Slough Year3_ReferralSource_Other="","",Year3_Slough Year3_ReferralSource_Other)</f>
        <v>29</v>
      </c>
      <c r="DQ123" s="880">
        <f>IF(Year4_Slough Year4_ReferralSource_Other="","",Year4_Slough Year4_ReferralSource_Other)</f>
        <v>124</v>
      </c>
      <c r="DR123" s="881">
        <f>IF(Year5_Slough Year5_ReferralSource_Other="","",Year5_Slough Year5_ReferralSource_Other)</f>
        <v>107</v>
      </c>
      <c r="DS123" s="879">
        <f>IF(Year1_Slough Year1_ReferralSource_Anonymous="","",Year1_Slough Year1_ReferralSource_Anonymous)</f>
        <v>31</v>
      </c>
      <c r="DT123" s="880">
        <f>IF(Year2_Slough Year2_ReferralSource_Anonymous="","",Year2_Slough Year2_ReferralSource_Anonymous)</f>
        <v>32</v>
      </c>
      <c r="DU123" s="880">
        <f>IF(Year3_Slough Year3_ReferralSource_Anonymous="","",Year3_Slough Year3_ReferralSource_Anonymous)</f>
        <v>43</v>
      </c>
      <c r="DV123" s="880">
        <f>IF(Year4_Slough Year4_ReferralSource_Anonymous="","",Year4_Slough Year4_ReferralSource_Anonymous)</f>
        <v>21</v>
      </c>
      <c r="DW123" s="881">
        <f>IF(Year5_Slough Year5_ReferralSource_Anonymous="","",Year5_Slough Year5_ReferralSource_Anonymous)</f>
        <v>44</v>
      </c>
      <c r="DX123" s="879">
        <f>IF(Year1_Slough Year1_ReferralSource_Unknown="","",Year1_Slough Year1_ReferralSource_Unknown)</f>
        <v>0</v>
      </c>
      <c r="DY123" s="880" t="str">
        <f>IF(Year2_Slough Year2_ReferralSource_Unknown="","",Year2_Slough Year2_ReferralSource_Unknown)</f>
        <v>x</v>
      </c>
      <c r="DZ123" s="880" t="str">
        <f>IF(Year3_Slough Year3_ReferralSource_Unknown="","",Year3_Slough Year3_ReferralSource_Unknown)</f>
        <v>x</v>
      </c>
      <c r="EA123" s="880">
        <f>IF(Year4_Slough Year4_ReferralSource_Unknown="","",Year4_Slough Year4_ReferralSource_Unknown)</f>
        <v>0</v>
      </c>
      <c r="EB123" s="881">
        <f>IF(Year5_Slough Year5_ReferralSource_Unknown="","",Year5_Slough Year5_ReferralSource_Unknown)</f>
        <v>0</v>
      </c>
    </row>
    <row r="124" spans="1:132" s="81" customFormat="1" ht="16.5" customHeight="1" x14ac:dyDescent="0.2">
      <c r="A124" s="278"/>
      <c r="B124" s="175" t="str">
        <f>Sheet1!$K$17</f>
        <v>Somerset</v>
      </c>
      <c r="C124" s="9"/>
      <c r="D124" s="1893"/>
      <c r="E124" s="1894"/>
      <c r="F124" s="1893"/>
      <c r="G124" s="1894"/>
      <c r="H124" s="1893"/>
      <c r="I124" s="1894"/>
      <c r="J124" s="1893"/>
      <c r="K124" s="1894"/>
      <c r="L124" s="1893"/>
      <c r="M124" s="1894"/>
      <c r="N124" s="1893"/>
      <c r="O124" s="1894"/>
      <c r="P124" s="1893"/>
      <c r="Q124" s="1894"/>
      <c r="R124" s="1893"/>
      <c r="S124" s="1894"/>
      <c r="T124" s="1893"/>
      <c r="U124" s="1894"/>
      <c r="V124" s="1893"/>
      <c r="W124" s="1894"/>
      <c r="X124" s="14"/>
      <c r="Y124" s="117"/>
      <c r="Z124" s="137"/>
      <c r="AB124" s="1595">
        <f>IF(Year1_Somerset Year1_ReferralSource_Individual_Family="","",Year1_Somerset Year1_ReferralSource_Individual_Family)</f>
        <v>512</v>
      </c>
      <c r="AC124" s="1596">
        <f>IF(Year2_Somerset Year2_ReferralSource_Individual_Family="","",Year2_Somerset Year2_ReferralSource_Individual_Family)</f>
        <v>621</v>
      </c>
      <c r="AD124" s="1596">
        <f>IF(Year3_Somerset Year3_ReferralSource_Individual_Family="","",Year3_Somerset Year3_ReferralSource_Individual_Family)</f>
        <v>641</v>
      </c>
      <c r="AE124" s="1596">
        <f>IF(Year4_Somerset Year4_ReferralSource_Individual_Family="","",Year4_Somerset Year4_ReferralSource_Individual_Family)</f>
        <v>92</v>
      </c>
      <c r="AF124" s="1597">
        <f>IF(Year5_Somerset Year5_ReferralSource_Individual_Family="","",Year5_Somerset Year5_ReferralSource_Individual_Family)</f>
        <v>314</v>
      </c>
      <c r="AG124" s="1595" t="str">
        <f>IF(Year1_Somerset Year1_ReferralSource_Individual_Acquaintance="","",Year1_Somerset Year1_ReferralSource_Individual_Acquaintance)</f>
        <v/>
      </c>
      <c r="AH124" s="1596" t="str">
        <f>IF(Year2_Somerset Year2_ReferralSource_Individual_Acquaintance="","",Year2_Somerset Year2_ReferralSource_Individual_Acquaintance)</f>
        <v/>
      </c>
      <c r="AI124" s="1596" t="str">
        <f>IF(Year3_Somerset Year3_ReferralSource_Individual_Acquaintance="","",Year3_Somerset Year3_ReferralSource_Individual_Acquaintance)</f>
        <v/>
      </c>
      <c r="AJ124" s="1596" t="str">
        <f>IF(Year4_Somerset Year4_ReferralSource_Individual_Acquaintance="","",Year4_Somerset Year4_ReferralSource_Individual_Acquaintance)</f>
        <v/>
      </c>
      <c r="AK124" s="1597" t="str">
        <f>IF(Year5_Somerset Year5_ReferralSource_Individual_Acquaintance="","",Year5_Somerset Year5_ReferralSource_Individual_Acquaintance)</f>
        <v/>
      </c>
      <c r="AL124" s="1595" t="str">
        <f>IF(Year1_Somerset Year1_ReferralSource_Individual_Self="","",Year1_Somerset Year1_ReferralSource_Individual_Self)</f>
        <v/>
      </c>
      <c r="AM124" s="1596" t="str">
        <f>IF(Year2_Somerset Year2_ReferralSource_Individual_Self="","",Year2_Somerset Year2_ReferralSource_Individual_Self)</f>
        <v/>
      </c>
      <c r="AN124" s="1596" t="str">
        <f>IF(Year3_Somerset Year3_ReferralSource_Individual_Self="","",Year3_Somerset Year3_ReferralSource_Individual_Self)</f>
        <v/>
      </c>
      <c r="AO124" s="1596" t="str">
        <f>IF(Year4_Somerset Year4_ReferralSource_Individual_Self="","",Year4_Somerset Year4_ReferralSource_Individual_Self)</f>
        <v/>
      </c>
      <c r="AP124" s="1597" t="str">
        <f>IF(Year5_Somerset Year5_ReferralSource_Individual_Self="","",Year5_Somerset Year5_ReferralSource_Individual_Self)</f>
        <v/>
      </c>
      <c r="AQ124" s="1595" t="str">
        <f>IF(Year1_Somerset Year1_ReferralSource_Individual_Other="","",Year1_Somerset Year1_ReferralSource_Individual_Other)</f>
        <v/>
      </c>
      <c r="AR124" s="1596" t="str">
        <f>IF(Year2_Somerset Year2_ReferralSource_Individual_Other="","",Year2_Somerset Year2_ReferralSource_Individual_Other)</f>
        <v/>
      </c>
      <c r="AS124" s="1596" t="str">
        <f>IF(Year3_Somerset Year3_ReferralSource_Individual_Other="","",Year3_Somerset Year3_ReferralSource_Individual_Other)</f>
        <v/>
      </c>
      <c r="AT124" s="1596" t="str">
        <f>IF(Year4_Somerset Year4_ReferralSource_Individual_Other="","",Year4_Somerset Year4_ReferralSource_Individual_Other)</f>
        <v/>
      </c>
      <c r="AU124" s="1597" t="str">
        <f>IF(Year5_Somerset Year5_ReferralSource_Individual_Other="","",Year5_Somerset Year5_ReferralSource_Individual_Other)</f>
        <v/>
      </c>
      <c r="AV124" s="1595">
        <f>IF(Year1_Somerset Year1_ReferralSource_School="","",Year1_Somerset Year1_ReferralSource_School)</f>
        <v>733</v>
      </c>
      <c r="AW124" s="1596">
        <f>IF(Year2_Somerset Year2_ReferralSource_School="","",Year2_Somerset Year2_ReferralSource_School)</f>
        <v>809</v>
      </c>
      <c r="AX124" s="1596">
        <f>IF(Year3_Somerset Year3_ReferralSource_School="","",Year3_Somerset Year3_ReferralSource_School)</f>
        <v>669</v>
      </c>
      <c r="AY124" s="1596">
        <f>IF(Year4_Somerset Year4_ReferralSource_School="","",Year4_Somerset Year4_ReferralSource_School)</f>
        <v>561</v>
      </c>
      <c r="AZ124" s="1597">
        <f>IF(Year5_Somerset Year5_ReferralSource_School="","",Year5_Somerset Year5_ReferralSource_School)</f>
        <v>459</v>
      </c>
      <c r="BA124" s="1595">
        <f>IF(Year1_Somerset Year1_ReferralSource_EducationServices="","",Year1_Somerset Year1_ReferralSource_EducationServices)</f>
        <v>85</v>
      </c>
      <c r="BB124" s="1596">
        <f>IF(Year2_Somerset Year2_ReferralSource_EducationServices="","",Year2_Somerset Year2_ReferralSource_EducationServices)</f>
        <v>104</v>
      </c>
      <c r="BC124" s="1596">
        <f>IF(Year3_Somerset Year3_ReferralSource_EducationServices="","",Year3_Somerset Year3_ReferralSource_EducationServices)</f>
        <v>67</v>
      </c>
      <c r="BD124" s="1596">
        <f>IF(Year4_Somerset Year4_ReferralSource_EducationServices="","",Year4_Somerset Year4_ReferralSource_EducationServices)</f>
        <v>0</v>
      </c>
      <c r="BE124" s="1597">
        <f>IF(Year5_Somerset Year5_ReferralSource_EducationServices="","",Year5_Somerset Year5_ReferralSource_EducationServices)</f>
        <v>32</v>
      </c>
      <c r="BF124" s="888">
        <f>IF(Year1_Somerset Year1_ReferralSource_Health_services_GP="","",Year1_Somerset Year1_ReferralSource_Health_services_GP)</f>
        <v>686</v>
      </c>
      <c r="BG124" s="889">
        <f>IF(Year2_Somerset Year2_ReferralSource_Health_services_GP="","",Year2_Somerset Year2_ReferralSource_Health_services_GP)</f>
        <v>670</v>
      </c>
      <c r="BH124" s="889">
        <f>IF(Year3_Somerset Year3_ReferralSource_Health_services_GP="","",Year3_Somerset Year3_ReferralSource_Health_services_GP)</f>
        <v>806</v>
      </c>
      <c r="BI124" s="889">
        <f>IF(Year4_Somerset Year4_ReferralSource_Health_services_GP="","",Year4_Somerset Year4_ReferralSource_Health_services_GP)</f>
        <v>363</v>
      </c>
      <c r="BJ124" s="890">
        <f>IF(Year5_Somerset Year5_ReferralSource_Health_services_GP="","",Year5_Somerset Year5_ReferralSource_Health_services_GP)</f>
        <v>520</v>
      </c>
      <c r="BK124" s="888" t="str">
        <f>IF(Year1_Somerset Year1_ReferralSource_Health_services_HealthVisitor="","",Year1_Somerset Year1_ReferralSource_Health_services_HealthVisitor)</f>
        <v/>
      </c>
      <c r="BL124" s="889" t="str">
        <f>IF(Year2_Somerset Year2_ReferralSource_Health_services_HealthVisitor="","",Year2_Somerset Year2_ReferralSource_Health_services_HealthVisitor)</f>
        <v/>
      </c>
      <c r="BM124" s="889" t="str">
        <f>IF(Year3_Somerset Year3_ReferralSource_Health_services_HealthVisitor="","",Year3_Somerset Year3_ReferralSource_Health_services_HealthVisitor)</f>
        <v/>
      </c>
      <c r="BN124" s="889" t="str">
        <f>IF(Year4_Somerset Year4_ReferralSource_Health_services_HealthVisitor="","",Year4_Somerset Year4_ReferralSource_Health_services_HealthVisitor)</f>
        <v/>
      </c>
      <c r="BO124" s="890" t="str">
        <f>IF(Year5_Somerset Year5_ReferralSource_Health_services_HealthVisitor="","",Year5_Somerset Year5_ReferralSource_Health_services_HealthVisitor)</f>
        <v/>
      </c>
      <c r="BP124" s="888" t="str">
        <f>IF(Year1_Somerset Year1_ReferralSource_Health_services_SchoolNurse="","",Year1_Somerset Year1_ReferralSource_Health_services_SchoolNurse)</f>
        <v/>
      </c>
      <c r="BQ124" s="889" t="str">
        <f>IF(Year2_Somerset Year2_ReferralSource_Health_services_SchoolNurse="","",Year2_Somerset Year2_ReferralSource_Health_services_SchoolNurse)</f>
        <v/>
      </c>
      <c r="BR124" s="889" t="str">
        <f>IF(Year3_Somerset Year3_ReferralSource_Health_services_SchoolNurse="","",Year3_Somerset Year3_ReferralSource_Health_services_SchoolNurse)</f>
        <v/>
      </c>
      <c r="BS124" s="889" t="str">
        <f>IF(Year4_Somerset Year4_ReferralSource_Health_services_SchoolNurse="","",Year4_Somerset Year4_ReferralSource_Health_services_SchoolNurse)</f>
        <v/>
      </c>
      <c r="BT124" s="890" t="str">
        <f>IF(Year5_Somerset Year5_ReferralSource_Health_services_SchoolNurse="","",Year5_Somerset Year5_ReferralSource_Health_services_SchoolNurse)</f>
        <v/>
      </c>
      <c r="BU124" s="888" t="str">
        <f>IF(Year1_Somerset Year1_ReferralSource_Health_services_OthPrimary="","",Year1_Somerset Year1_ReferralSource_Health_services_OthPrimary)</f>
        <v/>
      </c>
      <c r="BV124" s="889" t="str">
        <f>IF(Year2_Somerset Year2_ReferralSource_Health_services_OthPrimary="","",Year2_Somerset Year2_ReferralSource_Health_services_OthPrimary)</f>
        <v/>
      </c>
      <c r="BW124" s="889" t="str">
        <f>IF(Year3_Somerset Year3_ReferralSource_Health_services_OthPrimary="","",Year3_Somerset Year3_ReferralSource_Health_services_OthPrimary)</f>
        <v/>
      </c>
      <c r="BX124" s="889" t="str">
        <f>IF(Year4_Somerset Year4_ReferralSource_Health_services_OthPrimary="","",Year4_Somerset Year4_ReferralSource_Health_services_OthPrimary)</f>
        <v/>
      </c>
      <c r="BY124" s="890" t="str">
        <f>IF(Year5_Somerset Year5_ReferralSource_Health_services_OthPrimary="","",Year5_Somerset Year5_ReferralSource_Health_services_OthPrimary)</f>
        <v/>
      </c>
      <c r="BZ124" s="888" t="str">
        <f>IF(Year1_Somerset Year1_ReferralSource_Health_services_AE="","",Year1_Somerset Year1_ReferralSource_Health_services_AE)</f>
        <v/>
      </c>
      <c r="CA124" s="889" t="str">
        <f>IF(Year2_Somerset Year2_ReferralSource_Health_services_AE="","",Year2_Somerset Year2_ReferralSource_Health_services_AE)</f>
        <v/>
      </c>
      <c r="CB124" s="889" t="str">
        <f>IF(Year3_Somerset Year3_ReferralSource_Health_services_AE="","",Year3_Somerset Year3_ReferralSource_Health_services_AE)</f>
        <v/>
      </c>
      <c r="CC124" s="889" t="str">
        <f>IF(Year4_Somerset Year4_ReferralSource_Health_services_AE="","",Year4_Somerset Year4_ReferralSource_Health_services_AE)</f>
        <v/>
      </c>
      <c r="CD124" s="890" t="str">
        <f>IF(Year5_Somerset Year5_ReferralSource_Health_services_AE="","",Year5_Somerset Year5_ReferralSource_Health_services_AE)</f>
        <v/>
      </c>
      <c r="CE124" s="888" t="str">
        <f>IF(Year1_Somerset Year1_ReferralSource_Health_services_Other="","",Year1_Somerset Year1_ReferralSource_Health_services_Other)</f>
        <v/>
      </c>
      <c r="CF124" s="889" t="str">
        <f>IF(Year2_Somerset Year2_ReferralSource_Health_services_Other="","",Year2_Somerset Year2_ReferralSource_Health_services_Other)</f>
        <v/>
      </c>
      <c r="CG124" s="889" t="str">
        <f>IF(Year3_Somerset Year3_ReferralSource_Health_services_Other="","",Year3_Somerset Year3_ReferralSource_Health_services_Other)</f>
        <v/>
      </c>
      <c r="CH124" s="889" t="str">
        <f>IF(Year4_Somerset Year4_ReferralSource_Health_services_Other="","",Year4_Somerset Year4_ReferralSource_Health_services_Other)</f>
        <v/>
      </c>
      <c r="CI124" s="890" t="str">
        <f>IF(Year5_Somerset Year5_ReferralSource_Health_services_Other="","",Year5_Somerset Year5_ReferralSource_Health_services_Other)</f>
        <v/>
      </c>
      <c r="CJ124" s="873" t="str">
        <f>IF(Year1_Somerset Year1_ReferralSource_Housing="","",Year1_Somerset Year1_ReferralSource_Housing)</f>
        <v>x</v>
      </c>
      <c r="CK124" s="874">
        <f>IF(Year2_Somerset Year2_ReferralSource_Housing="","",Year2_Somerset Year2_ReferralSource_Housing)</f>
        <v>61</v>
      </c>
      <c r="CL124" s="874">
        <f>IF(Year3_Somerset Year3_ReferralSource_Housing="","",Year3_Somerset Year3_ReferralSource_Housing)</f>
        <v>28</v>
      </c>
      <c r="CM124" s="874">
        <f>IF(Year4_Somerset Year4_ReferralSource_Housing="","",Year4_Somerset Year4_ReferralSource_Housing)</f>
        <v>0</v>
      </c>
      <c r="CN124" s="875">
        <f>IF(Year5_Somerset Year5_ReferralSource_Housing="","",Year5_Somerset Year5_ReferralSource_Housing)</f>
        <v>15</v>
      </c>
      <c r="CO124" s="873">
        <f>IF(Year1_Somerset Year1_ReferralSource_LA_SC="","",Year1_Somerset Year1_ReferralSource_LA_SC)</f>
        <v>624</v>
      </c>
      <c r="CP124" s="874">
        <f>IF(Year2_Somerset Year2_ReferralSource_LA_SC="","",Year2_Somerset Year2_ReferralSource_LA_SC)</f>
        <v>638</v>
      </c>
      <c r="CQ124" s="874">
        <f>IF(Year3_Somerset Year3_ReferralSource_LA_SC="","",Year3_Somerset Year3_ReferralSource_LA_SC)</f>
        <v>565</v>
      </c>
      <c r="CR124" s="874">
        <f>IF(Year4_Somerset Year4_ReferralSource_LA_SC="","",Year4_Somerset Year4_ReferralSource_LA_SC)</f>
        <v>433</v>
      </c>
      <c r="CS124" s="875">
        <f>IF(Year5_Somerset Year5_ReferralSource_LA_SC="","",Year5_Somerset Year5_ReferralSource_LA_SC)</f>
        <v>538</v>
      </c>
      <c r="CT124" s="873" t="str">
        <f>IF(Year1_Somerset Year1_ReferralSource_LA_Other="","",Year1_Somerset Year1_ReferralSource_LA_Other)</f>
        <v/>
      </c>
      <c r="CU124" s="874" t="str">
        <f>IF(Year2_Somerset Year2_ReferralSource_LA_Other="","",Year2_Somerset Year2_ReferralSource_LA_Other)</f>
        <v/>
      </c>
      <c r="CV124" s="874" t="str">
        <f>IF(Year3_Somerset Year3_ReferralSource_LA_Other="","",Year3_Somerset Year3_ReferralSource_LA_Other)</f>
        <v/>
      </c>
      <c r="CW124" s="874" t="str">
        <f>IF(Year4_Somerset Year4_ReferralSource_LA_Other="","",Year4_Somerset Year4_ReferralSource_LA_Other)</f>
        <v/>
      </c>
      <c r="CX124" s="875" t="str">
        <f>IF(Year5_Somerset Year5_ReferralSource_LA_Other="","",Year5_Somerset Year5_ReferralSource_LA_Other)</f>
        <v/>
      </c>
      <c r="CY124" s="873" t="str">
        <f>IF(Year1_Somerset Year1_ReferralSource_LA_External="","",Year1_Somerset Year1_ReferralSource_LA_External)</f>
        <v/>
      </c>
      <c r="CZ124" s="874" t="str">
        <f>IF(Year2_Somerset Year2_ReferralSource_LA_External="","",Year2_Somerset Year2_ReferralSource_LA_External)</f>
        <v/>
      </c>
      <c r="DA124" s="874" t="str">
        <f>IF(Year3_Somerset Year3_ReferralSource_LA_External="","",Year3_Somerset Year3_ReferralSource_LA_External)</f>
        <v/>
      </c>
      <c r="DB124" s="874" t="str">
        <f>IF(Year4_Somerset Year4_ReferralSource_LA_External="","",Year4_Somerset Year4_ReferralSource_LA_External)</f>
        <v/>
      </c>
      <c r="DC124" s="875" t="str">
        <f>IF(Year5_Somerset Year5_ReferralSource_LA_External="","",Year5_Somerset Year5_ReferralSource_LA_External)</f>
        <v/>
      </c>
      <c r="DD124" s="873">
        <f>IF(Year1_Somerset Year1_ReferralSource_Police="","",Year1_Somerset Year1_ReferralSource_Police)</f>
        <v>955</v>
      </c>
      <c r="DE124" s="874">
        <f>IF(Year2_Somerset Year2_ReferralSource_Police="","",Year2_Somerset Year2_ReferralSource_Police)</f>
        <v>1336</v>
      </c>
      <c r="DF124" s="874">
        <f>IF(Year3_Somerset Year3_ReferralSource_Police="","",Year3_Somerset Year3_ReferralSource_Police)</f>
        <v>1651</v>
      </c>
      <c r="DG124" s="874">
        <f>IF(Year4_Somerset Year4_ReferralSource_Police="","",Year4_Somerset Year4_ReferralSource_Police)</f>
        <v>813</v>
      </c>
      <c r="DH124" s="875">
        <f>IF(Year5_Somerset Year5_ReferralSource_Police="","",Year5_Somerset Year5_ReferralSource_Police)</f>
        <v>1160</v>
      </c>
      <c r="DI124" s="873">
        <f>IF(Year1_Somerset Year1_ReferralSource_Other_Legal="","",Year1_Somerset Year1_ReferralSource_Other_Legal)</f>
        <v>107</v>
      </c>
      <c r="DJ124" s="874">
        <f>IF(Year2_Somerset Year2_ReferralSource_Other_Legal="","",Year2_Somerset Year2_ReferralSource_Other_Legal)</f>
        <v>136</v>
      </c>
      <c r="DK124" s="874">
        <f>IF(Year3_Somerset Year3_ReferralSource_Other_Legal="","",Year3_Somerset Year3_ReferralSource_Other_Legal)</f>
        <v>176</v>
      </c>
      <c r="DL124" s="874">
        <f>IF(Year4_Somerset Year4_ReferralSource_Other_Legal="","",Year4_Somerset Year4_ReferralSource_Other_Legal)</f>
        <v>65</v>
      </c>
      <c r="DM124" s="875">
        <f>IF(Year5_Somerset Year5_ReferralSource_Other_Legal="","",Year5_Somerset Year5_ReferralSource_Other_Legal)</f>
        <v>201</v>
      </c>
      <c r="DN124" s="873">
        <f>IF(Year1_Somerset Year1_ReferralSource_Other="","",Year1_Somerset Year1_ReferralSource_Other)</f>
        <v>185</v>
      </c>
      <c r="DO124" s="874">
        <f>IF(Year2_Somerset Year2_ReferralSource_Other="","",Year2_Somerset Year2_ReferralSource_Other)</f>
        <v>211</v>
      </c>
      <c r="DP124" s="874">
        <f>IF(Year3_Somerset Year3_ReferralSource_Other="","",Year3_Somerset Year3_ReferralSource_Other)</f>
        <v>343</v>
      </c>
      <c r="DQ124" s="874">
        <f>IF(Year4_Somerset Year4_ReferralSource_Other="","",Year4_Somerset Year4_ReferralSource_Other)</f>
        <v>179</v>
      </c>
      <c r="DR124" s="875">
        <f>IF(Year5_Somerset Year5_ReferralSource_Other="","",Year5_Somerset Year5_ReferralSource_Other)</f>
        <v>226</v>
      </c>
      <c r="DS124" s="873">
        <f>IF(Year1_Somerset Year1_ReferralSource_Anonymous="","",Year1_Somerset Year1_ReferralSource_Anonymous)</f>
        <v>184</v>
      </c>
      <c r="DT124" s="874">
        <f>IF(Year2_Somerset Year2_ReferralSource_Anonymous="","",Year2_Somerset Year2_ReferralSource_Anonymous)</f>
        <v>191</v>
      </c>
      <c r="DU124" s="874">
        <f>IF(Year3_Somerset Year3_ReferralSource_Anonymous="","",Year3_Somerset Year3_ReferralSource_Anonymous)</f>
        <v>207</v>
      </c>
      <c r="DV124" s="874">
        <f>IF(Year4_Somerset Year4_ReferralSource_Anonymous="","",Year4_Somerset Year4_ReferralSource_Anonymous)</f>
        <v>56</v>
      </c>
      <c r="DW124" s="875">
        <f>IF(Year5_Somerset Year5_ReferralSource_Anonymous="","",Year5_Somerset Year5_ReferralSource_Anonymous)</f>
        <v>136</v>
      </c>
      <c r="DX124" s="873" t="str">
        <f>IF(Year1_Somerset Year1_ReferralSource_Unknown="","",Year1_Somerset Year1_ReferralSource_Unknown)</f>
        <v>x</v>
      </c>
      <c r="DY124" s="874">
        <f>IF(Year2_Somerset Year2_ReferralSource_Unknown="","",Year2_Somerset Year2_ReferralSource_Unknown)</f>
        <v>0</v>
      </c>
      <c r="DZ124" s="874">
        <f>IF(Year3_Somerset Year3_ReferralSource_Unknown="","",Year3_Somerset Year3_ReferralSource_Unknown)</f>
        <v>12</v>
      </c>
      <c r="EA124" s="874">
        <f>IF(Year4_Somerset Year4_ReferralSource_Unknown="","",Year4_Somerset Year4_ReferralSource_Unknown)</f>
        <v>24</v>
      </c>
      <c r="EB124" s="875">
        <f>IF(Year5_Somerset Year5_ReferralSource_Unknown="","",Year5_Somerset Year5_ReferralSource_Unknown)</f>
        <v>18</v>
      </c>
    </row>
    <row r="125" spans="1:132" s="81" customFormat="1" ht="16.5" customHeight="1" x14ac:dyDescent="0.2">
      <c r="A125" s="278"/>
      <c r="B125" s="175" t="str">
        <f>Sheet1!$K$18</f>
        <v>Southampton</v>
      </c>
      <c r="C125" s="9"/>
      <c r="D125" s="1893"/>
      <c r="E125" s="1894"/>
      <c r="F125" s="1893"/>
      <c r="G125" s="1894"/>
      <c r="H125" s="1893"/>
      <c r="I125" s="1894"/>
      <c r="J125" s="1893"/>
      <c r="K125" s="1894"/>
      <c r="L125" s="1893"/>
      <c r="M125" s="1894"/>
      <c r="N125" s="1893"/>
      <c r="O125" s="1894"/>
      <c r="P125" s="1893"/>
      <c r="Q125" s="1894"/>
      <c r="R125" s="1893"/>
      <c r="S125" s="1894"/>
      <c r="T125" s="1893"/>
      <c r="U125" s="1894"/>
      <c r="V125" s="1893"/>
      <c r="W125" s="1894"/>
      <c r="X125" s="14"/>
      <c r="Y125" s="117"/>
      <c r="Z125" s="137"/>
      <c r="AB125" s="1598">
        <f>IF(Year1_Southampton Year1_ReferralSource_Individual_Family="","",Year1_Southampton Year1_ReferralSource_Individual_Family)</f>
        <v>143</v>
      </c>
      <c r="AC125" s="1599">
        <f>IF(Year2_Southampton Year2_ReferralSource_Individual_Family="","",Year2_Southampton Year2_ReferralSource_Individual_Family)</f>
        <v>98</v>
      </c>
      <c r="AD125" s="1599">
        <f>IF(Year3_Southampton Year3_ReferralSource_Individual_Family="","",Year3_Southampton Year3_ReferralSource_Individual_Family)</f>
        <v>99</v>
      </c>
      <c r="AE125" s="1599">
        <f>IF(Year4_Southampton Year4_ReferralSource_Individual_Family="","",Year4_Southampton Year4_ReferralSource_Individual_Family)</f>
        <v>565</v>
      </c>
      <c r="AF125" s="1600">
        <f>IF(Year5_Southampton Year5_ReferralSource_Individual_Family="","",Year5_Southampton Year5_ReferralSource_Individual_Family)</f>
        <v>221</v>
      </c>
      <c r="AG125" s="1598" t="str">
        <f>IF(Year1_Southampton Year1_ReferralSource_Individual_Acquaintance="","",Year1_Southampton Year1_ReferralSource_Individual_Acquaintance)</f>
        <v/>
      </c>
      <c r="AH125" s="1599" t="str">
        <f>IF(Year2_Southampton Year2_ReferralSource_Individual_Acquaintance="","",Year2_Southampton Year2_ReferralSource_Individual_Acquaintance)</f>
        <v/>
      </c>
      <c r="AI125" s="1599" t="str">
        <f>IF(Year3_Southampton Year3_ReferralSource_Individual_Acquaintance="","",Year3_Southampton Year3_ReferralSource_Individual_Acquaintance)</f>
        <v/>
      </c>
      <c r="AJ125" s="1599" t="str">
        <f>IF(Year4_Southampton Year4_ReferralSource_Individual_Acquaintance="","",Year4_Southampton Year4_ReferralSource_Individual_Acquaintance)</f>
        <v/>
      </c>
      <c r="AK125" s="1600" t="str">
        <f>IF(Year5_Southampton Year5_ReferralSource_Individual_Acquaintance="","",Year5_Southampton Year5_ReferralSource_Individual_Acquaintance)</f>
        <v/>
      </c>
      <c r="AL125" s="1598" t="str">
        <f>IF(Year1_Southampton Year1_ReferralSource_Individual_Self="","",Year1_Southampton Year1_ReferralSource_Individual_Self)</f>
        <v/>
      </c>
      <c r="AM125" s="1599" t="str">
        <f>IF(Year2_Southampton Year2_ReferralSource_Individual_Self="","",Year2_Southampton Year2_ReferralSource_Individual_Self)</f>
        <v/>
      </c>
      <c r="AN125" s="1599" t="str">
        <f>IF(Year3_Southampton Year3_ReferralSource_Individual_Self="","",Year3_Southampton Year3_ReferralSource_Individual_Self)</f>
        <v/>
      </c>
      <c r="AO125" s="1599" t="str">
        <f>IF(Year4_Southampton Year4_ReferralSource_Individual_Self="","",Year4_Southampton Year4_ReferralSource_Individual_Self)</f>
        <v/>
      </c>
      <c r="AP125" s="1600" t="str">
        <f>IF(Year5_Southampton Year5_ReferralSource_Individual_Self="","",Year5_Southampton Year5_ReferralSource_Individual_Self)</f>
        <v/>
      </c>
      <c r="AQ125" s="1598" t="str">
        <f>IF(Year1_Southampton Year1_ReferralSource_Individual_Other="","",Year1_Southampton Year1_ReferralSource_Individual_Other)</f>
        <v/>
      </c>
      <c r="AR125" s="1599" t="str">
        <f>IF(Year2_Southampton Year2_ReferralSource_Individual_Other="","",Year2_Southampton Year2_ReferralSource_Individual_Other)</f>
        <v/>
      </c>
      <c r="AS125" s="1599" t="str">
        <f>IF(Year3_Southampton Year3_ReferralSource_Individual_Other="","",Year3_Southampton Year3_ReferralSource_Individual_Other)</f>
        <v/>
      </c>
      <c r="AT125" s="1599" t="str">
        <f>IF(Year4_Southampton Year4_ReferralSource_Individual_Other="","",Year4_Southampton Year4_ReferralSource_Individual_Other)</f>
        <v/>
      </c>
      <c r="AU125" s="1600" t="str">
        <f>IF(Year5_Southampton Year5_ReferralSource_Individual_Other="","",Year5_Southampton Year5_ReferralSource_Individual_Other)</f>
        <v/>
      </c>
      <c r="AV125" s="1598">
        <f>IF(Year1_Southampton Year1_ReferralSource_School="","",Year1_Southampton Year1_ReferralSource_School)</f>
        <v>819</v>
      </c>
      <c r="AW125" s="1599">
        <f>IF(Year2_Southampton Year2_ReferralSource_School="","",Year2_Southampton Year2_ReferralSource_School)</f>
        <v>789</v>
      </c>
      <c r="AX125" s="1599">
        <f>IF(Year3_Southampton Year3_ReferralSource_School="","",Year3_Southampton Year3_ReferralSource_School)</f>
        <v>552</v>
      </c>
      <c r="AY125" s="1599">
        <f>IF(Year4_Southampton Year4_ReferralSource_School="","",Year4_Southampton Year4_ReferralSource_School)</f>
        <v>1842</v>
      </c>
      <c r="AZ125" s="1600">
        <f>IF(Year5_Southampton Year5_ReferralSource_School="","",Year5_Southampton Year5_ReferralSource_School)</f>
        <v>946</v>
      </c>
      <c r="BA125" s="1598">
        <f>IF(Year1_Southampton Year1_ReferralSource_EducationServices="","",Year1_Southampton Year1_ReferralSource_EducationServices)</f>
        <v>11</v>
      </c>
      <c r="BB125" s="1599">
        <f>IF(Year2_Southampton Year2_ReferralSource_EducationServices="","",Year2_Southampton Year2_ReferralSource_EducationServices)</f>
        <v>14</v>
      </c>
      <c r="BC125" s="1599">
        <f>IF(Year3_Southampton Year3_ReferralSource_EducationServices="","",Year3_Southampton Year3_ReferralSource_EducationServices)</f>
        <v>7</v>
      </c>
      <c r="BD125" s="1599">
        <f>IF(Year4_Southampton Year4_ReferralSource_EducationServices="","",Year4_Southampton Year4_ReferralSource_EducationServices)</f>
        <v>416</v>
      </c>
      <c r="BE125" s="1600">
        <f>IF(Year5_Southampton Year5_ReferralSource_EducationServices="","",Year5_Southampton Year5_ReferralSource_EducationServices)</f>
        <v>6</v>
      </c>
      <c r="BF125" s="1601">
        <f>IF(Year1_Southampton Year1_ReferralSource_Health_services_GP="","",Year1_Southampton Year1_ReferralSource_Health_services_GP)</f>
        <v>585</v>
      </c>
      <c r="BG125" s="1602">
        <f>IF(Year2_Southampton Year2_ReferralSource_Health_services_GP="","",Year2_Southampton Year2_ReferralSource_Health_services_GP)</f>
        <v>373</v>
      </c>
      <c r="BH125" s="1602">
        <f>IF(Year3_Southampton Year3_ReferralSource_Health_services_GP="","",Year3_Southampton Year3_ReferralSource_Health_services_GP)</f>
        <v>342</v>
      </c>
      <c r="BI125" s="1602">
        <f>IF(Year4_Southampton Year4_ReferralSource_Health_services_GP="","",Year4_Southampton Year4_ReferralSource_Health_services_GP)</f>
        <v>1437</v>
      </c>
      <c r="BJ125" s="1603">
        <f>IF(Year5_Southampton Year5_ReferralSource_Health_services_GP="","",Year5_Southampton Year5_ReferralSource_Health_services_GP)</f>
        <v>761</v>
      </c>
      <c r="BK125" s="1601" t="str">
        <f>IF(Year1_Southampton Year1_ReferralSource_Health_services_HealthVisitor="","",Year1_Southampton Year1_ReferralSource_Health_services_HealthVisitor)</f>
        <v/>
      </c>
      <c r="BL125" s="1602" t="str">
        <f>IF(Year2_Southampton Year2_ReferralSource_Health_services_HealthVisitor="","",Year2_Southampton Year2_ReferralSource_Health_services_HealthVisitor)</f>
        <v/>
      </c>
      <c r="BM125" s="1602" t="str">
        <f>IF(Year3_Southampton Year3_ReferralSource_Health_services_HealthVisitor="","",Year3_Southampton Year3_ReferralSource_Health_services_HealthVisitor)</f>
        <v/>
      </c>
      <c r="BN125" s="1602" t="str">
        <f>IF(Year4_Southampton Year4_ReferralSource_Health_services_HealthVisitor="","",Year4_Southampton Year4_ReferralSource_Health_services_HealthVisitor)</f>
        <v/>
      </c>
      <c r="BO125" s="1603" t="str">
        <f>IF(Year5_Southampton Year5_ReferralSource_Health_services_HealthVisitor="","",Year5_Southampton Year5_ReferralSource_Health_services_HealthVisitor)</f>
        <v/>
      </c>
      <c r="BP125" s="1601" t="str">
        <f>IF(Year1_Southampton Year1_ReferralSource_Health_services_SchoolNurse="","",Year1_Southampton Year1_ReferralSource_Health_services_SchoolNurse)</f>
        <v/>
      </c>
      <c r="BQ125" s="1602" t="str">
        <f>IF(Year2_Southampton Year2_ReferralSource_Health_services_SchoolNurse="","",Year2_Southampton Year2_ReferralSource_Health_services_SchoolNurse)</f>
        <v/>
      </c>
      <c r="BR125" s="1602" t="str">
        <f>IF(Year3_Southampton Year3_ReferralSource_Health_services_SchoolNurse="","",Year3_Southampton Year3_ReferralSource_Health_services_SchoolNurse)</f>
        <v/>
      </c>
      <c r="BS125" s="1602" t="str">
        <f>IF(Year4_Southampton Year4_ReferralSource_Health_services_SchoolNurse="","",Year4_Southampton Year4_ReferralSource_Health_services_SchoolNurse)</f>
        <v/>
      </c>
      <c r="BT125" s="1603" t="str">
        <f>IF(Year5_Southampton Year5_ReferralSource_Health_services_SchoolNurse="","",Year5_Southampton Year5_ReferralSource_Health_services_SchoolNurse)</f>
        <v/>
      </c>
      <c r="BU125" s="1601" t="str">
        <f>IF(Year1_Southampton Year1_ReferralSource_Health_services_OthPrimary="","",Year1_Southampton Year1_ReferralSource_Health_services_OthPrimary)</f>
        <v/>
      </c>
      <c r="BV125" s="1602" t="str">
        <f>IF(Year2_Southampton Year2_ReferralSource_Health_services_OthPrimary="","",Year2_Southampton Year2_ReferralSource_Health_services_OthPrimary)</f>
        <v/>
      </c>
      <c r="BW125" s="1602" t="str">
        <f>IF(Year3_Southampton Year3_ReferralSource_Health_services_OthPrimary="","",Year3_Southampton Year3_ReferralSource_Health_services_OthPrimary)</f>
        <v/>
      </c>
      <c r="BX125" s="1602" t="str">
        <f>IF(Year4_Southampton Year4_ReferralSource_Health_services_OthPrimary="","",Year4_Southampton Year4_ReferralSource_Health_services_OthPrimary)</f>
        <v/>
      </c>
      <c r="BY125" s="1603" t="str">
        <f>IF(Year5_Southampton Year5_ReferralSource_Health_services_OthPrimary="","",Year5_Southampton Year5_ReferralSource_Health_services_OthPrimary)</f>
        <v/>
      </c>
      <c r="BZ125" s="1601" t="str">
        <f>IF(Year1_Southampton Year1_ReferralSource_Health_services_AE="","",Year1_Southampton Year1_ReferralSource_Health_services_AE)</f>
        <v/>
      </c>
      <c r="CA125" s="1602" t="str">
        <f>IF(Year2_Southampton Year2_ReferralSource_Health_services_AE="","",Year2_Southampton Year2_ReferralSource_Health_services_AE)</f>
        <v/>
      </c>
      <c r="CB125" s="1602" t="str">
        <f>IF(Year3_Southampton Year3_ReferralSource_Health_services_AE="","",Year3_Southampton Year3_ReferralSource_Health_services_AE)</f>
        <v/>
      </c>
      <c r="CC125" s="1602" t="str">
        <f>IF(Year4_Southampton Year4_ReferralSource_Health_services_AE="","",Year4_Southampton Year4_ReferralSource_Health_services_AE)</f>
        <v/>
      </c>
      <c r="CD125" s="1603" t="str">
        <f>IF(Year5_Southampton Year5_ReferralSource_Health_services_AE="","",Year5_Southampton Year5_ReferralSource_Health_services_AE)</f>
        <v/>
      </c>
      <c r="CE125" s="891" t="str">
        <f>IF(Year1_Southampton Year1_ReferralSource_Health_services_Other="","",Year1_Southampton Year1_ReferralSource_Health_services_Other)</f>
        <v/>
      </c>
      <c r="CF125" s="892" t="str">
        <f>IF(Year2_Southampton Year2_ReferralSource_Health_services_Other="","",Year2_Southampton Year2_ReferralSource_Health_services_Other)</f>
        <v/>
      </c>
      <c r="CG125" s="892" t="str">
        <f>IF(Year3_Southampton Year3_ReferralSource_Health_services_Other="","",Year3_Southampton Year3_ReferralSource_Health_services_Other)</f>
        <v/>
      </c>
      <c r="CH125" s="892" t="str">
        <f>IF(Year4_Southampton Year4_ReferralSource_Health_services_Other="","",Year4_Southampton Year4_ReferralSource_Health_services_Other)</f>
        <v/>
      </c>
      <c r="CI125" s="893" t="str">
        <f>IF(Year5_Southampton Year5_ReferralSource_Health_services_Other="","",Year5_Southampton Year5_ReferralSource_Health_services_Other)</f>
        <v/>
      </c>
      <c r="CJ125" s="876">
        <f>IF(Year1_Southampton Year1_ReferralSource_Housing="","",Year1_Southampton Year1_ReferralSource_Housing)</f>
        <v>47</v>
      </c>
      <c r="CK125" s="877">
        <f>IF(Year2_Southampton Year2_ReferralSource_Housing="","",Year2_Southampton Year2_ReferralSource_Housing)</f>
        <v>64</v>
      </c>
      <c r="CL125" s="877">
        <f>IF(Year3_Southampton Year3_ReferralSource_Housing="","",Year3_Southampton Year3_ReferralSource_Housing)</f>
        <v>37</v>
      </c>
      <c r="CM125" s="877">
        <f>IF(Year4_Southampton Year4_ReferralSource_Housing="","",Year4_Southampton Year4_ReferralSource_Housing)</f>
        <v>145</v>
      </c>
      <c r="CN125" s="878">
        <f>IF(Year5_Southampton Year5_ReferralSource_Housing="","",Year5_Southampton Year5_ReferralSource_Housing)</f>
        <v>28</v>
      </c>
      <c r="CO125" s="876">
        <f>IF(Year1_Southampton Year1_ReferralSource_LA_SC="","",Year1_Southampton Year1_ReferralSource_LA_SC)</f>
        <v>417</v>
      </c>
      <c r="CP125" s="877">
        <f>IF(Year2_Southampton Year2_ReferralSource_LA_SC="","",Year2_Southampton Year2_ReferralSource_LA_SC)</f>
        <v>536</v>
      </c>
      <c r="CQ125" s="877">
        <f>IF(Year3_Southampton Year3_ReferralSource_LA_SC="","",Year3_Southampton Year3_ReferralSource_LA_SC)</f>
        <v>482</v>
      </c>
      <c r="CR125" s="877">
        <f>IF(Year4_Southampton Year4_ReferralSource_LA_SC="","",Year4_Southampton Year4_ReferralSource_LA_SC)</f>
        <v>1299</v>
      </c>
      <c r="CS125" s="878">
        <f>IF(Year5_Southampton Year5_ReferralSource_LA_SC="","",Year5_Southampton Year5_ReferralSource_LA_SC)</f>
        <v>980</v>
      </c>
      <c r="CT125" s="876" t="str">
        <f>IF(Year1_Southampton Year1_ReferralSource_LA_Other="","",Year1_Southampton Year1_ReferralSource_LA_Other)</f>
        <v/>
      </c>
      <c r="CU125" s="877" t="str">
        <f>IF(Year2_Southampton Year2_ReferralSource_LA_Other="","",Year2_Southampton Year2_ReferralSource_LA_Other)</f>
        <v/>
      </c>
      <c r="CV125" s="877" t="str">
        <f>IF(Year3_Southampton Year3_ReferralSource_LA_Other="","",Year3_Southampton Year3_ReferralSource_LA_Other)</f>
        <v/>
      </c>
      <c r="CW125" s="877" t="str">
        <f>IF(Year4_Southampton Year4_ReferralSource_LA_Other="","",Year4_Southampton Year4_ReferralSource_LA_Other)</f>
        <v/>
      </c>
      <c r="CX125" s="878" t="str">
        <f>IF(Year5_Southampton Year5_ReferralSource_LA_Other="","",Year5_Southampton Year5_ReferralSource_LA_Other)</f>
        <v/>
      </c>
      <c r="CY125" s="876" t="str">
        <f>IF(Year1_Southampton Year1_ReferralSource_LA_External="","",Year1_Southampton Year1_ReferralSource_LA_External)</f>
        <v/>
      </c>
      <c r="CZ125" s="877" t="str">
        <f>IF(Year2_Southampton Year2_ReferralSource_LA_External="","",Year2_Southampton Year2_ReferralSource_LA_External)</f>
        <v/>
      </c>
      <c r="DA125" s="877" t="str">
        <f>IF(Year3_Southampton Year3_ReferralSource_LA_External="","",Year3_Southampton Year3_ReferralSource_LA_External)</f>
        <v/>
      </c>
      <c r="DB125" s="877" t="str">
        <f>IF(Year4_Southampton Year4_ReferralSource_LA_External="","",Year4_Southampton Year4_ReferralSource_LA_External)</f>
        <v/>
      </c>
      <c r="DC125" s="878" t="str">
        <f>IF(Year5_Southampton Year5_ReferralSource_LA_External="","",Year5_Southampton Year5_ReferralSource_LA_External)</f>
        <v/>
      </c>
      <c r="DD125" s="876">
        <f>IF(Year1_Southampton Year1_ReferralSource_Police="","",Year1_Southampton Year1_ReferralSource_Police)</f>
        <v>951</v>
      </c>
      <c r="DE125" s="877">
        <f>IF(Year2_Southampton Year2_ReferralSource_Police="","",Year2_Southampton Year2_ReferralSource_Police)</f>
        <v>799</v>
      </c>
      <c r="DF125" s="877">
        <f>IF(Year3_Southampton Year3_ReferralSource_Police="","",Year3_Southampton Year3_ReferralSource_Police)</f>
        <v>800</v>
      </c>
      <c r="DG125" s="877">
        <f>IF(Year4_Southampton Year4_ReferralSource_Police="","",Year4_Southampton Year4_ReferralSource_Police)</f>
        <v>3862</v>
      </c>
      <c r="DH125" s="878">
        <f>IF(Year5_Southampton Year5_ReferralSource_Police="","",Year5_Southampton Year5_ReferralSource_Police)</f>
        <v>1369</v>
      </c>
      <c r="DI125" s="876">
        <f>IF(Year1_Southampton Year1_ReferralSource_Other_Legal="","",Year1_Southampton Year1_ReferralSource_Other_Legal)</f>
        <v>67</v>
      </c>
      <c r="DJ125" s="877">
        <f>IF(Year2_Southampton Year2_ReferralSource_Other_Legal="","",Year2_Southampton Year2_ReferralSource_Other_Legal)</f>
        <v>47</v>
      </c>
      <c r="DK125" s="877">
        <f>IF(Year3_Southampton Year3_ReferralSource_Other_Legal="","",Year3_Southampton Year3_ReferralSource_Other_Legal)</f>
        <v>67</v>
      </c>
      <c r="DL125" s="877">
        <f>IF(Year4_Southampton Year4_ReferralSource_Other_Legal="","",Year4_Southampton Year4_ReferralSource_Other_Legal)</f>
        <v>340</v>
      </c>
      <c r="DM125" s="878">
        <f>IF(Year5_Southampton Year5_ReferralSource_Other_Legal="","",Year5_Southampton Year5_ReferralSource_Other_Legal)</f>
        <v>54</v>
      </c>
      <c r="DN125" s="876">
        <f>IF(Year1_Southampton Year1_ReferralSource_Other="","",Year1_Southampton Year1_ReferralSource_Other)</f>
        <v>188</v>
      </c>
      <c r="DO125" s="877">
        <f>IF(Year2_Southampton Year2_ReferralSource_Other="","",Year2_Southampton Year2_ReferralSource_Other)</f>
        <v>210</v>
      </c>
      <c r="DP125" s="877">
        <f>IF(Year3_Southampton Year3_ReferralSource_Other="","",Year3_Southampton Year3_ReferralSource_Other)</f>
        <v>159</v>
      </c>
      <c r="DQ125" s="877">
        <f>IF(Year4_Southampton Year4_ReferralSource_Other="","",Year4_Southampton Year4_ReferralSource_Other)</f>
        <v>587</v>
      </c>
      <c r="DR125" s="878">
        <f>IF(Year5_Southampton Year5_ReferralSource_Other="","",Year5_Southampton Year5_ReferralSource_Other)</f>
        <v>300</v>
      </c>
      <c r="DS125" s="876">
        <f>IF(Year1_Southampton Year1_ReferralSource_Anonymous="","",Year1_Southampton Year1_ReferralSource_Anonymous)</f>
        <v>108</v>
      </c>
      <c r="DT125" s="877">
        <f>IF(Year2_Southampton Year2_ReferralSource_Anonymous="","",Year2_Southampton Year2_ReferralSource_Anonymous)</f>
        <v>91</v>
      </c>
      <c r="DU125" s="877">
        <f>IF(Year3_Southampton Year3_ReferralSource_Anonymous="","",Year3_Southampton Year3_ReferralSource_Anonymous)</f>
        <v>68</v>
      </c>
      <c r="DV125" s="877">
        <f>IF(Year4_Southampton Year4_ReferralSource_Anonymous="","",Year4_Southampton Year4_ReferralSource_Anonymous)</f>
        <v>142</v>
      </c>
      <c r="DW125" s="878">
        <f>IF(Year5_Southampton Year5_ReferralSource_Anonymous="","",Year5_Southampton Year5_ReferralSource_Anonymous)</f>
        <v>163</v>
      </c>
      <c r="DX125" s="876">
        <f>IF(Year1_Southampton Year1_ReferralSource_Unknown="","",Year1_Southampton Year1_ReferralSource_Unknown)</f>
        <v>780</v>
      </c>
      <c r="DY125" s="877">
        <f>IF(Year2_Southampton Year2_ReferralSource_Unknown="","",Year2_Southampton Year2_ReferralSource_Unknown)</f>
        <v>23</v>
      </c>
      <c r="DZ125" s="877">
        <f>IF(Year3_Southampton Year3_ReferralSource_Unknown="","",Year3_Southampton Year3_ReferralSource_Unknown)</f>
        <v>0</v>
      </c>
      <c r="EA125" s="877">
        <f>IF(Year4_Southampton Year4_ReferralSource_Unknown="","",Year4_Southampton Year4_ReferralSource_Unknown)</f>
        <v>0</v>
      </c>
      <c r="EB125" s="878">
        <f>IF(Year5_Southampton Year5_ReferralSource_Unknown="","",Year5_Southampton Year5_ReferralSource_Unknown)</f>
        <v>12</v>
      </c>
    </row>
    <row r="126" spans="1:132" s="81" customFormat="1" ht="16.5" customHeight="1" x14ac:dyDescent="0.2">
      <c r="A126" s="278"/>
      <c r="B126" s="175" t="str">
        <f>Sheet1!$K$19</f>
        <v>Surrey</v>
      </c>
      <c r="C126" s="9"/>
      <c r="D126" s="1893"/>
      <c r="E126" s="1894"/>
      <c r="F126" s="1893"/>
      <c r="G126" s="1894"/>
      <c r="H126" s="1893"/>
      <c r="I126" s="1894"/>
      <c r="J126" s="1893"/>
      <c r="K126" s="1894"/>
      <c r="L126" s="1893"/>
      <c r="M126" s="1894"/>
      <c r="N126" s="1893"/>
      <c r="O126" s="1894"/>
      <c r="P126" s="1893"/>
      <c r="Q126" s="1894"/>
      <c r="R126" s="1893"/>
      <c r="S126" s="1894"/>
      <c r="T126" s="1893"/>
      <c r="U126" s="1894"/>
      <c r="V126" s="1893"/>
      <c r="W126" s="1894"/>
      <c r="X126" s="14"/>
      <c r="Y126" s="117"/>
      <c r="Z126" s="137"/>
      <c r="AB126" s="1589">
        <f>IF(Year1_Surrey Year1_ReferralSource_Individual_Family="","",Year1_Surrey Year1_ReferralSource_Individual_Family)</f>
        <v>707</v>
      </c>
      <c r="AC126" s="1590">
        <f>IF(Year2_Surrey Year2_ReferralSource_Individual_Family="","",Year2_Surrey Year2_ReferralSource_Individual_Family)</f>
        <v>642</v>
      </c>
      <c r="AD126" s="1590">
        <f>IF(Year3_Surrey Year3_ReferralSource_Individual_Family="","",Year3_Surrey Year3_ReferralSource_Individual_Family)</f>
        <v>654</v>
      </c>
      <c r="AE126" s="1590">
        <f>IF(Year4_Surrey Year4_ReferralSource_Individual_Family="","",Year4_Surrey Year4_ReferralSource_Individual_Family)</f>
        <v>194</v>
      </c>
      <c r="AF126" s="1591">
        <f>IF(Year5_Surrey Year5_ReferralSource_Individual_Family="","",Year5_Surrey Year5_ReferralSource_Individual_Family)</f>
        <v>613</v>
      </c>
      <c r="AG126" s="1589" t="str">
        <f>IF(Year1_Surrey Year1_ReferralSource_Individual_Acquaintance="","",Year1_Surrey Year1_ReferralSource_Individual_Acquaintance)</f>
        <v/>
      </c>
      <c r="AH126" s="1590" t="str">
        <f>IF(Year2_Surrey Year2_ReferralSource_Individual_Acquaintance="","",Year2_Surrey Year2_ReferralSource_Individual_Acquaintance)</f>
        <v/>
      </c>
      <c r="AI126" s="1590" t="str">
        <f>IF(Year3_Surrey Year3_ReferralSource_Individual_Acquaintance="","",Year3_Surrey Year3_ReferralSource_Individual_Acquaintance)</f>
        <v/>
      </c>
      <c r="AJ126" s="1590" t="str">
        <f>IF(Year4_Surrey Year4_ReferralSource_Individual_Acquaintance="","",Year4_Surrey Year4_ReferralSource_Individual_Acquaintance)</f>
        <v/>
      </c>
      <c r="AK126" s="1591" t="str">
        <f>IF(Year5_Surrey Year5_ReferralSource_Individual_Acquaintance="","",Year5_Surrey Year5_ReferralSource_Individual_Acquaintance)</f>
        <v/>
      </c>
      <c r="AL126" s="1589" t="str">
        <f>IF(Year1_Surrey Year1_ReferralSource_Individual_Self="","",Year1_Surrey Year1_ReferralSource_Individual_Self)</f>
        <v/>
      </c>
      <c r="AM126" s="1590" t="str">
        <f>IF(Year2_Surrey Year2_ReferralSource_Individual_Self="","",Year2_Surrey Year2_ReferralSource_Individual_Self)</f>
        <v/>
      </c>
      <c r="AN126" s="1590" t="str">
        <f>IF(Year3_Surrey Year3_ReferralSource_Individual_Self="","",Year3_Surrey Year3_ReferralSource_Individual_Self)</f>
        <v/>
      </c>
      <c r="AO126" s="1590" t="str">
        <f>IF(Year4_Surrey Year4_ReferralSource_Individual_Self="","",Year4_Surrey Year4_ReferralSource_Individual_Self)</f>
        <v/>
      </c>
      <c r="AP126" s="1591" t="str">
        <f>IF(Year5_Surrey Year5_ReferralSource_Individual_Self="","",Year5_Surrey Year5_ReferralSource_Individual_Self)</f>
        <v/>
      </c>
      <c r="AQ126" s="1589" t="str">
        <f>IF(Year1_Surrey Year1_ReferralSource_Individual_Other="","",Year1_Surrey Year1_ReferralSource_Individual_Other)</f>
        <v/>
      </c>
      <c r="AR126" s="1590" t="str">
        <f>IF(Year2_Surrey Year2_ReferralSource_Individual_Other="","",Year2_Surrey Year2_ReferralSource_Individual_Other)</f>
        <v/>
      </c>
      <c r="AS126" s="1590" t="str">
        <f>IF(Year3_Surrey Year3_ReferralSource_Individual_Other="","",Year3_Surrey Year3_ReferralSource_Individual_Other)</f>
        <v/>
      </c>
      <c r="AT126" s="1590" t="str">
        <f>IF(Year4_Surrey Year4_ReferralSource_Individual_Other="","",Year4_Surrey Year4_ReferralSource_Individual_Other)</f>
        <v/>
      </c>
      <c r="AU126" s="1591" t="str">
        <f>IF(Year5_Surrey Year5_ReferralSource_Individual_Other="","",Year5_Surrey Year5_ReferralSource_Individual_Other)</f>
        <v/>
      </c>
      <c r="AV126" s="1589">
        <f>IF(Year1_Surrey Year1_ReferralSource_School="","",Year1_Surrey Year1_ReferralSource_School)</f>
        <v>1850</v>
      </c>
      <c r="AW126" s="1590">
        <f>IF(Year2_Surrey Year2_ReferralSource_School="","",Year2_Surrey Year2_ReferralSource_School)</f>
        <v>2095</v>
      </c>
      <c r="AX126" s="1590">
        <f>IF(Year3_Surrey Year3_ReferralSource_School="","",Year3_Surrey Year3_ReferralSource_School)</f>
        <v>2652</v>
      </c>
      <c r="AY126" s="1590">
        <f>IF(Year4_Surrey Year4_ReferralSource_School="","",Year4_Surrey Year4_ReferralSource_School)</f>
        <v>219</v>
      </c>
      <c r="AZ126" s="1591">
        <f>IF(Year5_Surrey Year5_ReferralSource_School="","",Year5_Surrey Year5_ReferralSource_School)</f>
        <v>1534</v>
      </c>
      <c r="BA126" s="1589">
        <f>IF(Year1_Surrey Year1_ReferralSource_EducationServices="","",Year1_Surrey Year1_ReferralSource_EducationServices)</f>
        <v>126</v>
      </c>
      <c r="BB126" s="1590">
        <f>IF(Year2_Surrey Year2_ReferralSource_EducationServices="","",Year2_Surrey Year2_ReferralSource_EducationServices)</f>
        <v>86</v>
      </c>
      <c r="BC126" s="1590">
        <f>IF(Year3_Surrey Year3_ReferralSource_EducationServices="","",Year3_Surrey Year3_ReferralSource_EducationServices)</f>
        <v>106</v>
      </c>
      <c r="BD126" s="1590">
        <f>IF(Year4_Surrey Year4_ReferralSource_EducationServices="","",Year4_Surrey Year4_ReferralSource_EducationServices)</f>
        <v>104</v>
      </c>
      <c r="BE126" s="1591">
        <f>IF(Year5_Surrey Year5_ReferralSource_EducationServices="","",Year5_Surrey Year5_ReferralSource_EducationServices)</f>
        <v>101</v>
      </c>
      <c r="BF126" s="1592">
        <f>IF(Year1_Surrey Year1_ReferralSource_Health_services_GP="","",Year1_Surrey Year1_ReferralSource_Health_services_GP)</f>
        <v>1597</v>
      </c>
      <c r="BG126" s="1593">
        <f>IF(Year2_Surrey Year2_ReferralSource_Health_services_GP="","",Year2_Surrey Year2_ReferralSource_Health_services_GP)</f>
        <v>1622</v>
      </c>
      <c r="BH126" s="1593">
        <f>IF(Year3_Surrey Year3_ReferralSource_Health_services_GP="","",Year3_Surrey Year3_ReferralSource_Health_services_GP)</f>
        <v>1778</v>
      </c>
      <c r="BI126" s="1593">
        <f>IF(Year4_Surrey Year4_ReferralSource_Health_services_GP="","",Year4_Surrey Year4_ReferralSource_Health_services_GP)</f>
        <v>150</v>
      </c>
      <c r="BJ126" s="1594">
        <f>IF(Year5_Surrey Year5_ReferralSource_Health_services_GP="","",Year5_Surrey Year5_ReferralSource_Health_services_GP)</f>
        <v>1344</v>
      </c>
      <c r="BK126" s="1592" t="str">
        <f>IF(Year1_Surrey Year1_ReferralSource_Health_services_HealthVisitor="","",Year1_Surrey Year1_ReferralSource_Health_services_HealthVisitor)</f>
        <v/>
      </c>
      <c r="BL126" s="1593" t="str">
        <f>IF(Year2_Surrey Year2_ReferralSource_Health_services_HealthVisitor="","",Year2_Surrey Year2_ReferralSource_Health_services_HealthVisitor)</f>
        <v/>
      </c>
      <c r="BM126" s="1593" t="str">
        <f>IF(Year3_Surrey Year3_ReferralSource_Health_services_HealthVisitor="","",Year3_Surrey Year3_ReferralSource_Health_services_HealthVisitor)</f>
        <v/>
      </c>
      <c r="BN126" s="1593" t="str">
        <f>IF(Year4_Surrey Year4_ReferralSource_Health_services_HealthVisitor="","",Year4_Surrey Year4_ReferralSource_Health_services_HealthVisitor)</f>
        <v/>
      </c>
      <c r="BO126" s="1594" t="str">
        <f>IF(Year5_Surrey Year5_ReferralSource_Health_services_HealthVisitor="","",Year5_Surrey Year5_ReferralSource_Health_services_HealthVisitor)</f>
        <v/>
      </c>
      <c r="BP126" s="1592" t="str">
        <f>IF(Year1_Surrey Year1_ReferralSource_Health_services_SchoolNurse="","",Year1_Surrey Year1_ReferralSource_Health_services_SchoolNurse)</f>
        <v/>
      </c>
      <c r="BQ126" s="1593" t="str">
        <f>IF(Year2_Surrey Year2_ReferralSource_Health_services_SchoolNurse="","",Year2_Surrey Year2_ReferralSource_Health_services_SchoolNurse)</f>
        <v/>
      </c>
      <c r="BR126" s="1593" t="str">
        <f>IF(Year3_Surrey Year3_ReferralSource_Health_services_SchoolNurse="","",Year3_Surrey Year3_ReferralSource_Health_services_SchoolNurse)</f>
        <v/>
      </c>
      <c r="BS126" s="1593" t="str">
        <f>IF(Year4_Surrey Year4_ReferralSource_Health_services_SchoolNurse="","",Year4_Surrey Year4_ReferralSource_Health_services_SchoolNurse)</f>
        <v/>
      </c>
      <c r="BT126" s="1594" t="str">
        <f>IF(Year5_Surrey Year5_ReferralSource_Health_services_SchoolNurse="","",Year5_Surrey Year5_ReferralSource_Health_services_SchoolNurse)</f>
        <v/>
      </c>
      <c r="BU126" s="1592" t="str">
        <f>IF(Year1_Surrey Year1_ReferralSource_Health_services_OthPrimary="","",Year1_Surrey Year1_ReferralSource_Health_services_OthPrimary)</f>
        <v/>
      </c>
      <c r="BV126" s="1593" t="str">
        <f>IF(Year2_Surrey Year2_ReferralSource_Health_services_OthPrimary="","",Year2_Surrey Year2_ReferralSource_Health_services_OthPrimary)</f>
        <v/>
      </c>
      <c r="BW126" s="1593" t="str">
        <f>IF(Year3_Surrey Year3_ReferralSource_Health_services_OthPrimary="","",Year3_Surrey Year3_ReferralSource_Health_services_OthPrimary)</f>
        <v/>
      </c>
      <c r="BX126" s="1593" t="str">
        <f>IF(Year4_Surrey Year4_ReferralSource_Health_services_OthPrimary="","",Year4_Surrey Year4_ReferralSource_Health_services_OthPrimary)</f>
        <v/>
      </c>
      <c r="BY126" s="1594" t="str">
        <f>IF(Year5_Surrey Year5_ReferralSource_Health_services_OthPrimary="","",Year5_Surrey Year5_ReferralSource_Health_services_OthPrimary)</f>
        <v/>
      </c>
      <c r="BZ126" s="1592" t="str">
        <f>IF(Year1_Surrey Year1_ReferralSource_Health_services_AE="","",Year1_Surrey Year1_ReferralSource_Health_services_AE)</f>
        <v/>
      </c>
      <c r="CA126" s="1593" t="str">
        <f>IF(Year2_Surrey Year2_ReferralSource_Health_services_AE="","",Year2_Surrey Year2_ReferralSource_Health_services_AE)</f>
        <v/>
      </c>
      <c r="CB126" s="1593" t="str">
        <f>IF(Year3_Surrey Year3_ReferralSource_Health_services_AE="","",Year3_Surrey Year3_ReferralSource_Health_services_AE)</f>
        <v/>
      </c>
      <c r="CC126" s="1593" t="str">
        <f>IF(Year4_Surrey Year4_ReferralSource_Health_services_AE="","",Year4_Surrey Year4_ReferralSource_Health_services_AE)</f>
        <v/>
      </c>
      <c r="CD126" s="1594" t="str">
        <f>IF(Year5_Surrey Year5_ReferralSource_Health_services_AE="","",Year5_Surrey Year5_ReferralSource_Health_services_AE)</f>
        <v/>
      </c>
      <c r="CE126" s="885" t="str">
        <f>IF(Year1_Surrey Year1_ReferralSource_Health_services_Other="","",Year1_Surrey Year1_ReferralSource_Health_services_Other)</f>
        <v/>
      </c>
      <c r="CF126" s="886" t="str">
        <f>IF(Year2_Surrey Year2_ReferralSource_Health_services_Other="","",Year2_Surrey Year2_ReferralSource_Health_services_Other)</f>
        <v/>
      </c>
      <c r="CG126" s="886" t="str">
        <f>IF(Year3_Surrey Year3_ReferralSource_Health_services_Other="","",Year3_Surrey Year3_ReferralSource_Health_services_Other)</f>
        <v/>
      </c>
      <c r="CH126" s="886" t="str">
        <f>IF(Year4_Surrey Year4_ReferralSource_Health_services_Other="","",Year4_Surrey Year4_ReferralSource_Health_services_Other)</f>
        <v/>
      </c>
      <c r="CI126" s="887" t="str">
        <f>IF(Year5_Surrey Year5_ReferralSource_Health_services_Other="","",Year5_Surrey Year5_ReferralSource_Health_services_Other)</f>
        <v/>
      </c>
      <c r="CJ126" s="879">
        <f>IF(Year1_Surrey Year1_ReferralSource_Housing="","",Year1_Surrey Year1_ReferralSource_Housing)</f>
        <v>84</v>
      </c>
      <c r="CK126" s="880">
        <f>IF(Year2_Surrey Year2_ReferralSource_Housing="","",Year2_Surrey Year2_ReferralSource_Housing)</f>
        <v>118</v>
      </c>
      <c r="CL126" s="880">
        <f>IF(Year3_Surrey Year3_ReferralSource_Housing="","",Year3_Surrey Year3_ReferralSource_Housing)</f>
        <v>126</v>
      </c>
      <c r="CM126" s="880">
        <f>IF(Year4_Surrey Year4_ReferralSource_Housing="","",Year4_Surrey Year4_ReferralSource_Housing)</f>
        <v>32</v>
      </c>
      <c r="CN126" s="881">
        <f>IF(Year5_Surrey Year5_ReferralSource_Housing="","",Year5_Surrey Year5_ReferralSource_Housing)</f>
        <v>101</v>
      </c>
      <c r="CO126" s="879">
        <f>IF(Year1_Surrey Year1_ReferralSource_LA_SC="","",Year1_Surrey Year1_ReferralSource_LA_SC)</f>
        <v>1079</v>
      </c>
      <c r="CP126" s="880">
        <f>IF(Year2_Surrey Year2_ReferralSource_LA_SC="","",Year2_Surrey Year2_ReferralSource_LA_SC)</f>
        <v>1086</v>
      </c>
      <c r="CQ126" s="880">
        <f>IF(Year3_Surrey Year3_ReferralSource_LA_SC="","",Year3_Surrey Year3_ReferralSource_LA_SC)</f>
        <v>1746</v>
      </c>
      <c r="CR126" s="880">
        <f>IF(Year4_Surrey Year4_ReferralSource_LA_SC="","",Year4_Surrey Year4_ReferralSource_LA_SC)</f>
        <v>300</v>
      </c>
      <c r="CS126" s="881">
        <f>IF(Year5_Surrey Year5_ReferralSource_LA_SC="","",Year5_Surrey Year5_ReferralSource_LA_SC)</f>
        <v>1066</v>
      </c>
      <c r="CT126" s="879" t="str">
        <f>IF(Year1_Surrey Year1_ReferralSource_LA_Other="","",Year1_Surrey Year1_ReferralSource_LA_Other)</f>
        <v/>
      </c>
      <c r="CU126" s="880" t="str">
        <f>IF(Year2_Surrey Year2_ReferralSource_LA_Other="","",Year2_Surrey Year2_ReferralSource_LA_Other)</f>
        <v/>
      </c>
      <c r="CV126" s="880" t="str">
        <f>IF(Year3_Surrey Year3_ReferralSource_LA_Other="","",Year3_Surrey Year3_ReferralSource_LA_Other)</f>
        <v/>
      </c>
      <c r="CW126" s="880" t="str">
        <f>IF(Year4_Surrey Year4_ReferralSource_LA_Other="","",Year4_Surrey Year4_ReferralSource_LA_Other)</f>
        <v/>
      </c>
      <c r="CX126" s="881" t="str">
        <f>IF(Year5_Surrey Year5_ReferralSource_LA_Other="","",Year5_Surrey Year5_ReferralSource_LA_Other)</f>
        <v/>
      </c>
      <c r="CY126" s="879" t="str">
        <f>IF(Year1_Surrey Year1_ReferralSource_LA_External="","",Year1_Surrey Year1_ReferralSource_LA_External)</f>
        <v/>
      </c>
      <c r="CZ126" s="880" t="str">
        <f>IF(Year2_Surrey Year2_ReferralSource_LA_External="","",Year2_Surrey Year2_ReferralSource_LA_External)</f>
        <v/>
      </c>
      <c r="DA126" s="880" t="str">
        <f>IF(Year3_Surrey Year3_ReferralSource_LA_External="","",Year3_Surrey Year3_ReferralSource_LA_External)</f>
        <v/>
      </c>
      <c r="DB126" s="880" t="str">
        <f>IF(Year4_Surrey Year4_ReferralSource_LA_External="","",Year4_Surrey Year4_ReferralSource_LA_External)</f>
        <v/>
      </c>
      <c r="DC126" s="881" t="str">
        <f>IF(Year5_Surrey Year5_ReferralSource_LA_External="","",Year5_Surrey Year5_ReferralSource_LA_External)</f>
        <v/>
      </c>
      <c r="DD126" s="879">
        <f>IF(Year1_Surrey Year1_ReferralSource_Police="","",Year1_Surrey Year1_ReferralSource_Police)</f>
        <v>4858</v>
      </c>
      <c r="DE126" s="880">
        <f>IF(Year2_Surrey Year2_ReferralSource_Police="","",Year2_Surrey Year2_ReferralSource_Police)</f>
        <v>4629</v>
      </c>
      <c r="DF126" s="880">
        <f>IF(Year3_Surrey Year3_ReferralSource_Police="","",Year3_Surrey Year3_ReferralSource_Police)</f>
        <v>5199</v>
      </c>
      <c r="DG126" s="880">
        <f>IF(Year4_Surrey Year4_ReferralSource_Police="","",Year4_Surrey Year4_ReferralSource_Police)</f>
        <v>545</v>
      </c>
      <c r="DH126" s="881">
        <f>IF(Year5_Surrey Year5_ReferralSource_Police="","",Year5_Surrey Year5_ReferralSource_Police)</f>
        <v>2844</v>
      </c>
      <c r="DI126" s="879">
        <f>IF(Year1_Surrey Year1_ReferralSource_Other_Legal="","",Year1_Surrey Year1_ReferralSource_Other_Legal)</f>
        <v>319</v>
      </c>
      <c r="DJ126" s="880">
        <f>IF(Year2_Surrey Year2_ReferralSource_Other_Legal="","",Year2_Surrey Year2_ReferralSource_Other_Legal)</f>
        <v>361</v>
      </c>
      <c r="DK126" s="880">
        <f>IF(Year3_Surrey Year3_ReferralSource_Other_Legal="","",Year3_Surrey Year3_ReferralSource_Other_Legal)</f>
        <v>367</v>
      </c>
      <c r="DL126" s="880">
        <f>IF(Year4_Surrey Year4_ReferralSource_Other_Legal="","",Year4_Surrey Year4_ReferralSource_Other_Legal)</f>
        <v>47</v>
      </c>
      <c r="DM126" s="881">
        <f>IF(Year5_Surrey Year5_ReferralSource_Other_Legal="","",Year5_Surrey Year5_ReferralSource_Other_Legal)</f>
        <v>300</v>
      </c>
      <c r="DN126" s="879">
        <f>IF(Year1_Surrey Year1_ReferralSource_Other="","",Year1_Surrey Year1_ReferralSource_Other)</f>
        <v>878</v>
      </c>
      <c r="DO126" s="880">
        <f>IF(Year2_Surrey Year2_ReferralSource_Other="","",Year2_Surrey Year2_ReferralSource_Other)</f>
        <v>827</v>
      </c>
      <c r="DP126" s="880">
        <f>IF(Year3_Surrey Year3_ReferralSource_Other="","",Year3_Surrey Year3_ReferralSource_Other)</f>
        <v>803</v>
      </c>
      <c r="DQ126" s="880">
        <f>IF(Year4_Surrey Year4_ReferralSource_Other="","",Year4_Surrey Year4_ReferralSource_Other)</f>
        <v>38</v>
      </c>
      <c r="DR126" s="881">
        <f>IF(Year5_Surrey Year5_ReferralSource_Other="","",Year5_Surrey Year5_ReferralSource_Other)</f>
        <v>382</v>
      </c>
      <c r="DS126" s="879">
        <f>IF(Year1_Surrey Year1_ReferralSource_Anonymous="","",Year1_Surrey Year1_ReferralSource_Anonymous)</f>
        <v>270</v>
      </c>
      <c r="DT126" s="880">
        <f>IF(Year2_Surrey Year2_ReferralSource_Anonymous="","",Year2_Surrey Year2_ReferralSource_Anonymous)</f>
        <v>213</v>
      </c>
      <c r="DU126" s="880">
        <f>IF(Year3_Surrey Year3_ReferralSource_Anonymous="","",Year3_Surrey Year3_ReferralSource_Anonymous)</f>
        <v>195</v>
      </c>
      <c r="DV126" s="880">
        <f>IF(Year4_Surrey Year4_ReferralSource_Anonymous="","",Year4_Surrey Year4_ReferralSource_Anonymous)</f>
        <v>37</v>
      </c>
      <c r="DW126" s="881">
        <f>IF(Year5_Surrey Year5_ReferralSource_Anonymous="","",Year5_Surrey Year5_ReferralSource_Anonymous)</f>
        <v>234</v>
      </c>
      <c r="DX126" s="879">
        <f>IF(Year1_Surrey Year1_ReferralSource_Unknown="","",Year1_Surrey Year1_ReferralSource_Unknown)</f>
        <v>0</v>
      </c>
      <c r="DY126" s="880">
        <f>IF(Year2_Surrey Year2_ReferralSource_Unknown="","",Year2_Surrey Year2_ReferralSource_Unknown)</f>
        <v>0</v>
      </c>
      <c r="DZ126" s="880">
        <f>IF(Year3_Surrey Year3_ReferralSource_Unknown="","",Year3_Surrey Year3_ReferralSource_Unknown)</f>
        <v>0</v>
      </c>
      <c r="EA126" s="880">
        <f>IF(Year4_Surrey Year4_ReferralSource_Unknown="","",Year4_Surrey Year4_ReferralSource_Unknown)</f>
        <v>20</v>
      </c>
      <c r="EB126" s="881">
        <f>IF(Year5_Surrey Year5_ReferralSource_Unknown="","",Year5_Surrey Year5_ReferralSource_Unknown)</f>
        <v>0</v>
      </c>
    </row>
    <row r="127" spans="1:132" s="81" customFormat="1" ht="16.5" customHeight="1" x14ac:dyDescent="0.2">
      <c r="A127" s="278"/>
      <c r="B127" s="175" t="str">
        <f>Sheet1!$K$20</f>
        <v>Swindon</v>
      </c>
      <c r="C127" s="9"/>
      <c r="D127" s="1893"/>
      <c r="E127" s="1894"/>
      <c r="F127" s="1893"/>
      <c r="G127" s="1894"/>
      <c r="H127" s="1893"/>
      <c r="I127" s="1894"/>
      <c r="J127" s="1893"/>
      <c r="K127" s="1894"/>
      <c r="L127" s="1893"/>
      <c r="M127" s="1894"/>
      <c r="N127" s="1893"/>
      <c r="O127" s="1894"/>
      <c r="P127" s="1893"/>
      <c r="Q127" s="1894"/>
      <c r="R127" s="1893"/>
      <c r="S127" s="1894"/>
      <c r="T127" s="1893"/>
      <c r="U127" s="1894"/>
      <c r="V127" s="1893"/>
      <c r="W127" s="1894"/>
      <c r="X127" s="14"/>
      <c r="Y127" s="117"/>
      <c r="Z127" s="137"/>
      <c r="AB127" s="1585">
        <f>IF(Year1_Swindon Year1_ReferralSource_Individual_Family="","",Year1_Swindon Year1_ReferralSource_Individual_Family)</f>
        <v>323</v>
      </c>
      <c r="AC127" s="1586">
        <f>IF(Year2_Swindon Year2_ReferralSource_Individual_Family="","",Year2_Swindon Year2_ReferralSource_Individual_Family)</f>
        <v>220</v>
      </c>
      <c r="AD127" s="1586">
        <f>IF(Year3_Swindon Year3_ReferralSource_Individual_Family="","",Year3_Swindon Year3_ReferralSource_Individual_Family)</f>
        <v>319</v>
      </c>
      <c r="AE127" s="1586">
        <f>IF(Year4_Swindon Year4_ReferralSource_Individual_Family="","",Year4_Swindon Year4_ReferralSource_Individual_Family)</f>
        <v>820</v>
      </c>
      <c r="AF127" s="1588">
        <f>IF(Year5_Swindon Year5_ReferralSource_Individual_Family="","",Year5_Swindon Year5_ReferralSource_Individual_Family)</f>
        <v>180</v>
      </c>
      <c r="AG127" s="1585" t="str">
        <f>IF(Year1_Swindon Year1_ReferralSource_Individual_Acquaintance="","",Year1_Swindon Year1_ReferralSource_Individual_Acquaintance)</f>
        <v/>
      </c>
      <c r="AH127" s="1586" t="str">
        <f>IF(Year2_Swindon Year2_ReferralSource_Individual_Acquaintance="","",Year2_Swindon Year2_ReferralSource_Individual_Acquaintance)</f>
        <v/>
      </c>
      <c r="AI127" s="1586" t="str">
        <f>IF(Year3_Swindon Year3_ReferralSource_Individual_Acquaintance="","",Year3_Swindon Year3_ReferralSource_Individual_Acquaintance)</f>
        <v/>
      </c>
      <c r="AJ127" s="1586" t="str">
        <f>IF(Year4_Swindon Year4_ReferralSource_Individual_Acquaintance="","",Year4_Swindon Year4_ReferralSource_Individual_Acquaintance)</f>
        <v/>
      </c>
      <c r="AK127" s="1588" t="str">
        <f>IF(Year5_Swindon Year5_ReferralSource_Individual_Acquaintance="","",Year5_Swindon Year5_ReferralSource_Individual_Acquaintance)</f>
        <v/>
      </c>
      <c r="AL127" s="1585" t="str">
        <f>IF(Year1_Swindon Year1_ReferralSource_Individual_Self="","",Year1_Swindon Year1_ReferralSource_Individual_Self)</f>
        <v/>
      </c>
      <c r="AM127" s="1586" t="str">
        <f>IF(Year2_Swindon Year2_ReferralSource_Individual_Self="","",Year2_Swindon Year2_ReferralSource_Individual_Self)</f>
        <v/>
      </c>
      <c r="AN127" s="1586" t="str">
        <f>IF(Year3_Swindon Year3_ReferralSource_Individual_Self="","",Year3_Swindon Year3_ReferralSource_Individual_Self)</f>
        <v/>
      </c>
      <c r="AO127" s="1586" t="str">
        <f>IF(Year4_Swindon Year4_ReferralSource_Individual_Self="","",Year4_Swindon Year4_ReferralSource_Individual_Self)</f>
        <v/>
      </c>
      <c r="AP127" s="1588" t="str">
        <f>IF(Year5_Swindon Year5_ReferralSource_Individual_Self="","",Year5_Swindon Year5_ReferralSource_Individual_Self)</f>
        <v/>
      </c>
      <c r="AQ127" s="1585" t="str">
        <f>IF(Year1_Swindon Year1_ReferralSource_Individual_Other="","",Year1_Swindon Year1_ReferralSource_Individual_Other)</f>
        <v/>
      </c>
      <c r="AR127" s="1586" t="str">
        <f>IF(Year2_Swindon Year2_ReferralSource_Individual_Other="","",Year2_Swindon Year2_ReferralSource_Individual_Other)</f>
        <v/>
      </c>
      <c r="AS127" s="1586" t="str">
        <f>IF(Year3_Swindon Year3_ReferralSource_Individual_Other="","",Year3_Swindon Year3_ReferralSource_Individual_Other)</f>
        <v/>
      </c>
      <c r="AT127" s="1586" t="str">
        <f>IF(Year4_Swindon Year4_ReferralSource_Individual_Other="","",Year4_Swindon Year4_ReferralSource_Individual_Other)</f>
        <v/>
      </c>
      <c r="AU127" s="1588" t="str">
        <f>IF(Year5_Swindon Year5_ReferralSource_Individual_Other="","",Year5_Swindon Year5_ReferralSource_Individual_Other)</f>
        <v/>
      </c>
      <c r="AV127" s="1585">
        <f>IF(Year1_Swindon Year1_ReferralSource_School="","",Year1_Swindon Year1_ReferralSource_School)</f>
        <v>597</v>
      </c>
      <c r="AW127" s="1586">
        <f>IF(Year2_Swindon Year2_ReferralSource_School="","",Year2_Swindon Year2_ReferralSource_School)</f>
        <v>620</v>
      </c>
      <c r="AX127" s="1586">
        <f>IF(Year3_Swindon Year3_ReferralSource_School="","",Year3_Swindon Year3_ReferralSource_School)</f>
        <v>724</v>
      </c>
      <c r="AY127" s="1586">
        <f>IF(Year4_Swindon Year4_ReferralSource_School="","",Year4_Swindon Year4_ReferralSource_School)</f>
        <v>2046</v>
      </c>
      <c r="AZ127" s="1588">
        <f>IF(Year5_Swindon Year5_ReferralSource_School="","",Year5_Swindon Year5_ReferralSource_School)</f>
        <v>544</v>
      </c>
      <c r="BA127" s="1585">
        <f>IF(Year1_Swindon Year1_ReferralSource_EducationServices="","",Year1_Swindon Year1_ReferralSource_EducationServices)</f>
        <v>22</v>
      </c>
      <c r="BB127" s="1586">
        <f>IF(Year2_Swindon Year2_ReferralSource_EducationServices="","",Year2_Swindon Year2_ReferralSource_EducationServices)</f>
        <v>9</v>
      </c>
      <c r="BC127" s="1586">
        <f>IF(Year3_Swindon Year3_ReferralSource_EducationServices="","",Year3_Swindon Year3_ReferralSource_EducationServices)</f>
        <v>6</v>
      </c>
      <c r="BD127" s="1586">
        <f>IF(Year4_Swindon Year4_ReferralSource_EducationServices="","",Year4_Swindon Year4_ReferralSource_EducationServices)</f>
        <v>0</v>
      </c>
      <c r="BE127" s="1588">
        <f>IF(Year5_Swindon Year5_ReferralSource_EducationServices="","",Year5_Swindon Year5_ReferralSource_EducationServices)</f>
        <v>6</v>
      </c>
      <c r="BF127" s="882">
        <f>IF(Year1_Swindon Year1_ReferralSource_Health_services_GP="","",Year1_Swindon Year1_ReferralSource_Health_services_GP)</f>
        <v>392</v>
      </c>
      <c r="BG127" s="883">
        <f>IF(Year2_Swindon Year2_ReferralSource_Health_services_GP="","",Year2_Swindon Year2_ReferralSource_Health_services_GP)</f>
        <v>265</v>
      </c>
      <c r="BH127" s="883">
        <f>IF(Year3_Swindon Year3_ReferralSource_Health_services_GP="","",Year3_Swindon Year3_ReferralSource_Health_services_GP)</f>
        <v>460</v>
      </c>
      <c r="BI127" s="883">
        <f>IF(Year4_Swindon Year4_ReferralSource_Health_services_GP="","",Year4_Swindon Year4_ReferralSource_Health_services_GP)</f>
        <v>1139</v>
      </c>
      <c r="BJ127" s="884">
        <f>IF(Year5_Swindon Year5_ReferralSource_Health_services_GP="","",Year5_Swindon Year5_ReferralSource_Health_services_GP)</f>
        <v>452</v>
      </c>
      <c r="BK127" s="882" t="str">
        <f>IF(Year1_Swindon Year1_ReferralSource_Health_services_HealthVisitor="","",Year1_Swindon Year1_ReferralSource_Health_services_HealthVisitor)</f>
        <v/>
      </c>
      <c r="BL127" s="883" t="str">
        <f>IF(Year2_Swindon Year2_ReferralSource_Health_services_HealthVisitor="","",Year2_Swindon Year2_ReferralSource_Health_services_HealthVisitor)</f>
        <v/>
      </c>
      <c r="BM127" s="883" t="str">
        <f>IF(Year3_Swindon Year3_ReferralSource_Health_services_HealthVisitor="","",Year3_Swindon Year3_ReferralSource_Health_services_HealthVisitor)</f>
        <v/>
      </c>
      <c r="BN127" s="883" t="str">
        <f>IF(Year4_Swindon Year4_ReferralSource_Health_services_HealthVisitor="","",Year4_Swindon Year4_ReferralSource_Health_services_HealthVisitor)</f>
        <v/>
      </c>
      <c r="BO127" s="884" t="str">
        <f>IF(Year5_Swindon Year5_ReferralSource_Health_services_HealthVisitor="","",Year5_Swindon Year5_ReferralSource_Health_services_HealthVisitor)</f>
        <v/>
      </c>
      <c r="BP127" s="882" t="str">
        <f>IF(Year1_Swindon Year1_ReferralSource_Health_services_SchoolNurse="","",Year1_Swindon Year1_ReferralSource_Health_services_SchoolNurse)</f>
        <v/>
      </c>
      <c r="BQ127" s="883" t="str">
        <f>IF(Year2_Swindon Year2_ReferralSource_Health_services_SchoolNurse="","",Year2_Swindon Year2_ReferralSource_Health_services_SchoolNurse)</f>
        <v/>
      </c>
      <c r="BR127" s="883" t="str">
        <f>IF(Year3_Swindon Year3_ReferralSource_Health_services_SchoolNurse="","",Year3_Swindon Year3_ReferralSource_Health_services_SchoolNurse)</f>
        <v/>
      </c>
      <c r="BS127" s="883" t="str">
        <f>IF(Year4_Swindon Year4_ReferralSource_Health_services_SchoolNurse="","",Year4_Swindon Year4_ReferralSource_Health_services_SchoolNurse)</f>
        <v/>
      </c>
      <c r="BT127" s="884" t="str">
        <f>IF(Year5_Swindon Year5_ReferralSource_Health_services_SchoolNurse="","",Year5_Swindon Year5_ReferralSource_Health_services_SchoolNurse)</f>
        <v/>
      </c>
      <c r="BU127" s="882" t="str">
        <f>IF(Year1_Swindon Year1_ReferralSource_Health_services_OthPrimary="","",Year1_Swindon Year1_ReferralSource_Health_services_OthPrimary)</f>
        <v/>
      </c>
      <c r="BV127" s="883" t="str">
        <f>IF(Year2_Swindon Year2_ReferralSource_Health_services_OthPrimary="","",Year2_Swindon Year2_ReferralSource_Health_services_OthPrimary)</f>
        <v/>
      </c>
      <c r="BW127" s="883" t="str">
        <f>IF(Year3_Swindon Year3_ReferralSource_Health_services_OthPrimary="","",Year3_Swindon Year3_ReferralSource_Health_services_OthPrimary)</f>
        <v/>
      </c>
      <c r="BX127" s="883" t="str">
        <f>IF(Year4_Swindon Year4_ReferralSource_Health_services_OthPrimary="","",Year4_Swindon Year4_ReferralSource_Health_services_OthPrimary)</f>
        <v/>
      </c>
      <c r="BY127" s="884" t="str">
        <f>IF(Year5_Swindon Year5_ReferralSource_Health_services_OthPrimary="","",Year5_Swindon Year5_ReferralSource_Health_services_OthPrimary)</f>
        <v/>
      </c>
      <c r="BZ127" s="882" t="str">
        <f>IF(Year1_Swindon Year1_ReferralSource_Health_services_AE="","",Year1_Swindon Year1_ReferralSource_Health_services_AE)</f>
        <v/>
      </c>
      <c r="CA127" s="883" t="str">
        <f>IF(Year2_Swindon Year2_ReferralSource_Health_services_AE="","",Year2_Swindon Year2_ReferralSource_Health_services_AE)</f>
        <v/>
      </c>
      <c r="CB127" s="883" t="str">
        <f>IF(Year3_Swindon Year3_ReferralSource_Health_services_AE="","",Year3_Swindon Year3_ReferralSource_Health_services_AE)</f>
        <v/>
      </c>
      <c r="CC127" s="883" t="str">
        <f>IF(Year4_Swindon Year4_ReferralSource_Health_services_AE="","",Year4_Swindon Year4_ReferralSource_Health_services_AE)</f>
        <v/>
      </c>
      <c r="CD127" s="884" t="str">
        <f>IF(Year5_Swindon Year5_ReferralSource_Health_services_AE="","",Year5_Swindon Year5_ReferralSource_Health_services_AE)</f>
        <v/>
      </c>
      <c r="CE127" s="882" t="str">
        <f>IF(Year1_Swindon Year1_ReferralSource_Health_services_Other="","",Year1_Swindon Year1_ReferralSource_Health_services_Other)</f>
        <v/>
      </c>
      <c r="CF127" s="883" t="str">
        <f>IF(Year2_Swindon Year2_ReferralSource_Health_services_Other="","",Year2_Swindon Year2_ReferralSource_Health_services_Other)</f>
        <v/>
      </c>
      <c r="CG127" s="883" t="str">
        <f>IF(Year3_Swindon Year3_ReferralSource_Health_services_Other="","",Year3_Swindon Year3_ReferralSource_Health_services_Other)</f>
        <v/>
      </c>
      <c r="CH127" s="883" t="str">
        <f>IF(Year4_Swindon Year4_ReferralSource_Health_services_Other="","",Year4_Swindon Year4_ReferralSource_Health_services_Other)</f>
        <v/>
      </c>
      <c r="CI127" s="884" t="str">
        <f>IF(Year5_Swindon Year5_ReferralSource_Health_services_Other="","",Year5_Swindon Year5_ReferralSource_Health_services_Other)</f>
        <v/>
      </c>
      <c r="CJ127" s="870">
        <f>IF(Year1_Swindon Year1_ReferralSource_Housing="","",Year1_Swindon Year1_ReferralSource_Housing)</f>
        <v>67</v>
      </c>
      <c r="CK127" s="871">
        <f>IF(Year2_Swindon Year2_ReferralSource_Housing="","",Year2_Swindon Year2_ReferralSource_Housing)</f>
        <v>33</v>
      </c>
      <c r="CL127" s="871">
        <f>IF(Year3_Swindon Year3_ReferralSource_Housing="","",Year3_Swindon Year3_ReferralSource_Housing)</f>
        <v>46</v>
      </c>
      <c r="CM127" s="871">
        <f>IF(Year4_Swindon Year4_ReferralSource_Housing="","",Year4_Swindon Year4_ReferralSource_Housing)</f>
        <v>143</v>
      </c>
      <c r="CN127" s="872">
        <f>IF(Year5_Swindon Year5_ReferralSource_Housing="","",Year5_Swindon Year5_ReferralSource_Housing)</f>
        <v>33</v>
      </c>
      <c r="CO127" s="870">
        <f>IF(Year1_Swindon Year1_ReferralSource_LA_SC="","",Year1_Swindon Year1_ReferralSource_LA_SC)</f>
        <v>266</v>
      </c>
      <c r="CP127" s="871">
        <f>IF(Year2_Swindon Year2_ReferralSource_LA_SC="","",Year2_Swindon Year2_ReferralSource_LA_SC)</f>
        <v>266</v>
      </c>
      <c r="CQ127" s="871">
        <f>IF(Year3_Swindon Year3_ReferralSource_LA_SC="","",Year3_Swindon Year3_ReferralSource_LA_SC)</f>
        <v>250</v>
      </c>
      <c r="CR127" s="871">
        <f>IF(Year4_Swindon Year4_ReferralSource_LA_SC="","",Year4_Swindon Year4_ReferralSource_LA_SC)</f>
        <v>1493</v>
      </c>
      <c r="CS127" s="872">
        <f>IF(Year5_Swindon Year5_ReferralSource_LA_SC="","",Year5_Swindon Year5_ReferralSource_LA_SC)</f>
        <v>270</v>
      </c>
      <c r="CT127" s="870" t="str">
        <f>IF(Year1_Swindon Year1_ReferralSource_LA_Other="","",Year1_Swindon Year1_ReferralSource_LA_Other)</f>
        <v/>
      </c>
      <c r="CU127" s="871" t="str">
        <f>IF(Year2_Swindon Year2_ReferralSource_LA_Other="","",Year2_Swindon Year2_ReferralSource_LA_Other)</f>
        <v/>
      </c>
      <c r="CV127" s="871" t="str">
        <f>IF(Year3_Swindon Year3_ReferralSource_LA_Other="","",Year3_Swindon Year3_ReferralSource_LA_Other)</f>
        <v/>
      </c>
      <c r="CW127" s="871" t="str">
        <f>IF(Year4_Swindon Year4_ReferralSource_LA_Other="","",Year4_Swindon Year4_ReferralSource_LA_Other)</f>
        <v/>
      </c>
      <c r="CX127" s="872" t="str">
        <f>IF(Year5_Swindon Year5_ReferralSource_LA_Other="","",Year5_Swindon Year5_ReferralSource_LA_Other)</f>
        <v/>
      </c>
      <c r="CY127" s="870" t="str">
        <f>IF(Year1_Swindon Year1_ReferralSource_LA_External="","",Year1_Swindon Year1_ReferralSource_LA_External)</f>
        <v/>
      </c>
      <c r="CZ127" s="871" t="str">
        <f>IF(Year2_Swindon Year2_ReferralSource_LA_External="","",Year2_Swindon Year2_ReferralSource_LA_External)</f>
        <v/>
      </c>
      <c r="DA127" s="871" t="str">
        <f>IF(Year3_Swindon Year3_ReferralSource_LA_External="","",Year3_Swindon Year3_ReferralSource_LA_External)</f>
        <v/>
      </c>
      <c r="DB127" s="871" t="str">
        <f>IF(Year4_Swindon Year4_ReferralSource_LA_External="","",Year4_Swindon Year4_ReferralSource_LA_External)</f>
        <v/>
      </c>
      <c r="DC127" s="872" t="str">
        <f>IF(Year5_Swindon Year5_ReferralSource_LA_External="","",Year5_Swindon Year5_ReferralSource_LA_External)</f>
        <v/>
      </c>
      <c r="DD127" s="870">
        <f>IF(Year1_Swindon Year1_ReferralSource_Police="","",Year1_Swindon Year1_ReferralSource_Police)</f>
        <v>1099</v>
      </c>
      <c r="DE127" s="871">
        <f>IF(Year2_Swindon Year2_ReferralSource_Police="","",Year2_Swindon Year2_ReferralSource_Police)</f>
        <v>1122</v>
      </c>
      <c r="DF127" s="871">
        <f>IF(Year3_Swindon Year3_ReferralSource_Police="","",Year3_Swindon Year3_ReferralSource_Police)</f>
        <v>1281</v>
      </c>
      <c r="DG127" s="871">
        <f>IF(Year4_Swindon Year4_ReferralSource_Police="","",Year4_Swindon Year4_ReferralSource_Police)</f>
        <v>2556</v>
      </c>
      <c r="DH127" s="872">
        <f>IF(Year5_Swindon Year5_ReferralSource_Police="","",Year5_Swindon Year5_ReferralSource_Police)</f>
        <v>1142</v>
      </c>
      <c r="DI127" s="870">
        <f>IF(Year1_Swindon Year1_ReferralSource_Other_Legal="","",Year1_Swindon Year1_ReferralSource_Other_Legal)</f>
        <v>72</v>
      </c>
      <c r="DJ127" s="871">
        <f>IF(Year2_Swindon Year2_ReferralSource_Other_Legal="","",Year2_Swindon Year2_ReferralSource_Other_Legal)</f>
        <v>66</v>
      </c>
      <c r="DK127" s="871">
        <f>IF(Year3_Swindon Year3_ReferralSource_Other_Legal="","",Year3_Swindon Year3_ReferralSource_Other_Legal)</f>
        <v>84</v>
      </c>
      <c r="DL127" s="871">
        <f>IF(Year4_Swindon Year4_ReferralSource_Other_Legal="","",Year4_Swindon Year4_ReferralSource_Other_Legal)</f>
        <v>292</v>
      </c>
      <c r="DM127" s="872">
        <f>IF(Year5_Swindon Year5_ReferralSource_Other_Legal="","",Year5_Swindon Year5_ReferralSource_Other_Legal)</f>
        <v>143</v>
      </c>
      <c r="DN127" s="870">
        <f>IF(Year1_Swindon Year1_ReferralSource_Other="","",Year1_Swindon Year1_ReferralSource_Other)</f>
        <v>59</v>
      </c>
      <c r="DO127" s="871">
        <f>IF(Year2_Swindon Year2_ReferralSource_Other="","",Year2_Swindon Year2_ReferralSource_Other)</f>
        <v>180</v>
      </c>
      <c r="DP127" s="871">
        <f>IF(Year3_Swindon Year3_ReferralSource_Other="","",Year3_Swindon Year3_ReferralSource_Other)</f>
        <v>210</v>
      </c>
      <c r="DQ127" s="871">
        <f>IF(Year4_Swindon Year4_ReferralSource_Other="","",Year4_Swindon Year4_ReferralSource_Other)</f>
        <v>609</v>
      </c>
      <c r="DR127" s="872">
        <f>IF(Year5_Swindon Year5_ReferralSource_Other="","",Year5_Swindon Year5_ReferralSource_Other)</f>
        <v>99</v>
      </c>
      <c r="DS127" s="870">
        <f>IF(Year1_Swindon Year1_ReferralSource_Anonymous="","",Year1_Swindon Year1_ReferralSource_Anonymous)</f>
        <v>122</v>
      </c>
      <c r="DT127" s="871">
        <f>IF(Year2_Swindon Year2_ReferralSource_Anonymous="","",Year2_Swindon Year2_ReferralSource_Anonymous)</f>
        <v>77</v>
      </c>
      <c r="DU127" s="871">
        <f>IF(Year3_Swindon Year3_ReferralSource_Anonymous="","",Year3_Swindon Year3_ReferralSource_Anonymous)</f>
        <v>144</v>
      </c>
      <c r="DV127" s="871">
        <f>IF(Year4_Swindon Year4_ReferralSource_Anonymous="","",Year4_Swindon Year4_ReferralSource_Anonymous)</f>
        <v>0</v>
      </c>
      <c r="DW127" s="872">
        <f>IF(Year5_Swindon Year5_ReferralSource_Anonymous="","",Year5_Swindon Year5_ReferralSource_Anonymous)</f>
        <v>76</v>
      </c>
      <c r="DX127" s="870">
        <f>IF(Year1_Swindon Year1_ReferralSource_Unknown="","",Year1_Swindon Year1_ReferralSource_Unknown)</f>
        <v>386</v>
      </c>
      <c r="DY127" s="871">
        <f>IF(Year2_Swindon Year2_ReferralSource_Unknown="","",Year2_Swindon Year2_ReferralSource_Unknown)</f>
        <v>163</v>
      </c>
      <c r="DZ127" s="871">
        <f>IF(Year3_Swindon Year3_ReferralSource_Unknown="","",Year3_Swindon Year3_ReferralSource_Unknown)</f>
        <v>103</v>
      </c>
      <c r="EA127" s="871">
        <f>IF(Year4_Swindon Year4_ReferralSource_Unknown="","",Year4_Swindon Year4_ReferralSource_Unknown)</f>
        <v>392</v>
      </c>
      <c r="EB127" s="872">
        <f>IF(Year5_Swindon Year5_ReferralSource_Unknown="","",Year5_Swindon Year5_ReferralSource_Unknown)</f>
        <v>81</v>
      </c>
    </row>
    <row r="128" spans="1:132" s="81" customFormat="1" ht="16.5" customHeight="1" x14ac:dyDescent="0.2">
      <c r="A128" s="278"/>
      <c r="B128" s="175" t="str">
        <f>Sheet1!$K$21</f>
        <v>Torbay</v>
      </c>
      <c r="C128" s="9"/>
      <c r="D128" s="1893"/>
      <c r="E128" s="1894"/>
      <c r="F128" s="1893"/>
      <c r="G128" s="1894"/>
      <c r="H128" s="1893"/>
      <c r="I128" s="1894"/>
      <c r="J128" s="1893"/>
      <c r="K128" s="1894"/>
      <c r="L128" s="1893"/>
      <c r="M128" s="1894"/>
      <c r="N128" s="1893"/>
      <c r="O128" s="1894"/>
      <c r="P128" s="1893"/>
      <c r="Q128" s="1894"/>
      <c r="R128" s="1893"/>
      <c r="S128" s="1894"/>
      <c r="T128" s="1893"/>
      <c r="U128" s="1894"/>
      <c r="V128" s="1893"/>
      <c r="W128" s="1894"/>
      <c r="X128" s="14"/>
      <c r="Y128" s="117"/>
      <c r="Z128" s="137"/>
      <c r="AB128" s="1585">
        <f>IF(Year1_Torbay Year1_ReferralSource_Individual_Family="","",Year1_Torbay Year1_ReferralSource_Individual_Family)</f>
        <v>134</v>
      </c>
      <c r="AC128" s="1586">
        <f>IF(Year2_Torbay Year2_ReferralSource_Individual_Family="","",Year2_Torbay Year2_ReferralSource_Individual_Family)</f>
        <v>127</v>
      </c>
      <c r="AD128" s="1586">
        <f>IF(Year3_Torbay Year3_ReferralSource_Individual_Family="","",Year3_Torbay Year3_ReferralSource_Individual_Family)</f>
        <v>141</v>
      </c>
      <c r="AE128" s="1586">
        <f>IF(Year4_Torbay Year4_ReferralSource_Individual_Family="","",Year4_Torbay Year4_ReferralSource_Individual_Family)</f>
        <v>89</v>
      </c>
      <c r="AF128" s="1588">
        <f>IF(Year5_Torbay Year5_ReferralSource_Individual_Family="","",Year5_Torbay Year5_ReferralSource_Individual_Family)</f>
        <v>139</v>
      </c>
      <c r="AG128" s="1585" t="str">
        <f>IF(Year1_Torbay Year1_ReferralSource_Individual_Acquaintance="","",Year1_Torbay Year1_ReferralSource_Individual_Acquaintance)</f>
        <v/>
      </c>
      <c r="AH128" s="1586" t="str">
        <f>IF(Year2_Torbay Year2_ReferralSource_Individual_Acquaintance="","",Year2_Torbay Year2_ReferralSource_Individual_Acquaintance)</f>
        <v/>
      </c>
      <c r="AI128" s="1586" t="str">
        <f>IF(Year3_Torbay Year3_ReferralSource_Individual_Acquaintance="","",Year3_Torbay Year3_ReferralSource_Individual_Acquaintance)</f>
        <v/>
      </c>
      <c r="AJ128" s="1586" t="str">
        <f>IF(Year4_Torbay Year4_ReferralSource_Individual_Acquaintance="","",Year4_Torbay Year4_ReferralSource_Individual_Acquaintance)</f>
        <v/>
      </c>
      <c r="AK128" s="1588" t="str">
        <f>IF(Year5_Torbay Year5_ReferralSource_Individual_Acquaintance="","",Year5_Torbay Year5_ReferralSource_Individual_Acquaintance)</f>
        <v/>
      </c>
      <c r="AL128" s="1585" t="str">
        <f>IF(Year1_Torbay Year1_ReferralSource_Individual_Self="","",Year1_Torbay Year1_ReferralSource_Individual_Self)</f>
        <v/>
      </c>
      <c r="AM128" s="1586" t="str">
        <f>IF(Year2_Torbay Year2_ReferralSource_Individual_Self="","",Year2_Torbay Year2_ReferralSource_Individual_Self)</f>
        <v/>
      </c>
      <c r="AN128" s="1586" t="str">
        <f>IF(Year3_Torbay Year3_ReferralSource_Individual_Self="","",Year3_Torbay Year3_ReferralSource_Individual_Self)</f>
        <v/>
      </c>
      <c r="AO128" s="1586" t="str">
        <f>IF(Year4_Torbay Year4_ReferralSource_Individual_Self="","",Year4_Torbay Year4_ReferralSource_Individual_Self)</f>
        <v/>
      </c>
      <c r="AP128" s="1588" t="str">
        <f>IF(Year5_Torbay Year5_ReferralSource_Individual_Self="","",Year5_Torbay Year5_ReferralSource_Individual_Self)</f>
        <v/>
      </c>
      <c r="AQ128" s="1585" t="str">
        <f>IF(Year1_Torbay Year1_ReferralSource_Individual_Other="","",Year1_Torbay Year1_ReferralSource_Individual_Other)</f>
        <v/>
      </c>
      <c r="AR128" s="1586" t="str">
        <f>IF(Year2_Torbay Year2_ReferralSource_Individual_Other="","",Year2_Torbay Year2_ReferralSource_Individual_Other)</f>
        <v/>
      </c>
      <c r="AS128" s="1586" t="str">
        <f>IF(Year3_Torbay Year3_ReferralSource_Individual_Other="","",Year3_Torbay Year3_ReferralSource_Individual_Other)</f>
        <v/>
      </c>
      <c r="AT128" s="1586" t="str">
        <f>IF(Year4_Torbay Year4_ReferralSource_Individual_Other="","",Year4_Torbay Year4_ReferralSource_Individual_Other)</f>
        <v/>
      </c>
      <c r="AU128" s="1588" t="str">
        <f>IF(Year5_Torbay Year5_ReferralSource_Individual_Other="","",Year5_Torbay Year5_ReferralSource_Individual_Other)</f>
        <v/>
      </c>
      <c r="AV128" s="1585">
        <f>IF(Year1_Torbay Year1_ReferralSource_School="","",Year1_Torbay Year1_ReferralSource_School)</f>
        <v>307</v>
      </c>
      <c r="AW128" s="1586">
        <f>IF(Year2_Torbay Year2_ReferralSource_School="","",Year2_Torbay Year2_ReferralSource_School)</f>
        <v>391</v>
      </c>
      <c r="AX128" s="1586">
        <f>IF(Year3_Torbay Year3_ReferralSource_School="","",Year3_Torbay Year3_ReferralSource_School)</f>
        <v>382</v>
      </c>
      <c r="AY128" s="1586">
        <f>IF(Year4_Torbay Year4_ReferralSource_School="","",Year4_Torbay Year4_ReferralSource_School)</f>
        <v>172</v>
      </c>
      <c r="AZ128" s="1588">
        <f>IF(Year5_Torbay Year5_ReferralSource_School="","",Year5_Torbay Year5_ReferralSource_School)</f>
        <v>298</v>
      </c>
      <c r="BA128" s="1585">
        <f>IF(Year1_Torbay Year1_ReferralSource_EducationServices="","",Year1_Torbay Year1_ReferralSource_EducationServices)</f>
        <v>0</v>
      </c>
      <c r="BB128" s="1586">
        <f>IF(Year2_Torbay Year2_ReferralSource_EducationServices="","",Year2_Torbay Year2_ReferralSource_EducationServices)</f>
        <v>0</v>
      </c>
      <c r="BC128" s="1586">
        <f>IF(Year3_Torbay Year3_ReferralSource_EducationServices="","",Year3_Torbay Year3_ReferralSource_EducationServices)</f>
        <v>0</v>
      </c>
      <c r="BD128" s="1586">
        <f>IF(Year4_Torbay Year4_ReferralSource_EducationServices="","",Year4_Torbay Year4_ReferralSource_EducationServices)</f>
        <v>12</v>
      </c>
      <c r="BE128" s="1588" t="str">
        <f>IF(Year5_Torbay Year5_ReferralSource_EducationServices="","",Year5_Torbay Year5_ReferralSource_EducationServices)</f>
        <v>c</v>
      </c>
      <c r="BF128" s="882">
        <f>IF(Year1_Torbay Year1_ReferralSource_Health_services_GP="","",Year1_Torbay Year1_ReferralSource_Health_services_GP)</f>
        <v>260</v>
      </c>
      <c r="BG128" s="883">
        <f>IF(Year2_Torbay Year2_ReferralSource_Health_services_GP="","",Year2_Torbay Year2_ReferralSource_Health_services_GP)</f>
        <v>162</v>
      </c>
      <c r="BH128" s="883">
        <f>IF(Year3_Torbay Year3_ReferralSource_Health_services_GP="","",Year3_Torbay Year3_ReferralSource_Health_services_GP)</f>
        <v>261</v>
      </c>
      <c r="BI128" s="883">
        <f>IF(Year4_Torbay Year4_ReferralSource_Health_services_GP="","",Year4_Torbay Year4_ReferralSource_Health_services_GP)</f>
        <v>130</v>
      </c>
      <c r="BJ128" s="884">
        <f>IF(Year5_Torbay Year5_ReferralSource_Health_services_GP="","",Year5_Torbay Year5_ReferralSource_Health_services_GP)</f>
        <v>199</v>
      </c>
      <c r="BK128" s="882" t="str">
        <f>IF(Year1_Torbay Year1_ReferralSource_Health_services_HealthVisitor="","",Year1_Torbay Year1_ReferralSource_Health_services_HealthVisitor)</f>
        <v/>
      </c>
      <c r="BL128" s="883" t="str">
        <f>IF(Year2_Torbay Year2_ReferralSource_Health_services_HealthVisitor="","",Year2_Torbay Year2_ReferralSource_Health_services_HealthVisitor)</f>
        <v/>
      </c>
      <c r="BM128" s="883" t="str">
        <f>IF(Year3_Torbay Year3_ReferralSource_Health_services_HealthVisitor="","",Year3_Torbay Year3_ReferralSource_Health_services_HealthVisitor)</f>
        <v/>
      </c>
      <c r="BN128" s="883" t="str">
        <f>IF(Year4_Torbay Year4_ReferralSource_Health_services_HealthVisitor="","",Year4_Torbay Year4_ReferralSource_Health_services_HealthVisitor)</f>
        <v/>
      </c>
      <c r="BO128" s="884" t="str">
        <f>IF(Year5_Torbay Year5_ReferralSource_Health_services_HealthVisitor="","",Year5_Torbay Year5_ReferralSource_Health_services_HealthVisitor)</f>
        <v/>
      </c>
      <c r="BP128" s="882" t="str">
        <f>IF(Year1_Torbay Year1_ReferralSource_Health_services_SchoolNurse="","",Year1_Torbay Year1_ReferralSource_Health_services_SchoolNurse)</f>
        <v/>
      </c>
      <c r="BQ128" s="883" t="str">
        <f>IF(Year2_Torbay Year2_ReferralSource_Health_services_SchoolNurse="","",Year2_Torbay Year2_ReferralSource_Health_services_SchoolNurse)</f>
        <v/>
      </c>
      <c r="BR128" s="883" t="str">
        <f>IF(Year3_Torbay Year3_ReferralSource_Health_services_SchoolNurse="","",Year3_Torbay Year3_ReferralSource_Health_services_SchoolNurse)</f>
        <v/>
      </c>
      <c r="BS128" s="883" t="str">
        <f>IF(Year4_Torbay Year4_ReferralSource_Health_services_SchoolNurse="","",Year4_Torbay Year4_ReferralSource_Health_services_SchoolNurse)</f>
        <v/>
      </c>
      <c r="BT128" s="884" t="str">
        <f>IF(Year5_Torbay Year5_ReferralSource_Health_services_SchoolNurse="","",Year5_Torbay Year5_ReferralSource_Health_services_SchoolNurse)</f>
        <v/>
      </c>
      <c r="BU128" s="882" t="str">
        <f>IF(Year1_Torbay Year1_ReferralSource_Health_services_OthPrimary="","",Year1_Torbay Year1_ReferralSource_Health_services_OthPrimary)</f>
        <v/>
      </c>
      <c r="BV128" s="883" t="str">
        <f>IF(Year2_Torbay Year2_ReferralSource_Health_services_OthPrimary="","",Year2_Torbay Year2_ReferralSource_Health_services_OthPrimary)</f>
        <v/>
      </c>
      <c r="BW128" s="883" t="str">
        <f>IF(Year3_Torbay Year3_ReferralSource_Health_services_OthPrimary="","",Year3_Torbay Year3_ReferralSource_Health_services_OthPrimary)</f>
        <v/>
      </c>
      <c r="BX128" s="883" t="str">
        <f>IF(Year4_Torbay Year4_ReferralSource_Health_services_OthPrimary="","",Year4_Torbay Year4_ReferralSource_Health_services_OthPrimary)</f>
        <v/>
      </c>
      <c r="BY128" s="884" t="str">
        <f>IF(Year5_Torbay Year5_ReferralSource_Health_services_OthPrimary="","",Year5_Torbay Year5_ReferralSource_Health_services_OthPrimary)</f>
        <v/>
      </c>
      <c r="BZ128" s="882" t="str">
        <f>IF(Year1_Torbay Year1_ReferralSource_Health_services_AE="","",Year1_Torbay Year1_ReferralSource_Health_services_AE)</f>
        <v/>
      </c>
      <c r="CA128" s="883" t="str">
        <f>IF(Year2_Torbay Year2_ReferralSource_Health_services_AE="","",Year2_Torbay Year2_ReferralSource_Health_services_AE)</f>
        <v/>
      </c>
      <c r="CB128" s="883" t="str">
        <f>IF(Year3_Torbay Year3_ReferralSource_Health_services_AE="","",Year3_Torbay Year3_ReferralSource_Health_services_AE)</f>
        <v/>
      </c>
      <c r="CC128" s="883" t="str">
        <f>IF(Year4_Torbay Year4_ReferralSource_Health_services_AE="","",Year4_Torbay Year4_ReferralSource_Health_services_AE)</f>
        <v/>
      </c>
      <c r="CD128" s="884" t="str">
        <f>IF(Year5_Torbay Year5_ReferralSource_Health_services_AE="","",Year5_Torbay Year5_ReferralSource_Health_services_AE)</f>
        <v/>
      </c>
      <c r="CE128" s="882" t="str">
        <f>IF(Year1_Torbay Year1_ReferralSource_Health_services_Other="","",Year1_Torbay Year1_ReferralSource_Health_services_Other)</f>
        <v/>
      </c>
      <c r="CF128" s="883" t="str">
        <f>IF(Year2_Torbay Year2_ReferralSource_Health_services_Other="","",Year2_Torbay Year2_ReferralSource_Health_services_Other)</f>
        <v/>
      </c>
      <c r="CG128" s="883" t="str">
        <f>IF(Year3_Torbay Year3_ReferralSource_Health_services_Other="","",Year3_Torbay Year3_ReferralSource_Health_services_Other)</f>
        <v/>
      </c>
      <c r="CH128" s="883" t="str">
        <f>IF(Year4_Torbay Year4_ReferralSource_Health_services_Other="","",Year4_Torbay Year4_ReferralSource_Health_services_Other)</f>
        <v/>
      </c>
      <c r="CI128" s="884" t="str">
        <f>IF(Year5_Torbay Year5_ReferralSource_Health_services_Other="","",Year5_Torbay Year5_ReferralSource_Health_services_Other)</f>
        <v/>
      </c>
      <c r="CJ128" s="870">
        <f>IF(Year1_Torbay Year1_ReferralSource_Housing="","",Year1_Torbay Year1_ReferralSource_Housing)</f>
        <v>10</v>
      </c>
      <c r="CK128" s="871">
        <f>IF(Year2_Torbay Year2_ReferralSource_Housing="","",Year2_Torbay Year2_ReferralSource_Housing)</f>
        <v>20</v>
      </c>
      <c r="CL128" s="871">
        <f>IF(Year3_Torbay Year3_ReferralSource_Housing="","",Year3_Torbay Year3_ReferralSource_Housing)</f>
        <v>9</v>
      </c>
      <c r="CM128" s="871">
        <f>IF(Year4_Torbay Year4_ReferralSource_Housing="","",Year4_Torbay Year4_ReferralSource_Housing)</f>
        <v>10</v>
      </c>
      <c r="CN128" s="872" t="str">
        <f>IF(Year5_Torbay Year5_ReferralSource_Housing="","",Year5_Torbay Year5_ReferralSource_Housing)</f>
        <v>c</v>
      </c>
      <c r="CO128" s="870">
        <f>IF(Year1_Torbay Year1_ReferralSource_LA_SC="","",Year1_Torbay Year1_ReferralSource_LA_SC)</f>
        <v>466</v>
      </c>
      <c r="CP128" s="871">
        <f>IF(Year2_Torbay Year2_ReferralSource_LA_SC="","",Year2_Torbay Year2_ReferralSource_LA_SC)</f>
        <v>370</v>
      </c>
      <c r="CQ128" s="871">
        <f>IF(Year3_Torbay Year3_ReferralSource_LA_SC="","",Year3_Torbay Year3_ReferralSource_LA_SC)</f>
        <v>278</v>
      </c>
      <c r="CR128" s="871">
        <f>IF(Year4_Torbay Year4_ReferralSource_LA_SC="","",Year4_Torbay Year4_ReferralSource_LA_SC)</f>
        <v>77</v>
      </c>
      <c r="CS128" s="872">
        <f>IF(Year5_Torbay Year5_ReferralSource_LA_SC="","",Year5_Torbay Year5_ReferralSource_LA_SC)</f>
        <v>435</v>
      </c>
      <c r="CT128" s="870" t="str">
        <f>IF(Year1_Torbay Year1_ReferralSource_LA_Other="","",Year1_Torbay Year1_ReferralSource_LA_Other)</f>
        <v/>
      </c>
      <c r="CU128" s="871" t="str">
        <f>IF(Year2_Torbay Year2_ReferralSource_LA_Other="","",Year2_Torbay Year2_ReferralSource_LA_Other)</f>
        <v/>
      </c>
      <c r="CV128" s="871" t="str">
        <f>IF(Year3_Torbay Year3_ReferralSource_LA_Other="","",Year3_Torbay Year3_ReferralSource_LA_Other)</f>
        <v/>
      </c>
      <c r="CW128" s="871" t="str">
        <f>IF(Year4_Torbay Year4_ReferralSource_LA_Other="","",Year4_Torbay Year4_ReferralSource_LA_Other)</f>
        <v/>
      </c>
      <c r="CX128" s="872" t="str">
        <f>IF(Year5_Torbay Year5_ReferralSource_LA_Other="","",Year5_Torbay Year5_ReferralSource_LA_Other)</f>
        <v/>
      </c>
      <c r="CY128" s="870" t="str">
        <f>IF(Year1_Torbay Year1_ReferralSource_LA_External="","",Year1_Torbay Year1_ReferralSource_LA_External)</f>
        <v/>
      </c>
      <c r="CZ128" s="871" t="str">
        <f>IF(Year2_Torbay Year2_ReferralSource_LA_External="","",Year2_Torbay Year2_ReferralSource_LA_External)</f>
        <v/>
      </c>
      <c r="DA128" s="871" t="str">
        <f>IF(Year3_Torbay Year3_ReferralSource_LA_External="","",Year3_Torbay Year3_ReferralSource_LA_External)</f>
        <v/>
      </c>
      <c r="DB128" s="871" t="str">
        <f>IF(Year4_Torbay Year4_ReferralSource_LA_External="","",Year4_Torbay Year4_ReferralSource_LA_External)</f>
        <v/>
      </c>
      <c r="DC128" s="872" t="str">
        <f>IF(Year5_Torbay Year5_ReferralSource_LA_External="","",Year5_Torbay Year5_ReferralSource_LA_External)</f>
        <v/>
      </c>
      <c r="DD128" s="870">
        <f>IF(Year1_Torbay Year1_ReferralSource_Police="","",Year1_Torbay Year1_ReferralSource_Police)</f>
        <v>520</v>
      </c>
      <c r="DE128" s="871">
        <f>IF(Year2_Torbay Year2_ReferralSource_Police="","",Year2_Torbay Year2_ReferralSource_Police)</f>
        <v>351</v>
      </c>
      <c r="DF128" s="871">
        <f>IF(Year3_Torbay Year3_ReferralSource_Police="","",Year3_Torbay Year3_ReferralSource_Police)</f>
        <v>435</v>
      </c>
      <c r="DG128" s="871">
        <f>IF(Year4_Torbay Year4_ReferralSource_Police="","",Year4_Torbay Year4_ReferralSource_Police)</f>
        <v>401</v>
      </c>
      <c r="DH128" s="872">
        <f>IF(Year5_Torbay Year5_ReferralSource_Police="","",Year5_Torbay Year5_ReferralSource_Police)</f>
        <v>520</v>
      </c>
      <c r="DI128" s="870">
        <f>IF(Year1_Torbay Year1_ReferralSource_Other_Legal="","",Year1_Torbay Year1_ReferralSource_Other_Legal)</f>
        <v>33</v>
      </c>
      <c r="DJ128" s="871">
        <f>IF(Year2_Torbay Year2_ReferralSource_Other_Legal="","",Year2_Torbay Year2_ReferralSource_Other_Legal)</f>
        <v>19</v>
      </c>
      <c r="DK128" s="871">
        <f>IF(Year3_Torbay Year3_ReferralSource_Other_Legal="","",Year3_Torbay Year3_ReferralSource_Other_Legal)</f>
        <v>23</v>
      </c>
      <c r="DL128" s="871">
        <f>IF(Year4_Torbay Year4_ReferralSource_Other_Legal="","",Year4_Torbay Year4_ReferralSource_Other_Legal)</f>
        <v>27</v>
      </c>
      <c r="DM128" s="872">
        <f>IF(Year5_Torbay Year5_ReferralSource_Other_Legal="","",Year5_Torbay Year5_ReferralSource_Other_Legal)</f>
        <v>29</v>
      </c>
      <c r="DN128" s="870">
        <f>IF(Year1_Torbay Year1_ReferralSource_Other="","",Year1_Torbay Year1_ReferralSource_Other)</f>
        <v>165</v>
      </c>
      <c r="DO128" s="871">
        <f>IF(Year2_Torbay Year2_ReferralSource_Other="","",Year2_Torbay Year2_ReferralSource_Other)</f>
        <v>91</v>
      </c>
      <c r="DP128" s="871">
        <f>IF(Year3_Torbay Year3_ReferralSource_Other="","",Year3_Torbay Year3_ReferralSource_Other)</f>
        <v>156</v>
      </c>
      <c r="DQ128" s="871">
        <f>IF(Year4_Torbay Year4_ReferralSource_Other="","",Year4_Torbay Year4_ReferralSource_Other)</f>
        <v>148</v>
      </c>
      <c r="DR128" s="872">
        <f>IF(Year5_Torbay Year5_ReferralSource_Other="","",Year5_Torbay Year5_ReferralSource_Other)</f>
        <v>152</v>
      </c>
      <c r="DS128" s="870">
        <f>IF(Year1_Torbay Year1_ReferralSource_Anonymous="","",Year1_Torbay Year1_ReferralSource_Anonymous)</f>
        <v>71</v>
      </c>
      <c r="DT128" s="871">
        <f>IF(Year2_Torbay Year2_ReferralSource_Anonymous="","",Year2_Torbay Year2_ReferralSource_Anonymous)</f>
        <v>44</v>
      </c>
      <c r="DU128" s="871">
        <f>IF(Year3_Torbay Year3_ReferralSource_Anonymous="","",Year3_Torbay Year3_ReferralSource_Anonymous)</f>
        <v>61</v>
      </c>
      <c r="DV128" s="871">
        <f>IF(Year4_Torbay Year4_ReferralSource_Anonymous="","",Year4_Torbay Year4_ReferralSource_Anonymous)</f>
        <v>19</v>
      </c>
      <c r="DW128" s="872">
        <f>IF(Year5_Torbay Year5_ReferralSource_Anonymous="","",Year5_Torbay Year5_ReferralSource_Anonymous)</f>
        <v>67</v>
      </c>
      <c r="DX128" s="870">
        <f>IF(Year1_Torbay Year1_ReferralSource_Unknown="","",Year1_Torbay Year1_ReferralSource_Unknown)</f>
        <v>22</v>
      </c>
      <c r="DY128" s="871">
        <f>IF(Year2_Torbay Year2_ReferralSource_Unknown="","",Year2_Torbay Year2_ReferralSource_Unknown)</f>
        <v>41</v>
      </c>
      <c r="DZ128" s="871">
        <f>IF(Year3_Torbay Year3_ReferralSource_Unknown="","",Year3_Torbay Year3_ReferralSource_Unknown)</f>
        <v>59</v>
      </c>
      <c r="EA128" s="871">
        <f>IF(Year4_Torbay Year4_ReferralSource_Unknown="","",Year4_Torbay Year4_ReferralSource_Unknown)</f>
        <v>50</v>
      </c>
      <c r="EB128" s="872">
        <f>IF(Year5_Torbay Year5_ReferralSource_Unknown="","",Year5_Torbay Year5_ReferralSource_Unknown)</f>
        <v>21</v>
      </c>
    </row>
    <row r="129" spans="1:132" s="81" customFormat="1" ht="16.5" customHeight="1" x14ac:dyDescent="0.2">
      <c r="A129" s="278"/>
      <c r="B129" s="175" t="str">
        <f>Sheet1!$K$22</f>
        <v>West Berkshire</v>
      </c>
      <c r="C129" s="9"/>
      <c r="D129" s="1893"/>
      <c r="E129" s="1894"/>
      <c r="F129" s="1893"/>
      <c r="G129" s="1894"/>
      <c r="H129" s="1893"/>
      <c r="I129" s="1894"/>
      <c r="J129" s="1893"/>
      <c r="K129" s="1894"/>
      <c r="L129" s="1893"/>
      <c r="M129" s="1894"/>
      <c r="N129" s="1893"/>
      <c r="O129" s="1894"/>
      <c r="P129" s="1893"/>
      <c r="Q129" s="1894"/>
      <c r="R129" s="1893"/>
      <c r="S129" s="1894"/>
      <c r="T129" s="1893"/>
      <c r="U129" s="1894"/>
      <c r="V129" s="1893"/>
      <c r="W129" s="1894"/>
      <c r="X129" s="14"/>
      <c r="Y129" s="117"/>
      <c r="Z129" s="137"/>
      <c r="AA129" s="183"/>
      <c r="AB129" s="1585">
        <f>IF(Year1_West_Berkshire Year1_ReferralSource_Individual_Family="","",Year1_West_Berkshire Year1_ReferralSource_Individual_Family)</f>
        <v>79</v>
      </c>
      <c r="AC129" s="1586">
        <f>IF(Year2_West_Berkshire Year2_ReferralSource_Individual_Family="","",Year2_West_Berkshire Year2_ReferralSource_Individual_Family)</f>
        <v>134</v>
      </c>
      <c r="AD129" s="1586">
        <f>IF(Year3_West_Berkshire Year3_ReferralSource_Individual_Family="","",Year3_West_Berkshire Year3_ReferralSource_Individual_Family)</f>
        <v>139</v>
      </c>
      <c r="AE129" s="1586">
        <f>IF(Year4_West_Berkshire Year4_ReferralSource_Individual_Family="","",Year4_West_Berkshire Year4_ReferralSource_Individual_Family)</f>
        <v>142</v>
      </c>
      <c r="AF129" s="1588">
        <f>IF(Year5_West_Berkshire Year5_ReferralSource_Individual_Family="","",Year5_West_Berkshire Year5_ReferralSource_Individual_Family)</f>
        <v>226</v>
      </c>
      <c r="AG129" s="1585" t="str">
        <f>IF(Year1_West_Berkshire Year1_ReferralSource_Individual_Acquaintance="","",Year1_West_Berkshire Year1_ReferralSource_Individual_Acquaintance)</f>
        <v/>
      </c>
      <c r="AH129" s="1586" t="str">
        <f>IF(Year2_West_Berkshire Year2_ReferralSource_Individual_Acquaintance="","",Year2_West_Berkshire Year2_ReferralSource_Individual_Acquaintance)</f>
        <v/>
      </c>
      <c r="AI129" s="1586" t="str">
        <f>IF(Year3_West_Berkshire Year3_ReferralSource_Individual_Acquaintance="","",Year3_West_Berkshire Year3_ReferralSource_Individual_Acquaintance)</f>
        <v/>
      </c>
      <c r="AJ129" s="1586" t="str">
        <f>IF(Year4_West_Berkshire Year4_ReferralSource_Individual_Acquaintance="","",Year4_West_Berkshire Year4_ReferralSource_Individual_Acquaintance)</f>
        <v/>
      </c>
      <c r="AK129" s="1588" t="str">
        <f>IF(Year5_West_Berkshire Year5_ReferralSource_Individual_Acquaintance="","",Year5_West_Berkshire Year5_ReferralSource_Individual_Acquaintance)</f>
        <v/>
      </c>
      <c r="AL129" s="1585" t="str">
        <f>IF(Year1_West_Berkshire Year1_ReferralSource_Individual_Self="","",Year1_West_Berkshire Year1_ReferralSource_Individual_Self)</f>
        <v/>
      </c>
      <c r="AM129" s="1586" t="str">
        <f>IF(Year2_West_Berkshire Year2_ReferralSource_Individual_Self="","",Year2_West_Berkshire Year2_ReferralSource_Individual_Self)</f>
        <v/>
      </c>
      <c r="AN129" s="1586" t="str">
        <f>IF(Year3_West_Berkshire Year3_ReferralSource_Individual_Self="","",Year3_West_Berkshire Year3_ReferralSource_Individual_Self)</f>
        <v/>
      </c>
      <c r="AO129" s="1586" t="str">
        <f>IF(Year4_West_Berkshire Year4_ReferralSource_Individual_Self="","",Year4_West_Berkshire Year4_ReferralSource_Individual_Self)</f>
        <v/>
      </c>
      <c r="AP129" s="1588" t="str">
        <f>IF(Year5_West_Berkshire Year5_ReferralSource_Individual_Self="","",Year5_West_Berkshire Year5_ReferralSource_Individual_Self)</f>
        <v/>
      </c>
      <c r="AQ129" s="1585" t="str">
        <f>IF(Year1_West_Berkshire Year1_ReferralSource_Individual_Other="","",Year1_West_Berkshire Year1_ReferralSource_Individual_Other)</f>
        <v/>
      </c>
      <c r="AR129" s="1586" t="str">
        <f>IF(Year2_West_Berkshire Year2_ReferralSource_Individual_Other="","",Year2_West_Berkshire Year2_ReferralSource_Individual_Other)</f>
        <v/>
      </c>
      <c r="AS129" s="1586" t="str">
        <f>IF(Year3_West_Berkshire Year3_ReferralSource_Individual_Other="","",Year3_West_Berkshire Year3_ReferralSource_Individual_Other)</f>
        <v/>
      </c>
      <c r="AT129" s="1586" t="str">
        <f>IF(Year4_West_Berkshire Year4_ReferralSource_Individual_Other="","",Year4_West_Berkshire Year4_ReferralSource_Individual_Other)</f>
        <v/>
      </c>
      <c r="AU129" s="1588" t="str">
        <f>IF(Year5_West_Berkshire Year5_ReferralSource_Individual_Other="","",Year5_West_Berkshire Year5_ReferralSource_Individual_Other)</f>
        <v/>
      </c>
      <c r="AV129" s="1585">
        <f>IF(Year1_West_Berkshire Year1_ReferralSource_School="","",Year1_West_Berkshire Year1_ReferralSource_School)</f>
        <v>224</v>
      </c>
      <c r="AW129" s="1586">
        <f>IF(Year2_West_Berkshire Year2_ReferralSource_School="","",Year2_West_Berkshire Year2_ReferralSource_School)</f>
        <v>318</v>
      </c>
      <c r="AX129" s="1586">
        <f>IF(Year3_West_Berkshire Year3_ReferralSource_School="","",Year3_West_Berkshire Year3_ReferralSource_School)</f>
        <v>296</v>
      </c>
      <c r="AY129" s="1586">
        <f>IF(Year4_West_Berkshire Year4_ReferralSource_School="","",Year4_West_Berkshire Year4_ReferralSource_School)</f>
        <v>334</v>
      </c>
      <c r="AZ129" s="1588">
        <f>IF(Year5_West_Berkshire Year5_ReferralSource_School="","",Year5_West_Berkshire Year5_ReferralSource_School)</f>
        <v>351</v>
      </c>
      <c r="BA129" s="1585">
        <f>IF(Year1_West_Berkshire Year1_ReferralSource_EducationServices="","",Year1_West_Berkshire Year1_ReferralSource_EducationServices)</f>
        <v>33</v>
      </c>
      <c r="BB129" s="1586">
        <f>IF(Year2_West_Berkshire Year2_ReferralSource_EducationServices="","",Year2_West_Berkshire Year2_ReferralSource_EducationServices)</f>
        <v>25</v>
      </c>
      <c r="BC129" s="1586">
        <f>IF(Year3_West_Berkshire Year3_ReferralSource_EducationServices="","",Year3_West_Berkshire Year3_ReferralSource_EducationServices)</f>
        <v>33</v>
      </c>
      <c r="BD129" s="1586">
        <f>IF(Year4_West_Berkshire Year4_ReferralSource_EducationServices="","",Year4_West_Berkshire Year4_ReferralSource_EducationServices)</f>
        <v>11</v>
      </c>
      <c r="BE129" s="1588">
        <f>IF(Year5_West_Berkshire Year5_ReferralSource_EducationServices="","",Year5_West_Berkshire Year5_ReferralSource_EducationServices)</f>
        <v>50</v>
      </c>
      <c r="BF129" s="882">
        <f>IF(Year1_West_Berkshire Year1_ReferralSource_Health_services_GP="","",Year1_West_Berkshire Year1_ReferralSource_Health_services_GP)</f>
        <v>146</v>
      </c>
      <c r="BG129" s="883">
        <f>IF(Year2_West_Berkshire Year2_ReferralSource_Health_services_GP="","",Year2_West_Berkshire Year2_ReferralSource_Health_services_GP)</f>
        <v>131</v>
      </c>
      <c r="BH129" s="883">
        <f>IF(Year3_West_Berkshire Year3_ReferralSource_Health_services_GP="","",Year3_West_Berkshire Year3_ReferralSource_Health_services_GP)</f>
        <v>187</v>
      </c>
      <c r="BI129" s="883">
        <f>IF(Year4_West_Berkshire Year4_ReferralSource_Health_services_GP="","",Year4_West_Berkshire Year4_ReferralSource_Health_services_GP)</f>
        <v>253</v>
      </c>
      <c r="BJ129" s="884">
        <f>IF(Year5_West_Berkshire Year5_ReferralSource_Health_services_GP="","",Year5_West_Berkshire Year5_ReferralSource_Health_services_GP)</f>
        <v>197</v>
      </c>
      <c r="BK129" s="882" t="str">
        <f>IF(Year1_West_Berkshire Year1_ReferralSource_Health_services_HealthVisitor="","",Year1_West_Berkshire Year1_ReferralSource_Health_services_HealthVisitor)</f>
        <v/>
      </c>
      <c r="BL129" s="883" t="str">
        <f>IF(Year2_West_Berkshire Year2_ReferralSource_Health_services_HealthVisitor="","",Year2_West_Berkshire Year2_ReferralSource_Health_services_HealthVisitor)</f>
        <v/>
      </c>
      <c r="BM129" s="883" t="str">
        <f>IF(Year3_West_Berkshire Year3_ReferralSource_Health_services_HealthVisitor="","",Year3_West_Berkshire Year3_ReferralSource_Health_services_HealthVisitor)</f>
        <v/>
      </c>
      <c r="BN129" s="883" t="str">
        <f>IF(Year4_West_Berkshire Year4_ReferralSource_Health_services_HealthVisitor="","",Year4_West_Berkshire Year4_ReferralSource_Health_services_HealthVisitor)</f>
        <v/>
      </c>
      <c r="BO129" s="884" t="str">
        <f>IF(Year5_West_Berkshire Year5_ReferralSource_Health_services_HealthVisitor="","",Year5_West_Berkshire Year5_ReferralSource_Health_services_HealthVisitor)</f>
        <v/>
      </c>
      <c r="BP129" s="882" t="str">
        <f>IF(Year1_West_Berkshire Year1_ReferralSource_Health_services_SchoolNurse="","",Year1_West_Berkshire Year1_ReferralSource_Health_services_SchoolNurse)</f>
        <v/>
      </c>
      <c r="BQ129" s="883" t="str">
        <f>IF(Year2_West_Berkshire Year2_ReferralSource_Health_services_SchoolNurse="","",Year2_West_Berkshire Year2_ReferralSource_Health_services_SchoolNurse)</f>
        <v/>
      </c>
      <c r="BR129" s="883" t="str">
        <f>IF(Year3_West_Berkshire Year3_ReferralSource_Health_services_SchoolNurse="","",Year3_West_Berkshire Year3_ReferralSource_Health_services_SchoolNurse)</f>
        <v/>
      </c>
      <c r="BS129" s="883" t="str">
        <f>IF(Year4_West_Berkshire Year4_ReferralSource_Health_services_SchoolNurse="","",Year4_West_Berkshire Year4_ReferralSource_Health_services_SchoolNurse)</f>
        <v/>
      </c>
      <c r="BT129" s="884" t="str">
        <f>IF(Year5_West_Berkshire Year5_ReferralSource_Health_services_SchoolNurse="","",Year5_West_Berkshire Year5_ReferralSource_Health_services_SchoolNurse)</f>
        <v/>
      </c>
      <c r="BU129" s="882" t="str">
        <f>IF(Year1_West_Berkshire Year1_ReferralSource_Health_services_OthPrimary="","",Year1_West_Berkshire Year1_ReferralSource_Health_services_OthPrimary)</f>
        <v/>
      </c>
      <c r="BV129" s="883" t="str">
        <f>IF(Year2_West_Berkshire Year2_ReferralSource_Health_services_OthPrimary="","",Year2_West_Berkshire Year2_ReferralSource_Health_services_OthPrimary)</f>
        <v/>
      </c>
      <c r="BW129" s="883" t="str">
        <f>IF(Year3_West_Berkshire Year3_ReferralSource_Health_services_OthPrimary="","",Year3_West_Berkshire Year3_ReferralSource_Health_services_OthPrimary)</f>
        <v/>
      </c>
      <c r="BX129" s="883" t="str">
        <f>IF(Year4_West_Berkshire Year4_ReferralSource_Health_services_OthPrimary="","",Year4_West_Berkshire Year4_ReferralSource_Health_services_OthPrimary)</f>
        <v/>
      </c>
      <c r="BY129" s="884" t="str">
        <f>IF(Year5_West_Berkshire Year5_ReferralSource_Health_services_OthPrimary="","",Year5_West_Berkshire Year5_ReferralSource_Health_services_OthPrimary)</f>
        <v/>
      </c>
      <c r="BZ129" s="882" t="str">
        <f>IF(Year1_West_Berkshire Year1_ReferralSource_Health_services_AE="","",Year1_West_Berkshire Year1_ReferralSource_Health_services_AE)</f>
        <v/>
      </c>
      <c r="CA129" s="883" t="str">
        <f>IF(Year2_West_Berkshire Year2_ReferralSource_Health_services_AE="","",Year2_West_Berkshire Year2_ReferralSource_Health_services_AE)</f>
        <v/>
      </c>
      <c r="CB129" s="883" t="str">
        <f>IF(Year3_West_Berkshire Year3_ReferralSource_Health_services_AE="","",Year3_West_Berkshire Year3_ReferralSource_Health_services_AE)</f>
        <v/>
      </c>
      <c r="CC129" s="883" t="str">
        <f>IF(Year4_West_Berkshire Year4_ReferralSource_Health_services_AE="","",Year4_West_Berkshire Year4_ReferralSource_Health_services_AE)</f>
        <v/>
      </c>
      <c r="CD129" s="884" t="str">
        <f>IF(Year5_West_Berkshire Year5_ReferralSource_Health_services_AE="","",Year5_West_Berkshire Year5_ReferralSource_Health_services_AE)</f>
        <v/>
      </c>
      <c r="CE129" s="882" t="str">
        <f>IF(Year1_West_Berkshire Year1_ReferralSource_Health_services_Other="","",Year1_West_Berkshire Year1_ReferralSource_Health_services_Other)</f>
        <v/>
      </c>
      <c r="CF129" s="883" t="str">
        <f>IF(Year2_West_Berkshire Year2_ReferralSource_Health_services_Other="","",Year2_West_Berkshire Year2_ReferralSource_Health_services_Other)</f>
        <v/>
      </c>
      <c r="CG129" s="883" t="str">
        <f>IF(Year3_West_Berkshire Year3_ReferralSource_Health_services_Other="","",Year3_West_Berkshire Year3_ReferralSource_Health_services_Other)</f>
        <v/>
      </c>
      <c r="CH129" s="883" t="str">
        <f>IF(Year4_West_Berkshire Year4_ReferralSource_Health_services_Other="","",Year4_West_Berkshire Year4_ReferralSource_Health_services_Other)</f>
        <v/>
      </c>
      <c r="CI129" s="884" t="str">
        <f>IF(Year5_West_Berkshire Year5_ReferralSource_Health_services_Other="","",Year5_West_Berkshire Year5_ReferralSource_Health_services_Other)</f>
        <v/>
      </c>
      <c r="CJ129" s="870">
        <f>IF(Year1_West_Berkshire Year1_ReferralSource_Housing="","",Year1_West_Berkshire Year1_ReferralSource_Housing)</f>
        <v>54</v>
      </c>
      <c r="CK129" s="871">
        <f>IF(Year2_West_Berkshire Year2_ReferralSource_Housing="","",Year2_West_Berkshire Year2_ReferralSource_Housing)</f>
        <v>35</v>
      </c>
      <c r="CL129" s="871">
        <f>IF(Year3_West_Berkshire Year3_ReferralSource_Housing="","",Year3_West_Berkshire Year3_ReferralSource_Housing)</f>
        <v>28</v>
      </c>
      <c r="CM129" s="871">
        <f>IF(Year4_West_Berkshire Year4_ReferralSource_Housing="","",Year4_West_Berkshire Year4_ReferralSource_Housing)</f>
        <v>9</v>
      </c>
      <c r="CN129" s="872">
        <f>IF(Year5_West_Berkshire Year5_ReferralSource_Housing="","",Year5_West_Berkshire Year5_ReferralSource_Housing)</f>
        <v>22</v>
      </c>
      <c r="CO129" s="870">
        <f>IF(Year1_West_Berkshire Year1_ReferralSource_LA_SC="","",Year1_West_Berkshire Year1_ReferralSource_LA_SC)</f>
        <v>310</v>
      </c>
      <c r="CP129" s="871">
        <f>IF(Year2_West_Berkshire Year2_ReferralSource_LA_SC="","",Year2_West_Berkshire Year2_ReferralSource_LA_SC)</f>
        <v>410</v>
      </c>
      <c r="CQ129" s="871">
        <f>IF(Year3_West_Berkshire Year3_ReferralSource_LA_SC="","",Year3_West_Berkshire Year3_ReferralSource_LA_SC)</f>
        <v>254</v>
      </c>
      <c r="CR129" s="871">
        <f>IF(Year4_West_Berkshire Year4_ReferralSource_LA_SC="","",Year4_West_Berkshire Year4_ReferralSource_LA_SC)</f>
        <v>151</v>
      </c>
      <c r="CS129" s="872">
        <f>IF(Year5_West_Berkshire Year5_ReferralSource_LA_SC="","",Year5_West_Berkshire Year5_ReferralSource_LA_SC)</f>
        <v>278</v>
      </c>
      <c r="CT129" s="870" t="str">
        <f>IF(Year1_West_Berkshire Year1_ReferralSource_LA_Other="","",Year1_West_Berkshire Year1_ReferralSource_LA_Other)</f>
        <v/>
      </c>
      <c r="CU129" s="871" t="str">
        <f>IF(Year2_West_Berkshire Year2_ReferralSource_LA_Other="","",Year2_West_Berkshire Year2_ReferralSource_LA_Other)</f>
        <v/>
      </c>
      <c r="CV129" s="871" t="str">
        <f>IF(Year3_West_Berkshire Year3_ReferralSource_LA_Other="","",Year3_West_Berkshire Year3_ReferralSource_LA_Other)</f>
        <v/>
      </c>
      <c r="CW129" s="871" t="str">
        <f>IF(Year4_West_Berkshire Year4_ReferralSource_LA_Other="","",Year4_West_Berkshire Year4_ReferralSource_LA_Other)</f>
        <v/>
      </c>
      <c r="CX129" s="872" t="str">
        <f>IF(Year5_West_Berkshire Year5_ReferralSource_LA_Other="","",Year5_West_Berkshire Year5_ReferralSource_LA_Other)</f>
        <v/>
      </c>
      <c r="CY129" s="870" t="str">
        <f>IF(Year1_West_Berkshire Year1_ReferralSource_LA_External="","",Year1_West_Berkshire Year1_ReferralSource_LA_External)</f>
        <v/>
      </c>
      <c r="CZ129" s="871" t="str">
        <f>IF(Year2_West_Berkshire Year2_ReferralSource_LA_External="","",Year2_West_Berkshire Year2_ReferralSource_LA_External)</f>
        <v/>
      </c>
      <c r="DA129" s="871" t="str">
        <f>IF(Year3_West_Berkshire Year3_ReferralSource_LA_External="","",Year3_West_Berkshire Year3_ReferralSource_LA_External)</f>
        <v/>
      </c>
      <c r="DB129" s="871" t="str">
        <f>IF(Year4_West_Berkshire Year4_ReferralSource_LA_External="","",Year4_West_Berkshire Year4_ReferralSource_LA_External)</f>
        <v/>
      </c>
      <c r="DC129" s="872" t="str">
        <f>IF(Year5_West_Berkshire Year5_ReferralSource_LA_External="","",Year5_West_Berkshire Year5_ReferralSource_LA_External)</f>
        <v/>
      </c>
      <c r="DD129" s="870">
        <f>IF(Year1_West_Berkshire Year1_ReferralSource_Police="","",Year1_West_Berkshire Year1_ReferralSource_Police)</f>
        <v>285</v>
      </c>
      <c r="DE129" s="871">
        <f>IF(Year2_West_Berkshire Year2_ReferralSource_Police="","",Year2_West_Berkshire Year2_ReferralSource_Police)</f>
        <v>468</v>
      </c>
      <c r="DF129" s="871">
        <f>IF(Year3_West_Berkshire Year3_ReferralSource_Police="","",Year3_West_Berkshire Year3_ReferralSource_Police)</f>
        <v>478</v>
      </c>
      <c r="DG129" s="871">
        <f>IF(Year4_West_Berkshire Year4_ReferralSource_Police="","",Year4_West_Berkshire Year4_ReferralSource_Police)</f>
        <v>617</v>
      </c>
      <c r="DH129" s="872">
        <f>IF(Year5_West_Berkshire Year5_ReferralSource_Police="","",Year5_West_Berkshire Year5_ReferralSource_Police)</f>
        <v>403</v>
      </c>
      <c r="DI129" s="870">
        <f>IF(Year1_West_Berkshire Year1_ReferralSource_Other_Legal="","",Year1_West_Berkshire Year1_ReferralSource_Other_Legal)</f>
        <v>24</v>
      </c>
      <c r="DJ129" s="871">
        <f>IF(Year2_West_Berkshire Year2_ReferralSource_Other_Legal="","",Year2_West_Berkshire Year2_ReferralSource_Other_Legal)</f>
        <v>47</v>
      </c>
      <c r="DK129" s="871" t="str">
        <f>IF(Year3_West_Berkshire Year3_ReferralSource_Other_Legal="","",Year3_West_Berkshire Year3_ReferralSource_Other_Legal)</f>
        <v>x</v>
      </c>
      <c r="DL129" s="871">
        <f>IF(Year4_West_Berkshire Year4_ReferralSource_Other_Legal="","",Year4_West_Berkshire Year4_ReferralSource_Other_Legal)</f>
        <v>41</v>
      </c>
      <c r="DM129" s="872">
        <f>IF(Year5_West_Berkshire Year5_ReferralSource_Other_Legal="","",Year5_West_Berkshire Year5_ReferralSource_Other_Legal)</f>
        <v>33</v>
      </c>
      <c r="DN129" s="870">
        <f>IF(Year1_West_Berkshire Year1_ReferralSource_Other="","",Year1_West_Berkshire Year1_ReferralSource_Other)</f>
        <v>207</v>
      </c>
      <c r="DO129" s="871">
        <f>IF(Year2_West_Berkshire Year2_ReferralSource_Other="","",Year2_West_Berkshire Year2_ReferralSource_Other)</f>
        <v>67</v>
      </c>
      <c r="DP129" s="871">
        <f>IF(Year3_West_Berkshire Year3_ReferralSource_Other="","",Year3_West_Berkshire Year3_ReferralSource_Other)</f>
        <v>53</v>
      </c>
      <c r="DQ129" s="871">
        <f>IF(Year4_West_Berkshire Year4_ReferralSource_Other="","",Year4_West_Berkshire Year4_ReferralSource_Other)</f>
        <v>87</v>
      </c>
      <c r="DR129" s="872">
        <f>IF(Year5_West_Berkshire Year5_ReferralSource_Other="","",Year5_West_Berkshire Year5_ReferralSource_Other)</f>
        <v>53</v>
      </c>
      <c r="DS129" s="870" t="str">
        <f>IF(Year1_West_Berkshire Year1_ReferralSource_Anonymous="","",Year1_West_Berkshire Year1_ReferralSource_Anonymous)</f>
        <v>x</v>
      </c>
      <c r="DT129" s="871">
        <f>IF(Year2_West_Berkshire Year2_ReferralSource_Anonymous="","",Year2_West_Berkshire Year2_ReferralSource_Anonymous)</f>
        <v>17</v>
      </c>
      <c r="DU129" s="871">
        <f>IF(Year3_West_Berkshire Year3_ReferralSource_Anonymous="","",Year3_West_Berkshire Year3_ReferralSource_Anonymous)</f>
        <v>24</v>
      </c>
      <c r="DV129" s="871">
        <f>IF(Year4_West_Berkshire Year4_ReferralSource_Anonymous="","",Year4_West_Berkshire Year4_ReferralSource_Anonymous)</f>
        <v>28</v>
      </c>
      <c r="DW129" s="872">
        <f>IF(Year5_West_Berkshire Year5_ReferralSource_Anonymous="","",Year5_West_Berkshire Year5_ReferralSource_Anonymous)</f>
        <v>33</v>
      </c>
      <c r="DX129" s="870" t="str">
        <f>IF(Year1_West_Berkshire Year1_ReferralSource_Unknown="","",Year1_West_Berkshire Year1_ReferralSource_Unknown)</f>
        <v>x</v>
      </c>
      <c r="DY129" s="871">
        <f>IF(Year2_West_Berkshire Year2_ReferralSource_Unknown="","",Year2_West_Berkshire Year2_ReferralSource_Unknown)</f>
        <v>0</v>
      </c>
      <c r="DZ129" s="871" t="str">
        <f>IF(Year3_West_Berkshire Year3_ReferralSource_Unknown="","",Year3_West_Berkshire Year3_ReferralSource_Unknown)</f>
        <v>x</v>
      </c>
      <c r="EA129" s="871">
        <f>IF(Year4_West_Berkshire Year4_ReferralSource_Unknown="","",Year4_West_Berkshire Year4_ReferralSource_Unknown)</f>
        <v>32</v>
      </c>
      <c r="EB129" s="872">
        <f>IF(Year5_West_Berkshire Year5_ReferralSource_Unknown="","",Year5_West_Berkshire Year5_ReferralSource_Unknown)</f>
        <v>8</v>
      </c>
    </row>
    <row r="130" spans="1:132" s="81" customFormat="1" ht="16.5" customHeight="1" x14ac:dyDescent="0.2">
      <c r="A130" s="278"/>
      <c r="B130" s="175" t="str">
        <f>Sheet1!$K$23</f>
        <v>West Sussex</v>
      </c>
      <c r="C130" s="9"/>
      <c r="D130" s="1893"/>
      <c r="E130" s="1894"/>
      <c r="F130" s="1893"/>
      <c r="G130" s="1894"/>
      <c r="H130" s="1893"/>
      <c r="I130" s="1894"/>
      <c r="J130" s="1893"/>
      <c r="K130" s="1894"/>
      <c r="L130" s="1893"/>
      <c r="M130" s="1894"/>
      <c r="N130" s="1893"/>
      <c r="O130" s="1894"/>
      <c r="P130" s="1893"/>
      <c r="Q130" s="1894"/>
      <c r="R130" s="1893"/>
      <c r="S130" s="1894"/>
      <c r="T130" s="1893"/>
      <c r="U130" s="1894"/>
      <c r="V130" s="1893"/>
      <c r="W130" s="1894"/>
      <c r="X130" s="14"/>
      <c r="Y130" s="117"/>
      <c r="Z130" s="137"/>
      <c r="AA130" s="183"/>
      <c r="AB130" s="1585">
        <f>IF(Year1_West_Sussex Year1_ReferralSource_Individual_Family="","",Year1_West_Sussex Year1_ReferralSource_Individual_Family)</f>
        <v>2017</v>
      </c>
      <c r="AC130" s="1586">
        <f>IF(Year2_West_Sussex Year2_ReferralSource_Individual_Family="","",Year2_West_Sussex Year2_ReferralSource_Individual_Family)</f>
        <v>2111</v>
      </c>
      <c r="AD130" s="1586">
        <f>IF(Year3_West_Sussex Year3_ReferralSource_Individual_Family="","",Year3_West_Sussex Year3_ReferralSource_Individual_Family)</f>
        <v>919</v>
      </c>
      <c r="AE130" s="1586">
        <f>IF(Year4_West_Sussex Year4_ReferralSource_Individual_Family="","",Year4_West_Sussex Year4_ReferralSource_Individual_Family)</f>
        <v>497</v>
      </c>
      <c r="AF130" s="1588">
        <f>IF(Year5_West_Sussex Year5_ReferralSource_Individual_Family="","",Year5_West_Sussex Year5_ReferralSource_Individual_Family)</f>
        <v>880</v>
      </c>
      <c r="AG130" s="1585" t="str">
        <f>IF(Year1_West_Sussex Year1_ReferralSource_Individual_Acquaintance="","",Year1_West_Sussex Year1_ReferralSource_Individual_Acquaintance)</f>
        <v/>
      </c>
      <c r="AH130" s="1586" t="str">
        <f>IF(Year2_West_Sussex Year2_ReferralSource_Individual_Acquaintance="","",Year2_West_Sussex Year2_ReferralSource_Individual_Acquaintance)</f>
        <v/>
      </c>
      <c r="AI130" s="1586" t="str">
        <f>IF(Year3_West_Sussex Year3_ReferralSource_Individual_Acquaintance="","",Year3_West_Sussex Year3_ReferralSource_Individual_Acquaintance)</f>
        <v/>
      </c>
      <c r="AJ130" s="1586" t="str">
        <f>IF(Year4_West_Sussex Year4_ReferralSource_Individual_Acquaintance="","",Year4_West_Sussex Year4_ReferralSource_Individual_Acquaintance)</f>
        <v/>
      </c>
      <c r="AK130" s="1588" t="str">
        <f>IF(Year5_West_Sussex Year5_ReferralSource_Individual_Acquaintance="","",Year5_West_Sussex Year5_ReferralSource_Individual_Acquaintance)</f>
        <v/>
      </c>
      <c r="AL130" s="1585" t="str">
        <f>IF(Year1_West_Sussex Year1_ReferralSource_Individual_Self="","",Year1_West_Sussex Year1_ReferralSource_Individual_Self)</f>
        <v/>
      </c>
      <c r="AM130" s="1586" t="str">
        <f>IF(Year2_West_Sussex Year2_ReferralSource_Individual_Self="","",Year2_West_Sussex Year2_ReferralSource_Individual_Self)</f>
        <v/>
      </c>
      <c r="AN130" s="1586" t="str">
        <f>IF(Year3_West_Sussex Year3_ReferralSource_Individual_Self="","",Year3_West_Sussex Year3_ReferralSource_Individual_Self)</f>
        <v/>
      </c>
      <c r="AO130" s="1586" t="str">
        <f>IF(Year4_West_Sussex Year4_ReferralSource_Individual_Self="","",Year4_West_Sussex Year4_ReferralSource_Individual_Self)</f>
        <v/>
      </c>
      <c r="AP130" s="1588" t="str">
        <f>IF(Year5_West_Sussex Year5_ReferralSource_Individual_Self="","",Year5_West_Sussex Year5_ReferralSource_Individual_Self)</f>
        <v/>
      </c>
      <c r="AQ130" s="1585" t="str">
        <f>IF(Year1_West_Sussex Year1_ReferralSource_Individual_Other="","",Year1_West_Sussex Year1_ReferralSource_Individual_Other)</f>
        <v/>
      </c>
      <c r="AR130" s="1586" t="str">
        <f>IF(Year2_West_Sussex Year2_ReferralSource_Individual_Other="","",Year2_West_Sussex Year2_ReferralSource_Individual_Other)</f>
        <v/>
      </c>
      <c r="AS130" s="1586" t="str">
        <f>IF(Year3_West_Sussex Year3_ReferralSource_Individual_Other="","",Year3_West_Sussex Year3_ReferralSource_Individual_Other)</f>
        <v/>
      </c>
      <c r="AT130" s="1586" t="str">
        <f>IF(Year4_West_Sussex Year4_ReferralSource_Individual_Other="","",Year4_West_Sussex Year4_ReferralSource_Individual_Other)</f>
        <v/>
      </c>
      <c r="AU130" s="1588" t="str">
        <f>IF(Year5_West_Sussex Year5_ReferralSource_Individual_Other="","",Year5_West_Sussex Year5_ReferralSource_Individual_Other)</f>
        <v/>
      </c>
      <c r="AV130" s="1585">
        <f>IF(Year1_West_Sussex Year1_ReferralSource_School="","",Year1_West_Sussex Year1_ReferralSource_School)</f>
        <v>1204</v>
      </c>
      <c r="AW130" s="1586">
        <f>IF(Year2_West_Sussex Year2_ReferralSource_School="","",Year2_West_Sussex Year2_ReferralSource_School)</f>
        <v>1554</v>
      </c>
      <c r="AX130" s="1586">
        <f>IF(Year3_West_Sussex Year3_ReferralSource_School="","",Year3_West_Sussex Year3_ReferralSource_School)</f>
        <v>1877</v>
      </c>
      <c r="AY130" s="1586">
        <f>IF(Year4_West_Sussex Year4_ReferralSource_School="","",Year4_West_Sussex Year4_ReferralSource_School)</f>
        <v>527</v>
      </c>
      <c r="AZ130" s="1588">
        <f>IF(Year5_West_Sussex Year5_ReferralSource_School="","",Year5_West_Sussex Year5_ReferralSource_School)</f>
        <v>2028</v>
      </c>
      <c r="BA130" s="1585">
        <f>IF(Year1_West_Sussex Year1_ReferralSource_EducationServices="","",Year1_West_Sussex Year1_ReferralSource_EducationServices)</f>
        <v>0</v>
      </c>
      <c r="BB130" s="1586">
        <f>IF(Year2_West_Sussex Year2_ReferralSource_EducationServices="","",Year2_West_Sussex Year2_ReferralSource_EducationServices)</f>
        <v>0</v>
      </c>
      <c r="BC130" s="1586">
        <f>IF(Year3_West_Sussex Year3_ReferralSource_EducationServices="","",Year3_West_Sussex Year3_ReferralSource_EducationServices)</f>
        <v>0</v>
      </c>
      <c r="BD130" s="1586">
        <f>IF(Year4_West_Sussex Year4_ReferralSource_EducationServices="","",Year4_West_Sussex Year4_ReferralSource_EducationServices)</f>
        <v>51</v>
      </c>
      <c r="BE130" s="1588">
        <f>IF(Year5_West_Sussex Year5_ReferralSource_EducationServices="","",Year5_West_Sussex Year5_ReferralSource_EducationServices)</f>
        <v>0</v>
      </c>
      <c r="BF130" s="882">
        <f>IF(Year1_West_Sussex Year1_ReferralSource_Health_services_GP="","",Year1_West_Sussex Year1_ReferralSource_Health_services_GP)</f>
        <v>765</v>
      </c>
      <c r="BG130" s="883">
        <f>IF(Year2_West_Sussex Year2_ReferralSource_Health_services_GP="","",Year2_West_Sussex Year2_ReferralSource_Health_services_GP)</f>
        <v>998</v>
      </c>
      <c r="BH130" s="883">
        <f>IF(Year3_West_Sussex Year3_ReferralSource_Health_services_GP="","",Year3_West_Sussex Year3_ReferralSource_Health_services_GP)</f>
        <v>1083</v>
      </c>
      <c r="BI130" s="883">
        <f>IF(Year4_West_Sussex Year4_ReferralSource_Health_services_GP="","",Year4_West_Sussex Year4_ReferralSource_Health_services_GP)</f>
        <v>608</v>
      </c>
      <c r="BJ130" s="884">
        <f>IF(Year5_West_Sussex Year5_ReferralSource_Health_services_GP="","",Year5_West_Sussex Year5_ReferralSource_Health_services_GP)</f>
        <v>1316</v>
      </c>
      <c r="BK130" s="882" t="str">
        <f>IF(Year1_West_Sussex Year1_ReferralSource_Health_services_HealthVisitor="","",Year1_West_Sussex Year1_ReferralSource_Health_services_HealthVisitor)</f>
        <v/>
      </c>
      <c r="BL130" s="883" t="str">
        <f>IF(Year2_West_Sussex Year2_ReferralSource_Health_services_HealthVisitor="","",Year2_West_Sussex Year2_ReferralSource_Health_services_HealthVisitor)</f>
        <v/>
      </c>
      <c r="BM130" s="883" t="str">
        <f>IF(Year3_West_Sussex Year3_ReferralSource_Health_services_HealthVisitor="","",Year3_West_Sussex Year3_ReferralSource_Health_services_HealthVisitor)</f>
        <v/>
      </c>
      <c r="BN130" s="883" t="str">
        <f>IF(Year4_West_Sussex Year4_ReferralSource_Health_services_HealthVisitor="","",Year4_West_Sussex Year4_ReferralSource_Health_services_HealthVisitor)</f>
        <v/>
      </c>
      <c r="BO130" s="884" t="str">
        <f>IF(Year5_West_Sussex Year5_ReferralSource_Health_services_HealthVisitor="","",Year5_West_Sussex Year5_ReferralSource_Health_services_HealthVisitor)</f>
        <v/>
      </c>
      <c r="BP130" s="882" t="str">
        <f>IF(Year1_West_Sussex Year1_ReferralSource_Health_services_SchoolNurse="","",Year1_West_Sussex Year1_ReferralSource_Health_services_SchoolNurse)</f>
        <v/>
      </c>
      <c r="BQ130" s="883" t="str">
        <f>IF(Year2_West_Sussex Year2_ReferralSource_Health_services_SchoolNurse="","",Year2_West_Sussex Year2_ReferralSource_Health_services_SchoolNurse)</f>
        <v/>
      </c>
      <c r="BR130" s="883" t="str">
        <f>IF(Year3_West_Sussex Year3_ReferralSource_Health_services_SchoolNurse="","",Year3_West_Sussex Year3_ReferralSource_Health_services_SchoolNurse)</f>
        <v/>
      </c>
      <c r="BS130" s="883" t="str">
        <f>IF(Year4_West_Sussex Year4_ReferralSource_Health_services_SchoolNurse="","",Year4_West_Sussex Year4_ReferralSource_Health_services_SchoolNurse)</f>
        <v/>
      </c>
      <c r="BT130" s="884" t="str">
        <f>IF(Year5_West_Sussex Year5_ReferralSource_Health_services_SchoolNurse="","",Year5_West_Sussex Year5_ReferralSource_Health_services_SchoolNurse)</f>
        <v/>
      </c>
      <c r="BU130" s="882" t="str">
        <f>IF(Year1_West_Sussex Year1_ReferralSource_Health_services_OthPrimary="","",Year1_West_Sussex Year1_ReferralSource_Health_services_OthPrimary)</f>
        <v/>
      </c>
      <c r="BV130" s="883" t="str">
        <f>IF(Year2_West_Sussex Year2_ReferralSource_Health_services_OthPrimary="","",Year2_West_Sussex Year2_ReferralSource_Health_services_OthPrimary)</f>
        <v/>
      </c>
      <c r="BW130" s="883" t="str">
        <f>IF(Year3_West_Sussex Year3_ReferralSource_Health_services_OthPrimary="","",Year3_West_Sussex Year3_ReferralSource_Health_services_OthPrimary)</f>
        <v/>
      </c>
      <c r="BX130" s="883" t="str">
        <f>IF(Year4_West_Sussex Year4_ReferralSource_Health_services_OthPrimary="","",Year4_West_Sussex Year4_ReferralSource_Health_services_OthPrimary)</f>
        <v/>
      </c>
      <c r="BY130" s="884" t="str">
        <f>IF(Year5_West_Sussex Year5_ReferralSource_Health_services_OthPrimary="","",Year5_West_Sussex Year5_ReferralSource_Health_services_OthPrimary)</f>
        <v/>
      </c>
      <c r="BZ130" s="882" t="str">
        <f>IF(Year1_West_Sussex Year1_ReferralSource_Health_services_AE="","",Year1_West_Sussex Year1_ReferralSource_Health_services_AE)</f>
        <v/>
      </c>
      <c r="CA130" s="883" t="str">
        <f>IF(Year2_West_Sussex Year2_ReferralSource_Health_services_AE="","",Year2_West_Sussex Year2_ReferralSource_Health_services_AE)</f>
        <v/>
      </c>
      <c r="CB130" s="883" t="str">
        <f>IF(Year3_West_Sussex Year3_ReferralSource_Health_services_AE="","",Year3_West_Sussex Year3_ReferralSource_Health_services_AE)</f>
        <v/>
      </c>
      <c r="CC130" s="883" t="str">
        <f>IF(Year4_West_Sussex Year4_ReferralSource_Health_services_AE="","",Year4_West_Sussex Year4_ReferralSource_Health_services_AE)</f>
        <v/>
      </c>
      <c r="CD130" s="884" t="str">
        <f>IF(Year5_West_Sussex Year5_ReferralSource_Health_services_AE="","",Year5_West_Sussex Year5_ReferralSource_Health_services_AE)</f>
        <v/>
      </c>
      <c r="CE130" s="882" t="str">
        <f>IF(Year1_West_Sussex Year1_ReferralSource_Health_services_Other="","",Year1_West_Sussex Year1_ReferralSource_Health_services_Other)</f>
        <v/>
      </c>
      <c r="CF130" s="883" t="str">
        <f>IF(Year2_West_Sussex Year2_ReferralSource_Health_services_Other="","",Year2_West_Sussex Year2_ReferralSource_Health_services_Other)</f>
        <v/>
      </c>
      <c r="CG130" s="883" t="str">
        <f>IF(Year3_West_Sussex Year3_ReferralSource_Health_services_Other="","",Year3_West_Sussex Year3_ReferralSource_Health_services_Other)</f>
        <v/>
      </c>
      <c r="CH130" s="883" t="str">
        <f>IF(Year4_West_Sussex Year4_ReferralSource_Health_services_Other="","",Year4_West_Sussex Year4_ReferralSource_Health_services_Other)</f>
        <v/>
      </c>
      <c r="CI130" s="884" t="str">
        <f>IF(Year5_West_Sussex Year5_ReferralSource_Health_services_Other="","",Year5_West_Sussex Year5_ReferralSource_Health_services_Other)</f>
        <v/>
      </c>
      <c r="CJ130" s="870">
        <f>IF(Year1_West_Sussex Year1_ReferralSource_Housing="","",Year1_West_Sussex Year1_ReferralSource_Housing)</f>
        <v>141</v>
      </c>
      <c r="CK130" s="871">
        <f>IF(Year2_West_Sussex Year2_ReferralSource_Housing="","",Year2_West_Sussex Year2_ReferralSource_Housing)</f>
        <v>120</v>
      </c>
      <c r="CL130" s="871">
        <f>IF(Year3_West_Sussex Year3_ReferralSource_Housing="","",Year3_West_Sussex Year3_ReferralSource_Housing)</f>
        <v>182</v>
      </c>
      <c r="CM130" s="871">
        <f>IF(Year4_West_Sussex Year4_ReferralSource_Housing="","",Year4_West_Sussex Year4_ReferralSource_Housing)</f>
        <v>32</v>
      </c>
      <c r="CN130" s="872">
        <f>IF(Year5_West_Sussex Year5_ReferralSource_Housing="","",Year5_West_Sussex Year5_ReferralSource_Housing)</f>
        <v>206</v>
      </c>
      <c r="CO130" s="870">
        <f>IF(Year1_West_Sussex Year1_ReferralSource_LA_SC="","",Year1_West_Sussex Year1_ReferralSource_LA_SC)</f>
        <v>779</v>
      </c>
      <c r="CP130" s="871">
        <f>IF(Year2_West_Sussex Year2_ReferralSource_LA_SC="","",Year2_West_Sussex Year2_ReferralSource_LA_SC)</f>
        <v>662</v>
      </c>
      <c r="CQ130" s="871">
        <f>IF(Year3_West_Sussex Year3_ReferralSource_LA_SC="","",Year3_West_Sussex Year3_ReferralSource_LA_SC)</f>
        <v>1819</v>
      </c>
      <c r="CR130" s="871">
        <f>IF(Year4_West_Sussex Year4_ReferralSource_LA_SC="","",Year4_West_Sussex Year4_ReferralSource_LA_SC)</f>
        <v>578</v>
      </c>
      <c r="CS130" s="872">
        <f>IF(Year5_West_Sussex Year5_ReferralSource_LA_SC="","",Year5_West_Sussex Year5_ReferralSource_LA_SC)</f>
        <v>1755</v>
      </c>
      <c r="CT130" s="870" t="str">
        <f>IF(Year1_West_Sussex Year1_ReferralSource_LA_Other="","",Year1_West_Sussex Year1_ReferralSource_LA_Other)</f>
        <v/>
      </c>
      <c r="CU130" s="871" t="str">
        <f>IF(Year2_West_Sussex Year2_ReferralSource_LA_Other="","",Year2_West_Sussex Year2_ReferralSource_LA_Other)</f>
        <v/>
      </c>
      <c r="CV130" s="871" t="str">
        <f>IF(Year3_West_Sussex Year3_ReferralSource_LA_Other="","",Year3_West_Sussex Year3_ReferralSource_LA_Other)</f>
        <v/>
      </c>
      <c r="CW130" s="871" t="str">
        <f>IF(Year4_West_Sussex Year4_ReferralSource_LA_Other="","",Year4_West_Sussex Year4_ReferralSource_LA_Other)</f>
        <v/>
      </c>
      <c r="CX130" s="872" t="str">
        <f>IF(Year5_West_Sussex Year5_ReferralSource_LA_Other="","",Year5_West_Sussex Year5_ReferralSource_LA_Other)</f>
        <v/>
      </c>
      <c r="CY130" s="870" t="str">
        <f>IF(Year1_West_Sussex Year1_ReferralSource_LA_External="","",Year1_West_Sussex Year1_ReferralSource_LA_External)</f>
        <v/>
      </c>
      <c r="CZ130" s="871" t="str">
        <f>IF(Year2_West_Sussex Year2_ReferralSource_LA_External="","",Year2_West_Sussex Year2_ReferralSource_LA_External)</f>
        <v/>
      </c>
      <c r="DA130" s="871" t="str">
        <f>IF(Year3_West_Sussex Year3_ReferralSource_LA_External="","",Year3_West_Sussex Year3_ReferralSource_LA_External)</f>
        <v/>
      </c>
      <c r="DB130" s="871" t="str">
        <f>IF(Year4_West_Sussex Year4_ReferralSource_LA_External="","",Year4_West_Sussex Year4_ReferralSource_LA_External)</f>
        <v/>
      </c>
      <c r="DC130" s="872" t="str">
        <f>IF(Year5_West_Sussex Year5_ReferralSource_LA_External="","",Year5_West_Sussex Year5_ReferralSource_LA_External)</f>
        <v/>
      </c>
      <c r="DD130" s="870">
        <f>IF(Year1_West_Sussex Year1_ReferralSource_Police="","",Year1_West_Sussex Year1_ReferralSource_Police)</f>
        <v>2562</v>
      </c>
      <c r="DE130" s="871">
        <f>IF(Year2_West_Sussex Year2_ReferralSource_Police="","",Year2_West_Sussex Year2_ReferralSource_Police)</f>
        <v>2690</v>
      </c>
      <c r="DF130" s="871">
        <f>IF(Year3_West_Sussex Year3_ReferralSource_Police="","",Year3_West_Sussex Year3_ReferralSource_Police)</f>
        <v>2913</v>
      </c>
      <c r="DG130" s="871">
        <f>IF(Year4_West_Sussex Year4_ReferralSource_Police="","",Year4_West_Sussex Year4_ReferralSource_Police)</f>
        <v>1008</v>
      </c>
      <c r="DH130" s="872">
        <f>IF(Year5_West_Sussex Year5_ReferralSource_Police="","",Year5_West_Sussex Year5_ReferralSource_Police)</f>
        <v>2796</v>
      </c>
      <c r="DI130" s="870">
        <f>IF(Year1_West_Sussex Year1_ReferralSource_Other_Legal="","",Year1_West_Sussex Year1_ReferralSource_Other_Legal)</f>
        <v>336</v>
      </c>
      <c r="DJ130" s="871">
        <f>IF(Year2_West_Sussex Year2_ReferralSource_Other_Legal="","",Year2_West_Sussex Year2_ReferralSource_Other_Legal)</f>
        <v>310</v>
      </c>
      <c r="DK130" s="871">
        <f>IF(Year3_West_Sussex Year3_ReferralSource_Other_Legal="","",Year3_West_Sussex Year3_ReferralSource_Other_Legal)</f>
        <v>363</v>
      </c>
      <c r="DL130" s="871">
        <f>IF(Year4_West_Sussex Year4_ReferralSource_Other_Legal="","",Year4_West_Sussex Year4_ReferralSource_Other_Legal)</f>
        <v>136</v>
      </c>
      <c r="DM130" s="872">
        <f>IF(Year5_West_Sussex Year5_ReferralSource_Other_Legal="","",Year5_West_Sussex Year5_ReferralSource_Other_Legal)</f>
        <v>342</v>
      </c>
      <c r="DN130" s="870">
        <f>IF(Year1_West_Sussex Year1_ReferralSource_Other="","",Year1_West_Sussex Year1_ReferralSource_Other)</f>
        <v>67</v>
      </c>
      <c r="DO130" s="871">
        <f>IF(Year2_West_Sussex Year2_ReferralSource_Other="","",Year2_West_Sussex Year2_ReferralSource_Other)</f>
        <v>39</v>
      </c>
      <c r="DP130" s="871">
        <f>IF(Year3_West_Sussex Year3_ReferralSource_Other="","",Year3_West_Sussex Year3_ReferralSource_Other)</f>
        <v>690</v>
      </c>
      <c r="DQ130" s="871">
        <f>IF(Year4_West_Sussex Year4_ReferralSource_Other="","",Year4_West_Sussex Year4_ReferralSource_Other)</f>
        <v>234</v>
      </c>
      <c r="DR130" s="872">
        <f>IF(Year5_West_Sussex Year5_ReferralSource_Other="","",Year5_West_Sussex Year5_ReferralSource_Other)</f>
        <v>623</v>
      </c>
      <c r="DS130" s="870">
        <f>IF(Year1_West_Sussex Year1_ReferralSource_Anonymous="","",Year1_West_Sussex Year1_ReferralSource_Anonymous)</f>
        <v>0</v>
      </c>
      <c r="DT130" s="871">
        <f>IF(Year2_West_Sussex Year2_ReferralSource_Anonymous="","",Year2_West_Sussex Year2_ReferralSource_Anonymous)</f>
        <v>0</v>
      </c>
      <c r="DU130" s="871">
        <f>IF(Year3_West_Sussex Year3_ReferralSource_Anonymous="","",Year3_West_Sussex Year3_ReferralSource_Anonymous)</f>
        <v>0</v>
      </c>
      <c r="DV130" s="871">
        <f>IF(Year4_West_Sussex Year4_ReferralSource_Anonymous="","",Year4_West_Sussex Year4_ReferralSource_Anonymous)</f>
        <v>152</v>
      </c>
      <c r="DW130" s="872">
        <f>IF(Year5_West_Sussex Year5_ReferralSource_Anonymous="","",Year5_West_Sussex Year5_ReferralSource_Anonymous)</f>
        <v>0</v>
      </c>
      <c r="DX130" s="870">
        <f>IF(Year1_West_Sussex Year1_ReferralSource_Unknown="","",Year1_West_Sussex Year1_ReferralSource_Unknown)</f>
        <v>276</v>
      </c>
      <c r="DY130" s="871">
        <f>IF(Year2_West_Sussex Year2_ReferralSource_Unknown="","",Year2_West_Sussex Year2_ReferralSource_Unknown)</f>
        <v>257</v>
      </c>
      <c r="DZ130" s="871">
        <f>IF(Year3_West_Sussex Year3_ReferralSource_Unknown="","",Year3_West_Sussex Year3_ReferralSource_Unknown)</f>
        <v>149</v>
      </c>
      <c r="EA130" s="871">
        <f>IF(Year4_West_Sussex Year4_ReferralSource_Unknown="","",Year4_West_Sussex Year4_ReferralSource_Unknown)</f>
        <v>7</v>
      </c>
      <c r="EB130" s="872">
        <f>IF(Year5_West_Sussex Year5_ReferralSource_Unknown="","",Year5_West_Sussex Year5_ReferralSource_Unknown)</f>
        <v>47</v>
      </c>
    </row>
    <row r="131" spans="1:132" ht="16.5" customHeight="1" x14ac:dyDescent="0.2">
      <c r="A131" s="278"/>
      <c r="B131" s="175" t="str">
        <f>Sheet1!$K$24</f>
        <v>Windsor &amp; Maidenhead</v>
      </c>
      <c r="C131" s="9"/>
      <c r="D131" s="1893"/>
      <c r="E131" s="1894"/>
      <c r="F131" s="1893"/>
      <c r="G131" s="1894"/>
      <c r="H131" s="1893"/>
      <c r="I131" s="1894"/>
      <c r="J131" s="1893"/>
      <c r="K131" s="1894"/>
      <c r="L131" s="1893"/>
      <c r="M131" s="1894"/>
      <c r="N131" s="1893"/>
      <c r="O131" s="1894"/>
      <c r="P131" s="1893"/>
      <c r="Q131" s="1894"/>
      <c r="R131" s="1893"/>
      <c r="S131" s="1894"/>
      <c r="T131" s="1893"/>
      <c r="U131" s="1894"/>
      <c r="V131" s="1893"/>
      <c r="W131" s="1894"/>
      <c r="X131" s="14"/>
      <c r="Y131" s="117"/>
      <c r="Z131" s="137"/>
      <c r="AA131" s="183"/>
      <c r="AB131" s="1589">
        <f>IF(Year1_Windsor_Maidenhead Year1_ReferralSource_Individual_Family="","",Year1_Windsor_Maidenhead Year1_ReferralSource_Individual_Family)</f>
        <v>105</v>
      </c>
      <c r="AC131" s="1590">
        <f>IF(Year2_Windsor_Maidenhead Year2_ReferralSource_Individual_Family="","",Year2_Windsor_Maidenhead Year2_ReferralSource_Individual_Family)</f>
        <v>37</v>
      </c>
      <c r="AD131" s="1590">
        <f>IF(Year3_Windsor_Maidenhead Year3_ReferralSource_Individual_Family="","",Year3_Windsor_Maidenhead Year3_ReferralSource_Individual_Family)</f>
        <v>147</v>
      </c>
      <c r="AE131" s="1590">
        <f>IF(Year4_Windsor_Maidenhead Year4_ReferralSource_Individual_Family="","",Year4_Windsor_Maidenhead Year4_ReferralSource_Individual_Family)</f>
        <v>179</v>
      </c>
      <c r="AF131" s="1591">
        <f>IF(Year5_Windsor_Maidenhead Year5_ReferralSource_Individual_Family="","",Year5_Windsor_Maidenhead Year5_ReferralSource_Individual_Family)</f>
        <v>97</v>
      </c>
      <c r="AG131" s="1589" t="str">
        <f>IF(Year1_Windsor_Maidenhead Year1_ReferralSource_Individual_Acquaintance="","",Year1_Windsor_Maidenhead Year1_ReferralSource_Individual_Acquaintance)</f>
        <v/>
      </c>
      <c r="AH131" s="1590" t="str">
        <f>IF(Year2_Windsor_Maidenhead Year2_ReferralSource_Individual_Acquaintance="","",Year2_Windsor_Maidenhead Year2_ReferralSource_Individual_Acquaintance)</f>
        <v/>
      </c>
      <c r="AI131" s="1590" t="str">
        <f>IF(Year3_Windsor_Maidenhead Year3_ReferralSource_Individual_Acquaintance="","",Year3_Windsor_Maidenhead Year3_ReferralSource_Individual_Acquaintance)</f>
        <v/>
      </c>
      <c r="AJ131" s="1590" t="str">
        <f>IF(Year4_Windsor_Maidenhead Year4_ReferralSource_Individual_Acquaintance="","",Year4_Windsor_Maidenhead Year4_ReferralSource_Individual_Acquaintance)</f>
        <v/>
      </c>
      <c r="AK131" s="1591" t="str">
        <f>IF(Year5_Windsor_Maidenhead Year5_ReferralSource_Individual_Acquaintance="","",Year5_Windsor_Maidenhead Year5_ReferralSource_Individual_Acquaintance)</f>
        <v/>
      </c>
      <c r="AL131" s="1589" t="str">
        <f>IF(Year1_Windsor_Maidenhead Year1_ReferralSource_Individual_Self="","",Year1_Windsor_Maidenhead Year1_ReferralSource_Individual_Self)</f>
        <v/>
      </c>
      <c r="AM131" s="1590" t="str">
        <f>IF(Year2_Windsor_Maidenhead Year2_ReferralSource_Individual_Self="","",Year2_Windsor_Maidenhead Year2_ReferralSource_Individual_Self)</f>
        <v/>
      </c>
      <c r="AN131" s="1590" t="str">
        <f>IF(Year3_Windsor_Maidenhead Year3_ReferralSource_Individual_Self="","",Year3_Windsor_Maidenhead Year3_ReferralSource_Individual_Self)</f>
        <v/>
      </c>
      <c r="AO131" s="1590" t="str">
        <f>IF(Year4_Windsor_Maidenhead Year4_ReferralSource_Individual_Self="","",Year4_Windsor_Maidenhead Year4_ReferralSource_Individual_Self)</f>
        <v/>
      </c>
      <c r="AP131" s="1591" t="str">
        <f>IF(Year5_Windsor_Maidenhead Year5_ReferralSource_Individual_Self="","",Year5_Windsor_Maidenhead Year5_ReferralSource_Individual_Self)</f>
        <v/>
      </c>
      <c r="AQ131" s="1589" t="str">
        <f>IF(Year1_Windsor_Maidenhead Year1_ReferralSource_Individual_Other="","",Year1_Windsor_Maidenhead Year1_ReferralSource_Individual_Other)</f>
        <v/>
      </c>
      <c r="AR131" s="1590" t="str">
        <f>IF(Year2_Windsor_Maidenhead Year2_ReferralSource_Individual_Other="","",Year2_Windsor_Maidenhead Year2_ReferralSource_Individual_Other)</f>
        <v/>
      </c>
      <c r="AS131" s="1590" t="str">
        <f>IF(Year3_Windsor_Maidenhead Year3_ReferralSource_Individual_Other="","",Year3_Windsor_Maidenhead Year3_ReferralSource_Individual_Other)</f>
        <v/>
      </c>
      <c r="AT131" s="1590" t="str">
        <f>IF(Year4_Windsor_Maidenhead Year4_ReferralSource_Individual_Other="","",Year4_Windsor_Maidenhead Year4_ReferralSource_Individual_Other)</f>
        <v/>
      </c>
      <c r="AU131" s="1591" t="str">
        <f>IF(Year5_Windsor_Maidenhead Year5_ReferralSource_Individual_Other="","",Year5_Windsor_Maidenhead Year5_ReferralSource_Individual_Other)</f>
        <v/>
      </c>
      <c r="AV131" s="1589">
        <f>IF(Year1_Windsor_Maidenhead Year1_ReferralSource_School="","",Year1_Windsor_Maidenhead Year1_ReferralSource_School)</f>
        <v>128</v>
      </c>
      <c r="AW131" s="1590">
        <f>IF(Year2_Windsor_Maidenhead Year2_ReferralSource_School="","",Year2_Windsor_Maidenhead Year2_ReferralSource_School)</f>
        <v>142</v>
      </c>
      <c r="AX131" s="1590">
        <f>IF(Year3_Windsor_Maidenhead Year3_ReferralSource_School="","",Year3_Windsor_Maidenhead Year3_ReferralSource_School)</f>
        <v>97</v>
      </c>
      <c r="AY131" s="1590">
        <f>IF(Year4_Windsor_Maidenhead Year4_ReferralSource_School="","",Year4_Windsor_Maidenhead Year4_ReferralSource_School)</f>
        <v>632</v>
      </c>
      <c r="AZ131" s="1591">
        <f>IF(Year5_Windsor_Maidenhead Year5_ReferralSource_School="","",Year5_Windsor_Maidenhead Year5_ReferralSource_School)</f>
        <v>284</v>
      </c>
      <c r="BA131" s="1589" t="str">
        <f>IF(Year1_Windsor_Maidenhead Year1_ReferralSource_EducationServices="","",Year1_Windsor_Maidenhead Year1_ReferralSource_EducationServices)</f>
        <v>x</v>
      </c>
      <c r="BB131" s="1590">
        <f>IF(Year2_Windsor_Maidenhead Year2_ReferralSource_EducationServices="","",Year2_Windsor_Maidenhead Year2_ReferralSource_EducationServices)</f>
        <v>23</v>
      </c>
      <c r="BC131" s="1590">
        <f>IF(Year3_Windsor_Maidenhead Year3_ReferralSource_EducationServices="","",Year3_Windsor_Maidenhead Year3_ReferralSource_EducationServices)</f>
        <v>0</v>
      </c>
      <c r="BD131" s="1590">
        <f>IF(Year4_Windsor_Maidenhead Year4_ReferralSource_EducationServices="","",Year4_Windsor_Maidenhead Year4_ReferralSource_EducationServices)</f>
        <v>21</v>
      </c>
      <c r="BE131" s="1591">
        <f>IF(Year5_Windsor_Maidenhead Year5_ReferralSource_EducationServices="","",Year5_Windsor_Maidenhead Year5_ReferralSource_EducationServices)</f>
        <v>0</v>
      </c>
      <c r="BF131" s="1592">
        <f>IF(Year1_Windsor_Maidenhead Year1_ReferralSource_Health_services_GP="","",Year1_Windsor_Maidenhead Year1_ReferralSource_Health_services_GP)</f>
        <v>111</v>
      </c>
      <c r="BG131" s="1593">
        <f>IF(Year2_Windsor_Maidenhead Year2_ReferralSource_Health_services_GP="","",Year2_Windsor_Maidenhead Year2_ReferralSource_Health_services_GP)</f>
        <v>71</v>
      </c>
      <c r="BH131" s="1593">
        <f>IF(Year3_Windsor_Maidenhead Year3_ReferralSource_Health_services_GP="","",Year3_Windsor_Maidenhead Year3_ReferralSource_Health_services_GP)</f>
        <v>133</v>
      </c>
      <c r="BI131" s="1593">
        <f>IF(Year4_Windsor_Maidenhead Year4_ReferralSource_Health_services_GP="","",Year4_Windsor_Maidenhead Year4_ReferralSource_Health_services_GP)</f>
        <v>414</v>
      </c>
      <c r="BJ131" s="1594">
        <f>IF(Year5_Windsor_Maidenhead Year5_ReferralSource_Health_services_GP="","",Year5_Windsor_Maidenhead Year5_ReferralSource_Health_services_GP)</f>
        <v>164</v>
      </c>
      <c r="BK131" s="1592" t="str">
        <f>IF(Year1_Windsor_Maidenhead Year1_ReferralSource_Health_services_HealthVisitor="","",Year1_Windsor_Maidenhead Year1_ReferralSource_Health_services_HealthVisitor)</f>
        <v/>
      </c>
      <c r="BL131" s="1593" t="str">
        <f>IF(Year2_Windsor_Maidenhead Year2_ReferralSource_Health_services_HealthVisitor="","",Year2_Windsor_Maidenhead Year2_ReferralSource_Health_services_HealthVisitor)</f>
        <v/>
      </c>
      <c r="BM131" s="1593" t="str">
        <f>IF(Year3_Windsor_Maidenhead Year3_ReferralSource_Health_services_HealthVisitor="","",Year3_Windsor_Maidenhead Year3_ReferralSource_Health_services_HealthVisitor)</f>
        <v/>
      </c>
      <c r="BN131" s="1593" t="str">
        <f>IF(Year4_Windsor_Maidenhead Year4_ReferralSource_Health_services_HealthVisitor="","",Year4_Windsor_Maidenhead Year4_ReferralSource_Health_services_HealthVisitor)</f>
        <v/>
      </c>
      <c r="BO131" s="1594" t="str">
        <f>IF(Year5_Windsor_Maidenhead Year5_ReferralSource_Health_services_HealthVisitor="","",Year5_Windsor_Maidenhead Year5_ReferralSource_Health_services_HealthVisitor)</f>
        <v/>
      </c>
      <c r="BP131" s="1592" t="str">
        <f>IF(Year1_Windsor_Maidenhead Year1_ReferralSource_Health_services_SchoolNurse="","",Year1_Windsor_Maidenhead Year1_ReferralSource_Health_services_SchoolNurse)</f>
        <v/>
      </c>
      <c r="BQ131" s="1593" t="str">
        <f>IF(Year2_Windsor_Maidenhead Year2_ReferralSource_Health_services_SchoolNurse="","",Year2_Windsor_Maidenhead Year2_ReferralSource_Health_services_SchoolNurse)</f>
        <v/>
      </c>
      <c r="BR131" s="1593" t="str">
        <f>IF(Year3_Windsor_Maidenhead Year3_ReferralSource_Health_services_SchoolNurse="","",Year3_Windsor_Maidenhead Year3_ReferralSource_Health_services_SchoolNurse)</f>
        <v/>
      </c>
      <c r="BS131" s="1593" t="str">
        <f>IF(Year4_Windsor_Maidenhead Year4_ReferralSource_Health_services_SchoolNurse="","",Year4_Windsor_Maidenhead Year4_ReferralSource_Health_services_SchoolNurse)</f>
        <v/>
      </c>
      <c r="BT131" s="1594" t="str">
        <f>IF(Year5_Windsor_Maidenhead Year5_ReferralSource_Health_services_SchoolNurse="","",Year5_Windsor_Maidenhead Year5_ReferralSource_Health_services_SchoolNurse)</f>
        <v/>
      </c>
      <c r="BU131" s="1592" t="str">
        <f>IF(Year1_Windsor_Maidenhead Year1_ReferralSource_Health_services_OthPrimary="","",Year1_Windsor_Maidenhead Year1_ReferralSource_Health_services_OthPrimary)</f>
        <v/>
      </c>
      <c r="BV131" s="1593" t="str">
        <f>IF(Year2_Windsor_Maidenhead Year2_ReferralSource_Health_services_OthPrimary="","",Year2_Windsor_Maidenhead Year2_ReferralSource_Health_services_OthPrimary)</f>
        <v/>
      </c>
      <c r="BW131" s="1593" t="str">
        <f>IF(Year3_Windsor_Maidenhead Year3_ReferralSource_Health_services_OthPrimary="","",Year3_Windsor_Maidenhead Year3_ReferralSource_Health_services_OthPrimary)</f>
        <v/>
      </c>
      <c r="BX131" s="1593" t="str">
        <f>IF(Year4_Windsor_Maidenhead Year4_ReferralSource_Health_services_OthPrimary="","",Year4_Windsor_Maidenhead Year4_ReferralSource_Health_services_OthPrimary)</f>
        <v/>
      </c>
      <c r="BY131" s="1594" t="str">
        <f>IF(Year5_Windsor_Maidenhead Year5_ReferralSource_Health_services_OthPrimary="","",Year5_Windsor_Maidenhead Year5_ReferralSource_Health_services_OthPrimary)</f>
        <v/>
      </c>
      <c r="BZ131" s="1592" t="str">
        <f>IF(Year1_Windsor_Maidenhead Year1_ReferralSource_Health_services_AE="","",Year1_Windsor_Maidenhead Year1_ReferralSource_Health_services_AE)</f>
        <v/>
      </c>
      <c r="CA131" s="1593" t="str">
        <f>IF(Year2_Windsor_Maidenhead Year2_ReferralSource_Health_services_AE="","",Year2_Windsor_Maidenhead Year2_ReferralSource_Health_services_AE)</f>
        <v/>
      </c>
      <c r="CB131" s="1593" t="str">
        <f>IF(Year3_Windsor_Maidenhead Year3_ReferralSource_Health_services_AE="","",Year3_Windsor_Maidenhead Year3_ReferralSource_Health_services_AE)</f>
        <v/>
      </c>
      <c r="CC131" s="1593" t="str">
        <f>IF(Year4_Windsor_Maidenhead Year4_ReferralSource_Health_services_AE="","",Year4_Windsor_Maidenhead Year4_ReferralSource_Health_services_AE)</f>
        <v/>
      </c>
      <c r="CD131" s="1594" t="str">
        <f>IF(Year5_Windsor_Maidenhead Year5_ReferralSource_Health_services_AE="","",Year5_Windsor_Maidenhead Year5_ReferralSource_Health_services_AE)</f>
        <v/>
      </c>
      <c r="CE131" s="885" t="str">
        <f>IF(Year1_Windsor_Maidenhead Year1_ReferralSource_Health_services_Other="","",Year1_Windsor_Maidenhead Year1_ReferralSource_Health_services_Other)</f>
        <v/>
      </c>
      <c r="CF131" s="886" t="str">
        <f>IF(Year2_Windsor_Maidenhead Year2_ReferralSource_Health_services_Other="","",Year2_Windsor_Maidenhead Year2_ReferralSource_Health_services_Other)</f>
        <v/>
      </c>
      <c r="CG131" s="886" t="str">
        <f>IF(Year3_Windsor_Maidenhead Year3_ReferralSource_Health_services_Other="","",Year3_Windsor_Maidenhead Year3_ReferralSource_Health_services_Other)</f>
        <v/>
      </c>
      <c r="CH131" s="886" t="str">
        <f>IF(Year4_Windsor_Maidenhead Year4_ReferralSource_Health_services_Other="","",Year4_Windsor_Maidenhead Year4_ReferralSource_Health_services_Other)</f>
        <v/>
      </c>
      <c r="CI131" s="887" t="str">
        <f>IF(Year5_Windsor_Maidenhead Year5_ReferralSource_Health_services_Other="","",Year5_Windsor_Maidenhead Year5_ReferralSource_Health_services_Other)</f>
        <v/>
      </c>
      <c r="CJ131" s="879">
        <f>IF(Year1_Windsor_Maidenhead Year1_ReferralSource_Housing="","",Year1_Windsor_Maidenhead Year1_ReferralSource_Housing)</f>
        <v>11</v>
      </c>
      <c r="CK131" s="880" t="str">
        <f>IF(Year2_Windsor_Maidenhead Year2_ReferralSource_Housing="","",Year2_Windsor_Maidenhead Year2_ReferralSource_Housing)</f>
        <v>x</v>
      </c>
      <c r="CL131" s="880">
        <f>IF(Year3_Windsor_Maidenhead Year3_ReferralSource_Housing="","",Year3_Windsor_Maidenhead Year3_ReferralSource_Housing)</f>
        <v>7</v>
      </c>
      <c r="CM131" s="880">
        <f>IF(Year4_Windsor_Maidenhead Year4_ReferralSource_Housing="","",Year4_Windsor_Maidenhead Year4_ReferralSource_Housing)</f>
        <v>38</v>
      </c>
      <c r="CN131" s="881">
        <f>IF(Year5_Windsor_Maidenhead Year5_ReferralSource_Housing="","",Year5_Windsor_Maidenhead Year5_ReferralSource_Housing)</f>
        <v>15</v>
      </c>
      <c r="CO131" s="879">
        <f>IF(Year1_Windsor_Maidenhead Year1_ReferralSource_LA_SC="","",Year1_Windsor_Maidenhead Year1_ReferralSource_LA_SC)</f>
        <v>423</v>
      </c>
      <c r="CP131" s="880">
        <f>IF(Year2_Windsor_Maidenhead Year2_ReferralSource_LA_SC="","",Year2_Windsor_Maidenhead Year2_ReferralSource_LA_SC)</f>
        <v>410</v>
      </c>
      <c r="CQ131" s="880">
        <f>IF(Year3_Windsor_Maidenhead Year3_ReferralSource_LA_SC="","",Year3_Windsor_Maidenhead Year3_ReferralSource_LA_SC)</f>
        <v>105</v>
      </c>
      <c r="CR131" s="880">
        <f>IF(Year4_Windsor_Maidenhead Year4_ReferralSource_LA_SC="","",Year4_Windsor_Maidenhead Year4_ReferralSource_LA_SC)</f>
        <v>271</v>
      </c>
      <c r="CS131" s="881">
        <f>IF(Year5_Windsor_Maidenhead Year5_ReferralSource_LA_SC="","",Year5_Windsor_Maidenhead Year5_ReferralSource_LA_SC)</f>
        <v>159</v>
      </c>
      <c r="CT131" s="879" t="str">
        <f>IF(Year1_Windsor_Maidenhead Year1_ReferralSource_LA_Other="","",Year1_Windsor_Maidenhead Year1_ReferralSource_LA_Other)</f>
        <v/>
      </c>
      <c r="CU131" s="880" t="str">
        <f>IF(Year2_Windsor_Maidenhead Year2_ReferralSource_LA_Other="","",Year2_Windsor_Maidenhead Year2_ReferralSource_LA_Other)</f>
        <v/>
      </c>
      <c r="CV131" s="880" t="str">
        <f>IF(Year3_Windsor_Maidenhead Year3_ReferralSource_LA_Other="","",Year3_Windsor_Maidenhead Year3_ReferralSource_LA_Other)</f>
        <v/>
      </c>
      <c r="CW131" s="880" t="str">
        <f>IF(Year4_Windsor_Maidenhead Year4_ReferralSource_LA_Other="","",Year4_Windsor_Maidenhead Year4_ReferralSource_LA_Other)</f>
        <v/>
      </c>
      <c r="CX131" s="881" t="str">
        <f>IF(Year5_Windsor_Maidenhead Year5_ReferralSource_LA_Other="","",Year5_Windsor_Maidenhead Year5_ReferralSource_LA_Other)</f>
        <v/>
      </c>
      <c r="CY131" s="879" t="str">
        <f>IF(Year1_Windsor_Maidenhead Year1_ReferralSource_LA_External="","",Year1_Windsor_Maidenhead Year1_ReferralSource_LA_External)</f>
        <v/>
      </c>
      <c r="CZ131" s="880" t="str">
        <f>IF(Year2_Windsor_Maidenhead Year2_ReferralSource_LA_External="","",Year2_Windsor_Maidenhead Year2_ReferralSource_LA_External)</f>
        <v/>
      </c>
      <c r="DA131" s="880" t="str">
        <f>IF(Year3_Windsor_Maidenhead Year3_ReferralSource_LA_External="","",Year3_Windsor_Maidenhead Year3_ReferralSource_LA_External)</f>
        <v/>
      </c>
      <c r="DB131" s="880" t="str">
        <f>IF(Year4_Windsor_Maidenhead Year4_ReferralSource_LA_External="","",Year4_Windsor_Maidenhead Year4_ReferralSource_LA_External)</f>
        <v/>
      </c>
      <c r="DC131" s="881" t="str">
        <f>IF(Year5_Windsor_Maidenhead Year5_ReferralSource_LA_External="","",Year5_Windsor_Maidenhead Year5_ReferralSource_LA_External)</f>
        <v/>
      </c>
      <c r="DD131" s="879">
        <f>IF(Year1_Windsor_Maidenhead Year1_ReferralSource_Police="","",Year1_Windsor_Maidenhead Year1_ReferralSource_Police)</f>
        <v>265</v>
      </c>
      <c r="DE131" s="880">
        <f>IF(Year2_Windsor_Maidenhead Year2_ReferralSource_Police="","",Year2_Windsor_Maidenhead Year2_ReferralSource_Police)</f>
        <v>274</v>
      </c>
      <c r="DF131" s="880">
        <f>IF(Year3_Windsor_Maidenhead Year3_ReferralSource_Police="","",Year3_Windsor_Maidenhead Year3_ReferralSource_Police)</f>
        <v>372</v>
      </c>
      <c r="DG131" s="880">
        <f>IF(Year4_Windsor_Maidenhead Year4_ReferralSource_Police="","",Year4_Windsor_Maidenhead Year4_ReferralSource_Police)</f>
        <v>1214</v>
      </c>
      <c r="DH131" s="881">
        <f>IF(Year5_Windsor_Maidenhead Year5_ReferralSource_Police="","",Year5_Windsor_Maidenhead Year5_ReferralSource_Police)</f>
        <v>506</v>
      </c>
      <c r="DI131" s="879">
        <f>IF(Year1_Windsor_Maidenhead Year1_ReferralSource_Other_Legal="","",Year1_Windsor_Maidenhead Year1_ReferralSource_Other_Legal)</f>
        <v>28</v>
      </c>
      <c r="DJ131" s="880">
        <f>IF(Year2_Windsor_Maidenhead Year2_ReferralSource_Other_Legal="","",Year2_Windsor_Maidenhead Year2_ReferralSource_Other_Legal)</f>
        <v>8</v>
      </c>
      <c r="DK131" s="880">
        <f>IF(Year3_Windsor_Maidenhead Year3_ReferralSource_Other_Legal="","",Year3_Windsor_Maidenhead Year3_ReferralSource_Other_Legal)</f>
        <v>14</v>
      </c>
      <c r="DL131" s="880">
        <f>IF(Year4_Windsor_Maidenhead Year4_ReferralSource_Other_Legal="","",Year4_Windsor_Maidenhead Year4_ReferralSource_Other_Legal)</f>
        <v>124</v>
      </c>
      <c r="DM131" s="881">
        <f>IF(Year5_Windsor_Maidenhead Year5_ReferralSource_Other_Legal="","",Year5_Windsor_Maidenhead Year5_ReferralSource_Other_Legal)</f>
        <v>18</v>
      </c>
      <c r="DN131" s="879">
        <f>IF(Year1_Windsor_Maidenhead Year1_ReferralSource_Other="","",Year1_Windsor_Maidenhead Year1_ReferralSource_Other)</f>
        <v>33</v>
      </c>
      <c r="DO131" s="880">
        <f>IF(Year2_Windsor_Maidenhead Year2_ReferralSource_Other="","",Year2_Windsor_Maidenhead Year2_ReferralSource_Other)</f>
        <v>18</v>
      </c>
      <c r="DP131" s="880">
        <f>IF(Year3_Windsor_Maidenhead Year3_ReferralSource_Other="","",Year3_Windsor_Maidenhead Year3_ReferralSource_Other)</f>
        <v>30</v>
      </c>
      <c r="DQ131" s="880">
        <f>IF(Year4_Windsor_Maidenhead Year4_ReferralSource_Other="","",Year4_Windsor_Maidenhead Year4_ReferralSource_Other)</f>
        <v>78</v>
      </c>
      <c r="DR131" s="881">
        <f>IF(Year5_Windsor_Maidenhead Year5_ReferralSource_Other="","",Year5_Windsor_Maidenhead Year5_ReferralSource_Other)</f>
        <v>71</v>
      </c>
      <c r="DS131" s="879">
        <f>IF(Year1_Windsor_Maidenhead Year1_ReferralSource_Anonymous="","",Year1_Windsor_Maidenhead Year1_ReferralSource_Anonymous)</f>
        <v>7</v>
      </c>
      <c r="DT131" s="880" t="str">
        <f>IF(Year2_Windsor_Maidenhead Year2_ReferralSource_Anonymous="","",Year2_Windsor_Maidenhead Year2_ReferralSource_Anonymous)</f>
        <v>x</v>
      </c>
      <c r="DU131" s="880">
        <f>IF(Year3_Windsor_Maidenhead Year3_ReferralSource_Anonymous="","",Year3_Windsor_Maidenhead Year3_ReferralSource_Anonymous)</f>
        <v>23</v>
      </c>
      <c r="DV131" s="880">
        <f>IF(Year4_Windsor_Maidenhead Year4_ReferralSource_Anonymous="","",Year4_Windsor_Maidenhead Year4_ReferralSource_Anonymous)</f>
        <v>96</v>
      </c>
      <c r="DW131" s="881">
        <f>IF(Year5_Windsor_Maidenhead Year5_ReferralSource_Anonymous="","",Year5_Windsor_Maidenhead Year5_ReferralSource_Anonymous)</f>
        <v>42</v>
      </c>
      <c r="DX131" s="879" t="str">
        <f>IF(Year1_Windsor_Maidenhead Year1_ReferralSource_Unknown="","",Year1_Windsor_Maidenhead Year1_ReferralSource_Unknown)</f>
        <v>x</v>
      </c>
      <c r="DY131" s="880">
        <f>IF(Year2_Windsor_Maidenhead Year2_ReferralSource_Unknown="","",Year2_Windsor_Maidenhead Year2_ReferralSource_Unknown)</f>
        <v>7</v>
      </c>
      <c r="DZ131" s="880">
        <f>IF(Year3_Windsor_Maidenhead Year3_ReferralSource_Unknown="","",Year3_Windsor_Maidenhead Year3_ReferralSource_Unknown)</f>
        <v>133</v>
      </c>
      <c r="EA131" s="880">
        <f>IF(Year4_Windsor_Maidenhead Year4_ReferralSource_Unknown="","",Year4_Windsor_Maidenhead Year4_ReferralSource_Unknown)</f>
        <v>175</v>
      </c>
      <c r="EB131" s="881">
        <f>IF(Year5_Windsor_Maidenhead Year5_ReferralSource_Unknown="","",Year5_Windsor_Maidenhead Year5_ReferralSource_Unknown)</f>
        <v>0</v>
      </c>
    </row>
    <row r="132" spans="1:132" ht="16.5" customHeight="1" x14ac:dyDescent="0.2">
      <c r="A132" s="278"/>
      <c r="B132" s="175" t="str">
        <f>Sheet1!$K$25</f>
        <v>Wokingham</v>
      </c>
      <c r="C132" s="9"/>
      <c r="D132" s="1893"/>
      <c r="E132" s="1894"/>
      <c r="F132" s="1893"/>
      <c r="G132" s="1894"/>
      <c r="H132" s="1893"/>
      <c r="I132" s="1894"/>
      <c r="J132" s="1893"/>
      <c r="K132" s="1894"/>
      <c r="L132" s="1893"/>
      <c r="M132" s="1894"/>
      <c r="N132" s="1893"/>
      <c r="O132" s="1894"/>
      <c r="P132" s="1893"/>
      <c r="Q132" s="1894"/>
      <c r="R132" s="1893"/>
      <c r="S132" s="1894"/>
      <c r="T132" s="1893"/>
      <c r="U132" s="1894"/>
      <c r="V132" s="1893"/>
      <c r="W132" s="1894"/>
      <c r="X132" s="14"/>
      <c r="Y132" s="117"/>
      <c r="Z132" s="137"/>
      <c r="AA132" s="183"/>
      <c r="AB132" s="1589">
        <f>IF(Year1_Wokingham Year1_ReferralSource_Individual_Family="","",Year1_Wokingham Year1_ReferralSource_Individual_Family)</f>
        <v>368</v>
      </c>
      <c r="AC132" s="1590">
        <f>IF(Year2_Wokingham Year2_ReferralSource_Individual_Family="","",Year2_Wokingham Year2_ReferralSource_Individual_Family)</f>
        <v>92</v>
      </c>
      <c r="AD132" s="1590">
        <f>IF(Year3_Wokingham Year3_ReferralSource_Individual_Family="","",Year3_Wokingham Year3_ReferralSource_Individual_Family)</f>
        <v>121</v>
      </c>
      <c r="AE132" s="1590">
        <f>IF(Year4_Wokingham Year4_ReferralSource_Individual_Family="","",Year4_Wokingham Year4_ReferralSource_Individual_Family)</f>
        <v>143</v>
      </c>
      <c r="AF132" s="1591">
        <f>IF(Year5_Wokingham Year5_ReferralSource_Individual_Family="","",Year5_Wokingham Year5_ReferralSource_Individual_Family)</f>
        <v>148</v>
      </c>
      <c r="AG132" s="1589" t="str">
        <f>IF(Year1_Wokingham Year1_ReferralSource_Individual_Acquaintance="","",Year1_Wokingham Year1_ReferralSource_Individual_Acquaintance)</f>
        <v/>
      </c>
      <c r="AH132" s="1590" t="str">
        <f>IF(Year2_Wokingham Year2_ReferralSource_Individual_Acquaintance="","",Year2_Wokingham Year2_ReferralSource_Individual_Acquaintance)</f>
        <v/>
      </c>
      <c r="AI132" s="1590" t="str">
        <f>IF(Year3_Wokingham Year3_ReferralSource_Individual_Acquaintance="","",Year3_Wokingham Year3_ReferralSource_Individual_Acquaintance)</f>
        <v/>
      </c>
      <c r="AJ132" s="1590" t="str">
        <f>IF(Year4_Wokingham Year4_ReferralSource_Individual_Acquaintance="","",Year4_Wokingham Year4_ReferralSource_Individual_Acquaintance)</f>
        <v/>
      </c>
      <c r="AK132" s="1591" t="str">
        <f>IF(Year5_Wokingham Year5_ReferralSource_Individual_Acquaintance="","",Year5_Wokingham Year5_ReferralSource_Individual_Acquaintance)</f>
        <v/>
      </c>
      <c r="AL132" s="1589" t="str">
        <f>IF(Year1_Wokingham Year1_ReferralSource_Individual_Self="","",Year1_Wokingham Year1_ReferralSource_Individual_Self)</f>
        <v/>
      </c>
      <c r="AM132" s="1590" t="str">
        <f>IF(Year2_Wokingham Year2_ReferralSource_Individual_Self="","",Year2_Wokingham Year2_ReferralSource_Individual_Self)</f>
        <v/>
      </c>
      <c r="AN132" s="1590" t="str">
        <f>IF(Year3_Wokingham Year3_ReferralSource_Individual_Self="","",Year3_Wokingham Year3_ReferralSource_Individual_Self)</f>
        <v/>
      </c>
      <c r="AO132" s="1590" t="str">
        <f>IF(Year4_Wokingham Year4_ReferralSource_Individual_Self="","",Year4_Wokingham Year4_ReferralSource_Individual_Self)</f>
        <v/>
      </c>
      <c r="AP132" s="1591" t="str">
        <f>IF(Year5_Wokingham Year5_ReferralSource_Individual_Self="","",Year5_Wokingham Year5_ReferralSource_Individual_Self)</f>
        <v/>
      </c>
      <c r="AQ132" s="1589" t="str">
        <f>IF(Year1_Wokingham Year1_ReferralSource_Individual_Other="","",Year1_Wokingham Year1_ReferralSource_Individual_Other)</f>
        <v/>
      </c>
      <c r="AR132" s="1590" t="str">
        <f>IF(Year2_Wokingham Year2_ReferralSource_Individual_Other="","",Year2_Wokingham Year2_ReferralSource_Individual_Other)</f>
        <v/>
      </c>
      <c r="AS132" s="1590" t="str">
        <f>IF(Year3_Wokingham Year3_ReferralSource_Individual_Other="","",Year3_Wokingham Year3_ReferralSource_Individual_Other)</f>
        <v/>
      </c>
      <c r="AT132" s="1590" t="str">
        <f>IF(Year4_Wokingham Year4_ReferralSource_Individual_Other="","",Year4_Wokingham Year4_ReferralSource_Individual_Other)</f>
        <v/>
      </c>
      <c r="AU132" s="1591" t="str">
        <f>IF(Year5_Wokingham Year5_ReferralSource_Individual_Other="","",Year5_Wokingham Year5_ReferralSource_Individual_Other)</f>
        <v/>
      </c>
      <c r="AV132" s="1589">
        <f>IF(Year1_Wokingham Year1_ReferralSource_School="","",Year1_Wokingham Year1_ReferralSource_School)</f>
        <v>179</v>
      </c>
      <c r="AW132" s="1590">
        <f>IF(Year2_Wokingham Year2_ReferralSource_School="","",Year2_Wokingham Year2_ReferralSource_School)</f>
        <v>142</v>
      </c>
      <c r="AX132" s="1590">
        <f>IF(Year3_Wokingham Year3_ReferralSource_School="","",Year3_Wokingham Year3_ReferralSource_School)</f>
        <v>208</v>
      </c>
      <c r="AY132" s="1590">
        <f>IF(Year4_Wokingham Year4_ReferralSource_School="","",Year4_Wokingham Year4_ReferralSource_School)</f>
        <v>295</v>
      </c>
      <c r="AZ132" s="1591">
        <f>IF(Year5_Wokingham Year5_ReferralSource_School="","",Year5_Wokingham Year5_ReferralSource_School)</f>
        <v>359</v>
      </c>
      <c r="BA132" s="1589">
        <f>IF(Year1_Wokingham Year1_ReferralSource_EducationServices="","",Year1_Wokingham Year1_ReferralSource_EducationServices)</f>
        <v>18</v>
      </c>
      <c r="BB132" s="1590">
        <f>IF(Year2_Wokingham Year2_ReferralSource_EducationServices="","",Year2_Wokingham Year2_ReferralSource_EducationServices)</f>
        <v>16</v>
      </c>
      <c r="BC132" s="1590" t="str">
        <f>IF(Year3_Wokingham Year3_ReferralSource_EducationServices="","",Year3_Wokingham Year3_ReferralSource_EducationServices)</f>
        <v>x</v>
      </c>
      <c r="BD132" s="1590">
        <f>IF(Year4_Wokingham Year4_ReferralSource_EducationServices="","",Year4_Wokingham Year4_ReferralSource_EducationServices)</f>
        <v>0</v>
      </c>
      <c r="BE132" s="1591" t="str">
        <f>IF(Year5_Wokingham Year5_ReferralSource_EducationServices="","",Year5_Wokingham Year5_ReferralSource_EducationServices)</f>
        <v>c</v>
      </c>
      <c r="BF132" s="1592">
        <f>IF(Year1_Wokingham Year1_ReferralSource_Health_services_GP="","",Year1_Wokingham Year1_ReferralSource_Health_services_GP)</f>
        <v>53</v>
      </c>
      <c r="BG132" s="1593">
        <f>IF(Year2_Wokingham Year2_ReferralSource_Health_services_GP="","",Year2_Wokingham Year2_ReferralSource_Health_services_GP)</f>
        <v>129</v>
      </c>
      <c r="BH132" s="1593">
        <f>IF(Year3_Wokingham Year3_ReferralSource_Health_services_GP="","",Year3_Wokingham Year3_ReferralSource_Health_services_GP)</f>
        <v>175</v>
      </c>
      <c r="BI132" s="1593">
        <f>IF(Year4_Wokingham Year4_ReferralSource_Health_services_GP="","",Year4_Wokingham Year4_ReferralSource_Health_services_GP)</f>
        <v>235</v>
      </c>
      <c r="BJ132" s="1594">
        <f>IF(Year5_Wokingham Year5_ReferralSource_Health_services_GP="","",Year5_Wokingham Year5_ReferralSource_Health_services_GP)</f>
        <v>221</v>
      </c>
      <c r="BK132" s="1592" t="str">
        <f>IF(Year1_Wokingham Year1_ReferralSource_Health_services_HealthVisitor="","",Year1_Wokingham Year1_ReferralSource_Health_services_HealthVisitor)</f>
        <v/>
      </c>
      <c r="BL132" s="1593" t="str">
        <f>IF(Year2_Wokingham Year2_ReferralSource_Health_services_HealthVisitor="","",Year2_Wokingham Year2_ReferralSource_Health_services_HealthVisitor)</f>
        <v/>
      </c>
      <c r="BM132" s="1593" t="str">
        <f>IF(Year3_Wokingham Year3_ReferralSource_Health_services_HealthVisitor="","",Year3_Wokingham Year3_ReferralSource_Health_services_HealthVisitor)</f>
        <v/>
      </c>
      <c r="BN132" s="1593" t="str">
        <f>IF(Year4_Wokingham Year4_ReferralSource_Health_services_HealthVisitor="","",Year4_Wokingham Year4_ReferralSource_Health_services_HealthVisitor)</f>
        <v/>
      </c>
      <c r="BO132" s="1594" t="str">
        <f>IF(Year5_Wokingham Year5_ReferralSource_Health_services_HealthVisitor="","",Year5_Wokingham Year5_ReferralSource_Health_services_HealthVisitor)</f>
        <v/>
      </c>
      <c r="BP132" s="1592" t="str">
        <f>IF(Year1_Wokingham Year1_ReferralSource_Health_services_SchoolNurse="","",Year1_Wokingham Year1_ReferralSource_Health_services_SchoolNurse)</f>
        <v/>
      </c>
      <c r="BQ132" s="1593" t="str">
        <f>IF(Year2_Wokingham Year2_ReferralSource_Health_services_SchoolNurse="","",Year2_Wokingham Year2_ReferralSource_Health_services_SchoolNurse)</f>
        <v/>
      </c>
      <c r="BR132" s="1593" t="str">
        <f>IF(Year3_Wokingham Year3_ReferralSource_Health_services_SchoolNurse="","",Year3_Wokingham Year3_ReferralSource_Health_services_SchoolNurse)</f>
        <v/>
      </c>
      <c r="BS132" s="1593" t="str">
        <f>IF(Year4_Wokingham Year4_ReferralSource_Health_services_SchoolNurse="","",Year4_Wokingham Year4_ReferralSource_Health_services_SchoolNurse)</f>
        <v/>
      </c>
      <c r="BT132" s="1594" t="str">
        <f>IF(Year5_Wokingham Year5_ReferralSource_Health_services_SchoolNurse="","",Year5_Wokingham Year5_ReferralSource_Health_services_SchoolNurse)</f>
        <v/>
      </c>
      <c r="BU132" s="1592" t="str">
        <f>IF(Year1_Wokingham Year1_ReferralSource_Health_services_OthPrimary="","",Year1_Wokingham Year1_ReferralSource_Health_services_OthPrimary)</f>
        <v/>
      </c>
      <c r="BV132" s="1593" t="str">
        <f>IF(Year2_Wokingham Year2_ReferralSource_Health_services_OthPrimary="","",Year2_Wokingham Year2_ReferralSource_Health_services_OthPrimary)</f>
        <v/>
      </c>
      <c r="BW132" s="1593" t="str">
        <f>IF(Year3_Wokingham Year3_ReferralSource_Health_services_OthPrimary="","",Year3_Wokingham Year3_ReferralSource_Health_services_OthPrimary)</f>
        <v/>
      </c>
      <c r="BX132" s="1593" t="str">
        <f>IF(Year4_Wokingham Year4_ReferralSource_Health_services_OthPrimary="","",Year4_Wokingham Year4_ReferralSource_Health_services_OthPrimary)</f>
        <v/>
      </c>
      <c r="BY132" s="1594" t="str">
        <f>IF(Year5_Wokingham Year5_ReferralSource_Health_services_OthPrimary="","",Year5_Wokingham Year5_ReferralSource_Health_services_OthPrimary)</f>
        <v/>
      </c>
      <c r="BZ132" s="1592" t="str">
        <f>IF(Year1_Wokingham Year1_ReferralSource_Health_services_AE="","",Year1_Wokingham Year1_ReferralSource_Health_services_AE)</f>
        <v/>
      </c>
      <c r="CA132" s="1593" t="str">
        <f>IF(Year2_Wokingham Year2_ReferralSource_Health_services_AE="","",Year2_Wokingham Year2_ReferralSource_Health_services_AE)</f>
        <v/>
      </c>
      <c r="CB132" s="1593" t="str">
        <f>IF(Year3_Wokingham Year3_ReferralSource_Health_services_AE="","",Year3_Wokingham Year3_ReferralSource_Health_services_AE)</f>
        <v/>
      </c>
      <c r="CC132" s="1593" t="str">
        <f>IF(Year4_Wokingham Year4_ReferralSource_Health_services_AE="","",Year4_Wokingham Year4_ReferralSource_Health_services_AE)</f>
        <v/>
      </c>
      <c r="CD132" s="1594" t="str">
        <f>IF(Year5_Wokingham Year5_ReferralSource_Health_services_AE="","",Year5_Wokingham Year5_ReferralSource_Health_services_AE)</f>
        <v/>
      </c>
      <c r="CE132" s="885" t="str">
        <f>IF(Year1_Wokingham Year1_ReferralSource_Health_services_Other="","",Year1_Wokingham Year1_ReferralSource_Health_services_Other)</f>
        <v/>
      </c>
      <c r="CF132" s="886" t="str">
        <f>IF(Year2_Wokingham Year2_ReferralSource_Health_services_Other="","",Year2_Wokingham Year2_ReferralSource_Health_services_Other)</f>
        <v/>
      </c>
      <c r="CG132" s="886" t="str">
        <f>IF(Year3_Wokingham Year3_ReferralSource_Health_services_Other="","",Year3_Wokingham Year3_ReferralSource_Health_services_Other)</f>
        <v/>
      </c>
      <c r="CH132" s="886" t="str">
        <f>IF(Year4_Wokingham Year4_ReferralSource_Health_services_Other="","",Year4_Wokingham Year4_ReferralSource_Health_services_Other)</f>
        <v/>
      </c>
      <c r="CI132" s="887" t="str">
        <f>IF(Year5_Wokingham Year5_ReferralSource_Health_services_Other="","",Year5_Wokingham Year5_ReferralSource_Health_services_Other)</f>
        <v/>
      </c>
      <c r="CJ132" s="879" t="str">
        <f>IF(Year1_Wokingham Year1_ReferralSource_Housing="","",Year1_Wokingham Year1_ReferralSource_Housing)</f>
        <v>x</v>
      </c>
      <c r="CK132" s="880">
        <f>IF(Year2_Wokingham Year2_ReferralSource_Housing="","",Year2_Wokingham Year2_ReferralSource_Housing)</f>
        <v>10</v>
      </c>
      <c r="CL132" s="880">
        <f>IF(Year3_Wokingham Year3_ReferralSource_Housing="","",Year3_Wokingham Year3_ReferralSource_Housing)</f>
        <v>10</v>
      </c>
      <c r="CM132" s="880">
        <f>IF(Year4_Wokingham Year4_ReferralSource_Housing="","",Year4_Wokingham Year4_ReferralSource_Housing)</f>
        <v>0</v>
      </c>
      <c r="CN132" s="881">
        <f>IF(Year5_Wokingham Year5_ReferralSource_Housing="","",Year5_Wokingham Year5_ReferralSource_Housing)</f>
        <v>11</v>
      </c>
      <c r="CO132" s="879">
        <f>IF(Year1_Wokingham Year1_ReferralSource_LA_SC="","",Year1_Wokingham Year1_ReferralSource_LA_SC)</f>
        <v>46</v>
      </c>
      <c r="CP132" s="880">
        <f>IF(Year2_Wokingham Year2_ReferralSource_LA_SC="","",Year2_Wokingham Year2_ReferralSource_LA_SC)</f>
        <v>97</v>
      </c>
      <c r="CQ132" s="880">
        <f>IF(Year3_Wokingham Year3_ReferralSource_LA_SC="","",Year3_Wokingham Year3_ReferralSource_LA_SC)</f>
        <v>141</v>
      </c>
      <c r="CR132" s="880">
        <f>IF(Year4_Wokingham Year4_ReferralSource_LA_SC="","",Year4_Wokingham Year4_ReferralSource_LA_SC)</f>
        <v>266</v>
      </c>
      <c r="CS132" s="881">
        <f>IF(Year5_Wokingham Year5_ReferralSource_LA_SC="","",Year5_Wokingham Year5_ReferralSource_LA_SC)</f>
        <v>241</v>
      </c>
      <c r="CT132" s="879" t="str">
        <f>IF(Year1_Wokingham Year1_ReferralSource_LA_Other="","",Year1_Wokingham Year1_ReferralSource_LA_Other)</f>
        <v/>
      </c>
      <c r="CU132" s="880" t="str">
        <f>IF(Year2_Wokingham Year2_ReferralSource_LA_Other="","",Year2_Wokingham Year2_ReferralSource_LA_Other)</f>
        <v/>
      </c>
      <c r="CV132" s="880" t="str">
        <f>IF(Year3_Wokingham Year3_ReferralSource_LA_Other="","",Year3_Wokingham Year3_ReferralSource_LA_Other)</f>
        <v/>
      </c>
      <c r="CW132" s="880" t="str">
        <f>IF(Year4_Wokingham Year4_ReferralSource_LA_Other="","",Year4_Wokingham Year4_ReferralSource_LA_Other)</f>
        <v/>
      </c>
      <c r="CX132" s="881" t="str">
        <f>IF(Year5_Wokingham Year5_ReferralSource_LA_Other="","",Year5_Wokingham Year5_ReferralSource_LA_Other)</f>
        <v/>
      </c>
      <c r="CY132" s="879" t="str">
        <f>IF(Year1_Wokingham Year1_ReferralSource_LA_External="","",Year1_Wokingham Year1_ReferralSource_LA_External)</f>
        <v/>
      </c>
      <c r="CZ132" s="880" t="str">
        <f>IF(Year2_Wokingham Year2_ReferralSource_LA_External="","",Year2_Wokingham Year2_ReferralSource_LA_External)</f>
        <v/>
      </c>
      <c r="DA132" s="880" t="str">
        <f>IF(Year3_Wokingham Year3_ReferralSource_LA_External="","",Year3_Wokingham Year3_ReferralSource_LA_External)</f>
        <v/>
      </c>
      <c r="DB132" s="880" t="str">
        <f>IF(Year4_Wokingham Year4_ReferralSource_LA_External="","",Year4_Wokingham Year4_ReferralSource_LA_External)</f>
        <v/>
      </c>
      <c r="DC132" s="881" t="str">
        <f>IF(Year5_Wokingham Year5_ReferralSource_LA_External="","",Year5_Wokingham Year5_ReferralSource_LA_External)</f>
        <v/>
      </c>
      <c r="DD132" s="879">
        <f>IF(Year1_Wokingham Year1_ReferralSource_Police="","",Year1_Wokingham Year1_ReferralSource_Police)</f>
        <v>420</v>
      </c>
      <c r="DE132" s="880">
        <f>IF(Year2_Wokingham Year2_ReferralSource_Police="","",Year2_Wokingham Year2_ReferralSource_Police)</f>
        <v>332</v>
      </c>
      <c r="DF132" s="880">
        <f>IF(Year3_Wokingham Year3_ReferralSource_Police="","",Year3_Wokingham Year3_ReferralSource_Police)</f>
        <v>581</v>
      </c>
      <c r="DG132" s="880">
        <f>IF(Year4_Wokingham Year4_ReferralSource_Police="","",Year4_Wokingham Year4_ReferralSource_Police)</f>
        <v>514</v>
      </c>
      <c r="DH132" s="881">
        <f>IF(Year5_Wokingham Year5_ReferralSource_Police="","",Year5_Wokingham Year5_ReferralSource_Police)</f>
        <v>641</v>
      </c>
      <c r="DI132" s="879">
        <f>IF(Year1_Wokingham Year1_ReferralSource_Other_Legal="","",Year1_Wokingham Year1_ReferralSource_Other_Legal)</f>
        <v>0</v>
      </c>
      <c r="DJ132" s="880">
        <f>IF(Year2_Wokingham Year2_ReferralSource_Other_Legal="","",Year2_Wokingham Year2_ReferralSource_Other_Legal)</f>
        <v>51</v>
      </c>
      <c r="DK132" s="880">
        <f>IF(Year3_Wokingham Year3_ReferralSource_Other_Legal="","",Year3_Wokingham Year3_ReferralSource_Other_Legal)</f>
        <v>41</v>
      </c>
      <c r="DL132" s="880">
        <f>IF(Year4_Wokingham Year4_ReferralSource_Other_Legal="","",Year4_Wokingham Year4_ReferralSource_Other_Legal)</f>
        <v>29</v>
      </c>
      <c r="DM132" s="881">
        <f>IF(Year5_Wokingham Year5_ReferralSource_Other_Legal="","",Year5_Wokingham Year5_ReferralSource_Other_Legal)</f>
        <v>44</v>
      </c>
      <c r="DN132" s="879" t="str">
        <f>IF(Year1_Wokingham Year1_ReferralSource_Other="","",Year1_Wokingham Year1_ReferralSource_Other)</f>
        <v>x</v>
      </c>
      <c r="DO132" s="880">
        <f>IF(Year2_Wokingham Year2_ReferralSource_Other="","",Year2_Wokingham Year2_ReferralSource_Other)</f>
        <v>18</v>
      </c>
      <c r="DP132" s="880">
        <f>IF(Year3_Wokingham Year3_ReferralSource_Other="","",Year3_Wokingham Year3_ReferralSource_Other)</f>
        <v>62</v>
      </c>
      <c r="DQ132" s="880">
        <f>IF(Year4_Wokingham Year4_ReferralSource_Other="","",Year4_Wokingham Year4_ReferralSource_Other)</f>
        <v>163</v>
      </c>
      <c r="DR132" s="881">
        <f>IF(Year5_Wokingham Year5_ReferralSource_Other="","",Year5_Wokingham Year5_ReferralSource_Other)</f>
        <v>70</v>
      </c>
      <c r="DS132" s="879">
        <f>IF(Year1_Wokingham Year1_ReferralSource_Anonymous="","",Year1_Wokingham Year1_ReferralSource_Anonymous)</f>
        <v>39</v>
      </c>
      <c r="DT132" s="880">
        <f>IF(Year2_Wokingham Year2_ReferralSource_Anonymous="","",Year2_Wokingham Year2_ReferralSource_Anonymous)</f>
        <v>20</v>
      </c>
      <c r="DU132" s="880">
        <f>IF(Year3_Wokingham Year3_ReferralSource_Anonymous="","",Year3_Wokingham Year3_ReferralSource_Anonymous)</f>
        <v>18</v>
      </c>
      <c r="DV132" s="880">
        <f>IF(Year4_Wokingham Year4_ReferralSource_Anonymous="","",Year4_Wokingham Year4_ReferralSource_Anonymous)</f>
        <v>78</v>
      </c>
      <c r="DW132" s="881">
        <f>IF(Year5_Wokingham Year5_ReferralSource_Anonymous="","",Year5_Wokingham Year5_ReferralSource_Anonymous)</f>
        <v>25</v>
      </c>
      <c r="DX132" s="879">
        <f>IF(Year1_Wokingham Year1_ReferralSource_Unknown="","",Year1_Wokingham Year1_ReferralSource_Unknown)</f>
        <v>0</v>
      </c>
      <c r="DY132" s="880">
        <f>IF(Year2_Wokingham Year2_ReferralSource_Unknown="","",Year2_Wokingham Year2_ReferralSource_Unknown)</f>
        <v>0</v>
      </c>
      <c r="DZ132" s="880" t="str">
        <f>IF(Year3_Wokingham Year3_ReferralSource_Unknown="","",Year3_Wokingham Year3_ReferralSource_Unknown)</f>
        <v>x</v>
      </c>
      <c r="EA132" s="880">
        <f>IF(Year4_Wokingham Year4_ReferralSource_Unknown="","",Year4_Wokingham Year4_ReferralSource_Unknown)</f>
        <v>34</v>
      </c>
      <c r="EB132" s="881" t="str">
        <f>IF(Year5_Wokingham Year5_ReferralSource_Unknown="","",Year5_Wokingham Year5_ReferralSource_Unknown)</f>
        <v>c</v>
      </c>
    </row>
    <row r="133" spans="1:132" ht="16.5" customHeight="1" x14ac:dyDescent="0.2">
      <c r="A133" s="278"/>
      <c r="B133" s="175" t="str">
        <f>Sheet1!$K$26</f>
        <v>South East</v>
      </c>
      <c r="C133" s="9"/>
      <c r="D133" s="1893"/>
      <c r="E133" s="1894"/>
      <c r="F133" s="1893"/>
      <c r="G133" s="1894"/>
      <c r="H133" s="1893"/>
      <c r="I133" s="1894"/>
      <c r="J133" s="1893"/>
      <c r="K133" s="1894"/>
      <c r="L133" s="1893"/>
      <c r="M133" s="1894"/>
      <c r="N133" s="1893"/>
      <c r="O133" s="1894"/>
      <c r="P133" s="1893"/>
      <c r="Q133" s="1894"/>
      <c r="R133" s="1893"/>
      <c r="S133" s="1894"/>
      <c r="T133" s="1893"/>
      <c r="U133" s="1894"/>
      <c r="V133" s="1893"/>
      <c r="W133" s="1894"/>
      <c r="X133" s="14"/>
      <c r="Y133" s="117"/>
      <c r="Z133" s="137"/>
      <c r="AA133" s="183"/>
      <c r="AB133" s="1589">
        <f>SUM(AB111:AB123,AB125:AB126,AB125:AB132)</f>
        <v>11155</v>
      </c>
      <c r="AC133" s="1590">
        <f>SUM(AC111:AC123,AC125:AC126,AC126:AC132)</f>
        <v>11172</v>
      </c>
      <c r="AD133" s="1590">
        <f>SUM(AD111:AD123,AD125:AD126,AD127:AD132)</f>
        <v>9565</v>
      </c>
      <c r="AE133" s="1590">
        <f>SUM(AE111:AE123,AE125:AE126,AE128:AE132)</f>
        <v>8429</v>
      </c>
      <c r="AF133" s="1591">
        <f>SUM(AF111:AF123,AF125:AF126,AF129:AF132)</f>
        <v>9435</v>
      </c>
      <c r="AG133" s="1589">
        <f>SUM(AG111:AG123,AG125:AG126,AG125:AG132)</f>
        <v>0</v>
      </c>
      <c r="AH133" s="1590">
        <f>SUM(AH111:AH123,AH125:AH126,AH126:AH132)</f>
        <v>0</v>
      </c>
      <c r="AI133" s="1590">
        <f>SUM(AI111:AI123,AI125:AI126,AI127:AI132)</f>
        <v>0</v>
      </c>
      <c r="AJ133" s="1590">
        <f>SUM(AJ111:AJ123,AJ125:AJ126,AJ128:AJ132)</f>
        <v>0</v>
      </c>
      <c r="AK133" s="1591">
        <f>SUM(AK111:AK123,AK125:AK126,AK129:AK132)</f>
        <v>0</v>
      </c>
      <c r="AL133" s="1589">
        <f>SUM(AL111:AL123,AL125:AL126,AL125:AL132)</f>
        <v>0</v>
      </c>
      <c r="AM133" s="1590">
        <f>SUM(AM111:AM123,AM125:AM126,AM126:AM132)</f>
        <v>0</v>
      </c>
      <c r="AN133" s="1590">
        <f>SUM(AN111:AN123,AN125:AN126,AN127:AN132)</f>
        <v>0</v>
      </c>
      <c r="AO133" s="1590">
        <f>SUM(AO111:AO123,AO125:AO126,AO128:AO132)</f>
        <v>0</v>
      </c>
      <c r="AP133" s="1591">
        <f>SUM(AP111:AP123,AP125:AP126,AP129:AP132)</f>
        <v>0</v>
      </c>
      <c r="AQ133" s="1589">
        <f>SUM(AQ111:AQ123,AQ125:AQ126,AQ125:AQ132)</f>
        <v>0</v>
      </c>
      <c r="AR133" s="1590">
        <f>SUM(AR111:AR123,AR125:AR126,AR126:AR132)</f>
        <v>0</v>
      </c>
      <c r="AS133" s="1590">
        <f>SUM(AS111:AS123,AS125:AS126,AS127:AS132)</f>
        <v>0</v>
      </c>
      <c r="AT133" s="1590">
        <f>SUM(AT111:AT123,AT125:AT126,AT128:AT132)</f>
        <v>0</v>
      </c>
      <c r="AU133" s="1591">
        <f>SUM(AU111:AU123,AU125:AU126,AU129:AU132)</f>
        <v>0</v>
      </c>
      <c r="AV133" s="1589">
        <f>SUM(AV111:AV123,AV125:AV126,AV125:AV132)</f>
        <v>22059</v>
      </c>
      <c r="AW133" s="1590">
        <f>SUM(AW111:AW123,AW125:AW126,AW126:AW132)</f>
        <v>24270</v>
      </c>
      <c r="AX133" s="1590">
        <f>SUM(AX111:AX123,AX125:AX126,AX127:AX132)</f>
        <v>21328</v>
      </c>
      <c r="AY133" s="1590">
        <f>SUM(AY111:AY123,AY125:AY126,AY128:AY132)</f>
        <v>19888</v>
      </c>
      <c r="AZ133" s="1591">
        <f>SUM(AZ111:AZ123,AZ125:AZ126,AZ129:AZ132)</f>
        <v>22866</v>
      </c>
      <c r="BA133" s="1589">
        <f>SUM(BA111:BA123,BA125:BA126,BA125:BA132)</f>
        <v>1275</v>
      </c>
      <c r="BB133" s="1590">
        <f>SUM(BB111:BB123,BB125:BB126,BB126:BB132)</f>
        <v>1015</v>
      </c>
      <c r="BC133" s="1590">
        <f>SUM(BC111:BC123,BC125:BC126,BC127:BC132)</f>
        <v>666</v>
      </c>
      <c r="BD133" s="1590">
        <f>SUM(BD111:BD123,BD125:BD126,BD128:BD132)</f>
        <v>1196</v>
      </c>
      <c r="BE133" s="1591">
        <f>SUM(BE111:BE123,BE125:BE126,BE129:BE132)</f>
        <v>1646</v>
      </c>
      <c r="BF133" s="1592">
        <f t="shared" ref="BF133" si="271">SUM(BF111:BF123,BF125:BF126,BF125:BF132)</f>
        <v>15295</v>
      </c>
      <c r="BG133" s="1593">
        <f t="shared" ref="BG133" si="272">SUM(BG111:BG123,BG125:BG126,BG126:BG132)</f>
        <v>15829</v>
      </c>
      <c r="BH133" s="1593">
        <f t="shared" ref="BH133" si="273">SUM(BH111:BH123,BH125:BH126,BH127:BH132)</f>
        <v>14172</v>
      </c>
      <c r="BI133" s="1593">
        <f t="shared" ref="BI133" si="274">SUM(BI111:BI123,BI125:BI126,BI128:BI132)</f>
        <v>13364</v>
      </c>
      <c r="BJ133" s="1594">
        <f t="shared" ref="BJ133" si="275">SUM(BJ111:BJ123,BJ125:BJ126,BJ129:BJ132)</f>
        <v>16363</v>
      </c>
      <c r="BK133" s="1592">
        <f t="shared" ref="BK133" si="276">SUM(BK111:BK123,BK125:BK126,BK125:BK132)</f>
        <v>0</v>
      </c>
      <c r="BL133" s="1593">
        <f t="shared" ref="BL133" si="277">SUM(BL111:BL123,BL125:BL126,BL126:BL132)</f>
        <v>0</v>
      </c>
      <c r="BM133" s="1593">
        <f t="shared" ref="BM133" si="278">SUM(BM111:BM123,BM125:BM126,BM127:BM132)</f>
        <v>0</v>
      </c>
      <c r="BN133" s="1593">
        <f t="shared" ref="BN133" si="279">SUM(BN111:BN123,BN125:BN126,BN128:BN132)</f>
        <v>0</v>
      </c>
      <c r="BO133" s="1594">
        <f t="shared" ref="BO133" si="280">SUM(BO111:BO123,BO125:BO126,BO129:BO132)</f>
        <v>0</v>
      </c>
      <c r="BP133" s="1592">
        <f t="shared" ref="BP133" si="281">SUM(BP111:BP123,BP125:BP126,BP125:BP132)</f>
        <v>0</v>
      </c>
      <c r="BQ133" s="1593">
        <f t="shared" ref="BQ133" si="282">SUM(BQ111:BQ123,BQ125:BQ126,BQ126:BQ132)</f>
        <v>0</v>
      </c>
      <c r="BR133" s="1593">
        <f t="shared" ref="BR133" si="283">SUM(BR111:BR123,BR125:BR126,BR127:BR132)</f>
        <v>0</v>
      </c>
      <c r="BS133" s="1593">
        <f t="shared" ref="BS133" si="284">SUM(BS111:BS123,BS125:BS126,BS128:BS132)</f>
        <v>0</v>
      </c>
      <c r="BT133" s="1594">
        <f t="shared" ref="BT133" si="285">SUM(BT111:BT123,BT125:BT126,BT129:BT132)</f>
        <v>0</v>
      </c>
      <c r="BU133" s="1592">
        <f t="shared" ref="BU133" si="286">SUM(BU111:BU123,BU125:BU126,BU125:BU132)</f>
        <v>0</v>
      </c>
      <c r="BV133" s="1593">
        <f t="shared" ref="BV133" si="287">SUM(BV111:BV123,BV125:BV126,BV126:BV132)</f>
        <v>0</v>
      </c>
      <c r="BW133" s="1593">
        <f t="shared" ref="BW133" si="288">SUM(BW111:BW123,BW125:BW126,BW127:BW132)</f>
        <v>0</v>
      </c>
      <c r="BX133" s="1593">
        <f t="shared" ref="BX133" si="289">SUM(BX111:BX123,BX125:BX126,BX128:BX132)</f>
        <v>0</v>
      </c>
      <c r="BY133" s="1594">
        <f t="shared" ref="BY133" si="290">SUM(BY111:BY123,BY125:BY126,BY129:BY132)</f>
        <v>0</v>
      </c>
      <c r="BZ133" s="1592">
        <f t="shared" ref="BZ133" si="291">SUM(BZ111:BZ123,BZ125:BZ126,BZ125:BZ132)</f>
        <v>0</v>
      </c>
      <c r="CA133" s="1593">
        <f t="shared" ref="CA133" si="292">SUM(CA111:CA123,CA125:CA126,CA126:CA132)</f>
        <v>0</v>
      </c>
      <c r="CB133" s="1593">
        <f t="shared" ref="CB133" si="293">SUM(CB111:CB123,CB125:CB126,CB127:CB132)</f>
        <v>0</v>
      </c>
      <c r="CC133" s="1593">
        <f t="shared" ref="CC133" si="294">SUM(CC111:CC123,CC125:CC126,CC128:CC132)</f>
        <v>0</v>
      </c>
      <c r="CD133" s="1594">
        <f t="shared" ref="CD133" si="295">SUM(CD111:CD123,CD125:CD126,CD129:CD132)</f>
        <v>0</v>
      </c>
      <c r="CE133" s="885">
        <f t="shared" ref="CE133" si="296">SUM(CE111:CE123,CE125:CE126,CE125:CE132)</f>
        <v>0</v>
      </c>
      <c r="CF133" s="886">
        <f t="shared" ref="CF133" si="297">SUM(CF111:CF123,CF125:CF126,CF126:CF132)</f>
        <v>0</v>
      </c>
      <c r="CG133" s="886">
        <f t="shared" ref="CG133" si="298">SUM(CG111:CG123,CG125:CG126,CG127:CG132)</f>
        <v>0</v>
      </c>
      <c r="CH133" s="886">
        <f t="shared" ref="CH133" si="299">SUM(CH111:CH123,CH125:CH126,CH128:CH132)</f>
        <v>0</v>
      </c>
      <c r="CI133" s="887">
        <f t="shared" ref="CI133" si="300">SUM(CI111:CI123,CI125:CI126,CI129:CI132)</f>
        <v>0</v>
      </c>
      <c r="CJ133" s="879">
        <f>SUM(CJ111:CJ123,CJ125:CJ126,CJ125:CJ132)</f>
        <v>1692</v>
      </c>
      <c r="CK133" s="880">
        <f>SUM(CK111:CK123,CK125:CK126,CK126:CK132)</f>
        <v>1680</v>
      </c>
      <c r="CL133" s="880">
        <f>SUM(CL111:CL123,CL125:CL126,CL127:CL132)</f>
        <v>1511</v>
      </c>
      <c r="CM133" s="880">
        <f>SUM(CM111:CM123,CM125:CM126,CM128:CM132)</f>
        <v>1211</v>
      </c>
      <c r="CN133" s="881">
        <f>SUM(CN111:CN123,CN125:CN126,CN129:CN132)</f>
        <v>1656</v>
      </c>
      <c r="CO133" s="879">
        <f>SUM(CO111:CO123,CO125:CO126,CO125:CO132)</f>
        <v>13622</v>
      </c>
      <c r="CP133" s="880">
        <f>SUM(CP111:CP123,CP125:CP126,CP126:CP132)</f>
        <v>14699</v>
      </c>
      <c r="CQ133" s="880">
        <f>SUM(CQ111:CQ123,CQ125:CQ126,CQ127:CQ132)</f>
        <v>14062</v>
      </c>
      <c r="CR133" s="880">
        <f>SUM(CR111:CR123,CR125:CR126,CR128:CR132)</f>
        <v>11816</v>
      </c>
      <c r="CS133" s="881">
        <f>SUM(CS111:CS123,CS125:CS126,CS129:CS132)</f>
        <v>15199</v>
      </c>
      <c r="CT133" s="879">
        <f>SUM(CT111:CT123,CT125:CT126,CT125:CT132)</f>
        <v>0</v>
      </c>
      <c r="CU133" s="880">
        <f>SUM(CU111:CU123,CU125:CU126,CU126:CU132)</f>
        <v>0</v>
      </c>
      <c r="CV133" s="880">
        <f>SUM(CV111:CV123,CV125:CV126,CV127:CV132)</f>
        <v>0</v>
      </c>
      <c r="CW133" s="880">
        <f>SUM(CW111:CW123,CW125:CW126,CW128:CW132)</f>
        <v>0</v>
      </c>
      <c r="CX133" s="881">
        <f>SUM(CX111:CX123,CX125:CX126,CX129:CX132)</f>
        <v>0</v>
      </c>
      <c r="CY133" s="879">
        <f>SUM(CY111:CY123,CY125:CY126,CY125:CY132)</f>
        <v>0</v>
      </c>
      <c r="CZ133" s="880">
        <f>SUM(CZ111:CZ123,CZ125:CZ126,CZ126:CZ132)</f>
        <v>0</v>
      </c>
      <c r="DA133" s="880">
        <f>SUM(DA111:DA123,DA125:DA126,DA127:DA132)</f>
        <v>0</v>
      </c>
      <c r="DB133" s="880">
        <f>SUM(DB111:DB123,DB125:DB126,DB128:DB132)</f>
        <v>0</v>
      </c>
      <c r="DC133" s="881">
        <f>SUM(DC111:DC123,DC125:DC126,DC129:DC132)</f>
        <v>0</v>
      </c>
      <c r="DD133" s="879">
        <f>SUM(DD111:DD123,DD125:DD126,DD125:DD132)</f>
        <v>35549</v>
      </c>
      <c r="DE133" s="880">
        <f>SUM(DE111:DE123,DE125:DE126,DE126:DE132)</f>
        <v>38844</v>
      </c>
      <c r="DF133" s="880">
        <f>SUM(DF111:DF123,DF125:DF126,DF127:DF132)</f>
        <v>35305</v>
      </c>
      <c r="DG133" s="880">
        <f>SUM(DG111:DG123,DG125:DG126,DG128:DG132)</f>
        <v>31209</v>
      </c>
      <c r="DH133" s="881">
        <f>SUM(DH111:DH123,DH125:DH126,DH129:DH132)</f>
        <v>33892</v>
      </c>
      <c r="DI133" s="879">
        <f>SUM(DI111:DI123,DI125:DI126,DI125:DI132)</f>
        <v>4017</v>
      </c>
      <c r="DJ133" s="880">
        <f>SUM(DJ111:DJ123,DJ125:DJ126,DJ126:DJ132)</f>
        <v>4073</v>
      </c>
      <c r="DK133" s="880">
        <f>SUM(DK111:DK123,DK125:DK126,DK127:DK132)</f>
        <v>3163</v>
      </c>
      <c r="DL133" s="880">
        <f>SUM(DL111:DL123,DL125:DL126,DL128:DL132)</f>
        <v>3480</v>
      </c>
      <c r="DM133" s="881">
        <f>SUM(DM111:DM123,DM125:DM126,DM129:DM132)</f>
        <v>4057</v>
      </c>
      <c r="DN133" s="879">
        <f>SUM(DN111:DN123,DN125:DN126,DN125:DN132)</f>
        <v>7214</v>
      </c>
      <c r="DO133" s="880">
        <f>SUM(DO111:DO123,DO125:DO126,DO126:DO132)</f>
        <v>8166</v>
      </c>
      <c r="DP133" s="880">
        <f>SUM(DP111:DP123,DP125:DP126,DP127:DP132)</f>
        <v>7839</v>
      </c>
      <c r="DQ133" s="880">
        <f>SUM(DQ111:DQ123,DQ125:DQ126,DQ128:DQ132)</f>
        <v>6151</v>
      </c>
      <c r="DR133" s="881">
        <f>SUM(DR111:DR123,DR125:DR126,DR129:DR132)</f>
        <v>5685</v>
      </c>
      <c r="DS133" s="879">
        <f>SUM(DS111:DS123,DS125:DS126,DS125:DS132)</f>
        <v>2370</v>
      </c>
      <c r="DT133" s="880">
        <f>SUM(DT111:DT123,DT125:DT126,DT126:DT132)</f>
        <v>2286</v>
      </c>
      <c r="DU133" s="880">
        <f>SUM(DU111:DU123,DU125:DU126,DU127:DU132)</f>
        <v>2145</v>
      </c>
      <c r="DV133" s="880">
        <f>SUM(DV111:DV123,DV125:DV126,DV128:DV132)</f>
        <v>2143</v>
      </c>
      <c r="DW133" s="881">
        <f>SUM(DW111:DW123,DW125:DW126,DW129:DW132)</f>
        <v>1996</v>
      </c>
      <c r="DX133" s="879">
        <f>SUM(DX111:DX123,DX125:DX126,DX125:DX132)</f>
        <v>4662</v>
      </c>
      <c r="DY133" s="880">
        <f>SUM(DY111:DY123,DY125:DY126,DY126:DY132)</f>
        <v>1362</v>
      </c>
      <c r="DZ133" s="880">
        <f>SUM(DZ111:DZ123,DZ125:DZ126,DZ127:DZ132)</f>
        <v>2180</v>
      </c>
      <c r="EA133" s="880">
        <f>SUM(EA111:EA123,EA125:EA126,EA128:EA132)</f>
        <v>2417</v>
      </c>
      <c r="EB133" s="881">
        <f>SUM(EB111:EB123,EB125:EB126,EB129:EB132)</f>
        <v>1581</v>
      </c>
    </row>
    <row r="134" spans="1:132" s="87" customFormat="1" ht="16.5" customHeight="1" x14ac:dyDescent="0.2">
      <c r="A134" s="292"/>
      <c r="B134" s="175" t="str">
        <f>Sheet1!$K$27</f>
        <v>England</v>
      </c>
      <c r="C134" s="9"/>
      <c r="D134" s="1895"/>
      <c r="E134" s="1896"/>
      <c r="F134" s="1895"/>
      <c r="G134" s="1896"/>
      <c r="H134" s="1895"/>
      <c r="I134" s="1896"/>
      <c r="J134" s="1895"/>
      <c r="K134" s="1896"/>
      <c r="L134" s="1895"/>
      <c r="M134" s="1896"/>
      <c r="N134" s="1895"/>
      <c r="O134" s="1896"/>
      <c r="P134" s="1895"/>
      <c r="Q134" s="1896"/>
      <c r="R134" s="1895"/>
      <c r="S134" s="1896"/>
      <c r="T134" s="1895"/>
      <c r="U134" s="1896"/>
      <c r="V134" s="1895"/>
      <c r="W134" s="1896"/>
      <c r="X134" s="85"/>
      <c r="Y134" s="122"/>
      <c r="Z134" s="137"/>
      <c r="AA134" s="183"/>
      <c r="AB134" s="1585">
        <f>IF(Year1_England Year1_ReferralSource_Individual_Family="","",Year1_England Year1_ReferralSource_Individual_Family)</f>
        <v>57050</v>
      </c>
      <c r="AC134" s="1586">
        <f>IF(Year2_England Year2_ReferralSource_Individual_Family="","",Year2_England Year2_ReferralSource_Individual_Family)</f>
        <v>53120</v>
      </c>
      <c r="AD134" s="1586">
        <f>IF(Year3_England Year3_ReferralSource_Individual_Family="","",Year3_England Year3_ReferralSource_Individual_Family)</f>
        <v>52870</v>
      </c>
      <c r="AE134" s="1586">
        <f>IF(Year4_England Year4_ReferralSource_Individual_Family="","",Year4_England Year4_ReferralSource_Individual_Family)</f>
        <v>51950</v>
      </c>
      <c r="AF134" s="1588">
        <f>IF(Year5_England Year5_ReferralSource_Individual_Family="","",Year5_England Year5_ReferralSource_Individual_Family)</f>
        <v>52290</v>
      </c>
      <c r="AG134" s="1585" t="str">
        <f>IF(Year1_England Year1_ReferralSource_Individual_Acquaintance="","",Year1_England Year1_ReferralSource_Individual_Acquaintance)</f>
        <v/>
      </c>
      <c r="AH134" s="1586" t="str">
        <f>IF(Year2_England Year2_ReferralSource_Individual_Acquaintance="","",Year2_England Year2_ReferralSource_Individual_Acquaintance)</f>
        <v/>
      </c>
      <c r="AI134" s="1586" t="str">
        <f>IF(Year3_England Year3_ReferralSource_Individual_Acquaintance="","",Year3_England Year3_ReferralSource_Individual_Acquaintance)</f>
        <v/>
      </c>
      <c r="AJ134" s="1586" t="str">
        <f>IF(Year4_England Year4_ReferralSource_Individual_Acquaintance="","",Year4_England Year4_ReferralSource_Individual_Acquaintance)</f>
        <v/>
      </c>
      <c r="AK134" s="1588" t="str">
        <f>IF(Year5_England Year5_ReferralSource_Individual_Acquaintance="","",Year5_England Year5_ReferralSource_Individual_Acquaintance)</f>
        <v/>
      </c>
      <c r="AL134" s="1585" t="str">
        <f>IF(Year1_England Year1_ReferralSource_Individual_Self="","",Year1_England Year1_ReferralSource_Individual_Self)</f>
        <v/>
      </c>
      <c r="AM134" s="1586" t="str">
        <f>IF(Year2_England Year2_ReferralSource_Individual_Self="","",Year2_England Year2_ReferralSource_Individual_Self)</f>
        <v/>
      </c>
      <c r="AN134" s="1586" t="str">
        <f>IF(Year3_England Year3_ReferralSource_Individual_Self="","",Year3_England Year3_ReferralSource_Individual_Self)</f>
        <v/>
      </c>
      <c r="AO134" s="1586" t="str">
        <f>IF(Year4_England Year4_ReferralSource_Individual_Self="","",Year4_England Year4_ReferralSource_Individual_Self)</f>
        <v/>
      </c>
      <c r="AP134" s="1588" t="str">
        <f>IF(Year5_England Year5_ReferralSource_Individual_Self="","",Year5_England Year5_ReferralSource_Individual_Self)</f>
        <v/>
      </c>
      <c r="AQ134" s="1585" t="str">
        <f>IF(Year1_England Year1_ReferralSource_Individual_Other="","",Year1_England Year1_ReferralSource_Individual_Other)</f>
        <v/>
      </c>
      <c r="AR134" s="1586" t="str">
        <f>IF(Year2_England Year2_ReferralSource_Individual_Other="","",Year2_England Year2_ReferralSource_Individual_Other)</f>
        <v/>
      </c>
      <c r="AS134" s="1586" t="str">
        <f>IF(Year3_England Year3_ReferralSource_Individual_Other="","",Year3_England Year3_ReferralSource_Individual_Other)</f>
        <v/>
      </c>
      <c r="AT134" s="1586" t="str">
        <f>IF(Year4_England Year4_ReferralSource_Individual_Other="","",Year4_England Year4_ReferralSource_Individual_Other)</f>
        <v/>
      </c>
      <c r="AU134" s="1588" t="str">
        <f>IF(Year5_England Year5_ReferralSource_Individual_Other="","",Year5_England Year5_ReferralSource_Individual_Other)</f>
        <v/>
      </c>
      <c r="AV134" s="1585">
        <f>IF(Year1_England Year1_ReferralSource_School="","",Year1_England Year1_ReferralSource_School)</f>
        <v>103670</v>
      </c>
      <c r="AW134" s="1586">
        <f>IF(Year2_England Year2_ReferralSource_School="","",Year2_England Year2_ReferralSource_School)</f>
        <v>114530</v>
      </c>
      <c r="AX134" s="1586">
        <f>IF(Year3_England Year3_ReferralSource_School="","",Year3_England Year3_ReferralSource_School)</f>
        <v>119030</v>
      </c>
      <c r="AY134" s="1586">
        <f>IF(Year4_England Year4_ReferralSource_School="","",Year4_England Year4_ReferralSource_School)</f>
        <v>117190</v>
      </c>
      <c r="AZ134" s="1588">
        <f>IF(Year5_England Year5_ReferralSource_School="","",Year5_England Year5_ReferralSource_School)</f>
        <v>117010</v>
      </c>
      <c r="BA134" s="1585">
        <f>IF(Year1_England Year1_ReferralSource_EducationServices="","",Year1_England Year1_ReferralSource_EducationServices)</f>
        <v>16900</v>
      </c>
      <c r="BB134" s="1586">
        <f>IF(Year2_England Year2_ReferralSource_EducationServices="","",Year2_England Year2_ReferralSource_EducationServices)</f>
        <v>17030</v>
      </c>
      <c r="BC134" s="1586">
        <f>IF(Year3_England Year3_ReferralSource_EducationServices="","",Year3_England Year3_ReferralSource_EducationServices)</f>
        <v>13150</v>
      </c>
      <c r="BD134" s="1586">
        <f>IF(Year4_England Year4_ReferralSource_EducationServices="","",Year4_England Year4_ReferralSource_EducationServices)</f>
        <v>15580</v>
      </c>
      <c r="BE134" s="1588">
        <f>IF(Year5_England Year5_ReferralSource_EducationServices="","",Year5_England Year5_ReferralSource_EducationServices)</f>
        <v>13630</v>
      </c>
      <c r="BF134" s="882">
        <f>IF(Year1_England Year1_ReferralSource_Health_services_GP="","",Year1_England Year1_ReferralSource_Health_services_GP)</f>
        <v>89080</v>
      </c>
      <c r="BG134" s="883">
        <f>IF(Year2_England Year2_ReferralSource_Health_services_GP="","",Year2_England Year2_ReferralSource_Health_services_GP)</f>
        <v>93330</v>
      </c>
      <c r="BH134" s="883">
        <f>IF(Year3_England Year3_ReferralSource_Health_services_GP="","",Year3_England Year3_ReferralSource_Health_services_GP)</f>
        <v>96780</v>
      </c>
      <c r="BI134" s="883">
        <f>IF(Year4_England Year4_ReferralSource_Health_services_GP="","",Year4_England Year4_ReferralSource_Health_services_GP)</f>
        <v>95070</v>
      </c>
      <c r="BJ134" s="884">
        <f>IF(Year5_England Year5_ReferralSource_Health_services_GP="","",Year5_England Year5_ReferralSource_Health_services_GP)</f>
        <v>96300</v>
      </c>
      <c r="BK134" s="882" t="str">
        <f>IF(Year1_England Year1_ReferralSource_Health_services_HealthVisitor="","",Year1_England Year1_ReferralSource_Health_services_HealthVisitor)</f>
        <v/>
      </c>
      <c r="BL134" s="883" t="str">
        <f>IF(Year2_England Year2_ReferralSource_Health_services_HealthVisitor="","",Year2_England Year2_ReferralSource_Health_services_HealthVisitor)</f>
        <v/>
      </c>
      <c r="BM134" s="883" t="str">
        <f>IF(Year3_England Year3_ReferralSource_Health_services_HealthVisitor="","",Year3_England Year3_ReferralSource_Health_services_HealthVisitor)</f>
        <v/>
      </c>
      <c r="BN134" s="883" t="str">
        <f>IF(Year4_England Year4_ReferralSource_Health_services_HealthVisitor="","",Year4_England Year4_ReferralSource_Health_services_HealthVisitor)</f>
        <v/>
      </c>
      <c r="BO134" s="884" t="str">
        <f>IF(Year5_England Year5_ReferralSource_Health_services_HealthVisitor="","",Year5_England Year5_ReferralSource_Health_services_HealthVisitor)</f>
        <v/>
      </c>
      <c r="BP134" s="882" t="str">
        <f>IF(Year1_England Year1_ReferralSource_Health_services_SchoolNurse="","",Year1_England Year1_ReferralSource_Health_services_SchoolNurse)</f>
        <v/>
      </c>
      <c r="BQ134" s="883" t="str">
        <f>IF(Year2_England Year2_ReferralSource_Health_services_SchoolNurse="","",Year2_England Year2_ReferralSource_Health_services_SchoolNurse)</f>
        <v/>
      </c>
      <c r="BR134" s="883" t="str">
        <f>IF(Year3_England Year3_ReferralSource_Health_services_SchoolNurse="","",Year3_England Year3_ReferralSource_Health_services_SchoolNurse)</f>
        <v/>
      </c>
      <c r="BS134" s="883" t="str">
        <f>IF(Year4_England Year4_ReferralSource_Health_services_SchoolNurse="","",Year4_England Year4_ReferralSource_Health_services_SchoolNurse)</f>
        <v/>
      </c>
      <c r="BT134" s="884" t="str">
        <f>IF(Year5_England Year5_ReferralSource_Health_services_SchoolNurse="","",Year5_England Year5_ReferralSource_Health_services_SchoolNurse)</f>
        <v/>
      </c>
      <c r="BU134" s="882" t="str">
        <f>IF(Year1_England Year1_ReferralSource_Health_services_OthPrimary="","",Year1_England Year1_ReferralSource_Health_services_OthPrimary)</f>
        <v/>
      </c>
      <c r="BV134" s="883" t="str">
        <f>IF(Year2_England Year2_ReferralSource_Health_services_OthPrimary="","",Year2_England Year2_ReferralSource_Health_services_OthPrimary)</f>
        <v/>
      </c>
      <c r="BW134" s="883" t="str">
        <f>IF(Year3_England Year3_ReferralSource_Health_services_OthPrimary="","",Year3_England Year3_ReferralSource_Health_services_OthPrimary)</f>
        <v/>
      </c>
      <c r="BX134" s="883" t="str">
        <f>IF(Year4_England Year4_ReferralSource_Health_services_OthPrimary="","",Year4_England Year4_ReferralSource_Health_services_OthPrimary)</f>
        <v/>
      </c>
      <c r="BY134" s="884" t="str">
        <f>IF(Year5_England Year5_ReferralSource_Health_services_OthPrimary="","",Year5_England Year5_ReferralSource_Health_services_OthPrimary)</f>
        <v/>
      </c>
      <c r="BZ134" s="882" t="str">
        <f>IF(Year1_England Year1_ReferralSource_Health_services_AE="","",Year1_England Year1_ReferralSource_Health_services_AE)</f>
        <v/>
      </c>
      <c r="CA134" s="883" t="str">
        <f>IF(Year2_England Year2_ReferralSource_Health_services_AE="","",Year2_England Year2_ReferralSource_Health_services_AE)</f>
        <v/>
      </c>
      <c r="CB134" s="883" t="str">
        <f>IF(Year3_England Year3_ReferralSource_Health_services_AE="","",Year3_England Year3_ReferralSource_Health_services_AE)</f>
        <v/>
      </c>
      <c r="CC134" s="883" t="str">
        <f>IF(Year4_England Year4_ReferralSource_Health_services_AE="","",Year4_England Year4_ReferralSource_Health_services_AE)</f>
        <v/>
      </c>
      <c r="CD134" s="884" t="str">
        <f>IF(Year5_England Year5_ReferralSource_Health_services_AE="","",Year5_England Year5_ReferralSource_Health_services_AE)</f>
        <v/>
      </c>
      <c r="CE134" s="882" t="str">
        <f>IF(Year1_England Year1_ReferralSource_Health_services_Other="","",Year1_England Year1_ReferralSource_Health_services_Other)</f>
        <v/>
      </c>
      <c r="CF134" s="883" t="str">
        <f>IF(Year2_England Year2_ReferralSource_Health_services_Other="","",Year2_England Year2_ReferralSource_Health_services_Other)</f>
        <v/>
      </c>
      <c r="CG134" s="883" t="str">
        <f>IF(Year3_England Year3_ReferralSource_Health_services_Other="","",Year3_England Year3_ReferralSource_Health_services_Other)</f>
        <v/>
      </c>
      <c r="CH134" s="883" t="str">
        <f>IF(Year4_England Year4_ReferralSource_Health_services_Other="","",Year4_England Year4_ReferralSource_Health_services_Other)</f>
        <v/>
      </c>
      <c r="CI134" s="884" t="str">
        <f>IF(Year5_England Year5_ReferralSource_Health_services_Other="","",Year5_England Year5_ReferralSource_Health_services_Other)</f>
        <v/>
      </c>
      <c r="CJ134" s="870">
        <f>IF(Year1_England Year1_ReferralSource_Housing="","",Year1_England Year1_ReferralSource_Housing)</f>
        <v>9710</v>
      </c>
      <c r="CK134" s="871">
        <f>IF(Year2_England Year2_ReferralSource_Housing="","",Year2_England Year2_ReferralSource_Housing)</f>
        <v>9970</v>
      </c>
      <c r="CL134" s="871">
        <f>IF(Year3_England Year3_ReferralSource_Housing="","",Year3_England Year3_ReferralSource_Housing)</f>
        <v>9440</v>
      </c>
      <c r="CM134" s="871">
        <f>IF(Year4_England Year4_ReferralSource_Housing="","",Year4_England Year4_ReferralSource_Housing)</f>
        <v>8540</v>
      </c>
      <c r="CN134" s="872">
        <f>IF(Year5_England Year5_ReferralSource_Housing="","",Year5_England Year5_ReferralSource_Housing)</f>
        <v>8300</v>
      </c>
      <c r="CO134" s="870">
        <f>IF(Year1_England Year1_ReferralSource_LA_SC="","",Year1_England Year1_ReferralSource_LA_SC)</f>
        <v>83250</v>
      </c>
      <c r="CP134" s="871">
        <f>IF(Year2_England Year2_ReferralSource_LA_SC="","",Year2_England Year2_ReferralSource_LA_SC)</f>
        <v>88150</v>
      </c>
      <c r="CQ134" s="871">
        <f>IF(Year3_England Year3_ReferralSource_LA_SC="","",Year3_England Year3_ReferralSource_LA_SC)</f>
        <v>89360</v>
      </c>
      <c r="CR134" s="871">
        <f>IF(Year4_England Year4_ReferralSource_LA_SC="","",Year4_England Year4_ReferralSource_LA_SC)</f>
        <v>86810</v>
      </c>
      <c r="CS134" s="872">
        <f>IF(Year5_England Year5_ReferralSource_LA_SC="","",Year5_England Year5_ReferralSource_LA_SC)</f>
        <v>90810</v>
      </c>
      <c r="CT134" s="870" t="str">
        <f>IF(Year1_England Year1_ReferralSource_LA_Other="","",Year1_England Year1_ReferralSource_LA_Other)</f>
        <v/>
      </c>
      <c r="CU134" s="871" t="str">
        <f>IF(Year2_England Year2_ReferralSource_LA_Other="","",Year2_England Year2_ReferralSource_LA_Other)</f>
        <v/>
      </c>
      <c r="CV134" s="871" t="str">
        <f>IF(Year3_England Year3_ReferralSource_LA_Other="","",Year3_England Year3_ReferralSource_LA_Other)</f>
        <v/>
      </c>
      <c r="CW134" s="871" t="str">
        <f>IF(Year4_England Year4_ReferralSource_LA_Other="","",Year4_England Year4_ReferralSource_LA_Other)</f>
        <v/>
      </c>
      <c r="CX134" s="872" t="str">
        <f>IF(Year5_England Year5_ReferralSource_LA_Other="","",Year5_England Year5_ReferralSource_LA_Other)</f>
        <v/>
      </c>
      <c r="CY134" s="870" t="str">
        <f>IF(Year1_England Year1_ReferralSource_LA_External="","",Year1_England Year1_ReferralSource_LA_External)</f>
        <v/>
      </c>
      <c r="CZ134" s="871" t="str">
        <f>IF(Year2_England Year2_ReferralSource_LA_External="","",Year2_England Year2_ReferralSource_LA_External)</f>
        <v/>
      </c>
      <c r="DA134" s="871" t="str">
        <f>IF(Year3_England Year3_ReferralSource_LA_External="","",Year3_England Year3_ReferralSource_LA_External)</f>
        <v/>
      </c>
      <c r="DB134" s="871" t="str">
        <f>IF(Year4_England Year4_ReferralSource_LA_External="","",Year4_England Year4_ReferralSource_LA_External)</f>
        <v/>
      </c>
      <c r="DC134" s="872" t="str">
        <f>IF(Year5_England Year5_ReferralSource_LA_External="","",Year5_England Year5_ReferralSource_LA_External)</f>
        <v/>
      </c>
      <c r="DD134" s="870">
        <f>IF(Year1_England Year1_ReferralSource_Police="","",Year1_England Year1_ReferralSource_Police)</f>
        <v>171380</v>
      </c>
      <c r="DE134" s="871">
        <f>IF(Year2_England Year2_ReferralSource_Police="","",Year2_England Year2_ReferralSource_Police)</f>
        <v>177470</v>
      </c>
      <c r="DF134" s="871">
        <f>IF(Year3_England Year3_ReferralSource_Police="","",Year3_England Year3_ReferralSource_Police)</f>
        <v>186920</v>
      </c>
      <c r="DG134" s="871">
        <f>IF(Year4_England Year4_ReferralSource_Police="","",Year4_England Year4_ReferralSource_Police)</f>
        <v>189910</v>
      </c>
      <c r="DH134" s="872">
        <f>IF(Year5_England Year5_ReferralSource_Police="","",Year5_England Year5_ReferralSource_Police)</f>
        <v>184760</v>
      </c>
      <c r="DI134" s="870">
        <f>IF(Year1_England Year1_ReferralSource_Other_Legal="","",Year1_England Year1_ReferralSource_Other_Legal)</f>
        <v>20840</v>
      </c>
      <c r="DJ134" s="871">
        <f>IF(Year2_England Year2_ReferralSource_Other_Legal="","",Year2_England Year2_ReferralSource_Other_Legal)</f>
        <v>22230</v>
      </c>
      <c r="DK134" s="871">
        <f>IF(Year3_England Year3_ReferralSource_Other_Legal="","",Year3_England Year3_ReferralSource_Other_Legal)</f>
        <v>22890</v>
      </c>
      <c r="DL134" s="871">
        <f>IF(Year4_England Year4_ReferralSource_Other_Legal="","",Year4_England Year4_ReferralSource_Other_Legal)</f>
        <v>23780</v>
      </c>
      <c r="DM134" s="872">
        <f>IF(Year5_England Year5_ReferralSource_Other_Legal="","",Year5_England Year5_ReferralSource_Other_Legal)</f>
        <v>25180</v>
      </c>
      <c r="DN134" s="870">
        <f>IF(Year1_England Year1_ReferralSource_Other="","",Year1_England Year1_ReferralSource_Other)</f>
        <v>38740</v>
      </c>
      <c r="DO134" s="871">
        <f>IF(Year2_England Year2_ReferralSource_Other="","",Year2_England Year2_ReferralSource_Other)</f>
        <v>40770</v>
      </c>
      <c r="DP134" s="871">
        <f>IF(Year3_England Year3_ReferralSource_Other="","",Year3_England Year3_ReferralSource_Other)</f>
        <v>38440</v>
      </c>
      <c r="DQ134" s="871">
        <f>IF(Year4_England Year4_ReferralSource_Other="","",Year4_England Year4_ReferralSource_Other)</f>
        <v>35780</v>
      </c>
      <c r="DR134" s="872">
        <f>IF(Year5_England Year5_ReferralSource_Other="","",Year5_England Year5_ReferralSource_Other)</f>
        <v>31630</v>
      </c>
      <c r="DS134" s="870">
        <f>IF(Year1_England Year1_ReferralSource_Anonymous="","",Year1_England Year1_ReferralSource_Anonymous)</f>
        <v>13770</v>
      </c>
      <c r="DT134" s="871">
        <f>IF(Year2_England Year2_ReferralSource_Anonymous="","",Year2_England Year2_ReferralSource_Anonymous)</f>
        <v>14510</v>
      </c>
      <c r="DU134" s="871">
        <f>IF(Year3_England Year3_ReferralSource_Anonymous="","",Year3_England Year3_ReferralSource_Anonymous)</f>
        <v>15890</v>
      </c>
      <c r="DV134" s="871">
        <f>IF(Year4_England Year4_ReferralSource_Anonymous="","",Year4_England Year4_ReferralSource_Anonymous)</f>
        <v>15580</v>
      </c>
      <c r="DW134" s="872">
        <f>IF(Year5_England Year5_ReferralSource_Anonymous="","",Year5_England Year5_ReferralSource_Anonymous)</f>
        <v>13770</v>
      </c>
      <c r="DX134" s="870">
        <f>IF(Year1_England Year1_ReferralSource_Unknown="","",Year1_England Year1_ReferralSource_Unknown)</f>
        <v>17080</v>
      </c>
      <c r="DY134" s="871">
        <f>IF(Year2_England Year2_ReferralSource_Unknown="","",Year2_England Year2_ReferralSource_Unknown)</f>
        <v>15010</v>
      </c>
      <c r="DZ134" s="871">
        <f>IF(Year3_England Year3_ReferralSource_Unknown="","",Year3_England Year3_ReferralSource_Unknown)</f>
        <v>10680</v>
      </c>
      <c r="EA134" s="871">
        <f>IF(Year4_England Year4_ReferralSource_Unknown="","",Year4_England Year4_ReferralSource_Unknown)</f>
        <v>10730</v>
      </c>
      <c r="EB134" s="872">
        <f>IF(Year5_England Year5_ReferralSource_Unknown="","",Year5_England Year5_ReferralSource_Unknown)</f>
        <v>9300</v>
      </c>
    </row>
    <row r="135" spans="1:132" s="87" customFormat="1" ht="6" customHeight="1" x14ac:dyDescent="0.2">
      <c r="A135" s="292"/>
      <c r="B135" s="85"/>
      <c r="C135" s="9"/>
      <c r="D135" s="894"/>
      <c r="E135" s="894"/>
      <c r="F135" s="894"/>
      <c r="G135" s="894"/>
      <c r="H135" s="894"/>
      <c r="I135" s="894"/>
      <c r="J135" s="894"/>
      <c r="K135" s="894"/>
      <c r="L135" s="894"/>
      <c r="M135" s="894"/>
      <c r="N135" s="894"/>
      <c r="O135" s="894"/>
      <c r="P135" s="894"/>
      <c r="Q135" s="894"/>
      <c r="R135" s="894"/>
      <c r="S135" s="894"/>
      <c r="T135" s="894"/>
      <c r="U135" s="894"/>
      <c r="V135" s="894"/>
      <c r="W135" s="894"/>
      <c r="X135" s="85"/>
      <c r="Y135" s="122"/>
      <c r="Z135" s="137"/>
      <c r="AA135" s="183"/>
      <c r="AB135" s="1836" t="str">
        <f>AB162</f>
        <v>Individual</v>
      </c>
      <c r="AC135" s="1837"/>
      <c r="AD135" s="1837"/>
      <c r="AE135" s="1837"/>
      <c r="AF135" s="1838"/>
      <c r="AG135" s="1836" t="str">
        <f t="shared" ref="AG135" si="301">AG162</f>
        <v>Schools</v>
      </c>
      <c r="AH135" s="1837"/>
      <c r="AI135" s="1837"/>
      <c r="AJ135" s="1837"/>
      <c r="AK135" s="1838"/>
      <c r="AL135" s="1836" t="str">
        <f t="shared" ref="AL135" si="302">AL162</f>
        <v>Health services</v>
      </c>
      <c r="AM135" s="1837"/>
      <c r="AN135" s="1837"/>
      <c r="AO135" s="1837"/>
      <c r="AP135" s="1838"/>
      <c r="AQ135" s="1836" t="str">
        <f t="shared" ref="AQ135" si="303">AQ162</f>
        <v>Housing</v>
      </c>
      <c r="AR135" s="1837"/>
      <c r="AS135" s="1837"/>
      <c r="AT135" s="1837"/>
      <c r="AU135" s="1838"/>
      <c r="AV135" s="1836" t="str">
        <f t="shared" ref="AV135" si="304">AV162</f>
        <v>LA services</v>
      </c>
      <c r="AW135" s="1837"/>
      <c r="AX135" s="1837"/>
      <c r="AY135" s="1837"/>
      <c r="AZ135" s="1838"/>
      <c r="BA135" s="1836" t="str">
        <f t="shared" ref="BA135" si="305">BA162</f>
        <v>Police</v>
      </c>
      <c r="BB135" s="1837"/>
      <c r="BC135" s="1837"/>
      <c r="BD135" s="1837"/>
      <c r="BE135" s="1838"/>
      <c r="BF135" s="1836" t="str">
        <f t="shared" ref="BF135" si="306">BF162</f>
        <v>Other legal agency</v>
      </c>
      <c r="BG135" s="1837"/>
      <c r="BH135" s="1837"/>
      <c r="BI135" s="1837"/>
      <c r="BJ135" s="1838"/>
      <c r="BK135" s="1836" t="str">
        <f t="shared" ref="BK135" si="307">BK162</f>
        <v>Other</v>
      </c>
      <c r="BL135" s="1837"/>
      <c r="BM135" s="1837"/>
      <c r="BN135" s="1837"/>
      <c r="BO135" s="1838"/>
      <c r="BP135" s="1836" t="str">
        <f t="shared" ref="BP135" si="308">BP162</f>
        <v>Anonymous</v>
      </c>
      <c r="BQ135" s="1837"/>
      <c r="BR135" s="1837"/>
      <c r="BS135" s="1837"/>
      <c r="BT135" s="1838"/>
      <c r="BU135" s="1836" t="str">
        <f t="shared" ref="BU135" si="309">BU162</f>
        <v>Unknown</v>
      </c>
      <c r="BV135" s="1837"/>
      <c r="BW135" s="1837"/>
      <c r="BX135" s="1837"/>
      <c r="BY135" s="1838"/>
      <c r="BZ135" s="1604"/>
      <c r="CA135" s="1604"/>
      <c r="CB135" s="1604"/>
      <c r="CC135" s="1604"/>
      <c r="CD135" s="1604"/>
      <c r="CE135" s="896"/>
      <c r="CF135" s="896"/>
      <c r="CG135" s="896"/>
      <c r="CH135" s="896"/>
      <c r="CI135" s="896"/>
      <c r="CJ135" s="895"/>
      <c r="CK135" s="895"/>
      <c r="CL135" s="895"/>
      <c r="CM135" s="895"/>
      <c r="CN135" s="895"/>
      <c r="CO135" s="895"/>
      <c r="CP135" s="895"/>
      <c r="CQ135" s="895"/>
      <c r="CR135" s="895"/>
      <c r="CS135" s="895"/>
      <c r="CT135" s="895"/>
      <c r="CU135" s="895"/>
      <c r="CV135" s="895"/>
      <c r="CW135" s="895"/>
      <c r="CX135" s="895"/>
      <c r="CY135" s="895"/>
      <c r="CZ135" s="895"/>
      <c r="DA135" s="895"/>
      <c r="DB135" s="895"/>
      <c r="DC135" s="895"/>
      <c r="DD135" s="895"/>
      <c r="DE135" s="895"/>
      <c r="DF135" s="895"/>
      <c r="DG135" s="895"/>
      <c r="DH135" s="895"/>
      <c r="DI135" s="895"/>
      <c r="DJ135" s="895"/>
      <c r="DK135" s="895"/>
      <c r="DL135" s="895"/>
      <c r="DM135" s="895"/>
      <c r="DN135" s="895"/>
      <c r="DO135" s="895"/>
      <c r="DP135" s="895"/>
      <c r="DQ135" s="895"/>
      <c r="DR135" s="895"/>
      <c r="DS135" s="895"/>
      <c r="DT135" s="895"/>
      <c r="DU135" s="895"/>
      <c r="DV135" s="895"/>
      <c r="DW135" s="895"/>
      <c r="DX135" s="895"/>
      <c r="DY135" s="895"/>
      <c r="DZ135" s="895"/>
      <c r="EA135" s="895"/>
      <c r="EB135" s="895"/>
    </row>
    <row r="136" spans="1:132" s="87" customFormat="1" ht="16.5" customHeight="1" x14ac:dyDescent="0.2">
      <c r="A136" s="292"/>
      <c r="B136" s="85"/>
      <c r="C136" s="9"/>
      <c r="D136" s="894"/>
      <c r="E136" s="894"/>
      <c r="F136" s="894"/>
      <c r="G136" s="894"/>
      <c r="H136" s="894"/>
      <c r="I136" s="894"/>
      <c r="J136" s="894"/>
      <c r="K136" s="894"/>
      <c r="L136" s="894"/>
      <c r="M136" s="894"/>
      <c r="N136" s="894"/>
      <c r="O136" s="894"/>
      <c r="P136" s="894"/>
      <c r="Q136" s="894"/>
      <c r="R136" s="894"/>
      <c r="S136" s="894"/>
      <c r="T136" s="894"/>
      <c r="U136" s="894"/>
      <c r="V136" s="894"/>
      <c r="W136" s="894"/>
      <c r="X136" s="85"/>
      <c r="Y136" s="122"/>
      <c r="Z136" s="139"/>
      <c r="AA136" s="183"/>
      <c r="AB136" s="1577" t="str">
        <f>$AC$2</f>
        <v/>
      </c>
      <c r="AC136" s="1578" t="str">
        <f>$AD$2</f>
        <v/>
      </c>
      <c r="AD136" s="1578" t="str">
        <f>$AE$2</f>
        <v/>
      </c>
      <c r="AE136" s="1578" t="str">
        <f>$AF$2</f>
        <v/>
      </c>
      <c r="AF136" s="1580" t="str">
        <f>$AG$2</f>
        <v/>
      </c>
      <c r="AG136" s="1577" t="str">
        <f>$AC$2</f>
        <v/>
      </c>
      <c r="AH136" s="1578" t="str">
        <f>$AD$2</f>
        <v/>
      </c>
      <c r="AI136" s="1578" t="str">
        <f>$AE$2</f>
        <v/>
      </c>
      <c r="AJ136" s="1578" t="str">
        <f>$AF$2</f>
        <v/>
      </c>
      <c r="AK136" s="1580" t="str">
        <f>$AG$2</f>
        <v/>
      </c>
      <c r="AL136" s="1577" t="str">
        <f>$AC$2</f>
        <v/>
      </c>
      <c r="AM136" s="1578" t="str">
        <f>$AD$2</f>
        <v/>
      </c>
      <c r="AN136" s="1578" t="str">
        <f>$AE$2</f>
        <v/>
      </c>
      <c r="AO136" s="1578" t="str">
        <f>$AF$2</f>
        <v/>
      </c>
      <c r="AP136" s="1580" t="str">
        <f>$AG$2</f>
        <v/>
      </c>
      <c r="AQ136" s="1577" t="str">
        <f>$AC$2</f>
        <v/>
      </c>
      <c r="AR136" s="1578" t="str">
        <f>$AD$2</f>
        <v/>
      </c>
      <c r="AS136" s="1578" t="str">
        <f>$AE$2</f>
        <v/>
      </c>
      <c r="AT136" s="1578" t="str">
        <f>$AF$2</f>
        <v/>
      </c>
      <c r="AU136" s="1580" t="str">
        <f>$AG$2</f>
        <v/>
      </c>
      <c r="AV136" s="1577" t="str">
        <f>$AC$2</f>
        <v/>
      </c>
      <c r="AW136" s="1578" t="str">
        <f>$AD$2</f>
        <v/>
      </c>
      <c r="AX136" s="1578" t="str">
        <f>$AE$2</f>
        <v/>
      </c>
      <c r="AY136" s="1578" t="str">
        <f>$AF$2</f>
        <v/>
      </c>
      <c r="AZ136" s="1580" t="str">
        <f>$AG$2</f>
        <v/>
      </c>
      <c r="BA136" s="1577" t="str">
        <f>$AC$2</f>
        <v/>
      </c>
      <c r="BB136" s="1578" t="str">
        <f>$AD$2</f>
        <v/>
      </c>
      <c r="BC136" s="1578" t="str">
        <f>$AE$2</f>
        <v/>
      </c>
      <c r="BD136" s="1578" t="str">
        <f>$AF$2</f>
        <v/>
      </c>
      <c r="BE136" s="1580" t="str">
        <f>$AG$2</f>
        <v/>
      </c>
      <c r="BF136" s="1577" t="str">
        <f t="shared" ref="BF136" si="310">$AC$2</f>
        <v/>
      </c>
      <c r="BG136" s="1578" t="str">
        <f t="shared" ref="BG136" si="311">$AD$2</f>
        <v/>
      </c>
      <c r="BH136" s="1578" t="str">
        <f t="shared" ref="BH136" si="312">$AE$2</f>
        <v/>
      </c>
      <c r="BI136" s="1578" t="str">
        <f t="shared" ref="BI136" si="313">$AF$2</f>
        <v/>
      </c>
      <c r="BJ136" s="1580" t="str">
        <f t="shared" ref="BJ136" si="314">$AG$2</f>
        <v/>
      </c>
      <c r="BK136" s="1577" t="str">
        <f t="shared" ref="BK136" si="315">$AC$2</f>
        <v/>
      </c>
      <c r="BL136" s="1578" t="str">
        <f t="shared" ref="BL136" si="316">$AD$2</f>
        <v/>
      </c>
      <c r="BM136" s="1578" t="str">
        <f t="shared" ref="BM136" si="317">$AE$2</f>
        <v/>
      </c>
      <c r="BN136" s="1578" t="str">
        <f t="shared" ref="BN136" si="318">$AF$2</f>
        <v/>
      </c>
      <c r="BO136" s="1580" t="str">
        <f t="shared" ref="BO136" si="319">$AG$2</f>
        <v/>
      </c>
      <c r="BP136" s="1577" t="str">
        <f t="shared" ref="BP136" si="320">$AC$2</f>
        <v/>
      </c>
      <c r="BQ136" s="1578" t="str">
        <f t="shared" ref="BQ136" si="321">$AD$2</f>
        <v/>
      </c>
      <c r="BR136" s="1578" t="str">
        <f t="shared" ref="BR136" si="322">$AE$2</f>
        <v/>
      </c>
      <c r="BS136" s="1578" t="str">
        <f t="shared" ref="BS136" si="323">$AF$2</f>
        <v/>
      </c>
      <c r="BT136" s="1580" t="str">
        <f t="shared" ref="BT136" si="324">$AG$2</f>
        <v/>
      </c>
      <c r="BU136" s="1577" t="str">
        <f t="shared" ref="BU136" si="325">$AC$2</f>
        <v/>
      </c>
      <c r="BV136" s="1578" t="str">
        <f t="shared" ref="BV136" si="326">$AD$2</f>
        <v/>
      </c>
      <c r="BW136" s="1578" t="str">
        <f t="shared" ref="BW136" si="327">$AE$2</f>
        <v/>
      </c>
      <c r="BX136" s="1578" t="str">
        <f t="shared" ref="BX136" si="328">$AF$2</f>
        <v/>
      </c>
      <c r="BY136" s="1580" t="str">
        <f t="shared" ref="BY136" si="329">$AG$2</f>
        <v/>
      </c>
      <c r="BZ136" s="1605"/>
      <c r="CA136" s="1605"/>
      <c r="CB136" s="1605"/>
      <c r="CC136" s="1605"/>
      <c r="CD136" s="1605"/>
    </row>
    <row r="137" spans="1:132" s="87" customFormat="1" ht="5.25" customHeight="1" x14ac:dyDescent="0.2">
      <c r="A137" s="292"/>
      <c r="B137" s="85"/>
      <c r="C137" s="9"/>
      <c r="D137" s="894"/>
      <c r="E137" s="894"/>
      <c r="F137" s="894"/>
      <c r="G137" s="894"/>
      <c r="H137" s="894"/>
      <c r="I137" s="894"/>
      <c r="J137" s="894"/>
      <c r="K137" s="894"/>
      <c r="L137" s="894"/>
      <c r="M137" s="894"/>
      <c r="N137" s="894"/>
      <c r="O137" s="894"/>
      <c r="P137" s="894"/>
      <c r="Q137" s="894"/>
      <c r="R137" s="894"/>
      <c r="S137" s="894"/>
      <c r="T137" s="894"/>
      <c r="U137" s="894"/>
      <c r="V137" s="894"/>
      <c r="W137" s="894"/>
      <c r="X137" s="85"/>
      <c r="Y137" s="122"/>
      <c r="Z137" s="139"/>
      <c r="AA137" s="193"/>
      <c r="AB137" s="1582" t="str">
        <f>$AC$3</f>
        <v>2015-16</v>
      </c>
      <c r="AC137" s="1583" t="str">
        <f>$AD$3</f>
        <v>2016-17</v>
      </c>
      <c r="AD137" s="1583" t="str">
        <f>$AE$3</f>
        <v>2017-18</v>
      </c>
      <c r="AE137" s="1583" t="str">
        <f>$AF$3</f>
        <v>2018-19</v>
      </c>
      <c r="AF137" s="1606" t="str">
        <f>$AG$3</f>
        <v>2019-20</v>
      </c>
      <c r="AG137" s="1582" t="str">
        <f>$AC$3</f>
        <v>2015-16</v>
      </c>
      <c r="AH137" s="1583" t="str">
        <f>$AD$3</f>
        <v>2016-17</v>
      </c>
      <c r="AI137" s="1583" t="str">
        <f>$AE$3</f>
        <v>2017-18</v>
      </c>
      <c r="AJ137" s="1583" t="str">
        <f>$AF$3</f>
        <v>2018-19</v>
      </c>
      <c r="AK137" s="1606" t="str">
        <f>$AG$3</f>
        <v>2019-20</v>
      </c>
      <c r="AL137" s="1582" t="str">
        <f>$AC$3</f>
        <v>2015-16</v>
      </c>
      <c r="AM137" s="1583" t="str">
        <f>$AD$3</f>
        <v>2016-17</v>
      </c>
      <c r="AN137" s="1583" t="str">
        <f>$AE$3</f>
        <v>2017-18</v>
      </c>
      <c r="AO137" s="1583" t="str">
        <f>$AF$3</f>
        <v>2018-19</v>
      </c>
      <c r="AP137" s="1606" t="str">
        <f>$AG$3</f>
        <v>2019-20</v>
      </c>
      <c r="AQ137" s="1582" t="str">
        <f>$AC$3</f>
        <v>2015-16</v>
      </c>
      <c r="AR137" s="1583" t="str">
        <f>$AD$3</f>
        <v>2016-17</v>
      </c>
      <c r="AS137" s="1583" t="str">
        <f>$AE$3</f>
        <v>2017-18</v>
      </c>
      <c r="AT137" s="1583" t="str">
        <f>$AF$3</f>
        <v>2018-19</v>
      </c>
      <c r="AU137" s="1606" t="str">
        <f>$AG$3</f>
        <v>2019-20</v>
      </c>
      <c r="AV137" s="1582" t="str">
        <f>$AC$3</f>
        <v>2015-16</v>
      </c>
      <c r="AW137" s="1583" t="str">
        <f>$AD$3</f>
        <v>2016-17</v>
      </c>
      <c r="AX137" s="1583" t="str">
        <f>$AE$3</f>
        <v>2017-18</v>
      </c>
      <c r="AY137" s="1583" t="str">
        <f>$AF$3</f>
        <v>2018-19</v>
      </c>
      <c r="AZ137" s="1606" t="str">
        <f>$AG$3</f>
        <v>2019-20</v>
      </c>
      <c r="BA137" s="1582" t="str">
        <f>$AC$3</f>
        <v>2015-16</v>
      </c>
      <c r="BB137" s="1583" t="str">
        <f>$AD$3</f>
        <v>2016-17</v>
      </c>
      <c r="BC137" s="1583" t="str">
        <f>$AE$3</f>
        <v>2017-18</v>
      </c>
      <c r="BD137" s="1583" t="str">
        <f>$AF$3</f>
        <v>2018-19</v>
      </c>
      <c r="BE137" s="1606" t="str">
        <f>$AG$3</f>
        <v>2019-20</v>
      </c>
      <c r="BF137" s="1582" t="str">
        <f t="shared" ref="BF137" si="330">$AC$3</f>
        <v>2015-16</v>
      </c>
      <c r="BG137" s="1583" t="str">
        <f t="shared" ref="BG137" si="331">$AD$3</f>
        <v>2016-17</v>
      </c>
      <c r="BH137" s="1583" t="str">
        <f t="shared" ref="BH137" si="332">$AE$3</f>
        <v>2017-18</v>
      </c>
      <c r="BI137" s="1583" t="str">
        <f t="shared" ref="BI137" si="333">$AF$3</f>
        <v>2018-19</v>
      </c>
      <c r="BJ137" s="1606" t="str">
        <f t="shared" ref="BJ137" si="334">$AG$3</f>
        <v>2019-20</v>
      </c>
      <c r="BK137" s="1582" t="str">
        <f t="shared" ref="BK137" si="335">$AC$3</f>
        <v>2015-16</v>
      </c>
      <c r="BL137" s="1583" t="str">
        <f t="shared" ref="BL137" si="336">$AD$3</f>
        <v>2016-17</v>
      </c>
      <c r="BM137" s="1583" t="str">
        <f t="shared" ref="BM137" si="337">$AE$3</f>
        <v>2017-18</v>
      </c>
      <c r="BN137" s="1583" t="str">
        <f t="shared" ref="BN137" si="338">$AF$3</f>
        <v>2018-19</v>
      </c>
      <c r="BO137" s="1606" t="str">
        <f t="shared" ref="BO137" si="339">$AG$3</f>
        <v>2019-20</v>
      </c>
      <c r="BP137" s="1582" t="str">
        <f t="shared" ref="BP137" si="340">$AC$3</f>
        <v>2015-16</v>
      </c>
      <c r="BQ137" s="1583" t="str">
        <f t="shared" ref="BQ137" si="341">$AD$3</f>
        <v>2016-17</v>
      </c>
      <c r="BR137" s="1583" t="str">
        <f t="shared" ref="BR137" si="342">$AE$3</f>
        <v>2017-18</v>
      </c>
      <c r="BS137" s="1583" t="str">
        <f t="shared" ref="BS137" si="343">$AF$3</f>
        <v>2018-19</v>
      </c>
      <c r="BT137" s="1606" t="str">
        <f t="shared" ref="BT137" si="344">$AG$3</f>
        <v>2019-20</v>
      </c>
      <c r="BU137" s="1582" t="str">
        <f t="shared" ref="BU137" si="345">$AC$3</f>
        <v>2015-16</v>
      </c>
      <c r="BV137" s="1583" t="str">
        <f t="shared" ref="BV137" si="346">$AD$3</f>
        <v>2016-17</v>
      </c>
      <c r="BW137" s="1583" t="str">
        <f t="shared" ref="BW137" si="347">$AE$3</f>
        <v>2017-18</v>
      </c>
      <c r="BX137" s="1583" t="str">
        <f t="shared" ref="BX137" si="348">$AF$3</f>
        <v>2018-19</v>
      </c>
      <c r="BY137" s="1606" t="str">
        <f t="shared" ref="BY137" si="349">$AG$3</f>
        <v>2019-20</v>
      </c>
      <c r="BZ137" s="1605"/>
      <c r="CA137" s="1605"/>
      <c r="CB137" s="1605"/>
      <c r="CC137" s="1605"/>
      <c r="CD137" s="1605"/>
    </row>
    <row r="138" spans="1:132" ht="7.5" customHeight="1" x14ac:dyDescent="0.2">
      <c r="A138" s="292"/>
      <c r="B138" s="85"/>
      <c r="C138" s="9"/>
      <c r="D138" s="894"/>
      <c r="E138" s="894"/>
      <c r="F138" s="894"/>
      <c r="G138" s="894"/>
      <c r="H138" s="894"/>
      <c r="I138" s="894"/>
      <c r="J138" s="894"/>
      <c r="K138" s="894"/>
      <c r="L138" s="894"/>
      <c r="M138" s="894"/>
      <c r="N138" s="894"/>
      <c r="O138" s="894"/>
      <c r="P138" s="894"/>
      <c r="Q138" s="894"/>
      <c r="R138" s="894"/>
      <c r="S138" s="894"/>
      <c r="T138" s="894"/>
      <c r="U138" s="894"/>
      <c r="V138" s="894"/>
      <c r="W138" s="894"/>
      <c r="X138" s="85"/>
      <c r="Y138" s="122"/>
      <c r="Z138" s="139"/>
      <c r="AA138" s="193"/>
      <c r="AB138" s="1607">
        <f>IF(ISERROR(AB165/$BZ165),NA(),AB165/$BZ165)</f>
        <v>0.11823802163833076</v>
      </c>
      <c r="AC138" s="1608">
        <f>IF(ISERROR(AC165/$CA165),NA(),AC165/$CA165)</f>
        <v>0.10340632603406326</v>
      </c>
      <c r="AD138" s="1608">
        <f>IF(ISERROR(AD165/$CB165),NA(),AD165/$CB165)</f>
        <v>6.4321055525013743E-2</v>
      </c>
      <c r="AE138" s="1608">
        <f>IF(ISERROR(AE165/$CC165),NA(),AE165/$CC165)</f>
        <v>9.7153185720741081E-2</v>
      </c>
      <c r="AF138" s="1609">
        <f>IF(ISERROR(AF165/$CD165),NA(),AF165/$CD165)</f>
        <v>6.650971159505592E-2</v>
      </c>
      <c r="AG138" s="1607">
        <f t="shared" ref="AG138:BU153" si="350">IF(ISERROR(AG165/$BZ165),NA(),AG165/$BZ165)</f>
        <v>0.27975270479134468</v>
      </c>
      <c r="AH138" s="1608">
        <f t="shared" ref="AH138:BV153" si="351">IF(ISERROR(AH165/$CA165),NA(),AH165/$CA165)</f>
        <v>0.23418491484184914</v>
      </c>
      <c r="AI138" s="1608">
        <f t="shared" ref="AI138:BW153" si="352">IF(ISERROR(AI165/$CB165),NA(),AI165/$CB165)</f>
        <v>0.29466739967014843</v>
      </c>
      <c r="AJ138" s="1608">
        <f t="shared" ref="AJ138:BX153" si="353">IF(ISERROR(AJ165/$CC165),NA(),AJ165/$CC165)</f>
        <v>0.26751016719385451</v>
      </c>
      <c r="AK138" s="1609">
        <f t="shared" ref="AK138:BY153" si="354">IF(ISERROR(AK165/$CD165),NA(),AK165/$CD165)</f>
        <v>0.290759270158917</v>
      </c>
      <c r="AL138" s="1607">
        <f t="shared" ref="AL138" si="355">IF(ISERROR(AL165/$BZ165),NA(),AL165/$BZ165)</f>
        <v>9.1190108191653782E-2</v>
      </c>
      <c r="AM138" s="1608">
        <f>IF(ISERROR(AM165/$CA165),NA(),AM165/$CA165)</f>
        <v>8.0291970802919707E-2</v>
      </c>
      <c r="AN138" s="1608">
        <f t="shared" ref="AN138" si="356">IF(ISERROR(AN165/$CB165),NA(),AN165/$CB165)</f>
        <v>7.476635514018691E-2</v>
      </c>
      <c r="AO138" s="1608">
        <f t="shared" ref="AO138" si="357">IF(ISERROR(AO165/$CC165),NA(),AO165/$CC165)</f>
        <v>0.11477632173520108</v>
      </c>
      <c r="AP138" s="1609">
        <f t="shared" ref="AP138" si="358">IF(ISERROR(AP165/$CD165),NA(),AP165/$CD165)</f>
        <v>0.10417892878163626</v>
      </c>
      <c r="AQ138" s="1607">
        <f t="shared" ref="AQ138" si="359">IF(ISERROR(AQ165/$BZ165),NA(),AQ165/$BZ165)</f>
        <v>7.7279752704791345E-3</v>
      </c>
      <c r="AR138" s="1608">
        <f t="shared" ref="AR138" si="360">IF(ISERROR(AR165/$CA165),NA(),AR165/$CA165)</f>
        <v>1.1557177615571776E-2</v>
      </c>
      <c r="AS138" s="1608">
        <f t="shared" ref="AS138" si="361">IF(ISERROR(AS165/$CB165),NA(),AS165/$CB165)</f>
        <v>1.3194062671797692E-2</v>
      </c>
      <c r="AT138" s="1608">
        <f t="shared" ref="AT138" si="362">IF(ISERROR(AT165/$CC165),NA(),AT165/$CC165)</f>
        <v>1.3556258472661545E-2</v>
      </c>
      <c r="AU138" s="1609">
        <f t="shared" ref="AU138" si="363">IF(ISERROR(AU165/$CD165),NA(),AU165/$CD165)</f>
        <v>1.059446733372572E-2</v>
      </c>
      <c r="AV138" s="1607">
        <f t="shared" ref="AV138" si="364">IF(ISERROR(AV165/$BZ165),NA(),AV165/$BZ165)</f>
        <v>0.17697063369397217</v>
      </c>
      <c r="AW138" s="1608">
        <f t="shared" ref="AW138" si="365">IF(ISERROR(AW165/$CA165),NA(),AW165/$CA165)</f>
        <v>0.17639902676399027</v>
      </c>
      <c r="AX138" s="1608">
        <f t="shared" ref="AX138" si="366">IF(ISERROR(AX165/$CB165),NA(),AX165/$CB165)</f>
        <v>0.2045079714128642</v>
      </c>
      <c r="AY138" s="1608">
        <f t="shared" ref="AY138" si="367">IF(ISERROR(AY165/$CC165),NA(),AY165/$CC165)</f>
        <v>0.21057388160867602</v>
      </c>
      <c r="AZ138" s="1609">
        <f t="shared" ref="AZ138" si="368">IF(ISERROR(AZ165/$CD165),NA(),AZ165/$CD165)</f>
        <v>0.22189523248969983</v>
      </c>
      <c r="BA138" s="1607">
        <f t="shared" ref="BA138" si="369">IF(ISERROR(BA165/$BZ165),NA(),BA165/$BZ165)</f>
        <v>0.24497681607418856</v>
      </c>
      <c r="BB138" s="1608">
        <f t="shared" ref="BB138" si="370">IF(ISERROR(BB165/$CA165),NA(),BB165/$CA165)</f>
        <v>0.1964720194647202</v>
      </c>
      <c r="BC138" s="1608">
        <f t="shared" ref="BC138" si="371">IF(ISERROR(BC165/$CB165),NA(),BC165/$CB165)</f>
        <v>0.22649807586586038</v>
      </c>
      <c r="BD138" s="1608">
        <f t="shared" ref="BD138" si="372">IF(ISERROR(BD165/$CC165),NA(),BD165/$CC165)</f>
        <v>0.20018075011296882</v>
      </c>
      <c r="BE138" s="1609">
        <f t="shared" ref="BE138" si="373">IF(ISERROR(BE165/$CD165),NA(),BE165/$CD165)</f>
        <v>0.22778104767510302</v>
      </c>
      <c r="BF138" s="1607">
        <f t="shared" ref="BF138" si="374">IF(ISERROR(BF165/$BZ165),NA(),BF165/$BZ165)</f>
        <v>1.6228748068006182E-2</v>
      </c>
      <c r="BG138" s="1608">
        <f t="shared" ref="BG138" si="375">IF(ISERROR(BG165/$CA165),NA(),BG165/$CA165)</f>
        <v>2.5547445255474453E-2</v>
      </c>
      <c r="BH138" s="1608">
        <f t="shared" ref="BH138" si="376">IF(ISERROR(BH165/$CB165),NA(),BH165/$CB165)</f>
        <v>1.4293567894447499E-2</v>
      </c>
      <c r="BI138" s="1608">
        <f t="shared" ref="BI138" si="377">IF(ISERROR(BI165/$CC165),NA(),BI165/$CC165)</f>
        <v>2.394938996836873E-2</v>
      </c>
      <c r="BJ138" s="1609">
        <f t="shared" ref="BJ138" si="378">IF(ISERROR(BJ165/$CD165),NA(),BJ165/$CD165)</f>
        <v>2.4720423778693348E-2</v>
      </c>
      <c r="BK138" s="1607">
        <f t="shared" ref="BK138" si="379">IF(ISERROR(BK165/$BZ165),NA(),BK165/$BZ165)</f>
        <v>6.4914992272024727E-2</v>
      </c>
      <c r="BL138" s="1608">
        <f t="shared" ref="BL138" si="380">IF(ISERROR(BL165/$CA165),NA(),BL165/$CA165)</f>
        <v>6.9343065693430656E-2</v>
      </c>
      <c r="BM138" s="1608">
        <f t="shared" ref="BM138" si="381">IF(ISERROR(BM165/$CB165),NA(),BM165/$CB165)</f>
        <v>7.4216602528862016E-2</v>
      </c>
      <c r="BN138" s="1608">
        <f t="shared" ref="BN138" si="382">IF(ISERROR(BN165/$CC165),NA(),BN165/$CC165)</f>
        <v>4.2928151830094893E-2</v>
      </c>
      <c r="BO138" s="1609">
        <f t="shared" ref="BO138" si="383">IF(ISERROR(BO165/$CD165),NA(),BO165/$CD165)</f>
        <v>4.0023543260741611E-2</v>
      </c>
      <c r="BP138" s="1607" t="e">
        <f t="shared" ref="BP138" si="384">IF(ISERROR(BP165/$BZ165),NA(),BP165/$BZ165)</f>
        <v>#N/A</v>
      </c>
      <c r="BQ138" s="1608">
        <f t="shared" ref="BQ138" si="385">IF(ISERROR(BQ165/$CA165),NA(),BQ165/$CA165)</f>
        <v>1.3381995133819951E-2</v>
      </c>
      <c r="BR138" s="1608">
        <f t="shared" ref="BR138" si="386">IF(ISERROR(BR165/$CB165),NA(),BR165/$CB165)</f>
        <v>3.0236393622869707E-2</v>
      </c>
      <c r="BS138" s="1608">
        <f t="shared" ref="BS138" si="387">IF(ISERROR(BS165/$CC165),NA(),BS165/$CC165)</f>
        <v>2.937189335743335E-2</v>
      </c>
      <c r="BT138" s="1609">
        <f t="shared" ref="BT138" si="388">IF(ISERROR(BT165/$CD165),NA(),BT165/$CD165)</f>
        <v>1.3537374926427309E-2</v>
      </c>
      <c r="BU138" s="1607" t="e">
        <f t="shared" ref="BU138" si="389">IF(ISERROR(BU165/$BZ165),NA(),BU165/$BZ165)</f>
        <v>#N/A</v>
      </c>
      <c r="BV138" s="1608">
        <f t="shared" ref="BV138" si="390">IF(ISERROR(BV165/$CA165),NA(),BV165/$CA165)</f>
        <v>8.9416058394160586E-2</v>
      </c>
      <c r="BW138" s="1608">
        <f t="shared" ref="BW138" si="391">IF(ISERROR(BW165/$CB165),NA(),BW165/$CB165)</f>
        <v>3.2985156679494229E-3</v>
      </c>
      <c r="BX138" s="1608">
        <f t="shared" ref="BX138" si="392">IF(ISERROR(BX165/$CC165),NA(),BX165/$CC165)</f>
        <v>0</v>
      </c>
      <c r="BY138" s="1609">
        <f t="shared" ref="BY138" si="393">IF(ISERROR(BY165/$CD165),NA(),BY165/$CD165)</f>
        <v>0</v>
      </c>
      <c r="BZ138" s="1610"/>
      <c r="CA138" s="1610"/>
      <c r="CB138" s="1610"/>
      <c r="CC138" s="1610"/>
      <c r="CD138" s="1610"/>
    </row>
    <row r="139" spans="1:132" ht="15" customHeight="1" x14ac:dyDescent="0.2">
      <c r="A139" s="278"/>
      <c r="B139" s="17"/>
      <c r="C139" s="17"/>
      <c r="D139" s="16"/>
      <c r="E139" s="16"/>
      <c r="F139" s="16"/>
      <c r="G139" s="16"/>
      <c r="H139" s="16"/>
      <c r="I139" s="16"/>
      <c r="J139" s="16"/>
      <c r="K139" s="16"/>
      <c r="L139" s="16"/>
      <c r="M139" s="16"/>
      <c r="N139" s="16"/>
      <c r="O139" s="12"/>
      <c r="P139" s="18"/>
      <c r="Q139" s="18"/>
      <c r="R139" s="18"/>
      <c r="S139" s="18"/>
      <c r="T139" s="18"/>
      <c r="U139" s="18"/>
      <c r="V139" s="18"/>
      <c r="W139" s="18"/>
      <c r="X139" s="19"/>
      <c r="Y139" s="117"/>
      <c r="Z139" s="137"/>
      <c r="AA139" s="193"/>
      <c r="AB139" s="1607">
        <f t="shared" ref="AB139:AB161" si="394">IF(ISERROR(AB166/$BZ166),NA(),AB166/$BZ166)</f>
        <v>5.2247518972562752E-2</v>
      </c>
      <c r="AC139" s="1608">
        <f t="shared" ref="AC139:AC161" si="395">IF(ISERROR(AC166/$CA166),NA(),AC166/$CA166)</f>
        <v>5.1688693098384732E-2</v>
      </c>
      <c r="AD139" s="1608">
        <f t="shared" ref="AD139:AD161" si="396">IF(ISERROR(AD166/$CB166),NA(),AD166/$CB166)</f>
        <v>4.6351674641148324E-2</v>
      </c>
      <c r="AE139" s="1608">
        <f t="shared" ref="AE139:AE161" si="397">IF(ISERROR(AE166/$CC166),NA(),AE166/$CC166)</f>
        <v>3.2417412781722756E-2</v>
      </c>
      <c r="AF139" s="1609">
        <f t="shared" ref="AF139:AF161" si="398">IF(ISERROR(AF166/$CD166),NA(),AF166/$CD166)</f>
        <v>2.9403528423410808E-2</v>
      </c>
      <c r="AG139" s="1607">
        <f t="shared" si="350"/>
        <v>0.17483946293053124</v>
      </c>
      <c r="AH139" s="1608">
        <f t="shared" si="351"/>
        <v>0.19706314243759177</v>
      </c>
      <c r="AI139" s="1608">
        <f t="shared" si="352"/>
        <v>0.18600478468899523</v>
      </c>
      <c r="AJ139" s="1608">
        <f t="shared" si="353"/>
        <v>0.18802099413399198</v>
      </c>
      <c r="AK139" s="1609">
        <f t="shared" si="354"/>
        <v>0.18818258190982917</v>
      </c>
      <c r="AL139" s="1607">
        <f t="shared" si="350"/>
        <v>0.14244016345592528</v>
      </c>
      <c r="AM139" s="1608">
        <f t="shared" si="351"/>
        <v>9.86784140969163E-2</v>
      </c>
      <c r="AN139" s="1608">
        <f t="shared" si="352"/>
        <v>0.11064593301435406</v>
      </c>
      <c r="AO139" s="1608">
        <f t="shared" si="353"/>
        <v>9.4164865699289904E-2</v>
      </c>
      <c r="AP139" s="1609">
        <f t="shared" si="354"/>
        <v>0.12629515541865025</v>
      </c>
      <c r="AQ139" s="1607">
        <f t="shared" si="350"/>
        <v>0</v>
      </c>
      <c r="AR139" s="1608">
        <f t="shared" si="351"/>
        <v>1.145374449339207E-2</v>
      </c>
      <c r="AS139" s="1608">
        <f t="shared" si="352"/>
        <v>1.6447368421052631E-2</v>
      </c>
      <c r="AT139" s="1608">
        <f t="shared" si="353"/>
        <v>1.2658227848101266E-2</v>
      </c>
      <c r="AU139" s="1609">
        <f t="shared" si="354"/>
        <v>1.7922150658078971E-2</v>
      </c>
      <c r="AV139" s="1607">
        <f t="shared" si="350"/>
        <v>0.20694687682428489</v>
      </c>
      <c r="AW139" s="1608">
        <f t="shared" si="351"/>
        <v>0.1856093979441997</v>
      </c>
      <c r="AX139" s="1608">
        <f t="shared" si="352"/>
        <v>0.15879186602870812</v>
      </c>
      <c r="AY139" s="1608">
        <f t="shared" si="353"/>
        <v>0.12936091386230317</v>
      </c>
      <c r="AZ139" s="1609">
        <f t="shared" si="354"/>
        <v>0.13917670120414449</v>
      </c>
      <c r="BA139" s="1607">
        <f t="shared" si="350"/>
        <v>0.24635143023934616</v>
      </c>
      <c r="BB139" s="1608">
        <f t="shared" si="351"/>
        <v>0.25580029368575624</v>
      </c>
      <c r="BC139" s="1608">
        <f t="shared" si="352"/>
        <v>0.25807416267942584</v>
      </c>
      <c r="BD139" s="1608">
        <f t="shared" si="353"/>
        <v>0.24081506637851188</v>
      </c>
      <c r="BE139" s="1609">
        <f t="shared" si="354"/>
        <v>0.28591430971716608</v>
      </c>
      <c r="BF139" s="1607">
        <f t="shared" si="350"/>
        <v>2.0140105078809107E-2</v>
      </c>
      <c r="BG139" s="1608">
        <f t="shared" si="351"/>
        <v>2.4082232011747431E-2</v>
      </c>
      <c r="BH139" s="1608">
        <f t="shared" si="352"/>
        <v>2.4820574162679427E-2</v>
      </c>
      <c r="BI139" s="1608">
        <f t="shared" si="353"/>
        <v>2.4698981167026859E-2</v>
      </c>
      <c r="BJ139" s="1609">
        <f t="shared" si="354"/>
        <v>2.6323158779053488E-2</v>
      </c>
      <c r="BK139" s="1607">
        <f t="shared" si="350"/>
        <v>2.8896672504378284E-2</v>
      </c>
      <c r="BL139" s="1608">
        <f t="shared" si="351"/>
        <v>5.668135095447871E-2</v>
      </c>
      <c r="BM139" s="1608">
        <f t="shared" si="352"/>
        <v>4.5753588516746414E-2</v>
      </c>
      <c r="BN139" s="1608">
        <f t="shared" si="353"/>
        <v>4.8163013275702375E-2</v>
      </c>
      <c r="BO139" s="1609">
        <f t="shared" si="354"/>
        <v>3.2763931671800618E-2</v>
      </c>
      <c r="BP139" s="1607">
        <f t="shared" si="350"/>
        <v>2.5394045534150613E-2</v>
      </c>
      <c r="BQ139" s="1608">
        <f t="shared" si="351"/>
        <v>1.9383259911894272E-2</v>
      </c>
      <c r="BR139" s="1608">
        <f t="shared" si="352"/>
        <v>1.2559808612440191E-2</v>
      </c>
      <c r="BS139" s="1608">
        <f t="shared" si="353"/>
        <v>1.3584439641864773E-2</v>
      </c>
      <c r="BT139" s="1609">
        <f t="shared" si="354"/>
        <v>1.3161579389526744E-2</v>
      </c>
      <c r="BU139" s="1607">
        <f t="shared" si="350"/>
        <v>0.10274372446001168</v>
      </c>
      <c r="BV139" s="1608">
        <f t="shared" si="351"/>
        <v>9.9559471365638766E-2</v>
      </c>
      <c r="BW139" s="1608">
        <f t="shared" si="352"/>
        <v>0.14055023923444976</v>
      </c>
      <c r="BX139" s="1608">
        <f t="shared" si="353"/>
        <v>0.21611608521148504</v>
      </c>
      <c r="BY139" s="1609">
        <f t="shared" si="354"/>
        <v>0.1408569028283394</v>
      </c>
      <c r="BZ139" s="1610"/>
      <c r="CA139" s="1610"/>
      <c r="CB139" s="1610"/>
      <c r="CC139" s="1610"/>
      <c r="CD139" s="1610"/>
    </row>
    <row r="140" spans="1:132" ht="11.25" customHeight="1" x14ac:dyDescent="0.2">
      <c r="A140" s="1847" t="str">
        <f>Home!$A$39</f>
        <v xml:space="preserve"> </v>
      </c>
      <c r="B140" s="1768"/>
      <c r="C140" s="1768"/>
      <c r="D140" s="1768"/>
      <c r="E140" s="1768"/>
      <c r="F140" s="1768"/>
      <c r="G140" s="1768"/>
      <c r="H140" s="1768"/>
      <c r="I140" s="1768"/>
      <c r="J140" s="1768"/>
      <c r="K140" s="1768"/>
      <c r="L140" s="1768"/>
      <c r="M140" s="1768"/>
      <c r="N140" s="1768"/>
      <c r="O140" s="1768"/>
      <c r="P140" s="1768"/>
      <c r="Q140" s="1768"/>
      <c r="R140" s="1768"/>
      <c r="S140" s="1768"/>
      <c r="T140" s="1768"/>
      <c r="U140" s="1768"/>
      <c r="V140" s="1768"/>
      <c r="W140" s="1768"/>
      <c r="X140" s="1768"/>
      <c r="Y140" s="1848"/>
      <c r="Z140" s="137"/>
      <c r="AA140" s="183"/>
      <c r="AB140" s="1607">
        <f t="shared" si="394"/>
        <v>8.09950824414232E-2</v>
      </c>
      <c r="AC140" s="1608">
        <f t="shared" si="395"/>
        <v>7.4098218166014779E-2</v>
      </c>
      <c r="AD140" s="1608">
        <f t="shared" si="396"/>
        <v>7.2651639740737156E-2</v>
      </c>
      <c r="AE140" s="1608">
        <f t="shared" si="397"/>
        <v>7.4738219895287963E-2</v>
      </c>
      <c r="AF140" s="1609">
        <f t="shared" si="398"/>
        <v>7.5896078903055081E-2</v>
      </c>
      <c r="AG140" s="1607">
        <f t="shared" si="350"/>
        <v>0.23864622505062191</v>
      </c>
      <c r="AH140" s="1608">
        <f t="shared" si="351"/>
        <v>0.25988700564971751</v>
      </c>
      <c r="AI140" s="1608">
        <f t="shared" si="352"/>
        <v>0.19841346618941666</v>
      </c>
      <c r="AJ140" s="1608">
        <f t="shared" si="353"/>
        <v>0.2036649214659686</v>
      </c>
      <c r="AK140" s="1609">
        <f t="shared" si="354"/>
        <v>0.19461149867693048</v>
      </c>
      <c r="AL140" s="1607">
        <f t="shared" si="350"/>
        <v>0.16632918715649406</v>
      </c>
      <c r="AM140" s="1608">
        <f t="shared" si="351"/>
        <v>0.17242503259452413</v>
      </c>
      <c r="AN140" s="1608">
        <f t="shared" si="352"/>
        <v>0.16523169198026508</v>
      </c>
      <c r="AO140" s="1608">
        <f t="shared" si="353"/>
        <v>0.15471204188481674</v>
      </c>
      <c r="AP140" s="1609">
        <f t="shared" si="354"/>
        <v>0.15479913399085879</v>
      </c>
      <c r="AQ140" s="1607">
        <f t="shared" si="350"/>
        <v>7.8102400925658087E-3</v>
      </c>
      <c r="AR140" s="1608">
        <f t="shared" si="351"/>
        <v>1.0104302477183833E-2</v>
      </c>
      <c r="AS140" s="1608">
        <f t="shared" si="352"/>
        <v>8.5131082519106123E-3</v>
      </c>
      <c r="AT140" s="1608">
        <f t="shared" si="353"/>
        <v>8.6387434554973819E-3</v>
      </c>
      <c r="AU140" s="1609">
        <f t="shared" si="354"/>
        <v>1.4914601876353139E-2</v>
      </c>
      <c r="AV140" s="1607">
        <f t="shared" si="350"/>
        <v>0.13552212901359562</v>
      </c>
      <c r="AW140" s="1608">
        <f t="shared" si="351"/>
        <v>0.11114732724902217</v>
      </c>
      <c r="AX140" s="1608">
        <f t="shared" si="352"/>
        <v>9.6256167166489312E-2</v>
      </c>
      <c r="AY140" s="1608">
        <f t="shared" si="353"/>
        <v>0.10026178010471204</v>
      </c>
      <c r="AZ140" s="1609">
        <f t="shared" si="354"/>
        <v>0.11655039692085639</v>
      </c>
      <c r="BA140" s="1607">
        <f t="shared" si="350"/>
        <v>0.27249059878507376</v>
      </c>
      <c r="BB140" s="1608">
        <f t="shared" si="351"/>
        <v>0.27466318991742722</v>
      </c>
      <c r="BC140" s="1608">
        <f t="shared" si="352"/>
        <v>0.34168520847441231</v>
      </c>
      <c r="BD140" s="1608">
        <f t="shared" si="353"/>
        <v>0.35497382198952881</v>
      </c>
      <c r="BE140" s="1609">
        <f t="shared" si="354"/>
        <v>0.35001202790473901</v>
      </c>
      <c r="BF140" s="1607">
        <f t="shared" si="350"/>
        <v>2.2852183974544402E-2</v>
      </c>
      <c r="BG140" s="1608">
        <f t="shared" si="351"/>
        <v>2.4445893089960886E-2</v>
      </c>
      <c r="BH140" s="1608">
        <f t="shared" si="352"/>
        <v>2.3701267292251138E-2</v>
      </c>
      <c r="BI140" s="1608">
        <f t="shared" si="353"/>
        <v>3.1937172774869113E-2</v>
      </c>
      <c r="BJ140" s="1609">
        <f t="shared" si="354"/>
        <v>2.6701948520567717E-2</v>
      </c>
      <c r="BK140" s="1607">
        <f t="shared" si="350"/>
        <v>6.0890945906855655E-2</v>
      </c>
      <c r="BL140" s="1608">
        <f t="shared" si="351"/>
        <v>5.4867448935245547E-2</v>
      </c>
      <c r="BM140" s="1608">
        <f t="shared" si="352"/>
        <v>4.4113379123536807E-2</v>
      </c>
      <c r="BN140" s="1608">
        <f t="shared" si="353"/>
        <v>4.5157068062827224E-2</v>
      </c>
      <c r="BO140" s="1609">
        <f t="shared" si="354"/>
        <v>4.7991339908587921E-2</v>
      </c>
      <c r="BP140" s="1607">
        <f t="shared" si="350"/>
        <v>1.4463407578825572E-2</v>
      </c>
      <c r="BQ140" s="1608">
        <f t="shared" si="351"/>
        <v>1.5536723163841809E-2</v>
      </c>
      <c r="BR140" s="1608">
        <f t="shared" si="352"/>
        <v>2.9505659282190191E-2</v>
      </c>
      <c r="BS140" s="1608">
        <f t="shared" si="353"/>
        <v>2.4345549738219896E-2</v>
      </c>
      <c r="BT140" s="1609">
        <f t="shared" si="354"/>
        <v>1.8522973298051481E-2</v>
      </c>
      <c r="BU140" s="1607" t="e">
        <f t="shared" si="350"/>
        <v>#N/A</v>
      </c>
      <c r="BV140" s="1608">
        <f t="shared" si="351"/>
        <v>2.8248587570621469E-3</v>
      </c>
      <c r="BW140" s="1608">
        <f t="shared" si="352"/>
        <v>1.9928412498790751E-2</v>
      </c>
      <c r="BX140" s="1608">
        <f t="shared" si="353"/>
        <v>1.5706806282722514E-3</v>
      </c>
      <c r="BY140" s="1609" t="e">
        <f t="shared" si="354"/>
        <v>#N/A</v>
      </c>
      <c r="BZ140" s="1610"/>
      <c r="CA140" s="1610"/>
      <c r="CB140" s="1610"/>
      <c r="CC140" s="1610"/>
      <c r="CD140" s="1610"/>
    </row>
    <row r="141" spans="1:132" ht="11.25" customHeight="1" x14ac:dyDescent="0.2">
      <c r="A141" s="142"/>
      <c r="B141" s="9"/>
      <c r="C141" s="9"/>
      <c r="D141" s="9"/>
      <c r="E141" s="9"/>
      <c r="F141" s="58"/>
      <c r="G141" s="58"/>
      <c r="H141" s="58"/>
      <c r="I141" s="58"/>
      <c r="J141" s="114"/>
      <c r="K141" s="113"/>
      <c r="L141" s="113"/>
      <c r="M141" s="113"/>
      <c r="N141" s="113"/>
      <c r="O141" s="113"/>
      <c r="P141" s="113"/>
      <c r="Q141" s="113"/>
      <c r="R141" s="113"/>
      <c r="S141" s="113"/>
      <c r="T141" s="113"/>
      <c r="U141" s="113"/>
      <c r="V141" s="113"/>
      <c r="W141" s="218"/>
      <c r="X141" s="218"/>
      <c r="Y141" s="174"/>
      <c r="Z141" s="137"/>
      <c r="AA141" s="150"/>
      <c r="AB141" s="1607">
        <f t="shared" si="394"/>
        <v>4.9093183239524704E-2</v>
      </c>
      <c r="AC141" s="1608">
        <f t="shared" si="395"/>
        <v>7.5897714907508157E-2</v>
      </c>
      <c r="AD141" s="1608">
        <f t="shared" si="396"/>
        <v>9.5030913670712161E-2</v>
      </c>
      <c r="AE141" s="1608">
        <f t="shared" si="397"/>
        <v>0.10614136732329085</v>
      </c>
      <c r="AF141" s="1609">
        <f t="shared" si="398"/>
        <v>9.3112550995920321E-2</v>
      </c>
      <c r="AG141" s="1607">
        <f t="shared" si="350"/>
        <v>8.1613508442776733E-2</v>
      </c>
      <c r="AH141" s="1608">
        <f t="shared" si="351"/>
        <v>0.18525571273122959</v>
      </c>
      <c r="AI141" s="1608">
        <f t="shared" si="352"/>
        <v>0.20403022670025189</v>
      </c>
      <c r="AJ141" s="1608">
        <f t="shared" si="353"/>
        <v>0.1988412514484357</v>
      </c>
      <c r="AK141" s="1609">
        <f t="shared" si="354"/>
        <v>0.16798656107511398</v>
      </c>
      <c r="AL141" s="1607">
        <f t="shared" si="350"/>
        <v>5.9724828017510945E-2</v>
      </c>
      <c r="AM141" s="1608">
        <f t="shared" si="351"/>
        <v>0.10446137105549511</v>
      </c>
      <c r="AN141" s="1608">
        <f t="shared" si="352"/>
        <v>0.10190061827341425</v>
      </c>
      <c r="AO141" s="1608">
        <f t="shared" si="353"/>
        <v>9.4553881807647747E-2</v>
      </c>
      <c r="AP141" s="1609">
        <f t="shared" si="354"/>
        <v>0.11159107271418287</v>
      </c>
      <c r="AQ141" s="1607">
        <f t="shared" si="350"/>
        <v>5.6285178236397749E-3</v>
      </c>
      <c r="AR141" s="1608">
        <f t="shared" si="351"/>
        <v>9.5212187159956479E-3</v>
      </c>
      <c r="AS141" s="1608">
        <f t="shared" si="352"/>
        <v>9.1596061369361124E-3</v>
      </c>
      <c r="AT141" s="1608">
        <f t="shared" si="353"/>
        <v>2.2711471610660488E-2</v>
      </c>
      <c r="AU141" s="1609">
        <f t="shared" si="354"/>
        <v>1.3678905687544997E-2</v>
      </c>
      <c r="AV141" s="1607">
        <f t="shared" si="350"/>
        <v>9.3808630393996242E-2</v>
      </c>
      <c r="AW141" s="1608">
        <f t="shared" si="351"/>
        <v>0.22170837867247006</v>
      </c>
      <c r="AX141" s="1608">
        <f t="shared" si="352"/>
        <v>0.17655140828944355</v>
      </c>
      <c r="AY141" s="1608">
        <f t="shared" si="353"/>
        <v>0.16361529548088066</v>
      </c>
      <c r="AZ141" s="1609">
        <f t="shared" si="354"/>
        <v>0.19462443004559635</v>
      </c>
      <c r="BA141" s="1607">
        <f t="shared" si="350"/>
        <v>0.17260787992495311</v>
      </c>
      <c r="BB141" s="1608">
        <f t="shared" si="351"/>
        <v>0.28264417845484224</v>
      </c>
      <c r="BC141" s="1608">
        <f t="shared" si="352"/>
        <v>0.27272727272727271</v>
      </c>
      <c r="BD141" s="1608">
        <f t="shared" si="353"/>
        <v>0.26604866743916572</v>
      </c>
      <c r="BE141" s="1609">
        <f t="shared" si="354"/>
        <v>0.26661867050635951</v>
      </c>
      <c r="BF141" s="1607">
        <f t="shared" si="350"/>
        <v>1.7823639774859287E-2</v>
      </c>
      <c r="BG141" s="1608">
        <f t="shared" si="351"/>
        <v>4.6789989118607184E-2</v>
      </c>
      <c r="BH141" s="1608">
        <f t="shared" si="352"/>
        <v>3.9615296542248685E-2</v>
      </c>
      <c r="BI141" s="1608">
        <f t="shared" si="353"/>
        <v>5.028968713789108E-2</v>
      </c>
      <c r="BJ141" s="1609">
        <f t="shared" si="354"/>
        <v>4.655627549796016E-2</v>
      </c>
      <c r="BK141" s="1607">
        <f t="shared" si="350"/>
        <v>4.7842401500938089E-2</v>
      </c>
      <c r="BL141" s="1608">
        <f t="shared" si="351"/>
        <v>5.1686615886833515E-2</v>
      </c>
      <c r="BM141" s="1608">
        <f t="shared" si="352"/>
        <v>7.8543622624227163E-2</v>
      </c>
      <c r="BN141" s="1608">
        <f t="shared" si="353"/>
        <v>7.3696407879490153E-2</v>
      </c>
      <c r="BO141" s="1609">
        <f t="shared" si="354"/>
        <v>6.5754739620830338E-2</v>
      </c>
      <c r="BP141" s="1607">
        <f t="shared" si="350"/>
        <v>8.7554721701063164E-3</v>
      </c>
      <c r="BQ141" s="1608">
        <f t="shared" si="351"/>
        <v>2.0402611534276388E-2</v>
      </c>
      <c r="BR141" s="1608">
        <f t="shared" si="352"/>
        <v>1.7403251660178611E-2</v>
      </c>
      <c r="BS141" s="1608">
        <f t="shared" si="353"/>
        <v>1.9003476245654693E-2</v>
      </c>
      <c r="BT141" s="1609">
        <f t="shared" si="354"/>
        <v>2.2798176145908327E-2</v>
      </c>
      <c r="BU141" s="1607">
        <f t="shared" si="350"/>
        <v>0.4631019387116948</v>
      </c>
      <c r="BV141" s="1608">
        <f t="shared" si="351"/>
        <v>1.632208922742111E-3</v>
      </c>
      <c r="BW141" s="1608">
        <f t="shared" si="352"/>
        <v>5.0377833753148613E-3</v>
      </c>
      <c r="BX141" s="1608">
        <f t="shared" si="353"/>
        <v>5.0984936268829665E-3</v>
      </c>
      <c r="BY141" s="1609">
        <f t="shared" si="354"/>
        <v>1.7278617710583154E-2</v>
      </c>
      <c r="BZ141" s="1610"/>
      <c r="CA141" s="1610"/>
      <c r="CB141" s="1610"/>
      <c r="CC141" s="1610"/>
      <c r="CD141" s="1610"/>
    </row>
    <row r="142" spans="1:132" ht="11.25" customHeight="1" x14ac:dyDescent="0.2">
      <c r="A142" s="142"/>
      <c r="B142" s="1685" t="s">
        <v>82</v>
      </c>
      <c r="C142" s="1685"/>
      <c r="D142" s="1685"/>
      <c r="E142" s="1685"/>
      <c r="F142" s="1685"/>
      <c r="G142" s="1685"/>
      <c r="H142" s="1685"/>
      <c r="I142" s="1685"/>
      <c r="J142" s="12"/>
      <c r="K142" s="9"/>
      <c r="L142" s="9"/>
      <c r="M142" s="9"/>
      <c r="N142" s="9"/>
      <c r="O142" s="9"/>
      <c r="P142" s="9"/>
      <c r="Q142" s="9"/>
      <c r="R142" s="9"/>
      <c r="S142" s="9"/>
      <c r="T142" s="9"/>
      <c r="U142" s="9"/>
      <c r="V142" s="9"/>
      <c r="W142" s="58"/>
      <c r="X142" s="58"/>
      <c r="Y142" s="65"/>
      <c r="Z142" s="137"/>
      <c r="AA142" s="150"/>
      <c r="AB142" s="1607">
        <f t="shared" si="394"/>
        <v>0.11010440417616704</v>
      </c>
      <c r="AC142" s="1608">
        <f t="shared" si="395"/>
        <v>0.1113969642397736</v>
      </c>
      <c r="AD142" s="1608">
        <f t="shared" si="396"/>
        <v>0.11399317406143344</v>
      </c>
      <c r="AE142" s="1608">
        <f t="shared" si="397"/>
        <v>0.10461606015697898</v>
      </c>
      <c r="AF142" s="1609">
        <f t="shared" si="398"/>
        <v>0.1138971315529179</v>
      </c>
      <c r="AG142" s="1607">
        <f t="shared" si="350"/>
        <v>0.24894995799831993</v>
      </c>
      <c r="AH142" s="1608">
        <f t="shared" si="351"/>
        <v>0.23457679444301519</v>
      </c>
      <c r="AI142" s="1608">
        <f t="shared" si="352"/>
        <v>0.23406763884579584</v>
      </c>
      <c r="AJ142" s="1608">
        <f t="shared" si="353"/>
        <v>0.24320764037543224</v>
      </c>
      <c r="AK142" s="1609">
        <f t="shared" si="354"/>
        <v>0.24762611275964391</v>
      </c>
      <c r="AL142" s="1607">
        <f t="shared" si="350"/>
        <v>0.12888515540621626</v>
      </c>
      <c r="AM142" s="1608">
        <f t="shared" si="351"/>
        <v>0.13393362490352456</v>
      </c>
      <c r="AN142" s="1608">
        <f t="shared" si="352"/>
        <v>0.13447098976109215</v>
      </c>
      <c r="AO142" s="1608">
        <f t="shared" si="353"/>
        <v>0.16812119216202864</v>
      </c>
      <c r="AP142" s="1609">
        <f t="shared" si="354"/>
        <v>0.18081107814045499</v>
      </c>
      <c r="AQ142" s="1607">
        <f t="shared" si="350"/>
        <v>1.6620664826593065E-2</v>
      </c>
      <c r="AR142" s="1608">
        <f t="shared" si="351"/>
        <v>1.1988680216104965E-2</v>
      </c>
      <c r="AS142" s="1608">
        <f t="shared" si="352"/>
        <v>1.0549177784672665E-2</v>
      </c>
      <c r="AT142" s="1608">
        <f t="shared" si="353"/>
        <v>0</v>
      </c>
      <c r="AU142" s="1609">
        <f t="shared" si="354"/>
        <v>1.2265084075173096E-2</v>
      </c>
      <c r="AV142" s="1607">
        <f t="shared" si="350"/>
        <v>9.5763830553222129E-2</v>
      </c>
      <c r="AW142" s="1608">
        <f t="shared" si="351"/>
        <v>8.2634422433753532E-2</v>
      </c>
      <c r="AX142" s="1608">
        <f t="shared" si="352"/>
        <v>9.9782811045609682E-2</v>
      </c>
      <c r="AY142" s="1608">
        <f t="shared" si="353"/>
        <v>9.116856029419837E-2</v>
      </c>
      <c r="AZ142" s="1609">
        <f t="shared" si="354"/>
        <v>7.9129574678536096E-2</v>
      </c>
      <c r="BA142" s="1607">
        <f t="shared" si="350"/>
        <v>0.26077043081723267</v>
      </c>
      <c r="BB142" s="1608">
        <f t="shared" si="351"/>
        <v>0.27579109853357348</v>
      </c>
      <c r="BC142" s="1608">
        <f t="shared" si="352"/>
        <v>0.26050263729444617</v>
      </c>
      <c r="BD142" s="1608">
        <f t="shared" si="353"/>
        <v>0.25023327295680331</v>
      </c>
      <c r="BE142" s="1609">
        <f t="shared" si="354"/>
        <v>0.22675568743818003</v>
      </c>
      <c r="BF142" s="1607">
        <f t="shared" si="350"/>
        <v>2.2200888035521421E-2</v>
      </c>
      <c r="BG142" s="1608">
        <f t="shared" si="351"/>
        <v>2.2999742732184202E-2</v>
      </c>
      <c r="BH142" s="1608">
        <f t="shared" si="352"/>
        <v>2.3642569035060502E-2</v>
      </c>
      <c r="BI142" s="1608">
        <f t="shared" si="353"/>
        <v>3.254843844338328E-2</v>
      </c>
      <c r="BJ142" s="1609">
        <f t="shared" si="354"/>
        <v>3.4421364985163204E-2</v>
      </c>
      <c r="BK142" s="1607">
        <f t="shared" si="350"/>
        <v>7.5303012120484819E-2</v>
      </c>
      <c r="BL142" s="1608">
        <f t="shared" si="351"/>
        <v>9.0815538976074098E-2</v>
      </c>
      <c r="BM142" s="1608">
        <f t="shared" si="352"/>
        <v>7.1920570896680108E-2</v>
      </c>
      <c r="BN142" s="1608">
        <f t="shared" si="353"/>
        <v>6.8499917668368188E-2</v>
      </c>
      <c r="BO142" s="1609">
        <f t="shared" si="354"/>
        <v>6.2413452027695354E-2</v>
      </c>
      <c r="BP142" s="1607">
        <f t="shared" si="350"/>
        <v>2.4000960038401537E-2</v>
      </c>
      <c r="BQ142" s="1608">
        <f t="shared" si="351"/>
        <v>2.4594803190120917E-2</v>
      </c>
      <c r="BR142" s="1608">
        <f t="shared" si="352"/>
        <v>2.2959975178405211E-2</v>
      </c>
      <c r="BS142" s="1608">
        <f t="shared" si="353"/>
        <v>2.7169438498271036E-2</v>
      </c>
      <c r="BT142" s="1609">
        <f t="shared" si="354"/>
        <v>2.6261127596439168E-2</v>
      </c>
      <c r="BU142" s="1607">
        <f t="shared" si="350"/>
        <v>1.7400696027841115E-2</v>
      </c>
      <c r="BV142" s="1608">
        <f t="shared" si="351"/>
        <v>1.1268330331875482E-2</v>
      </c>
      <c r="BW142" s="1608">
        <f t="shared" si="352"/>
        <v>2.811045609680422E-2</v>
      </c>
      <c r="BX142" s="1608">
        <f t="shared" si="353"/>
        <v>1.4435479444535925E-2</v>
      </c>
      <c r="BY142" s="1609">
        <f t="shared" si="354"/>
        <v>1.6419386745796242E-2</v>
      </c>
      <c r="BZ142" s="1610"/>
      <c r="CA142" s="1610"/>
      <c r="CB142" s="1610"/>
      <c r="CC142" s="1610"/>
      <c r="CD142" s="1610"/>
    </row>
    <row r="143" spans="1:132" ht="11.25" customHeight="1" x14ac:dyDescent="0.2">
      <c r="A143" s="142"/>
      <c r="B143" s="1685"/>
      <c r="C143" s="1685"/>
      <c r="D143" s="1685"/>
      <c r="E143" s="1685"/>
      <c r="F143" s="1685"/>
      <c r="G143" s="1685"/>
      <c r="H143" s="1685"/>
      <c r="I143" s="1685"/>
      <c r="J143" s="12"/>
      <c r="K143" s="9"/>
      <c r="L143" s="9"/>
      <c r="M143" s="9"/>
      <c r="N143" s="9"/>
      <c r="O143" s="9"/>
      <c r="P143" s="9"/>
      <c r="Q143" s="9"/>
      <c r="R143" s="9"/>
      <c r="S143" s="9"/>
      <c r="T143" s="9"/>
      <c r="U143" s="9"/>
      <c r="V143" s="9"/>
      <c r="W143" s="58"/>
      <c r="X143" s="58"/>
      <c r="Y143" s="65"/>
      <c r="Z143" s="137"/>
      <c r="AA143" s="150"/>
      <c r="AB143" s="1607">
        <f t="shared" si="394"/>
        <v>0.10380912515696944</v>
      </c>
      <c r="AC143" s="1608">
        <f t="shared" si="395"/>
        <v>9.337925755836203E-2</v>
      </c>
      <c r="AD143" s="1608">
        <f t="shared" si="396"/>
        <v>9.7197106690777579E-2</v>
      </c>
      <c r="AE143" s="1608">
        <f t="shared" si="397"/>
        <v>7.4387151310228231E-2</v>
      </c>
      <c r="AF143" s="1609">
        <f t="shared" si="398"/>
        <v>0.11535580524344569</v>
      </c>
      <c r="AG143" s="1607">
        <f t="shared" si="350"/>
        <v>0.28128924236082042</v>
      </c>
      <c r="AH143" s="1608">
        <f t="shared" si="351"/>
        <v>0.26061997703788747</v>
      </c>
      <c r="AI143" s="1608">
        <f t="shared" si="352"/>
        <v>0.30153707052441231</v>
      </c>
      <c r="AJ143" s="1608">
        <f t="shared" si="353"/>
        <v>0.28698224852071008</v>
      </c>
      <c r="AK143" s="1609">
        <f t="shared" si="354"/>
        <v>0.2689138576779026</v>
      </c>
      <c r="AL143" s="1607">
        <f t="shared" si="350"/>
        <v>0.11636668061950607</v>
      </c>
      <c r="AM143" s="1608">
        <f t="shared" si="351"/>
        <v>0.11748947569843092</v>
      </c>
      <c r="AN143" s="1608">
        <f t="shared" si="352"/>
        <v>0.12793851717902352</v>
      </c>
      <c r="AO143" s="1608">
        <f t="shared" si="353"/>
        <v>0.13017751479289941</v>
      </c>
      <c r="AP143" s="1609">
        <f t="shared" si="354"/>
        <v>0.13745318352059926</v>
      </c>
      <c r="AQ143" s="1607">
        <f t="shared" si="350"/>
        <v>5.4416073670992045E-3</v>
      </c>
      <c r="AR143" s="1608">
        <f t="shared" si="351"/>
        <v>1.5690776884806735E-2</v>
      </c>
      <c r="AS143" s="1608">
        <f t="shared" si="352"/>
        <v>1.4918625678119348E-2</v>
      </c>
      <c r="AT143" s="1608">
        <f t="shared" si="353"/>
        <v>0</v>
      </c>
      <c r="AU143" s="1609">
        <f t="shared" si="354"/>
        <v>1.5355805243445693E-2</v>
      </c>
      <c r="AV143" s="1607">
        <f t="shared" si="350"/>
        <v>8.9577228966094602E-2</v>
      </c>
      <c r="AW143" s="1608">
        <f t="shared" si="351"/>
        <v>8.8404133180252586E-2</v>
      </c>
      <c r="AX143" s="1608">
        <f t="shared" si="352"/>
        <v>0.11980108499095841</v>
      </c>
      <c r="AY143" s="1608">
        <f t="shared" si="353"/>
        <v>9.5942519019442091E-2</v>
      </c>
      <c r="AZ143" s="1609">
        <f t="shared" si="354"/>
        <v>9.4756554307116103E-2</v>
      </c>
      <c r="BA143" s="1607">
        <f t="shared" si="350"/>
        <v>0.25366262034323983</v>
      </c>
      <c r="BB143" s="1608">
        <f t="shared" si="351"/>
        <v>0.29314963643321851</v>
      </c>
      <c r="BC143" s="1608">
        <f t="shared" si="352"/>
        <v>0.21609403254972875</v>
      </c>
      <c r="BD143" s="1608">
        <f t="shared" si="353"/>
        <v>0.23457311918850379</v>
      </c>
      <c r="BE143" s="1609">
        <f t="shared" si="354"/>
        <v>0.19438202247191011</v>
      </c>
      <c r="BF143" s="1607">
        <f t="shared" si="350"/>
        <v>2.2185014650481373E-2</v>
      </c>
      <c r="BG143" s="1608">
        <f t="shared" si="351"/>
        <v>1.2629161882893225E-2</v>
      </c>
      <c r="BH143" s="1608">
        <f t="shared" si="352"/>
        <v>1.763110307414105E-2</v>
      </c>
      <c r="BI143" s="1608">
        <f t="shared" si="353"/>
        <v>2.4936601859678782E-2</v>
      </c>
      <c r="BJ143" s="1609">
        <f t="shared" si="354"/>
        <v>2.6217228464419477E-2</v>
      </c>
      <c r="BK143" s="1607">
        <f t="shared" si="350"/>
        <v>0.10087902888237757</v>
      </c>
      <c r="BL143" s="1608">
        <f t="shared" si="351"/>
        <v>0.10026789131266743</v>
      </c>
      <c r="BM143" s="1608">
        <f t="shared" si="352"/>
        <v>7.640144665461121E-2</v>
      </c>
      <c r="BN143" s="1608">
        <f t="shared" si="353"/>
        <v>0.12721893491124261</v>
      </c>
      <c r="BO143" s="1609">
        <f t="shared" si="354"/>
        <v>0.1295880149812734</v>
      </c>
      <c r="BP143" s="1607">
        <f t="shared" si="350"/>
        <v>2.678945165341147E-2</v>
      </c>
      <c r="BQ143" s="1608">
        <f t="shared" si="351"/>
        <v>1.8369690011481057E-2</v>
      </c>
      <c r="BR143" s="1608">
        <f t="shared" si="352"/>
        <v>0</v>
      </c>
      <c r="BS143" s="1608">
        <f t="shared" si="353"/>
        <v>0</v>
      </c>
      <c r="BT143" s="1609">
        <f t="shared" si="354"/>
        <v>0</v>
      </c>
      <c r="BU143" s="1607">
        <f t="shared" si="350"/>
        <v>0</v>
      </c>
      <c r="BV143" s="1608">
        <f t="shared" si="351"/>
        <v>0</v>
      </c>
      <c r="BW143" s="1608">
        <f t="shared" si="352"/>
        <v>2.8481012658227847E-2</v>
      </c>
      <c r="BX143" s="1608">
        <f t="shared" si="353"/>
        <v>2.5781910397295011E-2</v>
      </c>
      <c r="BY143" s="1609">
        <f t="shared" si="354"/>
        <v>1.7977528089887642E-2</v>
      </c>
      <c r="BZ143" s="1610"/>
      <c r="CA143" s="1610"/>
      <c r="CB143" s="1610"/>
      <c r="CC143" s="1610"/>
      <c r="CD143" s="1610"/>
    </row>
    <row r="144" spans="1:132" ht="11.25" customHeight="1" x14ac:dyDescent="0.2">
      <c r="A144" s="142"/>
      <c r="B144" s="1680" t="s">
        <v>800</v>
      </c>
      <c r="C144" s="1680"/>
      <c r="D144" s="1680"/>
      <c r="E144" s="1680"/>
      <c r="F144" s="1680"/>
      <c r="G144" s="1680"/>
      <c r="H144" s="1680"/>
      <c r="I144" s="1680"/>
      <c r="J144" s="12"/>
      <c r="K144" s="9"/>
      <c r="L144" s="9"/>
      <c r="M144" s="9"/>
      <c r="N144" s="9"/>
      <c r="O144" s="9"/>
      <c r="P144" s="9"/>
      <c r="Q144" s="9"/>
      <c r="R144" s="9"/>
      <c r="S144" s="9"/>
      <c r="T144" s="9"/>
      <c r="U144" s="9"/>
      <c r="V144" s="9"/>
      <c r="W144" s="58"/>
      <c r="X144" s="58"/>
      <c r="Y144" s="65"/>
      <c r="Z144" s="137"/>
      <c r="AA144" s="150"/>
      <c r="AB144" s="1607">
        <f t="shared" si="394"/>
        <v>0.10278972754530048</v>
      </c>
      <c r="AC144" s="1608">
        <f t="shared" si="395"/>
        <v>0.10098070230939576</v>
      </c>
      <c r="AD144" s="1608">
        <f t="shared" si="396"/>
        <v>0.11190832602075053</v>
      </c>
      <c r="AE144" s="1608">
        <f t="shared" si="397"/>
        <v>8.5379861073128047E-2</v>
      </c>
      <c r="AF144" s="1609">
        <f t="shared" si="398"/>
        <v>7.5350127522484225E-2</v>
      </c>
      <c r="AG144" s="1607">
        <f t="shared" si="350"/>
        <v>0.18465649850084734</v>
      </c>
      <c r="AH144" s="1608">
        <f t="shared" si="351"/>
        <v>0.17494463777285668</v>
      </c>
      <c r="AI144" s="1608">
        <f t="shared" si="352"/>
        <v>0.17059825530377329</v>
      </c>
      <c r="AJ144" s="1608">
        <f t="shared" si="353"/>
        <v>0.18082371602034678</v>
      </c>
      <c r="AK144" s="1609">
        <f t="shared" si="354"/>
        <v>0.19589243366593584</v>
      </c>
      <c r="AL144" s="1607">
        <f t="shared" si="350"/>
        <v>0.138704210663538</v>
      </c>
      <c r="AM144" s="1608">
        <f t="shared" si="351"/>
        <v>0.12261942423283771</v>
      </c>
      <c r="AN144" s="1608">
        <f t="shared" si="352"/>
        <v>0.12259329995354359</v>
      </c>
      <c r="AO144" s="1608">
        <f t="shared" si="353"/>
        <v>0.12722200951703769</v>
      </c>
      <c r="AP144" s="1609">
        <f t="shared" si="354"/>
        <v>0.1321759362835026</v>
      </c>
      <c r="AQ144" s="1607">
        <f t="shared" si="350"/>
        <v>2.5746317298918003E-2</v>
      </c>
      <c r="AR144" s="1608">
        <f t="shared" si="351"/>
        <v>2.3157228725086999E-2</v>
      </c>
      <c r="AS144" s="1608">
        <f t="shared" si="352"/>
        <v>2.0957002013111032E-2</v>
      </c>
      <c r="AT144" s="1608">
        <f t="shared" si="353"/>
        <v>1.9854509653776733E-2</v>
      </c>
      <c r="AU144" s="1609">
        <f t="shared" si="354"/>
        <v>2.0090384357241933E-2</v>
      </c>
      <c r="AV144" s="1607">
        <f t="shared" si="350"/>
        <v>0.10885151870681789</v>
      </c>
      <c r="AW144" s="1608">
        <f t="shared" si="351"/>
        <v>0.1250237266687757</v>
      </c>
      <c r="AX144" s="1608">
        <f t="shared" si="352"/>
        <v>0.11345687296753214</v>
      </c>
      <c r="AY144" s="1608">
        <f t="shared" si="353"/>
        <v>0.12476070666739594</v>
      </c>
      <c r="AZ144" s="1609">
        <f t="shared" si="354"/>
        <v>0.12107924291914628</v>
      </c>
      <c r="BA144" s="1607">
        <f t="shared" si="350"/>
        <v>0.25329161778125409</v>
      </c>
      <c r="BB144" s="1608">
        <f t="shared" si="351"/>
        <v>0.28522619424232837</v>
      </c>
      <c r="BC144" s="1608">
        <f t="shared" si="352"/>
        <v>0.3445516956589067</v>
      </c>
      <c r="BD144" s="1608">
        <f t="shared" si="353"/>
        <v>0.34403544276103482</v>
      </c>
      <c r="BE144" s="1609">
        <f t="shared" si="354"/>
        <v>0.33245335361761152</v>
      </c>
      <c r="BF144" s="1607">
        <f t="shared" si="350"/>
        <v>8.6103506713596664E-2</v>
      </c>
      <c r="BG144" s="1608">
        <f t="shared" si="351"/>
        <v>4.6504270800379624E-2</v>
      </c>
      <c r="BH144" s="1608">
        <f t="shared" si="352"/>
        <v>3.7113508491199092E-2</v>
      </c>
      <c r="BI144" s="1608">
        <f t="shared" si="353"/>
        <v>4.8350927090740028E-2</v>
      </c>
      <c r="BJ144" s="1609">
        <f t="shared" si="354"/>
        <v>5.4946530046087072E-2</v>
      </c>
      <c r="BK144" s="1607">
        <f t="shared" si="350"/>
        <v>8.1084604354060744E-2</v>
      </c>
      <c r="BL144" s="1608">
        <f t="shared" si="351"/>
        <v>9.8892755457133816E-2</v>
      </c>
      <c r="BM144" s="1608">
        <f t="shared" si="352"/>
        <v>5.4199143137356111E-2</v>
      </c>
      <c r="BN144" s="1608">
        <f t="shared" si="353"/>
        <v>3.8177541978887494E-2</v>
      </c>
      <c r="BO144" s="1609">
        <f t="shared" si="354"/>
        <v>3.1902993422524499E-2</v>
      </c>
      <c r="BP144" s="1607">
        <f t="shared" si="350"/>
        <v>1.4991526528483901E-2</v>
      </c>
      <c r="BQ144" s="1608">
        <f t="shared" si="351"/>
        <v>1.8601708320151851E-2</v>
      </c>
      <c r="BR144" s="1608">
        <f t="shared" si="352"/>
        <v>2.1318329634026738E-2</v>
      </c>
      <c r="BS144" s="1608">
        <f t="shared" si="353"/>
        <v>2.0510857080347864E-2</v>
      </c>
      <c r="BT144" s="1609">
        <f t="shared" si="354"/>
        <v>1.4094590361984877E-2</v>
      </c>
      <c r="BU144" s="1607">
        <f t="shared" si="350"/>
        <v>3.7804719071828966E-3</v>
      </c>
      <c r="BV144" s="1608">
        <f t="shared" si="351"/>
        <v>4.0493514710534641E-3</v>
      </c>
      <c r="BW144" s="1608">
        <f t="shared" si="352"/>
        <v>3.3035668198007537E-3</v>
      </c>
      <c r="BX144" s="1608">
        <f t="shared" si="353"/>
        <v>1.08844281573046E-2</v>
      </c>
      <c r="BY144" s="1609">
        <f t="shared" si="354"/>
        <v>2.2014407803481139E-2</v>
      </c>
      <c r="BZ144" s="1605"/>
      <c r="CA144" s="1605"/>
      <c r="CB144" s="1605"/>
      <c r="CC144" s="1605"/>
      <c r="CD144" s="1605"/>
    </row>
    <row r="145" spans="1:82" ht="11.25" customHeight="1" x14ac:dyDescent="0.2">
      <c r="A145" s="142"/>
      <c r="B145" s="1680"/>
      <c r="C145" s="1680"/>
      <c r="D145" s="1680"/>
      <c r="E145" s="1680"/>
      <c r="F145" s="1680"/>
      <c r="G145" s="1680"/>
      <c r="H145" s="1680"/>
      <c r="I145" s="1680"/>
      <c r="J145" s="12"/>
      <c r="K145" s="9"/>
      <c r="L145" s="9"/>
      <c r="M145" s="9"/>
      <c r="N145" s="9"/>
      <c r="O145" s="9"/>
      <c r="P145" s="9"/>
      <c r="Q145" s="9"/>
      <c r="R145" s="9"/>
      <c r="S145" s="9"/>
      <c r="T145" s="9"/>
      <c r="U145" s="9"/>
      <c r="V145" s="9"/>
      <c r="W145" s="58"/>
      <c r="X145" s="58"/>
      <c r="Y145" s="65"/>
      <c r="Z145" s="137"/>
      <c r="AA145" s="150"/>
      <c r="AB145" s="1607">
        <f t="shared" si="394"/>
        <v>0.11134204275534441</v>
      </c>
      <c r="AC145" s="1608">
        <f t="shared" si="395"/>
        <v>0.12554904831625183</v>
      </c>
      <c r="AD145" s="1608">
        <f t="shared" si="396"/>
        <v>9.4563552833078102E-2</v>
      </c>
      <c r="AE145" s="1608">
        <f t="shared" si="397"/>
        <v>0.1031055900621118</v>
      </c>
      <c r="AF145" s="1609">
        <f t="shared" si="398"/>
        <v>9.0538336052202281E-2</v>
      </c>
      <c r="AG145" s="1607">
        <f t="shared" si="350"/>
        <v>0.26870546318289784</v>
      </c>
      <c r="AH145" s="1608">
        <f t="shared" si="351"/>
        <v>0.21888726207906295</v>
      </c>
      <c r="AI145" s="1608">
        <f t="shared" si="352"/>
        <v>0.21209800918836141</v>
      </c>
      <c r="AJ145" s="1608">
        <f t="shared" si="353"/>
        <v>0.21639751552795031</v>
      </c>
      <c r="AK145" s="1609">
        <f t="shared" si="354"/>
        <v>0.24123164763458402</v>
      </c>
      <c r="AL145" s="1607">
        <f t="shared" si="350"/>
        <v>0.10391923990498812</v>
      </c>
      <c r="AM145" s="1608">
        <f t="shared" si="351"/>
        <v>9.1508052708638363E-2</v>
      </c>
      <c r="AN145" s="1608">
        <f t="shared" si="352"/>
        <v>0.12098009188361408</v>
      </c>
      <c r="AO145" s="1608">
        <f t="shared" si="353"/>
        <v>8.9192546583850937E-2</v>
      </c>
      <c r="AP145" s="1609">
        <f t="shared" si="354"/>
        <v>9.2577487765089728E-2</v>
      </c>
      <c r="AQ145" s="1607">
        <f t="shared" si="350"/>
        <v>3.0285035629453682E-2</v>
      </c>
      <c r="AR145" s="1608">
        <f t="shared" si="351"/>
        <v>2.964860907759883E-2</v>
      </c>
      <c r="AS145" s="1608">
        <f t="shared" si="352"/>
        <v>2.4502297090352222E-2</v>
      </c>
      <c r="AT145" s="1608">
        <f t="shared" si="353"/>
        <v>1.6645962732919253E-2</v>
      </c>
      <c r="AU145" s="1609">
        <f t="shared" si="354"/>
        <v>1.5293637846655791E-2</v>
      </c>
      <c r="AV145" s="1607">
        <f t="shared" si="350"/>
        <v>0.15290973871733968</v>
      </c>
      <c r="AW145" s="1608">
        <f t="shared" si="351"/>
        <v>0.14421669106881405</v>
      </c>
      <c r="AX145" s="1608">
        <f t="shared" si="352"/>
        <v>0.13361408882082695</v>
      </c>
      <c r="AY145" s="1608">
        <f t="shared" si="353"/>
        <v>0.12571428571428572</v>
      </c>
      <c r="AZ145" s="1609">
        <f t="shared" si="354"/>
        <v>0.12663132137030994</v>
      </c>
      <c r="BA145" s="1607">
        <f t="shared" si="350"/>
        <v>0.21318289786223277</v>
      </c>
      <c r="BB145" s="1608">
        <f t="shared" si="351"/>
        <v>0.28184480234260617</v>
      </c>
      <c r="BC145" s="1608">
        <f t="shared" si="352"/>
        <v>0.31278713629402755</v>
      </c>
      <c r="BD145" s="1608">
        <f t="shared" si="353"/>
        <v>0.33316770186335404</v>
      </c>
      <c r="BE145" s="1609">
        <f t="shared" si="354"/>
        <v>0.34665579119086459</v>
      </c>
      <c r="BF145" s="1607">
        <f t="shared" si="350"/>
        <v>4.2161520190023755E-2</v>
      </c>
      <c r="BG145" s="1608">
        <f t="shared" si="351"/>
        <v>3.2576866764275257E-2</v>
      </c>
      <c r="BH145" s="1608">
        <f t="shared" si="352"/>
        <v>2.9096477794793262E-2</v>
      </c>
      <c r="BI145" s="1608">
        <f t="shared" si="353"/>
        <v>3.354037267080745E-2</v>
      </c>
      <c r="BJ145" s="1609">
        <f t="shared" si="354"/>
        <v>2.6508972267536703E-2</v>
      </c>
      <c r="BK145" s="1607">
        <f t="shared" si="350"/>
        <v>4.453681710213777E-2</v>
      </c>
      <c r="BL145" s="1608">
        <f t="shared" si="351"/>
        <v>3.9165446559297219E-2</v>
      </c>
      <c r="BM145" s="1608">
        <f t="shared" si="352"/>
        <v>3.1010719754977028E-2</v>
      </c>
      <c r="BN145" s="1608">
        <f t="shared" si="353"/>
        <v>4.0496894409937888E-2</v>
      </c>
      <c r="BO145" s="1609">
        <f t="shared" si="354"/>
        <v>4.057911908646003E-2</v>
      </c>
      <c r="BP145" s="1607">
        <f t="shared" si="350"/>
        <v>2.8503562945368172E-2</v>
      </c>
      <c r="BQ145" s="1608">
        <f t="shared" si="351"/>
        <v>3.6603221083455345E-2</v>
      </c>
      <c r="BR145" s="1608">
        <f t="shared" si="352"/>
        <v>3.1776416539050535E-2</v>
      </c>
      <c r="BS145" s="1608">
        <f t="shared" si="353"/>
        <v>2.2111801242236023E-2</v>
      </c>
      <c r="BT145" s="1609">
        <f t="shared" si="354"/>
        <v>1.7740619902120718E-2</v>
      </c>
      <c r="BU145" s="1607">
        <f t="shared" si="350"/>
        <v>4.4536817102137768E-3</v>
      </c>
      <c r="BV145" s="1608">
        <f t="shared" si="351"/>
        <v>0</v>
      </c>
      <c r="BW145" s="1608">
        <f t="shared" si="352"/>
        <v>9.5712098009188354E-3</v>
      </c>
      <c r="BX145" s="1608">
        <f t="shared" si="353"/>
        <v>1.9627329192546585E-2</v>
      </c>
      <c r="BY145" s="1609">
        <f t="shared" si="354"/>
        <v>2.2430668841761825E-3</v>
      </c>
      <c r="BZ145" s="1610"/>
      <c r="CA145" s="1610"/>
      <c r="CB145" s="1610"/>
      <c r="CC145" s="1610"/>
      <c r="CD145" s="1610"/>
    </row>
    <row r="146" spans="1:82" s="76" customFormat="1" ht="11.25" hidden="1" customHeight="1" x14ac:dyDescent="0.2">
      <c r="A146" s="142"/>
      <c r="B146" s="1680" t="s">
        <v>81</v>
      </c>
      <c r="C146" s="1680"/>
      <c r="D146" s="1680"/>
      <c r="E146" s="1680"/>
      <c r="F146" s="1680"/>
      <c r="G146" s="1680"/>
      <c r="H146" s="1680"/>
      <c r="I146" s="1680"/>
      <c r="J146" s="14"/>
      <c r="K146" s="14"/>
      <c r="L146" s="14"/>
      <c r="M146" s="14"/>
      <c r="N146" s="14"/>
      <c r="O146" s="14"/>
      <c r="P146" s="14"/>
      <c r="Q146" s="14"/>
      <c r="R146" s="14"/>
      <c r="S146" s="14"/>
      <c r="T146" s="14"/>
      <c r="U146" s="14"/>
      <c r="V146" s="14"/>
      <c r="W146" s="62"/>
      <c r="X146" s="62"/>
      <c r="Y146" s="65"/>
      <c r="Z146" s="140"/>
      <c r="AA146" s="154"/>
      <c r="AB146" s="1607">
        <f t="shared" si="394"/>
        <v>8.0692704495210016E-2</v>
      </c>
      <c r="AC146" s="1608">
        <f t="shared" si="395"/>
        <v>8.3633978353558541E-2</v>
      </c>
      <c r="AD146" s="1608">
        <f t="shared" si="396"/>
        <v>9.1609589041095896E-2</v>
      </c>
      <c r="AE146" s="1608">
        <f t="shared" si="397"/>
        <v>0.10720956294359357</v>
      </c>
      <c r="AF146" s="1609">
        <f t="shared" si="398"/>
        <v>8.9967637540453074E-2</v>
      </c>
      <c r="AG146" s="1607">
        <f t="shared" si="350"/>
        <v>0.25386882829771557</v>
      </c>
      <c r="AH146" s="1608">
        <f t="shared" si="351"/>
        <v>0.27025254181698916</v>
      </c>
      <c r="AI146" s="1608">
        <f t="shared" si="352"/>
        <v>0.20034246575342465</v>
      </c>
      <c r="AJ146" s="1608">
        <f t="shared" si="353"/>
        <v>0.21180425849831902</v>
      </c>
      <c r="AK146" s="1609">
        <f t="shared" si="354"/>
        <v>0.21715210355987055</v>
      </c>
      <c r="AL146" s="1607">
        <f t="shared" si="350"/>
        <v>9.9484156226971265E-2</v>
      </c>
      <c r="AM146" s="1608">
        <f t="shared" si="351"/>
        <v>0.10856018366677599</v>
      </c>
      <c r="AN146" s="1608">
        <f t="shared" si="352"/>
        <v>0.12756849315068494</v>
      </c>
      <c r="AO146" s="1608">
        <f t="shared" si="353"/>
        <v>0.12401942472917445</v>
      </c>
      <c r="AP146" s="1609">
        <f t="shared" si="354"/>
        <v>0.15275080906148866</v>
      </c>
      <c r="AQ146" s="1607" t="e">
        <f t="shared" si="350"/>
        <v>#N/A</v>
      </c>
      <c r="AR146" s="1608" t="e">
        <f t="shared" si="351"/>
        <v>#N/A</v>
      </c>
      <c r="AS146" s="1608" t="e">
        <f t="shared" si="352"/>
        <v>#N/A</v>
      </c>
      <c r="AT146" s="1608">
        <f t="shared" si="353"/>
        <v>1.6062756817332834E-2</v>
      </c>
      <c r="AU146" s="1609">
        <f t="shared" si="354"/>
        <v>1.1326860841423949E-2</v>
      </c>
      <c r="AV146" s="1607">
        <f t="shared" si="350"/>
        <v>0.17022844509948415</v>
      </c>
      <c r="AW146" s="1608">
        <f t="shared" si="351"/>
        <v>0.17349950803542144</v>
      </c>
      <c r="AX146" s="1608">
        <f t="shared" si="352"/>
        <v>0.1738013698630137</v>
      </c>
      <c r="AY146" s="1608">
        <f t="shared" si="353"/>
        <v>0.15614493836384011</v>
      </c>
      <c r="AZ146" s="1609">
        <f t="shared" si="354"/>
        <v>0.12686084142394821</v>
      </c>
      <c r="BA146" s="1607">
        <f t="shared" si="350"/>
        <v>0.26455416359616801</v>
      </c>
      <c r="BB146" s="1608">
        <f t="shared" si="351"/>
        <v>0.25746146277468024</v>
      </c>
      <c r="BC146" s="1608">
        <f t="shared" si="352"/>
        <v>0.2851027397260274</v>
      </c>
      <c r="BD146" s="1608">
        <f t="shared" si="353"/>
        <v>0.28165857302951064</v>
      </c>
      <c r="BE146" s="1609">
        <f t="shared" si="354"/>
        <v>0.30776699029126214</v>
      </c>
      <c r="BF146" s="1607">
        <f t="shared" si="350"/>
        <v>5.8953574060427415E-2</v>
      </c>
      <c r="BG146" s="1608">
        <f t="shared" si="351"/>
        <v>2.2958346999016072E-2</v>
      </c>
      <c r="BH146" s="1608">
        <f t="shared" si="352"/>
        <v>6.0359589041095889E-2</v>
      </c>
      <c r="BI146" s="1608">
        <f t="shared" si="353"/>
        <v>3.9970115801270079E-2</v>
      </c>
      <c r="BJ146" s="1609">
        <f t="shared" si="354"/>
        <v>3.5922330097087375E-2</v>
      </c>
      <c r="BK146" s="1607">
        <f t="shared" si="350"/>
        <v>4.5320560058953574E-2</v>
      </c>
      <c r="BL146" s="1608">
        <f t="shared" si="351"/>
        <v>5.4116103640537878E-2</v>
      </c>
      <c r="BM146" s="1608">
        <f t="shared" si="352"/>
        <v>4.0667808219178085E-2</v>
      </c>
      <c r="BN146" s="1608">
        <f t="shared" si="353"/>
        <v>3.9596563317146061E-2</v>
      </c>
      <c r="BO146" s="1609">
        <f t="shared" si="354"/>
        <v>3.6569579288025893E-2</v>
      </c>
      <c r="BP146" s="1607">
        <f t="shared" si="350"/>
        <v>2.6897568165070006E-2</v>
      </c>
      <c r="BQ146" s="1608">
        <f t="shared" si="351"/>
        <v>2.9517874713020663E-2</v>
      </c>
      <c r="BR146" s="1608">
        <f t="shared" si="352"/>
        <v>2.0547945205479451E-2</v>
      </c>
      <c r="BS146" s="1608">
        <f t="shared" si="353"/>
        <v>2.3533806499813223E-2</v>
      </c>
      <c r="BT146" s="1609">
        <f t="shared" si="354"/>
        <v>1.9093851132686083E-2</v>
      </c>
      <c r="BU146" s="1607" t="e">
        <f t="shared" si="350"/>
        <v>#N/A</v>
      </c>
      <c r="BV146" s="1608" t="e">
        <f t="shared" si="351"/>
        <v>#N/A</v>
      </c>
      <c r="BW146" s="1608" t="e">
        <f t="shared" si="352"/>
        <v>#N/A</v>
      </c>
      <c r="BX146" s="1608">
        <f t="shared" si="353"/>
        <v>0</v>
      </c>
      <c r="BY146" s="1609">
        <f t="shared" si="354"/>
        <v>2.5889967637540453E-3</v>
      </c>
      <c r="BZ146" s="1610"/>
      <c r="CA146" s="1610"/>
      <c r="CB146" s="1610"/>
      <c r="CC146" s="1610"/>
      <c r="CD146" s="1610"/>
    </row>
    <row r="147" spans="1:82" ht="11.25" hidden="1" customHeight="1" x14ac:dyDescent="0.2">
      <c r="A147" s="142"/>
      <c r="B147" s="1680"/>
      <c r="C147" s="1680"/>
      <c r="D147" s="1680"/>
      <c r="E147" s="1680"/>
      <c r="F147" s="1680"/>
      <c r="G147" s="1680"/>
      <c r="H147" s="1680"/>
      <c r="I147" s="1680"/>
      <c r="J147" s="12"/>
      <c r="K147" s="9"/>
      <c r="L147" s="9"/>
      <c r="M147" s="9"/>
      <c r="N147" s="9"/>
      <c r="O147" s="9"/>
      <c r="P147" s="9"/>
      <c r="Q147" s="9"/>
      <c r="R147" s="9"/>
      <c r="S147" s="9"/>
      <c r="T147" s="9"/>
      <c r="U147" s="9"/>
      <c r="V147" s="9"/>
      <c r="W147" s="58"/>
      <c r="X147" s="58"/>
      <c r="Y147" s="65"/>
      <c r="Z147" s="137"/>
      <c r="AA147" s="150"/>
      <c r="AB147" s="1607">
        <f t="shared" si="394"/>
        <v>7.2592592592592597E-2</v>
      </c>
      <c r="AC147" s="1608">
        <f t="shared" si="395"/>
        <v>7.5856212850268889E-2</v>
      </c>
      <c r="AD147" s="1608">
        <f t="shared" si="396"/>
        <v>5.6207807455239213E-2</v>
      </c>
      <c r="AE147" s="1608">
        <f t="shared" si="397"/>
        <v>5.7825637999704971E-2</v>
      </c>
      <c r="AF147" s="1609">
        <f t="shared" si="398"/>
        <v>7.2647294054918682E-2</v>
      </c>
      <c r="AG147" s="1607">
        <f t="shared" si="350"/>
        <v>0.19051851851851853</v>
      </c>
      <c r="AH147" s="1608">
        <f t="shared" si="351"/>
        <v>0.21539767902632323</v>
      </c>
      <c r="AI147" s="1608">
        <f t="shared" si="352"/>
        <v>0.13149398297622542</v>
      </c>
      <c r="AJ147" s="1608">
        <f t="shared" si="353"/>
        <v>0.2093229089836259</v>
      </c>
      <c r="AK147" s="1609">
        <f t="shared" si="354"/>
        <v>0.22034124233537725</v>
      </c>
      <c r="AL147" s="1607">
        <f t="shared" si="350"/>
        <v>0.15333333333333332</v>
      </c>
      <c r="AM147" s="1608">
        <f t="shared" si="351"/>
        <v>0.15454288140390604</v>
      </c>
      <c r="AN147" s="1608">
        <f t="shared" si="352"/>
        <v>9.1135896683299092E-2</v>
      </c>
      <c r="AO147" s="1608">
        <f t="shared" si="353"/>
        <v>9.1901460392388251E-2</v>
      </c>
      <c r="AP147" s="1609">
        <f t="shared" si="354"/>
        <v>0.13129832044788056</v>
      </c>
      <c r="AQ147" s="1607">
        <f t="shared" si="350"/>
        <v>1.3185185185185185E-2</v>
      </c>
      <c r="AR147" s="1608">
        <f t="shared" si="351"/>
        <v>1.0331163317294084E-2</v>
      </c>
      <c r="AS147" s="1608">
        <f t="shared" si="352"/>
        <v>5.1364837100088051E-3</v>
      </c>
      <c r="AT147" s="1608">
        <f t="shared" si="353"/>
        <v>7.8182622805723564E-3</v>
      </c>
      <c r="AU147" s="1609">
        <f t="shared" si="354"/>
        <v>4.6654225539856037E-3</v>
      </c>
      <c r="AV147" s="1607">
        <f t="shared" si="350"/>
        <v>9.7037037037037033E-2</v>
      </c>
      <c r="AW147" s="1608">
        <f t="shared" si="351"/>
        <v>0.10217945089159354</v>
      </c>
      <c r="AX147" s="1608">
        <f t="shared" si="352"/>
        <v>7.2204285294980922E-2</v>
      </c>
      <c r="AY147" s="1608">
        <f t="shared" si="353"/>
        <v>4.8827260657914144E-2</v>
      </c>
      <c r="AZ147" s="1609">
        <f t="shared" si="354"/>
        <v>0.1851506264996001</v>
      </c>
      <c r="BA147" s="1607">
        <f t="shared" si="350"/>
        <v>0.34414814814814815</v>
      </c>
      <c r="BB147" s="1608">
        <f t="shared" si="351"/>
        <v>0.33753184262666291</v>
      </c>
      <c r="BC147" s="1608">
        <f t="shared" si="352"/>
        <v>0.2932198415027884</v>
      </c>
      <c r="BD147" s="1608">
        <f t="shared" si="353"/>
        <v>0.30682991591680187</v>
      </c>
      <c r="BE147" s="1609">
        <f t="shared" si="354"/>
        <v>0.2984537456678219</v>
      </c>
      <c r="BF147" s="1607">
        <f t="shared" si="350"/>
        <v>1.8962962962962963E-2</v>
      </c>
      <c r="BG147" s="1608">
        <f t="shared" si="351"/>
        <v>2.1228417775261816E-2</v>
      </c>
      <c r="BH147" s="1608">
        <f t="shared" si="352"/>
        <v>1.1740534194305841E-2</v>
      </c>
      <c r="BI147" s="1608">
        <f t="shared" si="353"/>
        <v>1.0768549933618528E-2</v>
      </c>
      <c r="BJ147" s="1609">
        <f t="shared" si="354"/>
        <v>2.7859237536656891E-2</v>
      </c>
      <c r="BK147" s="1607">
        <f t="shared" si="350"/>
        <v>5.4962962962962963E-2</v>
      </c>
      <c r="BL147" s="1608">
        <f t="shared" si="351"/>
        <v>5.2504953297480894E-2</v>
      </c>
      <c r="BM147" s="1608">
        <f t="shared" si="352"/>
        <v>0.25741121221015556</v>
      </c>
      <c r="BN147" s="1608">
        <f t="shared" si="353"/>
        <v>0.14382652308600088</v>
      </c>
      <c r="BO147" s="1609">
        <f t="shared" si="354"/>
        <v>4.305518528392429E-2</v>
      </c>
      <c r="BP147" s="1607">
        <f t="shared" si="350"/>
        <v>2.9333333333333333E-2</v>
      </c>
      <c r="BQ147" s="1608">
        <f t="shared" si="351"/>
        <v>2.7172374752335127E-2</v>
      </c>
      <c r="BR147" s="1608">
        <f t="shared" si="352"/>
        <v>1.8784854710889344E-2</v>
      </c>
      <c r="BS147" s="1608">
        <f t="shared" si="353"/>
        <v>1.0326006785661602E-2</v>
      </c>
      <c r="BT147" s="1609">
        <f t="shared" si="354"/>
        <v>1.1996800853105838E-2</v>
      </c>
      <c r="BU147" s="1607">
        <f t="shared" si="350"/>
        <v>2.5925925925925925E-2</v>
      </c>
      <c r="BV147" s="1608">
        <f t="shared" si="351"/>
        <v>3.2550240588734786E-3</v>
      </c>
      <c r="BW147" s="1608">
        <f t="shared" si="352"/>
        <v>6.266510126210742E-2</v>
      </c>
      <c r="BX147" s="1608">
        <f t="shared" si="353"/>
        <v>0.11255347396371146</v>
      </c>
      <c r="BY147" s="1609">
        <f t="shared" si="354"/>
        <v>4.5321247667288725E-3</v>
      </c>
      <c r="BZ147" s="1610"/>
      <c r="CA147" s="1610"/>
      <c r="CB147" s="1610"/>
      <c r="CC147" s="1610"/>
      <c r="CD147" s="1610"/>
    </row>
    <row r="148" spans="1:82" ht="11.25" customHeight="1" x14ac:dyDescent="0.2">
      <c r="A148" s="142"/>
      <c r="B148" s="1680" t="s">
        <v>78</v>
      </c>
      <c r="C148" s="1680"/>
      <c r="D148" s="1680"/>
      <c r="E148" s="1680"/>
      <c r="F148" s="1680"/>
      <c r="G148" s="1680"/>
      <c r="H148" s="1680"/>
      <c r="I148" s="1680"/>
      <c r="J148" s="12"/>
      <c r="K148" s="9"/>
      <c r="L148" s="9"/>
      <c r="M148" s="9"/>
      <c r="N148" s="9"/>
      <c r="O148" s="9"/>
      <c r="P148" s="9"/>
      <c r="Q148" s="9"/>
      <c r="R148" s="9"/>
      <c r="S148" s="9"/>
      <c r="T148" s="9"/>
      <c r="U148" s="9"/>
      <c r="V148" s="9"/>
      <c r="W148" s="58"/>
      <c r="X148" s="58"/>
      <c r="Y148" s="65"/>
      <c r="Z148" s="137"/>
      <c r="AA148" s="150"/>
      <c r="AB148" s="1607">
        <f t="shared" si="394"/>
        <v>0.10893454371715242</v>
      </c>
      <c r="AC148" s="1608">
        <f t="shared" si="395"/>
        <v>7.8809811017289913E-2</v>
      </c>
      <c r="AD148" s="1608">
        <f t="shared" si="396"/>
        <v>8.6467486818980671E-2</v>
      </c>
      <c r="AE148" s="1608">
        <f t="shared" si="397"/>
        <v>7.7355836849507739E-2</v>
      </c>
      <c r="AF148" s="1609">
        <f t="shared" si="398"/>
        <v>5.8183183183183183E-2</v>
      </c>
      <c r="AG148" s="1607">
        <f t="shared" si="350"/>
        <v>0.18442427138079312</v>
      </c>
      <c r="AH148" s="1608">
        <f t="shared" si="351"/>
        <v>0.19300361881785283</v>
      </c>
      <c r="AI148" s="1608">
        <f t="shared" si="352"/>
        <v>0.18699472759226712</v>
      </c>
      <c r="AJ148" s="1608">
        <f t="shared" si="353"/>
        <v>0.1990154711673699</v>
      </c>
      <c r="AK148" s="1609">
        <f t="shared" si="354"/>
        <v>0.22222222222222221</v>
      </c>
      <c r="AL148" s="1607">
        <f t="shared" si="350"/>
        <v>0.1433349259436216</v>
      </c>
      <c r="AM148" s="1608">
        <f t="shared" si="351"/>
        <v>0.13067953357458786</v>
      </c>
      <c r="AN148" s="1608">
        <f t="shared" si="352"/>
        <v>0.15360281195079087</v>
      </c>
      <c r="AO148" s="1608">
        <f t="shared" si="353"/>
        <v>0.13045007032348804</v>
      </c>
      <c r="AP148" s="1609">
        <f t="shared" si="354"/>
        <v>0.14114114114114115</v>
      </c>
      <c r="AQ148" s="1607">
        <f t="shared" si="350"/>
        <v>2.150023889154324E-2</v>
      </c>
      <c r="AR148" s="1608">
        <f t="shared" si="351"/>
        <v>2.7744270205066344E-2</v>
      </c>
      <c r="AS148" s="1608">
        <f t="shared" si="352"/>
        <v>2.9876977152899824E-2</v>
      </c>
      <c r="AT148" s="1608">
        <f t="shared" si="353"/>
        <v>3.7974683544303799E-2</v>
      </c>
      <c r="AU148" s="1609">
        <f t="shared" si="354"/>
        <v>2.364864864864865E-2</v>
      </c>
      <c r="AV148" s="1607">
        <f t="shared" si="350"/>
        <v>0.11753463927376971</v>
      </c>
      <c r="AW148" s="1608">
        <f t="shared" si="351"/>
        <v>0.10172899075190993</v>
      </c>
      <c r="AX148" s="1608">
        <f t="shared" si="352"/>
        <v>0.12407732864674868</v>
      </c>
      <c r="AY148" s="1608">
        <f t="shared" si="353"/>
        <v>0.18037974683544303</v>
      </c>
      <c r="AZ148" s="1609">
        <f t="shared" si="354"/>
        <v>0.1692942942942943</v>
      </c>
      <c r="BA148" s="1607">
        <f t="shared" si="350"/>
        <v>0.31294792164357382</v>
      </c>
      <c r="BB148" s="1608">
        <f t="shared" si="351"/>
        <v>0.33172496984318456</v>
      </c>
      <c r="BC148" s="1608">
        <f t="shared" si="352"/>
        <v>0.31177504393673111</v>
      </c>
      <c r="BD148" s="1608">
        <f t="shared" si="353"/>
        <v>0.24613220815752462</v>
      </c>
      <c r="BE148" s="1609">
        <f t="shared" si="354"/>
        <v>0.27214714714714716</v>
      </c>
      <c r="BF148" s="1607">
        <f t="shared" si="350"/>
        <v>3.3444816053511704E-2</v>
      </c>
      <c r="BG148" s="1608">
        <f t="shared" si="351"/>
        <v>4.2219541616405308E-2</v>
      </c>
      <c r="BH148" s="1608">
        <f t="shared" si="352"/>
        <v>4.4288224956063271E-2</v>
      </c>
      <c r="BI148" s="1608">
        <f t="shared" si="353"/>
        <v>5.3094233473980311E-2</v>
      </c>
      <c r="BJ148" s="1609">
        <f t="shared" si="354"/>
        <v>4.6546546546546545E-2</v>
      </c>
      <c r="BK148" s="1607">
        <f t="shared" si="350"/>
        <v>5.5900621118012424E-2</v>
      </c>
      <c r="BL148" s="1608">
        <f t="shared" si="351"/>
        <v>7.9613992762364291E-2</v>
      </c>
      <c r="BM148" s="1608">
        <f t="shared" si="352"/>
        <v>4.5694200351493852E-2</v>
      </c>
      <c r="BN148" s="1608">
        <f t="shared" si="353"/>
        <v>5.239099859353024E-2</v>
      </c>
      <c r="BO148" s="1609">
        <f t="shared" si="354"/>
        <v>5.1426426426426426E-2</v>
      </c>
      <c r="BP148" s="1607">
        <f t="shared" si="350"/>
        <v>2.197802197802198E-2</v>
      </c>
      <c r="BQ148" s="1608">
        <f t="shared" si="351"/>
        <v>1.4475271411338963E-2</v>
      </c>
      <c r="BR148" s="1608">
        <f t="shared" si="352"/>
        <v>1.7223198594024606E-2</v>
      </c>
      <c r="BS148" s="1608">
        <f t="shared" si="353"/>
        <v>2.3206751054852322E-2</v>
      </c>
      <c r="BT148" s="1609">
        <f t="shared" si="354"/>
        <v>1.3138138138138139E-2</v>
      </c>
      <c r="BU148" s="1607">
        <f t="shared" si="350"/>
        <v>0</v>
      </c>
      <c r="BV148" s="1608">
        <f t="shared" si="351"/>
        <v>0</v>
      </c>
      <c r="BW148" s="1608">
        <f t="shared" si="352"/>
        <v>0</v>
      </c>
      <c r="BX148" s="1608">
        <f t="shared" si="353"/>
        <v>0</v>
      </c>
      <c r="BY148" s="1609">
        <f t="shared" si="354"/>
        <v>2.2522522522522522E-3</v>
      </c>
      <c r="BZ148" s="1610"/>
      <c r="CA148" s="1610"/>
      <c r="CB148" s="1610"/>
      <c r="CC148" s="1610"/>
      <c r="CD148" s="1610"/>
    </row>
    <row r="149" spans="1:82" ht="11.25" customHeight="1" x14ac:dyDescent="0.2">
      <c r="A149" s="142"/>
      <c r="B149" s="1680"/>
      <c r="C149" s="1680"/>
      <c r="D149" s="1680"/>
      <c r="E149" s="1680"/>
      <c r="F149" s="1680"/>
      <c r="G149" s="1680"/>
      <c r="H149" s="1680"/>
      <c r="I149" s="1680"/>
      <c r="J149" s="12"/>
      <c r="K149" s="9"/>
      <c r="L149" s="9"/>
      <c r="M149" s="9"/>
      <c r="N149" s="9"/>
      <c r="O149" s="9"/>
      <c r="P149" s="9"/>
      <c r="Q149" s="9"/>
      <c r="R149" s="9"/>
      <c r="S149" s="9"/>
      <c r="T149" s="9"/>
      <c r="U149" s="9"/>
      <c r="V149" s="9"/>
      <c r="W149" s="58"/>
      <c r="X149" s="58"/>
      <c r="Y149" s="65"/>
      <c r="Z149" s="137"/>
      <c r="AA149" s="150"/>
      <c r="AB149" s="1607">
        <f t="shared" si="394"/>
        <v>7.5048732943469781E-2</v>
      </c>
      <c r="AC149" s="1608">
        <f t="shared" si="395"/>
        <v>5.0811141720232628E-2</v>
      </c>
      <c r="AD149" s="1608">
        <f t="shared" si="396"/>
        <v>6.4665127020785224E-2</v>
      </c>
      <c r="AE149" s="1608">
        <f t="shared" si="397"/>
        <v>6.4257028112449793E-2</v>
      </c>
      <c r="AF149" s="1609">
        <f t="shared" si="398"/>
        <v>7.4882995319812795E-2</v>
      </c>
      <c r="AG149" s="1607">
        <f t="shared" si="350"/>
        <v>0.20987654320987653</v>
      </c>
      <c r="AH149" s="1608">
        <f t="shared" si="351"/>
        <v>0.1677379859198041</v>
      </c>
      <c r="AI149" s="1608">
        <f t="shared" si="352"/>
        <v>0.1855273287143957</v>
      </c>
      <c r="AJ149" s="1608">
        <f t="shared" si="353"/>
        <v>0.19532676159182183</v>
      </c>
      <c r="AK149" s="1609">
        <f t="shared" si="354"/>
        <v>0.2078783151326053</v>
      </c>
      <c r="AL149" s="1607">
        <f t="shared" si="350"/>
        <v>0.13060428849902533</v>
      </c>
      <c r="AM149" s="1608">
        <f t="shared" si="351"/>
        <v>0.14722987450260178</v>
      </c>
      <c r="AN149" s="1608">
        <f t="shared" si="352"/>
        <v>0.15280985373364125</v>
      </c>
      <c r="AO149" s="1608">
        <f t="shared" si="353"/>
        <v>0.14494341000365096</v>
      </c>
      <c r="AP149" s="1609">
        <f t="shared" si="354"/>
        <v>0.14508580343213728</v>
      </c>
      <c r="AQ149" s="1607">
        <f t="shared" si="350"/>
        <v>3.9961013645224169E-2</v>
      </c>
      <c r="AR149" s="1608">
        <f t="shared" si="351"/>
        <v>3.458830731558004E-2</v>
      </c>
      <c r="AS149" s="1608">
        <f t="shared" si="352"/>
        <v>2.5404157043879907E-2</v>
      </c>
      <c r="AT149" s="1608">
        <f t="shared" si="353"/>
        <v>2.7747353048557868E-2</v>
      </c>
      <c r="AU149" s="1609">
        <f t="shared" si="354"/>
        <v>2.4960998439937598E-2</v>
      </c>
      <c r="AV149" s="1607">
        <f t="shared" si="350"/>
        <v>8.2521117608836903E-2</v>
      </c>
      <c r="AW149" s="1608">
        <f t="shared" si="351"/>
        <v>9.4276094276094277E-2</v>
      </c>
      <c r="AX149" s="1608">
        <f t="shared" si="352"/>
        <v>0.10739030023094688</v>
      </c>
      <c r="AY149" s="1608">
        <f t="shared" si="353"/>
        <v>9.0909090909090912E-2</v>
      </c>
      <c r="AZ149" s="1609">
        <f t="shared" si="354"/>
        <v>0.10257410296411856</v>
      </c>
      <c r="BA149" s="1607">
        <f t="shared" si="350"/>
        <v>0.32943469785575047</v>
      </c>
      <c r="BB149" s="1608">
        <f t="shared" si="351"/>
        <v>0.3666972757881849</v>
      </c>
      <c r="BC149" s="1608">
        <f t="shared" si="352"/>
        <v>0.39030023094688221</v>
      </c>
      <c r="BD149" s="1608">
        <f t="shared" si="353"/>
        <v>0.38773274917853229</v>
      </c>
      <c r="BE149" s="1609">
        <f t="shared" si="354"/>
        <v>0.36271450858034321</v>
      </c>
      <c r="BF149" s="1607">
        <f t="shared" si="350"/>
        <v>4.3859649122807015E-2</v>
      </c>
      <c r="BG149" s="1608">
        <f t="shared" si="351"/>
        <v>2.4181205999387816E-2</v>
      </c>
      <c r="BH149" s="1608">
        <f t="shared" si="352"/>
        <v>2.6943802925327175E-2</v>
      </c>
      <c r="BI149" s="1608">
        <f t="shared" si="353"/>
        <v>2.5921869295363272E-2</v>
      </c>
      <c r="BJ149" s="1609">
        <f t="shared" si="354"/>
        <v>2.1450858034321372E-2</v>
      </c>
      <c r="BK149" s="1607">
        <f t="shared" si="350"/>
        <v>6.6276803118908378E-2</v>
      </c>
      <c r="BL149" s="1608">
        <f t="shared" si="351"/>
        <v>8.9378634833180287E-2</v>
      </c>
      <c r="BM149" s="1608">
        <f t="shared" si="352"/>
        <v>4.6959199384141649E-2</v>
      </c>
      <c r="BN149" s="1608">
        <f t="shared" si="353"/>
        <v>5.0383351588170866E-2</v>
      </c>
      <c r="BO149" s="1609">
        <f t="shared" si="354"/>
        <v>4.9921996879875197E-2</v>
      </c>
      <c r="BP149" s="1607">
        <f t="shared" si="350"/>
        <v>7.1474983755685506E-3</v>
      </c>
      <c r="BQ149" s="1608">
        <f t="shared" si="351"/>
        <v>1.0713192531374349E-2</v>
      </c>
      <c r="BR149" s="1608" t="e">
        <f t="shared" si="352"/>
        <v>#N/A</v>
      </c>
      <c r="BS149" s="1608">
        <f t="shared" si="353"/>
        <v>1.2778386272362175E-2</v>
      </c>
      <c r="BT149" s="1609">
        <f t="shared" si="354"/>
        <v>7.4102964118564745E-3</v>
      </c>
      <c r="BU149" s="1607">
        <f t="shared" si="350"/>
        <v>1.5269655620532813E-2</v>
      </c>
      <c r="BV149" s="1608">
        <f t="shared" si="351"/>
        <v>1.4386287113559841E-2</v>
      </c>
      <c r="BW149" s="1608" t="e">
        <f t="shared" si="352"/>
        <v>#N/A</v>
      </c>
      <c r="BX149" s="1608">
        <f t="shared" si="353"/>
        <v>0</v>
      </c>
      <c r="BY149" s="1609">
        <f t="shared" si="354"/>
        <v>3.1201248049921998E-3</v>
      </c>
      <c r="BZ149" s="1610"/>
      <c r="CA149" s="1610"/>
      <c r="CB149" s="1610"/>
      <c r="CC149" s="1610"/>
      <c r="CD149" s="1610"/>
    </row>
    <row r="150" spans="1:82" ht="11.25" customHeight="1" x14ac:dyDescent="0.2">
      <c r="A150" s="142"/>
      <c r="B150" s="1680" t="s">
        <v>17</v>
      </c>
      <c r="C150" s="1680"/>
      <c r="D150" s="1680"/>
      <c r="E150" s="1680"/>
      <c r="F150" s="1680"/>
      <c r="G150" s="1680"/>
      <c r="H150" s="1680"/>
      <c r="I150" s="1680"/>
      <c r="J150" s="12"/>
      <c r="K150" s="9"/>
      <c r="L150" s="9"/>
      <c r="M150" s="9"/>
      <c r="N150" s="9"/>
      <c r="O150" s="9"/>
      <c r="P150" s="9"/>
      <c r="Q150" s="9"/>
      <c r="R150" s="9"/>
      <c r="S150" s="9"/>
      <c r="T150" s="9"/>
      <c r="U150" s="9"/>
      <c r="V150" s="11"/>
      <c r="W150" s="58"/>
      <c r="X150" s="58"/>
      <c r="Y150" s="65"/>
      <c r="Z150" s="252"/>
      <c r="AA150" s="150"/>
      <c r="AB150" s="1607">
        <f t="shared" si="394"/>
        <v>6.3806777217015137E-2</v>
      </c>
      <c r="AC150" s="1608">
        <f t="shared" si="395"/>
        <v>4.5918367346938778E-2</v>
      </c>
      <c r="AD150" s="1608">
        <f t="shared" si="396"/>
        <v>6.9269521410579349E-2</v>
      </c>
      <c r="AE150" s="1608">
        <f t="shared" si="397"/>
        <v>6.9873417721518991E-2</v>
      </c>
      <c r="AF150" s="1609">
        <f t="shared" si="398"/>
        <v>4.0944881889763779E-2</v>
      </c>
      <c r="AG150" s="1607">
        <f t="shared" si="350"/>
        <v>0.2062004325883201</v>
      </c>
      <c r="AH150" s="1608">
        <f t="shared" si="351"/>
        <v>0.13617171006333567</v>
      </c>
      <c r="AI150" s="1608">
        <f t="shared" si="352"/>
        <v>0.17506297229219145</v>
      </c>
      <c r="AJ150" s="1608">
        <f t="shared" si="353"/>
        <v>0.23240506329113925</v>
      </c>
      <c r="AK150" s="1609">
        <f t="shared" si="354"/>
        <v>0.24960629921259841</v>
      </c>
      <c r="AL150" s="1607">
        <f t="shared" si="350"/>
        <v>0.1247296322999279</v>
      </c>
      <c r="AM150" s="1608">
        <f t="shared" si="351"/>
        <v>0.12139338494018297</v>
      </c>
      <c r="AN150" s="1608">
        <f t="shared" si="352"/>
        <v>0.12594458438287154</v>
      </c>
      <c r="AO150" s="1608">
        <f t="shared" si="353"/>
        <v>0.10582278481012658</v>
      </c>
      <c r="AP150" s="1609">
        <f t="shared" si="354"/>
        <v>0.13543307086614173</v>
      </c>
      <c r="AQ150" s="1607">
        <f t="shared" si="350"/>
        <v>7.5702956020187451E-3</v>
      </c>
      <c r="AR150" s="1608" t="e">
        <f t="shared" si="351"/>
        <v>#N/A</v>
      </c>
      <c r="AS150" s="1608" t="e">
        <f t="shared" si="352"/>
        <v>#N/A</v>
      </c>
      <c r="AT150" s="1608">
        <f t="shared" si="353"/>
        <v>0</v>
      </c>
      <c r="AU150" s="1609">
        <f t="shared" si="354"/>
        <v>0</v>
      </c>
      <c r="AV150" s="1607">
        <f t="shared" si="350"/>
        <v>0.19935111751982695</v>
      </c>
      <c r="AW150" s="1608">
        <f t="shared" si="351"/>
        <v>0.17540464461646726</v>
      </c>
      <c r="AX150" s="1608">
        <f t="shared" si="352"/>
        <v>0.23173803526448364</v>
      </c>
      <c r="AY150" s="1608">
        <f t="shared" si="353"/>
        <v>0.16759493670886075</v>
      </c>
      <c r="AZ150" s="1609">
        <f t="shared" si="354"/>
        <v>0.15393700787401574</v>
      </c>
      <c r="BA150" s="1607">
        <f t="shared" si="350"/>
        <v>0.33056957462148523</v>
      </c>
      <c r="BB150" s="1608">
        <f t="shared" si="351"/>
        <v>0.38564391273750881</v>
      </c>
      <c r="BC150" s="1608">
        <f t="shared" si="352"/>
        <v>0.3243073047858942</v>
      </c>
      <c r="BD150" s="1608">
        <f t="shared" si="353"/>
        <v>0.3159493670886076</v>
      </c>
      <c r="BE150" s="1609">
        <f t="shared" si="354"/>
        <v>0.32480314960629919</v>
      </c>
      <c r="BF150" s="1607">
        <f t="shared" si="350"/>
        <v>2.4513338139870222E-2</v>
      </c>
      <c r="BG150" s="1608">
        <f t="shared" si="351"/>
        <v>0.10098522167487685</v>
      </c>
      <c r="BH150" s="1608">
        <f t="shared" si="352"/>
        <v>2.8337531486146095E-2</v>
      </c>
      <c r="BI150" s="1608">
        <f t="shared" si="353"/>
        <v>3.4936708860759495E-2</v>
      </c>
      <c r="BJ150" s="1609">
        <f t="shared" si="354"/>
        <v>3.582677165354331E-2</v>
      </c>
      <c r="BK150" s="1607">
        <f t="shared" si="350"/>
        <v>3.2083633741888967E-2</v>
      </c>
      <c r="BL150" s="1608">
        <f t="shared" si="351"/>
        <v>2.8852920478536243E-2</v>
      </c>
      <c r="BM150" s="1608">
        <f t="shared" si="352"/>
        <v>1.8261964735516372E-2</v>
      </c>
      <c r="BN150" s="1608">
        <f t="shared" si="353"/>
        <v>6.2784810126582283E-2</v>
      </c>
      <c r="BO150" s="1609">
        <f t="shared" si="354"/>
        <v>4.2125984251968507E-2</v>
      </c>
      <c r="BP150" s="1607">
        <f t="shared" si="350"/>
        <v>1.1175198269646719E-2</v>
      </c>
      <c r="BQ150" s="1608">
        <f t="shared" si="351"/>
        <v>5.629838142153413E-3</v>
      </c>
      <c r="BR150" s="1608">
        <f t="shared" si="352"/>
        <v>2.7078085642317382E-2</v>
      </c>
      <c r="BS150" s="1608">
        <f t="shared" si="353"/>
        <v>1.0632911392405063E-2</v>
      </c>
      <c r="BT150" s="1609">
        <f t="shared" si="354"/>
        <v>1.7322834645669291E-2</v>
      </c>
      <c r="BU150" s="1607">
        <f t="shared" si="350"/>
        <v>0</v>
      </c>
      <c r="BV150" s="1608" t="e">
        <f t="shared" si="351"/>
        <v>#N/A</v>
      </c>
      <c r="BW150" s="1608" t="e">
        <f t="shared" si="352"/>
        <v>#N/A</v>
      </c>
      <c r="BX150" s="1608">
        <f t="shared" si="353"/>
        <v>0</v>
      </c>
      <c r="BY150" s="1609">
        <f t="shared" si="354"/>
        <v>0</v>
      </c>
      <c r="BZ150" s="1610"/>
      <c r="CA150" s="1610"/>
      <c r="CB150" s="1610"/>
      <c r="CC150" s="1610"/>
      <c r="CD150" s="1610"/>
    </row>
    <row r="151" spans="1:82" ht="11.25" customHeight="1" x14ac:dyDescent="0.2">
      <c r="A151" s="142"/>
      <c r="B151" s="1680"/>
      <c r="C151" s="1680"/>
      <c r="D151" s="1680"/>
      <c r="E151" s="1680"/>
      <c r="F151" s="1680"/>
      <c r="G151" s="1680"/>
      <c r="H151" s="1680"/>
      <c r="I151" s="1680"/>
      <c r="J151" s="12"/>
      <c r="K151" s="9"/>
      <c r="L151" s="9"/>
      <c r="M151" s="9"/>
      <c r="N151" s="9"/>
      <c r="O151" s="9"/>
      <c r="P151" s="9"/>
      <c r="Q151" s="9"/>
      <c r="R151" s="9"/>
      <c r="S151" s="9"/>
      <c r="T151" s="9"/>
      <c r="U151" s="9"/>
      <c r="V151" s="11"/>
      <c r="W151" s="58"/>
      <c r="X151" s="58"/>
      <c r="Y151" s="65"/>
      <c r="Z151" s="252"/>
      <c r="AA151" s="150"/>
      <c r="AB151" s="1607">
        <f t="shared" si="394"/>
        <v>0.12576762466224514</v>
      </c>
      <c r="AC151" s="1608">
        <f t="shared" si="395"/>
        <v>0.129997906635964</v>
      </c>
      <c r="AD151" s="1608">
        <f t="shared" si="396"/>
        <v>0.12410454985479187</v>
      </c>
      <c r="AE151" s="1608">
        <f t="shared" si="397"/>
        <v>3.5576179427687551E-2</v>
      </c>
      <c r="AF151" s="1609">
        <f t="shared" si="398"/>
        <v>8.676429953025698E-2</v>
      </c>
      <c r="AG151" s="1607">
        <f t="shared" si="350"/>
        <v>0.20093343158929011</v>
      </c>
      <c r="AH151" s="1608">
        <f t="shared" si="351"/>
        <v>0.19112413648733514</v>
      </c>
      <c r="AI151" s="1608">
        <f t="shared" si="352"/>
        <v>0.14249757986447242</v>
      </c>
      <c r="AJ151" s="1608">
        <f t="shared" si="353"/>
        <v>0.21693735498839908</v>
      </c>
      <c r="AK151" s="1609">
        <f t="shared" si="354"/>
        <v>0.13567283780049738</v>
      </c>
      <c r="AL151" s="1607">
        <f t="shared" si="350"/>
        <v>0.16850896585605502</v>
      </c>
      <c r="AM151" s="1608">
        <f t="shared" si="351"/>
        <v>0.14025539041239271</v>
      </c>
      <c r="AN151" s="1608">
        <f t="shared" si="352"/>
        <v>0.15605033881897387</v>
      </c>
      <c r="AO151" s="1608">
        <f t="shared" si="353"/>
        <v>0.14037122969837587</v>
      </c>
      <c r="AP151" s="1609">
        <f t="shared" si="354"/>
        <v>0.14368610113290964</v>
      </c>
      <c r="AQ151" s="1607" t="e">
        <f t="shared" si="350"/>
        <v>#N/A</v>
      </c>
      <c r="AR151" s="1608">
        <f t="shared" si="351"/>
        <v>1.2769520619635755E-2</v>
      </c>
      <c r="AS151" s="1608">
        <f t="shared" si="352"/>
        <v>5.4211035818005808E-3</v>
      </c>
      <c r="AT151" s="1608">
        <f t="shared" si="353"/>
        <v>0</v>
      </c>
      <c r="AU151" s="1609">
        <f t="shared" si="354"/>
        <v>4.1447913788339322E-3</v>
      </c>
      <c r="AV151" s="1607">
        <f t="shared" si="350"/>
        <v>0.15327929255711129</v>
      </c>
      <c r="AW151" s="1608">
        <f t="shared" si="351"/>
        <v>0.13355662549717395</v>
      </c>
      <c r="AX151" s="1608">
        <f t="shared" si="352"/>
        <v>0.10939012584704744</v>
      </c>
      <c r="AY151" s="1608">
        <f t="shared" si="353"/>
        <v>0.16744006187161639</v>
      </c>
      <c r="AZ151" s="1609">
        <f t="shared" si="354"/>
        <v>0.14865985078751037</v>
      </c>
      <c r="BA151" s="1607">
        <f t="shared" si="350"/>
        <v>0.23458609678211742</v>
      </c>
      <c r="BB151" s="1608">
        <f t="shared" si="351"/>
        <v>0.27967343521038307</v>
      </c>
      <c r="BC151" s="1608">
        <f t="shared" si="352"/>
        <v>0.31965150048402713</v>
      </c>
      <c r="BD151" s="1608">
        <f t="shared" si="353"/>
        <v>0.31438515081206497</v>
      </c>
      <c r="BE151" s="1609">
        <f t="shared" si="354"/>
        <v>0.32053053329649073</v>
      </c>
      <c r="BF151" s="1607">
        <f t="shared" si="350"/>
        <v>2.6283468435273887E-2</v>
      </c>
      <c r="BG151" s="1608">
        <f t="shared" si="351"/>
        <v>2.8469750889679714E-2</v>
      </c>
      <c r="BH151" s="1608">
        <f t="shared" si="352"/>
        <v>3.4075508228460796E-2</v>
      </c>
      <c r="BI151" s="1608">
        <f t="shared" si="353"/>
        <v>2.5135344160866203E-2</v>
      </c>
      <c r="BJ151" s="1609">
        <f t="shared" si="354"/>
        <v>5.5540204476374692E-2</v>
      </c>
      <c r="BK151" s="1607">
        <f t="shared" si="350"/>
        <v>4.5443380004912798E-2</v>
      </c>
      <c r="BL151" s="1608">
        <f t="shared" si="351"/>
        <v>4.4169981159723676E-2</v>
      </c>
      <c r="BM151" s="1608">
        <f t="shared" si="352"/>
        <v>6.6408518877057121E-2</v>
      </c>
      <c r="BN151" s="1608">
        <f t="shared" si="353"/>
        <v>6.9218870843000768E-2</v>
      </c>
      <c r="BO151" s="1609">
        <f t="shared" si="354"/>
        <v>6.2448190107764576E-2</v>
      </c>
      <c r="BP151" s="1607">
        <f t="shared" si="350"/>
        <v>4.519774011299435E-2</v>
      </c>
      <c r="BQ151" s="1608">
        <f t="shared" si="351"/>
        <v>3.9983253087711952E-2</v>
      </c>
      <c r="BR151" s="1608">
        <f t="shared" si="352"/>
        <v>4.0077444336882866E-2</v>
      </c>
      <c r="BS151" s="1608">
        <f t="shared" si="353"/>
        <v>2.1655065738592421E-2</v>
      </c>
      <c r="BT151" s="1609">
        <f t="shared" si="354"/>
        <v>3.7579441834760981E-2</v>
      </c>
      <c r="BU151" s="1607" t="e">
        <f t="shared" si="350"/>
        <v>#N/A</v>
      </c>
      <c r="BV151" s="1608">
        <f t="shared" si="351"/>
        <v>0</v>
      </c>
      <c r="BW151" s="1608">
        <f t="shared" si="352"/>
        <v>2.323330106485963E-3</v>
      </c>
      <c r="BX151" s="1608">
        <f t="shared" si="353"/>
        <v>9.2807424593967514E-3</v>
      </c>
      <c r="BY151" s="1609">
        <f t="shared" si="354"/>
        <v>4.9737496546007186E-3</v>
      </c>
      <c r="BZ151" s="1605"/>
      <c r="CA151" s="1605"/>
      <c r="CB151" s="1605"/>
      <c r="CC151" s="1605"/>
      <c r="CD151" s="1605"/>
    </row>
    <row r="152" spans="1:82" ht="11.25" customHeight="1" x14ac:dyDescent="0.2">
      <c r="A152" s="142"/>
      <c r="B152" s="1680" t="s">
        <v>80</v>
      </c>
      <c r="C152" s="1680"/>
      <c r="D152" s="1680"/>
      <c r="E152" s="1680"/>
      <c r="F152" s="1680"/>
      <c r="G152" s="1680"/>
      <c r="H152" s="1680"/>
      <c r="I152" s="1680"/>
      <c r="J152" s="12"/>
      <c r="K152" s="9"/>
      <c r="L152" s="9"/>
      <c r="M152" s="9"/>
      <c r="N152" s="9"/>
      <c r="O152" s="9"/>
      <c r="P152" s="9"/>
      <c r="Q152" s="9"/>
      <c r="R152" s="9"/>
      <c r="S152" s="9"/>
      <c r="T152" s="9"/>
      <c r="U152" s="9"/>
      <c r="V152" s="11"/>
      <c r="W152" s="58"/>
      <c r="X152" s="58"/>
      <c r="Y152" s="65"/>
      <c r="Z152" s="252"/>
      <c r="AA152" s="150"/>
      <c r="AB152" s="1607">
        <f t="shared" si="394"/>
        <v>3.4742468415937804E-2</v>
      </c>
      <c r="AC152" s="1608">
        <f t="shared" si="395"/>
        <v>3.2194480946123524E-2</v>
      </c>
      <c r="AD152" s="1608">
        <f t="shared" si="396"/>
        <v>3.7887485648679678E-2</v>
      </c>
      <c r="AE152" s="1608">
        <f t="shared" si="397"/>
        <v>5.3126469205453691E-2</v>
      </c>
      <c r="AF152" s="1609">
        <f t="shared" si="398"/>
        <v>4.566115702479339E-2</v>
      </c>
      <c r="AG152" s="1607">
        <f t="shared" si="350"/>
        <v>0.20165208940719145</v>
      </c>
      <c r="AH152" s="1608">
        <f t="shared" si="351"/>
        <v>0.26379763469119577</v>
      </c>
      <c r="AI152" s="1608">
        <f t="shared" si="352"/>
        <v>0.21393034825870647</v>
      </c>
      <c r="AJ152" s="1608">
        <f t="shared" si="353"/>
        <v>0.21231781852374235</v>
      </c>
      <c r="AK152" s="1609">
        <f t="shared" si="354"/>
        <v>0.19669421487603306</v>
      </c>
      <c r="AL152" s="1607">
        <f t="shared" si="350"/>
        <v>0.14212827988338192</v>
      </c>
      <c r="AM152" s="1608">
        <f t="shared" si="351"/>
        <v>0.12253613666228647</v>
      </c>
      <c r="AN152" s="1608">
        <f t="shared" si="352"/>
        <v>0.13088404133180254</v>
      </c>
      <c r="AO152" s="1608">
        <f t="shared" si="353"/>
        <v>0.13511988716502116</v>
      </c>
      <c r="AP152" s="1609">
        <f t="shared" si="354"/>
        <v>0.15723140495867768</v>
      </c>
      <c r="AQ152" s="1607">
        <f t="shared" si="350"/>
        <v>1.141885325558795E-2</v>
      </c>
      <c r="AR152" s="1608">
        <f t="shared" si="351"/>
        <v>2.1024967148488831E-2</v>
      </c>
      <c r="AS152" s="1608">
        <f t="shared" si="352"/>
        <v>1.4159969383849981E-2</v>
      </c>
      <c r="AT152" s="1608">
        <f t="shared" si="353"/>
        <v>1.3634226610249177E-2</v>
      </c>
      <c r="AU152" s="1609">
        <f t="shared" si="354"/>
        <v>5.7851239669421484E-3</v>
      </c>
      <c r="AV152" s="1607">
        <f t="shared" si="350"/>
        <v>0.10131195335276968</v>
      </c>
      <c r="AW152" s="1608">
        <f t="shared" si="351"/>
        <v>0.17608409986859397</v>
      </c>
      <c r="AX152" s="1608">
        <f t="shared" si="352"/>
        <v>0.18446230386528895</v>
      </c>
      <c r="AY152" s="1608">
        <f t="shared" si="353"/>
        <v>0.12214386459802538</v>
      </c>
      <c r="AZ152" s="1609">
        <f t="shared" si="354"/>
        <v>0.2024793388429752</v>
      </c>
      <c r="BA152" s="1607">
        <f t="shared" si="350"/>
        <v>0.23104956268221574</v>
      </c>
      <c r="BB152" s="1608">
        <f t="shared" si="351"/>
        <v>0.26248357424441526</v>
      </c>
      <c r="BC152" s="1608">
        <f t="shared" si="352"/>
        <v>0.30616150019135091</v>
      </c>
      <c r="BD152" s="1608">
        <f t="shared" si="353"/>
        <v>0.3631405735778091</v>
      </c>
      <c r="BE152" s="1609">
        <f t="shared" si="354"/>
        <v>0.28285123966942149</v>
      </c>
      <c r="BF152" s="1607">
        <f t="shared" si="350"/>
        <v>1.6277939747327504E-2</v>
      </c>
      <c r="BG152" s="1608">
        <f t="shared" si="351"/>
        <v>1.5440210249671484E-2</v>
      </c>
      <c r="BH152" s="1608">
        <f t="shared" si="352"/>
        <v>2.564102564102564E-2</v>
      </c>
      <c r="BI152" s="1608">
        <f t="shared" si="353"/>
        <v>3.1969910672308414E-2</v>
      </c>
      <c r="BJ152" s="1609">
        <f t="shared" si="354"/>
        <v>1.1157024793388429E-2</v>
      </c>
      <c r="BK152" s="1607">
        <f t="shared" si="350"/>
        <v>4.5675413022351799E-2</v>
      </c>
      <c r="BL152" s="1608">
        <f t="shared" si="351"/>
        <v>6.8988173455978977E-2</v>
      </c>
      <c r="BM152" s="1608">
        <f t="shared" si="352"/>
        <v>6.0849598163030996E-2</v>
      </c>
      <c r="BN152" s="1608">
        <f t="shared" si="353"/>
        <v>5.5195110484250118E-2</v>
      </c>
      <c r="BO152" s="1609">
        <f t="shared" si="354"/>
        <v>6.1983471074380167E-2</v>
      </c>
      <c r="BP152" s="1607">
        <f t="shared" si="350"/>
        <v>2.6239067055393587E-2</v>
      </c>
      <c r="BQ152" s="1608">
        <f t="shared" si="351"/>
        <v>2.9894875164257557E-2</v>
      </c>
      <c r="BR152" s="1608">
        <f t="shared" si="352"/>
        <v>2.6023727516264829E-2</v>
      </c>
      <c r="BS152" s="1608">
        <f t="shared" si="353"/>
        <v>1.3352139163140573E-2</v>
      </c>
      <c r="BT152" s="1609">
        <f t="shared" si="354"/>
        <v>3.3677685950413226E-2</v>
      </c>
      <c r="BU152" s="1607">
        <f t="shared" si="350"/>
        <v>0.18950437317784258</v>
      </c>
      <c r="BV152" s="1608">
        <f t="shared" si="351"/>
        <v>7.5558475689881735E-3</v>
      </c>
      <c r="BW152" s="1608">
        <f t="shared" si="352"/>
        <v>0</v>
      </c>
      <c r="BX152" s="1608">
        <f t="shared" si="353"/>
        <v>0</v>
      </c>
      <c r="BY152" s="1609">
        <f t="shared" si="354"/>
        <v>2.4793388429752068E-3</v>
      </c>
      <c r="BZ152" s="1605"/>
      <c r="CA152" s="1605"/>
      <c r="CB152" s="1605"/>
      <c r="CC152" s="1605"/>
      <c r="CD152" s="1605"/>
    </row>
    <row r="153" spans="1:82" ht="11.25" customHeight="1" x14ac:dyDescent="0.2">
      <c r="A153" s="142"/>
      <c r="B153" s="1680"/>
      <c r="C153" s="1680"/>
      <c r="D153" s="1680"/>
      <c r="E153" s="1680"/>
      <c r="F153" s="1680"/>
      <c r="G153" s="1680"/>
      <c r="H153" s="1680"/>
      <c r="I153" s="1680"/>
      <c r="J153" s="12"/>
      <c r="K153" s="9"/>
      <c r="L153" s="9"/>
      <c r="M153" s="9"/>
      <c r="N153" s="9"/>
      <c r="O153" s="9"/>
      <c r="P153" s="9"/>
      <c r="Q153" s="9"/>
      <c r="R153" s="9"/>
      <c r="S153" s="9"/>
      <c r="T153" s="9"/>
      <c r="U153" s="9"/>
      <c r="V153" s="11"/>
      <c r="W153" s="58"/>
      <c r="X153" s="58"/>
      <c r="Y153" s="65"/>
      <c r="Z153" s="252"/>
      <c r="AA153" s="150"/>
      <c r="AB153" s="1607">
        <f t="shared" si="394"/>
        <v>6.0078178110129166E-2</v>
      </c>
      <c r="AC153" s="1608">
        <f t="shared" si="395"/>
        <v>5.4970459799640381E-2</v>
      </c>
      <c r="AD153" s="1608">
        <f t="shared" si="396"/>
        <v>4.7996477322765303E-2</v>
      </c>
      <c r="AE153" s="1608">
        <f t="shared" si="397"/>
        <v>0.11506524317912219</v>
      </c>
      <c r="AF153" s="1609">
        <f t="shared" si="398"/>
        <v>7.1956802441601131E-2</v>
      </c>
      <c r="AG153" s="1607">
        <f t="shared" si="350"/>
        <v>0.16791298436437799</v>
      </c>
      <c r="AH153" s="1608">
        <f t="shared" si="351"/>
        <v>0.18674544053429232</v>
      </c>
      <c r="AI153" s="1608">
        <f t="shared" si="352"/>
        <v>0.20240716277704388</v>
      </c>
      <c r="AJ153" s="1608">
        <f t="shared" si="353"/>
        <v>0.19157769869513641</v>
      </c>
      <c r="AK153" s="1609">
        <f t="shared" si="354"/>
        <v>0.19192393473412372</v>
      </c>
      <c r="AL153" s="1607">
        <f t="shared" si="350"/>
        <v>0.13570700203942895</v>
      </c>
      <c r="AM153" s="1608">
        <f t="shared" si="351"/>
        <v>0.13888175357479235</v>
      </c>
      <c r="AN153" s="1608">
        <f t="shared" si="352"/>
        <v>0.13048583590195215</v>
      </c>
      <c r="AO153" s="1608">
        <f t="shared" si="353"/>
        <v>8.8967971530249115E-2</v>
      </c>
      <c r="AP153" s="1609">
        <f t="shared" si="354"/>
        <v>0.15776499589153656</v>
      </c>
      <c r="AQ153" s="1607">
        <f t="shared" si="350"/>
        <v>7.1380013596193063E-3</v>
      </c>
      <c r="AR153" s="1608">
        <f t="shared" si="351"/>
        <v>1.0103604760681565E-2</v>
      </c>
      <c r="AS153" s="1608">
        <f t="shared" si="352"/>
        <v>9.247027741083224E-3</v>
      </c>
      <c r="AT153" s="1608">
        <f t="shared" si="353"/>
        <v>1.8979833926453145E-2</v>
      </c>
      <c r="AU153" s="1609">
        <f t="shared" si="354"/>
        <v>1.1855851625777673E-2</v>
      </c>
      <c r="AV153" s="1607">
        <f t="shared" si="350"/>
        <v>9.1689326988443232E-2</v>
      </c>
      <c r="AW153" s="1608">
        <f t="shared" si="351"/>
        <v>9.2987413305933728E-2</v>
      </c>
      <c r="AX153" s="1608">
        <f t="shared" si="352"/>
        <v>0.12813738441215325</v>
      </c>
      <c r="AY153" s="1608">
        <f t="shared" si="353"/>
        <v>0.17793594306049823</v>
      </c>
      <c r="AZ153" s="1609">
        <f t="shared" si="354"/>
        <v>0.12513205775325742</v>
      </c>
      <c r="BA153" s="1607">
        <f t="shared" si="350"/>
        <v>0.41281441196464991</v>
      </c>
      <c r="BB153" s="1608">
        <f t="shared" si="351"/>
        <v>0.39635242743385563</v>
      </c>
      <c r="BC153" s="1608">
        <f t="shared" si="352"/>
        <v>0.38154997798326729</v>
      </c>
      <c r="BD153" s="1608">
        <f t="shared" si="353"/>
        <v>0.32325029655990511</v>
      </c>
      <c r="BE153" s="1609">
        <f t="shared" si="354"/>
        <v>0.33384200023476934</v>
      </c>
      <c r="BF153" s="1607">
        <f t="shared" si="350"/>
        <v>2.7107409925220937E-2</v>
      </c>
      <c r="BG153" s="1608">
        <f t="shared" si="351"/>
        <v>3.0910180666152923E-2</v>
      </c>
      <c r="BH153" s="1608">
        <f t="shared" si="352"/>
        <v>2.6933803023631294E-2</v>
      </c>
      <c r="BI153" s="1608">
        <f t="shared" si="353"/>
        <v>2.7876631079478055E-2</v>
      </c>
      <c r="BJ153" s="1609">
        <f t="shared" si="354"/>
        <v>3.5215400868646551E-2</v>
      </c>
      <c r="BK153" s="1607">
        <f t="shared" si="350"/>
        <v>7.4609109449354186E-2</v>
      </c>
      <c r="BL153" s="1608">
        <f t="shared" si="351"/>
        <v>7.0810857093929272E-2</v>
      </c>
      <c r="BM153" s="1608">
        <f t="shared" si="352"/>
        <v>5.8931454572141495E-2</v>
      </c>
      <c r="BN153" s="1608">
        <f t="shared" si="353"/>
        <v>2.2538552787663108E-2</v>
      </c>
      <c r="BO153" s="1609">
        <f t="shared" si="354"/>
        <v>4.484094377274328E-2</v>
      </c>
      <c r="BP153" s="1607">
        <f t="shared" si="350"/>
        <v>2.2943575798776341E-2</v>
      </c>
      <c r="BQ153" s="1608">
        <f t="shared" si="351"/>
        <v>1.8237862830721808E-2</v>
      </c>
      <c r="BR153" s="1608">
        <f t="shared" si="352"/>
        <v>1.4310876265962131E-2</v>
      </c>
      <c r="BS153" s="1608">
        <f t="shared" si="353"/>
        <v>2.1945432977461446E-2</v>
      </c>
      <c r="BT153" s="1609">
        <f t="shared" si="354"/>
        <v>2.7468012677544312E-2</v>
      </c>
      <c r="BU153" s="1607">
        <f t="shared" si="350"/>
        <v>0</v>
      </c>
      <c r="BV153" s="1608">
        <f t="shared" si="351"/>
        <v>0</v>
      </c>
      <c r="BW153" s="1608">
        <f t="shared" si="352"/>
        <v>0</v>
      </c>
      <c r="BX153" s="1608">
        <f t="shared" si="353"/>
        <v>1.1862396204033215E-2</v>
      </c>
      <c r="BY153" s="1609">
        <f t="shared" si="354"/>
        <v>0</v>
      </c>
      <c r="BZ153" s="1605"/>
      <c r="CA153" s="1605"/>
      <c r="CB153" s="1605"/>
      <c r="CC153" s="1605"/>
      <c r="CD153" s="1605"/>
    </row>
    <row r="154" spans="1:82" ht="11.25" customHeight="1" x14ac:dyDescent="0.2">
      <c r="A154" s="142"/>
      <c r="B154" s="1680" t="s">
        <v>69</v>
      </c>
      <c r="C154" s="1680"/>
      <c r="D154" s="1680"/>
      <c r="E154" s="1680"/>
      <c r="F154" s="1680"/>
      <c r="G154" s="1680"/>
      <c r="H154" s="1680"/>
      <c r="I154" s="1680"/>
      <c r="J154" s="12"/>
      <c r="K154" s="9"/>
      <c r="L154" s="9"/>
      <c r="M154" s="9"/>
      <c r="N154" s="9"/>
      <c r="O154" s="9"/>
      <c r="P154" s="9"/>
      <c r="Q154" s="9"/>
      <c r="R154" s="9"/>
      <c r="S154" s="9"/>
      <c r="T154" s="9"/>
      <c r="U154" s="9"/>
      <c r="V154" s="11"/>
      <c r="W154" s="58"/>
      <c r="X154" s="58"/>
      <c r="Y154" s="65"/>
      <c r="Z154" s="252"/>
      <c r="AA154" s="150"/>
      <c r="AB154" s="1607">
        <f t="shared" si="394"/>
        <v>9.4860499265785603E-2</v>
      </c>
      <c r="AC154" s="1608">
        <f t="shared" si="395"/>
        <v>7.2823568354849391E-2</v>
      </c>
      <c r="AD154" s="1608">
        <f t="shared" si="396"/>
        <v>8.7951475048249239E-2</v>
      </c>
      <c r="AE154" s="1608">
        <f t="shared" si="397"/>
        <v>8.6406743940990516E-2</v>
      </c>
      <c r="AF154" s="1609">
        <f t="shared" si="398"/>
        <v>5.9484467944481166E-2</v>
      </c>
      <c r="AG154" s="1607">
        <f t="shared" ref="AG154:BU161" si="399">IF(ISERROR(AG181/$BZ181),NA(),AG181/$BZ181)</f>
        <v>0.181791483113069</v>
      </c>
      <c r="AH154" s="1608">
        <f t="shared" ref="AH154:BV161" si="400">IF(ISERROR(AH181/$CA181),NA(),AH181/$CA181)</f>
        <v>0.2082092022509103</v>
      </c>
      <c r="AI154" s="1608">
        <f t="shared" ref="AI154:BW161" si="401">IF(ISERROR(AI181/$CB181),NA(),AI181/$CB181)</f>
        <v>0.20126826578439483</v>
      </c>
      <c r="AJ154" s="1608">
        <f t="shared" ref="AJ154:BX161" si="402">IF(ISERROR(AJ181/$CC181),NA(),AJ181/$CC181)</f>
        <v>0.21559536354056902</v>
      </c>
      <c r="AK154" s="1609">
        <f t="shared" ref="AK154:BY161" si="403">IF(ISERROR(AK181/$CD181),NA(),AK181/$CD181)</f>
        <v>0.18175809649702579</v>
      </c>
      <c r="AL154" s="1607">
        <f t="shared" si="399"/>
        <v>0.11512481644640235</v>
      </c>
      <c r="AM154" s="1608">
        <f t="shared" si="400"/>
        <v>8.771929824561403E-2</v>
      </c>
      <c r="AN154" s="1608">
        <f t="shared" si="401"/>
        <v>0.12682657843948167</v>
      </c>
      <c r="AO154" s="1608">
        <f t="shared" si="402"/>
        <v>0.12002107481559536</v>
      </c>
      <c r="AP154" s="1609">
        <f t="shared" si="403"/>
        <v>0.14937210839391937</v>
      </c>
      <c r="AQ154" s="1607">
        <f t="shared" si="399"/>
        <v>1.9676945668135097E-2</v>
      </c>
      <c r="AR154" s="1608">
        <f t="shared" si="400"/>
        <v>1.0923535253227408E-2</v>
      </c>
      <c r="AS154" s="1608">
        <f t="shared" si="401"/>
        <v>1.2682657843948167E-2</v>
      </c>
      <c r="AT154" s="1608">
        <f t="shared" si="402"/>
        <v>1.5068493150684932E-2</v>
      </c>
      <c r="AU154" s="1609">
        <f t="shared" si="403"/>
        <v>1.0905485789821546E-2</v>
      </c>
      <c r="AV154" s="1607">
        <f t="shared" si="399"/>
        <v>7.8120411160058731E-2</v>
      </c>
      <c r="AW154" s="1608">
        <f t="shared" si="400"/>
        <v>8.8050314465408799E-2</v>
      </c>
      <c r="AX154" s="1608">
        <f t="shared" si="401"/>
        <v>6.892748828232699E-2</v>
      </c>
      <c r="AY154" s="1608">
        <f t="shared" si="402"/>
        <v>0.15732349841938884</v>
      </c>
      <c r="AZ154" s="1609">
        <f t="shared" si="403"/>
        <v>8.9226701916721746E-2</v>
      </c>
      <c r="BA154" s="1607">
        <f t="shared" si="399"/>
        <v>0.32276064610866373</v>
      </c>
      <c r="BB154" s="1608">
        <f t="shared" si="400"/>
        <v>0.37140019860973189</v>
      </c>
      <c r="BC154" s="1608">
        <f t="shared" si="401"/>
        <v>0.35318444995864351</v>
      </c>
      <c r="BD154" s="1608">
        <f t="shared" si="402"/>
        <v>0.26933614330874606</v>
      </c>
      <c r="BE154" s="1609">
        <f t="shared" si="403"/>
        <v>0.37739590218109714</v>
      </c>
      <c r="BF154" s="1607">
        <f t="shared" si="399"/>
        <v>2.1145374449339206E-2</v>
      </c>
      <c r="BG154" s="1608">
        <f t="shared" si="400"/>
        <v>2.1847070506454815E-2</v>
      </c>
      <c r="BH154" s="1608">
        <f t="shared" si="401"/>
        <v>2.3159636062861869E-2</v>
      </c>
      <c r="BI154" s="1608">
        <f t="shared" si="402"/>
        <v>3.0769230769230771E-2</v>
      </c>
      <c r="BJ154" s="1609">
        <f t="shared" si="403"/>
        <v>4.7257105089226703E-2</v>
      </c>
      <c r="BK154" s="1607">
        <f t="shared" si="399"/>
        <v>1.7327459618208516E-2</v>
      </c>
      <c r="BL154" s="1608">
        <f t="shared" si="400"/>
        <v>5.9582919563058591E-2</v>
      </c>
      <c r="BM154" s="1608">
        <f t="shared" si="401"/>
        <v>5.7899090157154671E-2</v>
      </c>
      <c r="BN154" s="1608">
        <f t="shared" si="402"/>
        <v>6.417281348788198E-2</v>
      </c>
      <c r="BO154" s="1609">
        <f t="shared" si="403"/>
        <v>3.2716457369464637E-2</v>
      </c>
      <c r="BP154" s="1607">
        <f t="shared" si="399"/>
        <v>3.5829662261380325E-2</v>
      </c>
      <c r="BQ154" s="1608">
        <f t="shared" si="400"/>
        <v>2.5488248924197286E-2</v>
      </c>
      <c r="BR154" s="1608">
        <f t="shared" si="401"/>
        <v>3.9702233250620347E-2</v>
      </c>
      <c r="BS154" s="1608">
        <f t="shared" si="402"/>
        <v>0</v>
      </c>
      <c r="BT154" s="1609">
        <f t="shared" si="403"/>
        <v>2.511566424322538E-2</v>
      </c>
      <c r="BU154" s="1607">
        <f t="shared" si="399"/>
        <v>0.11336270190895742</v>
      </c>
      <c r="BV154" s="1608">
        <f t="shared" si="400"/>
        <v>5.3955643826547502E-2</v>
      </c>
      <c r="BW154" s="1608">
        <f t="shared" si="401"/>
        <v>2.8398125172318722E-2</v>
      </c>
      <c r="BX154" s="1608">
        <f t="shared" si="402"/>
        <v>4.1306638566912537E-2</v>
      </c>
      <c r="BY154" s="1609">
        <f t="shared" si="403"/>
        <v>2.6768010575016522E-2</v>
      </c>
      <c r="BZ154" s="1605"/>
      <c r="CA154" s="1605"/>
      <c r="CB154" s="1605"/>
      <c r="CC154" s="1605"/>
      <c r="CD154" s="1605"/>
    </row>
    <row r="155" spans="1:82" ht="11.25" customHeight="1" x14ac:dyDescent="0.2">
      <c r="A155" s="142"/>
      <c r="B155" s="1680"/>
      <c r="C155" s="1680"/>
      <c r="D155" s="1680"/>
      <c r="E155" s="1680"/>
      <c r="F155" s="1680"/>
      <c r="G155" s="1680"/>
      <c r="H155" s="1680"/>
      <c r="I155" s="1680"/>
      <c r="J155" s="12"/>
      <c r="K155" s="9"/>
      <c r="L155" s="9"/>
      <c r="M155" s="9"/>
      <c r="N155" s="9"/>
      <c r="O155" s="9"/>
      <c r="P155" s="9"/>
      <c r="Q155" s="9"/>
      <c r="R155" s="9"/>
      <c r="S155" s="9"/>
      <c r="T155" s="9"/>
      <c r="U155" s="9"/>
      <c r="V155" s="11"/>
      <c r="W155" s="58"/>
      <c r="X155" s="58"/>
      <c r="Y155" s="65"/>
      <c r="Z155" s="252"/>
      <c r="AA155" s="150"/>
      <c r="AB155" s="1607">
        <f t="shared" si="394"/>
        <v>6.7404426559356134E-2</v>
      </c>
      <c r="AC155" s="1608">
        <f t="shared" si="395"/>
        <v>7.858910891089109E-2</v>
      </c>
      <c r="AD155" s="1608">
        <f t="shared" si="396"/>
        <v>7.8116343490304704E-2</v>
      </c>
      <c r="AE155" s="1608">
        <f t="shared" si="397"/>
        <v>7.8414096916299553E-2</v>
      </c>
      <c r="AF155" s="1609">
        <f t="shared" si="398"/>
        <v>7.4731182795698931E-2</v>
      </c>
      <c r="AG155" s="1607">
        <f t="shared" si="399"/>
        <v>0.15442655935613683</v>
      </c>
      <c r="AH155" s="1608">
        <f t="shared" si="400"/>
        <v>0.24195544554455445</v>
      </c>
      <c r="AI155" s="1608">
        <f t="shared" si="401"/>
        <v>0.2116343490304709</v>
      </c>
      <c r="AJ155" s="1608">
        <f t="shared" si="402"/>
        <v>0.16211453744493393</v>
      </c>
      <c r="AK155" s="1609">
        <f t="shared" si="403"/>
        <v>0.16021505376344086</v>
      </c>
      <c r="AL155" s="1607">
        <f t="shared" si="399"/>
        <v>0.13078470824949698</v>
      </c>
      <c r="AM155" s="1608">
        <f t="shared" si="400"/>
        <v>0.10024752475247525</v>
      </c>
      <c r="AN155" s="1608">
        <f t="shared" si="401"/>
        <v>0.14459833795013852</v>
      </c>
      <c r="AO155" s="1608">
        <f t="shared" si="402"/>
        <v>0.11453744493392071</v>
      </c>
      <c r="AP155" s="1609">
        <f t="shared" si="403"/>
        <v>0.10698924731182796</v>
      </c>
      <c r="AQ155" s="1607">
        <f t="shared" si="399"/>
        <v>5.0301810865191147E-3</v>
      </c>
      <c r="AR155" s="1608">
        <f t="shared" si="400"/>
        <v>1.2376237623762377E-2</v>
      </c>
      <c r="AS155" s="1608">
        <f t="shared" si="401"/>
        <v>4.9861495844875344E-3</v>
      </c>
      <c r="AT155" s="1608">
        <f t="shared" si="402"/>
        <v>8.8105726872246704E-3</v>
      </c>
      <c r="AU155" s="1609" t="e">
        <f t="shared" si="403"/>
        <v>#N/A</v>
      </c>
      <c r="AV155" s="1607">
        <f t="shared" si="399"/>
        <v>0.23440643863179075</v>
      </c>
      <c r="AW155" s="1608">
        <f t="shared" si="400"/>
        <v>0.22896039603960397</v>
      </c>
      <c r="AX155" s="1608">
        <f t="shared" si="401"/>
        <v>0.15401662049861495</v>
      </c>
      <c r="AY155" s="1608">
        <f t="shared" si="402"/>
        <v>6.7841409691629953E-2</v>
      </c>
      <c r="AZ155" s="1609">
        <f t="shared" si="403"/>
        <v>0.23387096774193547</v>
      </c>
      <c r="BA155" s="1607">
        <f t="shared" si="399"/>
        <v>0.26156941649899396</v>
      </c>
      <c r="BB155" s="1608">
        <f t="shared" si="400"/>
        <v>0.2172029702970297</v>
      </c>
      <c r="BC155" s="1608">
        <f t="shared" si="401"/>
        <v>0.24099722991689751</v>
      </c>
      <c r="BD155" s="1608">
        <f t="shared" si="402"/>
        <v>0.35330396475770925</v>
      </c>
      <c r="BE155" s="1609">
        <f t="shared" si="403"/>
        <v>0.27956989247311825</v>
      </c>
      <c r="BF155" s="1607">
        <f t="shared" si="399"/>
        <v>1.659959758551308E-2</v>
      </c>
      <c r="BG155" s="1608">
        <f t="shared" si="400"/>
        <v>1.1757425742574257E-2</v>
      </c>
      <c r="BH155" s="1608">
        <f t="shared" si="401"/>
        <v>1.2742382271468145E-2</v>
      </c>
      <c r="BI155" s="1608">
        <f t="shared" si="402"/>
        <v>2.378854625550661E-2</v>
      </c>
      <c r="BJ155" s="1609">
        <f t="shared" si="403"/>
        <v>1.5591397849462365E-2</v>
      </c>
      <c r="BK155" s="1607">
        <f t="shared" si="399"/>
        <v>8.2997987927565395E-2</v>
      </c>
      <c r="BL155" s="1608">
        <f t="shared" si="400"/>
        <v>5.6311881188118813E-2</v>
      </c>
      <c r="BM155" s="1608">
        <f t="shared" si="401"/>
        <v>8.6426592797783933E-2</v>
      </c>
      <c r="BN155" s="1608">
        <f t="shared" si="402"/>
        <v>0.13039647577092511</v>
      </c>
      <c r="BO155" s="1609">
        <f t="shared" si="403"/>
        <v>8.1720430107526887E-2</v>
      </c>
      <c r="BP155" s="1607">
        <f t="shared" si="399"/>
        <v>3.5714285714285712E-2</v>
      </c>
      <c r="BQ155" s="1608">
        <f t="shared" si="400"/>
        <v>2.7227722772277228E-2</v>
      </c>
      <c r="BR155" s="1608">
        <f t="shared" si="401"/>
        <v>3.3795013850415515E-2</v>
      </c>
      <c r="BS155" s="1608">
        <f t="shared" si="402"/>
        <v>1.6740088105726872E-2</v>
      </c>
      <c r="BT155" s="1609">
        <f t="shared" si="403"/>
        <v>3.6021505376344083E-2</v>
      </c>
      <c r="BU155" s="1607">
        <f t="shared" si="399"/>
        <v>1.1066398390342052E-2</v>
      </c>
      <c r="BV155" s="1608">
        <f t="shared" si="400"/>
        <v>2.5371287128712873E-2</v>
      </c>
      <c r="BW155" s="1608">
        <f t="shared" si="401"/>
        <v>3.2686980609418284E-2</v>
      </c>
      <c r="BX155" s="1608">
        <f t="shared" si="402"/>
        <v>4.405286343612335E-2</v>
      </c>
      <c r="BY155" s="1609">
        <f t="shared" si="403"/>
        <v>1.1290322580645161E-2</v>
      </c>
      <c r="BZ155" s="1605"/>
      <c r="CA155" s="1605"/>
      <c r="CB155" s="1605"/>
      <c r="CC155" s="1605"/>
      <c r="CD155" s="1605"/>
    </row>
    <row r="156" spans="1:82" ht="11.25" customHeight="1" x14ac:dyDescent="0.2">
      <c r="A156" s="142"/>
      <c r="B156" s="1680" t="s">
        <v>24</v>
      </c>
      <c r="C156" s="1680"/>
      <c r="D156" s="1680"/>
      <c r="E156" s="1680"/>
      <c r="F156" s="1680"/>
      <c r="G156" s="1680"/>
      <c r="H156" s="1680"/>
      <c r="I156" s="1680"/>
      <c r="J156" s="12"/>
      <c r="K156" s="9"/>
      <c r="L156" s="9"/>
      <c r="M156" s="9"/>
      <c r="N156" s="9"/>
      <c r="O156" s="9"/>
      <c r="P156" s="9"/>
      <c r="Q156" s="9"/>
      <c r="R156" s="9"/>
      <c r="S156" s="9"/>
      <c r="T156" s="9"/>
      <c r="U156" s="9"/>
      <c r="V156" s="9"/>
      <c r="W156" s="58"/>
      <c r="X156" s="58"/>
      <c r="Y156" s="65"/>
      <c r="Z156" s="137"/>
      <c r="AA156" s="150"/>
      <c r="AB156" s="1607">
        <f t="shared" si="394"/>
        <v>5.8002936857562408E-2</v>
      </c>
      <c r="AC156" s="1608">
        <f t="shared" si="395"/>
        <v>8.1113801452784504E-2</v>
      </c>
      <c r="AD156" s="1608">
        <f t="shared" si="396"/>
        <v>9.3163538873994645E-2</v>
      </c>
      <c r="AE156" s="1608">
        <f t="shared" si="397"/>
        <v>8.3284457478005863E-2</v>
      </c>
      <c r="AF156" s="1609">
        <f t="shared" si="398"/>
        <v>0.13663845223700122</v>
      </c>
      <c r="AG156" s="1607">
        <f t="shared" si="399"/>
        <v>0.18869309838472834</v>
      </c>
      <c r="AH156" s="1608">
        <f t="shared" si="400"/>
        <v>0.2076271186440678</v>
      </c>
      <c r="AI156" s="1608">
        <f t="shared" si="401"/>
        <v>0.22050938337801609</v>
      </c>
      <c r="AJ156" s="1608">
        <f t="shared" si="402"/>
        <v>0.20234604105571846</v>
      </c>
      <c r="AK156" s="1609">
        <f t="shared" si="403"/>
        <v>0.24244256348246676</v>
      </c>
      <c r="AL156" s="1607">
        <f t="shared" si="399"/>
        <v>0.10719530102790015</v>
      </c>
      <c r="AM156" s="1608">
        <f t="shared" si="400"/>
        <v>7.9297820823244547E-2</v>
      </c>
      <c r="AN156" s="1608">
        <f t="shared" si="401"/>
        <v>0.12533512064343164</v>
      </c>
      <c r="AO156" s="1608">
        <f t="shared" si="402"/>
        <v>0.14838709677419354</v>
      </c>
      <c r="AP156" s="1609">
        <f t="shared" si="403"/>
        <v>0.11910519951632406</v>
      </c>
      <c r="AQ156" s="1607">
        <f t="shared" si="399"/>
        <v>3.9647577092511016E-2</v>
      </c>
      <c r="AR156" s="1608">
        <f t="shared" si="400"/>
        <v>2.1186440677966101E-2</v>
      </c>
      <c r="AS156" s="1608">
        <f t="shared" si="401"/>
        <v>1.876675603217158E-2</v>
      </c>
      <c r="AT156" s="1608">
        <f t="shared" si="402"/>
        <v>5.2785923753665689E-3</v>
      </c>
      <c r="AU156" s="1609">
        <f t="shared" si="403"/>
        <v>1.3301088270858524E-2</v>
      </c>
      <c r="AV156" s="1607">
        <f t="shared" si="399"/>
        <v>0.22760646108663729</v>
      </c>
      <c r="AW156" s="1608">
        <f t="shared" si="400"/>
        <v>0.24818401937046006</v>
      </c>
      <c r="AX156" s="1608">
        <f t="shared" si="401"/>
        <v>0.17024128686327078</v>
      </c>
      <c r="AY156" s="1608">
        <f t="shared" si="402"/>
        <v>8.8563049853372433E-2</v>
      </c>
      <c r="AZ156" s="1609">
        <f t="shared" si="403"/>
        <v>0.16807738814993953</v>
      </c>
      <c r="BA156" s="1607">
        <f t="shared" si="399"/>
        <v>0.20925110132158589</v>
      </c>
      <c r="BB156" s="1608">
        <f t="shared" si="400"/>
        <v>0.28329297820823246</v>
      </c>
      <c r="BC156" s="1608">
        <f t="shared" si="401"/>
        <v>0.32037533512064342</v>
      </c>
      <c r="BD156" s="1608">
        <f t="shared" si="402"/>
        <v>0.36187683284457478</v>
      </c>
      <c r="BE156" s="1609">
        <f t="shared" si="403"/>
        <v>0.24365175332527206</v>
      </c>
      <c r="BF156" s="1607">
        <f t="shared" si="399"/>
        <v>1.7621145374449341E-2</v>
      </c>
      <c r="BG156" s="1608">
        <f t="shared" si="400"/>
        <v>2.8450363196125907E-2</v>
      </c>
      <c r="BH156" s="1608" t="e">
        <f t="shared" si="401"/>
        <v>#N/A</v>
      </c>
      <c r="BI156" s="1608">
        <f t="shared" si="402"/>
        <v>2.404692082111437E-2</v>
      </c>
      <c r="BJ156" s="1609">
        <f t="shared" si="403"/>
        <v>1.9951632406287789E-2</v>
      </c>
      <c r="BK156" s="1607">
        <f t="shared" si="399"/>
        <v>0.15198237885462554</v>
      </c>
      <c r="BL156" s="1608">
        <f t="shared" si="400"/>
        <v>4.0556900726392252E-2</v>
      </c>
      <c r="BM156" s="1608">
        <f t="shared" si="401"/>
        <v>3.5522788203753354E-2</v>
      </c>
      <c r="BN156" s="1608">
        <f t="shared" si="402"/>
        <v>5.1026392961876832E-2</v>
      </c>
      <c r="BO156" s="1609">
        <f t="shared" si="403"/>
        <v>3.2043530834340993E-2</v>
      </c>
      <c r="BP156" s="1607" t="e">
        <f t="shared" si="399"/>
        <v>#N/A</v>
      </c>
      <c r="BQ156" s="1608">
        <f t="shared" si="400"/>
        <v>1.0290556900726392E-2</v>
      </c>
      <c r="BR156" s="1608">
        <f t="shared" si="401"/>
        <v>1.6085790884718499E-2</v>
      </c>
      <c r="BS156" s="1608">
        <f t="shared" si="402"/>
        <v>1.6422287390029325E-2</v>
      </c>
      <c r="BT156" s="1609">
        <f t="shared" si="403"/>
        <v>1.9951632406287789E-2</v>
      </c>
      <c r="BU156" s="1607" t="e">
        <f t="shared" si="399"/>
        <v>#N/A</v>
      </c>
      <c r="BV156" s="1608">
        <f t="shared" si="400"/>
        <v>0</v>
      </c>
      <c r="BW156" s="1608" t="e">
        <f t="shared" si="401"/>
        <v>#N/A</v>
      </c>
      <c r="BX156" s="1608">
        <f t="shared" si="402"/>
        <v>1.8768328445747801E-2</v>
      </c>
      <c r="BY156" s="1609">
        <f t="shared" si="403"/>
        <v>4.8367593712212815E-3</v>
      </c>
      <c r="BZ156" s="1605"/>
      <c r="CA156" s="1605"/>
      <c r="CB156" s="1605"/>
      <c r="CC156" s="1605"/>
      <c r="CD156" s="1605"/>
    </row>
    <row r="157" spans="1:82" ht="11.25" customHeight="1" x14ac:dyDescent="0.2">
      <c r="A157" s="142"/>
      <c r="B157" s="1680"/>
      <c r="C157" s="1680"/>
      <c r="D157" s="1680"/>
      <c r="E157" s="1680"/>
      <c r="F157" s="1680"/>
      <c r="G157" s="1680"/>
      <c r="H157" s="1680"/>
      <c r="I157" s="1680"/>
      <c r="J157" s="12"/>
      <c r="K157" s="9"/>
      <c r="L157" s="9"/>
      <c r="M157" s="9"/>
      <c r="N157" s="9"/>
      <c r="O157" s="9"/>
      <c r="P157" s="9"/>
      <c r="Q157" s="9"/>
      <c r="R157" s="9"/>
      <c r="S157" s="9"/>
      <c r="T157" s="9"/>
      <c r="U157" s="9"/>
      <c r="V157" s="9"/>
      <c r="W157" s="58"/>
      <c r="X157" s="58"/>
      <c r="Y157" s="65"/>
      <c r="Z157" s="137"/>
      <c r="AA157" s="150"/>
      <c r="AB157" s="1607">
        <f t="shared" si="394"/>
        <v>0.24757579477108138</v>
      </c>
      <c r="AC157" s="1608">
        <f t="shared" si="395"/>
        <v>0.2415055485642375</v>
      </c>
      <c r="AD157" s="1608">
        <f t="shared" si="396"/>
        <v>9.1945972986493249E-2</v>
      </c>
      <c r="AE157" s="1608">
        <f t="shared" si="397"/>
        <v>0.12976501305483029</v>
      </c>
      <c r="AF157" s="1609">
        <f t="shared" si="398"/>
        <v>8.8061643150205149E-2</v>
      </c>
      <c r="AG157" s="1607">
        <f t="shared" si="399"/>
        <v>0.1477844605376212</v>
      </c>
      <c r="AH157" s="1608">
        <f t="shared" si="400"/>
        <v>0.17778286237272622</v>
      </c>
      <c r="AI157" s="1608">
        <f t="shared" si="401"/>
        <v>0.18779389694847423</v>
      </c>
      <c r="AJ157" s="1608">
        <f t="shared" si="402"/>
        <v>0.15091383812010445</v>
      </c>
      <c r="AK157" s="1609">
        <f t="shared" si="403"/>
        <v>0.20294205944160912</v>
      </c>
      <c r="AL157" s="1607">
        <f t="shared" si="399"/>
        <v>9.389959494292377E-2</v>
      </c>
      <c r="AM157" s="1608">
        <f t="shared" si="400"/>
        <v>0.1141745795675552</v>
      </c>
      <c r="AN157" s="1608">
        <f t="shared" si="401"/>
        <v>0.10835417708854428</v>
      </c>
      <c r="AO157" s="1608">
        <f t="shared" si="402"/>
        <v>0.15874673629242819</v>
      </c>
      <c r="AP157" s="1609">
        <f t="shared" si="403"/>
        <v>0.13169218452917042</v>
      </c>
      <c r="AQ157" s="1607">
        <f t="shared" si="399"/>
        <v>1.7306984165950657E-2</v>
      </c>
      <c r="AR157" s="1608">
        <f t="shared" si="400"/>
        <v>1.3728406360828281E-2</v>
      </c>
      <c r="AS157" s="1608">
        <f t="shared" si="401"/>
        <v>1.8209104552276138E-2</v>
      </c>
      <c r="AT157" s="1608">
        <f t="shared" si="402"/>
        <v>8.3550913838120102E-3</v>
      </c>
      <c r="AU157" s="1609">
        <f t="shared" si="403"/>
        <v>2.0614430101070749E-2</v>
      </c>
      <c r="AV157" s="1607">
        <f t="shared" si="399"/>
        <v>9.5618018902663554E-2</v>
      </c>
      <c r="AW157" s="1608">
        <f t="shared" si="400"/>
        <v>7.5735041757236013E-2</v>
      </c>
      <c r="AX157" s="1608">
        <f t="shared" si="401"/>
        <v>0.18199099549774889</v>
      </c>
      <c r="AY157" s="1608">
        <f t="shared" si="402"/>
        <v>0.15091383812010445</v>
      </c>
      <c r="AZ157" s="1609">
        <f t="shared" si="403"/>
        <v>0.17562293605523865</v>
      </c>
      <c r="BA157" s="1607">
        <f t="shared" si="399"/>
        <v>0.31447158463238001</v>
      </c>
      <c r="BB157" s="1608">
        <f t="shared" si="400"/>
        <v>0.30774510925523396</v>
      </c>
      <c r="BC157" s="1608">
        <f t="shared" si="401"/>
        <v>0.29144572286143072</v>
      </c>
      <c r="BD157" s="1608">
        <f t="shared" si="402"/>
        <v>0.26318537859007834</v>
      </c>
      <c r="BE157" s="1609">
        <f t="shared" si="403"/>
        <v>0.27979585709996996</v>
      </c>
      <c r="BF157" s="1607">
        <f t="shared" si="399"/>
        <v>4.1242175033754755E-2</v>
      </c>
      <c r="BG157" s="1608">
        <f t="shared" si="400"/>
        <v>3.5465049765473058E-2</v>
      </c>
      <c r="BH157" s="1608">
        <f t="shared" si="401"/>
        <v>3.6318159079539773E-2</v>
      </c>
      <c r="BI157" s="1608">
        <f t="shared" si="402"/>
        <v>3.5509138381201046E-2</v>
      </c>
      <c r="BJ157" s="1609">
        <f t="shared" si="403"/>
        <v>3.4223956769738814E-2</v>
      </c>
      <c r="BK157" s="1607">
        <f t="shared" si="399"/>
        <v>8.2238860930403824E-3</v>
      </c>
      <c r="BL157" s="1608">
        <f t="shared" si="400"/>
        <v>4.4617320672691915E-3</v>
      </c>
      <c r="BM157" s="1608">
        <f t="shared" si="401"/>
        <v>6.9034517258629316E-2</v>
      </c>
      <c r="BN157" s="1608">
        <f t="shared" si="402"/>
        <v>6.1096605744125329E-2</v>
      </c>
      <c r="BO157" s="1609">
        <f t="shared" si="403"/>
        <v>6.2343640548383872E-2</v>
      </c>
      <c r="BP157" s="1607">
        <f t="shared" si="399"/>
        <v>0</v>
      </c>
      <c r="BQ157" s="1608">
        <f t="shared" si="400"/>
        <v>0</v>
      </c>
      <c r="BR157" s="1608">
        <f t="shared" si="401"/>
        <v>0</v>
      </c>
      <c r="BS157" s="1608">
        <f t="shared" si="402"/>
        <v>3.9686684073107048E-2</v>
      </c>
      <c r="BT157" s="1609">
        <f t="shared" si="403"/>
        <v>0</v>
      </c>
      <c r="BU157" s="1607">
        <f t="shared" si="399"/>
        <v>3.3877500920584266E-2</v>
      </c>
      <c r="BV157" s="1608">
        <f t="shared" si="400"/>
        <v>2.9401670289440567E-2</v>
      </c>
      <c r="BW157" s="1608">
        <f t="shared" si="401"/>
        <v>1.4907453726863432E-2</v>
      </c>
      <c r="BX157" s="1608">
        <f t="shared" si="402"/>
        <v>1.8276762402088772E-3</v>
      </c>
      <c r="BY157" s="1609">
        <f t="shared" si="403"/>
        <v>4.7032923046132291E-3</v>
      </c>
      <c r="BZ157" s="1605"/>
      <c r="CA157" s="1605"/>
      <c r="CB157" s="1605"/>
      <c r="CC157" s="1605"/>
      <c r="CD157" s="1605"/>
    </row>
    <row r="158" spans="1:82" ht="11.25" customHeight="1" x14ac:dyDescent="0.2">
      <c r="A158" s="142"/>
      <c r="B158" s="1680" t="s">
        <v>22</v>
      </c>
      <c r="C158" s="1680"/>
      <c r="D158" s="1680"/>
      <c r="E158" s="1680"/>
      <c r="F158" s="1680"/>
      <c r="G158" s="1680"/>
      <c r="H158" s="1680"/>
      <c r="I158" s="1680"/>
      <c r="J158" s="12"/>
      <c r="K158" s="9"/>
      <c r="L158" s="9"/>
      <c r="M158" s="9"/>
      <c r="N158" s="9"/>
      <c r="O158" s="9"/>
      <c r="P158" s="9"/>
      <c r="Q158" s="9"/>
      <c r="R158" s="9"/>
      <c r="S158" s="9"/>
      <c r="T158" s="9"/>
      <c r="U158" s="9"/>
      <c r="V158" s="9"/>
      <c r="W158" s="58"/>
      <c r="X158" s="58"/>
      <c r="Y158" s="65"/>
      <c r="Z158" s="137"/>
      <c r="AA158" s="150"/>
      <c r="AB158" s="1607">
        <f t="shared" si="394"/>
        <v>9.4509450945094511E-2</v>
      </c>
      <c r="AC158" s="1608">
        <f t="shared" si="395"/>
        <v>3.7373737373737372E-2</v>
      </c>
      <c r="AD158" s="1608">
        <f t="shared" si="396"/>
        <v>0.13854853911404336</v>
      </c>
      <c r="AE158" s="1608">
        <f t="shared" si="397"/>
        <v>5.5212831585441088E-2</v>
      </c>
      <c r="AF158" s="1609">
        <f t="shared" si="398"/>
        <v>7.1533923303834804E-2</v>
      </c>
      <c r="AG158" s="1607">
        <f t="shared" si="399"/>
        <v>0.11521152115211521</v>
      </c>
      <c r="AH158" s="1608">
        <f t="shared" si="400"/>
        <v>0.16666666666666666</v>
      </c>
      <c r="AI158" s="1608">
        <f t="shared" si="401"/>
        <v>9.1423185673892557E-2</v>
      </c>
      <c r="AJ158" s="1608">
        <f t="shared" si="402"/>
        <v>0.20141887723627391</v>
      </c>
      <c r="AK158" s="1609">
        <f t="shared" si="403"/>
        <v>0.20943952802359883</v>
      </c>
      <c r="AL158" s="1607">
        <f t="shared" si="399"/>
        <v>9.9909990999099904E-2</v>
      </c>
      <c r="AM158" s="1608">
        <f t="shared" si="400"/>
        <v>7.1717171717171721E-2</v>
      </c>
      <c r="AN158" s="1608">
        <f t="shared" si="401"/>
        <v>0.12535344015080113</v>
      </c>
      <c r="AO158" s="1608">
        <f t="shared" si="402"/>
        <v>0.12769895126465144</v>
      </c>
      <c r="AP158" s="1609">
        <f t="shared" si="403"/>
        <v>0.12094395280235988</v>
      </c>
      <c r="AQ158" s="1607">
        <f t="shared" si="399"/>
        <v>9.9009900990099011E-3</v>
      </c>
      <c r="AR158" s="1608" t="e">
        <f t="shared" si="400"/>
        <v>#N/A</v>
      </c>
      <c r="AS158" s="1608">
        <f t="shared" si="401"/>
        <v>6.5975494816211122E-3</v>
      </c>
      <c r="AT158" s="1608">
        <f t="shared" si="402"/>
        <v>1.1721159777914868E-2</v>
      </c>
      <c r="AU158" s="1609">
        <f t="shared" si="403"/>
        <v>1.1061946902654867E-2</v>
      </c>
      <c r="AV158" s="1607">
        <f t="shared" si="399"/>
        <v>0.38073807380738073</v>
      </c>
      <c r="AW158" s="1608">
        <f t="shared" si="400"/>
        <v>0.41414141414141414</v>
      </c>
      <c r="AX158" s="1608">
        <f t="shared" si="401"/>
        <v>9.8963242224316683E-2</v>
      </c>
      <c r="AY158" s="1608">
        <f t="shared" si="402"/>
        <v>8.3590376310919187E-2</v>
      </c>
      <c r="AZ158" s="1609">
        <f t="shared" si="403"/>
        <v>0.11725663716814159</v>
      </c>
      <c r="BA158" s="1607">
        <f t="shared" si="399"/>
        <v>0.23852385238523852</v>
      </c>
      <c r="BB158" s="1608">
        <f t="shared" si="400"/>
        <v>0.27676767676767677</v>
      </c>
      <c r="BC158" s="1608">
        <f t="shared" si="401"/>
        <v>0.35061262959472195</v>
      </c>
      <c r="BD158" s="1608">
        <f t="shared" si="402"/>
        <v>0.37446020974706973</v>
      </c>
      <c r="BE158" s="1609">
        <f t="shared" si="403"/>
        <v>0.37315634218289084</v>
      </c>
      <c r="BF158" s="1607">
        <f t="shared" si="399"/>
        <v>2.5202520252025202E-2</v>
      </c>
      <c r="BG158" s="1608">
        <f t="shared" si="400"/>
        <v>8.0808080808080808E-3</v>
      </c>
      <c r="BH158" s="1608">
        <f t="shared" si="401"/>
        <v>1.3195098963242224E-2</v>
      </c>
      <c r="BI158" s="1608">
        <f t="shared" si="402"/>
        <v>3.8247995064774831E-2</v>
      </c>
      <c r="BJ158" s="1609">
        <f t="shared" si="403"/>
        <v>1.3274336283185841E-2</v>
      </c>
      <c r="BK158" s="1607">
        <f t="shared" si="399"/>
        <v>2.9702970297029702E-2</v>
      </c>
      <c r="BL158" s="1608">
        <f t="shared" si="400"/>
        <v>1.8181818181818181E-2</v>
      </c>
      <c r="BM158" s="1608">
        <f t="shared" si="401"/>
        <v>2.827521206409048E-2</v>
      </c>
      <c r="BN158" s="1608">
        <f t="shared" si="402"/>
        <v>2.4059222702035782E-2</v>
      </c>
      <c r="BO158" s="1609">
        <f t="shared" si="403"/>
        <v>5.2359882005899708E-2</v>
      </c>
      <c r="BP158" s="1607">
        <f t="shared" si="399"/>
        <v>6.3006300630063005E-3</v>
      </c>
      <c r="BQ158" s="1608" t="e">
        <f t="shared" si="400"/>
        <v>#N/A</v>
      </c>
      <c r="BR158" s="1608">
        <f t="shared" si="401"/>
        <v>2.1677662582469368E-2</v>
      </c>
      <c r="BS158" s="1608">
        <f t="shared" si="402"/>
        <v>2.961135101789019E-2</v>
      </c>
      <c r="BT158" s="1609">
        <f t="shared" si="403"/>
        <v>3.0973451327433628E-2</v>
      </c>
      <c r="BU158" s="1607" t="e">
        <f t="shared" si="399"/>
        <v>#N/A</v>
      </c>
      <c r="BV158" s="1608">
        <f t="shared" si="400"/>
        <v>7.0707070707070711E-3</v>
      </c>
      <c r="BW158" s="1608">
        <f t="shared" si="401"/>
        <v>0.12535344015080113</v>
      </c>
      <c r="BX158" s="1608">
        <f t="shared" si="402"/>
        <v>5.3979025293028997E-2</v>
      </c>
      <c r="BY158" s="1609">
        <f t="shared" si="403"/>
        <v>0</v>
      </c>
      <c r="BZ158" s="1605"/>
      <c r="CA158" s="1605"/>
      <c r="CB158" s="1605"/>
      <c r="CC158" s="1605"/>
      <c r="CD158" s="1605"/>
    </row>
    <row r="159" spans="1:82" ht="11.25" customHeight="1" x14ac:dyDescent="0.2">
      <c r="A159" s="142"/>
      <c r="B159" s="1680"/>
      <c r="C159" s="1680"/>
      <c r="D159" s="1680"/>
      <c r="E159" s="1680"/>
      <c r="F159" s="1680"/>
      <c r="G159" s="1680"/>
      <c r="H159" s="1680"/>
      <c r="I159" s="1680"/>
      <c r="J159" s="12"/>
      <c r="K159" s="9"/>
      <c r="L159" s="9"/>
      <c r="M159" s="9"/>
      <c r="N159" s="9"/>
      <c r="O159" s="9"/>
      <c r="P159" s="9"/>
      <c r="Q159" s="9"/>
      <c r="R159" s="9"/>
      <c r="S159" s="9"/>
      <c r="T159" s="9"/>
      <c r="U159" s="9"/>
      <c r="V159" s="9"/>
      <c r="W159" s="58"/>
      <c r="X159" s="58"/>
      <c r="Y159" s="65"/>
      <c r="Z159" s="137"/>
      <c r="AA159" s="150"/>
      <c r="AB159" s="1607">
        <f t="shared" si="394"/>
        <v>0.32769367764915402</v>
      </c>
      <c r="AC159" s="1608">
        <f t="shared" si="395"/>
        <v>0.10143329658213891</v>
      </c>
      <c r="AD159" s="1608">
        <f t="shared" si="396"/>
        <v>8.9167280766396462E-2</v>
      </c>
      <c r="AE159" s="1608">
        <f t="shared" si="397"/>
        <v>8.138873079112123E-2</v>
      </c>
      <c r="AF159" s="1609">
        <f t="shared" si="398"/>
        <v>8.4090909090909091E-2</v>
      </c>
      <c r="AG159" s="1607">
        <f t="shared" si="399"/>
        <v>0.17542297417631345</v>
      </c>
      <c r="AH159" s="1608">
        <f t="shared" si="400"/>
        <v>0.17420066152149946</v>
      </c>
      <c r="AI159" s="1608">
        <f t="shared" si="401"/>
        <v>0.15327929255711129</v>
      </c>
      <c r="AJ159" s="1608">
        <f t="shared" si="402"/>
        <v>0.16789982925441094</v>
      </c>
      <c r="AK159" s="1609">
        <f t="shared" si="403"/>
        <v>0.20397727272727273</v>
      </c>
      <c r="AL159" s="1607">
        <f t="shared" si="399"/>
        <v>4.7195013357079249E-2</v>
      </c>
      <c r="AM159" s="1608">
        <f t="shared" si="400"/>
        <v>0.14222712238147739</v>
      </c>
      <c r="AN159" s="1608">
        <f t="shared" si="401"/>
        <v>0.12896094325718496</v>
      </c>
      <c r="AO159" s="1608">
        <f t="shared" si="402"/>
        <v>0.13375071143995446</v>
      </c>
      <c r="AP159" s="1609">
        <f t="shared" si="403"/>
        <v>0.12556818181818183</v>
      </c>
      <c r="AQ159" s="1607" t="e">
        <f t="shared" si="399"/>
        <v>#N/A</v>
      </c>
      <c r="AR159" s="1608">
        <f t="shared" si="400"/>
        <v>1.1025358324145534E-2</v>
      </c>
      <c r="AS159" s="1608">
        <f t="shared" si="401"/>
        <v>7.3691967575534268E-3</v>
      </c>
      <c r="AT159" s="1608">
        <f t="shared" si="402"/>
        <v>0</v>
      </c>
      <c r="AU159" s="1609">
        <f t="shared" si="403"/>
        <v>6.2500000000000003E-3</v>
      </c>
      <c r="AV159" s="1607">
        <f t="shared" si="399"/>
        <v>4.0961709706144253E-2</v>
      </c>
      <c r="AW159" s="1608">
        <f t="shared" si="400"/>
        <v>0.10694597574421169</v>
      </c>
      <c r="AX159" s="1608">
        <f t="shared" si="401"/>
        <v>0.10390567428150331</v>
      </c>
      <c r="AY159" s="1608">
        <f t="shared" si="402"/>
        <v>0.15139442231075698</v>
      </c>
      <c r="AZ159" s="1609">
        <f t="shared" si="403"/>
        <v>0.13693181818181818</v>
      </c>
      <c r="BA159" s="1607">
        <f t="shared" si="399"/>
        <v>0.37399821905609976</v>
      </c>
      <c r="BB159" s="1608">
        <f t="shared" si="400"/>
        <v>0.36604189636163176</v>
      </c>
      <c r="BC159" s="1608">
        <f t="shared" si="401"/>
        <v>0.42815033161385407</v>
      </c>
      <c r="BD159" s="1608">
        <f t="shared" si="402"/>
        <v>0.292544109277177</v>
      </c>
      <c r="BE159" s="1609">
        <f t="shared" si="403"/>
        <v>0.36420454545454545</v>
      </c>
      <c r="BF159" s="1607">
        <f t="shared" si="399"/>
        <v>0</v>
      </c>
      <c r="BG159" s="1608">
        <f t="shared" si="400"/>
        <v>5.6229327453142228E-2</v>
      </c>
      <c r="BH159" s="1608">
        <f t="shared" si="401"/>
        <v>3.021370670596905E-2</v>
      </c>
      <c r="BI159" s="1608">
        <f t="shared" si="402"/>
        <v>1.6505406943653957E-2</v>
      </c>
      <c r="BJ159" s="1609">
        <f t="shared" si="403"/>
        <v>2.5000000000000001E-2</v>
      </c>
      <c r="BK159" s="1607" t="e">
        <f t="shared" si="399"/>
        <v>#N/A</v>
      </c>
      <c r="BL159" s="1608">
        <f t="shared" si="400"/>
        <v>1.9845644983461964E-2</v>
      </c>
      <c r="BM159" s="1608">
        <f t="shared" si="401"/>
        <v>4.5689019896831246E-2</v>
      </c>
      <c r="BN159" s="1608">
        <f t="shared" si="402"/>
        <v>9.2771770062606715E-2</v>
      </c>
      <c r="BO159" s="1609">
        <f t="shared" si="403"/>
        <v>3.9772727272727272E-2</v>
      </c>
      <c r="BP159" s="1607">
        <f t="shared" si="399"/>
        <v>3.4728406055209264E-2</v>
      </c>
      <c r="BQ159" s="1608">
        <f t="shared" si="400"/>
        <v>2.2050716648291068E-2</v>
      </c>
      <c r="BR159" s="1608">
        <f t="shared" si="401"/>
        <v>1.3264554163596167E-2</v>
      </c>
      <c r="BS159" s="1608">
        <f t="shared" si="402"/>
        <v>4.4393853158793399E-2</v>
      </c>
      <c r="BT159" s="1609">
        <f t="shared" si="403"/>
        <v>1.4204545454545454E-2</v>
      </c>
      <c r="BU159" s="1607">
        <f t="shared" si="399"/>
        <v>0</v>
      </c>
      <c r="BV159" s="1608">
        <f t="shared" si="400"/>
        <v>0</v>
      </c>
      <c r="BW159" s="1608" t="e">
        <f t="shared" si="401"/>
        <v>#N/A</v>
      </c>
      <c r="BX159" s="1608">
        <f t="shared" si="402"/>
        <v>1.9351166761525328E-2</v>
      </c>
      <c r="BY159" s="1609" t="e">
        <f t="shared" si="403"/>
        <v>#N/A</v>
      </c>
      <c r="BZ159" s="1605"/>
      <c r="CA159" s="1605"/>
      <c r="CB159" s="1605"/>
      <c r="CC159" s="1605"/>
      <c r="CD159" s="1605"/>
    </row>
    <row r="160" spans="1:82" ht="11.25" customHeight="1" x14ac:dyDescent="0.2">
      <c r="A160" s="142"/>
      <c r="B160" s="1680" t="s">
        <v>25</v>
      </c>
      <c r="C160" s="1680"/>
      <c r="D160" s="1680"/>
      <c r="E160" s="1680"/>
      <c r="F160" s="1680"/>
      <c r="G160" s="1680"/>
      <c r="H160" s="1680"/>
      <c r="I160" s="1680"/>
      <c r="J160" s="12"/>
      <c r="K160" s="9"/>
      <c r="L160" s="9"/>
      <c r="M160" s="9"/>
      <c r="N160" s="9"/>
      <c r="O160" s="9"/>
      <c r="P160" s="9"/>
      <c r="Q160" s="9"/>
      <c r="R160" s="9"/>
      <c r="S160" s="9"/>
      <c r="T160" s="9"/>
      <c r="U160" s="9"/>
      <c r="V160" s="9"/>
      <c r="W160" s="58"/>
      <c r="X160" s="58"/>
      <c r="Y160" s="65"/>
      <c r="Z160" s="137"/>
      <c r="AA160" s="150"/>
      <c r="AB160" s="1607">
        <f t="shared" si="394"/>
        <v>9.3810444874274659E-2</v>
      </c>
      <c r="AC160" s="1608">
        <f t="shared" si="395"/>
        <v>9.0537780803267534E-2</v>
      </c>
      <c r="AD160" s="1608">
        <f t="shared" si="396"/>
        <v>8.5450614636935388E-2</v>
      </c>
      <c r="AE160" s="1608">
        <f t="shared" si="397"/>
        <v>8.3205006712469401E-2</v>
      </c>
      <c r="AF160" s="1609">
        <f t="shared" si="398"/>
        <v>8.2491082045184308E-2</v>
      </c>
      <c r="AG160" s="1607">
        <f t="shared" si="399"/>
        <v>0.19623244470608023</v>
      </c>
      <c r="AH160" s="1608">
        <f t="shared" si="400"/>
        <v>0.20490939738727348</v>
      </c>
      <c r="AI160" s="1608">
        <f t="shared" si="401"/>
        <v>0.19648727844482561</v>
      </c>
      <c r="AJ160" s="1608">
        <f t="shared" si="402"/>
        <v>0.20812603648424544</v>
      </c>
      <c r="AK160" s="1609">
        <f t="shared" si="403"/>
        <v>0.21431069455130447</v>
      </c>
      <c r="AL160" s="1607">
        <f t="shared" si="399"/>
        <v>0.1286266924564797</v>
      </c>
      <c r="AM160" s="1608">
        <f t="shared" si="400"/>
        <v>0.12827806411877207</v>
      </c>
      <c r="AN160" s="1608">
        <f t="shared" si="401"/>
        <v>0.12660806174957118</v>
      </c>
      <c r="AO160" s="1608">
        <f t="shared" si="402"/>
        <v>0.13191976624812446</v>
      </c>
      <c r="AP160" s="1609">
        <f t="shared" si="403"/>
        <v>0.14306323004826188</v>
      </c>
      <c r="AQ160" s="1607">
        <f t="shared" si="399"/>
        <v>1.4229249011857707E-2</v>
      </c>
      <c r="AR160" s="1608">
        <f t="shared" si="400"/>
        <v>1.3614703880190605E-2</v>
      </c>
      <c r="AS160" s="1608">
        <f t="shared" si="401"/>
        <v>1.3498785020011434E-2</v>
      </c>
      <c r="AT160" s="1608">
        <f t="shared" si="402"/>
        <v>1.1954118297401879E-2</v>
      </c>
      <c r="AU160" s="1609">
        <f t="shared" si="403"/>
        <v>1.4478561936070505E-2</v>
      </c>
      <c r="AV160" s="1607">
        <f t="shared" si="399"/>
        <v>0.11455722815574805</v>
      </c>
      <c r="AW160" s="1608">
        <f t="shared" si="400"/>
        <v>0.11912055496126292</v>
      </c>
      <c r="AX160" s="1608">
        <f t="shared" si="401"/>
        <v>0.12562535734705546</v>
      </c>
      <c r="AY160" s="1608">
        <f t="shared" si="402"/>
        <v>0.11663902708678828</v>
      </c>
      <c r="AZ160" s="1609">
        <f t="shared" si="403"/>
        <v>0.132886269846821</v>
      </c>
      <c r="BA160" s="1607">
        <f t="shared" si="399"/>
        <v>0.29895719451686148</v>
      </c>
      <c r="BB160" s="1608">
        <f t="shared" si="400"/>
        <v>0.31479140328697852</v>
      </c>
      <c r="BC160" s="1608">
        <f t="shared" si="401"/>
        <v>0.31540344482561461</v>
      </c>
      <c r="BD160" s="1608">
        <f t="shared" si="402"/>
        <v>0.30807273158019427</v>
      </c>
      <c r="BE160" s="1609">
        <f t="shared" si="403"/>
        <v>0.29632090648387771</v>
      </c>
      <c r="BF160" s="1607">
        <f t="shared" si="399"/>
        <v>3.3781851820704735E-2</v>
      </c>
      <c r="BG160" s="1608">
        <f t="shared" si="400"/>
        <v>3.3007552919057347E-2</v>
      </c>
      <c r="BH160" s="1608">
        <f t="shared" si="401"/>
        <v>2.8257218410520299E-2</v>
      </c>
      <c r="BI160" s="1608">
        <f t="shared" si="402"/>
        <v>3.4352049277422414E-2</v>
      </c>
      <c r="BJ160" s="1609">
        <f t="shared" si="403"/>
        <v>3.5470728124781421E-2</v>
      </c>
      <c r="BK160" s="1607">
        <f t="shared" si="399"/>
        <v>6.0667731898074173E-2</v>
      </c>
      <c r="BL160" s="1608">
        <f t="shared" si="400"/>
        <v>6.6177185646212194E-2</v>
      </c>
      <c r="BM160" s="1608">
        <f t="shared" si="401"/>
        <v>7.0031089193825044E-2</v>
      </c>
      <c r="BN160" s="1608">
        <f t="shared" si="402"/>
        <v>6.0718234225696915E-2</v>
      </c>
      <c r="BO160" s="1609">
        <f t="shared" si="403"/>
        <v>4.9704483458068126E-2</v>
      </c>
      <c r="BP160" s="1607">
        <f t="shared" si="399"/>
        <v>1.9931040282566648E-2</v>
      </c>
      <c r="BQ160" s="1608">
        <f t="shared" si="400"/>
        <v>1.8525722065545074E-2</v>
      </c>
      <c r="BR160" s="1608">
        <f t="shared" si="401"/>
        <v>1.9162735849056603E-2</v>
      </c>
      <c r="BS160" s="1608">
        <f t="shared" si="402"/>
        <v>2.1154149885493169E-2</v>
      </c>
      <c r="BT160" s="1609">
        <f t="shared" si="403"/>
        <v>1.7451213541302371E-2</v>
      </c>
      <c r="BU160" s="1607">
        <f t="shared" si="399"/>
        <v>3.9206122277352623E-2</v>
      </c>
      <c r="BV160" s="1608">
        <f t="shared" si="400"/>
        <v>1.1037634931440242E-2</v>
      </c>
      <c r="BW160" s="1608">
        <f t="shared" si="401"/>
        <v>1.9475414522584333E-2</v>
      </c>
      <c r="BX160" s="1608">
        <f t="shared" si="402"/>
        <v>2.3858880202163785E-2</v>
      </c>
      <c r="BY160" s="1609">
        <f t="shared" si="403"/>
        <v>1.3822829964328182E-2</v>
      </c>
      <c r="BZ160" s="1605"/>
      <c r="CA160" s="1605"/>
      <c r="CB160" s="1605"/>
      <c r="CC160" s="1605"/>
      <c r="CD160" s="1605"/>
    </row>
    <row r="161" spans="1:82" ht="11.25" customHeight="1" x14ac:dyDescent="0.2">
      <c r="A161" s="142"/>
      <c r="B161" s="1680"/>
      <c r="C161" s="1680"/>
      <c r="D161" s="1680"/>
      <c r="E161" s="1680"/>
      <c r="F161" s="1680"/>
      <c r="G161" s="1680"/>
      <c r="H161" s="1680"/>
      <c r="I161" s="1680"/>
      <c r="J161" s="12"/>
      <c r="K161" s="9"/>
      <c r="L161" s="9"/>
      <c r="M161" s="9"/>
      <c r="N161" s="9"/>
      <c r="O161" s="9"/>
      <c r="P161" s="9"/>
      <c r="Q161" s="9"/>
      <c r="R161" s="9"/>
      <c r="S161" s="9"/>
      <c r="T161" s="9"/>
      <c r="U161" s="9"/>
      <c r="V161" s="9"/>
      <c r="W161" s="58"/>
      <c r="X161" s="58"/>
      <c r="Y161" s="65"/>
      <c r="Z161" s="137"/>
      <c r="AA161" s="150"/>
      <c r="AB161" s="1607">
        <f t="shared" si="394"/>
        <v>9.1798477802629244E-2</v>
      </c>
      <c r="AC161" s="1608">
        <f t="shared" si="395"/>
        <v>8.2213830248251102E-2</v>
      </c>
      <c r="AD161" s="1608">
        <f t="shared" si="396"/>
        <v>8.066214051415059E-2</v>
      </c>
      <c r="AE161" s="1608">
        <f t="shared" si="397"/>
        <v>7.9810114914275185E-2</v>
      </c>
      <c r="AF161" s="1609">
        <f t="shared" si="398"/>
        <v>8.1324457992472551E-2</v>
      </c>
      <c r="AG161" s="1607">
        <f t="shared" si="399"/>
        <v>0.19400775580478544</v>
      </c>
      <c r="AH161" s="1608">
        <f t="shared" si="400"/>
        <v>0.20361542747477249</v>
      </c>
      <c r="AI161" s="1608">
        <f t="shared" si="401"/>
        <v>0.20166297963231367</v>
      </c>
      <c r="AJ161" s="1608">
        <f t="shared" si="402"/>
        <v>0.20397283844404843</v>
      </c>
      <c r="AK161" s="1609">
        <f t="shared" si="403"/>
        <v>0.20317894802326666</v>
      </c>
      <c r="AL161" s="1607">
        <f t="shared" si="399"/>
        <v>0.14333757059874169</v>
      </c>
      <c r="AM161" s="1608">
        <f t="shared" si="400"/>
        <v>0.14444685197796076</v>
      </c>
      <c r="AN161" s="1608">
        <f t="shared" si="401"/>
        <v>0.14765428331680525</v>
      </c>
      <c r="AO161" s="1608">
        <f t="shared" si="402"/>
        <v>0.14605481472377557</v>
      </c>
      <c r="AP161" s="1609">
        <f t="shared" si="403"/>
        <v>0.14977137702572396</v>
      </c>
      <c r="AQ161" s="1607">
        <f t="shared" si="399"/>
        <v>1.5624245739939176E-2</v>
      </c>
      <c r="AR161" s="1608">
        <f t="shared" si="400"/>
        <v>1.5430570172723333E-2</v>
      </c>
      <c r="AS161" s="1608">
        <f t="shared" si="401"/>
        <v>1.4402319017468914E-2</v>
      </c>
      <c r="AT161" s="1608">
        <f t="shared" si="402"/>
        <v>1.3119891845388067E-2</v>
      </c>
      <c r="AU161" s="1609">
        <f t="shared" si="403"/>
        <v>1.2908644125789294E-2</v>
      </c>
      <c r="AV161" s="1607">
        <f t="shared" si="399"/>
        <v>0.13395658680225916</v>
      </c>
      <c r="AW161" s="1608">
        <f t="shared" si="400"/>
        <v>0.13642976536866216</v>
      </c>
      <c r="AX161" s="1608">
        <f t="shared" si="401"/>
        <v>0.13633381646197268</v>
      </c>
      <c r="AY161" s="1608">
        <f t="shared" si="402"/>
        <v>0.13336508326676089</v>
      </c>
      <c r="AZ161" s="1609">
        <f t="shared" si="403"/>
        <v>0.14123300880276213</v>
      </c>
      <c r="BA161" s="1607">
        <f t="shared" si="399"/>
        <v>0.27576552367773183</v>
      </c>
      <c r="BB161" s="1608">
        <f t="shared" si="400"/>
        <v>0.27467033987494582</v>
      </c>
      <c r="BC161" s="1608">
        <f t="shared" si="401"/>
        <v>0.28517812190098407</v>
      </c>
      <c r="BD161" s="1608">
        <f t="shared" si="402"/>
        <v>0.29175628341424448</v>
      </c>
      <c r="BE161" s="1609">
        <f t="shared" si="403"/>
        <v>0.28734952875672648</v>
      </c>
      <c r="BF161" s="1607">
        <f t="shared" si="399"/>
        <v>3.3533396624133106E-2</v>
      </c>
      <c r="BG161" s="1608">
        <f t="shared" si="400"/>
        <v>3.4405373614808395E-2</v>
      </c>
      <c r="BH161" s="1608">
        <f t="shared" si="401"/>
        <v>3.4922572278587229E-2</v>
      </c>
      <c r="BI161" s="1608">
        <f t="shared" si="402"/>
        <v>3.6532907269710563E-2</v>
      </c>
      <c r="BJ161" s="1609">
        <f t="shared" si="403"/>
        <v>3.9161404709322216E-2</v>
      </c>
      <c r="BK161" s="1607">
        <f t="shared" si="399"/>
        <v>6.2336074146781016E-2</v>
      </c>
      <c r="BL161" s="1608">
        <f t="shared" si="400"/>
        <v>6.3099733795579774E-2</v>
      </c>
      <c r="BM161" s="1608">
        <f t="shared" si="401"/>
        <v>5.86467312533374E-2</v>
      </c>
      <c r="BN161" s="1608">
        <f t="shared" si="402"/>
        <v>5.4968352485712531E-2</v>
      </c>
      <c r="BO161" s="1609">
        <f t="shared" si="403"/>
        <v>4.9192820927556065E-2</v>
      </c>
      <c r="BP161" s="1607">
        <f t="shared" si="399"/>
        <v>2.2157143546752054E-2</v>
      </c>
      <c r="BQ161" s="1608">
        <f t="shared" si="400"/>
        <v>2.2457128706741783E-2</v>
      </c>
      <c r="BR161" s="1608">
        <f t="shared" si="401"/>
        <v>2.4242886566481044E-2</v>
      </c>
      <c r="BS161" s="1608">
        <f t="shared" si="402"/>
        <v>2.3935353038775885E-2</v>
      </c>
      <c r="BT161" s="1609">
        <f t="shared" si="403"/>
        <v>2.1415907182182961E-2</v>
      </c>
      <c r="BU161" s="1607">
        <f t="shared" si="399"/>
        <v>2.7483225256247284E-2</v>
      </c>
      <c r="BV161" s="1608">
        <f t="shared" si="400"/>
        <v>2.3230978765554387E-2</v>
      </c>
      <c r="BW161" s="1608">
        <f t="shared" si="401"/>
        <v>1.6294149057899152E-2</v>
      </c>
      <c r="BX161" s="1608">
        <f t="shared" si="402"/>
        <v>1.6484360597308425E-2</v>
      </c>
      <c r="BY161" s="1609">
        <f t="shared" si="403"/>
        <v>1.4463902454197642E-2</v>
      </c>
      <c r="BZ161" s="1605"/>
      <c r="CA161" s="1605"/>
      <c r="CB161" s="1605"/>
      <c r="CC161" s="1605"/>
      <c r="CD161" s="1605"/>
    </row>
    <row r="162" spans="1:82" ht="11.25" customHeight="1" x14ac:dyDescent="0.2">
      <c r="A162" s="142"/>
      <c r="B162" s="1680" t="s">
        <v>18</v>
      </c>
      <c r="C162" s="1680"/>
      <c r="D162" s="1680"/>
      <c r="E162" s="1680"/>
      <c r="F162" s="1680"/>
      <c r="G162" s="1680"/>
      <c r="H162" s="1680"/>
      <c r="I162" s="1680"/>
      <c r="J162" s="12"/>
      <c r="K162" s="9"/>
      <c r="L162" s="9"/>
      <c r="M162" s="9"/>
      <c r="N162" s="9"/>
      <c r="O162" s="9"/>
      <c r="P162" s="9"/>
      <c r="Q162" s="9"/>
      <c r="R162" s="9"/>
      <c r="S162" s="9"/>
      <c r="T162" s="9"/>
      <c r="U162" s="9"/>
      <c r="V162" s="9"/>
      <c r="W162" s="58"/>
      <c r="X162" s="58"/>
      <c r="Y162" s="65"/>
      <c r="Z162" s="137"/>
      <c r="AA162" s="150"/>
      <c r="AB162" s="1836" t="str">
        <f>D110</f>
        <v>Individual</v>
      </c>
      <c r="AC162" s="1837"/>
      <c r="AD162" s="1837"/>
      <c r="AE162" s="1837"/>
      <c r="AF162" s="1838"/>
      <c r="AG162" s="1836" t="str">
        <f>F110</f>
        <v>Schools</v>
      </c>
      <c r="AH162" s="1837"/>
      <c r="AI162" s="1837"/>
      <c r="AJ162" s="1837"/>
      <c r="AK162" s="1838"/>
      <c r="AL162" s="1836" t="str">
        <f>H110</f>
        <v>Health services</v>
      </c>
      <c r="AM162" s="1837"/>
      <c r="AN162" s="1837"/>
      <c r="AO162" s="1837"/>
      <c r="AP162" s="1838"/>
      <c r="AQ162" s="1836" t="str">
        <f>J110</f>
        <v>Housing</v>
      </c>
      <c r="AR162" s="1837"/>
      <c r="AS162" s="1837"/>
      <c r="AT162" s="1837"/>
      <c r="AU162" s="1838"/>
      <c r="AV162" s="1836" t="str">
        <f>L110</f>
        <v>LA services</v>
      </c>
      <c r="AW162" s="1837"/>
      <c r="AX162" s="1837"/>
      <c r="AY162" s="1837"/>
      <c r="AZ162" s="1838"/>
      <c r="BA162" s="1836" t="str">
        <f>N110</f>
        <v>Police</v>
      </c>
      <c r="BB162" s="1837"/>
      <c r="BC162" s="1837"/>
      <c r="BD162" s="1837"/>
      <c r="BE162" s="1838"/>
      <c r="BF162" s="1836" t="str">
        <f>P110</f>
        <v>Other legal agency</v>
      </c>
      <c r="BG162" s="1837"/>
      <c r="BH162" s="1837"/>
      <c r="BI162" s="1837"/>
      <c r="BJ162" s="1838"/>
      <c r="BK162" s="1836" t="str">
        <f>R110</f>
        <v>Other</v>
      </c>
      <c r="BL162" s="1837"/>
      <c r="BM162" s="1837"/>
      <c r="BN162" s="1837"/>
      <c r="BO162" s="1838"/>
      <c r="BP162" s="1836" t="str">
        <f>T110</f>
        <v>Anonymous</v>
      </c>
      <c r="BQ162" s="1837"/>
      <c r="BR162" s="1837"/>
      <c r="BS162" s="1837"/>
      <c r="BT162" s="1838"/>
      <c r="BU162" s="1836" t="str">
        <f>V110</f>
        <v>Unknown</v>
      </c>
      <c r="BV162" s="1837"/>
      <c r="BW162" s="1837"/>
      <c r="BX162" s="1837"/>
      <c r="BY162" s="1838"/>
      <c r="BZ162" s="1836" t="s">
        <v>188</v>
      </c>
      <c r="CA162" s="1837"/>
      <c r="CB162" s="1837"/>
      <c r="CC162" s="1837"/>
      <c r="CD162" s="1838"/>
    </row>
    <row r="163" spans="1:82" ht="11.25" customHeight="1" x14ac:dyDescent="0.2">
      <c r="A163" s="142"/>
      <c r="B163" s="1680"/>
      <c r="C163" s="1680"/>
      <c r="D163" s="1680"/>
      <c r="E163" s="1680"/>
      <c r="F163" s="1680"/>
      <c r="G163" s="1680"/>
      <c r="H163" s="1680"/>
      <c r="I163" s="1680"/>
      <c r="J163" s="12"/>
      <c r="K163" s="9"/>
      <c r="L163" s="9"/>
      <c r="M163" s="9"/>
      <c r="N163" s="9"/>
      <c r="O163" s="9"/>
      <c r="P163" s="9"/>
      <c r="Q163" s="9"/>
      <c r="R163" s="9"/>
      <c r="S163" s="9"/>
      <c r="T163" s="9"/>
      <c r="U163" s="9"/>
      <c r="V163" s="9"/>
      <c r="W163" s="58"/>
      <c r="X163" s="58"/>
      <c r="Y163" s="65"/>
      <c r="Z163" s="137"/>
      <c r="AA163" s="150"/>
      <c r="AB163" s="1577" t="str">
        <f>$AC$2</f>
        <v/>
      </c>
      <c r="AC163" s="1578" t="str">
        <f>$AD$2</f>
        <v/>
      </c>
      <c r="AD163" s="1578" t="str">
        <f>$AE$2</f>
        <v/>
      </c>
      <c r="AE163" s="1578" t="str">
        <f>$AF$2</f>
        <v/>
      </c>
      <c r="AF163" s="1580" t="str">
        <f>$AG$2</f>
        <v/>
      </c>
      <c r="AG163" s="1577" t="str">
        <f>$AC$2</f>
        <v/>
      </c>
      <c r="AH163" s="1578" t="str">
        <f>$AD$2</f>
        <v/>
      </c>
      <c r="AI163" s="1578" t="str">
        <f>$AE$2</f>
        <v/>
      </c>
      <c r="AJ163" s="1578" t="str">
        <f>$AF$2</f>
        <v/>
      </c>
      <c r="AK163" s="1580" t="str">
        <f>$AG$2</f>
        <v/>
      </c>
      <c r="AL163" s="1577" t="str">
        <f>$AC$2</f>
        <v/>
      </c>
      <c r="AM163" s="1578" t="str">
        <f>$AD$2</f>
        <v/>
      </c>
      <c r="AN163" s="1578" t="str">
        <f>$AE$2</f>
        <v/>
      </c>
      <c r="AO163" s="1578" t="str">
        <f>$AF$2</f>
        <v/>
      </c>
      <c r="AP163" s="1580" t="str">
        <f>$AG$2</f>
        <v/>
      </c>
      <c r="AQ163" s="1577" t="str">
        <f>$AC$2</f>
        <v/>
      </c>
      <c r="AR163" s="1578" t="str">
        <f>$AD$2</f>
        <v/>
      </c>
      <c r="AS163" s="1578" t="str">
        <f>$AE$2</f>
        <v/>
      </c>
      <c r="AT163" s="1578" t="str">
        <f>$AF$2</f>
        <v/>
      </c>
      <c r="AU163" s="1580" t="str">
        <f>$AG$2</f>
        <v/>
      </c>
      <c r="AV163" s="1577" t="str">
        <f>$AC$2</f>
        <v/>
      </c>
      <c r="AW163" s="1578" t="str">
        <f>$AD$2</f>
        <v/>
      </c>
      <c r="AX163" s="1578" t="str">
        <f>$AE$2</f>
        <v/>
      </c>
      <c r="AY163" s="1578" t="str">
        <f>$AF$2</f>
        <v/>
      </c>
      <c r="AZ163" s="1580" t="str">
        <f>$AG$2</f>
        <v/>
      </c>
      <c r="BA163" s="1577" t="str">
        <f>$AC$2</f>
        <v/>
      </c>
      <c r="BB163" s="1578" t="str">
        <f>$AD$2</f>
        <v/>
      </c>
      <c r="BC163" s="1578" t="str">
        <f>$AE$2</f>
        <v/>
      </c>
      <c r="BD163" s="1578" t="str">
        <f>$AF$2</f>
        <v/>
      </c>
      <c r="BE163" s="1580" t="str">
        <f>$AG$2</f>
        <v/>
      </c>
      <c r="BF163" s="1577" t="str">
        <f t="shared" ref="BF163" si="404">$AC$2</f>
        <v/>
      </c>
      <c r="BG163" s="1578" t="str">
        <f t="shared" ref="BG163" si="405">$AD$2</f>
        <v/>
      </c>
      <c r="BH163" s="1578" t="str">
        <f t="shared" ref="BH163" si="406">$AE$2</f>
        <v/>
      </c>
      <c r="BI163" s="1578" t="str">
        <f t="shared" ref="BI163" si="407">$AF$2</f>
        <v/>
      </c>
      <c r="BJ163" s="1580" t="str">
        <f t="shared" ref="BJ163" si="408">$AG$2</f>
        <v/>
      </c>
      <c r="BK163" s="1577" t="str">
        <f t="shared" ref="BK163" si="409">$AC$2</f>
        <v/>
      </c>
      <c r="BL163" s="1578" t="str">
        <f t="shared" ref="BL163" si="410">$AD$2</f>
        <v/>
      </c>
      <c r="BM163" s="1578" t="str">
        <f t="shared" ref="BM163" si="411">$AE$2</f>
        <v/>
      </c>
      <c r="BN163" s="1578" t="str">
        <f t="shared" ref="BN163" si="412">$AF$2</f>
        <v/>
      </c>
      <c r="BO163" s="1580" t="str">
        <f t="shared" ref="BO163" si="413">$AG$2</f>
        <v/>
      </c>
      <c r="BP163" s="1577" t="str">
        <f t="shared" ref="BP163" si="414">$AC$2</f>
        <v/>
      </c>
      <c r="BQ163" s="1578" t="str">
        <f t="shared" ref="BQ163" si="415">$AD$2</f>
        <v/>
      </c>
      <c r="BR163" s="1578" t="str">
        <f t="shared" ref="BR163" si="416">$AE$2</f>
        <v/>
      </c>
      <c r="BS163" s="1578" t="str">
        <f t="shared" ref="BS163" si="417">$AF$2</f>
        <v/>
      </c>
      <c r="BT163" s="1580" t="str">
        <f t="shared" ref="BT163" si="418">$AG$2</f>
        <v/>
      </c>
      <c r="BU163" s="1577" t="str">
        <f t="shared" ref="BU163:BZ163" si="419">$AC$2</f>
        <v/>
      </c>
      <c r="BV163" s="1578" t="str">
        <f t="shared" ref="BV163:CA163" si="420">$AD$2</f>
        <v/>
      </c>
      <c r="BW163" s="1578" t="str">
        <f t="shared" ref="BW163" si="421">$AE$2</f>
        <v/>
      </c>
      <c r="BX163" s="1578" t="str">
        <f t="shared" ref="BX163" si="422">$AF$2</f>
        <v/>
      </c>
      <c r="BY163" s="1580" t="str">
        <f t="shared" ref="BY163" si="423">$AG$2</f>
        <v/>
      </c>
      <c r="BZ163" s="1577" t="str">
        <f t="shared" si="419"/>
        <v/>
      </c>
      <c r="CA163" s="1578" t="str">
        <f t="shared" si="420"/>
        <v/>
      </c>
      <c r="CB163" s="1578" t="str">
        <f t="shared" ref="CB163" si="424">$AE$2</f>
        <v/>
      </c>
      <c r="CC163" s="1578" t="str">
        <f t="shared" ref="CC163" si="425">$AF$2</f>
        <v/>
      </c>
      <c r="CD163" s="1580" t="str">
        <f t="shared" ref="CD163" si="426">$AG$2</f>
        <v/>
      </c>
    </row>
    <row r="164" spans="1:82" ht="11.25" customHeight="1" x14ac:dyDescent="0.2">
      <c r="A164" s="142"/>
      <c r="B164" s="1680" t="s">
        <v>19</v>
      </c>
      <c r="C164" s="1680"/>
      <c r="D164" s="1680"/>
      <c r="E164" s="1680"/>
      <c r="F164" s="1680"/>
      <c r="G164" s="1680"/>
      <c r="H164" s="1680"/>
      <c r="I164" s="1680"/>
      <c r="J164" s="12"/>
      <c r="K164" s="9"/>
      <c r="L164" s="9"/>
      <c r="M164" s="9"/>
      <c r="N164" s="9"/>
      <c r="O164" s="9"/>
      <c r="P164" s="9"/>
      <c r="Q164" s="9"/>
      <c r="R164" s="9"/>
      <c r="S164" s="9"/>
      <c r="T164" s="9"/>
      <c r="U164" s="9"/>
      <c r="V164" s="9"/>
      <c r="W164" s="58"/>
      <c r="X164" s="58"/>
      <c r="Y164" s="65"/>
      <c r="Z164" s="137"/>
      <c r="AA164" s="150"/>
      <c r="AB164" s="1582" t="str">
        <f>$AC$3</f>
        <v>2015-16</v>
      </c>
      <c r="AC164" s="1583" t="str">
        <f>$AD$3</f>
        <v>2016-17</v>
      </c>
      <c r="AD164" s="1583" t="str">
        <f>$AE$3</f>
        <v>2017-18</v>
      </c>
      <c r="AE164" s="1583" t="str">
        <f>$AF$3</f>
        <v>2018-19</v>
      </c>
      <c r="AF164" s="1606" t="str">
        <f>$AG$3</f>
        <v>2019-20</v>
      </c>
      <c r="AG164" s="1582" t="str">
        <f>$AC$3</f>
        <v>2015-16</v>
      </c>
      <c r="AH164" s="1583" t="str">
        <f>$AD$3</f>
        <v>2016-17</v>
      </c>
      <c r="AI164" s="1583" t="str">
        <f>$AE$3</f>
        <v>2017-18</v>
      </c>
      <c r="AJ164" s="1583" t="str">
        <f>$AF$3</f>
        <v>2018-19</v>
      </c>
      <c r="AK164" s="1606" t="str">
        <f>$AG$3</f>
        <v>2019-20</v>
      </c>
      <c r="AL164" s="1582" t="str">
        <f>$AC$3</f>
        <v>2015-16</v>
      </c>
      <c r="AM164" s="1583" t="str">
        <f>$AD$3</f>
        <v>2016-17</v>
      </c>
      <c r="AN164" s="1583" t="str">
        <f>$AE$3</f>
        <v>2017-18</v>
      </c>
      <c r="AO164" s="1583" t="str">
        <f>$AF$3</f>
        <v>2018-19</v>
      </c>
      <c r="AP164" s="1606" t="str">
        <f>$AG$3</f>
        <v>2019-20</v>
      </c>
      <c r="AQ164" s="1582" t="str">
        <f>$AC$3</f>
        <v>2015-16</v>
      </c>
      <c r="AR164" s="1583" t="str">
        <f>$AD$3</f>
        <v>2016-17</v>
      </c>
      <c r="AS164" s="1583" t="str">
        <f>$AE$3</f>
        <v>2017-18</v>
      </c>
      <c r="AT164" s="1583" t="str">
        <f>$AF$3</f>
        <v>2018-19</v>
      </c>
      <c r="AU164" s="1606" t="str">
        <f>$AG$3</f>
        <v>2019-20</v>
      </c>
      <c r="AV164" s="1582" t="str">
        <f>$AC$3</f>
        <v>2015-16</v>
      </c>
      <c r="AW164" s="1583" t="str">
        <f>$AD$3</f>
        <v>2016-17</v>
      </c>
      <c r="AX164" s="1583" t="str">
        <f>$AE$3</f>
        <v>2017-18</v>
      </c>
      <c r="AY164" s="1583" t="str">
        <f>$AF$3</f>
        <v>2018-19</v>
      </c>
      <c r="AZ164" s="1606" t="str">
        <f>$AG$3</f>
        <v>2019-20</v>
      </c>
      <c r="BA164" s="1582" t="str">
        <f>$AC$3</f>
        <v>2015-16</v>
      </c>
      <c r="BB164" s="1583" t="str">
        <f>$AD$3</f>
        <v>2016-17</v>
      </c>
      <c r="BC164" s="1583" t="str">
        <f>$AE$3</f>
        <v>2017-18</v>
      </c>
      <c r="BD164" s="1583" t="str">
        <f>$AF$3</f>
        <v>2018-19</v>
      </c>
      <c r="BE164" s="1606" t="str">
        <f>$AG$3</f>
        <v>2019-20</v>
      </c>
      <c r="BF164" s="1582" t="str">
        <f t="shared" ref="BF164" si="427">$AC$3</f>
        <v>2015-16</v>
      </c>
      <c r="BG164" s="1583" t="str">
        <f t="shared" ref="BG164" si="428">$AD$3</f>
        <v>2016-17</v>
      </c>
      <c r="BH164" s="1583" t="str">
        <f t="shared" ref="BH164" si="429">$AE$3</f>
        <v>2017-18</v>
      </c>
      <c r="BI164" s="1583" t="str">
        <f t="shared" ref="BI164" si="430">$AF$3</f>
        <v>2018-19</v>
      </c>
      <c r="BJ164" s="1606" t="str">
        <f t="shared" ref="BJ164" si="431">$AG$3</f>
        <v>2019-20</v>
      </c>
      <c r="BK164" s="1582" t="str">
        <f t="shared" ref="BK164" si="432">$AC$3</f>
        <v>2015-16</v>
      </c>
      <c r="BL164" s="1583" t="str">
        <f t="shared" ref="BL164" si="433">$AD$3</f>
        <v>2016-17</v>
      </c>
      <c r="BM164" s="1583" t="str">
        <f t="shared" ref="BM164" si="434">$AE$3</f>
        <v>2017-18</v>
      </c>
      <c r="BN164" s="1583" t="str">
        <f t="shared" ref="BN164" si="435">$AF$3</f>
        <v>2018-19</v>
      </c>
      <c r="BO164" s="1606" t="str">
        <f t="shared" ref="BO164" si="436">$AG$3</f>
        <v>2019-20</v>
      </c>
      <c r="BP164" s="1582" t="str">
        <f t="shared" ref="BP164" si="437">$AC$3</f>
        <v>2015-16</v>
      </c>
      <c r="BQ164" s="1583" t="str">
        <f t="shared" ref="BQ164" si="438">$AD$3</f>
        <v>2016-17</v>
      </c>
      <c r="BR164" s="1583" t="str">
        <f t="shared" ref="BR164" si="439">$AE$3</f>
        <v>2017-18</v>
      </c>
      <c r="BS164" s="1583" t="str">
        <f t="shared" ref="BS164" si="440">$AF$3</f>
        <v>2018-19</v>
      </c>
      <c r="BT164" s="1606" t="str">
        <f t="shared" ref="BT164" si="441">$AG$3</f>
        <v>2019-20</v>
      </c>
      <c r="BU164" s="1582" t="str">
        <f t="shared" ref="BU164:BZ164" si="442">$AC$3</f>
        <v>2015-16</v>
      </c>
      <c r="BV164" s="1583" t="str">
        <f t="shared" ref="BV164:CA164" si="443">$AD$3</f>
        <v>2016-17</v>
      </c>
      <c r="BW164" s="1583" t="str">
        <f t="shared" ref="BW164" si="444">$AE$3</f>
        <v>2017-18</v>
      </c>
      <c r="BX164" s="1583" t="str">
        <f t="shared" ref="BX164" si="445">$AF$3</f>
        <v>2018-19</v>
      </c>
      <c r="BY164" s="1606" t="str">
        <f t="shared" ref="BY164" si="446">$AG$3</f>
        <v>2019-20</v>
      </c>
      <c r="BZ164" s="1582" t="str">
        <f t="shared" si="442"/>
        <v>2015-16</v>
      </c>
      <c r="CA164" s="1583" t="str">
        <f t="shared" si="443"/>
        <v>2016-17</v>
      </c>
      <c r="CB164" s="1583" t="str">
        <f t="shared" ref="CB164" si="447">$AE$3</f>
        <v>2017-18</v>
      </c>
      <c r="CC164" s="1583" t="str">
        <f t="shared" ref="CC164" si="448">$AF$3</f>
        <v>2018-19</v>
      </c>
      <c r="CD164" s="1606" t="str">
        <f t="shared" ref="CD164" si="449">$AG$3</f>
        <v>2019-20</v>
      </c>
    </row>
    <row r="165" spans="1:82" ht="11.25" customHeight="1" x14ac:dyDescent="0.2">
      <c r="A165" s="142"/>
      <c r="B165" s="1680"/>
      <c r="C165" s="1680"/>
      <c r="D165" s="1680"/>
      <c r="E165" s="1680"/>
      <c r="F165" s="1680"/>
      <c r="G165" s="1680"/>
      <c r="H165" s="1680"/>
      <c r="I165" s="1680"/>
      <c r="J165" s="12"/>
      <c r="K165" s="9"/>
      <c r="L165" s="9"/>
      <c r="M165" s="9"/>
      <c r="N165" s="9"/>
      <c r="O165" s="9"/>
      <c r="P165" s="9"/>
      <c r="Q165" s="9"/>
      <c r="R165" s="9"/>
      <c r="S165" s="9"/>
      <c r="T165" s="9"/>
      <c r="U165" s="9"/>
      <c r="V165" s="9"/>
      <c r="W165" s="58"/>
      <c r="X165" s="58"/>
      <c r="Y165" s="65"/>
      <c r="Z165" s="137"/>
      <c r="AA165" s="150"/>
      <c r="AB165" s="1585">
        <f t="shared" ref="AB165:AF180" si="450">IF(SUM(AB111,AG111,AL111,AQ111)&gt;0,SUM(AB111,AG111,AL111,AQ111),"X")</f>
        <v>153</v>
      </c>
      <c r="AC165" s="1586">
        <f t="shared" si="450"/>
        <v>170</v>
      </c>
      <c r="AD165" s="1586">
        <f t="shared" si="450"/>
        <v>117</v>
      </c>
      <c r="AE165" s="1586">
        <f t="shared" si="450"/>
        <v>215</v>
      </c>
      <c r="AF165" s="1588">
        <f t="shared" si="450"/>
        <v>113</v>
      </c>
      <c r="AG165" s="1585">
        <f t="shared" ref="AG165:AK180" si="451">IF(SUM(BA111,AV111)&gt;0,SUM(BA111,AV111),"X")</f>
        <v>362</v>
      </c>
      <c r="AH165" s="1586">
        <f t="shared" si="451"/>
        <v>385</v>
      </c>
      <c r="AI165" s="1586">
        <f t="shared" si="451"/>
        <v>536</v>
      </c>
      <c r="AJ165" s="1586">
        <f t="shared" si="451"/>
        <v>592</v>
      </c>
      <c r="AK165" s="1588">
        <f t="shared" si="451"/>
        <v>494</v>
      </c>
      <c r="AL165" s="1585">
        <f t="shared" ref="AL165:AP180" si="452">IF(SUM(BF111,BK111,BP111,BU111,BZ111,CE111)&gt;0,SUM(BF111,BK111,BP111,BU111,BZ111,CE111),"X")</f>
        <v>118</v>
      </c>
      <c r="AM165" s="1586">
        <f t="shared" si="452"/>
        <v>132</v>
      </c>
      <c r="AN165" s="1586">
        <f t="shared" si="452"/>
        <v>136</v>
      </c>
      <c r="AO165" s="1586">
        <f t="shared" si="452"/>
        <v>254</v>
      </c>
      <c r="AP165" s="1588">
        <f t="shared" si="452"/>
        <v>177</v>
      </c>
      <c r="AQ165" s="1585">
        <f t="shared" ref="AQ165:AU180" si="453">IF(ISBLANK(CJ111),"X",CJ111)</f>
        <v>10</v>
      </c>
      <c r="AR165" s="1586">
        <f t="shared" si="453"/>
        <v>19</v>
      </c>
      <c r="AS165" s="1586">
        <f t="shared" si="453"/>
        <v>24</v>
      </c>
      <c r="AT165" s="1586">
        <f t="shared" si="453"/>
        <v>30</v>
      </c>
      <c r="AU165" s="1588">
        <f t="shared" si="453"/>
        <v>18</v>
      </c>
      <c r="AV165" s="1585">
        <f t="shared" ref="AV165:AZ180" si="454">IF(SUM(CO111,CT111,CY111)&gt;0,SUM(CO111,CT111,CY111),"X")</f>
        <v>229</v>
      </c>
      <c r="AW165" s="1586">
        <f t="shared" si="454"/>
        <v>290</v>
      </c>
      <c r="AX165" s="1586">
        <f t="shared" si="454"/>
        <v>372</v>
      </c>
      <c r="AY165" s="1586">
        <f t="shared" si="454"/>
        <v>466</v>
      </c>
      <c r="AZ165" s="1588">
        <f t="shared" si="454"/>
        <v>377</v>
      </c>
      <c r="BA165" s="1585">
        <f t="shared" ref="BA165:BP180" si="455">IF(ISBLANK(DD111),"X",DD111)</f>
        <v>317</v>
      </c>
      <c r="BB165" s="1586">
        <f t="shared" si="455"/>
        <v>323</v>
      </c>
      <c r="BC165" s="1586">
        <f t="shared" si="455"/>
        <v>412</v>
      </c>
      <c r="BD165" s="1586">
        <f t="shared" si="455"/>
        <v>443</v>
      </c>
      <c r="BE165" s="1588">
        <f t="shared" si="455"/>
        <v>387</v>
      </c>
      <c r="BF165" s="1585">
        <f t="shared" si="455"/>
        <v>21</v>
      </c>
      <c r="BG165" s="1586">
        <f t="shared" si="455"/>
        <v>42</v>
      </c>
      <c r="BH165" s="1586">
        <f t="shared" si="455"/>
        <v>26</v>
      </c>
      <c r="BI165" s="1586">
        <f t="shared" si="455"/>
        <v>53</v>
      </c>
      <c r="BJ165" s="1588">
        <f t="shared" si="455"/>
        <v>42</v>
      </c>
      <c r="BK165" s="1585">
        <f t="shared" si="455"/>
        <v>84</v>
      </c>
      <c r="BL165" s="1586">
        <f t="shared" si="455"/>
        <v>114</v>
      </c>
      <c r="BM165" s="1586">
        <f t="shared" si="455"/>
        <v>135</v>
      </c>
      <c r="BN165" s="1586">
        <f t="shared" si="455"/>
        <v>95</v>
      </c>
      <c r="BO165" s="1588">
        <f t="shared" si="455"/>
        <v>68</v>
      </c>
      <c r="BP165" s="1585" t="str">
        <f t="shared" si="455"/>
        <v>x</v>
      </c>
      <c r="BQ165" s="1586">
        <f t="shared" ref="BQ165:BY180" si="456">IF(ISBLANK(DT111),"X",DT111)</f>
        <v>22</v>
      </c>
      <c r="BR165" s="1586">
        <f t="shared" si="456"/>
        <v>55</v>
      </c>
      <c r="BS165" s="1586">
        <f t="shared" si="456"/>
        <v>65</v>
      </c>
      <c r="BT165" s="1588">
        <f t="shared" si="456"/>
        <v>23</v>
      </c>
      <c r="BU165" s="1585" t="str">
        <f t="shared" si="456"/>
        <v>x</v>
      </c>
      <c r="BV165" s="1586">
        <f t="shared" si="456"/>
        <v>147</v>
      </c>
      <c r="BW165" s="1586">
        <f t="shared" si="456"/>
        <v>6</v>
      </c>
      <c r="BX165" s="1586">
        <f t="shared" si="456"/>
        <v>0</v>
      </c>
      <c r="BY165" s="1588">
        <f t="shared" si="456"/>
        <v>0</v>
      </c>
      <c r="BZ165" s="1611">
        <f>SUM(AB111,AG111,AL111,AQ111,AV111,BA111,BF111,BK111,BP111,BU111,BZ111,CE111,CJ111,CO111,CT111,CY111,DD111,DI111,DN111,DS111,DX111)</f>
        <v>1294</v>
      </c>
      <c r="CA165" s="1612">
        <f t="shared" ref="CA165:CD180" si="457">SUM(AC111,AH111,AM111,AR111,AW111,BB111,BG111,BL111,BQ111,BV111,CA111,CF111,CK111,CP111,CU111,CZ111,DE111,DJ111,DO111,DT111,DY111)</f>
        <v>1644</v>
      </c>
      <c r="CB165" s="1612">
        <f t="shared" si="457"/>
        <v>1819</v>
      </c>
      <c r="CC165" s="1612">
        <f t="shared" si="457"/>
        <v>2213</v>
      </c>
      <c r="CD165" s="1613">
        <f t="shared" si="457"/>
        <v>1699</v>
      </c>
    </row>
    <row r="166" spans="1:82" ht="11.25" customHeight="1" x14ac:dyDescent="0.2">
      <c r="A166" s="142"/>
      <c r="B166" s="1680" t="s">
        <v>20</v>
      </c>
      <c r="C166" s="1680"/>
      <c r="D166" s="1680"/>
      <c r="E166" s="1680"/>
      <c r="F166" s="1680"/>
      <c r="G166" s="1680"/>
      <c r="H166" s="1680"/>
      <c r="I166" s="1680"/>
      <c r="J166" s="12"/>
      <c r="K166" s="9"/>
      <c r="L166" s="9"/>
      <c r="M166" s="9"/>
      <c r="N166" s="9"/>
      <c r="O166" s="9"/>
      <c r="P166" s="9"/>
      <c r="Q166" s="9"/>
      <c r="R166" s="9"/>
      <c r="S166" s="9"/>
      <c r="T166" s="9"/>
      <c r="U166" s="9"/>
      <c r="V166" s="9"/>
      <c r="W166" s="58"/>
      <c r="X166" s="58"/>
      <c r="Y166" s="65"/>
      <c r="Z166" s="137"/>
      <c r="AA166" s="150"/>
      <c r="AB166" s="1585">
        <f t="shared" si="450"/>
        <v>179</v>
      </c>
      <c r="AC166" s="1586">
        <f t="shared" si="450"/>
        <v>176</v>
      </c>
      <c r="AD166" s="1586">
        <f t="shared" si="450"/>
        <v>155</v>
      </c>
      <c r="AE166" s="1586">
        <f t="shared" si="450"/>
        <v>105</v>
      </c>
      <c r="AF166" s="1588">
        <f t="shared" si="450"/>
        <v>105</v>
      </c>
      <c r="AG166" s="1585">
        <f t="shared" si="451"/>
        <v>599</v>
      </c>
      <c r="AH166" s="1586">
        <f t="shared" si="451"/>
        <v>671</v>
      </c>
      <c r="AI166" s="1586">
        <f t="shared" si="451"/>
        <v>622</v>
      </c>
      <c r="AJ166" s="1586">
        <f t="shared" si="451"/>
        <v>609</v>
      </c>
      <c r="AK166" s="1588">
        <f t="shared" si="451"/>
        <v>672</v>
      </c>
      <c r="AL166" s="1585">
        <f t="shared" si="452"/>
        <v>488</v>
      </c>
      <c r="AM166" s="1586">
        <f t="shared" si="452"/>
        <v>336</v>
      </c>
      <c r="AN166" s="1586">
        <f t="shared" si="452"/>
        <v>370</v>
      </c>
      <c r="AO166" s="1586">
        <f t="shared" si="452"/>
        <v>305</v>
      </c>
      <c r="AP166" s="1588">
        <f t="shared" si="452"/>
        <v>451</v>
      </c>
      <c r="AQ166" s="1585">
        <f t="shared" si="453"/>
        <v>0</v>
      </c>
      <c r="AR166" s="1586">
        <f t="shared" si="453"/>
        <v>39</v>
      </c>
      <c r="AS166" s="1586">
        <f t="shared" si="453"/>
        <v>55</v>
      </c>
      <c r="AT166" s="1586">
        <f t="shared" si="453"/>
        <v>41</v>
      </c>
      <c r="AU166" s="1588">
        <f t="shared" si="453"/>
        <v>64</v>
      </c>
      <c r="AV166" s="1585">
        <f t="shared" si="454"/>
        <v>709</v>
      </c>
      <c r="AW166" s="1586">
        <f t="shared" si="454"/>
        <v>632</v>
      </c>
      <c r="AX166" s="1586">
        <f t="shared" si="454"/>
        <v>531</v>
      </c>
      <c r="AY166" s="1586">
        <f t="shared" si="454"/>
        <v>419</v>
      </c>
      <c r="AZ166" s="1588">
        <f t="shared" si="454"/>
        <v>497</v>
      </c>
      <c r="BA166" s="1585">
        <f t="shared" si="455"/>
        <v>844</v>
      </c>
      <c r="BB166" s="1586">
        <f t="shared" si="455"/>
        <v>871</v>
      </c>
      <c r="BC166" s="1586">
        <f t="shared" si="455"/>
        <v>863</v>
      </c>
      <c r="BD166" s="1586">
        <f t="shared" si="455"/>
        <v>780</v>
      </c>
      <c r="BE166" s="1588">
        <f t="shared" si="455"/>
        <v>1021</v>
      </c>
      <c r="BF166" s="1585">
        <f t="shared" si="455"/>
        <v>69</v>
      </c>
      <c r="BG166" s="1586">
        <f t="shared" si="455"/>
        <v>82</v>
      </c>
      <c r="BH166" s="1586">
        <f t="shared" si="455"/>
        <v>83</v>
      </c>
      <c r="BI166" s="1586">
        <f t="shared" si="455"/>
        <v>80</v>
      </c>
      <c r="BJ166" s="1588">
        <f t="shared" si="455"/>
        <v>94</v>
      </c>
      <c r="BK166" s="1585">
        <f t="shared" si="455"/>
        <v>99</v>
      </c>
      <c r="BL166" s="1586">
        <f t="shared" si="455"/>
        <v>193</v>
      </c>
      <c r="BM166" s="1586">
        <f t="shared" si="455"/>
        <v>153</v>
      </c>
      <c r="BN166" s="1586">
        <f t="shared" si="455"/>
        <v>156</v>
      </c>
      <c r="BO166" s="1588">
        <f t="shared" si="455"/>
        <v>117</v>
      </c>
      <c r="BP166" s="1585">
        <f t="shared" si="455"/>
        <v>87</v>
      </c>
      <c r="BQ166" s="1586">
        <f t="shared" si="456"/>
        <v>66</v>
      </c>
      <c r="BR166" s="1586">
        <f t="shared" si="456"/>
        <v>42</v>
      </c>
      <c r="BS166" s="1586">
        <f t="shared" si="456"/>
        <v>44</v>
      </c>
      <c r="BT166" s="1588">
        <f t="shared" si="456"/>
        <v>47</v>
      </c>
      <c r="BU166" s="1585">
        <f t="shared" si="456"/>
        <v>352</v>
      </c>
      <c r="BV166" s="1586">
        <f t="shared" si="456"/>
        <v>339</v>
      </c>
      <c r="BW166" s="1586">
        <f t="shared" si="456"/>
        <v>470</v>
      </c>
      <c r="BX166" s="1586">
        <f t="shared" si="456"/>
        <v>700</v>
      </c>
      <c r="BY166" s="1588">
        <f t="shared" si="456"/>
        <v>503</v>
      </c>
      <c r="BZ166" s="1611">
        <f t="shared" ref="BZ166:CD181" si="458">SUM(AB112,AG112,AL112,AQ112,AV112,BA112,BF112,BK112,BP112,BU112,BZ112,CE112,CJ112,CO112,CT112,CY112,DD112,DI112,DN112,DS112,DX112)</f>
        <v>3426</v>
      </c>
      <c r="CA166" s="1612">
        <f t="shared" si="457"/>
        <v>3405</v>
      </c>
      <c r="CB166" s="1612">
        <f t="shared" si="457"/>
        <v>3344</v>
      </c>
      <c r="CC166" s="1612">
        <f t="shared" si="457"/>
        <v>3239</v>
      </c>
      <c r="CD166" s="1613">
        <f t="shared" si="457"/>
        <v>3571</v>
      </c>
    </row>
    <row r="167" spans="1:82" ht="11.25" customHeight="1" x14ac:dyDescent="0.2">
      <c r="A167" s="142"/>
      <c r="B167" s="1680"/>
      <c r="C167" s="1680"/>
      <c r="D167" s="1680"/>
      <c r="E167" s="1680"/>
      <c r="F167" s="1680"/>
      <c r="G167" s="1680"/>
      <c r="H167" s="1680"/>
      <c r="I167" s="1680"/>
      <c r="J167" s="12"/>
      <c r="K167" s="9"/>
      <c r="L167" s="9"/>
      <c r="M167" s="9"/>
      <c r="N167" s="9"/>
      <c r="O167" s="9"/>
      <c r="P167" s="9"/>
      <c r="Q167" s="9"/>
      <c r="R167" s="9"/>
      <c r="S167" s="9"/>
      <c r="T167" s="9"/>
      <c r="U167" s="9"/>
      <c r="V167" s="9"/>
      <c r="W167" s="58"/>
      <c r="X167" s="58"/>
      <c r="Y167" s="65"/>
      <c r="Z167" s="137"/>
      <c r="AA167" s="150"/>
      <c r="AB167" s="1585">
        <f t="shared" si="450"/>
        <v>560</v>
      </c>
      <c r="AC167" s="1586">
        <f t="shared" si="450"/>
        <v>682</v>
      </c>
      <c r="AD167" s="1586">
        <f t="shared" si="450"/>
        <v>751</v>
      </c>
      <c r="AE167" s="1586">
        <f t="shared" si="450"/>
        <v>571</v>
      </c>
      <c r="AF167" s="1588">
        <f t="shared" si="450"/>
        <v>631</v>
      </c>
      <c r="AG167" s="1585">
        <f t="shared" si="451"/>
        <v>1650</v>
      </c>
      <c r="AH167" s="1586">
        <f t="shared" si="451"/>
        <v>2392</v>
      </c>
      <c r="AI167" s="1586">
        <f t="shared" si="451"/>
        <v>2051</v>
      </c>
      <c r="AJ167" s="1586">
        <f t="shared" si="451"/>
        <v>1556</v>
      </c>
      <c r="AK167" s="1588">
        <f t="shared" si="451"/>
        <v>1618</v>
      </c>
      <c r="AL167" s="1585">
        <f t="shared" si="452"/>
        <v>1150</v>
      </c>
      <c r="AM167" s="1586">
        <f t="shared" si="452"/>
        <v>1587</v>
      </c>
      <c r="AN167" s="1586">
        <f t="shared" si="452"/>
        <v>1708</v>
      </c>
      <c r="AO167" s="1586">
        <f t="shared" si="452"/>
        <v>1182</v>
      </c>
      <c r="AP167" s="1588">
        <f t="shared" si="452"/>
        <v>1287</v>
      </c>
      <c r="AQ167" s="1585">
        <f t="shared" si="453"/>
        <v>54</v>
      </c>
      <c r="AR167" s="1586">
        <f t="shared" si="453"/>
        <v>93</v>
      </c>
      <c r="AS167" s="1586">
        <f t="shared" si="453"/>
        <v>88</v>
      </c>
      <c r="AT167" s="1586">
        <f t="shared" si="453"/>
        <v>66</v>
      </c>
      <c r="AU167" s="1588">
        <f t="shared" si="453"/>
        <v>124</v>
      </c>
      <c r="AV167" s="1585">
        <f t="shared" si="454"/>
        <v>937</v>
      </c>
      <c r="AW167" s="1586">
        <f t="shared" si="454"/>
        <v>1023</v>
      </c>
      <c r="AX167" s="1586">
        <f t="shared" si="454"/>
        <v>995</v>
      </c>
      <c r="AY167" s="1586">
        <f t="shared" si="454"/>
        <v>766</v>
      </c>
      <c r="AZ167" s="1588">
        <f t="shared" si="454"/>
        <v>969</v>
      </c>
      <c r="BA167" s="1585">
        <f t="shared" si="455"/>
        <v>1884</v>
      </c>
      <c r="BB167" s="1586">
        <f t="shared" si="455"/>
        <v>2528</v>
      </c>
      <c r="BC167" s="1586">
        <f t="shared" si="455"/>
        <v>3532</v>
      </c>
      <c r="BD167" s="1586">
        <f t="shared" si="455"/>
        <v>2712</v>
      </c>
      <c r="BE167" s="1588">
        <f t="shared" si="455"/>
        <v>2910</v>
      </c>
      <c r="BF167" s="1585">
        <f t="shared" si="455"/>
        <v>158</v>
      </c>
      <c r="BG167" s="1586">
        <f t="shared" si="455"/>
        <v>225</v>
      </c>
      <c r="BH167" s="1586">
        <f t="shared" si="455"/>
        <v>245</v>
      </c>
      <c r="BI167" s="1586">
        <f t="shared" si="455"/>
        <v>244</v>
      </c>
      <c r="BJ167" s="1588">
        <f t="shared" si="455"/>
        <v>222</v>
      </c>
      <c r="BK167" s="1585">
        <f t="shared" si="455"/>
        <v>421</v>
      </c>
      <c r="BL167" s="1586">
        <f t="shared" si="455"/>
        <v>505</v>
      </c>
      <c r="BM167" s="1586">
        <f t="shared" si="455"/>
        <v>456</v>
      </c>
      <c r="BN167" s="1586">
        <f t="shared" si="455"/>
        <v>345</v>
      </c>
      <c r="BO167" s="1588">
        <f t="shared" si="455"/>
        <v>399</v>
      </c>
      <c r="BP167" s="1585">
        <f t="shared" si="455"/>
        <v>100</v>
      </c>
      <c r="BQ167" s="1586">
        <f t="shared" si="456"/>
        <v>143</v>
      </c>
      <c r="BR167" s="1586">
        <f t="shared" si="456"/>
        <v>305</v>
      </c>
      <c r="BS167" s="1586">
        <f t="shared" si="456"/>
        <v>186</v>
      </c>
      <c r="BT167" s="1588">
        <f t="shared" si="456"/>
        <v>154</v>
      </c>
      <c r="BU167" s="1585" t="str">
        <f t="shared" si="456"/>
        <v>x</v>
      </c>
      <c r="BV167" s="1586">
        <f t="shared" si="456"/>
        <v>26</v>
      </c>
      <c r="BW167" s="1586">
        <f t="shared" si="456"/>
        <v>206</v>
      </c>
      <c r="BX167" s="1586">
        <f t="shared" si="456"/>
        <v>12</v>
      </c>
      <c r="BY167" s="1588" t="str">
        <f t="shared" si="456"/>
        <v>c</v>
      </c>
      <c r="BZ167" s="1611">
        <f t="shared" si="458"/>
        <v>6914</v>
      </c>
      <c r="CA167" s="1612">
        <f t="shared" si="457"/>
        <v>9204</v>
      </c>
      <c r="CB167" s="1612">
        <f t="shared" si="457"/>
        <v>10337</v>
      </c>
      <c r="CC167" s="1612">
        <f t="shared" si="457"/>
        <v>7640</v>
      </c>
      <c r="CD167" s="1613">
        <f t="shared" si="457"/>
        <v>8314</v>
      </c>
    </row>
    <row r="168" spans="1:82" ht="11.25" customHeight="1" x14ac:dyDescent="0.2">
      <c r="A168" s="142"/>
      <c r="B168" s="1680" t="s">
        <v>26</v>
      </c>
      <c r="C168" s="1680"/>
      <c r="D168" s="1680"/>
      <c r="E168" s="1680"/>
      <c r="F168" s="1680"/>
      <c r="G168" s="1680"/>
      <c r="H168" s="1680"/>
      <c r="I168" s="1680"/>
      <c r="J168" s="12"/>
      <c r="K168" s="9"/>
      <c r="L168" s="9"/>
      <c r="M168" s="9"/>
      <c r="N168" s="9"/>
      <c r="O168" s="9"/>
      <c r="P168" s="9"/>
      <c r="Q168" s="9"/>
      <c r="R168" s="9"/>
      <c r="S168" s="9"/>
      <c r="T168" s="9"/>
      <c r="U168" s="9"/>
      <c r="V168" s="9"/>
      <c r="W168" s="58"/>
      <c r="X168" s="58"/>
      <c r="Y168" s="65"/>
      <c r="Z168" s="137"/>
      <c r="AA168" s="150"/>
      <c r="AB168" s="1585">
        <f t="shared" si="450"/>
        <v>157</v>
      </c>
      <c r="AC168" s="1586">
        <f t="shared" si="450"/>
        <v>279</v>
      </c>
      <c r="AD168" s="1586">
        <f t="shared" si="450"/>
        <v>415</v>
      </c>
      <c r="AE168" s="1586">
        <f t="shared" si="450"/>
        <v>458</v>
      </c>
      <c r="AF168" s="1588">
        <f t="shared" si="450"/>
        <v>388</v>
      </c>
      <c r="AG168" s="1585">
        <f t="shared" si="451"/>
        <v>261</v>
      </c>
      <c r="AH168" s="1586">
        <f t="shared" si="451"/>
        <v>681</v>
      </c>
      <c r="AI168" s="1586">
        <f t="shared" si="451"/>
        <v>891</v>
      </c>
      <c r="AJ168" s="1586">
        <f t="shared" si="451"/>
        <v>858</v>
      </c>
      <c r="AK168" s="1588">
        <f t="shared" si="451"/>
        <v>700</v>
      </c>
      <c r="AL168" s="1585">
        <f t="shared" si="452"/>
        <v>191</v>
      </c>
      <c r="AM168" s="1586">
        <f t="shared" si="452"/>
        <v>384</v>
      </c>
      <c r="AN168" s="1586">
        <f t="shared" si="452"/>
        <v>445</v>
      </c>
      <c r="AO168" s="1586">
        <f t="shared" si="452"/>
        <v>408</v>
      </c>
      <c r="AP168" s="1588">
        <f t="shared" si="452"/>
        <v>465</v>
      </c>
      <c r="AQ168" s="1585">
        <f t="shared" si="453"/>
        <v>18</v>
      </c>
      <c r="AR168" s="1586">
        <f t="shared" si="453"/>
        <v>35</v>
      </c>
      <c r="AS168" s="1586">
        <f t="shared" si="453"/>
        <v>40</v>
      </c>
      <c r="AT168" s="1586">
        <f t="shared" si="453"/>
        <v>98</v>
      </c>
      <c r="AU168" s="1588">
        <f t="shared" si="453"/>
        <v>57</v>
      </c>
      <c r="AV168" s="1585">
        <f t="shared" si="454"/>
        <v>300</v>
      </c>
      <c r="AW168" s="1586">
        <f t="shared" si="454"/>
        <v>815</v>
      </c>
      <c r="AX168" s="1586">
        <f t="shared" si="454"/>
        <v>771</v>
      </c>
      <c r="AY168" s="1586">
        <f t="shared" si="454"/>
        <v>706</v>
      </c>
      <c r="AZ168" s="1588">
        <f t="shared" si="454"/>
        <v>811</v>
      </c>
      <c r="BA168" s="1585">
        <f t="shared" si="455"/>
        <v>552</v>
      </c>
      <c r="BB168" s="1586">
        <f t="shared" si="455"/>
        <v>1039</v>
      </c>
      <c r="BC168" s="1586">
        <f t="shared" si="455"/>
        <v>1191</v>
      </c>
      <c r="BD168" s="1586">
        <f t="shared" si="455"/>
        <v>1148</v>
      </c>
      <c r="BE168" s="1588">
        <f t="shared" si="455"/>
        <v>1111</v>
      </c>
      <c r="BF168" s="1585">
        <f t="shared" si="455"/>
        <v>57</v>
      </c>
      <c r="BG168" s="1586">
        <f t="shared" si="455"/>
        <v>172</v>
      </c>
      <c r="BH168" s="1586">
        <f t="shared" si="455"/>
        <v>173</v>
      </c>
      <c r="BI168" s="1586">
        <f t="shared" si="455"/>
        <v>217</v>
      </c>
      <c r="BJ168" s="1588">
        <f t="shared" si="455"/>
        <v>194</v>
      </c>
      <c r="BK168" s="1585">
        <f t="shared" si="455"/>
        <v>153</v>
      </c>
      <c r="BL168" s="1586">
        <f t="shared" si="455"/>
        <v>190</v>
      </c>
      <c r="BM168" s="1586">
        <f t="shared" si="455"/>
        <v>343</v>
      </c>
      <c r="BN168" s="1586">
        <f t="shared" si="455"/>
        <v>318</v>
      </c>
      <c r="BO168" s="1588">
        <f t="shared" si="455"/>
        <v>274</v>
      </c>
      <c r="BP168" s="1585">
        <f t="shared" si="455"/>
        <v>28</v>
      </c>
      <c r="BQ168" s="1586">
        <f t="shared" si="456"/>
        <v>75</v>
      </c>
      <c r="BR168" s="1586">
        <f t="shared" si="456"/>
        <v>76</v>
      </c>
      <c r="BS168" s="1586">
        <f t="shared" si="456"/>
        <v>82</v>
      </c>
      <c r="BT168" s="1588">
        <f t="shared" si="456"/>
        <v>95</v>
      </c>
      <c r="BU168" s="1585">
        <f t="shared" si="456"/>
        <v>1481</v>
      </c>
      <c r="BV168" s="1586">
        <f t="shared" si="456"/>
        <v>6</v>
      </c>
      <c r="BW168" s="1586">
        <f t="shared" si="456"/>
        <v>22</v>
      </c>
      <c r="BX168" s="1586">
        <f t="shared" si="456"/>
        <v>22</v>
      </c>
      <c r="BY168" s="1588">
        <f t="shared" si="456"/>
        <v>72</v>
      </c>
      <c r="BZ168" s="1611">
        <f t="shared" si="458"/>
        <v>3198</v>
      </c>
      <c r="CA168" s="1612">
        <f t="shared" si="457"/>
        <v>3676</v>
      </c>
      <c r="CB168" s="1612">
        <f t="shared" si="457"/>
        <v>4367</v>
      </c>
      <c r="CC168" s="1612">
        <f t="shared" si="457"/>
        <v>4315</v>
      </c>
      <c r="CD168" s="1613">
        <f t="shared" si="457"/>
        <v>4167</v>
      </c>
    </row>
    <row r="169" spans="1:82" ht="11.25" customHeight="1" x14ac:dyDescent="0.2">
      <c r="A169" s="142"/>
      <c r="B169" s="1680"/>
      <c r="C169" s="1680"/>
      <c r="D169" s="1680"/>
      <c r="E169" s="1680"/>
      <c r="F169" s="1680"/>
      <c r="G169" s="1680"/>
      <c r="H169" s="1680"/>
      <c r="I169" s="1680"/>
      <c r="J169" s="12"/>
      <c r="K169" s="9"/>
      <c r="L169" s="9"/>
      <c r="M169" s="9"/>
      <c r="N169" s="9"/>
      <c r="O169" s="9"/>
      <c r="P169" s="9"/>
      <c r="Q169" s="9"/>
      <c r="R169" s="9"/>
      <c r="S169" s="9"/>
      <c r="T169" s="9"/>
      <c r="U169" s="9"/>
      <c r="V169" s="9"/>
      <c r="W169" s="58"/>
      <c r="X169" s="58"/>
      <c r="Y169" s="65"/>
      <c r="Z169" s="137"/>
      <c r="AA169" s="150"/>
      <c r="AB169" s="1585">
        <f t="shared" si="450"/>
        <v>1835</v>
      </c>
      <c r="AC169" s="1586">
        <f t="shared" si="450"/>
        <v>2165</v>
      </c>
      <c r="AD169" s="1586">
        <f t="shared" si="450"/>
        <v>1837</v>
      </c>
      <c r="AE169" s="1586">
        <f t="shared" si="450"/>
        <v>1906</v>
      </c>
      <c r="AF169" s="1588">
        <f t="shared" si="450"/>
        <v>2303</v>
      </c>
      <c r="AG169" s="1585">
        <f t="shared" si="451"/>
        <v>4149</v>
      </c>
      <c r="AH169" s="1586">
        <f t="shared" si="451"/>
        <v>4559</v>
      </c>
      <c r="AI169" s="1586">
        <f t="shared" si="451"/>
        <v>3772</v>
      </c>
      <c r="AJ169" s="1586">
        <f t="shared" si="451"/>
        <v>4431</v>
      </c>
      <c r="AK169" s="1588">
        <f t="shared" si="451"/>
        <v>5007</v>
      </c>
      <c r="AL169" s="1585">
        <f t="shared" si="452"/>
        <v>2148</v>
      </c>
      <c r="AM169" s="1586">
        <f t="shared" si="452"/>
        <v>2603</v>
      </c>
      <c r="AN169" s="1586">
        <f t="shared" si="452"/>
        <v>2167</v>
      </c>
      <c r="AO169" s="1586">
        <f t="shared" si="452"/>
        <v>3063</v>
      </c>
      <c r="AP169" s="1588">
        <f t="shared" si="452"/>
        <v>3656</v>
      </c>
      <c r="AQ169" s="1585">
        <f t="shared" si="453"/>
        <v>277</v>
      </c>
      <c r="AR169" s="1586">
        <f t="shared" si="453"/>
        <v>233</v>
      </c>
      <c r="AS169" s="1586">
        <f t="shared" si="453"/>
        <v>170</v>
      </c>
      <c r="AT169" s="1586">
        <f t="shared" si="453"/>
        <v>0</v>
      </c>
      <c r="AU169" s="1588">
        <f t="shared" si="453"/>
        <v>248</v>
      </c>
      <c r="AV169" s="1585">
        <f t="shared" si="454"/>
        <v>1596</v>
      </c>
      <c r="AW169" s="1586">
        <f t="shared" si="454"/>
        <v>1606</v>
      </c>
      <c r="AX169" s="1586">
        <f t="shared" si="454"/>
        <v>1608</v>
      </c>
      <c r="AY169" s="1586">
        <f t="shared" si="454"/>
        <v>1661</v>
      </c>
      <c r="AZ169" s="1588">
        <f t="shared" si="454"/>
        <v>1600</v>
      </c>
      <c r="BA169" s="1585">
        <f t="shared" si="455"/>
        <v>4346</v>
      </c>
      <c r="BB169" s="1586">
        <f t="shared" si="455"/>
        <v>5360</v>
      </c>
      <c r="BC169" s="1586">
        <f t="shared" si="455"/>
        <v>4198</v>
      </c>
      <c r="BD169" s="1586">
        <f t="shared" si="455"/>
        <v>4559</v>
      </c>
      <c r="BE169" s="1588">
        <f t="shared" si="455"/>
        <v>4585</v>
      </c>
      <c r="BF169" s="1585">
        <f t="shared" si="455"/>
        <v>370</v>
      </c>
      <c r="BG169" s="1586">
        <f t="shared" si="455"/>
        <v>447</v>
      </c>
      <c r="BH169" s="1586">
        <f t="shared" si="455"/>
        <v>381</v>
      </c>
      <c r="BI169" s="1586">
        <f t="shared" si="455"/>
        <v>593</v>
      </c>
      <c r="BJ169" s="1588">
        <f t="shared" si="455"/>
        <v>696</v>
      </c>
      <c r="BK169" s="1585">
        <f t="shared" si="455"/>
        <v>1255</v>
      </c>
      <c r="BL169" s="1586">
        <f t="shared" si="455"/>
        <v>1765</v>
      </c>
      <c r="BM169" s="1586">
        <f t="shared" si="455"/>
        <v>1159</v>
      </c>
      <c r="BN169" s="1586">
        <f t="shared" si="455"/>
        <v>1248</v>
      </c>
      <c r="BO169" s="1588">
        <f t="shared" si="455"/>
        <v>1262</v>
      </c>
      <c r="BP169" s="1585">
        <f t="shared" si="455"/>
        <v>400</v>
      </c>
      <c r="BQ169" s="1586">
        <f t="shared" si="456"/>
        <v>478</v>
      </c>
      <c r="BR169" s="1586">
        <f t="shared" si="456"/>
        <v>370</v>
      </c>
      <c r="BS169" s="1586">
        <f t="shared" si="456"/>
        <v>495</v>
      </c>
      <c r="BT169" s="1588">
        <f t="shared" si="456"/>
        <v>531</v>
      </c>
      <c r="BU169" s="1585">
        <f t="shared" si="456"/>
        <v>290</v>
      </c>
      <c r="BV169" s="1586">
        <f t="shared" si="456"/>
        <v>219</v>
      </c>
      <c r="BW169" s="1586">
        <f t="shared" si="456"/>
        <v>453</v>
      </c>
      <c r="BX169" s="1586">
        <f t="shared" si="456"/>
        <v>263</v>
      </c>
      <c r="BY169" s="1588">
        <f t="shared" si="456"/>
        <v>332</v>
      </c>
      <c r="BZ169" s="1611">
        <f t="shared" si="458"/>
        <v>16666</v>
      </c>
      <c r="CA169" s="1612">
        <f t="shared" si="457"/>
        <v>19435</v>
      </c>
      <c r="CB169" s="1612">
        <f t="shared" si="457"/>
        <v>16115</v>
      </c>
      <c r="CC169" s="1612">
        <f t="shared" si="457"/>
        <v>18219</v>
      </c>
      <c r="CD169" s="1613">
        <f t="shared" si="457"/>
        <v>20220</v>
      </c>
    </row>
    <row r="170" spans="1:82" ht="11.25" customHeight="1" x14ac:dyDescent="0.2">
      <c r="A170" s="142"/>
      <c r="B170" s="1680" t="s">
        <v>21</v>
      </c>
      <c r="C170" s="1680"/>
      <c r="D170" s="1680"/>
      <c r="E170" s="1680"/>
      <c r="F170" s="1680"/>
      <c r="G170" s="1680"/>
      <c r="H170" s="1680"/>
      <c r="I170" s="1680"/>
      <c r="J170" s="12"/>
      <c r="K170" s="9"/>
      <c r="L170" s="9"/>
      <c r="M170" s="9"/>
      <c r="N170" s="9"/>
      <c r="O170" s="9"/>
      <c r="P170" s="9"/>
      <c r="Q170" s="9"/>
      <c r="R170" s="9"/>
      <c r="S170" s="9"/>
      <c r="T170" s="9"/>
      <c r="U170" s="9"/>
      <c r="V170" s="9"/>
      <c r="W170" s="58"/>
      <c r="X170" s="58"/>
      <c r="Y170" s="65"/>
      <c r="Z170" s="137"/>
      <c r="AA170" s="150"/>
      <c r="AB170" s="1585">
        <f t="shared" si="450"/>
        <v>248</v>
      </c>
      <c r="AC170" s="1586">
        <f t="shared" si="450"/>
        <v>244</v>
      </c>
      <c r="AD170" s="1586">
        <f t="shared" si="450"/>
        <v>215</v>
      </c>
      <c r="AE170" s="1586">
        <f t="shared" si="450"/>
        <v>176</v>
      </c>
      <c r="AF170" s="1588">
        <f t="shared" si="450"/>
        <v>308</v>
      </c>
      <c r="AG170" s="1585">
        <f t="shared" si="451"/>
        <v>672</v>
      </c>
      <c r="AH170" s="1586">
        <f t="shared" si="451"/>
        <v>681</v>
      </c>
      <c r="AI170" s="1586">
        <f t="shared" si="451"/>
        <v>667</v>
      </c>
      <c r="AJ170" s="1586">
        <f t="shared" si="451"/>
        <v>679</v>
      </c>
      <c r="AK170" s="1588">
        <f t="shared" si="451"/>
        <v>718</v>
      </c>
      <c r="AL170" s="1585">
        <f t="shared" si="452"/>
        <v>278</v>
      </c>
      <c r="AM170" s="1586">
        <f t="shared" si="452"/>
        <v>307</v>
      </c>
      <c r="AN170" s="1586">
        <f t="shared" si="452"/>
        <v>283</v>
      </c>
      <c r="AO170" s="1586">
        <f t="shared" si="452"/>
        <v>308</v>
      </c>
      <c r="AP170" s="1588">
        <f t="shared" si="452"/>
        <v>367</v>
      </c>
      <c r="AQ170" s="1585">
        <f t="shared" si="453"/>
        <v>13</v>
      </c>
      <c r="AR170" s="1586">
        <f t="shared" si="453"/>
        <v>41</v>
      </c>
      <c r="AS170" s="1586">
        <f t="shared" si="453"/>
        <v>33</v>
      </c>
      <c r="AT170" s="1586">
        <f t="shared" si="453"/>
        <v>0</v>
      </c>
      <c r="AU170" s="1588">
        <f t="shared" si="453"/>
        <v>41</v>
      </c>
      <c r="AV170" s="1585">
        <f t="shared" si="454"/>
        <v>214</v>
      </c>
      <c r="AW170" s="1586">
        <f t="shared" si="454"/>
        <v>231</v>
      </c>
      <c r="AX170" s="1586">
        <f t="shared" si="454"/>
        <v>265</v>
      </c>
      <c r="AY170" s="1586">
        <f t="shared" si="454"/>
        <v>227</v>
      </c>
      <c r="AZ170" s="1588">
        <f t="shared" si="454"/>
        <v>253</v>
      </c>
      <c r="BA170" s="1585">
        <f t="shared" si="455"/>
        <v>606</v>
      </c>
      <c r="BB170" s="1586">
        <f t="shared" si="455"/>
        <v>766</v>
      </c>
      <c r="BC170" s="1586">
        <f t="shared" si="455"/>
        <v>478</v>
      </c>
      <c r="BD170" s="1586">
        <f t="shared" si="455"/>
        <v>555</v>
      </c>
      <c r="BE170" s="1588">
        <f t="shared" si="455"/>
        <v>519</v>
      </c>
      <c r="BF170" s="1585">
        <f t="shared" si="455"/>
        <v>53</v>
      </c>
      <c r="BG170" s="1586">
        <f t="shared" si="455"/>
        <v>33</v>
      </c>
      <c r="BH170" s="1586">
        <f t="shared" si="455"/>
        <v>39</v>
      </c>
      <c r="BI170" s="1586">
        <f t="shared" si="455"/>
        <v>59</v>
      </c>
      <c r="BJ170" s="1588">
        <f t="shared" si="455"/>
        <v>70</v>
      </c>
      <c r="BK170" s="1585">
        <f t="shared" si="455"/>
        <v>241</v>
      </c>
      <c r="BL170" s="1586">
        <f t="shared" si="455"/>
        <v>262</v>
      </c>
      <c r="BM170" s="1586">
        <f t="shared" si="455"/>
        <v>169</v>
      </c>
      <c r="BN170" s="1586">
        <f t="shared" si="455"/>
        <v>301</v>
      </c>
      <c r="BO170" s="1588">
        <f t="shared" si="455"/>
        <v>346</v>
      </c>
      <c r="BP170" s="1585">
        <f t="shared" si="455"/>
        <v>64</v>
      </c>
      <c r="BQ170" s="1586">
        <f t="shared" si="456"/>
        <v>48</v>
      </c>
      <c r="BR170" s="1586">
        <f t="shared" si="456"/>
        <v>0</v>
      </c>
      <c r="BS170" s="1586">
        <f t="shared" si="456"/>
        <v>0</v>
      </c>
      <c r="BT170" s="1588">
        <f t="shared" si="456"/>
        <v>0</v>
      </c>
      <c r="BU170" s="1585">
        <f t="shared" si="456"/>
        <v>0</v>
      </c>
      <c r="BV170" s="1586">
        <f t="shared" si="456"/>
        <v>0</v>
      </c>
      <c r="BW170" s="1586">
        <f t="shared" si="456"/>
        <v>63</v>
      </c>
      <c r="BX170" s="1586">
        <f t="shared" si="456"/>
        <v>61</v>
      </c>
      <c r="BY170" s="1588">
        <f t="shared" si="456"/>
        <v>48</v>
      </c>
      <c r="BZ170" s="1611">
        <f t="shared" si="458"/>
        <v>2389</v>
      </c>
      <c r="CA170" s="1612">
        <f t="shared" si="457"/>
        <v>2613</v>
      </c>
      <c r="CB170" s="1612">
        <f t="shared" si="457"/>
        <v>2212</v>
      </c>
      <c r="CC170" s="1612">
        <f t="shared" si="457"/>
        <v>2366</v>
      </c>
      <c r="CD170" s="1613">
        <f t="shared" si="457"/>
        <v>2670</v>
      </c>
    </row>
    <row r="171" spans="1:82" ht="11.25" customHeight="1" x14ac:dyDescent="0.2">
      <c r="A171" s="142"/>
      <c r="B171" s="1680"/>
      <c r="C171" s="1680"/>
      <c r="D171" s="1680"/>
      <c r="E171" s="1680"/>
      <c r="F171" s="1680"/>
      <c r="G171" s="1680"/>
      <c r="H171" s="1680"/>
      <c r="I171" s="1680"/>
      <c r="J171" s="12"/>
      <c r="K171" s="9"/>
      <c r="L171" s="9"/>
      <c r="M171" s="9"/>
      <c r="N171" s="9"/>
      <c r="O171" s="9"/>
      <c r="P171" s="9"/>
      <c r="Q171" s="9"/>
      <c r="R171" s="9"/>
      <c r="S171" s="9"/>
      <c r="T171" s="9"/>
      <c r="U171" s="9"/>
      <c r="V171" s="9"/>
      <c r="W171" s="58"/>
      <c r="X171" s="58"/>
      <c r="Y171" s="65"/>
      <c r="Z171" s="137"/>
      <c r="AA171" s="150"/>
      <c r="AB171" s="1585">
        <f t="shared" si="450"/>
        <v>1577</v>
      </c>
      <c r="AC171" s="1586">
        <f t="shared" si="450"/>
        <v>1596</v>
      </c>
      <c r="AD171" s="1586">
        <f t="shared" si="450"/>
        <v>2168</v>
      </c>
      <c r="AE171" s="1586">
        <f t="shared" si="450"/>
        <v>1561</v>
      </c>
      <c r="AF171" s="1588">
        <f t="shared" si="450"/>
        <v>1684</v>
      </c>
      <c r="AG171" s="1585">
        <f t="shared" si="451"/>
        <v>2833</v>
      </c>
      <c r="AH171" s="1586">
        <f t="shared" si="451"/>
        <v>2765</v>
      </c>
      <c r="AI171" s="1586">
        <f t="shared" si="451"/>
        <v>3305</v>
      </c>
      <c r="AJ171" s="1586">
        <f t="shared" si="451"/>
        <v>3306</v>
      </c>
      <c r="AK171" s="1588">
        <f t="shared" si="451"/>
        <v>4378</v>
      </c>
      <c r="AL171" s="1585">
        <f t="shared" si="452"/>
        <v>2128</v>
      </c>
      <c r="AM171" s="1586">
        <f t="shared" si="452"/>
        <v>1938</v>
      </c>
      <c r="AN171" s="1586">
        <f t="shared" si="452"/>
        <v>2375</v>
      </c>
      <c r="AO171" s="1586">
        <f t="shared" si="452"/>
        <v>2326</v>
      </c>
      <c r="AP171" s="1588">
        <f t="shared" si="452"/>
        <v>2954</v>
      </c>
      <c r="AQ171" s="1585">
        <f t="shared" si="453"/>
        <v>395</v>
      </c>
      <c r="AR171" s="1586">
        <f t="shared" si="453"/>
        <v>366</v>
      </c>
      <c r="AS171" s="1586">
        <f t="shared" si="453"/>
        <v>406</v>
      </c>
      <c r="AT171" s="1586">
        <f t="shared" si="453"/>
        <v>363</v>
      </c>
      <c r="AU171" s="1588">
        <f t="shared" si="453"/>
        <v>449</v>
      </c>
      <c r="AV171" s="1585">
        <f t="shared" si="454"/>
        <v>1670</v>
      </c>
      <c r="AW171" s="1586">
        <f t="shared" si="454"/>
        <v>1976</v>
      </c>
      <c r="AX171" s="1586">
        <f t="shared" si="454"/>
        <v>2198</v>
      </c>
      <c r="AY171" s="1586">
        <f t="shared" si="454"/>
        <v>2281</v>
      </c>
      <c r="AZ171" s="1588">
        <f t="shared" si="454"/>
        <v>2706</v>
      </c>
      <c r="BA171" s="1585">
        <f t="shared" si="455"/>
        <v>3886</v>
      </c>
      <c r="BB171" s="1586">
        <f t="shared" si="455"/>
        <v>4508</v>
      </c>
      <c r="BC171" s="1586">
        <f t="shared" si="455"/>
        <v>6675</v>
      </c>
      <c r="BD171" s="1586">
        <f t="shared" si="455"/>
        <v>6290</v>
      </c>
      <c r="BE171" s="1588">
        <f t="shared" si="455"/>
        <v>7430</v>
      </c>
      <c r="BF171" s="1585">
        <f t="shared" si="455"/>
        <v>1321</v>
      </c>
      <c r="BG171" s="1586">
        <f t="shared" si="455"/>
        <v>735</v>
      </c>
      <c r="BH171" s="1586">
        <f t="shared" si="455"/>
        <v>719</v>
      </c>
      <c r="BI171" s="1586">
        <f t="shared" si="455"/>
        <v>884</v>
      </c>
      <c r="BJ171" s="1588">
        <f t="shared" si="455"/>
        <v>1228</v>
      </c>
      <c r="BK171" s="1585">
        <f t="shared" si="455"/>
        <v>1244</v>
      </c>
      <c r="BL171" s="1586">
        <f t="shared" si="455"/>
        <v>1563</v>
      </c>
      <c r="BM171" s="1586">
        <f t="shared" si="455"/>
        <v>1050</v>
      </c>
      <c r="BN171" s="1586">
        <f t="shared" si="455"/>
        <v>698</v>
      </c>
      <c r="BO171" s="1588">
        <f t="shared" si="455"/>
        <v>713</v>
      </c>
      <c r="BP171" s="1585">
        <f t="shared" si="455"/>
        <v>230</v>
      </c>
      <c r="BQ171" s="1586">
        <f t="shared" si="456"/>
        <v>294</v>
      </c>
      <c r="BR171" s="1586">
        <f t="shared" si="456"/>
        <v>413</v>
      </c>
      <c r="BS171" s="1586">
        <f t="shared" si="456"/>
        <v>375</v>
      </c>
      <c r="BT171" s="1588">
        <f t="shared" si="456"/>
        <v>315</v>
      </c>
      <c r="BU171" s="1585">
        <f t="shared" si="456"/>
        <v>58</v>
      </c>
      <c r="BV171" s="1586">
        <f t="shared" si="456"/>
        <v>64</v>
      </c>
      <c r="BW171" s="1586">
        <f t="shared" si="456"/>
        <v>64</v>
      </c>
      <c r="BX171" s="1586">
        <f t="shared" si="456"/>
        <v>199</v>
      </c>
      <c r="BY171" s="1588">
        <f t="shared" si="456"/>
        <v>492</v>
      </c>
      <c r="BZ171" s="1611">
        <f t="shared" si="458"/>
        <v>15342</v>
      </c>
      <c r="CA171" s="1612">
        <f t="shared" si="457"/>
        <v>15805</v>
      </c>
      <c r="CB171" s="1612">
        <f t="shared" si="457"/>
        <v>19373</v>
      </c>
      <c r="CC171" s="1612">
        <f t="shared" si="457"/>
        <v>18283</v>
      </c>
      <c r="CD171" s="1613">
        <f t="shared" si="457"/>
        <v>22349</v>
      </c>
    </row>
    <row r="172" spans="1:82" ht="11.25" customHeight="1" x14ac:dyDescent="0.2">
      <c r="A172" s="142"/>
      <c r="B172" s="1680" t="s">
        <v>905</v>
      </c>
      <c r="C172" s="1680"/>
      <c r="D172" s="1680"/>
      <c r="E172" s="1680"/>
      <c r="F172" s="1680"/>
      <c r="G172" s="1680"/>
      <c r="H172" s="1680"/>
      <c r="I172" s="1680"/>
      <c r="J172" s="12"/>
      <c r="K172" s="9"/>
      <c r="L172" s="9"/>
      <c r="M172" s="9"/>
      <c r="N172" s="9"/>
      <c r="O172" s="9"/>
      <c r="P172" s="9"/>
      <c r="Q172" s="9"/>
      <c r="R172" s="9"/>
      <c r="S172" s="9"/>
      <c r="T172" s="9"/>
      <c r="U172" s="9"/>
      <c r="V172" s="9"/>
      <c r="W172" s="58"/>
      <c r="X172" s="58"/>
      <c r="Y172" s="65"/>
      <c r="Z172" s="137"/>
      <c r="AA172" s="150"/>
      <c r="AB172" s="1585">
        <f t="shared" si="450"/>
        <v>375</v>
      </c>
      <c r="AC172" s="1586">
        <f t="shared" si="450"/>
        <v>343</v>
      </c>
      <c r="AD172" s="1586">
        <f t="shared" si="450"/>
        <v>247</v>
      </c>
      <c r="AE172" s="1586">
        <f t="shared" si="450"/>
        <v>415</v>
      </c>
      <c r="AF172" s="1588">
        <f t="shared" si="450"/>
        <v>444</v>
      </c>
      <c r="AG172" s="1585">
        <f t="shared" si="451"/>
        <v>905</v>
      </c>
      <c r="AH172" s="1586">
        <f t="shared" si="451"/>
        <v>598</v>
      </c>
      <c r="AI172" s="1586">
        <f t="shared" si="451"/>
        <v>554</v>
      </c>
      <c r="AJ172" s="1586">
        <f t="shared" si="451"/>
        <v>871</v>
      </c>
      <c r="AK172" s="1588">
        <f t="shared" si="451"/>
        <v>1183</v>
      </c>
      <c r="AL172" s="1585">
        <f t="shared" si="452"/>
        <v>350</v>
      </c>
      <c r="AM172" s="1586">
        <f t="shared" si="452"/>
        <v>250</v>
      </c>
      <c r="AN172" s="1586">
        <f t="shared" si="452"/>
        <v>316</v>
      </c>
      <c r="AO172" s="1586">
        <f t="shared" si="452"/>
        <v>359</v>
      </c>
      <c r="AP172" s="1588">
        <f t="shared" si="452"/>
        <v>454</v>
      </c>
      <c r="AQ172" s="1585">
        <f t="shared" si="453"/>
        <v>102</v>
      </c>
      <c r="AR172" s="1586">
        <f t="shared" si="453"/>
        <v>81</v>
      </c>
      <c r="AS172" s="1586">
        <f t="shared" si="453"/>
        <v>64</v>
      </c>
      <c r="AT172" s="1586">
        <f t="shared" si="453"/>
        <v>67</v>
      </c>
      <c r="AU172" s="1588">
        <f t="shared" si="453"/>
        <v>75</v>
      </c>
      <c r="AV172" s="1585">
        <f t="shared" si="454"/>
        <v>515</v>
      </c>
      <c r="AW172" s="1586">
        <f t="shared" si="454"/>
        <v>394</v>
      </c>
      <c r="AX172" s="1586">
        <f t="shared" si="454"/>
        <v>349</v>
      </c>
      <c r="AY172" s="1586">
        <f t="shared" si="454"/>
        <v>506</v>
      </c>
      <c r="AZ172" s="1588">
        <f t="shared" si="454"/>
        <v>621</v>
      </c>
      <c r="BA172" s="1585">
        <f t="shared" si="455"/>
        <v>718</v>
      </c>
      <c r="BB172" s="1586">
        <f t="shared" si="455"/>
        <v>770</v>
      </c>
      <c r="BC172" s="1586">
        <f t="shared" si="455"/>
        <v>817</v>
      </c>
      <c r="BD172" s="1586">
        <f t="shared" si="455"/>
        <v>1341</v>
      </c>
      <c r="BE172" s="1588">
        <f t="shared" si="455"/>
        <v>1700</v>
      </c>
      <c r="BF172" s="1585">
        <f t="shared" si="455"/>
        <v>142</v>
      </c>
      <c r="BG172" s="1586">
        <f t="shared" si="455"/>
        <v>89</v>
      </c>
      <c r="BH172" s="1586">
        <f t="shared" si="455"/>
        <v>76</v>
      </c>
      <c r="BI172" s="1586">
        <f t="shared" si="455"/>
        <v>135</v>
      </c>
      <c r="BJ172" s="1588">
        <f t="shared" si="455"/>
        <v>130</v>
      </c>
      <c r="BK172" s="1585">
        <f t="shared" si="455"/>
        <v>150</v>
      </c>
      <c r="BL172" s="1586">
        <f t="shared" si="455"/>
        <v>107</v>
      </c>
      <c r="BM172" s="1586">
        <f t="shared" si="455"/>
        <v>81</v>
      </c>
      <c r="BN172" s="1586">
        <f t="shared" si="455"/>
        <v>163</v>
      </c>
      <c r="BO172" s="1588">
        <f t="shared" si="455"/>
        <v>199</v>
      </c>
      <c r="BP172" s="1585">
        <f t="shared" si="455"/>
        <v>96</v>
      </c>
      <c r="BQ172" s="1586">
        <f t="shared" si="456"/>
        <v>100</v>
      </c>
      <c r="BR172" s="1586">
        <f t="shared" si="456"/>
        <v>83</v>
      </c>
      <c r="BS172" s="1586">
        <f t="shared" si="456"/>
        <v>89</v>
      </c>
      <c r="BT172" s="1588">
        <f t="shared" si="456"/>
        <v>87</v>
      </c>
      <c r="BU172" s="1585">
        <f t="shared" si="456"/>
        <v>15</v>
      </c>
      <c r="BV172" s="1586">
        <f t="shared" si="456"/>
        <v>0</v>
      </c>
      <c r="BW172" s="1586">
        <f t="shared" si="456"/>
        <v>25</v>
      </c>
      <c r="BX172" s="1586">
        <f t="shared" si="456"/>
        <v>79</v>
      </c>
      <c r="BY172" s="1588">
        <f t="shared" si="456"/>
        <v>11</v>
      </c>
      <c r="BZ172" s="1611">
        <f t="shared" si="458"/>
        <v>3368</v>
      </c>
      <c r="CA172" s="1612">
        <f t="shared" si="457"/>
        <v>2732</v>
      </c>
      <c r="CB172" s="1612">
        <f t="shared" si="457"/>
        <v>2612</v>
      </c>
      <c r="CC172" s="1612">
        <f t="shared" si="457"/>
        <v>4025</v>
      </c>
      <c r="CD172" s="1613">
        <f t="shared" si="457"/>
        <v>4904</v>
      </c>
    </row>
    <row r="173" spans="1:82" ht="11.25" customHeight="1" x14ac:dyDescent="0.2">
      <c r="A173" s="142"/>
      <c r="B173" s="1680"/>
      <c r="C173" s="1680"/>
      <c r="D173" s="1680"/>
      <c r="E173" s="1680"/>
      <c r="F173" s="1680"/>
      <c r="G173" s="1680"/>
      <c r="H173" s="1680"/>
      <c r="I173" s="1680"/>
      <c r="J173" s="12"/>
      <c r="K173" s="9"/>
      <c r="L173" s="9"/>
      <c r="M173" s="9"/>
      <c r="N173" s="9"/>
      <c r="O173" s="9"/>
      <c r="P173" s="9"/>
      <c r="Q173" s="9"/>
      <c r="R173" s="9"/>
      <c r="S173" s="9"/>
      <c r="T173" s="9"/>
      <c r="U173" s="9"/>
      <c r="V173" s="9"/>
      <c r="W173" s="58"/>
      <c r="X173" s="58"/>
      <c r="Y173" s="65"/>
      <c r="Z173" s="137"/>
      <c r="AA173" s="150"/>
      <c r="AB173" s="1585">
        <f t="shared" si="450"/>
        <v>219</v>
      </c>
      <c r="AC173" s="1586">
        <f t="shared" si="450"/>
        <v>255</v>
      </c>
      <c r="AD173" s="1586">
        <f t="shared" si="450"/>
        <v>214</v>
      </c>
      <c r="AE173" s="1586">
        <f t="shared" si="450"/>
        <v>287</v>
      </c>
      <c r="AF173" s="1588">
        <f t="shared" si="450"/>
        <v>278</v>
      </c>
      <c r="AG173" s="1585">
        <f t="shared" si="451"/>
        <v>689</v>
      </c>
      <c r="AH173" s="1586">
        <f t="shared" si="451"/>
        <v>824</v>
      </c>
      <c r="AI173" s="1586">
        <f t="shared" si="451"/>
        <v>468</v>
      </c>
      <c r="AJ173" s="1586">
        <f t="shared" si="451"/>
        <v>567</v>
      </c>
      <c r="AK173" s="1588">
        <f t="shared" si="451"/>
        <v>671</v>
      </c>
      <c r="AL173" s="1585">
        <f t="shared" si="452"/>
        <v>270</v>
      </c>
      <c r="AM173" s="1586">
        <f t="shared" si="452"/>
        <v>331</v>
      </c>
      <c r="AN173" s="1586">
        <f t="shared" si="452"/>
        <v>298</v>
      </c>
      <c r="AO173" s="1586">
        <f t="shared" si="452"/>
        <v>332</v>
      </c>
      <c r="AP173" s="1588">
        <f t="shared" si="452"/>
        <v>472</v>
      </c>
      <c r="AQ173" s="1585" t="str">
        <f t="shared" si="453"/>
        <v>x</v>
      </c>
      <c r="AR173" s="1586" t="str">
        <f t="shared" si="453"/>
        <v>x</v>
      </c>
      <c r="AS173" s="1586" t="str">
        <f t="shared" si="453"/>
        <v>x</v>
      </c>
      <c r="AT173" s="1586">
        <f t="shared" si="453"/>
        <v>43</v>
      </c>
      <c r="AU173" s="1588">
        <f t="shared" si="453"/>
        <v>35</v>
      </c>
      <c r="AV173" s="1585">
        <f t="shared" si="454"/>
        <v>462</v>
      </c>
      <c r="AW173" s="1586">
        <f t="shared" si="454"/>
        <v>529</v>
      </c>
      <c r="AX173" s="1586">
        <f t="shared" si="454"/>
        <v>406</v>
      </c>
      <c r="AY173" s="1586">
        <f t="shared" si="454"/>
        <v>418</v>
      </c>
      <c r="AZ173" s="1588">
        <f t="shared" si="454"/>
        <v>392</v>
      </c>
      <c r="BA173" s="1585">
        <f t="shared" si="455"/>
        <v>718</v>
      </c>
      <c r="BB173" s="1586">
        <f t="shared" si="455"/>
        <v>785</v>
      </c>
      <c r="BC173" s="1586">
        <f t="shared" si="455"/>
        <v>666</v>
      </c>
      <c r="BD173" s="1586">
        <f t="shared" si="455"/>
        <v>754</v>
      </c>
      <c r="BE173" s="1588">
        <f t="shared" si="455"/>
        <v>951</v>
      </c>
      <c r="BF173" s="1585">
        <f t="shared" si="455"/>
        <v>160</v>
      </c>
      <c r="BG173" s="1586">
        <f t="shared" si="455"/>
        <v>70</v>
      </c>
      <c r="BH173" s="1586">
        <f t="shared" si="455"/>
        <v>141</v>
      </c>
      <c r="BI173" s="1586">
        <f t="shared" si="455"/>
        <v>107</v>
      </c>
      <c r="BJ173" s="1588">
        <f t="shared" si="455"/>
        <v>111</v>
      </c>
      <c r="BK173" s="1585">
        <f t="shared" si="455"/>
        <v>123</v>
      </c>
      <c r="BL173" s="1586">
        <f t="shared" si="455"/>
        <v>165</v>
      </c>
      <c r="BM173" s="1586">
        <f t="shared" si="455"/>
        <v>95</v>
      </c>
      <c r="BN173" s="1586">
        <f t="shared" si="455"/>
        <v>106</v>
      </c>
      <c r="BO173" s="1588">
        <f t="shared" si="455"/>
        <v>113</v>
      </c>
      <c r="BP173" s="1585">
        <f t="shared" si="455"/>
        <v>73</v>
      </c>
      <c r="BQ173" s="1586">
        <f t="shared" si="456"/>
        <v>90</v>
      </c>
      <c r="BR173" s="1586">
        <f t="shared" si="456"/>
        <v>48</v>
      </c>
      <c r="BS173" s="1586">
        <f t="shared" si="456"/>
        <v>63</v>
      </c>
      <c r="BT173" s="1588">
        <f t="shared" si="456"/>
        <v>59</v>
      </c>
      <c r="BU173" s="1585" t="str">
        <f t="shared" si="456"/>
        <v>x</v>
      </c>
      <c r="BV173" s="1586" t="str">
        <f t="shared" si="456"/>
        <v>x</v>
      </c>
      <c r="BW173" s="1586" t="str">
        <f t="shared" si="456"/>
        <v>x</v>
      </c>
      <c r="BX173" s="1586">
        <f t="shared" si="456"/>
        <v>0</v>
      </c>
      <c r="BY173" s="1588">
        <f t="shared" si="456"/>
        <v>8</v>
      </c>
      <c r="BZ173" s="1611">
        <f t="shared" si="458"/>
        <v>2714</v>
      </c>
      <c r="CA173" s="1612">
        <f t="shared" si="457"/>
        <v>3049</v>
      </c>
      <c r="CB173" s="1612">
        <f t="shared" si="457"/>
        <v>2336</v>
      </c>
      <c r="CC173" s="1612">
        <f t="shared" si="457"/>
        <v>2677</v>
      </c>
      <c r="CD173" s="1613">
        <f t="shared" si="457"/>
        <v>3090</v>
      </c>
    </row>
    <row r="174" spans="1:82" ht="11.25" customHeight="1" x14ac:dyDescent="0.2">
      <c r="A174" s="142"/>
      <c r="B174" s="1680" t="s">
        <v>32</v>
      </c>
      <c r="C174" s="1680"/>
      <c r="D174" s="1680"/>
      <c r="E174" s="1680"/>
      <c r="F174" s="1680"/>
      <c r="G174" s="1680"/>
      <c r="H174" s="1680"/>
      <c r="I174" s="1680"/>
      <c r="J174" s="12"/>
      <c r="K174" s="9"/>
      <c r="L174" s="9"/>
      <c r="M174" s="9"/>
      <c r="N174" s="9"/>
      <c r="O174" s="9"/>
      <c r="P174" s="9"/>
      <c r="Q174" s="9"/>
      <c r="R174" s="9"/>
      <c r="S174" s="9"/>
      <c r="T174" s="9"/>
      <c r="U174" s="9"/>
      <c r="V174" s="9"/>
      <c r="W174" s="58"/>
      <c r="X174" s="58"/>
      <c r="Y174" s="65"/>
      <c r="Z174" s="137"/>
      <c r="AA174" s="150"/>
      <c r="AB174" s="1585">
        <f t="shared" si="450"/>
        <v>490</v>
      </c>
      <c r="AC174" s="1586">
        <f t="shared" si="450"/>
        <v>536</v>
      </c>
      <c r="AD174" s="1586">
        <f t="shared" si="450"/>
        <v>383</v>
      </c>
      <c r="AE174" s="1586">
        <f t="shared" si="450"/>
        <v>392</v>
      </c>
      <c r="AF174" s="1588">
        <f t="shared" si="450"/>
        <v>545</v>
      </c>
      <c r="AG174" s="1585">
        <f t="shared" si="451"/>
        <v>1286</v>
      </c>
      <c r="AH174" s="1586">
        <f t="shared" si="451"/>
        <v>1522</v>
      </c>
      <c r="AI174" s="1586">
        <f t="shared" si="451"/>
        <v>896</v>
      </c>
      <c r="AJ174" s="1586">
        <f t="shared" si="451"/>
        <v>1419</v>
      </c>
      <c r="AK174" s="1588">
        <f t="shared" si="451"/>
        <v>1653</v>
      </c>
      <c r="AL174" s="1585">
        <f t="shared" si="452"/>
        <v>1035</v>
      </c>
      <c r="AM174" s="1586">
        <f t="shared" si="452"/>
        <v>1092</v>
      </c>
      <c r="AN174" s="1586">
        <f t="shared" si="452"/>
        <v>621</v>
      </c>
      <c r="AO174" s="1586">
        <f t="shared" si="452"/>
        <v>623</v>
      </c>
      <c r="AP174" s="1588">
        <f t="shared" si="452"/>
        <v>985</v>
      </c>
      <c r="AQ174" s="1585">
        <f t="shared" si="453"/>
        <v>89</v>
      </c>
      <c r="AR174" s="1586">
        <f t="shared" si="453"/>
        <v>73</v>
      </c>
      <c r="AS174" s="1586">
        <f t="shared" si="453"/>
        <v>35</v>
      </c>
      <c r="AT174" s="1586">
        <f t="shared" si="453"/>
        <v>53</v>
      </c>
      <c r="AU174" s="1588">
        <f t="shared" si="453"/>
        <v>35</v>
      </c>
      <c r="AV174" s="1585">
        <f t="shared" si="454"/>
        <v>655</v>
      </c>
      <c r="AW174" s="1586">
        <f t="shared" si="454"/>
        <v>722</v>
      </c>
      <c r="AX174" s="1586">
        <f t="shared" si="454"/>
        <v>492</v>
      </c>
      <c r="AY174" s="1586">
        <f t="shared" si="454"/>
        <v>331</v>
      </c>
      <c r="AZ174" s="1588">
        <f t="shared" si="454"/>
        <v>1389</v>
      </c>
      <c r="BA174" s="1585">
        <f t="shared" si="455"/>
        <v>2323</v>
      </c>
      <c r="BB174" s="1586">
        <f t="shared" si="455"/>
        <v>2385</v>
      </c>
      <c r="BC174" s="1586">
        <f t="shared" si="455"/>
        <v>1998</v>
      </c>
      <c r="BD174" s="1586">
        <f t="shared" si="455"/>
        <v>2080</v>
      </c>
      <c r="BE174" s="1588">
        <f t="shared" si="455"/>
        <v>2239</v>
      </c>
      <c r="BF174" s="1585">
        <f t="shared" si="455"/>
        <v>128</v>
      </c>
      <c r="BG174" s="1586">
        <f t="shared" si="455"/>
        <v>150</v>
      </c>
      <c r="BH174" s="1586">
        <f t="shared" si="455"/>
        <v>80</v>
      </c>
      <c r="BI174" s="1586">
        <f t="shared" si="455"/>
        <v>73</v>
      </c>
      <c r="BJ174" s="1588">
        <f t="shared" si="455"/>
        <v>209</v>
      </c>
      <c r="BK174" s="1585">
        <f t="shared" si="455"/>
        <v>371</v>
      </c>
      <c r="BL174" s="1586">
        <f t="shared" si="455"/>
        <v>371</v>
      </c>
      <c r="BM174" s="1586">
        <f t="shared" si="455"/>
        <v>1754</v>
      </c>
      <c r="BN174" s="1586">
        <f t="shared" si="455"/>
        <v>975</v>
      </c>
      <c r="BO174" s="1588">
        <f t="shared" si="455"/>
        <v>323</v>
      </c>
      <c r="BP174" s="1585">
        <f t="shared" si="455"/>
        <v>198</v>
      </c>
      <c r="BQ174" s="1586">
        <f t="shared" si="456"/>
        <v>192</v>
      </c>
      <c r="BR174" s="1586">
        <f t="shared" si="456"/>
        <v>128</v>
      </c>
      <c r="BS174" s="1586">
        <f t="shared" si="456"/>
        <v>70</v>
      </c>
      <c r="BT174" s="1588">
        <f t="shared" si="456"/>
        <v>90</v>
      </c>
      <c r="BU174" s="1585">
        <f t="shared" si="456"/>
        <v>175</v>
      </c>
      <c r="BV174" s="1586">
        <f t="shared" si="456"/>
        <v>23</v>
      </c>
      <c r="BW174" s="1586">
        <f t="shared" si="456"/>
        <v>427</v>
      </c>
      <c r="BX174" s="1586">
        <f t="shared" si="456"/>
        <v>763</v>
      </c>
      <c r="BY174" s="1588">
        <f t="shared" si="456"/>
        <v>34</v>
      </c>
      <c r="BZ174" s="1611">
        <f t="shared" si="458"/>
        <v>6750</v>
      </c>
      <c r="CA174" s="1612">
        <f t="shared" si="457"/>
        <v>7066</v>
      </c>
      <c r="CB174" s="1612">
        <f t="shared" si="457"/>
        <v>6814</v>
      </c>
      <c r="CC174" s="1612">
        <f t="shared" si="457"/>
        <v>6779</v>
      </c>
      <c r="CD174" s="1613">
        <f t="shared" si="457"/>
        <v>7502</v>
      </c>
    </row>
    <row r="175" spans="1:82" ht="11.25" customHeight="1" x14ac:dyDescent="0.2">
      <c r="A175" s="142"/>
      <c r="B175" s="1680"/>
      <c r="C175" s="1680"/>
      <c r="D175" s="1680"/>
      <c r="E175" s="1680"/>
      <c r="F175" s="1680"/>
      <c r="G175" s="1680"/>
      <c r="H175" s="1680"/>
      <c r="I175" s="1680"/>
      <c r="J175" s="12"/>
      <c r="K175" s="9"/>
      <c r="L175" s="9"/>
      <c r="M175" s="9"/>
      <c r="N175" s="9"/>
      <c r="O175" s="9"/>
      <c r="P175" s="9"/>
      <c r="Q175" s="9"/>
      <c r="R175" s="9"/>
      <c r="S175" s="9"/>
      <c r="T175" s="9"/>
      <c r="U175" s="9"/>
      <c r="V175" s="9"/>
      <c r="W175" s="58"/>
      <c r="X175" s="58"/>
      <c r="Y175" s="65"/>
      <c r="Z175" s="137"/>
      <c r="AA175" s="150"/>
      <c r="AB175" s="1585">
        <f t="shared" si="450"/>
        <v>228</v>
      </c>
      <c r="AC175" s="1586">
        <f t="shared" si="450"/>
        <v>196</v>
      </c>
      <c r="AD175" s="1586">
        <f t="shared" si="450"/>
        <v>246</v>
      </c>
      <c r="AE175" s="1586">
        <f t="shared" si="450"/>
        <v>220</v>
      </c>
      <c r="AF175" s="1588">
        <f t="shared" si="450"/>
        <v>155</v>
      </c>
      <c r="AG175" s="1585">
        <f t="shared" si="451"/>
        <v>386</v>
      </c>
      <c r="AH175" s="1586">
        <f t="shared" si="451"/>
        <v>480</v>
      </c>
      <c r="AI175" s="1586">
        <f t="shared" si="451"/>
        <v>532</v>
      </c>
      <c r="AJ175" s="1586">
        <f t="shared" si="451"/>
        <v>566</v>
      </c>
      <c r="AK175" s="1588">
        <f t="shared" si="451"/>
        <v>592</v>
      </c>
      <c r="AL175" s="1585">
        <f t="shared" si="452"/>
        <v>300</v>
      </c>
      <c r="AM175" s="1586">
        <f t="shared" si="452"/>
        <v>325</v>
      </c>
      <c r="AN175" s="1586">
        <f t="shared" si="452"/>
        <v>437</v>
      </c>
      <c r="AO175" s="1586">
        <f t="shared" si="452"/>
        <v>371</v>
      </c>
      <c r="AP175" s="1588">
        <f t="shared" si="452"/>
        <v>376</v>
      </c>
      <c r="AQ175" s="1585">
        <f t="shared" si="453"/>
        <v>45</v>
      </c>
      <c r="AR175" s="1586">
        <f t="shared" si="453"/>
        <v>69</v>
      </c>
      <c r="AS175" s="1586">
        <f t="shared" si="453"/>
        <v>85</v>
      </c>
      <c r="AT175" s="1586">
        <f t="shared" si="453"/>
        <v>108</v>
      </c>
      <c r="AU175" s="1588">
        <f t="shared" si="453"/>
        <v>63</v>
      </c>
      <c r="AV175" s="1585">
        <f t="shared" si="454"/>
        <v>246</v>
      </c>
      <c r="AW175" s="1586">
        <f t="shared" si="454"/>
        <v>253</v>
      </c>
      <c r="AX175" s="1586">
        <f t="shared" si="454"/>
        <v>353</v>
      </c>
      <c r="AY175" s="1586">
        <f t="shared" si="454"/>
        <v>513</v>
      </c>
      <c r="AZ175" s="1588">
        <f t="shared" si="454"/>
        <v>451</v>
      </c>
      <c r="BA175" s="1585">
        <f t="shared" si="455"/>
        <v>655</v>
      </c>
      <c r="BB175" s="1586">
        <f t="shared" si="455"/>
        <v>825</v>
      </c>
      <c r="BC175" s="1586">
        <f t="shared" si="455"/>
        <v>887</v>
      </c>
      <c r="BD175" s="1586">
        <f t="shared" si="455"/>
        <v>700</v>
      </c>
      <c r="BE175" s="1588">
        <f t="shared" si="455"/>
        <v>725</v>
      </c>
      <c r="BF175" s="1585">
        <f t="shared" si="455"/>
        <v>70</v>
      </c>
      <c r="BG175" s="1586">
        <f t="shared" si="455"/>
        <v>105</v>
      </c>
      <c r="BH175" s="1586">
        <f t="shared" si="455"/>
        <v>126</v>
      </c>
      <c r="BI175" s="1586">
        <f t="shared" si="455"/>
        <v>151</v>
      </c>
      <c r="BJ175" s="1588">
        <f t="shared" si="455"/>
        <v>124</v>
      </c>
      <c r="BK175" s="1585">
        <f t="shared" si="455"/>
        <v>117</v>
      </c>
      <c r="BL175" s="1586">
        <f t="shared" si="455"/>
        <v>198</v>
      </c>
      <c r="BM175" s="1586">
        <f t="shared" si="455"/>
        <v>130</v>
      </c>
      <c r="BN175" s="1586">
        <f t="shared" si="455"/>
        <v>149</v>
      </c>
      <c r="BO175" s="1588">
        <f t="shared" si="455"/>
        <v>137</v>
      </c>
      <c r="BP175" s="1585">
        <f t="shared" si="455"/>
        <v>46</v>
      </c>
      <c r="BQ175" s="1586">
        <f t="shared" si="456"/>
        <v>36</v>
      </c>
      <c r="BR175" s="1586">
        <f t="shared" si="456"/>
        <v>49</v>
      </c>
      <c r="BS175" s="1586">
        <f t="shared" si="456"/>
        <v>66</v>
      </c>
      <c r="BT175" s="1588">
        <f t="shared" si="456"/>
        <v>35</v>
      </c>
      <c r="BU175" s="1585">
        <f t="shared" si="456"/>
        <v>0</v>
      </c>
      <c r="BV175" s="1586">
        <f t="shared" si="456"/>
        <v>0</v>
      </c>
      <c r="BW175" s="1586">
        <f t="shared" si="456"/>
        <v>0</v>
      </c>
      <c r="BX175" s="1586">
        <f t="shared" si="456"/>
        <v>0</v>
      </c>
      <c r="BY175" s="1588">
        <f t="shared" si="456"/>
        <v>6</v>
      </c>
      <c r="BZ175" s="1611">
        <f t="shared" si="458"/>
        <v>2093</v>
      </c>
      <c r="CA175" s="1612">
        <f t="shared" si="457"/>
        <v>2487</v>
      </c>
      <c r="CB175" s="1612">
        <f t="shared" si="457"/>
        <v>2845</v>
      </c>
      <c r="CC175" s="1612">
        <f t="shared" si="457"/>
        <v>2844</v>
      </c>
      <c r="CD175" s="1613">
        <f t="shared" si="457"/>
        <v>2664</v>
      </c>
    </row>
    <row r="176" spans="1:82" ht="11.25" customHeight="1" x14ac:dyDescent="0.2">
      <c r="A176" s="142"/>
      <c r="B176" s="1680" t="s">
        <v>666</v>
      </c>
      <c r="C176" s="1680"/>
      <c r="D176" s="1680"/>
      <c r="E176" s="1680"/>
      <c r="F176" s="1680"/>
      <c r="G176" s="1680"/>
      <c r="H176" s="1680"/>
      <c r="I176" s="1680"/>
      <c r="J176" s="12"/>
      <c r="K176" s="9"/>
      <c r="L176" s="9"/>
      <c r="M176" s="9"/>
      <c r="N176" s="9"/>
      <c r="O176" s="9"/>
      <c r="P176" s="9"/>
      <c r="Q176" s="9"/>
      <c r="R176" s="9"/>
      <c r="S176" s="9"/>
      <c r="T176" s="9"/>
      <c r="U176" s="9"/>
      <c r="V176" s="9"/>
      <c r="W176" s="58"/>
      <c r="X176" s="58"/>
      <c r="Y176" s="65"/>
      <c r="Z176" s="137"/>
      <c r="AA176" s="150"/>
      <c r="AB176" s="1585">
        <f t="shared" si="450"/>
        <v>231</v>
      </c>
      <c r="AC176" s="1586">
        <f t="shared" si="450"/>
        <v>166</v>
      </c>
      <c r="AD176" s="1586">
        <f t="shared" si="450"/>
        <v>168</v>
      </c>
      <c r="AE176" s="1586">
        <f t="shared" si="450"/>
        <v>176</v>
      </c>
      <c r="AF176" s="1588">
        <f t="shared" si="450"/>
        <v>192</v>
      </c>
      <c r="AG176" s="1585">
        <f t="shared" si="451"/>
        <v>646</v>
      </c>
      <c r="AH176" s="1586">
        <f t="shared" si="451"/>
        <v>548</v>
      </c>
      <c r="AI176" s="1586">
        <f t="shared" si="451"/>
        <v>482</v>
      </c>
      <c r="AJ176" s="1586">
        <f t="shared" si="451"/>
        <v>535</v>
      </c>
      <c r="AK176" s="1588">
        <f t="shared" si="451"/>
        <v>533</v>
      </c>
      <c r="AL176" s="1585">
        <f t="shared" si="452"/>
        <v>402</v>
      </c>
      <c r="AM176" s="1586">
        <f t="shared" si="452"/>
        <v>481</v>
      </c>
      <c r="AN176" s="1586">
        <f t="shared" si="452"/>
        <v>397</v>
      </c>
      <c r="AO176" s="1586">
        <f t="shared" si="452"/>
        <v>397</v>
      </c>
      <c r="AP176" s="1588">
        <f t="shared" si="452"/>
        <v>372</v>
      </c>
      <c r="AQ176" s="1585">
        <f t="shared" si="453"/>
        <v>123</v>
      </c>
      <c r="AR176" s="1586">
        <f t="shared" si="453"/>
        <v>113</v>
      </c>
      <c r="AS176" s="1586">
        <f t="shared" si="453"/>
        <v>66</v>
      </c>
      <c r="AT176" s="1586">
        <f t="shared" si="453"/>
        <v>76</v>
      </c>
      <c r="AU176" s="1588">
        <f t="shared" si="453"/>
        <v>64</v>
      </c>
      <c r="AV176" s="1585">
        <f t="shared" si="454"/>
        <v>254</v>
      </c>
      <c r="AW176" s="1586">
        <f t="shared" si="454"/>
        <v>308</v>
      </c>
      <c r="AX176" s="1586">
        <f t="shared" si="454"/>
        <v>279</v>
      </c>
      <c r="AY176" s="1586">
        <f t="shared" si="454"/>
        <v>249</v>
      </c>
      <c r="AZ176" s="1588">
        <f t="shared" si="454"/>
        <v>263</v>
      </c>
      <c r="BA176" s="1585">
        <f t="shared" si="455"/>
        <v>1014</v>
      </c>
      <c r="BB176" s="1586">
        <f t="shared" si="455"/>
        <v>1198</v>
      </c>
      <c r="BC176" s="1586">
        <f t="shared" si="455"/>
        <v>1014</v>
      </c>
      <c r="BD176" s="1586">
        <f t="shared" si="455"/>
        <v>1062</v>
      </c>
      <c r="BE176" s="1588">
        <f t="shared" si="455"/>
        <v>930</v>
      </c>
      <c r="BF176" s="1585">
        <f t="shared" si="455"/>
        <v>135</v>
      </c>
      <c r="BG176" s="1586">
        <f t="shared" si="455"/>
        <v>79</v>
      </c>
      <c r="BH176" s="1586">
        <f t="shared" si="455"/>
        <v>70</v>
      </c>
      <c r="BI176" s="1586">
        <f t="shared" si="455"/>
        <v>71</v>
      </c>
      <c r="BJ176" s="1588">
        <f t="shared" si="455"/>
        <v>55</v>
      </c>
      <c r="BK176" s="1585">
        <f t="shared" si="455"/>
        <v>204</v>
      </c>
      <c r="BL176" s="1586">
        <f t="shared" si="455"/>
        <v>292</v>
      </c>
      <c r="BM176" s="1586">
        <f t="shared" si="455"/>
        <v>122</v>
      </c>
      <c r="BN176" s="1586">
        <f t="shared" si="455"/>
        <v>138</v>
      </c>
      <c r="BO176" s="1588">
        <f t="shared" si="455"/>
        <v>128</v>
      </c>
      <c r="BP176" s="1585">
        <f t="shared" si="455"/>
        <v>22</v>
      </c>
      <c r="BQ176" s="1586">
        <f t="shared" si="456"/>
        <v>35</v>
      </c>
      <c r="BR176" s="1586" t="str">
        <f t="shared" si="456"/>
        <v>x</v>
      </c>
      <c r="BS176" s="1586">
        <f t="shared" si="456"/>
        <v>35</v>
      </c>
      <c r="BT176" s="1588">
        <f t="shared" si="456"/>
        <v>19</v>
      </c>
      <c r="BU176" s="1585">
        <f t="shared" si="456"/>
        <v>47</v>
      </c>
      <c r="BV176" s="1586">
        <f t="shared" si="456"/>
        <v>47</v>
      </c>
      <c r="BW176" s="1586" t="str">
        <f t="shared" si="456"/>
        <v>x</v>
      </c>
      <c r="BX176" s="1586">
        <f t="shared" si="456"/>
        <v>0</v>
      </c>
      <c r="BY176" s="1588">
        <f t="shared" si="456"/>
        <v>8</v>
      </c>
      <c r="BZ176" s="1611">
        <f t="shared" si="458"/>
        <v>3078</v>
      </c>
      <c r="CA176" s="1612">
        <f t="shared" si="457"/>
        <v>3267</v>
      </c>
      <c r="CB176" s="1612">
        <f t="shared" si="457"/>
        <v>2598</v>
      </c>
      <c r="CC176" s="1612">
        <f t="shared" si="457"/>
        <v>2739</v>
      </c>
      <c r="CD176" s="1613">
        <f t="shared" si="457"/>
        <v>2564</v>
      </c>
    </row>
    <row r="177" spans="1:82" ht="11.25" customHeight="1" x14ac:dyDescent="0.2">
      <c r="A177" s="142"/>
      <c r="B177" s="1680"/>
      <c r="C177" s="1680"/>
      <c r="D177" s="1680"/>
      <c r="E177" s="1680"/>
      <c r="F177" s="1680"/>
      <c r="G177" s="1680"/>
      <c r="H177" s="1680"/>
      <c r="I177" s="1680"/>
      <c r="J177" s="12"/>
      <c r="K177" s="9"/>
      <c r="L177" s="9"/>
      <c r="M177" s="9"/>
      <c r="N177" s="9"/>
      <c r="O177" s="9"/>
      <c r="P177" s="9"/>
      <c r="Q177" s="9"/>
      <c r="R177" s="9"/>
      <c r="S177" s="9"/>
      <c r="T177" s="9"/>
      <c r="U177" s="9"/>
      <c r="V177" s="9"/>
      <c r="W177" s="58"/>
      <c r="X177" s="58"/>
      <c r="Y177" s="65"/>
      <c r="Z177" s="137"/>
      <c r="AA177" s="150"/>
      <c r="AB177" s="1585">
        <f t="shared" si="450"/>
        <v>177</v>
      </c>
      <c r="AC177" s="1586">
        <f t="shared" si="450"/>
        <v>261</v>
      </c>
      <c r="AD177" s="1586">
        <f t="shared" si="450"/>
        <v>110</v>
      </c>
      <c r="AE177" s="1586">
        <f t="shared" si="450"/>
        <v>138</v>
      </c>
      <c r="AF177" s="1588">
        <f t="shared" si="450"/>
        <v>104</v>
      </c>
      <c r="AG177" s="1585">
        <f t="shared" si="451"/>
        <v>572</v>
      </c>
      <c r="AH177" s="1586">
        <f t="shared" si="451"/>
        <v>774</v>
      </c>
      <c r="AI177" s="1586">
        <f t="shared" si="451"/>
        <v>278</v>
      </c>
      <c r="AJ177" s="1586">
        <f t="shared" si="451"/>
        <v>459</v>
      </c>
      <c r="AK177" s="1588">
        <f t="shared" si="451"/>
        <v>634</v>
      </c>
      <c r="AL177" s="1585">
        <f t="shared" si="452"/>
        <v>346</v>
      </c>
      <c r="AM177" s="1586">
        <f t="shared" si="452"/>
        <v>690</v>
      </c>
      <c r="AN177" s="1586">
        <f t="shared" si="452"/>
        <v>200</v>
      </c>
      <c r="AO177" s="1586">
        <f t="shared" si="452"/>
        <v>209</v>
      </c>
      <c r="AP177" s="1588">
        <f t="shared" si="452"/>
        <v>344</v>
      </c>
      <c r="AQ177" s="1585">
        <f t="shared" si="453"/>
        <v>21</v>
      </c>
      <c r="AR177" s="1586" t="str">
        <f t="shared" si="453"/>
        <v>x</v>
      </c>
      <c r="AS177" s="1586" t="str">
        <f t="shared" si="453"/>
        <v>x</v>
      </c>
      <c r="AT177" s="1586">
        <f t="shared" si="453"/>
        <v>0</v>
      </c>
      <c r="AU177" s="1588">
        <f t="shared" si="453"/>
        <v>0</v>
      </c>
      <c r="AV177" s="1585">
        <f t="shared" si="454"/>
        <v>553</v>
      </c>
      <c r="AW177" s="1586">
        <f t="shared" si="454"/>
        <v>997</v>
      </c>
      <c r="AX177" s="1586">
        <f t="shared" si="454"/>
        <v>368</v>
      </c>
      <c r="AY177" s="1586">
        <f t="shared" si="454"/>
        <v>331</v>
      </c>
      <c r="AZ177" s="1588">
        <f t="shared" si="454"/>
        <v>391</v>
      </c>
      <c r="BA177" s="1585">
        <f t="shared" si="455"/>
        <v>917</v>
      </c>
      <c r="BB177" s="1586">
        <f t="shared" si="455"/>
        <v>2192</v>
      </c>
      <c r="BC177" s="1586">
        <f t="shared" si="455"/>
        <v>515</v>
      </c>
      <c r="BD177" s="1586">
        <f t="shared" si="455"/>
        <v>624</v>
      </c>
      <c r="BE177" s="1588">
        <f t="shared" si="455"/>
        <v>825</v>
      </c>
      <c r="BF177" s="1585">
        <f t="shared" si="455"/>
        <v>68</v>
      </c>
      <c r="BG177" s="1586">
        <f t="shared" si="455"/>
        <v>574</v>
      </c>
      <c r="BH177" s="1586">
        <f t="shared" si="455"/>
        <v>45</v>
      </c>
      <c r="BI177" s="1586">
        <f t="shared" si="455"/>
        <v>69</v>
      </c>
      <c r="BJ177" s="1588">
        <f t="shared" si="455"/>
        <v>91</v>
      </c>
      <c r="BK177" s="1585">
        <f t="shared" si="455"/>
        <v>89</v>
      </c>
      <c r="BL177" s="1586">
        <f t="shared" si="455"/>
        <v>164</v>
      </c>
      <c r="BM177" s="1586">
        <f t="shared" si="455"/>
        <v>29</v>
      </c>
      <c r="BN177" s="1586">
        <f t="shared" si="455"/>
        <v>124</v>
      </c>
      <c r="BO177" s="1588">
        <f t="shared" si="455"/>
        <v>107</v>
      </c>
      <c r="BP177" s="1585">
        <f t="shared" si="455"/>
        <v>31</v>
      </c>
      <c r="BQ177" s="1586">
        <f t="shared" si="456"/>
        <v>32</v>
      </c>
      <c r="BR177" s="1586">
        <f t="shared" si="456"/>
        <v>43</v>
      </c>
      <c r="BS177" s="1586">
        <f t="shared" si="456"/>
        <v>21</v>
      </c>
      <c r="BT177" s="1588">
        <f t="shared" si="456"/>
        <v>44</v>
      </c>
      <c r="BU177" s="1585">
        <f t="shared" si="456"/>
        <v>0</v>
      </c>
      <c r="BV177" s="1586" t="str">
        <f t="shared" si="456"/>
        <v>x</v>
      </c>
      <c r="BW177" s="1586" t="str">
        <f t="shared" si="456"/>
        <v>x</v>
      </c>
      <c r="BX177" s="1586">
        <f t="shared" si="456"/>
        <v>0</v>
      </c>
      <c r="BY177" s="1588">
        <f t="shared" si="456"/>
        <v>0</v>
      </c>
      <c r="BZ177" s="1611">
        <f t="shared" si="458"/>
        <v>2774</v>
      </c>
      <c r="CA177" s="1612">
        <f t="shared" si="457"/>
        <v>5684</v>
      </c>
      <c r="CB177" s="1612">
        <f t="shared" si="457"/>
        <v>1588</v>
      </c>
      <c r="CC177" s="1612">
        <f t="shared" si="457"/>
        <v>1975</v>
      </c>
      <c r="CD177" s="1613">
        <f t="shared" si="457"/>
        <v>2540</v>
      </c>
    </row>
    <row r="178" spans="1:82" ht="11.25" customHeight="1" x14ac:dyDescent="0.2">
      <c r="A178" s="142"/>
      <c r="B178" s="1680" t="s">
        <v>906</v>
      </c>
      <c r="C178" s="1680"/>
      <c r="D178" s="1680"/>
      <c r="E178" s="1680"/>
      <c r="F178" s="1680"/>
      <c r="G178" s="1680"/>
      <c r="H178" s="1680"/>
      <c r="I178" s="1680"/>
      <c r="J178" s="12"/>
      <c r="K178" s="9"/>
      <c r="L178" s="9"/>
      <c r="M178" s="9"/>
      <c r="N178" s="9"/>
      <c r="O178" s="9"/>
      <c r="P178" s="9"/>
      <c r="Q178" s="9"/>
      <c r="R178" s="9"/>
      <c r="S178" s="9"/>
      <c r="T178" s="9"/>
      <c r="U178" s="9"/>
      <c r="V178" s="9"/>
      <c r="W178" s="58"/>
      <c r="X178" s="58"/>
      <c r="Y178" s="65"/>
      <c r="Z178" s="137"/>
      <c r="AA178" s="150"/>
      <c r="AB178" s="1585">
        <f t="shared" si="450"/>
        <v>512</v>
      </c>
      <c r="AC178" s="1586">
        <f t="shared" si="450"/>
        <v>621</v>
      </c>
      <c r="AD178" s="1586">
        <f t="shared" si="450"/>
        <v>641</v>
      </c>
      <c r="AE178" s="1586">
        <f t="shared" si="450"/>
        <v>92</v>
      </c>
      <c r="AF178" s="1588">
        <f t="shared" si="450"/>
        <v>314</v>
      </c>
      <c r="AG178" s="1585">
        <f t="shared" si="451"/>
        <v>818</v>
      </c>
      <c r="AH178" s="1586">
        <f t="shared" si="451"/>
        <v>913</v>
      </c>
      <c r="AI178" s="1586">
        <f t="shared" si="451"/>
        <v>736</v>
      </c>
      <c r="AJ178" s="1586">
        <f t="shared" si="451"/>
        <v>561</v>
      </c>
      <c r="AK178" s="1588">
        <f t="shared" si="451"/>
        <v>491</v>
      </c>
      <c r="AL178" s="1585">
        <f t="shared" si="452"/>
        <v>686</v>
      </c>
      <c r="AM178" s="1586">
        <f t="shared" si="452"/>
        <v>670</v>
      </c>
      <c r="AN178" s="1586">
        <f t="shared" si="452"/>
        <v>806</v>
      </c>
      <c r="AO178" s="1586">
        <f t="shared" si="452"/>
        <v>363</v>
      </c>
      <c r="AP178" s="1588">
        <f t="shared" si="452"/>
        <v>520</v>
      </c>
      <c r="AQ178" s="1585" t="str">
        <f t="shared" si="453"/>
        <v>x</v>
      </c>
      <c r="AR178" s="1586">
        <f t="shared" si="453"/>
        <v>61</v>
      </c>
      <c r="AS178" s="1586">
        <f t="shared" si="453"/>
        <v>28</v>
      </c>
      <c r="AT178" s="1586">
        <f t="shared" si="453"/>
        <v>0</v>
      </c>
      <c r="AU178" s="1588">
        <f t="shared" si="453"/>
        <v>15</v>
      </c>
      <c r="AV178" s="1585">
        <f t="shared" si="454"/>
        <v>624</v>
      </c>
      <c r="AW178" s="1586">
        <f t="shared" si="454"/>
        <v>638</v>
      </c>
      <c r="AX178" s="1586">
        <f t="shared" si="454"/>
        <v>565</v>
      </c>
      <c r="AY178" s="1586">
        <f t="shared" si="454"/>
        <v>433</v>
      </c>
      <c r="AZ178" s="1588">
        <f t="shared" si="454"/>
        <v>538</v>
      </c>
      <c r="BA178" s="1585">
        <f t="shared" si="455"/>
        <v>955</v>
      </c>
      <c r="BB178" s="1586">
        <f t="shared" si="455"/>
        <v>1336</v>
      </c>
      <c r="BC178" s="1586">
        <f t="shared" si="455"/>
        <v>1651</v>
      </c>
      <c r="BD178" s="1586">
        <f t="shared" si="455"/>
        <v>813</v>
      </c>
      <c r="BE178" s="1588">
        <f t="shared" si="455"/>
        <v>1160</v>
      </c>
      <c r="BF178" s="1585">
        <f t="shared" si="455"/>
        <v>107</v>
      </c>
      <c r="BG178" s="1586">
        <f t="shared" si="455"/>
        <v>136</v>
      </c>
      <c r="BH178" s="1586">
        <f t="shared" si="455"/>
        <v>176</v>
      </c>
      <c r="BI178" s="1586">
        <f t="shared" si="455"/>
        <v>65</v>
      </c>
      <c r="BJ178" s="1588">
        <f t="shared" si="455"/>
        <v>201</v>
      </c>
      <c r="BK178" s="1585">
        <f t="shared" si="455"/>
        <v>185</v>
      </c>
      <c r="BL178" s="1586">
        <f t="shared" si="455"/>
        <v>211</v>
      </c>
      <c r="BM178" s="1586">
        <f t="shared" si="455"/>
        <v>343</v>
      </c>
      <c r="BN178" s="1586">
        <f t="shared" si="455"/>
        <v>179</v>
      </c>
      <c r="BO178" s="1588">
        <f t="shared" si="455"/>
        <v>226</v>
      </c>
      <c r="BP178" s="1585">
        <f t="shared" si="455"/>
        <v>184</v>
      </c>
      <c r="BQ178" s="1586">
        <f t="shared" si="456"/>
        <v>191</v>
      </c>
      <c r="BR178" s="1586">
        <f t="shared" si="456"/>
        <v>207</v>
      </c>
      <c r="BS178" s="1586">
        <f t="shared" si="456"/>
        <v>56</v>
      </c>
      <c r="BT178" s="1588">
        <f t="shared" si="456"/>
        <v>136</v>
      </c>
      <c r="BU178" s="1585" t="str">
        <f t="shared" si="456"/>
        <v>x</v>
      </c>
      <c r="BV178" s="1586">
        <f t="shared" si="456"/>
        <v>0</v>
      </c>
      <c r="BW178" s="1586">
        <f t="shared" si="456"/>
        <v>12</v>
      </c>
      <c r="BX178" s="1586">
        <f t="shared" si="456"/>
        <v>24</v>
      </c>
      <c r="BY178" s="1588">
        <f t="shared" si="456"/>
        <v>18</v>
      </c>
      <c r="BZ178" s="1611">
        <f t="shared" si="458"/>
        <v>4071</v>
      </c>
      <c r="CA178" s="1612">
        <f t="shared" si="457"/>
        <v>4777</v>
      </c>
      <c r="CB178" s="1612">
        <f t="shared" si="457"/>
        <v>5165</v>
      </c>
      <c r="CC178" s="1612">
        <f t="shared" si="457"/>
        <v>2586</v>
      </c>
      <c r="CD178" s="1613">
        <f t="shared" si="457"/>
        <v>3619</v>
      </c>
    </row>
    <row r="179" spans="1:82" ht="11.25" customHeight="1" x14ac:dyDescent="0.2">
      <c r="A179" s="142"/>
      <c r="B179" s="1680"/>
      <c r="C179" s="1680"/>
      <c r="D179" s="1680"/>
      <c r="E179" s="1680"/>
      <c r="F179" s="1680"/>
      <c r="G179" s="1680"/>
      <c r="H179" s="1680"/>
      <c r="I179" s="1680"/>
      <c r="J179" s="12"/>
      <c r="K179" s="9"/>
      <c r="L179" s="9"/>
      <c r="M179" s="9"/>
      <c r="N179" s="9"/>
      <c r="O179" s="9"/>
      <c r="P179" s="9"/>
      <c r="Q179" s="9"/>
      <c r="R179" s="9"/>
      <c r="S179" s="9"/>
      <c r="T179" s="9"/>
      <c r="U179" s="9"/>
      <c r="V179" s="9"/>
      <c r="W179" s="58"/>
      <c r="X179" s="58"/>
      <c r="Y179" s="65"/>
      <c r="Z179" s="137"/>
      <c r="AA179" s="150"/>
      <c r="AB179" s="1585">
        <f t="shared" si="450"/>
        <v>143</v>
      </c>
      <c r="AC179" s="1586">
        <f t="shared" si="450"/>
        <v>98</v>
      </c>
      <c r="AD179" s="1586">
        <f t="shared" si="450"/>
        <v>99</v>
      </c>
      <c r="AE179" s="1586">
        <f t="shared" si="450"/>
        <v>565</v>
      </c>
      <c r="AF179" s="1588">
        <f t="shared" si="450"/>
        <v>221</v>
      </c>
      <c r="AG179" s="1585">
        <f t="shared" si="451"/>
        <v>830</v>
      </c>
      <c r="AH179" s="1586">
        <f t="shared" si="451"/>
        <v>803</v>
      </c>
      <c r="AI179" s="1586">
        <f t="shared" si="451"/>
        <v>559</v>
      </c>
      <c r="AJ179" s="1586">
        <f t="shared" si="451"/>
        <v>2258</v>
      </c>
      <c r="AK179" s="1588">
        <f t="shared" si="451"/>
        <v>952</v>
      </c>
      <c r="AL179" s="1585">
        <f t="shared" si="452"/>
        <v>585</v>
      </c>
      <c r="AM179" s="1586">
        <f t="shared" si="452"/>
        <v>373</v>
      </c>
      <c r="AN179" s="1586">
        <f t="shared" si="452"/>
        <v>342</v>
      </c>
      <c r="AO179" s="1586">
        <f t="shared" si="452"/>
        <v>1437</v>
      </c>
      <c r="AP179" s="1588">
        <f t="shared" si="452"/>
        <v>761</v>
      </c>
      <c r="AQ179" s="1585">
        <f t="shared" si="453"/>
        <v>47</v>
      </c>
      <c r="AR179" s="1586">
        <f t="shared" si="453"/>
        <v>64</v>
      </c>
      <c r="AS179" s="1586">
        <f t="shared" si="453"/>
        <v>37</v>
      </c>
      <c r="AT179" s="1586">
        <f t="shared" si="453"/>
        <v>145</v>
      </c>
      <c r="AU179" s="1588">
        <f t="shared" si="453"/>
        <v>28</v>
      </c>
      <c r="AV179" s="1585">
        <f t="shared" si="454"/>
        <v>417</v>
      </c>
      <c r="AW179" s="1586">
        <f t="shared" si="454"/>
        <v>536</v>
      </c>
      <c r="AX179" s="1586">
        <f t="shared" si="454"/>
        <v>482</v>
      </c>
      <c r="AY179" s="1586">
        <f t="shared" si="454"/>
        <v>1299</v>
      </c>
      <c r="AZ179" s="1588">
        <f t="shared" si="454"/>
        <v>980</v>
      </c>
      <c r="BA179" s="1585">
        <f t="shared" si="455"/>
        <v>951</v>
      </c>
      <c r="BB179" s="1586">
        <f t="shared" si="455"/>
        <v>799</v>
      </c>
      <c r="BC179" s="1586">
        <f t="shared" si="455"/>
        <v>800</v>
      </c>
      <c r="BD179" s="1586">
        <f t="shared" si="455"/>
        <v>3862</v>
      </c>
      <c r="BE179" s="1588">
        <f t="shared" si="455"/>
        <v>1369</v>
      </c>
      <c r="BF179" s="1585">
        <f t="shared" si="455"/>
        <v>67</v>
      </c>
      <c r="BG179" s="1586">
        <f t="shared" si="455"/>
        <v>47</v>
      </c>
      <c r="BH179" s="1586">
        <f t="shared" si="455"/>
        <v>67</v>
      </c>
      <c r="BI179" s="1586">
        <f t="shared" si="455"/>
        <v>340</v>
      </c>
      <c r="BJ179" s="1588">
        <f t="shared" si="455"/>
        <v>54</v>
      </c>
      <c r="BK179" s="1585">
        <f t="shared" si="455"/>
        <v>188</v>
      </c>
      <c r="BL179" s="1586">
        <f t="shared" si="455"/>
        <v>210</v>
      </c>
      <c r="BM179" s="1586">
        <f t="shared" si="455"/>
        <v>159</v>
      </c>
      <c r="BN179" s="1586">
        <f t="shared" si="455"/>
        <v>587</v>
      </c>
      <c r="BO179" s="1588">
        <f t="shared" si="455"/>
        <v>300</v>
      </c>
      <c r="BP179" s="1585">
        <f t="shared" si="455"/>
        <v>108</v>
      </c>
      <c r="BQ179" s="1586">
        <f t="shared" si="456"/>
        <v>91</v>
      </c>
      <c r="BR179" s="1586">
        <f t="shared" si="456"/>
        <v>68</v>
      </c>
      <c r="BS179" s="1586">
        <f t="shared" si="456"/>
        <v>142</v>
      </c>
      <c r="BT179" s="1588">
        <f t="shared" si="456"/>
        <v>163</v>
      </c>
      <c r="BU179" s="1585">
        <f t="shared" si="456"/>
        <v>780</v>
      </c>
      <c r="BV179" s="1586">
        <f t="shared" si="456"/>
        <v>23</v>
      </c>
      <c r="BW179" s="1586">
        <f t="shared" si="456"/>
        <v>0</v>
      </c>
      <c r="BX179" s="1586">
        <f t="shared" si="456"/>
        <v>0</v>
      </c>
      <c r="BY179" s="1588">
        <f t="shared" si="456"/>
        <v>12</v>
      </c>
      <c r="BZ179" s="1611">
        <f t="shared" si="458"/>
        <v>4116</v>
      </c>
      <c r="CA179" s="1612">
        <f t="shared" si="457"/>
        <v>3044</v>
      </c>
      <c r="CB179" s="1612">
        <f t="shared" si="457"/>
        <v>2613</v>
      </c>
      <c r="CC179" s="1612">
        <f t="shared" si="457"/>
        <v>10635</v>
      </c>
      <c r="CD179" s="1613">
        <f t="shared" si="457"/>
        <v>4840</v>
      </c>
    </row>
    <row r="180" spans="1:82" ht="11.25" customHeight="1" x14ac:dyDescent="0.2">
      <c r="A180" s="142"/>
      <c r="B180" s="1680" t="s">
        <v>672</v>
      </c>
      <c r="C180" s="1680"/>
      <c r="D180" s="1680"/>
      <c r="E180" s="1680"/>
      <c r="F180" s="1680"/>
      <c r="G180" s="1680"/>
      <c r="H180" s="1680"/>
      <c r="I180" s="1680"/>
      <c r="J180" s="12"/>
      <c r="K180" s="9"/>
      <c r="L180" s="9"/>
      <c r="M180" s="9"/>
      <c r="N180" s="9"/>
      <c r="O180" s="9"/>
      <c r="P180" s="9"/>
      <c r="Q180" s="9"/>
      <c r="R180" s="9"/>
      <c r="S180" s="9"/>
      <c r="T180" s="9"/>
      <c r="U180" s="9"/>
      <c r="V180" s="9"/>
      <c r="W180" s="58"/>
      <c r="X180" s="58"/>
      <c r="Y180" s="65"/>
      <c r="Z180" s="137"/>
      <c r="AA180" s="150"/>
      <c r="AB180" s="1585">
        <f t="shared" si="450"/>
        <v>707</v>
      </c>
      <c r="AC180" s="1586">
        <f t="shared" si="450"/>
        <v>642</v>
      </c>
      <c r="AD180" s="1586">
        <f t="shared" si="450"/>
        <v>654</v>
      </c>
      <c r="AE180" s="1586">
        <f t="shared" si="450"/>
        <v>194</v>
      </c>
      <c r="AF180" s="1588">
        <f t="shared" si="450"/>
        <v>613</v>
      </c>
      <c r="AG180" s="1585">
        <f t="shared" si="451"/>
        <v>1976</v>
      </c>
      <c r="AH180" s="1586">
        <f t="shared" si="451"/>
        <v>2181</v>
      </c>
      <c r="AI180" s="1586">
        <f t="shared" si="451"/>
        <v>2758</v>
      </c>
      <c r="AJ180" s="1586">
        <f t="shared" si="451"/>
        <v>323</v>
      </c>
      <c r="AK180" s="1588">
        <f t="shared" si="451"/>
        <v>1635</v>
      </c>
      <c r="AL180" s="1585">
        <f t="shared" si="452"/>
        <v>1597</v>
      </c>
      <c r="AM180" s="1586">
        <f t="shared" si="452"/>
        <v>1622</v>
      </c>
      <c r="AN180" s="1586">
        <f t="shared" si="452"/>
        <v>1778</v>
      </c>
      <c r="AO180" s="1586">
        <f t="shared" si="452"/>
        <v>150</v>
      </c>
      <c r="AP180" s="1588">
        <f t="shared" si="452"/>
        <v>1344</v>
      </c>
      <c r="AQ180" s="1585">
        <f t="shared" si="453"/>
        <v>84</v>
      </c>
      <c r="AR180" s="1586">
        <f t="shared" si="453"/>
        <v>118</v>
      </c>
      <c r="AS180" s="1586">
        <f t="shared" si="453"/>
        <v>126</v>
      </c>
      <c r="AT180" s="1586">
        <f t="shared" si="453"/>
        <v>32</v>
      </c>
      <c r="AU180" s="1588">
        <f t="shared" si="453"/>
        <v>101</v>
      </c>
      <c r="AV180" s="1585">
        <f t="shared" si="454"/>
        <v>1079</v>
      </c>
      <c r="AW180" s="1586">
        <f t="shared" si="454"/>
        <v>1086</v>
      </c>
      <c r="AX180" s="1586">
        <f t="shared" si="454"/>
        <v>1746</v>
      </c>
      <c r="AY180" s="1586">
        <f t="shared" si="454"/>
        <v>300</v>
      </c>
      <c r="AZ180" s="1588">
        <f t="shared" si="454"/>
        <v>1066</v>
      </c>
      <c r="BA180" s="1585">
        <f t="shared" si="455"/>
        <v>4858</v>
      </c>
      <c r="BB180" s="1586">
        <f t="shared" si="455"/>
        <v>4629</v>
      </c>
      <c r="BC180" s="1586">
        <f t="shared" si="455"/>
        <v>5199</v>
      </c>
      <c r="BD180" s="1586">
        <f t="shared" si="455"/>
        <v>545</v>
      </c>
      <c r="BE180" s="1588">
        <f t="shared" si="455"/>
        <v>2844</v>
      </c>
      <c r="BF180" s="1585">
        <f t="shared" si="455"/>
        <v>319</v>
      </c>
      <c r="BG180" s="1586">
        <f t="shared" si="455"/>
        <v>361</v>
      </c>
      <c r="BH180" s="1586">
        <f t="shared" si="455"/>
        <v>367</v>
      </c>
      <c r="BI180" s="1586">
        <f t="shared" si="455"/>
        <v>47</v>
      </c>
      <c r="BJ180" s="1588">
        <f t="shared" si="455"/>
        <v>300</v>
      </c>
      <c r="BK180" s="1585">
        <f t="shared" si="455"/>
        <v>878</v>
      </c>
      <c r="BL180" s="1586">
        <f t="shared" si="455"/>
        <v>827</v>
      </c>
      <c r="BM180" s="1586">
        <f t="shared" si="455"/>
        <v>803</v>
      </c>
      <c r="BN180" s="1586">
        <f t="shared" si="455"/>
        <v>38</v>
      </c>
      <c r="BO180" s="1588">
        <f t="shared" si="455"/>
        <v>382</v>
      </c>
      <c r="BP180" s="1585">
        <f t="shared" ref="BP180:BY197" si="459">IF(ISBLANK(DS126),"X",DS126)</f>
        <v>270</v>
      </c>
      <c r="BQ180" s="1586">
        <f t="shared" si="456"/>
        <v>213</v>
      </c>
      <c r="BR180" s="1586">
        <f t="shared" si="456"/>
        <v>195</v>
      </c>
      <c r="BS180" s="1586">
        <f t="shared" si="456"/>
        <v>37</v>
      </c>
      <c r="BT180" s="1588">
        <f t="shared" si="456"/>
        <v>234</v>
      </c>
      <c r="BU180" s="1585">
        <f t="shared" si="456"/>
        <v>0</v>
      </c>
      <c r="BV180" s="1586">
        <f t="shared" si="456"/>
        <v>0</v>
      </c>
      <c r="BW180" s="1586">
        <f t="shared" si="456"/>
        <v>0</v>
      </c>
      <c r="BX180" s="1586">
        <f t="shared" si="456"/>
        <v>20</v>
      </c>
      <c r="BY180" s="1588">
        <f t="shared" si="456"/>
        <v>0</v>
      </c>
      <c r="BZ180" s="1611">
        <f t="shared" si="458"/>
        <v>11768</v>
      </c>
      <c r="CA180" s="1612">
        <f t="shared" si="457"/>
        <v>11679</v>
      </c>
      <c r="CB180" s="1612">
        <f t="shared" si="457"/>
        <v>13626</v>
      </c>
      <c r="CC180" s="1612">
        <f t="shared" si="457"/>
        <v>1686</v>
      </c>
      <c r="CD180" s="1613">
        <f t="shared" si="457"/>
        <v>8519</v>
      </c>
    </row>
    <row r="181" spans="1:82" s="80" customFormat="1" ht="11.25" customHeight="1" x14ac:dyDescent="0.2">
      <c r="A181" s="142"/>
      <c r="B181" s="1680"/>
      <c r="C181" s="1680"/>
      <c r="D181" s="1680"/>
      <c r="E181" s="1680"/>
      <c r="F181" s="1680"/>
      <c r="G181" s="1680"/>
      <c r="H181" s="1680"/>
      <c r="I181" s="1680"/>
      <c r="J181" s="12"/>
      <c r="K181" s="9"/>
      <c r="L181" s="9"/>
      <c r="M181" s="9"/>
      <c r="N181" s="9"/>
      <c r="O181" s="9"/>
      <c r="P181" s="9"/>
      <c r="Q181" s="9"/>
      <c r="R181" s="9"/>
      <c r="S181" s="9"/>
      <c r="T181" s="9"/>
      <c r="U181" s="9"/>
      <c r="V181" s="9"/>
      <c r="W181" s="64"/>
      <c r="X181" s="64"/>
      <c r="Y181" s="65"/>
      <c r="Z181" s="137"/>
      <c r="AA181" s="150"/>
      <c r="AB181" s="1585">
        <f t="shared" ref="AB181:AF196" si="460">IF(SUM(AB127,AG127,AL127,AQ127)&gt;0,SUM(AB127,AG127,AL127,AQ127),"X")</f>
        <v>323</v>
      </c>
      <c r="AC181" s="1586">
        <f t="shared" si="460"/>
        <v>220</v>
      </c>
      <c r="AD181" s="1586">
        <f t="shared" si="460"/>
        <v>319</v>
      </c>
      <c r="AE181" s="1586">
        <f t="shared" si="460"/>
        <v>820</v>
      </c>
      <c r="AF181" s="1588">
        <f t="shared" si="460"/>
        <v>180</v>
      </c>
      <c r="AG181" s="1585">
        <f t="shared" ref="AG181:AK197" si="461">IF(SUM(BA127,AV127)&gt;0,SUM(BA127,AV127),"X")</f>
        <v>619</v>
      </c>
      <c r="AH181" s="1586">
        <f t="shared" si="461"/>
        <v>629</v>
      </c>
      <c r="AI181" s="1586">
        <f t="shared" si="461"/>
        <v>730</v>
      </c>
      <c r="AJ181" s="1586">
        <f t="shared" si="461"/>
        <v>2046</v>
      </c>
      <c r="AK181" s="1588">
        <f t="shared" si="461"/>
        <v>550</v>
      </c>
      <c r="AL181" s="1585">
        <f t="shared" ref="AL181:AP197" si="462">IF(SUM(BF127,BK127,BP127,BU127,BZ127,CE127)&gt;0,SUM(BF127,BK127,BP127,BU127,BZ127,CE127),"X")</f>
        <v>392</v>
      </c>
      <c r="AM181" s="1586">
        <f t="shared" si="462"/>
        <v>265</v>
      </c>
      <c r="AN181" s="1586">
        <f t="shared" si="462"/>
        <v>460</v>
      </c>
      <c r="AO181" s="1586">
        <f t="shared" si="462"/>
        <v>1139</v>
      </c>
      <c r="AP181" s="1588">
        <f t="shared" si="462"/>
        <v>452</v>
      </c>
      <c r="AQ181" s="1585">
        <f t="shared" ref="AQ181:AU197" si="463">IF(ISBLANK(CJ127),"X",CJ127)</f>
        <v>67</v>
      </c>
      <c r="AR181" s="1586">
        <f t="shared" si="463"/>
        <v>33</v>
      </c>
      <c r="AS181" s="1586">
        <f t="shared" si="463"/>
        <v>46</v>
      </c>
      <c r="AT181" s="1586">
        <f t="shared" si="463"/>
        <v>143</v>
      </c>
      <c r="AU181" s="1588">
        <f t="shared" si="463"/>
        <v>33</v>
      </c>
      <c r="AV181" s="1585">
        <f t="shared" ref="AV181:AZ197" si="464">IF(SUM(CO127,CT127,CY127)&gt;0,SUM(CO127,CT127,CY127),"X")</f>
        <v>266</v>
      </c>
      <c r="AW181" s="1586">
        <f t="shared" si="464"/>
        <v>266</v>
      </c>
      <c r="AX181" s="1586">
        <f t="shared" si="464"/>
        <v>250</v>
      </c>
      <c r="AY181" s="1586">
        <f t="shared" si="464"/>
        <v>1493</v>
      </c>
      <c r="AZ181" s="1588">
        <f t="shared" si="464"/>
        <v>270</v>
      </c>
      <c r="BA181" s="1585">
        <f t="shared" ref="BA181:BO197" si="465">IF(ISBLANK(DD127),"X",DD127)</f>
        <v>1099</v>
      </c>
      <c r="BB181" s="1586">
        <f t="shared" si="465"/>
        <v>1122</v>
      </c>
      <c r="BC181" s="1586">
        <f t="shared" si="465"/>
        <v>1281</v>
      </c>
      <c r="BD181" s="1586">
        <f t="shared" si="465"/>
        <v>2556</v>
      </c>
      <c r="BE181" s="1588">
        <f t="shared" si="465"/>
        <v>1142</v>
      </c>
      <c r="BF181" s="1585">
        <f t="shared" si="465"/>
        <v>72</v>
      </c>
      <c r="BG181" s="1586">
        <f t="shared" si="465"/>
        <v>66</v>
      </c>
      <c r="BH181" s="1586">
        <f t="shared" si="465"/>
        <v>84</v>
      </c>
      <c r="BI181" s="1586">
        <f t="shared" si="465"/>
        <v>292</v>
      </c>
      <c r="BJ181" s="1588">
        <f t="shared" si="465"/>
        <v>143</v>
      </c>
      <c r="BK181" s="1585">
        <f t="shared" si="465"/>
        <v>59</v>
      </c>
      <c r="BL181" s="1586">
        <f t="shared" si="465"/>
        <v>180</v>
      </c>
      <c r="BM181" s="1586">
        <f t="shared" si="465"/>
        <v>210</v>
      </c>
      <c r="BN181" s="1586">
        <f t="shared" si="465"/>
        <v>609</v>
      </c>
      <c r="BO181" s="1588">
        <f t="shared" si="465"/>
        <v>99</v>
      </c>
      <c r="BP181" s="1585">
        <f t="shared" si="459"/>
        <v>122</v>
      </c>
      <c r="BQ181" s="1586">
        <f t="shared" si="459"/>
        <v>77</v>
      </c>
      <c r="BR181" s="1586">
        <f t="shared" si="459"/>
        <v>144</v>
      </c>
      <c r="BS181" s="1586">
        <f t="shared" si="459"/>
        <v>0</v>
      </c>
      <c r="BT181" s="1588">
        <f t="shared" si="459"/>
        <v>76</v>
      </c>
      <c r="BU181" s="1585">
        <f t="shared" si="459"/>
        <v>386</v>
      </c>
      <c r="BV181" s="1586">
        <f t="shared" si="459"/>
        <v>163</v>
      </c>
      <c r="BW181" s="1586">
        <f t="shared" si="459"/>
        <v>103</v>
      </c>
      <c r="BX181" s="1586">
        <f t="shared" si="459"/>
        <v>392</v>
      </c>
      <c r="BY181" s="1588">
        <f t="shared" si="459"/>
        <v>81</v>
      </c>
      <c r="BZ181" s="1611">
        <f t="shared" si="458"/>
        <v>3405</v>
      </c>
      <c r="CA181" s="1612">
        <f t="shared" si="458"/>
        <v>3021</v>
      </c>
      <c r="CB181" s="1612">
        <f t="shared" si="458"/>
        <v>3627</v>
      </c>
      <c r="CC181" s="1612">
        <f t="shared" si="458"/>
        <v>9490</v>
      </c>
      <c r="CD181" s="1613">
        <f t="shared" si="458"/>
        <v>3026</v>
      </c>
    </row>
    <row r="182" spans="1:82" ht="11.25" customHeight="1" x14ac:dyDescent="0.2">
      <c r="A182" s="1273"/>
      <c r="B182" s="1274"/>
      <c r="C182" s="1275"/>
      <c r="D182" s="1275"/>
      <c r="E182" s="1275"/>
      <c r="F182" s="1275"/>
      <c r="G182" s="1275"/>
      <c r="H182" s="1275"/>
      <c r="I182" s="1275"/>
      <c r="J182" s="1276"/>
      <c r="K182" s="201"/>
      <c r="L182" s="201"/>
      <c r="M182" s="201"/>
      <c r="N182" s="201"/>
      <c r="O182" s="201"/>
      <c r="P182" s="201"/>
      <c r="Q182" s="201"/>
      <c r="R182" s="201"/>
      <c r="S182" s="201"/>
      <c r="T182" s="201"/>
      <c r="U182" s="201"/>
      <c r="V182" s="201"/>
      <c r="W182" s="1562"/>
      <c r="X182" s="1562"/>
      <c r="Y182" s="1563"/>
      <c r="Z182" s="1277"/>
      <c r="AA182" s="1271"/>
      <c r="AB182" s="1585">
        <f t="shared" si="460"/>
        <v>134</v>
      </c>
      <c r="AC182" s="1586">
        <f t="shared" si="460"/>
        <v>127</v>
      </c>
      <c r="AD182" s="1586">
        <f t="shared" si="460"/>
        <v>141</v>
      </c>
      <c r="AE182" s="1586">
        <f t="shared" si="460"/>
        <v>89</v>
      </c>
      <c r="AF182" s="1588">
        <f t="shared" si="460"/>
        <v>139</v>
      </c>
      <c r="AG182" s="1585">
        <f t="shared" si="461"/>
        <v>307</v>
      </c>
      <c r="AH182" s="1586">
        <f t="shared" si="461"/>
        <v>391</v>
      </c>
      <c r="AI182" s="1586">
        <f t="shared" si="461"/>
        <v>382</v>
      </c>
      <c r="AJ182" s="1586">
        <f t="shared" si="461"/>
        <v>184</v>
      </c>
      <c r="AK182" s="1588">
        <f t="shared" si="461"/>
        <v>298</v>
      </c>
      <c r="AL182" s="1585">
        <f t="shared" si="462"/>
        <v>260</v>
      </c>
      <c r="AM182" s="1586">
        <f t="shared" si="462"/>
        <v>162</v>
      </c>
      <c r="AN182" s="1586">
        <f t="shared" si="462"/>
        <v>261</v>
      </c>
      <c r="AO182" s="1586">
        <f t="shared" si="462"/>
        <v>130</v>
      </c>
      <c r="AP182" s="1588">
        <f t="shared" si="462"/>
        <v>199</v>
      </c>
      <c r="AQ182" s="1585">
        <f t="shared" si="463"/>
        <v>10</v>
      </c>
      <c r="AR182" s="1586">
        <f t="shared" si="463"/>
        <v>20</v>
      </c>
      <c r="AS182" s="1586">
        <f t="shared" si="463"/>
        <v>9</v>
      </c>
      <c r="AT182" s="1586">
        <f t="shared" si="463"/>
        <v>10</v>
      </c>
      <c r="AU182" s="1588" t="str">
        <f t="shared" si="463"/>
        <v>c</v>
      </c>
      <c r="AV182" s="1585">
        <f t="shared" si="464"/>
        <v>466</v>
      </c>
      <c r="AW182" s="1586">
        <f t="shared" si="464"/>
        <v>370</v>
      </c>
      <c r="AX182" s="1586">
        <f t="shared" si="464"/>
        <v>278</v>
      </c>
      <c r="AY182" s="1586">
        <f t="shared" si="464"/>
        <v>77</v>
      </c>
      <c r="AZ182" s="1588">
        <f t="shared" si="464"/>
        <v>435</v>
      </c>
      <c r="BA182" s="1585">
        <f t="shared" si="465"/>
        <v>520</v>
      </c>
      <c r="BB182" s="1586">
        <f t="shared" si="465"/>
        <v>351</v>
      </c>
      <c r="BC182" s="1586">
        <f t="shared" si="465"/>
        <v>435</v>
      </c>
      <c r="BD182" s="1586">
        <f t="shared" si="465"/>
        <v>401</v>
      </c>
      <c r="BE182" s="1588">
        <f t="shared" si="465"/>
        <v>520</v>
      </c>
      <c r="BF182" s="1585">
        <f t="shared" si="465"/>
        <v>33</v>
      </c>
      <c r="BG182" s="1586">
        <f t="shared" si="465"/>
        <v>19</v>
      </c>
      <c r="BH182" s="1586">
        <f t="shared" si="465"/>
        <v>23</v>
      </c>
      <c r="BI182" s="1586">
        <f t="shared" si="465"/>
        <v>27</v>
      </c>
      <c r="BJ182" s="1588">
        <f t="shared" si="465"/>
        <v>29</v>
      </c>
      <c r="BK182" s="1585">
        <f t="shared" si="465"/>
        <v>165</v>
      </c>
      <c r="BL182" s="1586">
        <f t="shared" si="465"/>
        <v>91</v>
      </c>
      <c r="BM182" s="1586">
        <f t="shared" si="465"/>
        <v>156</v>
      </c>
      <c r="BN182" s="1586">
        <f t="shared" si="465"/>
        <v>148</v>
      </c>
      <c r="BO182" s="1588">
        <f t="shared" si="465"/>
        <v>152</v>
      </c>
      <c r="BP182" s="1585">
        <f t="shared" si="459"/>
        <v>71</v>
      </c>
      <c r="BQ182" s="1586">
        <f t="shared" si="459"/>
        <v>44</v>
      </c>
      <c r="BR182" s="1586">
        <f t="shared" si="459"/>
        <v>61</v>
      </c>
      <c r="BS182" s="1586">
        <f t="shared" si="459"/>
        <v>19</v>
      </c>
      <c r="BT182" s="1588">
        <f t="shared" si="459"/>
        <v>67</v>
      </c>
      <c r="BU182" s="1585">
        <f t="shared" si="459"/>
        <v>22</v>
      </c>
      <c r="BV182" s="1586">
        <f t="shared" si="459"/>
        <v>41</v>
      </c>
      <c r="BW182" s="1586">
        <f t="shared" si="459"/>
        <v>59</v>
      </c>
      <c r="BX182" s="1586">
        <f t="shared" si="459"/>
        <v>50</v>
      </c>
      <c r="BY182" s="1588">
        <f t="shared" si="459"/>
        <v>21</v>
      </c>
      <c r="BZ182" s="1611">
        <f t="shared" ref="BZ182:CD197" si="466">SUM(AB128,AG128,AL128,AQ128,AV128,BA128,BF128,BK128,BP128,BU128,BZ128,CE128,CJ128,CO128,CT128,CY128,DD128,DI128,DN128,DS128,DX128)</f>
        <v>1988</v>
      </c>
      <c r="CA182" s="1612">
        <f t="shared" si="466"/>
        <v>1616</v>
      </c>
      <c r="CB182" s="1612">
        <f t="shared" si="466"/>
        <v>1805</v>
      </c>
      <c r="CC182" s="1612">
        <f t="shared" si="466"/>
        <v>1135</v>
      </c>
      <c r="CD182" s="1613">
        <f t="shared" si="466"/>
        <v>1860</v>
      </c>
    </row>
    <row r="183" spans="1:82" ht="11.25" customHeight="1" x14ac:dyDescent="0.2">
      <c r="J183" s="88"/>
      <c r="O183" s="74"/>
      <c r="W183" s="80"/>
      <c r="X183" s="80"/>
      <c r="Y183" s="81"/>
      <c r="Z183" s="81"/>
      <c r="AA183" s="81"/>
      <c r="AB183" s="1585">
        <f t="shared" si="460"/>
        <v>79</v>
      </c>
      <c r="AC183" s="1586">
        <f t="shared" si="460"/>
        <v>134</v>
      </c>
      <c r="AD183" s="1586">
        <f t="shared" si="460"/>
        <v>139</v>
      </c>
      <c r="AE183" s="1586">
        <f t="shared" si="460"/>
        <v>142</v>
      </c>
      <c r="AF183" s="1588">
        <f t="shared" si="460"/>
        <v>226</v>
      </c>
      <c r="AG183" s="1585">
        <f t="shared" si="461"/>
        <v>257</v>
      </c>
      <c r="AH183" s="1586">
        <f t="shared" si="461"/>
        <v>343</v>
      </c>
      <c r="AI183" s="1586">
        <f t="shared" si="461"/>
        <v>329</v>
      </c>
      <c r="AJ183" s="1586">
        <f t="shared" si="461"/>
        <v>345</v>
      </c>
      <c r="AK183" s="1588">
        <f t="shared" si="461"/>
        <v>401</v>
      </c>
      <c r="AL183" s="1585">
        <f t="shared" si="462"/>
        <v>146</v>
      </c>
      <c r="AM183" s="1586">
        <f t="shared" si="462"/>
        <v>131</v>
      </c>
      <c r="AN183" s="1586">
        <f t="shared" si="462"/>
        <v>187</v>
      </c>
      <c r="AO183" s="1586">
        <f t="shared" si="462"/>
        <v>253</v>
      </c>
      <c r="AP183" s="1588">
        <f t="shared" si="462"/>
        <v>197</v>
      </c>
      <c r="AQ183" s="1585">
        <f t="shared" si="463"/>
        <v>54</v>
      </c>
      <c r="AR183" s="1586">
        <f t="shared" si="463"/>
        <v>35</v>
      </c>
      <c r="AS183" s="1586">
        <f t="shared" si="463"/>
        <v>28</v>
      </c>
      <c r="AT183" s="1586">
        <f t="shared" si="463"/>
        <v>9</v>
      </c>
      <c r="AU183" s="1588">
        <f t="shared" si="463"/>
        <v>22</v>
      </c>
      <c r="AV183" s="1585">
        <f t="shared" si="464"/>
        <v>310</v>
      </c>
      <c r="AW183" s="1586">
        <f t="shared" si="464"/>
        <v>410</v>
      </c>
      <c r="AX183" s="1586">
        <f t="shared" si="464"/>
        <v>254</v>
      </c>
      <c r="AY183" s="1586">
        <f t="shared" si="464"/>
        <v>151</v>
      </c>
      <c r="AZ183" s="1588">
        <f t="shared" si="464"/>
        <v>278</v>
      </c>
      <c r="BA183" s="1585">
        <f t="shared" si="465"/>
        <v>285</v>
      </c>
      <c r="BB183" s="1586">
        <f t="shared" si="465"/>
        <v>468</v>
      </c>
      <c r="BC183" s="1586">
        <f t="shared" si="465"/>
        <v>478</v>
      </c>
      <c r="BD183" s="1586">
        <f t="shared" si="465"/>
        <v>617</v>
      </c>
      <c r="BE183" s="1588">
        <f t="shared" si="465"/>
        <v>403</v>
      </c>
      <c r="BF183" s="1585">
        <f t="shared" si="465"/>
        <v>24</v>
      </c>
      <c r="BG183" s="1586">
        <f t="shared" si="465"/>
        <v>47</v>
      </c>
      <c r="BH183" s="1586" t="str">
        <f t="shared" si="465"/>
        <v>x</v>
      </c>
      <c r="BI183" s="1586">
        <f t="shared" si="465"/>
        <v>41</v>
      </c>
      <c r="BJ183" s="1588">
        <f t="shared" si="465"/>
        <v>33</v>
      </c>
      <c r="BK183" s="1585">
        <f t="shared" si="465"/>
        <v>207</v>
      </c>
      <c r="BL183" s="1586">
        <f t="shared" si="465"/>
        <v>67</v>
      </c>
      <c r="BM183" s="1586">
        <f t="shared" si="465"/>
        <v>53</v>
      </c>
      <c r="BN183" s="1586">
        <f t="shared" si="465"/>
        <v>87</v>
      </c>
      <c r="BO183" s="1588">
        <f t="shared" si="465"/>
        <v>53</v>
      </c>
      <c r="BP183" s="1585" t="str">
        <f t="shared" si="459"/>
        <v>x</v>
      </c>
      <c r="BQ183" s="1586">
        <f t="shared" si="459"/>
        <v>17</v>
      </c>
      <c r="BR183" s="1586">
        <f t="shared" si="459"/>
        <v>24</v>
      </c>
      <c r="BS183" s="1586">
        <f t="shared" si="459"/>
        <v>28</v>
      </c>
      <c r="BT183" s="1588">
        <f t="shared" si="459"/>
        <v>33</v>
      </c>
      <c r="BU183" s="1585" t="str">
        <f t="shared" si="459"/>
        <v>x</v>
      </c>
      <c r="BV183" s="1586">
        <f t="shared" si="459"/>
        <v>0</v>
      </c>
      <c r="BW183" s="1586" t="str">
        <f t="shared" si="459"/>
        <v>x</v>
      </c>
      <c r="BX183" s="1586">
        <f t="shared" si="459"/>
        <v>32</v>
      </c>
      <c r="BY183" s="1588">
        <f t="shared" si="459"/>
        <v>8</v>
      </c>
      <c r="BZ183" s="1611">
        <f t="shared" si="466"/>
        <v>1362</v>
      </c>
      <c r="CA183" s="1612">
        <f t="shared" si="466"/>
        <v>1652</v>
      </c>
      <c r="CB183" s="1612">
        <f t="shared" si="466"/>
        <v>1492</v>
      </c>
      <c r="CC183" s="1612">
        <f t="shared" si="466"/>
        <v>1705</v>
      </c>
      <c r="CD183" s="1613">
        <f t="shared" si="466"/>
        <v>1654</v>
      </c>
    </row>
    <row r="184" spans="1:82" ht="11.25" customHeight="1" x14ac:dyDescent="0.2">
      <c r="J184" s="88"/>
      <c r="O184" s="74"/>
      <c r="W184" s="80"/>
      <c r="X184" s="80"/>
      <c r="Y184" s="81"/>
      <c r="Z184" s="81"/>
      <c r="AA184" s="81"/>
      <c r="AB184" s="1585">
        <f t="shared" si="460"/>
        <v>2017</v>
      </c>
      <c r="AC184" s="1586">
        <f t="shared" si="460"/>
        <v>2111</v>
      </c>
      <c r="AD184" s="1586">
        <f t="shared" si="460"/>
        <v>919</v>
      </c>
      <c r="AE184" s="1586">
        <f t="shared" si="460"/>
        <v>497</v>
      </c>
      <c r="AF184" s="1588">
        <f t="shared" si="460"/>
        <v>880</v>
      </c>
      <c r="AG184" s="1585">
        <f t="shared" si="461"/>
        <v>1204</v>
      </c>
      <c r="AH184" s="1586">
        <f t="shared" si="461"/>
        <v>1554</v>
      </c>
      <c r="AI184" s="1586">
        <f t="shared" si="461"/>
        <v>1877</v>
      </c>
      <c r="AJ184" s="1586">
        <f t="shared" si="461"/>
        <v>578</v>
      </c>
      <c r="AK184" s="1588">
        <f t="shared" si="461"/>
        <v>2028</v>
      </c>
      <c r="AL184" s="1585">
        <f t="shared" si="462"/>
        <v>765</v>
      </c>
      <c r="AM184" s="1586">
        <f t="shared" si="462"/>
        <v>998</v>
      </c>
      <c r="AN184" s="1586">
        <f t="shared" si="462"/>
        <v>1083</v>
      </c>
      <c r="AO184" s="1586">
        <f t="shared" si="462"/>
        <v>608</v>
      </c>
      <c r="AP184" s="1588">
        <f t="shared" si="462"/>
        <v>1316</v>
      </c>
      <c r="AQ184" s="1585">
        <f t="shared" si="463"/>
        <v>141</v>
      </c>
      <c r="AR184" s="1586">
        <f t="shared" si="463"/>
        <v>120</v>
      </c>
      <c r="AS184" s="1586">
        <f t="shared" si="463"/>
        <v>182</v>
      </c>
      <c r="AT184" s="1586">
        <f t="shared" si="463"/>
        <v>32</v>
      </c>
      <c r="AU184" s="1588">
        <f t="shared" si="463"/>
        <v>206</v>
      </c>
      <c r="AV184" s="1585">
        <f t="shared" si="464"/>
        <v>779</v>
      </c>
      <c r="AW184" s="1586">
        <f t="shared" si="464"/>
        <v>662</v>
      </c>
      <c r="AX184" s="1586">
        <f t="shared" si="464"/>
        <v>1819</v>
      </c>
      <c r="AY184" s="1586">
        <f t="shared" si="464"/>
        <v>578</v>
      </c>
      <c r="AZ184" s="1588">
        <f t="shared" si="464"/>
        <v>1755</v>
      </c>
      <c r="BA184" s="1585">
        <f t="shared" si="465"/>
        <v>2562</v>
      </c>
      <c r="BB184" s="1586">
        <f t="shared" si="465"/>
        <v>2690</v>
      </c>
      <c r="BC184" s="1586">
        <f t="shared" si="465"/>
        <v>2913</v>
      </c>
      <c r="BD184" s="1586">
        <f t="shared" si="465"/>
        <v>1008</v>
      </c>
      <c r="BE184" s="1588">
        <f t="shared" si="465"/>
        <v>2796</v>
      </c>
      <c r="BF184" s="1585">
        <f t="shared" si="465"/>
        <v>336</v>
      </c>
      <c r="BG184" s="1586">
        <f t="shared" si="465"/>
        <v>310</v>
      </c>
      <c r="BH184" s="1586">
        <f t="shared" si="465"/>
        <v>363</v>
      </c>
      <c r="BI184" s="1586">
        <f t="shared" si="465"/>
        <v>136</v>
      </c>
      <c r="BJ184" s="1588">
        <f t="shared" si="465"/>
        <v>342</v>
      </c>
      <c r="BK184" s="1585">
        <f t="shared" si="465"/>
        <v>67</v>
      </c>
      <c r="BL184" s="1586">
        <f t="shared" si="465"/>
        <v>39</v>
      </c>
      <c r="BM184" s="1586">
        <f t="shared" si="465"/>
        <v>690</v>
      </c>
      <c r="BN184" s="1586">
        <f t="shared" si="465"/>
        <v>234</v>
      </c>
      <c r="BO184" s="1588">
        <f t="shared" si="465"/>
        <v>623</v>
      </c>
      <c r="BP184" s="1585">
        <f t="shared" si="459"/>
        <v>0</v>
      </c>
      <c r="BQ184" s="1586">
        <f t="shared" si="459"/>
        <v>0</v>
      </c>
      <c r="BR184" s="1586">
        <f t="shared" si="459"/>
        <v>0</v>
      </c>
      <c r="BS184" s="1586">
        <f t="shared" si="459"/>
        <v>152</v>
      </c>
      <c r="BT184" s="1588">
        <f t="shared" si="459"/>
        <v>0</v>
      </c>
      <c r="BU184" s="1585">
        <f t="shared" si="459"/>
        <v>276</v>
      </c>
      <c r="BV184" s="1586">
        <f t="shared" si="459"/>
        <v>257</v>
      </c>
      <c r="BW184" s="1586">
        <f t="shared" si="459"/>
        <v>149</v>
      </c>
      <c r="BX184" s="1586">
        <f t="shared" si="459"/>
        <v>7</v>
      </c>
      <c r="BY184" s="1588">
        <f t="shared" si="459"/>
        <v>47</v>
      </c>
      <c r="BZ184" s="1611">
        <f t="shared" si="466"/>
        <v>8147</v>
      </c>
      <c r="CA184" s="1612">
        <f t="shared" si="466"/>
        <v>8741</v>
      </c>
      <c r="CB184" s="1612">
        <f t="shared" si="466"/>
        <v>9995</v>
      </c>
      <c r="CC184" s="1612">
        <f t="shared" si="466"/>
        <v>3830</v>
      </c>
      <c r="CD184" s="1613">
        <f t="shared" si="466"/>
        <v>9993</v>
      </c>
    </row>
    <row r="185" spans="1:82" ht="11.25" customHeight="1" x14ac:dyDescent="0.2">
      <c r="J185" s="88"/>
      <c r="O185" s="74"/>
      <c r="W185" s="80"/>
      <c r="X185" s="80"/>
      <c r="Y185" s="81"/>
      <c r="Z185" s="81"/>
      <c r="AA185" s="81"/>
      <c r="AB185" s="1585">
        <f t="shared" si="460"/>
        <v>105</v>
      </c>
      <c r="AC185" s="1586">
        <f t="shared" si="460"/>
        <v>37</v>
      </c>
      <c r="AD185" s="1586">
        <f t="shared" si="460"/>
        <v>147</v>
      </c>
      <c r="AE185" s="1586">
        <f t="shared" si="460"/>
        <v>179</v>
      </c>
      <c r="AF185" s="1588">
        <f t="shared" si="460"/>
        <v>97</v>
      </c>
      <c r="AG185" s="1585">
        <f t="shared" si="461"/>
        <v>128</v>
      </c>
      <c r="AH185" s="1586">
        <f t="shared" si="461"/>
        <v>165</v>
      </c>
      <c r="AI185" s="1586">
        <f t="shared" si="461"/>
        <v>97</v>
      </c>
      <c r="AJ185" s="1586">
        <f t="shared" si="461"/>
        <v>653</v>
      </c>
      <c r="AK185" s="1588">
        <f t="shared" si="461"/>
        <v>284</v>
      </c>
      <c r="AL185" s="1585">
        <f t="shared" si="462"/>
        <v>111</v>
      </c>
      <c r="AM185" s="1586">
        <f t="shared" si="462"/>
        <v>71</v>
      </c>
      <c r="AN185" s="1586">
        <f t="shared" si="462"/>
        <v>133</v>
      </c>
      <c r="AO185" s="1586">
        <f t="shared" si="462"/>
        <v>414</v>
      </c>
      <c r="AP185" s="1588">
        <f t="shared" si="462"/>
        <v>164</v>
      </c>
      <c r="AQ185" s="1585">
        <f t="shared" si="463"/>
        <v>11</v>
      </c>
      <c r="AR185" s="1586" t="str">
        <f t="shared" si="463"/>
        <v>x</v>
      </c>
      <c r="AS185" s="1586">
        <f t="shared" si="463"/>
        <v>7</v>
      </c>
      <c r="AT185" s="1586">
        <f t="shared" si="463"/>
        <v>38</v>
      </c>
      <c r="AU185" s="1588">
        <f t="shared" si="463"/>
        <v>15</v>
      </c>
      <c r="AV185" s="1585">
        <f t="shared" si="464"/>
        <v>423</v>
      </c>
      <c r="AW185" s="1586">
        <f t="shared" si="464"/>
        <v>410</v>
      </c>
      <c r="AX185" s="1586">
        <f t="shared" si="464"/>
        <v>105</v>
      </c>
      <c r="AY185" s="1586">
        <f t="shared" si="464"/>
        <v>271</v>
      </c>
      <c r="AZ185" s="1588">
        <f t="shared" si="464"/>
        <v>159</v>
      </c>
      <c r="BA185" s="1585">
        <f t="shared" si="465"/>
        <v>265</v>
      </c>
      <c r="BB185" s="1586">
        <f t="shared" si="465"/>
        <v>274</v>
      </c>
      <c r="BC185" s="1586">
        <f t="shared" si="465"/>
        <v>372</v>
      </c>
      <c r="BD185" s="1586">
        <f t="shared" si="465"/>
        <v>1214</v>
      </c>
      <c r="BE185" s="1588">
        <f t="shared" si="465"/>
        <v>506</v>
      </c>
      <c r="BF185" s="1585">
        <f t="shared" si="465"/>
        <v>28</v>
      </c>
      <c r="BG185" s="1586">
        <f t="shared" si="465"/>
        <v>8</v>
      </c>
      <c r="BH185" s="1586">
        <f t="shared" si="465"/>
        <v>14</v>
      </c>
      <c r="BI185" s="1586">
        <f t="shared" si="465"/>
        <v>124</v>
      </c>
      <c r="BJ185" s="1588">
        <f t="shared" si="465"/>
        <v>18</v>
      </c>
      <c r="BK185" s="1585">
        <f t="shared" si="465"/>
        <v>33</v>
      </c>
      <c r="BL185" s="1586">
        <f t="shared" si="465"/>
        <v>18</v>
      </c>
      <c r="BM185" s="1586">
        <f t="shared" si="465"/>
        <v>30</v>
      </c>
      <c r="BN185" s="1586">
        <f t="shared" si="465"/>
        <v>78</v>
      </c>
      <c r="BO185" s="1588">
        <f t="shared" si="465"/>
        <v>71</v>
      </c>
      <c r="BP185" s="1585">
        <f t="shared" si="459"/>
        <v>7</v>
      </c>
      <c r="BQ185" s="1586" t="str">
        <f t="shared" si="459"/>
        <v>x</v>
      </c>
      <c r="BR185" s="1586">
        <f t="shared" si="459"/>
        <v>23</v>
      </c>
      <c r="BS185" s="1586">
        <f t="shared" si="459"/>
        <v>96</v>
      </c>
      <c r="BT185" s="1588">
        <f t="shared" si="459"/>
        <v>42</v>
      </c>
      <c r="BU185" s="1585" t="str">
        <f t="shared" si="459"/>
        <v>x</v>
      </c>
      <c r="BV185" s="1586">
        <f t="shared" si="459"/>
        <v>7</v>
      </c>
      <c r="BW185" s="1586">
        <f t="shared" si="459"/>
        <v>133</v>
      </c>
      <c r="BX185" s="1586">
        <f t="shared" si="459"/>
        <v>175</v>
      </c>
      <c r="BY185" s="1588">
        <f t="shared" si="459"/>
        <v>0</v>
      </c>
      <c r="BZ185" s="1611">
        <f t="shared" si="466"/>
        <v>1111</v>
      </c>
      <c r="CA185" s="1612">
        <f t="shared" si="466"/>
        <v>990</v>
      </c>
      <c r="CB185" s="1612">
        <f t="shared" si="466"/>
        <v>1061</v>
      </c>
      <c r="CC185" s="1612">
        <f t="shared" si="466"/>
        <v>3242</v>
      </c>
      <c r="CD185" s="1613">
        <f t="shared" si="466"/>
        <v>1356</v>
      </c>
    </row>
    <row r="186" spans="1:82" ht="11.25" customHeight="1" x14ac:dyDescent="0.2">
      <c r="J186" s="88"/>
      <c r="O186" s="74"/>
      <c r="W186" s="80"/>
      <c r="X186" s="80"/>
      <c r="Y186" s="81"/>
      <c r="Z186" s="81"/>
      <c r="AA186" s="81"/>
      <c r="AB186" s="1585">
        <f t="shared" si="460"/>
        <v>368</v>
      </c>
      <c r="AC186" s="1586">
        <f t="shared" si="460"/>
        <v>92</v>
      </c>
      <c r="AD186" s="1586">
        <f t="shared" si="460"/>
        <v>121</v>
      </c>
      <c r="AE186" s="1586">
        <f t="shared" si="460"/>
        <v>143</v>
      </c>
      <c r="AF186" s="1588">
        <f t="shared" si="460"/>
        <v>148</v>
      </c>
      <c r="AG186" s="1585">
        <f t="shared" si="461"/>
        <v>197</v>
      </c>
      <c r="AH186" s="1586">
        <f t="shared" si="461"/>
        <v>158</v>
      </c>
      <c r="AI186" s="1586">
        <f t="shared" si="461"/>
        <v>208</v>
      </c>
      <c r="AJ186" s="1586">
        <f t="shared" si="461"/>
        <v>295</v>
      </c>
      <c r="AK186" s="1588">
        <f t="shared" si="461"/>
        <v>359</v>
      </c>
      <c r="AL186" s="1585">
        <f t="shared" si="462"/>
        <v>53</v>
      </c>
      <c r="AM186" s="1586">
        <f t="shared" si="462"/>
        <v>129</v>
      </c>
      <c r="AN186" s="1586">
        <f t="shared" si="462"/>
        <v>175</v>
      </c>
      <c r="AO186" s="1586">
        <f t="shared" si="462"/>
        <v>235</v>
      </c>
      <c r="AP186" s="1588">
        <f t="shared" si="462"/>
        <v>221</v>
      </c>
      <c r="AQ186" s="1585" t="str">
        <f t="shared" si="463"/>
        <v>x</v>
      </c>
      <c r="AR186" s="1586">
        <f t="shared" si="463"/>
        <v>10</v>
      </c>
      <c r="AS186" s="1586">
        <f t="shared" si="463"/>
        <v>10</v>
      </c>
      <c r="AT186" s="1586">
        <f t="shared" si="463"/>
        <v>0</v>
      </c>
      <c r="AU186" s="1588">
        <f t="shared" si="463"/>
        <v>11</v>
      </c>
      <c r="AV186" s="1585">
        <f t="shared" si="464"/>
        <v>46</v>
      </c>
      <c r="AW186" s="1586">
        <f t="shared" si="464"/>
        <v>97</v>
      </c>
      <c r="AX186" s="1586">
        <f t="shared" si="464"/>
        <v>141</v>
      </c>
      <c r="AY186" s="1586">
        <f t="shared" si="464"/>
        <v>266</v>
      </c>
      <c r="AZ186" s="1588">
        <f t="shared" si="464"/>
        <v>241</v>
      </c>
      <c r="BA186" s="1585">
        <f t="shared" si="465"/>
        <v>420</v>
      </c>
      <c r="BB186" s="1586">
        <f t="shared" si="465"/>
        <v>332</v>
      </c>
      <c r="BC186" s="1586">
        <f t="shared" si="465"/>
        <v>581</v>
      </c>
      <c r="BD186" s="1586">
        <f t="shared" si="465"/>
        <v>514</v>
      </c>
      <c r="BE186" s="1588">
        <f t="shared" si="465"/>
        <v>641</v>
      </c>
      <c r="BF186" s="1585">
        <f t="shared" si="465"/>
        <v>0</v>
      </c>
      <c r="BG186" s="1586">
        <f t="shared" si="465"/>
        <v>51</v>
      </c>
      <c r="BH186" s="1586">
        <f t="shared" si="465"/>
        <v>41</v>
      </c>
      <c r="BI186" s="1586">
        <f t="shared" si="465"/>
        <v>29</v>
      </c>
      <c r="BJ186" s="1588">
        <f t="shared" si="465"/>
        <v>44</v>
      </c>
      <c r="BK186" s="1585" t="str">
        <f t="shared" si="465"/>
        <v>x</v>
      </c>
      <c r="BL186" s="1586">
        <f t="shared" si="465"/>
        <v>18</v>
      </c>
      <c r="BM186" s="1586">
        <f t="shared" si="465"/>
        <v>62</v>
      </c>
      <c r="BN186" s="1586">
        <f t="shared" si="465"/>
        <v>163</v>
      </c>
      <c r="BO186" s="1588">
        <f t="shared" si="465"/>
        <v>70</v>
      </c>
      <c r="BP186" s="1585">
        <f t="shared" si="459"/>
        <v>39</v>
      </c>
      <c r="BQ186" s="1586">
        <f t="shared" si="459"/>
        <v>20</v>
      </c>
      <c r="BR186" s="1586">
        <f t="shared" si="459"/>
        <v>18</v>
      </c>
      <c r="BS186" s="1586">
        <f t="shared" si="459"/>
        <v>78</v>
      </c>
      <c r="BT186" s="1588">
        <f t="shared" si="459"/>
        <v>25</v>
      </c>
      <c r="BU186" s="1585">
        <f t="shared" si="459"/>
        <v>0</v>
      </c>
      <c r="BV186" s="1586">
        <f t="shared" si="459"/>
        <v>0</v>
      </c>
      <c r="BW186" s="1586" t="str">
        <f t="shared" si="459"/>
        <v>x</v>
      </c>
      <c r="BX186" s="1586">
        <f t="shared" si="459"/>
        <v>34</v>
      </c>
      <c r="BY186" s="1588" t="str">
        <f t="shared" si="459"/>
        <v>c</v>
      </c>
      <c r="BZ186" s="1611">
        <f t="shared" si="466"/>
        <v>1123</v>
      </c>
      <c r="CA186" s="1612">
        <f t="shared" si="466"/>
        <v>907</v>
      </c>
      <c r="CB186" s="1612">
        <f t="shared" si="466"/>
        <v>1357</v>
      </c>
      <c r="CC186" s="1612">
        <f t="shared" si="466"/>
        <v>1757</v>
      </c>
      <c r="CD186" s="1613">
        <f t="shared" si="466"/>
        <v>1760</v>
      </c>
    </row>
    <row r="187" spans="1:82" ht="11.25" customHeight="1" x14ac:dyDescent="0.2">
      <c r="J187" s="88"/>
      <c r="O187" s="74"/>
      <c r="W187" s="80"/>
      <c r="X187" s="80"/>
      <c r="Y187" s="81"/>
      <c r="Z187" s="81"/>
      <c r="AA187" s="81"/>
      <c r="AB187" s="1585">
        <f t="shared" si="460"/>
        <v>11155</v>
      </c>
      <c r="AC187" s="1586">
        <f t="shared" si="460"/>
        <v>11172</v>
      </c>
      <c r="AD187" s="1586">
        <f t="shared" si="460"/>
        <v>9565</v>
      </c>
      <c r="AE187" s="1586">
        <f t="shared" si="460"/>
        <v>8429</v>
      </c>
      <c r="AF187" s="1588">
        <f t="shared" si="460"/>
        <v>9435</v>
      </c>
      <c r="AG187" s="1585">
        <f t="shared" si="461"/>
        <v>23334</v>
      </c>
      <c r="AH187" s="1586">
        <f t="shared" si="461"/>
        <v>25285</v>
      </c>
      <c r="AI187" s="1586">
        <f t="shared" si="461"/>
        <v>21994</v>
      </c>
      <c r="AJ187" s="1586">
        <f t="shared" si="461"/>
        <v>21084</v>
      </c>
      <c r="AK187" s="1588">
        <f t="shared" si="461"/>
        <v>24512</v>
      </c>
      <c r="AL187" s="1585">
        <f t="shared" si="462"/>
        <v>15295</v>
      </c>
      <c r="AM187" s="1586">
        <f t="shared" si="462"/>
        <v>15829</v>
      </c>
      <c r="AN187" s="1586">
        <f t="shared" si="462"/>
        <v>14172</v>
      </c>
      <c r="AO187" s="1586">
        <f t="shared" si="462"/>
        <v>13364</v>
      </c>
      <c r="AP187" s="1588">
        <f t="shared" si="462"/>
        <v>16363</v>
      </c>
      <c r="AQ187" s="1585">
        <f t="shared" si="463"/>
        <v>1692</v>
      </c>
      <c r="AR187" s="1586">
        <f t="shared" si="463"/>
        <v>1680</v>
      </c>
      <c r="AS187" s="1586">
        <f t="shared" si="463"/>
        <v>1511</v>
      </c>
      <c r="AT187" s="1586">
        <f t="shared" si="463"/>
        <v>1211</v>
      </c>
      <c r="AU187" s="1588">
        <f t="shared" si="463"/>
        <v>1656</v>
      </c>
      <c r="AV187" s="1585">
        <f t="shared" si="464"/>
        <v>13622</v>
      </c>
      <c r="AW187" s="1586">
        <f t="shared" si="464"/>
        <v>14699</v>
      </c>
      <c r="AX187" s="1586">
        <f t="shared" si="464"/>
        <v>14062</v>
      </c>
      <c r="AY187" s="1586">
        <f t="shared" si="464"/>
        <v>11816</v>
      </c>
      <c r="AZ187" s="1588">
        <f t="shared" si="464"/>
        <v>15199</v>
      </c>
      <c r="BA187" s="1585">
        <f t="shared" si="465"/>
        <v>35549</v>
      </c>
      <c r="BB187" s="1586">
        <f t="shared" si="465"/>
        <v>38844</v>
      </c>
      <c r="BC187" s="1586">
        <f t="shared" si="465"/>
        <v>35305</v>
      </c>
      <c r="BD187" s="1586">
        <f t="shared" si="465"/>
        <v>31209</v>
      </c>
      <c r="BE187" s="1588">
        <f t="shared" si="465"/>
        <v>33892</v>
      </c>
      <c r="BF187" s="1585">
        <f t="shared" si="465"/>
        <v>4017</v>
      </c>
      <c r="BG187" s="1586">
        <f t="shared" si="465"/>
        <v>4073</v>
      </c>
      <c r="BH187" s="1586">
        <f t="shared" si="465"/>
        <v>3163</v>
      </c>
      <c r="BI187" s="1586">
        <f t="shared" si="465"/>
        <v>3480</v>
      </c>
      <c r="BJ187" s="1588">
        <f t="shared" si="465"/>
        <v>4057</v>
      </c>
      <c r="BK187" s="1585">
        <f t="shared" si="465"/>
        <v>7214</v>
      </c>
      <c r="BL187" s="1586">
        <f t="shared" si="465"/>
        <v>8166</v>
      </c>
      <c r="BM187" s="1586">
        <f t="shared" si="465"/>
        <v>7839</v>
      </c>
      <c r="BN187" s="1586">
        <f t="shared" si="465"/>
        <v>6151</v>
      </c>
      <c r="BO187" s="1588">
        <f t="shared" si="465"/>
        <v>5685</v>
      </c>
      <c r="BP187" s="1585">
        <f t="shared" si="459"/>
        <v>2370</v>
      </c>
      <c r="BQ187" s="1586">
        <f t="shared" si="459"/>
        <v>2286</v>
      </c>
      <c r="BR187" s="1586">
        <f t="shared" si="459"/>
        <v>2145</v>
      </c>
      <c r="BS187" s="1586">
        <f t="shared" si="459"/>
        <v>2143</v>
      </c>
      <c r="BT187" s="1588">
        <f t="shared" si="459"/>
        <v>1996</v>
      </c>
      <c r="BU187" s="1585">
        <f t="shared" si="459"/>
        <v>4662</v>
      </c>
      <c r="BV187" s="1586">
        <f t="shared" si="459"/>
        <v>1362</v>
      </c>
      <c r="BW187" s="1586">
        <f t="shared" si="459"/>
        <v>2180</v>
      </c>
      <c r="BX187" s="1586">
        <f t="shared" si="459"/>
        <v>2417</v>
      </c>
      <c r="BY187" s="1588">
        <f t="shared" si="459"/>
        <v>1581</v>
      </c>
      <c r="BZ187" s="1611">
        <f t="shared" si="466"/>
        <v>118910</v>
      </c>
      <c r="CA187" s="1612">
        <f t="shared" si="466"/>
        <v>123396</v>
      </c>
      <c r="CB187" s="1612">
        <f t="shared" si="466"/>
        <v>111936</v>
      </c>
      <c r="CC187" s="1612">
        <f t="shared" si="466"/>
        <v>101304</v>
      </c>
      <c r="CD187" s="1613">
        <f t="shared" si="466"/>
        <v>114376</v>
      </c>
    </row>
    <row r="188" spans="1:82" ht="11.25" customHeight="1" x14ac:dyDescent="0.2">
      <c r="J188" s="88"/>
      <c r="O188" s="74"/>
      <c r="W188" s="80"/>
      <c r="X188" s="80"/>
      <c r="Y188" s="81"/>
      <c r="Z188" s="81"/>
      <c r="AA188" s="81"/>
      <c r="AB188" s="1585">
        <f t="shared" si="460"/>
        <v>57050</v>
      </c>
      <c r="AC188" s="1586">
        <f t="shared" si="460"/>
        <v>53120</v>
      </c>
      <c r="AD188" s="1586">
        <f t="shared" si="460"/>
        <v>52870</v>
      </c>
      <c r="AE188" s="1586">
        <f t="shared" si="460"/>
        <v>51950</v>
      </c>
      <c r="AF188" s="1588">
        <f t="shared" si="460"/>
        <v>52290</v>
      </c>
      <c r="AG188" s="1585">
        <f t="shared" si="461"/>
        <v>120570</v>
      </c>
      <c r="AH188" s="1586">
        <f t="shared" si="461"/>
        <v>131560</v>
      </c>
      <c r="AI188" s="1586">
        <f t="shared" si="461"/>
        <v>132180</v>
      </c>
      <c r="AJ188" s="1586">
        <f t="shared" si="461"/>
        <v>132770</v>
      </c>
      <c r="AK188" s="1588">
        <f t="shared" si="461"/>
        <v>130640</v>
      </c>
      <c r="AL188" s="1585">
        <f t="shared" si="462"/>
        <v>89080</v>
      </c>
      <c r="AM188" s="1586">
        <f t="shared" si="462"/>
        <v>93330</v>
      </c>
      <c r="AN188" s="1586">
        <f t="shared" si="462"/>
        <v>96780</v>
      </c>
      <c r="AO188" s="1586">
        <f t="shared" si="462"/>
        <v>95070</v>
      </c>
      <c r="AP188" s="1588">
        <f t="shared" si="462"/>
        <v>96300</v>
      </c>
      <c r="AQ188" s="1585">
        <f t="shared" si="463"/>
        <v>9710</v>
      </c>
      <c r="AR188" s="1586">
        <f t="shared" si="463"/>
        <v>9970</v>
      </c>
      <c r="AS188" s="1586">
        <f t="shared" si="463"/>
        <v>9440</v>
      </c>
      <c r="AT188" s="1586">
        <f t="shared" si="463"/>
        <v>8540</v>
      </c>
      <c r="AU188" s="1588">
        <f t="shared" si="463"/>
        <v>8300</v>
      </c>
      <c r="AV188" s="1585">
        <f t="shared" si="464"/>
        <v>83250</v>
      </c>
      <c r="AW188" s="1586">
        <f t="shared" si="464"/>
        <v>88150</v>
      </c>
      <c r="AX188" s="1586">
        <f t="shared" si="464"/>
        <v>89360</v>
      </c>
      <c r="AY188" s="1586">
        <f t="shared" si="464"/>
        <v>86810</v>
      </c>
      <c r="AZ188" s="1588">
        <f t="shared" si="464"/>
        <v>90810</v>
      </c>
      <c r="BA188" s="1585">
        <f t="shared" si="465"/>
        <v>171380</v>
      </c>
      <c r="BB188" s="1586">
        <f t="shared" si="465"/>
        <v>177470</v>
      </c>
      <c r="BC188" s="1586">
        <f t="shared" si="465"/>
        <v>186920</v>
      </c>
      <c r="BD188" s="1586">
        <f t="shared" si="465"/>
        <v>189910</v>
      </c>
      <c r="BE188" s="1588">
        <f t="shared" si="465"/>
        <v>184760</v>
      </c>
      <c r="BF188" s="1585">
        <f t="shared" si="465"/>
        <v>20840</v>
      </c>
      <c r="BG188" s="1586">
        <f t="shared" si="465"/>
        <v>22230</v>
      </c>
      <c r="BH188" s="1586">
        <f t="shared" si="465"/>
        <v>22890</v>
      </c>
      <c r="BI188" s="1586">
        <f t="shared" si="465"/>
        <v>23780</v>
      </c>
      <c r="BJ188" s="1588">
        <f t="shared" si="465"/>
        <v>25180</v>
      </c>
      <c r="BK188" s="1585">
        <f t="shared" si="465"/>
        <v>38740</v>
      </c>
      <c r="BL188" s="1586">
        <f t="shared" si="465"/>
        <v>40770</v>
      </c>
      <c r="BM188" s="1586">
        <f t="shared" si="465"/>
        <v>38440</v>
      </c>
      <c r="BN188" s="1586">
        <f t="shared" si="465"/>
        <v>35780</v>
      </c>
      <c r="BO188" s="1588">
        <f t="shared" si="465"/>
        <v>31630</v>
      </c>
      <c r="BP188" s="1585">
        <f t="shared" si="459"/>
        <v>13770</v>
      </c>
      <c r="BQ188" s="1586">
        <f t="shared" si="459"/>
        <v>14510</v>
      </c>
      <c r="BR188" s="1586">
        <f t="shared" si="459"/>
        <v>15890</v>
      </c>
      <c r="BS188" s="1586">
        <f t="shared" si="459"/>
        <v>15580</v>
      </c>
      <c r="BT188" s="1588">
        <f t="shared" si="459"/>
        <v>13770</v>
      </c>
      <c r="BU188" s="1585">
        <f t="shared" si="459"/>
        <v>17080</v>
      </c>
      <c r="BV188" s="1586">
        <f t="shared" si="459"/>
        <v>15010</v>
      </c>
      <c r="BW188" s="1586">
        <f t="shared" si="459"/>
        <v>10680</v>
      </c>
      <c r="BX188" s="1586">
        <f t="shared" si="459"/>
        <v>10730</v>
      </c>
      <c r="BY188" s="1588">
        <f t="shared" si="459"/>
        <v>9300</v>
      </c>
      <c r="BZ188" s="1611">
        <f t="shared" si="466"/>
        <v>621470</v>
      </c>
      <c r="CA188" s="1612">
        <f t="shared" si="466"/>
        <v>646120</v>
      </c>
      <c r="CB188" s="1612">
        <f t="shared" si="466"/>
        <v>655450</v>
      </c>
      <c r="CC188" s="1612">
        <f t="shared" si="466"/>
        <v>650920</v>
      </c>
      <c r="CD188" s="1613">
        <f t="shared" si="466"/>
        <v>642980</v>
      </c>
    </row>
    <row r="189" spans="1:82" ht="11.25" customHeight="1" x14ac:dyDescent="0.2">
      <c r="J189" s="88"/>
      <c r="O189" s="74"/>
      <c r="W189" s="80"/>
      <c r="X189" s="80"/>
      <c r="Y189" s="81"/>
      <c r="Z189" s="81"/>
      <c r="AA189" s="81"/>
      <c r="AB189" s="1585" t="str">
        <f t="shared" si="460"/>
        <v>X</v>
      </c>
      <c r="AC189" s="1586" t="str">
        <f t="shared" si="460"/>
        <v>X</v>
      </c>
      <c r="AD189" s="1586" t="str">
        <f t="shared" si="460"/>
        <v>X</v>
      </c>
      <c r="AE189" s="1586" t="str">
        <f t="shared" si="460"/>
        <v>X</v>
      </c>
      <c r="AF189" s="1588" t="str">
        <f t="shared" si="460"/>
        <v>X</v>
      </c>
      <c r="AG189" s="1585" t="str">
        <f t="shared" si="461"/>
        <v>X</v>
      </c>
      <c r="AH189" s="1586" t="str">
        <f t="shared" si="461"/>
        <v>X</v>
      </c>
      <c r="AI189" s="1586" t="str">
        <f t="shared" si="461"/>
        <v>X</v>
      </c>
      <c r="AJ189" s="1586" t="str">
        <f t="shared" si="461"/>
        <v>X</v>
      </c>
      <c r="AK189" s="1588" t="str">
        <f t="shared" si="461"/>
        <v>X</v>
      </c>
      <c r="AL189" s="1585" t="str">
        <f t="shared" si="462"/>
        <v>X</v>
      </c>
      <c r="AM189" s="1586" t="str">
        <f t="shared" si="462"/>
        <v>X</v>
      </c>
      <c r="AN189" s="1586" t="str">
        <f t="shared" si="462"/>
        <v>X</v>
      </c>
      <c r="AO189" s="1586" t="str">
        <f t="shared" si="462"/>
        <v>X</v>
      </c>
      <c r="AP189" s="1588" t="str">
        <f t="shared" si="462"/>
        <v>X</v>
      </c>
      <c r="AQ189" s="1585" t="str">
        <f t="shared" si="463"/>
        <v>X</v>
      </c>
      <c r="AR189" s="1586" t="str">
        <f t="shared" si="463"/>
        <v>X</v>
      </c>
      <c r="AS189" s="1586" t="str">
        <f t="shared" si="463"/>
        <v>X</v>
      </c>
      <c r="AT189" s="1586" t="str">
        <f t="shared" si="463"/>
        <v>X</v>
      </c>
      <c r="AU189" s="1588" t="str">
        <f t="shared" si="463"/>
        <v>X</v>
      </c>
      <c r="AV189" s="1585" t="str">
        <f t="shared" si="464"/>
        <v>X</v>
      </c>
      <c r="AW189" s="1586" t="str">
        <f t="shared" si="464"/>
        <v>X</v>
      </c>
      <c r="AX189" s="1586" t="str">
        <f t="shared" si="464"/>
        <v>X</v>
      </c>
      <c r="AY189" s="1586" t="str">
        <f t="shared" si="464"/>
        <v>X</v>
      </c>
      <c r="AZ189" s="1588" t="str">
        <f t="shared" si="464"/>
        <v>X</v>
      </c>
      <c r="BA189" s="1585" t="str">
        <f t="shared" si="465"/>
        <v>X</v>
      </c>
      <c r="BB189" s="1586" t="str">
        <f t="shared" si="465"/>
        <v>X</v>
      </c>
      <c r="BC189" s="1586" t="str">
        <f t="shared" si="465"/>
        <v>X</v>
      </c>
      <c r="BD189" s="1586" t="str">
        <f t="shared" si="465"/>
        <v>X</v>
      </c>
      <c r="BE189" s="1588" t="str">
        <f t="shared" si="465"/>
        <v>X</v>
      </c>
      <c r="BF189" s="1585" t="str">
        <f t="shared" si="465"/>
        <v>X</v>
      </c>
      <c r="BG189" s="1586" t="str">
        <f t="shared" si="465"/>
        <v>X</v>
      </c>
      <c r="BH189" s="1586" t="str">
        <f t="shared" si="465"/>
        <v>X</v>
      </c>
      <c r="BI189" s="1586" t="str">
        <f t="shared" si="465"/>
        <v>X</v>
      </c>
      <c r="BJ189" s="1588" t="str">
        <f t="shared" si="465"/>
        <v>X</v>
      </c>
      <c r="BK189" s="1585" t="str">
        <f t="shared" si="465"/>
        <v>X</v>
      </c>
      <c r="BL189" s="1586" t="str">
        <f t="shared" si="465"/>
        <v>X</v>
      </c>
      <c r="BM189" s="1586" t="str">
        <f t="shared" si="465"/>
        <v>X</v>
      </c>
      <c r="BN189" s="1586" t="str">
        <f t="shared" si="465"/>
        <v>X</v>
      </c>
      <c r="BO189" s="1588" t="str">
        <f t="shared" si="465"/>
        <v>X</v>
      </c>
      <c r="BP189" s="1585" t="str">
        <f t="shared" si="459"/>
        <v>X</v>
      </c>
      <c r="BQ189" s="1586" t="str">
        <f t="shared" si="459"/>
        <v>X</v>
      </c>
      <c r="BR189" s="1586" t="str">
        <f t="shared" si="459"/>
        <v>X</v>
      </c>
      <c r="BS189" s="1586" t="str">
        <f t="shared" si="459"/>
        <v>X</v>
      </c>
      <c r="BT189" s="1588" t="str">
        <f t="shared" si="459"/>
        <v>X</v>
      </c>
      <c r="BU189" s="1585" t="str">
        <f t="shared" si="459"/>
        <v>X</v>
      </c>
      <c r="BV189" s="1586" t="str">
        <f t="shared" si="459"/>
        <v>X</v>
      </c>
      <c r="BW189" s="1586" t="str">
        <f t="shared" si="459"/>
        <v>X</v>
      </c>
      <c r="BX189" s="1586" t="str">
        <f t="shared" si="459"/>
        <v>X</v>
      </c>
      <c r="BY189" s="1588" t="str">
        <f t="shared" si="459"/>
        <v>X</v>
      </c>
      <c r="BZ189" s="1611">
        <f t="shared" si="466"/>
        <v>0</v>
      </c>
      <c r="CA189" s="1612">
        <f t="shared" si="466"/>
        <v>0</v>
      </c>
      <c r="CB189" s="1612">
        <f t="shared" si="466"/>
        <v>0</v>
      </c>
      <c r="CC189" s="1612">
        <f t="shared" si="466"/>
        <v>0</v>
      </c>
      <c r="CD189" s="1613">
        <f t="shared" si="466"/>
        <v>0</v>
      </c>
    </row>
    <row r="190" spans="1:82" ht="11.25" customHeight="1" x14ac:dyDescent="0.2">
      <c r="J190" s="88"/>
      <c r="O190" s="74"/>
      <c r="W190" s="80"/>
      <c r="X190" s="80"/>
      <c r="Y190" s="81"/>
      <c r="Z190" s="81"/>
      <c r="AA190" s="81"/>
      <c r="AB190" s="1585" t="str">
        <f t="shared" si="460"/>
        <v>X</v>
      </c>
      <c r="AC190" s="1586" t="str">
        <f t="shared" si="460"/>
        <v>X</v>
      </c>
      <c r="AD190" s="1586" t="str">
        <f t="shared" si="460"/>
        <v>X</v>
      </c>
      <c r="AE190" s="1586" t="str">
        <f t="shared" si="460"/>
        <v>X</v>
      </c>
      <c r="AF190" s="1588" t="str">
        <f t="shared" si="460"/>
        <v>X</v>
      </c>
      <c r="AG190" s="1585" t="str">
        <f t="shared" si="461"/>
        <v>X</v>
      </c>
      <c r="AH190" s="1586" t="str">
        <f t="shared" si="461"/>
        <v>X</v>
      </c>
      <c r="AI190" s="1586" t="str">
        <f t="shared" si="461"/>
        <v>X</v>
      </c>
      <c r="AJ190" s="1586" t="str">
        <f t="shared" si="461"/>
        <v>X</v>
      </c>
      <c r="AK190" s="1588" t="str">
        <f t="shared" si="461"/>
        <v>X</v>
      </c>
      <c r="AL190" s="1585" t="str">
        <f t="shared" si="462"/>
        <v>X</v>
      </c>
      <c r="AM190" s="1586" t="str">
        <f t="shared" si="462"/>
        <v>X</v>
      </c>
      <c r="AN190" s="1586" t="str">
        <f t="shared" si="462"/>
        <v>X</v>
      </c>
      <c r="AO190" s="1586" t="str">
        <f t="shared" si="462"/>
        <v>X</v>
      </c>
      <c r="AP190" s="1588" t="str">
        <f t="shared" si="462"/>
        <v>X</v>
      </c>
      <c r="AQ190" s="1585" t="str">
        <f t="shared" si="463"/>
        <v>X</v>
      </c>
      <c r="AR190" s="1586" t="str">
        <f t="shared" si="463"/>
        <v>X</v>
      </c>
      <c r="AS190" s="1586" t="str">
        <f t="shared" si="463"/>
        <v>X</v>
      </c>
      <c r="AT190" s="1586" t="str">
        <f t="shared" si="463"/>
        <v>X</v>
      </c>
      <c r="AU190" s="1588" t="str">
        <f t="shared" si="463"/>
        <v>X</v>
      </c>
      <c r="AV190" s="1585" t="str">
        <f t="shared" si="464"/>
        <v>X</v>
      </c>
      <c r="AW190" s="1586" t="str">
        <f t="shared" si="464"/>
        <v>X</v>
      </c>
      <c r="AX190" s="1586" t="str">
        <f t="shared" si="464"/>
        <v>X</v>
      </c>
      <c r="AY190" s="1586" t="str">
        <f t="shared" si="464"/>
        <v>X</v>
      </c>
      <c r="AZ190" s="1588" t="str">
        <f t="shared" si="464"/>
        <v>X</v>
      </c>
      <c r="BA190" s="1585" t="str">
        <f t="shared" si="465"/>
        <v>X</v>
      </c>
      <c r="BB190" s="1586" t="str">
        <f t="shared" si="465"/>
        <v>X</v>
      </c>
      <c r="BC190" s="1586" t="str">
        <f t="shared" si="465"/>
        <v>X</v>
      </c>
      <c r="BD190" s="1586" t="str">
        <f t="shared" si="465"/>
        <v>X</v>
      </c>
      <c r="BE190" s="1588" t="str">
        <f t="shared" si="465"/>
        <v>X</v>
      </c>
      <c r="BF190" s="1585" t="str">
        <f t="shared" si="465"/>
        <v>X</v>
      </c>
      <c r="BG190" s="1586" t="str">
        <f t="shared" si="465"/>
        <v>X</v>
      </c>
      <c r="BH190" s="1586" t="str">
        <f t="shared" si="465"/>
        <v>X</v>
      </c>
      <c r="BI190" s="1586" t="str">
        <f t="shared" si="465"/>
        <v>X</v>
      </c>
      <c r="BJ190" s="1588" t="str">
        <f t="shared" si="465"/>
        <v>X</v>
      </c>
      <c r="BK190" s="1585" t="str">
        <f t="shared" si="465"/>
        <v>X</v>
      </c>
      <c r="BL190" s="1586" t="str">
        <f t="shared" si="465"/>
        <v>X</v>
      </c>
      <c r="BM190" s="1586" t="str">
        <f t="shared" si="465"/>
        <v>X</v>
      </c>
      <c r="BN190" s="1586" t="str">
        <f t="shared" si="465"/>
        <v>X</v>
      </c>
      <c r="BO190" s="1588" t="str">
        <f t="shared" si="465"/>
        <v>X</v>
      </c>
      <c r="BP190" s="1585" t="str">
        <f t="shared" si="459"/>
        <v>X</v>
      </c>
      <c r="BQ190" s="1586" t="str">
        <f t="shared" si="459"/>
        <v>X</v>
      </c>
      <c r="BR190" s="1586" t="str">
        <f t="shared" si="459"/>
        <v>X</v>
      </c>
      <c r="BS190" s="1586" t="str">
        <f t="shared" si="459"/>
        <v>X</v>
      </c>
      <c r="BT190" s="1588" t="str">
        <f t="shared" si="459"/>
        <v>X</v>
      </c>
      <c r="BU190" s="1585" t="str">
        <f t="shared" si="459"/>
        <v>X</v>
      </c>
      <c r="BV190" s="1586" t="str">
        <f t="shared" si="459"/>
        <v>X</v>
      </c>
      <c r="BW190" s="1586" t="str">
        <f t="shared" si="459"/>
        <v>X</v>
      </c>
      <c r="BX190" s="1586" t="str">
        <f t="shared" si="459"/>
        <v>X</v>
      </c>
      <c r="BY190" s="1588" t="str">
        <f t="shared" si="459"/>
        <v>X</v>
      </c>
      <c r="BZ190" s="1611">
        <f t="shared" si="466"/>
        <v>0</v>
      </c>
      <c r="CA190" s="1612">
        <f t="shared" si="466"/>
        <v>0</v>
      </c>
      <c r="CB190" s="1612">
        <f t="shared" si="466"/>
        <v>0</v>
      </c>
      <c r="CC190" s="1612">
        <f t="shared" si="466"/>
        <v>0</v>
      </c>
      <c r="CD190" s="1613">
        <f t="shared" si="466"/>
        <v>0</v>
      </c>
    </row>
    <row r="191" spans="1:82" ht="11.25" customHeight="1" x14ac:dyDescent="0.2">
      <c r="J191" s="88"/>
      <c r="O191" s="74"/>
      <c r="W191" s="80"/>
      <c r="X191" s="80"/>
      <c r="Y191" s="81"/>
      <c r="Z191" s="81"/>
      <c r="AA191" s="81"/>
      <c r="AB191" s="1585" t="str">
        <f t="shared" si="460"/>
        <v>X</v>
      </c>
      <c r="AC191" s="1586" t="str">
        <f t="shared" si="460"/>
        <v>X</v>
      </c>
      <c r="AD191" s="1586" t="str">
        <f t="shared" si="460"/>
        <v>X</v>
      </c>
      <c r="AE191" s="1586" t="str">
        <f t="shared" si="460"/>
        <v>X</v>
      </c>
      <c r="AF191" s="1588" t="str">
        <f t="shared" si="460"/>
        <v>X</v>
      </c>
      <c r="AG191" s="1585" t="str">
        <f t="shared" si="461"/>
        <v>X</v>
      </c>
      <c r="AH191" s="1586" t="str">
        <f t="shared" si="461"/>
        <v>X</v>
      </c>
      <c r="AI191" s="1586" t="str">
        <f t="shared" si="461"/>
        <v>X</v>
      </c>
      <c r="AJ191" s="1586" t="str">
        <f t="shared" si="461"/>
        <v>X</v>
      </c>
      <c r="AK191" s="1588" t="str">
        <f t="shared" si="461"/>
        <v>X</v>
      </c>
      <c r="AL191" s="1585" t="str">
        <f t="shared" si="462"/>
        <v>X</v>
      </c>
      <c r="AM191" s="1586" t="str">
        <f t="shared" si="462"/>
        <v>X</v>
      </c>
      <c r="AN191" s="1586" t="str">
        <f t="shared" si="462"/>
        <v>X</v>
      </c>
      <c r="AO191" s="1586" t="str">
        <f t="shared" si="462"/>
        <v>X</v>
      </c>
      <c r="AP191" s="1588" t="str">
        <f t="shared" si="462"/>
        <v>X</v>
      </c>
      <c r="AQ191" s="1585" t="str">
        <f t="shared" si="463"/>
        <v>X</v>
      </c>
      <c r="AR191" s="1586" t="str">
        <f t="shared" si="463"/>
        <v>X</v>
      </c>
      <c r="AS191" s="1586" t="str">
        <f t="shared" si="463"/>
        <v>X</v>
      </c>
      <c r="AT191" s="1586" t="str">
        <f t="shared" si="463"/>
        <v>X</v>
      </c>
      <c r="AU191" s="1588" t="str">
        <f t="shared" si="463"/>
        <v>X</v>
      </c>
      <c r="AV191" s="1585" t="str">
        <f t="shared" si="464"/>
        <v>X</v>
      </c>
      <c r="AW191" s="1586" t="str">
        <f t="shared" si="464"/>
        <v>X</v>
      </c>
      <c r="AX191" s="1586" t="str">
        <f t="shared" si="464"/>
        <v>X</v>
      </c>
      <c r="AY191" s="1586" t="str">
        <f t="shared" si="464"/>
        <v>X</v>
      </c>
      <c r="AZ191" s="1588" t="str">
        <f t="shared" si="464"/>
        <v>X</v>
      </c>
      <c r="BA191" s="1585" t="str">
        <f t="shared" si="465"/>
        <v>X</v>
      </c>
      <c r="BB191" s="1586" t="str">
        <f t="shared" si="465"/>
        <v>X</v>
      </c>
      <c r="BC191" s="1586" t="str">
        <f t="shared" si="465"/>
        <v>X</v>
      </c>
      <c r="BD191" s="1586" t="str">
        <f t="shared" si="465"/>
        <v>X</v>
      </c>
      <c r="BE191" s="1588" t="str">
        <f t="shared" si="465"/>
        <v>X</v>
      </c>
      <c r="BF191" s="1585" t="str">
        <f t="shared" si="465"/>
        <v>X</v>
      </c>
      <c r="BG191" s="1586" t="str">
        <f t="shared" si="465"/>
        <v>X</v>
      </c>
      <c r="BH191" s="1586" t="str">
        <f t="shared" si="465"/>
        <v>X</v>
      </c>
      <c r="BI191" s="1586" t="str">
        <f t="shared" si="465"/>
        <v>X</v>
      </c>
      <c r="BJ191" s="1588" t="str">
        <f t="shared" si="465"/>
        <v>X</v>
      </c>
      <c r="BK191" s="1585" t="str">
        <f t="shared" si="465"/>
        <v>X</v>
      </c>
      <c r="BL191" s="1586" t="str">
        <f t="shared" si="465"/>
        <v>X</v>
      </c>
      <c r="BM191" s="1586" t="str">
        <f t="shared" si="465"/>
        <v>X</v>
      </c>
      <c r="BN191" s="1586" t="str">
        <f t="shared" si="465"/>
        <v>X</v>
      </c>
      <c r="BO191" s="1588" t="str">
        <f t="shared" si="465"/>
        <v>X</v>
      </c>
      <c r="BP191" s="1585" t="str">
        <f t="shared" si="459"/>
        <v>X</v>
      </c>
      <c r="BQ191" s="1586" t="str">
        <f t="shared" si="459"/>
        <v>X</v>
      </c>
      <c r="BR191" s="1586" t="str">
        <f t="shared" si="459"/>
        <v>X</v>
      </c>
      <c r="BS191" s="1586" t="str">
        <f t="shared" si="459"/>
        <v>X</v>
      </c>
      <c r="BT191" s="1588" t="str">
        <f t="shared" si="459"/>
        <v>X</v>
      </c>
      <c r="BU191" s="1585" t="str">
        <f t="shared" si="459"/>
        <v>X</v>
      </c>
      <c r="BV191" s="1586" t="str">
        <f t="shared" si="459"/>
        <v>X</v>
      </c>
      <c r="BW191" s="1586" t="str">
        <f t="shared" si="459"/>
        <v>X</v>
      </c>
      <c r="BX191" s="1586" t="str">
        <f t="shared" si="459"/>
        <v>X</v>
      </c>
      <c r="BY191" s="1588" t="str">
        <f t="shared" si="459"/>
        <v>X</v>
      </c>
      <c r="BZ191" s="1611">
        <f t="shared" si="466"/>
        <v>0</v>
      </c>
      <c r="CA191" s="1612">
        <f t="shared" si="466"/>
        <v>0</v>
      </c>
      <c r="CB191" s="1612">
        <f t="shared" si="466"/>
        <v>0</v>
      </c>
      <c r="CC191" s="1612">
        <f t="shared" si="466"/>
        <v>0</v>
      </c>
      <c r="CD191" s="1613">
        <f t="shared" si="466"/>
        <v>0</v>
      </c>
    </row>
    <row r="192" spans="1:82" ht="11.25" customHeight="1" x14ac:dyDescent="0.2">
      <c r="J192" s="88"/>
      <c r="O192" s="74"/>
      <c r="W192" s="80"/>
      <c r="X192" s="80"/>
      <c r="Y192" s="81"/>
      <c r="Z192" s="81"/>
      <c r="AA192" s="81"/>
      <c r="AB192" s="1585">
        <f t="shared" si="460"/>
        <v>0.49690880989180836</v>
      </c>
      <c r="AC192" s="1586">
        <f t="shared" si="460"/>
        <v>0.42944038929440392</v>
      </c>
      <c r="AD192" s="1586">
        <f t="shared" si="460"/>
        <v>0.44694887300714681</v>
      </c>
      <c r="AE192" s="1586">
        <f t="shared" si="460"/>
        <v>0.49299593312245826</v>
      </c>
      <c r="AF192" s="1588">
        <f t="shared" si="460"/>
        <v>0.47204237786933489</v>
      </c>
      <c r="AG192" s="1585">
        <f t="shared" si="461"/>
        <v>0.42194744976816073</v>
      </c>
      <c r="AH192" s="1586">
        <f t="shared" si="461"/>
        <v>0.37287104622871048</v>
      </c>
      <c r="AI192" s="1586">
        <f t="shared" si="461"/>
        <v>0.4310060472787246</v>
      </c>
      <c r="AJ192" s="1586">
        <f t="shared" si="461"/>
        <v>0.41075463172164484</v>
      </c>
      <c r="AK192" s="1588">
        <f t="shared" si="461"/>
        <v>0.44967628016480288</v>
      </c>
      <c r="AL192" s="1585" t="e">
        <f t="shared" si="462"/>
        <v>#N/A</v>
      </c>
      <c r="AM192" s="1586">
        <f t="shared" si="462"/>
        <v>0.19768856447688565</v>
      </c>
      <c r="AN192" s="1586">
        <f t="shared" si="462"/>
        <v>0.12204507971412865</v>
      </c>
      <c r="AO192" s="1586">
        <f t="shared" si="462"/>
        <v>9.6249435155896984E-2</v>
      </c>
      <c r="AP192" s="1588">
        <f t="shared" si="462"/>
        <v>7.8281341965862269E-2</v>
      </c>
      <c r="AQ192" s="1585" t="str">
        <f t="shared" si="463"/>
        <v>X</v>
      </c>
      <c r="AR192" s="1586" t="str">
        <f t="shared" si="463"/>
        <v>X</v>
      </c>
      <c r="AS192" s="1586" t="str">
        <f t="shared" si="463"/>
        <v>X</v>
      </c>
      <c r="AT192" s="1586" t="str">
        <f t="shared" si="463"/>
        <v>X</v>
      </c>
      <c r="AU192" s="1588" t="str">
        <f t="shared" si="463"/>
        <v>X</v>
      </c>
      <c r="AV192" s="1585" t="str">
        <f t="shared" si="464"/>
        <v>X</v>
      </c>
      <c r="AW192" s="1586" t="str">
        <f t="shared" si="464"/>
        <v>X</v>
      </c>
      <c r="AX192" s="1586" t="str">
        <f t="shared" si="464"/>
        <v>X</v>
      </c>
      <c r="AY192" s="1586" t="str">
        <f t="shared" si="464"/>
        <v>X</v>
      </c>
      <c r="AZ192" s="1588" t="str">
        <f t="shared" si="464"/>
        <v>X</v>
      </c>
      <c r="BA192" s="1585" t="str">
        <f t="shared" si="465"/>
        <v>X</v>
      </c>
      <c r="BB192" s="1586" t="str">
        <f t="shared" si="465"/>
        <v>X</v>
      </c>
      <c r="BC192" s="1586" t="str">
        <f t="shared" si="465"/>
        <v>X</v>
      </c>
      <c r="BD192" s="1586" t="str">
        <f t="shared" si="465"/>
        <v>X</v>
      </c>
      <c r="BE192" s="1588" t="str">
        <f t="shared" si="465"/>
        <v>X</v>
      </c>
      <c r="BF192" s="1585" t="str">
        <f t="shared" si="465"/>
        <v>X</v>
      </c>
      <c r="BG192" s="1586" t="str">
        <f t="shared" si="465"/>
        <v>X</v>
      </c>
      <c r="BH192" s="1586" t="str">
        <f t="shared" si="465"/>
        <v>X</v>
      </c>
      <c r="BI192" s="1586" t="str">
        <f t="shared" si="465"/>
        <v>X</v>
      </c>
      <c r="BJ192" s="1588" t="str">
        <f t="shared" si="465"/>
        <v>X</v>
      </c>
      <c r="BK192" s="1585" t="str">
        <f t="shared" si="465"/>
        <v>X</v>
      </c>
      <c r="BL192" s="1586" t="str">
        <f t="shared" si="465"/>
        <v>X</v>
      </c>
      <c r="BM192" s="1586" t="str">
        <f t="shared" si="465"/>
        <v>X</v>
      </c>
      <c r="BN192" s="1586" t="str">
        <f t="shared" si="465"/>
        <v>X</v>
      </c>
      <c r="BO192" s="1588" t="str">
        <f t="shared" si="465"/>
        <v>X</v>
      </c>
      <c r="BP192" s="1585" t="str">
        <f t="shared" si="459"/>
        <v>X</v>
      </c>
      <c r="BQ192" s="1586" t="str">
        <f t="shared" si="459"/>
        <v>X</v>
      </c>
      <c r="BR192" s="1586" t="str">
        <f t="shared" si="459"/>
        <v>X</v>
      </c>
      <c r="BS192" s="1586" t="str">
        <f t="shared" si="459"/>
        <v>X</v>
      </c>
      <c r="BT192" s="1588" t="str">
        <f t="shared" si="459"/>
        <v>X</v>
      </c>
      <c r="BU192" s="1585" t="str">
        <f t="shared" si="459"/>
        <v>X</v>
      </c>
      <c r="BV192" s="1586" t="str">
        <f t="shared" si="459"/>
        <v>X</v>
      </c>
      <c r="BW192" s="1586" t="str">
        <f t="shared" si="459"/>
        <v>X</v>
      </c>
      <c r="BX192" s="1586" t="str">
        <f t="shared" si="459"/>
        <v>X</v>
      </c>
      <c r="BY192" s="1588" t="str">
        <f t="shared" si="459"/>
        <v>X</v>
      </c>
      <c r="BZ192" s="1611" t="e">
        <f t="shared" si="466"/>
        <v>#N/A</v>
      </c>
      <c r="CA192" s="1612">
        <f t="shared" si="466"/>
        <v>1.0000000000000002</v>
      </c>
      <c r="CB192" s="1612">
        <f t="shared" si="466"/>
        <v>1</v>
      </c>
      <c r="CC192" s="1612">
        <f t="shared" si="466"/>
        <v>1</v>
      </c>
      <c r="CD192" s="1613">
        <f t="shared" si="466"/>
        <v>0.99999999999999989</v>
      </c>
    </row>
    <row r="193" spans="10:82" ht="11.25" customHeight="1" x14ac:dyDescent="0.2">
      <c r="J193" s="88"/>
      <c r="O193" s="74"/>
      <c r="W193" s="80"/>
      <c r="X193" s="80"/>
      <c r="Y193" s="81"/>
      <c r="Z193" s="81"/>
      <c r="AA193" s="81"/>
      <c r="AB193" s="1585">
        <f t="shared" si="460"/>
        <v>0.36952714535901926</v>
      </c>
      <c r="AC193" s="1586">
        <f t="shared" si="460"/>
        <v>0.35888399412628491</v>
      </c>
      <c r="AD193" s="1586">
        <f t="shared" si="460"/>
        <v>0.35944976076555024</v>
      </c>
      <c r="AE193" s="1586">
        <f t="shared" si="460"/>
        <v>0.32726150046310593</v>
      </c>
      <c r="AF193" s="1588">
        <f t="shared" si="460"/>
        <v>0.36180341640996921</v>
      </c>
      <c r="AG193" s="1585">
        <f t="shared" si="461"/>
        <v>0.45329830706363106</v>
      </c>
      <c r="AH193" s="1586">
        <f t="shared" si="461"/>
        <v>0.44140969162995591</v>
      </c>
      <c r="AI193" s="1586">
        <f t="shared" si="461"/>
        <v>0.41686602870813394</v>
      </c>
      <c r="AJ193" s="1586">
        <f t="shared" si="461"/>
        <v>0.37017598024081505</v>
      </c>
      <c r="AK193" s="1588">
        <f t="shared" si="461"/>
        <v>0.42509101092131057</v>
      </c>
      <c r="AL193" s="1585">
        <f t="shared" si="462"/>
        <v>0.17717454757734968</v>
      </c>
      <c r="AM193" s="1586">
        <f t="shared" si="462"/>
        <v>0.19970631424375918</v>
      </c>
      <c r="AN193" s="1586">
        <f t="shared" si="462"/>
        <v>0.22368421052631579</v>
      </c>
      <c r="AO193" s="1586">
        <f t="shared" si="462"/>
        <v>0.30256251929607902</v>
      </c>
      <c r="AP193" s="1588">
        <f t="shared" si="462"/>
        <v>0.21310557266872027</v>
      </c>
      <c r="AQ193" s="1585" t="str">
        <f t="shared" si="463"/>
        <v>X</v>
      </c>
      <c r="AR193" s="1586" t="str">
        <f t="shared" si="463"/>
        <v>X</v>
      </c>
      <c r="AS193" s="1586" t="str">
        <f t="shared" si="463"/>
        <v>X</v>
      </c>
      <c r="AT193" s="1586" t="str">
        <f t="shared" si="463"/>
        <v>X</v>
      </c>
      <c r="AU193" s="1588" t="str">
        <f t="shared" si="463"/>
        <v>X</v>
      </c>
      <c r="AV193" s="1585" t="str">
        <f t="shared" si="464"/>
        <v>X</v>
      </c>
      <c r="AW193" s="1586" t="str">
        <f t="shared" si="464"/>
        <v>X</v>
      </c>
      <c r="AX193" s="1586" t="str">
        <f t="shared" si="464"/>
        <v>X</v>
      </c>
      <c r="AY193" s="1586" t="str">
        <f t="shared" si="464"/>
        <v>X</v>
      </c>
      <c r="AZ193" s="1588" t="str">
        <f t="shared" si="464"/>
        <v>X</v>
      </c>
      <c r="BA193" s="1585" t="str">
        <f t="shared" si="465"/>
        <v>X</v>
      </c>
      <c r="BB193" s="1586" t="str">
        <f t="shared" si="465"/>
        <v>X</v>
      </c>
      <c r="BC193" s="1586" t="str">
        <f t="shared" si="465"/>
        <v>X</v>
      </c>
      <c r="BD193" s="1586" t="str">
        <f t="shared" si="465"/>
        <v>X</v>
      </c>
      <c r="BE193" s="1588" t="str">
        <f t="shared" si="465"/>
        <v>X</v>
      </c>
      <c r="BF193" s="1585" t="str">
        <f t="shared" si="465"/>
        <v>X</v>
      </c>
      <c r="BG193" s="1586" t="str">
        <f t="shared" si="465"/>
        <v>X</v>
      </c>
      <c r="BH193" s="1586" t="str">
        <f t="shared" si="465"/>
        <v>X</v>
      </c>
      <c r="BI193" s="1586" t="str">
        <f t="shared" si="465"/>
        <v>X</v>
      </c>
      <c r="BJ193" s="1588" t="str">
        <f t="shared" si="465"/>
        <v>X</v>
      </c>
      <c r="BK193" s="1585" t="str">
        <f t="shared" si="465"/>
        <v>X</v>
      </c>
      <c r="BL193" s="1586" t="str">
        <f t="shared" si="465"/>
        <v>X</v>
      </c>
      <c r="BM193" s="1586" t="str">
        <f t="shared" si="465"/>
        <v>X</v>
      </c>
      <c r="BN193" s="1586" t="str">
        <f t="shared" si="465"/>
        <v>X</v>
      </c>
      <c r="BO193" s="1588" t="str">
        <f t="shared" si="465"/>
        <v>X</v>
      </c>
      <c r="BP193" s="1585" t="str">
        <f t="shared" si="459"/>
        <v>X</v>
      </c>
      <c r="BQ193" s="1586" t="str">
        <f t="shared" si="459"/>
        <v>X</v>
      </c>
      <c r="BR193" s="1586" t="str">
        <f t="shared" si="459"/>
        <v>X</v>
      </c>
      <c r="BS193" s="1586" t="str">
        <f t="shared" si="459"/>
        <v>X</v>
      </c>
      <c r="BT193" s="1588" t="str">
        <f t="shared" si="459"/>
        <v>X</v>
      </c>
      <c r="BU193" s="1585" t="str">
        <f t="shared" si="459"/>
        <v>X</v>
      </c>
      <c r="BV193" s="1586" t="str">
        <f t="shared" si="459"/>
        <v>X</v>
      </c>
      <c r="BW193" s="1586" t="str">
        <f t="shared" si="459"/>
        <v>X</v>
      </c>
      <c r="BX193" s="1586" t="str">
        <f t="shared" si="459"/>
        <v>X</v>
      </c>
      <c r="BY193" s="1588" t="str">
        <f t="shared" si="459"/>
        <v>X</v>
      </c>
      <c r="BZ193" s="1611">
        <f t="shared" si="466"/>
        <v>1</v>
      </c>
      <c r="CA193" s="1612">
        <f t="shared" si="466"/>
        <v>1</v>
      </c>
      <c r="CB193" s="1612">
        <f t="shared" si="466"/>
        <v>1</v>
      </c>
      <c r="CC193" s="1612">
        <f t="shared" si="466"/>
        <v>1</v>
      </c>
      <c r="CD193" s="1613">
        <f t="shared" si="466"/>
        <v>1</v>
      </c>
    </row>
    <row r="194" spans="10:82" ht="11.25" customHeight="1" x14ac:dyDescent="0.2">
      <c r="J194" s="88"/>
      <c r="O194" s="74"/>
      <c r="W194" s="80"/>
      <c r="X194" s="80"/>
      <c r="Y194" s="81"/>
      <c r="Z194" s="81"/>
      <c r="AA194" s="81"/>
      <c r="AB194" s="1585">
        <f t="shared" si="460"/>
        <v>0.49378073474110495</v>
      </c>
      <c r="AC194" s="1586">
        <f t="shared" si="460"/>
        <v>0.51651455888744024</v>
      </c>
      <c r="AD194" s="1586">
        <f t="shared" si="460"/>
        <v>0.44480990616232946</v>
      </c>
      <c r="AE194" s="1586">
        <f t="shared" si="460"/>
        <v>0.44175392670157065</v>
      </c>
      <c r="AF194" s="1588">
        <f t="shared" si="460"/>
        <v>0.44022131344719745</v>
      </c>
      <c r="AG194" s="1585">
        <f t="shared" si="461"/>
        <v>0.40801272779866937</v>
      </c>
      <c r="AH194" s="1586">
        <f t="shared" si="461"/>
        <v>0.38581051716644937</v>
      </c>
      <c r="AI194" s="1586">
        <f t="shared" si="461"/>
        <v>0.43794137564090163</v>
      </c>
      <c r="AJ194" s="1586">
        <f t="shared" si="461"/>
        <v>0.45523560209424085</v>
      </c>
      <c r="AK194" s="1588">
        <f t="shared" si="461"/>
        <v>0.4665624248255954</v>
      </c>
      <c r="AL194" s="1585" t="e">
        <f t="shared" si="462"/>
        <v>#N/A</v>
      </c>
      <c r="AM194" s="1586">
        <f t="shared" si="462"/>
        <v>9.7674923946110381E-2</v>
      </c>
      <c r="AN194" s="1586">
        <f t="shared" si="462"/>
        <v>0.11724871819676888</v>
      </c>
      <c r="AO194" s="1586">
        <f t="shared" si="462"/>
        <v>0.10301047120418848</v>
      </c>
      <c r="AP194" s="1588" t="e">
        <f t="shared" si="462"/>
        <v>#N/A</v>
      </c>
      <c r="AQ194" s="1585" t="str">
        <f t="shared" si="463"/>
        <v>X</v>
      </c>
      <c r="AR194" s="1586" t="str">
        <f t="shared" si="463"/>
        <v>X</v>
      </c>
      <c r="AS194" s="1586" t="str">
        <f t="shared" si="463"/>
        <v>X</v>
      </c>
      <c r="AT194" s="1586" t="str">
        <f t="shared" si="463"/>
        <v>X</v>
      </c>
      <c r="AU194" s="1588" t="str">
        <f t="shared" si="463"/>
        <v>X</v>
      </c>
      <c r="AV194" s="1585" t="str">
        <f t="shared" si="464"/>
        <v>X</v>
      </c>
      <c r="AW194" s="1586" t="str">
        <f t="shared" si="464"/>
        <v>X</v>
      </c>
      <c r="AX194" s="1586" t="str">
        <f t="shared" si="464"/>
        <v>X</v>
      </c>
      <c r="AY194" s="1586" t="str">
        <f t="shared" si="464"/>
        <v>X</v>
      </c>
      <c r="AZ194" s="1588" t="str">
        <f t="shared" si="464"/>
        <v>X</v>
      </c>
      <c r="BA194" s="1585" t="str">
        <f t="shared" si="465"/>
        <v>X</v>
      </c>
      <c r="BB194" s="1586" t="str">
        <f t="shared" si="465"/>
        <v>X</v>
      </c>
      <c r="BC194" s="1586" t="str">
        <f t="shared" si="465"/>
        <v>X</v>
      </c>
      <c r="BD194" s="1586" t="str">
        <f t="shared" si="465"/>
        <v>X</v>
      </c>
      <c r="BE194" s="1588" t="str">
        <f t="shared" si="465"/>
        <v>X</v>
      </c>
      <c r="BF194" s="1585" t="str">
        <f t="shared" si="465"/>
        <v>X</v>
      </c>
      <c r="BG194" s="1586" t="str">
        <f t="shared" si="465"/>
        <v>X</v>
      </c>
      <c r="BH194" s="1586" t="str">
        <f t="shared" si="465"/>
        <v>X</v>
      </c>
      <c r="BI194" s="1586" t="str">
        <f t="shared" si="465"/>
        <v>X</v>
      </c>
      <c r="BJ194" s="1588" t="str">
        <f t="shared" si="465"/>
        <v>X</v>
      </c>
      <c r="BK194" s="1585" t="str">
        <f t="shared" si="465"/>
        <v>X</v>
      </c>
      <c r="BL194" s="1586" t="str">
        <f t="shared" si="465"/>
        <v>X</v>
      </c>
      <c r="BM194" s="1586" t="str">
        <f t="shared" si="465"/>
        <v>X</v>
      </c>
      <c r="BN194" s="1586" t="str">
        <f t="shared" si="465"/>
        <v>X</v>
      </c>
      <c r="BO194" s="1588" t="str">
        <f t="shared" si="465"/>
        <v>X</v>
      </c>
      <c r="BP194" s="1585" t="str">
        <f t="shared" si="459"/>
        <v>X</v>
      </c>
      <c r="BQ194" s="1586" t="str">
        <f t="shared" si="459"/>
        <v>X</v>
      </c>
      <c r="BR194" s="1586" t="str">
        <f t="shared" si="459"/>
        <v>X</v>
      </c>
      <c r="BS194" s="1586" t="str">
        <f t="shared" si="459"/>
        <v>X</v>
      </c>
      <c r="BT194" s="1588" t="str">
        <f t="shared" si="459"/>
        <v>X</v>
      </c>
      <c r="BU194" s="1585" t="str">
        <f t="shared" si="459"/>
        <v>X</v>
      </c>
      <c r="BV194" s="1586" t="str">
        <f t="shared" si="459"/>
        <v>X</v>
      </c>
      <c r="BW194" s="1586" t="str">
        <f t="shared" si="459"/>
        <v>X</v>
      </c>
      <c r="BX194" s="1586" t="str">
        <f t="shared" si="459"/>
        <v>X</v>
      </c>
      <c r="BY194" s="1588" t="str">
        <f t="shared" si="459"/>
        <v>X</v>
      </c>
      <c r="BZ194" s="1611" t="e">
        <f t="shared" si="466"/>
        <v>#N/A</v>
      </c>
      <c r="CA194" s="1612">
        <f t="shared" si="466"/>
        <v>1</v>
      </c>
      <c r="CB194" s="1612">
        <f t="shared" si="466"/>
        <v>1</v>
      </c>
      <c r="CC194" s="1612">
        <f t="shared" si="466"/>
        <v>1</v>
      </c>
      <c r="CD194" s="1613" t="e">
        <f t="shared" si="466"/>
        <v>#N/A</v>
      </c>
    </row>
    <row r="195" spans="10:82" ht="11.25" customHeight="1" x14ac:dyDescent="0.2">
      <c r="J195" s="88"/>
      <c r="O195" s="74"/>
      <c r="W195" s="80"/>
      <c r="X195" s="80"/>
      <c r="Y195" s="81"/>
      <c r="Z195" s="81"/>
      <c r="AA195" s="81"/>
      <c r="AB195" s="1585">
        <f t="shared" si="460"/>
        <v>0.19606003752345214</v>
      </c>
      <c r="AC195" s="1586">
        <f t="shared" si="460"/>
        <v>0.37513601741022851</v>
      </c>
      <c r="AD195" s="1586">
        <f t="shared" si="460"/>
        <v>0.41012136478131439</v>
      </c>
      <c r="AE195" s="1586">
        <f t="shared" si="460"/>
        <v>0.42224797219003479</v>
      </c>
      <c r="AF195" s="1588">
        <f t="shared" si="460"/>
        <v>0.38636909047276219</v>
      </c>
      <c r="AG195" s="1585">
        <f t="shared" si="461"/>
        <v>0.26641651031894936</v>
      </c>
      <c r="AH195" s="1586">
        <f t="shared" si="461"/>
        <v>0.50435255712731231</v>
      </c>
      <c r="AI195" s="1586">
        <f t="shared" si="461"/>
        <v>0.44927868101671625</v>
      </c>
      <c r="AJ195" s="1586">
        <f t="shared" si="461"/>
        <v>0.42966396292004638</v>
      </c>
      <c r="AK195" s="1588">
        <f t="shared" si="461"/>
        <v>0.46124310055195583</v>
      </c>
      <c r="AL195" s="1585">
        <f t="shared" si="462"/>
        <v>0.53752345215759845</v>
      </c>
      <c r="AM195" s="1586">
        <f t="shared" si="462"/>
        <v>0.1205114254624592</v>
      </c>
      <c r="AN195" s="1586">
        <f t="shared" si="462"/>
        <v>0.1405999542019693</v>
      </c>
      <c r="AO195" s="1586">
        <f t="shared" si="462"/>
        <v>0.14808806488991888</v>
      </c>
      <c r="AP195" s="1588">
        <f t="shared" si="462"/>
        <v>0.15238780897528195</v>
      </c>
      <c r="AQ195" s="1585" t="str">
        <f t="shared" si="463"/>
        <v>X</v>
      </c>
      <c r="AR195" s="1586" t="str">
        <f t="shared" si="463"/>
        <v>X</v>
      </c>
      <c r="AS195" s="1586" t="str">
        <f t="shared" si="463"/>
        <v>X</v>
      </c>
      <c r="AT195" s="1586" t="str">
        <f t="shared" si="463"/>
        <v>X</v>
      </c>
      <c r="AU195" s="1588" t="str">
        <f t="shared" si="463"/>
        <v>X</v>
      </c>
      <c r="AV195" s="1585" t="str">
        <f t="shared" si="464"/>
        <v>X</v>
      </c>
      <c r="AW195" s="1586" t="str">
        <f t="shared" si="464"/>
        <v>X</v>
      </c>
      <c r="AX195" s="1586" t="str">
        <f t="shared" si="464"/>
        <v>X</v>
      </c>
      <c r="AY195" s="1586" t="str">
        <f t="shared" si="464"/>
        <v>X</v>
      </c>
      <c r="AZ195" s="1588" t="str">
        <f t="shared" si="464"/>
        <v>X</v>
      </c>
      <c r="BA195" s="1585" t="str">
        <f t="shared" si="465"/>
        <v>X</v>
      </c>
      <c r="BB195" s="1586" t="str">
        <f t="shared" si="465"/>
        <v>X</v>
      </c>
      <c r="BC195" s="1586" t="str">
        <f t="shared" si="465"/>
        <v>X</v>
      </c>
      <c r="BD195" s="1586" t="str">
        <f t="shared" si="465"/>
        <v>X</v>
      </c>
      <c r="BE195" s="1588" t="str">
        <f t="shared" si="465"/>
        <v>X</v>
      </c>
      <c r="BF195" s="1585" t="str">
        <f t="shared" si="465"/>
        <v>X</v>
      </c>
      <c r="BG195" s="1586" t="str">
        <f t="shared" si="465"/>
        <v>X</v>
      </c>
      <c r="BH195" s="1586" t="str">
        <f t="shared" si="465"/>
        <v>X</v>
      </c>
      <c r="BI195" s="1586" t="str">
        <f t="shared" si="465"/>
        <v>X</v>
      </c>
      <c r="BJ195" s="1588" t="str">
        <f t="shared" si="465"/>
        <v>X</v>
      </c>
      <c r="BK195" s="1585" t="str">
        <f t="shared" si="465"/>
        <v>X</v>
      </c>
      <c r="BL195" s="1586" t="str">
        <f t="shared" si="465"/>
        <v>X</v>
      </c>
      <c r="BM195" s="1586" t="str">
        <f t="shared" si="465"/>
        <v>X</v>
      </c>
      <c r="BN195" s="1586" t="str">
        <f t="shared" si="465"/>
        <v>X</v>
      </c>
      <c r="BO195" s="1588" t="str">
        <f t="shared" si="465"/>
        <v>X</v>
      </c>
      <c r="BP195" s="1585" t="str">
        <f t="shared" si="459"/>
        <v>X</v>
      </c>
      <c r="BQ195" s="1586" t="str">
        <f t="shared" si="459"/>
        <v>X</v>
      </c>
      <c r="BR195" s="1586" t="str">
        <f t="shared" si="459"/>
        <v>X</v>
      </c>
      <c r="BS195" s="1586" t="str">
        <f t="shared" si="459"/>
        <v>X</v>
      </c>
      <c r="BT195" s="1588" t="str">
        <f t="shared" si="459"/>
        <v>X</v>
      </c>
      <c r="BU195" s="1585" t="str">
        <f t="shared" si="459"/>
        <v>X</v>
      </c>
      <c r="BV195" s="1586" t="str">
        <f t="shared" si="459"/>
        <v>X</v>
      </c>
      <c r="BW195" s="1586" t="str">
        <f t="shared" si="459"/>
        <v>X</v>
      </c>
      <c r="BX195" s="1586" t="str">
        <f t="shared" si="459"/>
        <v>X</v>
      </c>
      <c r="BY195" s="1588" t="str">
        <f t="shared" si="459"/>
        <v>X</v>
      </c>
      <c r="BZ195" s="1611">
        <f t="shared" si="466"/>
        <v>0.99999999999999989</v>
      </c>
      <c r="CA195" s="1612">
        <f t="shared" si="466"/>
        <v>1</v>
      </c>
      <c r="CB195" s="1612">
        <f t="shared" si="466"/>
        <v>1</v>
      </c>
      <c r="CC195" s="1612">
        <f t="shared" si="466"/>
        <v>1</v>
      </c>
      <c r="CD195" s="1613">
        <f t="shared" si="466"/>
        <v>1</v>
      </c>
    </row>
    <row r="196" spans="10:82" ht="11.25" customHeight="1" x14ac:dyDescent="0.2">
      <c r="J196" s="88"/>
      <c r="O196" s="74"/>
      <c r="W196" s="80"/>
      <c r="X196" s="80"/>
      <c r="Y196" s="81"/>
      <c r="Z196" s="81"/>
      <c r="AA196" s="81"/>
      <c r="AB196" s="1585">
        <f t="shared" si="460"/>
        <v>0.50456018240729628</v>
      </c>
      <c r="AC196" s="1586">
        <f t="shared" si="460"/>
        <v>0.49189606380241829</v>
      </c>
      <c r="AD196" s="1586">
        <f t="shared" si="460"/>
        <v>0.49308098045299409</v>
      </c>
      <c r="AE196" s="1586">
        <f t="shared" si="460"/>
        <v>0.51594489269443988</v>
      </c>
      <c r="AF196" s="1588">
        <f t="shared" si="460"/>
        <v>0.55459940652818995</v>
      </c>
      <c r="AG196" s="1585">
        <f t="shared" si="461"/>
        <v>0.3565342613704548</v>
      </c>
      <c r="AH196" s="1586">
        <f t="shared" si="461"/>
        <v>0.35842552096732699</v>
      </c>
      <c r="AI196" s="1586">
        <f t="shared" si="461"/>
        <v>0.36028544834005582</v>
      </c>
      <c r="AJ196" s="1586">
        <f t="shared" si="461"/>
        <v>0.34140183325100171</v>
      </c>
      <c r="AK196" s="1588">
        <f t="shared" si="461"/>
        <v>0.30588526211671613</v>
      </c>
      <c r="AL196" s="1585">
        <f t="shared" si="462"/>
        <v>0.1389055562222489</v>
      </c>
      <c r="AM196" s="1586">
        <f t="shared" si="462"/>
        <v>0.14967841523025471</v>
      </c>
      <c r="AN196" s="1586">
        <f t="shared" si="462"/>
        <v>0.14663357120695003</v>
      </c>
      <c r="AO196" s="1586">
        <f t="shared" si="462"/>
        <v>0.14265327405455844</v>
      </c>
      <c r="AP196" s="1588">
        <f t="shared" si="462"/>
        <v>0.13951533135509397</v>
      </c>
      <c r="AQ196" s="1585" t="str">
        <f t="shared" si="463"/>
        <v>X</v>
      </c>
      <c r="AR196" s="1586" t="str">
        <f t="shared" si="463"/>
        <v>X</v>
      </c>
      <c r="AS196" s="1586" t="str">
        <f t="shared" si="463"/>
        <v>X</v>
      </c>
      <c r="AT196" s="1586" t="str">
        <f t="shared" si="463"/>
        <v>X</v>
      </c>
      <c r="AU196" s="1588" t="str">
        <f t="shared" si="463"/>
        <v>X</v>
      </c>
      <c r="AV196" s="1585" t="str">
        <f t="shared" si="464"/>
        <v>X</v>
      </c>
      <c r="AW196" s="1586" t="str">
        <f t="shared" si="464"/>
        <v>X</v>
      </c>
      <c r="AX196" s="1586" t="str">
        <f t="shared" si="464"/>
        <v>X</v>
      </c>
      <c r="AY196" s="1586" t="str">
        <f t="shared" si="464"/>
        <v>X</v>
      </c>
      <c r="AZ196" s="1588" t="str">
        <f t="shared" si="464"/>
        <v>X</v>
      </c>
      <c r="BA196" s="1585" t="str">
        <f t="shared" si="465"/>
        <v>X</v>
      </c>
      <c r="BB196" s="1586" t="str">
        <f t="shared" si="465"/>
        <v>X</v>
      </c>
      <c r="BC196" s="1586" t="str">
        <f t="shared" si="465"/>
        <v>X</v>
      </c>
      <c r="BD196" s="1586" t="str">
        <f t="shared" si="465"/>
        <v>X</v>
      </c>
      <c r="BE196" s="1588" t="str">
        <f t="shared" si="465"/>
        <v>X</v>
      </c>
      <c r="BF196" s="1585" t="str">
        <f t="shared" si="465"/>
        <v>X</v>
      </c>
      <c r="BG196" s="1586" t="str">
        <f t="shared" si="465"/>
        <v>X</v>
      </c>
      <c r="BH196" s="1586" t="str">
        <f t="shared" si="465"/>
        <v>X</v>
      </c>
      <c r="BI196" s="1586" t="str">
        <f t="shared" si="465"/>
        <v>X</v>
      </c>
      <c r="BJ196" s="1588" t="str">
        <f t="shared" si="465"/>
        <v>X</v>
      </c>
      <c r="BK196" s="1585" t="str">
        <f t="shared" si="465"/>
        <v>X</v>
      </c>
      <c r="BL196" s="1586" t="str">
        <f t="shared" si="465"/>
        <v>X</v>
      </c>
      <c r="BM196" s="1586" t="str">
        <f t="shared" si="465"/>
        <v>X</v>
      </c>
      <c r="BN196" s="1586" t="str">
        <f t="shared" si="465"/>
        <v>X</v>
      </c>
      <c r="BO196" s="1588" t="str">
        <f t="shared" si="465"/>
        <v>X</v>
      </c>
      <c r="BP196" s="1585" t="str">
        <f t="shared" si="459"/>
        <v>X</v>
      </c>
      <c r="BQ196" s="1586" t="str">
        <f t="shared" si="459"/>
        <v>X</v>
      </c>
      <c r="BR196" s="1586" t="str">
        <f t="shared" si="459"/>
        <v>X</v>
      </c>
      <c r="BS196" s="1586" t="str">
        <f t="shared" si="459"/>
        <v>X</v>
      </c>
      <c r="BT196" s="1588" t="str">
        <f t="shared" si="459"/>
        <v>X</v>
      </c>
      <c r="BU196" s="1585" t="str">
        <f t="shared" si="459"/>
        <v>X</v>
      </c>
      <c r="BV196" s="1586" t="str">
        <f t="shared" si="459"/>
        <v>X</v>
      </c>
      <c r="BW196" s="1586" t="str">
        <f t="shared" si="459"/>
        <v>X</v>
      </c>
      <c r="BX196" s="1586" t="str">
        <f t="shared" si="459"/>
        <v>X</v>
      </c>
      <c r="BY196" s="1588" t="str">
        <f t="shared" si="459"/>
        <v>X</v>
      </c>
      <c r="BZ196" s="1611">
        <f t="shared" si="466"/>
        <v>1</v>
      </c>
      <c r="CA196" s="1612">
        <f t="shared" si="466"/>
        <v>1</v>
      </c>
      <c r="CB196" s="1612">
        <f t="shared" si="466"/>
        <v>1</v>
      </c>
      <c r="CC196" s="1612">
        <f t="shared" si="466"/>
        <v>1</v>
      </c>
      <c r="CD196" s="1613">
        <f t="shared" si="466"/>
        <v>1.0000000000000002</v>
      </c>
    </row>
    <row r="197" spans="10:82" ht="11.25" customHeight="1" x14ac:dyDescent="0.2">
      <c r="J197" s="88"/>
      <c r="O197" s="74"/>
      <c r="W197" s="80"/>
      <c r="X197" s="80"/>
      <c r="Y197" s="81"/>
      <c r="Z197" s="81"/>
      <c r="AA197" s="81"/>
      <c r="AB197" s="1585">
        <f t="shared" ref="AB197:AF197" si="467">IF(SUM(AB143,AG143,AL143,AQ143)&gt;0,SUM(AB143,AG143,AL143,AQ143),"X")</f>
        <v>0.50690665550439518</v>
      </c>
      <c r="AC197" s="1586">
        <f t="shared" si="467"/>
        <v>0.48717948717948717</v>
      </c>
      <c r="AD197" s="1586">
        <f t="shared" si="467"/>
        <v>0.54159132007233268</v>
      </c>
      <c r="AE197" s="1586">
        <f t="shared" si="467"/>
        <v>0.49154691462383771</v>
      </c>
      <c r="AF197" s="1588">
        <f t="shared" si="467"/>
        <v>0.53707865168539326</v>
      </c>
      <c r="AG197" s="1585">
        <f t="shared" si="461"/>
        <v>0.34323984930933443</v>
      </c>
      <c r="AH197" s="1586">
        <f t="shared" si="461"/>
        <v>0.38155376961347109</v>
      </c>
      <c r="AI197" s="1586">
        <f t="shared" si="461"/>
        <v>0.33589511754068718</v>
      </c>
      <c r="AJ197" s="1586">
        <f t="shared" si="461"/>
        <v>0.33051563820794588</v>
      </c>
      <c r="AK197" s="1588">
        <f t="shared" si="461"/>
        <v>0.28913857677902621</v>
      </c>
      <c r="AL197" s="1585">
        <f t="shared" si="462"/>
        <v>0.14985349518627039</v>
      </c>
      <c r="AM197" s="1586">
        <f t="shared" si="462"/>
        <v>0.13126674320704171</v>
      </c>
      <c r="AN197" s="1586">
        <f t="shared" si="462"/>
        <v>0.12251356238698011</v>
      </c>
      <c r="AO197" s="1586">
        <f t="shared" si="462"/>
        <v>0.17793744716821641</v>
      </c>
      <c r="AP197" s="1588">
        <f t="shared" si="462"/>
        <v>0.17378277153558053</v>
      </c>
      <c r="AQ197" s="1585" t="str">
        <f t="shared" si="463"/>
        <v>X</v>
      </c>
      <c r="AR197" s="1586" t="str">
        <f t="shared" si="463"/>
        <v>X</v>
      </c>
      <c r="AS197" s="1586" t="str">
        <f t="shared" si="463"/>
        <v>X</v>
      </c>
      <c r="AT197" s="1586" t="str">
        <f t="shared" si="463"/>
        <v>X</v>
      </c>
      <c r="AU197" s="1588" t="str">
        <f t="shared" si="463"/>
        <v>X</v>
      </c>
      <c r="AV197" s="1585" t="str">
        <f t="shared" si="464"/>
        <v>X</v>
      </c>
      <c r="AW197" s="1586" t="str">
        <f t="shared" si="464"/>
        <v>X</v>
      </c>
      <c r="AX197" s="1586" t="str">
        <f t="shared" si="464"/>
        <v>X</v>
      </c>
      <c r="AY197" s="1586" t="str">
        <f t="shared" si="464"/>
        <v>X</v>
      </c>
      <c r="AZ197" s="1588" t="str">
        <f t="shared" si="464"/>
        <v>X</v>
      </c>
      <c r="BA197" s="1585" t="str">
        <f t="shared" si="465"/>
        <v>X</v>
      </c>
      <c r="BB197" s="1586" t="str">
        <f t="shared" si="465"/>
        <v>X</v>
      </c>
      <c r="BC197" s="1586" t="str">
        <f t="shared" si="465"/>
        <v>X</v>
      </c>
      <c r="BD197" s="1586" t="str">
        <f t="shared" si="465"/>
        <v>X</v>
      </c>
      <c r="BE197" s="1588" t="str">
        <f t="shared" si="465"/>
        <v>X</v>
      </c>
      <c r="BF197" s="1585" t="str">
        <f t="shared" si="465"/>
        <v>X</v>
      </c>
      <c r="BG197" s="1586" t="str">
        <f t="shared" si="465"/>
        <v>X</v>
      </c>
      <c r="BH197" s="1586" t="str">
        <f t="shared" si="465"/>
        <v>X</v>
      </c>
      <c r="BI197" s="1586" t="str">
        <f t="shared" si="465"/>
        <v>X</v>
      </c>
      <c r="BJ197" s="1588" t="str">
        <f t="shared" si="465"/>
        <v>X</v>
      </c>
      <c r="BK197" s="1585" t="str">
        <f t="shared" si="465"/>
        <v>X</v>
      </c>
      <c r="BL197" s="1586" t="str">
        <f t="shared" si="465"/>
        <v>X</v>
      </c>
      <c r="BM197" s="1586" t="str">
        <f t="shared" si="465"/>
        <v>X</v>
      </c>
      <c r="BN197" s="1586" t="str">
        <f t="shared" si="465"/>
        <v>X</v>
      </c>
      <c r="BO197" s="1588" t="str">
        <f t="shared" si="465"/>
        <v>X</v>
      </c>
      <c r="BP197" s="1585" t="str">
        <f t="shared" si="459"/>
        <v>X</v>
      </c>
      <c r="BQ197" s="1586" t="str">
        <f t="shared" si="459"/>
        <v>X</v>
      </c>
      <c r="BR197" s="1586" t="str">
        <f t="shared" si="459"/>
        <v>X</v>
      </c>
      <c r="BS197" s="1586" t="str">
        <f t="shared" si="459"/>
        <v>X</v>
      </c>
      <c r="BT197" s="1588" t="str">
        <f t="shared" si="459"/>
        <v>X</v>
      </c>
      <c r="BU197" s="1585" t="str">
        <f t="shared" si="459"/>
        <v>X</v>
      </c>
      <c r="BV197" s="1586" t="str">
        <f t="shared" si="459"/>
        <v>X</v>
      </c>
      <c r="BW197" s="1586" t="str">
        <f t="shared" si="459"/>
        <v>X</v>
      </c>
      <c r="BX197" s="1586" t="str">
        <f t="shared" si="459"/>
        <v>X</v>
      </c>
      <c r="BY197" s="1588" t="str">
        <f t="shared" si="459"/>
        <v>X</v>
      </c>
      <c r="BZ197" s="1611">
        <f t="shared" si="466"/>
        <v>1</v>
      </c>
      <c r="CA197" s="1612">
        <f t="shared" si="466"/>
        <v>0.99999999999999989</v>
      </c>
      <c r="CB197" s="1612">
        <f t="shared" si="466"/>
        <v>1</v>
      </c>
      <c r="CC197" s="1612">
        <f t="shared" si="466"/>
        <v>1</v>
      </c>
      <c r="CD197" s="1613">
        <f t="shared" si="466"/>
        <v>1</v>
      </c>
    </row>
    <row r="198" spans="10:82" ht="11.25" customHeight="1" x14ac:dyDescent="0.2">
      <c r="J198" s="88"/>
      <c r="O198" s="74"/>
      <c r="W198" s="80"/>
      <c r="X198" s="80"/>
      <c r="Y198" s="81"/>
      <c r="Z198" s="81"/>
      <c r="AA198" s="81"/>
      <c r="AB198" s="898" t="e">
        <f t="shared" ref="AB198:AB200" si="468">IF(ISERROR(AB225/$BZ225),NA(),AB225/$BZ225)</f>
        <v>#N/A</v>
      </c>
      <c r="AC198" s="899" t="e">
        <f t="shared" ref="AC198:AC200" si="469">IF(ISERROR(AC225/$CA225),NA(),AC225/$CA225)</f>
        <v>#N/A</v>
      </c>
      <c r="AD198" s="899" t="e">
        <f t="shared" ref="AD198:AD200" si="470">IF(ISERROR(AD225/$CB225),NA(),AD225/$CB225)</f>
        <v>#N/A</v>
      </c>
      <c r="AE198" s="899" t="e">
        <f t="shared" ref="AE198:AE200" si="471">IF(ISERROR(AE225/$CC225),NA(),AE225/$CC225)</f>
        <v>#N/A</v>
      </c>
      <c r="AF198" s="900" t="e">
        <f t="shared" ref="AF198:AF200" si="472">IF(ISERROR(AF225/$CD225),NA(),AF225/$CD225)</f>
        <v>#N/A</v>
      </c>
      <c r="AG198" s="898" t="e">
        <f t="shared" ref="AG198" si="473">IF(ISERROR(AG225/$BZ225),NA(),AG225/$BZ225)</f>
        <v>#N/A</v>
      </c>
      <c r="AH198" s="899" t="e">
        <f t="shared" ref="AH198" si="474">IF(ISERROR(AH225/$CA225),NA(),AH225/$CA225)</f>
        <v>#N/A</v>
      </c>
      <c r="AI198" s="899" t="e">
        <f t="shared" ref="AI198" si="475">IF(ISERROR(AI225/$CB225),NA(),AI225/$CB225)</f>
        <v>#N/A</v>
      </c>
      <c r="AJ198" s="899" t="e">
        <f t="shared" ref="AJ198" si="476">IF(ISERROR(AJ225/$CC225),NA(),AJ225/$CC225)</f>
        <v>#N/A</v>
      </c>
      <c r="AK198" s="900" t="e">
        <f t="shared" ref="AK198" si="477">IF(ISERROR(AK225/$CD225),NA(),AK225/$CD225)</f>
        <v>#N/A</v>
      </c>
      <c r="AL198" s="898" t="e">
        <f t="shared" ref="AL198" si="478">IF(ISERROR(AL225/$BZ225),NA(),AL225/$BZ225)</f>
        <v>#N/A</v>
      </c>
      <c r="AM198" s="899" t="e">
        <f t="shared" ref="AM198" si="479">IF(ISERROR(AM225/$CA225),NA(),AM225/$CA225)</f>
        <v>#N/A</v>
      </c>
      <c r="AN198" s="899" t="e">
        <f t="shared" ref="AN198" si="480">IF(ISERROR(AN225/$CB225),NA(),AN225/$CB225)</f>
        <v>#N/A</v>
      </c>
      <c r="AO198" s="899" t="e">
        <f t="shared" ref="AO198" si="481">IF(ISERROR(AO225/$CC225),NA(),AO225/$CC225)</f>
        <v>#N/A</v>
      </c>
      <c r="AP198" s="900" t="e">
        <f t="shared" ref="AP198" si="482">IF(ISERROR(AP225/$CD225),NA(),AP225/$CD225)</f>
        <v>#N/A</v>
      </c>
      <c r="AQ198" s="898" t="e">
        <f t="shared" ref="AQ198" si="483">IF(ISERROR(AQ225/$BZ225),NA(),AQ225/$BZ225)</f>
        <v>#N/A</v>
      </c>
      <c r="AR198" s="899" t="e">
        <f t="shared" ref="AR198" si="484">IF(ISERROR(AR225/$CA225),NA(),AR225/$CA225)</f>
        <v>#N/A</v>
      </c>
      <c r="AS198" s="899" t="e">
        <f t="shared" ref="AS198" si="485">IF(ISERROR(AS225/$CB225),NA(),AS225/$CB225)</f>
        <v>#N/A</v>
      </c>
      <c r="AT198" s="899" t="e">
        <f t="shared" ref="AT198" si="486">IF(ISERROR(AT225/$CC225),NA(),AT225/$CC225)</f>
        <v>#N/A</v>
      </c>
      <c r="AU198" s="900" t="e">
        <f t="shared" ref="AU198" si="487">IF(ISERROR(AU225/$CD225),NA(),AU225/$CD225)</f>
        <v>#N/A</v>
      </c>
      <c r="AV198" s="898" t="e">
        <f t="shared" ref="AV198" si="488">IF(ISERROR(AV225/$BZ225),NA(),AV225/$BZ225)</f>
        <v>#N/A</v>
      </c>
      <c r="AW198" s="899" t="e">
        <f t="shared" ref="AW198" si="489">IF(ISERROR(AW225/$CA225),NA(),AW225/$CA225)</f>
        <v>#N/A</v>
      </c>
      <c r="AX198" s="899" t="e">
        <f t="shared" ref="AX198" si="490">IF(ISERROR(AX225/$CB225),NA(),AX225/$CB225)</f>
        <v>#N/A</v>
      </c>
      <c r="AY198" s="899" t="e">
        <f t="shared" ref="AY198" si="491">IF(ISERROR(AY225/$CC225),NA(),AY225/$CC225)</f>
        <v>#N/A</v>
      </c>
      <c r="AZ198" s="900" t="e">
        <f t="shared" ref="AZ198" si="492">IF(ISERROR(AZ225/$CD225),NA(),AZ225/$CD225)</f>
        <v>#N/A</v>
      </c>
      <c r="BA198" s="898" t="e">
        <f t="shared" ref="BA198" si="493">IF(ISERROR(BA225/$BZ225),NA(),BA225/$BZ225)</f>
        <v>#N/A</v>
      </c>
      <c r="BB198" s="899" t="e">
        <f t="shared" ref="BB198" si="494">IF(ISERROR(BB225/$CA225),NA(),BB225/$CA225)</f>
        <v>#N/A</v>
      </c>
      <c r="BC198" s="899" t="e">
        <f t="shared" ref="BC198" si="495">IF(ISERROR(BC225/$CB225),NA(),BC225/$CB225)</f>
        <v>#N/A</v>
      </c>
      <c r="BD198" s="899" t="e">
        <f t="shared" ref="BD198" si="496">IF(ISERROR(BD225/$CC225),NA(),BD225/$CC225)</f>
        <v>#N/A</v>
      </c>
      <c r="BE198" s="900" t="e">
        <f t="shared" ref="BE198" si="497">IF(ISERROR(BE225/$CD225),NA(),BE225/$CD225)</f>
        <v>#N/A</v>
      </c>
      <c r="BF198" s="898" t="e">
        <f t="shared" ref="BF198" si="498">IF(ISERROR(BF225/$BZ225),NA(),BF225/$BZ225)</f>
        <v>#N/A</v>
      </c>
      <c r="BG198" s="899" t="e">
        <f t="shared" ref="BG198" si="499">IF(ISERROR(BG225/$CA225),NA(),BG225/$CA225)</f>
        <v>#N/A</v>
      </c>
      <c r="BH198" s="899" t="e">
        <f t="shared" ref="BH198" si="500">IF(ISERROR(BH225/$CB225),NA(),BH225/$CB225)</f>
        <v>#N/A</v>
      </c>
      <c r="BI198" s="899" t="e">
        <f t="shared" ref="BI198" si="501">IF(ISERROR(BI225/$CC225),NA(),BI225/$CC225)</f>
        <v>#N/A</v>
      </c>
      <c r="BJ198" s="900" t="e">
        <f t="shared" ref="BJ198" si="502">IF(ISERROR(BJ225/$CD225),NA(),BJ225/$CD225)</f>
        <v>#N/A</v>
      </c>
      <c r="BK198" s="898" t="e">
        <f t="shared" ref="BK198" si="503">IF(ISERROR(BK225/$BZ225),NA(),BK225/$BZ225)</f>
        <v>#N/A</v>
      </c>
      <c r="BL198" s="899" t="e">
        <f t="shared" ref="BL198" si="504">IF(ISERROR(BL225/$CA225),NA(),BL225/$CA225)</f>
        <v>#N/A</v>
      </c>
      <c r="BM198" s="899" t="e">
        <f t="shared" ref="BM198" si="505">IF(ISERROR(BM225/$CB225),NA(),BM225/$CB225)</f>
        <v>#N/A</v>
      </c>
      <c r="BN198" s="899" t="e">
        <f t="shared" ref="BN198" si="506">IF(ISERROR(BN225/$CC225),NA(),BN225/$CC225)</f>
        <v>#N/A</v>
      </c>
      <c r="BO198" s="900" t="e">
        <f t="shared" ref="BO198" si="507">IF(ISERROR(BO225/$CD225),NA(),BO225/$CD225)</f>
        <v>#N/A</v>
      </c>
      <c r="BP198" s="898" t="e">
        <f t="shared" ref="BP198" si="508">IF(ISERROR(BP225/$BZ225),NA(),BP225/$BZ225)</f>
        <v>#N/A</v>
      </c>
      <c r="BQ198" s="899" t="e">
        <f t="shared" ref="BQ198" si="509">IF(ISERROR(BQ225/$CA225),NA(),BQ225/$CA225)</f>
        <v>#N/A</v>
      </c>
      <c r="BR198" s="899" t="e">
        <f t="shared" ref="BR198" si="510">IF(ISERROR(BR225/$CB225),NA(),BR225/$CB225)</f>
        <v>#N/A</v>
      </c>
      <c r="BS198" s="899" t="e">
        <f t="shared" ref="BS198" si="511">IF(ISERROR(BS225/$CC225),NA(),BS225/$CC225)</f>
        <v>#N/A</v>
      </c>
      <c r="BT198" s="900" t="e">
        <f t="shared" ref="BT198" si="512">IF(ISERROR(BT225/$CD225),NA(),BT225/$CD225)</f>
        <v>#N/A</v>
      </c>
      <c r="BU198" s="898" t="e">
        <f t="shared" ref="BU198" si="513">IF(ISERROR(BU225/$BZ225),NA(),BU225/$BZ225)</f>
        <v>#N/A</v>
      </c>
      <c r="BV198" s="899" t="e">
        <f t="shared" ref="BV198" si="514">IF(ISERROR(BV225/$CA225),NA(),BV225/$CA225)</f>
        <v>#N/A</v>
      </c>
      <c r="BW198" s="899" t="e">
        <f t="shared" ref="BW198" si="515">IF(ISERROR(BW225/$CB225),NA(),BW225/$CB225)</f>
        <v>#N/A</v>
      </c>
      <c r="BX198" s="899" t="e">
        <f t="shared" ref="BX198" si="516">IF(ISERROR(BX225/$CC225),NA(),BX225/$CC225)</f>
        <v>#N/A</v>
      </c>
      <c r="BY198" s="900" t="e">
        <f t="shared" ref="BY198" si="517">IF(ISERROR(BY225/$CD225),NA(),BY225/$CD225)</f>
        <v>#N/A</v>
      </c>
    </row>
    <row r="199" spans="10:82" ht="11.25" customHeight="1" x14ac:dyDescent="0.2">
      <c r="J199" s="88"/>
      <c r="O199" s="74"/>
      <c r="W199" s="80"/>
      <c r="X199" s="80"/>
      <c r="Y199" s="81"/>
      <c r="Z199" s="81"/>
      <c r="AA199" s="81"/>
      <c r="AB199" s="898" t="e">
        <f t="shared" si="468"/>
        <v>#N/A</v>
      </c>
      <c r="AC199" s="899" t="e">
        <f t="shared" si="469"/>
        <v>#N/A</v>
      </c>
      <c r="AD199" s="899" t="e">
        <f t="shared" si="470"/>
        <v>#N/A</v>
      </c>
      <c r="AE199" s="899" t="e">
        <f t="shared" si="471"/>
        <v>#N/A</v>
      </c>
      <c r="AF199" s="900" t="e">
        <f t="shared" si="472"/>
        <v>#N/A</v>
      </c>
      <c r="AG199" s="898" t="e">
        <f t="shared" ref="AG199" si="518">IF(ISERROR(AG226/$BZ226),NA(),AG226/$BZ226)</f>
        <v>#N/A</v>
      </c>
      <c r="AH199" s="899" t="e">
        <f t="shared" ref="AH199" si="519">IF(ISERROR(AH226/$CA226),NA(),AH226/$CA226)</f>
        <v>#N/A</v>
      </c>
      <c r="AI199" s="899" t="e">
        <f t="shared" ref="AI199" si="520">IF(ISERROR(AI226/$CB226),NA(),AI226/$CB226)</f>
        <v>#N/A</v>
      </c>
      <c r="AJ199" s="899" t="e">
        <f t="shared" ref="AJ199" si="521">IF(ISERROR(AJ226/$CC226),NA(),AJ226/$CC226)</f>
        <v>#N/A</v>
      </c>
      <c r="AK199" s="900" t="e">
        <f t="shared" ref="AK199" si="522">IF(ISERROR(AK226/$CD226),NA(),AK226/$CD226)</f>
        <v>#N/A</v>
      </c>
      <c r="AL199" s="898" t="e">
        <f t="shared" ref="AL199" si="523">IF(ISERROR(AL226/$BZ226),NA(),AL226/$BZ226)</f>
        <v>#N/A</v>
      </c>
      <c r="AM199" s="899" t="e">
        <f t="shared" ref="AM199" si="524">IF(ISERROR(AM226/$CA226),NA(),AM226/$CA226)</f>
        <v>#N/A</v>
      </c>
      <c r="AN199" s="899" t="e">
        <f t="shared" ref="AN199" si="525">IF(ISERROR(AN226/$CB226),NA(),AN226/$CB226)</f>
        <v>#N/A</v>
      </c>
      <c r="AO199" s="899" t="e">
        <f t="shared" ref="AO199" si="526">IF(ISERROR(AO226/$CC226),NA(),AO226/$CC226)</f>
        <v>#N/A</v>
      </c>
      <c r="AP199" s="900" t="e">
        <f t="shared" ref="AP199" si="527">IF(ISERROR(AP226/$CD226),NA(),AP226/$CD226)</f>
        <v>#N/A</v>
      </c>
      <c r="AQ199" s="898" t="e">
        <f t="shared" ref="AQ199" si="528">IF(ISERROR(AQ226/$BZ226),NA(),AQ226/$BZ226)</f>
        <v>#N/A</v>
      </c>
      <c r="AR199" s="899" t="e">
        <f t="shared" ref="AR199" si="529">IF(ISERROR(AR226/$CA226),NA(),AR226/$CA226)</f>
        <v>#N/A</v>
      </c>
      <c r="AS199" s="899" t="e">
        <f t="shared" ref="AS199" si="530">IF(ISERROR(AS226/$CB226),NA(),AS226/$CB226)</f>
        <v>#N/A</v>
      </c>
      <c r="AT199" s="899" t="e">
        <f t="shared" ref="AT199" si="531">IF(ISERROR(AT226/$CC226),NA(),AT226/$CC226)</f>
        <v>#N/A</v>
      </c>
      <c r="AU199" s="900" t="e">
        <f t="shared" ref="AU199" si="532">IF(ISERROR(AU226/$CD226),NA(),AU226/$CD226)</f>
        <v>#N/A</v>
      </c>
      <c r="AV199" s="898" t="e">
        <f t="shared" ref="AV199" si="533">IF(ISERROR(AV226/$BZ226),NA(),AV226/$BZ226)</f>
        <v>#N/A</v>
      </c>
      <c r="AW199" s="899" t="e">
        <f t="shared" ref="AW199" si="534">IF(ISERROR(AW226/$CA226),NA(),AW226/$CA226)</f>
        <v>#N/A</v>
      </c>
      <c r="AX199" s="899" t="e">
        <f t="shared" ref="AX199" si="535">IF(ISERROR(AX226/$CB226),NA(),AX226/$CB226)</f>
        <v>#N/A</v>
      </c>
      <c r="AY199" s="899" t="e">
        <f t="shared" ref="AY199" si="536">IF(ISERROR(AY226/$CC226),NA(),AY226/$CC226)</f>
        <v>#N/A</v>
      </c>
      <c r="AZ199" s="900" t="e">
        <f t="shared" ref="AZ199" si="537">IF(ISERROR(AZ226/$CD226),NA(),AZ226/$CD226)</f>
        <v>#N/A</v>
      </c>
      <c r="BA199" s="898" t="e">
        <f t="shared" ref="BA199" si="538">IF(ISERROR(BA226/$BZ226),NA(),BA226/$BZ226)</f>
        <v>#N/A</v>
      </c>
      <c r="BB199" s="899" t="e">
        <f t="shared" ref="BB199" si="539">IF(ISERROR(BB226/$CA226),NA(),BB226/$CA226)</f>
        <v>#N/A</v>
      </c>
      <c r="BC199" s="899" t="e">
        <f t="shared" ref="BC199" si="540">IF(ISERROR(BC226/$CB226),NA(),BC226/$CB226)</f>
        <v>#N/A</v>
      </c>
      <c r="BD199" s="899" t="e">
        <f t="shared" ref="BD199" si="541">IF(ISERROR(BD226/$CC226),NA(),BD226/$CC226)</f>
        <v>#N/A</v>
      </c>
      <c r="BE199" s="900" t="e">
        <f t="shared" ref="BE199" si="542">IF(ISERROR(BE226/$CD226),NA(),BE226/$CD226)</f>
        <v>#N/A</v>
      </c>
      <c r="BF199" s="898" t="e">
        <f t="shared" ref="BF199" si="543">IF(ISERROR(BF226/$BZ226),NA(),BF226/$BZ226)</f>
        <v>#N/A</v>
      </c>
      <c r="BG199" s="899" t="e">
        <f t="shared" ref="BG199" si="544">IF(ISERROR(BG226/$CA226),NA(),BG226/$CA226)</f>
        <v>#N/A</v>
      </c>
      <c r="BH199" s="899" t="e">
        <f t="shared" ref="BH199" si="545">IF(ISERROR(BH226/$CB226),NA(),BH226/$CB226)</f>
        <v>#N/A</v>
      </c>
      <c r="BI199" s="899" t="e">
        <f t="shared" ref="BI199" si="546">IF(ISERROR(BI226/$CC226),NA(),BI226/$CC226)</f>
        <v>#N/A</v>
      </c>
      <c r="BJ199" s="900" t="e">
        <f t="shared" ref="BJ199" si="547">IF(ISERROR(BJ226/$CD226),NA(),BJ226/$CD226)</f>
        <v>#N/A</v>
      </c>
      <c r="BK199" s="898" t="e">
        <f t="shared" ref="BK199" si="548">IF(ISERROR(BK226/$BZ226),NA(),BK226/$BZ226)</f>
        <v>#N/A</v>
      </c>
      <c r="BL199" s="899" t="e">
        <f t="shared" ref="BL199" si="549">IF(ISERROR(BL226/$CA226),NA(),BL226/$CA226)</f>
        <v>#N/A</v>
      </c>
      <c r="BM199" s="899" t="e">
        <f t="shared" ref="BM199" si="550">IF(ISERROR(BM226/$CB226),NA(),BM226/$CB226)</f>
        <v>#N/A</v>
      </c>
      <c r="BN199" s="899" t="e">
        <f t="shared" ref="BN199" si="551">IF(ISERROR(BN226/$CC226),NA(),BN226/$CC226)</f>
        <v>#N/A</v>
      </c>
      <c r="BO199" s="900" t="e">
        <f t="shared" ref="BO199" si="552">IF(ISERROR(BO226/$CD226),NA(),BO226/$CD226)</f>
        <v>#N/A</v>
      </c>
      <c r="BP199" s="898" t="e">
        <f t="shared" ref="BP199" si="553">IF(ISERROR(BP226/$BZ226),NA(),BP226/$BZ226)</f>
        <v>#N/A</v>
      </c>
      <c r="BQ199" s="899" t="e">
        <f t="shared" ref="BQ199" si="554">IF(ISERROR(BQ226/$CA226),NA(),BQ226/$CA226)</f>
        <v>#N/A</v>
      </c>
      <c r="BR199" s="899" t="e">
        <f t="shared" ref="BR199" si="555">IF(ISERROR(BR226/$CB226),NA(),BR226/$CB226)</f>
        <v>#N/A</v>
      </c>
      <c r="BS199" s="899" t="e">
        <f t="shared" ref="BS199" si="556">IF(ISERROR(BS226/$CC226),NA(),BS226/$CC226)</f>
        <v>#N/A</v>
      </c>
      <c r="BT199" s="900" t="e">
        <f t="shared" ref="BT199" si="557">IF(ISERROR(BT226/$CD226),NA(),BT226/$CD226)</f>
        <v>#N/A</v>
      </c>
      <c r="BU199" s="898" t="e">
        <f t="shared" ref="BU199" si="558">IF(ISERROR(BU226/$BZ226),NA(),BU226/$BZ226)</f>
        <v>#N/A</v>
      </c>
      <c r="BV199" s="899" t="e">
        <f t="shared" ref="BV199" si="559">IF(ISERROR(BV226/$CA226),NA(),BV226/$CA226)</f>
        <v>#N/A</v>
      </c>
      <c r="BW199" s="899" t="e">
        <f t="shared" ref="BW199" si="560">IF(ISERROR(BW226/$CB226),NA(),BW226/$CB226)</f>
        <v>#N/A</v>
      </c>
      <c r="BX199" s="899" t="e">
        <f t="shared" ref="BX199" si="561">IF(ISERROR(BX226/$CC226),NA(),BX226/$CC226)</f>
        <v>#N/A</v>
      </c>
      <c r="BY199" s="900" t="e">
        <f t="shared" ref="BY199" si="562">IF(ISERROR(BY226/$CD226),NA(),BY226/$CD226)</f>
        <v>#N/A</v>
      </c>
    </row>
    <row r="200" spans="10:82" ht="11.25" customHeight="1" x14ac:dyDescent="0.2">
      <c r="J200" s="88"/>
      <c r="O200" s="74"/>
      <c r="W200" s="80"/>
      <c r="X200" s="80"/>
      <c r="Y200" s="81"/>
      <c r="Z200" s="81"/>
      <c r="AA200" s="81"/>
      <c r="AB200" s="898" t="e">
        <f t="shared" si="468"/>
        <v>#N/A</v>
      </c>
      <c r="AC200" s="899" t="e">
        <f t="shared" si="469"/>
        <v>#N/A</v>
      </c>
      <c r="AD200" s="899" t="e">
        <f t="shared" si="470"/>
        <v>#N/A</v>
      </c>
      <c r="AE200" s="899" t="e">
        <f t="shared" si="471"/>
        <v>#N/A</v>
      </c>
      <c r="AF200" s="900" t="e">
        <f t="shared" si="472"/>
        <v>#N/A</v>
      </c>
      <c r="AG200" s="898" t="e">
        <f t="shared" ref="AG200" si="563">IF(ISERROR(AG227/$BZ227),NA(),AG227/$BZ227)</f>
        <v>#N/A</v>
      </c>
      <c r="AH200" s="899" t="e">
        <f t="shared" ref="AH200" si="564">IF(ISERROR(AH227/$CA227),NA(),AH227/$CA227)</f>
        <v>#N/A</v>
      </c>
      <c r="AI200" s="899" t="e">
        <f t="shared" ref="AI200" si="565">IF(ISERROR(AI227/$CB227),NA(),AI227/$CB227)</f>
        <v>#N/A</v>
      </c>
      <c r="AJ200" s="899" t="e">
        <f t="shared" ref="AJ200" si="566">IF(ISERROR(AJ227/$CC227),NA(),AJ227/$CC227)</f>
        <v>#N/A</v>
      </c>
      <c r="AK200" s="900" t="e">
        <f t="shared" ref="AK200" si="567">IF(ISERROR(AK227/$CD227),NA(),AK227/$CD227)</f>
        <v>#N/A</v>
      </c>
      <c r="AL200" s="898" t="e">
        <f t="shared" ref="AL200" si="568">IF(ISERROR(AL227/$BZ227),NA(),AL227/$BZ227)</f>
        <v>#N/A</v>
      </c>
      <c r="AM200" s="899" t="e">
        <f t="shared" ref="AM200" si="569">IF(ISERROR(AM227/$CA227),NA(),AM227/$CA227)</f>
        <v>#N/A</v>
      </c>
      <c r="AN200" s="899" t="e">
        <f t="shared" ref="AN200" si="570">IF(ISERROR(AN227/$CB227),NA(),AN227/$CB227)</f>
        <v>#N/A</v>
      </c>
      <c r="AO200" s="899" t="e">
        <f t="shared" ref="AO200" si="571">IF(ISERROR(AO227/$CC227),NA(),AO227/$CC227)</f>
        <v>#N/A</v>
      </c>
      <c r="AP200" s="900" t="e">
        <f t="shared" ref="AP200" si="572">IF(ISERROR(AP227/$CD227),NA(),AP227/$CD227)</f>
        <v>#N/A</v>
      </c>
      <c r="AQ200" s="898" t="e">
        <f t="shared" ref="AQ200" si="573">IF(ISERROR(AQ227/$BZ227),NA(),AQ227/$BZ227)</f>
        <v>#N/A</v>
      </c>
      <c r="AR200" s="899" t="e">
        <f t="shared" ref="AR200" si="574">IF(ISERROR(AR227/$CA227),NA(),AR227/$CA227)</f>
        <v>#N/A</v>
      </c>
      <c r="AS200" s="899" t="e">
        <f t="shared" ref="AS200" si="575">IF(ISERROR(AS227/$CB227),NA(),AS227/$CB227)</f>
        <v>#N/A</v>
      </c>
      <c r="AT200" s="899" t="e">
        <f t="shared" ref="AT200" si="576">IF(ISERROR(AT227/$CC227),NA(),AT227/$CC227)</f>
        <v>#N/A</v>
      </c>
      <c r="AU200" s="900" t="e">
        <f t="shared" ref="AU200" si="577">IF(ISERROR(AU227/$CD227),NA(),AU227/$CD227)</f>
        <v>#N/A</v>
      </c>
      <c r="AV200" s="898" t="e">
        <f t="shared" ref="AV200" si="578">IF(ISERROR(AV227/$BZ227),NA(),AV227/$BZ227)</f>
        <v>#N/A</v>
      </c>
      <c r="AW200" s="899" t="e">
        <f t="shared" ref="AW200" si="579">IF(ISERROR(AW227/$CA227),NA(),AW227/$CA227)</f>
        <v>#N/A</v>
      </c>
      <c r="AX200" s="899" t="e">
        <f t="shared" ref="AX200" si="580">IF(ISERROR(AX227/$CB227),NA(),AX227/$CB227)</f>
        <v>#N/A</v>
      </c>
      <c r="AY200" s="899" t="e">
        <f t="shared" ref="AY200" si="581">IF(ISERROR(AY227/$CC227),NA(),AY227/$CC227)</f>
        <v>#N/A</v>
      </c>
      <c r="AZ200" s="900" t="e">
        <f t="shared" ref="AZ200" si="582">IF(ISERROR(AZ227/$CD227),NA(),AZ227/$CD227)</f>
        <v>#N/A</v>
      </c>
      <c r="BA200" s="898" t="e">
        <f t="shared" ref="BA200" si="583">IF(ISERROR(BA227/$BZ227),NA(),BA227/$BZ227)</f>
        <v>#N/A</v>
      </c>
      <c r="BB200" s="899" t="e">
        <f t="shared" ref="BB200" si="584">IF(ISERROR(BB227/$CA227),NA(),BB227/$CA227)</f>
        <v>#N/A</v>
      </c>
      <c r="BC200" s="899" t="e">
        <f t="shared" ref="BC200" si="585">IF(ISERROR(BC227/$CB227),NA(),BC227/$CB227)</f>
        <v>#N/A</v>
      </c>
      <c r="BD200" s="899" t="e">
        <f t="shared" ref="BD200" si="586">IF(ISERROR(BD227/$CC227),NA(),BD227/$CC227)</f>
        <v>#N/A</v>
      </c>
      <c r="BE200" s="900" t="e">
        <f t="shared" ref="BE200" si="587">IF(ISERROR(BE227/$CD227),NA(),BE227/$CD227)</f>
        <v>#N/A</v>
      </c>
      <c r="BF200" s="898" t="e">
        <f t="shared" ref="BF200" si="588">IF(ISERROR(BF227/$BZ227),NA(),BF227/$BZ227)</f>
        <v>#N/A</v>
      </c>
      <c r="BG200" s="899" t="e">
        <f t="shared" ref="BG200" si="589">IF(ISERROR(BG227/$CA227),NA(),BG227/$CA227)</f>
        <v>#N/A</v>
      </c>
      <c r="BH200" s="899" t="e">
        <f t="shared" ref="BH200" si="590">IF(ISERROR(BH227/$CB227),NA(),BH227/$CB227)</f>
        <v>#N/A</v>
      </c>
      <c r="BI200" s="899" t="e">
        <f t="shared" ref="BI200" si="591">IF(ISERROR(BI227/$CC227),NA(),BI227/$CC227)</f>
        <v>#N/A</v>
      </c>
      <c r="BJ200" s="900" t="e">
        <f t="shared" ref="BJ200" si="592">IF(ISERROR(BJ227/$CD227),NA(),BJ227/$CD227)</f>
        <v>#N/A</v>
      </c>
      <c r="BK200" s="898" t="e">
        <f t="shared" ref="BK200" si="593">IF(ISERROR(BK227/$BZ227),NA(),BK227/$BZ227)</f>
        <v>#N/A</v>
      </c>
      <c r="BL200" s="899" t="e">
        <f t="shared" ref="BL200" si="594">IF(ISERROR(BL227/$CA227),NA(),BL227/$CA227)</f>
        <v>#N/A</v>
      </c>
      <c r="BM200" s="899" t="e">
        <f t="shared" ref="BM200" si="595">IF(ISERROR(BM227/$CB227),NA(),BM227/$CB227)</f>
        <v>#N/A</v>
      </c>
      <c r="BN200" s="899" t="e">
        <f t="shared" ref="BN200" si="596">IF(ISERROR(BN227/$CC227),NA(),BN227/$CC227)</f>
        <v>#N/A</v>
      </c>
      <c r="BO200" s="900" t="e">
        <f t="shared" ref="BO200" si="597">IF(ISERROR(BO227/$CD227),NA(),BO227/$CD227)</f>
        <v>#N/A</v>
      </c>
      <c r="BP200" s="898" t="e">
        <f t="shared" ref="BP200" si="598">IF(ISERROR(BP227/$BZ227),NA(),BP227/$BZ227)</f>
        <v>#N/A</v>
      </c>
      <c r="BQ200" s="899" t="e">
        <f t="shared" ref="BQ200" si="599">IF(ISERROR(BQ227/$CA227),NA(),BQ227/$CA227)</f>
        <v>#N/A</v>
      </c>
      <c r="BR200" s="899" t="e">
        <f t="shared" ref="BR200" si="600">IF(ISERROR(BR227/$CB227),NA(),BR227/$CB227)</f>
        <v>#N/A</v>
      </c>
      <c r="BS200" s="899" t="e">
        <f t="shared" ref="BS200" si="601">IF(ISERROR(BS227/$CC227),NA(),BS227/$CC227)</f>
        <v>#N/A</v>
      </c>
      <c r="BT200" s="900" t="e">
        <f t="shared" ref="BT200" si="602">IF(ISERROR(BT227/$CD227),NA(),BT227/$CD227)</f>
        <v>#N/A</v>
      </c>
      <c r="BU200" s="898" t="e">
        <f t="shared" ref="BU200" si="603">IF(ISERROR(BU227/$BZ227),NA(),BU227/$BZ227)</f>
        <v>#N/A</v>
      </c>
      <c r="BV200" s="899" t="e">
        <f t="shared" ref="BV200" si="604">IF(ISERROR(BV227/$CA227),NA(),BV227/$CA227)</f>
        <v>#N/A</v>
      </c>
      <c r="BW200" s="899" t="e">
        <f t="shared" ref="BW200" si="605">IF(ISERROR(BW227/$CB227),NA(),BW227/$CB227)</f>
        <v>#N/A</v>
      </c>
      <c r="BX200" s="899" t="e">
        <f t="shared" ref="BX200" si="606">IF(ISERROR(BX227/$CC227),NA(),BX227/$CC227)</f>
        <v>#N/A</v>
      </c>
      <c r="BY200" s="900" t="e">
        <f t="shared" ref="BY200" si="607">IF(ISERROR(BY227/$CD227),NA(),BY227/$CD227)</f>
        <v>#N/A</v>
      </c>
    </row>
    <row r="201" spans="10:82" ht="11.25" customHeight="1" x14ac:dyDescent="0.2">
      <c r="J201" s="88"/>
      <c r="O201" s="74"/>
      <c r="W201" s="80"/>
      <c r="X201" s="80"/>
      <c r="Y201" s="81"/>
      <c r="Z201" s="81"/>
      <c r="AA201" s="81"/>
      <c r="AM201" s="81"/>
      <c r="AN201" s="81"/>
      <c r="AO201" s="81"/>
      <c r="AR201" s="184"/>
    </row>
    <row r="202" spans="10:82" ht="11.25" customHeight="1" x14ac:dyDescent="0.2">
      <c r="J202" s="88"/>
      <c r="O202" s="74"/>
      <c r="W202" s="80"/>
      <c r="X202" s="80"/>
      <c r="Y202" s="81"/>
      <c r="Z202" s="81"/>
      <c r="AA202" s="81"/>
      <c r="AM202" s="81"/>
      <c r="AN202" s="81"/>
      <c r="AO202" s="81"/>
      <c r="AR202" s="184"/>
    </row>
    <row r="203" spans="10:82" ht="11.25" customHeight="1" x14ac:dyDescent="0.2">
      <c r="J203" s="88"/>
      <c r="O203" s="74"/>
      <c r="W203" s="80"/>
      <c r="X203" s="80"/>
      <c r="Y203" s="81"/>
      <c r="Z203" s="81"/>
      <c r="AA203" s="81"/>
      <c r="AM203" s="81"/>
      <c r="AN203" s="81"/>
      <c r="AO203" s="81"/>
      <c r="AR203" s="184"/>
    </row>
    <row r="204" spans="10:82" ht="11.25" customHeight="1" x14ac:dyDescent="0.2">
      <c r="J204" s="88"/>
      <c r="O204" s="74"/>
      <c r="W204" s="80"/>
      <c r="X204" s="80"/>
      <c r="Y204" s="81"/>
      <c r="Z204" s="81"/>
      <c r="AA204" s="81"/>
      <c r="AM204" s="81"/>
      <c r="AN204" s="81"/>
      <c r="AO204" s="81"/>
      <c r="AR204" s="184"/>
    </row>
    <row r="205" spans="10:82" ht="11.25" customHeight="1" x14ac:dyDescent="0.2">
      <c r="J205" s="88"/>
      <c r="O205" s="74"/>
      <c r="W205" s="80"/>
      <c r="X205" s="80"/>
      <c r="Y205" s="81"/>
      <c r="Z205" s="81"/>
      <c r="AA205" s="81"/>
      <c r="AM205" s="81"/>
      <c r="AN205" s="81"/>
      <c r="AO205" s="81"/>
      <c r="AR205" s="184"/>
    </row>
    <row r="206" spans="10:82" ht="11.25" customHeight="1" x14ac:dyDescent="0.2">
      <c r="J206" s="88"/>
      <c r="O206" s="74"/>
      <c r="W206" s="80"/>
      <c r="X206" s="80"/>
      <c r="Y206" s="81"/>
      <c r="Z206" s="81"/>
      <c r="AA206" s="81"/>
      <c r="AM206" s="81"/>
      <c r="AN206" s="81"/>
      <c r="AO206" s="81"/>
      <c r="AR206" s="184"/>
    </row>
    <row r="207" spans="10:82" ht="11.25" customHeight="1" x14ac:dyDescent="0.2">
      <c r="J207" s="88"/>
      <c r="O207" s="74"/>
      <c r="W207" s="80"/>
      <c r="X207" s="80"/>
      <c r="Y207" s="81"/>
      <c r="Z207" s="81"/>
      <c r="AA207" s="81"/>
      <c r="AM207" s="81"/>
      <c r="AN207" s="81"/>
      <c r="AO207" s="81"/>
      <c r="AR207" s="184"/>
    </row>
    <row r="208" spans="10:82" ht="11.25" customHeight="1" x14ac:dyDescent="0.2">
      <c r="J208" s="88"/>
      <c r="O208" s="74"/>
      <c r="W208" s="80"/>
      <c r="X208" s="80"/>
      <c r="Y208" s="81"/>
      <c r="Z208" s="81"/>
      <c r="AA208" s="81"/>
      <c r="AM208" s="81"/>
      <c r="AN208" s="81"/>
      <c r="AO208" s="81"/>
      <c r="AR208" s="184"/>
    </row>
    <row r="209" spans="10:44" ht="11.25" customHeight="1" x14ac:dyDescent="0.2">
      <c r="J209" s="88"/>
      <c r="O209" s="74"/>
      <c r="W209" s="80"/>
      <c r="X209" s="80"/>
      <c r="Y209" s="81"/>
      <c r="Z209" s="81"/>
      <c r="AA209" s="81"/>
      <c r="AM209" s="81"/>
      <c r="AN209" s="81"/>
      <c r="AO209" s="81"/>
      <c r="AR209" s="184"/>
    </row>
    <row r="210" spans="10:44" ht="11.25" customHeight="1" x14ac:dyDescent="0.2">
      <c r="J210" s="88"/>
      <c r="O210" s="74"/>
      <c r="W210" s="80"/>
      <c r="X210" s="80"/>
      <c r="Y210" s="81"/>
      <c r="Z210" s="81"/>
      <c r="AA210" s="81"/>
      <c r="AM210" s="81"/>
      <c r="AN210" s="81"/>
      <c r="AO210" s="81"/>
      <c r="AR210" s="184"/>
    </row>
    <row r="211" spans="10:44" ht="11.25" customHeight="1" x14ac:dyDescent="0.2">
      <c r="J211" s="88"/>
      <c r="O211" s="74"/>
      <c r="W211" s="80"/>
      <c r="X211" s="80"/>
      <c r="Y211" s="81"/>
      <c r="Z211" s="81"/>
      <c r="AA211" s="81"/>
      <c r="AM211" s="81"/>
      <c r="AN211" s="81"/>
      <c r="AO211" s="81"/>
      <c r="AR211" s="184"/>
    </row>
    <row r="212" spans="10:44" ht="11.25" customHeight="1" x14ac:dyDescent="0.2">
      <c r="J212" s="88"/>
      <c r="O212" s="74"/>
      <c r="W212" s="80"/>
      <c r="X212" s="80"/>
      <c r="Y212" s="81"/>
      <c r="Z212" s="81"/>
      <c r="AA212" s="81"/>
      <c r="AM212" s="81"/>
      <c r="AN212" s="81"/>
      <c r="AO212" s="81"/>
      <c r="AR212" s="184"/>
    </row>
    <row r="213" spans="10:44" ht="11.25" customHeight="1" x14ac:dyDescent="0.2">
      <c r="J213" s="88"/>
      <c r="O213" s="74"/>
      <c r="W213" s="80"/>
      <c r="X213" s="80"/>
      <c r="Y213" s="81"/>
      <c r="Z213" s="81"/>
      <c r="AA213" s="81"/>
      <c r="AM213" s="81"/>
      <c r="AN213" s="81"/>
      <c r="AO213" s="81"/>
      <c r="AR213" s="184"/>
    </row>
    <row r="214" spans="10:44" ht="11.25" customHeight="1" x14ac:dyDescent="0.2">
      <c r="J214" s="88"/>
      <c r="O214" s="74"/>
      <c r="W214" s="80"/>
      <c r="X214" s="80"/>
      <c r="Y214" s="81"/>
      <c r="Z214" s="81"/>
      <c r="AA214" s="81"/>
      <c r="AM214" s="81"/>
      <c r="AN214" s="81"/>
      <c r="AO214" s="81"/>
      <c r="AR214" s="184"/>
    </row>
    <row r="215" spans="10:44" ht="11.25" customHeight="1" x14ac:dyDescent="0.2">
      <c r="J215" s="88"/>
      <c r="O215" s="74"/>
      <c r="W215" s="80"/>
      <c r="X215" s="80"/>
      <c r="Y215" s="81"/>
      <c r="Z215" s="81"/>
      <c r="AA215" s="81"/>
      <c r="AM215" s="81"/>
      <c r="AN215" s="81"/>
      <c r="AO215" s="81"/>
      <c r="AR215" s="184"/>
    </row>
  </sheetData>
  <sheetProtection sheet="1" objects="1" scenarios="1"/>
  <mergeCells count="865">
    <mergeCell ref="CO108:CS108"/>
    <mergeCell ref="CT108:CX108"/>
    <mergeCell ref="CY108:DC108"/>
    <mergeCell ref="DD108:DH108"/>
    <mergeCell ref="DI108:DM108"/>
    <mergeCell ref="DN108:DR108"/>
    <mergeCell ref="DS108:DW108"/>
    <mergeCell ref="DX108:EB108"/>
    <mergeCell ref="AB108:AF108"/>
    <mergeCell ref="BA108:BE108"/>
    <mergeCell ref="BF108:BJ108"/>
    <mergeCell ref="BK108:BO108"/>
    <mergeCell ref="BU108:BY108"/>
    <mergeCell ref="BZ108:CD108"/>
    <mergeCell ref="CE108:CI108"/>
    <mergeCell ref="CJ108:CN108"/>
    <mergeCell ref="BP108:BT108"/>
    <mergeCell ref="AV108:AZ108"/>
    <mergeCell ref="AG108:AK108"/>
    <mergeCell ref="AL108:AP108"/>
    <mergeCell ref="AQ108:AU108"/>
    <mergeCell ref="A140:Y140"/>
    <mergeCell ref="AB162:AF162"/>
    <mergeCell ref="AG162:AK162"/>
    <mergeCell ref="V133:W133"/>
    <mergeCell ref="D134:E134"/>
    <mergeCell ref="F134:G134"/>
    <mergeCell ref="H134:I134"/>
    <mergeCell ref="J134:K134"/>
    <mergeCell ref="L134:M134"/>
    <mergeCell ref="N134:O134"/>
    <mergeCell ref="P134:Q134"/>
    <mergeCell ref="R134:S134"/>
    <mergeCell ref="T134:U134"/>
    <mergeCell ref="V134:W134"/>
    <mergeCell ref="D133:E133"/>
    <mergeCell ref="F133:G133"/>
    <mergeCell ref="H133:I133"/>
    <mergeCell ref="J133:K133"/>
    <mergeCell ref="L133:M133"/>
    <mergeCell ref="N133:O133"/>
    <mergeCell ref="P133:Q133"/>
    <mergeCell ref="R133:S133"/>
    <mergeCell ref="T133:U133"/>
    <mergeCell ref="V131:W131"/>
    <mergeCell ref="D132:E132"/>
    <mergeCell ref="F132:G132"/>
    <mergeCell ref="H132:I132"/>
    <mergeCell ref="J132:K132"/>
    <mergeCell ref="L132:M132"/>
    <mergeCell ref="N132:O132"/>
    <mergeCell ref="P132:Q132"/>
    <mergeCell ref="R132:S132"/>
    <mergeCell ref="T132:U132"/>
    <mergeCell ref="V132:W132"/>
    <mergeCell ref="D131:E131"/>
    <mergeCell ref="F131:G131"/>
    <mergeCell ref="H131:I131"/>
    <mergeCell ref="J131:K131"/>
    <mergeCell ref="L131:M131"/>
    <mergeCell ref="N131:O131"/>
    <mergeCell ref="P131:Q131"/>
    <mergeCell ref="R131:S131"/>
    <mergeCell ref="T131:U131"/>
    <mergeCell ref="V129:W129"/>
    <mergeCell ref="D130:E130"/>
    <mergeCell ref="F130:G130"/>
    <mergeCell ref="H130:I130"/>
    <mergeCell ref="J130:K130"/>
    <mergeCell ref="L130:M130"/>
    <mergeCell ref="N130:O130"/>
    <mergeCell ref="P130:Q130"/>
    <mergeCell ref="R130:S130"/>
    <mergeCell ref="T130:U130"/>
    <mergeCell ref="V130:W130"/>
    <mergeCell ref="D129:E129"/>
    <mergeCell ref="F129:G129"/>
    <mergeCell ref="H129:I129"/>
    <mergeCell ref="J129:K129"/>
    <mergeCell ref="L129:M129"/>
    <mergeCell ref="N129:O129"/>
    <mergeCell ref="P129:Q129"/>
    <mergeCell ref="R129:S129"/>
    <mergeCell ref="T129:U129"/>
    <mergeCell ref="V127:W127"/>
    <mergeCell ref="D128:E128"/>
    <mergeCell ref="F128:G128"/>
    <mergeCell ref="H128:I128"/>
    <mergeCell ref="J128:K128"/>
    <mergeCell ref="L128:M128"/>
    <mergeCell ref="N128:O128"/>
    <mergeCell ref="P128:Q128"/>
    <mergeCell ref="R128:S128"/>
    <mergeCell ref="T128:U128"/>
    <mergeCell ref="V128:W128"/>
    <mergeCell ref="D127:E127"/>
    <mergeCell ref="F127:G127"/>
    <mergeCell ref="H127:I127"/>
    <mergeCell ref="J127:K127"/>
    <mergeCell ref="L127:M127"/>
    <mergeCell ref="N127:O127"/>
    <mergeCell ref="P127:Q127"/>
    <mergeCell ref="R127:S127"/>
    <mergeCell ref="T127:U127"/>
    <mergeCell ref="V125:W125"/>
    <mergeCell ref="D126:E126"/>
    <mergeCell ref="F126:G126"/>
    <mergeCell ref="H126:I126"/>
    <mergeCell ref="J126:K126"/>
    <mergeCell ref="L126:M126"/>
    <mergeCell ref="N126:O126"/>
    <mergeCell ref="P126:Q126"/>
    <mergeCell ref="R126:S126"/>
    <mergeCell ref="T126:U126"/>
    <mergeCell ref="V126:W126"/>
    <mergeCell ref="D125:E125"/>
    <mergeCell ref="F125:G125"/>
    <mergeCell ref="H125:I125"/>
    <mergeCell ref="J125:K125"/>
    <mergeCell ref="L125:M125"/>
    <mergeCell ref="N125:O125"/>
    <mergeCell ref="P125:Q125"/>
    <mergeCell ref="R125:S125"/>
    <mergeCell ref="T125:U125"/>
    <mergeCell ref="V123:W123"/>
    <mergeCell ref="D124:E124"/>
    <mergeCell ref="F124:G124"/>
    <mergeCell ref="H124:I124"/>
    <mergeCell ref="J124:K124"/>
    <mergeCell ref="L124:M124"/>
    <mergeCell ref="N124:O124"/>
    <mergeCell ref="P124:Q124"/>
    <mergeCell ref="R124:S124"/>
    <mergeCell ref="T124:U124"/>
    <mergeCell ref="V124:W124"/>
    <mergeCell ref="D123:E123"/>
    <mergeCell ref="F123:G123"/>
    <mergeCell ref="H123:I123"/>
    <mergeCell ref="J123:K123"/>
    <mergeCell ref="L123:M123"/>
    <mergeCell ref="N123:O123"/>
    <mergeCell ref="P123:Q123"/>
    <mergeCell ref="R123:S123"/>
    <mergeCell ref="T123:U123"/>
    <mergeCell ref="V121:W121"/>
    <mergeCell ref="D122:E122"/>
    <mergeCell ref="F122:G122"/>
    <mergeCell ref="H122:I122"/>
    <mergeCell ref="J122:K122"/>
    <mergeCell ref="L122:M122"/>
    <mergeCell ref="N122:O122"/>
    <mergeCell ref="P122:Q122"/>
    <mergeCell ref="R122:S122"/>
    <mergeCell ref="T122:U122"/>
    <mergeCell ref="V122:W122"/>
    <mergeCell ref="D121:E121"/>
    <mergeCell ref="F121:G121"/>
    <mergeCell ref="H121:I121"/>
    <mergeCell ref="J121:K121"/>
    <mergeCell ref="L121:M121"/>
    <mergeCell ref="N121:O121"/>
    <mergeCell ref="P121:Q121"/>
    <mergeCell ref="R121:S121"/>
    <mergeCell ref="T121:U121"/>
    <mergeCell ref="V119:W119"/>
    <mergeCell ref="D120:E120"/>
    <mergeCell ref="F120:G120"/>
    <mergeCell ref="H120:I120"/>
    <mergeCell ref="J120:K120"/>
    <mergeCell ref="L120:M120"/>
    <mergeCell ref="N120:O120"/>
    <mergeCell ref="P120:Q120"/>
    <mergeCell ref="R120:S120"/>
    <mergeCell ref="T120:U120"/>
    <mergeCell ref="V120:W120"/>
    <mergeCell ref="D119:E119"/>
    <mergeCell ref="F119:G119"/>
    <mergeCell ref="H119:I119"/>
    <mergeCell ref="J119:K119"/>
    <mergeCell ref="L119:M119"/>
    <mergeCell ref="N119:O119"/>
    <mergeCell ref="P119:Q119"/>
    <mergeCell ref="R119:S119"/>
    <mergeCell ref="T119:U119"/>
    <mergeCell ref="V117:W117"/>
    <mergeCell ref="D118:E118"/>
    <mergeCell ref="F118:G118"/>
    <mergeCell ref="H118:I118"/>
    <mergeCell ref="J118:K118"/>
    <mergeCell ref="L118:M118"/>
    <mergeCell ref="N118:O118"/>
    <mergeCell ref="P118:Q118"/>
    <mergeCell ref="R118:S118"/>
    <mergeCell ref="T118:U118"/>
    <mergeCell ref="V118:W118"/>
    <mergeCell ref="D117:E117"/>
    <mergeCell ref="F117:G117"/>
    <mergeCell ref="H117:I117"/>
    <mergeCell ref="J117:K117"/>
    <mergeCell ref="L117:M117"/>
    <mergeCell ref="N117:O117"/>
    <mergeCell ref="P117:Q117"/>
    <mergeCell ref="R117:S117"/>
    <mergeCell ref="T117:U117"/>
    <mergeCell ref="V115:W115"/>
    <mergeCell ref="D116:E116"/>
    <mergeCell ref="F116:G116"/>
    <mergeCell ref="H116:I116"/>
    <mergeCell ref="J116:K116"/>
    <mergeCell ref="L116:M116"/>
    <mergeCell ref="N116:O116"/>
    <mergeCell ref="P116:Q116"/>
    <mergeCell ref="R116:S116"/>
    <mergeCell ref="T116:U116"/>
    <mergeCell ref="V116:W116"/>
    <mergeCell ref="D115:E115"/>
    <mergeCell ref="F115:G115"/>
    <mergeCell ref="H115:I115"/>
    <mergeCell ref="J115:K115"/>
    <mergeCell ref="L115:M115"/>
    <mergeCell ref="N115:O115"/>
    <mergeCell ref="P115:Q115"/>
    <mergeCell ref="R115:S115"/>
    <mergeCell ref="T115:U115"/>
    <mergeCell ref="V113:W113"/>
    <mergeCell ref="D114:E114"/>
    <mergeCell ref="F114:G114"/>
    <mergeCell ref="H114:I114"/>
    <mergeCell ref="J114:K114"/>
    <mergeCell ref="L114:M114"/>
    <mergeCell ref="N114:O114"/>
    <mergeCell ref="P114:Q114"/>
    <mergeCell ref="R114:S114"/>
    <mergeCell ref="T114:U114"/>
    <mergeCell ref="V114:W114"/>
    <mergeCell ref="D113:E113"/>
    <mergeCell ref="F113:G113"/>
    <mergeCell ref="H113:I113"/>
    <mergeCell ref="J113:K113"/>
    <mergeCell ref="L113:M113"/>
    <mergeCell ref="N113:O113"/>
    <mergeCell ref="P113:Q113"/>
    <mergeCell ref="R113:S113"/>
    <mergeCell ref="T113:U113"/>
    <mergeCell ref="D99:E99"/>
    <mergeCell ref="V111:W111"/>
    <mergeCell ref="D112:E112"/>
    <mergeCell ref="F112:G112"/>
    <mergeCell ref="H112:I112"/>
    <mergeCell ref="J112:K112"/>
    <mergeCell ref="L112:M112"/>
    <mergeCell ref="N112:O112"/>
    <mergeCell ref="P112:Q112"/>
    <mergeCell ref="R112:S112"/>
    <mergeCell ref="T112:U112"/>
    <mergeCell ref="V112:W112"/>
    <mergeCell ref="D111:E111"/>
    <mergeCell ref="F111:G111"/>
    <mergeCell ref="H111:I111"/>
    <mergeCell ref="J111:K111"/>
    <mergeCell ref="L111:M111"/>
    <mergeCell ref="N111:O111"/>
    <mergeCell ref="P111:Q111"/>
    <mergeCell ref="R111:S111"/>
    <mergeCell ref="T111:U111"/>
    <mergeCell ref="R109:S109"/>
    <mergeCell ref="T109:U109"/>
    <mergeCell ref="V109:W109"/>
    <mergeCell ref="V110:W110"/>
    <mergeCell ref="B109:B110"/>
    <mergeCell ref="D109:E109"/>
    <mergeCell ref="F109:G109"/>
    <mergeCell ref="H109:I109"/>
    <mergeCell ref="J109:K109"/>
    <mergeCell ref="L109:M109"/>
    <mergeCell ref="N109:O109"/>
    <mergeCell ref="P109:Q109"/>
    <mergeCell ref="D110:E110"/>
    <mergeCell ref="F110:G110"/>
    <mergeCell ref="H110:I110"/>
    <mergeCell ref="J110:K110"/>
    <mergeCell ref="L110:M110"/>
    <mergeCell ref="N110:O110"/>
    <mergeCell ref="P110:Q110"/>
    <mergeCell ref="R110:S110"/>
    <mergeCell ref="T110:U110"/>
    <mergeCell ref="F99:G99"/>
    <mergeCell ref="H99:I99"/>
    <mergeCell ref="J99:K99"/>
    <mergeCell ref="L99:M99"/>
    <mergeCell ref="N99:O99"/>
    <mergeCell ref="P99:Q99"/>
    <mergeCell ref="R99:S99"/>
    <mergeCell ref="T99:U99"/>
    <mergeCell ref="V97:W97"/>
    <mergeCell ref="V98:W98"/>
    <mergeCell ref="V99:W99"/>
    <mergeCell ref="D98:E98"/>
    <mergeCell ref="F98:G98"/>
    <mergeCell ref="H98:I98"/>
    <mergeCell ref="J98:K98"/>
    <mergeCell ref="L98:M98"/>
    <mergeCell ref="N98:O98"/>
    <mergeCell ref="P98:Q98"/>
    <mergeCell ref="R98:S98"/>
    <mergeCell ref="T98:U98"/>
    <mergeCell ref="D97:E97"/>
    <mergeCell ref="F97:G97"/>
    <mergeCell ref="H97:I97"/>
    <mergeCell ref="J97:K97"/>
    <mergeCell ref="L97:M97"/>
    <mergeCell ref="N97:O97"/>
    <mergeCell ref="P97:Q97"/>
    <mergeCell ref="R97:S97"/>
    <mergeCell ref="T97:U97"/>
    <mergeCell ref="V95:W95"/>
    <mergeCell ref="D96:E96"/>
    <mergeCell ref="F96:G96"/>
    <mergeCell ref="H96:I96"/>
    <mergeCell ref="J96:K96"/>
    <mergeCell ref="L96:M96"/>
    <mergeCell ref="N96:O96"/>
    <mergeCell ref="P96:Q96"/>
    <mergeCell ref="R96:S96"/>
    <mergeCell ref="T96:U96"/>
    <mergeCell ref="V96:W96"/>
    <mergeCell ref="D95:E95"/>
    <mergeCell ref="F95:G95"/>
    <mergeCell ref="H95:I95"/>
    <mergeCell ref="J95:K95"/>
    <mergeCell ref="L95:M95"/>
    <mergeCell ref="N95:O95"/>
    <mergeCell ref="P95:Q95"/>
    <mergeCell ref="R95:S95"/>
    <mergeCell ref="T95:U95"/>
    <mergeCell ref="V93:W93"/>
    <mergeCell ref="D94:E94"/>
    <mergeCell ref="F94:G94"/>
    <mergeCell ref="H94:I94"/>
    <mergeCell ref="J94:K94"/>
    <mergeCell ref="L94:M94"/>
    <mergeCell ref="N94:O94"/>
    <mergeCell ref="P94:Q94"/>
    <mergeCell ref="R94:S94"/>
    <mergeCell ref="T94:U94"/>
    <mergeCell ref="V94:W94"/>
    <mergeCell ref="D93:E93"/>
    <mergeCell ref="F93:G93"/>
    <mergeCell ref="H93:I93"/>
    <mergeCell ref="J93:K93"/>
    <mergeCell ref="L93:M93"/>
    <mergeCell ref="N93:O93"/>
    <mergeCell ref="P93:Q93"/>
    <mergeCell ref="R93:S93"/>
    <mergeCell ref="T93:U93"/>
    <mergeCell ref="V91:W91"/>
    <mergeCell ref="D92:E92"/>
    <mergeCell ref="F92:G92"/>
    <mergeCell ref="H92:I92"/>
    <mergeCell ref="J92:K92"/>
    <mergeCell ref="L92:M92"/>
    <mergeCell ref="N92:O92"/>
    <mergeCell ref="P92:Q92"/>
    <mergeCell ref="R92:S92"/>
    <mergeCell ref="T92:U92"/>
    <mergeCell ref="V92:W92"/>
    <mergeCell ref="D91:E91"/>
    <mergeCell ref="F91:G91"/>
    <mergeCell ref="H91:I91"/>
    <mergeCell ref="J91:K91"/>
    <mergeCell ref="L91:M91"/>
    <mergeCell ref="N91:O91"/>
    <mergeCell ref="P91:Q91"/>
    <mergeCell ref="R91:S91"/>
    <mergeCell ref="T91:U91"/>
    <mergeCell ref="V89:W89"/>
    <mergeCell ref="D90:E90"/>
    <mergeCell ref="F90:G90"/>
    <mergeCell ref="H90:I90"/>
    <mergeCell ref="J90:K90"/>
    <mergeCell ref="L90:M90"/>
    <mergeCell ref="N90:O90"/>
    <mergeCell ref="P90:Q90"/>
    <mergeCell ref="R90:S90"/>
    <mergeCell ref="T90:U90"/>
    <mergeCell ref="V90:W90"/>
    <mergeCell ref="D89:E89"/>
    <mergeCell ref="F89:G89"/>
    <mergeCell ref="H89:I89"/>
    <mergeCell ref="J89:K89"/>
    <mergeCell ref="L89:M89"/>
    <mergeCell ref="N89:O89"/>
    <mergeCell ref="P89:Q89"/>
    <mergeCell ref="R89:S89"/>
    <mergeCell ref="T89:U89"/>
    <mergeCell ref="V87:W87"/>
    <mergeCell ref="D88:E88"/>
    <mergeCell ref="F88:G88"/>
    <mergeCell ref="H88:I88"/>
    <mergeCell ref="J88:K88"/>
    <mergeCell ref="L88:M88"/>
    <mergeCell ref="N88:O88"/>
    <mergeCell ref="P88:Q88"/>
    <mergeCell ref="R88:S88"/>
    <mergeCell ref="T88:U88"/>
    <mergeCell ref="V88:W88"/>
    <mergeCell ref="D87:E87"/>
    <mergeCell ref="F87:G87"/>
    <mergeCell ref="H87:I87"/>
    <mergeCell ref="J87:K87"/>
    <mergeCell ref="L87:M87"/>
    <mergeCell ref="N87:O87"/>
    <mergeCell ref="P87:Q87"/>
    <mergeCell ref="R87:S87"/>
    <mergeCell ref="T87:U87"/>
    <mergeCell ref="V85:W85"/>
    <mergeCell ref="D86:E86"/>
    <mergeCell ref="F86:G86"/>
    <mergeCell ref="H86:I86"/>
    <mergeCell ref="J86:K86"/>
    <mergeCell ref="L86:M86"/>
    <mergeCell ref="N86:O86"/>
    <mergeCell ref="P86:Q86"/>
    <mergeCell ref="R86:S86"/>
    <mergeCell ref="T86:U86"/>
    <mergeCell ref="V86:W86"/>
    <mergeCell ref="D85:E85"/>
    <mergeCell ref="F85:G85"/>
    <mergeCell ref="H85:I85"/>
    <mergeCell ref="J85:K85"/>
    <mergeCell ref="L85:M85"/>
    <mergeCell ref="N85:O85"/>
    <mergeCell ref="P85:Q85"/>
    <mergeCell ref="R85:S85"/>
    <mergeCell ref="T85:U85"/>
    <mergeCell ref="V83:W83"/>
    <mergeCell ref="D84:E84"/>
    <mergeCell ref="F84:G84"/>
    <mergeCell ref="H84:I84"/>
    <mergeCell ref="J84:K84"/>
    <mergeCell ref="L84:M84"/>
    <mergeCell ref="N84:O84"/>
    <mergeCell ref="P84:Q84"/>
    <mergeCell ref="R84:S84"/>
    <mergeCell ref="T84:U84"/>
    <mergeCell ref="V84:W84"/>
    <mergeCell ref="D83:E83"/>
    <mergeCell ref="F83:G83"/>
    <mergeCell ref="H83:I83"/>
    <mergeCell ref="J83:K83"/>
    <mergeCell ref="L83:M83"/>
    <mergeCell ref="N83:O83"/>
    <mergeCell ref="P83:Q83"/>
    <mergeCell ref="R83:S83"/>
    <mergeCell ref="T83:U83"/>
    <mergeCell ref="V81:W81"/>
    <mergeCell ref="D82:E82"/>
    <mergeCell ref="F82:G82"/>
    <mergeCell ref="H82:I82"/>
    <mergeCell ref="J82:K82"/>
    <mergeCell ref="L82:M82"/>
    <mergeCell ref="N82:O82"/>
    <mergeCell ref="P82:Q82"/>
    <mergeCell ref="R82:S82"/>
    <mergeCell ref="T82:U82"/>
    <mergeCell ref="V82:W82"/>
    <mergeCell ref="D81:E81"/>
    <mergeCell ref="F81:G81"/>
    <mergeCell ref="H81:I81"/>
    <mergeCell ref="J81:K81"/>
    <mergeCell ref="L81:M81"/>
    <mergeCell ref="N81:O81"/>
    <mergeCell ref="P81:Q81"/>
    <mergeCell ref="R81:S81"/>
    <mergeCell ref="T81:U81"/>
    <mergeCell ref="V79:W79"/>
    <mergeCell ref="D80:E80"/>
    <mergeCell ref="F80:G80"/>
    <mergeCell ref="H80:I80"/>
    <mergeCell ref="J80:K80"/>
    <mergeCell ref="L80:M80"/>
    <mergeCell ref="N80:O80"/>
    <mergeCell ref="P80:Q80"/>
    <mergeCell ref="R80:S80"/>
    <mergeCell ref="T80:U80"/>
    <mergeCell ref="V80:W80"/>
    <mergeCell ref="D79:E79"/>
    <mergeCell ref="F79:G79"/>
    <mergeCell ref="H79:I79"/>
    <mergeCell ref="J79:K79"/>
    <mergeCell ref="L79:M79"/>
    <mergeCell ref="N79:O79"/>
    <mergeCell ref="P79:Q79"/>
    <mergeCell ref="R79:S79"/>
    <mergeCell ref="T79:U79"/>
    <mergeCell ref="T78:U78"/>
    <mergeCell ref="V78:W78"/>
    <mergeCell ref="D77:E77"/>
    <mergeCell ref="F77:G77"/>
    <mergeCell ref="H77:I77"/>
    <mergeCell ref="J77:K77"/>
    <mergeCell ref="L77:M77"/>
    <mergeCell ref="N77:O77"/>
    <mergeCell ref="P77:Q77"/>
    <mergeCell ref="R77:S77"/>
    <mergeCell ref="T77:U77"/>
    <mergeCell ref="F78:G78"/>
    <mergeCell ref="H78:I78"/>
    <mergeCell ref="J78:K78"/>
    <mergeCell ref="L78:M78"/>
    <mergeCell ref="N78:O78"/>
    <mergeCell ref="P78:Q78"/>
    <mergeCell ref="R78:S78"/>
    <mergeCell ref="L74:M74"/>
    <mergeCell ref="N74:O74"/>
    <mergeCell ref="P74:Q74"/>
    <mergeCell ref="R74:S74"/>
    <mergeCell ref="T74:U74"/>
    <mergeCell ref="V74:W74"/>
    <mergeCell ref="D75:E75"/>
    <mergeCell ref="F75:G75"/>
    <mergeCell ref="H75:I75"/>
    <mergeCell ref="J75:K75"/>
    <mergeCell ref="L75:M75"/>
    <mergeCell ref="N75:O75"/>
    <mergeCell ref="P75:Q75"/>
    <mergeCell ref="L43:M43"/>
    <mergeCell ref="L57:M57"/>
    <mergeCell ref="N57:O57"/>
    <mergeCell ref="P57:Q57"/>
    <mergeCell ref="R56:S56"/>
    <mergeCell ref="T56:U56"/>
    <mergeCell ref="F56:G56"/>
    <mergeCell ref="H56:I56"/>
    <mergeCell ref="J56:K56"/>
    <mergeCell ref="L56:M56"/>
    <mergeCell ref="N56:O56"/>
    <mergeCell ref="P56:Q56"/>
    <mergeCell ref="P47:Q47"/>
    <mergeCell ref="H57:I57"/>
    <mergeCell ref="T45:U45"/>
    <mergeCell ref="R45:S45"/>
    <mergeCell ref="P45:Q45"/>
    <mergeCell ref="V57:W57"/>
    <mergeCell ref="H62:I62"/>
    <mergeCell ref="R63:S63"/>
    <mergeCell ref="T63:U63"/>
    <mergeCell ref="R61:S61"/>
    <mergeCell ref="T61:U61"/>
    <mergeCell ref="F62:G62"/>
    <mergeCell ref="R44:S44"/>
    <mergeCell ref="P44:Q44"/>
    <mergeCell ref="P61:Q61"/>
    <mergeCell ref="N61:O61"/>
    <mergeCell ref="V45:W45"/>
    <mergeCell ref="L62:M62"/>
    <mergeCell ref="J62:K62"/>
    <mergeCell ref="T64:U64"/>
    <mergeCell ref="D62:E62"/>
    <mergeCell ref="V61:W61"/>
    <mergeCell ref="P63:Q63"/>
    <mergeCell ref="N63:O63"/>
    <mergeCell ref="L63:M63"/>
    <mergeCell ref="J63:K63"/>
    <mergeCell ref="V62:W62"/>
    <mergeCell ref="V63:W63"/>
    <mergeCell ref="N45:O45"/>
    <mergeCell ref="L45:M45"/>
    <mergeCell ref="J45:K45"/>
    <mergeCell ref="H45:I45"/>
    <mergeCell ref="F45:G45"/>
    <mergeCell ref="D45:E45"/>
    <mergeCell ref="H63:I63"/>
    <mergeCell ref="F63:G63"/>
    <mergeCell ref="D63:E63"/>
    <mergeCell ref="L61:M61"/>
    <mergeCell ref="J61:K61"/>
    <mergeCell ref="H61:I61"/>
    <mergeCell ref="F61:G61"/>
    <mergeCell ref="D61:E61"/>
    <mergeCell ref="J57:K57"/>
    <mergeCell ref="L59:M59"/>
    <mergeCell ref="N59:O59"/>
    <mergeCell ref="V54:W54"/>
    <mergeCell ref="D55:E55"/>
    <mergeCell ref="F55:G55"/>
    <mergeCell ref="H55:I55"/>
    <mergeCell ref="J55:K55"/>
    <mergeCell ref="L55:M55"/>
    <mergeCell ref="N55:O55"/>
    <mergeCell ref="P55:Q55"/>
    <mergeCell ref="R55:S55"/>
    <mergeCell ref="T55:U55"/>
    <mergeCell ref="V55:W55"/>
    <mergeCell ref="D54:E54"/>
    <mergeCell ref="F54:G54"/>
    <mergeCell ref="H54:I54"/>
    <mergeCell ref="J54:K54"/>
    <mergeCell ref="L54:M54"/>
    <mergeCell ref="N54:O54"/>
    <mergeCell ref="P54:Q54"/>
    <mergeCell ref="R54:S54"/>
    <mergeCell ref="T54:U54"/>
    <mergeCell ref="V52:W52"/>
    <mergeCell ref="D53:E53"/>
    <mergeCell ref="F53:G53"/>
    <mergeCell ref="H53:I53"/>
    <mergeCell ref="J53:K53"/>
    <mergeCell ref="L53:M53"/>
    <mergeCell ref="N53:O53"/>
    <mergeCell ref="P53:Q53"/>
    <mergeCell ref="R53:S53"/>
    <mergeCell ref="T53:U53"/>
    <mergeCell ref="V53:W53"/>
    <mergeCell ref="D52:E52"/>
    <mergeCell ref="F52:G52"/>
    <mergeCell ref="H52:I52"/>
    <mergeCell ref="J52:K52"/>
    <mergeCell ref="L52:M52"/>
    <mergeCell ref="N52:O52"/>
    <mergeCell ref="P52:Q52"/>
    <mergeCell ref="R52:S52"/>
    <mergeCell ref="T52:U52"/>
    <mergeCell ref="V50:W50"/>
    <mergeCell ref="D51:E51"/>
    <mergeCell ref="F51:G51"/>
    <mergeCell ref="H51:I51"/>
    <mergeCell ref="J51:K51"/>
    <mergeCell ref="L51:M51"/>
    <mergeCell ref="N51:O51"/>
    <mergeCell ref="P51:Q51"/>
    <mergeCell ref="R51:S51"/>
    <mergeCell ref="T51:U51"/>
    <mergeCell ref="V51:W51"/>
    <mergeCell ref="D50:E50"/>
    <mergeCell ref="F50:G50"/>
    <mergeCell ref="H50:I50"/>
    <mergeCell ref="J50:K50"/>
    <mergeCell ref="L50:M50"/>
    <mergeCell ref="N50:O50"/>
    <mergeCell ref="P50:Q50"/>
    <mergeCell ref="R50:S50"/>
    <mergeCell ref="T50:U50"/>
    <mergeCell ref="T43:U43"/>
    <mergeCell ref="BA7:BA8"/>
    <mergeCell ref="V44:W44"/>
    <mergeCell ref="V42:W42"/>
    <mergeCell ref="D43:E43"/>
    <mergeCell ref="F43:G43"/>
    <mergeCell ref="H43:I43"/>
    <mergeCell ref="J43:K43"/>
    <mergeCell ref="B39:B40"/>
    <mergeCell ref="D42:E42"/>
    <mergeCell ref="F42:G42"/>
    <mergeCell ref="H42:I42"/>
    <mergeCell ref="J42:K42"/>
    <mergeCell ref="L42:M42"/>
    <mergeCell ref="N42:O42"/>
    <mergeCell ref="P42:Q42"/>
    <mergeCell ref="R42:S42"/>
    <mergeCell ref="A34:Y34"/>
    <mergeCell ref="A35:Y35"/>
    <mergeCell ref="B7:B8"/>
    <mergeCell ref="V43:W43"/>
    <mergeCell ref="D44:E44"/>
    <mergeCell ref="V40:W40"/>
    <mergeCell ref="D41:E41"/>
    <mergeCell ref="T47:U47"/>
    <mergeCell ref="V46:W46"/>
    <mergeCell ref="D47:E47"/>
    <mergeCell ref="F47:G47"/>
    <mergeCell ref="H47:I47"/>
    <mergeCell ref="J47:K47"/>
    <mergeCell ref="L47:M47"/>
    <mergeCell ref="N47:O47"/>
    <mergeCell ref="P40:Q40"/>
    <mergeCell ref="R40:S40"/>
    <mergeCell ref="T40:U40"/>
    <mergeCell ref="V41:W41"/>
    <mergeCell ref="D46:E46"/>
    <mergeCell ref="F46:G46"/>
    <mergeCell ref="H46:I46"/>
    <mergeCell ref="J46:K46"/>
    <mergeCell ref="L46:M46"/>
    <mergeCell ref="N46:O46"/>
    <mergeCell ref="P46:Q46"/>
    <mergeCell ref="R46:S46"/>
    <mergeCell ref="T46:U46"/>
    <mergeCell ref="N43:O43"/>
    <mergeCell ref="P43:Q43"/>
    <mergeCell ref="R43:S43"/>
    <mergeCell ref="P64:Q64"/>
    <mergeCell ref="R64:S64"/>
    <mergeCell ref="V47:W47"/>
    <mergeCell ref="V48:W48"/>
    <mergeCell ref="D49:E49"/>
    <mergeCell ref="F49:G49"/>
    <mergeCell ref="H49:I49"/>
    <mergeCell ref="J49:K49"/>
    <mergeCell ref="L49:M49"/>
    <mergeCell ref="N49:O49"/>
    <mergeCell ref="P49:Q49"/>
    <mergeCell ref="R49:S49"/>
    <mergeCell ref="T49:U49"/>
    <mergeCell ref="V49:W49"/>
    <mergeCell ref="D48:E48"/>
    <mergeCell ref="F48:G48"/>
    <mergeCell ref="H48:I48"/>
    <mergeCell ref="J48:K48"/>
    <mergeCell ref="L48:M48"/>
    <mergeCell ref="N48:O48"/>
    <mergeCell ref="P48:Q48"/>
    <mergeCell ref="R48:S48"/>
    <mergeCell ref="T48:U48"/>
    <mergeCell ref="R47:S47"/>
    <mergeCell ref="F57:G57"/>
    <mergeCell ref="D56:E56"/>
    <mergeCell ref="B66:W67"/>
    <mergeCell ref="V60:W60"/>
    <mergeCell ref="N62:O62"/>
    <mergeCell ref="P62:Q62"/>
    <mergeCell ref="R62:S62"/>
    <mergeCell ref="T62:U62"/>
    <mergeCell ref="N60:O60"/>
    <mergeCell ref="P60:Q60"/>
    <mergeCell ref="R60:S60"/>
    <mergeCell ref="T60:U60"/>
    <mergeCell ref="D60:E60"/>
    <mergeCell ref="F60:G60"/>
    <mergeCell ref="H60:I60"/>
    <mergeCell ref="J60:K60"/>
    <mergeCell ref="L60:M60"/>
    <mergeCell ref="V64:W64"/>
    <mergeCell ref="D64:E64"/>
    <mergeCell ref="F64:G64"/>
    <mergeCell ref="H64:I64"/>
    <mergeCell ref="J64:K64"/>
    <mergeCell ref="L64:M64"/>
    <mergeCell ref="N64:O64"/>
    <mergeCell ref="F58:G58"/>
    <mergeCell ref="H58:I58"/>
    <mergeCell ref="J58:K58"/>
    <mergeCell ref="L58:M58"/>
    <mergeCell ref="N58:O58"/>
    <mergeCell ref="P58:Q58"/>
    <mergeCell ref="R58:S58"/>
    <mergeCell ref="T58:U58"/>
    <mergeCell ref="P59:Q59"/>
    <mergeCell ref="R59:S59"/>
    <mergeCell ref="T59:U59"/>
    <mergeCell ref="V39:W39"/>
    <mergeCell ref="L40:M40"/>
    <mergeCell ref="N40:O40"/>
    <mergeCell ref="H41:I41"/>
    <mergeCell ref="J41:K41"/>
    <mergeCell ref="L41:M41"/>
    <mergeCell ref="P39:Q39"/>
    <mergeCell ref="N39:O39"/>
    <mergeCell ref="L39:M39"/>
    <mergeCell ref="J39:K39"/>
    <mergeCell ref="H39:I39"/>
    <mergeCell ref="T42:U42"/>
    <mergeCell ref="T39:U39"/>
    <mergeCell ref="R39:S39"/>
    <mergeCell ref="N41:O41"/>
    <mergeCell ref="P41:Q41"/>
    <mergeCell ref="R41:S41"/>
    <mergeCell ref="T41:U41"/>
    <mergeCell ref="D40:E40"/>
    <mergeCell ref="F40:G40"/>
    <mergeCell ref="H40:I40"/>
    <mergeCell ref="J40:K40"/>
    <mergeCell ref="F39:G39"/>
    <mergeCell ref="D39:E39"/>
    <mergeCell ref="F41:G41"/>
    <mergeCell ref="AB135:AF135"/>
    <mergeCell ref="AB96:AB97"/>
    <mergeCell ref="AB98:AB99"/>
    <mergeCell ref="R75:S75"/>
    <mergeCell ref="T75:U75"/>
    <mergeCell ref="V75:W75"/>
    <mergeCell ref="D76:E76"/>
    <mergeCell ref="F76:G76"/>
    <mergeCell ref="BZ162:CD162"/>
    <mergeCell ref="AL162:AP162"/>
    <mergeCell ref="AQ162:AU162"/>
    <mergeCell ref="AV162:AZ162"/>
    <mergeCell ref="BA162:BE162"/>
    <mergeCell ref="BF162:BJ162"/>
    <mergeCell ref="BK162:BO162"/>
    <mergeCell ref="BP162:BT162"/>
    <mergeCell ref="BU162:BY162"/>
    <mergeCell ref="B160:I161"/>
    <mergeCell ref="B162:I163"/>
    <mergeCell ref="B74:B75"/>
    <mergeCell ref="D74:E74"/>
    <mergeCell ref="F74:G74"/>
    <mergeCell ref="H74:I74"/>
    <mergeCell ref="J74:K74"/>
    <mergeCell ref="L44:M44"/>
    <mergeCell ref="N44:O44"/>
    <mergeCell ref="H44:I44"/>
    <mergeCell ref="T44:U44"/>
    <mergeCell ref="AB92:AB93"/>
    <mergeCell ref="AB100:AB101"/>
    <mergeCell ref="B72:L73"/>
    <mergeCell ref="AB82:AB83"/>
    <mergeCell ref="AB84:AB85"/>
    <mergeCell ref="AB86:AB87"/>
    <mergeCell ref="AB88:AB89"/>
    <mergeCell ref="AB90:AB91"/>
    <mergeCell ref="AB94:AB95"/>
    <mergeCell ref="V56:W56"/>
    <mergeCell ref="D59:E59"/>
    <mergeCell ref="F59:G59"/>
    <mergeCell ref="H59:I59"/>
    <mergeCell ref="J59:K59"/>
    <mergeCell ref="D57:E57"/>
    <mergeCell ref="R57:S57"/>
    <mergeCell ref="T57:U57"/>
    <mergeCell ref="V58:W58"/>
    <mergeCell ref="V59:W59"/>
    <mergeCell ref="D58:E58"/>
    <mergeCell ref="B101:W102"/>
    <mergeCell ref="BF135:BJ135"/>
    <mergeCell ref="BK135:BO135"/>
    <mergeCell ref="BP135:BT135"/>
    <mergeCell ref="BU135:BY135"/>
    <mergeCell ref="F44:G44"/>
    <mergeCell ref="J44:K44"/>
    <mergeCell ref="AG135:AK135"/>
    <mergeCell ref="AL135:AP135"/>
    <mergeCell ref="AQ135:AU135"/>
    <mergeCell ref="AV135:AZ135"/>
    <mergeCell ref="BA135:BE135"/>
    <mergeCell ref="H76:I76"/>
    <mergeCell ref="J76:K76"/>
    <mergeCell ref="L76:M76"/>
    <mergeCell ref="N76:O76"/>
    <mergeCell ref="P76:Q76"/>
    <mergeCell ref="R76:S76"/>
    <mergeCell ref="T76:U76"/>
    <mergeCell ref="V76:W76"/>
    <mergeCell ref="V77:W77"/>
    <mergeCell ref="D78:E78"/>
    <mergeCell ref="A70:Y70"/>
    <mergeCell ref="A105:Y105"/>
    <mergeCell ref="B178:I179"/>
    <mergeCell ref="B180:I181"/>
    <mergeCell ref="B142:I143"/>
    <mergeCell ref="B144:I145"/>
    <mergeCell ref="B146:I147"/>
    <mergeCell ref="B148:I149"/>
    <mergeCell ref="B150:I151"/>
    <mergeCell ref="B152:I153"/>
    <mergeCell ref="B154:I155"/>
    <mergeCell ref="B156:I157"/>
    <mergeCell ref="B158:I159"/>
    <mergeCell ref="B164:I165"/>
    <mergeCell ref="B166:I167"/>
    <mergeCell ref="B168:I169"/>
    <mergeCell ref="B170:I171"/>
    <mergeCell ref="B172:I173"/>
    <mergeCell ref="B174:I175"/>
    <mergeCell ref="B176:I177"/>
  </mergeCells>
  <conditionalFormatting sqref="B9:B30 D9:X9 A1:A34 A65:A69 A36:A63 A71:A140 A216:A1048576 D41:W64">
    <cfRule type="containsErrors" dxfId="868" priority="201">
      <formula>ISERROR(A1)</formula>
    </cfRule>
  </conditionalFormatting>
  <conditionalFormatting sqref="D9:X9">
    <cfRule type="colorScale" priority="197">
      <colorScale>
        <cfvo type="min"/>
        <cfvo type="max"/>
        <color rgb="FFFCFCFF"/>
        <color rgb="FFF8696B"/>
      </colorScale>
    </cfRule>
  </conditionalFormatting>
  <conditionalFormatting sqref="D9:X31 D41:W64">
    <cfRule type="expression" dxfId="867" priority="176">
      <formula>$B9=$AC$4</formula>
    </cfRule>
  </conditionalFormatting>
  <conditionalFormatting sqref="D41:W41">
    <cfRule type="colorScale" priority="175">
      <colorScale>
        <cfvo type="min"/>
        <cfvo type="max"/>
        <color rgb="FFFCFCFF"/>
        <color rgb="FFF8696B"/>
      </colorScale>
    </cfRule>
  </conditionalFormatting>
  <conditionalFormatting sqref="D42:W42">
    <cfRule type="colorScale" priority="174">
      <colorScale>
        <cfvo type="min"/>
        <cfvo type="max"/>
        <color rgb="FFFCFCFF"/>
        <color rgb="FFF8696B"/>
      </colorScale>
    </cfRule>
  </conditionalFormatting>
  <conditionalFormatting sqref="D42:W43">
    <cfRule type="colorScale" priority="173">
      <colorScale>
        <cfvo type="min"/>
        <cfvo type="max"/>
        <color rgb="FFFCFCFF"/>
        <color rgb="FFF8696B"/>
      </colorScale>
    </cfRule>
  </conditionalFormatting>
  <conditionalFormatting sqref="D44:W44">
    <cfRule type="colorScale" priority="172">
      <colorScale>
        <cfvo type="min"/>
        <cfvo type="max"/>
        <color rgb="FFFCFCFF"/>
        <color rgb="FFF8696B"/>
      </colorScale>
    </cfRule>
  </conditionalFormatting>
  <conditionalFormatting sqref="D45:W45">
    <cfRule type="colorScale" priority="171">
      <colorScale>
        <cfvo type="min"/>
        <cfvo type="max"/>
        <color rgb="FFFCFCFF"/>
        <color rgb="FFF8696B"/>
      </colorScale>
    </cfRule>
  </conditionalFormatting>
  <conditionalFormatting sqref="D46:W46">
    <cfRule type="colorScale" priority="170">
      <colorScale>
        <cfvo type="min"/>
        <cfvo type="max"/>
        <color rgb="FFFCFCFF"/>
        <color rgb="FFF8696B"/>
      </colorScale>
    </cfRule>
  </conditionalFormatting>
  <conditionalFormatting sqref="D47:W47">
    <cfRule type="colorScale" priority="169">
      <colorScale>
        <cfvo type="min"/>
        <cfvo type="max"/>
        <color rgb="FFFCFCFF"/>
        <color rgb="FFF8696B"/>
      </colorScale>
    </cfRule>
  </conditionalFormatting>
  <conditionalFormatting sqref="D48:W48">
    <cfRule type="colorScale" priority="168">
      <colorScale>
        <cfvo type="min"/>
        <cfvo type="max"/>
        <color rgb="FFFCFCFF"/>
        <color rgb="FFF8696B"/>
      </colorScale>
    </cfRule>
  </conditionalFormatting>
  <conditionalFormatting sqref="D49:W49">
    <cfRule type="colorScale" priority="167">
      <colorScale>
        <cfvo type="min"/>
        <cfvo type="max"/>
        <color rgb="FFFCFCFF"/>
        <color rgb="FFF8696B"/>
      </colorScale>
    </cfRule>
  </conditionalFormatting>
  <conditionalFormatting sqref="D50:W50">
    <cfRule type="colorScale" priority="166">
      <colorScale>
        <cfvo type="min"/>
        <cfvo type="max"/>
        <color rgb="FFFCFCFF"/>
        <color rgb="FFF8696B"/>
      </colorScale>
    </cfRule>
  </conditionalFormatting>
  <conditionalFormatting sqref="D51:W51">
    <cfRule type="colorScale" priority="165">
      <colorScale>
        <cfvo type="min"/>
        <cfvo type="max"/>
        <color rgb="FFFCFCFF"/>
        <color rgb="FFF8696B"/>
      </colorScale>
    </cfRule>
  </conditionalFormatting>
  <conditionalFormatting sqref="D52:W52">
    <cfRule type="colorScale" priority="164">
      <colorScale>
        <cfvo type="min"/>
        <cfvo type="max"/>
        <color rgb="FFFCFCFF"/>
        <color rgb="FFF8696B"/>
      </colorScale>
    </cfRule>
  </conditionalFormatting>
  <conditionalFormatting sqref="D53:W53">
    <cfRule type="colorScale" priority="163">
      <colorScale>
        <cfvo type="min"/>
        <cfvo type="max"/>
        <color rgb="FFFCFCFF"/>
        <color rgb="FFF8696B"/>
      </colorScale>
    </cfRule>
  </conditionalFormatting>
  <conditionalFormatting sqref="D53:W54">
    <cfRule type="colorScale" priority="162">
      <colorScale>
        <cfvo type="min"/>
        <cfvo type="max"/>
        <color rgb="FFFCFCFF"/>
        <color rgb="FFF8696B"/>
      </colorScale>
    </cfRule>
  </conditionalFormatting>
  <conditionalFormatting sqref="D55:W56">
    <cfRule type="colorScale" priority="161">
      <colorScale>
        <cfvo type="min"/>
        <cfvo type="max"/>
        <color rgb="FFFCFCFF"/>
        <color rgb="FFF8696B"/>
      </colorScale>
    </cfRule>
  </conditionalFormatting>
  <conditionalFormatting sqref="D59:W59">
    <cfRule type="colorScale" priority="159">
      <colorScale>
        <cfvo type="min"/>
        <cfvo type="max"/>
        <color rgb="FFFCFCFF"/>
        <color rgb="FFF8696B"/>
      </colorScale>
    </cfRule>
  </conditionalFormatting>
  <conditionalFormatting sqref="D60:W61">
    <cfRule type="colorScale" priority="158">
      <colorScale>
        <cfvo type="min"/>
        <cfvo type="max"/>
        <color rgb="FFFCFCFF"/>
        <color rgb="FFF8696B"/>
      </colorScale>
    </cfRule>
  </conditionalFormatting>
  <conditionalFormatting sqref="D61:W61">
    <cfRule type="colorScale" priority="157">
      <colorScale>
        <cfvo type="min"/>
        <cfvo type="max"/>
        <color rgb="FFFCFCFF"/>
        <color rgb="FFF8696B"/>
      </colorScale>
    </cfRule>
  </conditionalFormatting>
  <conditionalFormatting sqref="D62:W62">
    <cfRule type="colorScale" priority="156">
      <colorScale>
        <cfvo type="min"/>
        <cfvo type="max"/>
        <color rgb="FFFCFCFF"/>
        <color rgb="FFF8696B"/>
      </colorScale>
    </cfRule>
  </conditionalFormatting>
  <conditionalFormatting sqref="D63:W64">
    <cfRule type="colorScale" priority="155">
      <colorScale>
        <cfvo type="min"/>
        <cfvo type="max"/>
        <color rgb="FFFCFCFF"/>
        <color rgb="FFF8696B"/>
      </colorScale>
    </cfRule>
  </conditionalFormatting>
  <conditionalFormatting sqref="B41:B64 B9:B32 B76:B99 B111:B138">
    <cfRule type="expression" dxfId="866" priority="200">
      <formula>$B9=$AC$4</formula>
    </cfRule>
  </conditionalFormatting>
  <conditionalFormatting sqref="D56:W58">
    <cfRule type="colorScale" priority="1055">
      <colorScale>
        <cfvo type="min"/>
        <cfvo type="max"/>
        <color rgb="FFFCFCFF"/>
        <color rgb="FFF8696B"/>
      </colorScale>
    </cfRule>
  </conditionalFormatting>
  <conditionalFormatting sqref="D50:W50">
    <cfRule type="colorScale" priority="153">
      <colorScale>
        <cfvo type="min"/>
        <cfvo type="max"/>
        <color rgb="FFFCFCFF"/>
        <color rgb="FFF8696B"/>
      </colorScale>
    </cfRule>
  </conditionalFormatting>
  <conditionalFormatting sqref="D53:W53">
    <cfRule type="colorScale" priority="152">
      <colorScale>
        <cfvo type="min"/>
        <cfvo type="max"/>
        <color rgb="FFFCFCFF"/>
        <color rgb="FFF8696B"/>
      </colorScale>
    </cfRule>
  </conditionalFormatting>
  <conditionalFormatting sqref="D56:W56">
    <cfRule type="colorScale" priority="151">
      <colorScale>
        <cfvo type="min"/>
        <cfvo type="max"/>
        <color rgb="FFFCFCFF"/>
        <color rgb="FFF8696B"/>
      </colorScale>
    </cfRule>
  </conditionalFormatting>
  <conditionalFormatting sqref="D57:W57">
    <cfRule type="colorScale" priority="150">
      <colorScale>
        <cfvo type="min"/>
        <cfvo type="max"/>
        <color rgb="FFFCFCFF"/>
        <color rgb="FFF8696B"/>
      </colorScale>
    </cfRule>
  </conditionalFormatting>
  <conditionalFormatting sqref="D58:W58">
    <cfRule type="colorScale" priority="149">
      <colorScale>
        <cfvo type="min"/>
        <cfvo type="max"/>
        <color rgb="FFFCFCFF"/>
        <color rgb="FFF8696B"/>
      </colorScale>
    </cfRule>
  </conditionalFormatting>
  <conditionalFormatting sqref="D59:W59">
    <cfRule type="colorScale" priority="148">
      <colorScale>
        <cfvo type="min"/>
        <cfvo type="max"/>
        <color rgb="FFFCFCFF"/>
        <color rgb="FFF8696B"/>
      </colorScale>
    </cfRule>
  </conditionalFormatting>
  <conditionalFormatting sqref="D59:W59">
    <cfRule type="colorScale" priority="147">
      <colorScale>
        <cfvo type="min"/>
        <cfvo type="max"/>
        <color rgb="FFFCFCFF"/>
        <color rgb="FFF8696B"/>
      </colorScale>
    </cfRule>
  </conditionalFormatting>
  <conditionalFormatting sqref="D61:W61">
    <cfRule type="colorScale" priority="146">
      <colorScale>
        <cfvo type="min"/>
        <cfvo type="max"/>
        <color rgb="FFFCFCFF"/>
        <color rgb="FFF8696B"/>
      </colorScale>
    </cfRule>
  </conditionalFormatting>
  <conditionalFormatting sqref="D61:W61">
    <cfRule type="colorScale" priority="145">
      <colorScale>
        <cfvo type="min"/>
        <cfvo type="max"/>
        <color rgb="FFFCFCFF"/>
        <color rgb="FFF8696B"/>
      </colorScale>
    </cfRule>
  </conditionalFormatting>
  <conditionalFormatting sqref="D62:W62">
    <cfRule type="colorScale" priority="144">
      <colorScale>
        <cfvo type="min"/>
        <cfvo type="max"/>
        <color rgb="FFFCFCFF"/>
        <color rgb="FFF8696B"/>
      </colorScale>
    </cfRule>
  </conditionalFormatting>
  <conditionalFormatting sqref="D62:W62">
    <cfRule type="colorScale" priority="143">
      <colorScale>
        <cfvo type="min"/>
        <cfvo type="max"/>
        <color rgb="FFFCFCFF"/>
        <color rgb="FFF8696B"/>
      </colorScale>
    </cfRule>
  </conditionalFormatting>
  <conditionalFormatting sqref="A9:A30">
    <cfRule type="cellIs" dxfId="865" priority="141" operator="equal">
      <formula>0</formula>
    </cfRule>
  </conditionalFormatting>
  <conditionalFormatting sqref="A41:A62">
    <cfRule type="cellIs" dxfId="864" priority="140" operator="equal">
      <formula>0</formula>
    </cfRule>
  </conditionalFormatting>
  <conditionalFormatting sqref="A64">
    <cfRule type="containsErrors" dxfId="863" priority="132">
      <formula>ISERROR(A64)</formula>
    </cfRule>
  </conditionalFormatting>
  <conditionalFormatting sqref="A70">
    <cfRule type="containsErrors" dxfId="862" priority="127">
      <formula>ISERROR(A70)</formula>
    </cfRule>
  </conditionalFormatting>
  <conditionalFormatting sqref="A35">
    <cfRule type="containsErrors" dxfId="861" priority="126">
      <formula>ISERROR(A35)</formula>
    </cfRule>
  </conditionalFormatting>
  <conditionalFormatting sqref="D76:W99 D111:W138">
    <cfRule type="expression" dxfId="860" priority="86">
      <formula>$B76=$AC$4</formula>
    </cfRule>
  </conditionalFormatting>
  <conditionalFormatting sqref="AB2">
    <cfRule type="containsErrors" dxfId="859" priority="78">
      <formula>ISERROR(AB2)</formula>
    </cfRule>
  </conditionalFormatting>
  <conditionalFormatting sqref="AB3">
    <cfRule type="containsErrors" dxfId="858" priority="79">
      <formula>ISERROR(AB3)</formula>
    </cfRule>
  </conditionalFormatting>
  <conditionalFormatting sqref="D10:X10">
    <cfRule type="containsErrors" dxfId="857" priority="77">
      <formula>ISERROR(D10)</formula>
    </cfRule>
  </conditionalFormatting>
  <conditionalFormatting sqref="D10:X10">
    <cfRule type="colorScale" priority="76">
      <colorScale>
        <cfvo type="min"/>
        <cfvo type="max"/>
        <color rgb="FFFCFCFF"/>
        <color rgb="FFF8696B"/>
      </colorScale>
    </cfRule>
  </conditionalFormatting>
  <conditionalFormatting sqref="D11:X11">
    <cfRule type="containsErrors" dxfId="856" priority="74">
      <formula>ISERROR(D11)</formula>
    </cfRule>
  </conditionalFormatting>
  <conditionalFormatting sqref="D11:X11">
    <cfRule type="colorScale" priority="73">
      <colorScale>
        <cfvo type="min"/>
        <cfvo type="max"/>
        <color rgb="FFFCFCFF"/>
        <color rgb="FFF8696B"/>
      </colorScale>
    </cfRule>
  </conditionalFormatting>
  <conditionalFormatting sqref="D12:X12">
    <cfRule type="containsErrors" dxfId="855" priority="71">
      <formula>ISERROR(D12)</formula>
    </cfRule>
  </conditionalFormatting>
  <conditionalFormatting sqref="D12:X12">
    <cfRule type="colorScale" priority="70">
      <colorScale>
        <cfvo type="min"/>
        <cfvo type="max"/>
        <color rgb="FFFCFCFF"/>
        <color rgb="FFF8696B"/>
      </colorScale>
    </cfRule>
  </conditionalFormatting>
  <conditionalFormatting sqref="D13:X13">
    <cfRule type="containsErrors" dxfId="854" priority="68">
      <formula>ISERROR(D13)</formula>
    </cfRule>
  </conditionalFormatting>
  <conditionalFormatting sqref="D13:X13">
    <cfRule type="colorScale" priority="67">
      <colorScale>
        <cfvo type="min"/>
        <cfvo type="max"/>
        <color rgb="FFFCFCFF"/>
        <color rgb="FFF8696B"/>
      </colorScale>
    </cfRule>
  </conditionalFormatting>
  <conditionalFormatting sqref="D14:X14">
    <cfRule type="containsErrors" dxfId="853" priority="65">
      <formula>ISERROR(D14)</formula>
    </cfRule>
  </conditionalFormatting>
  <conditionalFormatting sqref="D14:X14">
    <cfRule type="colorScale" priority="64">
      <colorScale>
        <cfvo type="min"/>
        <cfvo type="max"/>
        <color rgb="FFFCFCFF"/>
        <color rgb="FFF8696B"/>
      </colorScale>
    </cfRule>
  </conditionalFormatting>
  <conditionalFormatting sqref="D15:X15">
    <cfRule type="containsErrors" dxfId="852" priority="62">
      <formula>ISERROR(D15)</formula>
    </cfRule>
  </conditionalFormatting>
  <conditionalFormatting sqref="D15:X15">
    <cfRule type="colorScale" priority="61">
      <colorScale>
        <cfvo type="min"/>
        <cfvo type="max"/>
        <color rgb="FFFCFCFF"/>
        <color rgb="FFF8696B"/>
      </colorScale>
    </cfRule>
  </conditionalFormatting>
  <conditionalFormatting sqref="D16:X16">
    <cfRule type="containsErrors" dxfId="851" priority="59">
      <formula>ISERROR(D16)</formula>
    </cfRule>
  </conditionalFormatting>
  <conditionalFormatting sqref="D16:X16">
    <cfRule type="colorScale" priority="58">
      <colorScale>
        <cfvo type="min"/>
        <cfvo type="max"/>
        <color rgb="FFFCFCFF"/>
        <color rgb="FFF8696B"/>
      </colorScale>
    </cfRule>
  </conditionalFormatting>
  <conditionalFormatting sqref="D17:X17">
    <cfRule type="containsErrors" dxfId="850" priority="56">
      <formula>ISERROR(D17)</formula>
    </cfRule>
  </conditionalFormatting>
  <conditionalFormatting sqref="D17:X17">
    <cfRule type="colorScale" priority="55">
      <colorScale>
        <cfvo type="min"/>
        <cfvo type="max"/>
        <color rgb="FFFCFCFF"/>
        <color rgb="FFF8696B"/>
      </colorScale>
    </cfRule>
  </conditionalFormatting>
  <conditionalFormatting sqref="D18:X18">
    <cfRule type="containsErrors" dxfId="849" priority="53">
      <formula>ISERROR(D18)</formula>
    </cfRule>
  </conditionalFormatting>
  <conditionalFormatting sqref="D18:X18">
    <cfRule type="colorScale" priority="52">
      <colorScale>
        <cfvo type="min"/>
        <cfvo type="max"/>
        <color rgb="FFFCFCFF"/>
        <color rgb="FFF8696B"/>
      </colorScale>
    </cfRule>
  </conditionalFormatting>
  <conditionalFormatting sqref="D19:X19">
    <cfRule type="containsErrors" dxfId="848" priority="50">
      <formula>ISERROR(D19)</formula>
    </cfRule>
  </conditionalFormatting>
  <conditionalFormatting sqref="D19:X19">
    <cfRule type="colorScale" priority="49">
      <colorScale>
        <cfvo type="min"/>
        <cfvo type="max"/>
        <color rgb="FFFCFCFF"/>
        <color rgb="FFF8696B"/>
      </colorScale>
    </cfRule>
  </conditionalFormatting>
  <conditionalFormatting sqref="D20:X20">
    <cfRule type="containsErrors" dxfId="847" priority="47">
      <formula>ISERROR(D20)</formula>
    </cfRule>
  </conditionalFormatting>
  <conditionalFormatting sqref="D20:X20">
    <cfRule type="colorScale" priority="46">
      <colorScale>
        <cfvo type="min"/>
        <cfvo type="max"/>
        <color rgb="FFFCFCFF"/>
        <color rgb="FFF8696B"/>
      </colorScale>
    </cfRule>
  </conditionalFormatting>
  <conditionalFormatting sqref="D21:X21">
    <cfRule type="containsErrors" dxfId="846" priority="44">
      <formula>ISERROR(D21)</formula>
    </cfRule>
  </conditionalFormatting>
  <conditionalFormatting sqref="D21:X21">
    <cfRule type="colorScale" priority="43">
      <colorScale>
        <cfvo type="min"/>
        <cfvo type="max"/>
        <color rgb="FFFCFCFF"/>
        <color rgb="FFF8696B"/>
      </colorScale>
    </cfRule>
  </conditionalFormatting>
  <conditionalFormatting sqref="D22:X22">
    <cfRule type="containsErrors" dxfId="845" priority="41">
      <formula>ISERROR(D22)</formula>
    </cfRule>
  </conditionalFormatting>
  <conditionalFormatting sqref="D22:X22">
    <cfRule type="colorScale" priority="40">
      <colorScale>
        <cfvo type="min"/>
        <cfvo type="max"/>
        <color rgb="FFFCFCFF"/>
        <color rgb="FFF8696B"/>
      </colorScale>
    </cfRule>
  </conditionalFormatting>
  <conditionalFormatting sqref="D23:X23">
    <cfRule type="containsErrors" dxfId="844" priority="38">
      <formula>ISERROR(D23)</formula>
    </cfRule>
  </conditionalFormatting>
  <conditionalFormatting sqref="D23:X23">
    <cfRule type="colorScale" priority="37">
      <colorScale>
        <cfvo type="min"/>
        <cfvo type="max"/>
        <color rgb="FFFCFCFF"/>
        <color rgb="FFF8696B"/>
      </colorScale>
    </cfRule>
  </conditionalFormatting>
  <conditionalFormatting sqref="D24:X24">
    <cfRule type="containsErrors" dxfId="843" priority="35">
      <formula>ISERROR(D24)</formula>
    </cfRule>
  </conditionalFormatting>
  <conditionalFormatting sqref="D24:X24">
    <cfRule type="colorScale" priority="34">
      <colorScale>
        <cfvo type="min"/>
        <cfvo type="max"/>
        <color rgb="FFFCFCFF"/>
        <color rgb="FFF8696B"/>
      </colorScale>
    </cfRule>
  </conditionalFormatting>
  <conditionalFormatting sqref="D25:X25">
    <cfRule type="containsErrors" dxfId="842" priority="32">
      <formula>ISERROR(D25)</formula>
    </cfRule>
  </conditionalFormatting>
  <conditionalFormatting sqref="D25:X25">
    <cfRule type="colorScale" priority="31">
      <colorScale>
        <cfvo type="min"/>
        <cfvo type="max"/>
        <color rgb="FFFCFCFF"/>
        <color rgb="FFF8696B"/>
      </colorScale>
    </cfRule>
  </conditionalFormatting>
  <conditionalFormatting sqref="D26:X26">
    <cfRule type="containsErrors" dxfId="841" priority="29">
      <formula>ISERROR(D26)</formula>
    </cfRule>
  </conditionalFormatting>
  <conditionalFormatting sqref="D26:X26">
    <cfRule type="colorScale" priority="28">
      <colorScale>
        <cfvo type="min"/>
        <cfvo type="max"/>
        <color rgb="FFFCFCFF"/>
        <color rgb="FFF8696B"/>
      </colorScale>
    </cfRule>
  </conditionalFormatting>
  <conditionalFormatting sqref="D27:X27">
    <cfRule type="containsErrors" dxfId="840" priority="26">
      <formula>ISERROR(D27)</formula>
    </cfRule>
  </conditionalFormatting>
  <conditionalFormatting sqref="D27:X27">
    <cfRule type="colorScale" priority="25">
      <colorScale>
        <cfvo type="min"/>
        <cfvo type="max"/>
        <color rgb="FFFCFCFF"/>
        <color rgb="FFF8696B"/>
      </colorScale>
    </cfRule>
  </conditionalFormatting>
  <conditionalFormatting sqref="D28:X28">
    <cfRule type="containsErrors" dxfId="839" priority="23">
      <formula>ISERROR(D28)</formula>
    </cfRule>
  </conditionalFormatting>
  <conditionalFormatting sqref="D28:X28">
    <cfRule type="colorScale" priority="22">
      <colorScale>
        <cfvo type="min"/>
        <cfvo type="max"/>
        <color rgb="FFFCFCFF"/>
        <color rgb="FFF8696B"/>
      </colorScale>
    </cfRule>
  </conditionalFormatting>
  <conditionalFormatting sqref="D29:X29">
    <cfRule type="containsErrors" dxfId="838" priority="20">
      <formula>ISERROR(D29)</formula>
    </cfRule>
  </conditionalFormatting>
  <conditionalFormatting sqref="D29:X29">
    <cfRule type="colorScale" priority="19">
      <colorScale>
        <cfvo type="min"/>
        <cfvo type="max"/>
        <color rgb="FFFCFCFF"/>
        <color rgb="FFF8696B"/>
      </colorScale>
    </cfRule>
  </conditionalFormatting>
  <conditionalFormatting sqref="D30:X30">
    <cfRule type="containsErrors" dxfId="837" priority="17">
      <formula>ISERROR(D30)</formula>
    </cfRule>
  </conditionalFormatting>
  <conditionalFormatting sqref="D30:X30">
    <cfRule type="colorScale" priority="16">
      <colorScale>
        <cfvo type="min"/>
        <cfvo type="max"/>
        <color rgb="FFFCFCFF"/>
        <color rgb="FFF8696B"/>
      </colorScale>
    </cfRule>
  </conditionalFormatting>
  <conditionalFormatting sqref="D31:X31">
    <cfRule type="containsErrors" dxfId="836" priority="14">
      <formula>ISERROR(D31)</formula>
    </cfRule>
  </conditionalFormatting>
  <conditionalFormatting sqref="D31:X31">
    <cfRule type="colorScale" priority="13">
      <colorScale>
        <cfvo type="min"/>
        <cfvo type="max"/>
        <color rgb="FFFCFCFF"/>
        <color rgb="FFF8696B"/>
      </colorScale>
    </cfRule>
  </conditionalFormatting>
  <conditionalFormatting sqref="AC3:AG3">
    <cfRule type="containsErrors" dxfId="835" priority="6">
      <formula>ISERROR(AC3)</formula>
    </cfRule>
  </conditionalFormatting>
  <conditionalFormatting sqref="AC2:AG2">
    <cfRule type="containsErrors" dxfId="834" priority="5">
      <formula>ISERROR(AC2)</formula>
    </cfRule>
  </conditionalFormatting>
  <conditionalFormatting sqref="D32:X32">
    <cfRule type="expression" dxfId="833" priority="4">
      <formula>$B32=$AC$4</formula>
    </cfRule>
  </conditionalFormatting>
  <conditionalFormatting sqref="D32:X32">
    <cfRule type="containsErrors" dxfId="832" priority="3">
      <formula>ISERROR(D32)</formula>
    </cfRule>
  </conditionalFormatting>
  <conditionalFormatting sqref="D32:X32">
    <cfRule type="colorScale" priority="2">
      <colorScale>
        <cfvo type="min"/>
        <cfvo type="max"/>
        <color rgb="FFFCFCFF"/>
        <color rgb="FFF8696B"/>
      </colorScale>
    </cfRule>
  </conditionalFormatting>
  <conditionalFormatting sqref="A183:A215">
    <cfRule type="containsErrors" dxfId="831" priority="1">
      <formula>ISERROR(A183)</formula>
    </cfRule>
  </conditionalFormatting>
  <hyperlinks>
    <hyperlink ref="B146:H147" location="IDACI!A1" display="IDACI" xr:uid="{0728B091-E8DC-4B2C-A20F-96D43A0F790F}"/>
    <hyperlink ref="B170:I171" location="ROSGO!A1" display="Child Arrangement &amp; Special Guardianship Orders" xr:uid="{F675F799-9AA7-481B-BC6E-2C2ACC212501}"/>
    <hyperlink ref="B150:G151" location="EH_Referrals!A1" display="Early Help Referrals" xr:uid="{7BA3753C-046A-4F77-BB60-3DB625AE4D4E}"/>
    <hyperlink ref="B170:E171" location="ROSGO!A1" display="Child Arrangement &amp; Special Guardianship Orders" xr:uid="{1BA3F2B5-72A9-42A3-B6BE-564363A9C636}"/>
    <hyperlink ref="B150:E151" location="EH_Referrals!A1" display="Early Help Referrals" xr:uid="{ABFF6B35-7DFB-41F1-962D-8D606A6BF591}"/>
    <hyperlink ref="B148:D149" location="IDACI!A1" display="IDACI" xr:uid="{BDC3DFFC-CA7E-4B90-98ED-9BCE24B9AECE}"/>
    <hyperlink ref="B144:D145" location="Indicators!A1" display="Indicators" xr:uid="{C80892CA-95CD-4049-A8F1-6DED194EF4B3}"/>
    <hyperlink ref="B172:D173" location="New_Ceased_LAC!A1" display="New/ Ceased Looked After Children" xr:uid="{9AE43E14-86B6-4C20-B04A-D6C0E78E4DD7}"/>
    <hyperlink ref="B176:D177" location="Care_Leavers!A1" display="Care Leavers" xr:uid="{A8D5F8E6-81B2-4AF0-A5EF-C954543DF991}"/>
    <hyperlink ref="B180:D181" location="Offending!A1" display="Offending" xr:uid="{114B3039-C596-408F-9931-44154CCAB13B}"/>
    <hyperlink ref="B178:D179" location="EHCP!A1" display="Education Health and Care Plans (EHCP)" xr:uid="{1711E819-2D0C-424B-8722-8DA929E701B1}"/>
    <hyperlink ref="B146:B147" location="Coverage!A1" display="Participating LA's" xr:uid="{E6ACB0D5-B6B5-4260-BBE5-3942D323EBEB}"/>
    <hyperlink ref="B148:B149" location="IDACI!A1" display="IDACI" xr:uid="{04770205-A188-4DB8-A151-B35CD218B4FF}"/>
    <hyperlink ref="B174:B175" location="Adoption!A1" display="Adoption" xr:uid="{5D24B04D-ABAF-48CD-A4ED-6121A908DC3C}"/>
    <hyperlink ref="B170:B171" location="'Looked After Children'!A1" display="Looked After Children" xr:uid="{1B60680A-350D-475E-8B15-43C65791272C}"/>
    <hyperlink ref="B168:B169" location="'Court Applications'!A1" display="Court Applications" xr:uid="{D2C09A9B-2D53-4CB1-9DA1-535F816D05E1}"/>
    <hyperlink ref="B166:B167" location="'Child Protection Plans'!A1" display="Child Protection Plans" xr:uid="{0DBD89C8-CA16-4EA2-9F86-FFEF37F5605D}"/>
    <hyperlink ref="B164:B165" location="'Initial CP Conferences'!A1" display="Initial Child Protection Conferences" xr:uid="{04506C9A-7AE5-44A5-B490-4B55E9593065}"/>
    <hyperlink ref="B162:B163" location="'Section 47 Enquiries'!A1" display="Section 47 Enquiries" xr:uid="{6646F4D4-256D-43D6-9C77-4BBCAAB10987}"/>
    <hyperlink ref="B160:B161" location="'Children in Need'!A1" display="Children in Need" xr:uid="{B5BC291E-5AAB-425D-9F22-74075CA21847}"/>
    <hyperlink ref="B158:B159" location="Assessments!A1" display="Assessments" xr:uid="{82578FDA-1E17-4302-816D-14CAE1F4EC7F}"/>
    <hyperlink ref="B156:B157" location="'Re-referrals'!A1" display="Re-referrals" xr:uid="{2359C6B6-538E-4844-884C-0000B99412B4}"/>
    <hyperlink ref="B154:B155" location="Referral_Source!A1" display="Referral Source" xr:uid="{A016EFB0-BE08-4E29-9EED-D025865100BA}"/>
    <hyperlink ref="B152:B153" location="Referrals!A1" display="Referrals" xr:uid="{0C3F03BA-54FF-4364-BD12-9BE203D8B52E}"/>
    <hyperlink ref="B150:B151" location="Population!A1" display="Population" xr:uid="{8A61E685-A6C8-433E-BB41-E4F7A943F588}"/>
    <hyperlink ref="B148:C149" location="IDACI!A1" display="IDACI" xr:uid="{FD7403EC-3A3D-46A6-A345-98B3EFF40AFB}"/>
    <hyperlink ref="B144:B145" location="Coverage!A1" display="Participating LA's" xr:uid="{46BD5C3F-83E9-4B24-B15D-0057BD8C9C2E}"/>
    <hyperlink ref="B144:C145" location="Indicators!A1" display="Indicators" xr:uid="{2E9DE5A3-C176-40B7-BD1D-747242794C76}"/>
    <hyperlink ref="B176:B177" location="'Looked After Children'!A1" display="Looked After Children" xr:uid="{A952A6AF-546A-4FDB-B0B2-19AE57680289}"/>
    <hyperlink ref="B172:B173" location="'Court Applications'!A1" display="Court Applications" xr:uid="{8F3AE93A-BB5F-4792-813B-09A1FE2A4757}"/>
    <hyperlink ref="B172:C173" location="New_Ceased_LAC!A1" display="New/ Ceased Looked After Children" xr:uid="{E9FDBB46-0806-47C8-BB91-DAD3C69A2166}"/>
    <hyperlink ref="B176:C177" location="Care_Leavers!A1" display="Care Leavers" xr:uid="{8CFBBBC3-AE63-4AEC-A57D-91041561BE7F}"/>
    <hyperlink ref="B179:B181" location="Adoption!A1" display="Adoption" xr:uid="{9DE993B5-FE41-4F18-8BDA-BF00EF2CAC48}"/>
    <hyperlink ref="B180:B181" location="'Looked After Children'!A1" display="Looked After Children" xr:uid="{D094BA39-C68B-48F1-A5FE-CA9420F2395E}"/>
    <hyperlink ref="B180:C181" location="Offending!A1" display="Offending" xr:uid="{A93F9EEB-CA43-4E6E-A4EE-AE36CF0F5A1A}"/>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1" manualBreakCount="1">
    <brk id="70" max="24" man="1"/>
  </rowBreaks>
  <ignoredErrors>
    <ignoredError sqref="A41:A62 A9:A30" evalError="1"/>
  </ignoredErrors>
  <drawing r:id="rId2"/>
  <extLst>
    <ext xmlns:x14="http://schemas.microsoft.com/office/spreadsheetml/2009/9/main" uri="{05C60535-1F16-4fd2-B633-F4F36F0B64E0}">
      <x14:sparklineGroups xmlns:xm="http://schemas.microsoft.com/office/excel/2006/main">
        <x14:sparklineGroup displayEmptyCellsAs="gap" displayHidden="1" xr2:uid="{00000000-0003-0000-1200-000009000000}">
          <x14:colorSeries rgb="FF000000"/>
          <x14:colorNegative rgb="FF0070C0"/>
          <x14:colorAxis rgb="FF000000"/>
          <x14:colorMarkers rgb="FF0070C0"/>
          <x14:colorFirst rgb="FF0070C0"/>
          <x14:colorLast rgb="FF0070C0"/>
          <x14:colorHigh rgb="FF0070C0"/>
          <x14:colorLow rgb="FF0070C0"/>
          <x14:sparklines>
            <x14:sparkline>
              <xm:f>Referral_Source!AG138:AK138</xm:f>
              <xm:sqref>F111</xm:sqref>
            </x14:sparkline>
            <x14:sparkline>
              <xm:f>Referral_Source!AG139:AK139</xm:f>
              <xm:sqref>F112</xm:sqref>
            </x14:sparkline>
            <x14:sparkline>
              <xm:f>Referral_Source!AG140:AK140</xm:f>
              <xm:sqref>F113</xm:sqref>
            </x14:sparkline>
            <x14:sparkline>
              <xm:f>Referral_Source!AG141:AK141</xm:f>
              <xm:sqref>F114</xm:sqref>
            </x14:sparkline>
            <x14:sparkline>
              <xm:f>Referral_Source!AG142:AK142</xm:f>
              <xm:sqref>F115</xm:sqref>
            </x14:sparkline>
            <x14:sparkline>
              <xm:f>Referral_Source!AG143:AK143</xm:f>
              <xm:sqref>F116</xm:sqref>
            </x14:sparkline>
            <x14:sparkline>
              <xm:f>Referral_Source!AG144:AK144</xm:f>
              <xm:sqref>F117</xm:sqref>
            </x14:sparkline>
            <x14:sparkline>
              <xm:f>Referral_Source!AG145:AK145</xm:f>
              <xm:sqref>F118</xm:sqref>
            </x14:sparkline>
            <x14:sparkline>
              <xm:f>Referral_Source!AG146:AK146</xm:f>
              <xm:sqref>F119</xm:sqref>
            </x14:sparkline>
            <x14:sparkline>
              <xm:f>Referral_Source!AG147:AK147</xm:f>
              <xm:sqref>F120</xm:sqref>
            </x14:sparkline>
            <x14:sparkline>
              <xm:f>Referral_Source!AG148:AK148</xm:f>
              <xm:sqref>F121</xm:sqref>
            </x14:sparkline>
            <x14:sparkline>
              <xm:f>Referral_Source!AG149:AK149</xm:f>
              <xm:sqref>F122</xm:sqref>
            </x14:sparkline>
            <x14:sparkline>
              <xm:f>Referral_Source!AG150:AK150</xm:f>
              <xm:sqref>F123</xm:sqref>
            </x14:sparkline>
            <x14:sparkline>
              <xm:f>Referral_Source!AG151:AK151</xm:f>
              <xm:sqref>F124</xm:sqref>
            </x14:sparkline>
            <x14:sparkline>
              <xm:f>Referral_Source!AG152:AK152</xm:f>
              <xm:sqref>F125</xm:sqref>
            </x14:sparkline>
            <x14:sparkline>
              <xm:f>Referral_Source!AG153:AK153</xm:f>
              <xm:sqref>F126</xm:sqref>
            </x14:sparkline>
            <x14:sparkline>
              <xm:f>Referral_Source!AG154:AK154</xm:f>
              <xm:sqref>F127</xm:sqref>
            </x14:sparkline>
            <x14:sparkline>
              <xm:f>Referral_Source!AG155:AK155</xm:f>
              <xm:sqref>F128</xm:sqref>
            </x14:sparkline>
            <x14:sparkline>
              <xm:f>Referral_Source!AG156:AK156</xm:f>
              <xm:sqref>F129</xm:sqref>
            </x14:sparkline>
            <x14:sparkline>
              <xm:f>Referral_Source!AG157:AK157</xm:f>
              <xm:sqref>F130</xm:sqref>
            </x14:sparkline>
            <x14:sparkline>
              <xm:f>Referral_Source!AG158:AK158</xm:f>
              <xm:sqref>F131</xm:sqref>
            </x14:sparkline>
            <x14:sparkline>
              <xm:f>Referral_Source!AG159:AK159</xm:f>
              <xm:sqref>F132</xm:sqref>
            </x14:sparkline>
            <x14:sparkline>
              <xm:f>Referral_Source!AG160:AK160</xm:f>
              <xm:sqref>F133</xm:sqref>
            </x14:sparkline>
            <x14:sparkline>
              <xm:f>Referral_Source!AG161:AK161</xm:f>
              <xm:sqref>F134</xm:sqref>
            </x14:sparkline>
          </x14:sparklines>
        </x14:sparklineGroup>
        <x14:sparklineGroup displayEmptyCellsAs="gap" displayHidden="1" xr2:uid="{00000000-0003-0000-1200-000008000000}">
          <x14:colorSeries rgb="FF000000"/>
          <x14:colorNegative rgb="FF0070C0"/>
          <x14:colorAxis rgb="FF000000"/>
          <x14:colorMarkers rgb="FF0070C0"/>
          <x14:colorFirst rgb="FF0070C0"/>
          <x14:colorLast rgb="FF0070C0"/>
          <x14:colorHigh rgb="FF0070C0"/>
          <x14:colorLow rgb="FF0070C0"/>
          <x14:sparklines>
            <x14:sparkline>
              <xm:f>Referral_Source!AB138:AF138</xm:f>
              <xm:sqref>D111</xm:sqref>
            </x14:sparkline>
            <x14:sparkline>
              <xm:f>Referral_Source!AB139:AF139</xm:f>
              <xm:sqref>D112</xm:sqref>
            </x14:sparkline>
            <x14:sparkline>
              <xm:f>Referral_Source!AB140:AF140</xm:f>
              <xm:sqref>D113</xm:sqref>
            </x14:sparkline>
            <x14:sparkline>
              <xm:f>Referral_Source!AB141:AF141</xm:f>
              <xm:sqref>D114</xm:sqref>
            </x14:sparkline>
            <x14:sparkline>
              <xm:f>Referral_Source!AB142:AF142</xm:f>
              <xm:sqref>D115</xm:sqref>
            </x14:sparkline>
            <x14:sparkline>
              <xm:f>Referral_Source!AB143:AF143</xm:f>
              <xm:sqref>D116</xm:sqref>
            </x14:sparkline>
            <x14:sparkline>
              <xm:f>Referral_Source!AB144:AF144</xm:f>
              <xm:sqref>D117</xm:sqref>
            </x14:sparkline>
            <x14:sparkline>
              <xm:f>Referral_Source!AB145:AF145</xm:f>
              <xm:sqref>D118</xm:sqref>
            </x14:sparkline>
            <x14:sparkline>
              <xm:f>Referral_Source!AB146:AF146</xm:f>
              <xm:sqref>D119</xm:sqref>
            </x14:sparkline>
            <x14:sparkline>
              <xm:f>Referral_Source!AB147:AF147</xm:f>
              <xm:sqref>D120</xm:sqref>
            </x14:sparkline>
            <x14:sparkline>
              <xm:f>Referral_Source!AB148:AF148</xm:f>
              <xm:sqref>D121</xm:sqref>
            </x14:sparkline>
            <x14:sparkline>
              <xm:f>Referral_Source!AB149:AF149</xm:f>
              <xm:sqref>D122</xm:sqref>
            </x14:sparkline>
            <x14:sparkline>
              <xm:f>Referral_Source!AB150:AF150</xm:f>
              <xm:sqref>D123</xm:sqref>
            </x14:sparkline>
            <x14:sparkline>
              <xm:f>Referral_Source!AB151:AF151</xm:f>
              <xm:sqref>D124</xm:sqref>
            </x14:sparkline>
            <x14:sparkline>
              <xm:f>Referral_Source!AB152:AF152</xm:f>
              <xm:sqref>D125</xm:sqref>
            </x14:sparkline>
            <x14:sparkline>
              <xm:f>Referral_Source!AB153:AF153</xm:f>
              <xm:sqref>D126</xm:sqref>
            </x14:sparkline>
            <x14:sparkline>
              <xm:f>Referral_Source!AB154:AF154</xm:f>
              <xm:sqref>D127</xm:sqref>
            </x14:sparkline>
            <x14:sparkline>
              <xm:f>Referral_Source!AB155:AF155</xm:f>
              <xm:sqref>D128</xm:sqref>
            </x14:sparkline>
            <x14:sparkline>
              <xm:f>Referral_Source!AB156:AF156</xm:f>
              <xm:sqref>D129</xm:sqref>
            </x14:sparkline>
            <x14:sparkline>
              <xm:f>Referral_Source!AB157:AF157</xm:f>
              <xm:sqref>D130</xm:sqref>
            </x14:sparkline>
            <x14:sparkline>
              <xm:f>Referral_Source!AB158:AF158</xm:f>
              <xm:sqref>D131</xm:sqref>
            </x14:sparkline>
            <x14:sparkline>
              <xm:f>Referral_Source!AB159:AF159</xm:f>
              <xm:sqref>D132</xm:sqref>
            </x14:sparkline>
            <x14:sparkline>
              <xm:f>Referral_Source!AB160:AF160</xm:f>
              <xm:sqref>D133</xm:sqref>
            </x14:sparkline>
            <x14:sparkline>
              <xm:f>Referral_Source!AB161:AF161</xm:f>
              <xm:sqref>D134</xm:sqref>
            </x14:sparkline>
          </x14:sparklines>
        </x14:sparklineGroup>
        <x14:sparklineGroup displayEmptyCellsAs="gap" displayHidden="1" xr2:uid="{00000000-0003-0000-1200-000007000000}">
          <x14:colorSeries rgb="FF000000"/>
          <x14:colorNegative rgb="FF0070C0"/>
          <x14:colorAxis rgb="FF000000"/>
          <x14:colorMarkers rgb="FF0070C0"/>
          <x14:colorFirst rgb="FF0070C0"/>
          <x14:colorLast rgb="FF0070C0"/>
          <x14:colorHigh rgb="FF0070C0"/>
          <x14:colorLow rgb="FF0070C0"/>
          <x14:sparklines>
            <x14:sparkline>
              <xm:f>Referral_Source!AL138:AP138</xm:f>
              <xm:sqref>H111</xm:sqref>
            </x14:sparkline>
            <x14:sparkline>
              <xm:f>Referral_Source!AL139:AP139</xm:f>
              <xm:sqref>H112</xm:sqref>
            </x14:sparkline>
            <x14:sparkline>
              <xm:f>Referral_Source!AL140:AP140</xm:f>
              <xm:sqref>H113</xm:sqref>
            </x14:sparkline>
            <x14:sparkline>
              <xm:f>Referral_Source!AL141:AP141</xm:f>
              <xm:sqref>H114</xm:sqref>
            </x14:sparkline>
            <x14:sparkline>
              <xm:f>Referral_Source!AL142:AP142</xm:f>
              <xm:sqref>H115</xm:sqref>
            </x14:sparkline>
            <x14:sparkline>
              <xm:f>Referral_Source!AL143:AP143</xm:f>
              <xm:sqref>H116</xm:sqref>
            </x14:sparkline>
            <x14:sparkline>
              <xm:f>Referral_Source!AL144:AP144</xm:f>
              <xm:sqref>H117</xm:sqref>
            </x14:sparkline>
            <x14:sparkline>
              <xm:f>Referral_Source!AL145:AP145</xm:f>
              <xm:sqref>H118</xm:sqref>
            </x14:sparkline>
            <x14:sparkline>
              <xm:f>Referral_Source!AL146:AP146</xm:f>
              <xm:sqref>H119</xm:sqref>
            </x14:sparkline>
            <x14:sparkline>
              <xm:f>Referral_Source!AL147:AP147</xm:f>
              <xm:sqref>H120</xm:sqref>
            </x14:sparkline>
            <x14:sparkline>
              <xm:f>Referral_Source!AL148:AP148</xm:f>
              <xm:sqref>H121</xm:sqref>
            </x14:sparkline>
            <x14:sparkline>
              <xm:f>Referral_Source!AL149:AP149</xm:f>
              <xm:sqref>H122</xm:sqref>
            </x14:sparkline>
            <x14:sparkline>
              <xm:f>Referral_Source!AL150:AP150</xm:f>
              <xm:sqref>H123</xm:sqref>
            </x14:sparkline>
            <x14:sparkline>
              <xm:f>Referral_Source!AL151:AP151</xm:f>
              <xm:sqref>H124</xm:sqref>
            </x14:sparkline>
            <x14:sparkline>
              <xm:f>Referral_Source!AL152:AP152</xm:f>
              <xm:sqref>H125</xm:sqref>
            </x14:sparkline>
            <x14:sparkline>
              <xm:f>Referral_Source!AL153:AP153</xm:f>
              <xm:sqref>H126</xm:sqref>
            </x14:sparkline>
            <x14:sparkline>
              <xm:f>Referral_Source!AL154:AP154</xm:f>
              <xm:sqref>H127</xm:sqref>
            </x14:sparkline>
            <x14:sparkline>
              <xm:f>Referral_Source!AL155:AP155</xm:f>
              <xm:sqref>H128</xm:sqref>
            </x14:sparkline>
            <x14:sparkline>
              <xm:f>Referral_Source!AL156:AP156</xm:f>
              <xm:sqref>H129</xm:sqref>
            </x14:sparkline>
            <x14:sparkline>
              <xm:f>Referral_Source!AL157:AP157</xm:f>
              <xm:sqref>H130</xm:sqref>
            </x14:sparkline>
            <x14:sparkline>
              <xm:f>Referral_Source!AL158:AP158</xm:f>
              <xm:sqref>H131</xm:sqref>
            </x14:sparkline>
            <x14:sparkline>
              <xm:f>Referral_Source!AL159:AP159</xm:f>
              <xm:sqref>H132</xm:sqref>
            </x14:sparkline>
            <x14:sparkline>
              <xm:f>Referral_Source!AL160:AP160</xm:f>
              <xm:sqref>H133</xm:sqref>
            </x14:sparkline>
            <x14:sparkline>
              <xm:f>Referral_Source!AL161:AP161</xm:f>
              <xm:sqref>H134</xm:sqref>
            </x14:sparkline>
          </x14:sparklines>
        </x14:sparklineGroup>
        <x14:sparklineGroup displayEmptyCellsAs="gap" displayHidden="1" xr2:uid="{00000000-0003-0000-1200-000006000000}">
          <x14:colorSeries rgb="FF000000"/>
          <x14:colorNegative rgb="FF0070C0"/>
          <x14:colorAxis rgb="FF000000"/>
          <x14:colorMarkers rgb="FF0070C0"/>
          <x14:colorFirst rgb="FF0070C0"/>
          <x14:colorLast rgb="FF0070C0"/>
          <x14:colorHigh rgb="FF0070C0"/>
          <x14:colorLow rgb="FF0070C0"/>
          <x14:sparklines>
            <x14:sparkline>
              <xm:f>Referral_Source!AQ138:AU138</xm:f>
              <xm:sqref>J111</xm:sqref>
            </x14:sparkline>
            <x14:sparkline>
              <xm:f>Referral_Source!AQ139:AU139</xm:f>
              <xm:sqref>J112</xm:sqref>
            </x14:sparkline>
            <x14:sparkline>
              <xm:f>Referral_Source!AQ140:AU140</xm:f>
              <xm:sqref>J113</xm:sqref>
            </x14:sparkline>
            <x14:sparkline>
              <xm:f>Referral_Source!AQ141:AU141</xm:f>
              <xm:sqref>J114</xm:sqref>
            </x14:sparkline>
            <x14:sparkline>
              <xm:f>Referral_Source!AQ142:AU142</xm:f>
              <xm:sqref>J115</xm:sqref>
            </x14:sparkline>
            <x14:sparkline>
              <xm:f>Referral_Source!AQ143:AU143</xm:f>
              <xm:sqref>J116</xm:sqref>
            </x14:sparkline>
            <x14:sparkline>
              <xm:f>Referral_Source!AQ144:AU144</xm:f>
              <xm:sqref>J117</xm:sqref>
            </x14:sparkline>
            <x14:sparkline>
              <xm:f>Referral_Source!AQ145:AU145</xm:f>
              <xm:sqref>J118</xm:sqref>
            </x14:sparkline>
            <x14:sparkline>
              <xm:f>Referral_Source!AQ146:AU146</xm:f>
              <xm:sqref>J119</xm:sqref>
            </x14:sparkline>
            <x14:sparkline>
              <xm:f>Referral_Source!AQ147:AU147</xm:f>
              <xm:sqref>J120</xm:sqref>
            </x14:sparkline>
            <x14:sparkline>
              <xm:f>Referral_Source!AQ148:AU148</xm:f>
              <xm:sqref>J121</xm:sqref>
            </x14:sparkline>
            <x14:sparkline>
              <xm:f>Referral_Source!AQ149:AU149</xm:f>
              <xm:sqref>J122</xm:sqref>
            </x14:sparkline>
            <x14:sparkline>
              <xm:f>Referral_Source!AQ150:AU150</xm:f>
              <xm:sqref>J123</xm:sqref>
            </x14:sparkline>
            <x14:sparkline>
              <xm:f>Referral_Source!AQ151:AU151</xm:f>
              <xm:sqref>J124</xm:sqref>
            </x14:sparkline>
            <x14:sparkline>
              <xm:f>Referral_Source!AQ152:AU152</xm:f>
              <xm:sqref>J125</xm:sqref>
            </x14:sparkline>
            <x14:sparkline>
              <xm:f>Referral_Source!AQ153:AU153</xm:f>
              <xm:sqref>J126</xm:sqref>
            </x14:sparkline>
            <x14:sparkline>
              <xm:f>Referral_Source!AQ154:AU154</xm:f>
              <xm:sqref>J127</xm:sqref>
            </x14:sparkline>
            <x14:sparkline>
              <xm:f>Referral_Source!AQ155:AU155</xm:f>
              <xm:sqref>J128</xm:sqref>
            </x14:sparkline>
            <x14:sparkline>
              <xm:f>Referral_Source!AQ156:AU156</xm:f>
              <xm:sqref>J129</xm:sqref>
            </x14:sparkline>
            <x14:sparkline>
              <xm:f>Referral_Source!AQ157:AU157</xm:f>
              <xm:sqref>J130</xm:sqref>
            </x14:sparkline>
            <x14:sparkline>
              <xm:f>Referral_Source!AQ158:AU158</xm:f>
              <xm:sqref>J131</xm:sqref>
            </x14:sparkline>
            <x14:sparkline>
              <xm:f>Referral_Source!AQ159:AU159</xm:f>
              <xm:sqref>J132</xm:sqref>
            </x14:sparkline>
            <x14:sparkline>
              <xm:f>Referral_Source!AQ160:AU160</xm:f>
              <xm:sqref>J133</xm:sqref>
            </x14:sparkline>
            <x14:sparkline>
              <xm:f>Referral_Source!AQ161:AU161</xm:f>
              <xm:sqref>J134</xm:sqref>
            </x14:sparkline>
          </x14:sparklines>
        </x14:sparklineGroup>
        <x14:sparklineGroup displayEmptyCellsAs="gap" displayHidden="1" xr2:uid="{00000000-0003-0000-1200-000005000000}">
          <x14:colorSeries rgb="FF000000"/>
          <x14:colorNegative rgb="FF0070C0"/>
          <x14:colorAxis rgb="FF000000"/>
          <x14:colorMarkers rgb="FF0070C0"/>
          <x14:colorFirst rgb="FF0070C0"/>
          <x14:colorLast rgb="FF0070C0"/>
          <x14:colorHigh rgb="FF0070C0"/>
          <x14:colorLow rgb="FF0070C0"/>
          <x14:sparklines>
            <x14:sparkline>
              <xm:f>Referral_Source!AV138:AZ138</xm:f>
              <xm:sqref>L111</xm:sqref>
            </x14:sparkline>
            <x14:sparkline>
              <xm:f>Referral_Source!AV139:AZ139</xm:f>
              <xm:sqref>L112</xm:sqref>
            </x14:sparkline>
            <x14:sparkline>
              <xm:f>Referral_Source!AV140:AZ140</xm:f>
              <xm:sqref>L113</xm:sqref>
            </x14:sparkline>
            <x14:sparkline>
              <xm:f>Referral_Source!AV141:AZ141</xm:f>
              <xm:sqref>L114</xm:sqref>
            </x14:sparkline>
            <x14:sparkline>
              <xm:f>Referral_Source!AV142:AZ142</xm:f>
              <xm:sqref>L115</xm:sqref>
            </x14:sparkline>
            <x14:sparkline>
              <xm:f>Referral_Source!AV143:AZ143</xm:f>
              <xm:sqref>L116</xm:sqref>
            </x14:sparkline>
            <x14:sparkline>
              <xm:f>Referral_Source!AV144:AZ144</xm:f>
              <xm:sqref>L117</xm:sqref>
            </x14:sparkline>
            <x14:sparkline>
              <xm:f>Referral_Source!AV145:AZ145</xm:f>
              <xm:sqref>L118</xm:sqref>
            </x14:sparkline>
            <x14:sparkline>
              <xm:f>Referral_Source!AV146:AZ146</xm:f>
              <xm:sqref>L119</xm:sqref>
            </x14:sparkline>
            <x14:sparkline>
              <xm:f>Referral_Source!AV147:AZ147</xm:f>
              <xm:sqref>L120</xm:sqref>
            </x14:sparkline>
            <x14:sparkline>
              <xm:f>Referral_Source!AV148:AZ148</xm:f>
              <xm:sqref>L121</xm:sqref>
            </x14:sparkline>
            <x14:sparkline>
              <xm:f>Referral_Source!AV149:AZ149</xm:f>
              <xm:sqref>L122</xm:sqref>
            </x14:sparkline>
            <x14:sparkline>
              <xm:f>Referral_Source!AV150:AZ150</xm:f>
              <xm:sqref>L123</xm:sqref>
            </x14:sparkline>
            <x14:sparkline>
              <xm:f>Referral_Source!AV151:AZ151</xm:f>
              <xm:sqref>L124</xm:sqref>
            </x14:sparkline>
            <x14:sparkline>
              <xm:f>Referral_Source!AV152:AZ152</xm:f>
              <xm:sqref>L125</xm:sqref>
            </x14:sparkline>
            <x14:sparkline>
              <xm:f>Referral_Source!AV153:AZ153</xm:f>
              <xm:sqref>L126</xm:sqref>
            </x14:sparkline>
            <x14:sparkline>
              <xm:f>Referral_Source!AV154:AZ154</xm:f>
              <xm:sqref>L127</xm:sqref>
            </x14:sparkline>
            <x14:sparkline>
              <xm:f>Referral_Source!AV155:AZ155</xm:f>
              <xm:sqref>L128</xm:sqref>
            </x14:sparkline>
            <x14:sparkline>
              <xm:f>Referral_Source!AV156:AZ156</xm:f>
              <xm:sqref>L129</xm:sqref>
            </x14:sparkline>
            <x14:sparkline>
              <xm:f>Referral_Source!AV157:AZ157</xm:f>
              <xm:sqref>L130</xm:sqref>
            </x14:sparkline>
            <x14:sparkline>
              <xm:f>Referral_Source!AV158:AZ158</xm:f>
              <xm:sqref>L131</xm:sqref>
            </x14:sparkline>
            <x14:sparkline>
              <xm:f>Referral_Source!AV159:AZ159</xm:f>
              <xm:sqref>L132</xm:sqref>
            </x14:sparkline>
            <x14:sparkline>
              <xm:f>Referral_Source!AV160:AZ160</xm:f>
              <xm:sqref>L133</xm:sqref>
            </x14:sparkline>
            <x14:sparkline>
              <xm:f>Referral_Source!AV161:AZ161</xm:f>
              <xm:sqref>L134</xm:sqref>
            </x14:sparkline>
          </x14:sparklines>
        </x14:sparklineGroup>
        <x14:sparklineGroup displayEmptyCellsAs="gap" displayHidden="1" xr2:uid="{00000000-0003-0000-1200-000004000000}">
          <x14:colorSeries rgb="FF000000"/>
          <x14:colorNegative rgb="FF0070C0"/>
          <x14:colorAxis rgb="FF000000"/>
          <x14:colorMarkers rgb="FF0070C0"/>
          <x14:colorFirst rgb="FF0070C0"/>
          <x14:colorLast rgb="FF0070C0"/>
          <x14:colorHigh rgb="FF0070C0"/>
          <x14:colorLow rgb="FF0070C0"/>
          <x14:sparklines>
            <x14:sparkline>
              <xm:f>Referral_Source!BA138:BE138</xm:f>
              <xm:sqref>N111</xm:sqref>
            </x14:sparkline>
            <x14:sparkline>
              <xm:f>Referral_Source!BA139:BE139</xm:f>
              <xm:sqref>N112</xm:sqref>
            </x14:sparkline>
            <x14:sparkline>
              <xm:f>Referral_Source!BA140:BE140</xm:f>
              <xm:sqref>N113</xm:sqref>
            </x14:sparkline>
            <x14:sparkline>
              <xm:f>Referral_Source!BA141:BE141</xm:f>
              <xm:sqref>N114</xm:sqref>
            </x14:sparkline>
            <x14:sparkline>
              <xm:f>Referral_Source!BA142:BE142</xm:f>
              <xm:sqref>N115</xm:sqref>
            </x14:sparkline>
            <x14:sparkline>
              <xm:f>Referral_Source!BA143:BE143</xm:f>
              <xm:sqref>N116</xm:sqref>
            </x14:sparkline>
            <x14:sparkline>
              <xm:f>Referral_Source!BA144:BE144</xm:f>
              <xm:sqref>N117</xm:sqref>
            </x14:sparkline>
            <x14:sparkline>
              <xm:f>Referral_Source!BA145:BE145</xm:f>
              <xm:sqref>N118</xm:sqref>
            </x14:sparkline>
            <x14:sparkline>
              <xm:f>Referral_Source!BA146:BE146</xm:f>
              <xm:sqref>N119</xm:sqref>
            </x14:sparkline>
            <x14:sparkline>
              <xm:f>Referral_Source!BA147:BE147</xm:f>
              <xm:sqref>N120</xm:sqref>
            </x14:sparkline>
            <x14:sparkline>
              <xm:f>Referral_Source!BA148:BE148</xm:f>
              <xm:sqref>N121</xm:sqref>
            </x14:sparkline>
            <x14:sparkline>
              <xm:f>Referral_Source!BA149:BE149</xm:f>
              <xm:sqref>N122</xm:sqref>
            </x14:sparkline>
            <x14:sparkline>
              <xm:f>Referral_Source!BA150:BE150</xm:f>
              <xm:sqref>N123</xm:sqref>
            </x14:sparkline>
            <x14:sparkline>
              <xm:f>Referral_Source!BA151:BE151</xm:f>
              <xm:sqref>N124</xm:sqref>
            </x14:sparkline>
            <x14:sparkline>
              <xm:f>Referral_Source!BA152:BE152</xm:f>
              <xm:sqref>N125</xm:sqref>
            </x14:sparkline>
            <x14:sparkline>
              <xm:f>Referral_Source!BA153:BE153</xm:f>
              <xm:sqref>N126</xm:sqref>
            </x14:sparkline>
            <x14:sparkline>
              <xm:f>Referral_Source!BA154:BE154</xm:f>
              <xm:sqref>N127</xm:sqref>
            </x14:sparkline>
            <x14:sparkline>
              <xm:f>Referral_Source!BA155:BE155</xm:f>
              <xm:sqref>N128</xm:sqref>
            </x14:sparkline>
            <x14:sparkline>
              <xm:f>Referral_Source!BA156:BE156</xm:f>
              <xm:sqref>N129</xm:sqref>
            </x14:sparkline>
            <x14:sparkline>
              <xm:f>Referral_Source!BA157:BE157</xm:f>
              <xm:sqref>N130</xm:sqref>
            </x14:sparkline>
            <x14:sparkline>
              <xm:f>Referral_Source!BA158:BE158</xm:f>
              <xm:sqref>N131</xm:sqref>
            </x14:sparkline>
            <x14:sparkline>
              <xm:f>Referral_Source!BA159:BE159</xm:f>
              <xm:sqref>N132</xm:sqref>
            </x14:sparkline>
            <x14:sparkline>
              <xm:f>Referral_Source!BA160:BE160</xm:f>
              <xm:sqref>N133</xm:sqref>
            </x14:sparkline>
            <x14:sparkline>
              <xm:f>Referral_Source!BA161:BE161</xm:f>
              <xm:sqref>N134</xm:sqref>
            </x14:sparkline>
          </x14:sparklines>
        </x14:sparklineGroup>
        <x14:sparklineGroup displayEmptyCellsAs="gap" displayHidden="1" xr2:uid="{00000000-0003-0000-1200-000003000000}">
          <x14:colorSeries rgb="FF000000"/>
          <x14:colorNegative rgb="FF0070C0"/>
          <x14:colorAxis rgb="FF000000"/>
          <x14:colorMarkers rgb="FF0070C0"/>
          <x14:colorFirst rgb="FF0070C0"/>
          <x14:colorLast rgb="FF0070C0"/>
          <x14:colorHigh rgb="FF0070C0"/>
          <x14:colorLow rgb="FF0070C0"/>
          <x14:sparklines>
            <x14:sparkline>
              <xm:f>Referral_Source!BF138:BJ138</xm:f>
              <xm:sqref>P111</xm:sqref>
            </x14:sparkline>
            <x14:sparkline>
              <xm:f>Referral_Source!BF139:BJ139</xm:f>
              <xm:sqref>P112</xm:sqref>
            </x14:sparkline>
            <x14:sparkline>
              <xm:f>Referral_Source!BF140:BJ140</xm:f>
              <xm:sqref>P113</xm:sqref>
            </x14:sparkline>
            <x14:sparkline>
              <xm:f>Referral_Source!BF141:BJ141</xm:f>
              <xm:sqref>P114</xm:sqref>
            </x14:sparkline>
            <x14:sparkline>
              <xm:f>Referral_Source!BF142:BJ142</xm:f>
              <xm:sqref>P115</xm:sqref>
            </x14:sparkline>
            <x14:sparkline>
              <xm:f>Referral_Source!BF143:BJ143</xm:f>
              <xm:sqref>P116</xm:sqref>
            </x14:sparkline>
            <x14:sparkline>
              <xm:f>Referral_Source!BF144:BJ144</xm:f>
              <xm:sqref>P117</xm:sqref>
            </x14:sparkline>
            <x14:sparkline>
              <xm:f>Referral_Source!BF145:BJ145</xm:f>
              <xm:sqref>P118</xm:sqref>
            </x14:sparkline>
            <x14:sparkline>
              <xm:f>Referral_Source!BF146:BJ146</xm:f>
              <xm:sqref>P119</xm:sqref>
            </x14:sparkline>
            <x14:sparkline>
              <xm:f>Referral_Source!BF147:BJ147</xm:f>
              <xm:sqref>P120</xm:sqref>
            </x14:sparkline>
            <x14:sparkline>
              <xm:f>Referral_Source!BF148:BJ148</xm:f>
              <xm:sqref>P121</xm:sqref>
            </x14:sparkline>
            <x14:sparkline>
              <xm:f>Referral_Source!BF149:BJ149</xm:f>
              <xm:sqref>P122</xm:sqref>
            </x14:sparkline>
            <x14:sparkline>
              <xm:f>Referral_Source!BF150:BJ150</xm:f>
              <xm:sqref>P123</xm:sqref>
            </x14:sparkline>
            <x14:sparkline>
              <xm:f>Referral_Source!BF151:BJ151</xm:f>
              <xm:sqref>P124</xm:sqref>
            </x14:sparkline>
            <x14:sparkline>
              <xm:f>Referral_Source!BF152:BJ152</xm:f>
              <xm:sqref>P125</xm:sqref>
            </x14:sparkline>
            <x14:sparkline>
              <xm:f>Referral_Source!BF153:BJ153</xm:f>
              <xm:sqref>P126</xm:sqref>
            </x14:sparkline>
            <x14:sparkline>
              <xm:f>Referral_Source!BF154:BJ154</xm:f>
              <xm:sqref>P127</xm:sqref>
            </x14:sparkline>
            <x14:sparkline>
              <xm:f>Referral_Source!BF155:BJ155</xm:f>
              <xm:sqref>P128</xm:sqref>
            </x14:sparkline>
            <x14:sparkline>
              <xm:f>Referral_Source!BF156:BJ156</xm:f>
              <xm:sqref>P129</xm:sqref>
            </x14:sparkline>
            <x14:sparkline>
              <xm:f>Referral_Source!BF157:BJ157</xm:f>
              <xm:sqref>P130</xm:sqref>
            </x14:sparkline>
            <x14:sparkline>
              <xm:f>Referral_Source!BF158:BJ158</xm:f>
              <xm:sqref>P131</xm:sqref>
            </x14:sparkline>
            <x14:sparkline>
              <xm:f>Referral_Source!BF159:BJ159</xm:f>
              <xm:sqref>P132</xm:sqref>
            </x14:sparkline>
            <x14:sparkline>
              <xm:f>Referral_Source!BF160:BJ160</xm:f>
              <xm:sqref>P133</xm:sqref>
            </x14:sparkline>
            <x14:sparkline>
              <xm:f>Referral_Source!BF161:BJ161</xm:f>
              <xm:sqref>P134</xm:sqref>
            </x14:sparkline>
          </x14:sparklines>
        </x14:sparklineGroup>
        <x14:sparklineGroup displayEmptyCellsAs="gap" displayHidden="1" xr2:uid="{00000000-0003-0000-1200-000002000000}">
          <x14:colorSeries rgb="FF000000"/>
          <x14:colorNegative rgb="FF0070C0"/>
          <x14:colorAxis rgb="FF000000"/>
          <x14:colorMarkers rgb="FF0070C0"/>
          <x14:colorFirst rgb="FF0070C0"/>
          <x14:colorLast rgb="FF0070C0"/>
          <x14:colorHigh rgb="FF0070C0"/>
          <x14:colorLow rgb="FF0070C0"/>
          <x14:sparklines>
            <x14:sparkline>
              <xm:f>Referral_Source!BK138:BO138</xm:f>
              <xm:sqref>R111</xm:sqref>
            </x14:sparkline>
            <x14:sparkline>
              <xm:f>Referral_Source!BK139:BO139</xm:f>
              <xm:sqref>R112</xm:sqref>
            </x14:sparkline>
            <x14:sparkline>
              <xm:f>Referral_Source!BK140:BO140</xm:f>
              <xm:sqref>R113</xm:sqref>
            </x14:sparkline>
            <x14:sparkline>
              <xm:f>Referral_Source!BK141:BO141</xm:f>
              <xm:sqref>R114</xm:sqref>
            </x14:sparkline>
            <x14:sparkline>
              <xm:f>Referral_Source!BK142:BO142</xm:f>
              <xm:sqref>R115</xm:sqref>
            </x14:sparkline>
            <x14:sparkline>
              <xm:f>Referral_Source!BK143:BO143</xm:f>
              <xm:sqref>R116</xm:sqref>
            </x14:sparkline>
            <x14:sparkline>
              <xm:f>Referral_Source!BK144:BO144</xm:f>
              <xm:sqref>R117</xm:sqref>
            </x14:sparkline>
            <x14:sparkline>
              <xm:f>Referral_Source!BK145:BO145</xm:f>
              <xm:sqref>R118</xm:sqref>
            </x14:sparkline>
            <x14:sparkline>
              <xm:f>Referral_Source!BK146:BO146</xm:f>
              <xm:sqref>R119</xm:sqref>
            </x14:sparkline>
            <x14:sparkline>
              <xm:f>Referral_Source!BK147:BO147</xm:f>
              <xm:sqref>R120</xm:sqref>
            </x14:sparkline>
            <x14:sparkline>
              <xm:f>Referral_Source!BK148:BO148</xm:f>
              <xm:sqref>R121</xm:sqref>
            </x14:sparkline>
            <x14:sparkline>
              <xm:f>Referral_Source!BK149:BO149</xm:f>
              <xm:sqref>R122</xm:sqref>
            </x14:sparkline>
            <x14:sparkline>
              <xm:f>Referral_Source!BK150:BO150</xm:f>
              <xm:sqref>R123</xm:sqref>
            </x14:sparkline>
            <x14:sparkline>
              <xm:f>Referral_Source!BK151:BO151</xm:f>
              <xm:sqref>R124</xm:sqref>
            </x14:sparkline>
            <x14:sparkline>
              <xm:f>Referral_Source!BK152:BO152</xm:f>
              <xm:sqref>R125</xm:sqref>
            </x14:sparkline>
            <x14:sparkline>
              <xm:f>Referral_Source!BK153:BO153</xm:f>
              <xm:sqref>R126</xm:sqref>
            </x14:sparkline>
            <x14:sparkline>
              <xm:f>Referral_Source!BK154:BO154</xm:f>
              <xm:sqref>R127</xm:sqref>
            </x14:sparkline>
            <x14:sparkline>
              <xm:f>Referral_Source!BK155:BO155</xm:f>
              <xm:sqref>R128</xm:sqref>
            </x14:sparkline>
            <x14:sparkline>
              <xm:f>Referral_Source!BK156:BO156</xm:f>
              <xm:sqref>R129</xm:sqref>
            </x14:sparkline>
            <x14:sparkline>
              <xm:f>Referral_Source!BK157:BO157</xm:f>
              <xm:sqref>R130</xm:sqref>
            </x14:sparkline>
            <x14:sparkline>
              <xm:f>Referral_Source!BK158:BO158</xm:f>
              <xm:sqref>R131</xm:sqref>
            </x14:sparkline>
            <x14:sparkline>
              <xm:f>Referral_Source!BK159:BO159</xm:f>
              <xm:sqref>R132</xm:sqref>
            </x14:sparkline>
            <x14:sparkline>
              <xm:f>Referral_Source!BK160:BO160</xm:f>
              <xm:sqref>R133</xm:sqref>
            </x14:sparkline>
            <x14:sparkline>
              <xm:f>Referral_Source!BK161:BO161</xm:f>
              <xm:sqref>R134</xm:sqref>
            </x14:sparkline>
          </x14:sparklines>
        </x14:sparklineGroup>
        <x14:sparklineGroup displayEmptyCellsAs="gap" displayHidden="1" xr2:uid="{00000000-0003-0000-1200-000001000000}">
          <x14:colorSeries rgb="FF000000"/>
          <x14:colorNegative rgb="FF0070C0"/>
          <x14:colorAxis rgb="FF000000"/>
          <x14:colorMarkers rgb="FF0070C0"/>
          <x14:colorFirst rgb="FF0070C0"/>
          <x14:colorLast rgb="FF0070C0"/>
          <x14:colorHigh rgb="FF0070C0"/>
          <x14:colorLow rgb="FF0070C0"/>
          <x14:sparklines>
            <x14:sparkline>
              <xm:f>Referral_Source!BP138:BT138</xm:f>
              <xm:sqref>T111</xm:sqref>
            </x14:sparkline>
            <x14:sparkline>
              <xm:f>Referral_Source!BP139:BT139</xm:f>
              <xm:sqref>T112</xm:sqref>
            </x14:sparkline>
            <x14:sparkline>
              <xm:f>Referral_Source!BP140:BT140</xm:f>
              <xm:sqref>T113</xm:sqref>
            </x14:sparkline>
            <x14:sparkline>
              <xm:f>Referral_Source!BP141:BT141</xm:f>
              <xm:sqref>T114</xm:sqref>
            </x14:sparkline>
            <x14:sparkline>
              <xm:f>Referral_Source!BP142:BT142</xm:f>
              <xm:sqref>T115</xm:sqref>
            </x14:sparkline>
            <x14:sparkline>
              <xm:f>Referral_Source!BP143:BT143</xm:f>
              <xm:sqref>T116</xm:sqref>
            </x14:sparkline>
            <x14:sparkline>
              <xm:f>Referral_Source!BP144:BT144</xm:f>
              <xm:sqref>T117</xm:sqref>
            </x14:sparkline>
            <x14:sparkline>
              <xm:f>Referral_Source!BP145:BT145</xm:f>
              <xm:sqref>T118</xm:sqref>
            </x14:sparkline>
            <x14:sparkline>
              <xm:f>Referral_Source!BP146:BT146</xm:f>
              <xm:sqref>T119</xm:sqref>
            </x14:sparkline>
            <x14:sparkline>
              <xm:f>Referral_Source!BP147:BT147</xm:f>
              <xm:sqref>T120</xm:sqref>
            </x14:sparkline>
            <x14:sparkline>
              <xm:f>Referral_Source!BP148:BT148</xm:f>
              <xm:sqref>T121</xm:sqref>
            </x14:sparkline>
            <x14:sparkline>
              <xm:f>Referral_Source!BP149:BT149</xm:f>
              <xm:sqref>T122</xm:sqref>
            </x14:sparkline>
            <x14:sparkline>
              <xm:f>Referral_Source!BP150:BT150</xm:f>
              <xm:sqref>T123</xm:sqref>
            </x14:sparkline>
            <x14:sparkline>
              <xm:f>Referral_Source!BP151:BT151</xm:f>
              <xm:sqref>T124</xm:sqref>
            </x14:sparkline>
            <x14:sparkline>
              <xm:f>Referral_Source!BP152:BT152</xm:f>
              <xm:sqref>T125</xm:sqref>
            </x14:sparkline>
            <x14:sparkline>
              <xm:f>Referral_Source!BP153:BT153</xm:f>
              <xm:sqref>T126</xm:sqref>
            </x14:sparkline>
            <x14:sparkline>
              <xm:f>Referral_Source!BP154:BT154</xm:f>
              <xm:sqref>T127</xm:sqref>
            </x14:sparkline>
            <x14:sparkline>
              <xm:f>Referral_Source!BP155:BT155</xm:f>
              <xm:sqref>T128</xm:sqref>
            </x14:sparkline>
            <x14:sparkline>
              <xm:f>Referral_Source!BP156:BT156</xm:f>
              <xm:sqref>T129</xm:sqref>
            </x14:sparkline>
            <x14:sparkline>
              <xm:f>Referral_Source!BP157:BT157</xm:f>
              <xm:sqref>T130</xm:sqref>
            </x14:sparkline>
            <x14:sparkline>
              <xm:f>Referral_Source!BP158:BT158</xm:f>
              <xm:sqref>T131</xm:sqref>
            </x14:sparkline>
            <x14:sparkline>
              <xm:f>Referral_Source!BP159:BT159</xm:f>
              <xm:sqref>T132</xm:sqref>
            </x14:sparkline>
            <x14:sparkline>
              <xm:f>Referral_Source!BP160:BT160</xm:f>
              <xm:sqref>T133</xm:sqref>
            </x14:sparkline>
            <x14:sparkline>
              <xm:f>Referral_Source!BP161:BT161</xm:f>
              <xm:sqref>T134</xm:sqref>
            </x14:sparkline>
          </x14:sparklines>
        </x14:sparklineGroup>
        <x14:sparklineGroup displayEmptyCellsAs="gap" displayHidden="1" xr2:uid="{00000000-0003-0000-1200-000000000000}">
          <x14:colorSeries rgb="FF000000"/>
          <x14:colorNegative rgb="FF0070C0"/>
          <x14:colorAxis rgb="FF000000"/>
          <x14:colorMarkers rgb="FF0070C0"/>
          <x14:colorFirst rgb="FF0070C0"/>
          <x14:colorLast rgb="FF0070C0"/>
          <x14:colorHigh rgb="FF0070C0"/>
          <x14:colorLow rgb="FF0070C0"/>
          <x14:sparklines>
            <x14:sparkline>
              <xm:f>Referral_Source!BU138:BY138</xm:f>
              <xm:sqref>V111</xm:sqref>
            </x14:sparkline>
            <x14:sparkline>
              <xm:f>Referral_Source!BU139:BY139</xm:f>
              <xm:sqref>V112</xm:sqref>
            </x14:sparkline>
            <x14:sparkline>
              <xm:f>Referral_Source!BU140:BY140</xm:f>
              <xm:sqref>V113</xm:sqref>
            </x14:sparkline>
            <x14:sparkline>
              <xm:f>Referral_Source!BU141:BY141</xm:f>
              <xm:sqref>V114</xm:sqref>
            </x14:sparkline>
            <x14:sparkline>
              <xm:f>Referral_Source!BU142:BY142</xm:f>
              <xm:sqref>V115</xm:sqref>
            </x14:sparkline>
            <x14:sparkline>
              <xm:f>Referral_Source!BU143:BY143</xm:f>
              <xm:sqref>V116</xm:sqref>
            </x14:sparkline>
            <x14:sparkline>
              <xm:f>Referral_Source!BU144:BY144</xm:f>
              <xm:sqref>V117</xm:sqref>
            </x14:sparkline>
            <x14:sparkline>
              <xm:f>Referral_Source!BU145:BY145</xm:f>
              <xm:sqref>V118</xm:sqref>
            </x14:sparkline>
            <x14:sparkline>
              <xm:f>Referral_Source!BU146:BY146</xm:f>
              <xm:sqref>V119</xm:sqref>
            </x14:sparkline>
            <x14:sparkline>
              <xm:f>Referral_Source!BU147:BY147</xm:f>
              <xm:sqref>V120</xm:sqref>
            </x14:sparkline>
            <x14:sparkline>
              <xm:f>Referral_Source!BU148:BY148</xm:f>
              <xm:sqref>V121</xm:sqref>
            </x14:sparkline>
            <x14:sparkline>
              <xm:f>Referral_Source!BU149:BY149</xm:f>
              <xm:sqref>V122</xm:sqref>
            </x14:sparkline>
            <x14:sparkline>
              <xm:f>Referral_Source!BU150:BY150</xm:f>
              <xm:sqref>V123</xm:sqref>
            </x14:sparkline>
            <x14:sparkline>
              <xm:f>Referral_Source!BU151:BY151</xm:f>
              <xm:sqref>V124</xm:sqref>
            </x14:sparkline>
            <x14:sparkline>
              <xm:f>Referral_Source!BU152:BY152</xm:f>
              <xm:sqref>V125</xm:sqref>
            </x14:sparkline>
            <x14:sparkline>
              <xm:f>Referral_Source!BU153:BY153</xm:f>
              <xm:sqref>V126</xm:sqref>
            </x14:sparkline>
            <x14:sparkline>
              <xm:f>Referral_Source!BU154:BY154</xm:f>
              <xm:sqref>V127</xm:sqref>
            </x14:sparkline>
            <x14:sparkline>
              <xm:f>Referral_Source!BU155:BY155</xm:f>
              <xm:sqref>V128</xm:sqref>
            </x14:sparkline>
            <x14:sparkline>
              <xm:f>Referral_Source!BU156:BY156</xm:f>
              <xm:sqref>V129</xm:sqref>
            </x14:sparkline>
            <x14:sparkline>
              <xm:f>Referral_Source!BU157:BY157</xm:f>
              <xm:sqref>V130</xm:sqref>
            </x14:sparkline>
            <x14:sparkline>
              <xm:f>Referral_Source!BU158:BY158</xm:f>
              <xm:sqref>V131</xm:sqref>
            </x14:sparkline>
            <x14:sparkline>
              <xm:f>Referral_Source!BU159:BY159</xm:f>
              <xm:sqref>V132</xm:sqref>
            </x14:sparkline>
            <x14:sparkline>
              <xm:f>Referral_Source!BU160:BY160</xm:f>
              <xm:sqref>V133</xm:sqref>
            </x14:sparkline>
            <x14:sparkline>
              <xm:f>Referral_Source!BU161:BY161</xm:f>
              <xm:sqref>V134</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rgb="FF99FFCC"/>
    <pageSetUpPr fitToPage="1"/>
  </sheetPr>
  <dimension ref="A1:Z111"/>
  <sheetViews>
    <sheetView workbookViewId="0">
      <pane xSplit="2" ySplit="1" topLeftCell="C32" activePane="bottomRight" state="frozen"/>
      <selection activeCell="A19" sqref="A19"/>
      <selection pane="topRight" activeCell="A19" sqref="A19"/>
      <selection pane="bottomLeft" activeCell="A19" sqref="A19"/>
      <selection pane="bottomRight" activeCell="A19" sqref="A19"/>
    </sheetView>
  </sheetViews>
  <sheetFormatPr defaultColWidth="9.140625" defaultRowHeight="13.5" customHeight="1" x14ac:dyDescent="0.2"/>
  <cols>
    <col min="1" max="1" width="4.5703125" style="470" customWidth="1"/>
    <col min="2" max="2" width="41.42578125" style="557" customWidth="1"/>
    <col min="3" max="24" width="4.85546875" style="470" customWidth="1"/>
    <col min="25" max="25" width="6.42578125" style="837" customWidth="1"/>
    <col min="26" max="26" width="7.85546875" style="470" customWidth="1"/>
    <col min="27" max="16384" width="9.140625" style="470"/>
  </cols>
  <sheetData>
    <row r="1" spans="1:26" s="555" customFormat="1" ht="75" customHeight="1" x14ac:dyDescent="0.2">
      <c r="A1" s="831" t="str">
        <f>IF(Sheet1!$C$3="Quarterly",Sheet1!$E$24&amp;" "&amp;Sheet1!$E$25,Sheet1!$E$22)</f>
        <v>2016-17</v>
      </c>
      <c r="B1" s="831"/>
      <c r="C1" s="1365" t="s">
        <v>1120</v>
      </c>
      <c r="D1" s="1365" t="s">
        <v>1121</v>
      </c>
      <c r="E1" s="1365" t="s">
        <v>1122</v>
      </c>
      <c r="F1" s="1365" t="s">
        <v>1123</v>
      </c>
      <c r="G1" s="1365" t="s">
        <v>1124</v>
      </c>
      <c r="H1" s="1365" t="s">
        <v>1125</v>
      </c>
      <c r="I1" s="1365" t="s">
        <v>1126</v>
      </c>
      <c r="J1" s="1365" t="s">
        <v>1127</v>
      </c>
      <c r="K1" s="1365" t="s">
        <v>1128</v>
      </c>
      <c r="L1" s="1365" t="s">
        <v>1129</v>
      </c>
      <c r="M1" s="1365" t="s">
        <v>1130</v>
      </c>
      <c r="N1" s="1365" t="s">
        <v>1131</v>
      </c>
      <c r="O1" s="1365" t="s">
        <v>1132</v>
      </c>
      <c r="P1" s="1365" t="s">
        <v>1133</v>
      </c>
      <c r="Q1" s="1365" t="s">
        <v>1134</v>
      </c>
      <c r="R1" s="1365" t="s">
        <v>1135</v>
      </c>
      <c r="S1" s="1367" t="s">
        <v>1136</v>
      </c>
      <c r="T1" s="1367" t="s">
        <v>1137</v>
      </c>
      <c r="U1" s="1365" t="s">
        <v>1138</v>
      </c>
      <c r="V1" s="1365" t="s">
        <v>1139</v>
      </c>
      <c r="W1" s="1365" t="s">
        <v>1140</v>
      </c>
      <c r="X1" s="1365" t="s">
        <v>1141</v>
      </c>
      <c r="Y1" s="615" t="s">
        <v>1142</v>
      </c>
      <c r="Z1" s="616" t="s">
        <v>1143</v>
      </c>
    </row>
    <row r="2" spans="1:26" s="556" customFormat="1" ht="13.5" customHeight="1" x14ac:dyDescent="0.2">
      <c r="A2" s="622">
        <v>1</v>
      </c>
      <c r="B2" s="832" t="s">
        <v>526</v>
      </c>
      <c r="C2" s="1478"/>
      <c r="D2" s="1478"/>
      <c r="E2" s="1478"/>
      <c r="F2" s="1478"/>
      <c r="G2" s="1478"/>
      <c r="H2" s="1478"/>
      <c r="I2" s="1478"/>
      <c r="J2" s="1478"/>
      <c r="K2" s="1478"/>
      <c r="L2" s="1478"/>
      <c r="M2" s="1478"/>
      <c r="N2" s="1478"/>
      <c r="O2" s="1478"/>
      <c r="P2" s="1478"/>
      <c r="Q2" s="1478"/>
      <c r="R2" s="1478"/>
      <c r="S2" s="1478"/>
      <c r="T2" s="1478"/>
      <c r="U2" s="1478"/>
      <c r="V2" s="1478"/>
      <c r="W2" s="1482"/>
      <c r="X2" s="1551"/>
      <c r="Y2" s="1481"/>
      <c r="Z2" s="1483"/>
    </row>
    <row r="3" spans="1:26" s="556" customFormat="1" ht="13.5" customHeight="1" x14ac:dyDescent="0.2">
      <c r="A3" s="622">
        <v>2</v>
      </c>
      <c r="B3" s="832" t="s">
        <v>246</v>
      </c>
      <c r="C3" s="1470"/>
      <c r="D3" s="1470"/>
      <c r="E3" s="1470"/>
      <c r="F3" s="1470"/>
      <c r="G3" s="1470"/>
      <c r="H3" s="1470"/>
      <c r="I3" s="1470"/>
      <c r="J3" s="1470"/>
      <c r="K3" s="1470"/>
      <c r="L3" s="1470"/>
      <c r="M3" s="1470"/>
      <c r="N3" s="1470"/>
      <c r="O3" s="1470"/>
      <c r="P3" s="1470"/>
      <c r="Q3" s="1470"/>
      <c r="R3" s="1470"/>
      <c r="S3" s="1470"/>
      <c r="T3" s="1470"/>
      <c r="U3" s="1470"/>
      <c r="V3" s="1470"/>
      <c r="W3" s="1470"/>
      <c r="X3" s="1471"/>
      <c r="Y3" s="1472"/>
      <c r="Z3" s="1473"/>
    </row>
    <row r="4" spans="1:26" s="556" customFormat="1" ht="13.5" customHeight="1" x14ac:dyDescent="0.2">
      <c r="A4" s="622">
        <v>3</v>
      </c>
      <c r="B4" s="832" t="s">
        <v>247</v>
      </c>
      <c r="C4" s="1470"/>
      <c r="D4" s="1470"/>
      <c r="E4" s="1470"/>
      <c r="F4" s="1470"/>
      <c r="G4" s="1470"/>
      <c r="H4" s="1470"/>
      <c r="I4" s="1470"/>
      <c r="J4" s="1470"/>
      <c r="K4" s="1470"/>
      <c r="L4" s="1470"/>
      <c r="M4" s="1470"/>
      <c r="N4" s="1470"/>
      <c r="O4" s="1470"/>
      <c r="P4" s="1470"/>
      <c r="Q4" s="1470"/>
      <c r="R4" s="1470"/>
      <c r="S4" s="1470"/>
      <c r="T4" s="1470"/>
      <c r="U4" s="1470"/>
      <c r="V4" s="1470"/>
      <c r="W4" s="1470"/>
      <c r="X4" s="1471"/>
      <c r="Y4" s="1472"/>
      <c r="Z4" s="1473"/>
    </row>
    <row r="5" spans="1:26" s="556" customFormat="1" ht="13.5" customHeight="1" x14ac:dyDescent="0.2">
      <c r="A5" s="622">
        <v>4</v>
      </c>
      <c r="B5" s="832" t="s">
        <v>248</v>
      </c>
      <c r="C5" s="1470"/>
      <c r="D5" s="1470"/>
      <c r="E5" s="1470"/>
      <c r="F5" s="1470"/>
      <c r="G5" s="1470"/>
      <c r="H5" s="1470"/>
      <c r="I5" s="1470"/>
      <c r="J5" s="1470"/>
      <c r="K5" s="1470"/>
      <c r="L5" s="1470"/>
      <c r="M5" s="1470"/>
      <c r="N5" s="1470"/>
      <c r="O5" s="1470"/>
      <c r="P5" s="1470"/>
      <c r="Q5" s="1470"/>
      <c r="R5" s="1470"/>
      <c r="S5" s="1470"/>
      <c r="T5" s="1470"/>
      <c r="U5" s="1470"/>
      <c r="V5" s="1470"/>
      <c r="W5" s="1470"/>
      <c r="X5" s="1471"/>
      <c r="Y5" s="1472"/>
      <c r="Z5" s="1473"/>
    </row>
    <row r="6" spans="1:26" s="556" customFormat="1" ht="13.5" customHeight="1" x14ac:dyDescent="0.2">
      <c r="A6" s="622">
        <v>5</v>
      </c>
      <c r="B6" s="832" t="s">
        <v>249</v>
      </c>
      <c r="C6" s="1470"/>
      <c r="D6" s="1470"/>
      <c r="E6" s="1470"/>
      <c r="F6" s="1470"/>
      <c r="G6" s="1470"/>
      <c r="H6" s="1470"/>
      <c r="I6" s="1470"/>
      <c r="J6" s="1470"/>
      <c r="K6" s="1470"/>
      <c r="L6" s="1470"/>
      <c r="M6" s="1470"/>
      <c r="N6" s="1474"/>
      <c r="O6" s="1470"/>
      <c r="P6" s="1470"/>
      <c r="Q6" s="1470"/>
      <c r="R6" s="1470"/>
      <c r="S6" s="1470"/>
      <c r="T6" s="1470"/>
      <c r="U6" s="1469"/>
      <c r="V6" s="1470"/>
      <c r="W6" s="1470"/>
      <c r="X6" s="1471"/>
      <c r="Y6" s="1472"/>
      <c r="Z6" s="1473"/>
    </row>
    <row r="7" spans="1:26" s="556" customFormat="1" ht="13.5" customHeight="1" x14ac:dyDescent="0.2">
      <c r="A7" s="622">
        <v>6</v>
      </c>
      <c r="B7" s="832" t="s">
        <v>250</v>
      </c>
      <c r="C7" s="1470"/>
      <c r="D7" s="1470"/>
      <c r="E7" s="1470"/>
      <c r="F7" s="1470"/>
      <c r="G7" s="1470"/>
      <c r="H7" s="1470"/>
      <c r="I7" s="1470"/>
      <c r="J7" s="1470"/>
      <c r="K7" s="1470"/>
      <c r="L7" s="1470"/>
      <c r="M7" s="1470"/>
      <c r="N7" s="1474"/>
      <c r="O7" s="1470"/>
      <c r="P7" s="1470"/>
      <c r="Q7" s="1470"/>
      <c r="R7" s="1470"/>
      <c r="S7" s="1470"/>
      <c r="T7" s="1470"/>
      <c r="U7" s="1469"/>
      <c r="V7" s="1470"/>
      <c r="W7" s="1470"/>
      <c r="X7" s="1471"/>
      <c r="Y7" s="1472"/>
      <c r="Z7" s="1473"/>
    </row>
    <row r="8" spans="1:26" s="556" customFormat="1" ht="13.5" customHeight="1" x14ac:dyDescent="0.2">
      <c r="A8" s="1451"/>
      <c r="B8" s="1452" t="s">
        <v>243</v>
      </c>
      <c r="C8" s="1552"/>
      <c r="D8" s="1552"/>
      <c r="E8" s="1552"/>
      <c r="F8" s="1552"/>
      <c r="G8" s="1552"/>
      <c r="H8" s="1552"/>
      <c r="I8" s="1552"/>
      <c r="J8" s="1552"/>
      <c r="K8" s="1552"/>
      <c r="L8" s="1552"/>
      <c r="M8" s="1552"/>
      <c r="N8" s="1552"/>
      <c r="O8" s="1552"/>
      <c r="P8" s="1552"/>
      <c r="Q8" s="1552"/>
      <c r="R8" s="1552"/>
      <c r="S8" s="1552"/>
      <c r="T8" s="1552"/>
      <c r="U8" s="1552"/>
      <c r="V8" s="1552"/>
      <c r="W8" s="1552"/>
      <c r="X8" s="1552"/>
      <c r="Y8" s="1553"/>
      <c r="Z8" s="1553"/>
    </row>
    <row r="9" spans="1:26" s="556" customFormat="1" ht="13.5" customHeight="1" x14ac:dyDescent="0.2">
      <c r="A9" s="622">
        <v>7</v>
      </c>
      <c r="B9" s="832" t="s">
        <v>251</v>
      </c>
      <c r="C9" s="1470"/>
      <c r="D9" s="1470"/>
      <c r="E9" s="1470"/>
      <c r="F9" s="1470"/>
      <c r="G9" s="1470"/>
      <c r="H9" s="1470"/>
      <c r="I9" s="1470"/>
      <c r="J9" s="1470"/>
      <c r="K9" s="1470"/>
      <c r="L9" s="1470"/>
      <c r="M9" s="1470"/>
      <c r="N9" s="1474"/>
      <c r="O9" s="1470"/>
      <c r="P9" s="1470"/>
      <c r="Q9" s="1470"/>
      <c r="R9" s="1470"/>
      <c r="S9" s="1470"/>
      <c r="T9" s="1470"/>
      <c r="U9" s="1469"/>
      <c r="V9" s="1470"/>
      <c r="W9" s="1470"/>
      <c r="X9" s="1471"/>
      <c r="Y9" s="1472"/>
      <c r="Z9" s="1473"/>
    </row>
    <row r="10" spans="1:26" s="556" customFormat="1" ht="13.5" customHeight="1" x14ac:dyDescent="0.2">
      <c r="A10" s="940">
        <v>8</v>
      </c>
      <c r="B10" s="833" t="s">
        <v>252</v>
      </c>
      <c r="C10" s="1470"/>
      <c r="D10" s="1470"/>
      <c r="E10" s="1470"/>
      <c r="F10" s="1470"/>
      <c r="G10" s="1470"/>
      <c r="H10" s="1470"/>
      <c r="I10" s="1470"/>
      <c r="J10" s="1470"/>
      <c r="K10" s="1470"/>
      <c r="L10" s="1470"/>
      <c r="M10" s="1470"/>
      <c r="N10" s="1474"/>
      <c r="O10" s="1470"/>
      <c r="P10" s="1470"/>
      <c r="Q10" s="1470"/>
      <c r="R10" s="1470"/>
      <c r="S10" s="1470"/>
      <c r="T10" s="1470"/>
      <c r="U10" s="1469"/>
      <c r="V10" s="1470"/>
      <c r="W10" s="1470"/>
      <c r="X10" s="1471"/>
      <c r="Y10" s="1472"/>
      <c r="Z10" s="1473"/>
    </row>
    <row r="11" spans="1:26" s="556" customFormat="1" ht="13.5" customHeight="1" x14ac:dyDescent="0.2">
      <c r="A11" s="622">
        <v>9</v>
      </c>
      <c r="B11" s="832" t="s">
        <v>253</v>
      </c>
      <c r="C11" s="1470"/>
      <c r="D11" s="1470"/>
      <c r="E11" s="1470"/>
      <c r="F11" s="1470"/>
      <c r="G11" s="1470"/>
      <c r="H11" s="1470"/>
      <c r="I11" s="1470"/>
      <c r="J11" s="1470"/>
      <c r="K11" s="1470"/>
      <c r="L11" s="1470"/>
      <c r="M11" s="1470"/>
      <c r="N11" s="1474"/>
      <c r="O11" s="1470"/>
      <c r="P11" s="1470"/>
      <c r="Q11" s="1470"/>
      <c r="R11" s="1470"/>
      <c r="S11" s="1470"/>
      <c r="T11" s="1470"/>
      <c r="U11" s="1469"/>
      <c r="V11" s="1470"/>
      <c r="W11" s="1470"/>
      <c r="X11" s="1471"/>
      <c r="Y11" s="1472"/>
      <c r="Z11" s="1473"/>
    </row>
    <row r="12" spans="1:26" s="556" customFormat="1" ht="13.5" customHeight="1" x14ac:dyDescent="0.2">
      <c r="A12" s="622">
        <v>10</v>
      </c>
      <c r="B12" s="832" t="s">
        <v>254</v>
      </c>
      <c r="C12" s="1459">
        <v>1644</v>
      </c>
      <c r="D12" s="1459">
        <v>3405</v>
      </c>
      <c r="E12" s="1459">
        <v>9204</v>
      </c>
      <c r="F12" s="1459">
        <v>3676</v>
      </c>
      <c r="G12" s="1459">
        <v>19435</v>
      </c>
      <c r="H12" s="1459">
        <v>2613</v>
      </c>
      <c r="I12" s="1459">
        <v>15805</v>
      </c>
      <c r="J12" s="1459">
        <v>2732</v>
      </c>
      <c r="K12" s="1459">
        <v>3083</v>
      </c>
      <c r="L12" s="1459">
        <v>7066</v>
      </c>
      <c r="M12" s="1459">
        <v>2487</v>
      </c>
      <c r="N12" s="1459">
        <v>3267</v>
      </c>
      <c r="O12" s="1459">
        <v>5688</v>
      </c>
      <c r="P12" s="1459">
        <v>4777</v>
      </c>
      <c r="Q12" s="1459">
        <v>3044</v>
      </c>
      <c r="R12" s="1459">
        <v>11679</v>
      </c>
      <c r="S12" s="1459">
        <v>3021</v>
      </c>
      <c r="T12" s="1459">
        <v>1616</v>
      </c>
      <c r="U12" s="1459">
        <v>1652</v>
      </c>
      <c r="V12" s="1459">
        <v>8741</v>
      </c>
      <c r="W12" s="1459">
        <v>992</v>
      </c>
      <c r="X12" s="1468">
        <v>907</v>
      </c>
      <c r="Y12" s="1460">
        <f t="shared" ref="Y12" si="0">SUM(C12:O12,Q12:R12,U12:X12)</f>
        <v>107120</v>
      </c>
      <c r="Z12" s="617">
        <v>646120</v>
      </c>
    </row>
    <row r="13" spans="1:26" s="556" customFormat="1" ht="13.5" customHeight="1" x14ac:dyDescent="0.2">
      <c r="A13" s="622">
        <v>11</v>
      </c>
      <c r="B13" s="832" t="s">
        <v>255</v>
      </c>
      <c r="C13" s="1470"/>
      <c r="D13" s="1470"/>
      <c r="E13" s="1470"/>
      <c r="F13" s="1470"/>
      <c r="G13" s="1470"/>
      <c r="H13" s="1470"/>
      <c r="I13" s="1470"/>
      <c r="J13" s="1470"/>
      <c r="K13" s="1470"/>
      <c r="L13" s="1470"/>
      <c r="M13" s="1470"/>
      <c r="N13" s="1470"/>
      <c r="O13" s="1470"/>
      <c r="P13" s="1470"/>
      <c r="Q13" s="1470"/>
      <c r="R13" s="1470"/>
      <c r="S13" s="1470"/>
      <c r="T13" s="1470"/>
      <c r="U13" s="1470"/>
      <c r="V13" s="1470"/>
      <c r="W13" s="1470"/>
      <c r="X13" s="1471"/>
      <c r="Y13" s="1472"/>
      <c r="Z13" s="1473"/>
    </row>
    <row r="14" spans="1:26" s="556" customFormat="1" ht="13.5" customHeight="1" x14ac:dyDescent="0.2">
      <c r="A14" s="622">
        <v>12</v>
      </c>
      <c r="B14" s="832" t="s">
        <v>256</v>
      </c>
      <c r="C14" s="1459">
        <v>1440</v>
      </c>
      <c r="D14" s="1459">
        <v>3073</v>
      </c>
      <c r="E14" s="1459">
        <v>8257</v>
      </c>
      <c r="F14" s="1459">
        <v>3608</v>
      </c>
      <c r="G14" s="1459">
        <v>16051</v>
      </c>
      <c r="H14" s="1459">
        <v>2189</v>
      </c>
      <c r="I14" s="1459">
        <v>15720</v>
      </c>
      <c r="J14" s="1459">
        <v>2503</v>
      </c>
      <c r="K14" s="1459">
        <v>2518</v>
      </c>
      <c r="L14" s="1459">
        <v>6597</v>
      </c>
      <c r="M14" s="1459">
        <v>2374</v>
      </c>
      <c r="N14" s="1459">
        <v>3107</v>
      </c>
      <c r="O14" s="1459">
        <v>2228</v>
      </c>
      <c r="P14" s="1459">
        <v>4742</v>
      </c>
      <c r="Q14" s="1459">
        <v>3036</v>
      </c>
      <c r="R14" s="1459">
        <v>11571</v>
      </c>
      <c r="S14" s="1459">
        <v>2922</v>
      </c>
      <c r="T14" s="1459">
        <v>1386</v>
      </c>
      <c r="U14" s="1459">
        <v>1652</v>
      </c>
      <c r="V14" s="1459">
        <v>7614</v>
      </c>
      <c r="W14" s="1459">
        <v>876</v>
      </c>
      <c r="X14" s="1468">
        <v>900</v>
      </c>
      <c r="Y14" s="1460">
        <v>95310</v>
      </c>
      <c r="Z14" s="617">
        <v>580080</v>
      </c>
    </row>
    <row r="15" spans="1:26" s="556" customFormat="1" ht="13.5" customHeight="1" x14ac:dyDescent="0.2">
      <c r="A15" s="1451"/>
      <c r="B15" s="1452" t="s">
        <v>244</v>
      </c>
      <c r="C15" s="1552"/>
      <c r="D15" s="1552"/>
      <c r="E15" s="1552"/>
      <c r="F15" s="1552"/>
      <c r="G15" s="1552"/>
      <c r="H15" s="1552"/>
      <c r="I15" s="1552"/>
      <c r="J15" s="1552"/>
      <c r="K15" s="1552"/>
      <c r="L15" s="1552"/>
      <c r="M15" s="1552"/>
      <c r="N15" s="1552"/>
      <c r="O15" s="1552"/>
      <c r="P15" s="1552"/>
      <c r="Q15" s="1552"/>
      <c r="R15" s="1552"/>
      <c r="S15" s="1552"/>
      <c r="T15" s="1552"/>
      <c r="U15" s="1552"/>
      <c r="V15" s="1552"/>
      <c r="W15" s="1552"/>
      <c r="X15" s="1552"/>
      <c r="Y15" s="1553"/>
      <c r="Z15" s="1553"/>
    </row>
    <row r="16" spans="1:26" s="556" customFormat="1" ht="13.5" customHeight="1" x14ac:dyDescent="0.2">
      <c r="A16" s="942">
        <v>13</v>
      </c>
      <c r="B16" s="834" t="s">
        <v>257</v>
      </c>
      <c r="C16" s="1458">
        <v>170</v>
      </c>
      <c r="D16" s="1459">
        <v>176</v>
      </c>
      <c r="E16" s="1459">
        <v>682</v>
      </c>
      <c r="F16" s="1459">
        <v>279</v>
      </c>
      <c r="G16" s="1459">
        <v>2165</v>
      </c>
      <c r="H16" s="1459">
        <v>244</v>
      </c>
      <c r="I16" s="1459">
        <v>1596</v>
      </c>
      <c r="J16" s="1459">
        <v>343</v>
      </c>
      <c r="K16" s="1459">
        <v>255</v>
      </c>
      <c r="L16" s="1459">
        <v>536</v>
      </c>
      <c r="M16" s="1459">
        <v>196</v>
      </c>
      <c r="N16" s="1459">
        <v>166</v>
      </c>
      <c r="O16" s="1459">
        <v>261</v>
      </c>
      <c r="P16" s="1459">
        <v>621</v>
      </c>
      <c r="Q16" s="1459">
        <v>98</v>
      </c>
      <c r="R16" s="1459">
        <v>642</v>
      </c>
      <c r="S16" s="1459">
        <v>220</v>
      </c>
      <c r="T16" s="1459">
        <v>127</v>
      </c>
      <c r="U16" s="1459">
        <v>134</v>
      </c>
      <c r="V16" s="1459">
        <v>2111</v>
      </c>
      <c r="W16" s="1459">
        <v>37</v>
      </c>
      <c r="X16" s="1468">
        <v>92</v>
      </c>
      <c r="Y16" s="1460">
        <v>10180</v>
      </c>
      <c r="Z16" s="617">
        <v>53120</v>
      </c>
    </row>
    <row r="17" spans="1:26" s="556" customFormat="1" ht="13.5" customHeight="1" x14ac:dyDescent="0.2">
      <c r="A17" s="942">
        <v>14</v>
      </c>
      <c r="B17" s="834" t="s">
        <v>258</v>
      </c>
      <c r="C17" s="1469"/>
      <c r="D17" s="1470"/>
      <c r="E17" s="1470"/>
      <c r="F17" s="1470"/>
      <c r="G17" s="1470"/>
      <c r="H17" s="1470"/>
      <c r="I17" s="1470"/>
      <c r="J17" s="1470"/>
      <c r="K17" s="1470"/>
      <c r="L17" s="1470"/>
      <c r="M17" s="1470"/>
      <c r="N17" s="1470"/>
      <c r="O17" s="1470"/>
      <c r="P17" s="1470"/>
      <c r="Q17" s="1470"/>
      <c r="R17" s="1470"/>
      <c r="S17" s="1470"/>
      <c r="T17" s="1470"/>
      <c r="U17" s="1470"/>
      <c r="V17" s="1470"/>
      <c r="W17" s="1470"/>
      <c r="X17" s="1471"/>
      <c r="Y17" s="1472"/>
      <c r="Z17" s="1473"/>
    </row>
    <row r="18" spans="1:26" s="556" customFormat="1" ht="13.5" customHeight="1" x14ac:dyDescent="0.2">
      <c r="A18" s="942">
        <v>15</v>
      </c>
      <c r="B18" s="834" t="s">
        <v>259</v>
      </c>
      <c r="C18" s="1469"/>
      <c r="D18" s="1470"/>
      <c r="E18" s="1470"/>
      <c r="F18" s="1470"/>
      <c r="G18" s="1470"/>
      <c r="H18" s="1470"/>
      <c r="I18" s="1470"/>
      <c r="J18" s="1470"/>
      <c r="K18" s="1470"/>
      <c r="L18" s="1470"/>
      <c r="M18" s="1470"/>
      <c r="N18" s="1470"/>
      <c r="O18" s="1470"/>
      <c r="P18" s="1470"/>
      <c r="Q18" s="1470"/>
      <c r="R18" s="1470"/>
      <c r="S18" s="1470"/>
      <c r="T18" s="1470"/>
      <c r="U18" s="1470"/>
      <c r="V18" s="1470"/>
      <c r="W18" s="1470"/>
      <c r="X18" s="1471"/>
      <c r="Y18" s="1472"/>
      <c r="Z18" s="1473"/>
    </row>
    <row r="19" spans="1:26" s="556" customFormat="1" ht="13.5" customHeight="1" x14ac:dyDescent="0.2">
      <c r="A19" s="942">
        <v>16</v>
      </c>
      <c r="B19" s="834" t="s">
        <v>260</v>
      </c>
      <c r="C19" s="1469"/>
      <c r="D19" s="1470"/>
      <c r="E19" s="1470"/>
      <c r="F19" s="1470"/>
      <c r="G19" s="1470"/>
      <c r="H19" s="1470"/>
      <c r="I19" s="1470"/>
      <c r="J19" s="1470"/>
      <c r="K19" s="1470"/>
      <c r="L19" s="1470"/>
      <c r="M19" s="1470"/>
      <c r="N19" s="1470"/>
      <c r="O19" s="1470"/>
      <c r="P19" s="1470"/>
      <c r="Q19" s="1470"/>
      <c r="R19" s="1470"/>
      <c r="S19" s="1470"/>
      <c r="T19" s="1470"/>
      <c r="U19" s="1470"/>
      <c r="V19" s="1470"/>
      <c r="W19" s="1470"/>
      <c r="X19" s="1471"/>
      <c r="Y19" s="1472"/>
      <c r="Z19" s="1473"/>
    </row>
    <row r="20" spans="1:26" s="556" customFormat="1" ht="13.5" customHeight="1" x14ac:dyDescent="0.2">
      <c r="A20" s="942">
        <v>17</v>
      </c>
      <c r="B20" s="834" t="s">
        <v>261</v>
      </c>
      <c r="C20" s="1458">
        <v>353</v>
      </c>
      <c r="D20" s="1459">
        <v>629</v>
      </c>
      <c r="E20" s="1459">
        <v>2287</v>
      </c>
      <c r="F20" s="1459">
        <v>588</v>
      </c>
      <c r="G20" s="1459">
        <v>4551</v>
      </c>
      <c r="H20" s="1459">
        <v>681</v>
      </c>
      <c r="I20" s="1459">
        <v>2620</v>
      </c>
      <c r="J20" s="1459">
        <v>575</v>
      </c>
      <c r="K20" s="1459">
        <v>791</v>
      </c>
      <c r="L20" s="1459">
        <v>1347</v>
      </c>
      <c r="M20" s="1459">
        <v>454</v>
      </c>
      <c r="N20" s="1457">
        <v>536</v>
      </c>
      <c r="O20" s="1459">
        <v>712</v>
      </c>
      <c r="P20" s="1459">
        <v>809</v>
      </c>
      <c r="Q20" s="1459">
        <v>789</v>
      </c>
      <c r="R20" s="1459">
        <v>2095</v>
      </c>
      <c r="S20" s="1459">
        <v>620</v>
      </c>
      <c r="T20" s="1459">
        <v>391</v>
      </c>
      <c r="U20" s="1458">
        <v>318</v>
      </c>
      <c r="V20" s="1459">
        <v>1554</v>
      </c>
      <c r="W20" s="1459">
        <v>142</v>
      </c>
      <c r="X20" s="1468">
        <v>142</v>
      </c>
      <c r="Y20" s="1460">
        <v>21160</v>
      </c>
      <c r="Z20" s="617">
        <v>114530</v>
      </c>
    </row>
    <row r="21" spans="1:26" s="556" customFormat="1" ht="13.5" customHeight="1" x14ac:dyDescent="0.2">
      <c r="A21" s="942">
        <v>18</v>
      </c>
      <c r="B21" s="834" t="s">
        <v>262</v>
      </c>
      <c r="C21" s="1458">
        <v>32</v>
      </c>
      <c r="D21" s="1459">
        <v>42</v>
      </c>
      <c r="E21" s="1459">
        <v>105</v>
      </c>
      <c r="F21" s="1459">
        <v>93</v>
      </c>
      <c r="G21" s="1459">
        <v>8</v>
      </c>
      <c r="H21" s="1459">
        <v>0</v>
      </c>
      <c r="I21" s="1459">
        <v>145</v>
      </c>
      <c r="J21" s="1459">
        <v>23</v>
      </c>
      <c r="K21" s="1459">
        <v>33</v>
      </c>
      <c r="L21" s="1459">
        <v>175</v>
      </c>
      <c r="M21" s="1459">
        <v>26</v>
      </c>
      <c r="N21" s="1457">
        <v>12</v>
      </c>
      <c r="O21" s="1459">
        <v>62</v>
      </c>
      <c r="P21" s="1459">
        <v>104</v>
      </c>
      <c r="Q21" s="1459">
        <v>14</v>
      </c>
      <c r="R21" s="1459">
        <v>86</v>
      </c>
      <c r="S21" s="1459">
        <v>9</v>
      </c>
      <c r="T21" s="1459">
        <v>0</v>
      </c>
      <c r="U21" s="1458">
        <v>25</v>
      </c>
      <c r="V21" s="1459">
        <v>0</v>
      </c>
      <c r="W21" s="1459">
        <v>23</v>
      </c>
      <c r="X21" s="1468">
        <v>16</v>
      </c>
      <c r="Y21" s="1460">
        <v>920</v>
      </c>
      <c r="Z21" s="617">
        <v>17030</v>
      </c>
    </row>
    <row r="22" spans="1:26" s="556" customFormat="1" ht="13.5" customHeight="1" x14ac:dyDescent="0.2">
      <c r="A22" s="942">
        <v>19</v>
      </c>
      <c r="B22" s="834" t="s">
        <v>263</v>
      </c>
      <c r="C22" s="1458">
        <v>132</v>
      </c>
      <c r="D22" s="1459">
        <v>336</v>
      </c>
      <c r="E22" s="1459">
        <v>1587</v>
      </c>
      <c r="F22" s="1459">
        <v>384</v>
      </c>
      <c r="G22" s="1459">
        <v>2603</v>
      </c>
      <c r="H22" s="1459">
        <v>307</v>
      </c>
      <c r="I22" s="1459">
        <v>1938</v>
      </c>
      <c r="J22" s="1459">
        <v>250</v>
      </c>
      <c r="K22" s="1459">
        <v>331</v>
      </c>
      <c r="L22" s="1459">
        <v>1092</v>
      </c>
      <c r="M22" s="1459">
        <v>325</v>
      </c>
      <c r="N22" s="1457">
        <v>481</v>
      </c>
      <c r="O22" s="1459">
        <v>690</v>
      </c>
      <c r="P22" s="1459">
        <v>670</v>
      </c>
      <c r="Q22" s="1459">
        <v>373</v>
      </c>
      <c r="R22" s="1459">
        <v>1622</v>
      </c>
      <c r="S22" s="1459">
        <v>265</v>
      </c>
      <c r="T22" s="1459">
        <v>162</v>
      </c>
      <c r="U22" s="1458">
        <v>131</v>
      </c>
      <c r="V22" s="1459">
        <v>998</v>
      </c>
      <c r="W22" s="1459">
        <v>71</v>
      </c>
      <c r="X22" s="1468">
        <v>129</v>
      </c>
      <c r="Y22" s="1460">
        <v>13780</v>
      </c>
      <c r="Z22" s="617">
        <v>93330</v>
      </c>
    </row>
    <row r="23" spans="1:26" s="556" customFormat="1" ht="13.5" customHeight="1" x14ac:dyDescent="0.2">
      <c r="A23" s="942">
        <v>20</v>
      </c>
      <c r="B23" s="834" t="s">
        <v>264</v>
      </c>
      <c r="C23" s="1469"/>
      <c r="D23" s="1470"/>
      <c r="E23" s="1470"/>
      <c r="F23" s="1470"/>
      <c r="G23" s="1470"/>
      <c r="H23" s="1470"/>
      <c r="I23" s="1470"/>
      <c r="J23" s="1470"/>
      <c r="K23" s="1470"/>
      <c r="L23" s="1470"/>
      <c r="M23" s="1470"/>
      <c r="N23" s="1474"/>
      <c r="O23" s="1470"/>
      <c r="P23" s="1470"/>
      <c r="Q23" s="1470"/>
      <c r="R23" s="1470"/>
      <c r="S23" s="1470"/>
      <c r="T23" s="1470"/>
      <c r="U23" s="1469"/>
      <c r="V23" s="1470"/>
      <c r="W23" s="1470"/>
      <c r="X23" s="1471"/>
      <c r="Y23" s="1472"/>
      <c r="Z23" s="1473"/>
    </row>
    <row r="24" spans="1:26" s="556" customFormat="1" ht="13.5" customHeight="1" x14ac:dyDescent="0.2">
      <c r="A24" s="942">
        <v>21</v>
      </c>
      <c r="B24" s="834" t="s">
        <v>265</v>
      </c>
      <c r="C24" s="1469"/>
      <c r="D24" s="1470"/>
      <c r="E24" s="1470"/>
      <c r="F24" s="1470"/>
      <c r="G24" s="1470"/>
      <c r="H24" s="1470"/>
      <c r="I24" s="1470"/>
      <c r="J24" s="1470"/>
      <c r="K24" s="1470"/>
      <c r="L24" s="1470"/>
      <c r="M24" s="1470"/>
      <c r="N24" s="1474"/>
      <c r="O24" s="1470"/>
      <c r="P24" s="1470"/>
      <c r="Q24" s="1470"/>
      <c r="R24" s="1470"/>
      <c r="S24" s="1470"/>
      <c r="T24" s="1470"/>
      <c r="U24" s="1469"/>
      <c r="V24" s="1470"/>
      <c r="W24" s="1470"/>
      <c r="X24" s="1471"/>
      <c r="Y24" s="1472"/>
      <c r="Z24" s="1473"/>
    </row>
    <row r="25" spans="1:26" s="556" customFormat="1" ht="13.5" customHeight="1" x14ac:dyDescent="0.2">
      <c r="A25" s="942">
        <v>22</v>
      </c>
      <c r="B25" s="834" t="s">
        <v>266</v>
      </c>
      <c r="C25" s="1469"/>
      <c r="D25" s="1470"/>
      <c r="E25" s="1470"/>
      <c r="F25" s="1470"/>
      <c r="G25" s="1470"/>
      <c r="H25" s="1470"/>
      <c r="I25" s="1470"/>
      <c r="J25" s="1470"/>
      <c r="K25" s="1470"/>
      <c r="L25" s="1470"/>
      <c r="M25" s="1470"/>
      <c r="N25" s="1474"/>
      <c r="O25" s="1470"/>
      <c r="P25" s="1470"/>
      <c r="Q25" s="1470"/>
      <c r="R25" s="1470"/>
      <c r="S25" s="1470"/>
      <c r="T25" s="1470"/>
      <c r="U25" s="1469"/>
      <c r="V25" s="1470"/>
      <c r="W25" s="1470"/>
      <c r="X25" s="1471"/>
      <c r="Y25" s="1472"/>
      <c r="Z25" s="1473"/>
    </row>
    <row r="26" spans="1:26" s="556" customFormat="1" ht="13.5" customHeight="1" x14ac:dyDescent="0.2">
      <c r="A26" s="942">
        <v>23</v>
      </c>
      <c r="B26" s="834" t="s">
        <v>267</v>
      </c>
      <c r="C26" s="1469"/>
      <c r="D26" s="1470"/>
      <c r="E26" s="1470"/>
      <c r="F26" s="1470"/>
      <c r="G26" s="1470"/>
      <c r="H26" s="1470"/>
      <c r="I26" s="1470"/>
      <c r="J26" s="1470"/>
      <c r="K26" s="1470"/>
      <c r="L26" s="1470"/>
      <c r="M26" s="1470"/>
      <c r="N26" s="1474"/>
      <c r="O26" s="1470"/>
      <c r="P26" s="1470"/>
      <c r="Q26" s="1470"/>
      <c r="R26" s="1470"/>
      <c r="S26" s="1470"/>
      <c r="T26" s="1470"/>
      <c r="U26" s="1469"/>
      <c r="V26" s="1470"/>
      <c r="W26" s="1470"/>
      <c r="X26" s="1471"/>
      <c r="Y26" s="1472"/>
      <c r="Z26" s="1473"/>
    </row>
    <row r="27" spans="1:26" s="556" customFormat="1" ht="13.5" customHeight="1" x14ac:dyDescent="0.2">
      <c r="A27" s="942">
        <v>24</v>
      </c>
      <c r="B27" s="834" t="s">
        <v>268</v>
      </c>
      <c r="C27" s="1469"/>
      <c r="D27" s="1470"/>
      <c r="E27" s="1470"/>
      <c r="F27" s="1470"/>
      <c r="G27" s="1470"/>
      <c r="H27" s="1470"/>
      <c r="I27" s="1470"/>
      <c r="J27" s="1470"/>
      <c r="K27" s="1470"/>
      <c r="L27" s="1470"/>
      <c r="M27" s="1470"/>
      <c r="N27" s="1474"/>
      <c r="O27" s="1470"/>
      <c r="P27" s="1470"/>
      <c r="Q27" s="1470"/>
      <c r="R27" s="1470"/>
      <c r="S27" s="1470"/>
      <c r="T27" s="1470"/>
      <c r="U27" s="1469"/>
      <c r="V27" s="1470"/>
      <c r="W27" s="1470"/>
      <c r="X27" s="1471"/>
      <c r="Y27" s="1472"/>
      <c r="Z27" s="1473"/>
    </row>
    <row r="28" spans="1:26" s="556" customFormat="1" ht="13.5" customHeight="1" x14ac:dyDescent="0.2">
      <c r="A28" s="942">
        <v>25</v>
      </c>
      <c r="B28" s="834" t="s">
        <v>269</v>
      </c>
      <c r="C28" s="1458">
        <v>19</v>
      </c>
      <c r="D28" s="1459">
        <v>39</v>
      </c>
      <c r="E28" s="1459">
        <v>93</v>
      </c>
      <c r="F28" s="1459">
        <v>35</v>
      </c>
      <c r="G28" s="1459">
        <v>233</v>
      </c>
      <c r="H28" s="1459">
        <v>41</v>
      </c>
      <c r="I28" s="1459">
        <v>366</v>
      </c>
      <c r="J28" s="1459">
        <v>81</v>
      </c>
      <c r="K28" s="1459" t="s">
        <v>73</v>
      </c>
      <c r="L28" s="1459">
        <v>73</v>
      </c>
      <c r="M28" s="1459">
        <v>69</v>
      </c>
      <c r="N28" s="1457">
        <v>113</v>
      </c>
      <c r="O28" s="1459" t="s">
        <v>73</v>
      </c>
      <c r="P28" s="1459">
        <v>61</v>
      </c>
      <c r="Q28" s="1459">
        <v>64</v>
      </c>
      <c r="R28" s="1459">
        <v>118</v>
      </c>
      <c r="S28" s="1459">
        <v>33</v>
      </c>
      <c r="T28" s="1459">
        <v>20</v>
      </c>
      <c r="U28" s="1458">
        <v>35</v>
      </c>
      <c r="V28" s="1459">
        <v>120</v>
      </c>
      <c r="W28" s="1459" t="s">
        <v>73</v>
      </c>
      <c r="X28" s="1468">
        <v>10</v>
      </c>
      <c r="Y28" s="1460">
        <v>1550</v>
      </c>
      <c r="Z28" s="617">
        <v>9970</v>
      </c>
    </row>
    <row r="29" spans="1:26" s="556" customFormat="1" ht="13.5" customHeight="1" x14ac:dyDescent="0.2">
      <c r="A29" s="942">
        <v>26</v>
      </c>
      <c r="B29" s="834" t="s">
        <v>270</v>
      </c>
      <c r="C29" s="1458">
        <v>290</v>
      </c>
      <c r="D29" s="1459">
        <v>632</v>
      </c>
      <c r="E29" s="1459">
        <v>1023</v>
      </c>
      <c r="F29" s="1459">
        <v>815</v>
      </c>
      <c r="G29" s="1459">
        <v>1606</v>
      </c>
      <c r="H29" s="1459">
        <v>231</v>
      </c>
      <c r="I29" s="1459">
        <v>1976</v>
      </c>
      <c r="J29" s="1459">
        <v>394</v>
      </c>
      <c r="K29" s="1459">
        <v>529</v>
      </c>
      <c r="L29" s="1459">
        <v>722</v>
      </c>
      <c r="M29" s="1459">
        <v>253</v>
      </c>
      <c r="N29" s="1457">
        <v>308</v>
      </c>
      <c r="O29" s="1459">
        <v>997</v>
      </c>
      <c r="P29" s="1459">
        <v>638</v>
      </c>
      <c r="Q29" s="1459">
        <v>536</v>
      </c>
      <c r="R29" s="1459">
        <v>1086</v>
      </c>
      <c r="S29" s="1459">
        <v>266</v>
      </c>
      <c r="T29" s="1459">
        <v>370</v>
      </c>
      <c r="U29" s="1458">
        <v>410</v>
      </c>
      <c r="V29" s="1459">
        <v>662</v>
      </c>
      <c r="W29" s="1459">
        <v>410</v>
      </c>
      <c r="X29" s="1468">
        <v>97</v>
      </c>
      <c r="Y29" s="1460">
        <v>12980</v>
      </c>
      <c r="Z29" s="617">
        <v>88150</v>
      </c>
    </row>
    <row r="30" spans="1:26" s="556" customFormat="1" ht="13.5" customHeight="1" x14ac:dyDescent="0.2">
      <c r="A30" s="942">
        <v>27</v>
      </c>
      <c r="B30" s="834" t="s">
        <v>271</v>
      </c>
      <c r="C30" s="1469"/>
      <c r="D30" s="1470"/>
      <c r="E30" s="1470"/>
      <c r="F30" s="1470"/>
      <c r="G30" s="1470"/>
      <c r="H30" s="1470"/>
      <c r="I30" s="1470"/>
      <c r="J30" s="1470"/>
      <c r="K30" s="1470"/>
      <c r="L30" s="1470"/>
      <c r="M30" s="1470"/>
      <c r="N30" s="1474"/>
      <c r="O30" s="1470"/>
      <c r="P30" s="1470"/>
      <c r="Q30" s="1470"/>
      <c r="R30" s="1470"/>
      <c r="S30" s="1470"/>
      <c r="T30" s="1470"/>
      <c r="U30" s="1469"/>
      <c r="V30" s="1470"/>
      <c r="W30" s="1470"/>
      <c r="X30" s="1471"/>
      <c r="Y30" s="1472"/>
      <c r="Z30" s="1473"/>
    </row>
    <row r="31" spans="1:26" s="556" customFormat="1" ht="13.5" customHeight="1" x14ac:dyDescent="0.2">
      <c r="A31" s="942">
        <v>28</v>
      </c>
      <c r="B31" s="834" t="s">
        <v>272</v>
      </c>
      <c r="C31" s="1469"/>
      <c r="D31" s="1470"/>
      <c r="E31" s="1470"/>
      <c r="F31" s="1470"/>
      <c r="G31" s="1470"/>
      <c r="H31" s="1470"/>
      <c r="I31" s="1470"/>
      <c r="J31" s="1470"/>
      <c r="K31" s="1470"/>
      <c r="L31" s="1470"/>
      <c r="M31" s="1470"/>
      <c r="N31" s="1474"/>
      <c r="O31" s="1470"/>
      <c r="P31" s="1470"/>
      <c r="Q31" s="1470"/>
      <c r="R31" s="1470"/>
      <c r="S31" s="1470"/>
      <c r="T31" s="1470"/>
      <c r="U31" s="1469"/>
      <c r="V31" s="1470"/>
      <c r="W31" s="1470"/>
      <c r="X31" s="1471"/>
      <c r="Y31" s="1472"/>
      <c r="Z31" s="1473"/>
    </row>
    <row r="32" spans="1:26" s="556" customFormat="1" ht="13.5" customHeight="1" x14ac:dyDescent="0.2">
      <c r="A32" s="942">
        <v>29</v>
      </c>
      <c r="B32" s="834" t="s">
        <v>273</v>
      </c>
      <c r="C32" s="1458">
        <v>323</v>
      </c>
      <c r="D32" s="1459">
        <v>871</v>
      </c>
      <c r="E32" s="1459">
        <v>2528</v>
      </c>
      <c r="F32" s="1459">
        <v>1039</v>
      </c>
      <c r="G32" s="1459">
        <v>5360</v>
      </c>
      <c r="H32" s="1459">
        <v>766</v>
      </c>
      <c r="I32" s="1459">
        <v>4508</v>
      </c>
      <c r="J32" s="1459">
        <v>770</v>
      </c>
      <c r="K32" s="1459">
        <v>785</v>
      </c>
      <c r="L32" s="1459">
        <v>2385</v>
      </c>
      <c r="M32" s="1459">
        <v>825</v>
      </c>
      <c r="N32" s="1457">
        <v>1198</v>
      </c>
      <c r="O32" s="1459">
        <v>2192</v>
      </c>
      <c r="P32" s="1459">
        <v>1336</v>
      </c>
      <c r="Q32" s="1459">
        <v>799</v>
      </c>
      <c r="R32" s="1459">
        <v>4629</v>
      </c>
      <c r="S32" s="1459">
        <v>1122</v>
      </c>
      <c r="T32" s="1459">
        <v>351</v>
      </c>
      <c r="U32" s="1458">
        <v>468</v>
      </c>
      <c r="V32" s="1459">
        <v>2690</v>
      </c>
      <c r="W32" s="1459">
        <v>274</v>
      </c>
      <c r="X32" s="1468">
        <v>332</v>
      </c>
      <c r="Y32" s="1460">
        <v>32740</v>
      </c>
      <c r="Z32" s="617">
        <v>177470</v>
      </c>
    </row>
    <row r="33" spans="1:26" s="556" customFormat="1" ht="13.5" customHeight="1" x14ac:dyDescent="0.2">
      <c r="A33" s="942">
        <v>30</v>
      </c>
      <c r="B33" s="834" t="s">
        <v>274</v>
      </c>
      <c r="C33" s="1458">
        <v>42</v>
      </c>
      <c r="D33" s="1459">
        <v>82</v>
      </c>
      <c r="E33" s="1459">
        <v>225</v>
      </c>
      <c r="F33" s="1459">
        <v>172</v>
      </c>
      <c r="G33" s="1459">
        <v>447</v>
      </c>
      <c r="H33" s="1459">
        <v>33</v>
      </c>
      <c r="I33" s="1459">
        <v>735</v>
      </c>
      <c r="J33" s="1459">
        <v>89</v>
      </c>
      <c r="K33" s="1459">
        <v>70</v>
      </c>
      <c r="L33" s="1459">
        <v>150</v>
      </c>
      <c r="M33" s="1459">
        <v>105</v>
      </c>
      <c r="N33" s="1457">
        <v>79</v>
      </c>
      <c r="O33" s="1459">
        <v>574</v>
      </c>
      <c r="P33" s="1459">
        <v>136</v>
      </c>
      <c r="Q33" s="1459">
        <v>47</v>
      </c>
      <c r="R33" s="1459">
        <v>361</v>
      </c>
      <c r="S33" s="1459">
        <v>66</v>
      </c>
      <c r="T33" s="1459">
        <v>19</v>
      </c>
      <c r="U33" s="1458">
        <v>47</v>
      </c>
      <c r="V33" s="1459">
        <v>310</v>
      </c>
      <c r="W33" s="1459">
        <v>8</v>
      </c>
      <c r="X33" s="1468">
        <v>51</v>
      </c>
      <c r="Y33" s="1460">
        <v>3630</v>
      </c>
      <c r="Z33" s="617">
        <v>22230</v>
      </c>
    </row>
    <row r="34" spans="1:26" s="556" customFormat="1" ht="13.5" customHeight="1" x14ac:dyDescent="0.2">
      <c r="A34" s="942">
        <v>31</v>
      </c>
      <c r="B34" s="834" t="s">
        <v>275</v>
      </c>
      <c r="C34" s="1458">
        <v>114</v>
      </c>
      <c r="D34" s="1459">
        <v>193</v>
      </c>
      <c r="E34" s="1459">
        <v>505</v>
      </c>
      <c r="F34" s="1459">
        <v>190</v>
      </c>
      <c r="G34" s="1459">
        <v>1765</v>
      </c>
      <c r="H34" s="1459">
        <v>262</v>
      </c>
      <c r="I34" s="1459">
        <v>1563</v>
      </c>
      <c r="J34" s="1459">
        <v>107</v>
      </c>
      <c r="K34" s="1459">
        <v>165</v>
      </c>
      <c r="L34" s="1459">
        <v>371</v>
      </c>
      <c r="M34" s="1459">
        <v>198</v>
      </c>
      <c r="N34" s="1457">
        <v>292</v>
      </c>
      <c r="O34" s="1459">
        <v>164</v>
      </c>
      <c r="P34" s="1459">
        <v>211</v>
      </c>
      <c r="Q34" s="1459">
        <v>210</v>
      </c>
      <c r="R34" s="1459">
        <v>827</v>
      </c>
      <c r="S34" s="1459">
        <v>180</v>
      </c>
      <c r="T34" s="1459">
        <v>91</v>
      </c>
      <c r="U34" s="1458">
        <v>67</v>
      </c>
      <c r="V34" s="1459">
        <v>39</v>
      </c>
      <c r="W34" s="1459">
        <v>18</v>
      </c>
      <c r="X34" s="1468">
        <v>18</v>
      </c>
      <c r="Y34" s="1460">
        <v>7070</v>
      </c>
      <c r="Z34" s="617">
        <v>40770</v>
      </c>
    </row>
    <row r="35" spans="1:26" s="556" customFormat="1" ht="13.5" customHeight="1" x14ac:dyDescent="0.2">
      <c r="A35" s="942">
        <v>32</v>
      </c>
      <c r="B35" s="834" t="s">
        <v>276</v>
      </c>
      <c r="C35" s="1458">
        <v>22</v>
      </c>
      <c r="D35" s="1459">
        <v>66</v>
      </c>
      <c r="E35" s="1459">
        <v>143</v>
      </c>
      <c r="F35" s="1459">
        <v>75</v>
      </c>
      <c r="G35" s="1459">
        <v>478</v>
      </c>
      <c r="H35" s="1459">
        <v>48</v>
      </c>
      <c r="I35" s="1459">
        <v>294</v>
      </c>
      <c r="J35" s="1459">
        <v>100</v>
      </c>
      <c r="K35" s="1459">
        <v>90</v>
      </c>
      <c r="L35" s="1459">
        <v>192</v>
      </c>
      <c r="M35" s="1459">
        <v>36</v>
      </c>
      <c r="N35" s="1457">
        <v>35</v>
      </c>
      <c r="O35" s="1459">
        <v>32</v>
      </c>
      <c r="P35" s="1459">
        <v>191</v>
      </c>
      <c r="Q35" s="1459">
        <v>91</v>
      </c>
      <c r="R35" s="1459">
        <v>213</v>
      </c>
      <c r="S35" s="1459">
        <v>77</v>
      </c>
      <c r="T35" s="1459">
        <v>44</v>
      </c>
      <c r="U35" s="1458">
        <v>17</v>
      </c>
      <c r="V35" s="1459">
        <v>0</v>
      </c>
      <c r="W35" s="1459" t="s">
        <v>73</v>
      </c>
      <c r="X35" s="1468">
        <v>20</v>
      </c>
      <c r="Y35" s="1460">
        <v>1950</v>
      </c>
      <c r="Z35" s="617">
        <v>14510</v>
      </c>
    </row>
    <row r="36" spans="1:26" s="556" customFormat="1" ht="13.5" customHeight="1" x14ac:dyDescent="0.2">
      <c r="A36" s="942">
        <v>33</v>
      </c>
      <c r="B36" s="834" t="s">
        <v>277</v>
      </c>
      <c r="C36" s="1458">
        <v>147</v>
      </c>
      <c r="D36" s="1459">
        <v>339</v>
      </c>
      <c r="E36" s="1459">
        <v>26</v>
      </c>
      <c r="F36" s="1459">
        <v>6</v>
      </c>
      <c r="G36" s="1459">
        <v>219</v>
      </c>
      <c r="H36" s="1459">
        <v>0</v>
      </c>
      <c r="I36" s="1459">
        <v>64</v>
      </c>
      <c r="J36" s="1459">
        <v>0</v>
      </c>
      <c r="K36" s="1459" t="s">
        <v>73</v>
      </c>
      <c r="L36" s="1459">
        <v>23</v>
      </c>
      <c r="M36" s="1459">
        <v>0</v>
      </c>
      <c r="N36" s="1457">
        <v>47</v>
      </c>
      <c r="O36" s="1459" t="s">
        <v>73</v>
      </c>
      <c r="P36" s="1459">
        <v>0</v>
      </c>
      <c r="Q36" s="1459">
        <v>23</v>
      </c>
      <c r="R36" s="1459">
        <v>0</v>
      </c>
      <c r="S36" s="1459">
        <v>163</v>
      </c>
      <c r="T36" s="1459">
        <v>41</v>
      </c>
      <c r="U36" s="1458">
        <v>0</v>
      </c>
      <c r="V36" s="1459">
        <v>257</v>
      </c>
      <c r="W36" s="1459">
        <v>7</v>
      </c>
      <c r="X36" s="1468">
        <v>0</v>
      </c>
      <c r="Y36" s="1460">
        <v>1160</v>
      </c>
      <c r="Z36" s="617">
        <v>15010</v>
      </c>
    </row>
    <row r="37" spans="1:26" s="556" customFormat="1" ht="13.5" customHeight="1" x14ac:dyDescent="0.2">
      <c r="A37" s="622">
        <v>34</v>
      </c>
      <c r="B37" s="835" t="s">
        <v>278</v>
      </c>
      <c r="C37" s="620">
        <v>387</v>
      </c>
      <c r="D37" s="1459">
        <v>841</v>
      </c>
      <c r="E37" s="1459">
        <v>3029</v>
      </c>
      <c r="F37" s="1459">
        <v>547</v>
      </c>
      <c r="G37" s="1459">
        <v>5966</v>
      </c>
      <c r="H37" s="1459">
        <v>792</v>
      </c>
      <c r="I37" s="1459">
        <v>3636</v>
      </c>
      <c r="J37" s="1459">
        <v>481</v>
      </c>
      <c r="K37" s="1459">
        <v>588</v>
      </c>
      <c r="L37" s="1459">
        <v>1405</v>
      </c>
      <c r="M37" s="1459">
        <v>645</v>
      </c>
      <c r="N37" s="621">
        <v>930</v>
      </c>
      <c r="O37" s="1459">
        <v>1652</v>
      </c>
      <c r="P37" s="1459">
        <v>950</v>
      </c>
      <c r="Q37" s="1459">
        <v>810</v>
      </c>
      <c r="R37" s="1459">
        <v>2896</v>
      </c>
      <c r="S37" s="1459">
        <v>804</v>
      </c>
      <c r="T37" s="1459">
        <v>437</v>
      </c>
      <c r="U37" s="620">
        <v>390</v>
      </c>
      <c r="V37" s="1459">
        <v>2209</v>
      </c>
      <c r="W37" s="1459">
        <v>117</v>
      </c>
      <c r="X37" s="1468">
        <v>170</v>
      </c>
      <c r="Y37" s="1460">
        <v>27490</v>
      </c>
      <c r="Z37" s="617">
        <v>141560</v>
      </c>
    </row>
    <row r="38" spans="1:26" s="556" customFormat="1" ht="13.5" customHeight="1" x14ac:dyDescent="0.2">
      <c r="A38" s="622">
        <v>35</v>
      </c>
      <c r="B38" s="835" t="s">
        <v>279</v>
      </c>
      <c r="C38" s="620">
        <v>1393</v>
      </c>
      <c r="D38" s="1459">
        <v>3020</v>
      </c>
      <c r="E38" s="1459">
        <v>6680</v>
      </c>
      <c r="F38" s="1459">
        <v>3143</v>
      </c>
      <c r="G38" s="1459">
        <v>19841</v>
      </c>
      <c r="H38" s="1459">
        <v>2691</v>
      </c>
      <c r="I38" s="1459">
        <v>16366</v>
      </c>
      <c r="J38" s="1459">
        <v>2818</v>
      </c>
      <c r="K38" s="1459">
        <v>2517</v>
      </c>
      <c r="L38" s="1459">
        <v>6720</v>
      </c>
      <c r="M38" s="1459">
        <v>2950</v>
      </c>
      <c r="N38" s="621">
        <v>2945</v>
      </c>
      <c r="O38" s="1459">
        <v>2339</v>
      </c>
      <c r="P38" s="1459">
        <v>4944</v>
      </c>
      <c r="Q38" s="1459">
        <v>2655</v>
      </c>
      <c r="R38" s="1459">
        <v>12022</v>
      </c>
      <c r="S38" s="1459">
        <v>2994</v>
      </c>
      <c r="T38" s="1459">
        <v>1012</v>
      </c>
      <c r="U38" s="620">
        <v>1503</v>
      </c>
      <c r="V38" s="1459">
        <v>7633</v>
      </c>
      <c r="W38" s="1459">
        <v>668</v>
      </c>
      <c r="X38" s="1468">
        <v>875</v>
      </c>
      <c r="Y38" s="1460">
        <v>98780</v>
      </c>
      <c r="Z38" s="617">
        <v>606920</v>
      </c>
    </row>
    <row r="39" spans="1:26" s="556" customFormat="1" ht="13.5" customHeight="1" x14ac:dyDescent="0.2">
      <c r="A39" s="1451"/>
      <c r="B39" s="1452" t="s">
        <v>245</v>
      </c>
      <c r="C39" s="1552"/>
      <c r="D39" s="1552"/>
      <c r="E39" s="1552"/>
      <c r="F39" s="1552"/>
      <c r="G39" s="1552"/>
      <c r="H39" s="1552"/>
      <c r="I39" s="1552"/>
      <c r="J39" s="1552"/>
      <c r="K39" s="1552"/>
      <c r="L39" s="1552"/>
      <c r="M39" s="1552"/>
      <c r="N39" s="1552"/>
      <c r="O39" s="1552"/>
      <c r="P39" s="1552"/>
      <c r="Q39" s="1552"/>
      <c r="R39" s="1552"/>
      <c r="S39" s="1552"/>
      <c r="T39" s="1552"/>
      <c r="U39" s="1552"/>
      <c r="V39" s="1552"/>
      <c r="W39" s="1552"/>
      <c r="X39" s="1552"/>
      <c r="Y39" s="1553"/>
      <c r="Z39" s="1554"/>
    </row>
    <row r="40" spans="1:26" s="556" customFormat="1" ht="13.5" customHeight="1" x14ac:dyDescent="0.2">
      <c r="A40" s="943">
        <v>36</v>
      </c>
      <c r="B40" s="832" t="s">
        <v>280</v>
      </c>
      <c r="C40" s="1458">
        <v>264</v>
      </c>
      <c r="D40" s="1459">
        <v>515</v>
      </c>
      <c r="E40" s="1459">
        <v>1110</v>
      </c>
      <c r="F40" s="1459">
        <v>325</v>
      </c>
      <c r="G40" s="1459">
        <v>4875</v>
      </c>
      <c r="H40" s="1459">
        <v>520</v>
      </c>
      <c r="I40" s="1459">
        <v>1956</v>
      </c>
      <c r="J40" s="1459">
        <v>175</v>
      </c>
      <c r="K40" s="1459">
        <v>499</v>
      </c>
      <c r="L40" s="1459">
        <v>573</v>
      </c>
      <c r="M40" s="1459">
        <v>900</v>
      </c>
      <c r="N40" s="1457">
        <v>355</v>
      </c>
      <c r="O40" s="1459">
        <v>80</v>
      </c>
      <c r="P40" s="1459">
        <v>1044</v>
      </c>
      <c r="Q40" s="1459">
        <v>291</v>
      </c>
      <c r="R40" s="1459">
        <v>1103</v>
      </c>
      <c r="S40" s="1459">
        <v>327</v>
      </c>
      <c r="T40" s="1459">
        <v>123</v>
      </c>
      <c r="U40" s="1458">
        <v>164</v>
      </c>
      <c r="V40" s="1459">
        <v>5394</v>
      </c>
      <c r="W40" s="1459">
        <v>56</v>
      </c>
      <c r="X40" s="1468">
        <v>76</v>
      </c>
      <c r="Y40" s="1456">
        <v>19240</v>
      </c>
      <c r="Z40" s="617">
        <v>100030</v>
      </c>
    </row>
    <row r="41" spans="1:26" s="556" customFormat="1" ht="13.5" customHeight="1" x14ac:dyDescent="0.2">
      <c r="A41" s="943">
        <v>37</v>
      </c>
      <c r="B41" s="832" t="s">
        <v>636</v>
      </c>
      <c r="C41" s="1458">
        <v>304</v>
      </c>
      <c r="D41" s="1459">
        <v>368</v>
      </c>
      <c r="E41" s="1459">
        <v>1116</v>
      </c>
      <c r="F41" s="1459">
        <v>384</v>
      </c>
      <c r="G41" s="1459">
        <v>7448</v>
      </c>
      <c r="H41" s="1459">
        <v>854</v>
      </c>
      <c r="I41" s="1459">
        <v>2110</v>
      </c>
      <c r="J41" s="1459">
        <v>310</v>
      </c>
      <c r="K41" s="1459">
        <v>539</v>
      </c>
      <c r="L41" s="1459">
        <v>722</v>
      </c>
      <c r="M41" s="1459">
        <v>655</v>
      </c>
      <c r="N41" s="1457">
        <v>438</v>
      </c>
      <c r="O41" s="1459">
        <v>240</v>
      </c>
      <c r="P41" s="1459">
        <v>902</v>
      </c>
      <c r="Q41" s="1459">
        <v>500</v>
      </c>
      <c r="R41" s="1459">
        <v>2383</v>
      </c>
      <c r="S41" s="1459">
        <v>445</v>
      </c>
      <c r="T41" s="1459">
        <v>381</v>
      </c>
      <c r="U41" s="1458">
        <v>239</v>
      </c>
      <c r="V41" s="1459">
        <v>928</v>
      </c>
      <c r="W41" s="1459">
        <v>115</v>
      </c>
      <c r="X41" s="1468">
        <v>173</v>
      </c>
      <c r="Y41" s="1460">
        <v>19830</v>
      </c>
      <c r="Z41" s="617">
        <v>113730</v>
      </c>
    </row>
    <row r="42" spans="1:26" s="556" customFormat="1" ht="13.5" customHeight="1" x14ac:dyDescent="0.2">
      <c r="A42" s="943">
        <v>38</v>
      </c>
      <c r="B42" s="832" t="s">
        <v>637</v>
      </c>
      <c r="C42" s="1458">
        <v>261</v>
      </c>
      <c r="D42" s="1459">
        <v>511</v>
      </c>
      <c r="E42" s="1459">
        <v>1915</v>
      </c>
      <c r="F42" s="1459">
        <v>531</v>
      </c>
      <c r="G42" s="1459">
        <v>3377</v>
      </c>
      <c r="H42" s="1459">
        <v>410</v>
      </c>
      <c r="I42" s="1459">
        <v>4208</v>
      </c>
      <c r="J42" s="1459">
        <v>830</v>
      </c>
      <c r="K42" s="1459">
        <v>494</v>
      </c>
      <c r="L42" s="1459">
        <v>774</v>
      </c>
      <c r="M42" s="1459">
        <v>628</v>
      </c>
      <c r="N42" s="1457">
        <v>368</v>
      </c>
      <c r="O42" s="1459">
        <v>570</v>
      </c>
      <c r="P42" s="1459">
        <v>1042</v>
      </c>
      <c r="Q42" s="1459">
        <v>396</v>
      </c>
      <c r="R42" s="1459">
        <v>1641</v>
      </c>
      <c r="S42" s="1459">
        <v>432</v>
      </c>
      <c r="T42" s="1459">
        <v>145</v>
      </c>
      <c r="U42" s="1458">
        <v>205</v>
      </c>
      <c r="V42" s="1459">
        <v>569</v>
      </c>
      <c r="W42" s="1459">
        <v>73</v>
      </c>
      <c r="X42" s="1468">
        <v>290</v>
      </c>
      <c r="Y42" s="1460">
        <v>18050</v>
      </c>
      <c r="Z42" s="617">
        <v>102200</v>
      </c>
    </row>
    <row r="43" spans="1:26" s="556" customFormat="1" ht="13.5" customHeight="1" x14ac:dyDescent="0.2">
      <c r="A43" s="943">
        <v>39</v>
      </c>
      <c r="B43" s="832" t="s">
        <v>638</v>
      </c>
      <c r="C43" s="1458">
        <v>420</v>
      </c>
      <c r="D43" s="1459">
        <v>730</v>
      </c>
      <c r="E43" s="1459">
        <v>2065</v>
      </c>
      <c r="F43" s="1459">
        <v>831</v>
      </c>
      <c r="G43" s="1459">
        <v>2085</v>
      </c>
      <c r="H43" s="1459">
        <v>347</v>
      </c>
      <c r="I43" s="1459">
        <v>6817</v>
      </c>
      <c r="J43" s="1459">
        <v>1386</v>
      </c>
      <c r="K43" s="1459">
        <v>738</v>
      </c>
      <c r="L43" s="1459">
        <v>1411</v>
      </c>
      <c r="M43" s="1459">
        <v>594</v>
      </c>
      <c r="N43" s="1457">
        <v>896</v>
      </c>
      <c r="O43" s="1459">
        <v>1116</v>
      </c>
      <c r="P43" s="1459">
        <v>1422</v>
      </c>
      <c r="Q43" s="1459">
        <v>618</v>
      </c>
      <c r="R43" s="1459">
        <v>3951</v>
      </c>
      <c r="S43" s="1459">
        <v>565</v>
      </c>
      <c r="T43" s="1459">
        <v>148</v>
      </c>
      <c r="U43" s="1458">
        <v>845</v>
      </c>
      <c r="V43" s="1459">
        <v>508</v>
      </c>
      <c r="W43" s="1459">
        <v>140</v>
      </c>
      <c r="X43" s="1468">
        <v>210</v>
      </c>
      <c r="Y43" s="1456">
        <v>25710</v>
      </c>
      <c r="Z43" s="617">
        <v>187350</v>
      </c>
    </row>
    <row r="44" spans="1:26" s="556" customFormat="1" ht="13.5" customHeight="1" x14ac:dyDescent="0.2">
      <c r="A44" s="943">
        <v>40</v>
      </c>
      <c r="B44" s="832" t="s">
        <v>281</v>
      </c>
      <c r="C44" s="1458">
        <v>143</v>
      </c>
      <c r="D44" s="1459">
        <v>896</v>
      </c>
      <c r="E44" s="1459">
        <v>474</v>
      </c>
      <c r="F44" s="1459">
        <v>1072</v>
      </c>
      <c r="G44" s="1459">
        <v>2056</v>
      </c>
      <c r="H44" s="1459">
        <v>560</v>
      </c>
      <c r="I44" s="1459">
        <v>1275</v>
      </c>
      <c r="J44" s="1459">
        <v>117</v>
      </c>
      <c r="K44" s="1459">
        <v>247</v>
      </c>
      <c r="L44" s="1459">
        <v>3240</v>
      </c>
      <c r="M44" s="1459">
        <v>173</v>
      </c>
      <c r="N44" s="1457">
        <v>888</v>
      </c>
      <c r="O44" s="1459">
        <v>333</v>
      </c>
      <c r="P44" s="1459">
        <v>534</v>
      </c>
      <c r="Q44" s="1459">
        <v>850</v>
      </c>
      <c r="R44" s="1459">
        <v>2944</v>
      </c>
      <c r="S44" s="1459">
        <v>1225</v>
      </c>
      <c r="T44" s="1459">
        <v>180</v>
      </c>
      <c r="U44" s="1458">
        <v>50</v>
      </c>
      <c r="V44" s="1459">
        <v>234</v>
      </c>
      <c r="W44" s="1459">
        <v>284</v>
      </c>
      <c r="X44" s="1468">
        <v>126</v>
      </c>
      <c r="Y44" s="1460">
        <v>15970</v>
      </c>
      <c r="Z44" s="617">
        <v>103570</v>
      </c>
    </row>
    <row r="45" spans="1:26" s="556" customFormat="1" ht="13.5" customHeight="1" x14ac:dyDescent="0.2">
      <c r="A45" s="622">
        <v>41</v>
      </c>
      <c r="B45" s="835" t="s">
        <v>282</v>
      </c>
      <c r="C45" s="1469"/>
      <c r="D45" s="1470"/>
      <c r="E45" s="1470"/>
      <c r="F45" s="1470"/>
      <c r="G45" s="1470"/>
      <c r="H45" s="1470"/>
      <c r="I45" s="1470"/>
      <c r="J45" s="1470"/>
      <c r="K45" s="1470"/>
      <c r="L45" s="1470"/>
      <c r="M45" s="1470"/>
      <c r="N45" s="1474"/>
      <c r="O45" s="1470"/>
      <c r="P45" s="1470"/>
      <c r="Q45" s="1470"/>
      <c r="R45" s="1470"/>
      <c r="S45" s="1470"/>
      <c r="T45" s="1470"/>
      <c r="U45" s="1469"/>
      <c r="V45" s="1470"/>
      <c r="W45" s="1470"/>
      <c r="X45" s="1471"/>
      <c r="Y45" s="1472"/>
      <c r="Z45" s="1473"/>
    </row>
    <row r="46" spans="1:26" s="556" customFormat="1" ht="13.5" customHeight="1" x14ac:dyDescent="0.2">
      <c r="A46" s="622">
        <v>42</v>
      </c>
      <c r="B46" s="835" t="s">
        <v>283</v>
      </c>
      <c r="C46" s="1469"/>
      <c r="D46" s="1470"/>
      <c r="E46" s="1470"/>
      <c r="F46" s="1470"/>
      <c r="G46" s="1470"/>
      <c r="H46" s="1470"/>
      <c r="I46" s="1470"/>
      <c r="J46" s="1470"/>
      <c r="K46" s="1470"/>
      <c r="L46" s="1470"/>
      <c r="M46" s="1470"/>
      <c r="N46" s="1474"/>
      <c r="O46" s="1470"/>
      <c r="P46" s="1470"/>
      <c r="Q46" s="1470"/>
      <c r="R46" s="1470"/>
      <c r="S46" s="1470"/>
      <c r="T46" s="1470"/>
      <c r="U46" s="1469"/>
      <c r="V46" s="1470"/>
      <c r="W46" s="1470"/>
      <c r="X46" s="1471"/>
      <c r="Y46" s="1472"/>
      <c r="Z46" s="1473"/>
    </row>
    <row r="47" spans="1:26" s="556" customFormat="1" ht="13.5" customHeight="1" x14ac:dyDescent="0.2">
      <c r="A47" s="622">
        <v>43</v>
      </c>
      <c r="B47" s="835" t="s">
        <v>284</v>
      </c>
      <c r="C47" s="620">
        <v>981</v>
      </c>
      <c r="D47" s="1459">
        <v>2166</v>
      </c>
      <c r="E47" s="1459">
        <v>3363</v>
      </c>
      <c r="F47" s="1459">
        <v>3140</v>
      </c>
      <c r="G47" s="1459">
        <v>8713</v>
      </c>
      <c r="H47" s="1459">
        <v>1247</v>
      </c>
      <c r="I47" s="1459">
        <v>10005</v>
      </c>
      <c r="J47" s="1459">
        <v>1776</v>
      </c>
      <c r="K47" s="1459">
        <v>2025</v>
      </c>
      <c r="L47" s="1459">
        <v>4808</v>
      </c>
      <c r="M47" s="1459">
        <v>1432</v>
      </c>
      <c r="N47" s="621">
        <v>1781</v>
      </c>
      <c r="O47" s="1459">
        <v>1212</v>
      </c>
      <c r="P47" s="1459">
        <v>3109</v>
      </c>
      <c r="Q47" s="1459">
        <v>2287</v>
      </c>
      <c r="R47" s="1459">
        <v>6125</v>
      </c>
      <c r="S47" s="1459">
        <v>1919</v>
      </c>
      <c r="T47" s="1459">
        <v>1196</v>
      </c>
      <c r="U47" s="620">
        <v>984</v>
      </c>
      <c r="V47" s="1459">
        <v>4802</v>
      </c>
      <c r="W47" s="1459">
        <v>959</v>
      </c>
      <c r="X47" s="1468">
        <v>667</v>
      </c>
      <c r="Y47" s="1460">
        <v>58470</v>
      </c>
      <c r="Z47" s="617">
        <v>389430</v>
      </c>
    </row>
    <row r="48" spans="1:26" s="556" customFormat="1" ht="13.5" customHeight="1" x14ac:dyDescent="0.2">
      <c r="A48" s="622">
        <v>44</v>
      </c>
      <c r="B48" s="835" t="s">
        <v>285</v>
      </c>
      <c r="C48" s="620">
        <v>560</v>
      </c>
      <c r="D48" s="1459">
        <v>863</v>
      </c>
      <c r="E48" s="1459">
        <v>2576</v>
      </c>
      <c r="F48" s="1459">
        <v>1127</v>
      </c>
      <c r="G48" s="1459">
        <v>4211</v>
      </c>
      <c r="H48" s="1459">
        <v>549</v>
      </c>
      <c r="I48" s="1459">
        <v>4893</v>
      </c>
      <c r="J48" s="1459">
        <v>1072</v>
      </c>
      <c r="K48" s="1459">
        <v>776</v>
      </c>
      <c r="L48" s="1459">
        <v>1926</v>
      </c>
      <c r="M48" s="1459">
        <v>1240</v>
      </c>
      <c r="N48" s="621">
        <v>1090</v>
      </c>
      <c r="O48" s="1459">
        <v>876</v>
      </c>
      <c r="P48" s="1459">
        <v>1577</v>
      </c>
      <c r="Q48" s="1459">
        <v>1352</v>
      </c>
      <c r="R48" s="1459">
        <v>4268</v>
      </c>
      <c r="S48" s="1459">
        <v>918</v>
      </c>
      <c r="T48" s="1459">
        <v>760</v>
      </c>
      <c r="U48" s="620">
        <v>553</v>
      </c>
      <c r="V48" s="1459">
        <v>2169</v>
      </c>
      <c r="W48" s="1459">
        <v>457</v>
      </c>
      <c r="X48" s="1468">
        <v>263</v>
      </c>
      <c r="Y48" s="1460">
        <v>30820</v>
      </c>
      <c r="Z48" s="617">
        <v>185450</v>
      </c>
    </row>
    <row r="49" spans="1:26" s="556" customFormat="1" ht="13.5" customHeight="1" x14ac:dyDescent="0.2">
      <c r="A49" s="622">
        <v>45</v>
      </c>
      <c r="B49" s="835" t="s">
        <v>286</v>
      </c>
      <c r="C49" s="620">
        <v>261</v>
      </c>
      <c r="D49" s="1459">
        <v>471</v>
      </c>
      <c r="E49" s="1459">
        <v>866</v>
      </c>
      <c r="F49" s="1459">
        <v>627</v>
      </c>
      <c r="G49" s="1459">
        <v>1869</v>
      </c>
      <c r="H49" s="1459">
        <v>288</v>
      </c>
      <c r="I49" s="1459">
        <v>1494</v>
      </c>
      <c r="J49" s="1459">
        <v>351</v>
      </c>
      <c r="K49" s="1459">
        <v>147</v>
      </c>
      <c r="L49" s="1459">
        <v>920</v>
      </c>
      <c r="M49" s="1459">
        <v>299</v>
      </c>
      <c r="N49" s="621">
        <v>528</v>
      </c>
      <c r="O49" s="1459">
        <v>338</v>
      </c>
      <c r="P49" s="1459">
        <v>661</v>
      </c>
      <c r="Q49" s="1459">
        <v>463</v>
      </c>
      <c r="R49" s="1459">
        <v>1352</v>
      </c>
      <c r="S49" s="1459">
        <v>387</v>
      </c>
      <c r="T49" s="1459">
        <v>362</v>
      </c>
      <c r="U49" s="620">
        <v>248</v>
      </c>
      <c r="V49" s="1459">
        <v>680</v>
      </c>
      <c r="W49" s="1459">
        <v>194</v>
      </c>
      <c r="X49" s="1468">
        <v>89</v>
      </c>
      <c r="Y49" s="1460">
        <v>11490</v>
      </c>
      <c r="Z49" s="617">
        <v>76930</v>
      </c>
    </row>
    <row r="50" spans="1:26" s="556" customFormat="1" ht="13.5" customHeight="1" x14ac:dyDescent="0.2">
      <c r="A50" s="622">
        <v>46</v>
      </c>
      <c r="B50" s="835" t="s">
        <v>287</v>
      </c>
      <c r="C50" s="620">
        <v>193</v>
      </c>
      <c r="D50" s="1459">
        <v>311</v>
      </c>
      <c r="E50" s="1459">
        <v>603</v>
      </c>
      <c r="F50" s="1463">
        <v>375</v>
      </c>
      <c r="G50" s="1459">
        <v>1435</v>
      </c>
      <c r="H50" s="1459">
        <v>218</v>
      </c>
      <c r="I50" s="1459">
        <v>1260</v>
      </c>
      <c r="J50" s="1459">
        <v>310</v>
      </c>
      <c r="K50" s="1459">
        <v>128</v>
      </c>
      <c r="L50" s="1459">
        <v>822</v>
      </c>
      <c r="M50" s="1459">
        <v>232</v>
      </c>
      <c r="N50" s="621">
        <v>447</v>
      </c>
      <c r="O50" s="1459">
        <v>276</v>
      </c>
      <c r="P50" s="1459">
        <v>622</v>
      </c>
      <c r="Q50" s="1459">
        <v>315</v>
      </c>
      <c r="R50" s="1459">
        <v>925</v>
      </c>
      <c r="S50" s="1459">
        <v>253</v>
      </c>
      <c r="T50" s="1459">
        <v>326</v>
      </c>
      <c r="U50" s="620">
        <v>240</v>
      </c>
      <c r="V50" s="1459">
        <v>291</v>
      </c>
      <c r="W50" s="1459">
        <v>161</v>
      </c>
      <c r="X50" s="1468">
        <v>71</v>
      </c>
      <c r="Y50" s="1460">
        <v>8620</v>
      </c>
      <c r="Z50" s="617">
        <v>59410</v>
      </c>
    </row>
    <row r="51" spans="1:26" s="556" customFormat="1" ht="13.5" customHeight="1" x14ac:dyDescent="0.2">
      <c r="A51" s="622">
        <v>47</v>
      </c>
      <c r="B51" s="835" t="s">
        <v>288</v>
      </c>
      <c r="C51" s="620">
        <v>176</v>
      </c>
      <c r="D51" s="1459">
        <v>367</v>
      </c>
      <c r="E51" s="1459">
        <v>553</v>
      </c>
      <c r="F51" s="1459">
        <v>475</v>
      </c>
      <c r="G51" s="1459">
        <v>1263</v>
      </c>
      <c r="H51" s="1459">
        <v>199</v>
      </c>
      <c r="I51" s="1459">
        <v>1185</v>
      </c>
      <c r="J51" s="1459">
        <v>313</v>
      </c>
      <c r="K51" s="1459">
        <v>90</v>
      </c>
      <c r="L51" s="1459">
        <v>609</v>
      </c>
      <c r="M51" s="1459">
        <v>242</v>
      </c>
      <c r="N51" s="621">
        <v>349</v>
      </c>
      <c r="O51" s="1459">
        <v>153</v>
      </c>
      <c r="P51" s="1459">
        <v>413</v>
      </c>
      <c r="Q51" s="1459">
        <v>276</v>
      </c>
      <c r="R51" s="1459">
        <v>843</v>
      </c>
      <c r="S51" s="1459">
        <v>244</v>
      </c>
      <c r="T51" s="1459">
        <v>212</v>
      </c>
      <c r="U51" s="620">
        <v>155</v>
      </c>
      <c r="V51" s="1459">
        <v>549</v>
      </c>
      <c r="W51" s="1459">
        <v>141</v>
      </c>
      <c r="X51" s="1468">
        <v>46</v>
      </c>
      <c r="Y51" s="1460">
        <v>7980</v>
      </c>
      <c r="Z51" s="617">
        <v>51080</v>
      </c>
    </row>
    <row r="52" spans="1:26" s="556" customFormat="1" ht="13.5" customHeight="1" x14ac:dyDescent="0.2">
      <c r="A52" s="622">
        <v>48</v>
      </c>
      <c r="B52" s="832" t="s">
        <v>289</v>
      </c>
      <c r="C52" s="620">
        <v>132</v>
      </c>
      <c r="D52" s="1459">
        <v>254</v>
      </c>
      <c r="E52" s="1459">
        <v>350</v>
      </c>
      <c r="F52" s="1459">
        <v>330</v>
      </c>
      <c r="G52" s="1459">
        <v>918</v>
      </c>
      <c r="H52" s="1459">
        <v>128</v>
      </c>
      <c r="I52" s="1459">
        <v>863</v>
      </c>
      <c r="J52" s="1459">
        <v>232</v>
      </c>
      <c r="K52" s="1459">
        <v>49</v>
      </c>
      <c r="L52" s="1459">
        <v>419</v>
      </c>
      <c r="M52" s="1459">
        <v>174</v>
      </c>
      <c r="N52" s="621">
        <v>236</v>
      </c>
      <c r="O52" s="1459">
        <v>112</v>
      </c>
      <c r="P52" s="1459">
        <v>246</v>
      </c>
      <c r="Q52" s="1459">
        <v>188</v>
      </c>
      <c r="R52" s="1459">
        <v>618</v>
      </c>
      <c r="S52" s="1459">
        <v>157</v>
      </c>
      <c r="T52" s="1459">
        <v>131</v>
      </c>
      <c r="U52" s="620">
        <v>82</v>
      </c>
      <c r="V52" s="1459">
        <v>379</v>
      </c>
      <c r="W52" s="1459">
        <v>97</v>
      </c>
      <c r="X52" s="1468">
        <v>29</v>
      </c>
      <c r="Y52" s="1460">
        <v>5590</v>
      </c>
      <c r="Z52" s="617">
        <v>34960</v>
      </c>
    </row>
    <row r="53" spans="1:26" s="556" customFormat="1" ht="13.5" customHeight="1" x14ac:dyDescent="0.2">
      <c r="A53" s="622">
        <v>49</v>
      </c>
      <c r="B53" s="832" t="s">
        <v>290</v>
      </c>
      <c r="C53" s="620">
        <v>129</v>
      </c>
      <c r="D53" s="1459">
        <v>185</v>
      </c>
      <c r="E53" s="1459">
        <v>296</v>
      </c>
      <c r="F53" s="1463">
        <v>304</v>
      </c>
      <c r="G53" s="1459">
        <v>804</v>
      </c>
      <c r="H53" s="1459">
        <v>112</v>
      </c>
      <c r="I53" s="1459">
        <v>863</v>
      </c>
      <c r="J53" s="1459">
        <v>227</v>
      </c>
      <c r="K53" s="1459">
        <v>49</v>
      </c>
      <c r="L53" s="1459">
        <v>407</v>
      </c>
      <c r="M53" s="1459">
        <v>173</v>
      </c>
      <c r="N53" s="621">
        <v>8</v>
      </c>
      <c r="O53" s="1459">
        <v>108</v>
      </c>
      <c r="P53" s="1459">
        <v>235</v>
      </c>
      <c r="Q53" s="1459">
        <v>141</v>
      </c>
      <c r="R53" s="1459">
        <v>604</v>
      </c>
      <c r="S53" s="1459">
        <v>144</v>
      </c>
      <c r="T53" s="1459">
        <v>106</v>
      </c>
      <c r="U53" s="620">
        <v>81</v>
      </c>
      <c r="V53" s="1459">
        <v>316</v>
      </c>
      <c r="W53" s="1459">
        <v>94</v>
      </c>
      <c r="X53" s="1468">
        <v>28</v>
      </c>
      <c r="Y53" s="1460">
        <v>4930</v>
      </c>
      <c r="Z53" s="617">
        <v>32230</v>
      </c>
    </row>
    <row r="54" spans="1:26" s="556" customFormat="1" ht="13.5" customHeight="1" x14ac:dyDescent="0.2">
      <c r="A54" s="622">
        <v>50</v>
      </c>
      <c r="B54" s="832" t="s">
        <v>525</v>
      </c>
      <c r="C54" s="1477"/>
      <c r="D54" s="1478"/>
      <c r="E54" s="1478"/>
      <c r="F54" s="1478"/>
      <c r="G54" s="1478"/>
      <c r="H54" s="1478"/>
      <c r="I54" s="1478"/>
      <c r="J54" s="1478"/>
      <c r="K54" s="1478"/>
      <c r="L54" s="1478"/>
      <c r="M54" s="1478"/>
      <c r="N54" s="1479"/>
      <c r="O54" s="1478"/>
      <c r="P54" s="1478"/>
      <c r="Q54" s="1478"/>
      <c r="R54" s="1478"/>
      <c r="S54" s="1478"/>
      <c r="T54" s="1478"/>
      <c r="U54" s="1477"/>
      <c r="V54" s="1478"/>
      <c r="W54" s="1478"/>
      <c r="X54" s="1480"/>
      <c r="Y54" s="1481"/>
      <c r="Z54" s="1482"/>
    </row>
    <row r="55" spans="1:26" s="556" customFormat="1" ht="13.5" customHeight="1" x14ac:dyDescent="0.2">
      <c r="A55" s="622">
        <v>51</v>
      </c>
      <c r="B55" s="832" t="s">
        <v>694</v>
      </c>
      <c r="C55" s="1477"/>
      <c r="D55" s="1478"/>
      <c r="E55" s="1478"/>
      <c r="F55" s="1478"/>
      <c r="G55" s="1478"/>
      <c r="H55" s="1478"/>
      <c r="I55" s="1478"/>
      <c r="J55" s="1478"/>
      <c r="K55" s="1478"/>
      <c r="L55" s="1478"/>
      <c r="M55" s="1478"/>
      <c r="N55" s="1479"/>
      <c r="O55" s="1478"/>
      <c r="P55" s="1478"/>
      <c r="Q55" s="1478"/>
      <c r="R55" s="1478"/>
      <c r="S55" s="1478"/>
      <c r="T55" s="1478"/>
      <c r="U55" s="1477"/>
      <c r="V55" s="1478"/>
      <c r="W55" s="1478"/>
      <c r="X55" s="1480"/>
      <c r="Y55" s="1481"/>
      <c r="Z55" s="1482"/>
    </row>
    <row r="56" spans="1:26" s="556" customFormat="1" ht="13.5" customHeight="1" x14ac:dyDescent="0.2">
      <c r="A56" s="622">
        <v>52</v>
      </c>
      <c r="B56" s="832" t="s">
        <v>291</v>
      </c>
      <c r="C56" s="620">
        <v>157</v>
      </c>
      <c r="D56" s="1459">
        <v>432</v>
      </c>
      <c r="E56" s="1459">
        <v>626</v>
      </c>
      <c r="F56" s="1459">
        <v>496</v>
      </c>
      <c r="G56" s="1459">
        <v>1759</v>
      </c>
      <c r="H56" s="1459">
        <v>244</v>
      </c>
      <c r="I56" s="1459">
        <v>1164</v>
      </c>
      <c r="J56" s="1459">
        <v>552</v>
      </c>
      <c r="K56" s="1459">
        <v>140</v>
      </c>
      <c r="L56" s="1459">
        <v>762</v>
      </c>
      <c r="M56" s="1459">
        <v>304</v>
      </c>
      <c r="N56" s="621">
        <v>305</v>
      </c>
      <c r="O56" s="1459">
        <v>365</v>
      </c>
      <c r="P56" s="1459">
        <v>450</v>
      </c>
      <c r="Q56" s="1459">
        <v>424</v>
      </c>
      <c r="R56" s="1459">
        <v>1076</v>
      </c>
      <c r="S56" s="1459">
        <v>309</v>
      </c>
      <c r="T56" s="1459">
        <v>217</v>
      </c>
      <c r="U56" s="620">
        <v>200</v>
      </c>
      <c r="V56" s="1459">
        <v>529</v>
      </c>
      <c r="W56" s="1459">
        <v>176</v>
      </c>
      <c r="X56" s="1468">
        <v>105</v>
      </c>
      <c r="Y56" s="1460">
        <v>9820</v>
      </c>
      <c r="Z56" s="617">
        <v>65420</v>
      </c>
    </row>
    <row r="57" spans="1:26" s="556" customFormat="1" ht="13.5" customHeight="1" x14ac:dyDescent="0.2">
      <c r="A57" s="622">
        <v>53</v>
      </c>
      <c r="B57" s="835" t="s">
        <v>292</v>
      </c>
      <c r="C57" s="620">
        <v>14</v>
      </c>
      <c r="D57" s="1459">
        <v>14</v>
      </c>
      <c r="E57" s="1459">
        <v>15</v>
      </c>
      <c r="F57" s="1459">
        <v>44</v>
      </c>
      <c r="G57" s="1459">
        <v>86</v>
      </c>
      <c r="H57" s="1459">
        <v>9</v>
      </c>
      <c r="I57" s="1459">
        <v>44</v>
      </c>
      <c r="J57" s="1459">
        <v>33</v>
      </c>
      <c r="K57" s="1459">
        <v>0</v>
      </c>
      <c r="L57" s="1459">
        <v>34</v>
      </c>
      <c r="M57" s="1459">
        <v>12</v>
      </c>
      <c r="N57" s="621">
        <v>8</v>
      </c>
      <c r="O57" s="1459" t="s">
        <v>73</v>
      </c>
      <c r="P57" s="1459">
        <v>9</v>
      </c>
      <c r="Q57" s="1459">
        <v>18</v>
      </c>
      <c r="R57" s="1459">
        <v>60</v>
      </c>
      <c r="S57" s="1459">
        <v>11</v>
      </c>
      <c r="T57" s="1459" t="s">
        <v>73</v>
      </c>
      <c r="U57" s="620" t="s">
        <v>73</v>
      </c>
      <c r="V57" s="1459">
        <v>35</v>
      </c>
      <c r="W57" s="1459" t="s">
        <v>73</v>
      </c>
      <c r="X57" s="1468">
        <v>0</v>
      </c>
      <c r="Y57" s="1460">
        <v>440</v>
      </c>
      <c r="Z57" s="617">
        <v>2230</v>
      </c>
    </row>
    <row r="58" spans="1:26" s="556" customFormat="1" ht="13.5" customHeight="1" x14ac:dyDescent="0.2">
      <c r="A58" s="622">
        <v>54</v>
      </c>
      <c r="B58" s="835" t="s">
        <v>293</v>
      </c>
      <c r="C58" s="620">
        <v>218</v>
      </c>
      <c r="D58" s="1459">
        <v>411</v>
      </c>
      <c r="E58" s="1459">
        <v>725</v>
      </c>
      <c r="F58" s="1459">
        <v>523</v>
      </c>
      <c r="G58" s="1459">
        <v>1582</v>
      </c>
      <c r="H58" s="1459">
        <v>231</v>
      </c>
      <c r="I58" s="1459">
        <v>1300</v>
      </c>
      <c r="J58" s="1459">
        <v>328</v>
      </c>
      <c r="K58" s="1459">
        <v>138</v>
      </c>
      <c r="L58" s="1459">
        <v>800</v>
      </c>
      <c r="M58" s="1459">
        <v>271</v>
      </c>
      <c r="N58" s="621">
        <v>419</v>
      </c>
      <c r="O58" s="1459">
        <v>292</v>
      </c>
      <c r="P58" s="1459">
        <v>584</v>
      </c>
      <c r="Q58" s="1459">
        <v>379</v>
      </c>
      <c r="R58" s="1459">
        <v>1038</v>
      </c>
      <c r="S58" s="1459">
        <v>352</v>
      </c>
      <c r="T58" s="1459">
        <v>297</v>
      </c>
      <c r="U58" s="620">
        <v>211</v>
      </c>
      <c r="V58" s="1459">
        <v>633</v>
      </c>
      <c r="W58" s="1459">
        <v>172</v>
      </c>
      <c r="X58" s="1468">
        <v>86</v>
      </c>
      <c r="Y58" s="1460">
        <v>9760</v>
      </c>
      <c r="Z58" s="617">
        <v>66410</v>
      </c>
    </row>
    <row r="59" spans="1:26" s="556" customFormat="1" ht="13.5" customHeight="1" x14ac:dyDescent="0.2">
      <c r="A59" s="622">
        <v>55</v>
      </c>
      <c r="B59" s="835" t="s">
        <v>294</v>
      </c>
      <c r="C59" s="620">
        <v>57</v>
      </c>
      <c r="D59" s="1459">
        <v>90</v>
      </c>
      <c r="E59" s="1459">
        <v>104</v>
      </c>
      <c r="F59" s="1459">
        <v>148</v>
      </c>
      <c r="G59" s="1459">
        <v>384</v>
      </c>
      <c r="H59" s="1459">
        <v>48</v>
      </c>
      <c r="I59" s="1459">
        <v>252</v>
      </c>
      <c r="J59" s="1459">
        <v>68</v>
      </c>
      <c r="K59" s="1459">
        <v>12</v>
      </c>
      <c r="L59" s="1459">
        <v>147</v>
      </c>
      <c r="M59" s="1459">
        <v>55</v>
      </c>
      <c r="N59" s="621">
        <v>121</v>
      </c>
      <c r="O59" s="1459">
        <v>66</v>
      </c>
      <c r="P59" s="1459">
        <v>113</v>
      </c>
      <c r="Q59" s="1459">
        <v>108</v>
      </c>
      <c r="R59" s="1459">
        <v>233</v>
      </c>
      <c r="S59" s="1459">
        <v>71</v>
      </c>
      <c r="T59" s="1459">
        <v>63</v>
      </c>
      <c r="U59" s="620">
        <v>48</v>
      </c>
      <c r="V59" s="1459">
        <v>144</v>
      </c>
      <c r="W59" s="1459">
        <v>53</v>
      </c>
      <c r="X59" s="1468">
        <v>28</v>
      </c>
      <c r="Y59" s="1460">
        <v>2170</v>
      </c>
      <c r="Z59" s="617">
        <v>12420</v>
      </c>
    </row>
    <row r="60" spans="1:26" s="556" customFormat="1" ht="13.5" customHeight="1" x14ac:dyDescent="0.2">
      <c r="A60" s="622">
        <v>56</v>
      </c>
      <c r="B60" s="835" t="s">
        <v>295</v>
      </c>
      <c r="C60" s="1469"/>
      <c r="D60" s="1470"/>
      <c r="E60" s="1470"/>
      <c r="F60" s="1470"/>
      <c r="G60" s="1470"/>
      <c r="H60" s="1470"/>
      <c r="I60" s="1470"/>
      <c r="J60" s="1470"/>
      <c r="K60" s="1470"/>
      <c r="L60" s="1470"/>
      <c r="M60" s="1470"/>
      <c r="N60" s="1474"/>
      <c r="O60" s="1470"/>
      <c r="P60" s="1470"/>
      <c r="Q60" s="1470"/>
      <c r="R60" s="1470"/>
      <c r="S60" s="1470"/>
      <c r="T60" s="1470"/>
      <c r="U60" s="1469"/>
      <c r="V60" s="1470"/>
      <c r="W60" s="1470"/>
      <c r="X60" s="1471"/>
      <c r="Y60" s="1472"/>
      <c r="Z60" s="1473"/>
    </row>
    <row r="61" spans="1:26" s="556" customFormat="1" ht="13.5" customHeight="1" x14ac:dyDescent="0.2">
      <c r="A61" s="622">
        <v>57</v>
      </c>
      <c r="B61" s="835" t="s">
        <v>296</v>
      </c>
      <c r="C61" s="620">
        <v>116</v>
      </c>
      <c r="D61" s="1459">
        <v>456</v>
      </c>
      <c r="E61" s="1459">
        <v>454</v>
      </c>
      <c r="F61" s="1459">
        <v>555</v>
      </c>
      <c r="G61" s="1459">
        <v>1440</v>
      </c>
      <c r="H61" s="1459">
        <v>228</v>
      </c>
      <c r="I61" s="1459">
        <v>1901</v>
      </c>
      <c r="J61" s="1459">
        <v>390</v>
      </c>
      <c r="K61" s="1459">
        <v>396</v>
      </c>
      <c r="L61" s="1459">
        <v>666</v>
      </c>
      <c r="M61" s="1459">
        <v>358</v>
      </c>
      <c r="N61" s="621">
        <v>263</v>
      </c>
      <c r="O61" s="1459">
        <v>190</v>
      </c>
      <c r="P61" s="1459">
        <v>476</v>
      </c>
      <c r="Q61" s="1459">
        <v>540</v>
      </c>
      <c r="R61" s="1459">
        <v>869</v>
      </c>
      <c r="S61" s="1459">
        <v>330</v>
      </c>
      <c r="T61" s="1459">
        <v>289</v>
      </c>
      <c r="U61" s="620">
        <v>161</v>
      </c>
      <c r="V61" s="1459">
        <v>663</v>
      </c>
      <c r="W61" s="1459">
        <v>109</v>
      </c>
      <c r="X61" s="1468">
        <v>75</v>
      </c>
      <c r="Y61" s="1460">
        <v>9830</v>
      </c>
      <c r="Z61" s="617">
        <v>72610</v>
      </c>
    </row>
    <row r="62" spans="1:26" s="556" customFormat="1" ht="13.5" customHeight="1" x14ac:dyDescent="0.2">
      <c r="A62" s="1451"/>
      <c r="B62" s="1450" t="s">
        <v>908</v>
      </c>
      <c r="C62" s="620"/>
      <c r="D62" s="1066"/>
      <c r="E62" s="1066"/>
      <c r="F62" s="1066"/>
      <c r="G62" s="1066"/>
      <c r="H62" s="1066"/>
      <c r="I62" s="1066"/>
      <c r="J62" s="1066"/>
      <c r="K62" s="1066"/>
      <c r="L62" s="1066"/>
      <c r="M62" s="1066"/>
      <c r="N62" s="621"/>
      <c r="O62" s="1066"/>
      <c r="P62" s="1066"/>
      <c r="Q62" s="1066"/>
      <c r="R62" s="1066"/>
      <c r="S62" s="1066"/>
      <c r="T62" s="1066"/>
      <c r="U62" s="620"/>
      <c r="V62" s="1066"/>
      <c r="W62" s="1066"/>
      <c r="X62" s="1066"/>
      <c r="Y62" s="1460">
        <f t="shared" ref="Y62" si="1">SUM(C62:O62,Q62:R62,U62:X62)</f>
        <v>0</v>
      </c>
      <c r="Z62" s="1291"/>
    </row>
    <row r="63" spans="1:26" s="556" customFormat="1" ht="13.5" customHeight="1" x14ac:dyDescent="0.2">
      <c r="A63" s="622">
        <v>58</v>
      </c>
      <c r="B63" s="836" t="s">
        <v>571</v>
      </c>
      <c r="C63" s="620">
        <v>6</v>
      </c>
      <c r="D63" s="1459">
        <v>19</v>
      </c>
      <c r="E63" s="1459">
        <v>18</v>
      </c>
      <c r="F63" s="1459">
        <v>27</v>
      </c>
      <c r="G63" s="1459">
        <v>53</v>
      </c>
      <c r="H63" s="1459">
        <v>9</v>
      </c>
      <c r="I63" s="1459">
        <v>54</v>
      </c>
      <c r="J63" s="1459">
        <v>24</v>
      </c>
      <c r="K63" s="1459">
        <v>22</v>
      </c>
      <c r="L63" s="1459">
        <v>46</v>
      </c>
      <c r="M63" s="1459">
        <v>15</v>
      </c>
      <c r="N63" s="621">
        <v>18</v>
      </c>
      <c r="O63" s="1459">
        <v>17</v>
      </c>
      <c r="P63" s="1459">
        <v>25</v>
      </c>
      <c r="Q63" s="1459">
        <v>22</v>
      </c>
      <c r="R63" s="1459">
        <v>40</v>
      </c>
      <c r="S63" s="1459">
        <v>18</v>
      </c>
      <c r="T63" s="1459">
        <v>17</v>
      </c>
      <c r="U63" s="620">
        <v>6</v>
      </c>
      <c r="V63" s="1459">
        <v>42</v>
      </c>
      <c r="W63" s="1459" t="s">
        <v>73</v>
      </c>
      <c r="X63" s="1468" t="s">
        <v>73</v>
      </c>
      <c r="Y63" s="1460">
        <v>440</v>
      </c>
      <c r="Z63" s="617">
        <v>3820</v>
      </c>
    </row>
    <row r="64" spans="1:26" s="556" customFormat="1" ht="13.5" customHeight="1" x14ac:dyDescent="0.2">
      <c r="A64" s="622">
        <v>59</v>
      </c>
      <c r="B64" s="836" t="s">
        <v>572</v>
      </c>
      <c r="C64" s="620">
        <v>8</v>
      </c>
      <c r="D64" s="1459">
        <v>50</v>
      </c>
      <c r="E64" s="1459">
        <v>65</v>
      </c>
      <c r="F64" s="1459">
        <v>62</v>
      </c>
      <c r="G64" s="1459">
        <v>198</v>
      </c>
      <c r="H64" s="1459">
        <v>34</v>
      </c>
      <c r="I64" s="1459">
        <v>133</v>
      </c>
      <c r="J64" s="1459">
        <v>51</v>
      </c>
      <c r="K64" s="1459">
        <v>56</v>
      </c>
      <c r="L64" s="1459">
        <v>71</v>
      </c>
      <c r="M64" s="1459">
        <v>45</v>
      </c>
      <c r="N64" s="621">
        <v>33</v>
      </c>
      <c r="O64" s="1459">
        <v>17</v>
      </c>
      <c r="P64" s="1459">
        <v>43</v>
      </c>
      <c r="Q64" s="1459">
        <v>87</v>
      </c>
      <c r="R64" s="1459">
        <v>71</v>
      </c>
      <c r="S64" s="1459">
        <v>50</v>
      </c>
      <c r="T64" s="1459">
        <v>32</v>
      </c>
      <c r="U64" s="620">
        <v>16</v>
      </c>
      <c r="V64" s="1459">
        <v>72</v>
      </c>
      <c r="W64" s="1459" t="s">
        <v>73</v>
      </c>
      <c r="X64" s="1468" t="s">
        <v>73</v>
      </c>
      <c r="Y64" s="1460">
        <v>1090</v>
      </c>
      <c r="Z64" s="617">
        <v>9170</v>
      </c>
    </row>
    <row r="65" spans="1:26" s="556" customFormat="1" ht="13.5" customHeight="1" x14ac:dyDescent="0.2">
      <c r="A65" s="622">
        <v>60</v>
      </c>
      <c r="B65" s="836" t="s">
        <v>573</v>
      </c>
      <c r="C65" s="620">
        <v>19</v>
      </c>
      <c r="D65" s="1459">
        <v>72</v>
      </c>
      <c r="E65" s="1459">
        <v>83</v>
      </c>
      <c r="F65" s="1459">
        <v>119</v>
      </c>
      <c r="G65" s="1459">
        <v>289</v>
      </c>
      <c r="H65" s="1459">
        <v>46</v>
      </c>
      <c r="I65" s="1459">
        <v>255</v>
      </c>
      <c r="J65" s="1459">
        <v>87</v>
      </c>
      <c r="K65" s="1459">
        <v>73</v>
      </c>
      <c r="L65" s="1459">
        <v>120</v>
      </c>
      <c r="M65" s="1459">
        <v>58</v>
      </c>
      <c r="N65" s="621">
        <v>54</v>
      </c>
      <c r="O65" s="1459">
        <v>25</v>
      </c>
      <c r="P65" s="1459">
        <v>85</v>
      </c>
      <c r="Q65" s="1459">
        <v>159</v>
      </c>
      <c r="R65" s="1459">
        <v>135</v>
      </c>
      <c r="S65" s="1459">
        <v>69</v>
      </c>
      <c r="T65" s="1459">
        <v>60</v>
      </c>
      <c r="U65" s="620">
        <v>32</v>
      </c>
      <c r="V65" s="1459">
        <v>97</v>
      </c>
      <c r="W65" s="1459">
        <v>16</v>
      </c>
      <c r="X65" s="1468" t="s">
        <v>73</v>
      </c>
      <c r="Y65" s="1460">
        <v>1740</v>
      </c>
      <c r="Z65" s="617">
        <v>14100</v>
      </c>
    </row>
    <row r="66" spans="1:26" s="556" customFormat="1" ht="13.5" customHeight="1" x14ac:dyDescent="0.2">
      <c r="A66" s="622">
        <v>61</v>
      </c>
      <c r="B66" s="836" t="s">
        <v>574</v>
      </c>
      <c r="C66" s="620">
        <v>50</v>
      </c>
      <c r="D66" s="1459">
        <v>183</v>
      </c>
      <c r="E66" s="1459">
        <v>187</v>
      </c>
      <c r="F66" s="1459">
        <v>223</v>
      </c>
      <c r="G66" s="1459">
        <v>606</v>
      </c>
      <c r="H66" s="1459">
        <v>81</v>
      </c>
      <c r="I66" s="1459">
        <v>749</v>
      </c>
      <c r="J66" s="1459">
        <v>157</v>
      </c>
      <c r="K66" s="1459">
        <v>153</v>
      </c>
      <c r="L66" s="1459">
        <v>271</v>
      </c>
      <c r="M66" s="1459">
        <v>154</v>
      </c>
      <c r="N66" s="621">
        <v>98</v>
      </c>
      <c r="O66" s="1459">
        <v>81</v>
      </c>
      <c r="P66" s="1459">
        <v>206</v>
      </c>
      <c r="Q66" s="1459">
        <v>196</v>
      </c>
      <c r="R66" s="1459">
        <v>331</v>
      </c>
      <c r="S66" s="1459">
        <v>124</v>
      </c>
      <c r="T66" s="1459">
        <v>125</v>
      </c>
      <c r="U66" s="620">
        <v>69</v>
      </c>
      <c r="V66" s="1459">
        <v>259</v>
      </c>
      <c r="W66" s="1459">
        <v>42</v>
      </c>
      <c r="X66" s="1468">
        <v>33</v>
      </c>
      <c r="Y66" s="1460">
        <v>3920</v>
      </c>
      <c r="Z66" s="617">
        <v>28540</v>
      </c>
    </row>
    <row r="67" spans="1:26" s="556" customFormat="1" ht="13.5" customHeight="1" x14ac:dyDescent="0.2">
      <c r="A67" s="622">
        <v>62</v>
      </c>
      <c r="B67" s="836" t="s">
        <v>575</v>
      </c>
      <c r="C67" s="620">
        <v>33</v>
      </c>
      <c r="D67" s="1459">
        <v>130</v>
      </c>
      <c r="E67" s="1459">
        <v>101</v>
      </c>
      <c r="F67" s="1459">
        <v>127</v>
      </c>
      <c r="G67" s="1459">
        <v>294</v>
      </c>
      <c r="H67" s="1459">
        <v>56</v>
      </c>
      <c r="I67" s="1459">
        <v>707</v>
      </c>
      <c r="J67" s="1459">
        <v>71</v>
      </c>
      <c r="K67" s="1459">
        <v>91</v>
      </c>
      <c r="L67" s="1459">
        <v>159</v>
      </c>
      <c r="M67" s="1459">
        <v>86</v>
      </c>
      <c r="N67" s="621">
        <v>59</v>
      </c>
      <c r="O67" s="1459">
        <v>51</v>
      </c>
      <c r="P67" s="1459">
        <v>117</v>
      </c>
      <c r="Q67" s="1459">
        <v>76</v>
      </c>
      <c r="R67" s="1459">
        <v>294</v>
      </c>
      <c r="S67" s="1459">
        <v>66</v>
      </c>
      <c r="T67" s="1459">
        <v>50</v>
      </c>
      <c r="U67" s="620">
        <v>38</v>
      </c>
      <c r="V67" s="1459">
        <v>194</v>
      </c>
      <c r="W67" s="1459">
        <v>36</v>
      </c>
      <c r="X67" s="1468">
        <v>31</v>
      </c>
      <c r="Y67" s="1460">
        <v>2630</v>
      </c>
      <c r="Z67" s="617">
        <v>17040</v>
      </c>
    </row>
    <row r="68" spans="1:26" s="556" customFormat="1" ht="13.5" customHeight="1" x14ac:dyDescent="0.2">
      <c r="A68" s="622">
        <v>63</v>
      </c>
      <c r="B68" s="832" t="s">
        <v>297</v>
      </c>
      <c r="C68" s="1066">
        <v>83</v>
      </c>
      <c r="D68" s="1066">
        <v>324</v>
      </c>
      <c r="E68" s="1066">
        <v>353</v>
      </c>
      <c r="F68" s="1066">
        <v>431</v>
      </c>
      <c r="G68" s="1066">
        <v>1146</v>
      </c>
      <c r="H68" s="1066">
        <v>170</v>
      </c>
      <c r="I68" s="1066">
        <v>1191</v>
      </c>
      <c r="J68" s="1066">
        <v>319</v>
      </c>
      <c r="K68" s="1066">
        <v>304</v>
      </c>
      <c r="L68" s="1066">
        <v>508</v>
      </c>
      <c r="M68" s="1066">
        <v>272</v>
      </c>
      <c r="N68" s="1066">
        <v>203</v>
      </c>
      <c r="O68" s="1066">
        <v>140</v>
      </c>
      <c r="P68" s="1066">
        <v>359</v>
      </c>
      <c r="Q68" s="1066">
        <v>464</v>
      </c>
      <c r="R68" s="1066">
        <v>577</v>
      </c>
      <c r="S68" s="1066">
        <v>261</v>
      </c>
      <c r="T68" s="1066">
        <v>234</v>
      </c>
      <c r="U68" s="1066">
        <v>123</v>
      </c>
      <c r="V68" s="1066">
        <v>470</v>
      </c>
      <c r="W68" s="1066">
        <v>58</v>
      </c>
      <c r="X68" s="1066">
        <v>33</v>
      </c>
      <c r="Y68" s="1456">
        <v>7190</v>
      </c>
      <c r="Z68" s="617">
        <v>55630</v>
      </c>
    </row>
    <row r="69" spans="1:26" s="556" customFormat="1" ht="13.5" customHeight="1" x14ac:dyDescent="0.2">
      <c r="A69" s="622">
        <v>64</v>
      </c>
      <c r="B69" s="832" t="s">
        <v>298</v>
      </c>
      <c r="C69" s="620">
        <v>35</v>
      </c>
      <c r="D69" s="1459">
        <v>130</v>
      </c>
      <c r="E69" s="1459">
        <v>140</v>
      </c>
      <c r="F69" s="1459">
        <v>220</v>
      </c>
      <c r="G69" s="1459">
        <v>475</v>
      </c>
      <c r="H69" s="1459">
        <v>55</v>
      </c>
      <c r="I69" s="1459">
        <v>550</v>
      </c>
      <c r="J69" s="1459">
        <v>150</v>
      </c>
      <c r="K69" s="1459">
        <v>120</v>
      </c>
      <c r="L69" s="1459">
        <v>130</v>
      </c>
      <c r="M69" s="1459">
        <v>125</v>
      </c>
      <c r="N69" s="621">
        <v>60</v>
      </c>
      <c r="O69" s="1459">
        <v>50</v>
      </c>
      <c r="P69" s="1459">
        <v>150</v>
      </c>
      <c r="Q69" s="1459">
        <v>230</v>
      </c>
      <c r="R69" s="1459">
        <v>220</v>
      </c>
      <c r="S69" s="1459">
        <v>60</v>
      </c>
      <c r="T69" s="1459">
        <v>125</v>
      </c>
      <c r="U69" s="620">
        <v>55</v>
      </c>
      <c r="V69" s="1459">
        <v>150</v>
      </c>
      <c r="W69" s="1459">
        <v>35</v>
      </c>
      <c r="X69" s="1468">
        <v>20</v>
      </c>
      <c r="Y69" s="1460">
        <v>2950</v>
      </c>
      <c r="Z69" s="617">
        <v>24020</v>
      </c>
    </row>
    <row r="70" spans="1:26" s="556" customFormat="1" ht="13.5" customHeight="1" x14ac:dyDescent="0.2">
      <c r="A70" s="622">
        <v>65</v>
      </c>
      <c r="B70" s="832" t="s">
        <v>299</v>
      </c>
      <c r="C70" s="1458">
        <v>20</v>
      </c>
      <c r="D70" s="1459">
        <v>95</v>
      </c>
      <c r="E70" s="1459">
        <v>100</v>
      </c>
      <c r="F70" s="1459">
        <v>155</v>
      </c>
      <c r="G70" s="1459">
        <v>325</v>
      </c>
      <c r="H70" s="1459">
        <v>35</v>
      </c>
      <c r="I70" s="1459">
        <v>380</v>
      </c>
      <c r="J70" s="1459">
        <v>115</v>
      </c>
      <c r="K70" s="1459">
        <v>75</v>
      </c>
      <c r="L70" s="1459">
        <v>90</v>
      </c>
      <c r="M70" s="1459">
        <v>75</v>
      </c>
      <c r="N70" s="621">
        <v>45</v>
      </c>
      <c r="O70" s="1459">
        <v>30</v>
      </c>
      <c r="P70" s="1459">
        <v>90</v>
      </c>
      <c r="Q70" s="1459">
        <v>150</v>
      </c>
      <c r="R70" s="1459">
        <v>140</v>
      </c>
      <c r="S70" s="1459">
        <v>45</v>
      </c>
      <c r="T70" s="1459">
        <v>70</v>
      </c>
      <c r="U70" s="620">
        <v>35</v>
      </c>
      <c r="V70" s="1459">
        <v>115</v>
      </c>
      <c r="W70" s="1459">
        <v>25</v>
      </c>
      <c r="X70" s="1468">
        <v>10</v>
      </c>
      <c r="Y70" s="1460">
        <v>2015</v>
      </c>
      <c r="Z70" s="617">
        <v>16860</v>
      </c>
    </row>
    <row r="71" spans="1:26" s="556" customFormat="1" ht="13.5" customHeight="1" x14ac:dyDescent="0.2">
      <c r="A71" s="622">
        <v>66</v>
      </c>
      <c r="B71" s="832" t="s">
        <v>568</v>
      </c>
      <c r="C71" s="620" t="s">
        <v>1281</v>
      </c>
      <c r="D71" s="1459">
        <v>38</v>
      </c>
      <c r="E71" s="1459">
        <v>24</v>
      </c>
      <c r="F71" s="1459">
        <v>24</v>
      </c>
      <c r="G71" s="1459">
        <v>80</v>
      </c>
      <c r="H71" s="1459" t="s">
        <v>1281</v>
      </c>
      <c r="I71" s="1459">
        <v>484</v>
      </c>
      <c r="J71" s="1459" t="s">
        <v>1281</v>
      </c>
      <c r="K71" s="1459">
        <v>41</v>
      </c>
      <c r="L71" s="1459">
        <v>54</v>
      </c>
      <c r="M71" s="1459">
        <v>45</v>
      </c>
      <c r="N71" s="621">
        <v>11</v>
      </c>
      <c r="O71" s="1459">
        <v>14</v>
      </c>
      <c r="P71" s="1459">
        <v>14</v>
      </c>
      <c r="Q71" s="1459">
        <v>11</v>
      </c>
      <c r="R71" s="1459">
        <v>142</v>
      </c>
      <c r="S71" s="1459">
        <v>21</v>
      </c>
      <c r="T71" s="1459" t="s">
        <v>1281</v>
      </c>
      <c r="U71" s="620">
        <v>16</v>
      </c>
      <c r="V71" s="1459">
        <v>73</v>
      </c>
      <c r="W71" s="1459">
        <v>7</v>
      </c>
      <c r="X71" s="1468">
        <v>8</v>
      </c>
      <c r="Y71" s="1460">
        <v>1080</v>
      </c>
      <c r="Z71" s="617">
        <v>4700</v>
      </c>
    </row>
    <row r="72" spans="1:26" s="556" customFormat="1" ht="13.5" customHeight="1" x14ac:dyDescent="0.2">
      <c r="A72" s="622">
        <v>67</v>
      </c>
      <c r="B72" s="832" t="s">
        <v>521</v>
      </c>
      <c r="C72" s="620">
        <v>10</v>
      </c>
      <c r="D72" s="1459">
        <v>55</v>
      </c>
      <c r="E72" s="1459">
        <v>35</v>
      </c>
      <c r="F72" s="1459">
        <v>75</v>
      </c>
      <c r="G72" s="1459">
        <v>225</v>
      </c>
      <c r="H72" s="1459">
        <v>25</v>
      </c>
      <c r="I72" s="1459">
        <v>240</v>
      </c>
      <c r="J72" s="1459">
        <v>45</v>
      </c>
      <c r="K72" s="1459">
        <v>35</v>
      </c>
      <c r="L72" s="1459">
        <v>55</v>
      </c>
      <c r="M72" s="1459">
        <v>55</v>
      </c>
      <c r="N72" s="621">
        <v>10</v>
      </c>
      <c r="O72" s="1459">
        <v>25</v>
      </c>
      <c r="P72" s="1459">
        <v>50</v>
      </c>
      <c r="Q72" s="1459">
        <v>65</v>
      </c>
      <c r="R72" s="1459">
        <v>70</v>
      </c>
      <c r="S72" s="1459">
        <v>40</v>
      </c>
      <c r="T72" s="1459">
        <v>75</v>
      </c>
      <c r="U72" s="620">
        <v>15</v>
      </c>
      <c r="V72" s="1459">
        <v>80</v>
      </c>
      <c r="W72" s="1459">
        <v>15</v>
      </c>
      <c r="X72" s="1468">
        <v>15</v>
      </c>
      <c r="Y72" s="1460">
        <v>1150</v>
      </c>
      <c r="Z72" s="617">
        <v>7520</v>
      </c>
    </row>
    <row r="73" spans="1:26" s="556" customFormat="1" ht="13.5" customHeight="1" x14ac:dyDescent="0.2">
      <c r="A73" s="622">
        <v>68</v>
      </c>
      <c r="B73" s="832" t="s">
        <v>560</v>
      </c>
      <c r="C73" s="1469"/>
      <c r="D73" s="1470"/>
      <c r="E73" s="1470"/>
      <c r="F73" s="1470"/>
      <c r="G73" s="1470"/>
      <c r="H73" s="1470"/>
      <c r="I73" s="1470"/>
      <c r="J73" s="1470"/>
      <c r="K73" s="1470"/>
      <c r="L73" s="1470"/>
      <c r="M73" s="1470"/>
      <c r="N73" s="1474"/>
      <c r="O73" s="1470"/>
      <c r="P73" s="1470"/>
      <c r="Q73" s="1470"/>
      <c r="R73" s="1470"/>
      <c r="S73" s="1470"/>
      <c r="T73" s="1470"/>
      <c r="U73" s="1469"/>
      <c r="V73" s="1470"/>
      <c r="W73" s="1470"/>
      <c r="X73" s="1471"/>
      <c r="Y73" s="1472"/>
      <c r="Z73" s="1473"/>
    </row>
    <row r="74" spans="1:26" s="556" customFormat="1" ht="13.5" customHeight="1" x14ac:dyDescent="0.2">
      <c r="A74" s="622">
        <v>69</v>
      </c>
      <c r="B74" s="832" t="s">
        <v>561</v>
      </c>
      <c r="C74" s="1469"/>
      <c r="D74" s="1470"/>
      <c r="E74" s="1470"/>
      <c r="F74" s="1470"/>
      <c r="G74" s="1470"/>
      <c r="H74" s="1470"/>
      <c r="I74" s="1470"/>
      <c r="J74" s="1470"/>
      <c r="K74" s="1470"/>
      <c r="L74" s="1470"/>
      <c r="M74" s="1470"/>
      <c r="N74" s="1474"/>
      <c r="O74" s="1470"/>
      <c r="P74" s="1470"/>
      <c r="Q74" s="1470"/>
      <c r="R74" s="1470"/>
      <c r="S74" s="1470"/>
      <c r="T74" s="1470"/>
      <c r="U74" s="1469"/>
      <c r="V74" s="1470"/>
      <c r="W74" s="1470"/>
      <c r="X74" s="1471"/>
      <c r="Y74" s="1472"/>
      <c r="Z74" s="1473"/>
    </row>
    <row r="75" spans="1:26" s="556" customFormat="1" ht="13.5" customHeight="1" x14ac:dyDescent="0.2">
      <c r="A75" s="622">
        <v>70</v>
      </c>
      <c r="B75" s="832" t="s">
        <v>522</v>
      </c>
      <c r="C75" s="620">
        <v>67</v>
      </c>
      <c r="D75" s="1459">
        <v>194</v>
      </c>
      <c r="E75" s="1459">
        <v>207</v>
      </c>
      <c r="F75" s="1459">
        <v>198</v>
      </c>
      <c r="G75" s="1459">
        <v>647</v>
      </c>
      <c r="H75" s="1459">
        <v>99</v>
      </c>
      <c r="I75" s="1459">
        <v>890</v>
      </c>
      <c r="J75" s="1459">
        <v>145</v>
      </c>
      <c r="K75" s="1459">
        <v>197</v>
      </c>
      <c r="L75" s="1459">
        <v>353</v>
      </c>
      <c r="M75" s="1459">
        <v>159</v>
      </c>
      <c r="N75" s="1457">
        <v>142</v>
      </c>
      <c r="O75" s="1459">
        <v>118</v>
      </c>
      <c r="P75" s="1459">
        <v>230</v>
      </c>
      <c r="Q75" s="1459">
        <v>168</v>
      </c>
      <c r="R75" s="1459">
        <v>410</v>
      </c>
      <c r="S75" s="1459">
        <v>182</v>
      </c>
      <c r="T75" s="1459">
        <v>115</v>
      </c>
      <c r="U75" s="1458">
        <v>74</v>
      </c>
      <c r="V75" s="1459">
        <v>377</v>
      </c>
      <c r="W75" s="1459">
        <v>53</v>
      </c>
      <c r="X75" s="1468">
        <v>25</v>
      </c>
      <c r="Y75" s="1460">
        <v>4520</v>
      </c>
      <c r="Z75" s="617">
        <v>32940</v>
      </c>
    </row>
    <row r="76" spans="1:26" s="556" customFormat="1" ht="13.5" customHeight="1" x14ac:dyDescent="0.2">
      <c r="A76" s="622">
        <v>71</v>
      </c>
      <c r="B76" s="832" t="s">
        <v>523</v>
      </c>
      <c r="C76" s="620"/>
      <c r="D76" s="1459"/>
      <c r="E76" s="1459"/>
      <c r="F76" s="1459"/>
      <c r="G76" s="1459"/>
      <c r="H76" s="1459"/>
      <c r="I76" s="1459"/>
      <c r="J76" s="1459"/>
      <c r="K76" s="1459"/>
      <c r="L76" s="1459"/>
      <c r="M76" s="1459"/>
      <c r="N76" s="621"/>
      <c r="O76" s="1459"/>
      <c r="P76" s="1459"/>
      <c r="Q76" s="1459"/>
      <c r="R76" s="1459"/>
      <c r="S76" s="1459"/>
      <c r="T76" s="1459"/>
      <c r="U76" s="620"/>
      <c r="V76" s="1459"/>
      <c r="W76" s="1459"/>
      <c r="X76" s="1459"/>
      <c r="Y76" s="1460"/>
      <c r="Z76" s="617"/>
    </row>
    <row r="77" spans="1:26" s="556" customFormat="1" ht="13.5" customHeight="1" x14ac:dyDescent="0.2">
      <c r="A77" s="622">
        <v>72</v>
      </c>
      <c r="B77" s="832" t="s">
        <v>524</v>
      </c>
      <c r="C77" s="1464"/>
      <c r="D77" s="1459"/>
      <c r="E77" s="1459"/>
      <c r="F77" s="1459"/>
      <c r="G77" s="1459"/>
      <c r="H77" s="1459"/>
      <c r="I77" s="1459"/>
      <c r="J77" s="1459"/>
      <c r="K77" s="1459"/>
      <c r="L77" s="1459"/>
      <c r="M77" s="1459"/>
      <c r="N77" s="621"/>
      <c r="O77" s="1459"/>
      <c r="P77" s="1459"/>
      <c r="Q77" s="1459"/>
      <c r="R77" s="1459"/>
      <c r="S77" s="1459"/>
      <c r="T77" s="1459"/>
      <c r="U77" s="620"/>
      <c r="V77" s="1459"/>
      <c r="W77" s="1459"/>
      <c r="X77" s="1459"/>
      <c r="Y77" s="1460"/>
      <c r="Z77" s="617"/>
    </row>
    <row r="78" spans="1:26" s="556" customFormat="1" ht="13.5" customHeight="1" x14ac:dyDescent="0.2">
      <c r="A78" s="622">
        <v>73</v>
      </c>
      <c r="B78" s="832" t="s">
        <v>591</v>
      </c>
      <c r="C78" s="1464" t="s">
        <v>73</v>
      </c>
      <c r="D78" s="1459">
        <v>31</v>
      </c>
      <c r="E78" s="1459">
        <v>14</v>
      </c>
      <c r="F78" s="1459">
        <v>30</v>
      </c>
      <c r="G78" s="1459">
        <v>41</v>
      </c>
      <c r="H78" s="1459">
        <v>10</v>
      </c>
      <c r="I78" s="1459">
        <v>55</v>
      </c>
      <c r="J78" s="1459">
        <v>36</v>
      </c>
      <c r="K78" s="1459">
        <v>6</v>
      </c>
      <c r="L78" s="1459">
        <v>27</v>
      </c>
      <c r="M78" s="1459" t="s">
        <v>73</v>
      </c>
      <c r="N78" s="621" t="s">
        <v>73</v>
      </c>
      <c r="O78" s="1459">
        <v>8</v>
      </c>
      <c r="P78" s="1459">
        <v>16</v>
      </c>
      <c r="Q78" s="1459">
        <v>40</v>
      </c>
      <c r="R78" s="1459">
        <v>22</v>
      </c>
      <c r="S78" s="1459" t="s">
        <v>73</v>
      </c>
      <c r="T78" s="1459">
        <v>14</v>
      </c>
      <c r="U78" s="620" t="s">
        <v>73</v>
      </c>
      <c r="V78" s="1459">
        <v>30</v>
      </c>
      <c r="W78" s="1459" t="s">
        <v>73</v>
      </c>
      <c r="X78" s="1468" t="s">
        <v>73</v>
      </c>
      <c r="Y78" s="1460">
        <v>380</v>
      </c>
      <c r="Z78" s="617">
        <v>2520</v>
      </c>
    </row>
    <row r="79" spans="1:26" s="556" customFormat="1" ht="13.5" customHeight="1" x14ac:dyDescent="0.2">
      <c r="A79" s="622">
        <v>74</v>
      </c>
      <c r="B79" s="832" t="s">
        <v>300</v>
      </c>
      <c r="C79" s="1458">
        <v>49</v>
      </c>
      <c r="D79" s="1459">
        <v>179</v>
      </c>
      <c r="E79" s="1459">
        <v>215</v>
      </c>
      <c r="F79" s="1459">
        <v>185</v>
      </c>
      <c r="G79" s="1459">
        <v>532</v>
      </c>
      <c r="H79" s="1459">
        <v>76</v>
      </c>
      <c r="I79" s="1459">
        <v>1316</v>
      </c>
      <c r="J79" s="1459">
        <v>187</v>
      </c>
      <c r="K79" s="1459">
        <v>152</v>
      </c>
      <c r="L79" s="1459">
        <v>286</v>
      </c>
      <c r="M79" s="1459">
        <v>123</v>
      </c>
      <c r="N79" s="621">
        <v>100</v>
      </c>
      <c r="O79" s="1459">
        <v>112</v>
      </c>
      <c r="P79" s="1459">
        <v>261</v>
      </c>
      <c r="Q79" s="1459">
        <v>221</v>
      </c>
      <c r="R79" s="1459">
        <v>419</v>
      </c>
      <c r="S79" s="1459">
        <v>150</v>
      </c>
      <c r="T79" s="1459">
        <v>108</v>
      </c>
      <c r="U79" s="620">
        <v>74</v>
      </c>
      <c r="V79" s="1459">
        <v>357</v>
      </c>
      <c r="W79" s="1459">
        <v>35</v>
      </c>
      <c r="X79" s="1468">
        <v>31</v>
      </c>
      <c r="Y79" s="1456">
        <v>4650</v>
      </c>
      <c r="Z79" s="617">
        <v>31400</v>
      </c>
    </row>
    <row r="80" spans="1:26" s="556" customFormat="1" ht="13.5" customHeight="1" x14ac:dyDescent="0.2">
      <c r="A80" s="622">
        <v>75</v>
      </c>
      <c r="B80" s="832" t="s">
        <v>1226</v>
      </c>
      <c r="C80" s="1458"/>
      <c r="D80" s="1459"/>
      <c r="E80" s="1459"/>
      <c r="F80" s="1459"/>
      <c r="G80" s="1459"/>
      <c r="H80" s="1459"/>
      <c r="I80" s="1459"/>
      <c r="J80" s="1459"/>
      <c r="K80" s="1459"/>
      <c r="L80" s="1459"/>
      <c r="M80" s="1459"/>
      <c r="N80" s="621"/>
      <c r="O80" s="1459"/>
      <c r="P80" s="1459"/>
      <c r="Q80" s="1459"/>
      <c r="R80" s="1459"/>
      <c r="S80" s="1459"/>
      <c r="T80" s="1459"/>
      <c r="U80" s="620"/>
      <c r="V80" s="1459"/>
      <c r="W80" s="1459"/>
      <c r="X80" s="1459"/>
      <c r="Y80" s="1460"/>
      <c r="Z80" s="617"/>
    </row>
    <row r="81" spans="1:26" s="556" customFormat="1" ht="13.5" customHeight="1" x14ac:dyDescent="0.2">
      <c r="A81" s="622">
        <v>76</v>
      </c>
      <c r="B81" s="832" t="s">
        <v>1227</v>
      </c>
      <c r="C81" s="1458"/>
      <c r="D81" s="1459"/>
      <c r="E81" s="1459"/>
      <c r="F81" s="1459"/>
      <c r="G81" s="1459"/>
      <c r="H81" s="1459"/>
      <c r="I81" s="1459"/>
      <c r="J81" s="1459"/>
      <c r="K81" s="1459"/>
      <c r="L81" s="1459"/>
      <c r="M81" s="1459"/>
      <c r="N81" s="621"/>
      <c r="O81" s="1459"/>
      <c r="P81" s="1459"/>
      <c r="Q81" s="1459"/>
      <c r="R81" s="1459"/>
      <c r="S81" s="1459"/>
      <c r="T81" s="1459"/>
      <c r="U81" s="620"/>
      <c r="V81" s="1459"/>
      <c r="W81" s="1459"/>
      <c r="X81" s="1459"/>
      <c r="Y81" s="1460"/>
      <c r="Z81" s="617"/>
    </row>
    <row r="82" spans="1:26" s="556" customFormat="1" ht="13.5" customHeight="1" x14ac:dyDescent="0.2">
      <c r="A82" s="622">
        <v>77</v>
      </c>
      <c r="B82" s="832" t="s">
        <v>301</v>
      </c>
      <c r="C82" s="1464" t="s">
        <v>73</v>
      </c>
      <c r="D82" s="1459">
        <v>23</v>
      </c>
      <c r="E82" s="1459">
        <v>38</v>
      </c>
      <c r="F82" s="1459">
        <v>37</v>
      </c>
      <c r="G82" s="1459">
        <v>70</v>
      </c>
      <c r="H82" s="1459">
        <v>16</v>
      </c>
      <c r="I82" s="1459">
        <v>80</v>
      </c>
      <c r="J82" s="1459">
        <v>33</v>
      </c>
      <c r="K82" s="1459">
        <v>10</v>
      </c>
      <c r="L82" s="1459">
        <v>38</v>
      </c>
      <c r="M82" s="1459">
        <v>35</v>
      </c>
      <c r="N82" s="1465">
        <v>16</v>
      </c>
      <c r="O82" s="1459">
        <v>11</v>
      </c>
      <c r="P82" s="1459">
        <v>34</v>
      </c>
      <c r="Q82" s="1459">
        <v>77</v>
      </c>
      <c r="R82" s="1459">
        <v>51</v>
      </c>
      <c r="S82" s="1459">
        <v>19</v>
      </c>
      <c r="T82" s="1459">
        <v>14</v>
      </c>
      <c r="U82" s="1464">
        <v>12</v>
      </c>
      <c r="V82" s="1459">
        <v>46</v>
      </c>
      <c r="W82" s="1459">
        <v>6</v>
      </c>
      <c r="X82" s="1468" t="s">
        <v>73</v>
      </c>
      <c r="Y82" s="1460">
        <v>610</v>
      </c>
      <c r="Z82" s="617">
        <v>4370</v>
      </c>
    </row>
    <row r="83" spans="1:26" s="556" customFormat="1" ht="13.5" customHeight="1" x14ac:dyDescent="0.2">
      <c r="A83" s="622">
        <v>78</v>
      </c>
      <c r="B83" s="832" t="s">
        <v>302</v>
      </c>
      <c r="C83" s="1459" t="s">
        <v>73</v>
      </c>
      <c r="D83" s="1459">
        <f t="shared" ref="D83:Z83" si="2">D82*D108</f>
        <v>8395</v>
      </c>
      <c r="E83" s="1459">
        <f t="shared" si="2"/>
        <v>18164</v>
      </c>
      <c r="F83" s="1459">
        <f t="shared" si="2"/>
        <v>13320</v>
      </c>
      <c r="G83" s="1459">
        <f t="shared" si="2"/>
        <v>28350</v>
      </c>
      <c r="H83" s="1459">
        <f t="shared" si="2"/>
        <v>10352</v>
      </c>
      <c r="I83" s="1459">
        <f t="shared" si="2"/>
        <v>23680</v>
      </c>
      <c r="J83" s="1459">
        <f t="shared" si="2"/>
        <v>11814</v>
      </c>
      <c r="K83" s="1459" t="s">
        <v>73</v>
      </c>
      <c r="L83" s="1459">
        <f t="shared" si="2"/>
        <v>15960</v>
      </c>
      <c r="M83" s="1459">
        <f t="shared" si="2"/>
        <v>13580</v>
      </c>
      <c r="N83" s="1459">
        <f t="shared" si="2"/>
        <v>4624</v>
      </c>
      <c r="O83" s="1459">
        <f t="shared" si="2"/>
        <v>2475</v>
      </c>
      <c r="P83" s="1459">
        <f t="shared" si="2"/>
        <v>14008</v>
      </c>
      <c r="Q83" s="1459">
        <f t="shared" si="2"/>
        <v>40117</v>
      </c>
      <c r="R83" s="1459">
        <f t="shared" si="2"/>
        <v>19686</v>
      </c>
      <c r="S83" s="1459">
        <f t="shared" si="2"/>
        <v>7961</v>
      </c>
      <c r="T83" s="1459">
        <f t="shared" si="2"/>
        <v>4774</v>
      </c>
      <c r="U83" s="1459">
        <f t="shared" si="2"/>
        <v>5364</v>
      </c>
      <c r="V83" s="1459">
        <f t="shared" si="2"/>
        <v>18998</v>
      </c>
      <c r="W83" s="1459" t="s">
        <v>73</v>
      </c>
      <c r="X83" s="1459" t="s">
        <v>73</v>
      </c>
      <c r="Y83" s="1459">
        <f>SUM(C83:O83,Q83:R83,U83:X83)</f>
        <v>234879</v>
      </c>
      <c r="Z83" s="1459">
        <f t="shared" si="2"/>
        <v>1743630</v>
      </c>
    </row>
    <row r="84" spans="1:26" s="556" customFormat="1" ht="13.5" customHeight="1" x14ac:dyDescent="0.2">
      <c r="A84" s="622">
        <v>79</v>
      </c>
      <c r="B84" s="832" t="s">
        <v>303</v>
      </c>
      <c r="C84" s="1459"/>
      <c r="D84" s="1459"/>
      <c r="E84" s="1459"/>
      <c r="F84" s="1459"/>
      <c r="G84" s="1459"/>
      <c r="H84" s="1459"/>
      <c r="I84" s="1459"/>
      <c r="J84" s="1459"/>
      <c r="K84" s="1459"/>
      <c r="L84" s="1459"/>
      <c r="M84" s="1459"/>
      <c r="N84" s="1459"/>
      <c r="O84" s="1459"/>
      <c r="P84" s="1459"/>
      <c r="Q84" s="1459"/>
      <c r="R84" s="1459"/>
      <c r="S84" s="1459"/>
      <c r="T84" s="1459"/>
      <c r="U84" s="1459"/>
      <c r="V84" s="1459"/>
      <c r="W84" s="1459"/>
      <c r="X84" s="1459"/>
      <c r="Y84" s="1460"/>
      <c r="Z84" s="617"/>
    </row>
    <row r="85" spans="1:26" s="556" customFormat="1" ht="13.5" customHeight="1" x14ac:dyDescent="0.2">
      <c r="A85" s="622">
        <v>80</v>
      </c>
      <c r="B85" s="832" t="s">
        <v>1228</v>
      </c>
      <c r="C85" s="1066"/>
      <c r="D85" s="1066"/>
      <c r="E85" s="1066"/>
      <c r="F85" s="1066"/>
      <c r="G85" s="1066"/>
      <c r="H85" s="1066"/>
      <c r="I85" s="1066"/>
      <c r="J85" s="1066"/>
      <c r="K85" s="1066"/>
      <c r="L85" s="1066"/>
      <c r="M85" s="1066"/>
      <c r="N85" s="1066"/>
      <c r="O85" s="1066"/>
      <c r="P85" s="1066"/>
      <c r="Q85" s="1066"/>
      <c r="R85" s="1066"/>
      <c r="S85" s="1066"/>
      <c r="T85" s="1066"/>
      <c r="U85" s="1066"/>
      <c r="V85" s="1066"/>
      <c r="W85" s="1066"/>
      <c r="X85" s="1066"/>
      <c r="Y85" s="1456"/>
      <c r="Z85" s="1067"/>
    </row>
    <row r="86" spans="1:26" s="556" customFormat="1" ht="13.5" customHeight="1" x14ac:dyDescent="0.2">
      <c r="A86" s="622">
        <v>81</v>
      </c>
      <c r="B86" s="832" t="s">
        <v>517</v>
      </c>
      <c r="C86" s="1066">
        <v>32</v>
      </c>
      <c r="D86" s="1066">
        <v>174</v>
      </c>
      <c r="E86" s="1066">
        <v>170</v>
      </c>
      <c r="F86" s="1066">
        <v>149</v>
      </c>
      <c r="G86" s="1066">
        <v>505</v>
      </c>
      <c r="H86" s="1066">
        <v>94</v>
      </c>
      <c r="I86" s="1066">
        <v>1081</v>
      </c>
      <c r="J86" s="1066">
        <v>117</v>
      </c>
      <c r="K86" s="1066">
        <v>137</v>
      </c>
      <c r="L86" s="1066">
        <v>230</v>
      </c>
      <c r="M86" s="1066">
        <v>113</v>
      </c>
      <c r="N86" s="1066">
        <v>78</v>
      </c>
      <c r="O86" s="1066">
        <v>83</v>
      </c>
      <c r="P86" s="1066">
        <v>220</v>
      </c>
      <c r="Q86" s="1066">
        <v>124</v>
      </c>
      <c r="R86" s="1066">
        <v>380</v>
      </c>
      <c r="S86" s="1066">
        <v>127</v>
      </c>
      <c r="T86" s="1066">
        <v>94</v>
      </c>
      <c r="U86" s="1066">
        <v>56</v>
      </c>
      <c r="V86" s="1066">
        <v>321</v>
      </c>
      <c r="W86" s="1066">
        <v>45</v>
      </c>
      <c r="X86" s="1066">
        <v>32</v>
      </c>
      <c r="Y86" s="1456">
        <v>3920</v>
      </c>
      <c r="Z86" s="1067">
        <v>27010</v>
      </c>
    </row>
    <row r="87" spans="1:26" s="556" customFormat="1" ht="13.5" customHeight="1" x14ac:dyDescent="0.2">
      <c r="A87" s="622">
        <v>82</v>
      </c>
      <c r="B87" s="832" t="s">
        <v>518</v>
      </c>
      <c r="C87" s="1066">
        <v>32</v>
      </c>
      <c r="D87" s="1066" t="s">
        <v>73</v>
      </c>
      <c r="E87" s="1066">
        <v>125</v>
      </c>
      <c r="F87" s="1066">
        <v>127</v>
      </c>
      <c r="G87" s="1066">
        <v>414</v>
      </c>
      <c r="H87" s="1066">
        <v>78</v>
      </c>
      <c r="I87" s="1066">
        <v>877</v>
      </c>
      <c r="J87" s="1066" t="s">
        <v>73</v>
      </c>
      <c r="K87" s="1066">
        <v>113</v>
      </c>
      <c r="L87" s="1066">
        <v>198</v>
      </c>
      <c r="M87" s="1066">
        <v>90</v>
      </c>
      <c r="N87" s="1066">
        <v>71</v>
      </c>
      <c r="O87" s="1066">
        <v>64</v>
      </c>
      <c r="P87" s="1066">
        <v>214</v>
      </c>
      <c r="Q87" s="1066">
        <v>108</v>
      </c>
      <c r="R87" s="1066">
        <v>329</v>
      </c>
      <c r="S87" s="1066" t="s">
        <v>73</v>
      </c>
      <c r="T87" s="1066">
        <v>83</v>
      </c>
      <c r="U87" s="1066">
        <v>36</v>
      </c>
      <c r="V87" s="1066">
        <v>309</v>
      </c>
      <c r="W87" s="1066">
        <v>39</v>
      </c>
      <c r="X87" s="1066" t="s">
        <v>73</v>
      </c>
      <c r="Y87" s="1456">
        <v>3330</v>
      </c>
      <c r="Z87" s="1067">
        <v>23780</v>
      </c>
    </row>
    <row r="88" spans="1:26" s="556" customFormat="1" ht="13.5" customHeight="1" x14ac:dyDescent="0.2">
      <c r="A88" s="622">
        <v>83</v>
      </c>
      <c r="B88" s="832" t="s">
        <v>519</v>
      </c>
      <c r="C88" s="1066">
        <v>31</v>
      </c>
      <c r="D88" s="1066">
        <v>164</v>
      </c>
      <c r="E88" s="1066">
        <v>117</v>
      </c>
      <c r="F88" s="1066">
        <v>114</v>
      </c>
      <c r="G88" s="1066">
        <v>381</v>
      </c>
      <c r="H88" s="1066">
        <v>67</v>
      </c>
      <c r="I88" s="1066">
        <v>823</v>
      </c>
      <c r="J88" s="1066">
        <v>103</v>
      </c>
      <c r="K88" s="1066">
        <v>113</v>
      </c>
      <c r="L88" s="1066">
        <v>186</v>
      </c>
      <c r="M88" s="1066">
        <v>74</v>
      </c>
      <c r="N88" s="1066">
        <v>69</v>
      </c>
      <c r="O88" s="1066">
        <v>57</v>
      </c>
      <c r="P88" s="1066">
        <v>203</v>
      </c>
      <c r="Q88" s="1066">
        <v>96</v>
      </c>
      <c r="R88" s="1066">
        <v>317</v>
      </c>
      <c r="S88" s="1066">
        <v>106</v>
      </c>
      <c r="T88" s="1066">
        <v>89</v>
      </c>
      <c r="U88" s="1066">
        <v>36</v>
      </c>
      <c r="V88" s="1066">
        <v>290</v>
      </c>
      <c r="W88" s="1066">
        <v>35</v>
      </c>
      <c r="X88" s="1066">
        <v>27</v>
      </c>
      <c r="Y88" s="1456">
        <v>3100</v>
      </c>
      <c r="Z88" s="1067">
        <v>22180</v>
      </c>
    </row>
    <row r="89" spans="1:26" s="556" customFormat="1" ht="13.5" customHeight="1" x14ac:dyDescent="0.2">
      <c r="A89" s="622">
        <v>84</v>
      </c>
      <c r="B89" s="832" t="s">
        <v>520</v>
      </c>
      <c r="C89" s="1066"/>
      <c r="D89" s="1066"/>
      <c r="E89" s="1066"/>
      <c r="F89" s="1066"/>
      <c r="G89" s="1066"/>
      <c r="H89" s="1066"/>
      <c r="I89" s="1066"/>
      <c r="J89" s="1066"/>
      <c r="K89" s="1066"/>
      <c r="L89" s="1066"/>
      <c r="M89" s="1066"/>
      <c r="N89" s="1066"/>
      <c r="O89" s="1066"/>
      <c r="P89" s="1066"/>
      <c r="Q89" s="1066"/>
      <c r="R89" s="1066"/>
      <c r="S89" s="1066"/>
      <c r="T89" s="1066"/>
      <c r="U89" s="1066"/>
      <c r="V89" s="1066"/>
      <c r="W89" s="1066"/>
      <c r="X89" s="1066"/>
      <c r="Y89" s="1456"/>
      <c r="Z89" s="1067"/>
    </row>
    <row r="90" spans="1:26" s="556" customFormat="1" ht="13.5" customHeight="1" x14ac:dyDescent="0.2">
      <c r="A90" s="622">
        <v>85</v>
      </c>
      <c r="B90" s="836" t="s">
        <v>601</v>
      </c>
      <c r="C90" s="1459" t="s">
        <v>73</v>
      </c>
      <c r="D90" s="1459" t="s">
        <v>73</v>
      </c>
      <c r="E90" s="1459">
        <v>8</v>
      </c>
      <c r="F90" s="1459" t="s">
        <v>73</v>
      </c>
      <c r="G90" s="1459">
        <v>21</v>
      </c>
      <c r="H90" s="1459" t="s">
        <v>73</v>
      </c>
      <c r="I90" s="1459">
        <v>11</v>
      </c>
      <c r="J90" s="1459">
        <v>12</v>
      </c>
      <c r="K90" s="1459" t="s">
        <v>73</v>
      </c>
      <c r="L90" s="1459">
        <v>20</v>
      </c>
      <c r="M90" s="1459" t="s">
        <v>73</v>
      </c>
      <c r="N90" s="1459">
        <v>0</v>
      </c>
      <c r="O90" s="1459">
        <v>9</v>
      </c>
      <c r="P90" s="1459">
        <v>12</v>
      </c>
      <c r="Q90" s="1459" t="s">
        <v>73</v>
      </c>
      <c r="R90" s="1459">
        <v>7</v>
      </c>
      <c r="S90" s="1459">
        <v>10</v>
      </c>
      <c r="T90" s="1459">
        <v>12</v>
      </c>
      <c r="U90" s="1459">
        <v>7</v>
      </c>
      <c r="V90" s="1459">
        <v>0</v>
      </c>
      <c r="W90" s="1459" t="s">
        <v>73</v>
      </c>
      <c r="X90" s="1468" t="s">
        <v>73</v>
      </c>
      <c r="Y90" s="1460">
        <v>130</v>
      </c>
      <c r="Z90" s="1466">
        <v>1200</v>
      </c>
    </row>
    <row r="91" spans="1:26" s="556" customFormat="1" ht="13.5" customHeight="1" x14ac:dyDescent="0.2">
      <c r="A91" s="622">
        <v>86</v>
      </c>
      <c r="B91" s="836" t="s">
        <v>602</v>
      </c>
      <c r="C91" s="1459">
        <v>10</v>
      </c>
      <c r="D91" s="1459">
        <v>17</v>
      </c>
      <c r="E91" s="1459">
        <v>18</v>
      </c>
      <c r="F91" s="1459">
        <v>30</v>
      </c>
      <c r="G91" s="1459">
        <v>51</v>
      </c>
      <c r="H91" s="1459" t="s">
        <v>73</v>
      </c>
      <c r="I91" s="1459">
        <v>54</v>
      </c>
      <c r="J91" s="1459">
        <v>28</v>
      </c>
      <c r="K91" s="1459">
        <v>27</v>
      </c>
      <c r="L91" s="1459">
        <v>16</v>
      </c>
      <c r="M91" s="1459">
        <v>12</v>
      </c>
      <c r="N91" s="1459">
        <v>8</v>
      </c>
      <c r="O91" s="1459">
        <v>10</v>
      </c>
      <c r="P91" s="1459">
        <v>30</v>
      </c>
      <c r="Q91" s="1459">
        <v>35</v>
      </c>
      <c r="R91" s="1459">
        <v>56</v>
      </c>
      <c r="S91" s="1459">
        <v>19</v>
      </c>
      <c r="T91" s="1459">
        <v>16</v>
      </c>
      <c r="U91" s="1459" t="s">
        <v>73</v>
      </c>
      <c r="V91" s="1459">
        <v>30</v>
      </c>
      <c r="W91" s="1459" t="s">
        <v>73</v>
      </c>
      <c r="X91" s="1468" t="s">
        <v>73</v>
      </c>
      <c r="Y91" s="1460">
        <v>460</v>
      </c>
      <c r="Z91" s="1466">
        <v>3690</v>
      </c>
    </row>
    <row r="92" spans="1:26" s="556" customFormat="1" ht="13.5" customHeight="1" x14ac:dyDescent="0.2">
      <c r="A92" s="622">
        <v>87</v>
      </c>
      <c r="B92" s="836" t="s">
        <v>304</v>
      </c>
      <c r="C92" s="1459"/>
      <c r="D92" s="1459"/>
      <c r="E92" s="1459"/>
      <c r="F92" s="1459"/>
      <c r="G92" s="1459"/>
      <c r="H92" s="1459"/>
      <c r="I92" s="1459"/>
      <c r="J92" s="1459"/>
      <c r="K92" s="1459"/>
      <c r="L92" s="1459"/>
      <c r="M92" s="1459"/>
      <c r="N92" s="1459"/>
      <c r="O92" s="1459"/>
      <c r="P92" s="1459"/>
      <c r="Q92" s="1459"/>
      <c r="R92" s="1459"/>
      <c r="S92" s="1459"/>
      <c r="T92" s="1459"/>
      <c r="U92" s="1459"/>
      <c r="V92" s="1459"/>
      <c r="W92" s="1459"/>
      <c r="X92" s="1459"/>
      <c r="Y92" s="1460"/>
      <c r="Z92" s="1466"/>
    </row>
    <row r="93" spans="1:26" s="556" customFormat="1" ht="13.5" customHeight="1" x14ac:dyDescent="0.2">
      <c r="A93" s="622">
        <v>88</v>
      </c>
      <c r="B93" s="836" t="s">
        <v>305</v>
      </c>
      <c r="C93" s="1459"/>
      <c r="D93" s="1459"/>
      <c r="E93" s="1459"/>
      <c r="F93" s="1459"/>
      <c r="G93" s="1459"/>
      <c r="H93" s="1459"/>
      <c r="I93" s="1459"/>
      <c r="J93" s="1459"/>
      <c r="K93" s="1459"/>
      <c r="L93" s="1459"/>
      <c r="M93" s="1459"/>
      <c r="N93" s="1459"/>
      <c r="O93" s="1459"/>
      <c r="P93" s="1459"/>
      <c r="Q93" s="1459"/>
      <c r="R93" s="1459"/>
      <c r="S93" s="1459"/>
      <c r="T93" s="1459"/>
      <c r="U93" s="1459"/>
      <c r="V93" s="1459"/>
      <c r="W93" s="1459"/>
      <c r="X93" s="1459"/>
      <c r="Y93" s="1460"/>
      <c r="Z93" s="1466"/>
    </row>
    <row r="94" spans="1:26" s="556" customFormat="1" ht="13.5" customHeight="1" x14ac:dyDescent="0.2">
      <c r="A94" s="622">
        <v>89</v>
      </c>
      <c r="B94" s="832" t="s">
        <v>512</v>
      </c>
      <c r="C94" s="1066"/>
      <c r="D94" s="1066"/>
      <c r="E94" s="1066"/>
      <c r="F94" s="1066"/>
      <c r="G94" s="1066"/>
      <c r="H94" s="1066"/>
      <c r="I94" s="1066"/>
      <c r="J94" s="1066"/>
      <c r="K94" s="1066"/>
      <c r="L94" s="1066"/>
      <c r="M94" s="1066"/>
      <c r="N94" s="1066"/>
      <c r="O94" s="1066"/>
      <c r="P94" s="1066"/>
      <c r="Q94" s="1066"/>
      <c r="R94" s="1066"/>
      <c r="S94" s="1066"/>
      <c r="T94" s="1066"/>
      <c r="U94" s="1066"/>
      <c r="V94" s="1066"/>
      <c r="W94" s="1066"/>
      <c r="X94" s="1066"/>
      <c r="Y94" s="1456"/>
      <c r="Z94" s="1067"/>
    </row>
    <row r="95" spans="1:26" s="1303" customFormat="1" ht="13.5" customHeight="1" x14ac:dyDescent="0.2">
      <c r="A95" s="622">
        <v>90</v>
      </c>
      <c r="B95" s="832" t="s">
        <v>513</v>
      </c>
      <c r="C95" s="1066"/>
      <c r="D95" s="1066"/>
      <c r="E95" s="1066"/>
      <c r="F95" s="1066"/>
      <c r="G95" s="1066"/>
      <c r="H95" s="1066"/>
      <c r="I95" s="1066"/>
      <c r="J95" s="1066"/>
      <c r="K95" s="1066"/>
      <c r="L95" s="1066"/>
      <c r="M95" s="1066"/>
      <c r="N95" s="1066"/>
      <c r="O95" s="1066"/>
      <c r="P95" s="1066"/>
      <c r="Q95" s="1066"/>
      <c r="R95" s="1066"/>
      <c r="S95" s="1066"/>
      <c r="T95" s="1066"/>
      <c r="U95" s="1066"/>
      <c r="V95" s="1066"/>
      <c r="W95" s="1066"/>
      <c r="X95" s="1066"/>
      <c r="Y95" s="1467"/>
      <c r="Z95" s="1067"/>
    </row>
    <row r="96" spans="1:26" s="556" customFormat="1" ht="13.5" customHeight="1" x14ac:dyDescent="0.2">
      <c r="A96" s="622">
        <v>91</v>
      </c>
      <c r="B96" s="832" t="s">
        <v>514</v>
      </c>
      <c r="C96" s="1066"/>
      <c r="D96" s="1066"/>
      <c r="E96" s="1066"/>
      <c r="F96" s="1066"/>
      <c r="G96" s="1066"/>
      <c r="H96" s="1066"/>
      <c r="I96" s="1066"/>
      <c r="J96" s="1066"/>
      <c r="K96" s="1066"/>
      <c r="L96" s="1066"/>
      <c r="M96" s="1066"/>
      <c r="N96" s="1066"/>
      <c r="O96" s="1066"/>
      <c r="P96" s="1066"/>
      <c r="Q96" s="1066"/>
      <c r="R96" s="1066"/>
      <c r="S96" s="1066"/>
      <c r="T96" s="1066"/>
      <c r="U96" s="1066"/>
      <c r="V96" s="1066"/>
      <c r="W96" s="1066"/>
      <c r="X96" s="1066"/>
      <c r="Y96" s="1456"/>
      <c r="Z96" s="1067"/>
    </row>
    <row r="97" spans="1:26" s="556" customFormat="1" ht="13.5" customHeight="1" x14ac:dyDescent="0.2">
      <c r="A97" s="622">
        <v>92</v>
      </c>
      <c r="B97" s="832" t="s">
        <v>515</v>
      </c>
      <c r="C97" s="1066"/>
      <c r="D97" s="1066"/>
      <c r="E97" s="1066"/>
      <c r="F97" s="1066"/>
      <c r="G97" s="1066"/>
      <c r="H97" s="1066"/>
      <c r="I97" s="1066"/>
      <c r="J97" s="1066"/>
      <c r="K97" s="1066"/>
      <c r="L97" s="1066"/>
      <c r="M97" s="1066"/>
      <c r="N97" s="1066"/>
      <c r="O97" s="1066"/>
      <c r="P97" s="1066"/>
      <c r="Q97" s="1066"/>
      <c r="R97" s="1066"/>
      <c r="S97" s="1066"/>
      <c r="T97" s="1066"/>
      <c r="U97" s="1066"/>
      <c r="V97" s="1066"/>
      <c r="W97" s="1066"/>
      <c r="X97" s="1066"/>
      <c r="Y97" s="1456"/>
      <c r="Z97" s="1067"/>
    </row>
    <row r="98" spans="1:26" s="556" customFormat="1" ht="13.5" customHeight="1" x14ac:dyDescent="0.2">
      <c r="A98" s="622">
        <v>93</v>
      </c>
      <c r="B98" s="832" t="s">
        <v>516</v>
      </c>
      <c r="C98" s="1066"/>
      <c r="D98" s="1066"/>
      <c r="E98" s="1066"/>
      <c r="F98" s="1066"/>
      <c r="G98" s="1066"/>
      <c r="H98" s="1066"/>
      <c r="I98" s="1066"/>
      <c r="J98" s="1066"/>
      <c r="K98" s="1066"/>
      <c r="L98" s="1066"/>
      <c r="M98" s="1066"/>
      <c r="N98" s="1066"/>
      <c r="O98" s="1066"/>
      <c r="P98" s="1066"/>
      <c r="Q98" s="1066"/>
      <c r="R98" s="1066"/>
      <c r="S98" s="1066"/>
      <c r="T98" s="1066"/>
      <c r="U98" s="1066"/>
      <c r="V98" s="1066"/>
      <c r="W98" s="1066"/>
      <c r="X98" s="1066"/>
      <c r="Y98" s="1456"/>
      <c r="Z98" s="1067"/>
    </row>
    <row r="99" spans="1:26" s="556" customFormat="1" ht="13.5" customHeight="1" x14ac:dyDescent="0.2">
      <c r="A99" s="1292">
        <v>94</v>
      </c>
      <c r="B99" s="832" t="s">
        <v>1088</v>
      </c>
      <c r="C99" s="1066">
        <v>35</v>
      </c>
      <c r="D99" s="1066">
        <v>104</v>
      </c>
      <c r="E99" s="1066">
        <v>102</v>
      </c>
      <c r="F99" s="1066">
        <v>99</v>
      </c>
      <c r="G99" s="1066">
        <v>227</v>
      </c>
      <c r="H99" s="1066">
        <v>43</v>
      </c>
      <c r="I99" s="1066">
        <v>305</v>
      </c>
      <c r="J99" s="1066">
        <v>59</v>
      </c>
      <c r="K99" s="1066">
        <v>82</v>
      </c>
      <c r="L99" s="1066">
        <v>159</v>
      </c>
      <c r="M99" s="1066">
        <v>48</v>
      </c>
      <c r="N99" s="1066">
        <v>78</v>
      </c>
      <c r="O99" s="1066">
        <v>52</v>
      </c>
      <c r="P99" s="1066">
        <v>146</v>
      </c>
      <c r="Q99" s="1066">
        <v>87</v>
      </c>
      <c r="R99" s="1066">
        <v>180</v>
      </c>
      <c r="S99" s="1066">
        <v>78</v>
      </c>
      <c r="T99" s="1066">
        <v>56</v>
      </c>
      <c r="U99" s="1066">
        <v>39</v>
      </c>
      <c r="V99" s="1066">
        <v>161</v>
      </c>
      <c r="W99" s="1066">
        <v>26</v>
      </c>
      <c r="X99" s="1066">
        <v>18</v>
      </c>
      <c r="Y99" s="1456">
        <v>1904</v>
      </c>
      <c r="Z99" s="1067">
        <v>14599</v>
      </c>
    </row>
    <row r="100" spans="1:26" s="556" customFormat="1" ht="13.5" customHeight="1" x14ac:dyDescent="0.2">
      <c r="A100" s="1292">
        <v>95</v>
      </c>
      <c r="B100" s="832" t="s">
        <v>1089</v>
      </c>
      <c r="C100" s="1066">
        <v>53</v>
      </c>
      <c r="D100" s="1066">
        <v>165</v>
      </c>
      <c r="E100" s="1066">
        <v>176</v>
      </c>
      <c r="F100" s="1066">
        <v>158</v>
      </c>
      <c r="G100" s="1066">
        <v>399</v>
      </c>
      <c r="H100" s="1066">
        <v>57</v>
      </c>
      <c r="I100" s="1066">
        <v>522</v>
      </c>
      <c r="J100" s="1066">
        <v>93</v>
      </c>
      <c r="K100" s="1066">
        <v>159</v>
      </c>
      <c r="L100" s="1066">
        <v>258</v>
      </c>
      <c r="M100" s="1066">
        <v>82</v>
      </c>
      <c r="N100" s="1066">
        <v>122</v>
      </c>
      <c r="O100" s="1066">
        <v>69</v>
      </c>
      <c r="P100" s="1066">
        <v>244</v>
      </c>
      <c r="Q100" s="1066">
        <v>158</v>
      </c>
      <c r="R100" s="1066">
        <v>286</v>
      </c>
      <c r="S100" s="1066">
        <v>135</v>
      </c>
      <c r="T100" s="1066">
        <v>74</v>
      </c>
      <c r="U100" s="1066">
        <v>74</v>
      </c>
      <c r="V100" s="1066">
        <v>237</v>
      </c>
      <c r="W100" s="1066">
        <v>34</v>
      </c>
      <c r="X100" s="1066">
        <v>27</v>
      </c>
      <c r="Y100" s="1456">
        <f t="shared" ref="Y100" si="3">SUM(C100:O100,Q100:R100,U100:X100)</f>
        <v>3129</v>
      </c>
      <c r="Z100" s="1067">
        <v>24094</v>
      </c>
    </row>
    <row r="101" spans="1:26" s="556" customFormat="1" ht="13.5" customHeight="1" x14ac:dyDescent="0.2">
      <c r="A101" s="1292">
        <v>96</v>
      </c>
      <c r="B101" s="832" t="s">
        <v>928</v>
      </c>
      <c r="C101" s="1478"/>
      <c r="D101" s="1478"/>
      <c r="E101" s="1478"/>
      <c r="F101" s="1478"/>
      <c r="G101" s="1478"/>
      <c r="H101" s="1478"/>
      <c r="I101" s="1478"/>
      <c r="J101" s="1478"/>
      <c r="K101" s="1478"/>
      <c r="L101" s="1478"/>
      <c r="M101" s="1478"/>
      <c r="N101" s="1478"/>
      <c r="O101" s="1478"/>
      <c r="P101" s="1478"/>
      <c r="Q101" s="1478"/>
      <c r="R101" s="1478"/>
      <c r="S101" s="1478"/>
      <c r="T101" s="1478"/>
      <c r="U101" s="1478"/>
      <c r="V101" s="1478"/>
      <c r="W101" s="1478"/>
      <c r="X101" s="1480"/>
      <c r="Y101" s="1481"/>
      <c r="Z101" s="1483"/>
    </row>
    <row r="102" spans="1:26" s="556" customFormat="1" ht="13.5" customHeight="1" x14ac:dyDescent="0.2">
      <c r="A102" s="1292">
        <v>97</v>
      </c>
      <c r="B102" s="832" t="s">
        <v>1229</v>
      </c>
      <c r="C102" s="1478"/>
      <c r="D102" s="1478"/>
      <c r="E102" s="1478"/>
      <c r="F102" s="1478"/>
      <c r="G102" s="1478"/>
      <c r="H102" s="1478"/>
      <c r="I102" s="1478"/>
      <c r="J102" s="1478"/>
      <c r="K102" s="1478"/>
      <c r="L102" s="1478"/>
      <c r="M102" s="1478"/>
      <c r="N102" s="1478"/>
      <c r="O102" s="1478"/>
      <c r="P102" s="1478"/>
      <c r="Q102" s="1478"/>
      <c r="R102" s="1557"/>
      <c r="S102" s="1478"/>
      <c r="T102" s="1478"/>
      <c r="U102" s="1478"/>
      <c r="V102" s="1478"/>
      <c r="W102" s="1478"/>
      <c r="X102" s="1480"/>
      <c r="Y102" s="1481"/>
      <c r="Z102" s="1483"/>
    </row>
    <row r="103" spans="1:26" s="556" customFormat="1" ht="13.5" customHeight="1" x14ac:dyDescent="0.2">
      <c r="A103" s="1292">
        <v>98</v>
      </c>
      <c r="B103" s="832" t="s">
        <v>929</v>
      </c>
      <c r="C103" s="1478"/>
      <c r="D103" s="1478"/>
      <c r="E103" s="1478"/>
      <c r="F103" s="1478"/>
      <c r="G103" s="1478"/>
      <c r="H103" s="1478"/>
      <c r="I103" s="1478"/>
      <c r="J103" s="1478"/>
      <c r="K103" s="1478"/>
      <c r="L103" s="1478"/>
      <c r="M103" s="1478"/>
      <c r="N103" s="1478"/>
      <c r="O103" s="1478"/>
      <c r="P103" s="1478"/>
      <c r="Q103" s="1478"/>
      <c r="R103" s="1478"/>
      <c r="S103" s="1478"/>
      <c r="T103" s="1478"/>
      <c r="U103" s="1478"/>
      <c r="V103" s="1478"/>
      <c r="W103" s="1478"/>
      <c r="X103" s="1480"/>
      <c r="Y103" s="1481"/>
      <c r="Z103" s="1483"/>
    </row>
    <row r="104" spans="1:26" s="556" customFormat="1" ht="13.5" customHeight="1" x14ac:dyDescent="0.2">
      <c r="A104" s="1292">
        <v>99</v>
      </c>
      <c r="B104" s="832" t="s">
        <v>930</v>
      </c>
      <c r="C104" s="1478">
        <v>61</v>
      </c>
      <c r="D104" s="1478">
        <v>180</v>
      </c>
      <c r="E104" s="1478">
        <v>213</v>
      </c>
      <c r="F104" s="1478">
        <v>359</v>
      </c>
      <c r="G104" s="1478">
        <v>883</v>
      </c>
      <c r="H104" s="1478">
        <v>175</v>
      </c>
      <c r="I104" s="1478">
        <v>1321</v>
      </c>
      <c r="J104" s="1478">
        <v>250</v>
      </c>
      <c r="K104" s="1478">
        <v>195</v>
      </c>
      <c r="L104" s="1478">
        <v>351</v>
      </c>
      <c r="M104" s="1478">
        <v>269</v>
      </c>
      <c r="N104" s="1478">
        <v>121</v>
      </c>
      <c r="O104" s="1478">
        <v>123</v>
      </c>
      <c r="P104" s="1478">
        <v>403</v>
      </c>
      <c r="Q104" s="1478">
        <v>325</v>
      </c>
      <c r="R104" s="1478">
        <v>326</v>
      </c>
      <c r="S104" s="1478">
        <v>279</v>
      </c>
      <c r="T104" s="1478">
        <v>98</v>
      </c>
      <c r="U104" s="1478">
        <v>112</v>
      </c>
      <c r="V104" s="1478">
        <v>649</v>
      </c>
      <c r="W104" s="1478">
        <v>73</v>
      </c>
      <c r="X104" s="1480">
        <v>50</v>
      </c>
      <c r="Y104" s="1481">
        <v>6036</v>
      </c>
      <c r="Z104" s="1483">
        <v>45042</v>
      </c>
    </row>
    <row r="105" spans="1:26" s="556" customFormat="1" ht="13.5" customHeight="1" x14ac:dyDescent="0.2">
      <c r="A105" s="1292">
        <v>100</v>
      </c>
      <c r="B105" s="832" t="s">
        <v>931</v>
      </c>
      <c r="C105" s="1478">
        <v>19</v>
      </c>
      <c r="D105" s="1478">
        <v>88</v>
      </c>
      <c r="E105" s="1478">
        <v>76</v>
      </c>
      <c r="F105" s="1478">
        <v>159</v>
      </c>
      <c r="G105" s="1478">
        <v>372</v>
      </c>
      <c r="H105" s="1478">
        <v>112</v>
      </c>
      <c r="I105" s="1478">
        <v>485</v>
      </c>
      <c r="J105" s="1478">
        <v>102</v>
      </c>
      <c r="K105" s="1478">
        <v>67</v>
      </c>
      <c r="L105" s="1478">
        <v>120</v>
      </c>
      <c r="M105" s="1478">
        <v>128</v>
      </c>
      <c r="N105" s="1478">
        <v>53</v>
      </c>
      <c r="O105" s="1478">
        <v>55</v>
      </c>
      <c r="P105" s="1478">
        <v>145</v>
      </c>
      <c r="Q105" s="1478">
        <v>137</v>
      </c>
      <c r="R105" s="1478">
        <v>137</v>
      </c>
      <c r="S105" s="1478">
        <v>118</v>
      </c>
      <c r="T105" s="1478">
        <v>27</v>
      </c>
      <c r="U105" s="1478">
        <v>46</v>
      </c>
      <c r="V105" s="1478">
        <v>225</v>
      </c>
      <c r="W105" s="1478">
        <v>23</v>
      </c>
      <c r="X105" s="1480">
        <v>22</v>
      </c>
      <c r="Y105" s="1481">
        <v>2426</v>
      </c>
      <c r="Z105" s="1483">
        <v>19186</v>
      </c>
    </row>
    <row r="106" spans="1:26" ht="13.5" customHeight="1" x14ac:dyDescent="0.2">
      <c r="A106" s="941" t="s">
        <v>557</v>
      </c>
      <c r="B106" s="1383" t="s">
        <v>306</v>
      </c>
      <c r="C106" s="617">
        <f>IF(SUM(C40:C43)&gt;0,SUM(C40:C43),NA())</f>
        <v>1249</v>
      </c>
      <c r="D106" s="617">
        <f t="shared" ref="D106:Z106" si="4">IF(SUM(D40:D43)&gt;0,SUM(D40:D43),NA())</f>
        <v>2124</v>
      </c>
      <c r="E106" s="617">
        <f t="shared" si="4"/>
        <v>6206</v>
      </c>
      <c r="F106" s="617">
        <f t="shared" si="4"/>
        <v>2071</v>
      </c>
      <c r="G106" s="617">
        <f t="shared" si="4"/>
        <v>17785</v>
      </c>
      <c r="H106" s="617">
        <f t="shared" si="4"/>
        <v>2131</v>
      </c>
      <c r="I106" s="617">
        <f t="shared" si="4"/>
        <v>15091</v>
      </c>
      <c r="J106" s="617">
        <f t="shared" si="4"/>
        <v>2701</v>
      </c>
      <c r="K106" s="617">
        <f t="shared" si="4"/>
        <v>2270</v>
      </c>
      <c r="L106" s="617">
        <f t="shared" si="4"/>
        <v>3480</v>
      </c>
      <c r="M106" s="617">
        <f t="shared" si="4"/>
        <v>2777</v>
      </c>
      <c r="N106" s="617">
        <f t="shared" si="4"/>
        <v>2057</v>
      </c>
      <c r="O106" s="617">
        <f t="shared" si="4"/>
        <v>2006</v>
      </c>
      <c r="P106" s="617">
        <f t="shared" si="4"/>
        <v>4410</v>
      </c>
      <c r="Q106" s="617">
        <f t="shared" si="4"/>
        <v>1805</v>
      </c>
      <c r="R106" s="617">
        <f t="shared" si="4"/>
        <v>9078</v>
      </c>
      <c r="S106" s="617">
        <f t="shared" si="4"/>
        <v>1769</v>
      </c>
      <c r="T106" s="617">
        <f t="shared" si="4"/>
        <v>797</v>
      </c>
      <c r="U106" s="617">
        <f t="shared" si="4"/>
        <v>1453</v>
      </c>
      <c r="V106" s="617">
        <f t="shared" si="4"/>
        <v>7399</v>
      </c>
      <c r="W106" s="617">
        <f t="shared" si="4"/>
        <v>384</v>
      </c>
      <c r="X106" s="617">
        <f t="shared" si="4"/>
        <v>749</v>
      </c>
      <c r="Y106" s="617">
        <f t="shared" si="4"/>
        <v>82830</v>
      </c>
      <c r="Z106" s="617">
        <f t="shared" si="4"/>
        <v>503310</v>
      </c>
    </row>
    <row r="107" spans="1:26" ht="13.5" customHeight="1" x14ac:dyDescent="0.2">
      <c r="A107" s="941" t="s">
        <v>557</v>
      </c>
      <c r="B107" s="1383" t="s">
        <v>307</v>
      </c>
      <c r="C107" s="617">
        <f>SUM(C40:C44)</f>
        <v>1392</v>
      </c>
      <c r="D107" s="617">
        <f t="shared" ref="D107:W107" si="5">SUM(D40:D44)</f>
        <v>3020</v>
      </c>
      <c r="E107" s="617">
        <f t="shared" si="5"/>
        <v>6680</v>
      </c>
      <c r="F107" s="617">
        <f t="shared" si="5"/>
        <v>3143</v>
      </c>
      <c r="G107" s="617">
        <f t="shared" si="5"/>
        <v>19841</v>
      </c>
      <c r="H107" s="617">
        <f t="shared" si="5"/>
        <v>2691</v>
      </c>
      <c r="I107" s="617">
        <f t="shared" si="5"/>
        <v>16366</v>
      </c>
      <c r="J107" s="617">
        <f t="shared" si="5"/>
        <v>2818</v>
      </c>
      <c r="K107" s="617">
        <f t="shared" si="5"/>
        <v>2517</v>
      </c>
      <c r="L107" s="617">
        <f t="shared" si="5"/>
        <v>6720</v>
      </c>
      <c r="M107" s="617">
        <f t="shared" si="5"/>
        <v>2950</v>
      </c>
      <c r="N107" s="617">
        <f t="shared" si="5"/>
        <v>2945</v>
      </c>
      <c r="O107" s="617">
        <f t="shared" si="5"/>
        <v>2339</v>
      </c>
      <c r="P107" s="617">
        <f t="shared" si="5"/>
        <v>4944</v>
      </c>
      <c r="Q107" s="617">
        <f t="shared" si="5"/>
        <v>2655</v>
      </c>
      <c r="R107" s="617">
        <f t="shared" si="5"/>
        <v>12022</v>
      </c>
      <c r="S107" s="617">
        <f t="shared" si="5"/>
        <v>2994</v>
      </c>
      <c r="T107" s="617">
        <f t="shared" si="5"/>
        <v>977</v>
      </c>
      <c r="U107" s="617">
        <f t="shared" si="5"/>
        <v>1503</v>
      </c>
      <c r="V107" s="617">
        <f t="shared" si="5"/>
        <v>7633</v>
      </c>
      <c r="W107" s="617">
        <f t="shared" si="5"/>
        <v>668</v>
      </c>
      <c r="X107" s="617">
        <f>SUM(X40:X44)</f>
        <v>875</v>
      </c>
      <c r="Y107" s="617">
        <f t="shared" ref="Y107:Z107" si="6">SUM(Y40:Y44)</f>
        <v>98800</v>
      </c>
      <c r="Z107" s="617">
        <f t="shared" si="6"/>
        <v>606880</v>
      </c>
    </row>
    <row r="108" spans="1:26" ht="13.5" customHeight="1" x14ac:dyDescent="0.2">
      <c r="B108" s="557" t="s">
        <v>1293</v>
      </c>
      <c r="C108" s="1484" t="s">
        <v>1281</v>
      </c>
      <c r="D108" s="1484">
        <v>365</v>
      </c>
      <c r="E108" s="1484">
        <v>478</v>
      </c>
      <c r="F108" s="1484">
        <v>360</v>
      </c>
      <c r="G108" s="1484">
        <v>405</v>
      </c>
      <c r="H108" s="1484">
        <v>647</v>
      </c>
      <c r="I108" s="1484">
        <v>296</v>
      </c>
      <c r="J108" s="1484">
        <v>358</v>
      </c>
      <c r="K108" s="1484" t="s">
        <v>1281</v>
      </c>
      <c r="L108" s="1484">
        <v>420</v>
      </c>
      <c r="M108" s="1484">
        <v>388</v>
      </c>
      <c r="N108" s="1484">
        <v>289</v>
      </c>
      <c r="O108" s="1484">
        <v>225</v>
      </c>
      <c r="P108" s="1484">
        <v>412</v>
      </c>
      <c r="Q108" s="1484">
        <v>521</v>
      </c>
      <c r="R108" s="1484">
        <v>386</v>
      </c>
      <c r="S108" s="1484">
        <v>419</v>
      </c>
      <c r="T108" s="1484">
        <v>341</v>
      </c>
      <c r="U108" s="1484">
        <v>447</v>
      </c>
      <c r="V108" s="1484">
        <v>413</v>
      </c>
      <c r="W108" s="1484" t="s">
        <v>1281</v>
      </c>
      <c r="X108" s="1484" t="s">
        <v>1281</v>
      </c>
      <c r="Y108" s="1485">
        <f>Y83/Y82</f>
        <v>385.04754098360655</v>
      </c>
      <c r="Z108" s="1486">
        <v>399</v>
      </c>
    </row>
    <row r="109" spans="1:26" ht="13.5" customHeight="1" x14ac:dyDescent="0.2">
      <c r="C109" s="1484"/>
      <c r="D109" s="1484"/>
      <c r="E109" s="1484"/>
      <c r="F109" s="1484"/>
      <c r="G109" s="1484"/>
      <c r="H109" s="1484"/>
      <c r="I109" s="1484"/>
      <c r="J109" s="1484"/>
      <c r="K109" s="1484"/>
      <c r="L109" s="1484"/>
      <c r="M109" s="1484"/>
      <c r="N109" s="1484"/>
      <c r="O109" s="1484"/>
      <c r="P109" s="1484"/>
      <c r="Q109" s="1484"/>
      <c r="R109" s="1484"/>
      <c r="S109" s="1484"/>
      <c r="T109" s="1484"/>
      <c r="U109" s="1484"/>
      <c r="V109" s="1484"/>
      <c r="W109" s="1484"/>
      <c r="X109" s="1484"/>
      <c r="Y109" s="1485"/>
      <c r="Z109" s="1486"/>
    </row>
    <row r="110" spans="1:26" ht="13.5" customHeight="1" x14ac:dyDescent="0.2">
      <c r="B110" s="557" t="s">
        <v>1288</v>
      </c>
    </row>
    <row r="111" spans="1:26" ht="13.5" customHeight="1" x14ac:dyDescent="0.2">
      <c r="B111" s="557" t="s">
        <v>1289</v>
      </c>
    </row>
  </sheetData>
  <conditionalFormatting sqref="C1:X1">
    <cfRule type="expression" dxfId="1131" priority="6">
      <formula>SUM(C$2:C$98)=0</formula>
    </cfRule>
    <cfRule type="containsErrors" dxfId="1130" priority="7">
      <formula>ISERROR(C1)</formula>
    </cfRule>
  </conditionalFormatting>
  <pageMargins left="0.70866141732283472" right="0.70866141732283472" top="0.35433070866141736" bottom="0.35433070866141736" header="0.31496062992125984" footer="0.31496062992125984"/>
  <pageSetup scale="48" orientation="portrait" r:id="rId1"/>
  <extLst>
    <ext xmlns:x14="http://schemas.microsoft.com/office/spreadsheetml/2009/9/main" uri="{78C0D931-6437-407d-A8EE-F0AAD7539E65}">
      <x14:conditionalFormattings>
        <x14:conditionalFormatting xmlns:xm="http://schemas.microsoft.com/office/excel/2006/main">
          <x14:cfRule type="expression" priority="5" id="{05C448F4-D1AB-45AE-B7FE-305D0706AF26}">
            <xm:f>C$1=Sheet1!$AR$3</xm:f>
            <x14:dxf>
              <fill>
                <patternFill>
                  <bgColor rgb="FF66FF99"/>
                </patternFill>
              </fill>
            </x14:dxf>
          </x14:cfRule>
          <xm:sqref>C1:X1</xm:sqref>
        </x14:conditionalFormatting>
      </x14:conditionalFormatting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2">
    <tabColor rgb="FFFFC000"/>
  </sheetPr>
  <dimension ref="A1:BN310"/>
  <sheetViews>
    <sheetView showRowColHeaders="0" zoomScaleNormal="10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8" width="6.85546875" style="74" customWidth="1"/>
    <col min="9" max="9" width="7.42578125" style="74" customWidth="1"/>
    <col min="10" max="10" width="1.42578125" style="88" customWidth="1"/>
    <col min="11" max="15" width="6.85546875" style="74" customWidth="1"/>
    <col min="16" max="16" width="7.140625" style="74" customWidth="1"/>
    <col min="17" max="17" width="7.42578125" style="74" customWidth="1"/>
    <col min="18" max="18" width="1.42578125" style="74" customWidth="1"/>
    <col min="19" max="19" width="5.7109375" style="74" customWidth="1"/>
    <col min="20" max="20" width="8.28515625" style="74" customWidth="1"/>
    <col min="21" max="21" width="7.7109375" style="74" customWidth="1"/>
    <col min="22" max="22" width="2.140625" style="74" customWidth="1"/>
    <col min="23" max="23" width="6.42578125" style="80" customWidth="1"/>
    <col min="24" max="24" width="4.85546875" style="80" customWidth="1"/>
    <col min="25" max="25" width="17.85546875" style="81" hidden="1" customWidth="1"/>
    <col min="26" max="26" width="19.42578125" style="81" hidden="1" customWidth="1"/>
    <col min="27" max="27" width="19.85546875" style="81" hidden="1" customWidth="1"/>
    <col min="28" max="29" width="16.5703125" style="81" hidden="1" customWidth="1"/>
    <col min="30" max="31" width="8.5703125" style="81" hidden="1" customWidth="1"/>
    <col min="32" max="32" width="3.5703125" style="81" hidden="1" customWidth="1"/>
    <col min="33" max="33" width="17" style="81" hidden="1" customWidth="1"/>
    <col min="34" max="34" width="5.5703125" style="81" hidden="1" customWidth="1"/>
    <col min="35" max="35" width="4.85546875" style="81" hidden="1" customWidth="1"/>
    <col min="36" max="36" width="5.5703125" style="74" hidden="1" customWidth="1"/>
    <col min="37" max="37" width="31.5703125" style="74" customWidth="1"/>
    <col min="38" max="38" width="17" style="74" hidden="1" customWidth="1"/>
    <col min="39" max="43" width="13.5703125" style="74" hidden="1" customWidth="1"/>
    <col min="44" max="50" width="9.140625" style="74" hidden="1" customWidth="1"/>
    <col min="51" max="53" width="9.140625" style="74" customWidth="1"/>
    <col min="54" max="16384" width="9.140625" style="74"/>
  </cols>
  <sheetData>
    <row r="1" spans="1:51" ht="18.75" customHeight="1" thickBot="1" x14ac:dyDescent="0.25">
      <c r="A1" s="112"/>
      <c r="B1" s="113"/>
      <c r="C1" s="113"/>
      <c r="D1" s="113"/>
      <c r="E1" s="113"/>
      <c r="F1" s="113"/>
      <c r="G1" s="113"/>
      <c r="H1" s="113"/>
      <c r="I1" s="113"/>
      <c r="J1" s="114"/>
      <c r="K1" s="113"/>
      <c r="L1" s="113"/>
      <c r="M1" s="113"/>
      <c r="N1" s="113"/>
      <c r="O1" s="113"/>
      <c r="P1" s="113"/>
      <c r="Q1" s="113"/>
      <c r="R1" s="113"/>
      <c r="S1" s="113"/>
      <c r="T1" s="113"/>
      <c r="U1" s="113"/>
      <c r="V1" s="115"/>
      <c r="W1" s="275"/>
      <c r="X1" s="155"/>
      <c r="Y1" s="180"/>
      <c r="Z1" s="939" t="str">
        <f>IF(Sheet1!$C$3="Annual"," the year ending 31st March"," the quarter")</f>
        <v xml:space="preserve"> the year ending 31st March</v>
      </c>
      <c r="AA1" s="180"/>
      <c r="AB1" s="180"/>
      <c r="AC1" s="180"/>
      <c r="AD1" s="180"/>
      <c r="AE1" s="180"/>
      <c r="AF1" s="180"/>
      <c r="AG1" s="180"/>
      <c r="AH1" s="180"/>
      <c r="AI1" s="180"/>
      <c r="AJ1" s="181"/>
      <c r="AK1" s="156"/>
    </row>
    <row r="2" spans="1:51" ht="18.75" customHeight="1" x14ac:dyDescent="0.2">
      <c r="A2" s="118"/>
      <c r="B2" s="128" t="s">
        <v>24</v>
      </c>
      <c r="C2" s="9"/>
      <c r="D2" s="9"/>
      <c r="E2" s="9"/>
      <c r="F2" s="9"/>
      <c r="G2" s="9"/>
      <c r="H2" s="9"/>
      <c r="I2" s="9"/>
      <c r="J2" s="12"/>
      <c r="K2" s="9"/>
      <c r="L2" s="9"/>
      <c r="M2" s="9"/>
      <c r="N2" s="9"/>
      <c r="O2" s="9"/>
      <c r="P2" s="9"/>
      <c r="Q2" s="9"/>
      <c r="R2" s="9"/>
      <c r="S2" s="9"/>
      <c r="T2" s="9"/>
      <c r="U2" s="9"/>
      <c r="V2" s="117"/>
      <c r="W2" s="161"/>
      <c r="X2" s="150"/>
      <c r="Y2" s="866">
        <f>IF(Sheet1!$C$3="Annual",1,4)</f>
        <v>1</v>
      </c>
      <c r="Z2" s="800" t="str">
        <f>IF(Sheet1!$C$3="Annual","",Sheet1!$D$28)</f>
        <v/>
      </c>
      <c r="AA2" s="801" t="str">
        <f>IF(Sheet1!$C$3="Annual","",Sheet1!$E$28)</f>
        <v/>
      </c>
      <c r="AB2" s="801" t="str">
        <f>IF(Sheet1!$C$3="Annual","",Sheet1!$F$28)</f>
        <v/>
      </c>
      <c r="AC2" s="801" t="str">
        <f>IF(Sheet1!$C$3="Annual","",Sheet1!$G$28)</f>
        <v/>
      </c>
      <c r="AD2" s="802" t="str">
        <f>IF(Sheet1!$C$3="Annual","",Sheet1!$H$28)</f>
        <v/>
      </c>
      <c r="AJ2" s="184"/>
      <c r="AK2" s="157"/>
    </row>
    <row r="3" spans="1:51" ht="18.75" customHeight="1" thickBot="1" x14ac:dyDescent="0.25">
      <c r="A3" s="124"/>
      <c r="B3" s="125"/>
      <c r="C3" s="125"/>
      <c r="D3" s="125"/>
      <c r="E3" s="125"/>
      <c r="F3" s="125"/>
      <c r="G3" s="125"/>
      <c r="H3" s="125"/>
      <c r="I3" s="267"/>
      <c r="J3" s="126"/>
      <c r="K3" s="125"/>
      <c r="L3" s="125"/>
      <c r="M3" s="125"/>
      <c r="N3" s="125"/>
      <c r="O3" s="125"/>
      <c r="P3" s="553"/>
      <c r="Q3" s="125"/>
      <c r="R3" s="125"/>
      <c r="S3" s="125"/>
      <c r="T3" s="267"/>
      <c r="U3" s="125"/>
      <c r="V3" s="127"/>
      <c r="W3" s="161"/>
      <c r="X3" s="150"/>
      <c r="Y3" s="803"/>
      <c r="Z3" s="803" t="str">
        <f>Sheet1!$D$27</f>
        <v>2015-16</v>
      </c>
      <c r="AA3" s="804" t="str">
        <f>Sheet1!$E$27</f>
        <v>2016-17</v>
      </c>
      <c r="AB3" s="804" t="str">
        <f>Sheet1!$F$27</f>
        <v>2017-18</v>
      </c>
      <c r="AC3" s="804" t="str">
        <f>Sheet1!$G$27</f>
        <v>2018-19</v>
      </c>
      <c r="AD3" s="805" t="str">
        <f>Sheet1!$H$27</f>
        <v>2019-20</v>
      </c>
      <c r="AJ3" s="184"/>
      <c r="AK3" s="157"/>
    </row>
    <row r="4" spans="1:51" ht="11.1" customHeight="1" x14ac:dyDescent="0.2">
      <c r="A4" s="112"/>
      <c r="B4" s="113"/>
      <c r="C4" s="113"/>
      <c r="D4" s="113"/>
      <c r="E4" s="113"/>
      <c r="F4" s="113"/>
      <c r="G4" s="113"/>
      <c r="H4" s="113"/>
      <c r="I4" s="113"/>
      <c r="J4" s="114"/>
      <c r="K4" s="113"/>
      <c r="L4" s="113"/>
      <c r="M4" s="113"/>
      <c r="N4" s="113"/>
      <c r="O4" s="113"/>
      <c r="P4" s="113"/>
      <c r="Q4" s="113"/>
      <c r="R4" s="113"/>
      <c r="S4" s="113"/>
      <c r="T4" s="113"/>
      <c r="U4" s="113"/>
      <c r="V4" s="115"/>
      <c r="W4" s="137"/>
      <c r="X4" s="150"/>
      <c r="Z4" s="186" t="str">
        <f>Home!$D$10</f>
        <v>(none)</v>
      </c>
      <c r="AA4" s="42" t="str">
        <f>"Selected LA- "&amp;Z4</f>
        <v>Selected LA- (none)</v>
      </c>
      <c r="AJ4" s="184"/>
      <c r="AK4" s="157"/>
    </row>
    <row r="5" spans="1:51" s="76" customFormat="1" ht="15" customHeight="1" x14ac:dyDescent="0.2">
      <c r="A5" s="119"/>
      <c r="B5" s="1808" t="str">
        <f>"Re-referrals received in"&amp;Z1</f>
        <v>Re-referrals received in the year ending 31st March</v>
      </c>
      <c r="C5" s="1642"/>
      <c r="D5" s="1642"/>
      <c r="E5" s="1642"/>
      <c r="F5" s="1642"/>
      <c r="G5" s="1642"/>
      <c r="H5" s="1642"/>
      <c r="I5" s="1642"/>
      <c r="J5" s="1642"/>
      <c r="K5" s="1642"/>
      <c r="L5" s="1642"/>
      <c r="M5" s="1642"/>
      <c r="N5" s="1642"/>
      <c r="O5" s="70"/>
      <c r="P5" s="70"/>
      <c r="Q5" s="70"/>
      <c r="R5" s="70"/>
      <c r="S5" s="70"/>
      <c r="T5" s="70"/>
      <c r="U5" s="70"/>
      <c r="V5" s="120"/>
      <c r="W5" s="138"/>
      <c r="X5" s="151"/>
      <c r="Y5" s="81"/>
      <c r="Z5" s="188"/>
      <c r="AA5" s="188"/>
      <c r="AB5" s="188"/>
      <c r="AC5" s="188"/>
      <c r="AD5" s="188"/>
      <c r="AE5" s="188"/>
      <c r="AF5" s="188"/>
      <c r="AG5" s="188"/>
      <c r="AH5" s="188"/>
      <c r="AI5" s="188"/>
      <c r="AJ5" s="188"/>
      <c r="AK5" s="158"/>
      <c r="AL5" s="188" t="str">
        <f>CONCATENATE($I$7,"in Number of "&amp;$B2)</f>
        <v>Average Annual Change in Number of Re-referrals</v>
      </c>
      <c r="AR5" s="74"/>
      <c r="AS5" s="74"/>
      <c r="AT5" s="74"/>
      <c r="AU5" s="74"/>
      <c r="AV5" s="74"/>
      <c r="AW5" s="74"/>
      <c r="AX5" s="74"/>
      <c r="AY5" s="74"/>
    </row>
    <row r="6" spans="1:51" ht="13.5" customHeight="1" x14ac:dyDescent="0.2">
      <c r="A6" s="118"/>
      <c r="B6" s="1642"/>
      <c r="C6" s="1642"/>
      <c r="D6" s="1642"/>
      <c r="E6" s="1642"/>
      <c r="F6" s="1642"/>
      <c r="G6" s="1642"/>
      <c r="H6" s="1642"/>
      <c r="I6" s="1642"/>
      <c r="J6" s="1642"/>
      <c r="K6" s="1642"/>
      <c r="L6" s="1642"/>
      <c r="M6" s="1642"/>
      <c r="N6" s="1642"/>
      <c r="O6" s="70"/>
      <c r="P6" s="70"/>
      <c r="Q6" s="70"/>
      <c r="R6" s="70"/>
      <c r="S6" s="70"/>
      <c r="T6" s="70"/>
      <c r="U6" s="70"/>
      <c r="V6" s="117"/>
      <c r="W6" s="137"/>
      <c r="X6" s="150"/>
      <c r="Z6" s="190"/>
      <c r="AJ6" s="184"/>
      <c r="AK6" s="157"/>
    </row>
    <row r="7" spans="1:51" ht="12.75" customHeight="1" x14ac:dyDescent="0.2">
      <c r="A7" s="278"/>
      <c r="B7" s="1789" t="s">
        <v>205</v>
      </c>
      <c r="C7" s="85"/>
      <c r="D7" s="1681" t="s">
        <v>88</v>
      </c>
      <c r="E7" s="1809"/>
      <c r="F7" s="1809"/>
      <c r="G7" s="1809"/>
      <c r="H7" s="1810"/>
      <c r="I7" s="1811" t="str">
        <f>"Average "&amp;Sheet1!C3&amp;" Change "</f>
        <v xml:space="preserve">Average Annual Change </v>
      </c>
      <c r="J7" s="96"/>
      <c r="K7" s="1747" t="s">
        <v>89</v>
      </c>
      <c r="L7" s="1748"/>
      <c r="M7" s="1748"/>
      <c r="N7" s="1748"/>
      <c r="O7" s="1748"/>
      <c r="P7" s="1749"/>
      <c r="Q7" s="1744" t="str">
        <f>IF(ISNA(O9),"SE Rank "&amp;O8,"SE Rank "&amp;O9)</f>
        <v>SE Rank 2019-20</v>
      </c>
      <c r="R7" s="70"/>
      <c r="S7" s="1817" t="str">
        <f>"Distance from Expected "&amp;Sheet1!$B$8</f>
        <v>Distance from Expected 2020</v>
      </c>
      <c r="T7" s="1818"/>
      <c r="U7" s="1819"/>
      <c r="V7" s="117"/>
      <c r="W7" s="137"/>
      <c r="X7" s="150"/>
      <c r="Z7" s="190"/>
      <c r="AB7" s="203" t="s">
        <v>79</v>
      </c>
      <c r="AJ7" s="184"/>
      <c r="AK7" s="157"/>
      <c r="AL7" s="575"/>
      <c r="AM7" s="575"/>
      <c r="AN7" s="575"/>
      <c r="AO7" s="575"/>
      <c r="AP7" s="575"/>
    </row>
    <row r="8" spans="1:51" s="87" customFormat="1" ht="12.75" customHeight="1" x14ac:dyDescent="0.2">
      <c r="A8" s="121"/>
      <c r="B8" s="1789"/>
      <c r="C8" s="85"/>
      <c r="D8" s="789" t="str">
        <f>Sheet1!$D$27</f>
        <v>2015-16</v>
      </c>
      <c r="E8" s="790" t="str">
        <f>Sheet1!$E$27</f>
        <v>2016-17</v>
      </c>
      <c r="F8" s="790" t="str">
        <f>Sheet1!$F$27</f>
        <v>2017-18</v>
      </c>
      <c r="G8" s="790" t="str">
        <f>Sheet1!$G$27</f>
        <v>2018-19</v>
      </c>
      <c r="H8" s="791" t="str">
        <f>Sheet1!$H$27</f>
        <v>2019-20</v>
      </c>
      <c r="I8" s="1812"/>
      <c r="J8" s="96"/>
      <c r="K8" s="789" t="str">
        <f>Sheet1!$D$27</f>
        <v>2015-16</v>
      </c>
      <c r="L8" s="790" t="str">
        <f>Sheet1!$E$27</f>
        <v>2016-17</v>
      </c>
      <c r="M8" s="790" t="str">
        <f>Sheet1!$F$27</f>
        <v>2017-18</v>
      </c>
      <c r="N8" s="790" t="str">
        <f>Sheet1!$G$27</f>
        <v>2018-19</v>
      </c>
      <c r="O8" s="1741" t="str">
        <f>Sheet1!$H$27</f>
        <v>2019-20</v>
      </c>
      <c r="P8" s="1742"/>
      <c r="Q8" s="1816"/>
      <c r="R8" s="70"/>
      <c r="S8" s="1820"/>
      <c r="T8" s="1821"/>
      <c r="U8" s="1822"/>
      <c r="V8" s="122"/>
      <c r="W8" s="139"/>
      <c r="X8" s="152"/>
      <c r="Y8" s="202"/>
      <c r="Z8" s="1735" t="s">
        <v>76</v>
      </c>
      <c r="AA8" s="1735" t="s">
        <v>77</v>
      </c>
      <c r="AB8" s="758" t="str">
        <f>Sheet1!$D$27</f>
        <v>2015-16</v>
      </c>
      <c r="AC8" s="758" t="str">
        <f>Sheet1!$E$27</f>
        <v>2016-17</v>
      </c>
      <c r="AD8" s="758" t="str">
        <f>Sheet1!$F$27</f>
        <v>2017-18</v>
      </c>
      <c r="AE8" s="758" t="str">
        <f>Sheet1!$G$27</f>
        <v>2018-19</v>
      </c>
      <c r="AF8" s="758" t="str">
        <f>Sheet1!$H$27</f>
        <v>2019-20</v>
      </c>
      <c r="AG8" s="204" t="s">
        <v>94</v>
      </c>
      <c r="AH8" s="190"/>
      <c r="AI8" s="190"/>
      <c r="AJ8" s="202"/>
      <c r="AK8" s="160"/>
      <c r="AL8" s="845"/>
      <c r="AM8" s="845"/>
      <c r="AN8" s="845"/>
      <c r="AO8" s="845"/>
      <c r="AP8" s="845"/>
      <c r="AR8" s="74"/>
      <c r="AS8" s="74"/>
      <c r="AT8" s="74"/>
      <c r="AU8" s="74"/>
      <c r="AV8" s="74"/>
      <c r="AW8" s="74"/>
      <c r="AX8" s="74"/>
      <c r="AY8" s="74"/>
    </row>
    <row r="9" spans="1:51" s="87" customFormat="1" ht="12.75" customHeight="1" x14ac:dyDescent="0.2">
      <c r="A9" s="121"/>
      <c r="B9" s="1790"/>
      <c r="C9" s="85"/>
      <c r="D9" s="792" t="e">
        <f>Sheet1!$D$28</f>
        <v>#N/A</v>
      </c>
      <c r="E9" s="792" t="e">
        <f>Sheet1!$E$28</f>
        <v>#N/A</v>
      </c>
      <c r="F9" s="792" t="e">
        <f>Sheet1!$F$28</f>
        <v>#N/A</v>
      </c>
      <c r="G9" s="792" t="e">
        <f>Sheet1!$G$28</f>
        <v>#N/A</v>
      </c>
      <c r="H9" s="793" t="e">
        <f>Sheet1!$H$28</f>
        <v>#N/A</v>
      </c>
      <c r="I9" s="1813"/>
      <c r="J9" s="96"/>
      <c r="K9" s="792" t="e">
        <f>Sheet1!$D$28</f>
        <v>#N/A</v>
      </c>
      <c r="L9" s="792" t="e">
        <f>Sheet1!$E$28</f>
        <v>#N/A</v>
      </c>
      <c r="M9" s="792" t="e">
        <f>Sheet1!$F$28</f>
        <v>#N/A</v>
      </c>
      <c r="N9" s="792" t="e">
        <f>Sheet1!$G$28</f>
        <v>#N/A</v>
      </c>
      <c r="O9" s="1739" t="e">
        <f>Sheet1!$H$28</f>
        <v>#N/A</v>
      </c>
      <c r="P9" s="1827"/>
      <c r="Q9" s="1745"/>
      <c r="R9" s="70"/>
      <c r="S9" s="904" t="s">
        <v>78</v>
      </c>
      <c r="T9" s="856" t="s">
        <v>128</v>
      </c>
      <c r="U9" s="857" t="s">
        <v>129</v>
      </c>
      <c r="V9" s="122"/>
      <c r="W9" s="139"/>
      <c r="X9" s="152"/>
      <c r="Y9" s="202"/>
      <c r="Z9" s="1736"/>
      <c r="AA9" s="1736"/>
      <c r="AB9" s="758" t="e">
        <f>Sheet1!$D$28</f>
        <v>#N/A</v>
      </c>
      <c r="AC9" s="758" t="e">
        <f>Sheet1!$E$28</f>
        <v>#N/A</v>
      </c>
      <c r="AD9" s="758" t="e">
        <f>Sheet1!$F$28</f>
        <v>#N/A</v>
      </c>
      <c r="AE9" s="758" t="e">
        <f>Sheet1!$G$28</f>
        <v>#N/A</v>
      </c>
      <c r="AF9" s="758" t="e">
        <f>Sheet1!$H$28</f>
        <v>#N/A</v>
      </c>
      <c r="AG9" s="190"/>
      <c r="AH9" s="190">
        <f>COLUMNS($B$4:O$4)</f>
        <v>14</v>
      </c>
      <c r="AI9" s="190"/>
      <c r="AJ9" s="202"/>
      <c r="AK9" s="160"/>
      <c r="AL9" s="847" t="s">
        <v>676</v>
      </c>
      <c r="AM9" s="847" t="s">
        <v>677</v>
      </c>
      <c r="AN9" s="847" t="s">
        <v>678</v>
      </c>
      <c r="AO9" s="847" t="s">
        <v>679</v>
      </c>
      <c r="AP9" s="847" t="s">
        <v>680</v>
      </c>
      <c r="AR9" s="74"/>
      <c r="AS9" s="74"/>
      <c r="AT9" s="74"/>
      <c r="AU9" s="74"/>
      <c r="AV9" s="74"/>
      <c r="AW9" s="74"/>
      <c r="AX9" s="74"/>
      <c r="AY9" s="74"/>
    </row>
    <row r="10" spans="1:51" s="87" customFormat="1" ht="13.5" customHeight="1" x14ac:dyDescent="0.2">
      <c r="A10" s="488">
        <f>VLOOKUP(B10,Sheet1!$AQ$4:$AR$25,2,FALSE)</f>
        <v>0</v>
      </c>
      <c r="B10" s="93" t="str">
        <f>Sheet1!$K$4</f>
        <v>Bracknell Forest</v>
      </c>
      <c r="C10" s="85"/>
      <c r="D10" s="94">
        <f>IF(Year1_Bracknell_Forest Year1_ReReferrals="","",Year1_Bracknell_Forest Year1_ReReferrals)</f>
        <v>224.99999999999991</v>
      </c>
      <c r="E10" s="94">
        <f>IF(Year2_Bracknell_Forest Year2_ReReferrals="","",Year2_Bracknell_Forest Year2_ReReferrals)</f>
        <v>387</v>
      </c>
      <c r="F10" s="94">
        <f>IF(Year3_Bracknell_Forest Year3_ReReferrals="","",Year3_Bracknell_Forest Year3_ReReferrals)</f>
        <v>428</v>
      </c>
      <c r="G10" s="94">
        <f>IF(Year4_Bracknell_Forest Year4_ReReferrals="","",Year4_Bracknell_Forest Year4_ReReferrals)</f>
        <v>616</v>
      </c>
      <c r="H10" s="95">
        <f>IF(Year5_Bracknell_Forest Year5_ReReferrals="","",Year5_Bracknell_Forest Year5_ReReferrals)</f>
        <v>434</v>
      </c>
      <c r="I10" s="344">
        <f>AP10</f>
        <v>0.24243523586220844</v>
      </c>
      <c r="J10" s="96"/>
      <c r="K10" s="97">
        <f>IF(ISNUMBER(D10),D10/Population!D10*10000,NA())</f>
        <v>79.787234042553166</v>
      </c>
      <c r="L10" s="97">
        <f>IF(ISNUMBER(E10),E10/Population!E10*10000,NA())</f>
        <v>137.2340425531915</v>
      </c>
      <c r="M10" s="97">
        <f>IF(ISNUMBER(F10),F10/Population!F10*10000,NA())</f>
        <v>152.31316725978647</v>
      </c>
      <c r="N10" s="97">
        <f>IF(ISNUMBER(G10),G10/Population!G10*10000,NA())</f>
        <v>217.66784452296818</v>
      </c>
      <c r="O10" s="929">
        <f>IF(ISNUMBER(H10),H10/Population!H10*10000,NA())</f>
        <v>152.81690140845072</v>
      </c>
      <c r="P10" s="99">
        <f>IF(ISNUMBER(O10),O10,"")</f>
        <v>152.81690140845072</v>
      </c>
      <c r="Q10" s="933">
        <f>IF(ISNA(VLOOKUP(B10,$AG$10:$AI$28,3,FALSE)),"--",IF(ISNUMBER(H10),VLOOKUP(B10,$AG$10:$AI$28,3,FALSE),NA()))</f>
        <v>11</v>
      </c>
      <c r="R10" s="70"/>
      <c r="S10" s="340">
        <f>IDACI!C9</f>
        <v>8.9</v>
      </c>
      <c r="T10" s="341">
        <f t="shared" ref="T10:T33" si="0">((S10*$Z$44)+$AA$44)/$Y$2</f>
        <v>92.083186023516234</v>
      </c>
      <c r="U10" s="342">
        <f>O10-T10</f>
        <v>60.733715384934484</v>
      </c>
      <c r="V10" s="122"/>
      <c r="W10" s="139"/>
      <c r="X10" s="152"/>
      <c r="Y10" s="72" t="str">
        <f t="shared" ref="Y10:Y33" si="1">B10</f>
        <v>Bracknell Forest</v>
      </c>
      <c r="Z10" s="44">
        <f>IF(ISNUMBER($H10),IDACI!D9,0)</f>
        <v>24849</v>
      </c>
      <c r="AA10" s="44">
        <f>IF(ISNUMBER($H10),IDACI!E9,0)</f>
        <v>2211.5610000000001</v>
      </c>
      <c r="AB10" s="205">
        <f>IF(ISNUMBER(D10),Population!D10,"")</f>
        <v>28200</v>
      </c>
      <c r="AC10" s="205">
        <f>IF(ISNUMBER(E10),Population!E10,"")</f>
        <v>28200</v>
      </c>
      <c r="AD10" s="205">
        <f>IF(ISNUMBER(F10),Population!F10,"")</f>
        <v>28100</v>
      </c>
      <c r="AE10" s="205">
        <f>IF(ISNUMBER(G10),Population!G10,"")</f>
        <v>28300</v>
      </c>
      <c r="AF10" s="205">
        <f>IF(ISNUMBER(H10),Population!H10,"")</f>
        <v>28400</v>
      </c>
      <c r="AG10" s="93" t="str">
        <f>B10</f>
        <v>Bracknell Forest</v>
      </c>
      <c r="AH10" s="231">
        <f>IFERROR(VLOOKUP(AG10,$B$10:$O$31,$AH$9,FALSE),"")</f>
        <v>152.81690140845072</v>
      </c>
      <c r="AI10" s="206">
        <f>RANK(AH10,$AH$10:$AH$28,1)</f>
        <v>11</v>
      </c>
      <c r="AJ10" s="202"/>
      <c r="AK10" s="160"/>
      <c r="AL10" s="853">
        <f t="shared" ref="AL10:AL33" si="2">IF(ISERROR((E10-D10)/D10),"x",(E10-D10)/D10)</f>
        <v>0.72000000000000064</v>
      </c>
      <c r="AM10" s="853">
        <f t="shared" ref="AM10:AM33" si="3">IF(ISERROR((F10-E10)/E10),"x",(F10-E10)/E10)</f>
        <v>0.10594315245478036</v>
      </c>
      <c r="AN10" s="853">
        <f t="shared" ref="AN10:AN33" si="4">IF(ISERROR((G10-F10)/F10),"x",(G10-F10)/F10)</f>
        <v>0.43925233644859812</v>
      </c>
      <c r="AO10" s="853">
        <f t="shared" ref="AO10:AO33" si="5">IF(ISERROR((H10-G10)/G10),"x",(H10-G10)/G10)</f>
        <v>-0.29545454545454547</v>
      </c>
      <c r="AP10" s="853">
        <f>AVERAGE(AL10:AO10)</f>
        <v>0.24243523586220844</v>
      </c>
      <c r="AR10" s="74"/>
      <c r="AS10" s="74"/>
      <c r="AT10" s="74"/>
      <c r="AU10" s="74"/>
      <c r="AV10" s="74"/>
      <c r="AW10" s="74"/>
      <c r="AX10" s="74"/>
      <c r="AY10" s="74"/>
    </row>
    <row r="11" spans="1:51" s="87" customFormat="1" ht="13.5" customHeight="1" x14ac:dyDescent="0.2">
      <c r="A11" s="488">
        <f>VLOOKUP(B11,Sheet1!$AQ$4:$AR$25,2,FALSE)</f>
        <v>0</v>
      </c>
      <c r="B11" s="93" t="str">
        <f>Sheet1!$K$5</f>
        <v>Brighton &amp; Hove</v>
      </c>
      <c r="C11" s="85"/>
      <c r="D11" s="94">
        <f>IF(Year1_Brighton_Hove Year1_ReReferrals="","",Year1_Brighton_Hove Year1_ReReferrals)</f>
        <v>1101.0000000000007</v>
      </c>
      <c r="E11" s="94">
        <f>IF(Year2_Brighton_Hove Year2_ReReferrals="","",Year2_Brighton_Hove Year2_ReReferrals)</f>
        <v>841</v>
      </c>
      <c r="F11" s="94">
        <f>IF(Year3_Brighton_Hove Year3_ReReferrals="","",Year3_Brighton_Hove Year3_ReReferrals)</f>
        <v>947</v>
      </c>
      <c r="G11" s="94">
        <f>IF(Year4_Brighton_Hove Year4_ReReferrals="","",Year4_Brighton_Hove Year4_ReReferrals)</f>
        <v>795</v>
      </c>
      <c r="H11" s="95">
        <f>IF(Year5_Brighton_Hove Year5_ReReferrals="","",Year5_Brighton_Hove Year5_ReReferrals)</f>
        <v>1094</v>
      </c>
      <c r="I11" s="344">
        <f t="shared" ref="I11:I33" si="6">AP11</f>
        <v>2.6371309429321199E-2</v>
      </c>
      <c r="J11" s="96"/>
      <c r="K11" s="97">
        <f>IF(ISNUMBER(D11),D11/Population!D11*10000,NA())</f>
        <v>215.03906250000014</v>
      </c>
      <c r="L11" s="97">
        <f>IF(ISNUMBER(E11),E11/Population!E11*10000,NA())</f>
        <v>163.93762183235867</v>
      </c>
      <c r="M11" s="97">
        <f>IF(ISNUMBER(F11),F11/Population!F11*10000,NA())</f>
        <v>185.68627450980392</v>
      </c>
      <c r="N11" s="97">
        <f>IF(ISNUMBER(G11),G11/Population!G11*10000,NA())</f>
        <v>155.88235294117646</v>
      </c>
      <c r="O11" s="98">
        <f>IF(ISNUMBER(H11),H11/Population!H11*10000,NA())</f>
        <v>217.49502982107353</v>
      </c>
      <c r="P11" s="99">
        <f t="shared" ref="P11:P33" si="7">IF(ISNUMBER(O11),O11,"")</f>
        <v>217.49502982107353</v>
      </c>
      <c r="Q11" s="933">
        <f t="shared" ref="Q11:Q33" si="8">IF(ISNA(VLOOKUP(B11,$AG$10:$AI$28,3,FALSE)),"--",IF(ISNUMBER(H11),VLOOKUP(B11,$AG$10:$AI$28,3,FALSE),NA()))</f>
        <v>17</v>
      </c>
      <c r="R11" s="70"/>
      <c r="S11" s="340">
        <f>IDACI!C10</f>
        <v>15.299999999999999</v>
      </c>
      <c r="T11" s="341">
        <f t="shared" si="0"/>
        <v>115.73283439286547</v>
      </c>
      <c r="U11" s="342">
        <f t="shared" ref="U11:U33" si="9">O11-T11</f>
        <v>101.76219542820806</v>
      </c>
      <c r="V11" s="122"/>
      <c r="W11" s="139"/>
      <c r="X11" s="152"/>
      <c r="Y11" s="72" t="str">
        <f t="shared" si="1"/>
        <v>Brighton &amp; Hove</v>
      </c>
      <c r="Z11" s="44">
        <f>IF(ISNUMBER($H11),IDACI!D10,0)</f>
        <v>45576</v>
      </c>
      <c r="AA11" s="44">
        <f>IF(ISNUMBER($H11),IDACI!E10,0)</f>
        <v>6973.1279999999997</v>
      </c>
      <c r="AB11" s="205">
        <f>IF(ISNUMBER(D11),Population!D11,"")</f>
        <v>51200</v>
      </c>
      <c r="AC11" s="205">
        <f>IF(ISNUMBER(E11),Population!E11,"")</f>
        <v>51300</v>
      </c>
      <c r="AD11" s="205">
        <f>IF(ISNUMBER(F11),Population!F11,"")</f>
        <v>51000</v>
      </c>
      <c r="AE11" s="205">
        <f>IF(ISNUMBER(G11),Population!G11,"")</f>
        <v>51000</v>
      </c>
      <c r="AF11" s="205">
        <f>IF(ISNUMBER(H11),Population!H11,"")</f>
        <v>50300</v>
      </c>
      <c r="AG11" s="93" t="s">
        <v>31</v>
      </c>
      <c r="AH11" s="231">
        <f t="shared" ref="AH11:AH28" si="10">IFERROR(VLOOKUP(AG11,$B$10:$O$31,$AH$9,FALSE),"")</f>
        <v>217.49502982107353</v>
      </c>
      <c r="AI11" s="206">
        <f t="shared" ref="AI11:AI28" si="11">RANK(AH11,$AH$10:$AH$28,1)</f>
        <v>17</v>
      </c>
      <c r="AJ11" s="202"/>
      <c r="AK11" s="160"/>
      <c r="AL11" s="853">
        <f t="shared" si="2"/>
        <v>-0.236148955495005</v>
      </c>
      <c r="AM11" s="853">
        <f t="shared" si="3"/>
        <v>0.12604042806183116</v>
      </c>
      <c r="AN11" s="853">
        <f t="shared" si="4"/>
        <v>-0.16050686378035903</v>
      </c>
      <c r="AO11" s="853">
        <f t="shared" si="5"/>
        <v>0.37610062893081764</v>
      </c>
      <c r="AP11" s="853">
        <f t="shared" ref="AP11:AP32" si="12">AVERAGE(AL11:AO11)</f>
        <v>2.6371309429321199E-2</v>
      </c>
      <c r="AR11" s="74"/>
      <c r="AS11" s="74"/>
      <c r="AT11" s="74"/>
      <c r="AU11" s="74"/>
      <c r="AV11" s="74"/>
      <c r="AW11" s="74"/>
      <c r="AX11" s="74"/>
      <c r="AY11" s="74"/>
    </row>
    <row r="12" spans="1:51" s="87" customFormat="1" ht="13.5" customHeight="1" x14ac:dyDescent="0.2">
      <c r="A12" s="488">
        <f>VLOOKUP(B12,Sheet1!$AQ$4:$AR$25,2,FALSE)</f>
        <v>0</v>
      </c>
      <c r="B12" s="93" t="str">
        <f>Sheet1!$K$6</f>
        <v>Buckinghamshire</v>
      </c>
      <c r="C12" s="85"/>
      <c r="D12" s="94">
        <f>IF(Year1_Buckinghamshire Year1_ReReferrals="","",Year1_Buckinghamshire Year1_ReReferrals)</f>
        <v>1840.9999999999973</v>
      </c>
      <c r="E12" s="94">
        <f>IF(Year2_Buckinghamshire Year2_ReReferrals="","",Year2_Buckinghamshire Year2_ReReferrals)</f>
        <v>3029</v>
      </c>
      <c r="F12" s="94">
        <f>IF(Year3_Buckinghamshire Year3_ReReferrals="","",Year3_Buckinghamshire Year3_ReReferrals)</f>
        <v>3217</v>
      </c>
      <c r="G12" s="94">
        <f>IF(Year4_Buckinghamshire Year4_ReReferrals="","",Year4_Buckinghamshire Year4_ReReferrals)</f>
        <v>2424</v>
      </c>
      <c r="H12" s="95">
        <f>IF(Year5_Buckinghamshire Year5_ReReferrals="","",Year5_Buckinghamshire Year5_ReReferrals)</f>
        <v>2180</v>
      </c>
      <c r="I12" s="344">
        <f t="shared" si="6"/>
        <v>9.0051284050478977E-2</v>
      </c>
      <c r="J12" s="96"/>
      <c r="K12" s="97">
        <f>IF(ISNUMBER(D12),D12/Population!D12*10000,NA())</f>
        <v>152.65339966832482</v>
      </c>
      <c r="L12" s="97">
        <f>IF(ISNUMBER(E12),E12/Population!E12*10000,NA())</f>
        <v>247.87234042553192</v>
      </c>
      <c r="M12" s="97">
        <f>IF(ISNUMBER(F12),F12/Population!F12*10000,NA())</f>
        <v>261.33225020308691</v>
      </c>
      <c r="N12" s="97">
        <f>IF(ISNUMBER(G12),G12/Population!G12*10000,NA())</f>
        <v>195.01206757843926</v>
      </c>
      <c r="O12" s="98">
        <f>IF(ISNUMBER(H12),H12/Population!H12*10000,NA())</f>
        <v>173.42879872712805</v>
      </c>
      <c r="P12" s="99">
        <f t="shared" si="7"/>
        <v>173.42879872712805</v>
      </c>
      <c r="Q12" s="933">
        <f t="shared" si="8"/>
        <v>12</v>
      </c>
      <c r="R12" s="70"/>
      <c r="S12" s="340">
        <f>IDACI!C11</f>
        <v>8.5</v>
      </c>
      <c r="T12" s="341">
        <f t="shared" si="0"/>
        <v>90.605083000431904</v>
      </c>
      <c r="U12" s="342">
        <f t="shared" si="9"/>
        <v>82.82371572669615</v>
      </c>
      <c r="V12" s="122"/>
      <c r="W12" s="139"/>
      <c r="X12" s="152"/>
      <c r="Y12" s="72" t="str">
        <f t="shared" si="1"/>
        <v>Buckinghamshire</v>
      </c>
      <c r="Z12" s="44">
        <f>IF(ISNUMBER($H12),IDACI!D11,0)</f>
        <v>107385</v>
      </c>
      <c r="AA12" s="44">
        <f>IF(ISNUMBER($H12),IDACI!E11,0)</f>
        <v>9127.7250000000004</v>
      </c>
      <c r="AB12" s="205">
        <f>IF(ISNUMBER(D12),Population!D12,"")</f>
        <v>120600</v>
      </c>
      <c r="AC12" s="205">
        <f>IF(ISNUMBER(E12),Population!E12,"")</f>
        <v>122200</v>
      </c>
      <c r="AD12" s="205">
        <f>IF(ISNUMBER(F12),Population!F12,"")</f>
        <v>123100</v>
      </c>
      <c r="AE12" s="205">
        <f>IF(ISNUMBER(G12),Population!G12,"")</f>
        <v>124300</v>
      </c>
      <c r="AF12" s="205">
        <f>IF(ISNUMBER(H12),Population!H12,"")</f>
        <v>125700</v>
      </c>
      <c r="AG12" s="93" t="s">
        <v>8</v>
      </c>
      <c r="AH12" s="231">
        <f t="shared" si="10"/>
        <v>173.42879872712805</v>
      </c>
      <c r="AI12" s="206">
        <f t="shared" si="11"/>
        <v>12</v>
      </c>
      <c r="AJ12" s="202"/>
      <c r="AK12" s="160"/>
      <c r="AL12" s="853">
        <f t="shared" si="2"/>
        <v>0.6453014665942447</v>
      </c>
      <c r="AM12" s="853">
        <f t="shared" si="3"/>
        <v>6.2066688676130737E-2</v>
      </c>
      <c r="AN12" s="853">
        <f t="shared" si="4"/>
        <v>-0.24650295306185888</v>
      </c>
      <c r="AO12" s="853">
        <f t="shared" si="5"/>
        <v>-0.10066006600660066</v>
      </c>
      <c r="AP12" s="853">
        <f t="shared" si="12"/>
        <v>9.0051284050478977E-2</v>
      </c>
      <c r="AR12" s="74"/>
      <c r="AS12" s="74"/>
      <c r="AT12" s="74"/>
      <c r="AU12" s="74"/>
      <c r="AV12" s="74"/>
      <c r="AW12" s="74"/>
      <c r="AX12" s="74"/>
      <c r="AY12" s="74"/>
    </row>
    <row r="13" spans="1:51" s="87" customFormat="1" ht="13.5" customHeight="1" x14ac:dyDescent="0.2">
      <c r="A13" s="488">
        <f>VLOOKUP(B13,Sheet1!$AQ$4:$AR$25,2,FALSE)</f>
        <v>0</v>
      </c>
      <c r="B13" s="93" t="str">
        <f>Sheet1!$K$7</f>
        <v>East Sussex</v>
      </c>
      <c r="C13" s="85"/>
      <c r="D13" s="94">
        <f>IF(Year1_East_Sussex Year1_ReReferrals="","",Year1_East_Sussex Year1_ReReferrals)</f>
        <v>465.00000000000011</v>
      </c>
      <c r="E13" s="100">
        <f>IF(Year2_East_Sussex Year2_ReReferrals="","",Year2_East_Sussex Year2_ReReferrals)</f>
        <v>547</v>
      </c>
      <c r="F13" s="94">
        <f>IF(Year3_East_Sussex Year3_ReReferrals="","",Year3_East_Sussex Year3_ReReferrals)</f>
        <v>772</v>
      </c>
      <c r="G13" s="94">
        <f>IF(Year4_East_Sussex Year4_ReReferrals="","",Year4_East_Sussex Year4_ReReferrals)</f>
        <v>815</v>
      </c>
      <c r="H13" s="95">
        <f>IF(Year5_East_Sussex Year5_ReReferrals="","",Year5_East_Sussex Year5_ReReferrals)</f>
        <v>761</v>
      </c>
      <c r="I13" s="344">
        <f t="shared" si="6"/>
        <v>0.14428011281937753</v>
      </c>
      <c r="J13" s="96"/>
      <c r="K13" s="97">
        <f>IF(ISNUMBER(D13),D13/Population!D13*10000,NA())</f>
        <v>43.909348441926362</v>
      </c>
      <c r="L13" s="97">
        <f>IF(ISNUMBER(E13),E13/Population!E13*10000,NA())</f>
        <v>51.652502360717662</v>
      </c>
      <c r="M13" s="97">
        <f>IF(ISNUMBER(F13),F13/Population!F13*10000,NA())</f>
        <v>72.830188679245282</v>
      </c>
      <c r="N13" s="97">
        <f>IF(ISNUMBER(G13),G13/Population!G13*10000,NA())</f>
        <v>76.597744360902254</v>
      </c>
      <c r="O13" s="98">
        <f>IF(ISNUMBER(H13),H13/Population!H13*10000,NA())</f>
        <v>71.589840075258692</v>
      </c>
      <c r="P13" s="99">
        <f t="shared" si="7"/>
        <v>71.589840075258692</v>
      </c>
      <c r="Q13" s="933">
        <f t="shared" si="8"/>
        <v>3</v>
      </c>
      <c r="R13" s="70"/>
      <c r="S13" s="340">
        <f>IDACI!C12</f>
        <v>16.100000000000001</v>
      </c>
      <c r="T13" s="341">
        <f t="shared" si="0"/>
        <v>118.68904043903413</v>
      </c>
      <c r="U13" s="342">
        <f t="shared" si="9"/>
        <v>-47.099200363775438</v>
      </c>
      <c r="V13" s="122"/>
      <c r="W13" s="139"/>
      <c r="X13" s="152"/>
      <c r="Y13" s="72" t="str">
        <f t="shared" si="1"/>
        <v>East Sussex</v>
      </c>
      <c r="Z13" s="44">
        <f>IF(ISNUMBER($H13),IDACI!D12,0)</f>
        <v>93130</v>
      </c>
      <c r="AA13" s="44">
        <f>IF(ISNUMBER($H13),IDACI!E12,0)</f>
        <v>14993.93</v>
      </c>
      <c r="AB13" s="205">
        <f>IF(ISNUMBER(D13),Population!D13,"")</f>
        <v>105900</v>
      </c>
      <c r="AC13" s="205">
        <f>IF(ISNUMBER(E13),Population!E13,"")</f>
        <v>105900</v>
      </c>
      <c r="AD13" s="205">
        <f>IF(ISNUMBER(F13),Population!F13,"")</f>
        <v>106000</v>
      </c>
      <c r="AE13" s="205">
        <f>IF(ISNUMBER(G13),Population!G13,"")</f>
        <v>106400</v>
      </c>
      <c r="AF13" s="205">
        <f>IF(ISNUMBER(H13),Population!H13,"")</f>
        <v>106300</v>
      </c>
      <c r="AG13" s="93" t="s">
        <v>4</v>
      </c>
      <c r="AH13" s="231">
        <f t="shared" si="10"/>
        <v>71.589840075258692</v>
      </c>
      <c r="AI13" s="206">
        <f t="shared" si="11"/>
        <v>3</v>
      </c>
      <c r="AJ13" s="202"/>
      <c r="AK13" s="160"/>
      <c r="AL13" s="853">
        <f t="shared" si="2"/>
        <v>0.17634408602150509</v>
      </c>
      <c r="AM13" s="853">
        <f t="shared" si="3"/>
        <v>0.41133455210237663</v>
      </c>
      <c r="AN13" s="853">
        <f t="shared" si="4"/>
        <v>5.5699481865284971E-2</v>
      </c>
      <c r="AO13" s="853">
        <f t="shared" si="5"/>
        <v>-6.6257668711656448E-2</v>
      </c>
      <c r="AP13" s="853">
        <f t="shared" si="12"/>
        <v>0.14428011281937753</v>
      </c>
      <c r="AR13" s="74"/>
      <c r="AS13" s="74"/>
      <c r="AT13" s="74"/>
      <c r="AU13" s="74"/>
      <c r="AV13" s="74"/>
      <c r="AW13" s="74"/>
      <c r="AX13" s="74"/>
      <c r="AY13" s="74"/>
    </row>
    <row r="14" spans="1:51" s="87" customFormat="1" ht="13.5" customHeight="1" x14ac:dyDescent="0.2">
      <c r="A14" s="488">
        <f>VLOOKUP(B14,Sheet1!$AQ$4:$AR$25,2,FALSE)</f>
        <v>0</v>
      </c>
      <c r="B14" s="93" t="str">
        <f>Sheet1!$K$8</f>
        <v>Hampshire</v>
      </c>
      <c r="C14" s="85"/>
      <c r="D14" s="94">
        <f>IF(Year1_Hampshire Year1_ReReferrals="","",Year1_Hampshire Year1_ReReferrals)</f>
        <v>4695</v>
      </c>
      <c r="E14" s="94">
        <f>IF(Year2_Hampshire Year2_ReReferrals="","",Year2_Hampshire Year2_ReReferrals)</f>
        <v>5966</v>
      </c>
      <c r="F14" s="101">
        <f>IF(Year3_Hampshire Year3_ReReferrals="","",Year3_Hampshire Year3_ReReferrals)</f>
        <v>4772</v>
      </c>
      <c r="G14" s="101">
        <f>IF(Year4_Hampshire Year4_ReReferrals="","",Year4_Hampshire Year4_ReReferrals)</f>
        <v>5359</v>
      </c>
      <c r="H14" s="95">
        <f>IF(Year5_Hampshire Year5_ReReferrals="","",Year5_Hampshire Year5_ReReferrals)</f>
        <v>6536</v>
      </c>
      <c r="I14" s="344">
        <f t="shared" si="6"/>
        <v>0.10330479509202295</v>
      </c>
      <c r="J14" s="96"/>
      <c r="K14" s="97">
        <f>IF(ISNUMBER(D14),D14/Population!D14*10000,NA())</f>
        <v>166.54842142603761</v>
      </c>
      <c r="L14" s="97">
        <f>IF(ISNUMBER(E14),E14/Population!E14*10000,NA())</f>
        <v>210.96181046676097</v>
      </c>
      <c r="M14" s="97">
        <f>IF(ISNUMBER(F14),F14/Population!F14*10000,NA())</f>
        <v>168.44334627603246</v>
      </c>
      <c r="N14" s="97">
        <f>IF(ISNUMBER(G14),G14/Population!G14*10000,NA())</f>
        <v>188.69718309859155</v>
      </c>
      <c r="O14" s="98">
        <f>IF(ISNUMBER(H14),H14/Population!H14*10000,NA())</f>
        <v>229.89799507562435</v>
      </c>
      <c r="P14" s="99">
        <f t="shared" si="7"/>
        <v>229.89799507562435</v>
      </c>
      <c r="Q14" s="933">
        <f t="shared" si="8"/>
        <v>18</v>
      </c>
      <c r="R14" s="70"/>
      <c r="S14" s="340">
        <f>IDACI!C13</f>
        <v>10.100000000000001</v>
      </c>
      <c r="T14" s="341">
        <f t="shared" si="0"/>
        <v>96.517495092769224</v>
      </c>
      <c r="U14" s="342">
        <f t="shared" si="9"/>
        <v>133.38049998285513</v>
      </c>
      <c r="V14" s="122"/>
      <c r="W14" s="139"/>
      <c r="X14" s="152"/>
      <c r="Y14" s="72" t="str">
        <f t="shared" si="1"/>
        <v>Hampshire</v>
      </c>
      <c r="Z14" s="44">
        <f>IF(ISNUMBER($H14),IDACI!D13,0)</f>
        <v>249483</v>
      </c>
      <c r="AA14" s="44">
        <f>IF(ISNUMBER($H14),IDACI!E13,0)</f>
        <v>25197.783000000007</v>
      </c>
      <c r="AB14" s="205">
        <f>IF(ISNUMBER(D14),Population!D14,"")</f>
        <v>281900</v>
      </c>
      <c r="AC14" s="205">
        <f>IF(ISNUMBER(E14),Population!E14,"")</f>
        <v>282800</v>
      </c>
      <c r="AD14" s="205">
        <f>IF(ISNUMBER(F14),Population!F14,"")</f>
        <v>283300</v>
      </c>
      <c r="AE14" s="205">
        <f>IF(ISNUMBER(G14),Population!G14,"")</f>
        <v>284000</v>
      </c>
      <c r="AF14" s="205">
        <f>IF(ISNUMBER(H14),Population!H14,"")</f>
        <v>284300</v>
      </c>
      <c r="AG14" s="93" t="s">
        <v>6</v>
      </c>
      <c r="AH14" s="231">
        <f t="shared" si="10"/>
        <v>229.89799507562435</v>
      </c>
      <c r="AI14" s="206">
        <f t="shared" si="11"/>
        <v>18</v>
      </c>
      <c r="AJ14" s="202"/>
      <c r="AK14" s="160"/>
      <c r="AL14" s="853">
        <f t="shared" si="2"/>
        <v>0.27071352502662405</v>
      </c>
      <c r="AM14" s="853">
        <f t="shared" si="3"/>
        <v>-0.20013409319477035</v>
      </c>
      <c r="AN14" s="853">
        <f t="shared" si="4"/>
        <v>0.1230092204526404</v>
      </c>
      <c r="AO14" s="853">
        <f t="shared" si="5"/>
        <v>0.21963052808359768</v>
      </c>
      <c r="AP14" s="853">
        <f t="shared" si="12"/>
        <v>0.10330479509202295</v>
      </c>
      <c r="AR14" s="74"/>
      <c r="AS14" s="74"/>
      <c r="AT14" s="74"/>
      <c r="AU14" s="74"/>
      <c r="AV14" s="74"/>
      <c r="AW14" s="74"/>
      <c r="AX14" s="74"/>
      <c r="AY14" s="74"/>
    </row>
    <row r="15" spans="1:51" s="87" customFormat="1" ht="13.5" customHeight="1" x14ac:dyDescent="0.2">
      <c r="A15" s="488">
        <f>VLOOKUP(B15,Sheet1!$AQ$4:$AR$25,2,FALSE)</f>
        <v>0</v>
      </c>
      <c r="B15" s="93" t="str">
        <f>Sheet1!$K$9</f>
        <v>Isle of Wight</v>
      </c>
      <c r="C15" s="85"/>
      <c r="D15" s="94">
        <f>IF(Year1_Isle_of_Wight Year1_ReReferrals="","",Year1_Isle_of_Wight Year1_ReReferrals)</f>
        <v>786</v>
      </c>
      <c r="E15" s="94">
        <f>IF(Year2_Isle_of_Wight Year2_ReReferrals="","",Year2_Isle_of_Wight Year2_ReReferrals)</f>
        <v>792</v>
      </c>
      <c r="F15" s="94">
        <f>IF(Year3_Isle_of_Wight Year3_ReReferrals="","",Year3_Isle_of_Wight Year3_ReReferrals)</f>
        <v>679</v>
      </c>
      <c r="G15" s="94">
        <f>IF(Year4_Isle_of_Wight Year4_ReReferrals="","",Year4_Isle_of_Wight Year4_ReReferrals)</f>
        <v>827</v>
      </c>
      <c r="H15" s="95">
        <f>IF(Year5_Isle_of_Wight Year5_ReReferrals="","",Year5_Isle_of_Wight Year5_ReReferrals)</f>
        <v>946</v>
      </c>
      <c r="I15" s="344">
        <f t="shared" si="6"/>
        <v>5.6704502703555849E-2</v>
      </c>
      <c r="J15" s="96"/>
      <c r="K15" s="97">
        <f>IF(ISNUMBER(D15),D15/Population!D15*10000,NA())</f>
        <v>310.67193675889325</v>
      </c>
      <c r="L15" s="97">
        <f>IF(ISNUMBER(E15),E15/Population!E15*10000,NA())</f>
        <v>314.28571428571433</v>
      </c>
      <c r="M15" s="97">
        <f>IF(ISNUMBER(F15),F15/Population!F15*10000,NA())</f>
        <v>270.51792828685257</v>
      </c>
      <c r="N15" s="97">
        <f>IF(ISNUMBER(G15),G15/Population!G15*10000,NA())</f>
        <v>332.1285140562249</v>
      </c>
      <c r="O15" s="98">
        <f>IF(ISNUMBER(H15),H15/Population!H15*10000,NA())</f>
        <v>382.99595141700405</v>
      </c>
      <c r="P15" s="99">
        <f t="shared" si="7"/>
        <v>382.99595141700405</v>
      </c>
      <c r="Q15" s="933">
        <f t="shared" si="8"/>
        <v>19</v>
      </c>
      <c r="R15" s="70"/>
      <c r="S15" s="340">
        <f>IDACI!C14</f>
        <v>18</v>
      </c>
      <c r="T15" s="341">
        <f t="shared" si="0"/>
        <v>125.71002979868469</v>
      </c>
      <c r="U15" s="342">
        <f t="shared" si="9"/>
        <v>257.28592161831938</v>
      </c>
      <c r="V15" s="122"/>
      <c r="W15" s="139"/>
      <c r="X15" s="152"/>
      <c r="Y15" s="72" t="str">
        <f t="shared" si="1"/>
        <v>Isle of Wight</v>
      </c>
      <c r="Z15" s="44">
        <f>IF(ISNUMBER($H15),IDACI!D14,0)</f>
        <v>22123</v>
      </c>
      <c r="AA15" s="44">
        <f>IF(ISNUMBER($H15),IDACI!E14,0)</f>
        <v>3982.14</v>
      </c>
      <c r="AB15" s="205">
        <f>IF(ISNUMBER(D15),Population!D15,"")</f>
        <v>25300</v>
      </c>
      <c r="AC15" s="205">
        <f>IF(ISNUMBER(E15),Population!E15,"")</f>
        <v>25200</v>
      </c>
      <c r="AD15" s="205">
        <f>IF(ISNUMBER(F15),Population!F15,"")</f>
        <v>25100</v>
      </c>
      <c r="AE15" s="205">
        <f>IF(ISNUMBER(G15),Population!G15,"")</f>
        <v>24900</v>
      </c>
      <c r="AF15" s="205">
        <f>IF(ISNUMBER(H15),Population!H15,"")</f>
        <v>24700</v>
      </c>
      <c r="AG15" s="93" t="s">
        <v>1</v>
      </c>
      <c r="AH15" s="231">
        <f t="shared" si="10"/>
        <v>382.99595141700405</v>
      </c>
      <c r="AI15" s="206">
        <f t="shared" si="11"/>
        <v>19</v>
      </c>
      <c r="AJ15" s="202"/>
      <c r="AK15" s="160"/>
      <c r="AL15" s="853">
        <f t="shared" si="2"/>
        <v>7.6335877862595417E-3</v>
      </c>
      <c r="AM15" s="853">
        <f t="shared" si="3"/>
        <v>-0.14267676767676768</v>
      </c>
      <c r="AN15" s="853">
        <f t="shared" si="4"/>
        <v>0.21796759941089838</v>
      </c>
      <c r="AO15" s="853">
        <f t="shared" si="5"/>
        <v>0.14389359129383314</v>
      </c>
      <c r="AP15" s="853">
        <f t="shared" si="12"/>
        <v>5.6704502703555849E-2</v>
      </c>
      <c r="AR15" s="74"/>
      <c r="AS15" s="74"/>
      <c r="AT15" s="74"/>
      <c r="AU15" s="74"/>
      <c r="AV15" s="74"/>
      <c r="AW15" s="74"/>
      <c r="AX15" s="74"/>
      <c r="AY15" s="74"/>
    </row>
    <row r="16" spans="1:51" s="87" customFormat="1" ht="13.5" customHeight="1" x14ac:dyDescent="0.2">
      <c r="A16" s="488">
        <f>VLOOKUP(B16,Sheet1!$AQ$4:$AR$25,2,FALSE)</f>
        <v>0</v>
      </c>
      <c r="B16" s="93" t="str">
        <f>Sheet1!$K$10</f>
        <v>Kent</v>
      </c>
      <c r="C16" s="85"/>
      <c r="D16" s="94">
        <f>IF(Year1_Kent Year1_ReReferrals="","",Year1_Kent Year1_ReReferrals)</f>
        <v>3197.0000000000027</v>
      </c>
      <c r="E16" s="94">
        <f>IF(Year2_Kent Year2_ReReferrals="","",Year2_Kent Year2_ReReferrals)</f>
        <v>3636</v>
      </c>
      <c r="F16" s="94">
        <f>IF(Year3_Kent Year3_ReReferrals="","",Year3_Kent Year3_ReReferrals)</f>
        <v>4472</v>
      </c>
      <c r="G16" s="94">
        <f>IF(Year4_Kent Year4_ReReferrals="","",Year4_Kent Year4_ReReferrals)</f>
        <v>4772</v>
      </c>
      <c r="H16" s="95">
        <f>IF(Year5_Kent Year5_ReReferrals="","",Year5_Kent Year5_ReReferrals)</f>
        <v>6362</v>
      </c>
      <c r="I16" s="344">
        <f t="shared" si="6"/>
        <v>0.19187923362150233</v>
      </c>
      <c r="J16" s="96"/>
      <c r="K16" s="97">
        <f>IF(ISNUMBER(D16),D16/Population!D16*10000,NA())</f>
        <v>96.761501210653833</v>
      </c>
      <c r="L16" s="97">
        <f>IF(ISNUMBER(E16),E16/Population!E16*10000,NA())</f>
        <v>109.18918918918918</v>
      </c>
      <c r="M16" s="97">
        <f>IF(ISNUMBER(F16),F16/Population!F16*10000,NA())</f>
        <v>133.05563820291582</v>
      </c>
      <c r="N16" s="97">
        <f>IF(ISNUMBER(G16),G16/Population!G16*10000,NA())</f>
        <v>140.31167303734196</v>
      </c>
      <c r="O16" s="98">
        <f>IF(ISNUMBER(H16),H16/Population!H16*10000,NA())</f>
        <v>185.04944735311227</v>
      </c>
      <c r="P16" s="99">
        <f t="shared" si="7"/>
        <v>185.04944735311227</v>
      </c>
      <c r="Q16" s="933">
        <f t="shared" si="8"/>
        <v>14</v>
      </c>
      <c r="R16" s="70"/>
      <c r="S16" s="340">
        <f>IDACI!C15</f>
        <v>15.8</v>
      </c>
      <c r="T16" s="341">
        <f t="shared" si="0"/>
        <v>117.58046317172089</v>
      </c>
      <c r="U16" s="342">
        <f t="shared" si="9"/>
        <v>67.468984181391377</v>
      </c>
      <c r="V16" s="122"/>
      <c r="W16" s="139"/>
      <c r="X16" s="152"/>
      <c r="Y16" s="72" t="str">
        <f t="shared" si="1"/>
        <v>Kent</v>
      </c>
      <c r="Z16" s="44">
        <f>IF(ISNUMBER($H16),IDACI!D15,0)</f>
        <v>291866</v>
      </c>
      <c r="AA16" s="44">
        <f>IF(ISNUMBER($H16),IDACI!E15,0)</f>
        <v>46114.828000000001</v>
      </c>
      <c r="AB16" s="205">
        <f>IF(ISNUMBER(D16),Population!D16,"")</f>
        <v>330400</v>
      </c>
      <c r="AC16" s="205">
        <f>IF(ISNUMBER(E16),Population!E16,"")</f>
        <v>333000</v>
      </c>
      <c r="AD16" s="205">
        <f>IF(ISNUMBER(F16),Population!F16,"")</f>
        <v>336100</v>
      </c>
      <c r="AE16" s="205">
        <f>IF(ISNUMBER(G16),Population!G16,"")</f>
        <v>340100</v>
      </c>
      <c r="AF16" s="205">
        <f>IF(ISNUMBER(H16),Population!H16,"")</f>
        <v>343800</v>
      </c>
      <c r="AG16" s="93" t="s">
        <v>9</v>
      </c>
      <c r="AH16" s="231">
        <f t="shared" si="10"/>
        <v>185.04944735311227</v>
      </c>
      <c r="AI16" s="206">
        <f t="shared" si="11"/>
        <v>14</v>
      </c>
      <c r="AJ16" s="202"/>
      <c r="AK16" s="160"/>
      <c r="AL16" s="853">
        <f t="shared" si="2"/>
        <v>0.13731623396934528</v>
      </c>
      <c r="AM16" s="853">
        <f t="shared" si="3"/>
        <v>0.22992299229922991</v>
      </c>
      <c r="AN16" s="853">
        <f t="shared" si="4"/>
        <v>6.7084078711985684E-2</v>
      </c>
      <c r="AO16" s="853">
        <f t="shared" si="5"/>
        <v>0.33319362950544845</v>
      </c>
      <c r="AP16" s="853">
        <f t="shared" si="12"/>
        <v>0.19187923362150233</v>
      </c>
      <c r="AR16" s="74"/>
      <c r="AS16" s="74"/>
      <c r="AT16" s="74"/>
      <c r="AU16" s="74"/>
      <c r="AV16" s="74"/>
      <c r="AW16" s="74"/>
      <c r="AX16" s="74"/>
      <c r="AY16" s="74"/>
    </row>
    <row r="17" spans="1:51" s="87" customFormat="1" ht="13.5" customHeight="1" x14ac:dyDescent="0.2">
      <c r="A17" s="488">
        <f>VLOOKUP(B17,Sheet1!$AQ$4:$AR$25,2,FALSE)</f>
        <v>0</v>
      </c>
      <c r="B17" s="93" t="str">
        <f>Sheet1!$K$11</f>
        <v>Medway</v>
      </c>
      <c r="C17" s="85"/>
      <c r="D17" s="94">
        <f>IF(Year1_Medway Year1_ReReferrals="","",Year1_Medway Year1_ReReferrals)</f>
        <v>556</v>
      </c>
      <c r="E17" s="94">
        <f>IF(Year2_Medway Year2_ReReferrals="","",Year2_Medway Year2_ReReferrals)</f>
        <v>481</v>
      </c>
      <c r="F17" s="94">
        <f>IF(Year3_Medway Year3_ReReferrals="","",Year3_Medway Year3_ReReferrals)</f>
        <v>444</v>
      </c>
      <c r="G17" s="94">
        <f>IF(Year4_Medway Year4_ReReferrals="","",Year4_Medway Year4_ReReferrals)</f>
        <v>576</v>
      </c>
      <c r="H17" s="95">
        <f>IF(Year5_Medway Year5_ReReferrals="","",Year5_Medway Year5_ReReferrals)</f>
        <v>1220</v>
      </c>
      <c r="I17" s="344">
        <f t="shared" si="6"/>
        <v>0.30088442239971019</v>
      </c>
      <c r="J17" s="96"/>
      <c r="K17" s="97">
        <f>IF(ISNUMBER(D17),D17/Population!D17*10000,NA())</f>
        <v>87.974683544303801</v>
      </c>
      <c r="L17" s="97">
        <f>IF(ISNUMBER(E17),E17/Population!E17*10000,NA())</f>
        <v>75.510204081632651</v>
      </c>
      <c r="M17" s="97">
        <f>IF(ISNUMBER(F17),F17/Population!F17*10000,NA())</f>
        <v>69.483568075117375</v>
      </c>
      <c r="N17" s="97">
        <f>IF(ISNUMBER(G17),G17/Population!G17*10000,NA())</f>
        <v>89.440993788819867</v>
      </c>
      <c r="O17" s="98">
        <f>IF(ISNUMBER(H17),H17/Population!H17*10000,NA())</f>
        <v>187.69230769230771</v>
      </c>
      <c r="P17" s="99">
        <f t="shared" si="7"/>
        <v>187.69230769230771</v>
      </c>
      <c r="Q17" s="933">
        <f t="shared" si="8"/>
        <v>15</v>
      </c>
      <c r="R17" s="70"/>
      <c r="S17" s="340">
        <f>IDACI!C16</f>
        <v>18.899999999999999</v>
      </c>
      <c r="T17" s="341">
        <f t="shared" si="0"/>
        <v>129.03576160062443</v>
      </c>
      <c r="U17" s="342">
        <f t="shared" si="9"/>
        <v>58.656546091683282</v>
      </c>
      <c r="V17" s="122"/>
      <c r="W17" s="139"/>
      <c r="X17" s="152"/>
      <c r="Y17" s="72" t="str">
        <f t="shared" si="1"/>
        <v>Medway</v>
      </c>
      <c r="Z17" s="44">
        <f>IF(ISNUMBER($H17),IDACI!D16,0)</f>
        <v>55993</v>
      </c>
      <c r="AA17" s="44">
        <f>IF(ISNUMBER($H17),IDACI!E16,0)</f>
        <v>10582.676999999998</v>
      </c>
      <c r="AB17" s="205">
        <f>IF(ISNUMBER(D17),Population!D17,"")</f>
        <v>63200</v>
      </c>
      <c r="AC17" s="205">
        <f>IF(ISNUMBER(E17),Population!E17,"")</f>
        <v>63700</v>
      </c>
      <c r="AD17" s="205">
        <f>IF(ISNUMBER(F17),Population!F17,"")</f>
        <v>63900</v>
      </c>
      <c r="AE17" s="205">
        <f>IF(ISNUMBER(G17),Population!G17,"")</f>
        <v>64400</v>
      </c>
      <c r="AF17" s="205">
        <f>IF(ISNUMBER(H17),Population!H17,"")</f>
        <v>65000</v>
      </c>
      <c r="AG17" s="93" t="s">
        <v>2</v>
      </c>
      <c r="AH17" s="231">
        <f t="shared" si="10"/>
        <v>187.69230769230771</v>
      </c>
      <c r="AI17" s="206">
        <f t="shared" si="11"/>
        <v>15</v>
      </c>
      <c r="AJ17" s="202"/>
      <c r="AK17" s="160"/>
      <c r="AL17" s="853">
        <f t="shared" si="2"/>
        <v>-0.13489208633093525</v>
      </c>
      <c r="AM17" s="853">
        <f t="shared" si="3"/>
        <v>-7.6923076923076927E-2</v>
      </c>
      <c r="AN17" s="853">
        <f t="shared" si="4"/>
        <v>0.29729729729729731</v>
      </c>
      <c r="AO17" s="853">
        <f t="shared" si="5"/>
        <v>1.1180555555555556</v>
      </c>
      <c r="AP17" s="853">
        <f t="shared" si="12"/>
        <v>0.30088442239971019</v>
      </c>
      <c r="AR17" s="74"/>
      <c r="AS17" s="74"/>
      <c r="AT17" s="74"/>
      <c r="AU17" s="74"/>
      <c r="AV17" s="74"/>
      <c r="AW17" s="74"/>
      <c r="AX17" s="74"/>
      <c r="AY17" s="74"/>
    </row>
    <row r="18" spans="1:51" s="87" customFormat="1" ht="13.5" customHeight="1" x14ac:dyDescent="0.2">
      <c r="A18" s="488">
        <f>VLOOKUP(B18,Sheet1!$AQ$4:$AR$25,2,FALSE)</f>
        <v>0</v>
      </c>
      <c r="B18" s="93" t="str">
        <f>Sheet1!$K$12</f>
        <v>Milton Keynes</v>
      </c>
      <c r="C18" s="85"/>
      <c r="D18" s="94">
        <f>IF(Year1_Milton_Keynes Year1_ReReferrals="","",Year1_Milton_Keynes Year1_ReReferrals)</f>
        <v>580</v>
      </c>
      <c r="E18" s="94">
        <f>IF(Year2_Milton_Keynes Year2_ReReferrals="","",Year2_Milton_Keynes Year2_ReReferrals)</f>
        <v>588</v>
      </c>
      <c r="F18" s="94">
        <f>IF(Year3_Milton_Keynes Year3_ReReferrals="","",Year3_Milton_Keynes Year3_ReReferrals)</f>
        <v>485</v>
      </c>
      <c r="G18" s="94">
        <f>IF(Year4_Milton_Keynes Year4_ReReferrals="","",Year4_Milton_Keynes Year4_ReReferrals)</f>
        <v>539</v>
      </c>
      <c r="H18" s="95">
        <f>IF(Year5_Milton_Keynes Year5_ReReferrals="","",Year5_Milton_Keynes Year5_ReReferrals)</f>
        <v>521</v>
      </c>
      <c r="I18" s="344">
        <f t="shared" si="6"/>
        <v>-2.0857983661421779E-2</v>
      </c>
      <c r="J18" s="96"/>
      <c r="K18" s="97">
        <f>IF(ISNUMBER(D18),D18/Population!D18*10000,NA())</f>
        <v>87.745839636913772</v>
      </c>
      <c r="L18" s="97">
        <f>IF(ISNUMBER(E18),E18/Population!E18*10000,NA())</f>
        <v>87.630402384500755</v>
      </c>
      <c r="M18" s="97">
        <f>IF(ISNUMBER(F18),F18/Population!F18*10000,NA())</f>
        <v>71.745562130177518</v>
      </c>
      <c r="N18" s="97">
        <f>IF(ISNUMBER(G18),G18/Population!G18*10000,NA())</f>
        <v>78.916544655929712</v>
      </c>
      <c r="O18" s="98">
        <f>IF(ISNUMBER(H18),H18/Population!H18*10000,NA())</f>
        <v>75.726744186046517</v>
      </c>
      <c r="P18" s="99">
        <f t="shared" si="7"/>
        <v>75.726744186046517</v>
      </c>
      <c r="Q18" s="933">
        <f t="shared" si="8"/>
        <v>4</v>
      </c>
      <c r="R18" s="70"/>
      <c r="S18" s="340">
        <f>IDACI!C17</f>
        <v>15</v>
      </c>
      <c r="T18" s="341">
        <f t="shared" si="0"/>
        <v>114.62425712555223</v>
      </c>
      <c r="U18" s="342">
        <f t="shared" si="9"/>
        <v>-38.897512939505717</v>
      </c>
      <c r="V18" s="122"/>
      <c r="W18" s="139"/>
      <c r="X18" s="152"/>
      <c r="Y18" s="72" t="str">
        <f t="shared" si="1"/>
        <v>Milton Keynes</v>
      </c>
      <c r="Z18" s="44">
        <f>IF(ISNUMBER($H18),IDACI!D17,0)</f>
        <v>59903</v>
      </c>
      <c r="AA18" s="44">
        <f>IF(ISNUMBER($H18),IDACI!E17,0)</f>
        <v>8985.4499999999989</v>
      </c>
      <c r="AB18" s="205">
        <f>IF(ISNUMBER(D18),Population!D18,"")</f>
        <v>66100</v>
      </c>
      <c r="AC18" s="205">
        <f>IF(ISNUMBER(E18),Population!E18,"")</f>
        <v>67100</v>
      </c>
      <c r="AD18" s="205">
        <f>IF(ISNUMBER(F18),Population!F18,"")</f>
        <v>67600</v>
      </c>
      <c r="AE18" s="205">
        <f>IF(ISNUMBER(G18),Population!G18,"")</f>
        <v>68300</v>
      </c>
      <c r="AF18" s="205">
        <f>IF(ISNUMBER(H18),Population!H18,"")</f>
        <v>68800</v>
      </c>
      <c r="AG18" s="93" t="s">
        <v>10</v>
      </c>
      <c r="AH18" s="231">
        <f t="shared" si="10"/>
        <v>75.726744186046517</v>
      </c>
      <c r="AI18" s="206">
        <f t="shared" si="11"/>
        <v>4</v>
      </c>
      <c r="AJ18" s="202"/>
      <c r="AK18" s="160"/>
      <c r="AL18" s="853">
        <f t="shared" si="2"/>
        <v>1.3793103448275862E-2</v>
      </c>
      <c r="AM18" s="853">
        <f t="shared" si="3"/>
        <v>-0.17517006802721088</v>
      </c>
      <c r="AN18" s="853">
        <f t="shared" si="4"/>
        <v>0.11134020618556702</v>
      </c>
      <c r="AO18" s="853">
        <f t="shared" si="5"/>
        <v>-3.3395176252319109E-2</v>
      </c>
      <c r="AP18" s="853">
        <f t="shared" si="12"/>
        <v>-2.0857983661421779E-2</v>
      </c>
      <c r="AR18" s="74"/>
      <c r="AS18" s="74"/>
      <c r="AT18" s="74"/>
      <c r="AU18" s="74"/>
      <c r="AV18" s="74"/>
      <c r="AW18" s="74"/>
      <c r="AX18" s="74"/>
      <c r="AY18" s="74"/>
    </row>
    <row r="19" spans="1:51" s="87" customFormat="1" ht="13.5" customHeight="1" x14ac:dyDescent="0.2">
      <c r="A19" s="488">
        <f>VLOOKUP(B19,Sheet1!$AQ$4:$AR$25,2,FALSE)</f>
        <v>0</v>
      </c>
      <c r="B19" s="93" t="str">
        <f>Sheet1!$K$13</f>
        <v>Oxfordshire</v>
      </c>
      <c r="C19" s="85"/>
      <c r="D19" s="94">
        <f>IF(Year1_Oxfordshire Year1_ReReferrals="","",Year1_Oxfordshire Year1_ReReferrals)</f>
        <v>1712</v>
      </c>
      <c r="E19" s="94">
        <f>IF(Year2_Oxfordshire Year2_ReReferrals="","",Year2_Oxfordshire Year2_ReReferrals)</f>
        <v>1405</v>
      </c>
      <c r="F19" s="94">
        <f>IF(Year3_Oxfordshire Year3_ReReferrals="","",Year3_Oxfordshire Year3_ReReferrals)</f>
        <v>1268</v>
      </c>
      <c r="G19" s="94">
        <f>IF(Year4_Oxfordshire Year4_ReReferrals="","",Year4_Oxfordshire Year4_ReReferrals)</f>
        <v>1240</v>
      </c>
      <c r="H19" s="95">
        <f>IF(Year5_Oxfordshire Year5_ReReferrals="","",Year5_Oxfordshire Year5_ReReferrals)</f>
        <v>1325</v>
      </c>
      <c r="I19" s="344">
        <f t="shared" si="6"/>
        <v>-5.7591239633591432E-2</v>
      </c>
      <c r="J19" s="96"/>
      <c r="K19" s="97">
        <f>IF(ISNUMBER(D19),D19/Population!D19*10000,NA())</f>
        <v>120.73342736248237</v>
      </c>
      <c r="L19" s="97">
        <f>IF(ISNUMBER(E19),E19/Population!E19*10000,NA())</f>
        <v>98.320503848845348</v>
      </c>
      <c r="M19" s="97">
        <f>IF(ISNUMBER(F19),F19/Population!F19*10000,NA())</f>
        <v>88.423988842398899</v>
      </c>
      <c r="N19" s="97">
        <f>IF(ISNUMBER(G19),G19/Population!G19*10000,NA())</f>
        <v>85.635359116022087</v>
      </c>
      <c r="O19" s="98">
        <f>IF(ISNUMBER(H19),H19/Population!H19*10000,NA())</f>
        <v>90.691307323750863</v>
      </c>
      <c r="P19" s="99">
        <f t="shared" si="7"/>
        <v>90.691307323750863</v>
      </c>
      <c r="Q19" s="933">
        <f t="shared" si="8"/>
        <v>5</v>
      </c>
      <c r="R19" s="70"/>
      <c r="S19" s="340">
        <f>IDACI!C18</f>
        <v>10.100000000000001</v>
      </c>
      <c r="T19" s="341">
        <f t="shared" si="0"/>
        <v>96.517495092769224</v>
      </c>
      <c r="U19" s="342">
        <f t="shared" si="9"/>
        <v>-5.826187769018361</v>
      </c>
      <c r="V19" s="122"/>
      <c r="W19" s="139"/>
      <c r="X19" s="152"/>
      <c r="Y19" s="72" t="str">
        <f t="shared" si="1"/>
        <v>Oxfordshire</v>
      </c>
      <c r="Z19" s="44">
        <f>IF(ISNUMBER($H19),IDACI!D18,0)</f>
        <v>126119</v>
      </c>
      <c r="AA19" s="44">
        <f>IF(ISNUMBER($H19),IDACI!E18,0)</f>
        <v>12738.019000000002</v>
      </c>
      <c r="AB19" s="205">
        <f>IF(ISNUMBER(D19),Population!D19,"")</f>
        <v>141800</v>
      </c>
      <c r="AC19" s="205">
        <f>IF(ISNUMBER(E19),Population!E19,"")</f>
        <v>142900</v>
      </c>
      <c r="AD19" s="205">
        <f>IF(ISNUMBER(F19),Population!F19,"")</f>
        <v>143400</v>
      </c>
      <c r="AE19" s="205">
        <f>IF(ISNUMBER(G19),Population!G19,"")</f>
        <v>144800</v>
      </c>
      <c r="AF19" s="205">
        <f>IF(ISNUMBER(H19),Population!H19,"")</f>
        <v>146100</v>
      </c>
      <c r="AG19" s="93" t="s">
        <v>11</v>
      </c>
      <c r="AH19" s="231">
        <f t="shared" si="10"/>
        <v>90.691307323750863</v>
      </c>
      <c r="AI19" s="206">
        <f t="shared" si="11"/>
        <v>5</v>
      </c>
      <c r="AJ19" s="202"/>
      <c r="AK19" s="160"/>
      <c r="AL19" s="853">
        <f t="shared" si="2"/>
        <v>-0.17932242990654207</v>
      </c>
      <c r="AM19" s="853">
        <f t="shared" si="3"/>
        <v>-9.7508896797153022E-2</v>
      </c>
      <c r="AN19" s="853">
        <f t="shared" si="4"/>
        <v>-2.2082018927444796E-2</v>
      </c>
      <c r="AO19" s="853">
        <f t="shared" si="5"/>
        <v>6.8548387096774188E-2</v>
      </c>
      <c r="AP19" s="853">
        <f t="shared" si="12"/>
        <v>-5.7591239633591432E-2</v>
      </c>
      <c r="AR19" s="74"/>
      <c r="AS19" s="74"/>
      <c r="AT19" s="74"/>
      <c r="AU19" s="74"/>
      <c r="AV19" s="74"/>
      <c r="AW19" s="74"/>
      <c r="AX19" s="74"/>
      <c r="AY19" s="74"/>
    </row>
    <row r="20" spans="1:51" s="87" customFormat="1" ht="13.5" customHeight="1" x14ac:dyDescent="0.2">
      <c r="A20" s="488">
        <f>VLOOKUP(B20,Sheet1!$AQ$4:$AR$25,2,FALSE)</f>
        <v>0</v>
      </c>
      <c r="B20" s="93" t="str">
        <f>Sheet1!$K$14</f>
        <v>Portsmouth</v>
      </c>
      <c r="C20" s="85"/>
      <c r="D20" s="94">
        <f>IF(Year1_Portsmouth Year1_ReReferrals="","",Year1_Portsmouth Year1_ReReferrals)</f>
        <v>406.99999999999989</v>
      </c>
      <c r="E20" s="94">
        <f>IF(Year2_Portsmouth Year2_ReReferrals="","",Year2_Portsmouth Year2_ReReferrals)</f>
        <v>645</v>
      </c>
      <c r="F20" s="94">
        <f>IF(Year3_Portsmouth Year3_ReReferrals="","",Year3_Portsmouth Year3_ReReferrals)</f>
        <v>647</v>
      </c>
      <c r="G20" s="94">
        <f>IF(Year4_Portsmouth Year4_ReReferrals="","",Year4_Portsmouth Year4_ReReferrals)</f>
        <v>729</v>
      </c>
      <c r="H20" s="95">
        <f>IF(Year5_Portsmouth Year5_ReReferrals="","",Year5_Portsmouth Year5_ReReferrals)</f>
        <v>631</v>
      </c>
      <c r="I20" s="344">
        <f t="shared" si="6"/>
        <v>0.14504385684323046</v>
      </c>
      <c r="J20" s="96"/>
      <c r="K20" s="97">
        <f>IF(ISNUMBER(D20),D20/Population!D20*10000,NA())</f>
        <v>92.922374429223723</v>
      </c>
      <c r="L20" s="97">
        <f>IF(ISNUMBER(E20),E20/Population!E20*10000,NA())</f>
        <v>146.59090909090909</v>
      </c>
      <c r="M20" s="97">
        <f>IF(ISNUMBER(F20),F20/Population!F20*10000,NA())</f>
        <v>146.38009049773754</v>
      </c>
      <c r="N20" s="97">
        <f>IF(ISNUMBER(G20),G20/Population!G20*10000,NA())</f>
        <v>165.68181818181819</v>
      </c>
      <c r="O20" s="98">
        <f>IF(ISNUMBER(H20),H20/Population!H20*10000,NA())</f>
        <v>144.06392694063928</v>
      </c>
      <c r="P20" s="99">
        <f t="shared" si="7"/>
        <v>144.06392694063928</v>
      </c>
      <c r="Q20" s="933">
        <f t="shared" si="8"/>
        <v>9</v>
      </c>
      <c r="R20" s="70"/>
      <c r="S20" s="340">
        <f>IDACI!C19</f>
        <v>20.200000000000003</v>
      </c>
      <c r="T20" s="341">
        <f t="shared" si="0"/>
        <v>133.83959642564849</v>
      </c>
      <c r="U20" s="342">
        <f t="shared" si="9"/>
        <v>10.224330514990783</v>
      </c>
      <c r="V20" s="122"/>
      <c r="W20" s="139"/>
      <c r="X20" s="152"/>
      <c r="Y20" s="72" t="str">
        <f t="shared" si="1"/>
        <v>Portsmouth</v>
      </c>
      <c r="Z20" s="44">
        <f>IF(ISNUMBER($H20),IDACI!D19,0)</f>
        <v>39325</v>
      </c>
      <c r="AA20" s="44">
        <f>IF(ISNUMBER($H20),IDACI!E19,0)</f>
        <v>7943.6500000000015</v>
      </c>
      <c r="AB20" s="205">
        <f>IF(ISNUMBER(D20),Population!D20,"")</f>
        <v>43800</v>
      </c>
      <c r="AC20" s="205">
        <f>IF(ISNUMBER(E20),Population!E20,"")</f>
        <v>44000</v>
      </c>
      <c r="AD20" s="205">
        <f>IF(ISNUMBER(F20),Population!F20,"")</f>
        <v>44200</v>
      </c>
      <c r="AE20" s="205">
        <f>IF(ISNUMBER(G20),Population!G20,"")</f>
        <v>44000</v>
      </c>
      <c r="AF20" s="205">
        <f>IF(ISNUMBER(H20),Population!H20,"")</f>
        <v>43800</v>
      </c>
      <c r="AG20" s="93" t="s">
        <v>12</v>
      </c>
      <c r="AH20" s="231">
        <f t="shared" si="10"/>
        <v>144.06392694063928</v>
      </c>
      <c r="AI20" s="206">
        <f t="shared" si="11"/>
        <v>9</v>
      </c>
      <c r="AJ20" s="202"/>
      <c r="AK20" s="160"/>
      <c r="AL20" s="853">
        <f t="shared" si="2"/>
        <v>0.58476658476658516</v>
      </c>
      <c r="AM20" s="853">
        <f t="shared" si="3"/>
        <v>3.1007751937984496E-3</v>
      </c>
      <c r="AN20" s="853">
        <f t="shared" si="4"/>
        <v>0.12673879443585781</v>
      </c>
      <c r="AO20" s="853">
        <f t="shared" si="5"/>
        <v>-0.13443072702331962</v>
      </c>
      <c r="AP20" s="853">
        <f t="shared" si="12"/>
        <v>0.14504385684323046</v>
      </c>
      <c r="AR20" s="74"/>
      <c r="AS20" s="74"/>
      <c r="AT20" s="74"/>
      <c r="AU20" s="74"/>
      <c r="AV20" s="74"/>
      <c r="AW20" s="74"/>
      <c r="AX20" s="74"/>
      <c r="AY20" s="74"/>
    </row>
    <row r="21" spans="1:51" s="87" customFormat="1" ht="13.5" customHeight="1" x14ac:dyDescent="0.2">
      <c r="A21" s="488">
        <f>VLOOKUP(B21,Sheet1!$AQ$4:$AR$25,2,FALSE)</f>
        <v>0</v>
      </c>
      <c r="B21" s="93" t="str">
        <f>Sheet1!$K$15</f>
        <v>Reading</v>
      </c>
      <c r="C21" s="85"/>
      <c r="D21" s="94">
        <f>IF(Year1_Reading Year1_ReReferrals="","",Year1_Reading Year1_ReReferrals)</f>
        <v>646</v>
      </c>
      <c r="E21" s="94">
        <f>IF(Year2_Reading Year2_ReReferrals="","",Year2_Reading Year2_ReReferrals)</f>
        <v>930</v>
      </c>
      <c r="F21" s="94">
        <f>IF(Year3_Reading Year3_ReReferrals="","",Year3_Reading Year3_ReReferrals)</f>
        <v>588</v>
      </c>
      <c r="G21" s="94">
        <f>IF(Year4_Reading Year4_ReReferrals="","",Year4_Reading Year4_ReReferrals)</f>
        <v>746</v>
      </c>
      <c r="H21" s="95">
        <f>IF(Year5_Reading Year5_ReReferrals="","",Year5_Reading Year5_ReReferrals)</f>
        <v>676</v>
      </c>
      <c r="I21" s="344">
        <f t="shared" si="6"/>
        <v>6.1690062580151167E-2</v>
      </c>
      <c r="J21" s="96"/>
      <c r="K21" s="97">
        <f>IF(ISNUMBER(D21),D21/Population!D21*10000,NA())</f>
        <v>177.47252747252747</v>
      </c>
      <c r="L21" s="97">
        <f>IF(ISNUMBER(E21),E21/Population!E21*10000,NA())</f>
        <v>254.09836065573771</v>
      </c>
      <c r="M21" s="97">
        <f>IF(ISNUMBER(F21),F21/Population!F21*10000,NA())</f>
        <v>158.49056603773585</v>
      </c>
      <c r="N21" s="97">
        <f>IF(ISNUMBER(G21),G21/Population!G21*10000,NA())</f>
        <v>201.07816711590297</v>
      </c>
      <c r="O21" s="98">
        <f>IF(ISNUMBER(H21),H21/Population!H21*10000,NA())</f>
        <v>182.70270270270271</v>
      </c>
      <c r="P21" s="99">
        <f t="shared" si="7"/>
        <v>182.70270270270271</v>
      </c>
      <c r="Q21" s="933">
        <f t="shared" si="8"/>
        <v>13</v>
      </c>
      <c r="R21" s="70"/>
      <c r="S21" s="340">
        <f>IDACI!C20</f>
        <v>16</v>
      </c>
      <c r="T21" s="341">
        <f t="shared" si="0"/>
        <v>118.31951468326305</v>
      </c>
      <c r="U21" s="342">
        <f t="shared" si="9"/>
        <v>64.383188019439658</v>
      </c>
      <c r="V21" s="122"/>
      <c r="W21" s="139"/>
      <c r="X21" s="152"/>
      <c r="Y21" s="72" t="str">
        <f t="shared" si="1"/>
        <v>Reading</v>
      </c>
      <c r="Z21" s="44">
        <f>IF(ISNUMBER($H21),IDACI!D20,0)</f>
        <v>33203</v>
      </c>
      <c r="AA21" s="44">
        <f>IF(ISNUMBER($H21),IDACI!E20,0)</f>
        <v>5312.4800000000005</v>
      </c>
      <c r="AB21" s="205">
        <f>IF(ISNUMBER(D21),Population!D21,"")</f>
        <v>36400</v>
      </c>
      <c r="AC21" s="205">
        <f>IF(ISNUMBER(E21),Population!E21,"")</f>
        <v>36600</v>
      </c>
      <c r="AD21" s="205">
        <f>IF(ISNUMBER(F21),Population!F21,"")</f>
        <v>37100</v>
      </c>
      <c r="AE21" s="205">
        <f>IF(ISNUMBER(G21),Population!G21,"")</f>
        <v>37100</v>
      </c>
      <c r="AF21" s="205">
        <f>IF(ISNUMBER(H21),Population!H21,"")</f>
        <v>37000</v>
      </c>
      <c r="AG21" s="93" t="s">
        <v>3</v>
      </c>
      <c r="AH21" s="231">
        <f t="shared" si="10"/>
        <v>182.70270270270271</v>
      </c>
      <c r="AI21" s="206">
        <f t="shared" si="11"/>
        <v>13</v>
      </c>
      <c r="AJ21" s="202"/>
      <c r="AK21" s="160"/>
      <c r="AL21" s="853">
        <f t="shared" si="2"/>
        <v>0.43962848297213625</v>
      </c>
      <c r="AM21" s="853">
        <f t="shared" si="3"/>
        <v>-0.36774193548387096</v>
      </c>
      <c r="AN21" s="853">
        <f t="shared" si="4"/>
        <v>0.2687074829931973</v>
      </c>
      <c r="AO21" s="853">
        <f t="shared" si="5"/>
        <v>-9.3833780160857902E-2</v>
      </c>
      <c r="AP21" s="853">
        <f t="shared" si="12"/>
        <v>6.1690062580151167E-2</v>
      </c>
      <c r="AR21" s="74"/>
      <c r="AS21" s="74"/>
      <c r="AT21" s="74"/>
      <c r="AU21" s="74"/>
      <c r="AV21" s="74"/>
      <c r="AW21" s="74"/>
      <c r="AX21" s="74"/>
      <c r="AY21" s="74"/>
    </row>
    <row r="22" spans="1:51" s="87" customFormat="1" ht="13.5" customHeight="1" x14ac:dyDescent="0.2">
      <c r="A22" s="488">
        <f>VLOOKUP(B22,Sheet1!$AQ$4:$AR$25,2,FALSE)</f>
        <v>0</v>
      </c>
      <c r="B22" s="93" t="str">
        <f>Sheet1!$K$16</f>
        <v>Slough</v>
      </c>
      <c r="C22" s="85"/>
      <c r="D22" s="94">
        <f>IF(Year1_Slough Year1_ReReferrals="","",Year1_Slough Year1_ReReferrals)</f>
        <v>522.00000000000011</v>
      </c>
      <c r="E22" s="94">
        <f>IF(Year2_Slough Year2_ReReferrals="","",Year2_Slough Year2_ReReferrals)</f>
        <v>1652</v>
      </c>
      <c r="F22" s="94">
        <f>IF(Year3_Slough Year3_ReReferrals="","",Year3_Slough Year3_ReReferrals)</f>
        <v>390</v>
      </c>
      <c r="G22" s="94">
        <f>IF(Year4_Slough Year4_ReReferrals="","",Year4_Slough Year4_ReReferrals)</f>
        <v>293</v>
      </c>
      <c r="H22" s="95">
        <f>IF(Year5_Slough Year5_ReReferrals="","",Year5_Slough Year5_ReReferrals)</f>
        <v>429</v>
      </c>
      <c r="I22" s="344">
        <f t="shared" si="6"/>
        <v>0.40406857837556204</v>
      </c>
      <c r="J22" s="96"/>
      <c r="K22" s="97">
        <f>IF(ISNUMBER(D22),D22/Population!D22*10000,NA())</f>
        <v>128.57142857142861</v>
      </c>
      <c r="L22" s="97">
        <f>IF(ISNUMBER(E22),E22/Population!E22*10000,NA())</f>
        <v>399.03381642512079</v>
      </c>
      <c r="M22" s="97">
        <f>IF(ISNUMBER(F22),F22/Population!F22*10000,NA())</f>
        <v>92.417061611374407</v>
      </c>
      <c r="N22" s="97">
        <f>IF(ISNUMBER(G22),G22/Population!G22*10000,NA())</f>
        <v>68.618266978922719</v>
      </c>
      <c r="O22" s="98">
        <f>IF(ISNUMBER(H22),H22/Population!H22*10000,NA())</f>
        <v>99.535962877030158</v>
      </c>
      <c r="P22" s="99">
        <f t="shared" si="7"/>
        <v>99.535962877030158</v>
      </c>
      <c r="Q22" s="933">
        <f t="shared" si="8"/>
        <v>6</v>
      </c>
      <c r="R22" s="70"/>
      <c r="S22" s="340">
        <f>IDACI!C21</f>
        <v>14.7</v>
      </c>
      <c r="T22" s="341">
        <f t="shared" si="0"/>
        <v>113.51567985823898</v>
      </c>
      <c r="U22" s="342">
        <f t="shared" si="9"/>
        <v>-13.979716981208824</v>
      </c>
      <c r="V22" s="122"/>
      <c r="W22" s="139"/>
      <c r="X22" s="152"/>
      <c r="Y22" s="72" t="str">
        <f t="shared" si="1"/>
        <v>Slough</v>
      </c>
      <c r="Z22" s="44">
        <f>IF(ISNUMBER($H22),IDACI!D21,0)</f>
        <v>37031</v>
      </c>
      <c r="AA22" s="44">
        <f>IF(ISNUMBER($H22),IDACI!E21,0)</f>
        <v>5443.5569999999998</v>
      </c>
      <c r="AB22" s="205">
        <f>IF(ISNUMBER(D22),Population!D22,"")</f>
        <v>40600</v>
      </c>
      <c r="AC22" s="205">
        <f>IF(ISNUMBER(E22),Population!E22,"")</f>
        <v>41400</v>
      </c>
      <c r="AD22" s="205">
        <f>IF(ISNUMBER(F22),Population!F22,"")</f>
        <v>42200</v>
      </c>
      <c r="AE22" s="205">
        <f>IF(ISNUMBER(G22),Population!G22,"")</f>
        <v>42700</v>
      </c>
      <c r="AF22" s="205">
        <f>IF(ISNUMBER(H22),Population!H22,"")</f>
        <v>43100</v>
      </c>
      <c r="AG22" s="93" t="s">
        <v>13</v>
      </c>
      <c r="AH22" s="231">
        <f t="shared" si="10"/>
        <v>99.535962877030158</v>
      </c>
      <c r="AI22" s="206">
        <f t="shared" si="11"/>
        <v>6</v>
      </c>
      <c r="AJ22" s="202"/>
      <c r="AK22" s="160"/>
      <c r="AL22" s="853">
        <f t="shared" si="2"/>
        <v>2.1647509578544057</v>
      </c>
      <c r="AM22" s="853">
        <f t="shared" si="3"/>
        <v>-0.76392251815980627</v>
      </c>
      <c r="AN22" s="853">
        <f t="shared" si="4"/>
        <v>-0.24871794871794872</v>
      </c>
      <c r="AO22" s="853">
        <f t="shared" si="5"/>
        <v>0.46416382252559729</v>
      </c>
      <c r="AP22" s="853">
        <f t="shared" si="12"/>
        <v>0.40406857837556204</v>
      </c>
      <c r="AR22" s="74"/>
      <c r="AS22" s="74"/>
      <c r="AT22" s="74"/>
      <c r="AU22" s="74"/>
      <c r="AV22" s="74"/>
      <c r="AW22" s="74"/>
      <c r="AX22" s="74"/>
      <c r="AY22" s="74"/>
    </row>
    <row r="23" spans="1:51" s="87" customFormat="1" ht="13.5" customHeight="1" x14ac:dyDescent="0.2">
      <c r="A23" s="488">
        <f>VLOOKUP(B23,Sheet1!$AQ$4:$AR$25,2,FALSE)</f>
        <v>0</v>
      </c>
      <c r="B23" s="93" t="str">
        <f>Sheet1!$K$17</f>
        <v>Somerset</v>
      </c>
      <c r="C23" s="85"/>
      <c r="D23" s="94">
        <f>IF(Year1_Somerset Year1_ReReferrals="","",Year1_Somerset Year1_ReReferrals)</f>
        <v>985</v>
      </c>
      <c r="E23" s="94">
        <f>IF(Year2_Somerset Year2_ReReferrals="","",Year2_Somerset Year2_ReReferrals)</f>
        <v>950</v>
      </c>
      <c r="F23" s="94">
        <f>IF(Year3_Somerset Year3_ReReferrals="","",Year3_Somerset Year3_ReReferrals)</f>
        <v>1104</v>
      </c>
      <c r="G23" s="94">
        <f>IF(Year4_Somerset Year4_ReReferrals="","",Year4_Somerset Year4_ReReferrals)</f>
        <v>914</v>
      </c>
      <c r="H23" s="95">
        <f>IF(Year5_Somerset Year5_ReReferrals="","",Year5_Somerset Year5_ReReferrals)</f>
        <v>718</v>
      </c>
      <c r="I23" s="344">
        <f t="shared" si="6"/>
        <v>-6.4992798542607075E-2</v>
      </c>
      <c r="J23" s="96"/>
      <c r="K23" s="97">
        <f>IF(ISNUMBER(D23),D23/Population!D23*10000,NA())</f>
        <v>90.201465201465197</v>
      </c>
      <c r="L23" s="97">
        <f>IF(ISNUMBER(E23),E23/Population!E23*10000,NA())</f>
        <v>86.599817684594356</v>
      </c>
      <c r="M23" s="97">
        <f>IF(ISNUMBER(F23),F23/Population!F23*10000,NA())</f>
        <v>100.27247956403271</v>
      </c>
      <c r="N23" s="97">
        <f>IF(ISNUMBER(G23),G23/Population!G23*10000,NA())</f>
        <v>82.565492321589886</v>
      </c>
      <c r="O23" s="98">
        <f>IF(ISNUMBER(H23),H23/Population!H23*10000,NA())</f>
        <v>64.568345323740999</v>
      </c>
      <c r="P23" s="99">
        <f t="shared" si="7"/>
        <v>64.568345323740999</v>
      </c>
      <c r="Q23" s="930" t="str">
        <f t="shared" si="8"/>
        <v>--</v>
      </c>
      <c r="R23" s="70"/>
      <c r="S23" s="340">
        <f>IDACI!C22</f>
        <v>13.600000000000001</v>
      </c>
      <c r="T23" s="341">
        <f t="shared" si="0"/>
        <v>109.45089654475709</v>
      </c>
      <c r="U23" s="342">
        <f t="shared" si="9"/>
        <v>-44.882551221016087</v>
      </c>
      <c r="V23" s="122"/>
      <c r="W23" s="139"/>
      <c r="X23" s="152"/>
      <c r="Y23" s="72" t="str">
        <f t="shared" si="1"/>
        <v>Somerset</v>
      </c>
      <c r="Z23" s="44">
        <f>IF(ISNUMBER($H23),IDACI!D22,0)</f>
        <v>95875</v>
      </c>
      <c r="AA23" s="44">
        <f>IF(ISNUMBER($H23),IDACI!E22,0)</f>
        <v>13039.000000000002</v>
      </c>
      <c r="AB23" s="205">
        <f>IF(ISNUMBER(D23),Population!D23,"")</f>
        <v>109200</v>
      </c>
      <c r="AC23" s="205">
        <f>IF(ISNUMBER(E23),Population!E23,"")</f>
        <v>109700</v>
      </c>
      <c r="AD23" s="205">
        <f>IF(ISNUMBER(F23),Population!F23,"")</f>
        <v>110100</v>
      </c>
      <c r="AE23" s="205">
        <f>IF(ISNUMBER(G23),Population!G23,"")</f>
        <v>110700</v>
      </c>
      <c r="AF23" s="205">
        <f>IF(ISNUMBER(H23),Population!H23,"")</f>
        <v>111200</v>
      </c>
      <c r="AG23" s="93" t="s">
        <v>14</v>
      </c>
      <c r="AH23" s="231">
        <f t="shared" si="10"/>
        <v>216.17933723196879</v>
      </c>
      <c r="AI23" s="206">
        <f t="shared" si="11"/>
        <v>16</v>
      </c>
      <c r="AJ23" s="202"/>
      <c r="AK23" s="160"/>
      <c r="AL23" s="853">
        <f t="shared" si="2"/>
        <v>-3.553299492385787E-2</v>
      </c>
      <c r="AM23" s="853">
        <f t="shared" si="3"/>
        <v>0.16210526315789472</v>
      </c>
      <c r="AN23" s="853">
        <f t="shared" si="4"/>
        <v>-0.17210144927536231</v>
      </c>
      <c r="AO23" s="853">
        <f t="shared" si="5"/>
        <v>-0.21444201312910285</v>
      </c>
      <c r="AP23" s="853">
        <f t="shared" si="12"/>
        <v>-6.4992798542607075E-2</v>
      </c>
      <c r="AR23" s="74"/>
      <c r="AS23" s="74"/>
      <c r="AT23" s="74"/>
      <c r="AU23" s="74"/>
      <c r="AV23" s="74"/>
      <c r="AW23" s="74"/>
      <c r="AX23" s="74"/>
      <c r="AY23" s="74"/>
    </row>
    <row r="24" spans="1:51" s="87" customFormat="1" ht="13.5" customHeight="1" x14ac:dyDescent="0.2">
      <c r="A24" s="488">
        <f>VLOOKUP(B24,Sheet1!$AQ$4:$AR$25,2,FALSE)</f>
        <v>0</v>
      </c>
      <c r="B24" s="93" t="str">
        <f>Sheet1!$K$18</f>
        <v>Southampton</v>
      </c>
      <c r="C24" s="85"/>
      <c r="D24" s="94">
        <f>IF(Year1_Southampton Year1_ReReferrals="","",Year1_Southampton Year1_ReReferrals)</f>
        <v>790</v>
      </c>
      <c r="E24" s="94">
        <f>IF(Year2_Southampton Year2_ReReferrals="","",Year2_Southampton Year2_ReReferrals)</f>
        <v>810</v>
      </c>
      <c r="F24" s="94">
        <f>IF(Year3_Southampton Year3_ReReferrals="","",Year3_Southampton Year3_ReReferrals)</f>
        <v>530</v>
      </c>
      <c r="G24" s="94">
        <f>IF(Year4_Southampton Year4_ReReferrals="","",Year4_Southampton Year4_ReReferrals)</f>
        <v>441</v>
      </c>
      <c r="H24" s="95">
        <f>IF(Year5_Southampton Year5_ReReferrals="","",Year5_Southampton Year5_ReReferrals)</f>
        <v>1109</v>
      </c>
      <c r="I24" s="344">
        <f t="shared" si="6"/>
        <v>0.25661303601839502</v>
      </c>
      <c r="J24" s="96"/>
      <c r="K24" s="97">
        <f>IF(ISNUMBER(D24),D24/Population!D24*10000,NA())</f>
        <v>160.5691056910569</v>
      </c>
      <c r="L24" s="97">
        <f>IF(ISNUMBER(E24),E24/Population!E24*10000,NA())</f>
        <v>162.32464929859719</v>
      </c>
      <c r="M24" s="97">
        <f>IF(ISNUMBER(F24),F24/Population!F24*10000,NA())</f>
        <v>105.36779324055665</v>
      </c>
      <c r="N24" s="97">
        <f>IF(ISNUMBER(G24),G24/Population!G24*10000,NA())</f>
        <v>86.811023622047244</v>
      </c>
      <c r="O24" s="98">
        <f>IF(ISNUMBER(H24),H24/Population!H24*10000,NA())</f>
        <v>216.17933723196879</v>
      </c>
      <c r="P24" s="99">
        <f t="shared" si="7"/>
        <v>216.17933723196879</v>
      </c>
      <c r="Q24" s="933">
        <f t="shared" si="8"/>
        <v>16</v>
      </c>
      <c r="R24" s="70"/>
      <c r="S24" s="340">
        <f>IDACI!C23</f>
        <v>20.5</v>
      </c>
      <c r="T24" s="341">
        <f t="shared" si="0"/>
        <v>134.94817369296175</v>
      </c>
      <c r="U24" s="342">
        <f t="shared" si="9"/>
        <v>81.231163539007042</v>
      </c>
      <c r="V24" s="122"/>
      <c r="W24" s="139"/>
      <c r="X24" s="152"/>
      <c r="Y24" s="72" t="str">
        <f t="shared" si="1"/>
        <v>Southampton</v>
      </c>
      <c r="Z24" s="44">
        <f>IF(ISNUMBER($H24),IDACI!D23,0)</f>
        <v>44295</v>
      </c>
      <c r="AA24" s="44">
        <f>IF(ISNUMBER($H24),IDACI!E23,0)</f>
        <v>9080.4750000000004</v>
      </c>
      <c r="AB24" s="205">
        <f>IF(ISNUMBER(D24),Population!D24,"")</f>
        <v>49200</v>
      </c>
      <c r="AC24" s="205">
        <f>IF(ISNUMBER(E24),Population!E24,"")</f>
        <v>49900</v>
      </c>
      <c r="AD24" s="205">
        <f>IF(ISNUMBER(F24),Population!F24,"")</f>
        <v>50300</v>
      </c>
      <c r="AE24" s="205">
        <f>IF(ISNUMBER(G24),Population!G24,"")</f>
        <v>50800</v>
      </c>
      <c r="AF24" s="205">
        <f>IF(ISNUMBER(H24),Population!H24,"")</f>
        <v>51300</v>
      </c>
      <c r="AG24" s="93" t="s">
        <v>7</v>
      </c>
      <c r="AH24" s="231">
        <f t="shared" si="10"/>
        <v>69.446550416982561</v>
      </c>
      <c r="AI24" s="206">
        <f t="shared" si="11"/>
        <v>2</v>
      </c>
      <c r="AJ24" s="202"/>
      <c r="AK24" s="160"/>
      <c r="AL24" s="853">
        <f t="shared" si="2"/>
        <v>2.5316455696202531E-2</v>
      </c>
      <c r="AM24" s="853">
        <f t="shared" si="3"/>
        <v>-0.34567901234567899</v>
      </c>
      <c r="AN24" s="853">
        <f t="shared" si="4"/>
        <v>-0.16792452830188678</v>
      </c>
      <c r="AO24" s="853">
        <f t="shared" si="5"/>
        <v>1.5147392290249433</v>
      </c>
      <c r="AP24" s="853">
        <f t="shared" si="12"/>
        <v>0.25661303601839502</v>
      </c>
      <c r="AR24" s="74"/>
      <c r="AS24" s="74"/>
      <c r="AT24" s="74"/>
      <c r="AU24" s="74"/>
      <c r="AV24" s="74"/>
      <c r="AW24" s="74"/>
      <c r="AX24" s="74"/>
      <c r="AY24" s="74"/>
    </row>
    <row r="25" spans="1:51" s="87" customFormat="1" ht="13.5" customHeight="1" x14ac:dyDescent="0.2">
      <c r="A25" s="488">
        <f>VLOOKUP(B25,Sheet1!$AQ$4:$AR$25,2,FALSE)</f>
        <v>0</v>
      </c>
      <c r="B25" s="93" t="str">
        <f>Sheet1!$K$19</f>
        <v>Surrey</v>
      </c>
      <c r="C25" s="85"/>
      <c r="D25" s="94">
        <f>IF(Year1_Surrey Year1_ReReferrals="","",Year1_Surrey Year1_ReReferrals)</f>
        <v>2840</v>
      </c>
      <c r="E25" s="94">
        <f>IF(Year2_Surrey Year2_ReReferrals="","",Year2_Surrey Year2_ReReferrals)</f>
        <v>2896</v>
      </c>
      <c r="F25" s="94">
        <f>IF(Year3_Surrey Year3_ReReferrals="","",Year3_Surrey Year3_ReReferrals)</f>
        <v>3724</v>
      </c>
      <c r="G25" s="94">
        <f>IF(Year4_Surrey Year4_ReReferrals="","",Year4_Surrey Year4_ReReferrals)</f>
        <v>2715</v>
      </c>
      <c r="H25" s="95">
        <f>IF(Year5_Surrey Year5_ReReferrals="","",Year5_Surrey Year5_ReReferrals)</f>
        <v>1832</v>
      </c>
      <c r="I25" s="344">
        <f t="shared" si="6"/>
        <v>-7.2636377675627417E-2</v>
      </c>
      <c r="J25" s="96"/>
      <c r="K25" s="97">
        <f>IF(ISNUMBER(D25),D25/Population!D25*10000,NA())</f>
        <v>110.7644305772231</v>
      </c>
      <c r="L25" s="97">
        <f>IF(ISNUMBER(E25),E25/Population!E25*10000,NA())</f>
        <v>111.81467181467183</v>
      </c>
      <c r="M25" s="97">
        <f>IF(ISNUMBER(F25),F25/Population!F25*10000,NA())</f>
        <v>143.06569343065695</v>
      </c>
      <c r="N25" s="97">
        <f>IF(ISNUMBER(G25),G25/Population!G25*10000,NA())</f>
        <v>103.66552119129439</v>
      </c>
      <c r="O25" s="98">
        <f>IF(ISNUMBER(H25),H25/Population!H25*10000,NA())</f>
        <v>69.446550416982561</v>
      </c>
      <c r="P25" s="99">
        <f t="shared" si="7"/>
        <v>69.446550416982561</v>
      </c>
      <c r="Q25" s="933">
        <f t="shared" si="8"/>
        <v>2</v>
      </c>
      <c r="R25" s="70"/>
      <c r="S25" s="340">
        <f>IDACI!C24</f>
        <v>8.3000000000000007</v>
      </c>
      <c r="T25" s="341">
        <f t="shared" si="0"/>
        <v>89.866031488889746</v>
      </c>
      <c r="U25" s="342">
        <f t="shared" si="9"/>
        <v>-20.419481071907185</v>
      </c>
      <c r="V25" s="122"/>
      <c r="W25" s="139"/>
      <c r="X25" s="152"/>
      <c r="Y25" s="72" t="str">
        <f t="shared" si="1"/>
        <v>Surrey</v>
      </c>
      <c r="Z25" s="44">
        <f>IF(ISNUMBER($H25),IDACI!D24,0)</f>
        <v>228466</v>
      </c>
      <c r="AA25" s="44">
        <f>IF(ISNUMBER($H25),IDACI!E24,0)</f>
        <v>18962.678</v>
      </c>
      <c r="AB25" s="205">
        <f>IF(ISNUMBER(D25),Population!D25,"")</f>
        <v>256400</v>
      </c>
      <c r="AC25" s="205">
        <f>IF(ISNUMBER(E25),Population!E25,"")</f>
        <v>259000</v>
      </c>
      <c r="AD25" s="205">
        <f>IF(ISNUMBER(F25),Population!F25,"")</f>
        <v>260300</v>
      </c>
      <c r="AE25" s="205">
        <f>IF(ISNUMBER(G25),Population!G25,"")</f>
        <v>261900</v>
      </c>
      <c r="AF25" s="205">
        <f>IF(ISNUMBER(H25),Population!H25,"")</f>
        <v>263800</v>
      </c>
      <c r="AG25" s="93" t="s">
        <v>15</v>
      </c>
      <c r="AH25" s="231">
        <f t="shared" si="10"/>
        <v>124.438202247191</v>
      </c>
      <c r="AI25" s="206">
        <f t="shared" si="11"/>
        <v>8</v>
      </c>
      <c r="AJ25" s="202"/>
      <c r="AK25" s="160"/>
      <c r="AL25" s="853">
        <f t="shared" si="2"/>
        <v>1.9718309859154931E-2</v>
      </c>
      <c r="AM25" s="853">
        <f t="shared" si="3"/>
        <v>0.28591160220994477</v>
      </c>
      <c r="AN25" s="853">
        <f t="shared" si="4"/>
        <v>-0.2709452201933405</v>
      </c>
      <c r="AO25" s="853">
        <f t="shared" si="5"/>
        <v>-0.3252302025782689</v>
      </c>
      <c r="AP25" s="853">
        <f t="shared" si="12"/>
        <v>-7.2636377675627417E-2</v>
      </c>
      <c r="AR25" s="74"/>
      <c r="AS25" s="74"/>
      <c r="AT25" s="74"/>
      <c r="AU25" s="74"/>
      <c r="AV25" s="74"/>
      <c r="AW25" s="74"/>
      <c r="AX25" s="74"/>
      <c r="AY25" s="74"/>
    </row>
    <row r="26" spans="1:51" s="87" customFormat="1" ht="13.5" customHeight="1" x14ac:dyDescent="0.2">
      <c r="A26" s="488">
        <f>VLOOKUP(B26,Sheet1!$AQ$4:$AR$25,2,FALSE)</f>
        <v>0</v>
      </c>
      <c r="B26" s="93" t="str">
        <f>Sheet1!$K$20</f>
        <v>Swindon</v>
      </c>
      <c r="C26" s="85"/>
      <c r="D26" s="94">
        <f>IF(Year1_Swindon Year1_ReReferrals="","",Year1_Swindon Year1_ReReferrals)</f>
        <v>948.99999999999989</v>
      </c>
      <c r="E26" s="94">
        <f>IF(Year2_Swindon Year2_ReReferrals="","",Year2_Swindon Year2_ReReferrals)</f>
        <v>804</v>
      </c>
      <c r="F26" s="94">
        <f>IF(Year3_Swindon Year3_ReReferrals="","",Year3_Swindon Year3_ReReferrals)</f>
        <v>877</v>
      </c>
      <c r="G26" s="94">
        <f>IF(Year4_Swindon Year4_ReReferrals="","",Year4_Swindon Year4_ReReferrals)</f>
        <v>582</v>
      </c>
      <c r="H26" s="95">
        <f>IF(Year5_Swindon Year5_ReReferrals="","",Year5_Swindon Year5_ReReferrals)</f>
        <v>893</v>
      </c>
      <c r="I26" s="344">
        <f t="shared" si="6"/>
        <v>3.399846643049878E-2</v>
      </c>
      <c r="J26" s="96"/>
      <c r="K26" s="97">
        <f>IF(ISNUMBER(D26),D26/Population!D26*10000,NA())</f>
        <v>193.67346938775509</v>
      </c>
      <c r="L26" s="97">
        <f>IF(ISNUMBER(E26),E26/Population!E26*10000,NA())</f>
        <v>162.42424242424244</v>
      </c>
      <c r="M26" s="97">
        <f>IF(ISNUMBER(F26),F26/Population!F26*10000,NA())</f>
        <v>175.751503006012</v>
      </c>
      <c r="N26" s="97">
        <f>IF(ISNUMBER(G26),G26/Population!G26*10000,NA())</f>
        <v>115.93625498007968</v>
      </c>
      <c r="O26" s="98">
        <f>IF(ISNUMBER(H26),H26/Population!H26*10000,NA())</f>
        <v>177.1825396825397</v>
      </c>
      <c r="P26" s="99">
        <f t="shared" si="7"/>
        <v>177.1825396825397</v>
      </c>
      <c r="Q26" s="930" t="str">
        <f t="shared" si="8"/>
        <v>--</v>
      </c>
      <c r="R26" s="70"/>
      <c r="S26" s="340">
        <f>IDACI!C25</f>
        <v>14.899999999999999</v>
      </c>
      <c r="T26" s="341">
        <f t="shared" si="0"/>
        <v>114.25473136978115</v>
      </c>
      <c r="U26" s="342">
        <f t="shared" si="9"/>
        <v>62.927808312758543</v>
      </c>
      <c r="V26" s="122"/>
      <c r="W26" s="139"/>
      <c r="X26" s="152"/>
      <c r="Y26" s="72" t="str">
        <f t="shared" si="1"/>
        <v>Swindon</v>
      </c>
      <c r="Z26" s="44">
        <f>IF(ISNUMBER($H26),IDACI!D25,0)</f>
        <v>43899</v>
      </c>
      <c r="AA26" s="44">
        <f>IF(ISNUMBER($H26),IDACI!E25,0)</f>
        <v>6540.951</v>
      </c>
      <c r="AB26" s="205">
        <f>IF(ISNUMBER(D26),Population!D26,"")</f>
        <v>49000</v>
      </c>
      <c r="AC26" s="205">
        <f>IF(ISNUMBER(E26),Population!E26,"")</f>
        <v>49500</v>
      </c>
      <c r="AD26" s="205">
        <f>IF(ISNUMBER(F26),Population!F26,"")</f>
        <v>49900</v>
      </c>
      <c r="AE26" s="205">
        <f>IF(ISNUMBER(G26),Population!G26,"")</f>
        <v>50200</v>
      </c>
      <c r="AF26" s="205">
        <f>IF(ISNUMBER(H26),Population!H26,"")</f>
        <v>50400</v>
      </c>
      <c r="AG26" s="93" t="s">
        <v>5</v>
      </c>
      <c r="AH26" s="231">
        <f t="shared" si="10"/>
        <v>150.70982396365702</v>
      </c>
      <c r="AI26" s="206">
        <f t="shared" si="11"/>
        <v>10</v>
      </c>
      <c r="AJ26" s="202"/>
      <c r="AK26" s="160"/>
      <c r="AL26" s="853">
        <f t="shared" si="2"/>
        <v>-0.15279241306638558</v>
      </c>
      <c r="AM26" s="853">
        <f t="shared" si="3"/>
        <v>9.0796019900497515E-2</v>
      </c>
      <c r="AN26" s="853">
        <f t="shared" si="4"/>
        <v>-0.33637400228050168</v>
      </c>
      <c r="AO26" s="853">
        <f t="shared" si="5"/>
        <v>0.53436426116838487</v>
      </c>
      <c r="AP26" s="853">
        <f t="shared" si="12"/>
        <v>3.399846643049878E-2</v>
      </c>
      <c r="AR26" s="74"/>
      <c r="AS26" s="74"/>
      <c r="AT26" s="74"/>
      <c r="AU26" s="74"/>
      <c r="AV26" s="74"/>
      <c r="AW26" s="74"/>
      <c r="AX26" s="74"/>
      <c r="AY26" s="74"/>
    </row>
    <row r="27" spans="1:51" s="87" customFormat="1" ht="13.5" customHeight="1" x14ac:dyDescent="0.2">
      <c r="A27" s="488">
        <f>VLOOKUP(B27,Sheet1!$AQ$4:$AR$25,2,FALSE)</f>
        <v>0</v>
      </c>
      <c r="B27" s="93" t="str">
        <f>Sheet1!$K$21</f>
        <v>Torbay</v>
      </c>
      <c r="C27" s="85"/>
      <c r="D27" s="94">
        <f>IF(Year1_Torbay Year1_ReReferrals="","",Year1_Torbay Year1_ReReferrals)</f>
        <v>574.00000000000011</v>
      </c>
      <c r="E27" s="94">
        <f>IF(Year2_Torbay Year2_ReReferrals="","",Year2_Torbay Year2_ReReferrals)</f>
        <v>437</v>
      </c>
      <c r="F27" s="94">
        <f>IF(Year3_Torbay Year3_ReReferrals="","",Year3_Torbay Year3_ReReferrals)</f>
        <v>444</v>
      </c>
      <c r="G27" s="94">
        <f>IF(Year4_Torbay Year4_ReReferrals="","",Year4_Torbay Year4_ReReferrals)</f>
        <v>466</v>
      </c>
      <c r="H27" s="95">
        <f>IF(Year5_Torbay Year5_ReReferrals="","",Year5_Torbay Year5_ReReferrals)</f>
        <v>414</v>
      </c>
      <c r="I27" s="344">
        <f t="shared" si="6"/>
        <v>-7.1174021208766591E-2</v>
      </c>
      <c r="J27" s="96"/>
      <c r="K27" s="97">
        <f>IF(ISNUMBER(D27),D27/Population!D27*10000,NA())</f>
        <v>227.77777777777783</v>
      </c>
      <c r="L27" s="97">
        <f>IF(ISNUMBER(E27),E27/Population!E27*10000,NA())</f>
        <v>172.04724409448821</v>
      </c>
      <c r="M27" s="97">
        <f>IF(ISNUMBER(F27),F27/Population!F27*10000,NA())</f>
        <v>174.8031496062992</v>
      </c>
      <c r="N27" s="97">
        <f>IF(ISNUMBER(G27),G27/Population!G27*10000,NA())</f>
        <v>183.46456692913387</v>
      </c>
      <c r="O27" s="98">
        <f>IF(ISNUMBER(H27),H27/Population!H27*10000,NA())</f>
        <v>161.71875</v>
      </c>
      <c r="P27" s="99">
        <f t="shared" si="7"/>
        <v>161.71875</v>
      </c>
      <c r="Q27" s="930" t="str">
        <f t="shared" si="8"/>
        <v>--</v>
      </c>
      <c r="R27" s="70"/>
      <c r="S27" s="340">
        <f>IDACI!C26</f>
        <v>21.9</v>
      </c>
      <c r="T27" s="341">
        <f t="shared" si="0"/>
        <v>140.12153427375688</v>
      </c>
      <c r="U27" s="342">
        <f t="shared" si="9"/>
        <v>21.597215726243121</v>
      </c>
      <c r="V27" s="122"/>
      <c r="W27" s="139"/>
      <c r="X27" s="152"/>
      <c r="Y27" s="72" t="str">
        <f t="shared" si="1"/>
        <v>Torbay</v>
      </c>
      <c r="Z27" s="44">
        <f>IF(ISNUMBER($H27),IDACI!D26,0)</f>
        <v>22257</v>
      </c>
      <c r="AA27" s="44">
        <f>IF(ISNUMBER($H27),IDACI!E26,0)</f>
        <v>4874.2829999999994</v>
      </c>
      <c r="AB27" s="205">
        <f>IF(ISNUMBER(D27),Population!D27,"")</f>
        <v>25200</v>
      </c>
      <c r="AC27" s="205">
        <f>IF(ISNUMBER(E27),Population!E27,"")</f>
        <v>25400</v>
      </c>
      <c r="AD27" s="205">
        <f>IF(ISNUMBER(F27),Population!F27,"")</f>
        <v>25400</v>
      </c>
      <c r="AE27" s="205">
        <f>IF(ISNUMBER(G27),Population!G27,"")</f>
        <v>25400</v>
      </c>
      <c r="AF27" s="205">
        <f>IF(ISNUMBER(H27),Population!H27,"")</f>
        <v>25600</v>
      </c>
      <c r="AG27" s="93" t="s">
        <v>30</v>
      </c>
      <c r="AH27" s="231">
        <f t="shared" si="10"/>
        <v>61.671469740634002</v>
      </c>
      <c r="AI27" s="206">
        <f t="shared" si="11"/>
        <v>1</v>
      </c>
      <c r="AJ27" s="202"/>
      <c r="AK27" s="160"/>
      <c r="AL27" s="853">
        <f t="shared" si="2"/>
        <v>-0.23867595818815346</v>
      </c>
      <c r="AM27" s="853">
        <f t="shared" si="3"/>
        <v>1.6018306636155607E-2</v>
      </c>
      <c r="AN27" s="853">
        <f t="shared" si="4"/>
        <v>4.954954954954955E-2</v>
      </c>
      <c r="AO27" s="853">
        <f t="shared" si="5"/>
        <v>-0.11158798283261803</v>
      </c>
      <c r="AP27" s="853">
        <f t="shared" si="12"/>
        <v>-7.1174021208766591E-2</v>
      </c>
      <c r="AR27" s="74"/>
      <c r="AS27" s="74"/>
      <c r="AT27" s="74"/>
      <c r="AU27" s="74"/>
      <c r="AV27" s="74"/>
      <c r="AW27" s="74"/>
      <c r="AX27" s="74"/>
      <c r="AY27" s="74"/>
    </row>
    <row r="28" spans="1:51" s="87" customFormat="1" ht="13.5" customHeight="1" x14ac:dyDescent="0.2">
      <c r="A28" s="488">
        <f>VLOOKUP(B28,Sheet1!$AQ$4:$AR$25,2,FALSE)</f>
        <v>0</v>
      </c>
      <c r="B28" s="93" t="str">
        <f>Sheet1!$K$22</f>
        <v>West Berkshire</v>
      </c>
      <c r="C28" s="85"/>
      <c r="D28" s="94">
        <f>IF(Year1_West_Berkshire Year1_ReReferrals="","",Year1_West_Berkshire Year1_ReReferrals)</f>
        <v>219</v>
      </c>
      <c r="E28" s="100">
        <f>IF(Year2_West_Berkshire Year2_ReReferrals="","",Year2_West_Berkshire Year2_ReReferrals)</f>
        <v>390</v>
      </c>
      <c r="F28" s="94">
        <f>IF(Year3_West_Berkshire Year3_ReReferrals="","",Year3_West_Berkshire Year3_ReReferrals)</f>
        <v>407</v>
      </c>
      <c r="G28" s="94">
        <f>IF(Year4_West_Berkshire Year4_ReReferrals="","",Year4_West_Berkshire Year4_ReReferrals)</f>
        <v>441</v>
      </c>
      <c r="H28" s="95">
        <f>IF(Year5_West_Berkshire Year5_ReReferrals="","",Year5_West_Berkshire Year5_ReReferrals)</f>
        <v>443</v>
      </c>
      <c r="I28" s="344">
        <f t="shared" si="6"/>
        <v>0.22812122308208413</v>
      </c>
      <c r="J28" s="96"/>
      <c r="K28" s="97">
        <f>IF(ISNUMBER(D28),D28/Population!D28*10000,NA())</f>
        <v>61.344537815126053</v>
      </c>
      <c r="L28" s="97">
        <f>IF(ISNUMBER(E28),E28/Population!E28*10000,NA())</f>
        <v>108.63509749303621</v>
      </c>
      <c r="M28" s="97">
        <f>IF(ISNUMBER(F28),F28/Population!F28*10000,NA())</f>
        <v>113.68715083798882</v>
      </c>
      <c r="N28" s="97">
        <f>IF(ISNUMBER(G28),G28/Population!G28*10000,NA())</f>
        <v>123.87640449438202</v>
      </c>
      <c r="O28" s="98">
        <f>IF(ISNUMBER(H28),H28/Population!H28*10000,NA())</f>
        <v>124.438202247191</v>
      </c>
      <c r="P28" s="99">
        <f t="shared" si="7"/>
        <v>124.438202247191</v>
      </c>
      <c r="Q28" s="933">
        <f t="shared" si="8"/>
        <v>8</v>
      </c>
      <c r="R28" s="70"/>
      <c r="S28" s="340">
        <f>IDACI!C27</f>
        <v>8.6999999999999993</v>
      </c>
      <c r="T28" s="341">
        <f t="shared" si="0"/>
        <v>91.344134511974062</v>
      </c>
      <c r="U28" s="342">
        <f t="shared" si="9"/>
        <v>33.094067735216939</v>
      </c>
      <c r="V28" s="122"/>
      <c r="W28" s="139"/>
      <c r="X28" s="152"/>
      <c r="Y28" s="72" t="str">
        <f t="shared" si="1"/>
        <v>West Berkshire</v>
      </c>
      <c r="Z28" s="44">
        <f>IF(ISNUMBER($H28),IDACI!D27,0)</f>
        <v>31625</v>
      </c>
      <c r="AA28" s="44">
        <f>IF(ISNUMBER($H28),IDACI!E27,0)</f>
        <v>2751.375</v>
      </c>
      <c r="AB28" s="205">
        <f>IF(ISNUMBER(D28),Population!D28,"")</f>
        <v>35700</v>
      </c>
      <c r="AC28" s="205">
        <f>IF(ISNUMBER(E28),Population!E28,"")</f>
        <v>35900</v>
      </c>
      <c r="AD28" s="205">
        <f>IF(ISNUMBER(F28),Population!F28,"")</f>
        <v>35800</v>
      </c>
      <c r="AE28" s="205">
        <f>IF(ISNUMBER(G28),Population!G28,"")</f>
        <v>35600</v>
      </c>
      <c r="AF28" s="205">
        <f>IF(ISNUMBER(H28),Population!H28,"")</f>
        <v>35600</v>
      </c>
      <c r="AG28" s="93" t="s">
        <v>16</v>
      </c>
      <c r="AH28" s="231">
        <f t="shared" si="10"/>
        <v>107.92079207920791</v>
      </c>
      <c r="AI28" s="206">
        <f t="shared" si="11"/>
        <v>7</v>
      </c>
      <c r="AJ28" s="202"/>
      <c r="AK28" s="160"/>
      <c r="AL28" s="853">
        <f t="shared" si="2"/>
        <v>0.78082191780821919</v>
      </c>
      <c r="AM28" s="853">
        <f t="shared" si="3"/>
        <v>4.3589743589743588E-2</v>
      </c>
      <c r="AN28" s="853">
        <f t="shared" si="4"/>
        <v>8.3538083538083535E-2</v>
      </c>
      <c r="AO28" s="853">
        <f t="shared" si="5"/>
        <v>4.5351473922902496E-3</v>
      </c>
      <c r="AP28" s="853">
        <f t="shared" si="12"/>
        <v>0.22812122308208413</v>
      </c>
      <c r="AR28" s="74"/>
      <c r="AS28" s="74"/>
      <c r="AT28" s="74"/>
      <c r="AU28" s="74"/>
      <c r="AV28" s="74"/>
      <c r="AW28" s="74"/>
      <c r="AX28" s="74"/>
      <c r="AY28" s="74"/>
    </row>
    <row r="29" spans="1:51" s="87" customFormat="1" ht="13.5" customHeight="1" x14ac:dyDescent="0.2">
      <c r="A29" s="488">
        <f>VLOOKUP(B29,Sheet1!$AQ$4:$AR$25,2,FALSE)</f>
        <v>0</v>
      </c>
      <c r="B29" s="93" t="str">
        <f>Sheet1!$K$23</f>
        <v>West Sussex</v>
      </c>
      <c r="C29" s="85"/>
      <c r="D29" s="94">
        <f>IF(Year1_West_Sussex Year1_ReReferrals="","",Year1_West_Sussex Year1_ReReferrals)</f>
        <v>1986.999999999997</v>
      </c>
      <c r="E29" s="100">
        <f>IF(Year2_West_Sussex Year2_ReReferrals="","",Year2_West_Sussex Year2_ReReferrals)</f>
        <v>2209</v>
      </c>
      <c r="F29" s="94">
        <f>IF(Year3_West_Sussex Year3_ReReferrals="","",Year3_West_Sussex Year3_ReReferrals)</f>
        <v>2679</v>
      </c>
      <c r="G29" s="94">
        <f>IF(Year4_West_Sussex Year4_ReReferrals="","",Year4_West_Sussex Year4_ReReferrals)</f>
        <v>2446</v>
      </c>
      <c r="H29" s="95">
        <f>IF(Year5_West_Sussex Year5_ReReferrals="","",Year5_West_Sussex Year5_ReReferrals)</f>
        <v>2654</v>
      </c>
      <c r="I29" s="344">
        <f t="shared" si="6"/>
        <v>8.0639055405021878E-2</v>
      </c>
      <c r="J29" s="96"/>
      <c r="K29" s="97">
        <f>IF(ISNUMBER(D29),D29/Population!D29*10000,NA())</f>
        <v>116.60798122065709</v>
      </c>
      <c r="L29" s="97">
        <f>IF(ISNUMBER(E29),E29/Population!E29*10000,NA())</f>
        <v>128.57974388824215</v>
      </c>
      <c r="M29" s="97">
        <f>IF(ISNUMBER(F29),F29/Population!F29*10000,NA())</f>
        <v>154.5874206578188</v>
      </c>
      <c r="N29" s="97">
        <f>IF(ISNUMBER(G29),G29/Population!G29*10000,NA())</f>
        <v>140.01144819690899</v>
      </c>
      <c r="O29" s="98">
        <f>IF(ISNUMBER(H29),H29/Population!H29*10000,NA())</f>
        <v>150.70982396365702</v>
      </c>
      <c r="P29" s="99">
        <f t="shared" si="7"/>
        <v>150.70982396365702</v>
      </c>
      <c r="Q29" s="933">
        <f t="shared" si="8"/>
        <v>10</v>
      </c>
      <c r="R29" s="70"/>
      <c r="S29" s="340">
        <f>IDACI!C28</f>
        <v>11</v>
      </c>
      <c r="T29" s="341">
        <f t="shared" si="0"/>
        <v>99.843226894708948</v>
      </c>
      <c r="U29" s="342">
        <f t="shared" si="9"/>
        <v>50.866597068948067</v>
      </c>
      <c r="V29" s="122"/>
      <c r="W29" s="139"/>
      <c r="X29" s="152"/>
      <c r="Y29" s="72" t="str">
        <f t="shared" si="1"/>
        <v>West Sussex</v>
      </c>
      <c r="Z29" s="44">
        <f>IF(ISNUMBER($H29),IDACI!D28,0)</f>
        <v>151487</v>
      </c>
      <c r="AA29" s="44">
        <f>IF(ISNUMBER($H29),IDACI!E28,0)</f>
        <v>16663.57</v>
      </c>
      <c r="AB29" s="205">
        <f>IF(ISNUMBER(D29),Population!D29,"")</f>
        <v>170400</v>
      </c>
      <c r="AC29" s="205">
        <f>IF(ISNUMBER(E29),Population!E29,"")</f>
        <v>171800</v>
      </c>
      <c r="AD29" s="205">
        <f>IF(ISNUMBER(F29),Population!F29,"")</f>
        <v>173300</v>
      </c>
      <c r="AE29" s="205">
        <f>IF(ISNUMBER(G29),Population!G29,"")</f>
        <v>174700</v>
      </c>
      <c r="AF29" s="205">
        <f>IF(ISNUMBER(H29),Population!H29,"")</f>
        <v>176100</v>
      </c>
      <c r="AG29" s="202"/>
      <c r="AH29" s="202"/>
      <c r="AI29" s="190"/>
      <c r="AJ29" s="202"/>
      <c r="AK29" s="160"/>
      <c r="AL29" s="853">
        <f t="shared" si="2"/>
        <v>0.11172622043281494</v>
      </c>
      <c r="AM29" s="853">
        <f t="shared" si="3"/>
        <v>0.21276595744680851</v>
      </c>
      <c r="AN29" s="853">
        <f t="shared" si="4"/>
        <v>-8.6972751026502426E-2</v>
      </c>
      <c r="AO29" s="853">
        <f t="shared" si="5"/>
        <v>8.5036794766966475E-2</v>
      </c>
      <c r="AP29" s="853">
        <f t="shared" si="12"/>
        <v>8.0639055405021878E-2</v>
      </c>
      <c r="AR29" s="74"/>
      <c r="AS29" s="74"/>
      <c r="AT29" s="74"/>
      <c r="AU29" s="74"/>
      <c r="AV29" s="74"/>
      <c r="AW29" s="74"/>
      <c r="AX29" s="74"/>
      <c r="AY29" s="74"/>
    </row>
    <row r="30" spans="1:51" s="87" customFormat="1" ht="13.5" customHeight="1" x14ac:dyDescent="0.2">
      <c r="A30" s="488">
        <f>VLOOKUP(B30,Sheet1!$AQ$4:$AR$25,2,FALSE)</f>
        <v>0</v>
      </c>
      <c r="B30" s="93" t="str">
        <f>Sheet1!$K$24</f>
        <v>Windsor &amp; Maidenhead</v>
      </c>
      <c r="C30" s="85"/>
      <c r="D30" s="100">
        <f>IF(Year1_Windsor_Maidenhead Year1_ReReferrals="","",Year1_Windsor_Maidenhead Year1_ReReferrals)</f>
        <v>193</v>
      </c>
      <c r="E30" s="94">
        <f>IF(Year2_Windsor_Maidenhead Year2_ReReferrals="","",Year2_Windsor_Maidenhead Year2_ReReferrals)</f>
        <v>117</v>
      </c>
      <c r="F30" s="94">
        <f>IF(Year3_Windsor_Maidenhead Year3_ReReferrals="","",Year3_Windsor_Maidenhead Year3_ReReferrals)</f>
        <v>166</v>
      </c>
      <c r="G30" s="94">
        <f>IF(Year4_Windsor_Maidenhead Year4_ReReferrals="","",Year4_Windsor_Maidenhead Year4_ReReferrals)</f>
        <v>238</v>
      </c>
      <c r="H30" s="95">
        <f>IF(Year5_Windsor_Maidenhead Year5_ReReferrals="","",Year5_Windsor_Maidenhead Year5_ReReferrals)</f>
        <v>214</v>
      </c>
      <c r="I30" s="344">
        <f t="shared" si="6"/>
        <v>8.9478909752078006E-2</v>
      </c>
      <c r="J30" s="96"/>
      <c r="K30" s="97">
        <f>IF(ISNUMBER(D30),D30/Population!D30*10000,NA())</f>
        <v>57.270029673590507</v>
      </c>
      <c r="L30" s="97">
        <f>IF(ISNUMBER(E30),E30/Population!E30*10000,NA())</f>
        <v>34.210526315789473</v>
      </c>
      <c r="M30" s="97">
        <f>IF(ISNUMBER(F30),F30/Population!F30*10000,NA())</f>
        <v>48.255813953488371</v>
      </c>
      <c r="N30" s="97">
        <f>IF(ISNUMBER(G30),G30/Population!G30*10000,NA())</f>
        <v>68.786127167630056</v>
      </c>
      <c r="O30" s="98">
        <f>IF(ISNUMBER(H30),H30/Population!H30*10000,NA())</f>
        <v>61.671469740634002</v>
      </c>
      <c r="P30" s="99">
        <f t="shared" si="7"/>
        <v>61.671469740634002</v>
      </c>
      <c r="Q30" s="933">
        <f t="shared" si="8"/>
        <v>1</v>
      </c>
      <c r="R30" s="70"/>
      <c r="S30" s="340">
        <f>IDACI!C29</f>
        <v>6.7</v>
      </c>
      <c r="T30" s="341">
        <f t="shared" si="0"/>
        <v>83.953619396552426</v>
      </c>
      <c r="U30" s="342">
        <f t="shared" si="9"/>
        <v>-22.282149655918424</v>
      </c>
      <c r="V30" s="122"/>
      <c r="W30" s="139"/>
      <c r="X30" s="152"/>
      <c r="Y30" s="72" t="str">
        <f t="shared" si="1"/>
        <v>Windsor &amp; Maidenhead</v>
      </c>
      <c r="Z30" s="44">
        <f>IF(ISNUMBER($H30),IDACI!D29,0)</f>
        <v>29792</v>
      </c>
      <c r="AA30" s="44">
        <f>IF(ISNUMBER($H30),IDACI!E29,0)</f>
        <v>1996.0640000000001</v>
      </c>
      <c r="AB30" s="205">
        <f>IF(ISNUMBER(D30),Population!D30,"")</f>
        <v>33700</v>
      </c>
      <c r="AC30" s="205">
        <f>IF(ISNUMBER(E30),Population!E30,"")</f>
        <v>34200</v>
      </c>
      <c r="AD30" s="205">
        <f>IF(ISNUMBER(F30),Population!F30,"")</f>
        <v>34400</v>
      </c>
      <c r="AE30" s="205">
        <f>IF(ISNUMBER(G30),Population!G30,"")</f>
        <v>34600</v>
      </c>
      <c r="AF30" s="205">
        <f>IF(ISNUMBER(H30),Population!H30,"")</f>
        <v>34700</v>
      </c>
      <c r="AG30" s="202"/>
      <c r="AH30" s="202"/>
      <c r="AI30" s="190"/>
      <c r="AJ30" s="202"/>
      <c r="AK30" s="160"/>
      <c r="AL30" s="853">
        <f t="shared" si="2"/>
        <v>-0.39378238341968913</v>
      </c>
      <c r="AM30" s="853">
        <f t="shared" si="3"/>
        <v>0.41880341880341881</v>
      </c>
      <c r="AN30" s="853">
        <f t="shared" si="4"/>
        <v>0.43373493975903615</v>
      </c>
      <c r="AO30" s="853">
        <f t="shared" si="5"/>
        <v>-0.10084033613445378</v>
      </c>
      <c r="AP30" s="853">
        <f t="shared" si="12"/>
        <v>8.9478909752078006E-2</v>
      </c>
      <c r="AR30" s="74"/>
      <c r="AS30" s="74"/>
      <c r="AT30" s="74"/>
      <c r="AU30" s="74"/>
      <c r="AV30" s="74"/>
      <c r="AW30" s="74"/>
      <c r="AX30" s="74"/>
      <c r="AY30" s="74"/>
    </row>
    <row r="31" spans="1:51" s="87" customFormat="1" ht="13.5" customHeight="1" x14ac:dyDescent="0.2">
      <c r="A31" s="488">
        <f>VLOOKUP(B31,Sheet1!$AQ$4:$AR$25,2,FALSE)</f>
        <v>0</v>
      </c>
      <c r="B31" s="93" t="str">
        <f>Sheet1!$K$25</f>
        <v>Wokingham</v>
      </c>
      <c r="C31" s="85"/>
      <c r="D31" s="100">
        <f>IF(Year1_Wokingham Year1_ReReferrals="","",Year1_Wokingham Year1_ReReferrals)</f>
        <v>195</v>
      </c>
      <c r="E31" s="94">
        <f>IF(Year2_Wokingham Year2_ReReferrals="","",Year2_Wokingham Year2_ReReferrals)</f>
        <v>170</v>
      </c>
      <c r="F31" s="94">
        <f>IF(Year3_Wokingham Year3_ReReferrals="","",Year3_Wokingham Year3_ReReferrals)</f>
        <v>227</v>
      </c>
      <c r="G31" s="94">
        <f>IF(Year4_Wokingham Year4_ReReferrals="","",Year4_Wokingham Year4_ReReferrals)</f>
        <v>359</v>
      </c>
      <c r="H31" s="95">
        <f>IF(Year5_Wokingham Year5_ReReferrals="","",Year5_Wokingham Year5_ReReferrals)</f>
        <v>436</v>
      </c>
      <c r="I31" s="344">
        <f t="shared" si="6"/>
        <v>0.25076786661612427</v>
      </c>
      <c r="J31" s="96"/>
      <c r="K31" s="97">
        <f>IF(ISNUMBER(D31),D31/Population!D31*10000,NA())</f>
        <v>52.278820375335123</v>
      </c>
      <c r="L31" s="97">
        <f>IF(ISNUMBER(E31),E31/Population!E31*10000,NA())</f>
        <v>44.736842105263158</v>
      </c>
      <c r="M31" s="97">
        <f>IF(ISNUMBER(F31),F31/Population!F31*10000,NA())</f>
        <v>58.656330749354005</v>
      </c>
      <c r="N31" s="97">
        <f>IF(ISNUMBER(G31),G31/Population!G31*10000,NA())</f>
        <v>90.886075949367097</v>
      </c>
      <c r="O31" s="98">
        <f>IF(ISNUMBER(H31),H31/Population!H31*10000,NA())</f>
        <v>107.92079207920791</v>
      </c>
      <c r="P31" s="99">
        <f t="shared" si="7"/>
        <v>107.92079207920791</v>
      </c>
      <c r="Q31" s="933">
        <f t="shared" si="8"/>
        <v>7</v>
      </c>
      <c r="R31" s="70"/>
      <c r="S31" s="340">
        <f>IDACI!C30</f>
        <v>5.6000000000000005</v>
      </c>
      <c r="T31" s="341">
        <f t="shared" si="0"/>
        <v>79.88883608307053</v>
      </c>
      <c r="U31" s="342">
        <f t="shared" si="9"/>
        <v>28.031955996137384</v>
      </c>
      <c r="V31" s="122"/>
      <c r="W31" s="139"/>
      <c r="X31" s="152"/>
      <c r="Y31" s="72" t="str">
        <f t="shared" si="1"/>
        <v>Wokingham</v>
      </c>
      <c r="Z31" s="44">
        <f>IF(ISNUMBER($H31),IDACI!D30,0)</f>
        <v>33327</v>
      </c>
      <c r="AA31" s="44">
        <f>IF(ISNUMBER($H31),IDACI!E30,0)</f>
        <v>1866.3120000000004</v>
      </c>
      <c r="AB31" s="205">
        <f>IF(ISNUMBER(D31),Population!D31,"")</f>
        <v>37300</v>
      </c>
      <c r="AC31" s="205">
        <f>IF(ISNUMBER(E31),Population!E31,"")</f>
        <v>38000</v>
      </c>
      <c r="AD31" s="205">
        <f>IF(ISNUMBER(F31),Population!F31,"")</f>
        <v>38700</v>
      </c>
      <c r="AE31" s="205">
        <f>IF(ISNUMBER(G31),Population!G31,"")</f>
        <v>39500</v>
      </c>
      <c r="AF31" s="205">
        <f>IF(ISNUMBER(H31),Population!H31,"")</f>
        <v>40400</v>
      </c>
      <c r="AG31" s="202"/>
      <c r="AH31" s="202"/>
      <c r="AI31" s="190"/>
      <c r="AJ31" s="202"/>
      <c r="AK31" s="160"/>
      <c r="AL31" s="853">
        <f t="shared" si="2"/>
        <v>-0.12820512820512819</v>
      </c>
      <c r="AM31" s="853">
        <f t="shared" si="3"/>
        <v>0.3352941176470588</v>
      </c>
      <c r="AN31" s="853">
        <f t="shared" si="4"/>
        <v>0.58149779735682816</v>
      </c>
      <c r="AO31" s="853">
        <f t="shared" si="5"/>
        <v>0.21448467966573817</v>
      </c>
      <c r="AP31" s="853">
        <f t="shared" si="12"/>
        <v>0.25076786661612427</v>
      </c>
      <c r="AR31" s="74"/>
      <c r="AS31" s="74"/>
      <c r="AT31" s="74"/>
      <c r="AU31" s="74"/>
      <c r="AV31" s="74"/>
      <c r="AW31" s="74"/>
      <c r="AX31" s="74"/>
      <c r="AY31" s="74"/>
    </row>
    <row r="32" spans="1:51" s="87" customFormat="1" ht="13.5" customHeight="1" x14ac:dyDescent="0.2">
      <c r="A32" s="121"/>
      <c r="B32" s="129" t="str">
        <f>Sheet1!$K$26</f>
        <v>South East</v>
      </c>
      <c r="C32" s="85"/>
      <c r="D32" s="130">
        <f>IF(Year1_SouthEast Year1_ReReferrals="","",Year1_SouthEast Year1_ReReferrals)</f>
        <v>22960</v>
      </c>
      <c r="E32" s="130">
        <f>IF(Year2_SouthEast Year2_ReReferrals="","",Year2_SouthEast Year2_ReReferrals)</f>
        <v>27490</v>
      </c>
      <c r="F32" s="130">
        <f>IF(Year3_SouthEast Year3_ReReferrals="","",Year3_SouthEast Year3_ReReferrals)</f>
        <v>26840</v>
      </c>
      <c r="G32" s="130">
        <f>IF(Year4_SouthEast Year4_ReReferrals="","",Year4_SouthEast Year4_ReReferrals)</f>
        <v>26840</v>
      </c>
      <c r="H32" s="425">
        <f>IF(Year5_SouthEast Year5_ReReferrals="","",Year5_SouthEast Year5_ReReferrals)</f>
        <v>29800</v>
      </c>
      <c r="I32" s="357">
        <f t="shared" si="6"/>
        <v>6.3918206883802231E-2</v>
      </c>
      <c r="J32" s="96"/>
      <c r="K32" s="132">
        <f>IF(ISNUMBER(D32),D32/AB32*10000,NA())</f>
        <v>119.70178822793389</v>
      </c>
      <c r="L32" s="132">
        <f>IF(ISNUMBER(E32),E32/AC32*10000,NA())</f>
        <v>142.20681806424915</v>
      </c>
      <c r="M32" s="132">
        <f>IF(ISNUMBER(F32),F32/AD32*10000,NA())</f>
        <v>138.0729461392047</v>
      </c>
      <c r="N32" s="132">
        <f>IF(ISNUMBER(G32),G32/AE32*10000,NA())</f>
        <v>137.12067027689793</v>
      </c>
      <c r="O32" s="133">
        <f>IF(ISNUMBER(H32),H32/AF32*10000,NA())</f>
        <v>151.33048953889903</v>
      </c>
      <c r="P32" s="99">
        <f t="shared" si="7"/>
        <v>151.33048953889903</v>
      </c>
      <c r="Q32" s="931" t="str">
        <f t="shared" si="8"/>
        <v>--</v>
      </c>
      <c r="R32" s="70"/>
      <c r="S32" s="338">
        <f>AA32/Z32*100</f>
        <v>12.371268250968637</v>
      </c>
      <c r="T32" s="338">
        <f t="shared" si="0"/>
        <v>104.91041626274971</v>
      </c>
      <c r="U32" s="343">
        <f t="shared" si="9"/>
        <v>46.420073276149324</v>
      </c>
      <c r="V32" s="122"/>
      <c r="W32" s="139"/>
      <c r="X32" s="152"/>
      <c r="Y32" s="72" t="str">
        <f t="shared" si="1"/>
        <v>South East</v>
      </c>
      <c r="Z32" s="44">
        <f>SUM(Z24:Z25,Z10:Z22,Z28:Z31)</f>
        <v>1704978</v>
      </c>
      <c r="AA32" s="44">
        <f>SUM(AA24:AA25,AA10:AA22,AA28:AA31)</f>
        <v>210927.40200000003</v>
      </c>
      <c r="AB32" s="205">
        <f>SUM(AB10:AB22,AB24:AB25,AB28:AB31)</f>
        <v>1918100</v>
      </c>
      <c r="AC32" s="205">
        <f t="shared" ref="AC32:AF32" si="13">SUM(AC10:AC22,AC24:AC25,AC28:AC31)</f>
        <v>1933100</v>
      </c>
      <c r="AD32" s="205">
        <f t="shared" si="13"/>
        <v>1943900</v>
      </c>
      <c r="AE32" s="205">
        <f t="shared" si="13"/>
        <v>1957400</v>
      </c>
      <c r="AF32" s="205">
        <f t="shared" si="13"/>
        <v>1969200</v>
      </c>
      <c r="AG32" s="202"/>
      <c r="AH32" s="202"/>
      <c r="AI32" s="190"/>
      <c r="AJ32" s="202"/>
      <c r="AK32" s="160"/>
      <c r="AL32" s="853">
        <f>IF(ISERROR((L32-K32)/K32),"x",(L32-K32)/K32)</f>
        <v>0.18800913645050654</v>
      </c>
      <c r="AM32" s="853">
        <f t="shared" ref="AM32:AO32" si="14">IF(ISERROR((M32-L32)/L32),"x",(M32-L32)/L32)</f>
        <v>-2.9069435497647934E-2</v>
      </c>
      <c r="AN32" s="853">
        <f t="shared" si="14"/>
        <v>-6.8969040564014318E-3</v>
      </c>
      <c r="AO32" s="853">
        <f t="shared" si="14"/>
        <v>0.10363003063875173</v>
      </c>
      <c r="AP32" s="853">
        <f t="shared" si="12"/>
        <v>6.3918206883802231E-2</v>
      </c>
      <c r="AR32" s="74"/>
      <c r="AS32" s="74"/>
      <c r="AT32" s="74"/>
      <c r="AU32" s="74"/>
      <c r="AV32" s="74"/>
      <c r="AW32" s="74"/>
      <c r="AX32" s="74"/>
      <c r="AY32" s="74"/>
    </row>
    <row r="33" spans="1:51" s="87" customFormat="1" ht="12.75" x14ac:dyDescent="0.2">
      <c r="A33" s="292"/>
      <c r="B33" s="329" t="str">
        <f>Sheet1!$K$27</f>
        <v>England</v>
      </c>
      <c r="C33" s="85"/>
      <c r="D33" s="330">
        <f>IF(Year1_England Year1_ReReferrals="","",Year1_England Year1_ReReferrals)</f>
        <v>138700</v>
      </c>
      <c r="E33" s="330">
        <f>IF(Year2_England Year2_ReReferrals="","",Year2_England Year2_ReReferrals)</f>
        <v>141560</v>
      </c>
      <c r="F33" s="330">
        <f>IF(Year3_England Year3_ReReferrals="","",Year3_England Year3_ReReferrals)</f>
        <v>143810</v>
      </c>
      <c r="G33" s="330">
        <f>IF(Year4_England Year4_ReReferrals="","",Year4_England Year4_ReReferrals)</f>
        <v>147150</v>
      </c>
      <c r="H33" s="426">
        <f>IF(Year5_England Year5_ReReferrals="","",Year5_England Year5_ReReferrals)</f>
        <v>145390</v>
      </c>
      <c r="I33" s="358">
        <f t="shared" si="6"/>
        <v>1.1944716977332509E-2</v>
      </c>
      <c r="J33" s="96"/>
      <c r="K33" s="332">
        <f>IF(ISNUMBER(D33),D33/Population!D33*10000,NA())</f>
        <v>118.77135443872615</v>
      </c>
      <c r="L33" s="332">
        <f>IF(ISNUMBER(E33),E33/Population!E33*10000,NA())</f>
        <v>120.11573740167836</v>
      </c>
      <c r="M33" s="332">
        <f>IF(ISNUMBER(F33),F33/Population!F33*10000,NA())</f>
        <v>121.18479817982642</v>
      </c>
      <c r="N33" s="332">
        <f>IF(ISNUMBER(G33),G33/Population!G33*10000,NA())</f>
        <v>123.09069312231274</v>
      </c>
      <c r="O33" s="333">
        <f>IF(ISNUMBER(H33),H33/Population!H33*10000,NA())</f>
        <v>120.9205229714894</v>
      </c>
      <c r="P33" s="99">
        <f t="shared" si="7"/>
        <v>120.9205229714894</v>
      </c>
      <c r="Q33" s="932" t="str">
        <f t="shared" si="8"/>
        <v>--</v>
      </c>
      <c r="R33" s="70"/>
      <c r="S33" s="339">
        <f>IDACI!C32</f>
        <v>17.084413405029373</v>
      </c>
      <c r="T33" s="339">
        <f t="shared" si="0"/>
        <v>122.32670151388076</v>
      </c>
      <c r="U33" s="624">
        <f t="shared" si="9"/>
        <v>-1.4061785423913591</v>
      </c>
      <c r="V33" s="122"/>
      <c r="W33" s="139"/>
      <c r="X33" s="152"/>
      <c r="Y33" s="72" t="str">
        <f t="shared" si="1"/>
        <v>England</v>
      </c>
      <c r="Z33" s="44">
        <f>IF(H33&gt;0,IDACI!D32,0)</f>
        <v>10405050</v>
      </c>
      <c r="AA33" s="44">
        <f>IF(H33&gt;0,IDACI!E32,0)</f>
        <v>1777641.7570000088</v>
      </c>
      <c r="AB33" s="205">
        <f>IF(ISNUMBER(D33),Population!D33,"")</f>
        <v>11677900</v>
      </c>
      <c r="AC33" s="205">
        <f>IF(ISNUMBER(E33),Population!E33,"")</f>
        <v>11785300</v>
      </c>
      <c r="AD33" s="205">
        <f>IF(ISNUMBER(F33),Population!F33,"")</f>
        <v>11867000</v>
      </c>
      <c r="AE33" s="205">
        <f>IF(ISNUMBER(G33),Population!G33,"")</f>
        <v>11954600</v>
      </c>
      <c r="AF33" s="205">
        <f>IF(ISNUMBER(H33),Population!H33,"")</f>
        <v>12023600</v>
      </c>
      <c r="AG33" s="202"/>
      <c r="AH33" s="202"/>
      <c r="AI33" s="190"/>
      <c r="AJ33" s="202"/>
      <c r="AK33" s="160"/>
      <c r="AL33" s="853">
        <f t="shared" si="2"/>
        <v>2.0620043258832012E-2</v>
      </c>
      <c r="AM33" s="853">
        <f t="shared" si="3"/>
        <v>1.5894320429499859E-2</v>
      </c>
      <c r="AN33" s="853">
        <f t="shared" si="4"/>
        <v>2.3225088658646826E-2</v>
      </c>
      <c r="AO33" s="853">
        <f t="shared" si="5"/>
        <v>-1.1960584437648658E-2</v>
      </c>
      <c r="AP33" s="853">
        <f>AVERAGE(AL33:AO33)</f>
        <v>1.1944716977332509E-2</v>
      </c>
      <c r="AR33" s="74"/>
      <c r="AS33" s="74"/>
      <c r="AT33" s="74"/>
      <c r="AU33" s="74"/>
      <c r="AV33" s="74"/>
      <c r="AW33" s="74"/>
      <c r="AX33" s="74"/>
      <c r="AY33" s="74"/>
    </row>
    <row r="34" spans="1:51" s="81" customFormat="1" ht="13.5" customHeight="1" x14ac:dyDescent="0.2">
      <c r="A34" s="118"/>
      <c r="B34" s="123" t="s">
        <v>90</v>
      </c>
      <c r="C34" s="63"/>
      <c r="D34" s="63"/>
      <c r="E34" s="63"/>
      <c r="F34" s="63"/>
      <c r="G34" s="63"/>
      <c r="H34" s="63"/>
      <c r="I34" s="63"/>
      <c r="J34" s="63"/>
      <c r="K34" s="63"/>
      <c r="L34" s="63"/>
      <c r="M34" s="63"/>
      <c r="N34" s="63"/>
      <c r="O34" s="63"/>
      <c r="P34" s="63"/>
      <c r="Q34" s="136" t="s">
        <v>108</v>
      </c>
      <c r="S34" s="63"/>
      <c r="T34" s="63"/>
      <c r="U34" s="63"/>
      <c r="V34" s="117"/>
      <c r="W34" s="137"/>
      <c r="X34" s="150"/>
      <c r="Y34" s="80"/>
      <c r="Z34" s="184"/>
      <c r="AA34" s="184"/>
      <c r="AB34" s="184"/>
      <c r="AC34" s="184"/>
      <c r="AD34" s="184"/>
      <c r="AE34" s="184"/>
      <c r="AF34" s="184"/>
      <c r="AG34" s="184"/>
      <c r="AH34" s="184"/>
      <c r="AJ34" s="184"/>
      <c r="AK34" s="161"/>
      <c r="AR34" s="74"/>
      <c r="AS34" s="74"/>
      <c r="AT34" s="74"/>
      <c r="AU34" s="74"/>
      <c r="AV34" s="74"/>
      <c r="AW34" s="74"/>
      <c r="AX34" s="74"/>
      <c r="AY34" s="74"/>
    </row>
    <row r="35" spans="1:51" s="81" customFormat="1" ht="26.25" customHeight="1" x14ac:dyDescent="0.2">
      <c r="A35" s="118"/>
      <c r="B35" s="1762" t="s">
        <v>729</v>
      </c>
      <c r="C35" s="1825"/>
      <c r="D35" s="1825"/>
      <c r="E35" s="1825"/>
      <c r="F35" s="1825"/>
      <c r="G35" s="1825"/>
      <c r="H35" s="1825"/>
      <c r="I35" s="1825"/>
      <c r="J35" s="1825"/>
      <c r="K35" s="1825"/>
      <c r="L35" s="1825"/>
      <c r="M35" s="1825"/>
      <c r="N35" s="1825"/>
      <c r="O35" s="1825"/>
      <c r="P35" s="1825"/>
      <c r="Q35" s="1825"/>
      <c r="R35" s="1825"/>
      <c r="S35" s="1825"/>
      <c r="T35" s="1825"/>
      <c r="U35" s="1826"/>
      <c r="V35" s="117"/>
      <c r="W35" s="137"/>
      <c r="X35" s="150"/>
      <c r="Y35" s="80"/>
      <c r="Z35" s="184"/>
      <c r="AA35" s="184"/>
      <c r="AB35" s="184"/>
      <c r="AC35" s="184"/>
      <c r="AD35" s="184"/>
      <c r="AE35" s="184"/>
      <c r="AF35" s="184"/>
      <c r="AG35" s="184"/>
      <c r="AH35" s="184"/>
      <c r="AJ35" s="184"/>
      <c r="AK35" s="157"/>
      <c r="AL35" s="74"/>
      <c r="AM35" s="74"/>
      <c r="AN35" s="74"/>
      <c r="AO35" s="74"/>
      <c r="AP35" s="74"/>
      <c r="AQ35" s="74"/>
      <c r="AR35" s="74"/>
    </row>
    <row r="36" spans="1:51" s="81" customFormat="1" ht="7.5" customHeight="1" x14ac:dyDescent="0.2">
      <c r="A36" s="118"/>
      <c r="B36" s="17"/>
      <c r="C36" s="17"/>
      <c r="D36" s="16"/>
      <c r="E36" s="16"/>
      <c r="F36" s="16"/>
      <c r="G36" s="16"/>
      <c r="H36" s="16"/>
      <c r="I36" s="16"/>
      <c r="J36" s="12"/>
      <c r="K36" s="18"/>
      <c r="L36" s="18"/>
      <c r="M36" s="18"/>
      <c r="N36" s="18"/>
      <c r="O36" s="18"/>
      <c r="P36" s="18"/>
      <c r="Q36" s="18"/>
      <c r="R36" s="18"/>
      <c r="S36" s="18"/>
      <c r="T36" s="18"/>
      <c r="U36" s="19"/>
      <c r="V36" s="117"/>
      <c r="W36" s="137"/>
      <c r="X36" s="150"/>
      <c r="Z36" s="190"/>
      <c r="AJ36" s="184"/>
      <c r="AK36" s="157"/>
      <c r="AL36" s="74"/>
      <c r="AM36" s="74"/>
      <c r="AN36" s="74"/>
      <c r="AO36" s="74"/>
      <c r="AP36" s="74"/>
      <c r="AQ36" s="74"/>
      <c r="AR36" s="74"/>
    </row>
    <row r="37" spans="1:51" s="81" customFormat="1" ht="15" customHeight="1" x14ac:dyDescent="0.2">
      <c r="A37" s="1716"/>
      <c r="B37" s="1760"/>
      <c r="C37" s="1760"/>
      <c r="D37" s="1760"/>
      <c r="E37" s="1760"/>
      <c r="F37" s="1760"/>
      <c r="G37" s="1760"/>
      <c r="H37" s="1760"/>
      <c r="I37" s="1760"/>
      <c r="J37" s="1760"/>
      <c r="K37" s="1760"/>
      <c r="L37" s="1760"/>
      <c r="M37" s="1760"/>
      <c r="N37" s="1760"/>
      <c r="O37" s="1760"/>
      <c r="P37" s="1760"/>
      <c r="Q37" s="1760"/>
      <c r="R37" s="1760"/>
      <c r="S37" s="1760"/>
      <c r="T37" s="1760"/>
      <c r="U37" s="1760"/>
      <c r="V37" s="1761"/>
      <c r="W37" s="137"/>
      <c r="X37" s="150"/>
      <c r="Z37" s="190"/>
      <c r="AK37" s="161"/>
      <c r="AM37" s="81">
        <f>COLUMNS($B$4:K$4)</f>
        <v>10</v>
      </c>
      <c r="AN37" s="81">
        <f>COLUMNS($B$4:L$4)</f>
        <v>11</v>
      </c>
      <c r="AO37" s="81">
        <f>COLUMNS($B$4:M$4)</f>
        <v>12</v>
      </c>
      <c r="AP37" s="81">
        <f>COLUMNS($B$4:N$4)</f>
        <v>13</v>
      </c>
      <c r="AQ37" s="81">
        <f>COLUMNS($B$4:O$4)</f>
        <v>14</v>
      </c>
      <c r="AR37" s="81">
        <f>COLUMNS($B$4:S$4)</f>
        <v>18</v>
      </c>
      <c r="AS37" s="81">
        <f>COLUMNS($B$4:D$4)</f>
        <v>3</v>
      </c>
      <c r="AT37" s="24">
        <f>COLUMNS($B$4:E$4)</f>
        <v>4</v>
      </c>
      <c r="AU37" s="24">
        <f>COLUMNS($B$4:F$4)</f>
        <v>5</v>
      </c>
      <c r="AV37" s="24">
        <f>COLUMNS($B$4:G$4)</f>
        <v>6</v>
      </c>
      <c r="AW37" s="23">
        <f>COLUMNS($B$4:H$4)</f>
        <v>7</v>
      </c>
    </row>
    <row r="38" spans="1:51" s="81" customFormat="1" ht="11.1" customHeight="1" x14ac:dyDescent="0.2">
      <c r="A38" s="1765" t="str">
        <f>Home!$A$39</f>
        <v xml:space="preserve"> </v>
      </c>
      <c r="B38" s="1766"/>
      <c r="C38" s="1766"/>
      <c r="D38" s="1766"/>
      <c r="E38" s="1766"/>
      <c r="F38" s="1766"/>
      <c r="G38" s="1766"/>
      <c r="H38" s="1766"/>
      <c r="I38" s="1767"/>
      <c r="J38" s="1766"/>
      <c r="K38" s="1766"/>
      <c r="L38" s="1766"/>
      <c r="M38" s="1766"/>
      <c r="N38" s="1766"/>
      <c r="O38" s="1766"/>
      <c r="P38" s="1768"/>
      <c r="Q38" s="1766"/>
      <c r="R38" s="1766"/>
      <c r="S38" s="1766"/>
      <c r="T38" s="1767"/>
      <c r="U38" s="1766"/>
      <c r="V38" s="1769"/>
      <c r="W38" s="137"/>
      <c r="X38" s="150"/>
      <c r="Z38" s="190"/>
      <c r="AJ38" s="184"/>
      <c r="AK38" s="160"/>
      <c r="AL38" s="87"/>
      <c r="AM38" s="321" t="s">
        <v>89</v>
      </c>
      <c r="AN38" s="322"/>
      <c r="AO38" s="322"/>
      <c r="AP38" s="322"/>
      <c r="AQ38" s="322"/>
      <c r="AR38" s="321" t="s">
        <v>1213</v>
      </c>
      <c r="AS38" s="55" t="s">
        <v>86</v>
      </c>
      <c r="AT38" s="24"/>
      <c r="AU38" s="24"/>
      <c r="AV38" s="24"/>
      <c r="AW38" s="23"/>
    </row>
    <row r="39" spans="1:51" s="81" customFormat="1" ht="11.25" customHeight="1" x14ac:dyDescent="0.2">
      <c r="A39" s="112"/>
      <c r="B39" s="113"/>
      <c r="C39" s="113"/>
      <c r="D39" s="113"/>
      <c r="E39" s="113"/>
      <c r="F39" s="113"/>
      <c r="G39" s="113"/>
      <c r="H39" s="113"/>
      <c r="I39" s="113"/>
      <c r="J39" s="114"/>
      <c r="K39" s="113"/>
      <c r="L39" s="113"/>
      <c r="M39" s="113"/>
      <c r="N39" s="113"/>
      <c r="O39" s="113"/>
      <c r="P39" s="113"/>
      <c r="Q39" s="113"/>
      <c r="R39" s="113"/>
      <c r="S39" s="113"/>
      <c r="T39" s="113"/>
      <c r="U39" s="113"/>
      <c r="V39" s="115"/>
      <c r="W39" s="137"/>
      <c r="X39" s="149" t="s">
        <v>101</v>
      </c>
      <c r="Y39" s="197"/>
      <c r="Z39" s="197"/>
      <c r="AA39" s="197"/>
      <c r="AB39" s="197"/>
      <c r="AC39" s="197"/>
      <c r="AJ39" s="184"/>
      <c r="AK39" s="160"/>
      <c r="AL39" s="87"/>
      <c r="AM39" s="321"/>
      <c r="AN39" s="321"/>
      <c r="AO39" s="321"/>
      <c r="AP39" s="321"/>
      <c r="AQ39" s="321"/>
      <c r="AR39" s="322"/>
      <c r="AS39" s="321"/>
      <c r="AT39" s="321"/>
      <c r="AU39" s="321"/>
      <c r="AV39" s="321"/>
      <c r="AW39" s="321"/>
    </row>
    <row r="40" spans="1:51" s="81" customFormat="1" ht="3.75" customHeight="1" x14ac:dyDescent="0.25">
      <c r="A40" s="116"/>
      <c r="B40" s="9"/>
      <c r="C40" s="9"/>
      <c r="D40" s="9"/>
      <c r="E40" s="9"/>
      <c r="F40" s="9"/>
      <c r="G40" s="9"/>
      <c r="H40" s="9"/>
      <c r="I40" s="9"/>
      <c r="J40" s="12"/>
      <c r="K40" s="9"/>
      <c r="L40" s="9"/>
      <c r="M40" s="9"/>
      <c r="N40" s="9"/>
      <c r="O40" s="9"/>
      <c r="P40" s="9"/>
      <c r="Q40" s="9"/>
      <c r="R40" s="9"/>
      <c r="S40" s="9"/>
      <c r="T40" s="9"/>
      <c r="U40" s="9"/>
      <c r="V40" s="117"/>
      <c r="W40" s="137"/>
      <c r="X40" s="294"/>
      <c r="AD40" s="1320" t="s">
        <v>977</v>
      </c>
      <c r="AK40" s="160"/>
      <c r="AL40" s="87"/>
      <c r="AM40" s="321" t="e">
        <f>D9</f>
        <v>#N/A</v>
      </c>
      <c r="AN40" s="321" t="e">
        <f>E9</f>
        <v>#N/A</v>
      </c>
      <c r="AO40" s="321" t="e">
        <f>F9</f>
        <v>#N/A</v>
      </c>
      <c r="AP40" s="321" t="e">
        <f>G9</f>
        <v>#N/A</v>
      </c>
      <c r="AQ40" s="321" t="e">
        <f>H9</f>
        <v>#N/A</v>
      </c>
      <c r="AR40" s="322"/>
      <c r="AS40" s="321" t="e">
        <f>K9</f>
        <v>#N/A</v>
      </c>
      <c r="AT40" s="321" t="e">
        <f>L9</f>
        <v>#N/A</v>
      </c>
      <c r="AU40" s="321" t="e">
        <f>M9</f>
        <v>#N/A</v>
      </c>
      <c r="AV40" s="321" t="e">
        <f>N9</f>
        <v>#N/A</v>
      </c>
      <c r="AW40" s="321" t="e">
        <f>O9</f>
        <v>#N/A</v>
      </c>
    </row>
    <row r="41" spans="1:51" s="81" customFormat="1" ht="14.25" customHeight="1" x14ac:dyDescent="0.2">
      <c r="A41" s="118"/>
      <c r="B41" s="9"/>
      <c r="C41" s="9"/>
      <c r="D41" s="9"/>
      <c r="E41" s="9"/>
      <c r="F41" s="9"/>
      <c r="G41" s="9"/>
      <c r="H41" s="9"/>
      <c r="I41" s="9"/>
      <c r="J41" s="12"/>
      <c r="K41" s="9"/>
      <c r="L41" s="9"/>
      <c r="M41" s="9"/>
      <c r="N41" s="9"/>
      <c r="O41" s="9"/>
      <c r="P41" s="9"/>
      <c r="Q41" s="9"/>
      <c r="R41" s="9"/>
      <c r="S41" s="9"/>
      <c r="T41" s="9"/>
      <c r="U41" s="9"/>
      <c r="V41" s="117"/>
      <c r="W41" s="137"/>
      <c r="X41" s="294"/>
      <c r="Y41" s="43" t="s">
        <v>72</v>
      </c>
      <c r="Z41" s="43" t="s">
        <v>70</v>
      </c>
      <c r="AA41" s="43" t="s">
        <v>71</v>
      </c>
      <c r="AB41" s="1194">
        <v>5</v>
      </c>
      <c r="AC41" s="216">
        <f>(AB41*Z42)+AA42</f>
        <v>95.511625860810199</v>
      </c>
      <c r="AD41" s="206">
        <f>ROUND(ChartLabels!$AA8,3)</f>
        <v>0.193</v>
      </c>
      <c r="AJ41" s="585" t="b">
        <v>1</v>
      </c>
      <c r="AK41" s="160" t="s">
        <v>0</v>
      </c>
      <c r="AL41" s="87" t="str">
        <f t="shared" ref="AL41:AL64" si="15">IF(AJ41=TRUE,B10,"")</f>
        <v>Bracknell Forest</v>
      </c>
      <c r="AM41" s="146">
        <f t="shared" ref="AM41:AQ50" si="16">VLOOKUP($AL41,$B$10:$O$33,AM$37,FALSE)</f>
        <v>79.787234042553166</v>
      </c>
      <c r="AN41" s="146">
        <f t="shared" si="16"/>
        <v>137.2340425531915</v>
      </c>
      <c r="AO41" s="146">
        <f t="shared" si="16"/>
        <v>152.31316725978647</v>
      </c>
      <c r="AP41" s="146">
        <f t="shared" si="16"/>
        <v>217.66784452296818</v>
      </c>
      <c r="AQ41" s="146">
        <f t="shared" si="16"/>
        <v>152.81690140845072</v>
      </c>
      <c r="AR41" s="147">
        <f>VLOOKUP(AL41,$B$10:$U$33,$AR$37,FALSE)</f>
        <v>8.9</v>
      </c>
      <c r="AS41" s="348">
        <f t="shared" ref="AS41:AW50" si="17">VLOOKUP($AL41,$B$112:$H$135,AS$37,FALSE)</f>
        <v>0.172281776416539</v>
      </c>
      <c r="AT41" s="348">
        <f t="shared" si="17"/>
        <v>0.23540145985401459</v>
      </c>
      <c r="AU41" s="348">
        <f t="shared" si="17"/>
        <v>0.23529411764705882</v>
      </c>
      <c r="AV41" s="348">
        <f t="shared" si="17"/>
        <v>0.27500000000000002</v>
      </c>
      <c r="AW41" s="348">
        <f t="shared" si="17"/>
        <v>0.25544437904649792</v>
      </c>
    </row>
    <row r="42" spans="1:51" s="81" customFormat="1" ht="14.25" customHeight="1" x14ac:dyDescent="0.2">
      <c r="A42" s="118"/>
      <c r="B42" s="9"/>
      <c r="C42" s="9"/>
      <c r="D42" s="9"/>
      <c r="E42" s="9"/>
      <c r="F42" s="9"/>
      <c r="G42" s="9"/>
      <c r="H42" s="9"/>
      <c r="I42" s="9"/>
      <c r="J42" s="12"/>
      <c r="K42" s="9"/>
      <c r="L42" s="9"/>
      <c r="M42" s="9"/>
      <c r="N42" s="9"/>
      <c r="O42" s="9"/>
      <c r="P42" s="9"/>
      <c r="Q42" s="9"/>
      <c r="R42" s="9"/>
      <c r="S42" s="9"/>
      <c r="T42" s="9"/>
      <c r="U42" s="9"/>
      <c r="V42" s="117"/>
      <c r="W42" s="137"/>
      <c r="X42" s="294"/>
      <c r="Y42" s="212" t="str">
        <f>"Y= "&amp;Z42&amp;"x + "&amp;AA42</f>
        <v>Y= 7.23163102949398x + 59.3534707133403</v>
      </c>
      <c r="Z42" s="743">
        <f>ChartLabels!$Y8</f>
        <v>7.2316310294939825</v>
      </c>
      <c r="AA42" s="743">
        <f>ChartLabels!$Z8</f>
        <v>59.353470713340286</v>
      </c>
      <c r="AB42" s="215">
        <v>35</v>
      </c>
      <c r="AC42" s="216">
        <f>(AB42*Z42)+AA42</f>
        <v>312.46055674562967</v>
      </c>
      <c r="AD42" s="1319" t="str">
        <f>$AD$40&amp;" = "&amp;AD41</f>
        <v>r² = 0.193</v>
      </c>
      <c r="AJ42" s="585" t="b">
        <v>1</v>
      </c>
      <c r="AK42" s="160" t="s">
        <v>31</v>
      </c>
      <c r="AL42" s="87" t="str">
        <f t="shared" si="15"/>
        <v>Brighton &amp; Hove</v>
      </c>
      <c r="AM42" s="146">
        <f t="shared" si="16"/>
        <v>215.03906250000014</v>
      </c>
      <c r="AN42" s="146">
        <f t="shared" si="16"/>
        <v>163.93762183235867</v>
      </c>
      <c r="AO42" s="146">
        <f t="shared" si="16"/>
        <v>185.68627450980392</v>
      </c>
      <c r="AP42" s="146">
        <f t="shared" si="16"/>
        <v>155.88235294117646</v>
      </c>
      <c r="AQ42" s="146">
        <f t="shared" si="16"/>
        <v>217.49502982107353</v>
      </c>
      <c r="AR42" s="147">
        <f t="shared" ref="AR42:AR64" si="18">VLOOKUP(AL42,$B$10:$U$33,$AR$37,FALSE)</f>
        <v>15.299999999999999</v>
      </c>
      <c r="AS42" s="348">
        <f t="shared" si="17"/>
        <v>0.32136602451838897</v>
      </c>
      <c r="AT42" s="348">
        <f t="shared" si="17"/>
        <v>0.24698972099853156</v>
      </c>
      <c r="AU42" s="348">
        <f t="shared" si="17"/>
        <v>0.28319377990430622</v>
      </c>
      <c r="AV42" s="348">
        <f t="shared" si="17"/>
        <v>0.24544612534732943</v>
      </c>
      <c r="AW42" s="348">
        <f t="shared" si="17"/>
        <v>0.3063567628115374</v>
      </c>
    </row>
    <row r="43" spans="1:51" ht="14.25" customHeight="1" x14ac:dyDescent="0.2">
      <c r="A43" s="118"/>
      <c r="B43" s="9"/>
      <c r="C43" s="9"/>
      <c r="D43" s="9"/>
      <c r="E43" s="9"/>
      <c r="F43" s="9"/>
      <c r="G43" s="9"/>
      <c r="H43" s="9"/>
      <c r="I43" s="9"/>
      <c r="J43" s="12"/>
      <c r="K43" s="9"/>
      <c r="L43" s="9"/>
      <c r="M43" s="9"/>
      <c r="N43" s="9"/>
      <c r="O43" s="9"/>
      <c r="P43" s="9"/>
      <c r="Q43" s="9"/>
      <c r="R43" s="9"/>
      <c r="S43" s="9"/>
      <c r="T43" s="9"/>
      <c r="U43" s="9"/>
      <c r="V43" s="117"/>
      <c r="W43" s="137"/>
      <c r="X43" s="294"/>
      <c r="Y43" s="43" t="str">
        <f>"National Trend "&amp;Sheet1!$B$8</f>
        <v>National Trend 2020</v>
      </c>
      <c r="Z43" s="209" t="s">
        <v>70</v>
      </c>
      <c r="AA43" s="43" t="s">
        <v>71</v>
      </c>
      <c r="AB43" s="1194">
        <v>5</v>
      </c>
      <c r="AC43" s="211">
        <f>((AB43*Z44)+AA44)/$Y$2</f>
        <v>77.671681548444042</v>
      </c>
      <c r="AD43" s="1319" t="str">
        <f>$AD$40&amp;" = "&amp;AD44</f>
        <v>r² = 0.113</v>
      </c>
      <c r="AJ43" s="585" t="b">
        <v>1</v>
      </c>
      <c r="AK43" s="160" t="s">
        <v>8</v>
      </c>
      <c r="AL43" s="87" t="str">
        <f t="shared" si="15"/>
        <v>Buckinghamshire</v>
      </c>
      <c r="AM43" s="146">
        <f t="shared" si="16"/>
        <v>152.65339966832482</v>
      </c>
      <c r="AN43" s="146">
        <f t="shared" si="16"/>
        <v>247.87234042553192</v>
      </c>
      <c r="AO43" s="146">
        <f t="shared" si="16"/>
        <v>261.33225020308691</v>
      </c>
      <c r="AP43" s="146">
        <f t="shared" si="16"/>
        <v>195.01206757843926</v>
      </c>
      <c r="AQ43" s="146">
        <f t="shared" si="16"/>
        <v>173.42879872712805</v>
      </c>
      <c r="AR43" s="147">
        <f t="shared" si="18"/>
        <v>8.5</v>
      </c>
      <c r="AS43" s="348">
        <f t="shared" si="17"/>
        <v>0.26458752515090506</v>
      </c>
      <c r="AT43" s="348">
        <f t="shared" si="17"/>
        <v>0.32909604519774011</v>
      </c>
      <c r="AU43" s="348">
        <f t="shared" si="17"/>
        <v>0.31121215052723228</v>
      </c>
      <c r="AV43" s="348">
        <f t="shared" si="17"/>
        <v>0.31727748691099478</v>
      </c>
      <c r="AW43" s="348">
        <f t="shared" si="17"/>
        <v>0.26054738855025694</v>
      </c>
      <c r="AX43" s="81"/>
    </row>
    <row r="44" spans="1:51" ht="14.25" customHeight="1" x14ac:dyDescent="0.2">
      <c r="A44" s="118"/>
      <c r="B44" s="9"/>
      <c r="C44" s="9"/>
      <c r="D44" s="9"/>
      <c r="E44" s="9"/>
      <c r="F44" s="9"/>
      <c r="G44" s="9"/>
      <c r="H44" s="9"/>
      <c r="I44" s="9"/>
      <c r="J44" s="12"/>
      <c r="K44" s="13"/>
      <c r="L44" s="13"/>
      <c r="M44" s="13"/>
      <c r="N44" s="13"/>
      <c r="O44" s="14"/>
      <c r="P44" s="14"/>
      <c r="Q44" s="14"/>
      <c r="R44" s="14"/>
      <c r="S44" s="14"/>
      <c r="T44" s="14"/>
      <c r="U44" s="14"/>
      <c r="V44" s="117"/>
      <c r="W44" s="137"/>
      <c r="X44" s="294"/>
      <c r="Y44" s="72" t="str">
        <f>"Y= "&amp;Z44&amp;"x + "&amp;AA44</f>
        <v>Y= 3.69525755771082x + 59.1953937598899</v>
      </c>
      <c r="Z44" s="743">
        <f>Sheet1!$E$7</f>
        <v>3.6952575577108195</v>
      </c>
      <c r="AA44" s="743">
        <f>Sheet1!$E$8</f>
        <v>59.195393759889939</v>
      </c>
      <c r="AB44" s="215">
        <v>35</v>
      </c>
      <c r="AC44" s="216">
        <f>((AB44*Z44)+AA44)/$Y$2</f>
        <v>188.52940827976863</v>
      </c>
      <c r="AD44" s="1195">
        <f>ROUND(Sheet1!$E$9,3)</f>
        <v>0.113</v>
      </c>
      <c r="AJ44" s="585" t="b">
        <v>1</v>
      </c>
      <c r="AK44" s="160" t="s">
        <v>4</v>
      </c>
      <c r="AL44" s="87" t="str">
        <f t="shared" si="15"/>
        <v>East Sussex</v>
      </c>
      <c r="AM44" s="146">
        <f t="shared" si="16"/>
        <v>43.909348441926362</v>
      </c>
      <c r="AN44" s="146">
        <f t="shared" si="16"/>
        <v>51.652502360717662</v>
      </c>
      <c r="AO44" s="146">
        <f t="shared" si="16"/>
        <v>72.830188679245282</v>
      </c>
      <c r="AP44" s="146">
        <f t="shared" si="16"/>
        <v>76.597744360902254</v>
      </c>
      <c r="AQ44" s="146">
        <f t="shared" si="16"/>
        <v>71.589840075258692</v>
      </c>
      <c r="AR44" s="147">
        <f t="shared" si="18"/>
        <v>16.100000000000001</v>
      </c>
      <c r="AS44" s="348">
        <f t="shared" si="17"/>
        <v>0.14540337711069423</v>
      </c>
      <c r="AT44" s="348">
        <f t="shared" si="17"/>
        <v>0.14880304678998912</v>
      </c>
      <c r="AU44" s="348">
        <f t="shared" si="17"/>
        <v>0.17678039844286697</v>
      </c>
      <c r="AV44" s="348">
        <f t="shared" si="17"/>
        <v>0.18887601390498263</v>
      </c>
      <c r="AW44" s="348">
        <f t="shared" si="17"/>
        <v>0.18262538996880251</v>
      </c>
      <c r="AX44" s="81"/>
    </row>
    <row r="45" spans="1:51" s="76" customFormat="1" ht="14.25" customHeight="1" x14ac:dyDescent="0.2">
      <c r="A45" s="119"/>
      <c r="B45" s="226"/>
      <c r="C45" s="226"/>
      <c r="D45" s="227"/>
      <c r="E45" s="227"/>
      <c r="F45" s="227"/>
      <c r="G45" s="227"/>
      <c r="H45" s="227"/>
      <c r="I45" s="227"/>
      <c r="J45" s="15"/>
      <c r="K45" s="9"/>
      <c r="L45" s="9"/>
      <c r="M45" s="9"/>
      <c r="N45" s="9"/>
      <c r="O45" s="9"/>
      <c r="P45" s="9"/>
      <c r="Q45" s="9"/>
      <c r="R45" s="9"/>
      <c r="S45" s="9"/>
      <c r="T45" s="9"/>
      <c r="U45" s="9"/>
      <c r="V45" s="120"/>
      <c r="W45" s="138"/>
      <c r="X45" s="295"/>
      <c r="AE45" s="81"/>
      <c r="AF45" s="81"/>
      <c r="AG45" s="81"/>
      <c r="AH45" s="81"/>
      <c r="AI45" s="81"/>
      <c r="AJ45" s="585" t="b">
        <v>1</v>
      </c>
      <c r="AK45" s="160" t="s">
        <v>6</v>
      </c>
      <c r="AL45" s="87" t="str">
        <f t="shared" si="15"/>
        <v>Hampshire</v>
      </c>
      <c r="AM45" s="146">
        <f t="shared" si="16"/>
        <v>166.54842142603761</v>
      </c>
      <c r="AN45" s="146">
        <f t="shared" si="16"/>
        <v>210.96181046676097</v>
      </c>
      <c r="AO45" s="146">
        <f t="shared" si="16"/>
        <v>168.44334627603246</v>
      </c>
      <c r="AP45" s="146">
        <f t="shared" si="16"/>
        <v>188.69718309859155</v>
      </c>
      <c r="AQ45" s="146">
        <f t="shared" si="16"/>
        <v>229.89799507562435</v>
      </c>
      <c r="AR45" s="147">
        <f t="shared" si="18"/>
        <v>10.100000000000001</v>
      </c>
      <c r="AS45" s="348">
        <f t="shared" si="17"/>
        <v>0.28171126845073802</v>
      </c>
      <c r="AT45" s="348">
        <f t="shared" si="17"/>
        <v>0.30697195780807823</v>
      </c>
      <c r="AU45" s="348">
        <f t="shared" si="17"/>
        <v>0.29612162581445856</v>
      </c>
      <c r="AV45" s="348">
        <f t="shared" si="17"/>
        <v>0.29112342459800089</v>
      </c>
      <c r="AW45" s="348">
        <f t="shared" si="17"/>
        <v>0.32324431256181996</v>
      </c>
    </row>
    <row r="46" spans="1:51" ht="14.25" customHeight="1" x14ac:dyDescent="0.2">
      <c r="A46" s="118"/>
      <c r="B46" s="227"/>
      <c r="C46" s="227"/>
      <c r="D46" s="227"/>
      <c r="E46" s="227"/>
      <c r="F46" s="227"/>
      <c r="G46" s="227"/>
      <c r="H46" s="227"/>
      <c r="I46" s="227"/>
      <c r="J46" s="12"/>
      <c r="K46" s="14"/>
      <c r="L46" s="14"/>
      <c r="M46" s="14"/>
      <c r="N46" s="14"/>
      <c r="O46" s="9"/>
      <c r="P46" s="9"/>
      <c r="Q46" s="9"/>
      <c r="R46" s="9"/>
      <c r="S46" s="9"/>
      <c r="T46" s="9"/>
      <c r="U46" s="9"/>
      <c r="V46" s="117"/>
      <c r="W46" s="137"/>
      <c r="X46" s="294"/>
      <c r="AJ46" s="585" t="b">
        <v>1</v>
      </c>
      <c r="AK46" s="160" t="s">
        <v>1</v>
      </c>
      <c r="AL46" s="87" t="str">
        <f t="shared" si="15"/>
        <v>Isle of Wight</v>
      </c>
      <c r="AM46" s="146">
        <f t="shared" si="16"/>
        <v>310.67193675889325</v>
      </c>
      <c r="AN46" s="146">
        <f t="shared" si="16"/>
        <v>314.28571428571433</v>
      </c>
      <c r="AO46" s="146">
        <f t="shared" si="16"/>
        <v>270.51792828685257</v>
      </c>
      <c r="AP46" s="146">
        <f t="shared" si="16"/>
        <v>332.1285140562249</v>
      </c>
      <c r="AQ46" s="146">
        <f t="shared" si="16"/>
        <v>382.99595141700405</v>
      </c>
      <c r="AR46" s="147">
        <f t="shared" si="18"/>
        <v>18</v>
      </c>
      <c r="AS46" s="348">
        <f t="shared" si="17"/>
        <v>0.3290079531184596</v>
      </c>
      <c r="AT46" s="348">
        <f t="shared" si="17"/>
        <v>0.30309988518943742</v>
      </c>
      <c r="AU46" s="348">
        <f t="shared" si="17"/>
        <v>0.30696202531645572</v>
      </c>
      <c r="AV46" s="348">
        <f t="shared" si="17"/>
        <v>0.34117161716171618</v>
      </c>
      <c r="AW46" s="348">
        <f t="shared" si="17"/>
        <v>0.35430711610486892</v>
      </c>
    </row>
    <row r="47" spans="1:51" ht="14.25" customHeight="1" x14ac:dyDescent="0.2">
      <c r="A47" s="118"/>
      <c r="B47" s="227"/>
      <c r="C47" s="227"/>
      <c r="D47" s="227"/>
      <c r="E47" s="227"/>
      <c r="F47" s="227"/>
      <c r="G47" s="227"/>
      <c r="H47" s="227"/>
      <c r="I47" s="227"/>
      <c r="J47" s="12"/>
      <c r="K47" s="14"/>
      <c r="L47" s="14"/>
      <c r="M47" s="14"/>
      <c r="N47" s="14"/>
      <c r="O47" s="9"/>
      <c r="P47" s="9"/>
      <c r="Q47" s="9"/>
      <c r="R47" s="9"/>
      <c r="S47" s="9"/>
      <c r="T47" s="9"/>
      <c r="U47" s="9"/>
      <c r="V47" s="117"/>
      <c r="W47" s="137"/>
      <c r="X47" s="294"/>
      <c r="AD47" s="207"/>
      <c r="AJ47" s="585" t="b">
        <v>1</v>
      </c>
      <c r="AK47" s="160" t="s">
        <v>9</v>
      </c>
      <c r="AL47" s="87" t="str">
        <f t="shared" si="15"/>
        <v>Kent</v>
      </c>
      <c r="AM47" s="146">
        <f t="shared" si="16"/>
        <v>96.761501210653833</v>
      </c>
      <c r="AN47" s="146">
        <f t="shared" si="16"/>
        <v>109.18918918918918</v>
      </c>
      <c r="AO47" s="146">
        <f t="shared" si="16"/>
        <v>133.05563820291582</v>
      </c>
      <c r="AP47" s="146">
        <f t="shared" si="16"/>
        <v>140.31167303734196</v>
      </c>
      <c r="AQ47" s="146">
        <f t="shared" si="16"/>
        <v>185.04944735311227</v>
      </c>
      <c r="AR47" s="147">
        <f t="shared" si="18"/>
        <v>15.8</v>
      </c>
      <c r="AS47" s="348">
        <f t="shared" si="17"/>
        <v>0.20838221874592638</v>
      </c>
      <c r="AT47" s="348">
        <f t="shared" si="17"/>
        <v>0.23005378044922492</v>
      </c>
      <c r="AU47" s="348">
        <f t="shared" si="17"/>
        <v>0.23083673153357767</v>
      </c>
      <c r="AV47" s="348">
        <f t="shared" si="17"/>
        <v>0.26100749329978667</v>
      </c>
      <c r="AW47" s="348">
        <f t="shared" si="17"/>
        <v>0.28466598058078663</v>
      </c>
    </row>
    <row r="48" spans="1:51" ht="14.25" customHeight="1" x14ac:dyDescent="0.2">
      <c r="A48" s="118"/>
      <c r="B48" s="58"/>
      <c r="C48" s="58"/>
      <c r="D48" s="58"/>
      <c r="E48" s="58"/>
      <c r="F48" s="58"/>
      <c r="G48" s="58"/>
      <c r="H48" s="58"/>
      <c r="I48" s="58"/>
      <c r="J48" s="12"/>
      <c r="K48" s="14"/>
      <c r="L48" s="14"/>
      <c r="M48" s="14"/>
      <c r="N48" s="14"/>
      <c r="O48" s="9"/>
      <c r="P48" s="9"/>
      <c r="Q48" s="9"/>
      <c r="R48" s="9"/>
      <c r="S48" s="9"/>
      <c r="T48" s="9"/>
      <c r="U48" s="9"/>
      <c r="V48" s="117"/>
      <c r="W48" s="137"/>
      <c r="X48" s="294"/>
      <c r="AD48" s="184"/>
      <c r="AJ48" s="585" t="b">
        <v>1</v>
      </c>
      <c r="AK48" s="160" t="s">
        <v>2</v>
      </c>
      <c r="AL48" s="87" t="str">
        <f t="shared" si="15"/>
        <v>Medway</v>
      </c>
      <c r="AM48" s="146">
        <f t="shared" si="16"/>
        <v>87.974683544303801</v>
      </c>
      <c r="AN48" s="146">
        <f t="shared" si="16"/>
        <v>75.510204081632651</v>
      </c>
      <c r="AO48" s="146">
        <f t="shared" si="16"/>
        <v>69.483568075117375</v>
      </c>
      <c r="AP48" s="146">
        <f t="shared" si="16"/>
        <v>89.440993788819867</v>
      </c>
      <c r="AQ48" s="146">
        <f t="shared" si="16"/>
        <v>187.69230769230771</v>
      </c>
      <c r="AR48" s="147">
        <f t="shared" si="18"/>
        <v>18.899999999999999</v>
      </c>
      <c r="AS48" s="348">
        <f t="shared" si="17"/>
        <v>0.16508313539192399</v>
      </c>
      <c r="AT48" s="348">
        <f t="shared" si="17"/>
        <v>0.17606149341142022</v>
      </c>
      <c r="AU48" s="348">
        <f t="shared" si="17"/>
        <v>0.16998468606431852</v>
      </c>
      <c r="AV48" s="348">
        <f t="shared" si="17"/>
        <v>0.14310559006211179</v>
      </c>
      <c r="AW48" s="348">
        <f t="shared" si="17"/>
        <v>0.24877650897226752</v>
      </c>
    </row>
    <row r="49" spans="1:49" ht="14.25" customHeight="1" x14ac:dyDescent="0.2">
      <c r="A49" s="118"/>
      <c r="B49" s="58"/>
      <c r="C49" s="58"/>
      <c r="D49" s="69"/>
      <c r="E49" s="70"/>
      <c r="F49" s="69"/>
      <c r="G49" s="70"/>
      <c r="H49" s="70"/>
      <c r="I49" s="70"/>
      <c r="J49" s="12"/>
      <c r="K49" s="14"/>
      <c r="L49" s="14"/>
      <c r="M49" s="14"/>
      <c r="N49" s="14"/>
      <c r="O49" s="9"/>
      <c r="P49" s="9"/>
      <c r="Q49" s="9"/>
      <c r="R49" s="9"/>
      <c r="S49" s="9"/>
      <c r="T49" s="9"/>
      <c r="U49" s="9"/>
      <c r="V49" s="117"/>
      <c r="W49" s="137"/>
      <c r="X49" s="294"/>
      <c r="AJ49" s="585" t="b">
        <v>1</v>
      </c>
      <c r="AK49" s="160" t="s">
        <v>10</v>
      </c>
      <c r="AL49" s="87" t="str">
        <f t="shared" si="15"/>
        <v>Milton Keynes</v>
      </c>
      <c r="AM49" s="146">
        <f t="shared" si="16"/>
        <v>87.745839636913772</v>
      </c>
      <c r="AN49" s="146">
        <f t="shared" si="16"/>
        <v>87.630402384500755</v>
      </c>
      <c r="AO49" s="146">
        <f t="shared" si="16"/>
        <v>71.745562130177518</v>
      </c>
      <c r="AP49" s="146">
        <f t="shared" si="16"/>
        <v>78.916544655929712</v>
      </c>
      <c r="AQ49" s="146">
        <f t="shared" si="16"/>
        <v>75.726744186046517</v>
      </c>
      <c r="AR49" s="147">
        <f t="shared" si="18"/>
        <v>15</v>
      </c>
      <c r="AS49" s="348">
        <f t="shared" si="17"/>
        <v>0.20946189960274467</v>
      </c>
      <c r="AT49" s="348">
        <f t="shared" si="17"/>
        <v>0.19072332144015569</v>
      </c>
      <c r="AU49" s="348">
        <f t="shared" si="17"/>
        <v>0.2055955913522679</v>
      </c>
      <c r="AV49" s="348">
        <f t="shared" si="17"/>
        <v>0.19838056680161945</v>
      </c>
      <c r="AW49" s="348">
        <f t="shared" si="17"/>
        <v>0.1686084142394822</v>
      </c>
    </row>
    <row r="50" spans="1:49" ht="14.25" customHeight="1" x14ac:dyDescent="0.2">
      <c r="A50" s="118"/>
      <c r="B50" s="58"/>
      <c r="C50" s="58"/>
      <c r="D50" s="61"/>
      <c r="E50" s="61"/>
      <c r="F50" s="61"/>
      <c r="G50" s="61"/>
      <c r="H50" s="61"/>
      <c r="I50" s="61"/>
      <c r="J50" s="12"/>
      <c r="K50" s="14"/>
      <c r="L50" s="14"/>
      <c r="M50" s="14"/>
      <c r="N50" s="14"/>
      <c r="O50" s="9"/>
      <c r="P50" s="9"/>
      <c r="Q50" s="9"/>
      <c r="R50" s="9"/>
      <c r="S50" s="9"/>
      <c r="T50" s="9"/>
      <c r="U50" s="9"/>
      <c r="V50" s="117"/>
      <c r="W50" s="137"/>
      <c r="X50" s="294"/>
      <c r="AJ50" s="585" t="b">
        <v>1</v>
      </c>
      <c r="AK50" s="160" t="s">
        <v>11</v>
      </c>
      <c r="AL50" s="87" t="str">
        <f t="shared" si="15"/>
        <v>Oxfordshire</v>
      </c>
      <c r="AM50" s="146">
        <f t="shared" si="16"/>
        <v>120.73342736248237</v>
      </c>
      <c r="AN50" s="146">
        <f t="shared" si="16"/>
        <v>98.320503848845348</v>
      </c>
      <c r="AO50" s="146">
        <f t="shared" si="16"/>
        <v>88.423988842398899</v>
      </c>
      <c r="AP50" s="146">
        <f t="shared" si="16"/>
        <v>85.635359116022087</v>
      </c>
      <c r="AQ50" s="146">
        <f t="shared" si="16"/>
        <v>90.691307323750863</v>
      </c>
      <c r="AR50" s="147">
        <f t="shared" si="18"/>
        <v>10.100000000000001</v>
      </c>
      <c r="AS50" s="348">
        <f t="shared" si="17"/>
        <v>0.25362962962962965</v>
      </c>
      <c r="AT50" s="348">
        <f t="shared" si="17"/>
        <v>0.19883951316161902</v>
      </c>
      <c r="AU50" s="348">
        <f t="shared" si="17"/>
        <v>0.18608746697974757</v>
      </c>
      <c r="AV50" s="348">
        <f t="shared" si="17"/>
        <v>0.18291783448886267</v>
      </c>
      <c r="AW50" s="348">
        <f t="shared" si="17"/>
        <v>0.1766195681151693</v>
      </c>
    </row>
    <row r="51" spans="1:49" ht="14.25" customHeight="1" x14ac:dyDescent="0.2">
      <c r="A51" s="118"/>
      <c r="B51" s="328"/>
      <c r="C51" s="328"/>
      <c r="D51" s="58"/>
      <c r="E51" s="58"/>
      <c r="F51" s="58"/>
      <c r="G51" s="58"/>
      <c r="H51" s="58"/>
      <c r="I51" s="58"/>
      <c r="J51" s="12"/>
      <c r="K51" s="14"/>
      <c r="L51" s="14"/>
      <c r="M51" s="14"/>
      <c r="N51" s="14"/>
      <c r="O51" s="9"/>
      <c r="P51" s="9"/>
      <c r="Q51" s="9"/>
      <c r="R51" s="9"/>
      <c r="S51" s="9"/>
      <c r="T51" s="9"/>
      <c r="U51" s="9"/>
      <c r="V51" s="117"/>
      <c r="W51" s="137"/>
      <c r="X51" s="294"/>
      <c r="AJ51" s="585" t="b">
        <v>1</v>
      </c>
      <c r="AK51" s="160" t="s">
        <v>12</v>
      </c>
      <c r="AL51" s="87" t="str">
        <f t="shared" si="15"/>
        <v>Portsmouth</v>
      </c>
      <c r="AM51" s="146">
        <f t="shared" ref="AM51:AQ64" si="19">VLOOKUP($AL51,$B$10:$O$33,AM$37,FALSE)</f>
        <v>92.922374429223723</v>
      </c>
      <c r="AN51" s="146">
        <f t="shared" si="19"/>
        <v>146.59090909090909</v>
      </c>
      <c r="AO51" s="146">
        <f t="shared" si="19"/>
        <v>146.38009049773754</v>
      </c>
      <c r="AP51" s="146">
        <f t="shared" si="19"/>
        <v>165.68181818181819</v>
      </c>
      <c r="AQ51" s="146">
        <f t="shared" si="19"/>
        <v>144.06392694063928</v>
      </c>
      <c r="AR51" s="147">
        <f t="shared" si="18"/>
        <v>20.200000000000003</v>
      </c>
      <c r="AS51" s="348">
        <f t="shared" ref="AS51:AW64" si="20">VLOOKUP($AL51,$B$112:$H$135,AS$37,FALSE)</f>
        <v>0.19445771619684657</v>
      </c>
      <c r="AT51" s="348">
        <f t="shared" si="20"/>
        <v>0.25934861278648974</v>
      </c>
      <c r="AU51" s="348">
        <f t="shared" si="20"/>
        <v>0.22741652021089631</v>
      </c>
      <c r="AV51" s="348">
        <f t="shared" si="20"/>
        <v>0.25632911392405061</v>
      </c>
      <c r="AW51" s="348">
        <f t="shared" si="20"/>
        <v>0.23686186186186187</v>
      </c>
    </row>
    <row r="52" spans="1:49" ht="14.25" customHeight="1" x14ac:dyDescent="0.2">
      <c r="A52" s="118"/>
      <c r="B52" s="328"/>
      <c r="C52" s="328"/>
      <c r="D52" s="58"/>
      <c r="E52" s="58"/>
      <c r="F52" s="58"/>
      <c r="G52" s="58"/>
      <c r="H52" s="58"/>
      <c r="I52" s="58"/>
      <c r="J52" s="12"/>
      <c r="K52" s="14"/>
      <c r="L52" s="14"/>
      <c r="M52" s="14"/>
      <c r="N52" s="14"/>
      <c r="O52" s="9"/>
      <c r="P52" s="9"/>
      <c r="Q52" s="9"/>
      <c r="R52" s="9"/>
      <c r="S52" s="9"/>
      <c r="T52" s="9"/>
      <c r="U52" s="9"/>
      <c r="V52" s="117"/>
      <c r="W52" s="137"/>
      <c r="X52" s="294"/>
      <c r="AJ52" s="585" t="b">
        <v>1</v>
      </c>
      <c r="AK52" s="160" t="s">
        <v>3</v>
      </c>
      <c r="AL52" s="87" t="str">
        <f t="shared" si="15"/>
        <v>Reading</v>
      </c>
      <c r="AM52" s="146">
        <f t="shared" si="19"/>
        <v>177.47252747252747</v>
      </c>
      <c r="AN52" s="146">
        <f t="shared" si="19"/>
        <v>254.09836065573771</v>
      </c>
      <c r="AO52" s="146">
        <f t="shared" si="19"/>
        <v>158.49056603773585</v>
      </c>
      <c r="AP52" s="146">
        <f t="shared" si="19"/>
        <v>201.07816711590297</v>
      </c>
      <c r="AQ52" s="146">
        <f t="shared" si="19"/>
        <v>182.70270270270271</v>
      </c>
      <c r="AR52" s="147">
        <f t="shared" si="18"/>
        <v>16</v>
      </c>
      <c r="AS52" s="348">
        <f t="shared" si="20"/>
        <v>0.20987654320987653</v>
      </c>
      <c r="AT52" s="348">
        <f t="shared" si="20"/>
        <v>0.2846648301193756</v>
      </c>
      <c r="AU52" s="348">
        <f t="shared" si="20"/>
        <v>0.22374429223744291</v>
      </c>
      <c r="AV52" s="348">
        <f t="shared" si="20"/>
        <v>0.27236217597663381</v>
      </c>
      <c r="AW52" s="348">
        <f t="shared" si="20"/>
        <v>0.26365054602184085</v>
      </c>
    </row>
    <row r="53" spans="1:49" ht="14.25" customHeight="1" x14ac:dyDescent="0.2">
      <c r="A53" s="118"/>
      <c r="B53" s="328"/>
      <c r="C53" s="328"/>
      <c r="D53" s="58"/>
      <c r="E53" s="58"/>
      <c r="F53" s="58"/>
      <c r="G53" s="58"/>
      <c r="H53" s="58"/>
      <c r="I53" s="58"/>
      <c r="J53" s="12"/>
      <c r="K53" s="14"/>
      <c r="L53" s="14"/>
      <c r="M53" s="14"/>
      <c r="N53" s="14"/>
      <c r="O53" s="9"/>
      <c r="P53" s="9"/>
      <c r="Q53" s="9"/>
      <c r="R53" s="9"/>
      <c r="S53" s="9"/>
      <c r="T53" s="9"/>
      <c r="U53" s="9"/>
      <c r="V53" s="117"/>
      <c r="W53" s="137"/>
      <c r="X53" s="294"/>
      <c r="AJ53" s="585" t="b">
        <v>1</v>
      </c>
      <c r="AK53" s="160" t="s">
        <v>13</v>
      </c>
      <c r="AL53" s="87" t="str">
        <f t="shared" si="15"/>
        <v>Slough</v>
      </c>
      <c r="AM53" s="146">
        <f t="shared" si="19"/>
        <v>128.57142857142861</v>
      </c>
      <c r="AN53" s="146">
        <f t="shared" si="19"/>
        <v>399.03381642512079</v>
      </c>
      <c r="AO53" s="146">
        <f t="shared" si="19"/>
        <v>92.417061611374407</v>
      </c>
      <c r="AP53" s="146">
        <f t="shared" si="19"/>
        <v>68.618266978922719</v>
      </c>
      <c r="AQ53" s="146">
        <f t="shared" si="19"/>
        <v>99.535962877030158</v>
      </c>
      <c r="AR53" s="147">
        <f t="shared" si="18"/>
        <v>14.7</v>
      </c>
      <c r="AS53" s="348">
        <f t="shared" si="20"/>
        <v>0.18817591925018029</v>
      </c>
      <c r="AT53" s="348">
        <f t="shared" si="20"/>
        <v>0.29043600562587907</v>
      </c>
      <c r="AU53" s="348">
        <f t="shared" si="20"/>
        <v>0.24512884978001256</v>
      </c>
      <c r="AV53" s="348">
        <f t="shared" si="20"/>
        <v>0.14760705289672543</v>
      </c>
      <c r="AW53" s="348">
        <f t="shared" si="20"/>
        <v>0.16889763779527558</v>
      </c>
    </row>
    <row r="54" spans="1:49" ht="14.25" customHeight="1" x14ac:dyDescent="0.2">
      <c r="A54" s="118"/>
      <c r="B54" s="328"/>
      <c r="C54" s="328"/>
      <c r="D54" s="58"/>
      <c r="E54" s="58"/>
      <c r="F54" s="58"/>
      <c r="G54" s="58"/>
      <c r="H54" s="58"/>
      <c r="I54" s="58"/>
      <c r="J54" s="12"/>
      <c r="K54" s="14"/>
      <c r="L54" s="14"/>
      <c r="M54" s="14"/>
      <c r="N54" s="14"/>
      <c r="O54" s="9"/>
      <c r="P54" s="9"/>
      <c r="Q54" s="9"/>
      <c r="R54" s="9"/>
      <c r="S54" s="9"/>
      <c r="T54" s="9"/>
      <c r="U54" s="9"/>
      <c r="V54" s="117"/>
      <c r="W54" s="137"/>
      <c r="X54" s="294"/>
      <c r="AJ54" s="585" t="b">
        <v>1</v>
      </c>
      <c r="AK54" s="160" t="s">
        <v>95</v>
      </c>
      <c r="AL54" s="87" t="str">
        <f t="shared" si="15"/>
        <v>Somerset</v>
      </c>
      <c r="AM54" s="146">
        <f t="shared" si="19"/>
        <v>90.201465201465197</v>
      </c>
      <c r="AN54" s="146">
        <f t="shared" si="19"/>
        <v>86.599817684594356</v>
      </c>
      <c r="AO54" s="146">
        <f t="shared" si="19"/>
        <v>100.27247956403271</v>
      </c>
      <c r="AP54" s="146">
        <f t="shared" si="19"/>
        <v>82.565492321589886</v>
      </c>
      <c r="AQ54" s="146">
        <f t="shared" si="19"/>
        <v>64.568345323740999</v>
      </c>
      <c r="AR54" s="147">
        <f t="shared" si="18"/>
        <v>13.600000000000001</v>
      </c>
      <c r="AS54" s="348">
        <f t="shared" si="20"/>
        <v>0.23832567142511493</v>
      </c>
      <c r="AT54" s="348">
        <f t="shared" si="20"/>
        <v>0.19886958342055683</v>
      </c>
      <c r="AU54" s="348">
        <f t="shared" si="20"/>
        <v>0.21374636979670861</v>
      </c>
      <c r="AV54" s="348">
        <f t="shared" si="20"/>
        <v>0.23864229765013054</v>
      </c>
      <c r="AW54" s="348">
        <f t="shared" si="20"/>
        <v>0.19839734733351755</v>
      </c>
    </row>
    <row r="55" spans="1:49" ht="14.25" customHeight="1" x14ac:dyDescent="0.2">
      <c r="A55" s="118"/>
      <c r="B55" s="328"/>
      <c r="C55" s="328"/>
      <c r="D55" s="58"/>
      <c r="E55" s="58"/>
      <c r="F55" s="58"/>
      <c r="G55" s="58"/>
      <c r="H55" s="58"/>
      <c r="I55" s="58"/>
      <c r="J55" s="12"/>
      <c r="K55" s="14"/>
      <c r="L55" s="14"/>
      <c r="M55" s="14"/>
      <c r="N55" s="14"/>
      <c r="O55" s="9"/>
      <c r="P55" s="9"/>
      <c r="Q55" s="9"/>
      <c r="R55" s="9"/>
      <c r="S55" s="9"/>
      <c r="T55" s="9"/>
      <c r="U55" s="9"/>
      <c r="V55" s="117"/>
      <c r="W55" s="137"/>
      <c r="X55" s="294"/>
      <c r="AJ55" s="585" t="b">
        <v>1</v>
      </c>
      <c r="AK55" s="160" t="s">
        <v>14</v>
      </c>
      <c r="AL55" s="87" t="str">
        <f t="shared" si="15"/>
        <v>Southampton</v>
      </c>
      <c r="AM55" s="146">
        <f t="shared" si="19"/>
        <v>160.5691056910569</v>
      </c>
      <c r="AN55" s="146">
        <f t="shared" si="19"/>
        <v>162.32464929859719</v>
      </c>
      <c r="AO55" s="146">
        <f t="shared" si="19"/>
        <v>105.36779324055665</v>
      </c>
      <c r="AP55" s="146">
        <f t="shared" si="19"/>
        <v>86.811023622047244</v>
      </c>
      <c r="AQ55" s="146">
        <f t="shared" si="19"/>
        <v>216.17933723196879</v>
      </c>
      <c r="AR55" s="147">
        <f t="shared" si="18"/>
        <v>20.5</v>
      </c>
      <c r="AS55" s="348">
        <f t="shared" si="20"/>
        <v>0.19193391642371235</v>
      </c>
      <c r="AT55" s="348">
        <f t="shared" si="20"/>
        <v>0.26609724047306177</v>
      </c>
      <c r="AU55" s="348">
        <f t="shared" si="20"/>
        <v>0.20283199387677001</v>
      </c>
      <c r="AV55" s="348">
        <f t="shared" si="20"/>
        <v>0.16974595842956119</v>
      </c>
      <c r="AW55" s="348">
        <f t="shared" si="20"/>
        <v>0.22913223140495867</v>
      </c>
    </row>
    <row r="56" spans="1:49" ht="14.25" customHeight="1" x14ac:dyDescent="0.2">
      <c r="A56" s="118"/>
      <c r="B56" s="328"/>
      <c r="C56" s="328"/>
      <c r="D56" s="58"/>
      <c r="E56" s="58"/>
      <c r="F56" s="58"/>
      <c r="G56" s="58"/>
      <c r="H56" s="58"/>
      <c r="I56" s="58"/>
      <c r="J56" s="12"/>
      <c r="K56" s="14"/>
      <c r="L56" s="14"/>
      <c r="M56" s="14"/>
      <c r="N56" s="14"/>
      <c r="O56" s="9"/>
      <c r="P56" s="9"/>
      <c r="Q56" s="9"/>
      <c r="R56" s="9"/>
      <c r="S56" s="9"/>
      <c r="T56" s="9"/>
      <c r="U56" s="9"/>
      <c r="V56" s="117"/>
      <c r="W56" s="137"/>
      <c r="X56" s="294"/>
      <c r="AJ56" s="585" t="b">
        <v>1</v>
      </c>
      <c r="AK56" s="160" t="s">
        <v>7</v>
      </c>
      <c r="AL56" s="87" t="str">
        <f t="shared" si="15"/>
        <v>Surrey</v>
      </c>
      <c r="AM56" s="146">
        <f t="shared" si="19"/>
        <v>110.7644305772231</v>
      </c>
      <c r="AN56" s="146">
        <f t="shared" si="19"/>
        <v>111.81467181467183</v>
      </c>
      <c r="AO56" s="146">
        <f t="shared" si="19"/>
        <v>143.06569343065695</v>
      </c>
      <c r="AP56" s="146">
        <f t="shared" si="19"/>
        <v>103.66552119129439</v>
      </c>
      <c r="AQ56" s="146">
        <f t="shared" si="19"/>
        <v>69.446550416982561</v>
      </c>
      <c r="AR56" s="147">
        <f t="shared" si="18"/>
        <v>8.3000000000000007</v>
      </c>
      <c r="AS56" s="348">
        <f t="shared" si="20"/>
        <v>0.24133242692046228</v>
      </c>
      <c r="AT56" s="348">
        <f t="shared" si="20"/>
        <v>0.24796643548248995</v>
      </c>
      <c r="AU56" s="348">
        <f t="shared" si="20"/>
        <v>0.27330104212534861</v>
      </c>
      <c r="AV56" s="348">
        <f t="shared" si="20"/>
        <v>0.25528913963328631</v>
      </c>
      <c r="AW56" s="348">
        <f t="shared" si="20"/>
        <v>0.21504871463786829</v>
      </c>
    </row>
    <row r="57" spans="1:49" ht="14.25" customHeight="1" x14ac:dyDescent="0.2">
      <c r="A57" s="278"/>
      <c r="B57" s="328"/>
      <c r="C57" s="328"/>
      <c r="D57" s="58"/>
      <c r="E57" s="58"/>
      <c r="F57" s="58"/>
      <c r="G57" s="58"/>
      <c r="H57" s="58"/>
      <c r="I57" s="58"/>
      <c r="J57" s="12"/>
      <c r="K57" s="14"/>
      <c r="L57" s="14"/>
      <c r="M57" s="14"/>
      <c r="N57" s="14"/>
      <c r="O57" s="9"/>
      <c r="P57" s="9"/>
      <c r="Q57" s="9"/>
      <c r="R57" s="9"/>
      <c r="S57" s="9"/>
      <c r="T57" s="9"/>
      <c r="U57" s="9"/>
      <c r="V57" s="117"/>
      <c r="W57" s="137"/>
      <c r="X57" s="294"/>
      <c r="AJ57" s="585" t="b">
        <v>1</v>
      </c>
      <c r="AK57" s="160" t="s">
        <v>113</v>
      </c>
      <c r="AL57" s="87" t="str">
        <f t="shared" si="15"/>
        <v>Swindon</v>
      </c>
      <c r="AM57" s="146">
        <f t="shared" si="19"/>
        <v>193.67346938775509</v>
      </c>
      <c r="AN57" s="146">
        <f t="shared" si="19"/>
        <v>162.42424242424244</v>
      </c>
      <c r="AO57" s="146">
        <f t="shared" si="19"/>
        <v>175.751503006012</v>
      </c>
      <c r="AP57" s="146">
        <f t="shared" si="19"/>
        <v>115.93625498007968</v>
      </c>
      <c r="AQ57" s="146">
        <f t="shared" si="19"/>
        <v>177.1825396825397</v>
      </c>
      <c r="AR57" s="147">
        <f t="shared" si="18"/>
        <v>14.899999999999999</v>
      </c>
      <c r="AS57" s="348">
        <f t="shared" si="20"/>
        <v>0.27870778267254037</v>
      </c>
      <c r="AT57" s="348">
        <f t="shared" si="20"/>
        <v>0.26613704071499505</v>
      </c>
      <c r="AU57" s="348">
        <f t="shared" si="20"/>
        <v>0.24179762889440309</v>
      </c>
      <c r="AV57" s="348">
        <f t="shared" si="20"/>
        <v>0.17951881554595928</v>
      </c>
      <c r="AW57" s="348">
        <f t="shared" si="20"/>
        <v>0.29510905485789823</v>
      </c>
    </row>
    <row r="58" spans="1:49" ht="14.25" customHeight="1" x14ac:dyDescent="0.2">
      <c r="A58" s="278"/>
      <c r="B58" s="328"/>
      <c r="C58" s="328"/>
      <c r="D58" s="58"/>
      <c r="E58" s="58"/>
      <c r="F58" s="58"/>
      <c r="G58" s="58"/>
      <c r="H58" s="58"/>
      <c r="I58" s="58"/>
      <c r="J58" s="12"/>
      <c r="K58" s="14"/>
      <c r="L58" s="14"/>
      <c r="M58" s="14"/>
      <c r="N58" s="14"/>
      <c r="O58" s="9"/>
      <c r="P58" s="9"/>
      <c r="Q58" s="9"/>
      <c r="R58" s="9"/>
      <c r="S58" s="9"/>
      <c r="T58" s="9"/>
      <c r="U58" s="9"/>
      <c r="V58" s="117"/>
      <c r="W58" s="137"/>
      <c r="X58" s="294"/>
      <c r="AJ58" s="585" t="b">
        <v>1</v>
      </c>
      <c r="AK58" s="160" t="s">
        <v>114</v>
      </c>
      <c r="AL58" s="87" t="str">
        <f t="shared" si="15"/>
        <v>Torbay</v>
      </c>
      <c r="AM58" s="146">
        <f t="shared" si="19"/>
        <v>227.77777777777783</v>
      </c>
      <c r="AN58" s="146">
        <f t="shared" si="19"/>
        <v>172.04724409448821</v>
      </c>
      <c r="AO58" s="146">
        <f t="shared" si="19"/>
        <v>174.8031496062992</v>
      </c>
      <c r="AP58" s="146">
        <f t="shared" si="19"/>
        <v>183.46456692913387</v>
      </c>
      <c r="AQ58" s="146">
        <f t="shared" si="19"/>
        <v>161.71875</v>
      </c>
      <c r="AR58" s="147">
        <f t="shared" si="18"/>
        <v>21.9</v>
      </c>
      <c r="AS58" s="348">
        <f t="shared" si="20"/>
        <v>0.28873239436619724</v>
      </c>
      <c r="AT58" s="348">
        <f t="shared" si="20"/>
        <v>0.27042079207920794</v>
      </c>
      <c r="AU58" s="348">
        <f t="shared" si="20"/>
        <v>0.24598337950138505</v>
      </c>
      <c r="AV58" s="348">
        <f t="shared" si="20"/>
        <v>0.26387315968289921</v>
      </c>
      <c r="AW58" s="348">
        <f t="shared" si="20"/>
        <v>0.22150882825040127</v>
      </c>
    </row>
    <row r="59" spans="1:49" ht="14.25" customHeight="1" x14ac:dyDescent="0.2">
      <c r="A59" s="118"/>
      <c r="B59" s="328"/>
      <c r="C59" s="328"/>
      <c r="D59" s="58"/>
      <c r="E59" s="58"/>
      <c r="F59" s="58"/>
      <c r="G59" s="58"/>
      <c r="H59" s="58"/>
      <c r="I59" s="58"/>
      <c r="J59" s="12"/>
      <c r="K59" s="14"/>
      <c r="L59" s="14"/>
      <c r="M59" s="14"/>
      <c r="N59" s="14"/>
      <c r="O59" s="9"/>
      <c r="P59" s="9"/>
      <c r="Q59" s="9"/>
      <c r="R59" s="9"/>
      <c r="S59" s="9"/>
      <c r="T59" s="9"/>
      <c r="U59" s="9"/>
      <c r="V59" s="117"/>
      <c r="W59" s="137"/>
      <c r="X59" s="294"/>
      <c r="AJ59" s="585" t="b">
        <v>1</v>
      </c>
      <c r="AK59" s="160" t="s">
        <v>15</v>
      </c>
      <c r="AL59" s="87" t="str">
        <f t="shared" si="15"/>
        <v>West Berkshire</v>
      </c>
      <c r="AM59" s="146">
        <f t="shared" si="19"/>
        <v>61.344537815126053</v>
      </c>
      <c r="AN59" s="146">
        <f t="shared" si="19"/>
        <v>108.63509749303621</v>
      </c>
      <c r="AO59" s="146">
        <f t="shared" si="19"/>
        <v>113.68715083798882</v>
      </c>
      <c r="AP59" s="146">
        <f t="shared" si="19"/>
        <v>123.87640449438202</v>
      </c>
      <c r="AQ59" s="146">
        <f t="shared" si="19"/>
        <v>124.438202247191</v>
      </c>
      <c r="AR59" s="147">
        <f t="shared" si="18"/>
        <v>8.6999999999999993</v>
      </c>
      <c r="AS59" s="348">
        <f t="shared" si="20"/>
        <v>0.16043956043956045</v>
      </c>
      <c r="AT59" s="348">
        <f t="shared" si="20"/>
        <v>0.2360774818401937</v>
      </c>
      <c r="AU59" s="348">
        <f t="shared" si="20"/>
        <v>0.26917989417989419</v>
      </c>
      <c r="AV59" s="348">
        <f t="shared" si="20"/>
        <v>0.26156583629893237</v>
      </c>
      <c r="AW59" s="348">
        <f t="shared" si="20"/>
        <v>0.2678355501813785</v>
      </c>
    </row>
    <row r="60" spans="1:49" ht="14.25" customHeight="1" x14ac:dyDescent="0.2">
      <c r="A60" s="118"/>
      <c r="B60" s="328"/>
      <c r="C60" s="328"/>
      <c r="D60" s="58"/>
      <c r="E60" s="58"/>
      <c r="F60" s="58"/>
      <c r="G60" s="58"/>
      <c r="H60" s="58"/>
      <c r="I60" s="58"/>
      <c r="J60" s="12"/>
      <c r="K60" s="14"/>
      <c r="L60" s="14"/>
      <c r="M60" s="14"/>
      <c r="N60" s="14"/>
      <c r="O60" s="9"/>
      <c r="P60" s="9"/>
      <c r="Q60" s="9"/>
      <c r="R60" s="9"/>
      <c r="S60" s="9"/>
      <c r="T60" s="9"/>
      <c r="U60" s="9"/>
      <c r="V60" s="117"/>
      <c r="W60" s="137"/>
      <c r="X60" s="294"/>
      <c r="AJ60" s="585" t="b">
        <v>1</v>
      </c>
      <c r="AK60" s="160" t="s">
        <v>5</v>
      </c>
      <c r="AL60" s="87" t="str">
        <f t="shared" si="15"/>
        <v>West Sussex</v>
      </c>
      <c r="AM60" s="146">
        <f t="shared" si="19"/>
        <v>116.60798122065709</v>
      </c>
      <c r="AN60" s="146">
        <f t="shared" si="19"/>
        <v>128.57974388824215</v>
      </c>
      <c r="AO60" s="146">
        <f t="shared" si="19"/>
        <v>154.5874206578188</v>
      </c>
      <c r="AP60" s="146">
        <f t="shared" si="19"/>
        <v>140.01144819690899</v>
      </c>
      <c r="AQ60" s="146">
        <f t="shared" si="19"/>
        <v>150.70982396365702</v>
      </c>
      <c r="AR60" s="147">
        <f t="shared" si="18"/>
        <v>11</v>
      </c>
      <c r="AS60" s="348">
        <f t="shared" si="20"/>
        <v>0.24389345771449578</v>
      </c>
      <c r="AT60" s="348">
        <f t="shared" si="20"/>
        <v>0.25271708042558061</v>
      </c>
      <c r="AU60" s="348">
        <f t="shared" si="20"/>
        <v>0.26803401700850427</v>
      </c>
      <c r="AV60" s="348">
        <f t="shared" si="20"/>
        <v>0.25774499473129608</v>
      </c>
      <c r="AW60" s="348">
        <f t="shared" si="20"/>
        <v>0.26558591013709598</v>
      </c>
    </row>
    <row r="61" spans="1:49" s="81" customFormat="1" ht="14.25" customHeight="1" x14ac:dyDescent="0.2">
      <c r="A61" s="118"/>
      <c r="B61" s="328"/>
      <c r="C61" s="328"/>
      <c r="D61" s="58"/>
      <c r="E61" s="58"/>
      <c r="F61" s="58"/>
      <c r="G61" s="58"/>
      <c r="H61" s="58"/>
      <c r="I61" s="58"/>
      <c r="J61" s="12"/>
      <c r="K61" s="14"/>
      <c r="L61" s="14"/>
      <c r="M61" s="14"/>
      <c r="N61" s="14"/>
      <c r="O61" s="9"/>
      <c r="P61" s="9"/>
      <c r="Q61" s="9"/>
      <c r="R61" s="9"/>
      <c r="S61" s="9"/>
      <c r="T61" s="9"/>
      <c r="U61" s="9"/>
      <c r="V61" s="117"/>
      <c r="W61" s="137"/>
      <c r="X61" s="294"/>
      <c r="AJ61" s="585" t="b">
        <v>1</v>
      </c>
      <c r="AK61" s="160" t="s">
        <v>30</v>
      </c>
      <c r="AL61" s="87" t="str">
        <f t="shared" si="15"/>
        <v>Windsor &amp; Maidenhead</v>
      </c>
      <c r="AM61" s="146">
        <f t="shared" si="19"/>
        <v>57.270029673590507</v>
      </c>
      <c r="AN61" s="146">
        <f t="shared" si="19"/>
        <v>34.210526315789473</v>
      </c>
      <c r="AO61" s="146">
        <f t="shared" si="19"/>
        <v>48.255813953488371</v>
      </c>
      <c r="AP61" s="146">
        <f t="shared" si="19"/>
        <v>68.786127167630056</v>
      </c>
      <c r="AQ61" s="146">
        <f t="shared" si="19"/>
        <v>61.671469740634002</v>
      </c>
      <c r="AR61" s="147">
        <f t="shared" si="18"/>
        <v>6.7</v>
      </c>
      <c r="AS61" s="348">
        <f t="shared" si="20"/>
        <v>0.17309417040358743</v>
      </c>
      <c r="AT61" s="348">
        <f t="shared" si="20"/>
        <v>0.11794354838709678</v>
      </c>
      <c r="AU61" s="348">
        <f t="shared" si="20"/>
        <v>0.15645617342130066</v>
      </c>
      <c r="AV61" s="348">
        <f t="shared" si="20"/>
        <v>0.20969162995594715</v>
      </c>
      <c r="AW61" s="348">
        <f t="shared" si="20"/>
        <v>0.15781710914454278</v>
      </c>
    </row>
    <row r="62" spans="1:49" s="81" customFormat="1" ht="14.25" customHeight="1" x14ac:dyDescent="0.2">
      <c r="A62" s="118"/>
      <c r="B62" s="328"/>
      <c r="C62" s="328"/>
      <c r="D62" s="58"/>
      <c r="E62" s="58"/>
      <c r="F62" s="58"/>
      <c r="G62" s="58"/>
      <c r="H62" s="58"/>
      <c r="I62" s="58"/>
      <c r="J62" s="12"/>
      <c r="K62" s="14"/>
      <c r="L62" s="14"/>
      <c r="M62" s="14"/>
      <c r="N62" s="14"/>
      <c r="O62" s="9"/>
      <c r="P62" s="9"/>
      <c r="Q62" s="9"/>
      <c r="R62" s="9"/>
      <c r="S62" s="9"/>
      <c r="T62" s="9"/>
      <c r="U62" s="9"/>
      <c r="V62" s="117"/>
      <c r="W62" s="137"/>
      <c r="X62" s="294"/>
      <c r="AJ62" s="585" t="b">
        <v>1</v>
      </c>
      <c r="AK62" s="160" t="s">
        <v>16</v>
      </c>
      <c r="AL62" s="87" t="str">
        <f t="shared" si="15"/>
        <v>Wokingham</v>
      </c>
      <c r="AM62" s="146">
        <f t="shared" si="19"/>
        <v>52.278820375335123</v>
      </c>
      <c r="AN62" s="146">
        <f t="shared" si="19"/>
        <v>44.736842105263158</v>
      </c>
      <c r="AO62" s="146">
        <f t="shared" si="19"/>
        <v>58.656330749354005</v>
      </c>
      <c r="AP62" s="146">
        <f t="shared" si="19"/>
        <v>90.886075949367097</v>
      </c>
      <c r="AQ62" s="146">
        <f t="shared" si="19"/>
        <v>107.92079207920791</v>
      </c>
      <c r="AR62" s="147">
        <f t="shared" si="18"/>
        <v>5.6000000000000005</v>
      </c>
      <c r="AS62" s="348">
        <f t="shared" si="20"/>
        <v>0.17241379310344829</v>
      </c>
      <c r="AT62" s="348">
        <f t="shared" si="20"/>
        <v>0.1874310915104741</v>
      </c>
      <c r="AU62" s="348">
        <f t="shared" si="20"/>
        <v>0.16557257476294676</v>
      </c>
      <c r="AV62" s="348">
        <f t="shared" si="20"/>
        <v>0.21055718475073315</v>
      </c>
      <c r="AW62" s="348">
        <f t="shared" si="20"/>
        <v>0.24577226606538896</v>
      </c>
    </row>
    <row r="63" spans="1:49" s="81" customFormat="1" ht="14.25" customHeight="1" x14ac:dyDescent="0.2">
      <c r="A63" s="118"/>
      <c r="B63" s="328"/>
      <c r="C63" s="328"/>
      <c r="D63" s="58"/>
      <c r="E63" s="58"/>
      <c r="F63" s="58"/>
      <c r="G63" s="58"/>
      <c r="H63" s="58"/>
      <c r="I63" s="58"/>
      <c r="J63" s="12"/>
      <c r="K63" s="14"/>
      <c r="L63" s="14"/>
      <c r="M63" s="14"/>
      <c r="N63" s="14"/>
      <c r="O63" s="9"/>
      <c r="P63" s="9"/>
      <c r="Q63" s="9"/>
      <c r="R63" s="9"/>
      <c r="S63" s="9"/>
      <c r="T63" s="9"/>
      <c r="U63" s="9"/>
      <c r="V63" s="117"/>
      <c r="W63" s="137"/>
      <c r="X63" s="294"/>
      <c r="AJ63" s="585" t="b">
        <v>1</v>
      </c>
      <c r="AK63" s="160" t="s">
        <v>74</v>
      </c>
      <c r="AL63" s="87" t="str">
        <f t="shared" si="15"/>
        <v>South East</v>
      </c>
      <c r="AM63" s="146">
        <f t="shared" si="19"/>
        <v>119.70178822793389</v>
      </c>
      <c r="AN63" s="146">
        <f t="shared" si="19"/>
        <v>142.20681806424915</v>
      </c>
      <c r="AO63" s="146">
        <f t="shared" si="19"/>
        <v>138.0729461392047</v>
      </c>
      <c r="AP63" s="146">
        <f t="shared" si="19"/>
        <v>137.12067027689793</v>
      </c>
      <c r="AQ63" s="146">
        <f t="shared" si="19"/>
        <v>151.33048953889903</v>
      </c>
      <c r="AR63" s="147">
        <f t="shared" si="18"/>
        <v>12.371268250968637</v>
      </c>
      <c r="AS63" s="348">
        <f t="shared" si="20"/>
        <v>0.234860883797054</v>
      </c>
      <c r="AT63" s="348">
        <f t="shared" si="20"/>
        <v>0.25662808065720688</v>
      </c>
      <c r="AU63" s="348">
        <f t="shared" si="20"/>
        <v>0.25180598555211559</v>
      </c>
      <c r="AV63" s="348">
        <f t="shared" si="20"/>
        <v>0.2558871198398322</v>
      </c>
      <c r="AW63" s="348">
        <f t="shared" si="20"/>
        <v>0.26039846207619716</v>
      </c>
    </row>
    <row r="64" spans="1:49" s="81" customFormat="1" ht="14.25" customHeight="1" x14ac:dyDescent="0.2">
      <c r="A64" s="118"/>
      <c r="B64" s="328"/>
      <c r="C64" s="328"/>
      <c r="D64" s="58"/>
      <c r="E64" s="58"/>
      <c r="F64" s="58"/>
      <c r="G64" s="58"/>
      <c r="H64" s="58"/>
      <c r="I64" s="58"/>
      <c r="J64" s="12"/>
      <c r="K64" s="9"/>
      <c r="L64" s="110"/>
      <c r="M64" s="1823" t="s">
        <v>72</v>
      </c>
      <c r="N64" s="1790"/>
      <c r="O64" s="1790"/>
      <c r="P64" s="1824"/>
      <c r="Q64" s="917"/>
      <c r="R64" s="1802" t="s">
        <v>100</v>
      </c>
      <c r="S64" s="1803"/>
      <c r="T64" s="1803"/>
      <c r="U64" s="1804"/>
      <c r="V64" s="117"/>
      <c r="W64" s="137"/>
      <c r="X64" s="294"/>
      <c r="AJ64" s="585" t="b">
        <v>1</v>
      </c>
      <c r="AK64" s="160" t="s">
        <v>127</v>
      </c>
      <c r="AL64" s="87" t="str">
        <f t="shared" si="15"/>
        <v>England</v>
      </c>
      <c r="AM64" s="146">
        <f t="shared" si="19"/>
        <v>118.77135443872615</v>
      </c>
      <c r="AN64" s="146">
        <f t="shared" si="19"/>
        <v>120.11573740167836</v>
      </c>
      <c r="AO64" s="146">
        <f t="shared" si="19"/>
        <v>121.18479817982642</v>
      </c>
      <c r="AP64" s="146">
        <f t="shared" si="19"/>
        <v>123.09069312231274</v>
      </c>
      <c r="AQ64" s="146">
        <f t="shared" si="19"/>
        <v>120.9205229714894</v>
      </c>
      <c r="AR64" s="147">
        <f t="shared" si="18"/>
        <v>17.084413405029373</v>
      </c>
      <c r="AS64" s="348">
        <f t="shared" si="20"/>
        <v>0.22318052359727741</v>
      </c>
      <c r="AT64" s="348">
        <f t="shared" si="20"/>
        <v>0.21909242865102457</v>
      </c>
      <c r="AU64" s="348">
        <f t="shared" si="20"/>
        <v>0.21934627762610009</v>
      </c>
      <c r="AV64" s="348">
        <f t="shared" si="20"/>
        <v>0.22606117401256665</v>
      </c>
      <c r="AW64" s="348">
        <f t="shared" si="20"/>
        <v>0.22611900836728982</v>
      </c>
    </row>
    <row r="65" spans="1:49" s="81" customFormat="1" ht="14.25" customHeight="1" x14ac:dyDescent="0.2">
      <c r="A65" s="118"/>
      <c r="B65" s="328"/>
      <c r="C65" s="328"/>
      <c r="D65" s="58"/>
      <c r="E65" s="58"/>
      <c r="F65" s="58"/>
      <c r="G65" s="58"/>
      <c r="H65" s="58"/>
      <c r="I65" s="58"/>
      <c r="J65" s="12"/>
      <c r="K65" s="9"/>
      <c r="L65" s="111"/>
      <c r="M65" s="1802" t="str">
        <f>AA4</f>
        <v>Selected LA- (none)</v>
      </c>
      <c r="N65" s="1803"/>
      <c r="O65" s="1803"/>
      <c r="P65" s="1803"/>
      <c r="Q65" s="110"/>
      <c r="R65" s="1806" t="s">
        <v>187</v>
      </c>
      <c r="S65" s="1806"/>
      <c r="T65" s="1806"/>
      <c r="U65" s="1807"/>
      <c r="V65" s="117"/>
      <c r="W65" s="137"/>
      <c r="X65" s="150"/>
      <c r="AK65" s="161"/>
      <c r="AL65" s="74" t="str">
        <f>AA4</f>
        <v>Selected LA- (none)</v>
      </c>
      <c r="AM65" s="148" t="e">
        <f>VLOOKUP($Z4,$B$10:$O$32,AM$37,FALSE)</f>
        <v>#N/A</v>
      </c>
      <c r="AN65" s="148" t="e">
        <f>VLOOKUP($Z4,$B$10:$O$32,AN$37,FALSE)</f>
        <v>#N/A</v>
      </c>
      <c r="AO65" s="148" t="e">
        <f>VLOOKUP($Z4,$B$10:$O$32,AO$37,FALSE)</f>
        <v>#N/A</v>
      </c>
      <c r="AP65" s="148" t="e">
        <f>VLOOKUP($Z4,$B$10:$O$32,AP$37,FALSE)</f>
        <v>#N/A</v>
      </c>
      <c r="AQ65" s="148" t="e">
        <f>VLOOKUP($Z4,$B$10:$O$32,AQ$37,FALSE)</f>
        <v>#N/A</v>
      </c>
      <c r="AR65" s="147" t="e">
        <f>VLOOKUP($Z$4,$B$10:$U$33,$AR$37,FALSE)</f>
        <v>#N/A</v>
      </c>
      <c r="AS65" s="171" t="e">
        <f>VLOOKUP($Z$4,$B$112:$H$135,AS$37,FALSE)</f>
        <v>#N/A</v>
      </c>
      <c r="AT65" s="171" t="e">
        <f>VLOOKUP($Z$4,$B$112:$H$135,AT$37,FALSE)</f>
        <v>#N/A</v>
      </c>
      <c r="AU65" s="171" t="e">
        <f>VLOOKUP($Z$4,$B$112:$H$135,AU$37,FALSE)</f>
        <v>#N/A</v>
      </c>
      <c r="AV65" s="171" t="e">
        <f>VLOOKUP($Z$4,$B$112:$H$135,AV$37,FALSE)</f>
        <v>#N/A</v>
      </c>
      <c r="AW65" s="171" t="e">
        <f>VLOOKUP($Z$4,$B$112:$H$135,AW$37,FALSE)</f>
        <v>#N/A</v>
      </c>
    </row>
    <row r="66" spans="1:49" s="81" customFormat="1" ht="38.1" customHeight="1" x14ac:dyDescent="0.2">
      <c r="A66" s="118"/>
      <c r="B66" s="328"/>
      <c r="C66" s="328"/>
      <c r="D66" s="58"/>
      <c r="E66" s="58"/>
      <c r="F66" s="58"/>
      <c r="G66" s="58"/>
      <c r="H66" s="58"/>
      <c r="I66" s="58"/>
      <c r="J66" s="12"/>
      <c r="K66" s="9"/>
      <c r="L66" s="9"/>
      <c r="M66" s="9"/>
      <c r="N66" s="9"/>
      <c r="O66" s="9"/>
      <c r="P66" s="9"/>
      <c r="Q66" s="9"/>
      <c r="R66" s="9"/>
      <c r="S66" s="9"/>
      <c r="T66" s="9"/>
      <c r="U66" s="9"/>
      <c r="V66" s="117"/>
      <c r="W66" s="137"/>
      <c r="X66" s="150"/>
      <c r="AK66" s="161"/>
    </row>
    <row r="67" spans="1:49" s="87" customFormat="1" ht="39.6" customHeight="1" x14ac:dyDescent="0.2">
      <c r="A67" s="121"/>
      <c r="B67" s="109"/>
      <c r="C67" s="109"/>
      <c r="D67" s="109"/>
      <c r="E67" s="109"/>
      <c r="F67" s="109"/>
      <c r="G67" s="109"/>
      <c r="H67" s="109"/>
      <c r="I67" s="109"/>
      <c r="J67" s="96"/>
      <c r="K67" s="85"/>
      <c r="L67" s="85"/>
      <c r="M67" s="85"/>
      <c r="N67" s="85"/>
      <c r="O67" s="85"/>
      <c r="P67" s="85"/>
      <c r="Q67" s="85"/>
      <c r="R67" s="85"/>
      <c r="S67" s="85"/>
      <c r="T67" s="85"/>
      <c r="U67" s="85"/>
      <c r="V67" s="122"/>
      <c r="W67" s="139"/>
      <c r="X67" s="152"/>
      <c r="AE67" s="190"/>
      <c r="AF67" s="190"/>
      <c r="AG67" s="190"/>
      <c r="AH67" s="190"/>
      <c r="AI67" s="190"/>
      <c r="AJ67" s="202"/>
      <c r="AK67" s="160"/>
    </row>
    <row r="68" spans="1:49" s="87" customFormat="1" ht="48.75" customHeight="1" x14ac:dyDescent="0.2">
      <c r="A68" s="121"/>
      <c r="B68" s="109"/>
      <c r="C68" s="109"/>
      <c r="D68" s="109"/>
      <c r="E68" s="109"/>
      <c r="F68" s="109"/>
      <c r="G68" s="109"/>
      <c r="H68" s="109"/>
      <c r="I68" s="109"/>
      <c r="J68" s="96"/>
      <c r="K68" s="85"/>
      <c r="L68" s="85"/>
      <c r="M68" s="85"/>
      <c r="N68" s="85"/>
      <c r="O68" s="85"/>
      <c r="P68" s="85"/>
      <c r="Q68" s="85"/>
      <c r="R68" s="85"/>
      <c r="S68" s="85"/>
      <c r="T68" s="85"/>
      <c r="U68" s="85"/>
      <c r="V68" s="122"/>
      <c r="W68" s="139"/>
      <c r="X68" s="152"/>
      <c r="AE68" s="190"/>
      <c r="AF68" s="190"/>
      <c r="AG68" s="190"/>
      <c r="AH68" s="190"/>
      <c r="AI68" s="190"/>
      <c r="AJ68" s="202"/>
      <c r="AK68" s="160"/>
    </row>
    <row r="69" spans="1:49" ht="7.5" customHeight="1" x14ac:dyDescent="0.2">
      <c r="A69" s="118"/>
      <c r="B69" s="17"/>
      <c r="C69" s="17"/>
      <c r="D69" s="16"/>
      <c r="E69" s="16"/>
      <c r="F69" s="16"/>
      <c r="G69" s="16"/>
      <c r="H69" s="16"/>
      <c r="I69" s="16"/>
      <c r="J69" s="12"/>
      <c r="K69" s="18"/>
      <c r="L69" s="18"/>
      <c r="M69" s="18"/>
      <c r="N69" s="18"/>
      <c r="O69" s="18"/>
      <c r="P69" s="18"/>
      <c r="Q69" s="18"/>
      <c r="R69" s="18"/>
      <c r="S69" s="18"/>
      <c r="T69" s="18"/>
      <c r="U69" s="19"/>
      <c r="V69" s="117"/>
      <c r="W69" s="137"/>
      <c r="X69" s="150"/>
      <c r="Y69" s="87"/>
      <c r="Z69" s="87"/>
      <c r="AA69" s="87"/>
      <c r="AB69" s="87"/>
      <c r="AC69" s="87"/>
      <c r="AJ69" s="184"/>
      <c r="AK69" s="157"/>
    </row>
    <row r="70" spans="1:49" ht="15" customHeight="1" x14ac:dyDescent="0.2">
      <c r="A70" s="1716"/>
      <c r="B70" s="1760"/>
      <c r="C70" s="1760"/>
      <c r="D70" s="1760"/>
      <c r="E70" s="1760"/>
      <c r="F70" s="1760"/>
      <c r="G70" s="1760"/>
      <c r="H70" s="1760"/>
      <c r="I70" s="1760"/>
      <c r="J70" s="1760"/>
      <c r="K70" s="1760"/>
      <c r="L70" s="1760"/>
      <c r="M70" s="1760"/>
      <c r="N70" s="1760"/>
      <c r="O70" s="1760"/>
      <c r="P70" s="1760"/>
      <c r="Q70" s="1760"/>
      <c r="R70" s="1760"/>
      <c r="S70" s="1760"/>
      <c r="T70" s="1760"/>
      <c r="U70" s="1760"/>
      <c r="V70" s="1761"/>
      <c r="W70" s="137"/>
      <c r="X70" s="150"/>
      <c r="Y70" s="87"/>
      <c r="Z70" s="87"/>
      <c r="AA70" s="87"/>
      <c r="AB70" s="87"/>
      <c r="AC70" s="87"/>
      <c r="AJ70" s="184"/>
      <c r="AK70" s="157"/>
    </row>
    <row r="71" spans="1:49" ht="11.25" customHeight="1" x14ac:dyDescent="0.2">
      <c r="A71" s="1765" t="str">
        <f>Home!$A$39</f>
        <v xml:space="preserve"> </v>
      </c>
      <c r="B71" s="1766"/>
      <c r="C71" s="1766"/>
      <c r="D71" s="1766"/>
      <c r="E71" s="1766"/>
      <c r="F71" s="1766"/>
      <c r="G71" s="1766"/>
      <c r="H71" s="1766"/>
      <c r="I71" s="1767"/>
      <c r="J71" s="1766"/>
      <c r="K71" s="1766"/>
      <c r="L71" s="1766"/>
      <c r="M71" s="1766"/>
      <c r="N71" s="1766"/>
      <c r="O71" s="1766"/>
      <c r="P71" s="1768"/>
      <c r="Q71" s="1766"/>
      <c r="R71" s="1766"/>
      <c r="S71" s="1766"/>
      <c r="T71" s="1767"/>
      <c r="U71" s="1766"/>
      <c r="V71" s="1769"/>
      <c r="W71" s="137"/>
      <c r="X71" s="150"/>
      <c r="Y71" s="87"/>
      <c r="Z71" s="87"/>
      <c r="AA71" s="87"/>
      <c r="AB71" s="87"/>
      <c r="AC71" s="87"/>
      <c r="AJ71" s="184"/>
      <c r="AK71" s="157"/>
    </row>
    <row r="72" spans="1:49" ht="11.25" customHeight="1" x14ac:dyDescent="0.2">
      <c r="A72" s="112"/>
      <c r="B72" s="113"/>
      <c r="C72" s="113"/>
      <c r="D72" s="113"/>
      <c r="E72" s="113"/>
      <c r="F72" s="113"/>
      <c r="G72" s="113"/>
      <c r="H72" s="113"/>
      <c r="I72" s="113"/>
      <c r="J72" s="114"/>
      <c r="K72" s="113"/>
      <c r="L72" s="113"/>
      <c r="M72" s="113"/>
      <c r="N72" s="113"/>
      <c r="O72" s="113"/>
      <c r="P72" s="113"/>
      <c r="Q72" s="113"/>
      <c r="R72" s="113"/>
      <c r="S72" s="113"/>
      <c r="T72" s="113"/>
      <c r="U72" s="113"/>
      <c r="V72" s="115"/>
      <c r="W72" s="137"/>
      <c r="X72" s="150"/>
      <c r="Y72" s="87"/>
      <c r="Z72" s="87"/>
      <c r="AA72" s="87"/>
      <c r="AB72" s="87"/>
      <c r="AC72" s="87"/>
      <c r="AJ72" s="184"/>
      <c r="AK72" s="157"/>
    </row>
    <row r="73" spans="1:49" s="76" customFormat="1" ht="15.6" customHeight="1" x14ac:dyDescent="0.2">
      <c r="A73" s="119"/>
      <c r="B73" s="59"/>
      <c r="C73" s="320"/>
      <c r="D73" s="320"/>
      <c r="E73" s="320"/>
      <c r="F73" s="320"/>
      <c r="G73" s="320"/>
      <c r="H73" s="320"/>
      <c r="I73" s="320"/>
      <c r="J73" s="70"/>
      <c r="K73" s="70"/>
      <c r="L73" s="70"/>
      <c r="M73" s="70"/>
      <c r="N73" s="317"/>
      <c r="O73" s="70"/>
      <c r="P73" s="70"/>
      <c r="Q73" s="70"/>
      <c r="R73" s="70"/>
      <c r="S73" s="70"/>
      <c r="T73" s="70"/>
      <c r="U73" s="70"/>
      <c r="V73" s="120"/>
      <c r="W73" s="138"/>
      <c r="X73" s="151"/>
      <c r="Y73" s="188"/>
      <c r="Z73" s="188"/>
      <c r="AA73" s="188"/>
      <c r="AB73" s="188"/>
      <c r="AC73" s="188"/>
      <c r="AD73" s="188"/>
      <c r="AE73" s="188"/>
      <c r="AF73" s="188"/>
      <c r="AG73" s="188"/>
      <c r="AH73" s="188"/>
      <c r="AI73" s="188"/>
      <c r="AJ73" s="188"/>
      <c r="AK73" s="158"/>
    </row>
    <row r="74" spans="1:49" ht="13.5" customHeight="1" x14ac:dyDescent="0.2">
      <c r="A74" s="118"/>
      <c r="B74" s="320"/>
      <c r="C74" s="320"/>
      <c r="D74" s="320"/>
      <c r="E74" s="320"/>
      <c r="F74" s="320"/>
      <c r="G74" s="320"/>
      <c r="H74" s="320"/>
      <c r="I74" s="320"/>
      <c r="J74" s="70"/>
      <c r="K74" s="70"/>
      <c r="L74" s="70"/>
      <c r="M74" s="70"/>
      <c r="N74" s="317"/>
      <c r="O74" s="70"/>
      <c r="P74" s="70"/>
      <c r="Q74" s="70"/>
      <c r="R74" s="10"/>
      <c r="S74" s="70"/>
      <c r="T74" s="70"/>
      <c r="U74" s="70"/>
      <c r="V74" s="117"/>
      <c r="W74" s="137"/>
      <c r="X74" s="150"/>
      <c r="Y74" s="188"/>
      <c r="Z74" s="188"/>
      <c r="AA74" s="196"/>
      <c r="AB74" s="196"/>
      <c r="AC74" s="197"/>
      <c r="AD74" s="197"/>
      <c r="AJ74" s="184"/>
      <c r="AK74" s="157"/>
    </row>
    <row r="75" spans="1:49" s="87" customFormat="1" ht="12" customHeight="1" x14ac:dyDescent="0.2">
      <c r="A75" s="121"/>
      <c r="B75" s="320"/>
      <c r="C75" s="320"/>
      <c r="D75" s="320"/>
      <c r="E75" s="320"/>
      <c r="F75" s="320"/>
      <c r="G75" s="320"/>
      <c r="H75" s="320"/>
      <c r="I75" s="96"/>
      <c r="J75" s="96"/>
      <c r="K75" s="61"/>
      <c r="L75" s="61"/>
      <c r="M75" s="61"/>
      <c r="N75" s="61"/>
      <c r="O75" s="61"/>
      <c r="P75" s="61"/>
      <c r="Q75" s="324"/>
      <c r="R75" s="324"/>
      <c r="S75" s="159"/>
      <c r="T75" s="159"/>
      <c r="U75" s="323"/>
      <c r="V75" s="122"/>
      <c r="W75" s="139"/>
      <c r="X75" s="152"/>
      <c r="Y75" s="188"/>
      <c r="Z75" s="188"/>
      <c r="AA75" s="196"/>
      <c r="AB75" s="196"/>
      <c r="AC75" s="197"/>
      <c r="AD75" s="197"/>
      <c r="AE75" s="199"/>
      <c r="AF75" s="190"/>
      <c r="AG75" s="190"/>
      <c r="AH75" s="190"/>
      <c r="AI75" s="190"/>
      <c r="AJ75" s="202"/>
      <c r="AK75" s="160"/>
    </row>
    <row r="76" spans="1:49" s="87" customFormat="1" ht="24" customHeight="1" x14ac:dyDescent="0.2">
      <c r="A76" s="121"/>
      <c r="B76" s="320"/>
      <c r="C76" s="320"/>
      <c r="D76" s="320"/>
      <c r="E76" s="320"/>
      <c r="F76" s="320"/>
      <c r="G76" s="320"/>
      <c r="H76" s="320"/>
      <c r="I76" s="96"/>
      <c r="J76" s="96"/>
      <c r="K76" s="166"/>
      <c r="L76" s="166"/>
      <c r="M76" s="166"/>
      <c r="N76" s="166"/>
      <c r="O76" s="166"/>
      <c r="P76" s="166"/>
      <c r="Q76" s="166"/>
      <c r="R76" s="167"/>
      <c r="S76" s="159"/>
      <c r="T76" s="159"/>
      <c r="U76" s="166"/>
      <c r="V76" s="122"/>
      <c r="W76" s="139"/>
      <c r="X76" s="152"/>
      <c r="Z76" s="354" t="s">
        <v>130</v>
      </c>
      <c r="AA76" s="354" t="s">
        <v>131</v>
      </c>
      <c r="AB76" s="196"/>
      <c r="AC76" s="197"/>
      <c r="AD76" s="197"/>
      <c r="AE76" s="199"/>
      <c r="AF76" s="190"/>
      <c r="AG76" s="190"/>
      <c r="AH76" s="190"/>
      <c r="AI76" s="190"/>
      <c r="AJ76" s="202"/>
      <c r="AK76" s="160"/>
    </row>
    <row r="77" spans="1:49" s="87" customFormat="1" ht="12.75" customHeight="1" x14ac:dyDescent="0.2">
      <c r="A77" s="121"/>
      <c r="B77" s="320"/>
      <c r="C77" s="320"/>
      <c r="D77" s="320"/>
      <c r="E77" s="320"/>
      <c r="F77" s="320"/>
      <c r="G77" s="320"/>
      <c r="H77" s="320"/>
      <c r="I77" s="96"/>
      <c r="J77" s="96"/>
      <c r="K77" s="166"/>
      <c r="L77" s="166"/>
      <c r="M77" s="166"/>
      <c r="N77" s="166"/>
      <c r="O77" s="166"/>
      <c r="P77" s="166"/>
      <c r="Q77" s="166"/>
      <c r="R77" s="167"/>
      <c r="S77" s="159"/>
      <c r="T77" s="159"/>
      <c r="U77" s="166"/>
      <c r="V77" s="122"/>
      <c r="W77" s="139"/>
      <c r="X77" s="152"/>
      <c r="Y77" s="576" t="str">
        <f>B10</f>
        <v>Bracknell Forest</v>
      </c>
      <c r="Z77" s="356" t="e">
        <f>IF(Y77=$Z$4,I10,#N/A)</f>
        <v>#N/A</v>
      </c>
      <c r="AA77" s="356" t="e">
        <f>IF(Y77=$Z$4,U10,#N/A)</f>
        <v>#N/A</v>
      </c>
      <c r="AB77" s="196"/>
      <c r="AC77" s="197"/>
      <c r="AD77" s="197"/>
      <c r="AE77" s="199"/>
      <c r="AF77" s="190"/>
      <c r="AG77" s="190"/>
      <c r="AH77" s="190"/>
      <c r="AI77" s="190"/>
      <c r="AJ77" s="202"/>
      <c r="AK77" s="160"/>
    </row>
    <row r="78" spans="1:49" s="87" customFormat="1" ht="12.75" customHeight="1" x14ac:dyDescent="0.2">
      <c r="A78" s="121"/>
      <c r="B78" s="320"/>
      <c r="C78" s="320"/>
      <c r="D78" s="320"/>
      <c r="E78" s="320"/>
      <c r="F78" s="320"/>
      <c r="G78" s="320"/>
      <c r="H78" s="320"/>
      <c r="I78" s="96"/>
      <c r="J78" s="96"/>
      <c r="K78" s="166"/>
      <c r="L78" s="166"/>
      <c r="M78" s="166"/>
      <c r="N78" s="166"/>
      <c r="O78" s="166"/>
      <c r="P78" s="166"/>
      <c r="Q78" s="166"/>
      <c r="R78" s="167"/>
      <c r="S78" s="159"/>
      <c r="T78" s="159"/>
      <c r="U78" s="166"/>
      <c r="V78" s="122"/>
      <c r="W78" s="139"/>
      <c r="X78" s="152"/>
      <c r="Y78" s="576" t="str">
        <f t="shared" ref="Y78:Y98" si="21">B11</f>
        <v>Brighton &amp; Hove</v>
      </c>
      <c r="Z78" s="356" t="e">
        <f t="shared" ref="Z78:Z100" si="22">IF(Y78=$Z$4,I11,#N/A)</f>
        <v>#N/A</v>
      </c>
      <c r="AA78" s="356" t="e">
        <f t="shared" ref="AA78:AA100" si="23">IF(Y78=$Z$4,U11,#N/A)</f>
        <v>#N/A</v>
      </c>
      <c r="AB78" s="196"/>
      <c r="AC78" s="197"/>
      <c r="AD78" s="197"/>
      <c r="AE78" s="199"/>
      <c r="AF78" s="190"/>
      <c r="AG78" s="190"/>
      <c r="AH78" s="190"/>
      <c r="AI78" s="190"/>
      <c r="AJ78" s="202"/>
      <c r="AK78" s="160"/>
    </row>
    <row r="79" spans="1:49" s="87" customFormat="1" ht="12.75" customHeight="1" x14ac:dyDescent="0.2">
      <c r="A79" s="121"/>
      <c r="B79" s="320"/>
      <c r="C79" s="320"/>
      <c r="D79" s="320"/>
      <c r="E79" s="320"/>
      <c r="F79" s="320"/>
      <c r="G79" s="320"/>
      <c r="H79" s="320"/>
      <c r="I79" s="96"/>
      <c r="J79" s="96"/>
      <c r="K79" s="166"/>
      <c r="L79" s="166"/>
      <c r="M79" s="166"/>
      <c r="N79" s="166"/>
      <c r="O79" s="166"/>
      <c r="P79" s="166"/>
      <c r="Q79" s="166"/>
      <c r="R79" s="167"/>
      <c r="S79" s="159"/>
      <c r="T79" s="159"/>
      <c r="U79" s="166"/>
      <c r="V79" s="122"/>
      <c r="W79" s="139"/>
      <c r="X79" s="152"/>
      <c r="Y79" s="576" t="str">
        <f t="shared" si="21"/>
        <v>Buckinghamshire</v>
      </c>
      <c r="Z79" s="356" t="e">
        <f t="shared" si="22"/>
        <v>#N/A</v>
      </c>
      <c r="AA79" s="356" t="e">
        <f t="shared" si="23"/>
        <v>#N/A</v>
      </c>
      <c r="AB79" s="196"/>
      <c r="AC79" s="197"/>
      <c r="AD79" s="197"/>
      <c r="AE79" s="199"/>
      <c r="AF79" s="190"/>
      <c r="AG79" s="190"/>
      <c r="AH79" s="190"/>
      <c r="AI79" s="190"/>
      <c r="AJ79" s="202"/>
      <c r="AK79" s="160"/>
    </row>
    <row r="80" spans="1:49" s="87" customFormat="1" ht="12.75" customHeight="1" x14ac:dyDescent="0.2">
      <c r="A80" s="121"/>
      <c r="B80" s="320"/>
      <c r="C80" s="320"/>
      <c r="D80" s="320"/>
      <c r="E80" s="320"/>
      <c r="F80" s="320"/>
      <c r="G80" s="320"/>
      <c r="H80" s="320"/>
      <c r="I80" s="96"/>
      <c r="J80" s="96"/>
      <c r="K80" s="166"/>
      <c r="L80" s="166"/>
      <c r="M80" s="166"/>
      <c r="N80" s="166"/>
      <c r="O80" s="166"/>
      <c r="P80" s="166"/>
      <c r="Q80" s="166"/>
      <c r="R80" s="167"/>
      <c r="S80" s="159"/>
      <c r="T80" s="159"/>
      <c r="U80" s="166"/>
      <c r="V80" s="122"/>
      <c r="W80" s="139"/>
      <c r="X80" s="152"/>
      <c r="Y80" s="576" t="str">
        <f t="shared" si="21"/>
        <v>East Sussex</v>
      </c>
      <c r="Z80" s="356" t="e">
        <f t="shared" si="22"/>
        <v>#N/A</v>
      </c>
      <c r="AA80" s="356" t="e">
        <f t="shared" si="23"/>
        <v>#N/A</v>
      </c>
      <c r="AB80" s="196"/>
      <c r="AC80" s="197"/>
      <c r="AD80" s="197"/>
      <c r="AE80" s="199"/>
      <c r="AF80" s="190"/>
      <c r="AG80" s="190"/>
      <c r="AH80" s="190"/>
      <c r="AI80" s="190"/>
      <c r="AJ80" s="202"/>
      <c r="AK80" s="160"/>
    </row>
    <row r="81" spans="1:45" s="87" customFormat="1" ht="12.75" customHeight="1" x14ac:dyDescent="0.2">
      <c r="A81" s="121"/>
      <c r="B81" s="320"/>
      <c r="C81" s="320"/>
      <c r="D81" s="320"/>
      <c r="E81" s="320"/>
      <c r="F81" s="320"/>
      <c r="G81" s="320"/>
      <c r="H81" s="320"/>
      <c r="I81" s="96"/>
      <c r="J81" s="96"/>
      <c r="K81" s="166"/>
      <c r="L81" s="166"/>
      <c r="M81" s="166"/>
      <c r="N81" s="166"/>
      <c r="O81" s="166"/>
      <c r="P81" s="166"/>
      <c r="Q81" s="166"/>
      <c r="R81" s="167"/>
      <c r="S81" s="159"/>
      <c r="T81" s="159"/>
      <c r="U81" s="166"/>
      <c r="V81" s="122"/>
      <c r="W81" s="139"/>
      <c r="X81" s="152"/>
      <c r="Y81" s="576" t="str">
        <f t="shared" si="21"/>
        <v>Hampshire</v>
      </c>
      <c r="Z81" s="356" t="e">
        <f t="shared" si="22"/>
        <v>#N/A</v>
      </c>
      <c r="AA81" s="356" t="e">
        <f t="shared" si="23"/>
        <v>#N/A</v>
      </c>
      <c r="AB81" s="196"/>
      <c r="AC81" s="197"/>
      <c r="AD81" s="197"/>
      <c r="AE81" s="199"/>
      <c r="AF81" s="190"/>
      <c r="AG81" s="190"/>
      <c r="AH81" s="190"/>
      <c r="AI81" s="190"/>
      <c r="AJ81" s="202"/>
      <c r="AK81" s="160"/>
      <c r="AS81" s="87" t="s">
        <v>102</v>
      </c>
    </row>
    <row r="82" spans="1:45" s="87" customFormat="1" ht="12.75" customHeight="1" x14ac:dyDescent="0.2">
      <c r="A82" s="121"/>
      <c r="B82" s="320"/>
      <c r="C82" s="320"/>
      <c r="D82" s="320"/>
      <c r="E82" s="320"/>
      <c r="F82" s="320"/>
      <c r="G82" s="320"/>
      <c r="H82" s="320"/>
      <c r="I82" s="96"/>
      <c r="J82" s="96"/>
      <c r="K82" s="166"/>
      <c r="L82" s="166"/>
      <c r="M82" s="166"/>
      <c r="N82" s="166"/>
      <c r="O82" s="166"/>
      <c r="P82" s="166"/>
      <c r="Q82" s="166"/>
      <c r="R82" s="167"/>
      <c r="S82" s="159"/>
      <c r="T82" s="159"/>
      <c r="U82" s="166"/>
      <c r="V82" s="122"/>
      <c r="W82" s="139"/>
      <c r="X82" s="152"/>
      <c r="Y82" s="576" t="str">
        <f t="shared" si="21"/>
        <v>Isle of Wight</v>
      </c>
      <c r="Z82" s="356" t="e">
        <f t="shared" si="22"/>
        <v>#N/A</v>
      </c>
      <c r="AA82" s="356" t="e">
        <f t="shared" si="23"/>
        <v>#N/A</v>
      </c>
      <c r="AB82" s="196"/>
      <c r="AC82" s="197"/>
      <c r="AD82" s="197"/>
      <c r="AE82" s="199"/>
      <c r="AF82" s="190"/>
      <c r="AG82" s="190"/>
      <c r="AH82" s="190"/>
      <c r="AI82" s="190"/>
      <c r="AJ82" s="202"/>
      <c r="AK82" s="160"/>
    </row>
    <row r="83" spans="1:45" s="87" customFormat="1" ht="12.75" customHeight="1" x14ac:dyDescent="0.2">
      <c r="A83" s="121"/>
      <c r="B83" s="320"/>
      <c r="C83" s="320"/>
      <c r="D83" s="320"/>
      <c r="E83" s="320"/>
      <c r="F83" s="320"/>
      <c r="G83" s="320"/>
      <c r="H83" s="320"/>
      <c r="I83" s="96"/>
      <c r="J83" s="96"/>
      <c r="K83" s="166"/>
      <c r="L83" s="166"/>
      <c r="M83" s="166"/>
      <c r="N83" s="166"/>
      <c r="O83" s="166"/>
      <c r="P83" s="166"/>
      <c r="Q83" s="166"/>
      <c r="R83" s="167"/>
      <c r="S83" s="159"/>
      <c r="T83" s="159"/>
      <c r="U83" s="166"/>
      <c r="V83" s="122"/>
      <c r="W83" s="139"/>
      <c r="X83" s="152"/>
      <c r="Y83" s="576" t="str">
        <f t="shared" si="21"/>
        <v>Kent</v>
      </c>
      <c r="Z83" s="356" t="e">
        <f t="shared" si="22"/>
        <v>#N/A</v>
      </c>
      <c r="AA83" s="356" t="e">
        <f t="shared" si="23"/>
        <v>#N/A</v>
      </c>
      <c r="AB83" s="196"/>
      <c r="AC83" s="197"/>
      <c r="AD83" s="197"/>
      <c r="AE83" s="199"/>
      <c r="AF83" s="190"/>
      <c r="AG83" s="190"/>
      <c r="AH83" s="190"/>
      <c r="AI83" s="190"/>
      <c r="AJ83" s="202"/>
      <c r="AK83" s="160"/>
    </row>
    <row r="84" spans="1:45" s="87" customFormat="1" ht="12.75" customHeight="1" x14ac:dyDescent="0.2">
      <c r="A84" s="121"/>
      <c r="B84" s="320"/>
      <c r="C84" s="320"/>
      <c r="D84" s="320"/>
      <c r="E84" s="320"/>
      <c r="F84" s="320"/>
      <c r="G84" s="320"/>
      <c r="H84" s="320"/>
      <c r="I84" s="96"/>
      <c r="J84" s="96"/>
      <c r="K84" s="166"/>
      <c r="L84" s="166"/>
      <c r="M84" s="166"/>
      <c r="N84" s="166"/>
      <c r="O84" s="166"/>
      <c r="P84" s="166"/>
      <c r="Q84" s="166"/>
      <c r="R84" s="167"/>
      <c r="S84" s="159"/>
      <c r="T84" s="159"/>
      <c r="U84" s="166"/>
      <c r="V84" s="122"/>
      <c r="W84" s="139"/>
      <c r="X84" s="152"/>
      <c r="Y84" s="576" t="str">
        <f t="shared" si="21"/>
        <v>Medway</v>
      </c>
      <c r="Z84" s="356" t="e">
        <f t="shared" si="22"/>
        <v>#N/A</v>
      </c>
      <c r="AA84" s="356" t="e">
        <f t="shared" si="23"/>
        <v>#N/A</v>
      </c>
      <c r="AB84" s="196"/>
      <c r="AC84" s="197"/>
      <c r="AD84" s="197"/>
      <c r="AE84" s="199"/>
      <c r="AF84" s="190"/>
      <c r="AG84" s="190"/>
      <c r="AH84" s="190"/>
      <c r="AI84" s="190"/>
      <c r="AJ84" s="202"/>
      <c r="AK84" s="160"/>
    </row>
    <row r="85" spans="1:45" s="87" customFormat="1" ht="12.75" customHeight="1" x14ac:dyDescent="0.2">
      <c r="A85" s="121"/>
      <c r="B85" s="320"/>
      <c r="C85" s="320"/>
      <c r="D85" s="320"/>
      <c r="E85" s="320"/>
      <c r="F85" s="320"/>
      <c r="G85" s="320"/>
      <c r="H85" s="320"/>
      <c r="I85" s="96"/>
      <c r="J85" s="96"/>
      <c r="K85" s="166"/>
      <c r="L85" s="166"/>
      <c r="M85" s="166"/>
      <c r="N85" s="166"/>
      <c r="O85" s="166"/>
      <c r="P85" s="166"/>
      <c r="Q85" s="166"/>
      <c r="R85" s="167"/>
      <c r="S85" s="159"/>
      <c r="T85" s="159"/>
      <c r="U85" s="166"/>
      <c r="V85" s="122"/>
      <c r="W85" s="139"/>
      <c r="X85" s="152"/>
      <c r="Y85" s="576" t="str">
        <f t="shared" si="21"/>
        <v>Milton Keynes</v>
      </c>
      <c r="Z85" s="356" t="e">
        <f t="shared" si="22"/>
        <v>#N/A</v>
      </c>
      <c r="AA85" s="356" t="e">
        <f t="shared" si="23"/>
        <v>#N/A</v>
      </c>
      <c r="AB85" s="196"/>
      <c r="AC85" s="197"/>
      <c r="AD85" s="197"/>
      <c r="AE85" s="199"/>
      <c r="AF85" s="190"/>
      <c r="AG85" s="190"/>
      <c r="AH85" s="190"/>
      <c r="AI85" s="190"/>
      <c r="AJ85" s="202"/>
      <c r="AK85" s="160"/>
    </row>
    <row r="86" spans="1:45" s="87" customFormat="1" ht="12.75" customHeight="1" x14ac:dyDescent="0.2">
      <c r="A86" s="121"/>
      <c r="B86" s="320"/>
      <c r="C86" s="320"/>
      <c r="D86" s="320"/>
      <c r="E86" s="320"/>
      <c r="F86" s="320"/>
      <c r="G86" s="320"/>
      <c r="H86" s="320"/>
      <c r="I86" s="96"/>
      <c r="J86" s="96"/>
      <c r="K86" s="166"/>
      <c r="L86" s="166"/>
      <c r="M86" s="166"/>
      <c r="N86" s="166"/>
      <c r="O86" s="166"/>
      <c r="P86" s="166"/>
      <c r="Q86" s="166"/>
      <c r="R86" s="167"/>
      <c r="S86" s="159"/>
      <c r="T86" s="159"/>
      <c r="U86" s="166"/>
      <c r="V86" s="122"/>
      <c r="W86" s="139"/>
      <c r="X86" s="152"/>
      <c r="Y86" s="576" t="str">
        <f t="shared" si="21"/>
        <v>Oxfordshire</v>
      </c>
      <c r="Z86" s="356" t="e">
        <f t="shared" si="22"/>
        <v>#N/A</v>
      </c>
      <c r="AA86" s="356" t="e">
        <f t="shared" si="23"/>
        <v>#N/A</v>
      </c>
      <c r="AB86" s="196"/>
      <c r="AC86" s="197"/>
      <c r="AD86" s="197"/>
      <c r="AE86" s="199"/>
      <c r="AF86" s="190"/>
      <c r="AG86" s="190"/>
      <c r="AH86" s="190"/>
      <c r="AI86" s="190"/>
      <c r="AJ86" s="202"/>
      <c r="AK86" s="160"/>
    </row>
    <row r="87" spans="1:45" s="87" customFormat="1" ht="12.75" customHeight="1" x14ac:dyDescent="0.2">
      <c r="A87" s="121"/>
      <c r="B87" s="320"/>
      <c r="C87" s="320"/>
      <c r="D87" s="320"/>
      <c r="E87" s="320"/>
      <c r="F87" s="320"/>
      <c r="G87" s="320"/>
      <c r="H87" s="320"/>
      <c r="I87" s="96"/>
      <c r="J87" s="96"/>
      <c r="K87" s="166"/>
      <c r="L87" s="166"/>
      <c r="M87" s="166"/>
      <c r="N87" s="166"/>
      <c r="O87" s="166"/>
      <c r="P87" s="166"/>
      <c r="Q87" s="166"/>
      <c r="R87" s="167"/>
      <c r="S87" s="159"/>
      <c r="T87" s="159"/>
      <c r="U87" s="166"/>
      <c r="V87" s="122"/>
      <c r="W87" s="139"/>
      <c r="X87" s="152"/>
      <c r="Y87" s="576" t="str">
        <f t="shared" si="21"/>
        <v>Portsmouth</v>
      </c>
      <c r="Z87" s="356" t="e">
        <f t="shared" si="22"/>
        <v>#N/A</v>
      </c>
      <c r="AA87" s="356" t="e">
        <f t="shared" si="23"/>
        <v>#N/A</v>
      </c>
      <c r="AB87" s="196"/>
      <c r="AC87" s="197"/>
      <c r="AD87" s="197"/>
      <c r="AE87" s="199"/>
      <c r="AF87" s="190"/>
      <c r="AG87" s="190"/>
      <c r="AH87" s="190"/>
      <c r="AI87" s="190"/>
      <c r="AJ87" s="202"/>
      <c r="AK87" s="160"/>
    </row>
    <row r="88" spans="1:45" s="87" customFormat="1" ht="12.75" customHeight="1" x14ac:dyDescent="0.2">
      <c r="A88" s="121"/>
      <c r="B88" s="320"/>
      <c r="C88" s="320"/>
      <c r="D88" s="320"/>
      <c r="E88" s="320"/>
      <c r="F88" s="320"/>
      <c r="G88" s="320"/>
      <c r="H88" s="320"/>
      <c r="I88" s="96"/>
      <c r="J88" s="96"/>
      <c r="K88" s="166"/>
      <c r="L88" s="166"/>
      <c r="M88" s="166"/>
      <c r="N88" s="166"/>
      <c r="O88" s="166"/>
      <c r="P88" s="166"/>
      <c r="Q88" s="166"/>
      <c r="R88" s="167"/>
      <c r="S88" s="159"/>
      <c r="T88" s="159"/>
      <c r="U88" s="166"/>
      <c r="V88" s="122"/>
      <c r="W88" s="139"/>
      <c r="X88" s="152"/>
      <c r="Y88" s="576" t="str">
        <f t="shared" si="21"/>
        <v>Reading</v>
      </c>
      <c r="Z88" s="356" t="e">
        <f t="shared" si="22"/>
        <v>#N/A</v>
      </c>
      <c r="AA88" s="356" t="e">
        <f t="shared" si="23"/>
        <v>#N/A</v>
      </c>
      <c r="AB88" s="196"/>
      <c r="AC88" s="197"/>
      <c r="AD88" s="197"/>
      <c r="AE88" s="199"/>
      <c r="AF88" s="190"/>
      <c r="AG88" s="190"/>
      <c r="AH88" s="190"/>
      <c r="AI88" s="190"/>
      <c r="AJ88" s="202"/>
      <c r="AK88" s="160"/>
    </row>
    <row r="89" spans="1:45" s="87" customFormat="1" ht="12.75" customHeight="1" x14ac:dyDescent="0.2">
      <c r="A89" s="121"/>
      <c r="B89" s="320"/>
      <c r="C89" s="320"/>
      <c r="D89" s="320"/>
      <c r="E89" s="320"/>
      <c r="F89" s="320"/>
      <c r="G89" s="320"/>
      <c r="H89" s="320"/>
      <c r="I89" s="96"/>
      <c r="J89" s="96"/>
      <c r="K89" s="166"/>
      <c r="L89" s="166"/>
      <c r="M89" s="166"/>
      <c r="N89" s="166"/>
      <c r="O89" s="166"/>
      <c r="P89" s="166"/>
      <c r="Q89" s="166"/>
      <c r="R89" s="167"/>
      <c r="S89" s="159"/>
      <c r="T89" s="159"/>
      <c r="U89" s="166"/>
      <c r="V89" s="122"/>
      <c r="W89" s="139"/>
      <c r="X89" s="152"/>
      <c r="Y89" s="576" t="str">
        <f t="shared" si="21"/>
        <v>Slough</v>
      </c>
      <c r="Z89" s="356" t="e">
        <f t="shared" si="22"/>
        <v>#N/A</v>
      </c>
      <c r="AA89" s="356" t="e">
        <f t="shared" si="23"/>
        <v>#N/A</v>
      </c>
      <c r="AB89" s="196"/>
      <c r="AC89" s="197"/>
      <c r="AD89" s="197"/>
      <c r="AE89" s="199"/>
      <c r="AF89" s="190"/>
      <c r="AG89" s="190"/>
      <c r="AH89" s="190"/>
      <c r="AI89" s="190"/>
      <c r="AJ89" s="202"/>
      <c r="AK89" s="160"/>
    </row>
    <row r="90" spans="1:45" s="87" customFormat="1" ht="12.75" customHeight="1" x14ac:dyDescent="0.2">
      <c r="A90" s="121"/>
      <c r="B90" s="320"/>
      <c r="C90" s="320"/>
      <c r="D90" s="320"/>
      <c r="E90" s="320"/>
      <c r="F90" s="320"/>
      <c r="G90" s="320"/>
      <c r="H90" s="320"/>
      <c r="I90" s="96"/>
      <c r="J90" s="96"/>
      <c r="K90" s="166"/>
      <c r="L90" s="166"/>
      <c r="M90" s="166"/>
      <c r="N90" s="166"/>
      <c r="O90" s="166"/>
      <c r="P90" s="166"/>
      <c r="Q90" s="166"/>
      <c r="R90" s="167"/>
      <c r="S90" s="159"/>
      <c r="T90" s="159"/>
      <c r="U90" s="166"/>
      <c r="V90" s="122"/>
      <c r="W90" s="139"/>
      <c r="X90" s="152"/>
      <c r="Y90" s="576" t="str">
        <f t="shared" si="21"/>
        <v>Somerset</v>
      </c>
      <c r="Z90" s="356" t="e">
        <f t="shared" si="22"/>
        <v>#N/A</v>
      </c>
      <c r="AA90" s="356" t="e">
        <f t="shared" si="23"/>
        <v>#N/A</v>
      </c>
      <c r="AB90" s="196"/>
      <c r="AC90" s="197"/>
      <c r="AD90" s="197"/>
      <c r="AE90" s="199"/>
      <c r="AF90" s="190"/>
      <c r="AG90" s="190"/>
      <c r="AH90" s="190"/>
      <c r="AI90" s="190"/>
      <c r="AJ90" s="202"/>
      <c r="AK90" s="160"/>
    </row>
    <row r="91" spans="1:45" s="87" customFormat="1" ht="12.75" customHeight="1" x14ac:dyDescent="0.2">
      <c r="A91" s="121"/>
      <c r="B91" s="320"/>
      <c r="C91" s="320"/>
      <c r="D91" s="320"/>
      <c r="E91" s="320"/>
      <c r="F91" s="320"/>
      <c r="G91" s="320"/>
      <c r="H91" s="320"/>
      <c r="I91" s="96"/>
      <c r="J91" s="96"/>
      <c r="K91" s="166"/>
      <c r="L91" s="166"/>
      <c r="M91" s="166"/>
      <c r="N91" s="166"/>
      <c r="O91" s="166"/>
      <c r="P91" s="166"/>
      <c r="Q91" s="166"/>
      <c r="R91" s="167"/>
      <c r="S91" s="159"/>
      <c r="T91" s="159"/>
      <c r="U91" s="166"/>
      <c r="V91" s="122"/>
      <c r="W91" s="139"/>
      <c r="X91" s="152"/>
      <c r="Y91" s="576" t="str">
        <f t="shared" si="21"/>
        <v>Southampton</v>
      </c>
      <c r="Z91" s="356" t="e">
        <f t="shared" si="22"/>
        <v>#N/A</v>
      </c>
      <c r="AA91" s="356" t="e">
        <f t="shared" si="23"/>
        <v>#N/A</v>
      </c>
      <c r="AB91" s="196"/>
      <c r="AC91" s="197"/>
      <c r="AD91" s="197"/>
      <c r="AE91" s="199"/>
      <c r="AF91" s="190"/>
      <c r="AG91" s="190"/>
      <c r="AH91" s="190"/>
      <c r="AI91" s="190"/>
      <c r="AJ91" s="202"/>
      <c r="AK91" s="160"/>
    </row>
    <row r="92" spans="1:45" s="87" customFormat="1" ht="12.75" customHeight="1" x14ac:dyDescent="0.2">
      <c r="A92" s="292"/>
      <c r="B92" s="320"/>
      <c r="C92" s="320"/>
      <c r="D92" s="320"/>
      <c r="E92" s="320"/>
      <c r="F92" s="320"/>
      <c r="G92" s="320"/>
      <c r="H92" s="320"/>
      <c r="I92" s="96"/>
      <c r="J92" s="96"/>
      <c r="K92" s="166"/>
      <c r="L92" s="166"/>
      <c r="M92" s="166"/>
      <c r="N92" s="166"/>
      <c r="O92" s="166"/>
      <c r="P92" s="166"/>
      <c r="Q92" s="166"/>
      <c r="R92" s="167"/>
      <c r="S92" s="159"/>
      <c r="T92" s="159"/>
      <c r="U92" s="166"/>
      <c r="V92" s="122"/>
      <c r="W92" s="139"/>
      <c r="X92" s="152"/>
      <c r="Y92" s="576" t="str">
        <f t="shared" si="21"/>
        <v>Surrey</v>
      </c>
      <c r="Z92" s="356" t="e">
        <f t="shared" si="22"/>
        <v>#N/A</v>
      </c>
      <c r="AA92" s="356" t="e">
        <f t="shared" si="23"/>
        <v>#N/A</v>
      </c>
      <c r="AB92" s="196"/>
      <c r="AC92" s="197"/>
      <c r="AD92" s="197"/>
      <c r="AE92" s="199"/>
      <c r="AF92" s="190"/>
      <c r="AG92" s="190"/>
      <c r="AH92" s="190"/>
      <c r="AI92" s="190"/>
      <c r="AJ92" s="202"/>
      <c r="AK92" s="160"/>
    </row>
    <row r="93" spans="1:45" s="87" customFormat="1" ht="12.75" customHeight="1" x14ac:dyDescent="0.2">
      <c r="A93" s="292"/>
      <c r="B93" s="320"/>
      <c r="C93" s="320"/>
      <c r="D93" s="320"/>
      <c r="E93" s="320"/>
      <c r="F93" s="320"/>
      <c r="G93" s="320"/>
      <c r="H93" s="320"/>
      <c r="I93" s="96"/>
      <c r="J93" s="96"/>
      <c r="K93" s="166"/>
      <c r="L93" s="166"/>
      <c r="M93" s="166"/>
      <c r="N93" s="166"/>
      <c r="O93" s="166"/>
      <c r="P93" s="166"/>
      <c r="Q93" s="166"/>
      <c r="R93" s="167"/>
      <c r="S93" s="159"/>
      <c r="T93" s="159"/>
      <c r="U93" s="166"/>
      <c r="V93" s="122"/>
      <c r="W93" s="139"/>
      <c r="X93" s="152"/>
      <c r="Y93" s="576" t="str">
        <f t="shared" si="21"/>
        <v>Swindon</v>
      </c>
      <c r="Z93" s="356" t="e">
        <f t="shared" si="22"/>
        <v>#N/A</v>
      </c>
      <c r="AA93" s="356" t="e">
        <f t="shared" si="23"/>
        <v>#N/A</v>
      </c>
      <c r="AB93" s="196"/>
      <c r="AC93" s="197"/>
      <c r="AD93" s="197"/>
      <c r="AE93" s="199"/>
      <c r="AF93" s="190"/>
      <c r="AG93" s="190"/>
      <c r="AH93" s="190"/>
      <c r="AI93" s="190"/>
      <c r="AJ93" s="202"/>
      <c r="AK93" s="160"/>
    </row>
    <row r="94" spans="1:45" s="87" customFormat="1" ht="12.75" customHeight="1" x14ac:dyDescent="0.2">
      <c r="A94" s="121"/>
      <c r="B94" s="320"/>
      <c r="C94" s="320"/>
      <c r="D94" s="320"/>
      <c r="E94" s="320"/>
      <c r="F94" s="320"/>
      <c r="G94" s="320"/>
      <c r="H94" s="320"/>
      <c r="I94" s="96"/>
      <c r="J94" s="96"/>
      <c r="K94" s="166"/>
      <c r="L94" s="166"/>
      <c r="M94" s="166"/>
      <c r="N94" s="166"/>
      <c r="O94" s="166"/>
      <c r="P94" s="166"/>
      <c r="Q94" s="166"/>
      <c r="R94" s="167"/>
      <c r="S94" s="159"/>
      <c r="T94" s="159"/>
      <c r="U94" s="166"/>
      <c r="V94" s="122"/>
      <c r="W94" s="139"/>
      <c r="X94" s="152"/>
      <c r="Y94" s="576" t="str">
        <f t="shared" si="21"/>
        <v>Torbay</v>
      </c>
      <c r="Z94" s="356" t="e">
        <f t="shared" si="22"/>
        <v>#N/A</v>
      </c>
      <c r="AA94" s="356" t="e">
        <f t="shared" si="23"/>
        <v>#N/A</v>
      </c>
      <c r="AB94" s="196"/>
      <c r="AC94" s="197"/>
      <c r="AD94" s="197"/>
      <c r="AE94" s="199"/>
      <c r="AF94" s="202"/>
      <c r="AG94" s="190"/>
      <c r="AH94" s="190"/>
      <c r="AI94" s="190"/>
      <c r="AJ94" s="202"/>
      <c r="AK94" s="160"/>
    </row>
    <row r="95" spans="1:45" s="87" customFormat="1" ht="12.75" customHeight="1" x14ac:dyDescent="0.2">
      <c r="A95" s="121"/>
      <c r="B95" s="320"/>
      <c r="C95" s="320"/>
      <c r="D95" s="320"/>
      <c r="E95" s="320"/>
      <c r="F95" s="320"/>
      <c r="G95" s="320"/>
      <c r="H95" s="320"/>
      <c r="I95" s="96"/>
      <c r="J95" s="96"/>
      <c r="K95" s="166"/>
      <c r="L95" s="166"/>
      <c r="M95" s="166"/>
      <c r="N95" s="166"/>
      <c r="O95" s="166"/>
      <c r="P95" s="166"/>
      <c r="Q95" s="166"/>
      <c r="R95" s="167"/>
      <c r="S95" s="159"/>
      <c r="T95" s="159"/>
      <c r="U95" s="166"/>
      <c r="V95" s="122"/>
      <c r="W95" s="139"/>
      <c r="X95" s="152"/>
      <c r="Y95" s="576" t="str">
        <f t="shared" si="21"/>
        <v>West Berkshire</v>
      </c>
      <c r="Z95" s="356" t="e">
        <f t="shared" si="22"/>
        <v>#N/A</v>
      </c>
      <c r="AA95" s="356" t="e">
        <f t="shared" si="23"/>
        <v>#N/A</v>
      </c>
      <c r="AB95" s="196"/>
      <c r="AC95" s="197"/>
      <c r="AD95" s="197"/>
      <c r="AE95" s="199"/>
      <c r="AF95" s="202"/>
      <c r="AG95" s="190"/>
      <c r="AH95" s="190"/>
      <c r="AI95" s="190"/>
      <c r="AJ95" s="202"/>
      <c r="AK95" s="160"/>
    </row>
    <row r="96" spans="1:45" s="87" customFormat="1" ht="12.75" customHeight="1" x14ac:dyDescent="0.2">
      <c r="A96" s="121"/>
      <c r="B96" s="320"/>
      <c r="C96" s="320"/>
      <c r="D96" s="320"/>
      <c r="E96" s="320"/>
      <c r="F96" s="320"/>
      <c r="G96" s="320"/>
      <c r="H96" s="320"/>
      <c r="I96" s="96"/>
      <c r="J96" s="96"/>
      <c r="K96" s="166"/>
      <c r="L96" s="166"/>
      <c r="M96" s="166"/>
      <c r="N96" s="166"/>
      <c r="O96" s="166"/>
      <c r="P96" s="166"/>
      <c r="Q96" s="166"/>
      <c r="R96" s="167"/>
      <c r="S96" s="159"/>
      <c r="T96" s="159"/>
      <c r="U96" s="166"/>
      <c r="V96" s="122"/>
      <c r="W96" s="139"/>
      <c r="X96" s="152"/>
      <c r="Y96" s="576" t="str">
        <f t="shared" si="21"/>
        <v>West Sussex</v>
      </c>
      <c r="Z96" s="356" t="e">
        <f t="shared" si="22"/>
        <v>#N/A</v>
      </c>
      <c r="AA96" s="356" t="e">
        <f t="shared" si="23"/>
        <v>#N/A</v>
      </c>
      <c r="AB96" s="196"/>
      <c r="AC96" s="197"/>
      <c r="AD96" s="197"/>
      <c r="AE96" s="199"/>
      <c r="AF96" s="202"/>
      <c r="AG96" s="202"/>
      <c r="AH96" s="202"/>
      <c r="AI96" s="190"/>
      <c r="AJ96" s="202"/>
      <c r="AK96" s="160"/>
    </row>
    <row r="97" spans="1:46" s="87" customFormat="1" ht="12.75" customHeight="1" x14ac:dyDescent="0.2">
      <c r="A97" s="121"/>
      <c r="B97" s="320"/>
      <c r="C97" s="320"/>
      <c r="D97" s="320"/>
      <c r="E97" s="320"/>
      <c r="F97" s="320"/>
      <c r="G97" s="320"/>
      <c r="H97" s="320"/>
      <c r="I97" s="96"/>
      <c r="J97" s="96"/>
      <c r="K97" s="166"/>
      <c r="L97" s="166"/>
      <c r="M97" s="166"/>
      <c r="N97" s="166"/>
      <c r="O97" s="166"/>
      <c r="P97" s="166"/>
      <c r="Q97" s="166"/>
      <c r="R97" s="167"/>
      <c r="S97" s="159"/>
      <c r="T97" s="159"/>
      <c r="U97" s="166"/>
      <c r="V97" s="122"/>
      <c r="W97" s="139"/>
      <c r="X97" s="152"/>
      <c r="Y97" s="576" t="str">
        <f t="shared" si="21"/>
        <v>Windsor &amp; Maidenhead</v>
      </c>
      <c r="Z97" s="356" t="e">
        <f t="shared" si="22"/>
        <v>#N/A</v>
      </c>
      <c r="AA97" s="356" t="e">
        <f t="shared" si="23"/>
        <v>#N/A</v>
      </c>
      <c r="AB97" s="196"/>
      <c r="AC97" s="197"/>
      <c r="AD97" s="197"/>
      <c r="AE97" s="199"/>
      <c r="AF97" s="202"/>
      <c r="AG97" s="202"/>
      <c r="AH97" s="202"/>
      <c r="AI97" s="190"/>
      <c r="AJ97" s="202"/>
      <c r="AK97" s="160"/>
    </row>
    <row r="98" spans="1:46" s="87" customFormat="1" ht="12.75" customHeight="1" x14ac:dyDescent="0.2">
      <c r="A98" s="121"/>
      <c r="B98" s="320"/>
      <c r="C98" s="320"/>
      <c r="D98" s="320"/>
      <c r="E98" s="320"/>
      <c r="F98" s="320"/>
      <c r="G98" s="320"/>
      <c r="H98" s="320"/>
      <c r="I98" s="96"/>
      <c r="J98" s="96"/>
      <c r="K98" s="168"/>
      <c r="L98" s="168"/>
      <c r="M98" s="168"/>
      <c r="N98" s="168"/>
      <c r="O98" s="168"/>
      <c r="P98" s="168"/>
      <c r="Q98" s="168"/>
      <c r="R98" s="169"/>
      <c r="S98" s="159"/>
      <c r="T98" s="159"/>
      <c r="U98" s="170"/>
      <c r="V98" s="122"/>
      <c r="W98" s="139"/>
      <c r="X98" s="152"/>
      <c r="Y98" s="576" t="str">
        <f t="shared" si="21"/>
        <v>Wokingham</v>
      </c>
      <c r="Z98" s="356" t="e">
        <f t="shared" si="22"/>
        <v>#N/A</v>
      </c>
      <c r="AA98" s="356" t="e">
        <f t="shared" si="23"/>
        <v>#N/A</v>
      </c>
      <c r="AB98" s="196"/>
      <c r="AC98" s="197"/>
      <c r="AD98" s="197"/>
      <c r="AE98" s="199"/>
      <c r="AF98" s="202"/>
      <c r="AG98" s="202"/>
      <c r="AH98" s="202"/>
      <c r="AI98" s="190"/>
      <c r="AJ98" s="202"/>
      <c r="AK98" s="160"/>
    </row>
    <row r="99" spans="1:46" s="87" customFormat="1" ht="12.75" customHeight="1" x14ac:dyDescent="0.2">
      <c r="A99" s="121"/>
      <c r="B99" s="320"/>
      <c r="C99" s="320"/>
      <c r="D99" s="320"/>
      <c r="E99" s="320"/>
      <c r="F99" s="320"/>
      <c r="G99" s="320"/>
      <c r="H99" s="320"/>
      <c r="I99" s="96"/>
      <c r="J99" s="96"/>
      <c r="K99" s="168"/>
      <c r="L99" s="168"/>
      <c r="M99" s="168"/>
      <c r="N99" s="168"/>
      <c r="O99" s="168"/>
      <c r="P99" s="168"/>
      <c r="Q99" s="168"/>
      <c r="R99" s="169"/>
      <c r="S99" s="159"/>
      <c r="T99" s="159"/>
      <c r="U99" s="170"/>
      <c r="V99" s="122"/>
      <c r="W99" s="139"/>
      <c r="X99" s="152"/>
      <c r="Y99" s="576" t="str">
        <f>B32</f>
        <v>South East</v>
      </c>
      <c r="Z99" s="356" t="e">
        <f t="shared" si="22"/>
        <v>#N/A</v>
      </c>
      <c r="AA99" s="356" t="e">
        <f t="shared" si="23"/>
        <v>#N/A</v>
      </c>
      <c r="AB99" s="196"/>
      <c r="AC99" s="197"/>
      <c r="AD99" s="197"/>
      <c r="AE99" s="199"/>
      <c r="AF99" s="202"/>
      <c r="AG99" s="202"/>
      <c r="AH99" s="202"/>
      <c r="AI99" s="190"/>
      <c r="AJ99" s="202"/>
      <c r="AK99" s="160"/>
    </row>
    <row r="100" spans="1:46" s="87" customFormat="1" ht="11.25" customHeight="1" x14ac:dyDescent="0.2">
      <c r="A100" s="292"/>
      <c r="B100" s="320"/>
      <c r="C100" s="320"/>
      <c r="D100" s="320"/>
      <c r="E100" s="320"/>
      <c r="F100" s="320"/>
      <c r="G100" s="320"/>
      <c r="H100" s="320"/>
      <c r="I100" s="96"/>
      <c r="J100" s="96"/>
      <c r="K100" s="168"/>
      <c r="L100" s="168"/>
      <c r="M100" s="168"/>
      <c r="N100" s="168"/>
      <c r="O100" s="168"/>
      <c r="P100" s="168"/>
      <c r="Q100" s="168"/>
      <c r="R100" s="169"/>
      <c r="S100" s="159"/>
      <c r="T100" s="159"/>
      <c r="U100" s="170"/>
      <c r="V100" s="122"/>
      <c r="W100" s="139"/>
      <c r="X100" s="152"/>
      <c r="Y100" s="576" t="str">
        <f>B33</f>
        <v>England</v>
      </c>
      <c r="Z100" s="356" t="e">
        <f t="shared" si="22"/>
        <v>#N/A</v>
      </c>
      <c r="AA100" s="356" t="e">
        <f t="shared" si="23"/>
        <v>#N/A</v>
      </c>
      <c r="AB100" s="196"/>
      <c r="AC100" s="197"/>
      <c r="AD100" s="197"/>
      <c r="AE100" s="199"/>
      <c r="AF100" s="202"/>
      <c r="AG100" s="202"/>
      <c r="AH100" s="202"/>
      <c r="AI100" s="190"/>
      <c r="AJ100" s="202"/>
      <c r="AK100" s="160"/>
    </row>
    <row r="101" spans="1:46" s="81" customFormat="1" ht="35.450000000000003" customHeight="1" x14ac:dyDescent="0.2">
      <c r="A101" s="217"/>
      <c r="B101" s="320"/>
      <c r="C101" s="320"/>
      <c r="D101" s="320"/>
      <c r="E101" s="320"/>
      <c r="F101" s="320"/>
      <c r="G101" s="320"/>
      <c r="H101" s="320"/>
      <c r="I101" s="325"/>
      <c r="J101" s="172"/>
      <c r="K101" s="172"/>
      <c r="L101" s="172"/>
      <c r="M101" s="172"/>
      <c r="N101" s="172"/>
      <c r="O101" s="172"/>
      <c r="P101" s="172"/>
      <c r="Q101" s="172"/>
      <c r="R101" s="136"/>
      <c r="S101" s="172"/>
      <c r="T101" s="172"/>
      <c r="U101" s="172"/>
      <c r="V101" s="117"/>
      <c r="W101" s="137"/>
      <c r="X101" s="150"/>
      <c r="AD101" s="197"/>
      <c r="AE101" s="199"/>
      <c r="AF101" s="184"/>
      <c r="AG101" s="184"/>
      <c r="AH101" s="184"/>
      <c r="AJ101" s="184"/>
      <c r="AK101" s="161"/>
    </row>
    <row r="102" spans="1:46" s="81" customFormat="1" ht="36.6" customHeight="1" x14ac:dyDescent="0.2">
      <c r="A102" s="217"/>
      <c r="B102" s="320"/>
      <c r="C102" s="320"/>
      <c r="D102" s="320"/>
      <c r="E102" s="320"/>
      <c r="F102" s="320"/>
      <c r="G102" s="320"/>
      <c r="H102" s="320"/>
      <c r="I102" s="325"/>
      <c r="J102" s="172"/>
      <c r="K102" s="172"/>
      <c r="L102" s="172"/>
      <c r="M102" s="172"/>
      <c r="N102" s="172"/>
      <c r="O102" s="172"/>
      <c r="P102" s="172"/>
      <c r="Q102" s="172"/>
      <c r="R102" s="136"/>
      <c r="S102" s="172"/>
      <c r="T102" s="172"/>
      <c r="U102" s="172"/>
      <c r="V102" s="117"/>
      <c r="W102" s="137"/>
      <c r="X102" s="150"/>
      <c r="Z102" s="190"/>
      <c r="AE102" s="199"/>
      <c r="AF102" s="184"/>
      <c r="AG102" s="184"/>
      <c r="AH102" s="184"/>
      <c r="AJ102" s="184"/>
      <c r="AK102" s="161"/>
    </row>
    <row r="103" spans="1:46" s="81" customFormat="1" ht="45" customHeight="1" x14ac:dyDescent="0.2">
      <c r="A103" s="217"/>
      <c r="B103" s="325"/>
      <c r="C103" s="325"/>
      <c r="D103" s="325"/>
      <c r="E103" s="325"/>
      <c r="F103" s="325"/>
      <c r="G103" s="325"/>
      <c r="H103" s="325"/>
      <c r="I103" s="325"/>
      <c r="J103" s="172"/>
      <c r="K103" s="172"/>
      <c r="L103" s="172"/>
      <c r="M103" s="172"/>
      <c r="N103" s="172"/>
      <c r="O103" s="172"/>
      <c r="P103" s="172"/>
      <c r="Q103" s="172"/>
      <c r="R103" s="136"/>
      <c r="S103" s="172"/>
      <c r="T103" s="172"/>
      <c r="U103" s="172"/>
      <c r="V103" s="117"/>
      <c r="W103" s="137"/>
      <c r="X103" s="150"/>
      <c r="Z103" s="190"/>
      <c r="AE103" s="199"/>
      <c r="AF103" s="184"/>
      <c r="AG103" s="184"/>
      <c r="AH103" s="184"/>
      <c r="AJ103" s="184"/>
      <c r="AK103" s="161"/>
    </row>
    <row r="104" spans="1:46" s="81" customFormat="1" ht="7.5" customHeight="1" x14ac:dyDescent="0.2">
      <c r="A104" s="118"/>
      <c r="B104" s="17"/>
      <c r="C104" s="17"/>
      <c r="D104" s="16"/>
      <c r="E104" s="16"/>
      <c r="F104" s="16"/>
      <c r="G104" s="16"/>
      <c r="H104" s="16"/>
      <c r="I104" s="16"/>
      <c r="J104" s="12"/>
      <c r="K104" s="18"/>
      <c r="L104" s="18"/>
      <c r="M104" s="18"/>
      <c r="N104" s="18"/>
      <c r="O104" s="18"/>
      <c r="P104" s="18"/>
      <c r="Q104" s="18"/>
      <c r="R104" s="18"/>
      <c r="S104" s="18"/>
      <c r="T104" s="18"/>
      <c r="U104" s="19"/>
      <c r="V104" s="117"/>
      <c r="W104" s="137"/>
      <c r="X104" s="150"/>
      <c r="Z104" s="190"/>
      <c r="AJ104" s="184"/>
      <c r="AK104" s="157"/>
      <c r="AL104" s="74"/>
      <c r="AM104" s="74"/>
      <c r="AN104" s="74"/>
      <c r="AO104" s="74"/>
      <c r="AP104" s="74"/>
      <c r="AQ104" s="74"/>
      <c r="AR104" s="74"/>
    </row>
    <row r="105" spans="1:46" s="81" customFormat="1" ht="15" customHeight="1" x14ac:dyDescent="0.2">
      <c r="A105" s="1716"/>
      <c r="B105" s="1760"/>
      <c r="C105" s="1760"/>
      <c r="D105" s="1760"/>
      <c r="E105" s="1760"/>
      <c r="F105" s="1760"/>
      <c r="G105" s="1760"/>
      <c r="H105" s="1760"/>
      <c r="I105" s="1760"/>
      <c r="J105" s="1760"/>
      <c r="K105" s="1760"/>
      <c r="L105" s="1760"/>
      <c r="M105" s="1760"/>
      <c r="N105" s="1760"/>
      <c r="O105" s="1760"/>
      <c r="P105" s="1760"/>
      <c r="Q105" s="1760"/>
      <c r="R105" s="1760"/>
      <c r="S105" s="1760"/>
      <c r="T105" s="1760"/>
      <c r="U105" s="1760"/>
      <c r="V105" s="1761"/>
      <c r="W105" s="137"/>
      <c r="X105" s="150"/>
      <c r="Y105" s="188"/>
      <c r="Z105" s="188"/>
      <c r="AK105" s="161"/>
      <c r="AT105" s="74"/>
    </row>
    <row r="106" spans="1:46" s="81" customFormat="1" ht="11.1" customHeight="1" x14ac:dyDescent="0.2">
      <c r="A106" s="1765" t="str">
        <f>Home!$A$39</f>
        <v xml:space="preserve"> </v>
      </c>
      <c r="B106" s="1766"/>
      <c r="C106" s="1766"/>
      <c r="D106" s="1766"/>
      <c r="E106" s="1766"/>
      <c r="F106" s="1766"/>
      <c r="G106" s="1766"/>
      <c r="H106" s="1766"/>
      <c r="I106" s="1767"/>
      <c r="J106" s="1766"/>
      <c r="K106" s="1766"/>
      <c r="L106" s="1766"/>
      <c r="M106" s="1766"/>
      <c r="N106" s="1766"/>
      <c r="O106" s="1766"/>
      <c r="P106" s="1768"/>
      <c r="Q106" s="1766"/>
      <c r="R106" s="1766"/>
      <c r="S106" s="1766"/>
      <c r="T106" s="1767"/>
      <c r="U106" s="1766"/>
      <c r="V106" s="1769"/>
      <c r="W106" s="137"/>
      <c r="X106" s="150"/>
      <c r="Y106" s="188"/>
      <c r="Z106" s="188"/>
      <c r="AJ106" s="184"/>
      <c r="AK106" s="160"/>
      <c r="AL106" s="87"/>
      <c r="AT106" s="74"/>
    </row>
    <row r="107" spans="1:46" ht="11.25" customHeight="1" x14ac:dyDescent="0.2">
      <c r="A107" s="112"/>
      <c r="B107" s="113"/>
      <c r="C107" s="113"/>
      <c r="D107" s="113"/>
      <c r="E107" s="113"/>
      <c r="F107" s="113"/>
      <c r="G107" s="113"/>
      <c r="H107" s="113"/>
      <c r="I107" s="113"/>
      <c r="J107" s="114"/>
      <c r="K107" s="113"/>
      <c r="L107" s="113"/>
      <c r="M107" s="113"/>
      <c r="N107" s="113"/>
      <c r="O107" s="113"/>
      <c r="P107" s="113"/>
      <c r="Q107" s="113"/>
      <c r="R107" s="113"/>
      <c r="S107" s="113"/>
      <c r="T107" s="113"/>
      <c r="U107" s="113"/>
      <c r="V107" s="115"/>
      <c r="W107" s="137"/>
      <c r="X107" s="150"/>
      <c r="Y107" s="188"/>
      <c r="Z107" s="188"/>
      <c r="AJ107" s="184"/>
      <c r="AK107" s="157"/>
    </row>
    <row r="108" spans="1:46" s="76" customFormat="1" ht="15" customHeight="1" x14ac:dyDescent="0.2">
      <c r="A108" s="119"/>
      <c r="B108" s="59" t="s">
        <v>107</v>
      </c>
      <c r="C108" s="320"/>
      <c r="D108" s="320"/>
      <c r="E108" s="320"/>
      <c r="F108" s="320"/>
      <c r="G108" s="320"/>
      <c r="H108" s="320"/>
      <c r="I108" s="320"/>
      <c r="J108" s="70"/>
      <c r="K108" s="70"/>
      <c r="L108" s="70"/>
      <c r="M108" s="70"/>
      <c r="N108" s="317"/>
      <c r="O108" s="70"/>
      <c r="P108" s="70"/>
      <c r="Q108" s="70"/>
      <c r="R108" s="70"/>
      <c r="S108" s="70"/>
      <c r="T108" s="70"/>
      <c r="U108" s="70"/>
      <c r="V108" s="120"/>
      <c r="W108" s="138"/>
      <c r="X108" s="151"/>
      <c r="Y108" s="188"/>
      <c r="Z108" s="188"/>
      <c r="AA108" s="81"/>
      <c r="AB108" s="81"/>
      <c r="AC108" s="81"/>
      <c r="AD108" s="81"/>
      <c r="AE108" s="81"/>
      <c r="AF108" s="188"/>
      <c r="AG108" s="188"/>
      <c r="AH108" s="188"/>
      <c r="AI108" s="188"/>
      <c r="AJ108" s="188"/>
      <c r="AK108" s="158"/>
    </row>
    <row r="109" spans="1:46" ht="15" customHeight="1" x14ac:dyDescent="0.2">
      <c r="A109" s="118"/>
      <c r="B109" s="320"/>
      <c r="C109" s="320"/>
      <c r="D109" s="320"/>
      <c r="E109" s="320"/>
      <c r="F109" s="320"/>
      <c r="G109" s="320"/>
      <c r="H109" s="320"/>
      <c r="I109" s="320"/>
      <c r="J109" s="70"/>
      <c r="K109" s="70"/>
      <c r="L109" s="70"/>
      <c r="M109" s="70"/>
      <c r="N109" s="317"/>
      <c r="O109" s="70"/>
      <c r="P109" s="70"/>
      <c r="Q109" s="70"/>
      <c r="R109" s="10"/>
      <c r="S109" s="70"/>
      <c r="T109" s="70"/>
      <c r="U109" s="70"/>
      <c r="V109" s="117"/>
      <c r="W109" s="137"/>
      <c r="X109" s="150"/>
      <c r="Y109" s="188"/>
      <c r="Z109" s="188"/>
      <c r="AJ109" s="184"/>
      <c r="AK109" s="157"/>
    </row>
    <row r="110" spans="1:46" s="87" customFormat="1" ht="13.5" customHeight="1" x14ac:dyDescent="0.2">
      <c r="A110" s="121"/>
      <c r="B110" s="1771" t="s">
        <v>205</v>
      </c>
      <c r="C110" s="85"/>
      <c r="D110" s="789" t="str">
        <f>Sheet1!$D$27</f>
        <v>2015-16</v>
      </c>
      <c r="E110" s="790" t="str">
        <f>Sheet1!$E$27</f>
        <v>2016-17</v>
      </c>
      <c r="F110" s="790" t="str">
        <f>Sheet1!$F$27</f>
        <v>2017-18</v>
      </c>
      <c r="G110" s="790" t="str">
        <f>Sheet1!$G$27</f>
        <v>2018-19</v>
      </c>
      <c r="H110" s="791" t="str">
        <f>Sheet1!$H$27</f>
        <v>2019-20</v>
      </c>
      <c r="I110" s="96"/>
      <c r="J110" s="96"/>
      <c r="K110" s="61"/>
      <c r="L110" s="61"/>
      <c r="M110" s="61"/>
      <c r="N110" s="61"/>
      <c r="O110" s="61"/>
      <c r="P110" s="61"/>
      <c r="Q110" s="324"/>
      <c r="R110" s="324"/>
      <c r="S110" s="159"/>
      <c r="T110" s="159"/>
      <c r="U110" s="323"/>
      <c r="V110" s="122"/>
      <c r="W110" s="139"/>
      <c r="X110" s="152"/>
      <c r="Y110" s="188"/>
      <c r="Z110" s="188"/>
      <c r="AA110" s="81"/>
      <c r="AB110" s="81"/>
      <c r="AC110" s="81"/>
      <c r="AD110" s="81"/>
      <c r="AE110" s="81"/>
      <c r="AF110" s="190"/>
      <c r="AG110" s="190"/>
      <c r="AH110" s="190"/>
      <c r="AI110" s="190"/>
      <c r="AJ110" s="202"/>
      <c r="AK110" s="160"/>
    </row>
    <row r="111" spans="1:46" s="87" customFormat="1" ht="13.5" customHeight="1" x14ac:dyDescent="0.2">
      <c r="A111" s="292"/>
      <c r="B111" s="1772"/>
      <c r="C111" s="85"/>
      <c r="D111" s="792" t="e">
        <f>Sheet1!$D$28</f>
        <v>#N/A</v>
      </c>
      <c r="E111" s="792" t="e">
        <f>Sheet1!$E$28</f>
        <v>#N/A</v>
      </c>
      <c r="F111" s="792" t="e">
        <f>Sheet1!$F$28</f>
        <v>#N/A</v>
      </c>
      <c r="G111" s="792" t="e">
        <f>Sheet1!$G$28</f>
        <v>#N/A</v>
      </c>
      <c r="H111" s="793" t="e">
        <f>Sheet1!$H$28</f>
        <v>#N/A</v>
      </c>
      <c r="I111" s="96"/>
      <c r="J111" s="96"/>
      <c r="K111" s="61"/>
      <c r="L111" s="61"/>
      <c r="M111" s="61"/>
      <c r="N111" s="61"/>
      <c r="O111" s="61"/>
      <c r="P111" s="61"/>
      <c r="Q111" s="909"/>
      <c r="R111" s="909"/>
      <c r="S111" s="159"/>
      <c r="T111" s="159"/>
      <c r="U111" s="910"/>
      <c r="V111" s="122"/>
      <c r="W111" s="139"/>
      <c r="X111" s="152"/>
      <c r="Y111" s="188"/>
      <c r="Z111" s="188"/>
      <c r="AA111" s="81"/>
      <c r="AB111" s="81"/>
      <c r="AC111" s="81"/>
      <c r="AD111" s="81"/>
      <c r="AE111" s="81"/>
      <c r="AF111" s="190"/>
      <c r="AG111" s="190"/>
      <c r="AH111" s="190"/>
      <c r="AI111" s="190"/>
      <c r="AJ111" s="202"/>
      <c r="AK111" s="160"/>
    </row>
    <row r="112" spans="1:46" s="87" customFormat="1" ht="12.75" customHeight="1" x14ac:dyDescent="0.2">
      <c r="A112" s="488">
        <f>VLOOKUP(B112,Sheet1!$AQ$4:$AR$25,2,FALSE)</f>
        <v>0</v>
      </c>
      <c r="B112" s="93" t="str">
        <f t="shared" ref="B112:B135" si="24">B10</f>
        <v>Bracknell Forest</v>
      </c>
      <c r="C112" s="85"/>
      <c r="D112" s="162">
        <f>IF(AND(ISNUMBER(D10),ISNUMBER(Referrals!D10)),'Re-referrals'!D10/Referrals!D10,NA())</f>
        <v>0.172281776416539</v>
      </c>
      <c r="E112" s="162">
        <f>IF(AND(ISNUMBER(E10),ISNUMBER(Referrals!E10)),'Re-referrals'!E10/Referrals!E10,NA())</f>
        <v>0.23540145985401459</v>
      </c>
      <c r="F112" s="162">
        <f>IF(AND(ISNUMBER(F10),ISNUMBER(Referrals!F10)),'Re-referrals'!F10/Referrals!F10,NA())</f>
        <v>0.23529411764705882</v>
      </c>
      <c r="G112" s="162">
        <f>IF(AND(ISNUMBER(G10),ISNUMBER(Referrals!G10)),'Re-referrals'!G10/Referrals!G10,NA())</f>
        <v>0.27500000000000002</v>
      </c>
      <c r="H112" s="164">
        <f>IF(AND(ISNUMBER(H10),ISNUMBER(Referrals!H10)),'Re-referrals'!H10/Referrals!H10,NA())</f>
        <v>0.25544437904649792</v>
      </c>
      <c r="I112" s="96"/>
      <c r="J112" s="96"/>
      <c r="K112" s="166"/>
      <c r="L112" s="166"/>
      <c r="M112" s="166"/>
      <c r="N112" s="166"/>
      <c r="O112" s="166"/>
      <c r="P112" s="166"/>
      <c r="Q112" s="166"/>
      <c r="R112" s="167"/>
      <c r="S112" s="159"/>
      <c r="T112" s="159"/>
      <c r="U112" s="166"/>
      <c r="V112" s="122"/>
      <c r="W112" s="139"/>
      <c r="X112" s="152"/>
      <c r="Y112" s="188"/>
      <c r="Z112" s="188"/>
      <c r="AA112" s="81"/>
      <c r="AB112" s="81"/>
      <c r="AC112" s="81"/>
      <c r="AD112" s="81"/>
      <c r="AE112" s="81"/>
      <c r="AF112" s="190"/>
      <c r="AG112" s="190"/>
      <c r="AH112" s="190"/>
      <c r="AI112" s="190"/>
      <c r="AJ112" s="202"/>
      <c r="AK112" s="160"/>
    </row>
    <row r="113" spans="1:45" s="87" customFormat="1" ht="12.75" customHeight="1" x14ac:dyDescent="0.2">
      <c r="A113" s="488">
        <f>VLOOKUP(B113,Sheet1!$AQ$4:$AR$25,2,FALSE)</f>
        <v>0</v>
      </c>
      <c r="B113" s="93" t="str">
        <f t="shared" si="24"/>
        <v>Brighton &amp; Hove</v>
      </c>
      <c r="C113" s="85"/>
      <c r="D113" s="162">
        <f>IF(AND(ISNUMBER(D11),ISNUMBER(Referrals!D11)),'Re-referrals'!D11/Referrals!D11,NA())</f>
        <v>0.32136602451838897</v>
      </c>
      <c r="E113" s="162">
        <f>IF(AND(ISNUMBER(E11),ISNUMBER(Referrals!E11)),'Re-referrals'!E11/Referrals!E11,NA())</f>
        <v>0.24698972099853156</v>
      </c>
      <c r="F113" s="162">
        <f>IF(AND(ISNUMBER(F11),ISNUMBER(Referrals!F11)),'Re-referrals'!F11/Referrals!F11,NA())</f>
        <v>0.28319377990430622</v>
      </c>
      <c r="G113" s="162">
        <f>IF(AND(ISNUMBER(G11),ISNUMBER(Referrals!G11)),'Re-referrals'!G11/Referrals!G11,NA())</f>
        <v>0.24544612534732943</v>
      </c>
      <c r="H113" s="164">
        <f>IF(AND(ISNUMBER(H11),ISNUMBER(Referrals!H11)),'Re-referrals'!H11/Referrals!H11,NA())</f>
        <v>0.3063567628115374</v>
      </c>
      <c r="I113" s="96"/>
      <c r="J113" s="96"/>
      <c r="K113" s="166"/>
      <c r="L113" s="166"/>
      <c r="M113" s="166"/>
      <c r="N113" s="166"/>
      <c r="O113" s="166"/>
      <c r="P113" s="166"/>
      <c r="Q113" s="166"/>
      <c r="R113" s="167"/>
      <c r="S113" s="159"/>
      <c r="T113" s="159"/>
      <c r="U113" s="166"/>
      <c r="V113" s="122"/>
      <c r="W113" s="139"/>
      <c r="X113" s="152"/>
      <c r="Y113" s="188"/>
      <c r="Z113" s="188"/>
      <c r="AA113" s="81"/>
      <c r="AB113" s="81"/>
      <c r="AC113" s="81"/>
      <c r="AD113" s="81"/>
      <c r="AE113" s="81"/>
      <c r="AF113" s="190"/>
      <c r="AG113" s="190"/>
      <c r="AH113" s="190"/>
      <c r="AI113" s="190"/>
      <c r="AJ113" s="202"/>
      <c r="AK113" s="160"/>
    </row>
    <row r="114" spans="1:45" s="87" customFormat="1" ht="12.75" customHeight="1" x14ac:dyDescent="0.2">
      <c r="A114" s="488">
        <f>VLOOKUP(B114,Sheet1!$AQ$4:$AR$25,2,FALSE)</f>
        <v>0</v>
      </c>
      <c r="B114" s="93" t="str">
        <f t="shared" si="24"/>
        <v>Buckinghamshire</v>
      </c>
      <c r="C114" s="85"/>
      <c r="D114" s="162">
        <f>IF(AND(ISNUMBER(D12),ISNUMBER(Referrals!D12)),'Re-referrals'!D12/Referrals!D12,NA())</f>
        <v>0.26458752515090506</v>
      </c>
      <c r="E114" s="162">
        <f>IF(AND(ISNUMBER(E12),ISNUMBER(Referrals!E12)),'Re-referrals'!E12/Referrals!E12,NA())</f>
        <v>0.32909604519774011</v>
      </c>
      <c r="F114" s="162">
        <f>IF(AND(ISNUMBER(F12),ISNUMBER(Referrals!F12)),'Re-referrals'!F12/Referrals!F12,NA())</f>
        <v>0.31121215052723228</v>
      </c>
      <c r="G114" s="162">
        <f>IF(AND(ISNUMBER(G12),ISNUMBER(Referrals!G12)),'Re-referrals'!G12/Referrals!G12,NA())</f>
        <v>0.31727748691099478</v>
      </c>
      <c r="H114" s="164">
        <f>IF(AND(ISNUMBER(H12),ISNUMBER(Referrals!H12)),'Re-referrals'!H12/Referrals!H12,NA())</f>
        <v>0.26054738855025694</v>
      </c>
      <c r="I114" s="96"/>
      <c r="J114" s="96"/>
      <c r="K114" s="166"/>
      <c r="L114" s="166"/>
      <c r="M114" s="166"/>
      <c r="N114" s="166"/>
      <c r="O114" s="166"/>
      <c r="P114" s="166"/>
      <c r="Q114" s="166"/>
      <c r="R114" s="167"/>
      <c r="S114" s="159"/>
      <c r="T114" s="159"/>
      <c r="U114" s="166"/>
      <c r="V114" s="122"/>
      <c r="W114" s="139"/>
      <c r="X114" s="152"/>
      <c r="Y114" s="188"/>
      <c r="Z114" s="188"/>
      <c r="AA114" s="81"/>
      <c r="AB114" s="81"/>
      <c r="AC114" s="81"/>
      <c r="AD114" s="81"/>
      <c r="AE114" s="81"/>
      <c r="AF114" s="190"/>
      <c r="AG114" s="190"/>
      <c r="AH114" s="190"/>
      <c r="AI114" s="190"/>
      <c r="AJ114" s="202"/>
      <c r="AK114" s="160"/>
    </row>
    <row r="115" spans="1:45" s="87" customFormat="1" ht="12.75" customHeight="1" x14ac:dyDescent="0.2">
      <c r="A115" s="488">
        <f>VLOOKUP(B115,Sheet1!$AQ$4:$AR$25,2,FALSE)</f>
        <v>0</v>
      </c>
      <c r="B115" s="93" t="str">
        <f t="shared" si="24"/>
        <v>East Sussex</v>
      </c>
      <c r="C115" s="85"/>
      <c r="D115" s="162">
        <f>IF(AND(ISNUMBER(D13),ISNUMBER(Referrals!D13)),'Re-referrals'!D13/Referrals!D13,NA())</f>
        <v>0.14540337711069423</v>
      </c>
      <c r="E115" s="162">
        <f>IF(AND(ISNUMBER(E13),ISNUMBER(Referrals!E13)),'Re-referrals'!E13/Referrals!E13,NA())</f>
        <v>0.14880304678998912</v>
      </c>
      <c r="F115" s="162">
        <f>IF(AND(ISNUMBER(F13),ISNUMBER(Referrals!F13)),'Re-referrals'!F13/Referrals!F13,NA())</f>
        <v>0.17678039844286697</v>
      </c>
      <c r="G115" s="162">
        <f>IF(AND(ISNUMBER(G13),ISNUMBER(Referrals!G13)),'Re-referrals'!G13/Referrals!G13,NA())</f>
        <v>0.18887601390498263</v>
      </c>
      <c r="H115" s="164">
        <f>IF(AND(ISNUMBER(H13),ISNUMBER(Referrals!H13)),'Re-referrals'!H13/Referrals!H13,NA())</f>
        <v>0.18262538996880251</v>
      </c>
      <c r="I115" s="96"/>
      <c r="J115" s="96"/>
      <c r="K115" s="166"/>
      <c r="L115" s="166"/>
      <c r="M115" s="166"/>
      <c r="N115" s="166"/>
      <c r="O115" s="166"/>
      <c r="P115" s="166"/>
      <c r="Q115" s="166"/>
      <c r="R115" s="167"/>
      <c r="S115" s="159"/>
      <c r="T115" s="159"/>
      <c r="U115" s="166"/>
      <c r="V115" s="122"/>
      <c r="W115" s="139"/>
      <c r="X115" s="152"/>
      <c r="Y115" s="188"/>
      <c r="Z115" s="188"/>
      <c r="AA115" s="81"/>
      <c r="AB115" s="81"/>
      <c r="AC115" s="81"/>
      <c r="AD115" s="81"/>
      <c r="AE115" s="81"/>
      <c r="AF115" s="190"/>
      <c r="AG115" s="190"/>
      <c r="AH115" s="190"/>
      <c r="AI115" s="190"/>
      <c r="AJ115" s="202"/>
      <c r="AK115" s="160"/>
    </row>
    <row r="116" spans="1:45" s="87" customFormat="1" ht="12.75" customHeight="1" x14ac:dyDescent="0.2">
      <c r="A116" s="488">
        <f>VLOOKUP(B116,Sheet1!$AQ$4:$AR$25,2,FALSE)</f>
        <v>0</v>
      </c>
      <c r="B116" s="93" t="str">
        <f t="shared" si="24"/>
        <v>Hampshire</v>
      </c>
      <c r="C116" s="85"/>
      <c r="D116" s="162">
        <f>IF(AND(ISNUMBER(D14),ISNUMBER(Referrals!D14)),'Re-referrals'!D14/Referrals!D14,NA())</f>
        <v>0.28171126845073802</v>
      </c>
      <c r="E116" s="162">
        <f>IF(AND(ISNUMBER(E14),ISNUMBER(Referrals!E14)),'Re-referrals'!E14/Referrals!E14,NA())</f>
        <v>0.30697195780807823</v>
      </c>
      <c r="F116" s="162">
        <f>IF(AND(ISNUMBER(F14),ISNUMBER(Referrals!F14)),'Re-referrals'!F14/Referrals!F14,NA())</f>
        <v>0.29612162581445856</v>
      </c>
      <c r="G116" s="162">
        <f>IF(AND(ISNUMBER(G14),ISNUMBER(Referrals!G14)),'Re-referrals'!G14/Referrals!G14,NA())</f>
        <v>0.29112342459800089</v>
      </c>
      <c r="H116" s="164">
        <f>IF(AND(ISNUMBER(H14),ISNUMBER(Referrals!H14)),'Re-referrals'!H14/Referrals!H14,NA())</f>
        <v>0.32324431256181996</v>
      </c>
      <c r="I116" s="96"/>
      <c r="J116" s="96"/>
      <c r="K116" s="166"/>
      <c r="L116" s="166"/>
      <c r="M116" s="166"/>
      <c r="N116" s="166"/>
      <c r="O116" s="166"/>
      <c r="P116" s="166"/>
      <c r="Q116" s="166"/>
      <c r="R116" s="167"/>
      <c r="S116" s="159"/>
      <c r="T116" s="159"/>
      <c r="U116" s="166"/>
      <c r="V116" s="122"/>
      <c r="W116" s="139"/>
      <c r="X116" s="152"/>
      <c r="Y116" s="188"/>
      <c r="Z116" s="188"/>
      <c r="AA116" s="81"/>
      <c r="AB116" s="81"/>
      <c r="AC116" s="81"/>
      <c r="AD116" s="81"/>
      <c r="AE116" s="81"/>
      <c r="AF116" s="190"/>
      <c r="AG116" s="190"/>
      <c r="AH116" s="190"/>
      <c r="AI116" s="190"/>
      <c r="AJ116" s="202"/>
      <c r="AK116" s="160"/>
    </row>
    <row r="117" spans="1:45" s="87" customFormat="1" ht="12.75" customHeight="1" x14ac:dyDescent="0.2">
      <c r="A117" s="488">
        <f>VLOOKUP(B117,Sheet1!$AQ$4:$AR$25,2,FALSE)</f>
        <v>0</v>
      </c>
      <c r="B117" s="93" t="str">
        <f t="shared" si="24"/>
        <v>Isle of Wight</v>
      </c>
      <c r="C117" s="85"/>
      <c r="D117" s="162">
        <f>IF(AND(ISNUMBER(D15),ISNUMBER(Referrals!D15)),'Re-referrals'!D15/Referrals!D15,NA())</f>
        <v>0.3290079531184596</v>
      </c>
      <c r="E117" s="162">
        <f>IF(AND(ISNUMBER(E15),ISNUMBER(Referrals!E15)),'Re-referrals'!E15/Referrals!E15,NA())</f>
        <v>0.30309988518943742</v>
      </c>
      <c r="F117" s="162">
        <f>IF(AND(ISNUMBER(F15),ISNUMBER(Referrals!F15)),'Re-referrals'!F15/Referrals!F15,NA())</f>
        <v>0.30696202531645572</v>
      </c>
      <c r="G117" s="162">
        <f>IF(AND(ISNUMBER(G15),ISNUMBER(Referrals!G15)),'Re-referrals'!G15/Referrals!G15,NA())</f>
        <v>0.34117161716171618</v>
      </c>
      <c r="H117" s="164">
        <f>IF(AND(ISNUMBER(H15),ISNUMBER(Referrals!H15)),'Re-referrals'!H15/Referrals!H15,NA())</f>
        <v>0.35430711610486892</v>
      </c>
      <c r="I117" s="96"/>
      <c r="J117" s="96"/>
      <c r="K117" s="166"/>
      <c r="L117" s="166"/>
      <c r="M117" s="166"/>
      <c r="N117" s="166"/>
      <c r="O117" s="166"/>
      <c r="P117" s="166"/>
      <c r="Q117" s="166"/>
      <c r="R117" s="167"/>
      <c r="S117" s="159"/>
      <c r="T117" s="159"/>
      <c r="U117" s="166"/>
      <c r="V117" s="122"/>
      <c r="W117" s="139"/>
      <c r="X117" s="152"/>
      <c r="Y117" s="188"/>
      <c r="Z117" s="188"/>
      <c r="AA117" s="81"/>
      <c r="AB117" s="81"/>
      <c r="AC117" s="81"/>
      <c r="AD117" s="81"/>
      <c r="AE117" s="81"/>
      <c r="AF117" s="190"/>
      <c r="AG117" s="190"/>
      <c r="AH117" s="190"/>
      <c r="AI117" s="190"/>
      <c r="AJ117" s="202"/>
      <c r="AK117" s="160"/>
      <c r="AS117" s="87" t="s">
        <v>102</v>
      </c>
    </row>
    <row r="118" spans="1:45" s="87" customFormat="1" ht="12.75" customHeight="1" x14ac:dyDescent="0.2">
      <c r="A118" s="488">
        <f>VLOOKUP(B118,Sheet1!$AQ$4:$AR$25,2,FALSE)</f>
        <v>0</v>
      </c>
      <c r="B118" s="93" t="str">
        <f t="shared" si="24"/>
        <v>Kent</v>
      </c>
      <c r="C118" s="85"/>
      <c r="D118" s="162">
        <f>IF(AND(ISNUMBER(D16),ISNUMBER(Referrals!D16)),'Re-referrals'!D16/Referrals!D16,NA())</f>
        <v>0.20838221874592638</v>
      </c>
      <c r="E118" s="162">
        <f>IF(AND(ISNUMBER(E16),ISNUMBER(Referrals!E16)),'Re-referrals'!E16/Referrals!E16,NA())</f>
        <v>0.23005378044922492</v>
      </c>
      <c r="F118" s="162">
        <f>IF(AND(ISNUMBER(F16),ISNUMBER(Referrals!F16)),'Re-referrals'!F16/Referrals!F16,NA())</f>
        <v>0.23083673153357767</v>
      </c>
      <c r="G118" s="162">
        <f>IF(AND(ISNUMBER(G16),ISNUMBER(Referrals!G16)),'Re-referrals'!G16/Referrals!G16,NA())</f>
        <v>0.26100749329978667</v>
      </c>
      <c r="H118" s="164">
        <f>IF(AND(ISNUMBER(H16),ISNUMBER(Referrals!H16)),'Re-referrals'!H16/Referrals!H16,NA())</f>
        <v>0.28466598058078663</v>
      </c>
      <c r="I118" s="96"/>
      <c r="J118" s="96"/>
      <c r="K118" s="166"/>
      <c r="L118" s="166"/>
      <c r="M118" s="166"/>
      <c r="N118" s="166"/>
      <c r="O118" s="166"/>
      <c r="P118" s="166"/>
      <c r="Q118" s="166"/>
      <c r="R118" s="167"/>
      <c r="S118" s="159"/>
      <c r="T118" s="159"/>
      <c r="U118" s="166"/>
      <c r="V118" s="122"/>
      <c r="W118" s="139"/>
      <c r="X118" s="152"/>
      <c r="Y118" s="188"/>
      <c r="Z118" s="188"/>
      <c r="AA118" s="81"/>
      <c r="AB118" s="81"/>
      <c r="AC118" s="81"/>
      <c r="AD118" s="81"/>
      <c r="AE118" s="81"/>
      <c r="AF118" s="190"/>
      <c r="AG118" s="190"/>
      <c r="AH118" s="190"/>
      <c r="AI118" s="190"/>
      <c r="AJ118" s="202"/>
      <c r="AK118" s="160"/>
    </row>
    <row r="119" spans="1:45" s="87" customFormat="1" ht="12.75" customHeight="1" x14ac:dyDescent="0.2">
      <c r="A119" s="488">
        <f>VLOOKUP(B119,Sheet1!$AQ$4:$AR$25,2,FALSE)</f>
        <v>0</v>
      </c>
      <c r="B119" s="93" t="str">
        <f t="shared" si="24"/>
        <v>Medway</v>
      </c>
      <c r="C119" s="85"/>
      <c r="D119" s="162">
        <f>IF(AND(ISNUMBER(D17),ISNUMBER(Referrals!D17)),'Re-referrals'!D17/Referrals!D17,NA())</f>
        <v>0.16508313539192399</v>
      </c>
      <c r="E119" s="162">
        <f>IF(AND(ISNUMBER(E17),ISNUMBER(Referrals!E17)),'Re-referrals'!E17/Referrals!E17,NA())</f>
        <v>0.17606149341142022</v>
      </c>
      <c r="F119" s="162">
        <f>IF(AND(ISNUMBER(F17),ISNUMBER(Referrals!F17)),'Re-referrals'!F17/Referrals!F17,NA())</f>
        <v>0.16998468606431852</v>
      </c>
      <c r="G119" s="162">
        <f>IF(AND(ISNUMBER(G17),ISNUMBER(Referrals!G17)),'Re-referrals'!G17/Referrals!G17,NA())</f>
        <v>0.14310559006211179</v>
      </c>
      <c r="H119" s="164">
        <f>IF(AND(ISNUMBER(H17),ISNUMBER(Referrals!H17)),'Re-referrals'!H17/Referrals!H17,NA())</f>
        <v>0.24877650897226752</v>
      </c>
      <c r="I119" s="96"/>
      <c r="J119" s="96"/>
      <c r="K119" s="166"/>
      <c r="L119" s="166"/>
      <c r="M119" s="166"/>
      <c r="N119" s="166"/>
      <c r="O119" s="166"/>
      <c r="P119" s="166"/>
      <c r="Q119" s="166"/>
      <c r="R119" s="167"/>
      <c r="S119" s="159"/>
      <c r="T119" s="159"/>
      <c r="U119" s="166"/>
      <c r="V119" s="122"/>
      <c r="W119" s="139"/>
      <c r="X119" s="152"/>
      <c r="Y119" s="188"/>
      <c r="Z119" s="188"/>
      <c r="AA119" s="81"/>
      <c r="AB119" s="81"/>
      <c r="AC119" s="81"/>
      <c r="AD119" s="81"/>
      <c r="AE119" s="81"/>
      <c r="AF119" s="190"/>
      <c r="AG119" s="190"/>
      <c r="AH119" s="190"/>
      <c r="AI119" s="190"/>
      <c r="AJ119" s="202"/>
      <c r="AK119" s="160"/>
    </row>
    <row r="120" spans="1:45" s="87" customFormat="1" ht="12.75" customHeight="1" x14ac:dyDescent="0.2">
      <c r="A120" s="488">
        <f>VLOOKUP(B120,Sheet1!$AQ$4:$AR$25,2,FALSE)</f>
        <v>0</v>
      </c>
      <c r="B120" s="93" t="str">
        <f t="shared" si="24"/>
        <v>Milton Keynes</v>
      </c>
      <c r="C120" s="85"/>
      <c r="D120" s="162">
        <f>IF(AND(ISNUMBER(D18),ISNUMBER(Referrals!D18)),'Re-referrals'!D18/Referrals!D18,NA())</f>
        <v>0.20946189960274467</v>
      </c>
      <c r="E120" s="162">
        <f>IF(AND(ISNUMBER(E18),ISNUMBER(Referrals!E18)),'Re-referrals'!E18/Referrals!E18,NA())</f>
        <v>0.19072332144015569</v>
      </c>
      <c r="F120" s="162">
        <f>IF(AND(ISNUMBER(F18),ISNUMBER(Referrals!F18)),'Re-referrals'!F18/Referrals!F18,NA())</f>
        <v>0.2055955913522679</v>
      </c>
      <c r="G120" s="162">
        <f>IF(AND(ISNUMBER(G18),ISNUMBER(Referrals!G18)),'Re-referrals'!G18/Referrals!G18,NA())</f>
        <v>0.19838056680161945</v>
      </c>
      <c r="H120" s="164">
        <f>IF(AND(ISNUMBER(H18),ISNUMBER(Referrals!H18)),'Re-referrals'!H18/Referrals!H18,NA())</f>
        <v>0.1686084142394822</v>
      </c>
      <c r="I120" s="96"/>
      <c r="J120" s="96"/>
      <c r="K120" s="166"/>
      <c r="L120" s="166"/>
      <c r="M120" s="166"/>
      <c r="N120" s="166"/>
      <c r="O120" s="166"/>
      <c r="P120" s="166"/>
      <c r="Q120" s="166"/>
      <c r="R120" s="167"/>
      <c r="S120" s="159"/>
      <c r="T120" s="159"/>
      <c r="U120" s="166"/>
      <c r="V120" s="122"/>
      <c r="W120" s="139"/>
      <c r="X120" s="152"/>
      <c r="Y120" s="188"/>
      <c r="Z120" s="188"/>
      <c r="AA120" s="81"/>
      <c r="AB120" s="81"/>
      <c r="AC120" s="81"/>
      <c r="AD120" s="81"/>
      <c r="AE120" s="81"/>
      <c r="AF120" s="190"/>
      <c r="AG120" s="190"/>
      <c r="AH120" s="190"/>
      <c r="AI120" s="190"/>
      <c r="AJ120" s="202"/>
      <c r="AK120" s="160"/>
    </row>
    <row r="121" spans="1:45" s="87" customFormat="1" ht="12.75" customHeight="1" x14ac:dyDescent="0.2">
      <c r="A121" s="488">
        <f>VLOOKUP(B121,Sheet1!$AQ$4:$AR$25,2,FALSE)</f>
        <v>0</v>
      </c>
      <c r="B121" s="93" t="str">
        <f t="shared" si="24"/>
        <v>Oxfordshire</v>
      </c>
      <c r="C121" s="85"/>
      <c r="D121" s="162">
        <f>IF(AND(ISNUMBER(D19),ISNUMBER(Referrals!D19)),'Re-referrals'!D19/Referrals!D19,NA())</f>
        <v>0.25362962962962965</v>
      </c>
      <c r="E121" s="162">
        <f>IF(AND(ISNUMBER(E19),ISNUMBER(Referrals!E19)),'Re-referrals'!E19/Referrals!E19,NA())</f>
        <v>0.19883951316161902</v>
      </c>
      <c r="F121" s="162">
        <f>IF(AND(ISNUMBER(F19),ISNUMBER(Referrals!F19)),'Re-referrals'!F19/Referrals!F19,NA())</f>
        <v>0.18608746697974757</v>
      </c>
      <c r="G121" s="162">
        <f>IF(AND(ISNUMBER(G19),ISNUMBER(Referrals!G19)),'Re-referrals'!G19/Referrals!G19,NA())</f>
        <v>0.18291783448886267</v>
      </c>
      <c r="H121" s="164">
        <f>IF(AND(ISNUMBER(H19),ISNUMBER(Referrals!H19)),'Re-referrals'!H19/Referrals!H19,NA())</f>
        <v>0.1766195681151693</v>
      </c>
      <c r="I121" s="96"/>
      <c r="J121" s="96"/>
      <c r="K121" s="166"/>
      <c r="L121" s="166"/>
      <c r="M121" s="166"/>
      <c r="N121" s="166"/>
      <c r="O121" s="166"/>
      <c r="P121" s="166"/>
      <c r="Q121" s="166"/>
      <c r="R121" s="167"/>
      <c r="S121" s="159"/>
      <c r="T121" s="159"/>
      <c r="U121" s="166"/>
      <c r="V121" s="122"/>
      <c r="W121" s="139"/>
      <c r="X121" s="152"/>
      <c r="Y121" s="188"/>
      <c r="Z121" s="188"/>
      <c r="AA121" s="81"/>
      <c r="AB121" s="81"/>
      <c r="AC121" s="81"/>
      <c r="AD121" s="81"/>
      <c r="AE121" s="81"/>
      <c r="AF121" s="190"/>
      <c r="AG121" s="190"/>
      <c r="AH121" s="190"/>
      <c r="AI121" s="190"/>
      <c r="AJ121" s="202"/>
      <c r="AK121" s="160"/>
    </row>
    <row r="122" spans="1:45" s="87" customFormat="1" ht="12.75" customHeight="1" x14ac:dyDescent="0.2">
      <c r="A122" s="488">
        <f>VLOOKUP(B122,Sheet1!$AQ$4:$AR$25,2,FALSE)</f>
        <v>0</v>
      </c>
      <c r="B122" s="93" t="str">
        <f t="shared" si="24"/>
        <v>Portsmouth</v>
      </c>
      <c r="C122" s="85"/>
      <c r="D122" s="162">
        <f>IF(AND(ISNUMBER(D20),ISNUMBER(Referrals!D20)),'Re-referrals'!D20/Referrals!D20,NA())</f>
        <v>0.19445771619684657</v>
      </c>
      <c r="E122" s="162">
        <f>IF(AND(ISNUMBER(E20),ISNUMBER(Referrals!E20)),'Re-referrals'!E20/Referrals!E20,NA())</f>
        <v>0.25934861278648974</v>
      </c>
      <c r="F122" s="162">
        <f>IF(AND(ISNUMBER(F20),ISNUMBER(Referrals!F20)),'Re-referrals'!F20/Referrals!F20,NA())</f>
        <v>0.22741652021089631</v>
      </c>
      <c r="G122" s="162">
        <f>IF(AND(ISNUMBER(G20),ISNUMBER(Referrals!G20)),'Re-referrals'!G20/Referrals!G20,NA())</f>
        <v>0.25632911392405061</v>
      </c>
      <c r="H122" s="164">
        <f>IF(AND(ISNUMBER(H20),ISNUMBER(Referrals!H20)),'Re-referrals'!H20/Referrals!H20,NA())</f>
        <v>0.23686186186186187</v>
      </c>
      <c r="I122" s="96"/>
      <c r="J122" s="96"/>
      <c r="K122" s="166"/>
      <c r="L122" s="166"/>
      <c r="M122" s="166"/>
      <c r="N122" s="166"/>
      <c r="O122" s="166"/>
      <c r="P122" s="166"/>
      <c r="Q122" s="166"/>
      <c r="R122" s="167"/>
      <c r="S122" s="159"/>
      <c r="T122" s="159"/>
      <c r="U122" s="166"/>
      <c r="V122" s="122"/>
      <c r="W122" s="139"/>
      <c r="X122" s="152"/>
      <c r="Y122" s="188"/>
      <c r="Z122" s="188"/>
      <c r="AA122" s="81"/>
      <c r="AB122" s="81"/>
      <c r="AC122" s="81"/>
      <c r="AD122" s="81"/>
      <c r="AE122" s="81"/>
      <c r="AF122" s="190"/>
      <c r="AG122" s="190"/>
      <c r="AH122" s="190"/>
      <c r="AI122" s="190"/>
      <c r="AJ122" s="202"/>
      <c r="AK122" s="160"/>
    </row>
    <row r="123" spans="1:45" s="87" customFormat="1" ht="12.75" customHeight="1" x14ac:dyDescent="0.2">
      <c r="A123" s="488">
        <f>VLOOKUP(B123,Sheet1!$AQ$4:$AR$25,2,FALSE)</f>
        <v>0</v>
      </c>
      <c r="B123" s="93" t="str">
        <f t="shared" si="24"/>
        <v>Reading</v>
      </c>
      <c r="C123" s="85"/>
      <c r="D123" s="162">
        <f>IF(AND(ISNUMBER(D21),ISNUMBER(Referrals!D21)),'Re-referrals'!D21/Referrals!D21,NA())</f>
        <v>0.20987654320987653</v>
      </c>
      <c r="E123" s="162">
        <f>IF(AND(ISNUMBER(E21),ISNUMBER(Referrals!E21)),'Re-referrals'!E21/Referrals!E21,NA())</f>
        <v>0.2846648301193756</v>
      </c>
      <c r="F123" s="162">
        <f>IF(AND(ISNUMBER(F21),ISNUMBER(Referrals!F21)),'Re-referrals'!F21/Referrals!F21,NA())</f>
        <v>0.22374429223744291</v>
      </c>
      <c r="G123" s="162">
        <f>IF(AND(ISNUMBER(G21),ISNUMBER(Referrals!G21)),'Re-referrals'!G21/Referrals!G21,NA())</f>
        <v>0.27236217597663381</v>
      </c>
      <c r="H123" s="164">
        <f>IF(AND(ISNUMBER(H21),ISNUMBER(Referrals!H21)),'Re-referrals'!H21/Referrals!H21,NA())</f>
        <v>0.26365054602184085</v>
      </c>
      <c r="I123" s="96"/>
      <c r="J123" s="96"/>
      <c r="K123" s="166"/>
      <c r="L123" s="166"/>
      <c r="M123" s="166"/>
      <c r="N123" s="166"/>
      <c r="O123" s="166"/>
      <c r="P123" s="166"/>
      <c r="Q123" s="166"/>
      <c r="R123" s="167"/>
      <c r="S123" s="159"/>
      <c r="T123" s="159"/>
      <c r="U123" s="166"/>
      <c r="V123" s="122"/>
      <c r="W123" s="139"/>
      <c r="X123" s="152"/>
      <c r="Y123" s="188"/>
      <c r="Z123" s="188"/>
      <c r="AA123" s="81"/>
      <c r="AB123" s="81"/>
      <c r="AC123" s="81"/>
      <c r="AD123" s="81"/>
      <c r="AE123" s="81"/>
      <c r="AF123" s="190"/>
      <c r="AG123" s="190"/>
      <c r="AH123" s="190"/>
      <c r="AI123" s="190"/>
      <c r="AJ123" s="202"/>
      <c r="AK123" s="160"/>
    </row>
    <row r="124" spans="1:45" s="87" customFormat="1" ht="12.75" customHeight="1" x14ac:dyDescent="0.2">
      <c r="A124" s="488">
        <f>VLOOKUP(B124,Sheet1!$AQ$4:$AR$25,2,FALSE)</f>
        <v>0</v>
      </c>
      <c r="B124" s="93" t="str">
        <f t="shared" si="24"/>
        <v>Slough</v>
      </c>
      <c r="C124" s="85"/>
      <c r="D124" s="162">
        <f>IF(AND(ISNUMBER(D22),ISNUMBER(Referrals!D22)),'Re-referrals'!D22/Referrals!D22,NA())</f>
        <v>0.18817591925018029</v>
      </c>
      <c r="E124" s="162">
        <f>IF(AND(ISNUMBER(E22),ISNUMBER(Referrals!E22)),'Re-referrals'!E22/Referrals!E22,NA())</f>
        <v>0.29043600562587907</v>
      </c>
      <c r="F124" s="162">
        <f>IF(AND(ISNUMBER(F22),ISNUMBER(Referrals!F22)),'Re-referrals'!F22/Referrals!F22,NA())</f>
        <v>0.24512884978001256</v>
      </c>
      <c r="G124" s="162">
        <f>IF(AND(ISNUMBER(G22),ISNUMBER(Referrals!G22)),'Re-referrals'!G22/Referrals!G22,NA())</f>
        <v>0.14760705289672543</v>
      </c>
      <c r="H124" s="164">
        <f>IF(AND(ISNUMBER(H22),ISNUMBER(Referrals!H22)),'Re-referrals'!H22/Referrals!H22,NA())</f>
        <v>0.16889763779527558</v>
      </c>
      <c r="I124" s="96"/>
      <c r="J124" s="96"/>
      <c r="K124" s="166"/>
      <c r="L124" s="166"/>
      <c r="M124" s="166"/>
      <c r="N124" s="166"/>
      <c r="O124" s="166"/>
      <c r="P124" s="166"/>
      <c r="Q124" s="166"/>
      <c r="R124" s="167"/>
      <c r="S124" s="159"/>
      <c r="T124" s="159"/>
      <c r="U124" s="166"/>
      <c r="V124" s="122"/>
      <c r="W124" s="139"/>
      <c r="X124" s="152"/>
      <c r="Y124" s="188"/>
      <c r="Z124" s="188"/>
      <c r="AA124" s="81"/>
      <c r="AB124" s="81"/>
      <c r="AC124" s="81"/>
      <c r="AD124" s="81"/>
      <c r="AE124" s="81"/>
      <c r="AF124" s="190"/>
      <c r="AG124" s="190"/>
      <c r="AH124" s="190"/>
      <c r="AI124" s="190"/>
      <c r="AJ124" s="202"/>
      <c r="AK124" s="160"/>
    </row>
    <row r="125" spans="1:45" s="87" customFormat="1" ht="12.75" customHeight="1" x14ac:dyDescent="0.2">
      <c r="A125" s="488">
        <f>VLOOKUP(B125,Sheet1!$AQ$4:$AR$25,2,FALSE)</f>
        <v>0</v>
      </c>
      <c r="B125" s="93" t="str">
        <f t="shared" si="24"/>
        <v>Somerset</v>
      </c>
      <c r="C125" s="85"/>
      <c r="D125" s="162">
        <f>IF(AND(ISNUMBER(D23),ISNUMBER(Referrals!D23)),'Re-referrals'!D23/Referrals!D23,NA())</f>
        <v>0.23832567142511493</v>
      </c>
      <c r="E125" s="162">
        <f>IF(AND(ISNUMBER(E23),ISNUMBER(Referrals!E23)),'Re-referrals'!E23/Referrals!E23,NA())</f>
        <v>0.19886958342055683</v>
      </c>
      <c r="F125" s="162">
        <f>IF(AND(ISNUMBER(F23),ISNUMBER(Referrals!F23)),'Re-referrals'!F23/Referrals!F23,NA())</f>
        <v>0.21374636979670861</v>
      </c>
      <c r="G125" s="162">
        <f>IF(AND(ISNUMBER(G23),ISNUMBER(Referrals!G23)),'Re-referrals'!G23/Referrals!G23,NA())</f>
        <v>0.23864229765013054</v>
      </c>
      <c r="H125" s="164">
        <f>IF(AND(ISNUMBER(H23),ISNUMBER(Referrals!H23)),'Re-referrals'!H23/Referrals!H23,NA())</f>
        <v>0.19839734733351755</v>
      </c>
      <c r="I125" s="96"/>
      <c r="J125" s="96"/>
      <c r="K125" s="166"/>
      <c r="L125" s="166"/>
      <c r="M125" s="166"/>
      <c r="N125" s="166"/>
      <c r="O125" s="166"/>
      <c r="P125" s="166"/>
      <c r="Q125" s="166"/>
      <c r="R125" s="167"/>
      <c r="S125" s="159"/>
      <c r="T125" s="159"/>
      <c r="U125" s="166"/>
      <c r="V125" s="122"/>
      <c r="W125" s="139"/>
      <c r="X125" s="152"/>
      <c r="Y125" s="188"/>
      <c r="Z125" s="188"/>
      <c r="AA125" s="81"/>
      <c r="AB125" s="81"/>
      <c r="AC125" s="81"/>
      <c r="AD125" s="81"/>
      <c r="AE125" s="81"/>
      <c r="AF125" s="190"/>
      <c r="AG125" s="190"/>
      <c r="AH125" s="190"/>
      <c r="AI125" s="190"/>
      <c r="AJ125" s="202"/>
      <c r="AK125" s="160"/>
    </row>
    <row r="126" spans="1:45" s="87" customFormat="1" ht="12.75" customHeight="1" x14ac:dyDescent="0.2">
      <c r="A126" s="488">
        <f>VLOOKUP(B126,Sheet1!$AQ$4:$AR$25,2,FALSE)</f>
        <v>0</v>
      </c>
      <c r="B126" s="93" t="str">
        <f t="shared" si="24"/>
        <v>Southampton</v>
      </c>
      <c r="C126" s="85"/>
      <c r="D126" s="162">
        <f>IF(AND(ISNUMBER(D24),ISNUMBER(Referrals!D24)),'Re-referrals'!D24/Referrals!D24,NA())</f>
        <v>0.19193391642371235</v>
      </c>
      <c r="E126" s="162">
        <f>IF(AND(ISNUMBER(E24),ISNUMBER(Referrals!E24)),'Re-referrals'!E24/Referrals!E24,NA())</f>
        <v>0.26609724047306177</v>
      </c>
      <c r="F126" s="162">
        <f>IF(AND(ISNUMBER(F24),ISNUMBER(Referrals!F24)),'Re-referrals'!F24/Referrals!F24,NA())</f>
        <v>0.20283199387677001</v>
      </c>
      <c r="G126" s="162">
        <f>IF(AND(ISNUMBER(G24),ISNUMBER(Referrals!G24)),'Re-referrals'!G24/Referrals!G24,NA())</f>
        <v>0.16974595842956119</v>
      </c>
      <c r="H126" s="164">
        <f>IF(AND(ISNUMBER(H24),ISNUMBER(Referrals!H24)),'Re-referrals'!H24/Referrals!H24,NA())</f>
        <v>0.22913223140495867</v>
      </c>
      <c r="I126" s="96"/>
      <c r="J126" s="96"/>
      <c r="K126" s="166"/>
      <c r="L126" s="166"/>
      <c r="M126" s="166"/>
      <c r="N126" s="166"/>
      <c r="O126" s="166"/>
      <c r="P126" s="166"/>
      <c r="Q126" s="166"/>
      <c r="R126" s="167"/>
      <c r="S126" s="159"/>
      <c r="T126" s="159"/>
      <c r="U126" s="166"/>
      <c r="V126" s="122"/>
      <c r="W126" s="139"/>
      <c r="X126" s="152"/>
      <c r="Y126" s="188"/>
      <c r="Z126" s="188"/>
      <c r="AA126" s="81"/>
      <c r="AB126" s="81"/>
      <c r="AC126" s="81"/>
      <c r="AD126" s="81"/>
      <c r="AE126" s="81"/>
      <c r="AF126" s="190"/>
      <c r="AG126" s="190"/>
      <c r="AH126" s="190"/>
      <c r="AI126" s="190"/>
      <c r="AJ126" s="202"/>
      <c r="AK126" s="160"/>
    </row>
    <row r="127" spans="1:45" s="87" customFormat="1" ht="12.75" customHeight="1" x14ac:dyDescent="0.2">
      <c r="A127" s="488">
        <f>VLOOKUP(B127,Sheet1!$AQ$4:$AR$25,2,FALSE)</f>
        <v>0</v>
      </c>
      <c r="B127" s="93" t="str">
        <f t="shared" si="24"/>
        <v>Surrey</v>
      </c>
      <c r="C127" s="85"/>
      <c r="D127" s="162">
        <f>IF(AND(ISNUMBER(D25),ISNUMBER(Referrals!D25)),'Re-referrals'!D25/Referrals!D25,NA())</f>
        <v>0.24133242692046228</v>
      </c>
      <c r="E127" s="162">
        <f>IF(AND(ISNUMBER(E25),ISNUMBER(Referrals!E25)),'Re-referrals'!E25/Referrals!E25,NA())</f>
        <v>0.24796643548248995</v>
      </c>
      <c r="F127" s="162">
        <f>IF(AND(ISNUMBER(F25),ISNUMBER(Referrals!F25)),'Re-referrals'!F25/Referrals!F25,NA())</f>
        <v>0.27330104212534861</v>
      </c>
      <c r="G127" s="162">
        <f>IF(AND(ISNUMBER(G25),ISNUMBER(Referrals!G25)),'Re-referrals'!G25/Referrals!G25,NA())</f>
        <v>0.25528913963328631</v>
      </c>
      <c r="H127" s="164">
        <f>IF(AND(ISNUMBER(H25),ISNUMBER(Referrals!H25)),'Re-referrals'!H25/Referrals!H25,NA())</f>
        <v>0.21504871463786829</v>
      </c>
      <c r="I127" s="96"/>
      <c r="J127" s="96"/>
      <c r="K127" s="166"/>
      <c r="L127" s="166"/>
      <c r="M127" s="166"/>
      <c r="N127" s="166"/>
      <c r="O127" s="166"/>
      <c r="P127" s="166"/>
      <c r="Q127" s="166"/>
      <c r="R127" s="167"/>
      <c r="S127" s="159"/>
      <c r="T127" s="159"/>
      <c r="U127" s="166"/>
      <c r="V127" s="122"/>
      <c r="W127" s="139"/>
      <c r="X127" s="152"/>
      <c r="Y127" s="188"/>
      <c r="Z127" s="188"/>
      <c r="AA127" s="81"/>
      <c r="AB127" s="81"/>
      <c r="AC127" s="81"/>
      <c r="AD127" s="81"/>
      <c r="AE127" s="81"/>
      <c r="AF127" s="190"/>
      <c r="AG127" s="190"/>
      <c r="AH127" s="190"/>
      <c r="AI127" s="190"/>
      <c r="AJ127" s="202"/>
      <c r="AK127" s="160"/>
    </row>
    <row r="128" spans="1:45" s="87" customFormat="1" ht="12.75" customHeight="1" x14ac:dyDescent="0.2">
      <c r="A128" s="488">
        <f>VLOOKUP(B128,Sheet1!$AQ$4:$AR$25,2,FALSE)</f>
        <v>0</v>
      </c>
      <c r="B128" s="93" t="str">
        <f t="shared" si="24"/>
        <v>Swindon</v>
      </c>
      <c r="C128" s="85"/>
      <c r="D128" s="162">
        <f>IF(AND(ISNUMBER(D26),ISNUMBER(Referrals!D26)),'Re-referrals'!D26/Referrals!D26,NA())</f>
        <v>0.27870778267254037</v>
      </c>
      <c r="E128" s="162">
        <f>IF(AND(ISNUMBER(E26),ISNUMBER(Referrals!E26)),'Re-referrals'!E26/Referrals!E26,NA())</f>
        <v>0.26613704071499505</v>
      </c>
      <c r="F128" s="162">
        <f>IF(AND(ISNUMBER(F26),ISNUMBER(Referrals!F26)),'Re-referrals'!F26/Referrals!F26,NA())</f>
        <v>0.24179762889440309</v>
      </c>
      <c r="G128" s="162">
        <f>IF(AND(ISNUMBER(G26),ISNUMBER(Referrals!G26)),'Re-referrals'!G26/Referrals!G26,NA())</f>
        <v>0.17951881554595928</v>
      </c>
      <c r="H128" s="164">
        <f>IF(AND(ISNUMBER(H26),ISNUMBER(Referrals!H26)),'Re-referrals'!H26/Referrals!H26,NA())</f>
        <v>0.29510905485789823</v>
      </c>
      <c r="I128" s="96"/>
      <c r="J128" s="96"/>
      <c r="K128" s="166"/>
      <c r="L128" s="166"/>
      <c r="M128" s="166"/>
      <c r="N128" s="166"/>
      <c r="O128" s="166"/>
      <c r="P128" s="166"/>
      <c r="Q128" s="166"/>
      <c r="R128" s="167"/>
      <c r="S128" s="159"/>
      <c r="T128" s="159"/>
      <c r="U128" s="166"/>
      <c r="V128" s="122"/>
      <c r="W128" s="139"/>
      <c r="X128" s="152"/>
      <c r="Y128" s="188"/>
      <c r="Z128" s="188"/>
      <c r="AA128" s="81"/>
      <c r="AB128" s="81"/>
      <c r="AC128" s="81"/>
      <c r="AD128" s="81"/>
      <c r="AE128" s="81"/>
      <c r="AF128" s="190"/>
      <c r="AG128" s="190"/>
      <c r="AH128" s="190"/>
      <c r="AI128" s="190"/>
      <c r="AJ128" s="202"/>
      <c r="AK128" s="160"/>
    </row>
    <row r="129" spans="1:66" s="87" customFormat="1" ht="12.75" customHeight="1" x14ac:dyDescent="0.2">
      <c r="A129" s="488">
        <f>VLOOKUP(B129,Sheet1!$AQ$4:$AR$25,2,FALSE)</f>
        <v>0</v>
      </c>
      <c r="B129" s="93" t="str">
        <f t="shared" si="24"/>
        <v>Torbay</v>
      </c>
      <c r="C129" s="85"/>
      <c r="D129" s="162">
        <f>IF(AND(ISNUMBER(D27),ISNUMBER(Referrals!D27)),'Re-referrals'!D27/Referrals!D27,NA())</f>
        <v>0.28873239436619724</v>
      </c>
      <c r="E129" s="162">
        <f>IF(AND(ISNUMBER(E27),ISNUMBER(Referrals!E27)),'Re-referrals'!E27/Referrals!E27,NA())</f>
        <v>0.27042079207920794</v>
      </c>
      <c r="F129" s="162">
        <f>IF(AND(ISNUMBER(F27),ISNUMBER(Referrals!F27)),'Re-referrals'!F27/Referrals!F27,NA())</f>
        <v>0.24598337950138505</v>
      </c>
      <c r="G129" s="162">
        <f>IF(AND(ISNUMBER(G27),ISNUMBER(Referrals!G27)),'Re-referrals'!G27/Referrals!G27,NA())</f>
        <v>0.26387315968289921</v>
      </c>
      <c r="H129" s="164">
        <f>IF(AND(ISNUMBER(H27),ISNUMBER(Referrals!H27)),'Re-referrals'!H27/Referrals!H27,NA())</f>
        <v>0.22150882825040127</v>
      </c>
      <c r="I129" s="96"/>
      <c r="J129" s="96"/>
      <c r="K129" s="166"/>
      <c r="L129" s="166"/>
      <c r="M129" s="166"/>
      <c r="N129" s="166"/>
      <c r="O129" s="166"/>
      <c r="P129" s="166"/>
      <c r="Q129" s="166"/>
      <c r="R129" s="167"/>
      <c r="S129" s="159"/>
      <c r="T129" s="159"/>
      <c r="U129" s="166"/>
      <c r="V129" s="122"/>
      <c r="W129" s="139"/>
      <c r="X129" s="152"/>
      <c r="Y129" s="188"/>
      <c r="Z129" s="188"/>
      <c r="AA129" s="81"/>
      <c r="AB129" s="81"/>
      <c r="AC129" s="81"/>
      <c r="AD129" s="81"/>
      <c r="AE129" s="81"/>
      <c r="AF129" s="190"/>
      <c r="AG129" s="190"/>
      <c r="AH129" s="190"/>
      <c r="AI129" s="190"/>
      <c r="AJ129" s="202"/>
      <c r="AK129" s="160"/>
    </row>
    <row r="130" spans="1:66" s="87" customFormat="1" ht="12.75" customHeight="1" x14ac:dyDescent="0.2">
      <c r="A130" s="488">
        <f>VLOOKUP(B130,Sheet1!$AQ$4:$AR$25,2,FALSE)</f>
        <v>0</v>
      </c>
      <c r="B130" s="93" t="str">
        <f t="shared" si="24"/>
        <v>West Berkshire</v>
      </c>
      <c r="C130" s="85"/>
      <c r="D130" s="162">
        <f>IF(AND(ISNUMBER(D28),ISNUMBER(Referrals!D28)),'Re-referrals'!D28/Referrals!D28,NA())</f>
        <v>0.16043956043956045</v>
      </c>
      <c r="E130" s="162">
        <f>IF(AND(ISNUMBER(E28),ISNUMBER(Referrals!E28)),'Re-referrals'!E28/Referrals!E28,NA())</f>
        <v>0.2360774818401937</v>
      </c>
      <c r="F130" s="162">
        <f>IF(AND(ISNUMBER(F28),ISNUMBER(Referrals!F28)),'Re-referrals'!F28/Referrals!F28,NA())</f>
        <v>0.26917989417989419</v>
      </c>
      <c r="G130" s="162">
        <f>IF(AND(ISNUMBER(G28),ISNUMBER(Referrals!G28)),'Re-referrals'!G28/Referrals!G28,NA())</f>
        <v>0.26156583629893237</v>
      </c>
      <c r="H130" s="164">
        <f>IF(AND(ISNUMBER(H28),ISNUMBER(Referrals!H28)),'Re-referrals'!H28/Referrals!H28,NA())</f>
        <v>0.2678355501813785</v>
      </c>
      <c r="I130" s="96"/>
      <c r="J130" s="96"/>
      <c r="K130" s="166"/>
      <c r="L130" s="166"/>
      <c r="M130" s="166"/>
      <c r="N130" s="166"/>
      <c r="O130" s="166"/>
      <c r="P130" s="166"/>
      <c r="Q130" s="166"/>
      <c r="R130" s="167"/>
      <c r="S130" s="159"/>
      <c r="T130" s="159"/>
      <c r="U130" s="166"/>
      <c r="V130" s="122"/>
      <c r="W130" s="139"/>
      <c r="X130" s="152"/>
      <c r="Y130" s="188"/>
      <c r="Z130" s="188"/>
      <c r="AA130" s="81"/>
      <c r="AB130" s="81"/>
      <c r="AC130" s="81"/>
      <c r="AD130" s="81"/>
      <c r="AE130" s="81"/>
      <c r="AF130" s="202"/>
      <c r="AG130" s="190"/>
      <c r="AH130" s="190"/>
      <c r="AI130" s="190"/>
      <c r="AJ130" s="202"/>
      <c r="AK130" s="160"/>
    </row>
    <row r="131" spans="1:66" s="87" customFormat="1" ht="12.75" customHeight="1" x14ac:dyDescent="0.2">
      <c r="A131" s="488">
        <f>VLOOKUP(B131,Sheet1!$AQ$4:$AR$25,2,FALSE)</f>
        <v>0</v>
      </c>
      <c r="B131" s="93" t="str">
        <f t="shared" si="24"/>
        <v>West Sussex</v>
      </c>
      <c r="C131" s="85"/>
      <c r="D131" s="162">
        <f>IF(AND(ISNUMBER(D29),ISNUMBER(Referrals!D29)),'Re-referrals'!D29/Referrals!D29,NA())</f>
        <v>0.24389345771449578</v>
      </c>
      <c r="E131" s="162">
        <f>IF(AND(ISNUMBER(E29),ISNUMBER(Referrals!E29)),'Re-referrals'!E29/Referrals!E29,NA())</f>
        <v>0.25271708042558061</v>
      </c>
      <c r="F131" s="162">
        <f>IF(AND(ISNUMBER(F29),ISNUMBER(Referrals!F29)),'Re-referrals'!F29/Referrals!F29,NA())</f>
        <v>0.26803401700850427</v>
      </c>
      <c r="G131" s="162">
        <f>IF(AND(ISNUMBER(G29),ISNUMBER(Referrals!G29)),'Re-referrals'!G29/Referrals!G29,NA())</f>
        <v>0.25774499473129608</v>
      </c>
      <c r="H131" s="164">
        <f>IF(AND(ISNUMBER(H29),ISNUMBER(Referrals!H29)),'Re-referrals'!H29/Referrals!H29,NA())</f>
        <v>0.26558591013709598</v>
      </c>
      <c r="I131" s="96"/>
      <c r="J131" s="96"/>
      <c r="K131" s="166"/>
      <c r="L131" s="166"/>
      <c r="M131" s="166"/>
      <c r="N131" s="166"/>
      <c r="O131" s="166"/>
      <c r="P131" s="166"/>
      <c r="Q131" s="166"/>
      <c r="R131" s="167"/>
      <c r="S131" s="159"/>
      <c r="T131" s="159"/>
      <c r="U131" s="166"/>
      <c r="V131" s="122"/>
      <c r="W131" s="139"/>
      <c r="X131" s="152"/>
      <c r="Y131" s="188"/>
      <c r="Z131" s="188"/>
      <c r="AA131" s="81"/>
      <c r="AB131" s="81"/>
      <c r="AC131" s="81"/>
      <c r="AD131" s="81"/>
      <c r="AE131" s="81"/>
      <c r="AF131" s="202"/>
      <c r="AG131" s="190"/>
      <c r="AH131" s="190"/>
      <c r="AI131" s="190"/>
      <c r="AJ131" s="202"/>
      <c r="AK131" s="160"/>
    </row>
    <row r="132" spans="1:66" s="87" customFormat="1" ht="12.75" customHeight="1" x14ac:dyDescent="0.2">
      <c r="A132" s="488">
        <f>VLOOKUP(B132,Sheet1!$AQ$4:$AR$25,2,FALSE)</f>
        <v>0</v>
      </c>
      <c r="B132" s="93" t="str">
        <f t="shared" si="24"/>
        <v>Windsor &amp; Maidenhead</v>
      </c>
      <c r="C132" s="85"/>
      <c r="D132" s="162">
        <f>IF(AND(ISNUMBER(D30),ISNUMBER(Referrals!D30)),'Re-referrals'!D30/Referrals!D30,NA())</f>
        <v>0.17309417040358743</v>
      </c>
      <c r="E132" s="162">
        <f>IF(AND(ISNUMBER(E30),ISNUMBER(Referrals!E30)),'Re-referrals'!E30/Referrals!E30,NA())</f>
        <v>0.11794354838709678</v>
      </c>
      <c r="F132" s="162">
        <f>IF(AND(ISNUMBER(F30),ISNUMBER(Referrals!F30)),'Re-referrals'!F30/Referrals!F30,NA())</f>
        <v>0.15645617342130066</v>
      </c>
      <c r="G132" s="162">
        <f>IF(AND(ISNUMBER(G30),ISNUMBER(Referrals!G30)),'Re-referrals'!G30/Referrals!G30,NA())</f>
        <v>0.20969162995594715</v>
      </c>
      <c r="H132" s="164">
        <f>IF(AND(ISNUMBER(H30),ISNUMBER(Referrals!H30)),'Re-referrals'!H30/Referrals!H30,NA())</f>
        <v>0.15781710914454278</v>
      </c>
      <c r="I132" s="96"/>
      <c r="J132" s="96"/>
      <c r="K132" s="166"/>
      <c r="L132" s="166"/>
      <c r="M132" s="166"/>
      <c r="N132" s="166"/>
      <c r="O132" s="166"/>
      <c r="P132" s="166"/>
      <c r="Q132" s="166"/>
      <c r="R132" s="167"/>
      <c r="S132" s="159"/>
      <c r="T132" s="159"/>
      <c r="U132" s="166"/>
      <c r="V132" s="122"/>
      <c r="W132" s="139"/>
      <c r="X132" s="152"/>
      <c r="Y132" s="188"/>
      <c r="Z132" s="188"/>
      <c r="AA132" s="81"/>
      <c r="AB132" s="81"/>
      <c r="AC132" s="81"/>
      <c r="AD132" s="81"/>
      <c r="AE132" s="81"/>
      <c r="AF132" s="202"/>
      <c r="AG132" s="202"/>
      <c r="AH132" s="202"/>
      <c r="AI132" s="190"/>
      <c r="AJ132" s="202"/>
      <c r="AK132" s="160"/>
    </row>
    <row r="133" spans="1:66" s="87" customFormat="1" ht="12.75" customHeight="1" x14ac:dyDescent="0.2">
      <c r="A133" s="488">
        <f>VLOOKUP(B133,Sheet1!$AQ$4:$AR$25,2,FALSE)</f>
        <v>0</v>
      </c>
      <c r="B133" s="93" t="str">
        <f t="shared" si="24"/>
        <v>Wokingham</v>
      </c>
      <c r="C133" s="85"/>
      <c r="D133" s="162">
        <f>IF(AND(ISNUMBER(D31),ISNUMBER(Referrals!D31)),'Re-referrals'!D31/Referrals!D31,NA())</f>
        <v>0.17241379310344829</v>
      </c>
      <c r="E133" s="162">
        <f>IF(AND(ISNUMBER(E31),ISNUMBER(Referrals!E31)),'Re-referrals'!E31/Referrals!E31,NA())</f>
        <v>0.1874310915104741</v>
      </c>
      <c r="F133" s="162">
        <f>IF(AND(ISNUMBER(F31),ISNUMBER(Referrals!F31)),'Re-referrals'!F31/Referrals!F31,NA())</f>
        <v>0.16557257476294676</v>
      </c>
      <c r="G133" s="162">
        <f>IF(AND(ISNUMBER(G31),ISNUMBER(Referrals!G31)),'Re-referrals'!G31/Referrals!G31,NA())</f>
        <v>0.21055718475073315</v>
      </c>
      <c r="H133" s="164">
        <f>IF(AND(ISNUMBER(H31),ISNUMBER(Referrals!H31)),'Re-referrals'!H31/Referrals!H31,NA())</f>
        <v>0.24577226606538896</v>
      </c>
      <c r="I133" s="96"/>
      <c r="J133" s="96"/>
      <c r="K133" s="166"/>
      <c r="L133" s="166"/>
      <c r="M133" s="166"/>
      <c r="N133" s="166"/>
      <c r="O133" s="166"/>
      <c r="P133" s="166"/>
      <c r="Q133" s="166"/>
      <c r="R133" s="167"/>
      <c r="S133" s="159"/>
      <c r="T133" s="159"/>
      <c r="U133" s="166"/>
      <c r="V133" s="122"/>
      <c r="W133" s="139"/>
      <c r="X133" s="152"/>
      <c r="Y133" s="188"/>
      <c r="Z133" s="188"/>
      <c r="AA133" s="81"/>
      <c r="AB133" s="81"/>
      <c r="AC133" s="81"/>
      <c r="AD133" s="81"/>
      <c r="AE133" s="81"/>
      <c r="AF133" s="202"/>
      <c r="AG133" s="202"/>
      <c r="AH133" s="202"/>
      <c r="AI133" s="190"/>
      <c r="AJ133" s="202"/>
      <c r="AK133" s="160"/>
    </row>
    <row r="134" spans="1:66" s="87" customFormat="1" ht="12.75" customHeight="1" x14ac:dyDescent="0.2">
      <c r="A134" s="121"/>
      <c r="B134" s="129" t="str">
        <f t="shared" si="24"/>
        <v>South East</v>
      </c>
      <c r="C134" s="85"/>
      <c r="D134" s="163">
        <f>IF(AND(ISNUMBER(D32),ISNUMBER(Referrals!D32)),'Re-referrals'!D32/Referrals!D32,NA())</f>
        <v>0.234860883797054</v>
      </c>
      <c r="E134" s="163">
        <f>IF(AND(ISNUMBER(E32),ISNUMBER(Referrals!E32)),'Re-referrals'!E32/Referrals!E32,NA())</f>
        <v>0.25662808065720688</v>
      </c>
      <c r="F134" s="163">
        <f>IF(AND(ISNUMBER(F32),ISNUMBER(Referrals!F32)),'Re-referrals'!F32/Referrals!F32,NA())</f>
        <v>0.25180598555211559</v>
      </c>
      <c r="G134" s="163">
        <f>IF(AND(ISNUMBER(G32),ISNUMBER(Referrals!G32)),'Re-referrals'!G32/Referrals!G32,NA())</f>
        <v>0.2558871198398322</v>
      </c>
      <c r="H134" s="165">
        <f>IF(AND(ISNUMBER(H32),ISNUMBER(Referrals!H32)),'Re-referrals'!H32/Referrals!H32,NA())</f>
        <v>0.26039846207619716</v>
      </c>
      <c r="I134" s="96"/>
      <c r="J134" s="96"/>
      <c r="K134" s="168"/>
      <c r="L134" s="168"/>
      <c r="M134" s="168"/>
      <c r="N134" s="168"/>
      <c r="O134" s="168"/>
      <c r="P134" s="168"/>
      <c r="Q134" s="168"/>
      <c r="R134" s="169"/>
      <c r="S134" s="159"/>
      <c r="T134" s="159"/>
      <c r="U134" s="170"/>
      <c r="V134" s="122"/>
      <c r="W134" s="139"/>
      <c r="X134" s="152"/>
      <c r="Y134" s="188"/>
      <c r="Z134" s="188"/>
      <c r="AA134" s="81"/>
      <c r="AB134" s="81"/>
      <c r="AC134" s="81"/>
      <c r="AD134" s="81"/>
      <c r="AE134" s="81"/>
      <c r="AF134" s="202"/>
      <c r="AG134" s="202"/>
      <c r="AH134" s="202"/>
      <c r="AI134" s="190"/>
      <c r="AJ134" s="202"/>
      <c r="AK134" s="160"/>
    </row>
    <row r="135" spans="1:66" s="87" customFormat="1" ht="12.75" x14ac:dyDescent="0.2">
      <c r="A135" s="121"/>
      <c r="B135" s="329" t="str">
        <f t="shared" si="24"/>
        <v>England</v>
      </c>
      <c r="C135" s="85"/>
      <c r="D135" s="351">
        <f>IF(AND(ISNUMBER(D33),ISNUMBER(Referrals!D33)),'Re-referrals'!D33/Referrals!D33,NA())</f>
        <v>0.22318052359727741</v>
      </c>
      <c r="E135" s="351">
        <f>IF(AND(ISNUMBER(E33),ISNUMBER(Referrals!E33)),'Re-referrals'!E33/Referrals!E33,NA())</f>
        <v>0.21909242865102457</v>
      </c>
      <c r="F135" s="351">
        <f>IF(AND(ISNUMBER(F33),ISNUMBER(Referrals!F33)),'Re-referrals'!F33/Referrals!F33,NA())</f>
        <v>0.21934627762610009</v>
      </c>
      <c r="G135" s="351">
        <f>IF(AND(ISNUMBER(G33),ISNUMBER(Referrals!G33)),'Re-referrals'!G33/Referrals!G33,NA())</f>
        <v>0.22606117401256665</v>
      </c>
      <c r="H135" s="352">
        <f>IF(AND(ISNUMBER(H33),ISNUMBER(Referrals!H33)),'Re-referrals'!H33/Referrals!H33,NA())</f>
        <v>0.22611900836728982</v>
      </c>
      <c r="I135" s="96"/>
      <c r="J135" s="96"/>
      <c r="K135" s="168"/>
      <c r="L135" s="168"/>
      <c r="M135" s="168"/>
      <c r="N135" s="168"/>
      <c r="O135" s="168"/>
      <c r="P135" s="168"/>
      <c r="Q135" s="168"/>
      <c r="R135" s="169"/>
      <c r="S135" s="159"/>
      <c r="T135" s="159"/>
      <c r="U135" s="170"/>
      <c r="V135" s="122"/>
      <c r="W135" s="139"/>
      <c r="X135" s="152"/>
      <c r="Y135" s="81"/>
      <c r="Z135" s="81"/>
      <c r="AA135" s="196"/>
      <c r="AB135" s="196"/>
      <c r="AC135" s="197"/>
      <c r="AD135" s="197"/>
      <c r="AE135" s="199"/>
      <c r="AF135" s="202"/>
      <c r="AG135" s="202"/>
      <c r="AH135" s="202"/>
      <c r="AI135" s="190"/>
      <c r="AJ135" s="202"/>
      <c r="AK135" s="160"/>
    </row>
    <row r="136" spans="1:66" s="87" customFormat="1" ht="6.95" customHeight="1" x14ac:dyDescent="0.2">
      <c r="A136" s="292"/>
      <c r="B136" s="96"/>
      <c r="C136" s="96"/>
      <c r="D136" s="96"/>
      <c r="E136" s="96"/>
      <c r="F136" s="96"/>
      <c r="G136" s="96"/>
      <c r="H136" s="96"/>
      <c r="I136" s="96"/>
      <c r="J136" s="96"/>
      <c r="K136" s="168"/>
      <c r="L136" s="168"/>
      <c r="M136" s="168"/>
      <c r="N136" s="168"/>
      <c r="O136" s="168"/>
      <c r="P136" s="168"/>
      <c r="Q136" s="168"/>
      <c r="R136" s="169"/>
      <c r="S136" s="159"/>
      <c r="T136" s="159"/>
      <c r="U136" s="170"/>
      <c r="V136" s="122"/>
      <c r="W136" s="139"/>
      <c r="X136" s="152"/>
      <c r="Y136" s="81"/>
      <c r="Z136" s="81"/>
      <c r="AA136" s="196"/>
      <c r="AB136" s="196"/>
      <c r="AC136" s="197"/>
      <c r="AD136" s="197"/>
      <c r="AE136" s="199"/>
      <c r="AF136" s="202"/>
      <c r="AG136" s="202"/>
      <c r="AH136" s="202"/>
      <c r="AI136" s="190"/>
      <c r="AJ136" s="202"/>
      <c r="AK136" s="160"/>
    </row>
    <row r="137" spans="1:66" s="81" customFormat="1" ht="38.25" customHeight="1" x14ac:dyDescent="0.2">
      <c r="A137" s="217"/>
      <c r="B137" s="325"/>
      <c r="C137" s="325"/>
      <c r="D137" s="325"/>
      <c r="E137" s="325"/>
      <c r="F137" s="325"/>
      <c r="G137" s="325"/>
      <c r="H137" s="325"/>
      <c r="I137" s="325"/>
      <c r="J137" s="172"/>
      <c r="K137" s="172"/>
      <c r="L137" s="172"/>
      <c r="M137" s="172"/>
      <c r="N137" s="172"/>
      <c r="O137" s="172"/>
      <c r="P137" s="172"/>
      <c r="Q137" s="172"/>
      <c r="R137" s="136"/>
      <c r="S137" s="172"/>
      <c r="T137" s="172"/>
      <c r="U137" s="172"/>
      <c r="V137" s="117"/>
      <c r="W137" s="137"/>
      <c r="X137" s="150"/>
      <c r="AD137" s="197"/>
      <c r="AE137" s="199"/>
      <c r="AF137" s="184"/>
      <c r="AG137" s="184"/>
      <c r="AH137" s="184"/>
      <c r="AJ137" s="184"/>
      <c r="AK137" s="161"/>
    </row>
    <row r="138" spans="1:66" s="81" customFormat="1" ht="39.75" customHeight="1" x14ac:dyDescent="0.2">
      <c r="A138" s="217"/>
      <c r="B138" s="325"/>
      <c r="C138" s="325"/>
      <c r="D138" s="325"/>
      <c r="E138" s="325"/>
      <c r="F138" s="325"/>
      <c r="G138" s="325"/>
      <c r="H138" s="325"/>
      <c r="I138" s="325"/>
      <c r="J138" s="172"/>
      <c r="K138" s="172"/>
      <c r="L138" s="172"/>
      <c r="M138" s="172"/>
      <c r="N138" s="172"/>
      <c r="O138" s="172"/>
      <c r="P138" s="172"/>
      <c r="Q138" s="172"/>
      <c r="R138" s="136"/>
      <c r="S138" s="172"/>
      <c r="T138" s="172"/>
      <c r="U138" s="172"/>
      <c r="V138" s="117"/>
      <c r="W138" s="137"/>
      <c r="X138" s="150"/>
      <c r="Z138" s="190"/>
      <c r="AE138" s="199"/>
      <c r="AF138" s="184"/>
      <c r="AG138" s="184"/>
      <c r="AH138" s="184"/>
      <c r="AJ138" s="184"/>
      <c r="AK138" s="161"/>
    </row>
    <row r="139" spans="1:66" s="81" customFormat="1" ht="38.25" customHeight="1" x14ac:dyDescent="0.2">
      <c r="A139" s="217"/>
      <c r="B139" s="325"/>
      <c r="C139" s="325"/>
      <c r="D139" s="325"/>
      <c r="E139" s="325"/>
      <c r="F139" s="325"/>
      <c r="G139" s="325"/>
      <c r="H139" s="325"/>
      <c r="I139" s="325"/>
      <c r="J139" s="172"/>
      <c r="K139" s="172"/>
      <c r="L139" s="172"/>
      <c r="M139" s="172"/>
      <c r="N139" s="172"/>
      <c r="O139" s="172"/>
      <c r="P139" s="172"/>
      <c r="Q139" s="172"/>
      <c r="R139" s="136"/>
      <c r="S139" s="172"/>
      <c r="T139" s="172"/>
      <c r="U139" s="172"/>
      <c r="V139" s="117"/>
      <c r="W139" s="137"/>
      <c r="X139" s="150"/>
      <c r="Z139" s="190"/>
      <c r="AE139" s="199"/>
      <c r="AF139" s="184"/>
      <c r="AG139" s="184"/>
      <c r="AH139" s="184"/>
      <c r="AJ139" s="184"/>
      <c r="AK139" s="161"/>
    </row>
    <row r="140" spans="1:66" s="81" customFormat="1" ht="7.5" customHeight="1" x14ac:dyDescent="0.2">
      <c r="A140" s="118"/>
      <c r="B140" s="17"/>
      <c r="C140" s="17"/>
      <c r="D140" s="16"/>
      <c r="E140" s="16"/>
      <c r="F140" s="16"/>
      <c r="G140" s="16"/>
      <c r="H140" s="16"/>
      <c r="I140" s="16"/>
      <c r="J140" s="12"/>
      <c r="K140" s="18"/>
      <c r="L140" s="18"/>
      <c r="M140" s="18"/>
      <c r="N140" s="18"/>
      <c r="O140" s="18"/>
      <c r="P140" s="18"/>
      <c r="Q140" s="18"/>
      <c r="R140" s="18"/>
      <c r="S140" s="18"/>
      <c r="T140" s="18"/>
      <c r="U140" s="19"/>
      <c r="V140" s="117"/>
      <c r="W140" s="137"/>
      <c r="X140" s="150"/>
      <c r="Z140" s="190"/>
      <c r="AJ140" s="184"/>
      <c r="AK140" s="157"/>
      <c r="AL140" s="74"/>
      <c r="AM140" s="74"/>
      <c r="AN140" s="74"/>
      <c r="AO140" s="74"/>
      <c r="AP140" s="74"/>
      <c r="AQ140" s="74"/>
      <c r="AR140" s="74"/>
    </row>
    <row r="141" spans="1:66" s="81" customFormat="1" ht="15" customHeight="1" x14ac:dyDescent="0.2">
      <c r="A141" s="1716"/>
      <c r="B141" s="1760"/>
      <c r="C141" s="1760"/>
      <c r="D141" s="1760"/>
      <c r="E141" s="1760"/>
      <c r="F141" s="1760"/>
      <c r="G141" s="1760"/>
      <c r="H141" s="1760"/>
      <c r="I141" s="1760"/>
      <c r="J141" s="1760"/>
      <c r="K141" s="1760"/>
      <c r="L141" s="1760"/>
      <c r="M141" s="1760"/>
      <c r="N141" s="1760"/>
      <c r="O141" s="1760"/>
      <c r="P141" s="1760"/>
      <c r="Q141" s="1760"/>
      <c r="R141" s="1760"/>
      <c r="S141" s="1760"/>
      <c r="T141" s="1760"/>
      <c r="U141" s="1760"/>
      <c r="V141" s="1761"/>
      <c r="W141" s="137"/>
      <c r="X141" s="150"/>
      <c r="AK141" s="161"/>
      <c r="AT141" s="74"/>
    </row>
    <row r="142" spans="1:66" s="81" customFormat="1" ht="11.1" customHeight="1" x14ac:dyDescent="0.2">
      <c r="A142" s="1765" t="str">
        <f>Home!$A$39</f>
        <v xml:space="preserve"> </v>
      </c>
      <c r="B142" s="1766"/>
      <c r="C142" s="1766"/>
      <c r="D142" s="1766"/>
      <c r="E142" s="1766"/>
      <c r="F142" s="1766"/>
      <c r="G142" s="1766"/>
      <c r="H142" s="1766"/>
      <c r="I142" s="1767"/>
      <c r="J142" s="1766"/>
      <c r="K142" s="1766"/>
      <c r="L142" s="1766"/>
      <c r="M142" s="1766"/>
      <c r="N142" s="1766"/>
      <c r="O142" s="1766"/>
      <c r="P142" s="1768"/>
      <c r="Q142" s="1766"/>
      <c r="R142" s="1766"/>
      <c r="S142" s="1766"/>
      <c r="T142" s="1767"/>
      <c r="U142" s="1766"/>
      <c r="V142" s="1769"/>
      <c r="W142" s="137"/>
      <c r="X142" s="150"/>
      <c r="AJ142" s="184"/>
      <c r="AK142" s="161"/>
      <c r="AT142" s="74"/>
    </row>
    <row r="143" spans="1:66" ht="11.25" customHeight="1" x14ac:dyDescent="0.2">
      <c r="A143" s="142"/>
      <c r="B143" s="9"/>
      <c r="C143" s="9"/>
      <c r="D143" s="9"/>
      <c r="E143" s="9"/>
      <c r="F143" s="58"/>
      <c r="G143" s="58"/>
      <c r="H143" s="58"/>
      <c r="I143" s="58"/>
      <c r="J143" s="114"/>
      <c r="K143" s="113"/>
      <c r="L143" s="113"/>
      <c r="M143" s="113"/>
      <c r="N143" s="113"/>
      <c r="O143" s="113"/>
      <c r="P143" s="113"/>
      <c r="Q143" s="113"/>
      <c r="R143" s="113"/>
      <c r="S143" s="113"/>
      <c r="T143" s="113"/>
      <c r="U143" s="113"/>
      <c r="V143" s="113"/>
      <c r="W143" s="137"/>
      <c r="X143" s="150"/>
      <c r="AJ143" s="81"/>
      <c r="AK143" s="161"/>
      <c r="AL143" s="81"/>
      <c r="AM143" s="81"/>
      <c r="AN143" s="81"/>
      <c r="AO143" s="81"/>
      <c r="AP143" s="81"/>
      <c r="AQ143" s="81"/>
      <c r="AR143" s="81"/>
      <c r="AS143" s="81"/>
      <c r="AU143" s="81"/>
      <c r="AV143" s="81"/>
      <c r="AW143" s="81"/>
      <c r="AX143" s="81"/>
      <c r="AY143" s="81"/>
      <c r="AZ143" s="81"/>
      <c r="BA143" s="81"/>
      <c r="BB143" s="81"/>
      <c r="BC143" s="81"/>
      <c r="BD143" s="81"/>
      <c r="BE143" s="81"/>
      <c r="BF143" s="81"/>
      <c r="BG143" s="81"/>
      <c r="BH143" s="81"/>
      <c r="BI143" s="81"/>
      <c r="BJ143" s="81"/>
      <c r="BK143" s="81"/>
      <c r="BL143" s="81"/>
      <c r="BM143" s="81"/>
      <c r="BN143" s="81"/>
    </row>
    <row r="144" spans="1:66" ht="11.25" customHeight="1" x14ac:dyDescent="0.2">
      <c r="A144" s="142"/>
      <c r="B144" s="1685" t="s">
        <v>82</v>
      </c>
      <c r="C144" s="1685"/>
      <c r="D144" s="1685"/>
      <c r="E144" s="1685"/>
      <c r="F144" s="1685"/>
      <c r="G144" s="1685"/>
      <c r="H144" s="1685"/>
      <c r="I144" s="1685"/>
      <c r="J144" s="12"/>
      <c r="K144" s="9"/>
      <c r="L144" s="9"/>
      <c r="M144" s="9"/>
      <c r="N144" s="9"/>
      <c r="O144" s="9"/>
      <c r="P144" s="9"/>
      <c r="Q144" s="9"/>
      <c r="R144" s="9"/>
      <c r="S144" s="9"/>
      <c r="T144" s="9"/>
      <c r="U144" s="9"/>
      <c r="V144" s="9"/>
      <c r="W144" s="137"/>
      <c r="X144" s="150"/>
      <c r="AJ144" s="81"/>
      <c r="AK144" s="161"/>
      <c r="AL144" s="81"/>
      <c r="AM144" s="81"/>
      <c r="AN144" s="81"/>
      <c r="AO144" s="81"/>
      <c r="AP144" s="81"/>
      <c r="AQ144" s="81"/>
      <c r="AR144" s="81"/>
      <c r="AS144" s="81"/>
      <c r="AU144" s="81"/>
      <c r="AV144" s="81"/>
      <c r="AW144" s="81"/>
      <c r="AX144" s="81"/>
      <c r="AY144" s="81"/>
    </row>
    <row r="145" spans="1:51" ht="11.25" customHeight="1" x14ac:dyDescent="0.2">
      <c r="A145" s="142"/>
      <c r="B145" s="1685"/>
      <c r="C145" s="1685"/>
      <c r="D145" s="1685"/>
      <c r="E145" s="1685"/>
      <c r="F145" s="1685"/>
      <c r="G145" s="1685"/>
      <c r="H145" s="1685"/>
      <c r="I145" s="1685"/>
      <c r="J145" s="12"/>
      <c r="K145" s="9"/>
      <c r="L145" s="9"/>
      <c r="M145" s="9"/>
      <c r="N145" s="9"/>
      <c r="O145" s="9"/>
      <c r="P145" s="9"/>
      <c r="Q145" s="9"/>
      <c r="R145" s="9"/>
      <c r="S145" s="9"/>
      <c r="T145" s="9"/>
      <c r="U145" s="9"/>
      <c r="V145" s="9"/>
      <c r="W145" s="137"/>
      <c r="X145" s="150"/>
      <c r="AJ145" s="81"/>
      <c r="AK145" s="161"/>
      <c r="AL145" s="81"/>
      <c r="AM145" s="81"/>
      <c r="AN145" s="81"/>
      <c r="AO145" s="81"/>
      <c r="AP145" s="81"/>
      <c r="AQ145" s="81"/>
      <c r="AR145" s="81"/>
      <c r="AS145" s="81"/>
      <c r="AU145" s="81"/>
      <c r="AV145" s="81"/>
      <c r="AW145" s="81"/>
      <c r="AX145" s="81"/>
      <c r="AY145" s="81"/>
    </row>
    <row r="146" spans="1:51" ht="11.25" customHeight="1" x14ac:dyDescent="0.2">
      <c r="A146" s="142"/>
      <c r="B146" s="1680" t="s">
        <v>800</v>
      </c>
      <c r="C146" s="1680"/>
      <c r="D146" s="1680"/>
      <c r="E146" s="1680"/>
      <c r="F146" s="1680"/>
      <c r="G146" s="1680"/>
      <c r="H146" s="1680"/>
      <c r="I146" s="1680"/>
      <c r="J146" s="12"/>
      <c r="K146" s="9"/>
      <c r="L146" s="9"/>
      <c r="M146" s="9"/>
      <c r="N146" s="9"/>
      <c r="O146" s="9"/>
      <c r="P146" s="9"/>
      <c r="Q146" s="9"/>
      <c r="R146" s="9"/>
      <c r="S146" s="9"/>
      <c r="T146" s="9"/>
      <c r="U146" s="9"/>
      <c r="V146" s="9"/>
      <c r="W146" s="137"/>
      <c r="X146" s="150"/>
      <c r="AJ146" s="81"/>
      <c r="AK146" s="161"/>
      <c r="AL146" s="81"/>
      <c r="AM146" s="81"/>
      <c r="AN146" s="81"/>
      <c r="AO146" s="81"/>
      <c r="AP146" s="81"/>
      <c r="AQ146" s="81"/>
      <c r="AR146" s="81"/>
      <c r="AS146" s="81"/>
      <c r="AU146" s="81"/>
      <c r="AV146" s="81"/>
      <c r="AW146" s="81"/>
      <c r="AX146" s="81"/>
      <c r="AY146" s="81"/>
    </row>
    <row r="147" spans="1:51" ht="11.25" customHeight="1" x14ac:dyDescent="0.2">
      <c r="A147" s="142"/>
      <c r="B147" s="1680"/>
      <c r="C147" s="1680"/>
      <c r="D147" s="1680"/>
      <c r="E147" s="1680"/>
      <c r="F147" s="1680"/>
      <c r="G147" s="1680"/>
      <c r="H147" s="1680"/>
      <c r="I147" s="1680"/>
      <c r="J147" s="12"/>
      <c r="K147" s="9"/>
      <c r="L147" s="9"/>
      <c r="M147" s="9"/>
      <c r="N147" s="9"/>
      <c r="O147" s="9"/>
      <c r="P147" s="9"/>
      <c r="Q147" s="9"/>
      <c r="R147" s="9"/>
      <c r="S147" s="9"/>
      <c r="T147" s="9"/>
      <c r="U147" s="9"/>
      <c r="V147" s="9"/>
      <c r="W147" s="137"/>
      <c r="X147" s="150"/>
      <c r="AJ147" s="81"/>
      <c r="AK147" s="161"/>
      <c r="AL147" s="81"/>
      <c r="AM147" s="81"/>
      <c r="AN147" s="81"/>
      <c r="AO147" s="81"/>
      <c r="AP147" s="81"/>
      <c r="AQ147" s="81"/>
      <c r="AR147" s="81"/>
      <c r="AS147" s="81"/>
      <c r="AU147" s="81"/>
      <c r="AV147" s="81"/>
      <c r="AW147" s="81"/>
      <c r="AX147" s="81"/>
      <c r="AY147" s="81"/>
    </row>
    <row r="148" spans="1:51" s="76" customFormat="1" ht="11.25" hidden="1" customHeight="1" x14ac:dyDescent="0.2">
      <c r="A148" s="142"/>
      <c r="B148" s="1680" t="s">
        <v>81</v>
      </c>
      <c r="C148" s="1680"/>
      <c r="D148" s="1680"/>
      <c r="E148" s="1680"/>
      <c r="F148" s="1680"/>
      <c r="G148" s="1680"/>
      <c r="H148" s="1680"/>
      <c r="I148" s="1680"/>
      <c r="J148" s="14"/>
      <c r="K148" s="14"/>
      <c r="L148" s="14"/>
      <c r="M148" s="14"/>
      <c r="N148" s="14"/>
      <c r="O148" s="14"/>
      <c r="P148" s="14"/>
      <c r="Q148" s="14"/>
      <c r="R148" s="14"/>
      <c r="S148" s="14"/>
      <c r="T148" s="14"/>
      <c r="U148" s="14"/>
      <c r="V148" s="14"/>
      <c r="W148" s="140"/>
      <c r="X148" s="154"/>
      <c r="Y148" s="81"/>
      <c r="Z148" s="81"/>
      <c r="AA148" s="81"/>
      <c r="AB148" s="81"/>
      <c r="AC148" s="81"/>
      <c r="AD148" s="81"/>
      <c r="AE148" s="81"/>
      <c r="AF148" s="81"/>
      <c r="AG148" s="81"/>
      <c r="AH148" s="81"/>
      <c r="AI148" s="81"/>
      <c r="AJ148" s="81"/>
      <c r="AK148" s="161"/>
      <c r="AL148" s="81"/>
      <c r="AM148" s="81"/>
      <c r="AN148" s="81"/>
      <c r="AO148" s="81"/>
      <c r="AP148" s="81"/>
      <c r="AQ148" s="81"/>
      <c r="AR148" s="81"/>
      <c r="AS148" s="81"/>
      <c r="AT148" s="74"/>
      <c r="AU148" s="81"/>
      <c r="AV148" s="81"/>
      <c r="AW148" s="81"/>
      <c r="AX148" s="81"/>
      <c r="AY148" s="81"/>
    </row>
    <row r="149" spans="1:51" ht="11.25" hidden="1" customHeight="1" x14ac:dyDescent="0.2">
      <c r="A149" s="142"/>
      <c r="B149" s="1680"/>
      <c r="C149" s="1680"/>
      <c r="D149" s="1680"/>
      <c r="E149" s="1680"/>
      <c r="F149" s="1680"/>
      <c r="G149" s="1680"/>
      <c r="H149" s="1680"/>
      <c r="I149" s="1680"/>
      <c r="J149" s="12"/>
      <c r="K149" s="9"/>
      <c r="L149" s="9"/>
      <c r="M149" s="9"/>
      <c r="N149" s="9"/>
      <c r="O149" s="9"/>
      <c r="P149" s="9"/>
      <c r="Q149" s="9"/>
      <c r="R149" s="9"/>
      <c r="S149" s="9"/>
      <c r="T149" s="9"/>
      <c r="U149" s="9"/>
      <c r="V149" s="9"/>
      <c r="W149" s="137"/>
      <c r="X149" s="150"/>
      <c r="AJ149" s="81"/>
      <c r="AK149" s="161"/>
      <c r="AL149" s="81"/>
      <c r="AM149" s="81"/>
      <c r="AN149" s="81"/>
      <c r="AO149" s="81"/>
      <c r="AP149" s="81"/>
      <c r="AQ149" s="81"/>
      <c r="AR149" s="81"/>
      <c r="AS149" s="81"/>
      <c r="AU149" s="81"/>
      <c r="AV149" s="81"/>
      <c r="AW149" s="81"/>
      <c r="AX149" s="81"/>
      <c r="AY149" s="81"/>
    </row>
    <row r="150" spans="1:51" ht="11.25" customHeight="1" x14ac:dyDescent="0.2">
      <c r="A150" s="142"/>
      <c r="B150" s="1680" t="s">
        <v>78</v>
      </c>
      <c r="C150" s="1680"/>
      <c r="D150" s="1680"/>
      <c r="E150" s="1680"/>
      <c r="F150" s="1680"/>
      <c r="G150" s="1680"/>
      <c r="H150" s="1680"/>
      <c r="I150" s="1680"/>
      <c r="J150" s="12"/>
      <c r="K150" s="9"/>
      <c r="L150" s="9"/>
      <c r="M150" s="9"/>
      <c r="N150" s="9"/>
      <c r="O150" s="9"/>
      <c r="P150" s="9"/>
      <c r="Q150" s="9"/>
      <c r="R150" s="9"/>
      <c r="S150" s="9"/>
      <c r="T150" s="9"/>
      <c r="U150" s="9"/>
      <c r="V150" s="9"/>
      <c r="W150" s="137"/>
      <c r="X150" s="150"/>
      <c r="AJ150" s="81"/>
      <c r="AK150" s="161"/>
      <c r="AL150" s="81"/>
      <c r="AM150" s="81"/>
      <c r="AN150" s="81"/>
      <c r="AO150" s="81"/>
      <c r="AP150" s="81"/>
      <c r="AQ150" s="81"/>
      <c r="AR150" s="81"/>
      <c r="AS150" s="81"/>
      <c r="AU150" s="81"/>
      <c r="AV150" s="81"/>
      <c r="AW150" s="81"/>
      <c r="AX150" s="81"/>
      <c r="AY150" s="81"/>
    </row>
    <row r="151" spans="1:51" ht="11.25" customHeight="1" x14ac:dyDescent="0.2">
      <c r="A151" s="142"/>
      <c r="B151" s="1680"/>
      <c r="C151" s="1680"/>
      <c r="D151" s="1680"/>
      <c r="E151" s="1680"/>
      <c r="F151" s="1680"/>
      <c r="G151" s="1680"/>
      <c r="H151" s="1680"/>
      <c r="I151" s="1680"/>
      <c r="J151" s="12"/>
      <c r="K151" s="9"/>
      <c r="L151" s="9"/>
      <c r="M151" s="9"/>
      <c r="N151" s="9"/>
      <c r="O151" s="9"/>
      <c r="P151" s="9"/>
      <c r="Q151" s="9"/>
      <c r="R151" s="9"/>
      <c r="S151" s="9"/>
      <c r="T151" s="9"/>
      <c r="U151" s="9"/>
      <c r="V151" s="9"/>
      <c r="W151" s="137"/>
      <c r="X151" s="150"/>
      <c r="AJ151" s="81"/>
      <c r="AK151" s="161"/>
      <c r="AL151" s="81"/>
      <c r="AM151" s="81"/>
      <c r="AN151" s="81"/>
      <c r="AO151" s="81"/>
      <c r="AP151" s="81"/>
      <c r="AQ151" s="81"/>
      <c r="AR151" s="81"/>
      <c r="AS151" s="81"/>
      <c r="AU151" s="81"/>
      <c r="AV151" s="81"/>
      <c r="AW151" s="81"/>
      <c r="AX151" s="81"/>
      <c r="AY151" s="81"/>
    </row>
    <row r="152" spans="1:51" ht="11.25" customHeight="1" x14ac:dyDescent="0.2">
      <c r="A152" s="142"/>
      <c r="B152" s="1680" t="s">
        <v>17</v>
      </c>
      <c r="C152" s="1680"/>
      <c r="D152" s="1680"/>
      <c r="E152" s="1680"/>
      <c r="F152" s="1680"/>
      <c r="G152" s="1680"/>
      <c r="H152" s="1680"/>
      <c r="I152" s="1680"/>
      <c r="J152" s="12"/>
      <c r="K152" s="9"/>
      <c r="L152" s="9"/>
      <c r="M152" s="9"/>
      <c r="N152" s="9"/>
      <c r="O152" s="9"/>
      <c r="P152" s="9"/>
      <c r="Q152" s="9"/>
      <c r="R152" s="9"/>
      <c r="S152" s="9"/>
      <c r="T152" s="9"/>
      <c r="U152" s="9"/>
      <c r="V152" s="11"/>
      <c r="W152" s="252"/>
      <c r="X152" s="150"/>
      <c r="AA152" s="74"/>
      <c r="AB152" s="74"/>
      <c r="AJ152" s="81"/>
      <c r="AK152" s="161"/>
      <c r="AL152" s="81"/>
      <c r="AM152" s="81"/>
      <c r="AN152" s="81"/>
      <c r="AO152" s="81"/>
      <c r="AP152" s="81"/>
      <c r="AQ152" s="81"/>
      <c r="AR152" s="81"/>
      <c r="AS152" s="81"/>
      <c r="AU152" s="81"/>
      <c r="AV152" s="81"/>
      <c r="AW152" s="81"/>
      <c r="AX152" s="81"/>
      <c r="AY152" s="81"/>
    </row>
    <row r="153" spans="1:51" ht="11.25" customHeight="1" x14ac:dyDescent="0.2">
      <c r="A153" s="142"/>
      <c r="B153" s="1680"/>
      <c r="C153" s="1680"/>
      <c r="D153" s="1680"/>
      <c r="E153" s="1680"/>
      <c r="F153" s="1680"/>
      <c r="G153" s="1680"/>
      <c r="H153" s="1680"/>
      <c r="I153" s="1680"/>
      <c r="J153" s="12"/>
      <c r="K153" s="9"/>
      <c r="L153" s="9"/>
      <c r="M153" s="9"/>
      <c r="N153" s="9"/>
      <c r="O153" s="9"/>
      <c r="P153" s="9"/>
      <c r="Q153" s="9"/>
      <c r="R153" s="9"/>
      <c r="S153" s="9"/>
      <c r="T153" s="9"/>
      <c r="U153" s="9"/>
      <c r="V153" s="11"/>
      <c r="W153" s="252"/>
      <c r="X153" s="150"/>
      <c r="AA153" s="74"/>
      <c r="AB153" s="74"/>
      <c r="AJ153" s="81"/>
      <c r="AK153" s="161"/>
      <c r="AL153" s="81"/>
      <c r="AM153" s="81"/>
      <c r="AN153" s="81"/>
      <c r="AO153" s="81"/>
      <c r="AP153" s="81"/>
      <c r="AQ153" s="81"/>
      <c r="AR153" s="81"/>
      <c r="AS153" s="81"/>
      <c r="AU153" s="81"/>
      <c r="AV153" s="81"/>
      <c r="AW153" s="81"/>
      <c r="AX153" s="81"/>
      <c r="AY153" s="81"/>
    </row>
    <row r="154" spans="1:51" ht="11.25" customHeight="1" x14ac:dyDescent="0.2">
      <c r="A154" s="142"/>
      <c r="B154" s="1680" t="s">
        <v>80</v>
      </c>
      <c r="C154" s="1680"/>
      <c r="D154" s="1680"/>
      <c r="E154" s="1680"/>
      <c r="F154" s="1680"/>
      <c r="G154" s="1680"/>
      <c r="H154" s="1680"/>
      <c r="I154" s="1680"/>
      <c r="J154" s="12"/>
      <c r="K154" s="9"/>
      <c r="L154" s="9"/>
      <c r="M154" s="9"/>
      <c r="N154" s="9"/>
      <c r="O154" s="9"/>
      <c r="P154" s="9"/>
      <c r="Q154" s="9"/>
      <c r="R154" s="9"/>
      <c r="S154" s="9"/>
      <c r="T154" s="9"/>
      <c r="U154" s="9"/>
      <c r="V154" s="11"/>
      <c r="W154" s="252"/>
      <c r="X154" s="150"/>
      <c r="AA154" s="74"/>
      <c r="AB154" s="74"/>
      <c r="AJ154" s="81"/>
      <c r="AK154" s="161"/>
      <c r="AL154" s="81"/>
      <c r="AM154" s="81"/>
      <c r="AN154" s="81"/>
      <c r="AO154" s="81"/>
      <c r="AP154" s="81"/>
      <c r="AQ154" s="81"/>
      <c r="AR154" s="81"/>
      <c r="AS154" s="81"/>
      <c r="AU154" s="81"/>
      <c r="AV154" s="81"/>
      <c r="AW154" s="81"/>
      <c r="AX154" s="81"/>
      <c r="AY154" s="81"/>
    </row>
    <row r="155" spans="1:51" ht="11.25" customHeight="1" x14ac:dyDescent="0.2">
      <c r="A155" s="142"/>
      <c r="B155" s="1680"/>
      <c r="C155" s="1680"/>
      <c r="D155" s="1680"/>
      <c r="E155" s="1680"/>
      <c r="F155" s="1680"/>
      <c r="G155" s="1680"/>
      <c r="H155" s="1680"/>
      <c r="I155" s="1680"/>
      <c r="J155" s="12"/>
      <c r="K155" s="9"/>
      <c r="L155" s="9"/>
      <c r="M155" s="9"/>
      <c r="N155" s="9"/>
      <c r="O155" s="9"/>
      <c r="P155" s="9"/>
      <c r="Q155" s="9"/>
      <c r="R155" s="9"/>
      <c r="S155" s="9"/>
      <c r="T155" s="9"/>
      <c r="U155" s="9"/>
      <c r="V155" s="11"/>
      <c r="W155" s="252"/>
      <c r="X155" s="150"/>
      <c r="AA155" s="74"/>
      <c r="AB155" s="74"/>
      <c r="AJ155" s="81"/>
      <c r="AK155" s="161"/>
      <c r="AL155" s="81"/>
      <c r="AM155" s="81"/>
      <c r="AN155" s="81"/>
      <c r="AO155" s="81"/>
      <c r="AP155" s="81"/>
      <c r="AQ155" s="81"/>
      <c r="AR155" s="81"/>
      <c r="AS155" s="81"/>
      <c r="AU155" s="81"/>
      <c r="AV155" s="81"/>
      <c r="AW155" s="81"/>
      <c r="AX155" s="81"/>
      <c r="AY155" s="81"/>
    </row>
    <row r="156" spans="1:51" ht="11.25" customHeight="1" x14ac:dyDescent="0.2">
      <c r="A156" s="142"/>
      <c r="B156" s="1680" t="s">
        <v>69</v>
      </c>
      <c r="C156" s="1680"/>
      <c r="D156" s="1680"/>
      <c r="E156" s="1680"/>
      <c r="F156" s="1680"/>
      <c r="G156" s="1680"/>
      <c r="H156" s="1680"/>
      <c r="I156" s="1680"/>
      <c r="J156" s="12"/>
      <c r="K156" s="9"/>
      <c r="L156" s="9"/>
      <c r="M156" s="9"/>
      <c r="N156" s="9"/>
      <c r="O156" s="9"/>
      <c r="P156" s="9"/>
      <c r="Q156" s="9"/>
      <c r="R156" s="9"/>
      <c r="S156" s="9"/>
      <c r="T156" s="9"/>
      <c r="U156" s="9"/>
      <c r="V156" s="11"/>
      <c r="W156" s="252"/>
      <c r="X156" s="150"/>
      <c r="AA156" s="74"/>
      <c r="AB156" s="74"/>
      <c r="AJ156" s="81"/>
      <c r="AK156" s="161"/>
      <c r="AL156" s="81"/>
      <c r="AM156" s="81"/>
      <c r="AN156" s="81"/>
      <c r="AO156" s="81"/>
      <c r="AP156" s="81"/>
      <c r="AQ156" s="81"/>
      <c r="AR156" s="81"/>
      <c r="AS156" s="81"/>
      <c r="AU156" s="81"/>
      <c r="AV156" s="81"/>
      <c r="AW156" s="81"/>
      <c r="AX156" s="81"/>
      <c r="AY156" s="81"/>
    </row>
    <row r="157" spans="1:51" ht="11.25" customHeight="1" x14ac:dyDescent="0.2">
      <c r="A157" s="142"/>
      <c r="B157" s="1680"/>
      <c r="C157" s="1680"/>
      <c r="D157" s="1680"/>
      <c r="E157" s="1680"/>
      <c r="F157" s="1680"/>
      <c r="G157" s="1680"/>
      <c r="H157" s="1680"/>
      <c r="I157" s="1680"/>
      <c r="J157" s="12"/>
      <c r="K157" s="9"/>
      <c r="L157" s="9"/>
      <c r="M157" s="9"/>
      <c r="N157" s="9"/>
      <c r="O157" s="9"/>
      <c r="P157" s="9"/>
      <c r="Q157" s="9"/>
      <c r="R157" s="9"/>
      <c r="S157" s="9"/>
      <c r="T157" s="9"/>
      <c r="U157" s="9"/>
      <c r="V157" s="11"/>
      <c r="W157" s="252"/>
      <c r="X157" s="150"/>
      <c r="AA157" s="74"/>
      <c r="AB157" s="74"/>
      <c r="AJ157" s="81"/>
      <c r="AK157" s="161"/>
      <c r="AL157" s="81"/>
      <c r="AM157" s="81"/>
      <c r="AN157" s="81"/>
      <c r="AO157" s="81"/>
      <c r="AP157" s="81"/>
      <c r="AQ157" s="81"/>
      <c r="AR157" s="81"/>
      <c r="AS157" s="81"/>
      <c r="AU157" s="81"/>
      <c r="AV157" s="81"/>
      <c r="AW157" s="81"/>
      <c r="AX157" s="81"/>
      <c r="AY157" s="81"/>
    </row>
    <row r="158" spans="1:51" ht="11.25" customHeight="1" x14ac:dyDescent="0.2">
      <c r="A158" s="142"/>
      <c r="B158" s="1680" t="s">
        <v>24</v>
      </c>
      <c r="C158" s="1680"/>
      <c r="D158" s="1680"/>
      <c r="E158" s="1680"/>
      <c r="F158" s="1680"/>
      <c r="G158" s="1680"/>
      <c r="H158" s="1680"/>
      <c r="I158" s="1680"/>
      <c r="J158" s="12"/>
      <c r="K158" s="9"/>
      <c r="L158" s="9"/>
      <c r="M158" s="9"/>
      <c r="N158" s="9"/>
      <c r="O158" s="9"/>
      <c r="P158" s="9"/>
      <c r="Q158" s="9"/>
      <c r="R158" s="9"/>
      <c r="S158" s="9"/>
      <c r="T158" s="9"/>
      <c r="U158" s="9"/>
      <c r="V158" s="9"/>
      <c r="W158" s="137"/>
      <c r="X158" s="150"/>
      <c r="AJ158" s="81"/>
      <c r="AK158" s="161"/>
      <c r="AL158" s="81"/>
      <c r="AM158" s="81"/>
      <c r="AN158" s="81"/>
      <c r="AO158" s="81"/>
      <c r="AP158" s="81"/>
      <c r="AQ158" s="81"/>
      <c r="AR158" s="81"/>
      <c r="AS158" s="81"/>
      <c r="AU158" s="81"/>
      <c r="AV158" s="81"/>
      <c r="AW158" s="81"/>
      <c r="AX158" s="81"/>
      <c r="AY158" s="81"/>
    </row>
    <row r="159" spans="1:51" ht="11.25" customHeight="1" x14ac:dyDescent="0.2">
      <c r="A159" s="142"/>
      <c r="B159" s="1680"/>
      <c r="C159" s="1680"/>
      <c r="D159" s="1680"/>
      <c r="E159" s="1680"/>
      <c r="F159" s="1680"/>
      <c r="G159" s="1680"/>
      <c r="H159" s="1680"/>
      <c r="I159" s="1680"/>
      <c r="J159" s="12"/>
      <c r="K159" s="9"/>
      <c r="L159" s="9"/>
      <c r="M159" s="9"/>
      <c r="N159" s="9"/>
      <c r="O159" s="9"/>
      <c r="P159" s="9"/>
      <c r="Q159" s="9"/>
      <c r="R159" s="9"/>
      <c r="S159" s="9"/>
      <c r="T159" s="9"/>
      <c r="U159" s="9"/>
      <c r="V159" s="9"/>
      <c r="W159" s="137"/>
      <c r="X159" s="150"/>
      <c r="AJ159" s="81"/>
      <c r="AK159" s="161"/>
      <c r="AL159" s="81"/>
      <c r="AM159" s="81"/>
      <c r="AN159" s="81"/>
      <c r="AO159" s="81"/>
      <c r="AP159" s="81"/>
      <c r="AQ159" s="81"/>
      <c r="AR159" s="81"/>
      <c r="AS159" s="81"/>
      <c r="AU159" s="81"/>
      <c r="AV159" s="81"/>
      <c r="AW159" s="81"/>
      <c r="AX159" s="81"/>
      <c r="AY159" s="81"/>
    </row>
    <row r="160" spans="1:51" ht="11.25" customHeight="1" x14ac:dyDescent="0.2">
      <c r="A160" s="142"/>
      <c r="B160" s="1680" t="s">
        <v>22</v>
      </c>
      <c r="C160" s="1680"/>
      <c r="D160" s="1680"/>
      <c r="E160" s="1680"/>
      <c r="F160" s="1680"/>
      <c r="G160" s="1680"/>
      <c r="H160" s="1680"/>
      <c r="I160" s="1680"/>
      <c r="J160" s="12"/>
      <c r="K160" s="9"/>
      <c r="L160" s="9"/>
      <c r="M160" s="9"/>
      <c r="N160" s="9"/>
      <c r="O160" s="9"/>
      <c r="P160" s="9"/>
      <c r="Q160" s="9"/>
      <c r="R160" s="9"/>
      <c r="S160" s="9"/>
      <c r="T160" s="9"/>
      <c r="U160" s="9"/>
      <c r="V160" s="9"/>
      <c r="W160" s="137"/>
      <c r="X160" s="150"/>
      <c r="AJ160" s="81"/>
      <c r="AK160" s="161"/>
      <c r="AL160" s="81"/>
      <c r="AM160" s="81"/>
      <c r="AN160" s="81"/>
      <c r="AO160" s="81"/>
      <c r="AP160" s="81"/>
      <c r="AQ160" s="81"/>
      <c r="AR160" s="81"/>
      <c r="AS160" s="81"/>
      <c r="AU160" s="81"/>
      <c r="AV160" s="81"/>
      <c r="AW160" s="81"/>
      <c r="AX160" s="81"/>
      <c r="AY160" s="81"/>
    </row>
    <row r="161" spans="1:51" ht="11.25" customHeight="1" x14ac:dyDescent="0.2">
      <c r="A161" s="142"/>
      <c r="B161" s="1680"/>
      <c r="C161" s="1680"/>
      <c r="D161" s="1680"/>
      <c r="E161" s="1680"/>
      <c r="F161" s="1680"/>
      <c r="G161" s="1680"/>
      <c r="H161" s="1680"/>
      <c r="I161" s="1680"/>
      <c r="J161" s="12"/>
      <c r="K161" s="9"/>
      <c r="L161" s="9"/>
      <c r="M161" s="9"/>
      <c r="N161" s="9"/>
      <c r="O161" s="9"/>
      <c r="P161" s="9"/>
      <c r="Q161" s="9"/>
      <c r="R161" s="9"/>
      <c r="S161" s="9"/>
      <c r="T161" s="9"/>
      <c r="U161" s="9"/>
      <c r="V161" s="9"/>
      <c r="W161" s="137"/>
      <c r="X161" s="150"/>
      <c r="AJ161" s="81"/>
      <c r="AK161" s="161"/>
      <c r="AL161" s="81"/>
      <c r="AM161" s="81"/>
      <c r="AN161" s="81"/>
      <c r="AO161" s="81"/>
      <c r="AP161" s="81"/>
      <c r="AQ161" s="81"/>
      <c r="AR161" s="81"/>
      <c r="AS161" s="81"/>
      <c r="AU161" s="81"/>
      <c r="AV161" s="81"/>
      <c r="AW161" s="81"/>
      <c r="AX161" s="81"/>
      <c r="AY161" s="81"/>
    </row>
    <row r="162" spans="1:51" ht="11.25" customHeight="1" x14ac:dyDescent="0.2">
      <c r="A162" s="142"/>
      <c r="B162" s="1680" t="s">
        <v>25</v>
      </c>
      <c r="C162" s="1680"/>
      <c r="D162" s="1680"/>
      <c r="E162" s="1680"/>
      <c r="F162" s="1680"/>
      <c r="G162" s="1680"/>
      <c r="H162" s="1680"/>
      <c r="I162" s="1680"/>
      <c r="J162" s="12"/>
      <c r="K162" s="9"/>
      <c r="L162" s="9"/>
      <c r="M162" s="9"/>
      <c r="N162" s="9"/>
      <c r="O162" s="9"/>
      <c r="P162" s="9"/>
      <c r="Q162" s="9"/>
      <c r="R162" s="9"/>
      <c r="S162" s="9"/>
      <c r="T162" s="9"/>
      <c r="U162" s="9"/>
      <c r="V162" s="9"/>
      <c r="W162" s="137"/>
      <c r="X162" s="150"/>
      <c r="AJ162" s="81"/>
      <c r="AK162" s="161"/>
      <c r="AL162" s="81"/>
      <c r="AM162" s="81"/>
      <c r="AN162" s="81"/>
      <c r="AO162" s="81"/>
      <c r="AP162" s="81"/>
      <c r="AQ162" s="81"/>
      <c r="AR162" s="81"/>
      <c r="AS162" s="81"/>
      <c r="AU162" s="81"/>
      <c r="AV162" s="81"/>
      <c r="AW162" s="81"/>
      <c r="AX162" s="81"/>
      <c r="AY162" s="81"/>
    </row>
    <row r="163" spans="1:51" ht="11.25" customHeight="1" x14ac:dyDescent="0.2">
      <c r="A163" s="142"/>
      <c r="B163" s="1680"/>
      <c r="C163" s="1680"/>
      <c r="D163" s="1680"/>
      <c r="E163" s="1680"/>
      <c r="F163" s="1680"/>
      <c r="G163" s="1680"/>
      <c r="H163" s="1680"/>
      <c r="I163" s="1680"/>
      <c r="J163" s="12"/>
      <c r="K163" s="9"/>
      <c r="L163" s="9"/>
      <c r="M163" s="9"/>
      <c r="N163" s="9"/>
      <c r="O163" s="9"/>
      <c r="P163" s="9"/>
      <c r="Q163" s="9"/>
      <c r="R163" s="9"/>
      <c r="S163" s="9"/>
      <c r="T163" s="9"/>
      <c r="U163" s="9"/>
      <c r="V163" s="9"/>
      <c r="W163" s="137"/>
      <c r="X163" s="150"/>
      <c r="AJ163" s="81"/>
      <c r="AK163" s="161"/>
      <c r="AL163" s="81"/>
      <c r="AM163" s="81"/>
      <c r="AN163" s="81"/>
      <c r="AO163" s="81"/>
      <c r="AP163" s="81"/>
      <c r="AQ163" s="81"/>
      <c r="AR163" s="81"/>
      <c r="AS163" s="81"/>
      <c r="AU163" s="81"/>
      <c r="AV163" s="81"/>
      <c r="AW163" s="81"/>
      <c r="AX163" s="81"/>
      <c r="AY163" s="81"/>
    </row>
    <row r="164" spans="1:51" ht="11.25" customHeight="1" x14ac:dyDescent="0.2">
      <c r="A164" s="142"/>
      <c r="B164" s="1680" t="s">
        <v>18</v>
      </c>
      <c r="C164" s="1680"/>
      <c r="D164" s="1680"/>
      <c r="E164" s="1680"/>
      <c r="F164" s="1680"/>
      <c r="G164" s="1680"/>
      <c r="H164" s="1680"/>
      <c r="I164" s="1680"/>
      <c r="J164" s="12"/>
      <c r="K164" s="9"/>
      <c r="L164" s="9"/>
      <c r="M164" s="9"/>
      <c r="N164" s="9"/>
      <c r="O164" s="9"/>
      <c r="P164" s="9"/>
      <c r="Q164" s="9"/>
      <c r="R164" s="9"/>
      <c r="S164" s="9"/>
      <c r="T164" s="9"/>
      <c r="U164" s="9"/>
      <c r="V164" s="9"/>
      <c r="W164" s="137"/>
      <c r="X164" s="150"/>
      <c r="AJ164" s="81"/>
      <c r="AK164" s="161"/>
      <c r="AL164" s="81"/>
      <c r="AM164" s="81"/>
      <c r="AN164" s="81"/>
      <c r="AO164" s="81"/>
      <c r="AP164" s="81"/>
      <c r="AQ164" s="81"/>
      <c r="AR164" s="81"/>
      <c r="AS164" s="81"/>
      <c r="AU164" s="81"/>
      <c r="AV164" s="81"/>
      <c r="AW164" s="81"/>
      <c r="AX164" s="81"/>
      <c r="AY164" s="81"/>
    </row>
    <row r="165" spans="1:51" ht="11.25" customHeight="1" x14ac:dyDescent="0.2">
      <c r="A165" s="142"/>
      <c r="B165" s="1680"/>
      <c r="C165" s="1680"/>
      <c r="D165" s="1680"/>
      <c r="E165" s="1680"/>
      <c r="F165" s="1680"/>
      <c r="G165" s="1680"/>
      <c r="H165" s="1680"/>
      <c r="I165" s="1680"/>
      <c r="J165" s="12"/>
      <c r="K165" s="9"/>
      <c r="L165" s="9"/>
      <c r="M165" s="9"/>
      <c r="N165" s="9"/>
      <c r="O165" s="9"/>
      <c r="P165" s="9"/>
      <c r="Q165" s="9"/>
      <c r="R165" s="9"/>
      <c r="S165" s="9"/>
      <c r="T165" s="9"/>
      <c r="U165" s="9"/>
      <c r="V165" s="9"/>
      <c r="W165" s="137"/>
      <c r="X165" s="150"/>
      <c r="AJ165" s="81"/>
      <c r="AK165" s="161"/>
      <c r="AL165" s="81"/>
      <c r="AM165" s="81"/>
      <c r="AN165" s="81"/>
      <c r="AO165" s="81"/>
      <c r="AP165" s="81"/>
      <c r="AQ165" s="81"/>
      <c r="AR165" s="81"/>
      <c r="AS165" s="81"/>
      <c r="AU165" s="81"/>
      <c r="AV165" s="81"/>
      <c r="AW165" s="81"/>
      <c r="AX165" s="81"/>
      <c r="AY165" s="81"/>
    </row>
    <row r="166" spans="1:51" ht="11.25" customHeight="1" x14ac:dyDescent="0.2">
      <c r="A166" s="142"/>
      <c r="B166" s="1680" t="s">
        <v>19</v>
      </c>
      <c r="C166" s="1680"/>
      <c r="D166" s="1680"/>
      <c r="E166" s="1680"/>
      <c r="F166" s="1680"/>
      <c r="G166" s="1680"/>
      <c r="H166" s="1680"/>
      <c r="I166" s="1680"/>
      <c r="J166" s="12"/>
      <c r="K166" s="9"/>
      <c r="L166" s="9"/>
      <c r="M166" s="9"/>
      <c r="N166" s="9"/>
      <c r="O166" s="9"/>
      <c r="P166" s="9"/>
      <c r="Q166" s="9"/>
      <c r="R166" s="9"/>
      <c r="S166" s="9"/>
      <c r="T166" s="9"/>
      <c r="U166" s="9"/>
      <c r="V166" s="9"/>
      <c r="W166" s="137"/>
      <c r="X166" s="150"/>
      <c r="AJ166" s="81"/>
      <c r="AK166" s="161"/>
      <c r="AL166" s="81"/>
      <c r="AM166" s="81"/>
      <c r="AN166" s="81"/>
      <c r="AO166" s="81"/>
      <c r="AP166" s="81"/>
      <c r="AQ166" s="81"/>
      <c r="AR166" s="81"/>
      <c r="AS166" s="81"/>
      <c r="AU166" s="81"/>
      <c r="AV166" s="81"/>
      <c r="AW166" s="81"/>
      <c r="AX166" s="81"/>
      <c r="AY166" s="81"/>
    </row>
    <row r="167" spans="1:51" ht="11.25" customHeight="1" x14ac:dyDescent="0.2">
      <c r="A167" s="142"/>
      <c r="B167" s="1680"/>
      <c r="C167" s="1680"/>
      <c r="D167" s="1680"/>
      <c r="E167" s="1680"/>
      <c r="F167" s="1680"/>
      <c r="G167" s="1680"/>
      <c r="H167" s="1680"/>
      <c r="I167" s="1680"/>
      <c r="J167" s="12"/>
      <c r="K167" s="9"/>
      <c r="L167" s="9"/>
      <c r="M167" s="9"/>
      <c r="N167" s="9"/>
      <c r="O167" s="9"/>
      <c r="P167" s="9"/>
      <c r="Q167" s="9"/>
      <c r="R167" s="9"/>
      <c r="S167" s="9"/>
      <c r="T167" s="9"/>
      <c r="U167" s="9"/>
      <c r="V167" s="9"/>
      <c r="W167" s="137"/>
      <c r="X167" s="150"/>
      <c r="AJ167" s="81"/>
      <c r="AK167" s="161"/>
      <c r="AL167" s="81"/>
      <c r="AM167" s="81"/>
      <c r="AN167" s="81"/>
      <c r="AO167" s="81"/>
      <c r="AP167" s="81"/>
      <c r="AQ167" s="81"/>
      <c r="AR167" s="81"/>
      <c r="AS167" s="81"/>
      <c r="AU167" s="81"/>
      <c r="AV167" s="81"/>
      <c r="AW167" s="81"/>
      <c r="AX167" s="81"/>
      <c r="AY167" s="81"/>
    </row>
    <row r="168" spans="1:51" ht="11.25" customHeight="1" x14ac:dyDescent="0.2">
      <c r="A168" s="142"/>
      <c r="B168" s="1680" t="s">
        <v>20</v>
      </c>
      <c r="C168" s="1680"/>
      <c r="D168" s="1680"/>
      <c r="E168" s="1680"/>
      <c r="F168" s="1680"/>
      <c r="G168" s="1680"/>
      <c r="H168" s="1680"/>
      <c r="I168" s="1680"/>
      <c r="J168" s="12"/>
      <c r="K168" s="9"/>
      <c r="L168" s="9"/>
      <c r="M168" s="9"/>
      <c r="N168" s="9"/>
      <c r="O168" s="9"/>
      <c r="P168" s="9"/>
      <c r="Q168" s="9"/>
      <c r="R168" s="9"/>
      <c r="S168" s="9"/>
      <c r="T168" s="9"/>
      <c r="U168" s="9"/>
      <c r="V168" s="9"/>
      <c r="W168" s="137"/>
      <c r="X168" s="150"/>
      <c r="AJ168" s="81"/>
      <c r="AK168" s="161"/>
      <c r="AL168" s="81"/>
      <c r="AM168" s="81"/>
      <c r="AN168" s="81"/>
      <c r="AO168" s="81"/>
      <c r="AP168" s="81"/>
      <c r="AQ168" s="81"/>
      <c r="AR168" s="81"/>
      <c r="AS168" s="81"/>
      <c r="AU168" s="81"/>
      <c r="AV168" s="81"/>
      <c r="AW168" s="81"/>
      <c r="AX168" s="81"/>
      <c r="AY168" s="81"/>
    </row>
    <row r="169" spans="1:51" ht="11.25" customHeight="1" x14ac:dyDescent="0.2">
      <c r="A169" s="142"/>
      <c r="B169" s="1680"/>
      <c r="C169" s="1680"/>
      <c r="D169" s="1680"/>
      <c r="E169" s="1680"/>
      <c r="F169" s="1680"/>
      <c r="G169" s="1680"/>
      <c r="H169" s="1680"/>
      <c r="I169" s="1680"/>
      <c r="J169" s="12"/>
      <c r="K169" s="9"/>
      <c r="L169" s="9"/>
      <c r="M169" s="9"/>
      <c r="N169" s="9"/>
      <c r="O169" s="9"/>
      <c r="P169" s="9"/>
      <c r="Q169" s="9"/>
      <c r="R169" s="9"/>
      <c r="S169" s="9"/>
      <c r="T169" s="9"/>
      <c r="U169" s="9"/>
      <c r="V169" s="9"/>
      <c r="W169" s="137"/>
      <c r="X169" s="150"/>
      <c r="AJ169" s="81"/>
      <c r="AK169" s="161"/>
      <c r="AL169" s="81"/>
      <c r="AM169" s="81"/>
      <c r="AN169" s="81"/>
      <c r="AO169" s="81"/>
      <c r="AP169" s="81"/>
      <c r="AQ169" s="81"/>
      <c r="AR169" s="81"/>
      <c r="AS169" s="81"/>
      <c r="AU169" s="81"/>
      <c r="AV169" s="81"/>
      <c r="AW169" s="81"/>
      <c r="AX169" s="81"/>
      <c r="AY169" s="81"/>
    </row>
    <row r="170" spans="1:51" ht="11.25" customHeight="1" x14ac:dyDescent="0.2">
      <c r="A170" s="142"/>
      <c r="B170" s="1680" t="s">
        <v>26</v>
      </c>
      <c r="C170" s="1680"/>
      <c r="D170" s="1680"/>
      <c r="E170" s="1680"/>
      <c r="F170" s="1680"/>
      <c r="G170" s="1680"/>
      <c r="H170" s="1680"/>
      <c r="I170" s="1680"/>
      <c r="J170" s="12"/>
      <c r="K170" s="9"/>
      <c r="L170" s="9"/>
      <c r="M170" s="9"/>
      <c r="N170" s="9"/>
      <c r="O170" s="9"/>
      <c r="P170" s="9"/>
      <c r="Q170" s="9"/>
      <c r="R170" s="9"/>
      <c r="S170" s="9"/>
      <c r="T170" s="9"/>
      <c r="U170" s="9"/>
      <c r="V170" s="9"/>
      <c r="W170" s="137"/>
      <c r="X170" s="150"/>
      <c r="AJ170" s="81"/>
      <c r="AK170" s="161"/>
      <c r="AL170" s="81"/>
      <c r="AM170" s="81"/>
      <c r="AN170" s="81"/>
      <c r="AO170" s="81"/>
      <c r="AP170" s="81"/>
      <c r="AQ170" s="81"/>
      <c r="AR170" s="81"/>
      <c r="AS170" s="81"/>
      <c r="AU170" s="81"/>
      <c r="AV170" s="81"/>
      <c r="AW170" s="81"/>
      <c r="AX170" s="81"/>
      <c r="AY170" s="81"/>
    </row>
    <row r="171" spans="1:51" ht="11.25" customHeight="1" x14ac:dyDescent="0.2">
      <c r="A171" s="142"/>
      <c r="B171" s="1680"/>
      <c r="C171" s="1680"/>
      <c r="D171" s="1680"/>
      <c r="E171" s="1680"/>
      <c r="F171" s="1680"/>
      <c r="G171" s="1680"/>
      <c r="H171" s="1680"/>
      <c r="I171" s="1680"/>
      <c r="J171" s="12"/>
      <c r="K171" s="9"/>
      <c r="L171" s="9"/>
      <c r="M171" s="9"/>
      <c r="N171" s="9"/>
      <c r="O171" s="9"/>
      <c r="P171" s="9"/>
      <c r="Q171" s="9"/>
      <c r="R171" s="9"/>
      <c r="S171" s="9"/>
      <c r="T171" s="9"/>
      <c r="U171" s="9"/>
      <c r="V171" s="9"/>
      <c r="W171" s="137"/>
      <c r="X171" s="150"/>
      <c r="AJ171" s="81"/>
      <c r="AK171" s="161"/>
      <c r="AL171" s="81"/>
      <c r="AM171" s="81"/>
      <c r="AN171" s="81"/>
      <c r="AO171" s="81"/>
      <c r="AP171" s="81"/>
      <c r="AQ171" s="81"/>
      <c r="AR171" s="81"/>
      <c r="AS171" s="81"/>
      <c r="AU171" s="81"/>
      <c r="AV171" s="81"/>
      <c r="AW171" s="81"/>
      <c r="AX171" s="81"/>
      <c r="AY171" s="81"/>
    </row>
    <row r="172" spans="1:51" ht="11.25" customHeight="1" x14ac:dyDescent="0.2">
      <c r="A172" s="142"/>
      <c r="B172" s="1680" t="s">
        <v>21</v>
      </c>
      <c r="C172" s="1680"/>
      <c r="D172" s="1680"/>
      <c r="E172" s="1680"/>
      <c r="F172" s="1680"/>
      <c r="G172" s="1680"/>
      <c r="H172" s="1680"/>
      <c r="I172" s="1680"/>
      <c r="J172" s="12"/>
      <c r="K172" s="9"/>
      <c r="L172" s="9"/>
      <c r="M172" s="9"/>
      <c r="N172" s="9"/>
      <c r="O172" s="9"/>
      <c r="P172" s="9"/>
      <c r="Q172" s="9"/>
      <c r="R172" s="9"/>
      <c r="S172" s="9"/>
      <c r="T172" s="9"/>
      <c r="U172" s="9"/>
      <c r="V172" s="9"/>
      <c r="W172" s="137"/>
      <c r="X172" s="150"/>
      <c r="AJ172" s="81"/>
      <c r="AK172" s="161"/>
      <c r="AL172" s="81"/>
      <c r="AM172" s="81"/>
      <c r="AN172" s="81"/>
      <c r="AO172" s="81"/>
      <c r="AP172" s="81"/>
      <c r="AQ172" s="81"/>
      <c r="AR172" s="81"/>
      <c r="AS172" s="81"/>
      <c r="AU172" s="81"/>
      <c r="AV172" s="81"/>
      <c r="AW172" s="81"/>
      <c r="AX172" s="81"/>
      <c r="AY172" s="81"/>
    </row>
    <row r="173" spans="1:51" ht="11.25" customHeight="1" x14ac:dyDescent="0.2">
      <c r="A173" s="142"/>
      <c r="B173" s="1680"/>
      <c r="C173" s="1680"/>
      <c r="D173" s="1680"/>
      <c r="E173" s="1680"/>
      <c r="F173" s="1680"/>
      <c r="G173" s="1680"/>
      <c r="H173" s="1680"/>
      <c r="I173" s="1680"/>
      <c r="J173" s="12"/>
      <c r="K173" s="9"/>
      <c r="L173" s="9"/>
      <c r="M173" s="9"/>
      <c r="N173" s="9"/>
      <c r="O173" s="9"/>
      <c r="P173" s="9"/>
      <c r="Q173" s="9"/>
      <c r="R173" s="9"/>
      <c r="S173" s="9"/>
      <c r="T173" s="9"/>
      <c r="U173" s="9"/>
      <c r="V173" s="9"/>
      <c r="W173" s="137"/>
      <c r="X173" s="150"/>
      <c r="AJ173" s="81"/>
      <c r="AK173" s="161"/>
      <c r="AL173" s="81"/>
      <c r="AM173" s="81"/>
      <c r="AN173" s="81"/>
      <c r="AO173" s="81"/>
      <c r="AP173" s="81"/>
      <c r="AQ173" s="81"/>
      <c r="AR173" s="81"/>
      <c r="AS173" s="81"/>
      <c r="AU173" s="81"/>
      <c r="AV173" s="81"/>
      <c r="AW173" s="81"/>
      <c r="AX173" s="81"/>
      <c r="AY173" s="81"/>
    </row>
    <row r="174" spans="1:51" ht="11.25" customHeight="1" x14ac:dyDescent="0.2">
      <c r="A174" s="142"/>
      <c r="B174" s="1680" t="s">
        <v>905</v>
      </c>
      <c r="C174" s="1680"/>
      <c r="D174" s="1680"/>
      <c r="E174" s="1680"/>
      <c r="F174" s="1680"/>
      <c r="G174" s="1680"/>
      <c r="H174" s="1680"/>
      <c r="I174" s="1680"/>
      <c r="J174" s="12"/>
      <c r="K174" s="9"/>
      <c r="L174" s="9"/>
      <c r="M174" s="9"/>
      <c r="N174" s="9"/>
      <c r="O174" s="9"/>
      <c r="P174" s="9"/>
      <c r="Q174" s="9"/>
      <c r="R174" s="9"/>
      <c r="S174" s="9"/>
      <c r="T174" s="9"/>
      <c r="U174" s="9"/>
      <c r="V174" s="9"/>
      <c r="W174" s="137"/>
      <c r="X174" s="150"/>
      <c r="AJ174" s="81"/>
      <c r="AK174" s="161"/>
      <c r="AL174" s="81"/>
      <c r="AM174" s="81"/>
      <c r="AN174" s="81"/>
      <c r="AO174" s="81"/>
      <c r="AP174" s="81"/>
      <c r="AQ174" s="81"/>
      <c r="AR174" s="81"/>
      <c r="AS174" s="81"/>
      <c r="AU174" s="81"/>
      <c r="AV174" s="81"/>
      <c r="AW174" s="81"/>
      <c r="AX174" s="81"/>
      <c r="AY174" s="81"/>
    </row>
    <row r="175" spans="1:51" ht="11.25" customHeight="1" x14ac:dyDescent="0.2">
      <c r="A175" s="142"/>
      <c r="B175" s="1680"/>
      <c r="C175" s="1680"/>
      <c r="D175" s="1680"/>
      <c r="E175" s="1680"/>
      <c r="F175" s="1680"/>
      <c r="G175" s="1680"/>
      <c r="H175" s="1680"/>
      <c r="I175" s="1680"/>
      <c r="J175" s="12"/>
      <c r="K175" s="9"/>
      <c r="L175" s="9"/>
      <c r="M175" s="9"/>
      <c r="N175" s="9"/>
      <c r="O175" s="9"/>
      <c r="P175" s="9"/>
      <c r="Q175" s="9"/>
      <c r="R175" s="9"/>
      <c r="S175" s="9"/>
      <c r="T175" s="9"/>
      <c r="U175" s="9"/>
      <c r="V175" s="9"/>
      <c r="W175" s="137"/>
      <c r="X175" s="150"/>
      <c r="AJ175" s="81"/>
      <c r="AK175" s="161"/>
      <c r="AL175" s="81"/>
      <c r="AM175" s="81"/>
      <c r="AN175" s="81"/>
      <c r="AO175" s="81"/>
      <c r="AP175" s="81"/>
      <c r="AQ175" s="81"/>
      <c r="AR175" s="81"/>
      <c r="AS175" s="81"/>
      <c r="AU175" s="81"/>
      <c r="AV175" s="81"/>
      <c r="AW175" s="81"/>
      <c r="AX175" s="81"/>
      <c r="AY175" s="81"/>
    </row>
    <row r="176" spans="1:51" ht="11.25" customHeight="1" x14ac:dyDescent="0.2">
      <c r="A176" s="142"/>
      <c r="B176" s="1680" t="s">
        <v>32</v>
      </c>
      <c r="C176" s="1680"/>
      <c r="D176" s="1680"/>
      <c r="E176" s="1680"/>
      <c r="F176" s="1680"/>
      <c r="G176" s="1680"/>
      <c r="H176" s="1680"/>
      <c r="I176" s="1680"/>
      <c r="J176" s="12"/>
      <c r="K176" s="9"/>
      <c r="L176" s="9"/>
      <c r="M176" s="9"/>
      <c r="N176" s="9"/>
      <c r="O176" s="9"/>
      <c r="P176" s="9"/>
      <c r="Q176" s="9"/>
      <c r="R176" s="9"/>
      <c r="S176" s="9"/>
      <c r="T176" s="9"/>
      <c r="U176" s="9"/>
      <c r="V176" s="9"/>
      <c r="W176" s="137"/>
      <c r="X176" s="150"/>
      <c r="AJ176" s="81"/>
      <c r="AK176" s="161"/>
      <c r="AL176" s="81"/>
      <c r="AM176" s="81"/>
      <c r="AN176" s="81"/>
      <c r="AO176" s="81"/>
      <c r="AP176" s="81"/>
      <c r="AQ176" s="81"/>
      <c r="AR176" s="81"/>
      <c r="AS176" s="81"/>
      <c r="AU176" s="81"/>
      <c r="AV176" s="81"/>
      <c r="AW176" s="81"/>
      <c r="AX176" s="81"/>
      <c r="AY176" s="81"/>
    </row>
    <row r="177" spans="1:58" ht="11.25" customHeight="1" x14ac:dyDescent="0.2">
      <c r="A177" s="142"/>
      <c r="B177" s="1680"/>
      <c r="C177" s="1680"/>
      <c r="D177" s="1680"/>
      <c r="E177" s="1680"/>
      <c r="F177" s="1680"/>
      <c r="G177" s="1680"/>
      <c r="H177" s="1680"/>
      <c r="I177" s="1680"/>
      <c r="J177" s="12"/>
      <c r="K177" s="9"/>
      <c r="L177" s="9"/>
      <c r="M177" s="9"/>
      <c r="N177" s="9"/>
      <c r="O177" s="9"/>
      <c r="P177" s="9"/>
      <c r="Q177" s="9"/>
      <c r="R177" s="9"/>
      <c r="S177" s="9"/>
      <c r="T177" s="9"/>
      <c r="U177" s="9"/>
      <c r="V177" s="9"/>
      <c r="W177" s="137"/>
      <c r="X177" s="150"/>
      <c r="AJ177" s="81"/>
      <c r="AK177" s="161"/>
      <c r="AL177" s="81"/>
      <c r="AM177" s="81"/>
      <c r="AN177" s="81"/>
      <c r="AO177" s="81"/>
      <c r="AP177" s="81"/>
      <c r="AQ177" s="81"/>
      <c r="AR177" s="81"/>
      <c r="AS177" s="81"/>
      <c r="AU177" s="81"/>
      <c r="AV177" s="81"/>
      <c r="AW177" s="81"/>
      <c r="AX177" s="81"/>
      <c r="AY177" s="81"/>
    </row>
    <row r="178" spans="1:58" ht="11.25" customHeight="1" x14ac:dyDescent="0.2">
      <c r="A178" s="142"/>
      <c r="B178" s="1680" t="s">
        <v>666</v>
      </c>
      <c r="C178" s="1680"/>
      <c r="D178" s="1680"/>
      <c r="E178" s="1680"/>
      <c r="F178" s="1680"/>
      <c r="G178" s="1680"/>
      <c r="H178" s="1680"/>
      <c r="I178" s="1680"/>
      <c r="J178" s="12"/>
      <c r="K178" s="9"/>
      <c r="L178" s="9"/>
      <c r="M178" s="9"/>
      <c r="N178" s="9"/>
      <c r="O178" s="9"/>
      <c r="P178" s="9"/>
      <c r="Q178" s="9"/>
      <c r="R178" s="9"/>
      <c r="S178" s="9"/>
      <c r="T178" s="9"/>
      <c r="U178" s="9"/>
      <c r="V178" s="9"/>
      <c r="W178" s="137"/>
      <c r="X178" s="150"/>
      <c r="AJ178" s="81"/>
      <c r="AK178" s="161"/>
      <c r="AL178" s="81"/>
      <c r="AM178" s="81"/>
      <c r="AN178" s="81"/>
      <c r="AO178" s="81"/>
      <c r="AP178" s="81"/>
      <c r="AQ178" s="81"/>
      <c r="AR178" s="81"/>
      <c r="AS178" s="81"/>
      <c r="AU178" s="81"/>
      <c r="AV178" s="81"/>
      <c r="AW178" s="81"/>
      <c r="AX178" s="81"/>
      <c r="AY178" s="81"/>
    </row>
    <row r="179" spans="1:58" ht="11.25" customHeight="1" x14ac:dyDescent="0.2">
      <c r="A179" s="142"/>
      <c r="B179" s="1680"/>
      <c r="C179" s="1680"/>
      <c r="D179" s="1680"/>
      <c r="E179" s="1680"/>
      <c r="F179" s="1680"/>
      <c r="G179" s="1680"/>
      <c r="H179" s="1680"/>
      <c r="I179" s="1680"/>
      <c r="J179" s="12"/>
      <c r="K179" s="9"/>
      <c r="L179" s="9"/>
      <c r="M179" s="9"/>
      <c r="N179" s="9"/>
      <c r="O179" s="9"/>
      <c r="P179" s="9"/>
      <c r="Q179" s="9"/>
      <c r="R179" s="9"/>
      <c r="S179" s="9"/>
      <c r="T179" s="9"/>
      <c r="U179" s="9"/>
      <c r="V179" s="9"/>
      <c r="W179" s="137"/>
      <c r="X179" s="150"/>
      <c r="AJ179" s="81"/>
      <c r="AK179" s="161"/>
      <c r="AL179" s="81"/>
      <c r="AM179" s="81"/>
      <c r="AN179" s="81"/>
      <c r="AO179" s="81"/>
      <c r="AP179" s="81"/>
      <c r="AQ179" s="81"/>
      <c r="AR179" s="81"/>
      <c r="AS179" s="81"/>
      <c r="AU179" s="81"/>
      <c r="AV179" s="81"/>
      <c r="AW179" s="81"/>
      <c r="AX179" s="81"/>
      <c r="AY179" s="81"/>
    </row>
    <row r="180" spans="1:58" ht="11.25" customHeight="1" x14ac:dyDescent="0.2">
      <c r="A180" s="142"/>
      <c r="B180" s="1680" t="s">
        <v>906</v>
      </c>
      <c r="C180" s="1680"/>
      <c r="D180" s="1680"/>
      <c r="E180" s="1680"/>
      <c r="F180" s="1680"/>
      <c r="G180" s="1680"/>
      <c r="H180" s="1680"/>
      <c r="I180" s="1680"/>
      <c r="J180" s="12"/>
      <c r="K180" s="9"/>
      <c r="L180" s="9"/>
      <c r="M180" s="9"/>
      <c r="N180" s="9"/>
      <c r="O180" s="9"/>
      <c r="P180" s="9"/>
      <c r="Q180" s="9"/>
      <c r="R180" s="9"/>
      <c r="S180" s="9"/>
      <c r="T180" s="9"/>
      <c r="U180" s="9"/>
      <c r="V180" s="9"/>
      <c r="W180" s="137"/>
      <c r="X180" s="150"/>
      <c r="AJ180" s="81"/>
      <c r="AK180" s="161"/>
      <c r="AL180" s="81"/>
      <c r="AM180" s="81"/>
      <c r="AN180" s="81"/>
      <c r="AO180" s="81"/>
      <c r="AP180" s="81"/>
      <c r="AQ180" s="81"/>
      <c r="AR180" s="81"/>
      <c r="AS180" s="81"/>
      <c r="AU180" s="81"/>
      <c r="AV180" s="81"/>
      <c r="AW180" s="81"/>
      <c r="AX180" s="81"/>
      <c r="AY180" s="81"/>
    </row>
    <row r="181" spans="1:58" ht="11.25" customHeight="1" x14ac:dyDescent="0.2">
      <c r="A181" s="142"/>
      <c r="B181" s="1680"/>
      <c r="C181" s="1680"/>
      <c r="D181" s="1680"/>
      <c r="E181" s="1680"/>
      <c r="F181" s="1680"/>
      <c r="G181" s="1680"/>
      <c r="H181" s="1680"/>
      <c r="I181" s="1680"/>
      <c r="J181" s="12"/>
      <c r="K181" s="9"/>
      <c r="L181" s="9"/>
      <c r="M181" s="9"/>
      <c r="N181" s="9"/>
      <c r="O181" s="9"/>
      <c r="P181" s="9"/>
      <c r="Q181" s="9"/>
      <c r="R181" s="9"/>
      <c r="S181" s="9"/>
      <c r="T181" s="9"/>
      <c r="U181" s="9"/>
      <c r="V181" s="9"/>
      <c r="W181" s="137"/>
      <c r="X181" s="150"/>
      <c r="AJ181" s="81"/>
      <c r="AK181" s="161"/>
      <c r="AL181" s="81"/>
      <c r="AM181" s="81"/>
      <c r="AN181" s="81"/>
      <c r="AO181" s="81"/>
      <c r="AP181" s="81"/>
      <c r="AQ181" s="81"/>
      <c r="AR181" s="81"/>
      <c r="AS181" s="81"/>
      <c r="AU181" s="81"/>
      <c r="AV181" s="81"/>
      <c r="AW181" s="81"/>
      <c r="AX181" s="81"/>
      <c r="AY181" s="81"/>
    </row>
    <row r="182" spans="1:58" ht="11.25" customHeight="1" x14ac:dyDescent="0.2">
      <c r="A182" s="142"/>
      <c r="B182" s="1680" t="s">
        <v>672</v>
      </c>
      <c r="C182" s="1680"/>
      <c r="D182" s="1680"/>
      <c r="E182" s="1680"/>
      <c r="F182" s="1680"/>
      <c r="G182" s="1680"/>
      <c r="H182" s="1680"/>
      <c r="I182" s="1680"/>
      <c r="J182" s="12"/>
      <c r="K182" s="9"/>
      <c r="L182" s="9"/>
      <c r="M182" s="9"/>
      <c r="N182" s="9"/>
      <c r="O182" s="9"/>
      <c r="P182" s="9"/>
      <c r="Q182" s="9"/>
      <c r="R182" s="9"/>
      <c r="S182" s="9"/>
      <c r="T182" s="9"/>
      <c r="U182" s="9"/>
      <c r="V182" s="9"/>
      <c r="W182" s="137"/>
      <c r="X182" s="150"/>
      <c r="AJ182" s="81"/>
      <c r="AK182" s="161"/>
      <c r="AL182" s="81"/>
      <c r="AM182" s="81"/>
      <c r="AN182" s="81"/>
      <c r="AO182" s="81"/>
      <c r="AP182" s="81"/>
      <c r="AQ182" s="81"/>
      <c r="AR182" s="81"/>
      <c r="AS182" s="81"/>
      <c r="AU182" s="81"/>
      <c r="AV182" s="81"/>
      <c r="AW182" s="81"/>
      <c r="AX182" s="81"/>
      <c r="AY182" s="81"/>
    </row>
    <row r="183" spans="1:58" s="80" customFormat="1" ht="11.25" customHeight="1" x14ac:dyDescent="0.2">
      <c r="A183" s="142"/>
      <c r="B183" s="1680"/>
      <c r="C183" s="1680"/>
      <c r="D183" s="1680"/>
      <c r="E183" s="1680"/>
      <c r="F183" s="1680"/>
      <c r="G183" s="1680"/>
      <c r="H183" s="1680"/>
      <c r="I183" s="1680"/>
      <c r="J183" s="12"/>
      <c r="K183" s="9"/>
      <c r="L183" s="9"/>
      <c r="M183" s="9"/>
      <c r="N183" s="9"/>
      <c r="O183" s="9"/>
      <c r="P183" s="9"/>
      <c r="Q183" s="9"/>
      <c r="R183" s="9"/>
      <c r="S183" s="9"/>
      <c r="T183" s="9"/>
      <c r="U183" s="9"/>
      <c r="V183" s="9"/>
      <c r="W183" s="137"/>
      <c r="X183" s="150"/>
      <c r="Y183" s="81"/>
      <c r="Z183" s="81"/>
      <c r="AA183" s="81"/>
      <c r="AB183" s="81"/>
      <c r="AC183" s="81"/>
      <c r="AD183" s="81"/>
      <c r="AE183" s="81"/>
      <c r="AF183" s="81"/>
      <c r="AG183" s="81"/>
      <c r="AH183" s="81"/>
      <c r="AI183" s="81"/>
      <c r="AJ183" s="81"/>
      <c r="AK183" s="161"/>
      <c r="AL183" s="81"/>
      <c r="AM183" s="81"/>
      <c r="AN183" s="81"/>
      <c r="AO183" s="81"/>
      <c r="AP183" s="81"/>
      <c r="AQ183" s="81"/>
      <c r="AR183" s="81"/>
      <c r="AS183" s="81"/>
      <c r="AT183" s="74"/>
      <c r="AU183" s="81"/>
      <c r="AV183" s="81"/>
      <c r="AW183" s="81"/>
      <c r="AX183" s="81"/>
      <c r="AY183" s="81"/>
      <c r="AZ183" s="74"/>
      <c r="BA183" s="74"/>
      <c r="BB183" s="74"/>
      <c r="BC183" s="74"/>
      <c r="BD183" s="74"/>
      <c r="BE183" s="74"/>
      <c r="BF183" s="74"/>
    </row>
    <row r="184" spans="1:58" ht="11.25" customHeight="1" x14ac:dyDescent="0.2">
      <c r="A184" s="1273"/>
      <c r="B184" s="1274"/>
      <c r="C184" s="1275"/>
      <c r="D184" s="1275"/>
      <c r="E184" s="1275"/>
      <c r="F184" s="1275"/>
      <c r="G184" s="1275"/>
      <c r="H184" s="1275"/>
      <c r="I184" s="1275"/>
      <c r="J184" s="1276"/>
      <c r="K184" s="201"/>
      <c r="L184" s="201"/>
      <c r="M184" s="201"/>
      <c r="N184" s="201"/>
      <c r="O184" s="201"/>
      <c r="P184" s="201"/>
      <c r="Q184" s="201"/>
      <c r="R184" s="201"/>
      <c r="S184" s="201"/>
      <c r="T184" s="201"/>
      <c r="U184" s="201"/>
      <c r="V184" s="201"/>
      <c r="W184" s="1277"/>
      <c r="X184" s="1271"/>
      <c r="Y184" s="200"/>
      <c r="Z184" s="200"/>
      <c r="AA184" s="200"/>
      <c r="AB184" s="200"/>
      <c r="AC184" s="200"/>
      <c r="AD184" s="200"/>
      <c r="AE184" s="200"/>
      <c r="AF184" s="200"/>
      <c r="AG184" s="200"/>
      <c r="AH184" s="200"/>
      <c r="AI184" s="200"/>
      <c r="AJ184" s="200"/>
      <c r="AK184" s="1614"/>
      <c r="AL184" s="81"/>
      <c r="AM184" s="81"/>
      <c r="AN184" s="81"/>
      <c r="AO184" s="81"/>
      <c r="AP184" s="81"/>
      <c r="AQ184" s="81"/>
      <c r="AR184" s="81"/>
      <c r="AS184" s="81"/>
      <c r="AU184" s="81"/>
      <c r="AV184" s="81"/>
      <c r="AW184" s="81"/>
      <c r="AX184" s="81"/>
      <c r="AY184" s="81"/>
    </row>
    <row r="185" spans="1:58" ht="11.25" customHeight="1" x14ac:dyDescent="0.2">
      <c r="AJ185" s="81"/>
      <c r="AK185" s="81"/>
      <c r="AL185" s="81"/>
      <c r="AM185" s="81"/>
      <c r="AN185" s="81"/>
      <c r="AO185" s="81"/>
      <c r="AR185" s="184"/>
    </row>
    <row r="186" spans="1:58" ht="11.25" customHeight="1" x14ac:dyDescent="0.2">
      <c r="AJ186" s="81"/>
      <c r="AK186" s="81"/>
      <c r="AL186" s="81"/>
      <c r="AM186" s="81"/>
      <c r="AN186" s="81"/>
      <c r="AO186" s="81"/>
      <c r="AR186" s="184"/>
    </row>
    <row r="187" spans="1:58" ht="11.25" customHeight="1" x14ac:dyDescent="0.2">
      <c r="AJ187" s="81"/>
      <c r="AK187" s="81"/>
      <c r="AL187" s="81"/>
      <c r="AM187" s="81"/>
      <c r="AN187" s="81"/>
      <c r="AO187" s="81"/>
      <c r="AR187" s="184"/>
    </row>
    <row r="188" spans="1:58" ht="11.25" customHeight="1" x14ac:dyDescent="0.2">
      <c r="AJ188" s="81"/>
      <c r="AK188" s="81"/>
      <c r="AL188" s="81"/>
      <c r="AM188" s="81"/>
      <c r="AN188" s="81"/>
      <c r="AO188" s="81"/>
      <c r="AR188" s="184"/>
    </row>
    <row r="189" spans="1:58" ht="11.25" customHeight="1" x14ac:dyDescent="0.2">
      <c r="AJ189" s="81"/>
      <c r="AK189" s="81"/>
      <c r="AL189" s="81"/>
      <c r="AM189" s="81"/>
      <c r="AN189" s="81"/>
      <c r="AO189" s="81"/>
      <c r="AR189" s="184"/>
    </row>
    <row r="190" spans="1:58" ht="11.25" customHeight="1" x14ac:dyDescent="0.2">
      <c r="AJ190" s="81"/>
      <c r="AK190" s="81"/>
      <c r="AL190" s="81"/>
      <c r="AM190" s="81"/>
      <c r="AN190" s="81"/>
      <c r="AO190" s="81"/>
      <c r="AR190" s="184"/>
    </row>
    <row r="191" spans="1:58" ht="11.25" customHeight="1" x14ac:dyDescent="0.2">
      <c r="AJ191" s="81"/>
      <c r="AK191" s="81"/>
      <c r="AL191" s="81"/>
      <c r="AM191" s="81"/>
      <c r="AN191" s="81"/>
      <c r="AO191" s="81"/>
      <c r="AR191" s="184"/>
    </row>
    <row r="192" spans="1:58" ht="11.25" customHeight="1" x14ac:dyDescent="0.2">
      <c r="AJ192" s="81"/>
      <c r="AK192" s="81"/>
      <c r="AL192" s="81"/>
      <c r="AM192" s="81"/>
      <c r="AN192" s="81"/>
      <c r="AO192" s="81"/>
      <c r="AR192" s="184"/>
    </row>
    <row r="193" spans="36:44" ht="11.25" customHeight="1" x14ac:dyDescent="0.2">
      <c r="AJ193" s="81"/>
      <c r="AK193" s="81"/>
      <c r="AL193" s="81"/>
      <c r="AM193" s="81"/>
      <c r="AN193" s="81"/>
      <c r="AO193" s="81"/>
      <c r="AR193" s="184"/>
    </row>
    <row r="194" spans="36:44" ht="11.25" customHeight="1" x14ac:dyDescent="0.2">
      <c r="AJ194" s="81"/>
      <c r="AK194" s="81"/>
      <c r="AL194" s="81"/>
      <c r="AM194" s="81"/>
      <c r="AN194" s="81"/>
      <c r="AO194" s="81"/>
      <c r="AR194" s="184"/>
    </row>
    <row r="195" spans="36:44" ht="11.25" customHeight="1" x14ac:dyDescent="0.2">
      <c r="AJ195" s="81"/>
      <c r="AK195" s="81"/>
      <c r="AL195" s="81"/>
      <c r="AM195" s="81"/>
      <c r="AN195" s="81"/>
      <c r="AO195" s="81"/>
      <c r="AR195" s="184"/>
    </row>
    <row r="196" spans="36:44" ht="11.25" customHeight="1" x14ac:dyDescent="0.2">
      <c r="AJ196" s="81"/>
      <c r="AK196" s="81"/>
      <c r="AL196" s="81"/>
      <c r="AM196" s="81"/>
      <c r="AN196" s="81"/>
      <c r="AO196" s="81"/>
      <c r="AR196" s="184"/>
    </row>
    <row r="197" spans="36:44" ht="11.25" customHeight="1" x14ac:dyDescent="0.2">
      <c r="AJ197" s="81"/>
      <c r="AK197" s="81"/>
      <c r="AL197" s="81"/>
      <c r="AM197" s="81"/>
      <c r="AN197" s="81"/>
      <c r="AO197" s="81"/>
      <c r="AR197" s="184"/>
    </row>
    <row r="198" spans="36:44" ht="11.25" customHeight="1" x14ac:dyDescent="0.2">
      <c r="AJ198" s="81"/>
      <c r="AK198" s="81"/>
      <c r="AL198" s="81"/>
      <c r="AM198" s="81"/>
      <c r="AN198" s="81"/>
      <c r="AO198" s="81"/>
      <c r="AR198" s="184"/>
    </row>
    <row r="199" spans="36:44" ht="11.25" customHeight="1" x14ac:dyDescent="0.2">
      <c r="AJ199" s="81"/>
      <c r="AK199" s="81"/>
      <c r="AL199" s="81"/>
      <c r="AM199" s="81"/>
      <c r="AN199" s="81"/>
      <c r="AO199" s="81"/>
      <c r="AR199" s="184"/>
    </row>
    <row r="200" spans="36:44" ht="11.25" customHeight="1" x14ac:dyDescent="0.2">
      <c r="AJ200" s="81"/>
      <c r="AK200" s="81"/>
      <c r="AL200" s="81"/>
      <c r="AM200" s="81"/>
      <c r="AN200" s="81"/>
      <c r="AO200" s="81"/>
      <c r="AR200" s="184"/>
    </row>
    <row r="201" spans="36:44" ht="11.25" customHeight="1" x14ac:dyDescent="0.2">
      <c r="AJ201" s="81"/>
      <c r="AK201" s="81"/>
      <c r="AL201" s="81"/>
      <c r="AM201" s="81"/>
      <c r="AN201" s="81"/>
      <c r="AO201" s="81"/>
      <c r="AR201" s="184"/>
    </row>
    <row r="202" spans="36:44" ht="11.25" customHeight="1" x14ac:dyDescent="0.2">
      <c r="AJ202" s="81"/>
      <c r="AK202" s="81"/>
      <c r="AL202" s="81"/>
      <c r="AM202" s="81"/>
      <c r="AN202" s="81"/>
      <c r="AO202" s="81"/>
      <c r="AR202" s="184"/>
    </row>
    <row r="203" spans="36:44" ht="11.25" customHeight="1" x14ac:dyDescent="0.2">
      <c r="AJ203" s="81"/>
      <c r="AK203" s="81"/>
      <c r="AL203" s="81"/>
      <c r="AM203" s="81"/>
      <c r="AN203" s="81"/>
      <c r="AO203" s="81"/>
      <c r="AR203" s="184"/>
    </row>
    <row r="204" spans="36:44" ht="11.25" customHeight="1" x14ac:dyDescent="0.2">
      <c r="AJ204" s="81"/>
      <c r="AK204" s="81"/>
      <c r="AL204" s="81"/>
      <c r="AM204" s="81"/>
      <c r="AN204" s="81"/>
      <c r="AO204" s="81"/>
      <c r="AR204" s="184"/>
    </row>
    <row r="205" spans="36:44" ht="11.25" customHeight="1" x14ac:dyDescent="0.2">
      <c r="AJ205" s="81"/>
      <c r="AK205" s="81"/>
      <c r="AL205" s="81"/>
      <c r="AM205" s="81"/>
      <c r="AN205" s="81"/>
      <c r="AO205" s="81"/>
      <c r="AR205" s="184"/>
    </row>
    <row r="206" spans="36:44" ht="11.25" customHeight="1" x14ac:dyDescent="0.2">
      <c r="AJ206" s="81"/>
      <c r="AK206" s="81"/>
      <c r="AL206" s="81"/>
      <c r="AM206" s="81"/>
      <c r="AN206" s="81"/>
      <c r="AO206" s="81"/>
      <c r="AR206" s="184"/>
    </row>
    <row r="207" spans="36:44" ht="11.25" customHeight="1" x14ac:dyDescent="0.2">
      <c r="AJ207" s="81"/>
      <c r="AK207" s="81"/>
      <c r="AL207" s="81"/>
      <c r="AM207" s="81"/>
      <c r="AN207" s="81"/>
      <c r="AO207" s="81"/>
      <c r="AR207" s="184"/>
    </row>
    <row r="208" spans="36:44" ht="11.25" customHeight="1" x14ac:dyDescent="0.2">
      <c r="AJ208" s="81"/>
      <c r="AK208" s="81"/>
      <c r="AL208" s="81"/>
      <c r="AM208" s="81"/>
      <c r="AN208" s="81"/>
      <c r="AO208" s="81"/>
      <c r="AR208" s="184"/>
    </row>
    <row r="209" spans="36:44" ht="11.25" customHeight="1" x14ac:dyDescent="0.2">
      <c r="AJ209" s="81"/>
      <c r="AK209" s="81"/>
      <c r="AL209" s="81"/>
      <c r="AM209" s="81"/>
      <c r="AN209" s="81"/>
      <c r="AO209" s="81"/>
      <c r="AR209" s="184"/>
    </row>
    <row r="210" spans="36:44" ht="11.25" customHeight="1" x14ac:dyDescent="0.2">
      <c r="AJ210" s="81"/>
      <c r="AK210" s="81"/>
      <c r="AL210" s="81"/>
      <c r="AM210" s="81"/>
      <c r="AN210" s="81"/>
      <c r="AO210" s="81"/>
      <c r="AR210" s="184"/>
    </row>
    <row r="211" spans="36:44" ht="11.25" customHeight="1" x14ac:dyDescent="0.2">
      <c r="AJ211" s="81"/>
      <c r="AK211" s="81"/>
      <c r="AL211" s="81"/>
      <c r="AM211" s="81"/>
      <c r="AN211" s="81"/>
      <c r="AO211" s="81"/>
      <c r="AR211" s="184"/>
    </row>
    <row r="212" spans="36:44" ht="11.25" customHeight="1" x14ac:dyDescent="0.2">
      <c r="AJ212" s="81"/>
      <c r="AK212" s="81"/>
      <c r="AL212" s="81"/>
      <c r="AM212" s="81"/>
      <c r="AN212" s="81"/>
      <c r="AO212" s="81"/>
      <c r="AR212" s="184"/>
    </row>
    <row r="213" spans="36:44" ht="11.25" customHeight="1" x14ac:dyDescent="0.2">
      <c r="AJ213" s="81"/>
      <c r="AK213" s="81"/>
      <c r="AL213" s="81"/>
      <c r="AM213" s="81"/>
      <c r="AN213" s="81"/>
      <c r="AO213" s="81"/>
      <c r="AR213" s="184"/>
    </row>
    <row r="214" spans="36:44" ht="11.25" customHeight="1" x14ac:dyDescent="0.2">
      <c r="AJ214" s="81"/>
      <c r="AK214" s="81"/>
      <c r="AL214" s="81"/>
      <c r="AM214" s="81"/>
      <c r="AN214" s="81"/>
      <c r="AO214" s="81"/>
      <c r="AR214" s="184"/>
    </row>
    <row r="215" spans="36:44" ht="11.25" customHeight="1" x14ac:dyDescent="0.2">
      <c r="AJ215" s="81"/>
      <c r="AK215" s="81"/>
      <c r="AL215" s="81"/>
      <c r="AM215" s="81"/>
      <c r="AN215" s="81"/>
      <c r="AO215" s="81"/>
      <c r="AR215" s="184"/>
    </row>
    <row r="216" spans="36:44" ht="11.25" customHeight="1" x14ac:dyDescent="0.2">
      <c r="AJ216" s="81"/>
      <c r="AK216" s="81"/>
      <c r="AL216" s="81"/>
      <c r="AM216" s="81"/>
      <c r="AN216" s="81"/>
      <c r="AO216" s="81"/>
      <c r="AR216" s="184"/>
    </row>
    <row r="217" spans="36:44" ht="11.25" customHeight="1" x14ac:dyDescent="0.2">
      <c r="AJ217" s="81"/>
      <c r="AK217" s="81"/>
      <c r="AL217" s="81"/>
      <c r="AM217" s="81"/>
      <c r="AN217" s="81"/>
      <c r="AO217" s="81"/>
      <c r="AR217" s="184"/>
    </row>
    <row r="310" spans="38:38" ht="11.25" customHeight="1" x14ac:dyDescent="0.2">
      <c r="AL310" s="74" t="b">
        <v>1</v>
      </c>
    </row>
  </sheetData>
  <sheetProtection sheet="1" objects="1" scenarios="1"/>
  <mergeCells count="45">
    <mergeCell ref="B154:I155"/>
    <mergeCell ref="B156:I157"/>
    <mergeCell ref="B158:I159"/>
    <mergeCell ref="B160:I161"/>
    <mergeCell ref="B162:I163"/>
    <mergeCell ref="B144:I145"/>
    <mergeCell ref="B146:I147"/>
    <mergeCell ref="B148:I149"/>
    <mergeCell ref="B150:I151"/>
    <mergeCell ref="B152:I153"/>
    <mergeCell ref="B5:N6"/>
    <mergeCell ref="D7:H7"/>
    <mergeCell ref="I7:I9"/>
    <mergeCell ref="Q7:Q9"/>
    <mergeCell ref="B7:B9"/>
    <mergeCell ref="O8:P8"/>
    <mergeCell ref="O9:P9"/>
    <mergeCell ref="K7:P7"/>
    <mergeCell ref="AA8:AA9"/>
    <mergeCell ref="A70:V70"/>
    <mergeCell ref="A71:V71"/>
    <mergeCell ref="A105:V105"/>
    <mergeCell ref="R64:U64"/>
    <mergeCell ref="B35:U35"/>
    <mergeCell ref="A37:V37"/>
    <mergeCell ref="A38:V38"/>
    <mergeCell ref="S7:U8"/>
    <mergeCell ref="Z8:Z9"/>
    <mergeCell ref="A106:V106"/>
    <mergeCell ref="A141:V141"/>
    <mergeCell ref="A142:V142"/>
    <mergeCell ref="B110:B111"/>
    <mergeCell ref="M64:P64"/>
    <mergeCell ref="M65:P65"/>
    <mergeCell ref="R65:U65"/>
    <mergeCell ref="B178:I179"/>
    <mergeCell ref="B180:I181"/>
    <mergeCell ref="B182:I183"/>
    <mergeCell ref="B164:I165"/>
    <mergeCell ref="B166:I167"/>
    <mergeCell ref="B168:I169"/>
    <mergeCell ref="B170:I171"/>
    <mergeCell ref="B172:I173"/>
    <mergeCell ref="B174:I175"/>
    <mergeCell ref="B176:I177"/>
  </mergeCells>
  <conditionalFormatting sqref="B10:B31 K10:O31 B51:C66 B112:B133 D112:H133 Q10:Q31">
    <cfRule type="containsErrors" dxfId="830" priority="60">
      <formula>ISERROR(B10)</formula>
    </cfRule>
  </conditionalFormatting>
  <conditionalFormatting sqref="S10:S33">
    <cfRule type="containsErrors" dxfId="829" priority="63">
      <formula>ISERROR(S10)</formula>
    </cfRule>
  </conditionalFormatting>
  <conditionalFormatting sqref="A112:A133">
    <cfRule type="cellIs" dxfId="828" priority="52" operator="equal">
      <formula>0</formula>
    </cfRule>
  </conditionalFormatting>
  <conditionalFormatting sqref="B10:B31 K10:O31 D10:I31 Q10:Q31 S10:U31 B51:C66 B112:B133 D112:H133 P10:P33">
    <cfRule type="expression" dxfId="827" priority="59">
      <formula>$B10=$Z$4</formula>
    </cfRule>
  </conditionalFormatting>
  <conditionalFormatting sqref="A1:A70 A72:A105 A107:A141 A218:A1048576">
    <cfRule type="cellIs" dxfId="826" priority="53" operator="equal">
      <formula>0</formula>
    </cfRule>
    <cfRule type="containsErrors" dxfId="825" priority="61">
      <formula>ISERROR(A1)</formula>
    </cfRule>
  </conditionalFormatting>
  <conditionalFormatting sqref="D10:H31">
    <cfRule type="containsErrors" dxfId="824" priority="50">
      <formula>ISERROR(D10)</formula>
    </cfRule>
  </conditionalFormatting>
  <conditionalFormatting sqref="AG10:AH28">
    <cfRule type="containsErrors" dxfId="823" priority="48">
      <formula>ISERROR(AG10)</formula>
    </cfRule>
  </conditionalFormatting>
  <conditionalFormatting sqref="AG10:AH21 AH11:AH28">
    <cfRule type="expression" dxfId="822" priority="47">
      <formula>$B10=$X$4</formula>
    </cfRule>
  </conditionalFormatting>
  <conditionalFormatting sqref="I10:I31">
    <cfRule type="containsErrors" dxfId="821" priority="46">
      <formula>ISERROR(I10)</formula>
    </cfRule>
  </conditionalFormatting>
  <conditionalFormatting sqref="A71">
    <cfRule type="cellIs" dxfId="820" priority="43" operator="equal">
      <formula>0</formula>
    </cfRule>
    <cfRule type="containsErrors" dxfId="819" priority="44">
      <formula>ISERROR(A71)</formula>
    </cfRule>
  </conditionalFormatting>
  <conditionalFormatting sqref="A106">
    <cfRule type="cellIs" dxfId="818" priority="41" operator="equal">
      <formula>0</formula>
    </cfRule>
    <cfRule type="containsErrors" dxfId="817" priority="42">
      <formula>ISERROR(A106)</formula>
    </cfRule>
  </conditionalFormatting>
  <conditionalFormatting sqref="A142">
    <cfRule type="cellIs" dxfId="816" priority="39" operator="equal">
      <formula>0</formula>
    </cfRule>
    <cfRule type="containsErrors" dxfId="815" priority="40">
      <formula>ISERROR(A142)</formula>
    </cfRule>
  </conditionalFormatting>
  <conditionalFormatting sqref="D110:H110">
    <cfRule type="containsErrors" dxfId="814" priority="29">
      <formula>ISERROR(D110)</formula>
    </cfRule>
  </conditionalFormatting>
  <conditionalFormatting sqref="Y2">
    <cfRule type="containsErrors" dxfId="813" priority="31">
      <formula>ISERROR(Y2)</formula>
    </cfRule>
  </conditionalFormatting>
  <conditionalFormatting sqref="Y3">
    <cfRule type="containsErrors" dxfId="812" priority="32">
      <formula>ISERROR(Y3)</formula>
    </cfRule>
  </conditionalFormatting>
  <conditionalFormatting sqref="D111:H111">
    <cfRule type="containsErrors" dxfId="811" priority="30">
      <formula>ISERROR(D111)</formula>
    </cfRule>
  </conditionalFormatting>
  <conditionalFormatting sqref="P32:P33">
    <cfRule type="containsErrors" dxfId="810" priority="26">
      <formula>ISERROR(P32)</formula>
    </cfRule>
  </conditionalFormatting>
  <conditionalFormatting sqref="P10:P33">
    <cfRule type="containsErrors" dxfId="809" priority="24">
      <formula>ISERROR(P10)</formula>
    </cfRule>
    <cfRule type="dataBar" priority="25">
      <dataBar showValue="0">
        <cfvo type="min"/>
        <cfvo type="max"/>
        <color theme="9"/>
      </dataBar>
      <extLst>
        <ext xmlns:x14="http://schemas.microsoft.com/office/spreadsheetml/2009/9/main" uri="{B025F937-C7B1-47D3-B67F-A62EFF666E3E}">
          <x14:id>{D4E6E97B-DEA9-4C36-A988-415CBFAFF749}</x14:id>
        </ext>
      </extLst>
    </cfRule>
  </conditionalFormatting>
  <conditionalFormatting sqref="D8:H8">
    <cfRule type="containsErrors" dxfId="808" priority="21">
      <formula>ISERROR(D8)</formula>
    </cfRule>
  </conditionalFormatting>
  <conditionalFormatting sqref="D9:H9">
    <cfRule type="containsErrors" dxfId="807" priority="23">
      <formula>ISERROR(D9)</formula>
    </cfRule>
  </conditionalFormatting>
  <conditionalFormatting sqref="K8:O8">
    <cfRule type="containsErrors" dxfId="806" priority="20">
      <formula>ISERROR(K8)</formula>
    </cfRule>
  </conditionalFormatting>
  <conditionalFormatting sqref="K9:O9">
    <cfRule type="containsErrors" dxfId="805" priority="62">
      <formula>ISERROR(K9)</formula>
    </cfRule>
  </conditionalFormatting>
  <conditionalFormatting sqref="AB9:AF9">
    <cfRule type="cellIs" dxfId="804" priority="15" stopIfTrue="1" operator="equal">
      <formula>0</formula>
    </cfRule>
  </conditionalFormatting>
  <conditionalFormatting sqref="B135:H135">
    <cfRule type="containsErrors" dxfId="803" priority="14">
      <formula>ISERROR(B135)</formula>
    </cfRule>
  </conditionalFormatting>
  <conditionalFormatting sqref="D33:I33 K33:O33">
    <cfRule type="containsErrors" dxfId="802" priority="13">
      <formula>ISERROR(D33)</formula>
    </cfRule>
  </conditionalFormatting>
  <conditionalFormatting sqref="T10:T31">
    <cfRule type="containsErrors" dxfId="801" priority="12">
      <formula>ISERROR(T10)</formula>
    </cfRule>
  </conditionalFormatting>
  <conditionalFormatting sqref="T32">
    <cfRule type="containsErrors" dxfId="800" priority="10">
      <formula>ISERROR(T32)</formula>
    </cfRule>
  </conditionalFormatting>
  <conditionalFormatting sqref="T33">
    <cfRule type="containsErrors" dxfId="799" priority="9">
      <formula>ISERROR(T33)</formula>
    </cfRule>
  </conditionalFormatting>
  <conditionalFormatting sqref="U10:U31">
    <cfRule type="containsErrors" dxfId="798" priority="8">
      <formula>ISERROR(U10)</formula>
    </cfRule>
  </conditionalFormatting>
  <conditionalFormatting sqref="U32">
    <cfRule type="containsErrors" dxfId="797" priority="6">
      <formula>ISERROR(U32)</formula>
    </cfRule>
  </conditionalFormatting>
  <conditionalFormatting sqref="U33">
    <cfRule type="containsErrors" dxfId="796" priority="5">
      <formula>ISERROR(U33)</formula>
    </cfRule>
  </conditionalFormatting>
  <conditionalFormatting sqref="Z3:AD3">
    <cfRule type="containsErrors" dxfId="795" priority="4">
      <formula>ISERROR(Z3)</formula>
    </cfRule>
  </conditionalFormatting>
  <conditionalFormatting sqref="Z2:AD2">
    <cfRule type="containsErrors" dxfId="794" priority="3">
      <formula>ISERROR(Z2)</formula>
    </cfRule>
  </conditionalFormatting>
  <conditionalFormatting sqref="Q10:Q31">
    <cfRule type="containsErrors" dxfId="793" priority="2">
      <formula>ISERROR(Q10)</formula>
    </cfRule>
  </conditionalFormatting>
  <conditionalFormatting sqref="A185:A217">
    <cfRule type="containsErrors" dxfId="792" priority="1">
      <formula>ISERROR(A185)</formula>
    </cfRule>
  </conditionalFormatting>
  <hyperlinks>
    <hyperlink ref="B148:H149" location="IDACI!A1" display="IDACI" xr:uid="{68B67065-32A2-4600-A4F6-F06ED4A0A51D}"/>
    <hyperlink ref="B172:I173" location="ROSGO!A1" display="Child Arrangement &amp; Special Guardianship Orders" xr:uid="{FC58F6A8-27FB-4306-A486-C83B25E02815}"/>
    <hyperlink ref="B152:G153" location="EH_Referrals!A1" display="Early Help Referrals" xr:uid="{1E725993-136F-44EB-B9B1-ED087AD2283E}"/>
    <hyperlink ref="B172:E173" location="ROSGO!A1" display="Child Arrangement &amp; Special Guardianship Orders" xr:uid="{9D703CB2-68FF-42FA-8129-B003D816C03E}"/>
    <hyperlink ref="B152:E153" location="EH_Referrals!A1" display="Early Help Referrals" xr:uid="{210B9041-5BA1-486F-8AFD-4CC64484CD2C}"/>
    <hyperlink ref="B150:D151" location="IDACI!A1" display="IDACI" xr:uid="{099F72D5-B27F-43AF-83D6-AB75789049E0}"/>
    <hyperlink ref="B146:D147" location="Indicators!A1" display="Indicators" xr:uid="{9324D323-41DD-4492-92EE-BDC90264F37C}"/>
    <hyperlink ref="B174:D175" location="New_Ceased_LAC!A1" display="New/ Ceased Looked After Children" xr:uid="{1AA782FF-9D20-4EF0-A40B-C9B97E60ECA0}"/>
    <hyperlink ref="B178:D179" location="Care_Leavers!A1" display="Care Leavers" xr:uid="{5F1BEB18-0FC9-46BE-BF0F-DA18FDE312E9}"/>
    <hyperlink ref="B182:D183" location="Offending!A1" display="Offending" xr:uid="{BE9CC6DB-7684-4EFA-A5B3-FEA9CBDAF110}"/>
    <hyperlink ref="B180:D181" location="EHCP!A1" display="Education Health and Care Plans (EHCP)" xr:uid="{7D33829A-4B14-4B13-9ACC-0A0B39DD2B2A}"/>
    <hyperlink ref="B148:B149" location="Coverage!A1" display="Participating LA's" xr:uid="{2E48D1CD-0DA9-48E6-BD14-36054A504F87}"/>
    <hyperlink ref="B150:B151" location="IDACI!A1" display="IDACI" xr:uid="{865D5DCE-39B8-4D64-918D-FD3F1111CC94}"/>
    <hyperlink ref="B176:B177" location="Adoption!A1" display="Adoption" xr:uid="{3321A318-3A6A-4850-8945-B640ECBC3455}"/>
    <hyperlink ref="B172:B173" location="'Looked After Children'!A1" display="Looked After Children" xr:uid="{6C6A5EDE-3468-4867-AE25-36CD79C43A82}"/>
    <hyperlink ref="B170:B171" location="'Court Applications'!A1" display="Court Applications" xr:uid="{AF935642-6EAB-4267-B9D7-AFA312BB5881}"/>
    <hyperlink ref="B168:B169" location="'Child Protection Plans'!A1" display="Child Protection Plans" xr:uid="{DD2AED81-BF79-4165-9E1F-CAF85A0F6FAE}"/>
    <hyperlink ref="B166:B167" location="'Initial CP Conferences'!A1" display="Initial Child Protection Conferences" xr:uid="{7F9098D5-F88F-42E0-B5F0-C347C3C03A3D}"/>
    <hyperlink ref="B164:B165" location="'Section 47 Enquiries'!A1" display="Section 47 Enquiries" xr:uid="{5F85CA5E-C725-4F34-8383-46D2D6810C56}"/>
    <hyperlink ref="B162:B163" location="'Children in Need'!A1" display="Children in Need" xr:uid="{E85A83FA-57BC-40DF-B89F-6602A504534C}"/>
    <hyperlink ref="B160:B161" location="Assessments!A1" display="Assessments" xr:uid="{F1315858-6B91-4CEF-81E8-DA1BF4435C8C}"/>
    <hyperlink ref="B158:B159" location="'Re-referrals'!A1" display="Re-referrals" xr:uid="{A2861AE0-2323-4942-BF80-1FE9307EA3B6}"/>
    <hyperlink ref="B156:B157" location="Referral_Source!A1" display="Referral Source" xr:uid="{0A4DA2C6-1F0F-4D80-9184-FE8B98764D4A}"/>
    <hyperlink ref="B154:B155" location="Referrals!A1" display="Referrals" xr:uid="{A4641D62-FF54-45C7-9D9F-50188E14FC1D}"/>
    <hyperlink ref="B152:B153" location="Population!A1" display="Population" xr:uid="{21BE294E-FF89-4855-B498-7265A08A7448}"/>
    <hyperlink ref="B150:C151" location="IDACI!A1" display="IDACI" xr:uid="{6F69EBCF-0A0E-4DBE-A684-820A15CE4739}"/>
    <hyperlink ref="B146:B147" location="Coverage!A1" display="Participating LA's" xr:uid="{F07FE160-C68E-47D4-90B1-B59FA5B59491}"/>
    <hyperlink ref="B146:C147" location="Indicators!A1" display="Indicators" xr:uid="{3A9A166F-1F6F-409D-A819-340A09ED836A}"/>
    <hyperlink ref="B178:B179" location="'Looked After Children'!A1" display="Looked After Children" xr:uid="{A08DA9C7-1990-44A2-9776-66EA4340640E}"/>
    <hyperlink ref="B174:B175" location="'Court Applications'!A1" display="Court Applications" xr:uid="{7E87D508-1D05-40EC-BEF5-B3E0A1771E90}"/>
    <hyperlink ref="B174:C175" location="New_Ceased_LAC!A1" display="New/ Ceased Looked After Children" xr:uid="{78F83C6A-CEF8-4DFF-9C29-ECB36CE0E30B}"/>
    <hyperlink ref="B178:C179" location="Care_Leavers!A1" display="Care Leavers" xr:uid="{CD851945-233F-4D4C-B512-F38588A1AE69}"/>
    <hyperlink ref="B181:B183" location="Adoption!A1" display="Adoption" xr:uid="{0DE968FF-81B3-418F-B709-2D6CEADE3DC3}"/>
    <hyperlink ref="B182:B183" location="'Looked After Children'!A1" display="Looked After Children" xr:uid="{8B0D9140-CAED-4A0C-969B-18360D9AE835}"/>
    <hyperlink ref="B182:C183" location="Offending!A1" display="Offending" xr:uid="{1D0990E9-018E-4AE8-A8CA-3586799A8CCD}"/>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8" max="18" man="1"/>
    <brk id="71" max="20" man="1"/>
    <brk id="106" max="20" man="1"/>
  </rowBreaks>
  <ignoredErrors>
    <ignoredError sqref="A10:A31 A112:A135"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macro="[0]!CheckBox1_Click" altText="">
                <anchor>
                  <from>
                    <xdr:col>23</xdr:col>
                    <xdr:colOff>76200</xdr:colOff>
                    <xdr:row>40</xdr:row>
                    <xdr:rowOff>152400</xdr:rowOff>
                  </from>
                  <to>
                    <xdr:col>36</xdr:col>
                    <xdr:colOff>47625</xdr:colOff>
                    <xdr:row>42</xdr:row>
                    <xdr:rowOff>0</xdr:rowOff>
                  </to>
                </anchor>
              </controlPr>
            </control>
          </mc:Choice>
        </mc:AlternateContent>
        <mc:AlternateContent xmlns:mc="http://schemas.openxmlformats.org/markup-compatibility/2006">
          <mc:Choice Requires="x14">
            <control shapeId="86018" r:id="rId5" name="Check Box 2">
              <controlPr defaultSize="0" autoFill="0" autoLine="0" autoPict="0" macro="[0]!CheckBox1_Click" altText="">
                <anchor>
                  <from>
                    <xdr:col>23</xdr:col>
                    <xdr:colOff>76200</xdr:colOff>
                    <xdr:row>41</xdr:row>
                    <xdr:rowOff>142875</xdr:rowOff>
                  </from>
                  <to>
                    <xdr:col>36</xdr:col>
                    <xdr:colOff>47625</xdr:colOff>
                    <xdr:row>43</xdr:row>
                    <xdr:rowOff>0</xdr:rowOff>
                  </to>
                </anchor>
              </controlPr>
            </control>
          </mc:Choice>
        </mc:AlternateContent>
        <mc:AlternateContent xmlns:mc="http://schemas.openxmlformats.org/markup-compatibility/2006">
          <mc:Choice Requires="x14">
            <control shapeId="86019" r:id="rId6" name="Check Box 3">
              <controlPr defaultSize="0" autoFill="0" autoLine="0" autoPict="0" macro="[0]!CheckBox1_Click" altText="">
                <anchor>
                  <from>
                    <xdr:col>23</xdr:col>
                    <xdr:colOff>76200</xdr:colOff>
                    <xdr:row>42</xdr:row>
                    <xdr:rowOff>142875</xdr:rowOff>
                  </from>
                  <to>
                    <xdr:col>36</xdr:col>
                    <xdr:colOff>47625</xdr:colOff>
                    <xdr:row>44</xdr:row>
                    <xdr:rowOff>0</xdr:rowOff>
                  </to>
                </anchor>
              </controlPr>
            </control>
          </mc:Choice>
        </mc:AlternateContent>
        <mc:AlternateContent xmlns:mc="http://schemas.openxmlformats.org/markup-compatibility/2006">
          <mc:Choice Requires="x14">
            <control shapeId="86020" r:id="rId7" name="Check Box 4">
              <controlPr defaultSize="0" autoFill="0" autoLine="0" autoPict="0" macro="[0]!CheckBox1_Click" altText="">
                <anchor>
                  <from>
                    <xdr:col>23</xdr:col>
                    <xdr:colOff>76200</xdr:colOff>
                    <xdr:row>43</xdr:row>
                    <xdr:rowOff>142875</xdr:rowOff>
                  </from>
                  <to>
                    <xdr:col>36</xdr:col>
                    <xdr:colOff>47625</xdr:colOff>
                    <xdr:row>45</xdr:row>
                    <xdr:rowOff>0</xdr:rowOff>
                  </to>
                </anchor>
              </controlPr>
            </control>
          </mc:Choice>
        </mc:AlternateContent>
        <mc:AlternateContent xmlns:mc="http://schemas.openxmlformats.org/markup-compatibility/2006">
          <mc:Choice Requires="x14">
            <control shapeId="86021" r:id="rId8" name="Check Box 5">
              <controlPr defaultSize="0" autoFill="0" autoLine="0" autoPict="0" macro="[0]!CheckBox1_Click" altText="">
                <anchor>
                  <from>
                    <xdr:col>23</xdr:col>
                    <xdr:colOff>76200</xdr:colOff>
                    <xdr:row>44</xdr:row>
                    <xdr:rowOff>142875</xdr:rowOff>
                  </from>
                  <to>
                    <xdr:col>36</xdr:col>
                    <xdr:colOff>47625</xdr:colOff>
                    <xdr:row>46</xdr:row>
                    <xdr:rowOff>0</xdr:rowOff>
                  </to>
                </anchor>
              </controlPr>
            </control>
          </mc:Choice>
        </mc:AlternateContent>
        <mc:AlternateContent xmlns:mc="http://schemas.openxmlformats.org/markup-compatibility/2006">
          <mc:Choice Requires="x14">
            <control shapeId="86022" r:id="rId9" name="Check Box 6">
              <controlPr defaultSize="0" autoFill="0" autoLine="0" autoPict="0" macro="[0]!CheckBox1_Click" altText="">
                <anchor>
                  <from>
                    <xdr:col>23</xdr:col>
                    <xdr:colOff>76200</xdr:colOff>
                    <xdr:row>45</xdr:row>
                    <xdr:rowOff>142875</xdr:rowOff>
                  </from>
                  <to>
                    <xdr:col>36</xdr:col>
                    <xdr:colOff>47625</xdr:colOff>
                    <xdr:row>47</xdr:row>
                    <xdr:rowOff>0</xdr:rowOff>
                  </to>
                </anchor>
              </controlPr>
            </control>
          </mc:Choice>
        </mc:AlternateContent>
        <mc:AlternateContent xmlns:mc="http://schemas.openxmlformats.org/markup-compatibility/2006">
          <mc:Choice Requires="x14">
            <control shapeId="86023" r:id="rId10" name="Check Box 7">
              <controlPr defaultSize="0" autoFill="0" autoLine="0" autoPict="0" macro="[0]!CheckBox1_Click" altText="">
                <anchor>
                  <from>
                    <xdr:col>23</xdr:col>
                    <xdr:colOff>76200</xdr:colOff>
                    <xdr:row>46</xdr:row>
                    <xdr:rowOff>142875</xdr:rowOff>
                  </from>
                  <to>
                    <xdr:col>36</xdr:col>
                    <xdr:colOff>47625</xdr:colOff>
                    <xdr:row>48</xdr:row>
                    <xdr:rowOff>0</xdr:rowOff>
                  </to>
                </anchor>
              </controlPr>
            </control>
          </mc:Choice>
        </mc:AlternateContent>
        <mc:AlternateContent xmlns:mc="http://schemas.openxmlformats.org/markup-compatibility/2006">
          <mc:Choice Requires="x14">
            <control shapeId="86024" r:id="rId11" name="Check Box 8">
              <controlPr defaultSize="0" autoFill="0" autoLine="0" autoPict="0" macro="[0]!CheckBox1_Click" altText="">
                <anchor>
                  <from>
                    <xdr:col>23</xdr:col>
                    <xdr:colOff>76200</xdr:colOff>
                    <xdr:row>47</xdr:row>
                    <xdr:rowOff>142875</xdr:rowOff>
                  </from>
                  <to>
                    <xdr:col>36</xdr:col>
                    <xdr:colOff>47625</xdr:colOff>
                    <xdr:row>49</xdr:row>
                    <xdr:rowOff>0</xdr:rowOff>
                  </to>
                </anchor>
              </controlPr>
            </control>
          </mc:Choice>
        </mc:AlternateContent>
        <mc:AlternateContent xmlns:mc="http://schemas.openxmlformats.org/markup-compatibility/2006">
          <mc:Choice Requires="x14">
            <control shapeId="86025" r:id="rId12" name="Check Box 9">
              <controlPr defaultSize="0" autoFill="0" autoLine="0" autoPict="0" macro="[0]!CheckBox1_Click" altText="">
                <anchor>
                  <from>
                    <xdr:col>23</xdr:col>
                    <xdr:colOff>76200</xdr:colOff>
                    <xdr:row>48</xdr:row>
                    <xdr:rowOff>142875</xdr:rowOff>
                  </from>
                  <to>
                    <xdr:col>36</xdr:col>
                    <xdr:colOff>47625</xdr:colOff>
                    <xdr:row>50</xdr:row>
                    <xdr:rowOff>0</xdr:rowOff>
                  </to>
                </anchor>
              </controlPr>
            </control>
          </mc:Choice>
        </mc:AlternateContent>
        <mc:AlternateContent xmlns:mc="http://schemas.openxmlformats.org/markup-compatibility/2006">
          <mc:Choice Requires="x14">
            <control shapeId="86026" r:id="rId13" name="Check Box 10">
              <controlPr defaultSize="0" autoFill="0" autoLine="0" autoPict="0" macro="[0]!CheckBox1_Click" altText="">
                <anchor>
                  <from>
                    <xdr:col>23</xdr:col>
                    <xdr:colOff>76200</xdr:colOff>
                    <xdr:row>49</xdr:row>
                    <xdr:rowOff>142875</xdr:rowOff>
                  </from>
                  <to>
                    <xdr:col>36</xdr:col>
                    <xdr:colOff>47625</xdr:colOff>
                    <xdr:row>51</xdr:row>
                    <xdr:rowOff>0</xdr:rowOff>
                  </to>
                </anchor>
              </controlPr>
            </control>
          </mc:Choice>
        </mc:AlternateContent>
        <mc:AlternateContent xmlns:mc="http://schemas.openxmlformats.org/markup-compatibility/2006">
          <mc:Choice Requires="x14">
            <control shapeId="86027" r:id="rId14" name="Check Box 11">
              <controlPr defaultSize="0" autoFill="0" autoLine="0" autoPict="0" macro="[0]!CheckBox1_Click" altText="">
                <anchor>
                  <from>
                    <xdr:col>23</xdr:col>
                    <xdr:colOff>76200</xdr:colOff>
                    <xdr:row>50</xdr:row>
                    <xdr:rowOff>142875</xdr:rowOff>
                  </from>
                  <to>
                    <xdr:col>36</xdr:col>
                    <xdr:colOff>47625</xdr:colOff>
                    <xdr:row>52</xdr:row>
                    <xdr:rowOff>0</xdr:rowOff>
                  </to>
                </anchor>
              </controlPr>
            </control>
          </mc:Choice>
        </mc:AlternateContent>
        <mc:AlternateContent xmlns:mc="http://schemas.openxmlformats.org/markup-compatibility/2006">
          <mc:Choice Requires="x14">
            <control shapeId="86028" r:id="rId15" name="Check Box 12">
              <controlPr defaultSize="0" autoFill="0" autoLine="0" autoPict="0" macro="[0]!CheckBox1_Click" altText="">
                <anchor>
                  <from>
                    <xdr:col>23</xdr:col>
                    <xdr:colOff>76200</xdr:colOff>
                    <xdr:row>51</xdr:row>
                    <xdr:rowOff>142875</xdr:rowOff>
                  </from>
                  <to>
                    <xdr:col>36</xdr:col>
                    <xdr:colOff>47625</xdr:colOff>
                    <xdr:row>53</xdr:row>
                    <xdr:rowOff>0</xdr:rowOff>
                  </to>
                </anchor>
              </controlPr>
            </control>
          </mc:Choice>
        </mc:AlternateContent>
        <mc:AlternateContent xmlns:mc="http://schemas.openxmlformats.org/markup-compatibility/2006">
          <mc:Choice Requires="x14">
            <control shapeId="86029" r:id="rId16" name="Check Box 13">
              <controlPr defaultSize="0" autoFill="0" autoLine="0" autoPict="0" macro="[0]!CheckBox1_Click" altText="">
                <anchor>
                  <from>
                    <xdr:col>23</xdr:col>
                    <xdr:colOff>76200</xdr:colOff>
                    <xdr:row>52</xdr:row>
                    <xdr:rowOff>142875</xdr:rowOff>
                  </from>
                  <to>
                    <xdr:col>36</xdr:col>
                    <xdr:colOff>47625</xdr:colOff>
                    <xdr:row>54</xdr:row>
                    <xdr:rowOff>0</xdr:rowOff>
                  </to>
                </anchor>
              </controlPr>
            </control>
          </mc:Choice>
        </mc:AlternateContent>
        <mc:AlternateContent xmlns:mc="http://schemas.openxmlformats.org/markup-compatibility/2006">
          <mc:Choice Requires="x14">
            <control shapeId="86030" r:id="rId17" name="Check Box 14">
              <controlPr defaultSize="0" autoFill="0" autoLine="0" autoPict="0" macro="[0]!CheckBox1_Click" altText="">
                <anchor>
                  <from>
                    <xdr:col>23</xdr:col>
                    <xdr:colOff>76200</xdr:colOff>
                    <xdr:row>53</xdr:row>
                    <xdr:rowOff>142875</xdr:rowOff>
                  </from>
                  <to>
                    <xdr:col>36</xdr:col>
                    <xdr:colOff>47625</xdr:colOff>
                    <xdr:row>55</xdr:row>
                    <xdr:rowOff>0</xdr:rowOff>
                  </to>
                </anchor>
              </controlPr>
            </control>
          </mc:Choice>
        </mc:AlternateContent>
        <mc:AlternateContent xmlns:mc="http://schemas.openxmlformats.org/markup-compatibility/2006">
          <mc:Choice Requires="x14">
            <control shapeId="86031" r:id="rId18" name="Check Box 15">
              <controlPr defaultSize="0" autoFill="0" autoLine="0" autoPict="0" macro="[0]!CheckBox1_Click" altText="">
                <anchor>
                  <from>
                    <xdr:col>23</xdr:col>
                    <xdr:colOff>76200</xdr:colOff>
                    <xdr:row>54</xdr:row>
                    <xdr:rowOff>142875</xdr:rowOff>
                  </from>
                  <to>
                    <xdr:col>36</xdr:col>
                    <xdr:colOff>47625</xdr:colOff>
                    <xdr:row>56</xdr:row>
                    <xdr:rowOff>0</xdr:rowOff>
                  </to>
                </anchor>
              </controlPr>
            </control>
          </mc:Choice>
        </mc:AlternateContent>
        <mc:AlternateContent xmlns:mc="http://schemas.openxmlformats.org/markup-compatibility/2006">
          <mc:Choice Requires="x14">
            <control shapeId="86032" r:id="rId19" name="Check Box 16">
              <controlPr defaultSize="0" autoFill="0" autoLine="0" autoPict="0" macro="[0]!CheckBox1_Click" altText="">
                <anchor>
                  <from>
                    <xdr:col>23</xdr:col>
                    <xdr:colOff>76200</xdr:colOff>
                    <xdr:row>55</xdr:row>
                    <xdr:rowOff>142875</xdr:rowOff>
                  </from>
                  <to>
                    <xdr:col>36</xdr:col>
                    <xdr:colOff>47625</xdr:colOff>
                    <xdr:row>57</xdr:row>
                    <xdr:rowOff>0</xdr:rowOff>
                  </to>
                </anchor>
              </controlPr>
            </control>
          </mc:Choice>
        </mc:AlternateContent>
        <mc:AlternateContent xmlns:mc="http://schemas.openxmlformats.org/markup-compatibility/2006">
          <mc:Choice Requires="x14">
            <control shapeId="86033" r:id="rId20" name="Check Box 17">
              <controlPr defaultSize="0" autoFill="0" autoLine="0" autoPict="0" macro="[0]!CheckBox1_Click" altText="">
                <anchor>
                  <from>
                    <xdr:col>23</xdr:col>
                    <xdr:colOff>76200</xdr:colOff>
                    <xdr:row>58</xdr:row>
                    <xdr:rowOff>142875</xdr:rowOff>
                  </from>
                  <to>
                    <xdr:col>36</xdr:col>
                    <xdr:colOff>47625</xdr:colOff>
                    <xdr:row>60</xdr:row>
                    <xdr:rowOff>0</xdr:rowOff>
                  </to>
                </anchor>
              </controlPr>
            </control>
          </mc:Choice>
        </mc:AlternateContent>
        <mc:AlternateContent xmlns:mc="http://schemas.openxmlformats.org/markup-compatibility/2006">
          <mc:Choice Requires="x14">
            <control shapeId="86034" r:id="rId21" name="Check Box 18">
              <controlPr defaultSize="0" autoFill="0" autoLine="0" autoPict="0" macro="[0]!CheckBox1_Click" altText="">
                <anchor>
                  <from>
                    <xdr:col>23</xdr:col>
                    <xdr:colOff>76200</xdr:colOff>
                    <xdr:row>59</xdr:row>
                    <xdr:rowOff>142875</xdr:rowOff>
                  </from>
                  <to>
                    <xdr:col>36</xdr:col>
                    <xdr:colOff>47625</xdr:colOff>
                    <xdr:row>61</xdr:row>
                    <xdr:rowOff>0</xdr:rowOff>
                  </to>
                </anchor>
              </controlPr>
            </control>
          </mc:Choice>
        </mc:AlternateContent>
        <mc:AlternateContent xmlns:mc="http://schemas.openxmlformats.org/markup-compatibility/2006">
          <mc:Choice Requires="x14">
            <control shapeId="86035" r:id="rId22" name="Check Box 19">
              <controlPr defaultSize="0" autoFill="0" autoLine="0" autoPict="0" macro="[0]!CheckBox1_Click" altText="">
                <anchor>
                  <from>
                    <xdr:col>23</xdr:col>
                    <xdr:colOff>76200</xdr:colOff>
                    <xdr:row>60</xdr:row>
                    <xdr:rowOff>142875</xdr:rowOff>
                  </from>
                  <to>
                    <xdr:col>36</xdr:col>
                    <xdr:colOff>47625</xdr:colOff>
                    <xdr:row>62</xdr:row>
                    <xdr:rowOff>0</xdr:rowOff>
                  </to>
                </anchor>
              </controlPr>
            </control>
          </mc:Choice>
        </mc:AlternateContent>
        <mc:AlternateContent xmlns:mc="http://schemas.openxmlformats.org/markup-compatibility/2006">
          <mc:Choice Requires="x14">
            <control shapeId="86036" r:id="rId23" name="Check Box 20">
              <controlPr defaultSize="0" autoFill="0" autoLine="0" autoPict="0" macro="[0]!CheckBox1_Click" altText="">
                <anchor>
                  <from>
                    <xdr:col>23</xdr:col>
                    <xdr:colOff>76200</xdr:colOff>
                    <xdr:row>61</xdr:row>
                    <xdr:rowOff>142875</xdr:rowOff>
                  </from>
                  <to>
                    <xdr:col>36</xdr:col>
                    <xdr:colOff>47625</xdr:colOff>
                    <xdr:row>63</xdr:row>
                    <xdr:rowOff>0</xdr:rowOff>
                  </to>
                </anchor>
              </controlPr>
            </control>
          </mc:Choice>
        </mc:AlternateContent>
        <mc:AlternateContent xmlns:mc="http://schemas.openxmlformats.org/markup-compatibility/2006">
          <mc:Choice Requires="x14">
            <control shapeId="86037" r:id="rId24" name="Check Box 21">
              <controlPr defaultSize="0" autoFill="0" autoLine="0" autoPict="0" macro="[0]!CheckBox1_Click" altText="">
                <anchor>
                  <from>
                    <xdr:col>23</xdr:col>
                    <xdr:colOff>76200</xdr:colOff>
                    <xdr:row>62</xdr:row>
                    <xdr:rowOff>142875</xdr:rowOff>
                  </from>
                  <to>
                    <xdr:col>36</xdr:col>
                    <xdr:colOff>47625</xdr:colOff>
                    <xdr:row>64</xdr:row>
                    <xdr:rowOff>0</xdr:rowOff>
                  </to>
                </anchor>
              </controlPr>
            </control>
          </mc:Choice>
        </mc:AlternateContent>
        <mc:AlternateContent xmlns:mc="http://schemas.openxmlformats.org/markup-compatibility/2006">
          <mc:Choice Requires="x14">
            <control shapeId="86038" r:id="rId25" name="Check Box 22">
              <controlPr defaultSize="0" autoFill="0" autoLine="0" autoPict="0" macro="[0]!CheckBox1_Click" altText="">
                <anchor>
                  <from>
                    <xdr:col>23</xdr:col>
                    <xdr:colOff>76200</xdr:colOff>
                    <xdr:row>56</xdr:row>
                    <xdr:rowOff>142875</xdr:rowOff>
                  </from>
                  <to>
                    <xdr:col>36</xdr:col>
                    <xdr:colOff>47625</xdr:colOff>
                    <xdr:row>58</xdr:row>
                    <xdr:rowOff>0</xdr:rowOff>
                  </to>
                </anchor>
              </controlPr>
            </control>
          </mc:Choice>
        </mc:AlternateContent>
        <mc:AlternateContent xmlns:mc="http://schemas.openxmlformats.org/markup-compatibility/2006">
          <mc:Choice Requires="x14">
            <control shapeId="86039" r:id="rId26" name="Check Box 23">
              <controlPr defaultSize="0" autoFill="0" autoLine="0" autoPict="0" macro="[0]!CheckBox1_Click" altText="">
                <anchor>
                  <from>
                    <xdr:col>23</xdr:col>
                    <xdr:colOff>76200</xdr:colOff>
                    <xdr:row>57</xdr:row>
                    <xdr:rowOff>142875</xdr:rowOff>
                  </from>
                  <to>
                    <xdr:col>36</xdr:col>
                    <xdr:colOff>47625</xdr:colOff>
                    <xdr:row>59</xdr:row>
                    <xdr:rowOff>0</xdr:rowOff>
                  </to>
                </anchor>
              </controlPr>
            </control>
          </mc:Choice>
        </mc:AlternateContent>
        <mc:AlternateContent xmlns:mc="http://schemas.openxmlformats.org/markup-compatibility/2006">
          <mc:Choice Requires="x14">
            <control shapeId="86040" r:id="rId27" name="Check Box 24">
              <controlPr defaultSize="0" autoFill="0" autoLine="0" autoPict="0" macro="[0]!CheckBox1_Click" altText="">
                <anchor>
                  <from>
                    <xdr:col>23</xdr:col>
                    <xdr:colOff>76200</xdr:colOff>
                    <xdr:row>63</xdr:row>
                    <xdr:rowOff>142875</xdr:rowOff>
                  </from>
                  <to>
                    <xdr:col>36</xdr:col>
                    <xdr:colOff>47625</xdr:colOff>
                    <xdr:row>65</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4E6E97B-DEA9-4C36-A988-415CBFAFF749}">
            <x14:dataBar minLength="0" maxLength="100" gradient="0" negativeBarColorSameAsPositive="1">
              <x14:cfvo type="autoMin"/>
              <x14:cfvo type="autoMax"/>
              <x14:axisColor rgb="FF000000"/>
            </x14:dataBar>
          </x14:cfRule>
          <xm:sqref>P10:P33</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3">
    <tabColor rgb="FFFFC000"/>
  </sheetPr>
  <dimension ref="A1:BN344"/>
  <sheetViews>
    <sheetView showRowColHeaders="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8" width="6.85546875" style="74" customWidth="1"/>
    <col min="9" max="9" width="7.42578125" style="74" customWidth="1"/>
    <col min="10" max="10" width="1.42578125" style="88" customWidth="1"/>
    <col min="11" max="15" width="6.85546875" style="74" customWidth="1"/>
    <col min="16" max="16" width="7.140625" style="74" customWidth="1"/>
    <col min="17" max="17" width="7.42578125" style="74" customWidth="1"/>
    <col min="18" max="18" width="1.42578125" style="74" customWidth="1"/>
    <col min="19" max="19" width="5.7109375" style="74" customWidth="1"/>
    <col min="20" max="20" width="8.28515625" style="74" customWidth="1"/>
    <col min="21" max="21" width="7.7109375" style="74" customWidth="1"/>
    <col min="22" max="22" width="2.140625" style="74" customWidth="1"/>
    <col min="23" max="23" width="6.42578125" style="80" customWidth="1"/>
    <col min="24" max="24" width="4.85546875" style="80" customWidth="1"/>
    <col min="25" max="25" width="17.85546875" style="81" hidden="1" customWidth="1"/>
    <col min="26" max="27" width="19.5703125" style="81" hidden="1" customWidth="1"/>
    <col min="28" max="30" width="9.42578125" style="81" hidden="1" customWidth="1"/>
    <col min="31" max="31" width="8.5703125" style="81" hidden="1" customWidth="1"/>
    <col min="32" max="32" width="18.140625" style="81" hidden="1" customWidth="1"/>
    <col min="33" max="33" width="17" style="81" hidden="1" customWidth="1"/>
    <col min="34" max="34" width="5.5703125" style="81" hidden="1" customWidth="1"/>
    <col min="35" max="35" width="6.5703125" style="81" hidden="1" customWidth="1"/>
    <col min="36" max="36" width="6.5703125" style="74" hidden="1" customWidth="1"/>
    <col min="37" max="37" width="31.5703125" style="74" customWidth="1"/>
    <col min="38" max="38" width="17" style="74" hidden="1" customWidth="1"/>
    <col min="39" max="43" width="13.5703125" style="74" hidden="1" customWidth="1"/>
    <col min="44" max="65" width="9.140625" style="74" hidden="1" customWidth="1"/>
    <col min="66" max="66" width="0" style="74" hidden="1" customWidth="1"/>
    <col min="67" max="16384" width="9.140625" style="74"/>
  </cols>
  <sheetData>
    <row r="1" spans="1:50" ht="18.75" customHeight="1" thickBot="1" x14ac:dyDescent="0.25">
      <c r="A1" s="112"/>
      <c r="B1" s="113"/>
      <c r="C1" s="113"/>
      <c r="D1" s="113"/>
      <c r="E1" s="113"/>
      <c r="F1" s="113"/>
      <c r="G1" s="113"/>
      <c r="H1" s="113"/>
      <c r="I1" s="113"/>
      <c r="J1" s="114"/>
      <c r="K1" s="113"/>
      <c r="L1" s="113"/>
      <c r="M1" s="113"/>
      <c r="N1" s="113"/>
      <c r="O1" s="113"/>
      <c r="P1" s="113"/>
      <c r="Q1" s="113"/>
      <c r="R1" s="113"/>
      <c r="S1" s="113"/>
      <c r="T1" s="113"/>
      <c r="U1" s="113"/>
      <c r="V1" s="115"/>
      <c r="W1" s="275"/>
      <c r="X1" s="155"/>
      <c r="Y1" s="180"/>
      <c r="Z1" s="939" t="str">
        <f>IF(Sheet1!$C$3="Annual"," the year ending 31st March"," the quarter")</f>
        <v xml:space="preserve"> the year ending 31st March</v>
      </c>
      <c r="AA1" s="180"/>
      <c r="AB1" s="180"/>
      <c r="AC1" s="180"/>
      <c r="AD1" s="180"/>
      <c r="AE1" s="180"/>
      <c r="AF1" s="180"/>
      <c r="AG1" s="180"/>
      <c r="AH1" s="180"/>
      <c r="AI1" s="180"/>
      <c r="AJ1" s="181"/>
      <c r="AK1" s="156"/>
    </row>
    <row r="2" spans="1:50" ht="18.75" customHeight="1" x14ac:dyDescent="0.2">
      <c r="A2" s="118"/>
      <c r="B2" s="128" t="s">
        <v>22</v>
      </c>
      <c r="C2" s="9"/>
      <c r="D2" s="9"/>
      <c r="E2" s="9"/>
      <c r="F2" s="9"/>
      <c r="G2" s="9"/>
      <c r="H2" s="9"/>
      <c r="I2" s="9"/>
      <c r="J2" s="12"/>
      <c r="K2" s="9"/>
      <c r="L2" s="9"/>
      <c r="M2" s="9"/>
      <c r="N2" s="9"/>
      <c r="O2" s="9"/>
      <c r="P2" s="9"/>
      <c r="Q2" s="9"/>
      <c r="R2" s="9"/>
      <c r="S2" s="9"/>
      <c r="T2" s="9"/>
      <c r="U2" s="9"/>
      <c r="V2" s="117"/>
      <c r="W2" s="161"/>
      <c r="X2" s="150"/>
      <c r="Y2" s="866">
        <f>IF(Sheet1!$C$3="Annual",1,4)</f>
        <v>1</v>
      </c>
      <c r="Z2" s="800" t="str">
        <f>IF(Sheet1!$C$3="Annual","",Sheet1!$D$28)</f>
        <v/>
      </c>
      <c r="AA2" s="801" t="str">
        <f>IF(Sheet1!$C$3="Annual","",Sheet1!$E$28)</f>
        <v/>
      </c>
      <c r="AB2" s="801" t="str">
        <f>IF(Sheet1!$C$3="Annual","",Sheet1!$F$28)</f>
        <v/>
      </c>
      <c r="AC2" s="801" t="str">
        <f>IF(Sheet1!$C$3="Annual","",Sheet1!$G$28)</f>
        <v/>
      </c>
      <c r="AD2" s="802" t="str">
        <f>IF(Sheet1!$C$3="Annual","",Sheet1!$H$28)</f>
        <v/>
      </c>
      <c r="AJ2" s="184"/>
      <c r="AK2" s="157"/>
    </row>
    <row r="3" spans="1:50" ht="18.75" customHeight="1" thickBot="1" x14ac:dyDescent="0.25">
      <c r="A3" s="124"/>
      <c r="B3" s="125"/>
      <c r="C3" s="125"/>
      <c r="D3" s="125"/>
      <c r="E3" s="125"/>
      <c r="F3" s="125"/>
      <c r="G3" s="125"/>
      <c r="H3" s="125"/>
      <c r="I3" s="267"/>
      <c r="J3" s="126"/>
      <c r="K3" s="125"/>
      <c r="L3" s="125"/>
      <c r="M3" s="125"/>
      <c r="N3" s="125"/>
      <c r="O3" s="125"/>
      <c r="P3" s="553"/>
      <c r="Q3" s="125"/>
      <c r="R3" s="125"/>
      <c r="S3" s="125"/>
      <c r="T3" s="267"/>
      <c r="U3" s="125"/>
      <c r="V3" s="127"/>
      <c r="W3" s="161"/>
      <c r="X3" s="150"/>
      <c r="Y3" s="803"/>
      <c r="Z3" s="803" t="str">
        <f>Sheet1!$D$27</f>
        <v>2015-16</v>
      </c>
      <c r="AA3" s="804" t="str">
        <f>Sheet1!$E$27</f>
        <v>2016-17</v>
      </c>
      <c r="AB3" s="804" t="str">
        <f>Sheet1!$F$27</f>
        <v>2017-18</v>
      </c>
      <c r="AC3" s="804" t="str">
        <f>Sheet1!$G$27</f>
        <v>2018-19</v>
      </c>
      <c r="AD3" s="805" t="str">
        <f>Sheet1!$H$27</f>
        <v>2019-20</v>
      </c>
      <c r="AJ3" s="184"/>
      <c r="AK3" s="157"/>
    </row>
    <row r="4" spans="1:50" ht="11.1" customHeight="1" x14ac:dyDescent="0.2">
      <c r="A4" s="112"/>
      <c r="B4" s="113"/>
      <c r="C4" s="113"/>
      <c r="D4" s="113"/>
      <c r="E4" s="113"/>
      <c r="F4" s="113"/>
      <c r="G4" s="113"/>
      <c r="H4" s="113"/>
      <c r="I4" s="113"/>
      <c r="J4" s="114"/>
      <c r="K4" s="113"/>
      <c r="L4" s="113"/>
      <c r="M4" s="113"/>
      <c r="N4" s="113"/>
      <c r="O4" s="113"/>
      <c r="P4" s="113"/>
      <c r="Q4" s="113"/>
      <c r="R4" s="113"/>
      <c r="S4" s="113"/>
      <c r="T4" s="113"/>
      <c r="U4" s="113"/>
      <c r="V4" s="115"/>
      <c r="W4" s="137"/>
      <c r="X4" s="150"/>
      <c r="Z4" s="186" t="str">
        <f>Home!$D$10</f>
        <v>(none)</v>
      </c>
      <c r="AA4" s="42" t="str">
        <f>"Selected LA- "&amp;Z4</f>
        <v>Selected LA- (none)</v>
      </c>
      <c r="AJ4" s="184"/>
      <c r="AK4" s="157"/>
    </row>
    <row r="5" spans="1:50" s="76" customFormat="1" ht="15" customHeight="1" x14ac:dyDescent="0.2">
      <c r="A5" s="119"/>
      <c r="B5" s="1808" t="str">
        <f>"Assessments completed in"&amp;Z1</f>
        <v>Assessments completed in the year ending 31st March</v>
      </c>
      <c r="C5" s="1642"/>
      <c r="D5" s="1642"/>
      <c r="E5" s="1642"/>
      <c r="F5" s="1642"/>
      <c r="G5" s="1642"/>
      <c r="H5" s="1642"/>
      <c r="I5" s="1642"/>
      <c r="J5" s="1642"/>
      <c r="K5" s="1642"/>
      <c r="L5" s="1642"/>
      <c r="M5" s="1642"/>
      <c r="N5" s="1642"/>
      <c r="O5" s="70"/>
      <c r="P5" s="70"/>
      <c r="Q5" s="70"/>
      <c r="R5" s="70"/>
      <c r="S5" s="70"/>
      <c r="T5" s="70"/>
      <c r="U5" s="70"/>
      <c r="V5" s="120"/>
      <c r="W5" s="138"/>
      <c r="X5" s="151"/>
      <c r="Y5" s="81"/>
      <c r="Z5" s="188"/>
      <c r="AA5" s="188"/>
      <c r="AB5" s="188"/>
      <c r="AC5" s="188"/>
      <c r="AD5" s="188"/>
      <c r="AE5" s="188"/>
      <c r="AF5" s="188"/>
      <c r="AG5" s="188"/>
      <c r="AH5" s="188"/>
      <c r="AI5" s="188"/>
      <c r="AJ5" s="188"/>
      <c r="AK5" s="158"/>
      <c r="AL5" s="188" t="str">
        <f>CONCATENATE($I$7,"in Number of "&amp;$B2)</f>
        <v>Average Annual Change in Number of Assessments</v>
      </c>
      <c r="AQ5" s="74"/>
      <c r="AR5" s="74"/>
      <c r="AS5" s="74"/>
      <c r="AT5" s="74"/>
      <c r="AU5" s="74"/>
      <c r="AV5" s="74"/>
      <c r="AW5" s="74"/>
      <c r="AX5" s="74"/>
    </row>
    <row r="6" spans="1:50" ht="13.5" customHeight="1" x14ac:dyDescent="0.2">
      <c r="A6" s="118"/>
      <c r="B6" s="1642"/>
      <c r="C6" s="1642"/>
      <c r="D6" s="1642"/>
      <c r="E6" s="1642"/>
      <c r="F6" s="1642"/>
      <c r="G6" s="1642"/>
      <c r="H6" s="1642"/>
      <c r="I6" s="1642"/>
      <c r="J6" s="1642"/>
      <c r="K6" s="1642"/>
      <c r="L6" s="1642"/>
      <c r="M6" s="1642"/>
      <c r="N6" s="1642"/>
      <c r="O6" s="70"/>
      <c r="P6" s="70"/>
      <c r="Q6" s="70"/>
      <c r="R6" s="70"/>
      <c r="S6" s="70"/>
      <c r="T6" s="70"/>
      <c r="U6" s="70"/>
      <c r="V6" s="117"/>
      <c r="W6" s="137"/>
      <c r="X6" s="150"/>
      <c r="Z6" s="190"/>
      <c r="AJ6" s="184"/>
      <c r="AK6" s="157"/>
    </row>
    <row r="7" spans="1:50" s="87" customFormat="1" ht="12.75" customHeight="1" x14ac:dyDescent="0.2">
      <c r="A7" s="121"/>
      <c r="B7" s="1789" t="s">
        <v>205</v>
      </c>
      <c r="C7" s="85"/>
      <c r="D7" s="1681" t="s">
        <v>88</v>
      </c>
      <c r="E7" s="1809"/>
      <c r="F7" s="1809"/>
      <c r="G7" s="1809"/>
      <c r="H7" s="1810"/>
      <c r="I7" s="1811" t="str">
        <f>"Average "&amp;Sheet1!C3&amp;" Change "</f>
        <v xml:space="preserve">Average Annual Change </v>
      </c>
      <c r="J7" s="96"/>
      <c r="K7" s="1747" t="s">
        <v>89</v>
      </c>
      <c r="L7" s="1748"/>
      <c r="M7" s="1748"/>
      <c r="N7" s="1748"/>
      <c r="O7" s="1748"/>
      <c r="P7" s="1749"/>
      <c r="Q7" s="1744" t="str">
        <f>IF(ISNA(O9),"SE Rank "&amp;O8,"SE Rank "&amp;O9)</f>
        <v>SE Rank 2019-20</v>
      </c>
      <c r="R7" s="70"/>
      <c r="S7" s="1817" t="str">
        <f>"Distance from Expected "&amp;Sheet1!$B$8</f>
        <v>Distance from Expected 2020</v>
      </c>
      <c r="T7" s="1818"/>
      <c r="U7" s="1819"/>
      <c r="V7" s="122"/>
      <c r="W7" s="139"/>
      <c r="X7" s="152"/>
      <c r="Y7" s="202"/>
      <c r="Z7" s="202"/>
      <c r="AB7" s="203" t="s">
        <v>79</v>
      </c>
      <c r="AC7" s="190"/>
      <c r="AD7" s="190"/>
      <c r="AE7" s="199"/>
      <c r="AF7" s="199"/>
      <c r="AG7" s="204" t="s">
        <v>94</v>
      </c>
      <c r="AH7" s="190"/>
      <c r="AI7" s="190"/>
      <c r="AJ7" s="202"/>
      <c r="AK7" s="160"/>
      <c r="AQ7" s="74"/>
      <c r="AR7" s="74"/>
      <c r="AS7" s="74"/>
      <c r="AT7" s="74"/>
      <c r="AU7" s="74"/>
      <c r="AV7" s="74"/>
      <c r="AW7" s="74"/>
      <c r="AX7" s="74"/>
    </row>
    <row r="8" spans="1:50" s="87" customFormat="1" ht="12.75" customHeight="1" x14ac:dyDescent="0.2">
      <c r="A8" s="292"/>
      <c r="B8" s="1789"/>
      <c r="C8" s="85"/>
      <c r="D8" s="789" t="str">
        <f>Sheet1!$D$27</f>
        <v>2015-16</v>
      </c>
      <c r="E8" s="790" t="str">
        <f>Sheet1!$E$27</f>
        <v>2016-17</v>
      </c>
      <c r="F8" s="790" t="str">
        <f>Sheet1!$F$27</f>
        <v>2017-18</v>
      </c>
      <c r="G8" s="790" t="str">
        <f>Sheet1!$G$27</f>
        <v>2018-19</v>
      </c>
      <c r="H8" s="791" t="str">
        <f>Sheet1!$H$27</f>
        <v>2019-20</v>
      </c>
      <c r="I8" s="1812"/>
      <c r="J8" s="96"/>
      <c r="K8" s="789" t="str">
        <f>Sheet1!$D$27</f>
        <v>2015-16</v>
      </c>
      <c r="L8" s="790" t="str">
        <f>Sheet1!$E$27</f>
        <v>2016-17</v>
      </c>
      <c r="M8" s="790" t="str">
        <f>Sheet1!$F$27</f>
        <v>2017-18</v>
      </c>
      <c r="N8" s="790" t="str">
        <f>Sheet1!$G$27</f>
        <v>2018-19</v>
      </c>
      <c r="O8" s="1741" t="str">
        <f>Sheet1!$H$27</f>
        <v>2019-20</v>
      </c>
      <c r="P8" s="1742"/>
      <c r="Q8" s="1816"/>
      <c r="R8" s="70"/>
      <c r="S8" s="1820"/>
      <c r="T8" s="1821"/>
      <c r="U8" s="1822"/>
      <c r="V8" s="122"/>
      <c r="W8" s="139"/>
      <c r="X8" s="152"/>
      <c r="Y8" s="202"/>
      <c r="Z8" s="1735" t="s">
        <v>76</v>
      </c>
      <c r="AA8" s="1735" t="s">
        <v>77</v>
      </c>
      <c r="AB8" s="758" t="str">
        <f>Sheet1!$D$27</f>
        <v>2015-16</v>
      </c>
      <c r="AC8" s="758" t="str">
        <f>Sheet1!$E$27</f>
        <v>2016-17</v>
      </c>
      <c r="AD8" s="758" t="str">
        <f>Sheet1!$F$27</f>
        <v>2017-18</v>
      </c>
      <c r="AE8" s="758" t="str">
        <f>Sheet1!$G$27</f>
        <v>2018-19</v>
      </c>
      <c r="AF8" s="758" t="str">
        <f>Sheet1!$H$27</f>
        <v>2019-20</v>
      </c>
      <c r="AG8" s="204"/>
      <c r="AH8" s="190"/>
      <c r="AI8" s="190"/>
      <c r="AJ8" s="202"/>
      <c r="AK8" s="160"/>
      <c r="AQ8" s="74"/>
      <c r="AR8" s="74"/>
      <c r="AS8" s="74"/>
      <c r="AT8" s="74"/>
      <c r="AU8" s="74"/>
      <c r="AV8" s="74"/>
      <c r="AW8" s="74"/>
      <c r="AX8" s="74"/>
    </row>
    <row r="9" spans="1:50" s="87" customFormat="1" ht="12.75" customHeight="1" x14ac:dyDescent="0.2">
      <c r="A9" s="121"/>
      <c r="B9" s="1790"/>
      <c r="C9" s="85"/>
      <c r="D9" s="792" t="e">
        <f>Sheet1!$D$28</f>
        <v>#N/A</v>
      </c>
      <c r="E9" s="792" t="e">
        <f>Sheet1!$E$28</f>
        <v>#N/A</v>
      </c>
      <c r="F9" s="792" t="e">
        <f>Sheet1!$F$28</f>
        <v>#N/A</v>
      </c>
      <c r="G9" s="792" t="e">
        <f>Sheet1!$G$28</f>
        <v>#N/A</v>
      </c>
      <c r="H9" s="793" t="e">
        <f>Sheet1!$H$28</f>
        <v>#N/A</v>
      </c>
      <c r="I9" s="1813"/>
      <c r="J9" s="96"/>
      <c r="K9" s="792" t="e">
        <f>Sheet1!$D$28</f>
        <v>#N/A</v>
      </c>
      <c r="L9" s="792" t="e">
        <f>Sheet1!$E$28</f>
        <v>#N/A</v>
      </c>
      <c r="M9" s="792" t="e">
        <f>Sheet1!$F$28</f>
        <v>#N/A</v>
      </c>
      <c r="N9" s="792" t="e">
        <f>Sheet1!$G$28</f>
        <v>#N/A</v>
      </c>
      <c r="O9" s="1739" t="e">
        <f>Sheet1!$H$28</f>
        <v>#N/A</v>
      </c>
      <c r="P9" s="1827"/>
      <c r="Q9" s="1745"/>
      <c r="R9" s="70"/>
      <c r="S9" s="904" t="s">
        <v>78</v>
      </c>
      <c r="T9" s="856" t="s">
        <v>128</v>
      </c>
      <c r="U9" s="857" t="s">
        <v>129</v>
      </c>
      <c r="V9" s="122"/>
      <c r="W9" s="139"/>
      <c r="X9" s="152"/>
      <c r="Y9" s="202"/>
      <c r="Z9" s="1736"/>
      <c r="AA9" s="1736"/>
      <c r="AB9" s="758" t="e">
        <f>Sheet1!$D$28</f>
        <v>#N/A</v>
      </c>
      <c r="AC9" s="758" t="e">
        <f>Sheet1!$E$28</f>
        <v>#N/A</v>
      </c>
      <c r="AD9" s="758" t="e">
        <f>Sheet1!$F$28</f>
        <v>#N/A</v>
      </c>
      <c r="AE9" s="758" t="e">
        <f>Sheet1!$G$28</f>
        <v>#N/A</v>
      </c>
      <c r="AF9" s="758" t="e">
        <f>Sheet1!$H$28</f>
        <v>#N/A</v>
      </c>
      <c r="AG9" s="190"/>
      <c r="AH9" s="190">
        <f>COLUMNS($B$4:O$4)</f>
        <v>14</v>
      </c>
      <c r="AI9" s="190"/>
      <c r="AJ9" s="202"/>
      <c r="AK9" s="160"/>
      <c r="AL9" s="911" t="s">
        <v>676</v>
      </c>
      <c r="AM9" s="911" t="s">
        <v>677</v>
      </c>
      <c r="AN9" s="911" t="s">
        <v>678</v>
      </c>
      <c r="AO9" s="911" t="s">
        <v>679</v>
      </c>
      <c r="AP9" s="911" t="s">
        <v>680</v>
      </c>
      <c r="AQ9" s="74"/>
      <c r="AR9" s="74"/>
      <c r="AS9" s="74"/>
      <c r="AT9" s="74"/>
      <c r="AU9" s="74"/>
      <c r="AV9" s="74"/>
      <c r="AW9" s="74"/>
      <c r="AX9" s="74"/>
    </row>
    <row r="10" spans="1:50" s="87" customFormat="1" ht="13.5" customHeight="1" x14ac:dyDescent="0.2">
      <c r="A10" s="488">
        <f>VLOOKUP(B10,Sheet1!$AQ$4:$AR$25,2,FALSE)</f>
        <v>0</v>
      </c>
      <c r="B10" s="93" t="str">
        <f>Sheet1!$K$4</f>
        <v>Bracknell Forest</v>
      </c>
      <c r="C10" s="85"/>
      <c r="D10" s="94">
        <f>IF(Year1_Bracknell_Forest Year1_Assessments="","",Year1_Bracknell_Forest Year1_Assessments)</f>
        <v>1099</v>
      </c>
      <c r="E10" s="94">
        <f>IF(Year2_Bracknell_Forest Year2_Assessments="","",Year2_Bracknell_Forest Year2_Assessments)</f>
        <v>1393</v>
      </c>
      <c r="F10" s="94">
        <f>IF(Year3_Bracknell_Forest Year3_Assessments="","",Year3_Bracknell_Forest Year3_Assessments)</f>
        <v>1670</v>
      </c>
      <c r="G10" s="94">
        <f>IF(Year4_Bracknell_Forest Year4_Assessments="","",Year4_Bracknell_Forest Year4_Assessments)</f>
        <v>1703</v>
      </c>
      <c r="H10" s="95">
        <f>IF(Year5_Bracknell_Forest Year5_Assessments="","",Year5_Bracknell_Forest Year5_Assessments)</f>
        <v>1531</v>
      </c>
      <c r="I10" s="344">
        <f>AP10</f>
        <v>9.6282391015600391E-2</v>
      </c>
      <c r="J10" s="96"/>
      <c r="K10" s="97">
        <f>IF(ISNUMBER(D10),D10/Population!D10*10000,NA())</f>
        <v>389.71631205673754</v>
      </c>
      <c r="L10" s="97">
        <f>IF(ISNUMBER(E10),E10/Population!E10*10000,NA())</f>
        <v>493.97163120567376</v>
      </c>
      <c r="M10" s="97">
        <f>IF(ISNUMBER(F10),F10/Population!F10*10000,NA())</f>
        <v>594.3060498220641</v>
      </c>
      <c r="N10" s="97">
        <f>IF(ISNUMBER(G10),G10/Population!G10*10000,NA())</f>
        <v>601.76678445229686</v>
      </c>
      <c r="O10" s="929">
        <f>IF(ISNUMBER(H10),H10/Population!H10*10000,NA())</f>
        <v>539.08450704225356</v>
      </c>
      <c r="P10" s="99">
        <f>IF(ISNUMBER(O10),O10,"")</f>
        <v>539.08450704225356</v>
      </c>
      <c r="Q10" s="933">
        <f>IF(ISNA(VLOOKUP(B10,$AG$10:$AI$28,3,FALSE)),"--",IF(ISNUMBER(H10),VLOOKUP(B10,$AG$10:$AI$28,3,FALSE),NA()))</f>
        <v>8</v>
      </c>
      <c r="R10" s="70"/>
      <c r="S10" s="340">
        <f>IDACI!C9</f>
        <v>8.9</v>
      </c>
      <c r="T10" s="341">
        <f t="shared" ref="T10:T33" si="0">((S10*$Z$44)+$AA$44)/$Y$2</f>
        <v>418.02156213705825</v>
      </c>
      <c r="U10" s="342">
        <f>O10-T10</f>
        <v>121.06294490519531</v>
      </c>
      <c r="V10" s="122"/>
      <c r="W10" s="139"/>
      <c r="X10" s="152"/>
      <c r="Y10" s="72" t="str">
        <f t="shared" ref="Y10:Y33" si="1">B10</f>
        <v>Bracknell Forest</v>
      </c>
      <c r="Z10" s="44">
        <f>IF(ISNUMBER($H10),IDACI!D9,0)</f>
        <v>24849</v>
      </c>
      <c r="AA10" s="44">
        <f>IF(ISNUMBER($H10),IDACI!E9,0)</f>
        <v>2211.5610000000001</v>
      </c>
      <c r="AB10" s="205">
        <f>IF(ISNUMBER(D10),Population!D10,"")</f>
        <v>28200</v>
      </c>
      <c r="AC10" s="205">
        <f>IF(ISNUMBER(E10),Population!E10,"")</f>
        <v>28200</v>
      </c>
      <c r="AD10" s="205">
        <f>IF(ISNUMBER(F10),Population!F10,"")</f>
        <v>28100</v>
      </c>
      <c r="AE10" s="205">
        <f>IF(ISNUMBER(G10),Population!G10,"")</f>
        <v>28300</v>
      </c>
      <c r="AF10" s="205">
        <f>IF(ISNUMBER(H10),Population!H10,"")</f>
        <v>28400</v>
      </c>
      <c r="AG10" s="93" t="str">
        <f>B10</f>
        <v>Bracknell Forest</v>
      </c>
      <c r="AH10" s="231">
        <f>IFERROR(VLOOKUP(AG10,$B$10:$O$31,$AH$9,FALSE),"")</f>
        <v>539.08450704225356</v>
      </c>
      <c r="AI10" s="206">
        <f>RANK(AH10,$AH$10:$AH$28,1)</f>
        <v>8</v>
      </c>
      <c r="AJ10" s="202"/>
      <c r="AK10" s="160"/>
      <c r="AL10" s="853">
        <f t="shared" ref="AL10:AL31" si="2">IF(ISERROR((E10-D10)/D10),"x",(E10-D10)/D10)</f>
        <v>0.26751592356687898</v>
      </c>
      <c r="AM10" s="853">
        <f t="shared" ref="AM10:AM31" si="3">IF(ISERROR((F10-E10)/E10),"x",(F10-E10)/E10)</f>
        <v>0.19885139985642497</v>
      </c>
      <c r="AN10" s="853">
        <f t="shared" ref="AN10:AN31" si="4">IF(ISERROR((G10-F10)/F10),"x",(G10-F10)/F10)</f>
        <v>1.9760479041916169E-2</v>
      </c>
      <c r="AO10" s="853">
        <f t="shared" ref="AO10:AO31" si="5">IF(ISERROR((H10-G10)/G10),"x",(H10-G10)/G10)</f>
        <v>-0.10099823840281856</v>
      </c>
      <c r="AP10" s="853">
        <f>AVERAGE(AL10:AO10)</f>
        <v>9.6282391015600391E-2</v>
      </c>
      <c r="AQ10" s="74"/>
      <c r="AR10" s="74"/>
      <c r="AS10" s="74"/>
      <c r="AT10" s="74"/>
      <c r="AU10" s="74"/>
      <c r="AV10" s="74"/>
      <c r="AW10" s="74"/>
      <c r="AX10" s="74"/>
    </row>
    <row r="11" spans="1:50" s="87" customFormat="1" ht="13.5" customHeight="1" x14ac:dyDescent="0.2">
      <c r="A11" s="488">
        <f>VLOOKUP(B11,Sheet1!$AQ$4:$AR$25,2,FALSE)</f>
        <v>0</v>
      </c>
      <c r="B11" s="93" t="str">
        <f>Sheet1!$K$5</f>
        <v>Brighton &amp; Hove</v>
      </c>
      <c r="C11" s="85"/>
      <c r="D11" s="94">
        <f>IF(Year1_Brighton_Hove Year1_Assessments="","",Year1_Brighton_Hove Year1_Assessments)</f>
        <v>2868</v>
      </c>
      <c r="E11" s="94">
        <f>IF(Year2_Brighton_Hove Year2_Assessments="","",Year2_Brighton_Hove Year2_Assessments)</f>
        <v>3020</v>
      </c>
      <c r="F11" s="94">
        <f>IF(Year3_Brighton_Hove Year3_Assessments="","",Year3_Brighton_Hove Year3_Assessments)</f>
        <v>2701</v>
      </c>
      <c r="G11" s="94">
        <f>IF(Year4_Brighton_Hove Year4_Assessments="","",Year4_Brighton_Hove Year4_Assessments)</f>
        <v>2470</v>
      </c>
      <c r="H11" s="95">
        <f>IF(Year5_Brighton_Hove Year5_Assessments="","",Year5_Brighton_Hove Year5_Assessments)</f>
        <v>2754</v>
      </c>
      <c r="I11" s="344">
        <f t="shared" ref="I11:I33" si="6">AP11</f>
        <v>-5.7936641830987241E-3</v>
      </c>
      <c r="J11" s="96"/>
      <c r="K11" s="97">
        <f>IF(ISNUMBER(D11),D11/Population!D11*10000,NA())</f>
        <v>560.15625</v>
      </c>
      <c r="L11" s="97">
        <f>IF(ISNUMBER(E11),E11/Population!E11*10000,NA())</f>
        <v>588.69395711500977</v>
      </c>
      <c r="M11" s="97">
        <f>IF(ISNUMBER(F11),F11/Population!F11*10000,NA())</f>
        <v>529.60784313725492</v>
      </c>
      <c r="N11" s="97">
        <f>IF(ISNUMBER(G11),G11/Population!G11*10000,NA())</f>
        <v>484.31372549019608</v>
      </c>
      <c r="O11" s="98">
        <f>IF(ISNUMBER(H11),H11/Population!H11*10000,NA())</f>
        <v>547.51491053677933</v>
      </c>
      <c r="P11" s="99">
        <f t="shared" ref="P11:P33" si="7">IF(ISNUMBER(O11),O11,"")</f>
        <v>547.51491053677933</v>
      </c>
      <c r="Q11" s="933">
        <f t="shared" ref="Q11:Q33" si="8">IF(ISNA(VLOOKUP(B11,$AG$10:$AI$28,3,FALSE)),"--",IF(ISNUMBER(H11),VLOOKUP(B11,$AG$10:$AI$28,3,FALSE),NA()))</f>
        <v>9</v>
      </c>
      <c r="R11" s="70"/>
      <c r="S11" s="340">
        <f>IDACI!C10</f>
        <v>15.299999999999999</v>
      </c>
      <c r="T11" s="341">
        <f t="shared" si="0"/>
        <v>541.14301784029044</v>
      </c>
      <c r="U11" s="342">
        <f t="shared" ref="U11:U33" si="9">O11-T11</f>
        <v>6.3718926964888851</v>
      </c>
      <c r="V11" s="122"/>
      <c r="W11" s="139"/>
      <c r="X11" s="152"/>
      <c r="Y11" s="72" t="str">
        <f t="shared" si="1"/>
        <v>Brighton &amp; Hove</v>
      </c>
      <c r="Z11" s="44">
        <f>IF(ISNUMBER($H11),IDACI!D10,0)</f>
        <v>45576</v>
      </c>
      <c r="AA11" s="44">
        <f>IF(ISNUMBER($H11),IDACI!E10,0)</f>
        <v>6973.1279999999997</v>
      </c>
      <c r="AB11" s="205">
        <f>IF(ISNUMBER(D11),Population!D11,"")</f>
        <v>51200</v>
      </c>
      <c r="AC11" s="205">
        <f>IF(ISNUMBER(E11),Population!E11,"")</f>
        <v>51300</v>
      </c>
      <c r="AD11" s="205">
        <f>IF(ISNUMBER(F11),Population!F11,"")</f>
        <v>51000</v>
      </c>
      <c r="AE11" s="205">
        <f>IF(ISNUMBER(G11),Population!G11,"")</f>
        <v>51000</v>
      </c>
      <c r="AF11" s="205">
        <f>IF(ISNUMBER(H11),Population!H11,"")</f>
        <v>50300</v>
      </c>
      <c r="AG11" s="93" t="s">
        <v>31</v>
      </c>
      <c r="AH11" s="231">
        <f t="shared" ref="AH11:AH28" si="10">IFERROR(VLOOKUP(AG11,$B$10:$O$31,$AH$9,FALSE),"")</f>
        <v>547.51491053677933</v>
      </c>
      <c r="AI11" s="206">
        <f t="shared" ref="AI11:AI28" si="11">RANK(AH11,$AH$10:$AH$28,1)</f>
        <v>9</v>
      </c>
      <c r="AJ11" s="202"/>
      <c r="AK11" s="160"/>
      <c r="AL11" s="853">
        <f t="shared" si="2"/>
        <v>5.2998605299860529E-2</v>
      </c>
      <c r="AM11" s="853">
        <f t="shared" si="3"/>
        <v>-0.10562913907284768</v>
      </c>
      <c r="AN11" s="853">
        <f t="shared" si="4"/>
        <v>-8.5523880044427986E-2</v>
      </c>
      <c r="AO11" s="853">
        <f t="shared" si="5"/>
        <v>0.11497975708502024</v>
      </c>
      <c r="AP11" s="853">
        <f t="shared" ref="AP11:AP32" si="12">AVERAGE(AL11:AO11)</f>
        <v>-5.7936641830987241E-3</v>
      </c>
      <c r="AQ11" s="74"/>
      <c r="AR11" s="74"/>
      <c r="AS11" s="74"/>
      <c r="AT11" s="74"/>
      <c r="AU11" s="74"/>
      <c r="AV11" s="74"/>
      <c r="AW11" s="74"/>
      <c r="AX11" s="74"/>
    </row>
    <row r="12" spans="1:50" s="87" customFormat="1" ht="13.5" customHeight="1" x14ac:dyDescent="0.2">
      <c r="A12" s="488">
        <f>VLOOKUP(B12,Sheet1!$AQ$4:$AR$25,2,FALSE)</f>
        <v>0</v>
      </c>
      <c r="B12" s="93" t="str">
        <f>Sheet1!$K$6</f>
        <v>Buckinghamshire</v>
      </c>
      <c r="C12" s="85"/>
      <c r="D12" s="94">
        <f>IF(Year1_Buckinghamshire Year1_Assessments="","",Year1_Buckinghamshire Year1_Assessments)</f>
        <v>5597</v>
      </c>
      <c r="E12" s="94">
        <f>IF(Year2_Buckinghamshire Year2_Assessments="","",Year2_Buckinghamshire Year2_Assessments)</f>
        <v>6680</v>
      </c>
      <c r="F12" s="94">
        <f>IF(Year3_Buckinghamshire Year3_Assessments="","",Year3_Buckinghamshire Year3_Assessments)</f>
        <v>8366</v>
      </c>
      <c r="G12" s="94">
        <f>IF(Year4_Buckinghamshire Year4_Assessments="","",Year4_Buckinghamshire Year4_Assessments)</f>
        <v>7819</v>
      </c>
      <c r="H12" s="95">
        <f>IF(Year5_Buckinghamshire Year5_Assessments="","",Year5_Buckinghamshire Year5_Assessments)</f>
        <v>8122</v>
      </c>
      <c r="I12" s="344">
        <f t="shared" si="6"/>
        <v>0.10481494704910502</v>
      </c>
      <c r="J12" s="96"/>
      <c r="K12" s="97">
        <f>IF(ISNUMBER(D12),D12/Population!D12*10000,NA())</f>
        <v>464.09618573797678</v>
      </c>
      <c r="L12" s="97">
        <f>IF(ISNUMBER(E12),E12/Population!E12*10000,NA())</f>
        <v>546.64484451718499</v>
      </c>
      <c r="M12" s="97">
        <f>IF(ISNUMBER(F12),F12/Population!F12*10000,NA())</f>
        <v>679.61007311129163</v>
      </c>
      <c r="N12" s="97">
        <f>IF(ISNUMBER(G12),G12/Population!G12*10000,NA())</f>
        <v>629.04263877715209</v>
      </c>
      <c r="O12" s="98">
        <f>IF(ISNUMBER(H12),H12/Population!H12*10000,NA())</f>
        <v>646.14160700079549</v>
      </c>
      <c r="P12" s="99">
        <f t="shared" si="7"/>
        <v>646.14160700079549</v>
      </c>
      <c r="Q12" s="933">
        <f t="shared" si="8"/>
        <v>14</v>
      </c>
      <c r="R12" s="70"/>
      <c r="S12" s="340">
        <f>IDACI!C11</f>
        <v>8.5</v>
      </c>
      <c r="T12" s="341">
        <f t="shared" si="0"/>
        <v>410.32647115560627</v>
      </c>
      <c r="U12" s="342">
        <f t="shared" si="9"/>
        <v>235.81513584518922</v>
      </c>
      <c r="V12" s="122"/>
      <c r="W12" s="139"/>
      <c r="X12" s="152"/>
      <c r="Y12" s="72" t="str">
        <f t="shared" si="1"/>
        <v>Buckinghamshire</v>
      </c>
      <c r="Z12" s="44">
        <f>IF(ISNUMBER($H12),IDACI!D11,0)</f>
        <v>107385</v>
      </c>
      <c r="AA12" s="44">
        <f>IF(ISNUMBER($H12),IDACI!E11,0)</f>
        <v>9127.7250000000004</v>
      </c>
      <c r="AB12" s="205">
        <f>IF(ISNUMBER(D12),Population!D12,"")</f>
        <v>120600</v>
      </c>
      <c r="AC12" s="205">
        <f>IF(ISNUMBER(E12),Population!E12,"")</f>
        <v>122200</v>
      </c>
      <c r="AD12" s="205">
        <f>IF(ISNUMBER(F12),Population!F12,"")</f>
        <v>123100</v>
      </c>
      <c r="AE12" s="205">
        <f>IF(ISNUMBER(G12),Population!G12,"")</f>
        <v>124300</v>
      </c>
      <c r="AF12" s="205">
        <f>IF(ISNUMBER(H12),Population!H12,"")</f>
        <v>125700</v>
      </c>
      <c r="AG12" s="93" t="s">
        <v>8</v>
      </c>
      <c r="AH12" s="231">
        <f t="shared" si="10"/>
        <v>646.14160700079549</v>
      </c>
      <c r="AI12" s="206">
        <f t="shared" si="11"/>
        <v>14</v>
      </c>
      <c r="AJ12" s="202"/>
      <c r="AK12" s="160"/>
      <c r="AL12" s="853">
        <f t="shared" si="2"/>
        <v>0.1934965159907093</v>
      </c>
      <c r="AM12" s="853">
        <f t="shared" si="3"/>
        <v>0.25239520958083833</v>
      </c>
      <c r="AN12" s="853">
        <f t="shared" si="4"/>
        <v>-6.5383695912024864E-2</v>
      </c>
      <c r="AO12" s="853">
        <f t="shared" si="5"/>
        <v>3.8751758536897302E-2</v>
      </c>
      <c r="AP12" s="853">
        <f t="shared" si="12"/>
        <v>0.10481494704910502</v>
      </c>
      <c r="AQ12" s="74"/>
      <c r="AR12" s="74"/>
      <c r="AS12" s="74"/>
      <c r="AT12" s="74"/>
      <c r="AU12" s="74"/>
      <c r="AV12" s="74"/>
      <c r="AW12" s="74"/>
      <c r="AX12" s="74"/>
    </row>
    <row r="13" spans="1:50" s="87" customFormat="1" ht="13.5" customHeight="1" x14ac:dyDescent="0.2">
      <c r="A13" s="488">
        <f>VLOOKUP(B13,Sheet1!$AQ$4:$AR$25,2,FALSE)</f>
        <v>0</v>
      </c>
      <c r="B13" s="93" t="str">
        <f>Sheet1!$K$7</f>
        <v>East Sussex</v>
      </c>
      <c r="C13" s="85"/>
      <c r="D13" s="94">
        <f>IF(Year1_East_Sussex Year1_Assessments="","",Year1_East_Sussex Year1_Assessments)</f>
        <v>2485</v>
      </c>
      <c r="E13" s="100">
        <f>IF(Year2_East_Sussex Year2_Assessments="","",Year2_East_Sussex Year2_Assessments)</f>
        <v>3143</v>
      </c>
      <c r="F13" s="94">
        <f>IF(Year3_East_Sussex Year3_Assessments="","",Year3_East_Sussex Year3_Assessments)</f>
        <v>3580</v>
      </c>
      <c r="G13" s="94">
        <f>IF(Year4_East_Sussex Year4_Assessments="","",Year4_East_Sussex Year4_Assessments)</f>
        <v>3598</v>
      </c>
      <c r="H13" s="95">
        <f>IF(Year5_East_Sussex Year5_Assessments="","",Year5_East_Sussex Year5_Assessments)</f>
        <v>3470</v>
      </c>
      <c r="I13" s="344">
        <f t="shared" si="6"/>
        <v>9.3320120079509863E-2</v>
      </c>
      <c r="J13" s="96"/>
      <c r="K13" s="97">
        <f>IF(ISNUMBER(D13),D13/Population!D13*10000,NA())</f>
        <v>234.65533522190745</v>
      </c>
      <c r="L13" s="97">
        <f>IF(ISNUMBER(E13),E13/Population!E13*10000,NA())</f>
        <v>296.78942398489141</v>
      </c>
      <c r="M13" s="97">
        <f>IF(ISNUMBER(F13),F13/Population!F13*10000,NA())</f>
        <v>337.73584905660374</v>
      </c>
      <c r="N13" s="97">
        <f>IF(ISNUMBER(G13),G13/Population!G13*10000,NA())</f>
        <v>338.15789473684208</v>
      </c>
      <c r="O13" s="98">
        <f>IF(ISNUMBER(H13),H13/Population!H13*10000,NA())</f>
        <v>326.43461900282222</v>
      </c>
      <c r="P13" s="99">
        <f t="shared" si="7"/>
        <v>326.43461900282222</v>
      </c>
      <c r="Q13" s="933">
        <f t="shared" si="8"/>
        <v>1</v>
      </c>
      <c r="R13" s="70"/>
      <c r="S13" s="340">
        <f>IDACI!C12</f>
        <v>16.100000000000001</v>
      </c>
      <c r="T13" s="341">
        <f t="shared" si="0"/>
        <v>556.53319980319452</v>
      </c>
      <c r="U13" s="342">
        <f t="shared" si="9"/>
        <v>-230.0985808003723</v>
      </c>
      <c r="V13" s="122"/>
      <c r="W13" s="139"/>
      <c r="X13" s="152"/>
      <c r="Y13" s="72" t="str">
        <f t="shared" si="1"/>
        <v>East Sussex</v>
      </c>
      <c r="Z13" s="44">
        <f>IF(ISNUMBER($H13),IDACI!D12,0)</f>
        <v>93130</v>
      </c>
      <c r="AA13" s="44">
        <f>IF(ISNUMBER($H13),IDACI!E12,0)</f>
        <v>14993.93</v>
      </c>
      <c r="AB13" s="205">
        <f>IF(ISNUMBER(D13),Population!D13,"")</f>
        <v>105900</v>
      </c>
      <c r="AC13" s="205">
        <f>IF(ISNUMBER(E13),Population!E13,"")</f>
        <v>105900</v>
      </c>
      <c r="AD13" s="205">
        <f>IF(ISNUMBER(F13),Population!F13,"")</f>
        <v>106000</v>
      </c>
      <c r="AE13" s="205">
        <f>IF(ISNUMBER(G13),Population!G13,"")</f>
        <v>106400</v>
      </c>
      <c r="AF13" s="205">
        <f>IF(ISNUMBER(H13),Population!H13,"")</f>
        <v>106300</v>
      </c>
      <c r="AG13" s="93" t="s">
        <v>4</v>
      </c>
      <c r="AH13" s="231">
        <f t="shared" si="10"/>
        <v>326.43461900282222</v>
      </c>
      <c r="AI13" s="206">
        <f t="shared" si="11"/>
        <v>1</v>
      </c>
      <c r="AJ13" s="202"/>
      <c r="AK13" s="160"/>
      <c r="AL13" s="853">
        <f t="shared" si="2"/>
        <v>0.26478873239436618</v>
      </c>
      <c r="AM13" s="853">
        <f t="shared" si="3"/>
        <v>0.13903913458479161</v>
      </c>
      <c r="AN13" s="853">
        <f t="shared" si="4"/>
        <v>5.0279329608938546E-3</v>
      </c>
      <c r="AO13" s="853">
        <f t="shared" si="5"/>
        <v>-3.5575319622012228E-2</v>
      </c>
      <c r="AP13" s="853">
        <f t="shared" si="12"/>
        <v>9.3320120079509863E-2</v>
      </c>
      <c r="AQ13" s="74"/>
      <c r="AR13" s="74"/>
      <c r="AS13" s="74"/>
      <c r="AT13" s="74"/>
      <c r="AU13" s="74"/>
      <c r="AV13" s="74"/>
      <c r="AW13" s="74"/>
      <c r="AX13" s="74"/>
    </row>
    <row r="14" spans="1:50" s="87" customFormat="1" ht="13.5" customHeight="1" x14ac:dyDescent="0.2">
      <c r="A14" s="488">
        <f>VLOOKUP(B14,Sheet1!$AQ$4:$AR$25,2,FALSE)</f>
        <v>0</v>
      </c>
      <c r="B14" s="93" t="str">
        <f>Sheet1!$K$8</f>
        <v>Hampshire</v>
      </c>
      <c r="C14" s="85"/>
      <c r="D14" s="94">
        <f>IF(Year1_Hampshire Year1_Assessments="","",Year1_Hampshire Year1_Assessments)</f>
        <v>16931</v>
      </c>
      <c r="E14" s="94">
        <f>IF(Year2_Hampshire Year2_Assessments="","",Year2_Hampshire Year2_Assessments)</f>
        <v>19841</v>
      </c>
      <c r="F14" s="101">
        <f>IF(Year3_Hampshire Year3_Assessments="","",Year3_Hampshire Year3_Assessments)</f>
        <v>17660</v>
      </c>
      <c r="G14" s="101">
        <f>IF(Year4_Hampshire Year4_Assessments="","",Year4_Hampshire Year4_Assessments)</f>
        <v>18003</v>
      </c>
      <c r="H14" s="95">
        <f>IF(Year5_Hampshire Year5_Assessments="","",Year5_Hampshire Year5_Assessments)</f>
        <v>19712</v>
      </c>
      <c r="I14" s="344">
        <f t="shared" si="6"/>
        <v>4.4075307183744313E-2</v>
      </c>
      <c r="J14" s="96"/>
      <c r="K14" s="97">
        <f>IF(ISNUMBER(D14),D14/Population!D14*10000,NA())</f>
        <v>600.60305072720826</v>
      </c>
      <c r="L14" s="97">
        <f>IF(ISNUMBER(E14),E14/Population!E14*10000,NA())</f>
        <v>701.59123055162661</v>
      </c>
      <c r="M14" s="97">
        <f>IF(ISNUMBER(F14),F14/Population!F14*10000,NA())</f>
        <v>623.36745499470521</v>
      </c>
      <c r="N14" s="97">
        <f>IF(ISNUMBER(G14),G14/Population!G14*10000,NA())</f>
        <v>633.90845070422529</v>
      </c>
      <c r="O14" s="98">
        <f>IF(ISNUMBER(H14),H14/Population!H14*10000,NA())</f>
        <v>693.35209285965527</v>
      </c>
      <c r="P14" s="99">
        <f t="shared" si="7"/>
        <v>693.35209285965527</v>
      </c>
      <c r="Q14" s="933">
        <f t="shared" si="8"/>
        <v>15</v>
      </c>
      <c r="R14" s="70"/>
      <c r="S14" s="340">
        <f>IDACI!C13</f>
        <v>10.100000000000001</v>
      </c>
      <c r="T14" s="341">
        <f t="shared" si="0"/>
        <v>441.10683508141437</v>
      </c>
      <c r="U14" s="342">
        <f t="shared" si="9"/>
        <v>252.2452577782409</v>
      </c>
      <c r="V14" s="122"/>
      <c r="W14" s="139"/>
      <c r="X14" s="152"/>
      <c r="Y14" s="72" t="str">
        <f t="shared" si="1"/>
        <v>Hampshire</v>
      </c>
      <c r="Z14" s="44">
        <f>IF(ISNUMBER($H14),IDACI!D13,0)</f>
        <v>249483</v>
      </c>
      <c r="AA14" s="44">
        <f>IF(ISNUMBER($H14),IDACI!E13,0)</f>
        <v>25197.783000000007</v>
      </c>
      <c r="AB14" s="205">
        <f>IF(ISNUMBER(D14),Population!D14,"")</f>
        <v>281900</v>
      </c>
      <c r="AC14" s="205">
        <f>IF(ISNUMBER(E14),Population!E14,"")</f>
        <v>282800</v>
      </c>
      <c r="AD14" s="205">
        <f>IF(ISNUMBER(F14),Population!F14,"")</f>
        <v>283300</v>
      </c>
      <c r="AE14" s="205">
        <f>IF(ISNUMBER(G14),Population!G14,"")</f>
        <v>284000</v>
      </c>
      <c r="AF14" s="205">
        <f>IF(ISNUMBER(H14),Population!H14,"")</f>
        <v>284300</v>
      </c>
      <c r="AG14" s="93" t="s">
        <v>6</v>
      </c>
      <c r="AH14" s="231">
        <f t="shared" si="10"/>
        <v>693.35209285965527</v>
      </c>
      <c r="AI14" s="206">
        <f t="shared" si="11"/>
        <v>15</v>
      </c>
      <c r="AJ14" s="202"/>
      <c r="AK14" s="160"/>
      <c r="AL14" s="853">
        <f t="shared" si="2"/>
        <v>0.17187407713661332</v>
      </c>
      <c r="AM14" s="853">
        <f t="shared" si="3"/>
        <v>-0.10992389496497153</v>
      </c>
      <c r="AN14" s="853">
        <f t="shared" si="4"/>
        <v>1.9422423556058891E-2</v>
      </c>
      <c r="AO14" s="853">
        <f t="shared" si="5"/>
        <v>9.4928623007276572E-2</v>
      </c>
      <c r="AP14" s="853">
        <f t="shared" si="12"/>
        <v>4.4075307183744313E-2</v>
      </c>
      <c r="AQ14" s="74"/>
      <c r="AR14" s="74"/>
      <c r="AS14" s="74"/>
      <c r="AT14" s="74"/>
      <c r="AU14" s="74"/>
      <c r="AV14" s="74"/>
      <c r="AW14" s="74"/>
      <c r="AX14" s="74"/>
    </row>
    <row r="15" spans="1:50" s="87" customFormat="1" ht="13.5" customHeight="1" x14ac:dyDescent="0.2">
      <c r="A15" s="488">
        <f>VLOOKUP(B15,Sheet1!$AQ$4:$AR$25,2,FALSE)</f>
        <v>0</v>
      </c>
      <c r="B15" s="93" t="str">
        <f>Sheet1!$K$9</f>
        <v>Isle of Wight</v>
      </c>
      <c r="C15" s="85"/>
      <c r="D15" s="94">
        <f>IF(Year1_Isle_of_Wight Year1_Assessments="","",Year1_Isle_of_Wight Year1_Assessments)</f>
        <v>2395</v>
      </c>
      <c r="E15" s="94">
        <f>IF(Year2_Isle_of_Wight Year2_Assessments="","",Year2_Isle_of_Wight Year2_Assessments)</f>
        <v>2691</v>
      </c>
      <c r="F15" s="94">
        <f>IF(Year3_Isle_of_Wight Year3_Assessments="","",Year3_Isle_of_Wight Year3_Assessments)</f>
        <v>2679</v>
      </c>
      <c r="G15" s="94">
        <f>IF(Year4_Isle_of_Wight Year4_Assessments="","",Year4_Isle_of_Wight Year4_Assessments)</f>
        <v>1965</v>
      </c>
      <c r="H15" s="95">
        <f>IF(Year5_Isle_of_Wight Year5_Assessments="","",Year5_Isle_of_Wight Year5_Assessments)</f>
        <v>3149</v>
      </c>
      <c r="I15" s="344">
        <f t="shared" si="6"/>
        <v>0.11378966935708734</v>
      </c>
      <c r="J15" s="96"/>
      <c r="K15" s="97">
        <f>IF(ISNUMBER(D15),D15/Population!D15*10000,NA())</f>
        <v>946.64031620553351</v>
      </c>
      <c r="L15" s="97">
        <f>IF(ISNUMBER(E15),E15/Population!E15*10000,NA())</f>
        <v>1067.8571428571429</v>
      </c>
      <c r="M15" s="97">
        <f>IF(ISNUMBER(F15),F15/Population!F15*10000,NA())</f>
        <v>1067.3306772908368</v>
      </c>
      <c r="N15" s="97">
        <f>IF(ISNUMBER(G15),G15/Population!G15*10000,NA())</f>
        <v>789.15662650602405</v>
      </c>
      <c r="O15" s="98">
        <f>IF(ISNUMBER(H15),H15/Population!H15*10000,NA())</f>
        <v>1274.8987854251013</v>
      </c>
      <c r="P15" s="99">
        <f t="shared" si="7"/>
        <v>1274.8987854251013</v>
      </c>
      <c r="Q15" s="933">
        <f t="shared" si="8"/>
        <v>19</v>
      </c>
      <c r="R15" s="70"/>
      <c r="S15" s="340">
        <f>IDACI!C14</f>
        <v>18</v>
      </c>
      <c r="T15" s="341">
        <f t="shared" si="0"/>
        <v>593.08488196509165</v>
      </c>
      <c r="U15" s="342">
        <f t="shared" si="9"/>
        <v>681.81390346000967</v>
      </c>
      <c r="V15" s="122"/>
      <c r="W15" s="139"/>
      <c r="X15" s="152"/>
      <c r="Y15" s="72" t="str">
        <f t="shared" si="1"/>
        <v>Isle of Wight</v>
      </c>
      <c r="Z15" s="44">
        <f>IF(ISNUMBER($H15),IDACI!D14,0)</f>
        <v>22123</v>
      </c>
      <c r="AA15" s="44">
        <f>IF(ISNUMBER($H15),IDACI!E14,0)</f>
        <v>3982.14</v>
      </c>
      <c r="AB15" s="205">
        <f>IF(ISNUMBER(D15),Population!D15,"")</f>
        <v>25300</v>
      </c>
      <c r="AC15" s="205">
        <f>IF(ISNUMBER(E15),Population!E15,"")</f>
        <v>25200</v>
      </c>
      <c r="AD15" s="205">
        <f>IF(ISNUMBER(F15),Population!F15,"")</f>
        <v>25100</v>
      </c>
      <c r="AE15" s="205">
        <f>IF(ISNUMBER(G15),Population!G15,"")</f>
        <v>24900</v>
      </c>
      <c r="AF15" s="205">
        <f>IF(ISNUMBER(H15),Population!H15,"")</f>
        <v>24700</v>
      </c>
      <c r="AG15" s="93" t="s">
        <v>1</v>
      </c>
      <c r="AH15" s="231">
        <f t="shared" si="10"/>
        <v>1274.8987854251013</v>
      </c>
      <c r="AI15" s="206">
        <f t="shared" si="11"/>
        <v>19</v>
      </c>
      <c r="AJ15" s="202"/>
      <c r="AK15" s="160"/>
      <c r="AL15" s="853">
        <f t="shared" si="2"/>
        <v>0.12359081419624217</v>
      </c>
      <c r="AM15" s="853">
        <f t="shared" si="3"/>
        <v>-4.459308807134894E-3</v>
      </c>
      <c r="AN15" s="853">
        <f t="shared" si="4"/>
        <v>-0.26651735722284436</v>
      </c>
      <c r="AO15" s="853">
        <f t="shared" si="5"/>
        <v>0.60254452926208646</v>
      </c>
      <c r="AP15" s="853">
        <f t="shared" si="12"/>
        <v>0.11378966935708734</v>
      </c>
      <c r="AQ15" s="74"/>
      <c r="AR15" s="74"/>
      <c r="AS15" s="74"/>
      <c r="AT15" s="74"/>
      <c r="AU15" s="74"/>
      <c r="AV15" s="74"/>
      <c r="AW15" s="74"/>
      <c r="AX15" s="74"/>
    </row>
    <row r="16" spans="1:50" s="87" customFormat="1" ht="13.5" customHeight="1" x14ac:dyDescent="0.2">
      <c r="A16" s="488">
        <f>VLOOKUP(B16,Sheet1!$AQ$4:$AR$25,2,FALSE)</f>
        <v>0</v>
      </c>
      <c r="B16" s="93" t="str">
        <f>Sheet1!$K$10</f>
        <v>Kent</v>
      </c>
      <c r="C16" s="85"/>
      <c r="D16" s="94">
        <f>IF(Year1_Kent Year1_Assessments="","",Year1_Kent Year1_Assessments)</f>
        <v>16440</v>
      </c>
      <c r="E16" s="94">
        <f>IF(Year2_Kent Year2_Assessments="","",Year2_Kent Year2_Assessments)</f>
        <v>16366</v>
      </c>
      <c r="F16" s="94">
        <f>IF(Year3_Kent Year3_Assessments="","",Year3_Kent Year3_Assessments)</f>
        <v>18827</v>
      </c>
      <c r="G16" s="94">
        <f>IF(Year4_Kent Year4_Assessments="","",Year4_Kent Year4_Assessments)</f>
        <v>17703</v>
      </c>
      <c r="H16" s="95">
        <f>IF(Year5_Kent Year5_Assessments="","",Year5_Kent Year5_Assessments)</f>
        <v>20686</v>
      </c>
      <c r="I16" s="344">
        <f t="shared" si="6"/>
        <v>6.3668132138948244E-2</v>
      </c>
      <c r="J16" s="96"/>
      <c r="K16" s="97">
        <f>IF(ISNUMBER(D16),D16/Population!D16*10000,NA())</f>
        <v>497.57869249394673</v>
      </c>
      <c r="L16" s="97">
        <f>IF(ISNUMBER(E16),E16/Population!E16*10000,NA())</f>
        <v>491.47147147147143</v>
      </c>
      <c r="M16" s="97">
        <f>IF(ISNUMBER(F16),F16/Population!F16*10000,NA())</f>
        <v>560.16066646831302</v>
      </c>
      <c r="N16" s="97">
        <f>IF(ISNUMBER(G16),G16/Population!G16*10000,NA())</f>
        <v>520.52337547780064</v>
      </c>
      <c r="O16" s="98">
        <f>IF(ISNUMBER(H16),H16/Population!H16*10000,NA())</f>
        <v>601.68702734147757</v>
      </c>
      <c r="P16" s="99">
        <f t="shared" si="7"/>
        <v>601.68702734147757</v>
      </c>
      <c r="Q16" s="933">
        <f t="shared" si="8"/>
        <v>13</v>
      </c>
      <c r="R16" s="70"/>
      <c r="S16" s="340">
        <f>IDACI!C15</f>
        <v>15.8</v>
      </c>
      <c r="T16" s="341">
        <f t="shared" si="0"/>
        <v>550.76188156710555</v>
      </c>
      <c r="U16" s="342">
        <f t="shared" si="9"/>
        <v>50.925145774372027</v>
      </c>
      <c r="V16" s="122"/>
      <c r="W16" s="139"/>
      <c r="X16" s="152"/>
      <c r="Y16" s="72" t="str">
        <f t="shared" si="1"/>
        <v>Kent</v>
      </c>
      <c r="Z16" s="44">
        <f>IF(ISNUMBER($H16),IDACI!D15,0)</f>
        <v>291866</v>
      </c>
      <c r="AA16" s="44">
        <f>IF(ISNUMBER($H16),IDACI!E15,0)</f>
        <v>46114.828000000001</v>
      </c>
      <c r="AB16" s="205">
        <f>IF(ISNUMBER(D16),Population!D16,"")</f>
        <v>330400</v>
      </c>
      <c r="AC16" s="205">
        <f>IF(ISNUMBER(E16),Population!E16,"")</f>
        <v>333000</v>
      </c>
      <c r="AD16" s="205">
        <f>IF(ISNUMBER(F16),Population!F16,"")</f>
        <v>336100</v>
      </c>
      <c r="AE16" s="205">
        <f>IF(ISNUMBER(G16),Population!G16,"")</f>
        <v>340100</v>
      </c>
      <c r="AF16" s="205">
        <f>IF(ISNUMBER(H16),Population!H16,"")</f>
        <v>343800</v>
      </c>
      <c r="AG16" s="93" t="s">
        <v>9</v>
      </c>
      <c r="AH16" s="231">
        <f t="shared" si="10"/>
        <v>601.68702734147757</v>
      </c>
      <c r="AI16" s="206">
        <f t="shared" si="11"/>
        <v>13</v>
      </c>
      <c r="AJ16" s="202"/>
      <c r="AK16" s="160"/>
      <c r="AL16" s="853">
        <f t="shared" si="2"/>
        <v>-4.5012165450121653E-3</v>
      </c>
      <c r="AM16" s="853">
        <f t="shared" si="3"/>
        <v>0.15037272393987536</v>
      </c>
      <c r="AN16" s="853">
        <f t="shared" si="4"/>
        <v>-5.9701492537313432E-2</v>
      </c>
      <c r="AO16" s="853">
        <f t="shared" si="5"/>
        <v>0.16850251369824323</v>
      </c>
      <c r="AP16" s="853">
        <f t="shared" si="12"/>
        <v>6.3668132138948244E-2</v>
      </c>
      <c r="AQ16" s="74"/>
      <c r="AR16" s="74"/>
      <c r="AS16" s="74"/>
      <c r="AT16" s="74"/>
      <c r="AU16" s="74"/>
      <c r="AV16" s="74"/>
      <c r="AW16" s="74"/>
      <c r="AX16" s="74"/>
    </row>
    <row r="17" spans="1:50" s="87" customFormat="1" ht="13.5" customHeight="1" x14ac:dyDescent="0.2">
      <c r="A17" s="488">
        <f>VLOOKUP(B17,Sheet1!$AQ$4:$AR$25,2,FALSE)</f>
        <v>0</v>
      </c>
      <c r="B17" s="93" t="str">
        <f>Sheet1!$K$11</f>
        <v>Medway</v>
      </c>
      <c r="C17" s="85"/>
      <c r="D17" s="94">
        <f>IF(Year1_Medway Year1_Assessments="","",Year1_Medway Year1_Assessments)</f>
        <v>3114</v>
      </c>
      <c r="E17" s="301">
        <f>IF(Year2_Medway Year2_Assessments="","",Year2_Medway Year2_Assessments)</f>
        <v>2818</v>
      </c>
      <c r="F17" s="301">
        <f>IF(Year3_Medway Year3_Assessments="","",Year3_Medway Year3_Assessments)</f>
        <v>2509</v>
      </c>
      <c r="G17" s="301">
        <f>IF(Year4_Medway Year4_Assessments="","",Year4_Medway Year4_Assessments)</f>
        <v>3420</v>
      </c>
      <c r="H17" s="302">
        <f>IF(Year5_Medway Year5_Assessments="","",Year5_Medway Year5_Assessments)</f>
        <v>4769</v>
      </c>
      <c r="I17" s="344">
        <f t="shared" si="6"/>
        <v>0.13820762058386499</v>
      </c>
      <c r="J17" s="96"/>
      <c r="K17" s="97">
        <f>IF(ISNUMBER(D17),D17/Population!D17*10000,NA())</f>
        <v>492.72151898734177</v>
      </c>
      <c r="L17" s="97">
        <f>IF(ISNUMBER(E17),E17/Population!E17*10000,NA())</f>
        <v>442.38618524332804</v>
      </c>
      <c r="M17" s="97">
        <f>IF(ISNUMBER(F17),F17/Population!F17*10000,NA())</f>
        <v>392.64475743348981</v>
      </c>
      <c r="N17" s="97">
        <f>IF(ISNUMBER(G17),G17/Population!G17*10000,NA())</f>
        <v>531.05590062111798</v>
      </c>
      <c r="O17" s="98">
        <f>IF(ISNUMBER(H17),H17/Population!H17*10000,NA())</f>
        <v>733.69230769230774</v>
      </c>
      <c r="P17" s="99">
        <f t="shared" si="7"/>
        <v>733.69230769230774</v>
      </c>
      <c r="Q17" s="933">
        <f t="shared" si="8"/>
        <v>17</v>
      </c>
      <c r="R17" s="70"/>
      <c r="S17" s="340">
        <f>IDACI!C16</f>
        <v>18.899999999999999</v>
      </c>
      <c r="T17" s="341">
        <f t="shared" si="0"/>
        <v>610.39883667335857</v>
      </c>
      <c r="U17" s="342">
        <f t="shared" si="9"/>
        <v>123.29347101894916</v>
      </c>
      <c r="V17" s="122"/>
      <c r="W17" s="139"/>
      <c r="X17" s="152"/>
      <c r="Y17" s="72" t="str">
        <f t="shared" si="1"/>
        <v>Medway</v>
      </c>
      <c r="Z17" s="44">
        <f>IF(ISNUMBER($H17),IDACI!D16,0)</f>
        <v>55993</v>
      </c>
      <c r="AA17" s="44">
        <f>IF(ISNUMBER($H17),IDACI!E16,0)</f>
        <v>10582.676999999998</v>
      </c>
      <c r="AB17" s="205">
        <f>IF(ISNUMBER(D17),Population!D17,"")</f>
        <v>63200</v>
      </c>
      <c r="AC17" s="205">
        <f>IF(ISNUMBER(E17),Population!E17,"")</f>
        <v>63700</v>
      </c>
      <c r="AD17" s="205">
        <f>IF(ISNUMBER(F17),Population!F17,"")</f>
        <v>63900</v>
      </c>
      <c r="AE17" s="205">
        <f>IF(ISNUMBER(G17),Population!G17,"")</f>
        <v>64400</v>
      </c>
      <c r="AF17" s="205">
        <f>IF(ISNUMBER(H17),Population!H17,"")</f>
        <v>65000</v>
      </c>
      <c r="AG17" s="93" t="s">
        <v>2</v>
      </c>
      <c r="AH17" s="231">
        <f t="shared" si="10"/>
        <v>733.69230769230774</v>
      </c>
      <c r="AI17" s="206">
        <f t="shared" si="11"/>
        <v>17</v>
      </c>
      <c r="AJ17" s="202"/>
      <c r="AK17" s="160"/>
      <c r="AL17" s="853">
        <f t="shared" si="2"/>
        <v>-9.505459216441875E-2</v>
      </c>
      <c r="AM17" s="853">
        <f t="shared" si="3"/>
        <v>-0.10965223562810504</v>
      </c>
      <c r="AN17" s="853">
        <f t="shared" si="4"/>
        <v>0.36309286568353927</v>
      </c>
      <c r="AO17" s="853">
        <f t="shared" si="5"/>
        <v>0.39444444444444443</v>
      </c>
      <c r="AP17" s="853">
        <f t="shared" si="12"/>
        <v>0.13820762058386499</v>
      </c>
      <c r="AQ17" s="74"/>
      <c r="AR17" s="74"/>
      <c r="AS17" s="74"/>
      <c r="AT17" s="74"/>
      <c r="AU17" s="74"/>
      <c r="AV17" s="74"/>
      <c r="AW17" s="74"/>
      <c r="AX17" s="74"/>
    </row>
    <row r="18" spans="1:50" s="87" customFormat="1" ht="13.5" customHeight="1" x14ac:dyDescent="0.2">
      <c r="A18" s="488">
        <f>VLOOKUP(B18,Sheet1!$AQ$4:$AR$25,2,FALSE)</f>
        <v>0</v>
      </c>
      <c r="B18" s="93" t="str">
        <f>Sheet1!$K$12</f>
        <v>Milton Keynes</v>
      </c>
      <c r="C18" s="85"/>
      <c r="D18" s="94">
        <f>IF(Year1_Milton_Keynes Year1_Assessments="","",Year1_Milton_Keynes Year1_Assessments)</f>
        <v>2087</v>
      </c>
      <c r="E18" s="94">
        <f>IF(Year2_Milton_Keynes Year2_Assessments="","",Year2_Milton_Keynes Year2_Assessments)</f>
        <v>2517</v>
      </c>
      <c r="F18" s="94">
        <f>IF(Year3_Milton_Keynes Year3_Assessments="","",Year3_Milton_Keynes Year3_Assessments)</f>
        <v>2213</v>
      </c>
      <c r="G18" s="94">
        <f>IF(Year4_Milton_Keynes Year4_Assessments="","",Year4_Milton_Keynes Year4_Assessments)</f>
        <v>2249</v>
      </c>
      <c r="H18" s="95">
        <f>IF(Year5_Milton_Keynes Year5_Assessments="","",Year5_Milton_Keynes Year5_Assessments)</f>
        <v>3052</v>
      </c>
      <c r="I18" s="344">
        <f t="shared" si="6"/>
        <v>0.11464343907050245</v>
      </c>
      <c r="J18" s="96"/>
      <c r="K18" s="97">
        <f>IF(ISNUMBER(D18),D18/Population!D18*10000,NA())</f>
        <v>315.7337367624811</v>
      </c>
      <c r="L18" s="97">
        <f>IF(ISNUMBER(E18),E18/Population!E18*10000,NA())</f>
        <v>375.11177347242921</v>
      </c>
      <c r="M18" s="97">
        <f>IF(ISNUMBER(F18),F18/Population!F18*10000,NA())</f>
        <v>327.36686390532543</v>
      </c>
      <c r="N18" s="97">
        <f>IF(ISNUMBER(G18),G18/Population!G18*10000,NA())</f>
        <v>329.28257686676426</v>
      </c>
      <c r="O18" s="98">
        <f>IF(ISNUMBER(H18),H18/Population!H18*10000,NA())</f>
        <v>443.60465116279073</v>
      </c>
      <c r="P18" s="99">
        <f t="shared" si="7"/>
        <v>443.60465116279073</v>
      </c>
      <c r="Q18" s="933">
        <f t="shared" si="8"/>
        <v>5</v>
      </c>
      <c r="R18" s="70"/>
      <c r="S18" s="340">
        <f>IDACI!C17</f>
        <v>15</v>
      </c>
      <c r="T18" s="341">
        <f t="shared" si="0"/>
        <v>535.37169960420147</v>
      </c>
      <c r="U18" s="342">
        <f t="shared" si="9"/>
        <v>-91.767048441410736</v>
      </c>
      <c r="V18" s="122"/>
      <c r="W18" s="139"/>
      <c r="X18" s="152"/>
      <c r="Y18" s="72" t="str">
        <f t="shared" si="1"/>
        <v>Milton Keynes</v>
      </c>
      <c r="Z18" s="44">
        <f>IF(ISNUMBER($H18),IDACI!D17,0)</f>
        <v>59903</v>
      </c>
      <c r="AA18" s="44">
        <f>IF(ISNUMBER($H18),IDACI!E17,0)</f>
        <v>8985.4499999999989</v>
      </c>
      <c r="AB18" s="205">
        <f>IF(ISNUMBER(D18),Population!D18,"")</f>
        <v>66100</v>
      </c>
      <c r="AC18" s="205">
        <f>IF(ISNUMBER(E18),Population!E18,"")</f>
        <v>67100</v>
      </c>
      <c r="AD18" s="205">
        <f>IF(ISNUMBER(F18),Population!F18,"")</f>
        <v>67600</v>
      </c>
      <c r="AE18" s="205">
        <f>IF(ISNUMBER(G18),Population!G18,"")</f>
        <v>68300</v>
      </c>
      <c r="AF18" s="205">
        <f>IF(ISNUMBER(H18),Population!H18,"")</f>
        <v>68800</v>
      </c>
      <c r="AG18" s="93" t="s">
        <v>10</v>
      </c>
      <c r="AH18" s="231">
        <f t="shared" si="10"/>
        <v>443.60465116279073</v>
      </c>
      <c r="AI18" s="206">
        <f t="shared" si="11"/>
        <v>5</v>
      </c>
      <c r="AJ18" s="202"/>
      <c r="AK18" s="160"/>
      <c r="AL18" s="853">
        <f t="shared" si="2"/>
        <v>0.20603737422137039</v>
      </c>
      <c r="AM18" s="853">
        <f t="shared" si="3"/>
        <v>-0.12077870480731029</v>
      </c>
      <c r="AN18" s="853">
        <f t="shared" si="4"/>
        <v>1.6267510167193855E-2</v>
      </c>
      <c r="AO18" s="853">
        <f t="shared" si="5"/>
        <v>0.35704757670075588</v>
      </c>
      <c r="AP18" s="853">
        <f t="shared" si="12"/>
        <v>0.11464343907050245</v>
      </c>
      <c r="AQ18" s="74"/>
      <c r="AR18" s="74"/>
      <c r="AS18" s="74"/>
      <c r="AT18" s="74"/>
      <c r="AU18" s="74"/>
      <c r="AV18" s="74"/>
      <c r="AW18" s="74"/>
      <c r="AX18" s="74"/>
    </row>
    <row r="19" spans="1:50" s="87" customFormat="1" ht="13.5" customHeight="1" x14ac:dyDescent="0.2">
      <c r="A19" s="488">
        <f>VLOOKUP(B19,Sheet1!$AQ$4:$AR$25,2,FALSE)</f>
        <v>0</v>
      </c>
      <c r="B19" s="93" t="str">
        <f>Sheet1!$K$13</f>
        <v>Oxfordshire</v>
      </c>
      <c r="C19" s="85"/>
      <c r="D19" s="94">
        <f>IF(Year1_Oxfordshire Year1_Assessments="","",Year1_Oxfordshire Year1_Assessments)</f>
        <v>5516</v>
      </c>
      <c r="E19" s="94">
        <f>IF(Year2_Oxfordshire Year2_Assessments="","",Year2_Oxfordshire Year2_Assessments)</f>
        <v>6720</v>
      </c>
      <c r="F19" s="94">
        <f>IF(Year3_Oxfordshire Year3_Assessments="","",Year3_Oxfordshire Year3_Assessments)</f>
        <v>5790</v>
      </c>
      <c r="G19" s="94">
        <f>IF(Year4_Oxfordshire Year4_Assessments="","",Year4_Oxfordshire Year4_Assessments)</f>
        <v>5404</v>
      </c>
      <c r="H19" s="95">
        <f>IF(Year5_Oxfordshire Year5_Assessments="","",Year5_Oxfordshire Year5_Assessments)</f>
        <v>7021</v>
      </c>
      <c r="I19" s="344">
        <f t="shared" si="6"/>
        <v>7.8109346448266059E-2</v>
      </c>
      <c r="J19" s="96"/>
      <c r="K19" s="97">
        <f>IF(ISNUMBER(D19),D19/Population!D19*10000,NA())</f>
        <v>388.99858956276444</v>
      </c>
      <c r="L19" s="97">
        <f>IF(ISNUMBER(E19),E19/Population!E19*10000,NA())</f>
        <v>470.25892232330301</v>
      </c>
      <c r="M19" s="97">
        <f>IF(ISNUMBER(F19),F19/Population!F19*10000,NA())</f>
        <v>403.76569037656907</v>
      </c>
      <c r="N19" s="97">
        <f>IF(ISNUMBER(G19),G19/Population!G19*10000,NA())</f>
        <v>373.20441988950279</v>
      </c>
      <c r="O19" s="98">
        <f>IF(ISNUMBER(H19),H19/Population!H19*10000,NA())</f>
        <v>480.56125941136207</v>
      </c>
      <c r="P19" s="99">
        <f t="shared" si="7"/>
        <v>480.56125941136207</v>
      </c>
      <c r="Q19" s="933">
        <f t="shared" si="8"/>
        <v>6</v>
      </c>
      <c r="R19" s="70"/>
      <c r="S19" s="340">
        <f>IDACI!C18</f>
        <v>10.100000000000001</v>
      </c>
      <c r="T19" s="341">
        <f t="shared" si="0"/>
        <v>441.10683508141437</v>
      </c>
      <c r="U19" s="342">
        <f t="shared" si="9"/>
        <v>39.454424329947699</v>
      </c>
      <c r="V19" s="122"/>
      <c r="W19" s="139"/>
      <c r="X19" s="152"/>
      <c r="Y19" s="72" t="str">
        <f t="shared" si="1"/>
        <v>Oxfordshire</v>
      </c>
      <c r="Z19" s="44">
        <f>IF(ISNUMBER($H19),IDACI!D18,0)</f>
        <v>126119</v>
      </c>
      <c r="AA19" s="44">
        <f>IF(ISNUMBER($H19),IDACI!E18,0)</f>
        <v>12738.019000000002</v>
      </c>
      <c r="AB19" s="205">
        <f>IF(ISNUMBER(D19),Population!D19,"")</f>
        <v>141800</v>
      </c>
      <c r="AC19" s="205">
        <f>IF(ISNUMBER(E19),Population!E19,"")</f>
        <v>142900</v>
      </c>
      <c r="AD19" s="205">
        <f>IF(ISNUMBER(F19),Population!F19,"")</f>
        <v>143400</v>
      </c>
      <c r="AE19" s="205">
        <f>IF(ISNUMBER(G19),Population!G19,"")</f>
        <v>144800</v>
      </c>
      <c r="AF19" s="205">
        <f>IF(ISNUMBER(H19),Population!H19,"")</f>
        <v>146100</v>
      </c>
      <c r="AG19" s="93" t="s">
        <v>11</v>
      </c>
      <c r="AH19" s="231">
        <f t="shared" si="10"/>
        <v>480.56125941136207</v>
      </c>
      <c r="AI19" s="206">
        <f t="shared" si="11"/>
        <v>6</v>
      </c>
      <c r="AJ19" s="202"/>
      <c r="AK19" s="160"/>
      <c r="AL19" s="853">
        <f t="shared" si="2"/>
        <v>0.21827411167512689</v>
      </c>
      <c r="AM19" s="853">
        <f t="shared" si="3"/>
        <v>-0.13839285714285715</v>
      </c>
      <c r="AN19" s="853">
        <f t="shared" si="4"/>
        <v>-6.6666666666666666E-2</v>
      </c>
      <c r="AO19" s="853">
        <f t="shared" si="5"/>
        <v>0.29922279792746115</v>
      </c>
      <c r="AP19" s="853">
        <f t="shared" si="12"/>
        <v>7.8109346448266059E-2</v>
      </c>
      <c r="AQ19" s="74"/>
      <c r="AR19" s="74"/>
      <c r="AS19" s="74"/>
      <c r="AT19" s="74"/>
      <c r="AU19" s="74"/>
      <c r="AV19" s="74"/>
      <c r="AW19" s="74"/>
      <c r="AX19" s="74"/>
    </row>
    <row r="20" spans="1:50" s="87" customFormat="1" ht="13.5" customHeight="1" x14ac:dyDescent="0.2">
      <c r="A20" s="488">
        <f>VLOOKUP(B20,Sheet1!$AQ$4:$AR$25,2,FALSE)</f>
        <v>0</v>
      </c>
      <c r="B20" s="93" t="str">
        <f>Sheet1!$K$14</f>
        <v>Portsmouth</v>
      </c>
      <c r="C20" s="85"/>
      <c r="D20" s="94">
        <f>IF(Year1_Portsmouth Year1_Assessments="","",Year1_Portsmouth Year1_Assessments)</f>
        <v>1865</v>
      </c>
      <c r="E20" s="94">
        <f>IF(Year2_Portsmouth Year2_Assessments="","",Year2_Portsmouth Year2_Assessments)</f>
        <v>2950</v>
      </c>
      <c r="F20" s="94">
        <f>IF(Year3_Portsmouth Year3_Assessments="","",Year3_Portsmouth Year3_Assessments)</f>
        <v>3190</v>
      </c>
      <c r="G20" s="94">
        <f>IF(Year4_Portsmouth Year4_Assessments="","",Year4_Portsmouth Year4_Assessments)</f>
        <v>3737</v>
      </c>
      <c r="H20" s="95">
        <f>IF(Year5_Portsmouth Year5_Assessments="","",Year5_Portsmouth Year5_Assessments)</f>
        <v>2590</v>
      </c>
      <c r="I20" s="344">
        <f t="shared" si="6"/>
        <v>0.13191700759084424</v>
      </c>
      <c r="J20" s="96"/>
      <c r="K20" s="97">
        <f>IF(ISNUMBER(D20),D20/Population!D20*10000,NA())</f>
        <v>425.79908675799089</v>
      </c>
      <c r="L20" s="97">
        <f>IF(ISNUMBER(E20),E20/Population!E20*10000,NA())</f>
        <v>670.4545454545455</v>
      </c>
      <c r="M20" s="97">
        <f>IF(ISNUMBER(F20),F20/Population!F20*10000,NA())</f>
        <v>721.71945701357458</v>
      </c>
      <c r="N20" s="97">
        <f>IF(ISNUMBER(G20),G20/Population!G20*10000,NA())</f>
        <v>849.31818181818176</v>
      </c>
      <c r="O20" s="98">
        <f>IF(ISNUMBER(H20),H20/Population!H20*10000,NA())</f>
        <v>591.32420091324207</v>
      </c>
      <c r="P20" s="99">
        <f t="shared" si="7"/>
        <v>591.32420091324207</v>
      </c>
      <c r="Q20" s="933">
        <f t="shared" si="8"/>
        <v>11</v>
      </c>
      <c r="R20" s="70"/>
      <c r="S20" s="340">
        <f>IDACI!C19</f>
        <v>20.200000000000003</v>
      </c>
      <c r="T20" s="341">
        <f t="shared" si="0"/>
        <v>635.40788236307776</v>
      </c>
      <c r="U20" s="342">
        <f t="shared" si="9"/>
        <v>-44.083681449835694</v>
      </c>
      <c r="V20" s="122"/>
      <c r="W20" s="139"/>
      <c r="X20" s="152"/>
      <c r="Y20" s="72" t="str">
        <f t="shared" si="1"/>
        <v>Portsmouth</v>
      </c>
      <c r="Z20" s="44">
        <f>IF(ISNUMBER($H20),IDACI!D19,0)</f>
        <v>39325</v>
      </c>
      <c r="AA20" s="44">
        <f>IF(ISNUMBER($H20),IDACI!E19,0)</f>
        <v>7943.6500000000015</v>
      </c>
      <c r="AB20" s="205">
        <f>IF(ISNUMBER(D20),Population!D20,"")</f>
        <v>43800</v>
      </c>
      <c r="AC20" s="205">
        <f>IF(ISNUMBER(E20),Population!E20,"")</f>
        <v>44000</v>
      </c>
      <c r="AD20" s="205">
        <f>IF(ISNUMBER(F20),Population!F20,"")</f>
        <v>44200</v>
      </c>
      <c r="AE20" s="205">
        <f>IF(ISNUMBER(G20),Population!G20,"")</f>
        <v>44000</v>
      </c>
      <c r="AF20" s="205">
        <f>IF(ISNUMBER(H20),Population!H20,"")</f>
        <v>43800</v>
      </c>
      <c r="AG20" s="93" t="s">
        <v>12</v>
      </c>
      <c r="AH20" s="231">
        <f t="shared" si="10"/>
        <v>591.32420091324207</v>
      </c>
      <c r="AI20" s="206">
        <f t="shared" si="11"/>
        <v>11</v>
      </c>
      <c r="AJ20" s="202"/>
      <c r="AK20" s="160"/>
      <c r="AL20" s="853">
        <f t="shared" si="2"/>
        <v>0.58176943699731909</v>
      </c>
      <c r="AM20" s="853">
        <f t="shared" si="3"/>
        <v>8.1355932203389825E-2</v>
      </c>
      <c r="AN20" s="853">
        <f t="shared" si="4"/>
        <v>0.17147335423197493</v>
      </c>
      <c r="AO20" s="853">
        <f t="shared" si="5"/>
        <v>-0.30693069306930693</v>
      </c>
      <c r="AP20" s="853">
        <f t="shared" si="12"/>
        <v>0.13191700759084424</v>
      </c>
      <c r="AQ20" s="74"/>
      <c r="AR20" s="74"/>
      <c r="AS20" s="74"/>
      <c r="AT20" s="74"/>
      <c r="AU20" s="74"/>
      <c r="AV20" s="74"/>
      <c r="AW20" s="74"/>
      <c r="AX20" s="74"/>
    </row>
    <row r="21" spans="1:50" s="87" customFormat="1" ht="13.5" customHeight="1" x14ac:dyDescent="0.2">
      <c r="A21" s="488">
        <f>VLOOKUP(B21,Sheet1!$AQ$4:$AR$25,2,FALSE)</f>
        <v>0</v>
      </c>
      <c r="B21" s="93" t="str">
        <f>Sheet1!$K$15</f>
        <v>Reading</v>
      </c>
      <c r="C21" s="85"/>
      <c r="D21" s="94">
        <f>IF(Year1_Reading Year1_Assessments="","",Year1_Reading Year1_Assessments)</f>
        <v>2171</v>
      </c>
      <c r="E21" s="94">
        <f>IF(Year2_Reading Year2_Assessments="","",Year2_Reading Year2_Assessments)</f>
        <v>2945</v>
      </c>
      <c r="F21" s="94">
        <f>IF(Year3_Reading Year3_Assessments="","",Year3_Reading Year3_Assessments)</f>
        <v>2791</v>
      </c>
      <c r="G21" s="94">
        <f>IF(Year4_Reading Year4_Assessments="","",Year4_Reading Year4_Assessments)</f>
        <v>2676</v>
      </c>
      <c r="H21" s="95">
        <f>IF(Year5_Reading Year5_Assessments="","",Year5_Reading Year5_Assessments)</f>
        <v>2689</v>
      </c>
      <c r="I21" s="344">
        <f t="shared" si="6"/>
        <v>6.6969960204849063E-2</v>
      </c>
      <c r="J21" s="96"/>
      <c r="K21" s="97">
        <f>IF(ISNUMBER(D21),D21/Population!D21*10000,NA())</f>
        <v>596.42857142857144</v>
      </c>
      <c r="L21" s="97">
        <f>IF(ISNUMBER(E21),E21/Population!E21*10000,NA())</f>
        <v>804.64480874316939</v>
      </c>
      <c r="M21" s="97">
        <f>IF(ISNUMBER(F21),F21/Population!F21*10000,NA())</f>
        <v>752.29110512129387</v>
      </c>
      <c r="N21" s="97">
        <f>IF(ISNUMBER(G21),G21/Population!G21*10000,NA())</f>
        <v>721.29380053908358</v>
      </c>
      <c r="O21" s="98">
        <f>IF(ISNUMBER(H21),H21/Population!H21*10000,NA())</f>
        <v>726.75675675675677</v>
      </c>
      <c r="P21" s="99">
        <f t="shared" si="7"/>
        <v>726.75675675675677</v>
      </c>
      <c r="Q21" s="933">
        <f t="shared" si="8"/>
        <v>16</v>
      </c>
      <c r="R21" s="70"/>
      <c r="S21" s="340">
        <f>IDACI!C20</f>
        <v>16</v>
      </c>
      <c r="T21" s="341">
        <f t="shared" si="0"/>
        <v>554.60942705783157</v>
      </c>
      <c r="U21" s="342">
        <f t="shared" si="9"/>
        <v>172.1473296989252</v>
      </c>
      <c r="V21" s="122"/>
      <c r="W21" s="139"/>
      <c r="X21" s="152"/>
      <c r="Y21" s="72" t="str">
        <f t="shared" si="1"/>
        <v>Reading</v>
      </c>
      <c r="Z21" s="44">
        <f>IF(ISNUMBER($H21),IDACI!D20,0)</f>
        <v>33203</v>
      </c>
      <c r="AA21" s="44">
        <f>IF(ISNUMBER($H21),IDACI!E20,0)</f>
        <v>5312.4800000000005</v>
      </c>
      <c r="AB21" s="205">
        <f>IF(ISNUMBER(D21),Population!D21,"")</f>
        <v>36400</v>
      </c>
      <c r="AC21" s="205">
        <f>IF(ISNUMBER(E21),Population!E21,"")</f>
        <v>36600</v>
      </c>
      <c r="AD21" s="205">
        <f>IF(ISNUMBER(F21),Population!F21,"")</f>
        <v>37100</v>
      </c>
      <c r="AE21" s="205">
        <f>IF(ISNUMBER(G21),Population!G21,"")</f>
        <v>37100</v>
      </c>
      <c r="AF21" s="205">
        <f>IF(ISNUMBER(H21),Population!H21,"")</f>
        <v>37000</v>
      </c>
      <c r="AG21" s="93" t="s">
        <v>3</v>
      </c>
      <c r="AH21" s="231">
        <f t="shared" si="10"/>
        <v>726.75675675675677</v>
      </c>
      <c r="AI21" s="206">
        <f t="shared" si="11"/>
        <v>16</v>
      </c>
      <c r="AJ21" s="202"/>
      <c r="AK21" s="160"/>
      <c r="AL21" s="853">
        <f t="shared" si="2"/>
        <v>0.35651773376324275</v>
      </c>
      <c r="AM21" s="853">
        <f t="shared" si="3"/>
        <v>-5.2292020373514429E-2</v>
      </c>
      <c r="AN21" s="853">
        <f t="shared" si="4"/>
        <v>-4.1203869580795416E-2</v>
      </c>
      <c r="AO21" s="853">
        <f t="shared" si="5"/>
        <v>4.8579970104633777E-3</v>
      </c>
      <c r="AP21" s="853">
        <f t="shared" si="12"/>
        <v>6.6969960204849063E-2</v>
      </c>
      <c r="AQ21" s="74"/>
      <c r="AR21" s="74"/>
      <c r="AS21" s="74"/>
      <c r="AT21" s="74"/>
      <c r="AU21" s="74"/>
      <c r="AV21" s="74"/>
      <c r="AW21" s="74"/>
      <c r="AX21" s="74"/>
    </row>
    <row r="22" spans="1:50" s="87" customFormat="1" ht="13.5" customHeight="1" x14ac:dyDescent="0.2">
      <c r="A22" s="488">
        <f>VLOOKUP(B22,Sheet1!$AQ$4:$AR$25,2,FALSE)</f>
        <v>0</v>
      </c>
      <c r="B22" s="93" t="str">
        <f>Sheet1!$K$16</f>
        <v>Slough</v>
      </c>
      <c r="C22" s="85"/>
      <c r="D22" s="94">
        <f>IF(Year1_Slough Year1_Assessments="","",Year1_Slough Year1_Assessments)</f>
        <v>2588</v>
      </c>
      <c r="E22" s="94">
        <f>IF(Year2_Slough Year2_Assessments="","",Year2_Slough Year2_Assessments)</f>
        <v>2339</v>
      </c>
      <c r="F22" s="94">
        <f>IF(Year3_Slough Year3_Assessments="","",Year3_Slough Year3_Assessments)</f>
        <v>1541</v>
      </c>
      <c r="G22" s="94">
        <f>IF(Year4_Slough Year4_Assessments="","",Year4_Slough Year4_Assessments)</f>
        <v>1853</v>
      </c>
      <c r="H22" s="95">
        <f>IF(Year5_Slough Year5_Assessments="","",Year5_Slough Year5_Assessments)</f>
        <v>2484</v>
      </c>
      <c r="I22" s="344">
        <f t="shared" si="6"/>
        <v>2.6402517602167504E-2</v>
      </c>
      <c r="J22" s="96"/>
      <c r="K22" s="97">
        <f>IF(ISNUMBER(D22),D22/Population!D22*10000,NA())</f>
        <v>637.4384236453202</v>
      </c>
      <c r="L22" s="97">
        <f>IF(ISNUMBER(E22),E22/Population!E22*10000,NA())</f>
        <v>564.97584541062804</v>
      </c>
      <c r="M22" s="97">
        <f>IF(ISNUMBER(F22),F22/Population!F22*10000,NA())</f>
        <v>365.16587677725113</v>
      </c>
      <c r="N22" s="97">
        <f>IF(ISNUMBER(G22),G22/Population!G22*10000,NA())</f>
        <v>433.95784543325533</v>
      </c>
      <c r="O22" s="98">
        <f>IF(ISNUMBER(H22),H22/Population!H22*10000,NA())</f>
        <v>576.33410672853836</v>
      </c>
      <c r="P22" s="99">
        <f t="shared" si="7"/>
        <v>576.33410672853836</v>
      </c>
      <c r="Q22" s="933">
        <f t="shared" si="8"/>
        <v>10</v>
      </c>
      <c r="R22" s="70"/>
      <c r="S22" s="340">
        <f>IDACI!C21</f>
        <v>14.7</v>
      </c>
      <c r="T22" s="341">
        <f t="shared" si="0"/>
        <v>529.60038136811249</v>
      </c>
      <c r="U22" s="342">
        <f t="shared" si="9"/>
        <v>46.733725360425865</v>
      </c>
      <c r="V22" s="122"/>
      <c r="W22" s="139"/>
      <c r="X22" s="152"/>
      <c r="Y22" s="72" t="str">
        <f t="shared" si="1"/>
        <v>Slough</v>
      </c>
      <c r="Z22" s="44">
        <f>IF(ISNUMBER($H22),IDACI!D21,0)</f>
        <v>37031</v>
      </c>
      <c r="AA22" s="44">
        <f>IF(ISNUMBER($H22),IDACI!E21,0)</f>
        <v>5443.5569999999998</v>
      </c>
      <c r="AB22" s="205">
        <f>IF(ISNUMBER(D22),Population!D22,"")</f>
        <v>40600</v>
      </c>
      <c r="AC22" s="205">
        <f>IF(ISNUMBER(E22),Population!E22,"")</f>
        <v>41400</v>
      </c>
      <c r="AD22" s="205">
        <f>IF(ISNUMBER(F22),Population!F22,"")</f>
        <v>42200</v>
      </c>
      <c r="AE22" s="205">
        <f>IF(ISNUMBER(G22),Population!G22,"")</f>
        <v>42700</v>
      </c>
      <c r="AF22" s="205">
        <f>IF(ISNUMBER(H22),Population!H22,"")</f>
        <v>43100</v>
      </c>
      <c r="AG22" s="93" t="s">
        <v>13</v>
      </c>
      <c r="AH22" s="231">
        <f t="shared" si="10"/>
        <v>576.33410672853836</v>
      </c>
      <c r="AI22" s="206">
        <f t="shared" si="11"/>
        <v>10</v>
      </c>
      <c r="AJ22" s="202"/>
      <c r="AK22" s="160"/>
      <c r="AL22" s="853">
        <f t="shared" si="2"/>
        <v>-9.6213292117465224E-2</v>
      </c>
      <c r="AM22" s="853">
        <f t="shared" si="3"/>
        <v>-0.34117144078666095</v>
      </c>
      <c r="AN22" s="853">
        <f t="shared" si="4"/>
        <v>0.20246593121349774</v>
      </c>
      <c r="AO22" s="853">
        <f t="shared" si="5"/>
        <v>0.34052887209929844</v>
      </c>
      <c r="AP22" s="853">
        <f t="shared" si="12"/>
        <v>2.6402517602167504E-2</v>
      </c>
      <c r="AQ22" s="74"/>
      <c r="AR22" s="74"/>
      <c r="AS22" s="74"/>
      <c r="AT22" s="74"/>
      <c r="AU22" s="74"/>
      <c r="AV22" s="74"/>
      <c r="AW22" s="74"/>
      <c r="AX22" s="74"/>
    </row>
    <row r="23" spans="1:50" s="87" customFormat="1" ht="13.5" customHeight="1" x14ac:dyDescent="0.2">
      <c r="A23" s="488">
        <f>VLOOKUP(B23,Sheet1!$AQ$4:$AR$25,2,FALSE)</f>
        <v>0</v>
      </c>
      <c r="B23" s="93" t="str">
        <f>Sheet1!$K$17</f>
        <v>Somerset</v>
      </c>
      <c r="C23" s="85"/>
      <c r="D23" s="94">
        <f>IF(Year1_Somerset Year1_Assessments="","",Year1_Somerset Year1_Assessments)</f>
        <v>4413</v>
      </c>
      <c r="E23" s="94">
        <f>IF(Year2_Somerset Year2_Assessments="","",Year2_Somerset Year2_Assessments)</f>
        <v>4944</v>
      </c>
      <c r="F23" s="94">
        <f>IF(Year3_Somerset Year3_Assessments="","",Year3_Somerset Year3_Assessments)</f>
        <v>5585</v>
      </c>
      <c r="G23" s="94">
        <f>IF(Year4_Somerset Year4_Assessments="","",Year4_Somerset Year4_Assessments)</f>
        <v>4112</v>
      </c>
      <c r="H23" s="95">
        <f>IF(Year5_Somerset Year5_Assessments="","",Year5_Somerset Year5_Assessments)</f>
        <v>3315</v>
      </c>
      <c r="I23" s="344">
        <f t="shared" si="6"/>
        <v>-5.1896677880611974E-2</v>
      </c>
      <c r="J23" s="96"/>
      <c r="K23" s="97">
        <f>IF(ISNUMBER(D23),D23/Population!D23*10000,NA())</f>
        <v>404.12087912087912</v>
      </c>
      <c r="L23" s="97">
        <f>IF(ISNUMBER(E23),E23/Population!E23*10000,NA())</f>
        <v>450.68368277119413</v>
      </c>
      <c r="M23" s="97">
        <f>IF(ISNUMBER(F23),F23/Population!F23*10000,NA())</f>
        <v>507.26612170753862</v>
      </c>
      <c r="N23" s="97">
        <f>IF(ISNUMBER(G23),G23/Population!G23*10000,NA())</f>
        <v>371.45438121047874</v>
      </c>
      <c r="O23" s="98">
        <f>IF(ISNUMBER(H23),H23/Population!H23*10000,NA())</f>
        <v>298.11151079136692</v>
      </c>
      <c r="P23" s="99">
        <f t="shared" si="7"/>
        <v>298.11151079136692</v>
      </c>
      <c r="Q23" s="930" t="str">
        <f t="shared" si="8"/>
        <v>--</v>
      </c>
      <c r="R23" s="70"/>
      <c r="S23" s="340">
        <f>IDACI!C22</f>
        <v>13.600000000000001</v>
      </c>
      <c r="T23" s="341">
        <f t="shared" si="0"/>
        <v>508.4388811691195</v>
      </c>
      <c r="U23" s="342">
        <f t="shared" si="9"/>
        <v>-210.32737037775257</v>
      </c>
      <c r="V23" s="122"/>
      <c r="W23" s="139"/>
      <c r="X23" s="152"/>
      <c r="Y23" s="72" t="str">
        <f t="shared" si="1"/>
        <v>Somerset</v>
      </c>
      <c r="Z23" s="44">
        <f>IF(ISNUMBER($H23),IDACI!D22,0)</f>
        <v>95875</v>
      </c>
      <c r="AA23" s="44">
        <f>IF(ISNUMBER($H23),IDACI!E22,0)</f>
        <v>13039.000000000002</v>
      </c>
      <c r="AB23" s="205">
        <f>IF(ISNUMBER(D23),Population!D23,"")</f>
        <v>109200</v>
      </c>
      <c r="AC23" s="205">
        <f>IF(ISNUMBER(E23),Population!E23,"")</f>
        <v>109700</v>
      </c>
      <c r="AD23" s="205">
        <f>IF(ISNUMBER(F23),Population!F23,"")</f>
        <v>110100</v>
      </c>
      <c r="AE23" s="205">
        <f>IF(ISNUMBER(G23),Population!G23,"")</f>
        <v>110700</v>
      </c>
      <c r="AF23" s="205">
        <f>IF(ISNUMBER(H23),Population!H23,"")</f>
        <v>111200</v>
      </c>
      <c r="AG23" s="93" t="s">
        <v>14</v>
      </c>
      <c r="AH23" s="231">
        <f t="shared" si="10"/>
        <v>897.0760233918129</v>
      </c>
      <c r="AI23" s="206">
        <f t="shared" si="11"/>
        <v>18</v>
      </c>
      <c r="AJ23" s="202"/>
      <c r="AK23" s="160"/>
      <c r="AL23" s="853">
        <f t="shared" si="2"/>
        <v>0.1203263086335826</v>
      </c>
      <c r="AM23" s="853">
        <f t="shared" si="3"/>
        <v>0.12965210355987056</v>
      </c>
      <c r="AN23" s="853">
        <f t="shared" si="4"/>
        <v>-0.26374216651745747</v>
      </c>
      <c r="AO23" s="853">
        <f t="shared" si="5"/>
        <v>-0.19382295719844359</v>
      </c>
      <c r="AP23" s="853">
        <f t="shared" si="12"/>
        <v>-5.1896677880611974E-2</v>
      </c>
      <c r="AQ23" s="74"/>
      <c r="AR23" s="74"/>
      <c r="AS23" s="74"/>
      <c r="AT23" s="74"/>
      <c r="AU23" s="74"/>
      <c r="AV23" s="74"/>
      <c r="AW23" s="74"/>
      <c r="AX23" s="74"/>
    </row>
    <row r="24" spans="1:50" s="87" customFormat="1" ht="13.5" customHeight="1" x14ac:dyDescent="0.2">
      <c r="A24" s="488">
        <f>VLOOKUP(B24,Sheet1!$AQ$4:$AR$25,2,FALSE)</f>
        <v>0</v>
      </c>
      <c r="B24" s="93" t="str">
        <f>Sheet1!$K$18</f>
        <v>Southampton</v>
      </c>
      <c r="C24" s="85"/>
      <c r="D24" s="100">
        <f>IF(Year1_Southampton Year1_Assessments="","",Year1_Southampton Year1_Assessments)</f>
        <v>3035</v>
      </c>
      <c r="E24" s="100">
        <f>IF(Year2_Southampton Year2_Assessments="","",Year2_Southampton Year2_Assessments)</f>
        <v>2655</v>
      </c>
      <c r="F24" s="94">
        <f>IF(Year3_Southampton Year3_Assessments="","",Year3_Southampton Year3_Assessments)</f>
        <v>2318</v>
      </c>
      <c r="G24" s="94">
        <f>IF(Year4_Southampton Year4_Assessments="","",Year4_Southampton Year4_Assessments)</f>
        <v>2448</v>
      </c>
      <c r="H24" s="95">
        <f>IF(Year5_Southampton Year5_Assessments="","",Year5_Southampton Year5_Assessments)</f>
        <v>4602</v>
      </c>
      <c r="I24" s="344">
        <f t="shared" si="6"/>
        <v>0.17096213496307255</v>
      </c>
      <c r="J24" s="96"/>
      <c r="K24" s="97">
        <f>IF(ISNUMBER(D24),D24/Population!D24*10000,NA())</f>
        <v>616.869918699187</v>
      </c>
      <c r="L24" s="97">
        <f>IF(ISNUMBER(E24),E24/Population!E24*10000,NA())</f>
        <v>532.06412825651307</v>
      </c>
      <c r="M24" s="97">
        <f>IF(ISNUMBER(F24),F24/Population!F24*10000,NA())</f>
        <v>460.83499005964217</v>
      </c>
      <c r="N24" s="97">
        <f>IF(ISNUMBER(G24),G24/Population!G24*10000,NA())</f>
        <v>481.88976377952753</v>
      </c>
      <c r="O24" s="98">
        <f>IF(ISNUMBER(H24),H24/Population!H24*10000,NA())</f>
        <v>897.0760233918129</v>
      </c>
      <c r="P24" s="99">
        <f t="shared" si="7"/>
        <v>897.0760233918129</v>
      </c>
      <c r="Q24" s="933">
        <f t="shared" si="8"/>
        <v>18</v>
      </c>
      <c r="R24" s="70"/>
      <c r="S24" s="340">
        <f>IDACI!C23</f>
        <v>20.5</v>
      </c>
      <c r="T24" s="341">
        <f t="shared" si="0"/>
        <v>641.17920059916673</v>
      </c>
      <c r="U24" s="342">
        <f t="shared" si="9"/>
        <v>255.89682279264616</v>
      </c>
      <c r="V24" s="122"/>
      <c r="W24" s="139"/>
      <c r="X24" s="152"/>
      <c r="Y24" s="72" t="str">
        <f t="shared" si="1"/>
        <v>Southampton</v>
      </c>
      <c r="Z24" s="44">
        <f>IF(ISNUMBER($H24),IDACI!D23,0)</f>
        <v>44295</v>
      </c>
      <c r="AA24" s="44">
        <f>IF(ISNUMBER($H24),IDACI!E23,0)</f>
        <v>9080.4750000000004</v>
      </c>
      <c r="AB24" s="205">
        <f>IF(ISNUMBER(D24),Population!D24,"")</f>
        <v>49200</v>
      </c>
      <c r="AC24" s="205">
        <f>IF(ISNUMBER(E24),Population!E24,"")</f>
        <v>49900</v>
      </c>
      <c r="AD24" s="205">
        <f>IF(ISNUMBER(F24),Population!F24,"")</f>
        <v>50300</v>
      </c>
      <c r="AE24" s="205">
        <f>IF(ISNUMBER(G24),Population!G24,"")</f>
        <v>50800</v>
      </c>
      <c r="AF24" s="205">
        <f>IF(ISNUMBER(H24),Population!H24,"")</f>
        <v>51300</v>
      </c>
      <c r="AG24" s="93" t="s">
        <v>7</v>
      </c>
      <c r="AH24" s="231">
        <f t="shared" si="10"/>
        <v>330.70507960576197</v>
      </c>
      <c r="AI24" s="206">
        <f t="shared" si="11"/>
        <v>2</v>
      </c>
      <c r="AJ24" s="202"/>
      <c r="AK24" s="160"/>
      <c r="AL24" s="853">
        <f t="shared" si="2"/>
        <v>-0.12520593080724876</v>
      </c>
      <c r="AM24" s="853">
        <f t="shared" si="3"/>
        <v>-0.12693032015065914</v>
      </c>
      <c r="AN24" s="853">
        <f t="shared" si="4"/>
        <v>5.6082830025884385E-2</v>
      </c>
      <c r="AO24" s="853">
        <f t="shared" si="5"/>
        <v>0.87990196078431371</v>
      </c>
      <c r="AP24" s="853">
        <f t="shared" si="12"/>
        <v>0.17096213496307255</v>
      </c>
      <c r="AQ24" s="74"/>
      <c r="AR24" s="74"/>
      <c r="AS24" s="74"/>
      <c r="AT24" s="74"/>
      <c r="AU24" s="74"/>
      <c r="AV24" s="74"/>
      <c r="AW24" s="74"/>
      <c r="AX24" s="74"/>
    </row>
    <row r="25" spans="1:50" s="87" customFormat="1" ht="13.5" customHeight="1" x14ac:dyDescent="0.2">
      <c r="A25" s="488">
        <f>VLOOKUP(B25,Sheet1!$AQ$4:$AR$25,2,FALSE)</f>
        <v>0</v>
      </c>
      <c r="B25" s="93" t="str">
        <f>Sheet1!$K$19</f>
        <v>Surrey</v>
      </c>
      <c r="C25" s="85"/>
      <c r="D25" s="94">
        <f>IF(Year1_Surrey Year1_Assessments="","",Year1_Surrey Year1_Assessments)</f>
        <v>12174</v>
      </c>
      <c r="E25" s="94">
        <f>IF(Year2_Surrey Year2_Assessments="","",Year2_Surrey Year2_Assessments)</f>
        <v>12022</v>
      </c>
      <c r="F25" s="94">
        <f>IF(Year3_Surrey Year3_Assessments="","",Year3_Surrey Year3_Assessments)</f>
        <v>12579</v>
      </c>
      <c r="G25" s="94">
        <f>IF(Year4_Surrey Year4_Assessments="","",Year4_Surrey Year4_Assessments)</f>
        <v>11842</v>
      </c>
      <c r="H25" s="95">
        <f>IF(Year5_Surrey Year5_Assessments="","",Year5_Surrey Year5_Assessments)</f>
        <v>8724</v>
      </c>
      <c r="I25" s="344">
        <f t="shared" si="6"/>
        <v>-7.2010932792295826E-2</v>
      </c>
      <c r="J25" s="96"/>
      <c r="K25" s="97">
        <f>IF(ISNUMBER(D25),D25/Population!D25*10000,NA())</f>
        <v>474.80499219968794</v>
      </c>
      <c r="L25" s="97">
        <f>IF(ISNUMBER(E25),E25/Population!E25*10000,NA())</f>
        <v>464.16988416988414</v>
      </c>
      <c r="M25" s="97">
        <f>IF(ISNUMBER(F25),F25/Population!F25*10000,NA())</f>
        <v>483.25009604302727</v>
      </c>
      <c r="N25" s="97">
        <f>IF(ISNUMBER(G25),G25/Population!G25*10000,NA())</f>
        <v>452.15731195112636</v>
      </c>
      <c r="O25" s="98">
        <f>IF(ISNUMBER(H25),H25/Population!H25*10000,NA())</f>
        <v>330.70507960576197</v>
      </c>
      <c r="P25" s="99">
        <f t="shared" si="7"/>
        <v>330.70507960576197</v>
      </c>
      <c r="Q25" s="933">
        <f t="shared" si="8"/>
        <v>2</v>
      </c>
      <c r="R25" s="70"/>
      <c r="S25" s="340">
        <f>IDACI!C24</f>
        <v>8.3000000000000007</v>
      </c>
      <c r="T25" s="341">
        <f t="shared" si="0"/>
        <v>406.47892566488031</v>
      </c>
      <c r="U25" s="342">
        <f t="shared" si="9"/>
        <v>-75.773846059118341</v>
      </c>
      <c r="V25" s="122"/>
      <c r="W25" s="139"/>
      <c r="X25" s="152"/>
      <c r="Y25" s="72" t="str">
        <f t="shared" si="1"/>
        <v>Surrey</v>
      </c>
      <c r="Z25" s="44">
        <f>IF(ISNUMBER($H25),IDACI!D24,0)</f>
        <v>228466</v>
      </c>
      <c r="AA25" s="44">
        <f>IF(ISNUMBER($H25),IDACI!E24,0)</f>
        <v>18962.678</v>
      </c>
      <c r="AB25" s="205">
        <f>IF(ISNUMBER(D25),Population!D25,"")</f>
        <v>256400</v>
      </c>
      <c r="AC25" s="205">
        <f>IF(ISNUMBER(E25),Population!E25,"")</f>
        <v>259000</v>
      </c>
      <c r="AD25" s="205">
        <f>IF(ISNUMBER(F25),Population!F25,"")</f>
        <v>260300</v>
      </c>
      <c r="AE25" s="205">
        <f>IF(ISNUMBER(G25),Population!G25,"")</f>
        <v>261900</v>
      </c>
      <c r="AF25" s="205">
        <f>IF(ISNUMBER(H25),Population!H25,"")</f>
        <v>263800</v>
      </c>
      <c r="AG25" s="93" t="s">
        <v>15</v>
      </c>
      <c r="AH25" s="231">
        <f t="shared" si="10"/>
        <v>527.52808988764048</v>
      </c>
      <c r="AI25" s="206">
        <f t="shared" si="11"/>
        <v>7</v>
      </c>
      <c r="AJ25" s="202"/>
      <c r="AK25" s="160"/>
      <c r="AL25" s="853">
        <f t="shared" si="2"/>
        <v>-1.2485625102677839E-2</v>
      </c>
      <c r="AM25" s="853">
        <f t="shared" si="3"/>
        <v>4.6331725170520713E-2</v>
      </c>
      <c r="AN25" s="853">
        <f t="shared" si="4"/>
        <v>-5.8589713013753084E-2</v>
      </c>
      <c r="AO25" s="853">
        <f t="shared" si="5"/>
        <v>-0.26330011822327309</v>
      </c>
      <c r="AP25" s="853">
        <f t="shared" si="12"/>
        <v>-7.2010932792295826E-2</v>
      </c>
      <c r="AQ25" s="74"/>
      <c r="AR25" s="74"/>
      <c r="AS25" s="74"/>
      <c r="AT25" s="74"/>
      <c r="AU25" s="74"/>
      <c r="AV25" s="74"/>
      <c r="AW25" s="74"/>
      <c r="AX25" s="74"/>
    </row>
    <row r="26" spans="1:50" s="87" customFormat="1" ht="13.5" customHeight="1" x14ac:dyDescent="0.2">
      <c r="A26" s="488">
        <f>VLOOKUP(B26,Sheet1!$AQ$4:$AR$25,2,FALSE)</f>
        <v>0</v>
      </c>
      <c r="B26" s="93" t="str">
        <f>Sheet1!$K$20</f>
        <v>Swindon</v>
      </c>
      <c r="C26" s="85"/>
      <c r="D26" s="94">
        <f>IF(Year1_Swindon Year1_Assessments="","",Year1_Swindon Year1_Assessments)</f>
        <v>3139</v>
      </c>
      <c r="E26" s="94">
        <f>IF(Year2_Swindon Year2_Assessments="","",Year2_Swindon Year2_Assessments)</f>
        <v>2994</v>
      </c>
      <c r="F26" s="94">
        <f>IF(Year3_Swindon Year3_Assessments="","",Year3_Swindon Year3_Assessments)</f>
        <v>3151</v>
      </c>
      <c r="G26" s="94">
        <f>IF(Year4_Swindon Year4_Assessments="","",Year4_Swindon Year4_Assessments)</f>
        <v>4204</v>
      </c>
      <c r="H26" s="95">
        <f>IF(Year5_Swindon Year5_Assessments="","",Year5_Swindon Year5_Assessments)</f>
        <v>4304</v>
      </c>
      <c r="I26" s="344">
        <f t="shared" si="6"/>
        <v>9.1052912450852327E-2</v>
      </c>
      <c r="J26" s="96"/>
      <c r="K26" s="97">
        <f>IF(ISNUMBER(D26),D26/Population!D26*10000,NA())</f>
        <v>640.61224489795916</v>
      </c>
      <c r="L26" s="97">
        <f>IF(ISNUMBER(E26),E26/Population!E26*10000,NA())</f>
        <v>604.84848484848487</v>
      </c>
      <c r="M26" s="97">
        <f>IF(ISNUMBER(F26),F26/Population!F26*10000,NA())</f>
        <v>631.4629258517034</v>
      </c>
      <c r="N26" s="97">
        <f>IF(ISNUMBER(G26),G26/Population!G26*10000,NA())</f>
        <v>837.45019920318725</v>
      </c>
      <c r="O26" s="98">
        <f>IF(ISNUMBER(H26),H26/Population!H26*10000,NA())</f>
        <v>853.96825396825398</v>
      </c>
      <c r="P26" s="99">
        <f t="shared" si="7"/>
        <v>853.96825396825398</v>
      </c>
      <c r="Q26" s="930" t="str">
        <f t="shared" si="8"/>
        <v>--</v>
      </c>
      <c r="R26" s="70"/>
      <c r="S26" s="340">
        <f>IDACI!C25</f>
        <v>14.899999999999999</v>
      </c>
      <c r="T26" s="341">
        <f t="shared" si="0"/>
        <v>533.44792685883851</v>
      </c>
      <c r="U26" s="342">
        <f t="shared" si="9"/>
        <v>320.52032710941546</v>
      </c>
      <c r="V26" s="122"/>
      <c r="W26" s="139"/>
      <c r="X26" s="152"/>
      <c r="Y26" s="72" t="str">
        <f t="shared" si="1"/>
        <v>Swindon</v>
      </c>
      <c r="Z26" s="44">
        <f>IF(ISNUMBER($H26),IDACI!D25,0)</f>
        <v>43899</v>
      </c>
      <c r="AA26" s="44">
        <f>IF(ISNUMBER($H26),IDACI!E25,0)</f>
        <v>6540.951</v>
      </c>
      <c r="AB26" s="205">
        <f>IF(ISNUMBER(D26),Population!D26,"")</f>
        <v>49000</v>
      </c>
      <c r="AC26" s="205">
        <f>IF(ISNUMBER(E26),Population!E26,"")</f>
        <v>49500</v>
      </c>
      <c r="AD26" s="205">
        <f>IF(ISNUMBER(F26),Population!F26,"")</f>
        <v>49900</v>
      </c>
      <c r="AE26" s="205">
        <f>IF(ISNUMBER(G26),Population!G26,"")</f>
        <v>50200</v>
      </c>
      <c r="AF26" s="205">
        <f>IF(ISNUMBER(H26),Population!H26,"")</f>
        <v>50400</v>
      </c>
      <c r="AG26" s="93" t="s">
        <v>5</v>
      </c>
      <c r="AH26" s="231">
        <f t="shared" si="10"/>
        <v>593.86712095400344</v>
      </c>
      <c r="AI26" s="206">
        <f t="shared" si="11"/>
        <v>12</v>
      </c>
      <c r="AJ26" s="202"/>
      <c r="AK26" s="160"/>
      <c r="AL26" s="853">
        <f t="shared" si="2"/>
        <v>-4.6193055113093344E-2</v>
      </c>
      <c r="AM26" s="853">
        <f t="shared" si="3"/>
        <v>5.2438209752839013E-2</v>
      </c>
      <c r="AN26" s="853">
        <f t="shared" si="4"/>
        <v>0.33417962551570929</v>
      </c>
      <c r="AO26" s="853">
        <f t="shared" si="5"/>
        <v>2.3786869647954328E-2</v>
      </c>
      <c r="AP26" s="853">
        <f t="shared" si="12"/>
        <v>9.1052912450852327E-2</v>
      </c>
      <c r="AQ26" s="74"/>
      <c r="AR26" s="74"/>
      <c r="AS26" s="74"/>
      <c r="AT26" s="74"/>
      <c r="AU26" s="74"/>
      <c r="AV26" s="74"/>
      <c r="AW26" s="74"/>
      <c r="AX26" s="74"/>
    </row>
    <row r="27" spans="1:50" s="87" customFormat="1" ht="13.5" customHeight="1" x14ac:dyDescent="0.2">
      <c r="A27" s="488">
        <f>VLOOKUP(B27,Sheet1!$AQ$4:$AR$25,2,FALSE)</f>
        <v>0</v>
      </c>
      <c r="B27" s="93" t="str">
        <f>Sheet1!$K$21</f>
        <v>Torbay</v>
      </c>
      <c r="C27" s="85"/>
      <c r="D27" s="94">
        <f>IF(Year1_Torbay Year1_Assessments="","",Year1_Torbay Year1_Assessments)</f>
        <v>1558</v>
      </c>
      <c r="E27" s="94">
        <f>IF(Year2_Torbay Year2_Assessments="","",Year2_Torbay Year2_Assessments)</f>
        <v>1012</v>
      </c>
      <c r="F27" s="94">
        <f>IF(Year3_Torbay Year3_Assessments="","",Year3_Torbay Year3_Assessments)</f>
        <v>1885</v>
      </c>
      <c r="G27" s="94">
        <f>IF(Year4_Torbay Year4_Assessments="","",Year4_Torbay Year4_Assessments)</f>
        <v>1877</v>
      </c>
      <c r="H27" s="95">
        <f>IF(Year5_Torbay Year5_Assessments="","",Year5_Torbay Year5_Assessments)</f>
        <v>1664</v>
      </c>
      <c r="I27" s="344">
        <f t="shared" si="6"/>
        <v>9.8618984941627519E-2</v>
      </c>
      <c r="J27" s="96"/>
      <c r="K27" s="97">
        <f>IF(ISNUMBER(D27),D27/Population!D27*10000,NA())</f>
        <v>618.2539682539682</v>
      </c>
      <c r="L27" s="97">
        <f>IF(ISNUMBER(E27),E27/Population!E27*10000,NA())</f>
        <v>398.42519685039372</v>
      </c>
      <c r="M27" s="97">
        <f>IF(ISNUMBER(F27),F27/Population!F27*10000,NA())</f>
        <v>742.12598425196859</v>
      </c>
      <c r="N27" s="97">
        <f>IF(ISNUMBER(G27),G27/Population!G27*10000,NA())</f>
        <v>738.9763779527558</v>
      </c>
      <c r="O27" s="98">
        <f>IF(ISNUMBER(H27),H27/Population!H27*10000,NA())</f>
        <v>650</v>
      </c>
      <c r="P27" s="99">
        <f t="shared" si="7"/>
        <v>650</v>
      </c>
      <c r="Q27" s="930" t="str">
        <f t="shared" si="8"/>
        <v>--</v>
      </c>
      <c r="R27" s="70"/>
      <c r="S27" s="340">
        <f>IDACI!C26</f>
        <v>21.9</v>
      </c>
      <c r="T27" s="341">
        <f t="shared" si="0"/>
        <v>668.11201903424876</v>
      </c>
      <c r="U27" s="342">
        <f t="shared" si="9"/>
        <v>-18.11201903424876</v>
      </c>
      <c r="V27" s="122"/>
      <c r="W27" s="139"/>
      <c r="X27" s="152"/>
      <c r="Y27" s="72" t="str">
        <f t="shared" si="1"/>
        <v>Torbay</v>
      </c>
      <c r="Z27" s="44">
        <f>IF(ISNUMBER($H27),IDACI!D26,0)</f>
        <v>22257</v>
      </c>
      <c r="AA27" s="44">
        <f>IF(ISNUMBER($H27),IDACI!E26,0)</f>
        <v>4874.2829999999994</v>
      </c>
      <c r="AB27" s="205">
        <f>IF(ISNUMBER(D27),Population!D27,"")</f>
        <v>25200</v>
      </c>
      <c r="AC27" s="205">
        <f>IF(ISNUMBER(E27),Population!E27,"")</f>
        <v>25400</v>
      </c>
      <c r="AD27" s="205">
        <f>IF(ISNUMBER(F27),Population!F27,"")</f>
        <v>25400</v>
      </c>
      <c r="AE27" s="205">
        <f>IF(ISNUMBER(G27),Population!G27,"")</f>
        <v>25400</v>
      </c>
      <c r="AF27" s="205">
        <f>IF(ISNUMBER(H27),Population!H27,"")</f>
        <v>25600</v>
      </c>
      <c r="AG27" s="93" t="s">
        <v>30</v>
      </c>
      <c r="AH27" s="231">
        <f t="shared" si="10"/>
        <v>348.99135446685881</v>
      </c>
      <c r="AI27" s="206">
        <f t="shared" si="11"/>
        <v>3</v>
      </c>
      <c r="AJ27" s="202"/>
      <c r="AK27" s="160"/>
      <c r="AL27" s="853">
        <f t="shared" si="2"/>
        <v>-0.35044929396662389</v>
      </c>
      <c r="AM27" s="853">
        <f t="shared" si="3"/>
        <v>0.86264822134387353</v>
      </c>
      <c r="AN27" s="853">
        <f t="shared" si="4"/>
        <v>-4.2440318302387264E-3</v>
      </c>
      <c r="AO27" s="853">
        <f t="shared" si="5"/>
        <v>-0.1134789557805008</v>
      </c>
      <c r="AP27" s="853">
        <f t="shared" si="12"/>
        <v>9.8618984941627519E-2</v>
      </c>
      <c r="AQ27" s="74"/>
      <c r="AR27" s="74"/>
      <c r="AS27" s="74"/>
      <c r="AT27" s="74"/>
      <c r="AU27" s="74"/>
      <c r="AV27" s="74"/>
      <c r="AW27" s="74"/>
      <c r="AX27" s="74"/>
    </row>
    <row r="28" spans="1:50" s="87" customFormat="1" ht="13.5" customHeight="1" x14ac:dyDescent="0.2">
      <c r="A28" s="488">
        <f>VLOOKUP(B28,Sheet1!$AQ$4:$AR$25,2,FALSE)</f>
        <v>0</v>
      </c>
      <c r="B28" s="93" t="str">
        <f>Sheet1!$K$22</f>
        <v>West Berkshire</v>
      </c>
      <c r="C28" s="85"/>
      <c r="D28" s="94">
        <f>IF(Year1_West_Berkshire Year1_Assessments="","",Year1_West_Berkshire Year1_Assessments)</f>
        <v>1434</v>
      </c>
      <c r="E28" s="100">
        <f>IF(Year2_West_Berkshire Year2_Assessments="","",Year2_West_Berkshire Year2_Assessments)</f>
        <v>1503</v>
      </c>
      <c r="F28" s="94">
        <f>IF(Year3_West_Berkshire Year3_Assessments="","",Year3_West_Berkshire Year3_Assessments)</f>
        <v>1780</v>
      </c>
      <c r="G28" s="94">
        <f>IF(Year4_West_Berkshire Year4_Assessments="","",Year4_West_Berkshire Year4_Assessments)</f>
        <v>2069</v>
      </c>
      <c r="H28" s="95">
        <f>IF(Year5_West_Berkshire Year5_Assessments="","",Year5_West_Berkshire Year5_Assessments)</f>
        <v>1878</v>
      </c>
      <c r="I28" s="344">
        <f t="shared" si="6"/>
        <v>7.5614911954482514E-2</v>
      </c>
      <c r="J28" s="96"/>
      <c r="K28" s="97">
        <f>IF(ISNUMBER(D28),D28/Population!D28*10000,NA())</f>
        <v>401.68067226890759</v>
      </c>
      <c r="L28" s="97">
        <f>IF(ISNUMBER(E28),E28/Population!E28*10000,NA())</f>
        <v>418.66295264623955</v>
      </c>
      <c r="M28" s="97">
        <f>IF(ISNUMBER(F28),F28/Population!F28*10000,NA())</f>
        <v>497.20670391061458</v>
      </c>
      <c r="N28" s="97">
        <f>IF(ISNUMBER(G28),G28/Population!G28*10000,NA())</f>
        <v>581.17977528089887</v>
      </c>
      <c r="O28" s="98">
        <f>IF(ISNUMBER(H28),H28/Population!H28*10000,NA())</f>
        <v>527.52808988764048</v>
      </c>
      <c r="P28" s="99">
        <f t="shared" si="7"/>
        <v>527.52808988764048</v>
      </c>
      <c r="Q28" s="933">
        <f t="shared" si="8"/>
        <v>7</v>
      </c>
      <c r="R28" s="70"/>
      <c r="S28" s="340">
        <f>IDACI!C27</f>
        <v>8.6999999999999993</v>
      </c>
      <c r="T28" s="341">
        <f t="shared" si="0"/>
        <v>414.17401664633223</v>
      </c>
      <c r="U28" s="342">
        <f t="shared" si="9"/>
        <v>113.35407324130824</v>
      </c>
      <c r="V28" s="122"/>
      <c r="W28" s="139"/>
      <c r="X28" s="152"/>
      <c r="Y28" s="72" t="str">
        <f t="shared" si="1"/>
        <v>West Berkshire</v>
      </c>
      <c r="Z28" s="44">
        <f>IF(ISNUMBER($H28),IDACI!D27,0)</f>
        <v>31625</v>
      </c>
      <c r="AA28" s="44">
        <f>IF(ISNUMBER($H28),IDACI!E27,0)</f>
        <v>2751.375</v>
      </c>
      <c r="AB28" s="205">
        <f>IF(ISNUMBER(D28),Population!D28,"")</f>
        <v>35700</v>
      </c>
      <c r="AC28" s="205">
        <f>IF(ISNUMBER(E28),Population!E28,"")</f>
        <v>35900</v>
      </c>
      <c r="AD28" s="205">
        <f>IF(ISNUMBER(F28),Population!F28,"")</f>
        <v>35800</v>
      </c>
      <c r="AE28" s="205">
        <f>IF(ISNUMBER(G28),Population!G28,"")</f>
        <v>35600</v>
      </c>
      <c r="AF28" s="205">
        <f>IF(ISNUMBER(H28),Population!H28,"")</f>
        <v>35600</v>
      </c>
      <c r="AG28" s="93" t="s">
        <v>16</v>
      </c>
      <c r="AH28" s="231">
        <f t="shared" si="10"/>
        <v>391.83168316831683</v>
      </c>
      <c r="AI28" s="206">
        <f t="shared" si="11"/>
        <v>4</v>
      </c>
      <c r="AJ28" s="202"/>
      <c r="AK28" s="160"/>
      <c r="AL28" s="853">
        <f t="shared" si="2"/>
        <v>4.8117154811715482E-2</v>
      </c>
      <c r="AM28" s="853">
        <f t="shared" si="3"/>
        <v>0.18429807052561545</v>
      </c>
      <c r="AN28" s="853">
        <f t="shared" si="4"/>
        <v>0.16235955056179777</v>
      </c>
      <c r="AO28" s="853">
        <f t="shared" si="5"/>
        <v>-9.2315128081198641E-2</v>
      </c>
      <c r="AP28" s="853">
        <f t="shared" si="12"/>
        <v>7.5614911954482514E-2</v>
      </c>
      <c r="AQ28" s="74"/>
      <c r="AR28" s="74"/>
      <c r="AS28" s="74"/>
      <c r="AT28" s="74"/>
      <c r="AU28" s="74"/>
      <c r="AV28" s="74"/>
      <c r="AW28" s="74"/>
      <c r="AX28" s="74"/>
    </row>
    <row r="29" spans="1:50" s="87" customFormat="1" ht="13.5" customHeight="1" x14ac:dyDescent="0.2">
      <c r="A29" s="488">
        <f>VLOOKUP(B29,Sheet1!$AQ$4:$AR$25,2,FALSE)</f>
        <v>0</v>
      </c>
      <c r="B29" s="93" t="str">
        <f>Sheet1!$K$23</f>
        <v>West Sussex</v>
      </c>
      <c r="C29" s="85"/>
      <c r="D29" s="94">
        <f>IF(Year1_West_Sussex Year1_Assessments="","",Year1_West_Sussex Year1_Assessments)</f>
        <v>7465</v>
      </c>
      <c r="E29" s="100">
        <f>IF(Year2_West_Sussex Year2_Assessments="","",Year2_West_Sussex Year2_Assessments)</f>
        <v>7633</v>
      </c>
      <c r="F29" s="94">
        <f>IF(Year3_West_Sussex Year3_Assessments="","",Year3_West_Sussex Year3_Assessments)</f>
        <v>10004</v>
      </c>
      <c r="G29" s="94">
        <f>IF(Year4_West_Sussex Year4_Assessments="","",Year4_West_Sussex Year4_Assessments)</f>
        <v>10412</v>
      </c>
      <c r="H29" s="95">
        <f>IF(Year5_West_Sussex Year5_Assessments="","",Year5_West_Sussex Year5_Assessments)</f>
        <v>10458</v>
      </c>
      <c r="I29" s="344">
        <f t="shared" si="6"/>
        <v>9.4582901835380956E-2</v>
      </c>
      <c r="J29" s="96"/>
      <c r="K29" s="97">
        <f>IF(ISNUMBER(D29),D29/Population!D29*10000,NA())</f>
        <v>438.08685446009389</v>
      </c>
      <c r="L29" s="97">
        <f>IF(ISNUMBER(E29),E29/Population!E29*10000,NA())</f>
        <v>444.29569266589061</v>
      </c>
      <c r="M29" s="97">
        <f>IF(ISNUMBER(F29),F29/Population!F29*10000,NA())</f>
        <v>577.26485862665902</v>
      </c>
      <c r="N29" s="97">
        <f>IF(ISNUMBER(G29),G29/Population!G29*10000,NA())</f>
        <v>595.99313108185459</v>
      </c>
      <c r="O29" s="98">
        <f>IF(ISNUMBER(H29),H29/Population!H29*10000,NA())</f>
        <v>593.86712095400344</v>
      </c>
      <c r="P29" s="99">
        <f t="shared" si="7"/>
        <v>593.86712095400344</v>
      </c>
      <c r="Q29" s="933">
        <f t="shared" si="8"/>
        <v>12</v>
      </c>
      <c r="R29" s="70"/>
      <c r="S29" s="340">
        <f>IDACI!C28</f>
        <v>11</v>
      </c>
      <c r="T29" s="341">
        <f t="shared" si="0"/>
        <v>458.42078978968141</v>
      </c>
      <c r="U29" s="342">
        <f t="shared" si="9"/>
        <v>135.44633116432203</v>
      </c>
      <c r="V29" s="122"/>
      <c r="W29" s="139"/>
      <c r="X29" s="152"/>
      <c r="Y29" s="72" t="str">
        <f t="shared" si="1"/>
        <v>West Sussex</v>
      </c>
      <c r="Z29" s="44">
        <f>IF(ISNUMBER($H29),IDACI!D28,0)</f>
        <v>151487</v>
      </c>
      <c r="AA29" s="44">
        <f>IF(ISNUMBER($H29),IDACI!E28,0)</f>
        <v>16663.57</v>
      </c>
      <c r="AB29" s="205">
        <f>IF(ISNUMBER(D29),Population!D29,"")</f>
        <v>170400</v>
      </c>
      <c r="AC29" s="205">
        <f>IF(ISNUMBER(E29),Population!E29,"")</f>
        <v>171800</v>
      </c>
      <c r="AD29" s="205">
        <f>IF(ISNUMBER(F29),Population!F29,"")</f>
        <v>173300</v>
      </c>
      <c r="AE29" s="205">
        <f>IF(ISNUMBER(G29),Population!G29,"")</f>
        <v>174700</v>
      </c>
      <c r="AF29" s="205">
        <f>IF(ISNUMBER(H29),Population!H29,"")</f>
        <v>176100</v>
      </c>
      <c r="AG29" s="202"/>
      <c r="AH29" s="202"/>
      <c r="AI29" s="190"/>
      <c r="AJ29" s="202"/>
      <c r="AK29" s="160"/>
      <c r="AL29" s="853">
        <f t="shared" si="2"/>
        <v>2.2505023442732752E-2</v>
      </c>
      <c r="AM29" s="853">
        <f t="shared" si="3"/>
        <v>0.31062491811869514</v>
      </c>
      <c r="AN29" s="853">
        <f t="shared" si="4"/>
        <v>4.0783686525389842E-2</v>
      </c>
      <c r="AO29" s="853">
        <f t="shared" si="5"/>
        <v>4.4179792547061085E-3</v>
      </c>
      <c r="AP29" s="853">
        <f t="shared" si="12"/>
        <v>9.4582901835380956E-2</v>
      </c>
      <c r="AQ29" s="74"/>
      <c r="AR29" s="74"/>
      <c r="AS29" s="74"/>
      <c r="AT29" s="74"/>
      <c r="AU29" s="74"/>
      <c r="AV29" s="74"/>
      <c r="AW29" s="74"/>
      <c r="AX29" s="74"/>
    </row>
    <row r="30" spans="1:50" s="87" customFormat="1" ht="13.5" customHeight="1" x14ac:dyDescent="0.2">
      <c r="A30" s="488">
        <f>VLOOKUP(B30,Sheet1!$AQ$4:$AR$25,2,FALSE)</f>
        <v>0</v>
      </c>
      <c r="B30" s="93" t="str">
        <f>Sheet1!$K$24</f>
        <v>Windsor &amp; Maidenhead</v>
      </c>
      <c r="C30" s="85"/>
      <c r="D30" s="100">
        <f>IF(Year1_Windsor_Maidenhead Year1_Assessments="","",Year1_Windsor_Maidenhead Year1_Assessments)</f>
        <v>924</v>
      </c>
      <c r="E30" s="94">
        <f>IF(Year2_Windsor_Maidenhead Year2_Assessments="","",Year2_Windsor_Maidenhead Year2_Assessments)</f>
        <v>668</v>
      </c>
      <c r="F30" s="94">
        <f>IF(Year3_Windsor_Maidenhead Year3_Assessments="","",Year3_Windsor_Maidenhead Year3_Assessments)</f>
        <v>927</v>
      </c>
      <c r="G30" s="94">
        <f>IF(Year4_Windsor_Maidenhead Year4_Assessments="","",Year4_Windsor_Maidenhead Year4_Assessments)</f>
        <v>861</v>
      </c>
      <c r="H30" s="95">
        <f>IF(Year5_Windsor_Maidenhead Year5_Assessments="","",Year5_Windsor_Maidenhead Year5_Assessments)</f>
        <v>1211</v>
      </c>
      <c r="I30" s="344">
        <f t="shared" si="6"/>
        <v>0.11149373196983517</v>
      </c>
      <c r="J30" s="96"/>
      <c r="K30" s="97">
        <f>IF(ISNUMBER(D30),D30/Population!D30*10000,NA())</f>
        <v>274.18397626112761</v>
      </c>
      <c r="L30" s="97">
        <f>IF(ISNUMBER(E30),E30/Population!E30*10000,NA())</f>
        <v>195.32163742690057</v>
      </c>
      <c r="M30" s="97">
        <f>IF(ISNUMBER(F30),F30/Population!F30*10000,NA())</f>
        <v>269.47674418604652</v>
      </c>
      <c r="N30" s="97">
        <f>IF(ISNUMBER(G30),G30/Population!G30*10000,NA())</f>
        <v>248.84393063583818</v>
      </c>
      <c r="O30" s="98">
        <f>IF(ISNUMBER(H30),H30/Population!H30*10000,NA())</f>
        <v>348.99135446685881</v>
      </c>
      <c r="P30" s="99">
        <f t="shared" si="7"/>
        <v>348.99135446685881</v>
      </c>
      <c r="Q30" s="933">
        <f t="shared" si="8"/>
        <v>3</v>
      </c>
      <c r="R30" s="70"/>
      <c r="S30" s="340">
        <f>IDACI!C29</f>
        <v>6.7</v>
      </c>
      <c r="T30" s="341">
        <f t="shared" si="0"/>
        <v>375.6985617390722</v>
      </c>
      <c r="U30" s="342">
        <f t="shared" si="9"/>
        <v>-26.707207272213395</v>
      </c>
      <c r="V30" s="122"/>
      <c r="W30" s="139"/>
      <c r="X30" s="152"/>
      <c r="Y30" s="72" t="str">
        <f t="shared" si="1"/>
        <v>Windsor &amp; Maidenhead</v>
      </c>
      <c r="Z30" s="44">
        <f>IF(ISNUMBER($H30),IDACI!D29,0)</f>
        <v>29792</v>
      </c>
      <c r="AA30" s="44">
        <f>IF(ISNUMBER($H30),IDACI!E29,0)</f>
        <v>1996.0640000000001</v>
      </c>
      <c r="AB30" s="205">
        <f>IF(ISNUMBER(D30),Population!D30,"")</f>
        <v>33700</v>
      </c>
      <c r="AC30" s="205">
        <f>IF(ISNUMBER(E30),Population!E30,"")</f>
        <v>34200</v>
      </c>
      <c r="AD30" s="205">
        <f>IF(ISNUMBER(F30),Population!F30,"")</f>
        <v>34400</v>
      </c>
      <c r="AE30" s="205">
        <f>IF(ISNUMBER(G30),Population!G30,"")</f>
        <v>34600</v>
      </c>
      <c r="AF30" s="205">
        <f>IF(ISNUMBER(H30),Population!H30,"")</f>
        <v>34700</v>
      </c>
      <c r="AG30" s="202"/>
      <c r="AH30" s="202"/>
      <c r="AI30" s="190"/>
      <c r="AJ30" s="202"/>
      <c r="AK30" s="160"/>
      <c r="AL30" s="853">
        <f t="shared" si="2"/>
        <v>-0.27705627705627706</v>
      </c>
      <c r="AM30" s="853">
        <f t="shared" si="3"/>
        <v>0.38772455089820357</v>
      </c>
      <c r="AN30" s="853">
        <f t="shared" si="4"/>
        <v>-7.1197411003236247E-2</v>
      </c>
      <c r="AO30" s="853">
        <f t="shared" si="5"/>
        <v>0.4065040650406504</v>
      </c>
      <c r="AP30" s="853">
        <f t="shared" si="12"/>
        <v>0.11149373196983517</v>
      </c>
      <c r="AQ30" s="74"/>
      <c r="AR30" s="74"/>
      <c r="AS30" s="74"/>
      <c r="AT30" s="74"/>
      <c r="AU30" s="74"/>
      <c r="AV30" s="74"/>
      <c r="AW30" s="74"/>
      <c r="AX30" s="74"/>
    </row>
    <row r="31" spans="1:50" s="87" customFormat="1" ht="13.5" customHeight="1" x14ac:dyDescent="0.2">
      <c r="A31" s="488">
        <f>VLOOKUP(B31,Sheet1!$AQ$4:$AR$25,2,FALSE)</f>
        <v>0</v>
      </c>
      <c r="B31" s="93" t="str">
        <f>Sheet1!$K$25</f>
        <v>Wokingham</v>
      </c>
      <c r="C31" s="85"/>
      <c r="D31" s="100">
        <f>IF(Year1_Wokingham Year1_Assessments="","",Year1_Wokingham Year1_Assessments)</f>
        <v>1128</v>
      </c>
      <c r="E31" s="94">
        <f>IF(Year2_Wokingham Year2_Assessments="","",Year2_Wokingham Year2_Assessments)</f>
        <v>875</v>
      </c>
      <c r="F31" s="94">
        <f>IF(Year3_Wokingham Year3_Assessments="","",Year3_Wokingham Year3_Assessments)</f>
        <v>1096</v>
      </c>
      <c r="G31" s="94">
        <f>IF(Year4_Wokingham Year4_Assessments="","",Year4_Wokingham Year4_Assessments)</f>
        <v>1733</v>
      </c>
      <c r="H31" s="95">
        <f>IF(Year5_Wokingham Year5_Assessments="","",Year5_Wokingham Year5_Assessments)</f>
        <v>1583</v>
      </c>
      <c r="I31" s="344">
        <f t="shared" si="6"/>
        <v>0.13073248031008253</v>
      </c>
      <c r="J31" s="96"/>
      <c r="K31" s="97">
        <f>IF(ISNUMBER(D31),D31/Population!D31*10000,NA())</f>
        <v>302.41286863270778</v>
      </c>
      <c r="L31" s="97">
        <f>IF(ISNUMBER(E31),E31/Population!E31*10000,NA())</f>
        <v>230.26315789473682</v>
      </c>
      <c r="M31" s="97">
        <f>IF(ISNUMBER(F31),F31/Population!F31*10000,NA())</f>
        <v>283.20413436692508</v>
      </c>
      <c r="N31" s="97">
        <f>IF(ISNUMBER(G31),G31/Population!G31*10000,NA())</f>
        <v>438.7341772151899</v>
      </c>
      <c r="O31" s="98">
        <f>IF(ISNUMBER(H31),H31/Population!H31*10000,NA())</f>
        <v>391.83168316831683</v>
      </c>
      <c r="P31" s="99">
        <f t="shared" si="7"/>
        <v>391.83168316831683</v>
      </c>
      <c r="Q31" s="933">
        <f t="shared" si="8"/>
        <v>4</v>
      </c>
      <c r="R31" s="70"/>
      <c r="S31" s="340">
        <f>IDACI!C30</f>
        <v>5.6000000000000005</v>
      </c>
      <c r="T31" s="341">
        <f t="shared" si="0"/>
        <v>354.53706154007915</v>
      </c>
      <c r="U31" s="342">
        <f t="shared" si="9"/>
        <v>37.294621628237678</v>
      </c>
      <c r="V31" s="122"/>
      <c r="W31" s="139"/>
      <c r="X31" s="152"/>
      <c r="Y31" s="72" t="str">
        <f t="shared" si="1"/>
        <v>Wokingham</v>
      </c>
      <c r="Z31" s="44">
        <f>IF(ISNUMBER($H31),IDACI!D30,0)</f>
        <v>33327</v>
      </c>
      <c r="AA31" s="44">
        <f>IF(ISNUMBER($H31),IDACI!E30,0)</f>
        <v>1866.3120000000004</v>
      </c>
      <c r="AB31" s="205">
        <f>IF(ISNUMBER(D31),Population!D31,"")</f>
        <v>37300</v>
      </c>
      <c r="AC31" s="205">
        <f>IF(ISNUMBER(E31),Population!E31,"")</f>
        <v>38000</v>
      </c>
      <c r="AD31" s="205">
        <f>IF(ISNUMBER(F31),Population!F31,"")</f>
        <v>38700</v>
      </c>
      <c r="AE31" s="205">
        <f>IF(ISNUMBER(G31),Population!G31,"")</f>
        <v>39500</v>
      </c>
      <c r="AF31" s="205">
        <f>IF(ISNUMBER(H31),Population!H31,"")</f>
        <v>40400</v>
      </c>
      <c r="AG31" s="202"/>
      <c r="AH31" s="202"/>
      <c r="AI31" s="190"/>
      <c r="AJ31" s="202"/>
      <c r="AK31" s="160"/>
      <c r="AL31" s="853">
        <f t="shared" si="2"/>
        <v>-0.22429078014184398</v>
      </c>
      <c r="AM31" s="853">
        <f t="shared" si="3"/>
        <v>0.25257142857142856</v>
      </c>
      <c r="AN31" s="853">
        <f t="shared" si="4"/>
        <v>0.58120437956204385</v>
      </c>
      <c r="AO31" s="853">
        <f t="shared" si="5"/>
        <v>-8.6555106751298322E-2</v>
      </c>
      <c r="AP31" s="853">
        <f t="shared" si="12"/>
        <v>0.13073248031008253</v>
      </c>
      <c r="AQ31" s="74"/>
      <c r="AR31" s="74"/>
      <c r="AS31" s="74"/>
      <c r="AT31" s="74"/>
      <c r="AU31" s="74"/>
      <c r="AV31" s="74"/>
      <c r="AW31" s="74"/>
      <c r="AX31" s="74"/>
    </row>
    <row r="32" spans="1:50" s="87" customFormat="1" ht="13.5" customHeight="1" x14ac:dyDescent="0.2">
      <c r="A32" s="121"/>
      <c r="B32" s="129" t="str">
        <f>Sheet1!$K$26</f>
        <v>South East</v>
      </c>
      <c r="C32" s="85"/>
      <c r="D32" s="130">
        <f>IF(Year1_SouthEast Year1_Assessments="","",Year1_SouthEast Year1_Assessments)</f>
        <v>91320</v>
      </c>
      <c r="E32" s="130">
        <f>IF(Year2_SouthEast Year2_Assessments="","",Year2_SouthEast Year2_Assessments)</f>
        <v>98780</v>
      </c>
      <c r="F32" s="130">
        <f>IF(Year3_SouthEast Year3_Assessments="","",Year3_SouthEast Year3_Assessments)</f>
        <v>102220</v>
      </c>
      <c r="G32" s="130">
        <f>IF(Year4_SouthEast Year4_Assessments="","",Year4_SouthEast Year4_Assessments)</f>
        <v>102220</v>
      </c>
      <c r="H32" s="131">
        <f>IF(Year5_SouthEast Year5_Assessments="","",Year5_SouthEast Year5_Assessments)</f>
        <v>110490</v>
      </c>
      <c r="I32" s="357">
        <f>AP32</f>
        <v>4.2475701361636781E-2</v>
      </c>
      <c r="J32" s="96"/>
      <c r="K32" s="132">
        <f>IF(ISNUMBER(D32),D32/AB32*10000,NA())</f>
        <v>476.09613680204365</v>
      </c>
      <c r="L32" s="132">
        <f>IF(ISNUMBER(E32),E32/AC32*10000,NA())</f>
        <v>510.99270601624335</v>
      </c>
      <c r="M32" s="132">
        <f>IF(ISNUMBER(F32),F32/AD32*10000,NA())</f>
        <v>525.85009516950458</v>
      </c>
      <c r="N32" s="132">
        <f>IF(ISNUMBER(G32),G32/AE32*10000,NA())</f>
        <v>522.22335751507103</v>
      </c>
      <c r="O32" s="133">
        <f>IF(ISNUMBER(H32),H32/AF32*10000,NA())</f>
        <v>561.09079829372331</v>
      </c>
      <c r="P32" s="99">
        <f t="shared" si="7"/>
        <v>561.09079829372331</v>
      </c>
      <c r="Q32" s="931" t="str">
        <f t="shared" si="8"/>
        <v>--</v>
      </c>
      <c r="R32" s="70"/>
      <c r="S32" s="338">
        <f>AA32/Z32*100</f>
        <v>12.371268250968637</v>
      </c>
      <c r="T32" s="338">
        <f t="shared" si="0"/>
        <v>484.80087466763194</v>
      </c>
      <c r="U32" s="343">
        <f t="shared" si="9"/>
        <v>76.289923626091365</v>
      </c>
      <c r="V32" s="122"/>
      <c r="W32" s="139"/>
      <c r="X32" s="152"/>
      <c r="Y32" s="72" t="str">
        <f t="shared" si="1"/>
        <v>South East</v>
      </c>
      <c r="Z32" s="44">
        <f>SUM(Z24:Z25,Z10:Z22,Z28:Z31)</f>
        <v>1704978</v>
      </c>
      <c r="AA32" s="44">
        <f>SUM(AA24:AA25,AA10:AA22,AA28:AA31)</f>
        <v>210927.40200000003</v>
      </c>
      <c r="AB32" s="205">
        <f>SUM(AB10:AB22,AB24:AB25,AB28:AB31)</f>
        <v>1918100</v>
      </c>
      <c r="AC32" s="205">
        <f t="shared" ref="AC32:AF32" si="13">SUM(AC10:AC22,AC24:AC25,AC28:AC31)</f>
        <v>1933100</v>
      </c>
      <c r="AD32" s="205">
        <f t="shared" si="13"/>
        <v>1943900</v>
      </c>
      <c r="AE32" s="205">
        <f>SUM(AE10:AE22,AE24:AE25,AE28:AE31)</f>
        <v>1957400</v>
      </c>
      <c r="AF32" s="205">
        <f t="shared" si="13"/>
        <v>1969200</v>
      </c>
      <c r="AG32" s="202"/>
      <c r="AH32" s="202"/>
      <c r="AI32" s="190"/>
      <c r="AJ32" s="202"/>
      <c r="AK32" s="160"/>
      <c r="AL32" s="853">
        <f>IF(ISERROR((L32-K32)/K32),"x",(L32-K32)/K32)</f>
        <v>7.3297316480241403E-2</v>
      </c>
      <c r="AM32" s="853">
        <f>IF(ISERROR((M32-L32)/L32),"x",(M32-L32)/L32)</f>
        <v>2.907554056708777E-2</v>
      </c>
      <c r="AN32" s="853">
        <f>IF(ISERROR((N32-M32)/M32),"x",(N32-M32)/M32)</f>
        <v>-6.8969040564012792E-3</v>
      </c>
      <c r="AO32" s="853">
        <f>IF(ISERROR((O32-N32)/N32),"x",(O32-N32)/N32)</f>
        <v>7.4426852455619225E-2</v>
      </c>
      <c r="AP32" s="853">
        <f t="shared" si="12"/>
        <v>4.2475701361636781E-2</v>
      </c>
      <c r="AQ32" s="74"/>
      <c r="AR32" s="74"/>
      <c r="AS32" s="74"/>
      <c r="AT32" s="74"/>
      <c r="AU32" s="74"/>
      <c r="AV32" s="74"/>
      <c r="AW32" s="74"/>
      <c r="AX32" s="74"/>
    </row>
    <row r="33" spans="1:64" s="87" customFormat="1" ht="12.75" x14ac:dyDescent="0.2">
      <c r="A33" s="292"/>
      <c r="B33" s="329" t="str">
        <f>Sheet1!$K$27</f>
        <v>England</v>
      </c>
      <c r="C33" s="85"/>
      <c r="D33" s="330">
        <f>IF(Year1_England Year1_Assessments="","",Year1_England Year1_Assessments)</f>
        <v>571640</v>
      </c>
      <c r="E33" s="330">
        <f>IF(Year2_England Year2_Assessments="","",Year2_England Year2_Assessments)</f>
        <v>606920</v>
      </c>
      <c r="F33" s="330">
        <f>IF(Year3_England Year3_Assessments="","",Year3_England Year3_Assessments)</f>
        <v>631090</v>
      </c>
      <c r="G33" s="330">
        <f>IF(Year4_England Year4_Assessments="","",Year4_England Year4_Assessments)</f>
        <v>631090</v>
      </c>
      <c r="H33" s="331">
        <f>IF(Year5_England Year5_Assessments="","",Year5_England Year5_Assessments)</f>
        <v>665660</v>
      </c>
      <c r="I33" s="358">
        <f t="shared" si="6"/>
        <v>3.9079858749161929E-2</v>
      </c>
      <c r="J33" s="96"/>
      <c r="K33" s="332">
        <f>IF(ISNUMBER(D33),D33/Population!D33*10000,NA())</f>
        <v>489.50581868315362</v>
      </c>
      <c r="L33" s="332">
        <f>IF(ISNUMBER(E33),E33/Population!E33*10000,NA())</f>
        <v>514.98052658820734</v>
      </c>
      <c r="M33" s="332">
        <f>IF(ISNUMBER(F33),F33/Population!F33*10000,NA())</f>
        <v>531.80247745849829</v>
      </c>
      <c r="N33" s="332">
        <f>IF(ISNUMBER(G33),G33/Population!G33*10000,NA())</f>
        <v>527.90557609623079</v>
      </c>
      <c r="O33" s="333">
        <f>IF(ISNUMBER(H33),H33/Population!H33*10000,NA())</f>
        <v>553.62786519844303</v>
      </c>
      <c r="P33" s="99">
        <f t="shared" si="7"/>
        <v>553.62786519844303</v>
      </c>
      <c r="Q33" s="932" t="str">
        <f t="shared" si="8"/>
        <v>--</v>
      </c>
      <c r="R33" s="70"/>
      <c r="S33" s="339">
        <f>IDACI!C32</f>
        <v>17.084413405029373</v>
      </c>
      <c r="T33" s="339">
        <f t="shared" si="0"/>
        <v>575.47107659084963</v>
      </c>
      <c r="U33" s="624">
        <f t="shared" si="9"/>
        <v>-21.843211392406602</v>
      </c>
      <c r="V33" s="122"/>
      <c r="W33" s="139"/>
      <c r="X33" s="152"/>
      <c r="Y33" s="72" t="str">
        <f t="shared" si="1"/>
        <v>England</v>
      </c>
      <c r="Z33" s="44">
        <f>IF(H33&gt;0,IDACI!D32,0)</f>
        <v>10405050</v>
      </c>
      <c r="AA33" s="44">
        <f>IF(H33&gt;0,IDACI!E32,0)</f>
        <v>1777641.7570000088</v>
      </c>
      <c r="AB33" s="205">
        <f>IF(ISNUMBER(D33),Population!D33,"")</f>
        <v>11677900</v>
      </c>
      <c r="AC33" s="205">
        <f>IF(ISNUMBER(E33),Population!E33,"")</f>
        <v>11785300</v>
      </c>
      <c r="AD33" s="205">
        <f>IF(ISNUMBER(F33),Population!F33,"")</f>
        <v>11867000</v>
      </c>
      <c r="AE33" s="205">
        <f>IF(ISNUMBER(G33),Population!G33,"")</f>
        <v>11954600</v>
      </c>
      <c r="AF33" s="205">
        <f>IF(ISNUMBER(H33),Population!H33,"")</f>
        <v>12023600</v>
      </c>
      <c r="AG33" s="202"/>
      <c r="AH33" s="202"/>
      <c r="AI33" s="190"/>
      <c r="AJ33" s="202"/>
      <c r="AK33" s="160"/>
      <c r="AL33" s="853">
        <f>IF(ISERROR((E33-D33)/D33),"x",(E33-D33)/D33)</f>
        <v>6.1717164649079843E-2</v>
      </c>
      <c r="AM33" s="853">
        <f>IF(ISERROR((F33-E33)/E33),"x",(F33-E33)/E33)</f>
        <v>3.9824029526131947E-2</v>
      </c>
      <c r="AN33" s="853">
        <f>IF(ISERROR((G33-F33)/F33),"x",(G33-F33)/F33)</f>
        <v>0</v>
      </c>
      <c r="AO33" s="853">
        <f>IF(ISERROR((H33-G33)/G33),"x",(H33-G33)/G33)</f>
        <v>5.4778240821435925E-2</v>
      </c>
      <c r="AP33" s="853">
        <f>AVERAGE(AL33:AO33)</f>
        <v>3.9079858749161929E-2</v>
      </c>
      <c r="AQ33" s="74"/>
      <c r="AR33" s="74"/>
      <c r="AS33" s="74"/>
      <c r="AT33" s="74"/>
      <c r="AU33" s="74"/>
      <c r="AV33" s="74"/>
      <c r="AW33" s="74"/>
      <c r="AX33" s="74"/>
    </row>
    <row r="34" spans="1:64" s="81" customFormat="1" ht="13.5" customHeight="1" x14ac:dyDescent="0.2">
      <c r="A34" s="118"/>
      <c r="B34" s="123" t="s">
        <v>90</v>
      </c>
      <c r="C34" s="63"/>
      <c r="D34" s="63"/>
      <c r="E34" s="63"/>
      <c r="F34" s="63"/>
      <c r="G34" s="63"/>
      <c r="H34" s="63"/>
      <c r="I34" s="63"/>
      <c r="J34" s="63"/>
      <c r="K34" s="63"/>
      <c r="L34" s="63"/>
      <c r="M34" s="63"/>
      <c r="N34" s="63"/>
      <c r="O34" s="63"/>
      <c r="P34" s="63"/>
      <c r="Q34" s="136" t="s">
        <v>108</v>
      </c>
      <c r="S34" s="63"/>
      <c r="T34" s="63"/>
      <c r="U34" s="63"/>
      <c r="V34" s="117"/>
      <c r="W34" s="137"/>
      <c r="X34" s="150"/>
      <c r="Y34" s="80"/>
      <c r="Z34" s="184"/>
      <c r="AA34" s="184"/>
      <c r="AB34" s="184"/>
      <c r="AC34" s="184"/>
      <c r="AD34" s="184"/>
      <c r="AE34" s="184"/>
      <c r="AF34" s="184"/>
      <c r="AG34" s="184"/>
      <c r="AH34" s="184"/>
      <c r="AJ34" s="184"/>
      <c r="AK34" s="161"/>
    </row>
    <row r="35" spans="1:64" s="81" customFormat="1" ht="27" customHeight="1" x14ac:dyDescent="0.2">
      <c r="A35" s="118"/>
      <c r="B35" s="1762"/>
      <c r="C35" s="1825"/>
      <c r="D35" s="1825"/>
      <c r="E35" s="1825"/>
      <c r="F35" s="1825"/>
      <c r="G35" s="1825"/>
      <c r="H35" s="1825"/>
      <c r="I35" s="1825"/>
      <c r="J35" s="1825"/>
      <c r="K35" s="1825"/>
      <c r="L35" s="1825"/>
      <c r="M35" s="1825"/>
      <c r="N35" s="1825"/>
      <c r="O35" s="1825"/>
      <c r="P35" s="1825"/>
      <c r="Q35" s="1825"/>
      <c r="R35" s="1825"/>
      <c r="S35" s="1825"/>
      <c r="T35" s="1825"/>
      <c r="U35" s="1826"/>
      <c r="V35" s="117"/>
      <c r="W35" s="137"/>
      <c r="X35" s="150"/>
      <c r="Y35" s="80"/>
      <c r="Z35" s="184"/>
      <c r="AA35" s="184"/>
      <c r="AB35" s="184"/>
      <c r="AC35" s="184"/>
      <c r="AD35" s="184"/>
      <c r="AE35" s="184"/>
      <c r="AF35" s="184"/>
      <c r="AG35" s="184"/>
      <c r="AH35" s="184"/>
      <c r="AJ35" s="184"/>
      <c r="AK35" s="157"/>
      <c r="AL35" s="74"/>
      <c r="AM35" s="74"/>
      <c r="AN35" s="74"/>
      <c r="AO35" s="74"/>
      <c r="AP35" s="74"/>
      <c r="AQ35" s="74"/>
      <c r="AR35" s="74"/>
    </row>
    <row r="36" spans="1:64" s="81" customFormat="1" ht="7.5" customHeight="1" x14ac:dyDescent="0.2">
      <c r="A36" s="118"/>
      <c r="B36" s="17"/>
      <c r="C36" s="17"/>
      <c r="D36" s="16"/>
      <c r="E36" s="16"/>
      <c r="F36" s="16"/>
      <c r="G36" s="16"/>
      <c r="H36" s="16"/>
      <c r="I36" s="16"/>
      <c r="J36" s="12"/>
      <c r="K36" s="18"/>
      <c r="L36" s="18"/>
      <c r="M36" s="18"/>
      <c r="N36" s="18"/>
      <c r="O36" s="18"/>
      <c r="P36" s="18"/>
      <c r="Q36" s="18"/>
      <c r="R36" s="18"/>
      <c r="S36" s="18"/>
      <c r="T36" s="18"/>
      <c r="U36" s="19"/>
      <c r="V36" s="117"/>
      <c r="W36" s="137"/>
      <c r="X36" s="150"/>
      <c r="Z36" s="190"/>
      <c r="AJ36" s="184"/>
      <c r="AK36" s="157"/>
      <c r="AL36" s="74"/>
      <c r="AM36" s="74"/>
      <c r="AN36" s="74"/>
      <c r="AO36" s="74"/>
      <c r="AP36" s="74"/>
      <c r="AQ36" s="74"/>
      <c r="AR36" s="74"/>
    </row>
    <row r="37" spans="1:64" s="81" customFormat="1" ht="15" customHeight="1" x14ac:dyDescent="0.2">
      <c r="A37" s="1716"/>
      <c r="B37" s="1760"/>
      <c r="C37" s="1760"/>
      <c r="D37" s="1760"/>
      <c r="E37" s="1760"/>
      <c r="F37" s="1760"/>
      <c r="G37" s="1760"/>
      <c r="H37" s="1760"/>
      <c r="I37" s="1760"/>
      <c r="J37" s="1760"/>
      <c r="K37" s="1760"/>
      <c r="L37" s="1760"/>
      <c r="M37" s="1760"/>
      <c r="N37" s="1760"/>
      <c r="O37" s="1760"/>
      <c r="P37" s="1760"/>
      <c r="Q37" s="1760"/>
      <c r="R37" s="1760"/>
      <c r="S37" s="1760"/>
      <c r="T37" s="1760"/>
      <c r="U37" s="1760"/>
      <c r="V37" s="1761"/>
      <c r="W37" s="137"/>
      <c r="X37" s="150"/>
      <c r="Z37" s="190"/>
      <c r="AK37" s="161"/>
      <c r="AM37" s="81">
        <f>COLUMNS($B$4:K$4)</f>
        <v>10</v>
      </c>
      <c r="AN37" s="81">
        <f>COLUMNS($B$4:L$4)</f>
        <v>11</v>
      </c>
      <c r="AO37" s="81">
        <f>COLUMNS($B$4:M$4)</f>
        <v>12</v>
      </c>
      <c r="AP37" s="81">
        <f>COLUMNS($B$4:N$4)</f>
        <v>13</v>
      </c>
      <c r="AQ37" s="81">
        <f>COLUMNS($B$4:O$4)</f>
        <v>14</v>
      </c>
      <c r="AR37" s="81">
        <f>COLUMNS($B$4:S$4)</f>
        <v>18</v>
      </c>
      <c r="AS37" s="81">
        <f>COLUMNS($B$4:D$4)</f>
        <v>3</v>
      </c>
      <c r="AT37" s="81">
        <f>COLUMNS($B$4:E$4)</f>
        <v>4</v>
      </c>
      <c r="AU37" s="81">
        <f>COLUMNS($B$4:F$4)</f>
        <v>5</v>
      </c>
      <c r="AV37" s="81">
        <f>COLUMNS($B$4:G$4)</f>
        <v>6</v>
      </c>
      <c r="AW37" s="81">
        <f>COLUMNS($B$4:H$4)</f>
        <v>7</v>
      </c>
      <c r="AX37" s="81">
        <f>COLUMNS($B$4:D$4)</f>
        <v>3</v>
      </c>
      <c r="AY37" s="81">
        <f>COLUMNS($B$4:E$4)</f>
        <v>4</v>
      </c>
      <c r="AZ37" s="81">
        <f>COLUMNS($B$4:F$4)</f>
        <v>5</v>
      </c>
      <c r="BA37" s="81">
        <f>COLUMNS($B$4:G$4)</f>
        <v>6</v>
      </c>
      <c r="BB37" s="81">
        <f>COLUMNS($B$4:H$4)</f>
        <v>7</v>
      </c>
      <c r="BC37" s="81">
        <f>COLUMNS($B$4:D$4)</f>
        <v>3</v>
      </c>
      <c r="BD37" s="81">
        <f>COLUMNS($B$4:E$4)</f>
        <v>4</v>
      </c>
      <c r="BE37" s="81">
        <f>COLUMNS($B$4:F$4)</f>
        <v>5</v>
      </c>
      <c r="BF37" s="81">
        <f>COLUMNS($B$4:G$4)</f>
        <v>6</v>
      </c>
      <c r="BG37" s="81">
        <f>COLUMNS($B$4:H$4)</f>
        <v>7</v>
      </c>
      <c r="BH37" s="81">
        <f>COLUMNS($B$4:D$4)</f>
        <v>3</v>
      </c>
      <c r="BI37" s="81">
        <f>COLUMNS($B$4:E$4)</f>
        <v>4</v>
      </c>
      <c r="BJ37" s="81">
        <f>COLUMNS($B$4:F$4)</f>
        <v>5</v>
      </c>
      <c r="BK37" s="81">
        <f>COLUMNS($B$4:G$4)</f>
        <v>6</v>
      </c>
      <c r="BL37" s="81">
        <f>COLUMNS($B$4:H$4)</f>
        <v>7</v>
      </c>
    </row>
    <row r="38" spans="1:64" s="81" customFormat="1" ht="11.1" customHeight="1" x14ac:dyDescent="0.2">
      <c r="A38" s="1765" t="str">
        <f>Home!$A$39</f>
        <v xml:space="preserve"> </v>
      </c>
      <c r="B38" s="1766"/>
      <c r="C38" s="1766"/>
      <c r="D38" s="1766"/>
      <c r="E38" s="1766"/>
      <c r="F38" s="1766"/>
      <c r="G38" s="1766"/>
      <c r="H38" s="1766"/>
      <c r="I38" s="1767"/>
      <c r="J38" s="1766"/>
      <c r="K38" s="1766"/>
      <c r="L38" s="1766"/>
      <c r="M38" s="1766"/>
      <c r="N38" s="1766"/>
      <c r="O38" s="1766"/>
      <c r="P38" s="1768"/>
      <c r="Q38" s="1766"/>
      <c r="R38" s="1766"/>
      <c r="S38" s="1766"/>
      <c r="T38" s="1767"/>
      <c r="U38" s="1766"/>
      <c r="V38" s="1769"/>
      <c r="W38" s="137"/>
      <c r="X38" s="150"/>
      <c r="Z38" s="190"/>
      <c r="AJ38" s="184"/>
      <c r="AK38" s="160"/>
      <c r="AL38" s="87"/>
      <c r="AM38" s="1773" t="s">
        <v>89</v>
      </c>
      <c r="AN38" s="1773"/>
      <c r="AO38" s="1773"/>
      <c r="AP38" s="1773"/>
      <c r="AQ38" s="1773"/>
      <c r="AR38" s="1773" t="s">
        <v>1213</v>
      </c>
      <c r="AS38" s="55" t="s">
        <v>138</v>
      </c>
      <c r="AT38" s="24"/>
      <c r="AU38" s="24"/>
      <c r="AV38" s="24"/>
      <c r="AW38" s="23"/>
      <c r="AX38" s="55" t="s">
        <v>209</v>
      </c>
      <c r="AY38" s="24"/>
      <c r="AZ38" s="24"/>
      <c r="BA38" s="24"/>
      <c r="BB38" s="23"/>
      <c r="BC38" s="1906" t="s">
        <v>208</v>
      </c>
      <c r="BD38" s="1906"/>
      <c r="BE38" s="1906"/>
      <c r="BF38" s="1906"/>
      <c r="BG38" s="1906"/>
      <c r="BH38" s="1906" t="s">
        <v>207</v>
      </c>
      <c r="BI38" s="1906"/>
      <c r="BJ38" s="1906"/>
      <c r="BK38" s="1906"/>
      <c r="BL38" s="1906"/>
    </row>
    <row r="39" spans="1:64" s="81" customFormat="1" ht="11.25" customHeight="1" x14ac:dyDescent="0.2">
      <c r="A39" s="112"/>
      <c r="B39" s="113"/>
      <c r="C39" s="113"/>
      <c r="D39" s="113"/>
      <c r="E39" s="113"/>
      <c r="F39" s="113"/>
      <c r="G39" s="113"/>
      <c r="H39" s="113"/>
      <c r="I39" s="113"/>
      <c r="J39" s="114"/>
      <c r="K39" s="113"/>
      <c r="L39" s="113"/>
      <c r="M39" s="113"/>
      <c r="N39" s="113"/>
      <c r="O39" s="113"/>
      <c r="P39" s="113"/>
      <c r="Q39" s="113"/>
      <c r="R39" s="113"/>
      <c r="S39" s="113"/>
      <c r="T39" s="113"/>
      <c r="U39" s="113"/>
      <c r="V39" s="115"/>
      <c r="W39" s="137"/>
      <c r="X39" s="149" t="s">
        <v>101</v>
      </c>
      <c r="Y39" s="197"/>
      <c r="Z39" s="197"/>
      <c r="AA39" s="197"/>
      <c r="AB39" s="197"/>
      <c r="AC39" s="197"/>
      <c r="AJ39" s="184"/>
      <c r="AK39" s="160"/>
      <c r="AL39" s="87"/>
      <c r="AM39" s="321" t="str">
        <f>IF(Sheet1!$C$3="Annual","",Sheet1!$D$28)</f>
        <v/>
      </c>
      <c r="AN39" s="321" t="str">
        <f>IF(Sheet1!$C$3="Annual","",Sheet1!$E$28)</f>
        <v/>
      </c>
      <c r="AO39" s="321" t="str">
        <f>IF(Sheet1!$C$3="Annual","",Sheet1!$F$28)</f>
        <v/>
      </c>
      <c r="AP39" s="321" t="str">
        <f>IF(Sheet1!$C$3="Annual","",Sheet1!$G$28)</f>
        <v/>
      </c>
      <c r="AQ39" s="321" t="str">
        <f>IF(Sheet1!$C$3="Annual","",Sheet1!$H$28)</f>
        <v/>
      </c>
      <c r="AR39" s="1773"/>
      <c r="AS39" s="321"/>
      <c r="AT39" s="321"/>
      <c r="AU39" s="321"/>
      <c r="AV39" s="321"/>
      <c r="AW39" s="321"/>
      <c r="AX39" s="493" t="str">
        <f>IF(Sheet1!$C$3="Annual","",Sheet1!$D$28)</f>
        <v/>
      </c>
      <c r="AY39" s="493" t="str">
        <f>IF(Sheet1!$C$3="Annual","",Sheet1!$E$28)</f>
        <v/>
      </c>
      <c r="AZ39" s="493" t="str">
        <f>IF(Sheet1!$C$3="Annual","",Sheet1!$F$28)</f>
        <v/>
      </c>
      <c r="BA39" s="493" t="str">
        <f>IF(Sheet1!$C$3="Annual","",Sheet1!$G$28)</f>
        <v/>
      </c>
      <c r="BB39" s="493" t="str">
        <f>IF(Sheet1!$C$3="Annual","",Sheet1!$H$28)</f>
        <v/>
      </c>
      <c r="BC39" s="1087" t="str">
        <f>IF(Sheet1!$C$3="Annual","",Sheet1!$D$28)</f>
        <v/>
      </c>
      <c r="BD39" s="1087" t="str">
        <f>IF(Sheet1!$C$3="Annual","",Sheet1!$E$28)</f>
        <v/>
      </c>
      <c r="BE39" s="1087" t="str">
        <f>IF(Sheet1!$C$3="Annual","",Sheet1!$F$28)</f>
        <v/>
      </c>
      <c r="BF39" s="1087" t="str">
        <f>IF(Sheet1!$C$3="Annual","",Sheet1!$G$28)</f>
        <v/>
      </c>
      <c r="BG39" s="1087" t="str">
        <f>IF(Sheet1!$C$3="Annual","",Sheet1!$H$28)</f>
        <v/>
      </c>
      <c r="BH39" s="1087" t="str">
        <f>IF(Sheet1!$C$3="Annual","",Sheet1!$D$28)</f>
        <v/>
      </c>
      <c r="BI39" s="1087" t="str">
        <f>IF(Sheet1!$C$3="Annual","",Sheet1!$E$28)</f>
        <v/>
      </c>
      <c r="BJ39" s="1087" t="str">
        <f>IF(Sheet1!$C$3="Annual","",Sheet1!$F$28)</f>
        <v/>
      </c>
      <c r="BK39" s="1087" t="str">
        <f>IF(Sheet1!$C$3="Annual","",Sheet1!$G$28)</f>
        <v/>
      </c>
      <c r="BL39" s="1087" t="str">
        <f>IF(Sheet1!$C$3="Annual","",Sheet1!$H$28)</f>
        <v/>
      </c>
    </row>
    <row r="40" spans="1:64" s="81" customFormat="1" ht="3.75" customHeight="1" x14ac:dyDescent="0.25">
      <c r="A40" s="116"/>
      <c r="B40" s="9"/>
      <c r="C40" s="9"/>
      <c r="D40" s="9"/>
      <c r="E40" s="9"/>
      <c r="F40" s="9"/>
      <c r="G40" s="9"/>
      <c r="H40" s="9"/>
      <c r="I40" s="9"/>
      <c r="J40" s="12"/>
      <c r="K40" s="9"/>
      <c r="L40" s="9"/>
      <c r="M40" s="9"/>
      <c r="N40" s="9"/>
      <c r="O40" s="9"/>
      <c r="P40" s="9"/>
      <c r="Q40" s="9"/>
      <c r="R40" s="9"/>
      <c r="S40" s="9"/>
      <c r="T40" s="9"/>
      <c r="U40" s="9"/>
      <c r="V40" s="117"/>
      <c r="W40" s="137"/>
      <c r="X40" s="294"/>
      <c r="AD40" s="1320" t="s">
        <v>977</v>
      </c>
      <c r="AK40" s="160"/>
      <c r="AL40" s="87"/>
      <c r="AM40" s="321" t="str">
        <f>Sheet1!$D$27</f>
        <v>2015-16</v>
      </c>
      <c r="AN40" s="321" t="str">
        <f>Sheet1!$E$27</f>
        <v>2016-17</v>
      </c>
      <c r="AO40" s="321" t="str">
        <f>Sheet1!$F$27</f>
        <v>2017-18</v>
      </c>
      <c r="AP40" s="321" t="str">
        <f>Sheet1!$G$27</f>
        <v>2018-19</v>
      </c>
      <c r="AQ40" s="321" t="str">
        <f>Sheet1!$H$27</f>
        <v>2019-20</v>
      </c>
      <c r="AR40" s="1773"/>
      <c r="AS40" s="360" t="s">
        <v>133</v>
      </c>
      <c r="AT40" s="360" t="s">
        <v>134</v>
      </c>
      <c r="AU40" s="360" t="s">
        <v>135</v>
      </c>
      <c r="AV40" s="360" t="s">
        <v>136</v>
      </c>
      <c r="AW40" s="361" t="s">
        <v>137</v>
      </c>
      <c r="AX40" s="502" t="str">
        <f>Sheet1!$D$27</f>
        <v>2015-16</v>
      </c>
      <c r="AY40" s="502" t="str">
        <f>Sheet1!$E$27</f>
        <v>2016-17</v>
      </c>
      <c r="AZ40" s="502" t="str">
        <f>Sheet1!$F$27</f>
        <v>2017-18</v>
      </c>
      <c r="BA40" s="502" t="str">
        <f>Sheet1!$G$27</f>
        <v>2018-19</v>
      </c>
      <c r="BB40" s="493" t="str">
        <f>Sheet1!$H$27</f>
        <v>2019-20</v>
      </c>
      <c r="BC40" s="1087" t="str">
        <f>Sheet1!$D$27</f>
        <v>2015-16</v>
      </c>
      <c r="BD40" s="1087" t="str">
        <f>Sheet1!$E$27</f>
        <v>2016-17</v>
      </c>
      <c r="BE40" s="1087" t="str">
        <f>Sheet1!$F$27</f>
        <v>2017-18</v>
      </c>
      <c r="BF40" s="1087" t="str">
        <f>Sheet1!$G$27</f>
        <v>2018-19</v>
      </c>
      <c r="BG40" s="1087" t="str">
        <f>Sheet1!$H$27</f>
        <v>2019-20</v>
      </c>
      <c r="BH40" s="1087" t="str">
        <f>Sheet1!$D$27</f>
        <v>2015-16</v>
      </c>
      <c r="BI40" s="1087" t="str">
        <f>Sheet1!$E$27</f>
        <v>2016-17</v>
      </c>
      <c r="BJ40" s="1087" t="str">
        <f>Sheet1!$F$27</f>
        <v>2017-18</v>
      </c>
      <c r="BK40" s="1087" t="str">
        <f>Sheet1!$G$27</f>
        <v>2018-19</v>
      </c>
      <c r="BL40" s="1087" t="str">
        <f>Sheet1!$H$27</f>
        <v>2019-20</v>
      </c>
    </row>
    <row r="41" spans="1:64" s="81" customFormat="1" ht="14.25" customHeight="1" x14ac:dyDescent="0.2">
      <c r="A41" s="118"/>
      <c r="B41" s="9"/>
      <c r="C41" s="9"/>
      <c r="D41" s="9"/>
      <c r="E41" s="9"/>
      <c r="F41" s="9"/>
      <c r="G41" s="9"/>
      <c r="H41" s="9"/>
      <c r="I41" s="9"/>
      <c r="J41" s="12"/>
      <c r="K41" s="9"/>
      <c r="L41" s="9"/>
      <c r="M41" s="9"/>
      <c r="N41" s="9"/>
      <c r="O41" s="9"/>
      <c r="P41" s="9"/>
      <c r="Q41" s="9"/>
      <c r="R41" s="9"/>
      <c r="S41" s="9"/>
      <c r="T41" s="9"/>
      <c r="U41" s="9"/>
      <c r="V41" s="117"/>
      <c r="W41" s="137"/>
      <c r="X41" s="294"/>
      <c r="Y41" s="43" t="s">
        <v>72</v>
      </c>
      <c r="Z41" s="43" t="s">
        <v>70</v>
      </c>
      <c r="AA41" s="43" t="s">
        <v>71</v>
      </c>
      <c r="AB41" s="1194">
        <v>5</v>
      </c>
      <c r="AC41" s="216">
        <f>(AB41*Z42)+AA42</f>
        <v>386.38909933708612</v>
      </c>
      <c r="AD41" s="206">
        <f>ROUND(ChartLabels!$AA9,3)</f>
        <v>0.29399999999999998</v>
      </c>
      <c r="AJ41" s="585" t="b">
        <v>1</v>
      </c>
      <c r="AK41" s="160" t="s">
        <v>0</v>
      </c>
      <c r="AL41" s="87" t="str">
        <f t="shared" ref="AL41:AL64" si="14">IF(AJ41=TRUE,B10,"")</f>
        <v>Bracknell Forest</v>
      </c>
      <c r="AM41" s="146">
        <f t="shared" ref="AM41:AQ50" si="15">VLOOKUP($AL41,$B$10:$O$33,AM$37,FALSE)</f>
        <v>389.71631205673754</v>
      </c>
      <c r="AN41" s="146">
        <f t="shared" si="15"/>
        <v>493.97163120567376</v>
      </c>
      <c r="AO41" s="146">
        <f t="shared" si="15"/>
        <v>594.3060498220641</v>
      </c>
      <c r="AP41" s="146">
        <f t="shared" si="15"/>
        <v>601.76678445229686</v>
      </c>
      <c r="AQ41" s="146">
        <f t="shared" si="15"/>
        <v>539.08450704225356</v>
      </c>
      <c r="AR41" s="147">
        <f t="shared" ref="AR41:AR64" si="16">VLOOKUP(AL41,$B$10:$U$33,$AR$37,FALSE)</f>
        <v>8.9</v>
      </c>
      <c r="AS41" s="348">
        <f t="shared" ref="AS41:AW50" si="17">VLOOKUP($AL41,$B$147:$H$170,AS$37,FALSE)</f>
        <v>0.18158066623122143</v>
      </c>
      <c r="AT41" s="348">
        <f t="shared" si="17"/>
        <v>0.36903984323971262</v>
      </c>
      <c r="AU41" s="348">
        <f t="shared" si="17"/>
        <v>0.18680600914435011</v>
      </c>
      <c r="AV41" s="348">
        <f t="shared" si="17"/>
        <v>0.19986936642717179</v>
      </c>
      <c r="AW41" s="348">
        <f t="shared" si="17"/>
        <v>6.2704114957544091E-2</v>
      </c>
      <c r="AX41" s="348">
        <f t="shared" ref="AX41:BB50" si="18">VLOOKUP($AL41,$B$112:$H$135,AX$37,FALSE)</f>
        <v>0.96542311191992725</v>
      </c>
      <c r="AY41" s="348">
        <f t="shared" si="18"/>
        <v>0.89727011494252873</v>
      </c>
      <c r="AZ41" s="348">
        <f t="shared" si="18"/>
        <v>0.90479041916167668</v>
      </c>
      <c r="BA41" s="348">
        <f t="shared" si="18"/>
        <v>0.93540810334703461</v>
      </c>
      <c r="BB41" s="348">
        <f t="shared" si="18"/>
        <v>0.93729588504245587</v>
      </c>
      <c r="BC41" s="348" t="e">
        <f>VLOOKUP($AL41,#REF!,BC$37,FALSE)</f>
        <v>#REF!</v>
      </c>
      <c r="BD41" s="348" t="e">
        <f>VLOOKUP($AL41,#REF!,BD$37,FALSE)</f>
        <v>#REF!</v>
      </c>
      <c r="BE41" s="348" t="e">
        <f>VLOOKUP($AL41,#REF!,BE$37,FALSE)</f>
        <v>#REF!</v>
      </c>
      <c r="BF41" s="348" t="e">
        <f>VLOOKUP($AL41,#REF!,BF$37,FALSE)</f>
        <v>#REF!</v>
      </c>
      <c r="BG41" s="348" t="e">
        <f>VLOOKUP($AL41,#REF!,BG$37,FALSE)</f>
        <v>#REF!</v>
      </c>
      <c r="BH41" s="348" t="e">
        <f>VLOOKUP($AL41,#REF!,BH$37,FALSE)</f>
        <v>#REF!</v>
      </c>
      <c r="BI41" s="348" t="e">
        <f>VLOOKUP($AL41,#REF!,BI$37,FALSE)</f>
        <v>#REF!</v>
      </c>
      <c r="BJ41" s="348" t="e">
        <f>VLOOKUP($AL41,#REF!,BJ$37,FALSE)</f>
        <v>#REF!</v>
      </c>
      <c r="BK41" s="348" t="e">
        <f>VLOOKUP($AL41,#REF!,BK$37,FALSE)</f>
        <v>#REF!</v>
      </c>
      <c r="BL41" s="348" t="e">
        <f>VLOOKUP($AL41,#REF!,BL$37,FALSE)</f>
        <v>#REF!</v>
      </c>
    </row>
    <row r="42" spans="1:64" s="81" customFormat="1" ht="14.25" customHeight="1" x14ac:dyDescent="0.2">
      <c r="A42" s="118"/>
      <c r="B42" s="9"/>
      <c r="C42" s="9"/>
      <c r="D42" s="9"/>
      <c r="E42" s="9"/>
      <c r="F42" s="9"/>
      <c r="G42" s="9"/>
      <c r="H42" s="9"/>
      <c r="I42" s="9"/>
      <c r="J42" s="12"/>
      <c r="K42" s="9"/>
      <c r="L42" s="9"/>
      <c r="M42" s="9"/>
      <c r="N42" s="9"/>
      <c r="O42" s="9"/>
      <c r="P42" s="9"/>
      <c r="Q42" s="9"/>
      <c r="R42" s="9"/>
      <c r="S42" s="9"/>
      <c r="T42" s="9"/>
      <c r="U42" s="9"/>
      <c r="V42" s="117"/>
      <c r="W42" s="137"/>
      <c r="X42" s="294"/>
      <c r="Y42" s="212" t="str">
        <f>"Y= "&amp;Z42&amp;"x + "&amp;AA42</f>
        <v>Y= 25.6192522551737x + 258.292838061218</v>
      </c>
      <c r="Z42" s="743">
        <f>ChartLabels!$Y9</f>
        <v>25.619252255173677</v>
      </c>
      <c r="AA42" s="743">
        <f>ChartLabels!$Z9</f>
        <v>258.29283806121771</v>
      </c>
      <c r="AB42" s="215">
        <v>35</v>
      </c>
      <c r="AC42" s="216">
        <f>(AB42*Z42)+AA42</f>
        <v>1154.9666669922963</v>
      </c>
      <c r="AD42" s="1319" t="str">
        <f>AD40&amp;" = "&amp;AD41</f>
        <v>r² = 0.294</v>
      </c>
      <c r="AJ42" s="585" t="b">
        <v>1</v>
      </c>
      <c r="AK42" s="160" t="s">
        <v>31</v>
      </c>
      <c r="AL42" s="87" t="str">
        <f t="shared" si="14"/>
        <v>Brighton &amp; Hove</v>
      </c>
      <c r="AM42" s="146">
        <f t="shared" si="15"/>
        <v>560.15625</v>
      </c>
      <c r="AN42" s="146">
        <f t="shared" si="15"/>
        <v>588.69395711500977</v>
      </c>
      <c r="AO42" s="146">
        <f t="shared" si="15"/>
        <v>529.60784313725492</v>
      </c>
      <c r="AP42" s="146">
        <f t="shared" si="15"/>
        <v>484.31372549019608</v>
      </c>
      <c r="AQ42" s="146">
        <f t="shared" si="15"/>
        <v>547.51491053677933</v>
      </c>
      <c r="AR42" s="147">
        <f t="shared" si="16"/>
        <v>15.299999999999999</v>
      </c>
      <c r="AS42" s="348">
        <f t="shared" si="17"/>
        <v>0.14633260711692084</v>
      </c>
      <c r="AT42" s="348">
        <f t="shared" si="17"/>
        <v>0.11510530137981119</v>
      </c>
      <c r="AU42" s="348">
        <f t="shared" si="17"/>
        <v>0.24146695715323166</v>
      </c>
      <c r="AV42" s="348">
        <f t="shared" si="17"/>
        <v>0.3972403776325345</v>
      </c>
      <c r="AW42" s="348">
        <f t="shared" si="17"/>
        <v>9.9854756717501811E-2</v>
      </c>
      <c r="AX42" s="348">
        <f t="shared" si="18"/>
        <v>0.48814504881450488</v>
      </c>
      <c r="AY42" s="348">
        <f t="shared" si="18"/>
        <v>0.70331125827814567</v>
      </c>
      <c r="AZ42" s="348">
        <f t="shared" si="18"/>
        <v>0.88855979266938168</v>
      </c>
      <c r="BA42" s="348">
        <f t="shared" si="18"/>
        <v>0.88097165991902837</v>
      </c>
      <c r="BB42" s="348">
        <f t="shared" si="18"/>
        <v>0.90014524328249823</v>
      </c>
      <c r="BC42" s="348" t="e">
        <f>VLOOKUP($AL42,#REF!,BC$37,FALSE)</f>
        <v>#REF!</v>
      </c>
      <c r="BD42" s="348" t="e">
        <f>VLOOKUP($AL42,#REF!,BD$37,FALSE)</f>
        <v>#REF!</v>
      </c>
      <c r="BE42" s="348" t="e">
        <f>VLOOKUP($AL42,#REF!,BE$37,FALSE)</f>
        <v>#REF!</v>
      </c>
      <c r="BF42" s="348" t="e">
        <f>VLOOKUP($AL42,#REF!,BF$37,FALSE)</f>
        <v>#REF!</v>
      </c>
      <c r="BG42" s="348" t="e">
        <f>VLOOKUP($AL42,#REF!,BG$37,FALSE)</f>
        <v>#REF!</v>
      </c>
      <c r="BH42" s="348" t="e">
        <f>VLOOKUP($AL42,#REF!,BH$37,FALSE)</f>
        <v>#REF!</v>
      </c>
      <c r="BI42" s="348" t="e">
        <f>VLOOKUP($AL42,#REF!,BI$37,FALSE)</f>
        <v>#REF!</v>
      </c>
      <c r="BJ42" s="348" t="e">
        <f>VLOOKUP($AL42,#REF!,BJ$37,FALSE)</f>
        <v>#REF!</v>
      </c>
      <c r="BK42" s="348" t="e">
        <f>VLOOKUP($AL42,#REF!,BK$37,FALSE)</f>
        <v>#REF!</v>
      </c>
      <c r="BL42" s="348" t="e">
        <f>VLOOKUP($AL42,#REF!,BL$37,FALSE)</f>
        <v>#REF!</v>
      </c>
    </row>
    <row r="43" spans="1:64" ht="14.25" customHeight="1" x14ac:dyDescent="0.2">
      <c r="A43" s="118"/>
      <c r="B43" s="9"/>
      <c r="C43" s="9"/>
      <c r="D43" s="9"/>
      <c r="E43" s="9"/>
      <c r="F43" s="9"/>
      <c r="G43" s="9"/>
      <c r="H43" s="9"/>
      <c r="I43" s="9"/>
      <c r="J43" s="12"/>
      <c r="K43" s="9"/>
      <c r="L43" s="9"/>
      <c r="M43" s="9"/>
      <c r="N43" s="9"/>
      <c r="O43" s="9"/>
      <c r="P43" s="9"/>
      <c r="Q43" s="9"/>
      <c r="R43" s="9"/>
      <c r="S43" s="9"/>
      <c r="T43" s="9"/>
      <c r="U43" s="9"/>
      <c r="V43" s="117"/>
      <c r="W43" s="137"/>
      <c r="X43" s="294"/>
      <c r="Y43" s="43" t="str">
        <f>"National Trend "&amp;Sheet1!$B$8</f>
        <v>National Trend 2020</v>
      </c>
      <c r="Z43" s="209" t="s">
        <v>70</v>
      </c>
      <c r="AA43" s="43" t="s">
        <v>71</v>
      </c>
      <c r="AB43" s="1194">
        <v>5</v>
      </c>
      <c r="AC43" s="211">
        <f>((AB43*Z44)+AA44)/$Y$2</f>
        <v>342.99442506790115</v>
      </c>
      <c r="AD43" s="1319" t="str">
        <f>$AD$40&amp;" = "&amp;AD44</f>
        <v>r² = 0.287</v>
      </c>
      <c r="AJ43" s="585" t="b">
        <v>1</v>
      </c>
      <c r="AK43" s="160" t="s">
        <v>8</v>
      </c>
      <c r="AL43" s="87" t="str">
        <f t="shared" si="14"/>
        <v>Buckinghamshire</v>
      </c>
      <c r="AM43" s="146">
        <f t="shared" si="15"/>
        <v>464.09618573797678</v>
      </c>
      <c r="AN43" s="146">
        <f t="shared" si="15"/>
        <v>546.64484451718499</v>
      </c>
      <c r="AO43" s="146">
        <f t="shared" si="15"/>
        <v>679.61007311129163</v>
      </c>
      <c r="AP43" s="146">
        <f t="shared" si="15"/>
        <v>629.04263877715209</v>
      </c>
      <c r="AQ43" s="146">
        <f t="shared" si="15"/>
        <v>646.14160700079549</v>
      </c>
      <c r="AR43" s="147">
        <f t="shared" si="16"/>
        <v>8.5</v>
      </c>
      <c r="AS43" s="348">
        <f t="shared" si="17"/>
        <v>0.24267421817286383</v>
      </c>
      <c r="AT43" s="348">
        <f t="shared" si="17"/>
        <v>0.12989411475006157</v>
      </c>
      <c r="AU43" s="348">
        <f t="shared" si="17"/>
        <v>0.20068948534843634</v>
      </c>
      <c r="AV43" s="348">
        <f t="shared" si="17"/>
        <v>0.30632849051957645</v>
      </c>
      <c r="AW43" s="348">
        <f t="shared" si="17"/>
        <v>0.12041369120906181</v>
      </c>
      <c r="AX43" s="348">
        <f t="shared" si="18"/>
        <v>0.54216867469879515</v>
      </c>
      <c r="AY43" s="348">
        <f t="shared" si="18"/>
        <v>0.92904191616766463</v>
      </c>
      <c r="AZ43" s="348">
        <f t="shared" si="18"/>
        <v>0.84317475496055461</v>
      </c>
      <c r="BA43" s="348">
        <f t="shared" si="18"/>
        <v>0.73449290190561456</v>
      </c>
      <c r="BB43" s="348">
        <f t="shared" si="18"/>
        <v>0.87958630879093824</v>
      </c>
      <c r="BC43" s="348" t="e">
        <f>VLOOKUP($AL43,#REF!,BC$37,FALSE)</f>
        <v>#REF!</v>
      </c>
      <c r="BD43" s="348" t="e">
        <f>VLOOKUP($AL43,#REF!,BD$37,FALSE)</f>
        <v>#REF!</v>
      </c>
      <c r="BE43" s="348" t="e">
        <f>VLOOKUP($AL43,#REF!,BE$37,FALSE)</f>
        <v>#REF!</v>
      </c>
      <c r="BF43" s="348" t="e">
        <f>VLOOKUP($AL43,#REF!,BF$37,FALSE)</f>
        <v>#REF!</v>
      </c>
      <c r="BG43" s="348" t="e">
        <f>VLOOKUP($AL43,#REF!,BG$37,FALSE)</f>
        <v>#REF!</v>
      </c>
      <c r="BH43" s="348" t="e">
        <f>VLOOKUP($AL43,#REF!,BH$37,FALSE)</f>
        <v>#REF!</v>
      </c>
      <c r="BI43" s="348" t="e">
        <f>VLOOKUP($AL43,#REF!,BI$37,FALSE)</f>
        <v>#REF!</v>
      </c>
      <c r="BJ43" s="348" t="e">
        <f>VLOOKUP($AL43,#REF!,BJ$37,FALSE)</f>
        <v>#REF!</v>
      </c>
      <c r="BK43" s="348" t="e">
        <f>VLOOKUP($AL43,#REF!,BK$37,FALSE)</f>
        <v>#REF!</v>
      </c>
      <c r="BL43" s="348" t="e">
        <f>VLOOKUP($AL43,#REF!,BL$37,FALSE)</f>
        <v>#REF!</v>
      </c>
    </row>
    <row r="44" spans="1:64" ht="14.25" customHeight="1" x14ac:dyDescent="0.2">
      <c r="A44" s="118"/>
      <c r="B44" s="9"/>
      <c r="C44" s="9"/>
      <c r="D44" s="9"/>
      <c r="E44" s="9"/>
      <c r="F44" s="9"/>
      <c r="G44" s="9"/>
      <c r="H44" s="9"/>
      <c r="I44" s="9"/>
      <c r="J44" s="12"/>
      <c r="K44" s="13"/>
      <c r="L44" s="13"/>
      <c r="M44" s="13"/>
      <c r="N44" s="13"/>
      <c r="O44" s="14"/>
      <c r="P44" s="14"/>
      <c r="Q44" s="14"/>
      <c r="R44" s="14"/>
      <c r="S44" s="14"/>
      <c r="T44" s="14"/>
      <c r="U44" s="14"/>
      <c r="V44" s="117"/>
      <c r="W44" s="137"/>
      <c r="X44" s="294"/>
      <c r="Y44" s="72" t="str">
        <f>"Y= "&amp;Z44&amp;"x + "&amp;AA44</f>
        <v>Y= 19.23772745363x + 246.805787799751</v>
      </c>
      <c r="Z44" s="743">
        <f>Sheet1!$F$7</f>
        <v>19.23772745363004</v>
      </c>
      <c r="AA44" s="743">
        <f>Sheet1!$F$8</f>
        <v>246.80578779975093</v>
      </c>
      <c r="AB44" s="215">
        <v>35</v>
      </c>
      <c r="AC44" s="216">
        <f>((AB44*Z44)+AA44)/$Y$2</f>
        <v>920.12624867680233</v>
      </c>
      <c r="AD44" s="1195">
        <f>ROUND(Sheet1!$F$9,3)</f>
        <v>0.28699999999999998</v>
      </c>
      <c r="AJ44" s="585" t="b">
        <v>1</v>
      </c>
      <c r="AK44" s="160" t="s">
        <v>4</v>
      </c>
      <c r="AL44" s="87" t="str">
        <f t="shared" si="14"/>
        <v>East Sussex</v>
      </c>
      <c r="AM44" s="146">
        <f t="shared" si="15"/>
        <v>234.65533522190745</v>
      </c>
      <c r="AN44" s="146">
        <f t="shared" si="15"/>
        <v>296.78942398489141</v>
      </c>
      <c r="AO44" s="146">
        <f t="shared" si="15"/>
        <v>337.73584905660374</v>
      </c>
      <c r="AP44" s="146">
        <f t="shared" si="15"/>
        <v>338.15789473684208</v>
      </c>
      <c r="AQ44" s="146">
        <f t="shared" si="15"/>
        <v>326.43461900282222</v>
      </c>
      <c r="AR44" s="147">
        <f t="shared" si="16"/>
        <v>16.100000000000001</v>
      </c>
      <c r="AS44" s="348">
        <f t="shared" si="17"/>
        <v>6.8011527377521613E-2</v>
      </c>
      <c r="AT44" s="348">
        <f t="shared" si="17"/>
        <v>0.13342939481268012</v>
      </c>
      <c r="AU44" s="348">
        <f t="shared" si="17"/>
        <v>0.13227665706051872</v>
      </c>
      <c r="AV44" s="348">
        <f t="shared" si="17"/>
        <v>0.27636887608069166</v>
      </c>
      <c r="AW44" s="348">
        <f t="shared" si="17"/>
        <v>0.38991354466858791</v>
      </c>
      <c r="AX44" s="348">
        <f t="shared" si="18"/>
        <v>0.53883299798792761</v>
      </c>
      <c r="AY44" s="348">
        <f t="shared" si="18"/>
        <v>0.65892459433662109</v>
      </c>
      <c r="AZ44" s="348">
        <f t="shared" si="18"/>
        <v>0.6064245810055866</v>
      </c>
      <c r="BA44" s="348">
        <f t="shared" si="18"/>
        <v>0.57921067259588666</v>
      </c>
      <c r="BB44" s="348">
        <f t="shared" si="18"/>
        <v>0.61008645533141215</v>
      </c>
      <c r="BC44" s="348" t="e">
        <f>VLOOKUP($AL44,#REF!,BC$37,FALSE)</f>
        <v>#REF!</v>
      </c>
      <c r="BD44" s="348" t="e">
        <f>VLOOKUP($AL44,#REF!,BD$37,FALSE)</f>
        <v>#REF!</v>
      </c>
      <c r="BE44" s="348" t="e">
        <f>VLOOKUP($AL44,#REF!,BE$37,FALSE)</f>
        <v>#REF!</v>
      </c>
      <c r="BF44" s="348" t="e">
        <f>VLOOKUP($AL44,#REF!,BF$37,FALSE)</f>
        <v>#REF!</v>
      </c>
      <c r="BG44" s="348" t="e">
        <f>VLOOKUP($AL44,#REF!,BG$37,FALSE)</f>
        <v>#REF!</v>
      </c>
      <c r="BH44" s="348" t="e">
        <f>VLOOKUP($AL44,#REF!,BH$37,FALSE)</f>
        <v>#REF!</v>
      </c>
      <c r="BI44" s="348" t="e">
        <f>VLOOKUP($AL44,#REF!,BI$37,FALSE)</f>
        <v>#REF!</v>
      </c>
      <c r="BJ44" s="348" t="e">
        <f>VLOOKUP($AL44,#REF!,BJ$37,FALSE)</f>
        <v>#REF!</v>
      </c>
      <c r="BK44" s="348" t="e">
        <f>VLOOKUP($AL44,#REF!,BK$37,FALSE)</f>
        <v>#REF!</v>
      </c>
      <c r="BL44" s="348" t="e">
        <f>VLOOKUP($AL44,#REF!,BL$37,FALSE)</f>
        <v>#REF!</v>
      </c>
    </row>
    <row r="45" spans="1:64" s="76" customFormat="1" ht="14.25" customHeight="1" x14ac:dyDescent="0.2">
      <c r="A45" s="119"/>
      <c r="B45" s="226"/>
      <c r="C45" s="226"/>
      <c r="D45" s="227"/>
      <c r="E45" s="227"/>
      <c r="F45" s="227"/>
      <c r="G45" s="227"/>
      <c r="H45" s="227"/>
      <c r="I45" s="227"/>
      <c r="J45" s="15"/>
      <c r="K45" s="9"/>
      <c r="L45" s="9"/>
      <c r="M45" s="9"/>
      <c r="N45" s="9"/>
      <c r="O45" s="9"/>
      <c r="P45" s="9"/>
      <c r="Q45" s="9"/>
      <c r="R45" s="9"/>
      <c r="S45" s="9"/>
      <c r="T45" s="9"/>
      <c r="U45" s="9"/>
      <c r="V45" s="120"/>
      <c r="W45" s="138"/>
      <c r="X45" s="295"/>
      <c r="AD45" s="81"/>
      <c r="AE45" s="81"/>
      <c r="AF45" s="81"/>
      <c r="AG45" s="81"/>
      <c r="AH45" s="81"/>
      <c r="AI45" s="81"/>
      <c r="AJ45" s="585" t="b">
        <v>1</v>
      </c>
      <c r="AK45" s="160" t="s">
        <v>6</v>
      </c>
      <c r="AL45" s="87" t="str">
        <f t="shared" si="14"/>
        <v>Hampshire</v>
      </c>
      <c r="AM45" s="146">
        <f t="shared" si="15"/>
        <v>600.60305072720826</v>
      </c>
      <c r="AN45" s="146">
        <f t="shared" si="15"/>
        <v>701.59123055162661</v>
      </c>
      <c r="AO45" s="146">
        <f t="shared" si="15"/>
        <v>623.36745499470521</v>
      </c>
      <c r="AP45" s="146">
        <f t="shared" si="15"/>
        <v>633.90845070422529</v>
      </c>
      <c r="AQ45" s="146">
        <f t="shared" si="15"/>
        <v>693.35209285965527</v>
      </c>
      <c r="AR45" s="147">
        <f t="shared" si="16"/>
        <v>10.100000000000001</v>
      </c>
      <c r="AS45" s="348">
        <f t="shared" si="17"/>
        <v>0.23549107142857142</v>
      </c>
      <c r="AT45" s="348">
        <f t="shared" si="17"/>
        <v>0.47940340909090912</v>
      </c>
      <c r="AU45" s="348">
        <f t="shared" si="17"/>
        <v>0.10907061688311688</v>
      </c>
      <c r="AV45" s="348">
        <f t="shared" si="17"/>
        <v>0.10212053571428571</v>
      </c>
      <c r="AW45" s="348">
        <f t="shared" si="17"/>
        <v>7.391436688311688E-2</v>
      </c>
      <c r="AX45" s="348">
        <f t="shared" si="18"/>
        <v>0.88252318232827354</v>
      </c>
      <c r="AY45" s="348">
        <f t="shared" si="18"/>
        <v>0.89637619071619379</v>
      </c>
      <c r="AZ45" s="348">
        <f t="shared" si="18"/>
        <v>0.91200453001132498</v>
      </c>
      <c r="BA45" s="348">
        <f t="shared" si="18"/>
        <v>0.90851524745875689</v>
      </c>
      <c r="BB45" s="348">
        <f t="shared" si="18"/>
        <v>0.92608563311688308</v>
      </c>
      <c r="BC45" s="348" t="e">
        <f>VLOOKUP($AL45,#REF!,BC$37,FALSE)</f>
        <v>#REF!</v>
      </c>
      <c r="BD45" s="348" t="e">
        <f>VLOOKUP($AL45,#REF!,BD$37,FALSE)</f>
        <v>#REF!</v>
      </c>
      <c r="BE45" s="348" t="e">
        <f>VLOOKUP($AL45,#REF!,BE$37,FALSE)</f>
        <v>#REF!</v>
      </c>
      <c r="BF45" s="348" t="e">
        <f>VLOOKUP($AL45,#REF!,BF$37,FALSE)</f>
        <v>#REF!</v>
      </c>
      <c r="BG45" s="348" t="e">
        <f>VLOOKUP($AL45,#REF!,BG$37,FALSE)</f>
        <v>#REF!</v>
      </c>
      <c r="BH45" s="348" t="e">
        <f>VLOOKUP($AL45,#REF!,BH$37,FALSE)</f>
        <v>#REF!</v>
      </c>
      <c r="BI45" s="348" t="e">
        <f>VLOOKUP($AL45,#REF!,BI$37,FALSE)</f>
        <v>#REF!</v>
      </c>
      <c r="BJ45" s="348" t="e">
        <f>VLOOKUP($AL45,#REF!,BJ$37,FALSE)</f>
        <v>#REF!</v>
      </c>
      <c r="BK45" s="348" t="e">
        <f>VLOOKUP($AL45,#REF!,BK$37,FALSE)</f>
        <v>#REF!</v>
      </c>
      <c r="BL45" s="348" t="e">
        <f>VLOOKUP($AL45,#REF!,BL$37,FALSE)</f>
        <v>#REF!</v>
      </c>
    </row>
    <row r="46" spans="1:64" ht="14.25" customHeight="1" x14ac:dyDescent="0.2">
      <c r="A46" s="118"/>
      <c r="B46" s="227"/>
      <c r="C46" s="227"/>
      <c r="D46" s="227"/>
      <c r="E46" s="227"/>
      <c r="F46" s="227"/>
      <c r="G46" s="227"/>
      <c r="H46" s="227"/>
      <c r="I46" s="227"/>
      <c r="J46" s="12"/>
      <c r="K46" s="14"/>
      <c r="L46" s="14"/>
      <c r="M46" s="14"/>
      <c r="N46" s="14"/>
      <c r="O46" s="9"/>
      <c r="P46" s="9"/>
      <c r="Q46" s="9"/>
      <c r="R46" s="9"/>
      <c r="S46" s="9"/>
      <c r="T46" s="9"/>
      <c r="U46" s="9"/>
      <c r="V46" s="117"/>
      <c r="W46" s="137"/>
      <c r="X46" s="294"/>
      <c r="AJ46" s="585" t="b">
        <v>1</v>
      </c>
      <c r="AK46" s="160" t="s">
        <v>1</v>
      </c>
      <c r="AL46" s="87" t="str">
        <f t="shared" si="14"/>
        <v>Isle of Wight</v>
      </c>
      <c r="AM46" s="146">
        <f t="shared" si="15"/>
        <v>946.64031620553351</v>
      </c>
      <c r="AN46" s="146">
        <f t="shared" si="15"/>
        <v>1067.8571428571429</v>
      </c>
      <c r="AO46" s="146">
        <f t="shared" si="15"/>
        <v>1067.3306772908368</v>
      </c>
      <c r="AP46" s="146">
        <f t="shared" si="15"/>
        <v>789.15662650602405</v>
      </c>
      <c r="AQ46" s="146">
        <f t="shared" si="15"/>
        <v>1274.8987854251013</v>
      </c>
      <c r="AR46" s="147">
        <f t="shared" si="16"/>
        <v>18</v>
      </c>
      <c r="AS46" s="348">
        <f t="shared" si="17"/>
        <v>0.32232454747538902</v>
      </c>
      <c r="AT46" s="348">
        <f t="shared" si="17"/>
        <v>0.36392505557319782</v>
      </c>
      <c r="AU46" s="348">
        <f t="shared" si="17"/>
        <v>9.6221022546840271E-2</v>
      </c>
      <c r="AV46" s="348">
        <f t="shared" si="17"/>
        <v>0.1622737376945062</v>
      </c>
      <c r="AW46" s="348">
        <f t="shared" si="17"/>
        <v>5.525563671006669E-2</v>
      </c>
      <c r="AX46" s="348">
        <f t="shared" si="18"/>
        <v>0.86304801670146136</v>
      </c>
      <c r="AY46" s="348">
        <f t="shared" si="18"/>
        <v>0.79189892233370496</v>
      </c>
      <c r="AZ46" s="348">
        <f t="shared" si="18"/>
        <v>0.86114221724524076</v>
      </c>
      <c r="BA46" s="348">
        <f t="shared" si="18"/>
        <v>0.95776081424936388</v>
      </c>
      <c r="BB46" s="348">
        <f t="shared" si="18"/>
        <v>0.94474436328993328</v>
      </c>
      <c r="BC46" s="348" t="e">
        <f>VLOOKUP($AL46,#REF!,BC$37,FALSE)</f>
        <v>#REF!</v>
      </c>
      <c r="BD46" s="348" t="e">
        <f>VLOOKUP($AL46,#REF!,BD$37,FALSE)</f>
        <v>#REF!</v>
      </c>
      <c r="BE46" s="348" t="e">
        <f>VLOOKUP($AL46,#REF!,BE$37,FALSE)</f>
        <v>#REF!</v>
      </c>
      <c r="BF46" s="348" t="e">
        <f>VLOOKUP($AL46,#REF!,BF$37,FALSE)</f>
        <v>#REF!</v>
      </c>
      <c r="BG46" s="348" t="e">
        <f>VLOOKUP($AL46,#REF!,BG$37,FALSE)</f>
        <v>#REF!</v>
      </c>
      <c r="BH46" s="348" t="e">
        <f>VLOOKUP($AL46,#REF!,BH$37,FALSE)</f>
        <v>#REF!</v>
      </c>
      <c r="BI46" s="348" t="e">
        <f>VLOOKUP($AL46,#REF!,BI$37,FALSE)</f>
        <v>#REF!</v>
      </c>
      <c r="BJ46" s="348" t="e">
        <f>VLOOKUP($AL46,#REF!,BJ$37,FALSE)</f>
        <v>#REF!</v>
      </c>
      <c r="BK46" s="348" t="e">
        <f>VLOOKUP($AL46,#REF!,BK$37,FALSE)</f>
        <v>#REF!</v>
      </c>
      <c r="BL46" s="348" t="e">
        <f>VLOOKUP($AL46,#REF!,BL$37,FALSE)</f>
        <v>#REF!</v>
      </c>
    </row>
    <row r="47" spans="1:64" ht="14.25" customHeight="1" x14ac:dyDescent="0.2">
      <c r="A47" s="118"/>
      <c r="B47" s="227"/>
      <c r="C47" s="227"/>
      <c r="D47" s="227"/>
      <c r="E47" s="227"/>
      <c r="F47" s="227"/>
      <c r="G47" s="227"/>
      <c r="H47" s="227"/>
      <c r="I47" s="227"/>
      <c r="J47" s="12"/>
      <c r="K47" s="14"/>
      <c r="L47" s="14"/>
      <c r="M47" s="14"/>
      <c r="N47" s="14"/>
      <c r="O47" s="9"/>
      <c r="P47" s="9"/>
      <c r="Q47" s="9"/>
      <c r="R47" s="9"/>
      <c r="S47" s="9"/>
      <c r="T47" s="9"/>
      <c r="U47" s="9"/>
      <c r="V47" s="117"/>
      <c r="W47" s="137"/>
      <c r="X47" s="294"/>
      <c r="AD47" s="207"/>
      <c r="AJ47" s="585" t="b">
        <v>1</v>
      </c>
      <c r="AK47" s="160" t="s">
        <v>9</v>
      </c>
      <c r="AL47" s="87" t="str">
        <f t="shared" si="14"/>
        <v>Kent</v>
      </c>
      <c r="AM47" s="146">
        <f t="shared" si="15"/>
        <v>497.57869249394673</v>
      </c>
      <c r="AN47" s="146">
        <f t="shared" si="15"/>
        <v>491.47147147147143</v>
      </c>
      <c r="AO47" s="146">
        <f t="shared" si="15"/>
        <v>560.16066646831302</v>
      </c>
      <c r="AP47" s="146">
        <f t="shared" si="15"/>
        <v>520.52337547780064</v>
      </c>
      <c r="AQ47" s="146">
        <f t="shared" si="15"/>
        <v>601.68702734147757</v>
      </c>
      <c r="AR47" s="147">
        <f t="shared" si="16"/>
        <v>15.8</v>
      </c>
      <c r="AS47" s="348">
        <f t="shared" si="17"/>
        <v>6.8355409455670507E-2</v>
      </c>
      <c r="AT47" s="348">
        <f t="shared" si="17"/>
        <v>0.12907280286183892</v>
      </c>
      <c r="AU47" s="348">
        <f t="shared" si="17"/>
        <v>0.24659189790196268</v>
      </c>
      <c r="AV47" s="348">
        <f t="shared" si="17"/>
        <v>0.43618872667504593</v>
      </c>
      <c r="AW47" s="348">
        <f t="shared" si="17"/>
        <v>0.11979116310548196</v>
      </c>
      <c r="AX47" s="348">
        <f t="shared" si="18"/>
        <v>0.91204379562043791</v>
      </c>
      <c r="AY47" s="348">
        <f t="shared" si="18"/>
        <v>0.92209458633752905</v>
      </c>
      <c r="AZ47" s="348">
        <f t="shared" si="18"/>
        <v>0.86859297816964998</v>
      </c>
      <c r="BA47" s="348">
        <f t="shared" si="18"/>
        <v>0.92114330904366493</v>
      </c>
      <c r="BB47" s="348">
        <f t="shared" si="18"/>
        <v>0.88020883689451801</v>
      </c>
      <c r="BC47" s="348" t="e">
        <f>VLOOKUP($AL47,#REF!,BC$37,FALSE)</f>
        <v>#REF!</v>
      </c>
      <c r="BD47" s="348" t="e">
        <f>VLOOKUP($AL47,#REF!,BD$37,FALSE)</f>
        <v>#REF!</v>
      </c>
      <c r="BE47" s="348" t="e">
        <f>VLOOKUP($AL47,#REF!,BE$37,FALSE)</f>
        <v>#REF!</v>
      </c>
      <c r="BF47" s="348" t="e">
        <f>VLOOKUP($AL47,#REF!,BF$37,FALSE)</f>
        <v>#REF!</v>
      </c>
      <c r="BG47" s="348" t="e">
        <f>VLOOKUP($AL47,#REF!,BG$37,FALSE)</f>
        <v>#REF!</v>
      </c>
      <c r="BH47" s="348" t="e">
        <f>VLOOKUP($AL47,#REF!,BH$37,FALSE)</f>
        <v>#REF!</v>
      </c>
      <c r="BI47" s="348" t="e">
        <f>VLOOKUP($AL47,#REF!,BI$37,FALSE)</f>
        <v>#REF!</v>
      </c>
      <c r="BJ47" s="348" t="e">
        <f>VLOOKUP($AL47,#REF!,BJ$37,FALSE)</f>
        <v>#REF!</v>
      </c>
      <c r="BK47" s="348" t="e">
        <f>VLOOKUP($AL47,#REF!,BK$37,FALSE)</f>
        <v>#REF!</v>
      </c>
      <c r="BL47" s="348" t="e">
        <f>VLOOKUP($AL47,#REF!,BL$37,FALSE)</f>
        <v>#REF!</v>
      </c>
    </row>
    <row r="48" spans="1:64" ht="14.25" customHeight="1" x14ac:dyDescent="0.2">
      <c r="A48" s="118"/>
      <c r="B48" s="58"/>
      <c r="C48" s="58"/>
      <c r="D48" s="58"/>
      <c r="E48" s="58"/>
      <c r="F48" s="58"/>
      <c r="G48" s="58"/>
      <c r="H48" s="58"/>
      <c r="I48" s="58"/>
      <c r="J48" s="12"/>
      <c r="K48" s="14"/>
      <c r="L48" s="14"/>
      <c r="M48" s="14"/>
      <c r="N48" s="14"/>
      <c r="O48" s="9"/>
      <c r="P48" s="9"/>
      <c r="Q48" s="9"/>
      <c r="R48" s="9"/>
      <c r="S48" s="9"/>
      <c r="T48" s="9"/>
      <c r="U48" s="9"/>
      <c r="V48" s="117"/>
      <c r="W48" s="137"/>
      <c r="X48" s="294"/>
      <c r="AD48" s="184"/>
      <c r="AJ48" s="585" t="b">
        <v>1</v>
      </c>
      <c r="AK48" s="160" t="s">
        <v>2</v>
      </c>
      <c r="AL48" s="87" t="str">
        <f t="shared" si="14"/>
        <v>Medway</v>
      </c>
      <c r="AM48" s="146">
        <f t="shared" si="15"/>
        <v>492.72151898734177</v>
      </c>
      <c r="AN48" s="146">
        <f t="shared" si="15"/>
        <v>442.38618524332804</v>
      </c>
      <c r="AO48" s="146">
        <f t="shared" si="15"/>
        <v>392.64475743348981</v>
      </c>
      <c r="AP48" s="146">
        <f t="shared" si="15"/>
        <v>531.05590062111798</v>
      </c>
      <c r="AQ48" s="146">
        <f t="shared" si="15"/>
        <v>733.69230769230774</v>
      </c>
      <c r="AR48" s="147">
        <f t="shared" si="16"/>
        <v>18.899999999999999</v>
      </c>
      <c r="AS48" s="348">
        <f t="shared" si="17"/>
        <v>2.3132427843803056E-2</v>
      </c>
      <c r="AT48" s="348">
        <f t="shared" si="17"/>
        <v>0.13667232597623091</v>
      </c>
      <c r="AU48" s="348">
        <f t="shared" si="17"/>
        <v>0.20606960950764006</v>
      </c>
      <c r="AV48" s="348">
        <f t="shared" si="17"/>
        <v>0.58510186757215621</v>
      </c>
      <c r="AW48" s="348">
        <f t="shared" si="17"/>
        <v>4.9023769100169777E-2</v>
      </c>
      <c r="AX48" s="348">
        <f t="shared" si="18"/>
        <v>0.83365446371226715</v>
      </c>
      <c r="AY48" s="348">
        <f t="shared" si="18"/>
        <v>0.95848119233498941</v>
      </c>
      <c r="AZ48" s="348">
        <f t="shared" si="18"/>
        <v>0.85930649661219605</v>
      </c>
      <c r="BA48" s="348">
        <f t="shared" si="18"/>
        <v>0.63128654970760234</v>
      </c>
      <c r="BB48" s="348">
        <f t="shared" si="18"/>
        <v>0.95097623089983019</v>
      </c>
      <c r="BC48" s="348" t="e">
        <f>VLOOKUP($AL48,#REF!,BC$37,FALSE)</f>
        <v>#REF!</v>
      </c>
      <c r="BD48" s="348" t="e">
        <f>VLOOKUP($AL48,#REF!,BD$37,FALSE)</f>
        <v>#REF!</v>
      </c>
      <c r="BE48" s="348" t="e">
        <f>VLOOKUP($AL48,#REF!,BE$37,FALSE)</f>
        <v>#REF!</v>
      </c>
      <c r="BF48" s="348" t="e">
        <f>VLOOKUP($AL48,#REF!,BF$37,FALSE)</f>
        <v>#REF!</v>
      </c>
      <c r="BG48" s="348" t="e">
        <f>VLOOKUP($AL48,#REF!,BG$37,FALSE)</f>
        <v>#REF!</v>
      </c>
      <c r="BH48" s="348" t="e">
        <f>VLOOKUP($AL48,#REF!,BH$37,FALSE)</f>
        <v>#REF!</v>
      </c>
      <c r="BI48" s="348" t="e">
        <f>VLOOKUP($AL48,#REF!,BI$37,FALSE)</f>
        <v>#REF!</v>
      </c>
      <c r="BJ48" s="348" t="e">
        <f>VLOOKUP($AL48,#REF!,BJ$37,FALSE)</f>
        <v>#REF!</v>
      </c>
      <c r="BK48" s="348" t="e">
        <f>VLOOKUP($AL48,#REF!,BK$37,FALSE)</f>
        <v>#REF!</v>
      </c>
      <c r="BL48" s="348" t="e">
        <f>VLOOKUP($AL48,#REF!,BL$37,FALSE)</f>
        <v>#REF!</v>
      </c>
    </row>
    <row r="49" spans="1:64" ht="14.25" customHeight="1" x14ac:dyDescent="0.2">
      <c r="A49" s="118"/>
      <c r="B49" s="58"/>
      <c r="C49" s="58"/>
      <c r="D49" s="69"/>
      <c r="E49" s="70"/>
      <c r="F49" s="69"/>
      <c r="G49" s="70"/>
      <c r="H49" s="70"/>
      <c r="I49" s="70"/>
      <c r="J49" s="12"/>
      <c r="K49" s="14"/>
      <c r="L49" s="14"/>
      <c r="M49" s="14"/>
      <c r="N49" s="14"/>
      <c r="O49" s="9"/>
      <c r="P49" s="9"/>
      <c r="Q49" s="9"/>
      <c r="R49" s="9"/>
      <c r="S49" s="9"/>
      <c r="T49" s="9"/>
      <c r="U49" s="9"/>
      <c r="V49" s="117"/>
      <c r="W49" s="137"/>
      <c r="X49" s="294"/>
      <c r="AJ49" s="585" t="b">
        <v>1</v>
      </c>
      <c r="AK49" s="160" t="s">
        <v>10</v>
      </c>
      <c r="AL49" s="87" t="str">
        <f t="shared" si="14"/>
        <v>Milton Keynes</v>
      </c>
      <c r="AM49" s="146">
        <f t="shared" si="15"/>
        <v>315.7337367624811</v>
      </c>
      <c r="AN49" s="146">
        <f t="shared" si="15"/>
        <v>375.11177347242921</v>
      </c>
      <c r="AO49" s="146">
        <f t="shared" si="15"/>
        <v>327.36686390532543</v>
      </c>
      <c r="AP49" s="146">
        <f t="shared" si="15"/>
        <v>329.28257686676426</v>
      </c>
      <c r="AQ49" s="146">
        <f t="shared" si="15"/>
        <v>443.60465116279073</v>
      </c>
      <c r="AR49" s="147">
        <f t="shared" si="16"/>
        <v>15</v>
      </c>
      <c r="AS49" s="348">
        <f t="shared" si="17"/>
        <v>0.15432503276539974</v>
      </c>
      <c r="AT49" s="348">
        <f t="shared" si="17"/>
        <v>0.19692005242463959</v>
      </c>
      <c r="AU49" s="348">
        <f t="shared" si="17"/>
        <v>0.20740498034076016</v>
      </c>
      <c r="AV49" s="348">
        <f t="shared" si="17"/>
        <v>0.27064220183486237</v>
      </c>
      <c r="AW49" s="348">
        <f t="shared" si="17"/>
        <v>0.17070773263433814</v>
      </c>
      <c r="AX49" s="348">
        <f t="shared" si="18"/>
        <v>0.93291806420699563</v>
      </c>
      <c r="AY49" s="348">
        <f t="shared" si="18"/>
        <v>0.90186730234406043</v>
      </c>
      <c r="AZ49" s="348">
        <f t="shared" si="18"/>
        <v>0.87754179846362401</v>
      </c>
      <c r="BA49" s="348">
        <f t="shared" si="18"/>
        <v>0.93863939528679408</v>
      </c>
      <c r="BB49" s="348">
        <f t="shared" si="18"/>
        <v>0.82929226736566186</v>
      </c>
      <c r="BC49" s="348" t="e">
        <f>VLOOKUP($AL49,#REF!,BC$37,FALSE)</f>
        <v>#REF!</v>
      </c>
      <c r="BD49" s="348" t="e">
        <f>VLOOKUP($AL49,#REF!,BD$37,FALSE)</f>
        <v>#REF!</v>
      </c>
      <c r="BE49" s="348" t="e">
        <f>VLOOKUP($AL49,#REF!,BE$37,FALSE)</f>
        <v>#REF!</v>
      </c>
      <c r="BF49" s="348" t="e">
        <f>VLOOKUP($AL49,#REF!,BF$37,FALSE)</f>
        <v>#REF!</v>
      </c>
      <c r="BG49" s="348" t="e">
        <f>VLOOKUP($AL49,#REF!,BG$37,FALSE)</f>
        <v>#REF!</v>
      </c>
      <c r="BH49" s="348" t="e">
        <f>VLOOKUP($AL49,#REF!,BH$37,FALSE)</f>
        <v>#REF!</v>
      </c>
      <c r="BI49" s="348" t="e">
        <f>VLOOKUP($AL49,#REF!,BI$37,FALSE)</f>
        <v>#REF!</v>
      </c>
      <c r="BJ49" s="348" t="e">
        <f>VLOOKUP($AL49,#REF!,BJ$37,FALSE)</f>
        <v>#REF!</v>
      </c>
      <c r="BK49" s="348" t="e">
        <f>VLOOKUP($AL49,#REF!,BK$37,FALSE)</f>
        <v>#REF!</v>
      </c>
      <c r="BL49" s="348" t="e">
        <f>VLOOKUP($AL49,#REF!,BL$37,FALSE)</f>
        <v>#REF!</v>
      </c>
    </row>
    <row r="50" spans="1:64" ht="14.25" customHeight="1" x14ac:dyDescent="0.2">
      <c r="A50" s="118"/>
      <c r="B50" s="58"/>
      <c r="C50" s="58"/>
      <c r="D50" s="61"/>
      <c r="E50" s="61"/>
      <c r="F50" s="61"/>
      <c r="G50" s="61"/>
      <c r="H50" s="61"/>
      <c r="I50" s="61"/>
      <c r="J50" s="12"/>
      <c r="K50" s="14"/>
      <c r="L50" s="14"/>
      <c r="M50" s="14"/>
      <c r="N50" s="14"/>
      <c r="O50" s="9"/>
      <c r="P50" s="9"/>
      <c r="Q50" s="9"/>
      <c r="R50" s="9"/>
      <c r="S50" s="9"/>
      <c r="T50" s="9"/>
      <c r="U50" s="9"/>
      <c r="V50" s="117"/>
      <c r="W50" s="137"/>
      <c r="X50" s="294"/>
      <c r="AJ50" s="585" t="b">
        <v>1</v>
      </c>
      <c r="AK50" s="160" t="s">
        <v>11</v>
      </c>
      <c r="AL50" s="87" t="str">
        <f t="shared" si="14"/>
        <v>Oxfordshire</v>
      </c>
      <c r="AM50" s="146">
        <f t="shared" si="15"/>
        <v>388.99858956276444</v>
      </c>
      <c r="AN50" s="146">
        <f t="shared" si="15"/>
        <v>470.25892232330301</v>
      </c>
      <c r="AO50" s="146">
        <f t="shared" si="15"/>
        <v>403.76569037656907</v>
      </c>
      <c r="AP50" s="146">
        <f t="shared" si="15"/>
        <v>373.20441988950279</v>
      </c>
      <c r="AQ50" s="146">
        <f t="shared" si="15"/>
        <v>480.56125941136207</v>
      </c>
      <c r="AR50" s="147">
        <f t="shared" si="16"/>
        <v>10.100000000000001</v>
      </c>
      <c r="AS50" s="348">
        <f t="shared" si="17"/>
        <v>6.0532687651331719E-2</v>
      </c>
      <c r="AT50" s="348">
        <f t="shared" si="17"/>
        <v>0.10254949437402079</v>
      </c>
      <c r="AU50" s="348">
        <f t="shared" si="17"/>
        <v>0.10895883777239709</v>
      </c>
      <c r="AV50" s="348">
        <f t="shared" si="17"/>
        <v>0.35806865118928927</v>
      </c>
      <c r="AW50" s="348">
        <f t="shared" si="17"/>
        <v>0.36989032901296109</v>
      </c>
      <c r="AX50" s="348">
        <f t="shared" si="18"/>
        <v>0.6292603335750544</v>
      </c>
      <c r="AY50" s="348">
        <f t="shared" si="18"/>
        <v>0.5178571428571429</v>
      </c>
      <c r="AZ50" s="348">
        <f t="shared" si="18"/>
        <v>0.51692573402417963</v>
      </c>
      <c r="BA50" s="348">
        <f t="shared" si="18"/>
        <v>0.58327165062916353</v>
      </c>
      <c r="BB50" s="348">
        <f t="shared" si="18"/>
        <v>0.63010967098703885</v>
      </c>
      <c r="BC50" s="348" t="e">
        <f>VLOOKUP($AL50,#REF!,BC$37,FALSE)</f>
        <v>#REF!</v>
      </c>
      <c r="BD50" s="348" t="e">
        <f>VLOOKUP($AL50,#REF!,BD$37,FALSE)</f>
        <v>#REF!</v>
      </c>
      <c r="BE50" s="348" t="e">
        <f>VLOOKUP($AL50,#REF!,BE$37,FALSE)</f>
        <v>#REF!</v>
      </c>
      <c r="BF50" s="348" t="e">
        <f>VLOOKUP($AL50,#REF!,BF$37,FALSE)</f>
        <v>#REF!</v>
      </c>
      <c r="BG50" s="348" t="e">
        <f>VLOOKUP($AL50,#REF!,BG$37,FALSE)</f>
        <v>#REF!</v>
      </c>
      <c r="BH50" s="348" t="e">
        <f>VLOOKUP($AL50,#REF!,BH$37,FALSE)</f>
        <v>#REF!</v>
      </c>
      <c r="BI50" s="348" t="e">
        <f>VLOOKUP($AL50,#REF!,BI$37,FALSE)</f>
        <v>#REF!</v>
      </c>
      <c r="BJ50" s="348" t="e">
        <f>VLOOKUP($AL50,#REF!,BJ$37,FALSE)</f>
        <v>#REF!</v>
      </c>
      <c r="BK50" s="348" t="e">
        <f>VLOOKUP($AL50,#REF!,BK$37,FALSE)</f>
        <v>#REF!</v>
      </c>
      <c r="BL50" s="348" t="e">
        <f>VLOOKUP($AL50,#REF!,BL$37,FALSE)</f>
        <v>#REF!</v>
      </c>
    </row>
    <row r="51" spans="1:64" ht="14.25" customHeight="1" x14ac:dyDescent="0.2">
      <c r="A51" s="118"/>
      <c r="B51" s="328"/>
      <c r="C51" s="328"/>
      <c r="D51" s="58"/>
      <c r="E51" s="58"/>
      <c r="F51" s="58"/>
      <c r="G51" s="58"/>
      <c r="H51" s="58"/>
      <c r="I51" s="58"/>
      <c r="J51" s="12"/>
      <c r="K51" s="14"/>
      <c r="L51" s="14"/>
      <c r="M51" s="14"/>
      <c r="N51" s="14"/>
      <c r="O51" s="9"/>
      <c r="P51" s="9"/>
      <c r="Q51" s="9"/>
      <c r="R51" s="9"/>
      <c r="S51" s="9"/>
      <c r="T51" s="9"/>
      <c r="U51" s="9"/>
      <c r="V51" s="117"/>
      <c r="W51" s="137"/>
      <c r="X51" s="294"/>
      <c r="AJ51" s="585" t="b">
        <v>1</v>
      </c>
      <c r="AK51" s="160" t="s">
        <v>12</v>
      </c>
      <c r="AL51" s="87" t="str">
        <f t="shared" si="14"/>
        <v>Portsmouth</v>
      </c>
      <c r="AM51" s="146">
        <f t="shared" ref="AM51:AQ64" si="19">VLOOKUP($AL51,$B$10:$O$33,AM$37,FALSE)</f>
        <v>425.79908675799089</v>
      </c>
      <c r="AN51" s="146">
        <f t="shared" si="19"/>
        <v>670.4545454545455</v>
      </c>
      <c r="AO51" s="146">
        <f t="shared" si="19"/>
        <v>721.71945701357458</v>
      </c>
      <c r="AP51" s="146">
        <f t="shared" si="19"/>
        <v>849.31818181818176</v>
      </c>
      <c r="AQ51" s="146">
        <f t="shared" si="19"/>
        <v>591.32420091324207</v>
      </c>
      <c r="AR51" s="147">
        <f t="shared" si="16"/>
        <v>20.200000000000003</v>
      </c>
      <c r="AS51" s="348">
        <f t="shared" ref="AS51:AW64" si="20">VLOOKUP($AL51,$B$147:$H$170,AS$37,FALSE)</f>
        <v>0.26833976833976836</v>
      </c>
      <c r="AT51" s="348">
        <f t="shared" si="20"/>
        <v>0.24362934362934363</v>
      </c>
      <c r="AU51" s="348">
        <f t="shared" si="20"/>
        <v>0.2413127413127413</v>
      </c>
      <c r="AV51" s="348">
        <f t="shared" si="20"/>
        <v>0.22664092664092664</v>
      </c>
      <c r="AW51" s="348">
        <f t="shared" si="20"/>
        <v>2.0077220077220077E-2</v>
      </c>
      <c r="AX51" s="348">
        <f t="shared" ref="AX51:BB64" si="21">VLOOKUP($AL51,$B$112:$H$135,AX$37,FALSE)</f>
        <v>0.99516908212560384</v>
      </c>
      <c r="AY51" s="348">
        <f t="shared" si="21"/>
        <v>0.94135593220338987</v>
      </c>
      <c r="AZ51" s="348">
        <f t="shared" si="21"/>
        <v>0.93573667711598751</v>
      </c>
      <c r="BA51" s="348">
        <f t="shared" si="21"/>
        <v>0.95210061546695213</v>
      </c>
      <c r="BB51" s="348">
        <f t="shared" si="21"/>
        <v>0.97992277992277987</v>
      </c>
      <c r="BC51" s="348" t="e">
        <f>VLOOKUP($AL51,#REF!,BC$37,FALSE)</f>
        <v>#REF!</v>
      </c>
      <c r="BD51" s="348" t="e">
        <f>VLOOKUP($AL51,#REF!,BD$37,FALSE)</f>
        <v>#REF!</v>
      </c>
      <c r="BE51" s="348" t="e">
        <f>VLOOKUP($AL51,#REF!,BE$37,FALSE)</f>
        <v>#REF!</v>
      </c>
      <c r="BF51" s="348" t="e">
        <f>VLOOKUP($AL51,#REF!,BF$37,FALSE)</f>
        <v>#REF!</v>
      </c>
      <c r="BG51" s="348" t="e">
        <f>VLOOKUP($AL51,#REF!,BG$37,FALSE)</f>
        <v>#REF!</v>
      </c>
      <c r="BH51" s="348" t="e">
        <f>VLOOKUP($AL51,#REF!,BH$37,FALSE)</f>
        <v>#REF!</v>
      </c>
      <c r="BI51" s="348" t="e">
        <f>VLOOKUP($AL51,#REF!,BI$37,FALSE)</f>
        <v>#REF!</v>
      </c>
      <c r="BJ51" s="348" t="e">
        <f>VLOOKUP($AL51,#REF!,BJ$37,FALSE)</f>
        <v>#REF!</v>
      </c>
      <c r="BK51" s="348" t="e">
        <f>VLOOKUP($AL51,#REF!,BK$37,FALSE)</f>
        <v>#REF!</v>
      </c>
      <c r="BL51" s="348" t="e">
        <f>VLOOKUP($AL51,#REF!,BL$37,FALSE)</f>
        <v>#REF!</v>
      </c>
    </row>
    <row r="52" spans="1:64" ht="14.25" customHeight="1" x14ac:dyDescent="0.2">
      <c r="A52" s="118"/>
      <c r="B52" s="328"/>
      <c r="C52" s="328"/>
      <c r="D52" s="58"/>
      <c r="E52" s="58"/>
      <c r="F52" s="58"/>
      <c r="G52" s="58"/>
      <c r="H52" s="58"/>
      <c r="I52" s="58"/>
      <c r="J52" s="12"/>
      <c r="K52" s="14"/>
      <c r="L52" s="14"/>
      <c r="M52" s="14"/>
      <c r="N52" s="14"/>
      <c r="O52" s="9"/>
      <c r="P52" s="9"/>
      <c r="Q52" s="9"/>
      <c r="R52" s="9"/>
      <c r="S52" s="9"/>
      <c r="T52" s="9"/>
      <c r="U52" s="9"/>
      <c r="V52" s="117"/>
      <c r="W52" s="137"/>
      <c r="X52" s="294"/>
      <c r="AJ52" s="585" t="b">
        <v>1</v>
      </c>
      <c r="AK52" s="160" t="s">
        <v>3</v>
      </c>
      <c r="AL52" s="87" t="str">
        <f t="shared" si="14"/>
        <v>Reading</v>
      </c>
      <c r="AM52" s="146">
        <f t="shared" si="19"/>
        <v>596.42857142857144</v>
      </c>
      <c r="AN52" s="146">
        <f t="shared" si="19"/>
        <v>804.64480874316939</v>
      </c>
      <c r="AO52" s="146">
        <f t="shared" si="19"/>
        <v>752.29110512129387</v>
      </c>
      <c r="AP52" s="146">
        <f t="shared" si="19"/>
        <v>721.29380053908358</v>
      </c>
      <c r="AQ52" s="146">
        <f t="shared" si="19"/>
        <v>726.75675675675677</v>
      </c>
      <c r="AR52" s="147">
        <f t="shared" si="16"/>
        <v>16</v>
      </c>
      <c r="AS52" s="348">
        <f t="shared" si="20"/>
        <v>7.9955373744886579E-2</v>
      </c>
      <c r="AT52" s="348">
        <f t="shared" si="20"/>
        <v>0.1647452584603942</v>
      </c>
      <c r="AU52" s="348">
        <f t="shared" si="20"/>
        <v>0.14652287095574562</v>
      </c>
      <c r="AV52" s="348">
        <f t="shared" si="20"/>
        <v>0.4087021197471179</v>
      </c>
      <c r="AW52" s="348">
        <f t="shared" si="20"/>
        <v>0.20007437709185572</v>
      </c>
      <c r="AX52" s="348">
        <f t="shared" si="21"/>
        <v>0.8337171810225702</v>
      </c>
      <c r="AY52" s="348">
        <f t="shared" si="21"/>
        <v>0.69847198641765706</v>
      </c>
      <c r="AZ52" s="348">
        <f t="shared" si="21"/>
        <v>0.86205661053385885</v>
      </c>
      <c r="BA52" s="348">
        <f t="shared" si="21"/>
        <v>0.88191330343796714</v>
      </c>
      <c r="BB52" s="348">
        <f t="shared" si="21"/>
        <v>0.79992562290814428</v>
      </c>
      <c r="BC52" s="348" t="e">
        <f>VLOOKUP($AL52,#REF!,BC$37,FALSE)</f>
        <v>#REF!</v>
      </c>
      <c r="BD52" s="348" t="e">
        <f>VLOOKUP($AL52,#REF!,BD$37,FALSE)</f>
        <v>#REF!</v>
      </c>
      <c r="BE52" s="348" t="e">
        <f>VLOOKUP($AL52,#REF!,BE$37,FALSE)</f>
        <v>#REF!</v>
      </c>
      <c r="BF52" s="348" t="e">
        <f>VLOOKUP($AL52,#REF!,BF$37,FALSE)</f>
        <v>#REF!</v>
      </c>
      <c r="BG52" s="348" t="e">
        <f>VLOOKUP($AL52,#REF!,BG$37,FALSE)</f>
        <v>#REF!</v>
      </c>
      <c r="BH52" s="348" t="e">
        <f>VLOOKUP($AL52,#REF!,BH$37,FALSE)</f>
        <v>#REF!</v>
      </c>
      <c r="BI52" s="348" t="e">
        <f>VLOOKUP($AL52,#REF!,BI$37,FALSE)</f>
        <v>#REF!</v>
      </c>
      <c r="BJ52" s="348" t="e">
        <f>VLOOKUP($AL52,#REF!,BJ$37,FALSE)</f>
        <v>#REF!</v>
      </c>
      <c r="BK52" s="348" t="e">
        <f>VLOOKUP($AL52,#REF!,BK$37,FALSE)</f>
        <v>#REF!</v>
      </c>
      <c r="BL52" s="348" t="e">
        <f>VLOOKUP($AL52,#REF!,BL$37,FALSE)</f>
        <v>#REF!</v>
      </c>
    </row>
    <row r="53" spans="1:64" ht="14.25" customHeight="1" x14ac:dyDescent="0.2">
      <c r="A53" s="118"/>
      <c r="B53" s="328"/>
      <c r="C53" s="328"/>
      <c r="D53" s="58"/>
      <c r="E53" s="58"/>
      <c r="F53" s="58"/>
      <c r="G53" s="58"/>
      <c r="H53" s="58"/>
      <c r="I53" s="58"/>
      <c r="J53" s="12"/>
      <c r="K53" s="14"/>
      <c r="L53" s="14"/>
      <c r="M53" s="14"/>
      <c r="N53" s="14"/>
      <c r="O53" s="9"/>
      <c r="P53" s="9"/>
      <c r="Q53" s="9"/>
      <c r="R53" s="9"/>
      <c r="S53" s="9"/>
      <c r="T53" s="9"/>
      <c r="U53" s="9"/>
      <c r="V53" s="117"/>
      <c r="W53" s="137"/>
      <c r="X53" s="294"/>
      <c r="AJ53" s="585" t="b">
        <v>1</v>
      </c>
      <c r="AK53" s="160" t="s">
        <v>13</v>
      </c>
      <c r="AL53" s="87" t="str">
        <f t="shared" si="14"/>
        <v>Slough</v>
      </c>
      <c r="AM53" s="146">
        <f t="shared" si="19"/>
        <v>637.4384236453202</v>
      </c>
      <c r="AN53" s="146">
        <f t="shared" si="19"/>
        <v>564.97584541062804</v>
      </c>
      <c r="AO53" s="146">
        <f t="shared" si="19"/>
        <v>365.16587677725113</v>
      </c>
      <c r="AP53" s="146">
        <f t="shared" si="19"/>
        <v>433.95784543325533</v>
      </c>
      <c r="AQ53" s="146">
        <f t="shared" si="19"/>
        <v>576.33410672853836</v>
      </c>
      <c r="AR53" s="147">
        <f t="shared" si="16"/>
        <v>14.7</v>
      </c>
      <c r="AS53" s="348">
        <f t="shared" si="20"/>
        <v>0</v>
      </c>
      <c r="AT53" s="348">
        <f t="shared" si="20"/>
        <v>0.11414392059553349</v>
      </c>
      <c r="AU53" s="348">
        <f t="shared" si="20"/>
        <v>0.22249793217535152</v>
      </c>
      <c r="AV53" s="348">
        <f t="shared" si="20"/>
        <v>0.402398676592225</v>
      </c>
      <c r="AW53" s="348">
        <f t="shared" si="20"/>
        <v>0.26095947063689001</v>
      </c>
      <c r="AX53" s="348">
        <f t="shared" si="21"/>
        <v>0.92851622874806805</v>
      </c>
      <c r="AY53" s="348">
        <f t="shared" si="21"/>
        <v>0.85763146643864896</v>
      </c>
      <c r="AZ53" s="348">
        <f t="shared" si="21"/>
        <v>0.56594885598923284</v>
      </c>
      <c r="BA53" s="348">
        <f t="shared" si="21"/>
        <v>0.79708580679978414</v>
      </c>
      <c r="BB53" s="348">
        <f t="shared" si="21"/>
        <v>0.73904052936311004</v>
      </c>
      <c r="BC53" s="348" t="e">
        <f>VLOOKUP($AL53,#REF!,BC$37,FALSE)</f>
        <v>#REF!</v>
      </c>
      <c r="BD53" s="348" t="e">
        <f>VLOOKUP($AL53,#REF!,BD$37,FALSE)</f>
        <v>#REF!</v>
      </c>
      <c r="BE53" s="348" t="e">
        <f>VLOOKUP($AL53,#REF!,BE$37,FALSE)</f>
        <v>#REF!</v>
      </c>
      <c r="BF53" s="348" t="e">
        <f>VLOOKUP($AL53,#REF!,BF$37,FALSE)</f>
        <v>#REF!</v>
      </c>
      <c r="BG53" s="348" t="e">
        <f>VLOOKUP($AL53,#REF!,BG$37,FALSE)</f>
        <v>#REF!</v>
      </c>
      <c r="BH53" s="348" t="e">
        <f>VLOOKUP($AL53,#REF!,BH$37,FALSE)</f>
        <v>#REF!</v>
      </c>
      <c r="BI53" s="348" t="e">
        <f>VLOOKUP($AL53,#REF!,BI$37,FALSE)</f>
        <v>#REF!</v>
      </c>
      <c r="BJ53" s="348" t="e">
        <f>VLOOKUP($AL53,#REF!,BJ$37,FALSE)</f>
        <v>#REF!</v>
      </c>
      <c r="BK53" s="348" t="e">
        <f>VLOOKUP($AL53,#REF!,BK$37,FALSE)</f>
        <v>#REF!</v>
      </c>
      <c r="BL53" s="348" t="e">
        <f>VLOOKUP($AL53,#REF!,BL$37,FALSE)</f>
        <v>#REF!</v>
      </c>
    </row>
    <row r="54" spans="1:64" ht="14.25" customHeight="1" x14ac:dyDescent="0.2">
      <c r="A54" s="118"/>
      <c r="B54" s="328"/>
      <c r="C54" s="328"/>
      <c r="D54" s="58"/>
      <c r="E54" s="58"/>
      <c r="F54" s="58"/>
      <c r="G54" s="58"/>
      <c r="H54" s="58"/>
      <c r="I54" s="58"/>
      <c r="J54" s="12"/>
      <c r="K54" s="14"/>
      <c r="L54" s="14"/>
      <c r="M54" s="14"/>
      <c r="N54" s="14"/>
      <c r="O54" s="9"/>
      <c r="P54" s="9"/>
      <c r="Q54" s="9"/>
      <c r="R54" s="9"/>
      <c r="S54" s="9"/>
      <c r="T54" s="9"/>
      <c r="U54" s="9"/>
      <c r="V54" s="117"/>
      <c r="W54" s="137"/>
      <c r="X54" s="294"/>
      <c r="AJ54" s="585" t="b">
        <v>1</v>
      </c>
      <c r="AK54" s="160" t="s">
        <v>95</v>
      </c>
      <c r="AL54" s="87" t="str">
        <f t="shared" si="14"/>
        <v>Somerset</v>
      </c>
      <c r="AM54" s="146">
        <f t="shared" si="19"/>
        <v>404.12087912087912</v>
      </c>
      <c r="AN54" s="146">
        <f t="shared" si="19"/>
        <v>450.68368277119413</v>
      </c>
      <c r="AO54" s="146">
        <f t="shared" si="19"/>
        <v>507.26612170753862</v>
      </c>
      <c r="AP54" s="146">
        <f t="shared" si="19"/>
        <v>371.45438121047874</v>
      </c>
      <c r="AQ54" s="146">
        <f t="shared" si="19"/>
        <v>298.11151079136692</v>
      </c>
      <c r="AR54" s="147">
        <f t="shared" si="16"/>
        <v>13.600000000000001</v>
      </c>
      <c r="AS54" s="348">
        <f t="shared" si="20"/>
        <v>0.11131221719457013</v>
      </c>
      <c r="AT54" s="348">
        <f t="shared" si="20"/>
        <v>0.11282051282051282</v>
      </c>
      <c r="AU54" s="348">
        <f t="shared" si="20"/>
        <v>0.18401206636500755</v>
      </c>
      <c r="AV54" s="348">
        <f t="shared" si="20"/>
        <v>0.42141779788838613</v>
      </c>
      <c r="AW54" s="348">
        <f t="shared" si="20"/>
        <v>0.17043740573152338</v>
      </c>
      <c r="AX54" s="348">
        <f t="shared" si="21"/>
        <v>0.68116927260367099</v>
      </c>
      <c r="AY54" s="348">
        <f t="shared" si="21"/>
        <v>0.89199029126213591</v>
      </c>
      <c r="AZ54" s="348">
        <f t="shared" si="21"/>
        <v>0.80662488809310651</v>
      </c>
      <c r="BA54" s="348">
        <f t="shared" si="21"/>
        <v>0.76045719844357973</v>
      </c>
      <c r="BB54" s="348">
        <f t="shared" si="21"/>
        <v>0.82956259426847667</v>
      </c>
      <c r="BC54" s="348" t="e">
        <f>VLOOKUP($AL54,#REF!,BC$37,FALSE)</f>
        <v>#REF!</v>
      </c>
      <c r="BD54" s="348" t="e">
        <f>VLOOKUP($AL54,#REF!,BD$37,FALSE)</f>
        <v>#REF!</v>
      </c>
      <c r="BE54" s="348" t="e">
        <f>VLOOKUP($AL54,#REF!,BE$37,FALSE)</f>
        <v>#REF!</v>
      </c>
      <c r="BF54" s="348" t="e">
        <f>VLOOKUP($AL54,#REF!,BF$37,FALSE)</f>
        <v>#REF!</v>
      </c>
      <c r="BG54" s="348" t="e">
        <f>VLOOKUP($AL54,#REF!,BG$37,FALSE)</f>
        <v>#REF!</v>
      </c>
      <c r="BH54" s="348" t="e">
        <f>VLOOKUP($AL54,#REF!,BH$37,FALSE)</f>
        <v>#REF!</v>
      </c>
      <c r="BI54" s="348" t="e">
        <f>VLOOKUP($AL54,#REF!,BI$37,FALSE)</f>
        <v>#REF!</v>
      </c>
      <c r="BJ54" s="348" t="e">
        <f>VLOOKUP($AL54,#REF!,BJ$37,FALSE)</f>
        <v>#REF!</v>
      </c>
      <c r="BK54" s="348" t="e">
        <f>VLOOKUP($AL54,#REF!,BK$37,FALSE)</f>
        <v>#REF!</v>
      </c>
      <c r="BL54" s="348" t="e">
        <f>VLOOKUP($AL54,#REF!,BL$37,FALSE)</f>
        <v>#REF!</v>
      </c>
    </row>
    <row r="55" spans="1:64" ht="14.25" customHeight="1" x14ac:dyDescent="0.2">
      <c r="A55" s="118"/>
      <c r="B55" s="328"/>
      <c r="C55" s="328"/>
      <c r="D55" s="58"/>
      <c r="E55" s="58"/>
      <c r="F55" s="58"/>
      <c r="G55" s="58"/>
      <c r="H55" s="58"/>
      <c r="I55" s="58"/>
      <c r="J55" s="12"/>
      <c r="K55" s="14"/>
      <c r="L55" s="14"/>
      <c r="M55" s="14"/>
      <c r="N55" s="14"/>
      <c r="O55" s="9"/>
      <c r="P55" s="9"/>
      <c r="Q55" s="9"/>
      <c r="R55" s="9"/>
      <c r="S55" s="9"/>
      <c r="T55" s="9"/>
      <c r="U55" s="9"/>
      <c r="V55" s="117"/>
      <c r="W55" s="137"/>
      <c r="X55" s="294"/>
      <c r="AJ55" s="585" t="b">
        <v>1</v>
      </c>
      <c r="AK55" s="160" t="s">
        <v>14</v>
      </c>
      <c r="AL55" s="87" t="str">
        <f t="shared" si="14"/>
        <v>Southampton</v>
      </c>
      <c r="AM55" s="146">
        <f t="shared" si="19"/>
        <v>616.869918699187</v>
      </c>
      <c r="AN55" s="146">
        <f t="shared" si="19"/>
        <v>532.06412825651307</v>
      </c>
      <c r="AO55" s="146">
        <f t="shared" si="19"/>
        <v>460.83499005964217</v>
      </c>
      <c r="AP55" s="146">
        <f t="shared" si="19"/>
        <v>481.88976377952753</v>
      </c>
      <c r="AQ55" s="146">
        <f t="shared" si="19"/>
        <v>897.0760233918129</v>
      </c>
      <c r="AR55" s="147">
        <f t="shared" si="16"/>
        <v>20.5</v>
      </c>
      <c r="AS55" s="348">
        <f t="shared" si="20"/>
        <v>9.1481964363320289E-2</v>
      </c>
      <c r="AT55" s="348">
        <f t="shared" si="20"/>
        <v>0.16492829204693613</v>
      </c>
      <c r="AU55" s="348">
        <f t="shared" si="20"/>
        <v>0.15015210777922641</v>
      </c>
      <c r="AV55" s="348">
        <f t="shared" si="20"/>
        <v>0.24598000869187309</v>
      </c>
      <c r="AW55" s="348">
        <f t="shared" si="20"/>
        <v>0.34745762711864409</v>
      </c>
      <c r="AX55" s="348">
        <f t="shared" si="21"/>
        <v>0.84843492586490943</v>
      </c>
      <c r="AY55" s="348">
        <f t="shared" si="21"/>
        <v>0.67984934086629001</v>
      </c>
      <c r="AZ55" s="348">
        <f t="shared" si="21"/>
        <v>0.82916307161345992</v>
      </c>
      <c r="BA55" s="348">
        <f t="shared" si="21"/>
        <v>0.66094771241830064</v>
      </c>
      <c r="BB55" s="348">
        <f t="shared" si="21"/>
        <v>0.65254237288135597</v>
      </c>
      <c r="BC55" s="348" t="e">
        <f>VLOOKUP($AL55,#REF!,BC$37,FALSE)</f>
        <v>#REF!</v>
      </c>
      <c r="BD55" s="348" t="e">
        <f>VLOOKUP($AL55,#REF!,BD$37,FALSE)</f>
        <v>#REF!</v>
      </c>
      <c r="BE55" s="348" t="e">
        <f>VLOOKUP($AL55,#REF!,BE$37,FALSE)</f>
        <v>#REF!</v>
      </c>
      <c r="BF55" s="348" t="e">
        <f>VLOOKUP($AL55,#REF!,BF$37,FALSE)</f>
        <v>#REF!</v>
      </c>
      <c r="BG55" s="348" t="e">
        <f>VLOOKUP($AL55,#REF!,BG$37,FALSE)</f>
        <v>#REF!</v>
      </c>
      <c r="BH55" s="348" t="e">
        <f>VLOOKUP($AL55,#REF!,BH$37,FALSE)</f>
        <v>#REF!</v>
      </c>
      <c r="BI55" s="348" t="e">
        <f>VLOOKUP($AL55,#REF!,BI$37,FALSE)</f>
        <v>#REF!</v>
      </c>
      <c r="BJ55" s="348" t="e">
        <f>VLOOKUP($AL55,#REF!,BJ$37,FALSE)</f>
        <v>#REF!</v>
      </c>
      <c r="BK55" s="348" t="e">
        <f>VLOOKUP($AL55,#REF!,BK$37,FALSE)</f>
        <v>#REF!</v>
      </c>
      <c r="BL55" s="348" t="e">
        <f>VLOOKUP($AL55,#REF!,BL$37,FALSE)</f>
        <v>#REF!</v>
      </c>
    </row>
    <row r="56" spans="1:64" ht="14.25" customHeight="1" x14ac:dyDescent="0.2">
      <c r="A56" s="118"/>
      <c r="B56" s="328"/>
      <c r="C56" s="328"/>
      <c r="D56" s="58"/>
      <c r="E56" s="58"/>
      <c r="F56" s="58"/>
      <c r="G56" s="58"/>
      <c r="H56" s="58"/>
      <c r="I56" s="58"/>
      <c r="J56" s="12"/>
      <c r="K56" s="14"/>
      <c r="L56" s="14"/>
      <c r="M56" s="14"/>
      <c r="N56" s="14"/>
      <c r="O56" s="9"/>
      <c r="P56" s="9"/>
      <c r="Q56" s="9"/>
      <c r="R56" s="9"/>
      <c r="S56" s="9"/>
      <c r="T56" s="9"/>
      <c r="U56" s="9"/>
      <c r="V56" s="117"/>
      <c r="W56" s="137"/>
      <c r="X56" s="294"/>
      <c r="AJ56" s="585" t="b">
        <v>1</v>
      </c>
      <c r="AK56" s="160" t="s">
        <v>7</v>
      </c>
      <c r="AL56" s="87" t="str">
        <f t="shared" si="14"/>
        <v>Surrey</v>
      </c>
      <c r="AM56" s="146">
        <f t="shared" si="19"/>
        <v>474.80499219968794</v>
      </c>
      <c r="AN56" s="146">
        <f t="shared" si="19"/>
        <v>464.16988416988414</v>
      </c>
      <c r="AO56" s="146">
        <f t="shared" si="19"/>
        <v>483.25009604302727</v>
      </c>
      <c r="AP56" s="146">
        <f t="shared" si="19"/>
        <v>452.15731195112636</v>
      </c>
      <c r="AQ56" s="146">
        <f t="shared" si="19"/>
        <v>330.70507960576197</v>
      </c>
      <c r="AR56" s="147">
        <f t="shared" si="16"/>
        <v>8.3000000000000007</v>
      </c>
      <c r="AS56" s="348">
        <f t="shared" si="20"/>
        <v>4.745529573590096E-2</v>
      </c>
      <c r="AT56" s="348">
        <f t="shared" si="20"/>
        <v>0.16758367721228795</v>
      </c>
      <c r="AU56" s="348">
        <f t="shared" si="20"/>
        <v>0.21240256762952775</v>
      </c>
      <c r="AV56" s="348">
        <f t="shared" si="20"/>
        <v>0.39064649243466298</v>
      </c>
      <c r="AW56" s="348">
        <f t="shared" si="20"/>
        <v>0.18191196698762035</v>
      </c>
      <c r="AX56" s="348">
        <f t="shared" si="21"/>
        <v>0.6516346311812059</v>
      </c>
      <c r="AY56" s="348">
        <f t="shared" si="21"/>
        <v>0.75511562136083843</v>
      </c>
      <c r="AZ56" s="348">
        <f t="shared" si="21"/>
        <v>0.75856586374115587</v>
      </c>
      <c r="BA56" s="348">
        <f t="shared" si="21"/>
        <v>0.73061982773180201</v>
      </c>
      <c r="BB56" s="348">
        <f t="shared" si="21"/>
        <v>0.81808803301237965</v>
      </c>
      <c r="BC56" s="348" t="e">
        <f>VLOOKUP($AL56,#REF!,BC$37,FALSE)</f>
        <v>#REF!</v>
      </c>
      <c r="BD56" s="348" t="e">
        <f>VLOOKUP($AL56,#REF!,BD$37,FALSE)</f>
        <v>#REF!</v>
      </c>
      <c r="BE56" s="348" t="e">
        <f>VLOOKUP($AL56,#REF!,BE$37,FALSE)</f>
        <v>#REF!</v>
      </c>
      <c r="BF56" s="348" t="e">
        <f>VLOOKUP($AL56,#REF!,BF$37,FALSE)</f>
        <v>#REF!</v>
      </c>
      <c r="BG56" s="348" t="e">
        <f>VLOOKUP($AL56,#REF!,BG$37,FALSE)</f>
        <v>#REF!</v>
      </c>
      <c r="BH56" s="348" t="e">
        <f>VLOOKUP($AL56,#REF!,BH$37,FALSE)</f>
        <v>#REF!</v>
      </c>
      <c r="BI56" s="348" t="e">
        <f>VLOOKUP($AL56,#REF!,BI$37,FALSE)</f>
        <v>#REF!</v>
      </c>
      <c r="BJ56" s="348" t="e">
        <f>VLOOKUP($AL56,#REF!,BJ$37,FALSE)</f>
        <v>#REF!</v>
      </c>
      <c r="BK56" s="348" t="e">
        <f>VLOOKUP($AL56,#REF!,BK$37,FALSE)</f>
        <v>#REF!</v>
      </c>
      <c r="BL56" s="348" t="e">
        <f>VLOOKUP($AL56,#REF!,BL$37,FALSE)</f>
        <v>#REF!</v>
      </c>
    </row>
    <row r="57" spans="1:64" ht="14.25" customHeight="1" x14ac:dyDescent="0.2">
      <c r="A57" s="278"/>
      <c r="B57" s="328"/>
      <c r="C57" s="328"/>
      <c r="D57" s="58"/>
      <c r="E57" s="58"/>
      <c r="F57" s="58"/>
      <c r="G57" s="58"/>
      <c r="H57" s="58"/>
      <c r="I57" s="58"/>
      <c r="J57" s="12"/>
      <c r="K57" s="14"/>
      <c r="L57" s="14"/>
      <c r="M57" s="14"/>
      <c r="N57" s="14"/>
      <c r="O57" s="9"/>
      <c r="P57" s="9"/>
      <c r="Q57" s="9"/>
      <c r="R57" s="9"/>
      <c r="S57" s="9"/>
      <c r="T57" s="9"/>
      <c r="U57" s="9"/>
      <c r="V57" s="117"/>
      <c r="W57" s="137"/>
      <c r="X57" s="294"/>
      <c r="AJ57" s="585" t="b">
        <v>1</v>
      </c>
      <c r="AK57" s="160" t="s">
        <v>113</v>
      </c>
      <c r="AL57" s="87" t="str">
        <f t="shared" si="14"/>
        <v>Swindon</v>
      </c>
      <c r="AM57" s="146">
        <f t="shared" si="19"/>
        <v>640.61224489795916</v>
      </c>
      <c r="AN57" s="146">
        <f t="shared" si="19"/>
        <v>604.84848484848487</v>
      </c>
      <c r="AO57" s="146">
        <f t="shared" si="19"/>
        <v>631.4629258517034</v>
      </c>
      <c r="AP57" s="146">
        <f t="shared" si="19"/>
        <v>837.45019920318725</v>
      </c>
      <c r="AQ57" s="146">
        <f t="shared" si="19"/>
        <v>853.96825396825398</v>
      </c>
      <c r="AR57" s="147">
        <f t="shared" si="16"/>
        <v>14.899999999999999</v>
      </c>
      <c r="AS57" s="348">
        <f t="shared" si="20"/>
        <v>0.40566914498141265</v>
      </c>
      <c r="AT57" s="348">
        <f t="shared" si="20"/>
        <v>0.32086431226765799</v>
      </c>
      <c r="AU57" s="348">
        <f t="shared" si="20"/>
        <v>0.12197955390334572</v>
      </c>
      <c r="AV57" s="348">
        <f t="shared" si="20"/>
        <v>8.2481412639405199E-2</v>
      </c>
      <c r="AW57" s="348">
        <f t="shared" si="20"/>
        <v>6.9005576208178432E-2</v>
      </c>
      <c r="AX57" s="348">
        <f t="shared" si="21"/>
        <v>0.60688117234788153</v>
      </c>
      <c r="AY57" s="348">
        <f t="shared" si="21"/>
        <v>0.59084836339345359</v>
      </c>
      <c r="AZ57" s="348">
        <f t="shared" si="21"/>
        <v>0.71691526499523961</v>
      </c>
      <c r="BA57" s="348">
        <f t="shared" si="21"/>
        <v>0.79471931493815418</v>
      </c>
      <c r="BB57" s="348">
        <f t="shared" si="21"/>
        <v>0.93099442379182151</v>
      </c>
      <c r="BC57" s="348" t="e">
        <f>VLOOKUP($AL57,#REF!,BC$37,FALSE)</f>
        <v>#REF!</v>
      </c>
      <c r="BD57" s="348" t="e">
        <f>VLOOKUP($AL57,#REF!,BD$37,FALSE)</f>
        <v>#REF!</v>
      </c>
      <c r="BE57" s="348" t="e">
        <f>VLOOKUP($AL57,#REF!,BE$37,FALSE)</f>
        <v>#REF!</v>
      </c>
      <c r="BF57" s="348" t="e">
        <f>VLOOKUP($AL57,#REF!,BF$37,FALSE)</f>
        <v>#REF!</v>
      </c>
      <c r="BG57" s="348" t="e">
        <f>VLOOKUP($AL57,#REF!,BG$37,FALSE)</f>
        <v>#REF!</v>
      </c>
      <c r="BH57" s="348" t="e">
        <f>VLOOKUP($AL57,#REF!,BH$37,FALSE)</f>
        <v>#REF!</v>
      </c>
      <c r="BI57" s="348" t="e">
        <f>VLOOKUP($AL57,#REF!,BI$37,FALSE)</f>
        <v>#REF!</v>
      </c>
      <c r="BJ57" s="348" t="e">
        <f>VLOOKUP($AL57,#REF!,BJ$37,FALSE)</f>
        <v>#REF!</v>
      </c>
      <c r="BK57" s="348" t="e">
        <f>VLOOKUP($AL57,#REF!,BK$37,FALSE)</f>
        <v>#REF!</v>
      </c>
      <c r="BL57" s="348" t="e">
        <f>VLOOKUP($AL57,#REF!,BL$37,FALSE)</f>
        <v>#REF!</v>
      </c>
    </row>
    <row r="58" spans="1:64" ht="14.25" customHeight="1" x14ac:dyDescent="0.2">
      <c r="A58" s="278"/>
      <c r="B58" s="328"/>
      <c r="C58" s="328"/>
      <c r="D58" s="58"/>
      <c r="E58" s="58"/>
      <c r="F58" s="58"/>
      <c r="G58" s="58"/>
      <c r="H58" s="58"/>
      <c r="I58" s="58"/>
      <c r="J58" s="12"/>
      <c r="K58" s="14"/>
      <c r="L58" s="14"/>
      <c r="M58" s="14"/>
      <c r="N58" s="14"/>
      <c r="O58" s="9"/>
      <c r="P58" s="9"/>
      <c r="Q58" s="9"/>
      <c r="R58" s="9"/>
      <c r="S58" s="9"/>
      <c r="T58" s="9"/>
      <c r="U58" s="9"/>
      <c r="V58" s="117"/>
      <c r="W58" s="137"/>
      <c r="X58" s="294"/>
      <c r="AJ58" s="585" t="b">
        <v>1</v>
      </c>
      <c r="AK58" s="160" t="s">
        <v>114</v>
      </c>
      <c r="AL58" s="87" t="str">
        <f t="shared" si="14"/>
        <v>Torbay</v>
      </c>
      <c r="AM58" s="146">
        <f t="shared" si="19"/>
        <v>618.2539682539682</v>
      </c>
      <c r="AN58" s="146">
        <f t="shared" si="19"/>
        <v>398.42519685039372</v>
      </c>
      <c r="AO58" s="146">
        <f t="shared" si="19"/>
        <v>742.12598425196859</v>
      </c>
      <c r="AP58" s="146">
        <f t="shared" si="19"/>
        <v>738.9763779527558</v>
      </c>
      <c r="AQ58" s="146">
        <f t="shared" si="19"/>
        <v>650</v>
      </c>
      <c r="AR58" s="147">
        <f t="shared" si="16"/>
        <v>21.9</v>
      </c>
      <c r="AS58" s="348">
        <f t="shared" si="20"/>
        <v>0.1157495256166983</v>
      </c>
      <c r="AT58" s="348">
        <f t="shared" si="20"/>
        <v>0.22580645161290322</v>
      </c>
      <c r="AU58" s="348">
        <f t="shared" si="20"/>
        <v>0.22896900695762176</v>
      </c>
      <c r="AV58" s="348">
        <f t="shared" si="20"/>
        <v>0.23276407337128399</v>
      </c>
      <c r="AW58" s="348">
        <f t="shared" si="20"/>
        <v>0.19671094244149273</v>
      </c>
      <c r="AX58" s="348">
        <f t="shared" si="21"/>
        <v>0.90115532734274706</v>
      </c>
      <c r="AY58" s="348">
        <f t="shared" si="21"/>
        <v>0.81576253838280455</v>
      </c>
      <c r="AZ58" s="348">
        <f t="shared" si="21"/>
        <v>0.72042440318302392</v>
      </c>
      <c r="BA58" s="348">
        <f t="shared" si="21"/>
        <v>0.74375000000000002</v>
      </c>
      <c r="BB58" s="348">
        <f t="shared" si="21"/>
        <v>0.80328905755850732</v>
      </c>
      <c r="BC58" s="348" t="e">
        <f>VLOOKUP($AL58,#REF!,BC$37,FALSE)</f>
        <v>#REF!</v>
      </c>
      <c r="BD58" s="348" t="e">
        <f>VLOOKUP($AL58,#REF!,BD$37,FALSE)</f>
        <v>#REF!</v>
      </c>
      <c r="BE58" s="348" t="e">
        <f>VLOOKUP($AL58,#REF!,BE$37,FALSE)</f>
        <v>#REF!</v>
      </c>
      <c r="BF58" s="348" t="e">
        <f>VLOOKUP($AL58,#REF!,BF$37,FALSE)</f>
        <v>#REF!</v>
      </c>
      <c r="BG58" s="348" t="e">
        <f>VLOOKUP($AL58,#REF!,BG$37,FALSE)</f>
        <v>#REF!</v>
      </c>
      <c r="BH58" s="348" t="e">
        <f>VLOOKUP($AL58,#REF!,BH$37,FALSE)</f>
        <v>#REF!</v>
      </c>
      <c r="BI58" s="348" t="e">
        <f>VLOOKUP($AL58,#REF!,BI$37,FALSE)</f>
        <v>#REF!</v>
      </c>
      <c r="BJ58" s="348" t="e">
        <f>VLOOKUP($AL58,#REF!,BJ$37,FALSE)</f>
        <v>#REF!</v>
      </c>
      <c r="BK58" s="348" t="e">
        <f>VLOOKUP($AL58,#REF!,BK$37,FALSE)</f>
        <v>#REF!</v>
      </c>
      <c r="BL58" s="348" t="e">
        <f>VLOOKUP($AL58,#REF!,BL$37,FALSE)</f>
        <v>#REF!</v>
      </c>
    </row>
    <row r="59" spans="1:64" ht="14.25" customHeight="1" x14ac:dyDescent="0.2">
      <c r="A59" s="118"/>
      <c r="B59" s="328"/>
      <c r="C59" s="328"/>
      <c r="D59" s="58"/>
      <c r="E59" s="58"/>
      <c r="F59" s="58"/>
      <c r="G59" s="58"/>
      <c r="H59" s="58"/>
      <c r="I59" s="58"/>
      <c r="J59" s="12"/>
      <c r="K59" s="14"/>
      <c r="L59" s="14"/>
      <c r="M59" s="14"/>
      <c r="N59" s="14"/>
      <c r="O59" s="9"/>
      <c r="P59" s="9"/>
      <c r="Q59" s="9"/>
      <c r="R59" s="9"/>
      <c r="S59" s="9"/>
      <c r="T59" s="9"/>
      <c r="U59" s="9"/>
      <c r="V59" s="117"/>
      <c r="W59" s="137"/>
      <c r="X59" s="294"/>
      <c r="AJ59" s="585" t="b">
        <v>1</v>
      </c>
      <c r="AK59" s="160" t="s">
        <v>15</v>
      </c>
      <c r="AL59" s="87" t="str">
        <f t="shared" si="14"/>
        <v>West Berkshire</v>
      </c>
      <c r="AM59" s="146">
        <f t="shared" si="19"/>
        <v>401.68067226890759</v>
      </c>
      <c r="AN59" s="146">
        <f t="shared" si="19"/>
        <v>418.66295264623955</v>
      </c>
      <c r="AO59" s="146">
        <f t="shared" si="19"/>
        <v>497.20670391061458</v>
      </c>
      <c r="AP59" s="146">
        <f t="shared" si="19"/>
        <v>581.17977528089887</v>
      </c>
      <c r="AQ59" s="146">
        <f t="shared" si="19"/>
        <v>527.52808988764048</v>
      </c>
      <c r="AR59" s="147">
        <f t="shared" si="16"/>
        <v>8.6999999999999993</v>
      </c>
      <c r="AS59" s="348">
        <f t="shared" si="20"/>
        <v>0.2231139646869984</v>
      </c>
      <c r="AT59" s="348">
        <f t="shared" si="20"/>
        <v>0.17174959871589085</v>
      </c>
      <c r="AU59" s="348">
        <f t="shared" si="20"/>
        <v>0.11289459604066346</v>
      </c>
      <c r="AV59" s="348">
        <f t="shared" si="20"/>
        <v>0.48314606741573035</v>
      </c>
      <c r="AW59" s="348">
        <f t="shared" si="20"/>
        <v>9.0957731407169604E-3</v>
      </c>
      <c r="AX59" s="348">
        <f t="shared" si="21"/>
        <v>0.86052998605299857</v>
      </c>
      <c r="AY59" s="348">
        <f t="shared" si="21"/>
        <v>0.96673320026613441</v>
      </c>
      <c r="AZ59" s="348">
        <f t="shared" si="21"/>
        <v>0.98258426966292134</v>
      </c>
      <c r="BA59" s="348">
        <f t="shared" si="21"/>
        <v>0.96980029225523623</v>
      </c>
      <c r="BB59" s="348">
        <f t="shared" si="21"/>
        <v>0.99090422685928303</v>
      </c>
      <c r="BC59" s="348" t="e">
        <f>VLOOKUP($AL59,#REF!,BC$37,FALSE)</f>
        <v>#REF!</v>
      </c>
      <c r="BD59" s="348" t="e">
        <f>VLOOKUP($AL59,#REF!,BD$37,FALSE)</f>
        <v>#REF!</v>
      </c>
      <c r="BE59" s="348" t="e">
        <f>VLOOKUP($AL59,#REF!,BE$37,FALSE)</f>
        <v>#REF!</v>
      </c>
      <c r="BF59" s="348" t="e">
        <f>VLOOKUP($AL59,#REF!,BF$37,FALSE)</f>
        <v>#REF!</v>
      </c>
      <c r="BG59" s="348" t="e">
        <f>VLOOKUP($AL59,#REF!,BG$37,FALSE)</f>
        <v>#REF!</v>
      </c>
      <c r="BH59" s="348" t="e">
        <f>VLOOKUP($AL59,#REF!,BH$37,FALSE)</f>
        <v>#REF!</v>
      </c>
      <c r="BI59" s="348" t="e">
        <f>VLOOKUP($AL59,#REF!,BI$37,FALSE)</f>
        <v>#REF!</v>
      </c>
      <c r="BJ59" s="348" t="e">
        <f>VLOOKUP($AL59,#REF!,BJ$37,FALSE)</f>
        <v>#REF!</v>
      </c>
      <c r="BK59" s="348" t="e">
        <f>VLOOKUP($AL59,#REF!,BK$37,FALSE)</f>
        <v>#REF!</v>
      </c>
      <c r="BL59" s="348" t="e">
        <f>VLOOKUP($AL59,#REF!,BL$37,FALSE)</f>
        <v>#REF!</v>
      </c>
    </row>
    <row r="60" spans="1:64" ht="14.25" customHeight="1" x14ac:dyDescent="0.2">
      <c r="A60" s="118"/>
      <c r="B60" s="328"/>
      <c r="C60" s="328"/>
      <c r="D60" s="58"/>
      <c r="E60" s="58"/>
      <c r="F60" s="58"/>
      <c r="G60" s="58"/>
      <c r="H60" s="58"/>
      <c r="I60" s="58"/>
      <c r="J60" s="12"/>
      <c r="K60" s="14"/>
      <c r="L60" s="14"/>
      <c r="M60" s="14"/>
      <c r="N60" s="14"/>
      <c r="O60" s="9"/>
      <c r="P60" s="9"/>
      <c r="Q60" s="9"/>
      <c r="R60" s="9"/>
      <c r="S60" s="9"/>
      <c r="T60" s="9"/>
      <c r="U60" s="9"/>
      <c r="V60" s="117"/>
      <c r="W60" s="137"/>
      <c r="X60" s="294"/>
      <c r="AJ60" s="585" t="b">
        <v>1</v>
      </c>
      <c r="AK60" s="160" t="s">
        <v>5</v>
      </c>
      <c r="AL60" s="87" t="str">
        <f t="shared" si="14"/>
        <v>West Sussex</v>
      </c>
      <c r="AM60" s="146">
        <f t="shared" si="19"/>
        <v>438.08685446009389</v>
      </c>
      <c r="AN60" s="146">
        <f t="shared" si="19"/>
        <v>444.29569266589061</v>
      </c>
      <c r="AO60" s="146">
        <f t="shared" si="19"/>
        <v>577.26485862665902</v>
      </c>
      <c r="AP60" s="146">
        <f t="shared" si="19"/>
        <v>595.99313108185459</v>
      </c>
      <c r="AQ60" s="146">
        <f t="shared" si="19"/>
        <v>593.86712095400344</v>
      </c>
      <c r="AR60" s="147">
        <f t="shared" si="16"/>
        <v>11</v>
      </c>
      <c r="AS60" s="348">
        <f t="shared" si="20"/>
        <v>0.24153757888697647</v>
      </c>
      <c r="AT60" s="348">
        <f t="shared" si="20"/>
        <v>0.10795563205201759</v>
      </c>
      <c r="AU60" s="348">
        <f t="shared" si="20"/>
        <v>0.14601262191623637</v>
      </c>
      <c r="AV60" s="348">
        <f t="shared" si="20"/>
        <v>0.38229106903805699</v>
      </c>
      <c r="AW60" s="348">
        <f t="shared" si="20"/>
        <v>0.12220309810671257</v>
      </c>
      <c r="AX60" s="348">
        <f t="shared" si="21"/>
        <v>0.96490288010716674</v>
      </c>
      <c r="AY60" s="348">
        <f t="shared" si="21"/>
        <v>0.96934363946023849</v>
      </c>
      <c r="AZ60" s="348">
        <f t="shared" si="21"/>
        <v>0.97780887644942027</v>
      </c>
      <c r="BA60" s="348">
        <f t="shared" si="21"/>
        <v>0.85417867435158501</v>
      </c>
      <c r="BB60" s="348">
        <f t="shared" si="21"/>
        <v>0.87779690189328741</v>
      </c>
      <c r="BC60" s="348" t="e">
        <f>VLOOKUP($AL60,#REF!,BC$37,FALSE)</f>
        <v>#REF!</v>
      </c>
      <c r="BD60" s="348" t="e">
        <f>VLOOKUP($AL60,#REF!,BD$37,FALSE)</f>
        <v>#REF!</v>
      </c>
      <c r="BE60" s="348" t="e">
        <f>VLOOKUP($AL60,#REF!,BE$37,FALSE)</f>
        <v>#REF!</v>
      </c>
      <c r="BF60" s="348" t="e">
        <f>VLOOKUP($AL60,#REF!,BF$37,FALSE)</f>
        <v>#REF!</v>
      </c>
      <c r="BG60" s="348" t="e">
        <f>VLOOKUP($AL60,#REF!,BG$37,FALSE)</f>
        <v>#REF!</v>
      </c>
      <c r="BH60" s="348" t="e">
        <f>VLOOKUP($AL60,#REF!,BH$37,FALSE)</f>
        <v>#REF!</v>
      </c>
      <c r="BI60" s="348" t="e">
        <f>VLOOKUP($AL60,#REF!,BI$37,FALSE)</f>
        <v>#REF!</v>
      </c>
      <c r="BJ60" s="348" t="e">
        <f>VLOOKUP($AL60,#REF!,BJ$37,FALSE)</f>
        <v>#REF!</v>
      </c>
      <c r="BK60" s="348" t="e">
        <f>VLOOKUP($AL60,#REF!,BK$37,FALSE)</f>
        <v>#REF!</v>
      </c>
      <c r="BL60" s="348" t="e">
        <f>VLOOKUP($AL60,#REF!,BL$37,FALSE)</f>
        <v>#REF!</v>
      </c>
    </row>
    <row r="61" spans="1:64" s="81" customFormat="1" ht="14.25" customHeight="1" x14ac:dyDescent="0.2">
      <c r="A61" s="118"/>
      <c r="B61" s="328"/>
      <c r="C61" s="328"/>
      <c r="D61" s="58"/>
      <c r="E61" s="58"/>
      <c r="F61" s="58"/>
      <c r="G61" s="58"/>
      <c r="H61" s="58"/>
      <c r="I61" s="58"/>
      <c r="J61" s="12"/>
      <c r="K61" s="14"/>
      <c r="L61" s="14"/>
      <c r="M61" s="14"/>
      <c r="N61" s="14"/>
      <c r="O61" s="9"/>
      <c r="P61" s="9"/>
      <c r="Q61" s="9"/>
      <c r="R61" s="9"/>
      <c r="S61" s="9"/>
      <c r="T61" s="9"/>
      <c r="U61" s="9"/>
      <c r="V61" s="117"/>
      <c r="W61" s="137"/>
      <c r="X61" s="294"/>
      <c r="AJ61" s="585" t="b">
        <v>1</v>
      </c>
      <c r="AK61" s="160" t="s">
        <v>30</v>
      </c>
      <c r="AL61" s="87" t="str">
        <f t="shared" si="14"/>
        <v>Windsor &amp; Maidenhead</v>
      </c>
      <c r="AM61" s="146">
        <f t="shared" si="19"/>
        <v>274.18397626112761</v>
      </c>
      <c r="AN61" s="146">
        <f t="shared" si="19"/>
        <v>195.32163742690057</v>
      </c>
      <c r="AO61" s="146">
        <f t="shared" si="19"/>
        <v>269.47674418604652</v>
      </c>
      <c r="AP61" s="146">
        <f t="shared" si="19"/>
        <v>248.84393063583818</v>
      </c>
      <c r="AQ61" s="146">
        <f t="shared" si="19"/>
        <v>348.99135446685881</v>
      </c>
      <c r="AR61" s="147">
        <f t="shared" si="16"/>
        <v>6.7</v>
      </c>
      <c r="AS61" s="348">
        <f t="shared" si="20"/>
        <v>6.9364161849710976E-2</v>
      </c>
      <c r="AT61" s="348">
        <f t="shared" si="20"/>
        <v>0.19900908340214699</v>
      </c>
      <c r="AU61" s="348">
        <f t="shared" si="20"/>
        <v>0.22708505367464904</v>
      </c>
      <c r="AV61" s="348">
        <f t="shared" si="20"/>
        <v>0.435177539223782</v>
      </c>
      <c r="AW61" s="348">
        <f t="shared" si="20"/>
        <v>6.9364161849710976E-2</v>
      </c>
      <c r="AX61" s="348">
        <f t="shared" si="21"/>
        <v>0.81060606060606055</v>
      </c>
      <c r="AY61" s="348">
        <f t="shared" si="21"/>
        <v>0.57485029940119758</v>
      </c>
      <c r="AZ61" s="348">
        <f t="shared" si="21"/>
        <v>0.57126696832579182</v>
      </c>
      <c r="BA61" s="348">
        <f t="shared" si="21"/>
        <v>0.61585365853658536</v>
      </c>
      <c r="BB61" s="348">
        <f t="shared" si="21"/>
        <v>0.93063583815028905</v>
      </c>
      <c r="BC61" s="348" t="e">
        <f>VLOOKUP($AL61,#REF!,BC$37,FALSE)</f>
        <v>#REF!</v>
      </c>
      <c r="BD61" s="348" t="e">
        <f>VLOOKUP($AL61,#REF!,BD$37,FALSE)</f>
        <v>#REF!</v>
      </c>
      <c r="BE61" s="348" t="e">
        <f>VLOOKUP($AL61,#REF!,BE$37,FALSE)</f>
        <v>#REF!</v>
      </c>
      <c r="BF61" s="348" t="e">
        <f>VLOOKUP($AL61,#REF!,BF$37,FALSE)</f>
        <v>#REF!</v>
      </c>
      <c r="BG61" s="348" t="e">
        <f>VLOOKUP($AL61,#REF!,BG$37,FALSE)</f>
        <v>#REF!</v>
      </c>
      <c r="BH61" s="348" t="e">
        <f>VLOOKUP($AL61,#REF!,BH$37,FALSE)</f>
        <v>#REF!</v>
      </c>
      <c r="BI61" s="348" t="e">
        <f>VLOOKUP($AL61,#REF!,BI$37,FALSE)</f>
        <v>#REF!</v>
      </c>
      <c r="BJ61" s="348" t="e">
        <f>VLOOKUP($AL61,#REF!,BJ$37,FALSE)</f>
        <v>#REF!</v>
      </c>
      <c r="BK61" s="348" t="e">
        <f>VLOOKUP($AL61,#REF!,BK$37,FALSE)</f>
        <v>#REF!</v>
      </c>
      <c r="BL61" s="348" t="e">
        <f>VLOOKUP($AL61,#REF!,BL$37,FALSE)</f>
        <v>#REF!</v>
      </c>
    </row>
    <row r="62" spans="1:64" s="81" customFormat="1" ht="14.25" customHeight="1" x14ac:dyDescent="0.2">
      <c r="A62" s="118"/>
      <c r="B62" s="328"/>
      <c r="C62" s="328"/>
      <c r="D62" s="58"/>
      <c r="E62" s="58"/>
      <c r="F62" s="58"/>
      <c r="G62" s="58"/>
      <c r="H62" s="58"/>
      <c r="I62" s="58"/>
      <c r="J62" s="12"/>
      <c r="K62" s="14"/>
      <c r="L62" s="14"/>
      <c r="M62" s="14"/>
      <c r="N62" s="14"/>
      <c r="O62" s="9"/>
      <c r="P62" s="9"/>
      <c r="Q62" s="9"/>
      <c r="R62" s="9"/>
      <c r="S62" s="9"/>
      <c r="T62" s="9"/>
      <c r="U62" s="9"/>
      <c r="V62" s="117"/>
      <c r="W62" s="137"/>
      <c r="X62" s="294"/>
      <c r="AJ62" s="585" t="b">
        <v>1</v>
      </c>
      <c r="AK62" s="160" t="s">
        <v>16</v>
      </c>
      <c r="AL62" s="87" t="str">
        <f t="shared" si="14"/>
        <v>Wokingham</v>
      </c>
      <c r="AM62" s="146">
        <f t="shared" si="19"/>
        <v>302.41286863270778</v>
      </c>
      <c r="AN62" s="146">
        <f t="shared" si="19"/>
        <v>230.26315789473682</v>
      </c>
      <c r="AO62" s="146">
        <f t="shared" si="19"/>
        <v>283.20413436692508</v>
      </c>
      <c r="AP62" s="146">
        <f t="shared" si="19"/>
        <v>438.7341772151899</v>
      </c>
      <c r="AQ62" s="146">
        <f t="shared" si="19"/>
        <v>391.83168316831683</v>
      </c>
      <c r="AR62" s="147">
        <f t="shared" si="16"/>
        <v>5.6000000000000005</v>
      </c>
      <c r="AS62" s="348">
        <f t="shared" si="20"/>
        <v>8.5020242914979755E-2</v>
      </c>
      <c r="AT62" s="348">
        <f t="shared" si="20"/>
        <v>0.16599190283400811</v>
      </c>
      <c r="AU62" s="348">
        <f t="shared" si="20"/>
        <v>0.21929824561403508</v>
      </c>
      <c r="AV62" s="348">
        <f t="shared" si="20"/>
        <v>0.31713900134952766</v>
      </c>
      <c r="AW62" s="348">
        <f t="shared" si="20"/>
        <v>0.2125506072874494</v>
      </c>
      <c r="AX62" s="348">
        <f t="shared" si="21"/>
        <v>0.9521276595744681</v>
      </c>
      <c r="AY62" s="348">
        <f t="shared" si="21"/>
        <v>0.85599999999999998</v>
      </c>
      <c r="AZ62" s="348">
        <f t="shared" si="21"/>
        <v>0.7308394160583942</v>
      </c>
      <c r="BA62" s="348">
        <f t="shared" si="21"/>
        <v>0.7541834968263128</v>
      </c>
      <c r="BB62" s="348">
        <f t="shared" si="21"/>
        <v>0.78744939271255066</v>
      </c>
      <c r="BC62" s="348" t="e">
        <f>VLOOKUP($AL62,#REF!,BC$37,FALSE)</f>
        <v>#REF!</v>
      </c>
      <c r="BD62" s="348" t="e">
        <f>VLOOKUP($AL62,#REF!,BD$37,FALSE)</f>
        <v>#REF!</v>
      </c>
      <c r="BE62" s="348" t="e">
        <f>VLOOKUP($AL62,#REF!,BE$37,FALSE)</f>
        <v>#REF!</v>
      </c>
      <c r="BF62" s="348" t="e">
        <f>VLOOKUP($AL62,#REF!,BF$37,FALSE)</f>
        <v>#REF!</v>
      </c>
      <c r="BG62" s="348" t="e">
        <f>VLOOKUP($AL62,#REF!,BG$37,FALSE)</f>
        <v>#REF!</v>
      </c>
      <c r="BH62" s="348" t="e">
        <f>VLOOKUP($AL62,#REF!,BH$37,FALSE)</f>
        <v>#REF!</v>
      </c>
      <c r="BI62" s="348" t="e">
        <f>VLOOKUP($AL62,#REF!,BI$37,FALSE)</f>
        <v>#REF!</v>
      </c>
      <c r="BJ62" s="348" t="e">
        <f>VLOOKUP($AL62,#REF!,BJ$37,FALSE)</f>
        <v>#REF!</v>
      </c>
      <c r="BK62" s="348" t="e">
        <f>VLOOKUP($AL62,#REF!,BK$37,FALSE)</f>
        <v>#REF!</v>
      </c>
      <c r="BL62" s="348" t="e">
        <f>VLOOKUP($AL62,#REF!,BL$37,FALSE)</f>
        <v>#REF!</v>
      </c>
    </row>
    <row r="63" spans="1:64" s="81" customFormat="1" ht="14.25" customHeight="1" x14ac:dyDescent="0.2">
      <c r="A63" s="118"/>
      <c r="B63" s="328"/>
      <c r="C63" s="328"/>
      <c r="D63" s="58"/>
      <c r="E63" s="58"/>
      <c r="F63" s="58"/>
      <c r="G63" s="58"/>
      <c r="H63" s="58"/>
      <c r="I63" s="58"/>
      <c r="J63" s="12"/>
      <c r="K63" s="14"/>
      <c r="L63" s="14"/>
      <c r="M63" s="14"/>
      <c r="N63" s="14"/>
      <c r="O63" s="9"/>
      <c r="P63" s="9"/>
      <c r="Q63" s="9"/>
      <c r="R63" s="9"/>
      <c r="S63" s="9"/>
      <c r="T63" s="9"/>
      <c r="U63" s="9"/>
      <c r="V63" s="117"/>
      <c r="W63" s="137"/>
      <c r="X63" s="294"/>
      <c r="AJ63" s="585" t="b">
        <v>1</v>
      </c>
      <c r="AK63" s="160" t="s">
        <v>74</v>
      </c>
      <c r="AL63" s="87" t="str">
        <f t="shared" si="14"/>
        <v>South East</v>
      </c>
      <c r="AM63" s="146">
        <f t="shared" si="19"/>
        <v>476.09613680204365</v>
      </c>
      <c r="AN63" s="146">
        <f t="shared" si="19"/>
        <v>510.99270601624335</v>
      </c>
      <c r="AO63" s="146">
        <f t="shared" si="19"/>
        <v>525.85009516950458</v>
      </c>
      <c r="AP63" s="146">
        <f t="shared" si="19"/>
        <v>522.22335751507103</v>
      </c>
      <c r="AQ63" s="146">
        <f t="shared" si="19"/>
        <v>561.09079829372331</v>
      </c>
      <c r="AR63" s="147">
        <f t="shared" si="16"/>
        <v>12.371268250968637</v>
      </c>
      <c r="AS63" s="348">
        <f t="shared" si="20"/>
        <v>0.14417594352430085</v>
      </c>
      <c r="AT63" s="348">
        <f t="shared" si="20"/>
        <v>0.20943071771201013</v>
      </c>
      <c r="AU63" s="348">
        <f t="shared" si="20"/>
        <v>0.17558150058828853</v>
      </c>
      <c r="AV63" s="348">
        <f t="shared" si="20"/>
        <v>0.32211059824418498</v>
      </c>
      <c r="AW63" s="348">
        <f t="shared" si="20"/>
        <v>0.14870123993121551</v>
      </c>
      <c r="AX63" s="348">
        <f t="shared" si="21"/>
        <v>0.82711047848461627</v>
      </c>
      <c r="AY63" s="348">
        <f t="shared" si="21"/>
        <v>0.83836032388663972</v>
      </c>
      <c r="AZ63" s="348">
        <f t="shared" si="21"/>
        <v>0.83770299354333788</v>
      </c>
      <c r="BA63" s="348">
        <f t="shared" si="21"/>
        <v>0.82349480290252985</v>
      </c>
      <c r="BB63" s="348">
        <f t="shared" si="21"/>
        <v>0.85129876006878447</v>
      </c>
      <c r="BC63" s="348" t="e">
        <f>VLOOKUP($AL63,#REF!,BC$37,FALSE)</f>
        <v>#REF!</v>
      </c>
      <c r="BD63" s="348" t="e">
        <f>VLOOKUP($AL63,#REF!,BD$37,FALSE)</f>
        <v>#REF!</v>
      </c>
      <c r="BE63" s="348" t="e">
        <f>VLOOKUP($AL63,#REF!,BE$37,FALSE)</f>
        <v>#REF!</v>
      </c>
      <c r="BF63" s="348" t="e">
        <f>VLOOKUP($AL63,#REF!,BF$37,FALSE)</f>
        <v>#REF!</v>
      </c>
      <c r="BG63" s="348" t="e">
        <f>VLOOKUP($AL63,#REF!,BG$37,FALSE)</f>
        <v>#REF!</v>
      </c>
      <c r="BH63" s="348" t="e">
        <f>VLOOKUP($AL63,#REF!,BH$37,FALSE)</f>
        <v>#REF!</v>
      </c>
      <c r="BI63" s="348" t="e">
        <f>VLOOKUP($AL63,#REF!,BI$37,FALSE)</f>
        <v>#REF!</v>
      </c>
      <c r="BJ63" s="348" t="e">
        <f>VLOOKUP($AL63,#REF!,BJ$37,FALSE)</f>
        <v>#REF!</v>
      </c>
      <c r="BK63" s="348" t="e">
        <f>VLOOKUP($AL63,#REF!,BK$37,FALSE)</f>
        <v>#REF!</v>
      </c>
      <c r="BL63" s="348" t="e">
        <f>VLOOKUP($AL63,#REF!,BL$37,FALSE)</f>
        <v>#REF!</v>
      </c>
    </row>
    <row r="64" spans="1:64" s="81" customFormat="1" ht="14.25" customHeight="1" x14ac:dyDescent="0.2">
      <c r="A64" s="118"/>
      <c r="B64" s="328"/>
      <c r="C64" s="328"/>
      <c r="D64" s="58"/>
      <c r="E64" s="58"/>
      <c r="F64" s="58"/>
      <c r="G64" s="58"/>
      <c r="H64" s="58"/>
      <c r="I64" s="58"/>
      <c r="J64" s="12"/>
      <c r="K64" s="9"/>
      <c r="L64" s="110"/>
      <c r="M64" s="1823" t="s">
        <v>72</v>
      </c>
      <c r="N64" s="1790"/>
      <c r="O64" s="1790"/>
      <c r="P64" s="1824"/>
      <c r="Q64" s="917"/>
      <c r="R64" s="1802" t="s">
        <v>100</v>
      </c>
      <c r="S64" s="1803"/>
      <c r="T64" s="1803"/>
      <c r="U64" s="1804"/>
      <c r="V64" s="117"/>
      <c r="W64" s="137"/>
      <c r="X64" s="294"/>
      <c r="AJ64" s="585" t="b">
        <v>1</v>
      </c>
      <c r="AK64" s="160" t="s">
        <v>127</v>
      </c>
      <c r="AL64" s="87" t="str">
        <f t="shared" si="14"/>
        <v>England</v>
      </c>
      <c r="AM64" s="146">
        <f t="shared" si="19"/>
        <v>489.50581868315362</v>
      </c>
      <c r="AN64" s="146">
        <f t="shared" si="19"/>
        <v>514.98052658820734</v>
      </c>
      <c r="AO64" s="146">
        <f t="shared" si="19"/>
        <v>531.80247745849829</v>
      </c>
      <c r="AP64" s="146">
        <f t="shared" si="19"/>
        <v>527.90557609623079</v>
      </c>
      <c r="AQ64" s="146">
        <f t="shared" si="19"/>
        <v>553.62786519844303</v>
      </c>
      <c r="AR64" s="147">
        <f t="shared" si="16"/>
        <v>17.084413405029373</v>
      </c>
      <c r="AS64" s="348">
        <f t="shared" si="20"/>
        <v>0.13856507631294315</v>
      </c>
      <c r="AT64" s="348">
        <f t="shared" si="20"/>
        <v>0.16839923086167527</v>
      </c>
      <c r="AU64" s="348">
        <f t="shared" si="20"/>
        <v>0.16851940872491286</v>
      </c>
      <c r="AV64" s="348">
        <f t="shared" si="20"/>
        <v>0.36299723590914551</v>
      </c>
      <c r="AW64" s="348">
        <f t="shared" si="20"/>
        <v>0.16151904819132315</v>
      </c>
      <c r="AX64" s="348">
        <f t="shared" si="21"/>
        <v>0.8343537890980337</v>
      </c>
      <c r="AY64" s="348">
        <f t="shared" si="21"/>
        <v>0.82934023200632745</v>
      </c>
      <c r="AZ64" s="348">
        <f t="shared" si="21"/>
        <v>0.82698676808493776</v>
      </c>
      <c r="BA64" s="348">
        <f t="shared" si="21"/>
        <v>0.83147723042561117</v>
      </c>
      <c r="BB64" s="348">
        <f t="shared" si="21"/>
        <v>0.83848095180867688</v>
      </c>
      <c r="BC64" s="348" t="e">
        <f>VLOOKUP($AL64,#REF!,BC$37,FALSE)</f>
        <v>#REF!</v>
      </c>
      <c r="BD64" s="348" t="e">
        <f>VLOOKUP($AL64,#REF!,BD$37,FALSE)</f>
        <v>#REF!</v>
      </c>
      <c r="BE64" s="348" t="e">
        <f>VLOOKUP($AL64,#REF!,BE$37,FALSE)</f>
        <v>#REF!</v>
      </c>
      <c r="BF64" s="348" t="e">
        <f>VLOOKUP($AL64,#REF!,BF$37,FALSE)</f>
        <v>#REF!</v>
      </c>
      <c r="BG64" s="348" t="e">
        <f>VLOOKUP($AL64,#REF!,BG$37,FALSE)</f>
        <v>#REF!</v>
      </c>
      <c r="BH64" s="348" t="e">
        <f>VLOOKUP($AL64,#REF!,BH$37,FALSE)</f>
        <v>#REF!</v>
      </c>
      <c r="BI64" s="348" t="e">
        <f>VLOOKUP($AL64,#REF!,BI$37,FALSE)</f>
        <v>#REF!</v>
      </c>
      <c r="BJ64" s="348" t="e">
        <f>VLOOKUP($AL64,#REF!,BJ$37,FALSE)</f>
        <v>#REF!</v>
      </c>
      <c r="BK64" s="348" t="e">
        <f>VLOOKUP($AL64,#REF!,BK$37,FALSE)</f>
        <v>#REF!</v>
      </c>
      <c r="BL64" s="348" t="e">
        <f>VLOOKUP($AL64,#REF!,BL$37,FALSE)</f>
        <v>#REF!</v>
      </c>
    </row>
    <row r="65" spans="1:64" s="81" customFormat="1" ht="14.25" customHeight="1" x14ac:dyDescent="0.2">
      <c r="A65" s="118"/>
      <c r="B65" s="328"/>
      <c r="C65" s="328"/>
      <c r="D65" s="58"/>
      <c r="E65" s="58"/>
      <c r="F65" s="58"/>
      <c r="G65" s="58"/>
      <c r="H65" s="58"/>
      <c r="I65" s="58"/>
      <c r="J65" s="12"/>
      <c r="K65" s="9"/>
      <c r="L65" s="111"/>
      <c r="M65" s="1802" t="str">
        <f>AA4</f>
        <v>Selected LA- (none)</v>
      </c>
      <c r="N65" s="1803"/>
      <c r="O65" s="1803"/>
      <c r="P65" s="1803"/>
      <c r="Q65" s="110"/>
      <c r="R65" s="1806" t="s">
        <v>187</v>
      </c>
      <c r="S65" s="1806"/>
      <c r="T65" s="1806"/>
      <c r="U65" s="1807"/>
      <c r="V65" s="117"/>
      <c r="W65" s="137"/>
      <c r="X65" s="150"/>
      <c r="AK65" s="161"/>
      <c r="AL65" s="74" t="str">
        <f>AA4</f>
        <v>Selected LA- (none)</v>
      </c>
      <c r="AM65" s="148" t="e">
        <f>VLOOKUP($Z4,$B$10:$O$32,AM$37,FALSE)</f>
        <v>#N/A</v>
      </c>
      <c r="AN65" s="148" t="e">
        <f>VLOOKUP($Z4,$B$10:$O$32,AN$37,FALSE)</f>
        <v>#N/A</v>
      </c>
      <c r="AO65" s="148" t="e">
        <f>VLOOKUP($Z4,$B$10:$O$32,AO$37,FALSE)</f>
        <v>#N/A</v>
      </c>
      <c r="AP65" s="148" t="e">
        <f>VLOOKUP($Z4,$B$10:$O$32,AP$37,FALSE)</f>
        <v>#N/A</v>
      </c>
      <c r="AQ65" s="148" t="e">
        <f>VLOOKUP($Z4,$B$10:$O$32,AQ$37,FALSE)</f>
        <v>#N/A</v>
      </c>
      <c r="AR65" s="147" t="e">
        <f>VLOOKUP($Z$4,$B$10:$U$33,$AR$37,FALSE)</f>
        <v>#N/A</v>
      </c>
      <c r="AS65" s="171" t="e">
        <f>VLOOKUP($Z$4,$B$147:$H$170,AS$37,FALSE)</f>
        <v>#N/A</v>
      </c>
      <c r="AT65" s="171" t="e">
        <f>VLOOKUP($Z$4,$B$147:$H$170,AT$37,FALSE)</f>
        <v>#N/A</v>
      </c>
      <c r="AU65" s="171" t="e">
        <f>VLOOKUP($Z$4,$B$147:$H$170,AU$37,FALSE)</f>
        <v>#N/A</v>
      </c>
      <c r="AV65" s="171" t="e">
        <f>VLOOKUP($Z$4,$B$147:$H$170,AV$37,FALSE)</f>
        <v>#N/A</v>
      </c>
      <c r="AW65" s="171" t="e">
        <f>VLOOKUP($Z$4,$B$147:$H$170,AW$37,FALSE)</f>
        <v>#N/A</v>
      </c>
      <c r="AX65" s="171" t="e">
        <f>VLOOKUP($Z$4,$B$112:$H$135,AX$37,FALSE)</f>
        <v>#N/A</v>
      </c>
      <c r="AY65" s="171" t="e">
        <f>VLOOKUP($Z$4,$B$112:$H$135,AY$37,FALSE)</f>
        <v>#N/A</v>
      </c>
      <c r="AZ65" s="171" t="e">
        <f>VLOOKUP($Z$4,$B$112:$H$135,AZ$37,FALSE)</f>
        <v>#N/A</v>
      </c>
      <c r="BA65" s="171" t="e">
        <f>VLOOKUP($Z$4,$B$112:$H$135,BA$37,FALSE)</f>
        <v>#N/A</v>
      </c>
      <c r="BB65" s="171" t="e">
        <f>VLOOKUP($Z$4,$B$112:$H$135,BB$37,FALSE)</f>
        <v>#N/A</v>
      </c>
      <c r="BC65" s="171" t="e">
        <f>VLOOKUP($Z$4,#REF!,BC$37,FALSE)</f>
        <v>#REF!</v>
      </c>
      <c r="BD65" s="171" t="e">
        <f>VLOOKUP($Z$4,#REF!,BD$37,FALSE)</f>
        <v>#REF!</v>
      </c>
      <c r="BE65" s="171" t="e">
        <f>VLOOKUP($Z$4,#REF!,BE$37,FALSE)</f>
        <v>#REF!</v>
      </c>
      <c r="BF65" s="171" t="e">
        <f>VLOOKUP($Z$4,#REF!,BF$37,FALSE)</f>
        <v>#REF!</v>
      </c>
      <c r="BG65" s="171" t="e">
        <f>VLOOKUP($Z$4,#REF!,BG$37,FALSE)</f>
        <v>#REF!</v>
      </c>
      <c r="BH65" s="171" t="e">
        <f>VLOOKUP($Z$4,#REF!,BH$37,FALSE)</f>
        <v>#REF!</v>
      </c>
      <c r="BI65" s="171" t="e">
        <f>VLOOKUP($Z$4,#REF!,BI$37,FALSE)</f>
        <v>#REF!</v>
      </c>
      <c r="BJ65" s="171" t="e">
        <f>VLOOKUP($Z$4,#REF!,BJ$37,FALSE)</f>
        <v>#REF!</v>
      </c>
      <c r="BK65" s="171" t="e">
        <f>VLOOKUP($Z$4,#REF!,BK$37,FALSE)</f>
        <v>#REF!</v>
      </c>
      <c r="BL65" s="171" t="e">
        <f>VLOOKUP($Z$4,#REF!,BL$37,FALSE)</f>
        <v>#REF!</v>
      </c>
    </row>
    <row r="66" spans="1:64" s="81" customFormat="1" ht="39.6" customHeight="1" x14ac:dyDescent="0.2">
      <c r="A66" s="118"/>
      <c r="B66" s="328"/>
      <c r="C66" s="328"/>
      <c r="D66" s="58"/>
      <c r="E66" s="58"/>
      <c r="F66" s="58"/>
      <c r="G66" s="58"/>
      <c r="H66" s="58"/>
      <c r="I66" s="58"/>
      <c r="J66" s="12"/>
      <c r="K66" s="9"/>
      <c r="L66" s="9"/>
      <c r="M66" s="9"/>
      <c r="N66" s="9"/>
      <c r="O66" s="9"/>
      <c r="P66" s="9"/>
      <c r="Q66" s="9"/>
      <c r="R66" s="9"/>
      <c r="S66" s="9"/>
      <c r="T66" s="9"/>
      <c r="U66" s="9"/>
      <c r="V66" s="117"/>
      <c r="W66" s="137"/>
      <c r="X66" s="150"/>
      <c r="AK66" s="161"/>
    </row>
    <row r="67" spans="1:64" s="87" customFormat="1" ht="39.6" customHeight="1" x14ac:dyDescent="0.2">
      <c r="A67" s="121"/>
      <c r="B67" s="109"/>
      <c r="C67" s="109"/>
      <c r="D67" s="109"/>
      <c r="E67" s="109"/>
      <c r="F67" s="109"/>
      <c r="G67" s="109"/>
      <c r="H67" s="109"/>
      <c r="I67" s="109"/>
      <c r="J67" s="96"/>
      <c r="K67" s="85"/>
      <c r="L67" s="85"/>
      <c r="M67" s="85"/>
      <c r="N67" s="85"/>
      <c r="O67" s="85"/>
      <c r="P67" s="85"/>
      <c r="Q67" s="85"/>
      <c r="R67" s="85"/>
      <c r="S67" s="85"/>
      <c r="T67" s="85"/>
      <c r="U67" s="85"/>
      <c r="V67" s="122"/>
      <c r="W67" s="139"/>
      <c r="X67" s="152"/>
      <c r="AE67" s="190"/>
      <c r="AF67" s="190"/>
      <c r="AG67" s="190"/>
      <c r="AH67" s="190"/>
      <c r="AI67" s="190"/>
      <c r="AJ67" s="202"/>
      <c r="AK67" s="160"/>
    </row>
    <row r="68" spans="1:64" s="87" customFormat="1" ht="47.25" customHeight="1" x14ac:dyDescent="0.2">
      <c r="A68" s="121"/>
      <c r="B68" s="109"/>
      <c r="C68" s="109"/>
      <c r="D68" s="109"/>
      <c r="E68" s="109"/>
      <c r="F68" s="109"/>
      <c r="G68" s="109"/>
      <c r="H68" s="109"/>
      <c r="I68" s="109"/>
      <c r="J68" s="96"/>
      <c r="K68" s="85"/>
      <c r="L68" s="85"/>
      <c r="M68" s="85"/>
      <c r="N68" s="85"/>
      <c r="O68" s="85"/>
      <c r="P68" s="85"/>
      <c r="Q68" s="85"/>
      <c r="R68" s="85"/>
      <c r="S68" s="85"/>
      <c r="T68" s="85"/>
      <c r="U68" s="85"/>
      <c r="V68" s="122"/>
      <c r="W68" s="139"/>
      <c r="X68" s="152"/>
      <c r="AE68" s="190"/>
      <c r="AF68" s="190"/>
      <c r="AG68" s="190"/>
      <c r="AH68" s="190"/>
      <c r="AI68" s="190"/>
      <c r="AJ68" s="202"/>
      <c r="AK68" s="160"/>
    </row>
    <row r="69" spans="1:64" ht="7.5" customHeight="1" x14ac:dyDescent="0.2">
      <c r="A69" s="118"/>
      <c r="B69" s="17"/>
      <c r="C69" s="17"/>
      <c r="D69" s="16"/>
      <c r="E69" s="16"/>
      <c r="F69" s="16"/>
      <c r="G69" s="16"/>
      <c r="H69" s="16"/>
      <c r="I69" s="16"/>
      <c r="J69" s="12"/>
      <c r="K69" s="18"/>
      <c r="L69" s="18"/>
      <c r="M69" s="18"/>
      <c r="N69" s="18"/>
      <c r="O69" s="18"/>
      <c r="P69" s="18"/>
      <c r="Q69" s="18"/>
      <c r="R69" s="18"/>
      <c r="S69" s="18"/>
      <c r="T69" s="18"/>
      <c r="U69" s="19"/>
      <c r="V69" s="117"/>
      <c r="W69" s="137"/>
      <c r="X69" s="150"/>
      <c r="Y69" s="87"/>
      <c r="Z69" s="87"/>
      <c r="AA69" s="87"/>
      <c r="AB69" s="87"/>
      <c r="AC69" s="87"/>
      <c r="AD69" s="87"/>
      <c r="AJ69" s="184"/>
      <c r="AK69" s="157"/>
    </row>
    <row r="70" spans="1:64" ht="15" customHeight="1" x14ac:dyDescent="0.2">
      <c r="A70" s="1716"/>
      <c r="B70" s="1760"/>
      <c r="C70" s="1760"/>
      <c r="D70" s="1760"/>
      <c r="E70" s="1760"/>
      <c r="F70" s="1760"/>
      <c r="G70" s="1760"/>
      <c r="H70" s="1760"/>
      <c r="I70" s="1760"/>
      <c r="J70" s="1760"/>
      <c r="K70" s="1760"/>
      <c r="L70" s="1760"/>
      <c r="M70" s="1760"/>
      <c r="N70" s="1760"/>
      <c r="O70" s="1760"/>
      <c r="P70" s="1760"/>
      <c r="Q70" s="1760"/>
      <c r="R70" s="1760"/>
      <c r="S70" s="1760"/>
      <c r="T70" s="1760"/>
      <c r="U70" s="1760"/>
      <c r="V70" s="1761"/>
      <c r="W70" s="137"/>
      <c r="X70" s="150"/>
      <c r="Y70" s="87"/>
      <c r="Z70" s="87"/>
      <c r="AA70" s="87"/>
      <c r="AB70" s="87"/>
      <c r="AC70" s="87"/>
      <c r="AD70" s="87"/>
      <c r="AJ70" s="184"/>
      <c r="AK70" s="157"/>
    </row>
    <row r="71" spans="1:64" ht="11.25" customHeight="1" x14ac:dyDescent="0.2">
      <c r="A71" s="1765" t="str">
        <f>Home!$A$39</f>
        <v xml:space="preserve"> </v>
      </c>
      <c r="B71" s="1766"/>
      <c r="C71" s="1766"/>
      <c r="D71" s="1766"/>
      <c r="E71" s="1766"/>
      <c r="F71" s="1766"/>
      <c r="G71" s="1766"/>
      <c r="H71" s="1766"/>
      <c r="I71" s="1767"/>
      <c r="J71" s="1766"/>
      <c r="K71" s="1766"/>
      <c r="L71" s="1766"/>
      <c r="M71" s="1766"/>
      <c r="N71" s="1766"/>
      <c r="O71" s="1766"/>
      <c r="P71" s="1768"/>
      <c r="Q71" s="1766"/>
      <c r="R71" s="1766"/>
      <c r="S71" s="1766"/>
      <c r="T71" s="1767"/>
      <c r="U71" s="1766"/>
      <c r="V71" s="1769"/>
      <c r="W71" s="137"/>
      <c r="X71" s="150"/>
      <c r="Y71" s="87"/>
      <c r="Z71" s="87"/>
      <c r="AA71" s="87"/>
      <c r="AB71" s="87"/>
      <c r="AC71" s="87"/>
      <c r="AD71" s="87"/>
      <c r="AJ71" s="184"/>
      <c r="AK71" s="157"/>
    </row>
    <row r="72" spans="1:64" ht="11.25" customHeight="1" x14ac:dyDescent="0.2">
      <c r="A72" s="112"/>
      <c r="B72" s="113"/>
      <c r="C72" s="113"/>
      <c r="D72" s="113"/>
      <c r="E72" s="113"/>
      <c r="F72" s="113"/>
      <c r="G72" s="113"/>
      <c r="H72" s="113"/>
      <c r="I72" s="113"/>
      <c r="J72" s="114"/>
      <c r="K72" s="113"/>
      <c r="L72" s="113"/>
      <c r="M72" s="113"/>
      <c r="N72" s="113"/>
      <c r="O72" s="113"/>
      <c r="P72" s="113"/>
      <c r="Q72" s="113"/>
      <c r="R72" s="113"/>
      <c r="S72" s="113"/>
      <c r="T72" s="113"/>
      <c r="U72" s="113"/>
      <c r="V72" s="115"/>
      <c r="W72" s="137"/>
      <c r="X72" s="150"/>
      <c r="Y72" s="188"/>
      <c r="Z72" s="188"/>
      <c r="AA72" s="188"/>
      <c r="AJ72" s="184"/>
      <c r="AK72" s="157"/>
    </row>
    <row r="73" spans="1:64" s="76" customFormat="1" ht="15" customHeight="1" x14ac:dyDescent="0.2">
      <c r="A73" s="119"/>
      <c r="B73" s="59"/>
      <c r="C73" s="320"/>
      <c r="D73" s="320"/>
      <c r="E73" s="320"/>
      <c r="F73" s="320"/>
      <c r="G73" s="320"/>
      <c r="H73" s="320"/>
      <c r="I73" s="320"/>
      <c r="J73" s="70"/>
      <c r="K73" s="59"/>
      <c r="M73" s="320"/>
      <c r="N73" s="320"/>
      <c r="O73" s="320"/>
      <c r="P73" s="905"/>
      <c r="Q73" s="320"/>
      <c r="R73" s="320"/>
      <c r="S73" s="320"/>
      <c r="T73" s="70"/>
      <c r="U73" s="70"/>
      <c r="V73" s="120"/>
      <c r="W73" s="138"/>
      <c r="X73" s="151"/>
      <c r="Y73" s="188"/>
      <c r="Z73" s="188"/>
      <c r="AA73" s="188"/>
      <c r="AB73" s="188"/>
      <c r="AC73" s="188"/>
      <c r="AD73" s="188"/>
      <c r="AE73" s="188"/>
      <c r="AF73" s="188"/>
      <c r="AG73" s="188"/>
      <c r="AH73" s="188"/>
      <c r="AI73" s="188"/>
      <c r="AJ73" s="188"/>
      <c r="AK73" s="158"/>
    </row>
    <row r="74" spans="1:64" ht="13.5" customHeight="1" x14ac:dyDescent="0.2">
      <c r="A74" s="118"/>
      <c r="B74" s="320"/>
      <c r="C74" s="320"/>
      <c r="D74" s="320"/>
      <c r="E74" s="320"/>
      <c r="F74" s="320"/>
      <c r="G74" s="320"/>
      <c r="H74" s="320"/>
      <c r="I74" s="320"/>
      <c r="J74" s="70"/>
      <c r="K74" s="70"/>
      <c r="L74" s="320"/>
      <c r="M74" s="320"/>
      <c r="N74" s="320"/>
      <c r="O74" s="320"/>
      <c r="P74" s="905"/>
      <c r="Q74" s="320"/>
      <c r="R74" s="320"/>
      <c r="S74" s="320"/>
      <c r="T74" s="70"/>
      <c r="U74" s="70"/>
      <c r="V74" s="117"/>
      <c r="W74" s="137"/>
      <c r="X74" s="150"/>
      <c r="Y74" s="188"/>
      <c r="Z74" s="188"/>
      <c r="AA74" s="196"/>
      <c r="AB74" s="196"/>
      <c r="AC74" s="197"/>
      <c r="AD74" s="197"/>
      <c r="AJ74" s="184"/>
      <c r="AK74" s="157"/>
    </row>
    <row r="75" spans="1:64" s="87" customFormat="1" ht="24" customHeight="1" x14ac:dyDescent="0.2">
      <c r="A75" s="121"/>
      <c r="B75" s="320"/>
      <c r="C75" s="320"/>
      <c r="D75" s="320"/>
      <c r="E75" s="320"/>
      <c r="F75" s="320"/>
      <c r="G75" s="320"/>
      <c r="H75" s="320"/>
      <c r="I75" s="96"/>
      <c r="J75" s="96"/>
      <c r="K75" s="176"/>
      <c r="L75" s="176"/>
      <c r="M75" s="176"/>
      <c r="N75" s="176"/>
      <c r="O75" s="176"/>
      <c r="P75" s="176"/>
      <c r="Q75" s="320"/>
      <c r="R75" s="320"/>
      <c r="S75" s="320"/>
      <c r="T75" s="159"/>
      <c r="U75" s="323"/>
      <c r="V75" s="122"/>
      <c r="W75" s="139"/>
      <c r="X75" s="152"/>
      <c r="Y75" s="188"/>
      <c r="Z75" s="1904" t="s">
        <v>130</v>
      </c>
      <c r="AA75" s="1904" t="s">
        <v>131</v>
      </c>
      <c r="AB75" s="198"/>
      <c r="AC75" s="196"/>
      <c r="AD75" s="188"/>
      <c r="AE75" s="199"/>
      <c r="AF75" s="190"/>
      <c r="AG75" s="190"/>
      <c r="AH75" s="190"/>
      <c r="AI75" s="190"/>
      <c r="AJ75" s="202"/>
      <c r="AK75" s="160"/>
    </row>
    <row r="76" spans="1:64" s="87" customFormat="1" ht="12" customHeight="1" x14ac:dyDescent="0.2">
      <c r="A76" s="121"/>
      <c r="B76" s="320"/>
      <c r="C76" s="320"/>
      <c r="D76" s="320"/>
      <c r="E76" s="320"/>
      <c r="F76" s="320"/>
      <c r="G76" s="320"/>
      <c r="H76" s="320"/>
      <c r="I76" s="96"/>
      <c r="J76" s="96"/>
      <c r="K76" s="176"/>
      <c r="L76" s="176"/>
      <c r="M76" s="176"/>
      <c r="N76" s="176"/>
      <c r="O76" s="176"/>
      <c r="P76" s="176"/>
      <c r="Q76" s="320"/>
      <c r="R76" s="320"/>
      <c r="S76" s="320"/>
      <c r="T76" s="159"/>
      <c r="U76" s="166"/>
      <c r="V76" s="122"/>
      <c r="W76" s="139"/>
      <c r="X76" s="152"/>
      <c r="Z76" s="1904"/>
      <c r="AA76" s="1904"/>
      <c r="AB76" s="192"/>
      <c r="AC76" s="202"/>
      <c r="AD76" s="202"/>
      <c r="AE76" s="199"/>
      <c r="AF76" s="190"/>
      <c r="AG76" s="190"/>
      <c r="AH76" s="190"/>
      <c r="AI76" s="190"/>
      <c r="AJ76" s="202"/>
      <c r="AK76" s="160"/>
    </row>
    <row r="77" spans="1:64" s="87" customFormat="1" ht="12.75" customHeight="1" x14ac:dyDescent="0.2">
      <c r="A77" s="121"/>
      <c r="B77" s="320"/>
      <c r="C77" s="320"/>
      <c r="D77" s="320"/>
      <c r="E77" s="320"/>
      <c r="F77" s="320"/>
      <c r="G77" s="320"/>
      <c r="H77" s="320"/>
      <c r="I77" s="96"/>
      <c r="J77" s="96"/>
      <c r="K77" s="176"/>
      <c r="L77" s="176"/>
      <c r="M77" s="176"/>
      <c r="N77" s="176"/>
      <c r="O77" s="176"/>
      <c r="P77" s="176"/>
      <c r="Q77" s="320"/>
      <c r="R77" s="320"/>
      <c r="S77" s="320"/>
      <c r="T77" s="159"/>
      <c r="U77" s="166"/>
      <c r="V77" s="122"/>
      <c r="W77" s="139"/>
      <c r="X77" s="152"/>
      <c r="Y77" s="576" t="str">
        <f>B10</f>
        <v>Bracknell Forest</v>
      </c>
      <c r="Z77" s="356" t="e">
        <f>IF(Y77=$Z$4,I10,#N/A)</f>
        <v>#N/A</v>
      </c>
      <c r="AA77" s="356" t="e">
        <f t="shared" ref="AA77:AA100" si="22">IF(Y77=$Z$4,U10,#N/A)</f>
        <v>#N/A</v>
      </c>
      <c r="AB77" s="349"/>
      <c r="AC77" s="202"/>
      <c r="AD77" s="202"/>
      <c r="AE77" s="199"/>
      <c r="AF77" s="190"/>
      <c r="AG77" s="190"/>
      <c r="AH77" s="190"/>
      <c r="AI77" s="190"/>
      <c r="AJ77" s="202"/>
      <c r="AK77" s="160"/>
    </row>
    <row r="78" spans="1:64" s="87" customFormat="1" ht="12.75" customHeight="1" x14ac:dyDescent="0.2">
      <c r="A78" s="121"/>
      <c r="B78" s="320"/>
      <c r="C78" s="320"/>
      <c r="D78" s="320"/>
      <c r="E78" s="320"/>
      <c r="F78" s="320"/>
      <c r="G78" s="320"/>
      <c r="H78" s="320"/>
      <c r="I78" s="96"/>
      <c r="J78" s="96"/>
      <c r="K78" s="176"/>
      <c r="L78" s="176"/>
      <c r="M78" s="176"/>
      <c r="N78" s="176"/>
      <c r="O78" s="176"/>
      <c r="P78" s="176"/>
      <c r="Q78" s="320"/>
      <c r="R78" s="320"/>
      <c r="S78" s="320"/>
      <c r="T78" s="159"/>
      <c r="U78" s="166"/>
      <c r="V78" s="122"/>
      <c r="W78" s="139"/>
      <c r="X78" s="152"/>
      <c r="Y78" s="576" t="str">
        <f t="shared" ref="Y78:Y98" si="23">B11</f>
        <v>Brighton &amp; Hove</v>
      </c>
      <c r="Z78" s="356" t="e">
        <f t="shared" ref="Z78:Z100" si="24">IF(Y78=$Z$4,I11,#N/A)</f>
        <v>#N/A</v>
      </c>
      <c r="AA78" s="356" t="e">
        <f t="shared" si="22"/>
        <v>#N/A</v>
      </c>
      <c r="AB78" s="349"/>
      <c r="AC78" s="202"/>
      <c r="AD78" s="202"/>
      <c r="AE78" s="199"/>
      <c r="AF78" s="190"/>
      <c r="AG78" s="190"/>
      <c r="AH78" s="190"/>
      <c r="AI78" s="190"/>
      <c r="AJ78" s="202"/>
      <c r="AK78" s="160"/>
    </row>
    <row r="79" spans="1:64" s="87" customFormat="1" ht="12.75" customHeight="1" x14ac:dyDescent="0.2">
      <c r="A79" s="121"/>
      <c r="B79" s="320"/>
      <c r="C79" s="320"/>
      <c r="D79" s="320"/>
      <c r="E79" s="320"/>
      <c r="F79" s="320"/>
      <c r="G79" s="320"/>
      <c r="H79" s="320"/>
      <c r="I79" s="96"/>
      <c r="J79" s="96"/>
      <c r="K79" s="176"/>
      <c r="L79" s="176"/>
      <c r="M79" s="176"/>
      <c r="N79" s="176"/>
      <c r="O79" s="176"/>
      <c r="P79" s="176"/>
      <c r="Q79" s="320"/>
      <c r="R79" s="320"/>
      <c r="S79" s="320"/>
      <c r="T79" s="159"/>
      <c r="U79" s="166"/>
      <c r="V79" s="122"/>
      <c r="W79" s="139"/>
      <c r="X79" s="152"/>
      <c r="Y79" s="576" t="str">
        <f t="shared" si="23"/>
        <v>Buckinghamshire</v>
      </c>
      <c r="Z79" s="356" t="e">
        <f t="shared" si="24"/>
        <v>#N/A</v>
      </c>
      <c r="AA79" s="356" t="e">
        <f t="shared" si="22"/>
        <v>#N/A</v>
      </c>
      <c r="AB79" s="349"/>
      <c r="AC79" s="202"/>
      <c r="AD79" s="202"/>
      <c r="AE79" s="199"/>
      <c r="AF79" s="190"/>
      <c r="AG79" s="190"/>
      <c r="AH79" s="190"/>
      <c r="AI79" s="190"/>
      <c r="AJ79" s="202"/>
      <c r="AK79" s="160"/>
    </row>
    <row r="80" spans="1:64" s="87" customFormat="1" ht="12.75" customHeight="1" x14ac:dyDescent="0.2">
      <c r="A80" s="121"/>
      <c r="B80" s="320"/>
      <c r="C80" s="320"/>
      <c r="D80" s="320"/>
      <c r="E80" s="320"/>
      <c r="F80" s="320"/>
      <c r="G80" s="320"/>
      <c r="H80" s="320"/>
      <c r="I80" s="96"/>
      <c r="J80" s="96"/>
      <c r="K80" s="176"/>
      <c r="L80" s="176"/>
      <c r="M80" s="176"/>
      <c r="N80" s="176"/>
      <c r="O80" s="176"/>
      <c r="P80" s="176"/>
      <c r="Q80" s="320"/>
      <c r="R80" s="320"/>
      <c r="S80" s="320"/>
      <c r="T80" s="159"/>
      <c r="U80" s="166"/>
      <c r="V80" s="122"/>
      <c r="W80" s="139"/>
      <c r="X80" s="152"/>
      <c r="Y80" s="576" t="str">
        <f t="shared" si="23"/>
        <v>East Sussex</v>
      </c>
      <c r="Z80" s="356" t="e">
        <f>IF(Y80=$Z$4,I13,#N/A)</f>
        <v>#N/A</v>
      </c>
      <c r="AA80" s="356" t="e">
        <f t="shared" si="22"/>
        <v>#N/A</v>
      </c>
      <c r="AB80" s="349"/>
      <c r="AC80" s="202"/>
      <c r="AD80" s="202"/>
      <c r="AE80" s="199"/>
      <c r="AF80" s="190"/>
      <c r="AG80" s="190"/>
      <c r="AH80" s="190"/>
      <c r="AI80" s="190"/>
      <c r="AJ80" s="202"/>
      <c r="AK80" s="160"/>
    </row>
    <row r="81" spans="1:45" s="87" customFormat="1" ht="12.75" customHeight="1" x14ac:dyDescent="0.2">
      <c r="A81" s="121"/>
      <c r="B81" s="320"/>
      <c r="C81" s="320"/>
      <c r="D81" s="320"/>
      <c r="E81" s="320"/>
      <c r="F81" s="320"/>
      <c r="G81" s="320"/>
      <c r="H81" s="320"/>
      <c r="I81" s="96"/>
      <c r="J81" s="96"/>
      <c r="K81" s="176"/>
      <c r="L81" s="176"/>
      <c r="M81" s="176"/>
      <c r="N81" s="176"/>
      <c r="O81" s="176"/>
      <c r="P81" s="176"/>
      <c r="Q81" s="320"/>
      <c r="R81" s="320"/>
      <c r="S81" s="320"/>
      <c r="T81" s="159"/>
      <c r="U81" s="166"/>
      <c r="V81" s="122"/>
      <c r="W81" s="139"/>
      <c r="X81" s="152"/>
      <c r="Y81" s="576" t="str">
        <f t="shared" si="23"/>
        <v>Hampshire</v>
      </c>
      <c r="Z81" s="356" t="e">
        <f t="shared" si="24"/>
        <v>#N/A</v>
      </c>
      <c r="AA81" s="356" t="e">
        <f t="shared" si="22"/>
        <v>#N/A</v>
      </c>
      <c r="AB81" s="349"/>
      <c r="AC81" s="202"/>
      <c r="AD81" s="202"/>
      <c r="AE81" s="199"/>
      <c r="AF81" s="190"/>
      <c r="AG81" s="190"/>
      <c r="AH81" s="190"/>
      <c r="AI81" s="190"/>
      <c r="AJ81" s="202"/>
      <c r="AK81" s="160"/>
      <c r="AS81" s="87" t="s">
        <v>102</v>
      </c>
    </row>
    <row r="82" spans="1:45" s="87" customFormat="1" ht="12.75" customHeight="1" x14ac:dyDescent="0.2">
      <c r="A82" s="121"/>
      <c r="B82" s="320"/>
      <c r="C82" s="320"/>
      <c r="D82" s="320"/>
      <c r="E82" s="320"/>
      <c r="F82" s="320"/>
      <c r="G82" s="320"/>
      <c r="H82" s="320"/>
      <c r="I82" s="96"/>
      <c r="J82" s="96"/>
      <c r="K82" s="176"/>
      <c r="L82" s="176"/>
      <c r="M82" s="176"/>
      <c r="N82" s="176"/>
      <c r="O82" s="176"/>
      <c r="P82" s="176"/>
      <c r="Q82" s="320"/>
      <c r="R82" s="320"/>
      <c r="S82" s="320"/>
      <c r="T82" s="159"/>
      <c r="U82" s="166"/>
      <c r="V82" s="122"/>
      <c r="W82" s="139"/>
      <c r="X82" s="152"/>
      <c r="Y82" s="576" t="str">
        <f t="shared" si="23"/>
        <v>Isle of Wight</v>
      </c>
      <c r="Z82" s="356" t="e">
        <f t="shared" si="24"/>
        <v>#N/A</v>
      </c>
      <c r="AA82" s="356" t="e">
        <f t="shared" si="22"/>
        <v>#N/A</v>
      </c>
      <c r="AB82" s="349"/>
      <c r="AC82" s="202"/>
      <c r="AD82" s="202"/>
      <c r="AE82" s="199"/>
      <c r="AF82" s="190"/>
      <c r="AG82" s="190"/>
      <c r="AH82" s="190"/>
      <c r="AI82" s="190"/>
      <c r="AJ82" s="202"/>
      <c r="AK82" s="160"/>
    </row>
    <row r="83" spans="1:45" s="87" customFormat="1" ht="12.75" customHeight="1" x14ac:dyDescent="0.2">
      <c r="A83" s="121"/>
      <c r="B83" s="320"/>
      <c r="C83" s="320"/>
      <c r="D83" s="320"/>
      <c r="E83" s="320"/>
      <c r="F83" s="320"/>
      <c r="G83" s="320"/>
      <c r="H83" s="320"/>
      <c r="I83" s="96"/>
      <c r="J83" s="96"/>
      <c r="K83" s="176"/>
      <c r="L83" s="176"/>
      <c r="M83" s="176"/>
      <c r="N83" s="176"/>
      <c r="O83" s="176"/>
      <c r="P83" s="176"/>
      <c r="Q83" s="320"/>
      <c r="R83" s="320"/>
      <c r="S83" s="320"/>
      <c r="T83" s="159"/>
      <c r="U83" s="166"/>
      <c r="V83" s="122"/>
      <c r="W83" s="139"/>
      <c r="X83" s="152"/>
      <c r="Y83" s="576" t="str">
        <f t="shared" si="23"/>
        <v>Kent</v>
      </c>
      <c r="Z83" s="356" t="e">
        <f t="shared" si="24"/>
        <v>#N/A</v>
      </c>
      <c r="AA83" s="356" t="e">
        <f t="shared" si="22"/>
        <v>#N/A</v>
      </c>
      <c r="AB83" s="349"/>
      <c r="AC83" s="202"/>
      <c r="AD83" s="202"/>
      <c r="AE83" s="199"/>
      <c r="AF83" s="190"/>
      <c r="AG83" s="190"/>
      <c r="AH83" s="190"/>
      <c r="AI83" s="190"/>
      <c r="AJ83" s="202"/>
      <c r="AK83" s="160"/>
    </row>
    <row r="84" spans="1:45" s="87" customFormat="1" ht="12.75" customHeight="1" x14ac:dyDescent="0.2">
      <c r="A84" s="121"/>
      <c r="B84" s="320"/>
      <c r="C84" s="320"/>
      <c r="D84" s="320"/>
      <c r="E84" s="320"/>
      <c r="F84" s="320"/>
      <c r="G84" s="320"/>
      <c r="H84" s="320"/>
      <c r="I84" s="96"/>
      <c r="J84" s="96"/>
      <c r="K84" s="176"/>
      <c r="L84" s="176"/>
      <c r="M84" s="176"/>
      <c r="N84" s="176"/>
      <c r="O84" s="176"/>
      <c r="P84" s="176"/>
      <c r="Q84" s="320"/>
      <c r="R84" s="320"/>
      <c r="S84" s="320"/>
      <c r="T84" s="159"/>
      <c r="U84" s="166"/>
      <c r="V84" s="122"/>
      <c r="W84" s="139"/>
      <c r="X84" s="152"/>
      <c r="Y84" s="576" t="str">
        <f t="shared" si="23"/>
        <v>Medway</v>
      </c>
      <c r="Z84" s="356" t="e">
        <f t="shared" si="24"/>
        <v>#N/A</v>
      </c>
      <c r="AA84" s="356" t="e">
        <f t="shared" si="22"/>
        <v>#N/A</v>
      </c>
      <c r="AB84" s="349"/>
      <c r="AC84" s="202"/>
      <c r="AD84" s="202"/>
      <c r="AE84" s="199"/>
      <c r="AF84" s="190"/>
      <c r="AG84" s="190"/>
      <c r="AH84" s="190"/>
      <c r="AI84" s="190"/>
      <c r="AJ84" s="202"/>
      <c r="AK84" s="160"/>
    </row>
    <row r="85" spans="1:45" s="87" customFormat="1" ht="12.75" customHeight="1" x14ac:dyDescent="0.2">
      <c r="A85" s="121"/>
      <c r="B85" s="320"/>
      <c r="C85" s="320"/>
      <c r="D85" s="320"/>
      <c r="E85" s="320"/>
      <c r="F85" s="320"/>
      <c r="G85" s="320"/>
      <c r="H85" s="320"/>
      <c r="I85" s="96"/>
      <c r="J85" s="96"/>
      <c r="K85" s="176"/>
      <c r="L85" s="176"/>
      <c r="M85" s="176"/>
      <c r="N85" s="176"/>
      <c r="O85" s="176"/>
      <c r="P85" s="176"/>
      <c r="Q85" s="320"/>
      <c r="R85" s="320"/>
      <c r="S85" s="320"/>
      <c r="T85" s="159"/>
      <c r="U85" s="166"/>
      <c r="V85" s="122"/>
      <c r="W85" s="139"/>
      <c r="X85" s="152"/>
      <c r="Y85" s="576" t="str">
        <f t="shared" si="23"/>
        <v>Milton Keynes</v>
      </c>
      <c r="Z85" s="356" t="e">
        <f t="shared" si="24"/>
        <v>#N/A</v>
      </c>
      <c r="AA85" s="356" t="e">
        <f t="shared" si="22"/>
        <v>#N/A</v>
      </c>
      <c r="AB85" s="349"/>
      <c r="AC85" s="202"/>
      <c r="AD85" s="202"/>
      <c r="AE85" s="199"/>
      <c r="AF85" s="190"/>
      <c r="AG85" s="190"/>
      <c r="AH85" s="190"/>
      <c r="AI85" s="190"/>
      <c r="AJ85" s="202"/>
      <c r="AK85" s="160"/>
    </row>
    <row r="86" spans="1:45" s="87" customFormat="1" ht="12.75" customHeight="1" x14ac:dyDescent="0.2">
      <c r="A86" s="121"/>
      <c r="B86" s="320"/>
      <c r="C86" s="320"/>
      <c r="D86" s="320"/>
      <c r="E86" s="320"/>
      <c r="F86" s="320"/>
      <c r="G86" s="320"/>
      <c r="H86" s="320"/>
      <c r="I86" s="96"/>
      <c r="J86" s="96"/>
      <c r="K86" s="176"/>
      <c r="L86" s="176"/>
      <c r="M86" s="176"/>
      <c r="N86" s="176"/>
      <c r="O86" s="176"/>
      <c r="P86" s="176"/>
      <c r="Q86" s="320"/>
      <c r="R86" s="320"/>
      <c r="S86" s="320"/>
      <c r="T86" s="159"/>
      <c r="U86" s="166"/>
      <c r="V86" s="122"/>
      <c r="W86" s="139"/>
      <c r="X86" s="152"/>
      <c r="Y86" s="576" t="str">
        <f t="shared" si="23"/>
        <v>Oxfordshire</v>
      </c>
      <c r="Z86" s="356" t="e">
        <f t="shared" si="24"/>
        <v>#N/A</v>
      </c>
      <c r="AA86" s="356" t="e">
        <f t="shared" si="22"/>
        <v>#N/A</v>
      </c>
      <c r="AB86" s="349"/>
      <c r="AC86" s="202"/>
      <c r="AD86" s="202"/>
      <c r="AE86" s="199"/>
      <c r="AF86" s="190"/>
      <c r="AG86" s="190"/>
      <c r="AH86" s="190"/>
      <c r="AI86" s="190"/>
      <c r="AJ86" s="202"/>
      <c r="AK86" s="160"/>
    </row>
    <row r="87" spans="1:45" s="87" customFormat="1" ht="12.75" customHeight="1" x14ac:dyDescent="0.2">
      <c r="A87" s="121"/>
      <c r="B87" s="320"/>
      <c r="C87" s="320"/>
      <c r="D87" s="320"/>
      <c r="E87" s="320"/>
      <c r="F87" s="320"/>
      <c r="G87" s="320"/>
      <c r="H87" s="320"/>
      <c r="I87" s="96"/>
      <c r="J87" s="96"/>
      <c r="K87" s="176"/>
      <c r="L87" s="176"/>
      <c r="M87" s="176"/>
      <c r="N87" s="176"/>
      <c r="O87" s="176"/>
      <c r="P87" s="176"/>
      <c r="Q87" s="320"/>
      <c r="R87" s="320"/>
      <c r="S87" s="320"/>
      <c r="T87" s="159"/>
      <c r="U87" s="166"/>
      <c r="V87" s="122"/>
      <c r="W87" s="139"/>
      <c r="X87" s="152"/>
      <c r="Y87" s="576" t="str">
        <f t="shared" si="23"/>
        <v>Portsmouth</v>
      </c>
      <c r="Z87" s="356" t="e">
        <f t="shared" si="24"/>
        <v>#N/A</v>
      </c>
      <c r="AA87" s="356" t="e">
        <f t="shared" si="22"/>
        <v>#N/A</v>
      </c>
      <c r="AB87" s="349"/>
      <c r="AC87" s="202"/>
      <c r="AD87" s="202"/>
      <c r="AE87" s="199"/>
      <c r="AF87" s="190"/>
      <c r="AG87" s="190"/>
      <c r="AH87" s="190"/>
      <c r="AI87" s="190"/>
      <c r="AJ87" s="202"/>
      <c r="AK87" s="160"/>
    </row>
    <row r="88" spans="1:45" s="87" customFormat="1" ht="12.75" customHeight="1" x14ac:dyDescent="0.2">
      <c r="A88" s="121"/>
      <c r="B88" s="320"/>
      <c r="C88" s="320"/>
      <c r="D88" s="320"/>
      <c r="E88" s="320"/>
      <c r="F88" s="320"/>
      <c r="G88" s="320"/>
      <c r="H88" s="320"/>
      <c r="I88" s="96"/>
      <c r="J88" s="96"/>
      <c r="K88" s="176"/>
      <c r="L88" s="176"/>
      <c r="M88" s="176"/>
      <c r="N88" s="176"/>
      <c r="O88" s="176"/>
      <c r="P88" s="176"/>
      <c r="Q88" s="320"/>
      <c r="R88" s="320"/>
      <c r="S88" s="320"/>
      <c r="T88" s="159"/>
      <c r="U88" s="166"/>
      <c r="V88" s="122"/>
      <c r="W88" s="139"/>
      <c r="X88" s="152"/>
      <c r="Y88" s="576" t="str">
        <f t="shared" si="23"/>
        <v>Reading</v>
      </c>
      <c r="Z88" s="356" t="e">
        <f t="shared" si="24"/>
        <v>#N/A</v>
      </c>
      <c r="AA88" s="356" t="e">
        <f t="shared" si="22"/>
        <v>#N/A</v>
      </c>
      <c r="AB88" s="349"/>
      <c r="AC88" s="202"/>
      <c r="AD88" s="202"/>
      <c r="AE88" s="199"/>
      <c r="AF88" s="190"/>
      <c r="AG88" s="190"/>
      <c r="AH88" s="190"/>
      <c r="AI88" s="190"/>
      <c r="AJ88" s="202"/>
      <c r="AK88" s="160"/>
    </row>
    <row r="89" spans="1:45" s="87" customFormat="1" ht="12.75" customHeight="1" x14ac:dyDescent="0.2">
      <c r="A89" s="121"/>
      <c r="B89" s="320"/>
      <c r="C89" s="320"/>
      <c r="D89" s="320"/>
      <c r="E89" s="320"/>
      <c r="F89" s="320"/>
      <c r="G89" s="320"/>
      <c r="H89" s="320"/>
      <c r="I89" s="96"/>
      <c r="J89" s="96"/>
      <c r="K89" s="176"/>
      <c r="L89" s="176"/>
      <c r="M89" s="176"/>
      <c r="N89" s="176"/>
      <c r="O89" s="176"/>
      <c r="P89" s="176"/>
      <c r="Q89" s="320"/>
      <c r="R89" s="320"/>
      <c r="S89" s="320"/>
      <c r="T89" s="159"/>
      <c r="U89" s="166"/>
      <c r="V89" s="122"/>
      <c r="W89" s="139"/>
      <c r="X89" s="152"/>
      <c r="Y89" s="576" t="str">
        <f t="shared" si="23"/>
        <v>Slough</v>
      </c>
      <c r="Z89" s="356" t="e">
        <f t="shared" si="24"/>
        <v>#N/A</v>
      </c>
      <c r="AA89" s="356" t="e">
        <f t="shared" si="22"/>
        <v>#N/A</v>
      </c>
      <c r="AB89" s="349"/>
      <c r="AC89" s="202"/>
      <c r="AD89" s="202"/>
      <c r="AE89" s="199"/>
      <c r="AF89" s="190"/>
      <c r="AG89" s="190"/>
      <c r="AH89" s="190"/>
      <c r="AI89" s="190"/>
      <c r="AJ89" s="202"/>
      <c r="AK89" s="160"/>
    </row>
    <row r="90" spans="1:45" s="87" customFormat="1" ht="12.75" customHeight="1" x14ac:dyDescent="0.2">
      <c r="A90" s="121"/>
      <c r="B90" s="320"/>
      <c r="C90" s="320"/>
      <c r="D90" s="320"/>
      <c r="E90" s="320"/>
      <c r="F90" s="320"/>
      <c r="G90" s="320"/>
      <c r="H90" s="320"/>
      <c r="I90" s="96"/>
      <c r="J90" s="96"/>
      <c r="K90" s="176"/>
      <c r="L90" s="176"/>
      <c r="M90" s="176"/>
      <c r="N90" s="176"/>
      <c r="O90" s="176"/>
      <c r="P90" s="176"/>
      <c r="Q90" s="320"/>
      <c r="R90" s="320"/>
      <c r="S90" s="320"/>
      <c r="T90" s="159"/>
      <c r="U90" s="166"/>
      <c r="V90" s="122"/>
      <c r="W90" s="139"/>
      <c r="X90" s="152"/>
      <c r="Y90" s="576" t="str">
        <f t="shared" si="23"/>
        <v>Somerset</v>
      </c>
      <c r="Z90" s="356" t="e">
        <f t="shared" si="24"/>
        <v>#N/A</v>
      </c>
      <c r="AA90" s="356" t="e">
        <f t="shared" si="22"/>
        <v>#N/A</v>
      </c>
      <c r="AB90" s="349"/>
      <c r="AC90" s="202"/>
      <c r="AD90" s="202"/>
      <c r="AE90" s="199"/>
      <c r="AF90" s="190"/>
      <c r="AG90" s="190"/>
      <c r="AH90" s="190"/>
      <c r="AI90" s="190"/>
      <c r="AJ90" s="202"/>
      <c r="AK90" s="160"/>
    </row>
    <row r="91" spans="1:45" s="87" customFormat="1" ht="12.75" customHeight="1" x14ac:dyDescent="0.2">
      <c r="A91" s="121"/>
      <c r="B91" s="320"/>
      <c r="C91" s="320"/>
      <c r="D91" s="320"/>
      <c r="E91" s="320"/>
      <c r="F91" s="320"/>
      <c r="G91" s="320"/>
      <c r="H91" s="320"/>
      <c r="I91" s="96"/>
      <c r="J91" s="96"/>
      <c r="K91" s="176"/>
      <c r="L91" s="176"/>
      <c r="M91" s="176"/>
      <c r="N91" s="176"/>
      <c r="O91" s="176"/>
      <c r="P91" s="176"/>
      <c r="Q91" s="320"/>
      <c r="R91" s="320"/>
      <c r="S91" s="320"/>
      <c r="T91" s="159"/>
      <c r="U91" s="166"/>
      <c r="V91" s="122"/>
      <c r="W91" s="139"/>
      <c r="X91" s="152"/>
      <c r="Y91" s="576" t="str">
        <f t="shared" si="23"/>
        <v>Southampton</v>
      </c>
      <c r="Z91" s="356" t="e">
        <f t="shared" si="24"/>
        <v>#N/A</v>
      </c>
      <c r="AA91" s="356" t="e">
        <f t="shared" si="22"/>
        <v>#N/A</v>
      </c>
      <c r="AB91" s="349"/>
      <c r="AC91" s="202"/>
      <c r="AD91" s="202"/>
      <c r="AE91" s="199"/>
      <c r="AF91" s="190"/>
      <c r="AG91" s="190"/>
      <c r="AH91" s="190"/>
      <c r="AI91" s="190"/>
      <c r="AJ91" s="202"/>
      <c r="AK91" s="160"/>
    </row>
    <row r="92" spans="1:45" s="87" customFormat="1" ht="12.75" customHeight="1" x14ac:dyDescent="0.2">
      <c r="A92" s="292"/>
      <c r="B92" s="320"/>
      <c r="C92" s="320"/>
      <c r="D92" s="320"/>
      <c r="E92" s="320"/>
      <c r="F92" s="320"/>
      <c r="G92" s="320"/>
      <c r="H92" s="320"/>
      <c r="I92" s="96"/>
      <c r="J92" s="96"/>
      <c r="K92" s="176"/>
      <c r="L92" s="176"/>
      <c r="M92" s="176"/>
      <c r="N92" s="176"/>
      <c r="O92" s="176"/>
      <c r="P92" s="176"/>
      <c r="Q92" s="320"/>
      <c r="R92" s="320"/>
      <c r="S92" s="320"/>
      <c r="T92" s="159"/>
      <c r="U92" s="166"/>
      <c r="V92" s="122"/>
      <c r="W92" s="139"/>
      <c r="X92" s="152"/>
      <c r="Y92" s="576" t="str">
        <f t="shared" si="23"/>
        <v>Surrey</v>
      </c>
      <c r="Z92" s="356" t="e">
        <f t="shared" si="24"/>
        <v>#N/A</v>
      </c>
      <c r="AA92" s="356" t="e">
        <f t="shared" si="22"/>
        <v>#N/A</v>
      </c>
      <c r="AB92" s="349"/>
      <c r="AC92" s="202"/>
      <c r="AD92" s="202"/>
      <c r="AE92" s="199"/>
      <c r="AF92" s="190"/>
      <c r="AG92" s="190"/>
      <c r="AH92" s="190"/>
      <c r="AI92" s="190"/>
      <c r="AJ92" s="202"/>
      <c r="AK92" s="160"/>
    </row>
    <row r="93" spans="1:45" s="87" customFormat="1" ht="12.75" customHeight="1" x14ac:dyDescent="0.2">
      <c r="A93" s="292"/>
      <c r="B93" s="320"/>
      <c r="C93" s="320"/>
      <c r="D93" s="320"/>
      <c r="E93" s="320"/>
      <c r="F93" s="320"/>
      <c r="G93" s="320"/>
      <c r="H93" s="320"/>
      <c r="I93" s="96"/>
      <c r="J93" s="96"/>
      <c r="K93" s="176"/>
      <c r="L93" s="176"/>
      <c r="M93" s="176"/>
      <c r="N93" s="176"/>
      <c r="O93" s="176"/>
      <c r="P93" s="176"/>
      <c r="Q93" s="320"/>
      <c r="R93" s="320"/>
      <c r="S93" s="320"/>
      <c r="T93" s="159"/>
      <c r="U93" s="166"/>
      <c r="V93" s="122"/>
      <c r="W93" s="139"/>
      <c r="X93" s="152"/>
      <c r="Y93" s="576" t="str">
        <f t="shared" si="23"/>
        <v>Swindon</v>
      </c>
      <c r="Z93" s="356" t="e">
        <f t="shared" si="24"/>
        <v>#N/A</v>
      </c>
      <c r="AA93" s="356" t="e">
        <f t="shared" si="22"/>
        <v>#N/A</v>
      </c>
      <c r="AB93" s="349"/>
      <c r="AC93" s="202"/>
      <c r="AD93" s="202"/>
      <c r="AE93" s="199"/>
      <c r="AF93" s="190"/>
      <c r="AG93" s="190"/>
      <c r="AH93" s="190"/>
      <c r="AI93" s="190"/>
      <c r="AJ93" s="202"/>
      <c r="AK93" s="160"/>
    </row>
    <row r="94" spans="1:45" s="87" customFormat="1" ht="12.75" customHeight="1" x14ac:dyDescent="0.2">
      <c r="A94" s="121"/>
      <c r="B94" s="320"/>
      <c r="C94" s="320"/>
      <c r="D94" s="320"/>
      <c r="E94" s="320"/>
      <c r="F94" s="320"/>
      <c r="G94" s="320"/>
      <c r="H94" s="320"/>
      <c r="I94" s="96"/>
      <c r="J94" s="96"/>
      <c r="K94" s="176"/>
      <c r="L94" s="176"/>
      <c r="M94" s="176"/>
      <c r="N94" s="176"/>
      <c r="O94" s="176"/>
      <c r="P94" s="176"/>
      <c r="Q94" s="320"/>
      <c r="R94" s="320"/>
      <c r="S94" s="320"/>
      <c r="T94" s="159"/>
      <c r="U94" s="166"/>
      <c r="V94" s="122"/>
      <c r="W94" s="139"/>
      <c r="X94" s="152"/>
      <c r="Y94" s="576" t="str">
        <f t="shared" si="23"/>
        <v>Torbay</v>
      </c>
      <c r="Z94" s="356" t="e">
        <f t="shared" si="24"/>
        <v>#N/A</v>
      </c>
      <c r="AA94" s="356" t="e">
        <f t="shared" si="22"/>
        <v>#N/A</v>
      </c>
      <c r="AB94" s="349"/>
      <c r="AC94" s="202"/>
      <c r="AD94" s="202"/>
      <c r="AE94" s="199"/>
      <c r="AF94" s="202"/>
      <c r="AG94" s="190"/>
      <c r="AH94" s="190"/>
      <c r="AI94" s="190"/>
      <c r="AJ94" s="202"/>
      <c r="AK94" s="160"/>
    </row>
    <row r="95" spans="1:45" s="87" customFormat="1" ht="12.75" customHeight="1" x14ac:dyDescent="0.2">
      <c r="A95" s="121"/>
      <c r="B95" s="320"/>
      <c r="C95" s="320"/>
      <c r="D95" s="320"/>
      <c r="E95" s="320"/>
      <c r="F95" s="320"/>
      <c r="G95" s="320"/>
      <c r="H95" s="320"/>
      <c r="I95" s="96"/>
      <c r="J95" s="96"/>
      <c r="K95" s="176"/>
      <c r="L95" s="176"/>
      <c r="M95" s="176"/>
      <c r="N95" s="176"/>
      <c r="O95" s="176"/>
      <c r="P95" s="176"/>
      <c r="Q95" s="320"/>
      <c r="R95" s="320"/>
      <c r="S95" s="320"/>
      <c r="T95" s="159"/>
      <c r="U95" s="166"/>
      <c r="V95" s="122"/>
      <c r="W95" s="139"/>
      <c r="X95" s="152"/>
      <c r="Y95" s="576" t="str">
        <f t="shared" si="23"/>
        <v>West Berkshire</v>
      </c>
      <c r="Z95" s="356" t="e">
        <f t="shared" si="24"/>
        <v>#N/A</v>
      </c>
      <c r="AA95" s="356" t="e">
        <f t="shared" si="22"/>
        <v>#N/A</v>
      </c>
      <c r="AB95" s="349"/>
      <c r="AC95" s="202"/>
      <c r="AD95" s="202"/>
      <c r="AE95" s="199"/>
      <c r="AF95" s="202"/>
      <c r="AG95" s="190"/>
      <c r="AH95" s="190"/>
      <c r="AI95" s="190"/>
      <c r="AJ95" s="202"/>
      <c r="AK95" s="160"/>
    </row>
    <row r="96" spans="1:45" s="87" customFormat="1" ht="12.75" customHeight="1" x14ac:dyDescent="0.2">
      <c r="A96" s="121"/>
      <c r="B96" s="320"/>
      <c r="C96" s="320"/>
      <c r="D96" s="320"/>
      <c r="E96" s="320"/>
      <c r="F96" s="320"/>
      <c r="G96" s="320"/>
      <c r="H96" s="320"/>
      <c r="I96" s="96"/>
      <c r="J96" s="96"/>
      <c r="K96" s="176"/>
      <c r="L96" s="176"/>
      <c r="M96" s="176"/>
      <c r="N96" s="176"/>
      <c r="O96" s="176"/>
      <c r="P96" s="176"/>
      <c r="Q96" s="320"/>
      <c r="R96" s="320"/>
      <c r="S96" s="320"/>
      <c r="T96" s="159"/>
      <c r="U96" s="166"/>
      <c r="V96" s="122"/>
      <c r="W96" s="139"/>
      <c r="X96" s="152"/>
      <c r="Y96" s="576" t="str">
        <f t="shared" si="23"/>
        <v>West Sussex</v>
      </c>
      <c r="Z96" s="356" t="e">
        <f t="shared" si="24"/>
        <v>#N/A</v>
      </c>
      <c r="AA96" s="356" t="e">
        <f t="shared" si="22"/>
        <v>#N/A</v>
      </c>
      <c r="AB96" s="349"/>
      <c r="AC96" s="202"/>
      <c r="AD96" s="202"/>
      <c r="AE96" s="199"/>
      <c r="AF96" s="202"/>
      <c r="AG96" s="202"/>
      <c r="AH96" s="202"/>
      <c r="AI96" s="190"/>
      <c r="AJ96" s="202"/>
      <c r="AK96" s="160"/>
    </row>
    <row r="97" spans="1:46" s="87" customFormat="1" ht="12.75" customHeight="1" x14ac:dyDescent="0.2">
      <c r="A97" s="121"/>
      <c r="B97" s="320"/>
      <c r="C97" s="320"/>
      <c r="D97" s="320"/>
      <c r="E97" s="320"/>
      <c r="F97" s="320"/>
      <c r="G97" s="320"/>
      <c r="H97" s="320"/>
      <c r="I97" s="96"/>
      <c r="J97" s="96"/>
      <c r="K97" s="176"/>
      <c r="L97" s="176"/>
      <c r="M97" s="176"/>
      <c r="N97" s="176"/>
      <c r="O97" s="176"/>
      <c r="P97" s="176"/>
      <c r="Q97" s="320"/>
      <c r="R97" s="320"/>
      <c r="S97" s="320"/>
      <c r="T97" s="159"/>
      <c r="U97" s="166"/>
      <c r="V97" s="122"/>
      <c r="W97" s="139"/>
      <c r="X97" s="152"/>
      <c r="Y97" s="576" t="str">
        <f t="shared" si="23"/>
        <v>Windsor &amp; Maidenhead</v>
      </c>
      <c r="Z97" s="356" t="e">
        <f t="shared" si="24"/>
        <v>#N/A</v>
      </c>
      <c r="AA97" s="356" t="e">
        <f t="shared" si="22"/>
        <v>#N/A</v>
      </c>
      <c r="AB97" s="349"/>
      <c r="AC97" s="202"/>
      <c r="AD97" s="202"/>
      <c r="AE97" s="199"/>
      <c r="AF97" s="202"/>
      <c r="AG97" s="202"/>
      <c r="AH97" s="202"/>
      <c r="AI97" s="190"/>
      <c r="AJ97" s="202"/>
      <c r="AK97" s="160"/>
    </row>
    <row r="98" spans="1:46" s="87" customFormat="1" ht="12.75" customHeight="1" x14ac:dyDescent="0.2">
      <c r="A98" s="121"/>
      <c r="B98" s="320"/>
      <c r="C98" s="320"/>
      <c r="D98" s="320"/>
      <c r="E98" s="320"/>
      <c r="F98" s="320"/>
      <c r="G98" s="320"/>
      <c r="H98" s="320"/>
      <c r="I98" s="96"/>
      <c r="J98" s="96"/>
      <c r="K98" s="176"/>
      <c r="L98" s="176"/>
      <c r="M98" s="176"/>
      <c r="N98" s="176"/>
      <c r="O98" s="176"/>
      <c r="P98" s="176"/>
      <c r="Q98" s="320"/>
      <c r="R98" s="320"/>
      <c r="S98" s="320"/>
      <c r="T98" s="159"/>
      <c r="U98" s="170"/>
      <c r="V98" s="122"/>
      <c r="W98" s="139"/>
      <c r="X98" s="152"/>
      <c r="Y98" s="576" t="str">
        <f t="shared" si="23"/>
        <v>Wokingham</v>
      </c>
      <c r="Z98" s="356" t="e">
        <f t="shared" si="24"/>
        <v>#N/A</v>
      </c>
      <c r="AA98" s="356" t="e">
        <f t="shared" si="22"/>
        <v>#N/A</v>
      </c>
      <c r="AB98" s="349"/>
      <c r="AC98" s="202"/>
      <c r="AD98" s="202"/>
      <c r="AE98" s="199"/>
      <c r="AF98" s="202"/>
      <c r="AG98" s="202"/>
      <c r="AH98" s="202"/>
      <c r="AI98" s="190"/>
      <c r="AJ98" s="202"/>
      <c r="AK98" s="160"/>
    </row>
    <row r="99" spans="1:46" s="87" customFormat="1" ht="12.75" customHeight="1" x14ac:dyDescent="0.2">
      <c r="A99" s="121"/>
      <c r="B99" s="320"/>
      <c r="C99" s="320"/>
      <c r="D99" s="320"/>
      <c r="E99" s="320"/>
      <c r="F99" s="320"/>
      <c r="G99" s="320"/>
      <c r="H99" s="320"/>
      <c r="I99" s="96"/>
      <c r="J99" s="96"/>
      <c r="K99" s="176"/>
      <c r="L99" s="176"/>
      <c r="M99" s="176"/>
      <c r="N99" s="176"/>
      <c r="O99" s="176"/>
      <c r="P99" s="176"/>
      <c r="Q99" s="320"/>
      <c r="R99" s="320"/>
      <c r="S99" s="320"/>
      <c r="T99" s="159"/>
      <c r="U99" s="170"/>
      <c r="V99" s="122"/>
      <c r="W99" s="139"/>
      <c r="X99" s="152"/>
      <c r="Y99" s="576" t="str">
        <f>B32</f>
        <v>South East</v>
      </c>
      <c r="Z99" s="356" t="e">
        <f t="shared" si="24"/>
        <v>#N/A</v>
      </c>
      <c r="AA99" s="356" t="e">
        <f t="shared" si="22"/>
        <v>#N/A</v>
      </c>
      <c r="AB99" s="349"/>
      <c r="AC99" s="202"/>
      <c r="AD99" s="202"/>
      <c r="AE99" s="199"/>
      <c r="AF99" s="202"/>
      <c r="AG99" s="202"/>
      <c r="AH99" s="202"/>
      <c r="AI99" s="190"/>
      <c r="AJ99" s="202"/>
      <c r="AK99" s="160"/>
    </row>
    <row r="100" spans="1:46" s="87" customFormat="1" ht="11.1" customHeight="1" x14ac:dyDescent="0.2">
      <c r="A100" s="292"/>
      <c r="B100" s="320"/>
      <c r="C100" s="320"/>
      <c r="D100" s="320"/>
      <c r="E100" s="320"/>
      <c r="F100" s="320"/>
      <c r="G100" s="320"/>
      <c r="H100" s="320"/>
      <c r="I100" s="96"/>
      <c r="J100" s="96"/>
      <c r="K100" s="168"/>
      <c r="L100" s="168"/>
      <c r="M100" s="176"/>
      <c r="N100" s="176"/>
      <c r="O100" s="176"/>
      <c r="P100" s="176"/>
      <c r="Q100" s="320"/>
      <c r="R100" s="320"/>
      <c r="S100" s="320"/>
      <c r="T100" s="159"/>
      <c r="U100" s="170"/>
      <c r="V100" s="122"/>
      <c r="W100" s="139"/>
      <c r="X100" s="152"/>
      <c r="Y100" s="576" t="str">
        <f>B33</f>
        <v>England</v>
      </c>
      <c r="Z100" s="356" t="e">
        <f t="shared" si="24"/>
        <v>#N/A</v>
      </c>
      <c r="AA100" s="356" t="e">
        <f t="shared" si="22"/>
        <v>#N/A</v>
      </c>
      <c r="AB100" s="349"/>
      <c r="AC100" s="202"/>
      <c r="AD100" s="202"/>
      <c r="AE100" s="199"/>
      <c r="AF100" s="202"/>
      <c r="AG100" s="202"/>
      <c r="AH100" s="202"/>
      <c r="AI100" s="190"/>
      <c r="AJ100" s="202"/>
      <c r="AK100" s="160"/>
    </row>
    <row r="101" spans="1:46" s="81" customFormat="1" ht="36" customHeight="1" x14ac:dyDescent="0.2">
      <c r="A101" s="217"/>
      <c r="B101" s="320"/>
      <c r="C101" s="320"/>
      <c r="D101" s="320"/>
      <c r="E101" s="320"/>
      <c r="F101" s="320"/>
      <c r="G101" s="320"/>
      <c r="H101" s="320"/>
      <c r="I101" s="325"/>
      <c r="J101" s="172"/>
      <c r="K101" s="172"/>
      <c r="L101" s="172"/>
      <c r="M101" s="176"/>
      <c r="N101" s="176"/>
      <c r="O101" s="172"/>
      <c r="P101" s="172"/>
      <c r="Q101" s="172"/>
      <c r="R101" s="136"/>
      <c r="S101" s="172"/>
      <c r="T101" s="172"/>
      <c r="U101" s="172"/>
      <c r="V101" s="117"/>
      <c r="W101" s="137"/>
      <c r="X101" s="150"/>
      <c r="AD101" s="197"/>
      <c r="AE101" s="199"/>
      <c r="AF101" s="184"/>
      <c r="AG101" s="184"/>
      <c r="AH101" s="184"/>
      <c r="AJ101" s="184"/>
      <c r="AK101" s="161"/>
    </row>
    <row r="102" spans="1:46" s="81" customFormat="1" ht="36" customHeight="1" x14ac:dyDescent="0.2">
      <c r="A102" s="217"/>
      <c r="B102" s="320"/>
      <c r="C102" s="320"/>
      <c r="D102" s="320"/>
      <c r="E102" s="320"/>
      <c r="F102" s="320"/>
      <c r="G102" s="320"/>
      <c r="H102" s="320"/>
      <c r="I102" s="325"/>
      <c r="J102" s="172"/>
      <c r="K102" s="172"/>
      <c r="L102" s="172"/>
      <c r="M102" s="176"/>
      <c r="N102" s="176"/>
      <c r="O102" s="172"/>
      <c r="P102" s="172"/>
      <c r="Q102" s="172"/>
      <c r="R102" s="136"/>
      <c r="S102" s="172"/>
      <c r="T102" s="172"/>
      <c r="U102" s="172"/>
      <c r="V102" s="117"/>
      <c r="W102" s="137"/>
      <c r="X102" s="150"/>
      <c r="Z102" s="190"/>
      <c r="AE102" s="199"/>
      <c r="AF102" s="184"/>
      <c r="AG102" s="184"/>
      <c r="AH102" s="184"/>
      <c r="AJ102" s="184"/>
      <c r="AK102" s="161"/>
    </row>
    <row r="103" spans="1:46" s="81" customFormat="1" ht="45.75" customHeight="1" x14ac:dyDescent="0.2">
      <c r="A103" s="217"/>
      <c r="B103" s="325"/>
      <c r="C103" s="325"/>
      <c r="D103" s="325"/>
      <c r="E103" s="325"/>
      <c r="F103" s="325"/>
      <c r="G103" s="325"/>
      <c r="H103" s="325"/>
      <c r="I103" s="325"/>
      <c r="J103" s="172"/>
      <c r="K103" s="172"/>
      <c r="L103" s="172"/>
      <c r="M103" s="172"/>
      <c r="N103" s="172"/>
      <c r="O103" s="172"/>
      <c r="P103" s="172"/>
      <c r="Q103" s="172"/>
      <c r="R103" s="136"/>
      <c r="S103" s="172"/>
      <c r="T103" s="172"/>
      <c r="U103" s="172"/>
      <c r="V103" s="117"/>
      <c r="W103" s="137"/>
      <c r="X103" s="150"/>
      <c r="Z103" s="190"/>
      <c r="AE103" s="199"/>
      <c r="AF103" s="184"/>
      <c r="AG103" s="184"/>
      <c r="AH103" s="184"/>
      <c r="AJ103" s="184"/>
      <c r="AK103" s="161"/>
    </row>
    <row r="104" spans="1:46" s="81" customFormat="1" ht="7.5" customHeight="1" x14ac:dyDescent="0.2">
      <c r="A104" s="118"/>
      <c r="B104" s="17"/>
      <c r="C104" s="17"/>
      <c r="D104" s="16"/>
      <c r="E104" s="16"/>
      <c r="F104" s="16"/>
      <c r="G104" s="16"/>
      <c r="H104" s="16"/>
      <c r="I104" s="16"/>
      <c r="J104" s="12"/>
      <c r="K104" s="18"/>
      <c r="L104" s="18"/>
      <c r="M104" s="18"/>
      <c r="N104" s="18"/>
      <c r="O104" s="18"/>
      <c r="P104" s="18"/>
      <c r="Q104" s="18"/>
      <c r="R104" s="18"/>
      <c r="S104" s="18"/>
      <c r="T104" s="18"/>
      <c r="U104" s="19"/>
      <c r="V104" s="117"/>
      <c r="W104" s="137"/>
      <c r="X104" s="150"/>
      <c r="Z104" s="190"/>
      <c r="AJ104" s="184"/>
      <c r="AK104" s="157"/>
      <c r="AL104" s="74"/>
      <c r="AM104" s="74"/>
      <c r="AN104" s="74"/>
      <c r="AO104" s="74"/>
      <c r="AP104" s="74"/>
      <c r="AQ104" s="74"/>
      <c r="AR104" s="74"/>
    </row>
    <row r="105" spans="1:46" s="81" customFormat="1" ht="15" customHeight="1" x14ac:dyDescent="0.2">
      <c r="A105" s="1716"/>
      <c r="B105" s="1760"/>
      <c r="C105" s="1760"/>
      <c r="D105" s="1760"/>
      <c r="E105" s="1760"/>
      <c r="F105" s="1760"/>
      <c r="G105" s="1760"/>
      <c r="H105" s="1760"/>
      <c r="I105" s="1760"/>
      <c r="J105" s="1760"/>
      <c r="K105" s="1760"/>
      <c r="L105" s="1760"/>
      <c r="M105" s="1760"/>
      <c r="N105" s="1760"/>
      <c r="O105" s="1760"/>
      <c r="P105" s="1760"/>
      <c r="Q105" s="1760"/>
      <c r="R105" s="1760"/>
      <c r="S105" s="1760"/>
      <c r="T105" s="1760"/>
      <c r="U105" s="1760"/>
      <c r="V105" s="1761"/>
      <c r="W105" s="137"/>
      <c r="X105" s="150"/>
      <c r="Y105" s="188"/>
      <c r="Z105" s="188"/>
      <c r="AK105" s="161"/>
      <c r="AT105" s="74"/>
    </row>
    <row r="106" spans="1:46" s="81" customFormat="1" ht="11.1" customHeight="1" x14ac:dyDescent="0.2">
      <c r="A106" s="1765" t="str">
        <f>Home!$A$39</f>
        <v xml:space="preserve"> </v>
      </c>
      <c r="B106" s="1766"/>
      <c r="C106" s="1766"/>
      <c r="D106" s="1766"/>
      <c r="E106" s="1766"/>
      <c r="F106" s="1766"/>
      <c r="G106" s="1766"/>
      <c r="H106" s="1766"/>
      <c r="I106" s="1767"/>
      <c r="J106" s="1766"/>
      <c r="K106" s="1766"/>
      <c r="L106" s="1766"/>
      <c r="M106" s="1766"/>
      <c r="N106" s="1766"/>
      <c r="O106" s="1766"/>
      <c r="P106" s="1768"/>
      <c r="Q106" s="1766"/>
      <c r="R106" s="1766"/>
      <c r="S106" s="1766"/>
      <c r="T106" s="1767"/>
      <c r="U106" s="1766"/>
      <c r="V106" s="1769"/>
      <c r="W106" s="137"/>
      <c r="X106" s="150"/>
      <c r="Y106" s="188"/>
      <c r="Z106" s="188"/>
      <c r="AJ106" s="184"/>
      <c r="AK106" s="160"/>
      <c r="AL106" s="87"/>
      <c r="AT106" s="74"/>
    </row>
    <row r="107" spans="1:46" ht="11.25" customHeight="1" x14ac:dyDescent="0.2">
      <c r="A107" s="112"/>
      <c r="B107" s="113"/>
      <c r="C107" s="113"/>
      <c r="D107" s="113"/>
      <c r="E107" s="113"/>
      <c r="F107" s="113"/>
      <c r="G107" s="113"/>
      <c r="H107" s="113"/>
      <c r="I107" s="113"/>
      <c r="J107" s="114"/>
      <c r="K107" s="113"/>
      <c r="L107" s="113"/>
      <c r="M107" s="113"/>
      <c r="N107" s="113"/>
      <c r="O107" s="113"/>
      <c r="P107" s="113"/>
      <c r="Q107" s="113"/>
      <c r="R107" s="113"/>
      <c r="S107" s="113"/>
      <c r="T107" s="113"/>
      <c r="U107" s="113"/>
      <c r="V107" s="115"/>
      <c r="W107" s="137"/>
      <c r="X107" s="150"/>
      <c r="Y107" s="595"/>
      <c r="Z107" s="382"/>
      <c r="AA107" s="383"/>
      <c r="AB107" s="383"/>
      <c r="AC107" s="383"/>
      <c r="AD107" s="596"/>
      <c r="AE107" s="596"/>
      <c r="AJ107" s="184"/>
      <c r="AK107" s="157"/>
    </row>
    <row r="108" spans="1:46" s="76" customFormat="1" ht="15" customHeight="1" x14ac:dyDescent="0.2">
      <c r="A108" s="119"/>
      <c r="B108" s="1770" t="s">
        <v>132</v>
      </c>
      <c r="C108" s="1770"/>
      <c r="D108" s="1770"/>
      <c r="E108" s="1770"/>
      <c r="F108" s="1770"/>
      <c r="G108" s="1770"/>
      <c r="H108" s="1770"/>
      <c r="I108" s="1770"/>
      <c r="J108" s="70"/>
      <c r="K108" s="70"/>
      <c r="L108" s="70"/>
      <c r="M108" s="70"/>
      <c r="N108" s="70"/>
      <c r="O108" s="70"/>
      <c r="P108" s="70"/>
      <c r="Q108" s="70"/>
      <c r="R108" s="70"/>
      <c r="S108" s="70"/>
      <c r="T108" s="70"/>
      <c r="U108" s="70"/>
      <c r="V108" s="120"/>
      <c r="W108" s="138"/>
      <c r="X108" s="151"/>
      <c r="Y108" s="383"/>
      <c r="Z108" s="382"/>
      <c r="AA108" s="383"/>
      <c r="AB108" s="383"/>
      <c r="AC108" s="383"/>
      <c r="AD108" s="596"/>
      <c r="AE108" s="596"/>
      <c r="AF108" s="188"/>
      <c r="AG108" s="188"/>
      <c r="AH108" s="188"/>
      <c r="AI108" s="188"/>
      <c r="AJ108" s="188"/>
      <c r="AK108" s="158"/>
    </row>
    <row r="109" spans="1:46" ht="15" customHeight="1" x14ac:dyDescent="0.2">
      <c r="A109" s="118"/>
      <c r="B109" s="1770"/>
      <c r="C109" s="1770"/>
      <c r="D109" s="1770"/>
      <c r="E109" s="1770"/>
      <c r="F109" s="1770"/>
      <c r="G109" s="1770"/>
      <c r="H109" s="1770"/>
      <c r="I109" s="1770"/>
      <c r="J109" s="70"/>
      <c r="K109" s="70"/>
      <c r="L109" s="70"/>
      <c r="M109" s="70"/>
      <c r="N109" s="70"/>
      <c r="O109" s="70"/>
      <c r="P109" s="70"/>
      <c r="Q109" s="70"/>
      <c r="R109" s="10"/>
      <c r="S109" s="70"/>
      <c r="T109" s="70"/>
      <c r="U109" s="70"/>
      <c r="V109" s="117"/>
      <c r="W109" s="137"/>
      <c r="X109" s="150"/>
      <c r="Y109" s="383"/>
      <c r="Z109" s="1900" t="s">
        <v>510</v>
      </c>
      <c r="AA109" s="1901"/>
      <c r="AB109" s="1901"/>
      <c r="AC109" s="1901"/>
      <c r="AD109" s="1902"/>
      <c r="AE109" s="1901" t="s">
        <v>511</v>
      </c>
      <c r="AF109" s="1901"/>
      <c r="AG109" s="1901"/>
      <c r="AH109" s="1901"/>
      <c r="AI109" s="1903"/>
      <c r="AJ109" s="81"/>
      <c r="AK109" s="157"/>
    </row>
    <row r="110" spans="1:46" ht="13.5" customHeight="1" x14ac:dyDescent="0.2">
      <c r="A110" s="278"/>
      <c r="B110" s="1771" t="s">
        <v>205</v>
      </c>
      <c r="C110" s="907"/>
      <c r="D110" s="789" t="str">
        <f>Sheet1!$D$27</f>
        <v>2015-16</v>
      </c>
      <c r="E110" s="790" t="str">
        <f>Sheet1!$E$27</f>
        <v>2016-17</v>
      </c>
      <c r="F110" s="790" t="str">
        <f>Sheet1!$F$27</f>
        <v>2017-18</v>
      </c>
      <c r="G110" s="790" t="str">
        <f>Sheet1!$G$27</f>
        <v>2018-19</v>
      </c>
      <c r="H110" s="791" t="str">
        <f>Sheet1!$H$27</f>
        <v>2019-20</v>
      </c>
      <c r="I110" s="907"/>
      <c r="J110" s="70"/>
      <c r="K110" s="70"/>
      <c r="L110" s="70"/>
      <c r="M110" s="70"/>
      <c r="N110" s="70"/>
      <c r="O110" s="70"/>
      <c r="P110" s="70"/>
      <c r="Q110" s="70"/>
      <c r="R110" s="10"/>
      <c r="S110" s="70"/>
      <c r="T110" s="70"/>
      <c r="U110" s="70"/>
      <c r="V110" s="117"/>
      <c r="W110" s="137"/>
      <c r="X110" s="150"/>
      <c r="Y110" s="383"/>
      <c r="Z110" s="912" t="str">
        <f>IF(Sheet1!$C$3="Annual","",Sheet1!$D$28)</f>
        <v/>
      </c>
      <c r="AA110" s="913" t="str">
        <f>IF(Sheet1!$C$3="Annual","",Sheet1!$E$28)</f>
        <v/>
      </c>
      <c r="AB110" s="913" t="str">
        <f>IF(Sheet1!$C$3="Annual","",Sheet1!$F$28)</f>
        <v/>
      </c>
      <c r="AC110" s="913" t="str">
        <f>IF(Sheet1!$C$3="Annual","",Sheet1!$G$28)</f>
        <v/>
      </c>
      <c r="AD110" s="914" t="str">
        <f>IF(Sheet1!$C$3="Annual","",Sheet1!$H$28)</f>
        <v/>
      </c>
      <c r="AE110" s="913" t="str">
        <f>IF(Sheet1!$C$3="Annual","",Sheet1!$D$28)</f>
        <v/>
      </c>
      <c r="AF110" s="913" t="str">
        <f>IF(Sheet1!$C$3="Annual","",Sheet1!$E$28)</f>
        <v/>
      </c>
      <c r="AG110" s="913" t="str">
        <f>IF(Sheet1!$C$3="Annual","",Sheet1!$F$28)</f>
        <v/>
      </c>
      <c r="AH110" s="913" t="str">
        <f>IF(Sheet1!$C$3="Annual","",Sheet1!$G$28)</f>
        <v/>
      </c>
      <c r="AI110" s="915" t="str">
        <f>IF(Sheet1!$C$3="Annual","",Sheet1!$H$28)</f>
        <v/>
      </c>
      <c r="AJ110" s="81"/>
      <c r="AK110" s="157"/>
    </row>
    <row r="111" spans="1:46" s="87" customFormat="1" ht="13.5" customHeight="1" x14ac:dyDescent="0.2">
      <c r="A111" s="121"/>
      <c r="B111" s="1772"/>
      <c r="C111" s="85"/>
      <c r="D111" s="792" t="e">
        <f>Sheet1!$D$28</f>
        <v>#N/A</v>
      </c>
      <c r="E111" s="792" t="e">
        <f>Sheet1!$E$28</f>
        <v>#N/A</v>
      </c>
      <c r="F111" s="792" t="e">
        <f>Sheet1!$F$28</f>
        <v>#N/A</v>
      </c>
      <c r="G111" s="792" t="e">
        <f>Sheet1!$G$28</f>
        <v>#N/A</v>
      </c>
      <c r="H111" s="793" t="e">
        <f>Sheet1!$H$28</f>
        <v>#N/A</v>
      </c>
      <c r="I111" s="96"/>
      <c r="J111" s="96"/>
      <c r="K111" s="61"/>
      <c r="L111" s="61"/>
      <c r="M111" s="61"/>
      <c r="N111" s="61"/>
      <c r="O111" s="61"/>
      <c r="P111" s="61"/>
      <c r="Q111" s="494"/>
      <c r="R111" s="494"/>
      <c r="S111" s="159"/>
      <c r="T111" s="159"/>
      <c r="U111" s="495"/>
      <c r="V111" s="122"/>
      <c r="W111" s="139"/>
      <c r="X111" s="152"/>
      <c r="Y111" s="436"/>
      <c r="Z111" s="1012" t="str">
        <f>Sheet1!$D$27</f>
        <v>2015-16</v>
      </c>
      <c r="AA111" s="1012" t="str">
        <f>Sheet1!$E$27</f>
        <v>2016-17</v>
      </c>
      <c r="AB111" s="1012" t="str">
        <f>Sheet1!$F$27</f>
        <v>2017-18</v>
      </c>
      <c r="AC111" s="1012" t="str">
        <f>Sheet1!$G$27</f>
        <v>2018-19</v>
      </c>
      <c r="AD111" s="1013" t="str">
        <f>Sheet1!$H$27</f>
        <v>2019-20</v>
      </c>
      <c r="AE111" s="1014" t="str">
        <f>Sheet1!$D$27</f>
        <v>2015-16</v>
      </c>
      <c r="AF111" s="1012" t="str">
        <f>Sheet1!$E$27</f>
        <v>2016-17</v>
      </c>
      <c r="AG111" s="1012" t="str">
        <f>Sheet1!$F$27</f>
        <v>2017-18</v>
      </c>
      <c r="AH111" s="1012" t="str">
        <f>Sheet1!$G$27</f>
        <v>2018-19</v>
      </c>
      <c r="AI111" s="1012" t="str">
        <f>Sheet1!$H$27</f>
        <v>2019-20</v>
      </c>
      <c r="AJ111" s="190"/>
      <c r="AK111" s="160"/>
    </row>
    <row r="112" spans="1:46" s="87" customFormat="1" ht="12.75" customHeight="1" x14ac:dyDescent="0.2">
      <c r="A112" s="488">
        <f>VLOOKUP(B112,Sheet1!$AQ$4:$AR$25,2,FALSE)</f>
        <v>0</v>
      </c>
      <c r="B112" s="93" t="str">
        <f t="shared" ref="B112:B134" si="25">B10</f>
        <v>Bracknell Forest</v>
      </c>
      <c r="C112" s="85"/>
      <c r="D112" s="162">
        <f t="shared" ref="D112" si="26">IF(AE112&gt;0,Z112/AE112,NA())</f>
        <v>0.96542311191992725</v>
      </c>
      <c r="E112" s="162">
        <f t="shared" ref="E112" si="27">IF(AF112&gt;0,AA112/AF112,NA())</f>
        <v>0.89727011494252873</v>
      </c>
      <c r="F112" s="162">
        <f t="shared" ref="F112" si="28">IF(AG112&gt;0,AB112/AG112,NA())</f>
        <v>0.90479041916167668</v>
      </c>
      <c r="G112" s="162">
        <f t="shared" ref="G112" si="29">IF(AH112&gt;0,AC112/AH112,NA())</f>
        <v>0.93540810334703461</v>
      </c>
      <c r="H112" s="164">
        <f>IF(AI112&gt;0,AD112/AI112,NA())</f>
        <v>0.93729588504245587</v>
      </c>
      <c r="I112" s="96"/>
      <c r="J112" s="96"/>
      <c r="K112" s="166"/>
      <c r="L112" s="166"/>
      <c r="M112" s="166"/>
      <c r="N112" s="166"/>
      <c r="O112" s="166"/>
      <c r="P112" s="166"/>
      <c r="Q112" s="166"/>
      <c r="R112" s="167"/>
      <c r="S112" s="159"/>
      <c r="T112" s="159"/>
      <c r="U112" s="166"/>
      <c r="V112" s="122"/>
      <c r="W112" s="139"/>
      <c r="X112" s="152"/>
      <c r="Y112" s="436" t="str">
        <f>B112</f>
        <v>Bracknell Forest</v>
      </c>
      <c r="Z112" s="372">
        <f>IF(Year1_Bracknell_Forest Year1_Assessments_within45days="","",Year1_Bracknell_Forest Year1_Assessments_within45days)</f>
        <v>1061</v>
      </c>
      <c r="AA112" s="372">
        <f>IF(Year2_Bracknell_Forest Year2_Assessments_within45days="","",Year2_Bracknell_Forest Year2_Assessments_within45days)</f>
        <v>1249</v>
      </c>
      <c r="AB112" s="372">
        <f>IF(Year3_Bracknell_Forest Year3_Assessments_within45days="","",Year3_Bracknell_Forest Year3_Assessments_within45days)</f>
        <v>1511</v>
      </c>
      <c r="AC112" s="372">
        <f>IF(Year4_Bracknell_Forest Year4_Assessments_within45days="","",Year4_Bracknell_Forest Year4_Assessments_within45days)</f>
        <v>1593</v>
      </c>
      <c r="AD112" s="577">
        <f>IF(Year5_Bracknell_Forest Year5_Assessments_within45days="","",Year5_Bracknell_Forest Year5_Assessments_within45days)</f>
        <v>1435</v>
      </c>
      <c r="AE112" s="581">
        <f>IF(Year1_Bracknell_Forest Year1_Continuous_assessments="","",Year1_Bracknell_Forest Year1_Continuous_assessments)</f>
        <v>1099</v>
      </c>
      <c r="AF112" s="489">
        <f>IF(Year2_Bracknell_Forest Year2_Continuous_assessments="","",Year2_Bracknell_Forest Year2_Continuous_assessments)</f>
        <v>1392</v>
      </c>
      <c r="AG112" s="489">
        <f>IF(Year3_Bracknell_Forest Year3_Continuous_assessments="","",Year3_Bracknell_Forest Year3_Continuous_assessments)</f>
        <v>1670</v>
      </c>
      <c r="AH112" s="489">
        <f>IF(Year4_Bracknell_Forest Year4_Continuous_assessments="","",Year4_Bracknell_Forest Year4_Continuous_assessments)</f>
        <v>1703</v>
      </c>
      <c r="AI112" s="489">
        <f>IF(Year5_Bracknell_Forest Year5_Continuous_assessments="","",Year5_Bracknell_Forest Year5_Continuous_assessments)</f>
        <v>1531</v>
      </c>
      <c r="AJ112" s="190"/>
      <c r="AK112" s="160"/>
    </row>
    <row r="113" spans="1:46" s="87" customFormat="1" ht="12.75" customHeight="1" x14ac:dyDescent="0.2">
      <c r="A113" s="488">
        <f>VLOOKUP(B113,Sheet1!$AQ$4:$AR$25,2,FALSE)</f>
        <v>0</v>
      </c>
      <c r="B113" s="93" t="str">
        <f t="shared" si="25"/>
        <v>Brighton &amp; Hove</v>
      </c>
      <c r="C113" s="85"/>
      <c r="D113" s="162">
        <f t="shared" ref="D113:D135" si="30">IF(AE113&gt;0,Z113/AE113,NA())</f>
        <v>0.48814504881450488</v>
      </c>
      <c r="E113" s="162">
        <f t="shared" ref="E113:E135" si="31">IF(AF113&gt;0,AA113/AF113,NA())</f>
        <v>0.70331125827814567</v>
      </c>
      <c r="F113" s="162">
        <f t="shared" ref="F113:F135" si="32">IF(AG113&gt;0,AB113/AG113,NA())</f>
        <v>0.88855979266938168</v>
      </c>
      <c r="G113" s="162">
        <f t="shared" ref="G113:G135" si="33">IF(AH113&gt;0,AC113/AH113,NA())</f>
        <v>0.88097165991902837</v>
      </c>
      <c r="H113" s="164">
        <f t="shared" ref="H113:H135" si="34">IF(AI113&gt;0,AD113/AI113,NA())</f>
        <v>0.90014524328249823</v>
      </c>
      <c r="I113" s="96"/>
      <c r="J113" s="96"/>
      <c r="K113" s="166"/>
      <c r="L113" s="166"/>
      <c r="M113" s="166"/>
      <c r="N113" s="166"/>
      <c r="O113" s="166"/>
      <c r="P113" s="166"/>
      <c r="Q113" s="166"/>
      <c r="R113" s="167"/>
      <c r="S113" s="159"/>
      <c r="T113" s="159"/>
      <c r="U113" s="166"/>
      <c r="V113" s="122"/>
      <c r="W113" s="139"/>
      <c r="X113" s="152"/>
      <c r="Y113" s="436" t="str">
        <f t="shared" ref="Y113:Y135" si="35">B113</f>
        <v>Brighton &amp; Hove</v>
      </c>
      <c r="Z113" s="372">
        <f>IF(Year1_Brighton_Hove Year1_Assessments_within45days="","",Year1_Brighton_Hove Year1_Assessments_within45days)</f>
        <v>1400</v>
      </c>
      <c r="AA113" s="372">
        <f>IF(Year2_Brighton_Hove Year2_Assessments_within45days="","",Year2_Brighton_Hove Year2_Assessments_within45days)</f>
        <v>2124</v>
      </c>
      <c r="AB113" s="372">
        <f>IF(Year3_Brighton_Hove Year3_Assessments_within45days="","",Year3_Brighton_Hove Year3_Assessments_within45days)</f>
        <v>2400</v>
      </c>
      <c r="AC113" s="372">
        <f>IF(Year4_Brighton_Hove Year4_Assessments_within45days="","",Year4_Brighton_Hove Year4_Assessments_within45days)</f>
        <v>2176</v>
      </c>
      <c r="AD113" s="577">
        <f>IF(Year5_Brighton_Hove Year5_Assessments_within45days="","",Year5_Brighton_Hove Year5_Assessments_within45days)</f>
        <v>2479</v>
      </c>
      <c r="AE113" s="581">
        <f>IF(Year1_Brighton_Hove Year1_Continuous_assessments="","",Year1_Brighton_Hove Year1_Continuous_assessments)</f>
        <v>2868</v>
      </c>
      <c r="AF113" s="489">
        <f>IF(Year2_Brighton_Hove Year2_Continuous_assessments="","",Year2_Brighton_Hove Year2_Continuous_assessments)</f>
        <v>3020</v>
      </c>
      <c r="AG113" s="489">
        <f>IF(Year3_Brighton_Hove Year3_Continuous_assessments="","",Year3_Brighton_Hove Year3_Continuous_assessments)</f>
        <v>2701</v>
      </c>
      <c r="AH113" s="489">
        <f>IF(Year4_Brighton_Hove Year4_Continuous_assessments="","",Year4_Brighton_Hove Year4_Continuous_assessments)</f>
        <v>2470</v>
      </c>
      <c r="AI113" s="489">
        <f>IF(Year5_Brighton_Hove Year5_Continuous_assessments="","",Year5_Brighton_Hove Year5_Continuous_assessments)</f>
        <v>2754</v>
      </c>
      <c r="AJ113" s="190"/>
      <c r="AK113" s="160"/>
    </row>
    <row r="114" spans="1:46" s="87" customFormat="1" ht="12.75" customHeight="1" x14ac:dyDescent="0.2">
      <c r="A114" s="488">
        <f>VLOOKUP(B114,Sheet1!$AQ$4:$AR$25,2,FALSE)</f>
        <v>0</v>
      </c>
      <c r="B114" s="93" t="str">
        <f t="shared" si="25"/>
        <v>Buckinghamshire</v>
      </c>
      <c r="C114" s="85"/>
      <c r="D114" s="162">
        <f t="shared" si="30"/>
        <v>0.54216867469879515</v>
      </c>
      <c r="E114" s="162">
        <f t="shared" si="31"/>
        <v>0.92904191616766463</v>
      </c>
      <c r="F114" s="162">
        <f t="shared" si="32"/>
        <v>0.84317475496055461</v>
      </c>
      <c r="G114" s="162">
        <f t="shared" si="33"/>
        <v>0.73449290190561456</v>
      </c>
      <c r="H114" s="164">
        <f t="shared" si="34"/>
        <v>0.87958630879093824</v>
      </c>
      <c r="I114" s="96"/>
      <c r="J114" s="96"/>
      <c r="K114" s="166"/>
      <c r="L114" s="166"/>
      <c r="M114" s="166"/>
      <c r="N114" s="166"/>
      <c r="O114" s="166"/>
      <c r="P114" s="166"/>
      <c r="Q114" s="166"/>
      <c r="R114" s="167"/>
      <c r="S114" s="159"/>
      <c r="T114" s="159"/>
      <c r="U114" s="166"/>
      <c r="V114" s="122"/>
      <c r="W114" s="139"/>
      <c r="X114" s="152"/>
      <c r="Y114" s="436" t="str">
        <f t="shared" si="35"/>
        <v>Buckinghamshire</v>
      </c>
      <c r="Z114" s="372">
        <f>IF(Year1_Buckinghamshire Year1_Assessments_within45days="","",Year1_Buckinghamshire Year1_Assessments_within45days)</f>
        <v>720</v>
      </c>
      <c r="AA114" s="372">
        <f>IF(Year2_Buckinghamshire Year2_Assessments_within45days="","",Year2_Buckinghamshire Year2_Assessments_within45days)</f>
        <v>6206</v>
      </c>
      <c r="AB114" s="372">
        <f>IF(Year3_Buckinghamshire Year3_Assessments_within45days="","",Year3_Buckinghamshire Year3_Assessments_within45days)</f>
        <v>7054</v>
      </c>
      <c r="AC114" s="372">
        <f>IF(Year4_Buckinghamshire Year4_Assessments_within45days="","",Year4_Buckinghamshire Year4_Assessments_within45days)</f>
        <v>5743</v>
      </c>
      <c r="AD114" s="577">
        <f>IF(Year5_Buckinghamshire Year5_Assessments_within45days="","",Year5_Buckinghamshire Year5_Assessments_within45days)</f>
        <v>7144</v>
      </c>
      <c r="AE114" s="581">
        <f>IF(Year1_Buckinghamshire Year1_Continuous_assessments="","",Year1_Buckinghamshire Year1_Continuous_assessments)</f>
        <v>1328</v>
      </c>
      <c r="AF114" s="489">
        <f>IF(Year2_Buckinghamshire Year2_Continuous_assessments="","",Year2_Buckinghamshire Year2_Continuous_assessments)</f>
        <v>6680</v>
      </c>
      <c r="AG114" s="489">
        <f>IF(Year3_Buckinghamshire Year3_Continuous_assessments="","",Year3_Buckinghamshire Year3_Continuous_assessments)</f>
        <v>8366</v>
      </c>
      <c r="AH114" s="489">
        <f>IF(Year4_Buckinghamshire Year4_Continuous_assessments="","",Year4_Buckinghamshire Year4_Continuous_assessments)</f>
        <v>7819</v>
      </c>
      <c r="AI114" s="489">
        <f>IF(Year5_Buckinghamshire Year5_Continuous_assessments="","",Year5_Buckinghamshire Year5_Continuous_assessments)</f>
        <v>8122</v>
      </c>
      <c r="AJ114" s="190"/>
      <c r="AK114" s="160"/>
    </row>
    <row r="115" spans="1:46" s="87" customFormat="1" ht="12.75" customHeight="1" x14ac:dyDescent="0.2">
      <c r="A115" s="488">
        <f>VLOOKUP(B115,Sheet1!$AQ$4:$AR$25,2,FALSE)</f>
        <v>0</v>
      </c>
      <c r="B115" s="93" t="str">
        <f t="shared" si="25"/>
        <v>East Sussex</v>
      </c>
      <c r="C115" s="85"/>
      <c r="D115" s="162">
        <f t="shared" si="30"/>
        <v>0.53883299798792761</v>
      </c>
      <c r="E115" s="162">
        <f t="shared" si="31"/>
        <v>0.65892459433662109</v>
      </c>
      <c r="F115" s="162">
        <f t="shared" si="32"/>
        <v>0.6064245810055866</v>
      </c>
      <c r="G115" s="162">
        <f t="shared" si="33"/>
        <v>0.57921067259588666</v>
      </c>
      <c r="H115" s="164">
        <f t="shared" si="34"/>
        <v>0.61008645533141215</v>
      </c>
      <c r="I115" s="96"/>
      <c r="J115" s="96"/>
      <c r="K115" s="166"/>
      <c r="L115" s="166"/>
      <c r="M115" s="166"/>
      <c r="N115" s="166"/>
      <c r="O115" s="166"/>
      <c r="P115" s="166"/>
      <c r="Q115" s="166"/>
      <c r="R115" s="167"/>
      <c r="S115" s="159"/>
      <c r="T115" s="159"/>
      <c r="U115" s="166"/>
      <c r="V115" s="122"/>
      <c r="W115" s="139"/>
      <c r="X115" s="152"/>
      <c r="Y115" s="436" t="str">
        <f t="shared" si="35"/>
        <v>East Sussex</v>
      </c>
      <c r="Z115" s="372">
        <f>IF(Year1_East_Sussex Year1_Assessments_within45days="","",Year1_East_Sussex Year1_Assessments_within45days)</f>
        <v>1339</v>
      </c>
      <c r="AA115" s="372">
        <f>IF(Year2_East_Sussex Year2_Assessments_within45days="","",Year2_East_Sussex Year2_Assessments_within45days)</f>
        <v>2071</v>
      </c>
      <c r="AB115" s="372">
        <f>IF(Year3_East_Sussex Year3_Assessments_within45days="","",Year3_East_Sussex Year3_Assessments_within45days)</f>
        <v>2171</v>
      </c>
      <c r="AC115" s="372">
        <f>IF(Year4_East_Sussex Year4_Assessments_within45days="","",Year4_East_Sussex Year4_Assessments_within45days)</f>
        <v>2084</v>
      </c>
      <c r="AD115" s="577">
        <f>IF(Year5_East_Sussex Year5_Assessments_within45days="","",Year5_East_Sussex Year5_Assessments_within45days)</f>
        <v>2117</v>
      </c>
      <c r="AE115" s="581">
        <f>IF(Year1_East_Sussex Year1_Continuous_assessments="","",Year1_East_Sussex Year1_Continuous_assessments)</f>
        <v>2485</v>
      </c>
      <c r="AF115" s="489">
        <f>IF(Year2_East_Sussex Year2_Continuous_assessments="","",Year2_East_Sussex Year2_Continuous_assessments)</f>
        <v>3143</v>
      </c>
      <c r="AG115" s="489">
        <f>IF(Year3_East_Sussex Year3_Continuous_assessments="","",Year3_East_Sussex Year3_Continuous_assessments)</f>
        <v>3580</v>
      </c>
      <c r="AH115" s="489">
        <f>IF(Year4_East_Sussex Year4_Continuous_assessments="","",Year4_East_Sussex Year4_Continuous_assessments)</f>
        <v>3598</v>
      </c>
      <c r="AI115" s="489">
        <f>IF(Year5_East_Sussex Year5_Continuous_assessments="","",Year5_East_Sussex Year5_Continuous_assessments)</f>
        <v>3470</v>
      </c>
      <c r="AJ115" s="190"/>
      <c r="AK115" s="160"/>
    </row>
    <row r="116" spans="1:46" s="87" customFormat="1" ht="12.75" customHeight="1" x14ac:dyDescent="0.2">
      <c r="A116" s="488">
        <f>VLOOKUP(B116,Sheet1!$AQ$4:$AR$25,2,FALSE)</f>
        <v>0</v>
      </c>
      <c r="B116" s="93" t="str">
        <f t="shared" si="25"/>
        <v>Hampshire</v>
      </c>
      <c r="C116" s="85"/>
      <c r="D116" s="162">
        <f t="shared" si="30"/>
        <v>0.88252318232827354</v>
      </c>
      <c r="E116" s="162">
        <f t="shared" si="31"/>
        <v>0.89637619071619379</v>
      </c>
      <c r="F116" s="162">
        <f t="shared" si="32"/>
        <v>0.91200453001132498</v>
      </c>
      <c r="G116" s="162">
        <f t="shared" si="33"/>
        <v>0.90851524745875689</v>
      </c>
      <c r="H116" s="164">
        <f t="shared" si="34"/>
        <v>0.92608563311688308</v>
      </c>
      <c r="I116" s="96"/>
      <c r="J116" s="96"/>
      <c r="K116" s="166"/>
      <c r="L116" s="166"/>
      <c r="M116" s="166"/>
      <c r="N116" s="166"/>
      <c r="O116" s="166"/>
      <c r="P116" s="166"/>
      <c r="Q116" s="166"/>
      <c r="R116" s="167"/>
      <c r="S116" s="159"/>
      <c r="T116" s="159"/>
      <c r="U116" s="166"/>
      <c r="V116" s="122"/>
      <c r="W116" s="139"/>
      <c r="X116" s="152"/>
      <c r="Y116" s="436" t="str">
        <f t="shared" si="35"/>
        <v>Hampshire</v>
      </c>
      <c r="Z116" s="372">
        <f>IF(Year1_Hampshire Year1_Assessments_within45days="","",Year1_Hampshire Year1_Assessments_within45days)</f>
        <v>14942</v>
      </c>
      <c r="AA116" s="372">
        <f>IF(Year2_Hampshire Year2_Assessments_within45days="","",Year2_Hampshire Year2_Assessments_within45days)</f>
        <v>17785</v>
      </c>
      <c r="AB116" s="372">
        <f>IF(Year3_Hampshire Year3_Assessments_within45days="","",Year3_Hampshire Year3_Assessments_within45days)</f>
        <v>16106</v>
      </c>
      <c r="AC116" s="372">
        <f>IF(Year4_Hampshire Year4_Assessments_within45days="","",Year4_Hampshire Year4_Assessments_within45days)</f>
        <v>16356</v>
      </c>
      <c r="AD116" s="577">
        <f>IF(Year5_Hampshire Year5_Assessments_within45days="","",Year5_Hampshire Year5_Assessments_within45days)</f>
        <v>18255</v>
      </c>
      <c r="AE116" s="581">
        <f>IF(Year1_Hampshire Year1_Continuous_assessments="","",Year1_Hampshire Year1_Continuous_assessments)</f>
        <v>16931</v>
      </c>
      <c r="AF116" s="489">
        <f>IF(Year2_Hampshire Year2_Continuous_assessments="","",Year2_Hampshire Year2_Continuous_assessments)</f>
        <v>19841</v>
      </c>
      <c r="AG116" s="489">
        <f>IF(Year3_Hampshire Year3_Continuous_assessments="","",Year3_Hampshire Year3_Continuous_assessments)</f>
        <v>17660</v>
      </c>
      <c r="AH116" s="489">
        <f>IF(Year4_Hampshire Year4_Continuous_assessments="","",Year4_Hampshire Year4_Continuous_assessments)</f>
        <v>18003</v>
      </c>
      <c r="AI116" s="489">
        <f>IF(Year5_Hampshire Year5_Continuous_assessments="","",Year5_Hampshire Year5_Continuous_assessments)</f>
        <v>19712</v>
      </c>
      <c r="AJ116" s="190"/>
      <c r="AK116" s="160"/>
    </row>
    <row r="117" spans="1:46" s="87" customFormat="1" ht="12.75" customHeight="1" x14ac:dyDescent="0.2">
      <c r="A117" s="488">
        <f>VLOOKUP(B117,Sheet1!$AQ$4:$AR$25,2,FALSE)</f>
        <v>0</v>
      </c>
      <c r="B117" s="93" t="str">
        <f t="shared" si="25"/>
        <v>Isle of Wight</v>
      </c>
      <c r="C117" s="85"/>
      <c r="D117" s="162">
        <f t="shared" si="30"/>
        <v>0.86304801670146136</v>
      </c>
      <c r="E117" s="162">
        <f t="shared" si="31"/>
        <v>0.79189892233370496</v>
      </c>
      <c r="F117" s="162">
        <f t="shared" si="32"/>
        <v>0.86114221724524076</v>
      </c>
      <c r="G117" s="162">
        <f t="shared" si="33"/>
        <v>0.95776081424936388</v>
      </c>
      <c r="H117" s="164">
        <f t="shared" si="34"/>
        <v>0.94474436328993328</v>
      </c>
      <c r="I117" s="96"/>
      <c r="J117" s="96"/>
      <c r="K117" s="166"/>
      <c r="L117" s="166"/>
      <c r="M117" s="166"/>
      <c r="N117" s="166"/>
      <c r="O117" s="166"/>
      <c r="P117" s="166"/>
      <c r="Q117" s="166"/>
      <c r="R117" s="167"/>
      <c r="S117" s="159"/>
      <c r="T117" s="159"/>
      <c r="U117" s="166"/>
      <c r="V117" s="122"/>
      <c r="W117" s="139"/>
      <c r="X117" s="152"/>
      <c r="Y117" s="436" t="str">
        <f t="shared" si="35"/>
        <v>Isle of Wight</v>
      </c>
      <c r="Z117" s="372">
        <f>IF(Year1_Isle_of_Wight Year1_Assessments_within45days="","",Year1_Isle_of_Wight Year1_Assessments_within45days)</f>
        <v>2067</v>
      </c>
      <c r="AA117" s="372">
        <f>IF(Year2_Isle_of_Wight Year2_Assessments_within45days="","",Year2_Isle_of_Wight Year2_Assessments_within45days)</f>
        <v>2131</v>
      </c>
      <c r="AB117" s="372">
        <f>IF(Year3_Isle_of_Wight Year3_Assessments_within45days="","",Year3_Isle_of_Wight Year3_Assessments_within45days)</f>
        <v>2307</v>
      </c>
      <c r="AC117" s="372">
        <f>IF(Year4_Isle_of_Wight Year4_Assessments_within45days="","",Year4_Isle_of_Wight Year4_Assessments_within45days)</f>
        <v>1882</v>
      </c>
      <c r="AD117" s="577">
        <f>IF(Year5_Isle_of_Wight Year5_Assessments_within45days="","",Year5_Isle_of_Wight Year5_Assessments_within45days)</f>
        <v>2975</v>
      </c>
      <c r="AE117" s="581">
        <f>IF(Year1_Isle_of_Wight Year1_Continuous_assessments="","",Year1_Isle_of_Wight Year1_Continuous_assessments)</f>
        <v>2395</v>
      </c>
      <c r="AF117" s="489">
        <f>IF(Year2_Isle_of_Wight Year2_Continuous_assessments="","",Year2_Isle_of_Wight Year2_Continuous_assessments)</f>
        <v>2691</v>
      </c>
      <c r="AG117" s="489">
        <f>IF(Year3_Isle_of_Wight Year3_Continuous_assessments="","",Year3_Isle_of_Wight Year3_Continuous_assessments)</f>
        <v>2679</v>
      </c>
      <c r="AH117" s="489">
        <f>IF(Year4_Isle_of_Wight Year4_Continuous_assessments="","",Year4_Isle_of_Wight Year4_Continuous_assessments)</f>
        <v>1965</v>
      </c>
      <c r="AI117" s="489">
        <f>IF(Year5_Isle_of_Wight Year5_Continuous_assessments="","",Year5_Isle_of_Wight Year5_Continuous_assessments)</f>
        <v>3149</v>
      </c>
      <c r="AJ117" s="190"/>
      <c r="AK117" s="160"/>
      <c r="AT117" s="87" t="s">
        <v>102</v>
      </c>
    </row>
    <row r="118" spans="1:46" s="87" customFormat="1" ht="12.75" customHeight="1" x14ac:dyDescent="0.2">
      <c r="A118" s="488">
        <f>VLOOKUP(B118,Sheet1!$AQ$4:$AR$25,2,FALSE)</f>
        <v>0</v>
      </c>
      <c r="B118" s="93" t="str">
        <f t="shared" si="25"/>
        <v>Kent</v>
      </c>
      <c r="C118" s="85"/>
      <c r="D118" s="162">
        <f t="shared" si="30"/>
        <v>0.91204379562043791</v>
      </c>
      <c r="E118" s="162">
        <f t="shared" si="31"/>
        <v>0.92209458633752905</v>
      </c>
      <c r="F118" s="162">
        <f t="shared" si="32"/>
        <v>0.86859297816964998</v>
      </c>
      <c r="G118" s="162">
        <f t="shared" si="33"/>
        <v>0.92114330904366493</v>
      </c>
      <c r="H118" s="164">
        <f t="shared" si="34"/>
        <v>0.88020883689451801</v>
      </c>
      <c r="I118" s="96"/>
      <c r="J118" s="96"/>
      <c r="K118" s="166"/>
      <c r="L118" s="166"/>
      <c r="M118" s="166"/>
      <c r="N118" s="166"/>
      <c r="O118" s="166"/>
      <c r="P118" s="166"/>
      <c r="Q118" s="166"/>
      <c r="R118" s="167"/>
      <c r="S118" s="159"/>
      <c r="T118" s="159"/>
      <c r="U118" s="166"/>
      <c r="V118" s="122"/>
      <c r="W118" s="139"/>
      <c r="X118" s="152"/>
      <c r="Y118" s="436" t="str">
        <f t="shared" si="35"/>
        <v>Kent</v>
      </c>
      <c r="Z118" s="372">
        <f>IF(Year1_Kent Year1_Assessments_within45days="","",Year1_Kent Year1_Assessments_within45days)</f>
        <v>14994</v>
      </c>
      <c r="AA118" s="372">
        <f>IF(Year2_Kent Year2_Assessments_within45days="","",Year2_Kent Year2_Assessments_within45days)</f>
        <v>15091</v>
      </c>
      <c r="AB118" s="372">
        <f>IF(Year3_Kent Year3_Assessments_within45days="","",Year3_Kent Year3_Assessments_within45days)</f>
        <v>16353</v>
      </c>
      <c r="AC118" s="372">
        <f>IF(Year4_Kent Year4_Assessments_within45days="","",Year4_Kent Year4_Assessments_within45days)</f>
        <v>16307</v>
      </c>
      <c r="AD118" s="577">
        <f>IF(Year5_Kent Year5_Assessments_within45days="","",Year5_Kent Year5_Assessments_within45days)</f>
        <v>18208</v>
      </c>
      <c r="AE118" s="581">
        <f>IF(Year1_Kent Year1_Continuous_assessments="","",Year1_Kent Year1_Continuous_assessments)</f>
        <v>16440</v>
      </c>
      <c r="AF118" s="489">
        <f>IF(Year2_Kent Year2_Continuous_assessments="","",Year2_Kent Year2_Continuous_assessments)</f>
        <v>16366</v>
      </c>
      <c r="AG118" s="489">
        <f>IF(Year3_Kent Year3_Continuous_assessments="","",Year3_Kent Year3_Continuous_assessments)</f>
        <v>18827</v>
      </c>
      <c r="AH118" s="489">
        <f>IF(Year4_Kent Year4_Continuous_assessments="","",Year4_Kent Year4_Continuous_assessments)</f>
        <v>17703</v>
      </c>
      <c r="AI118" s="489">
        <f>IF(Year5_Kent Year5_Continuous_assessments="","",Year5_Kent Year5_Continuous_assessments)</f>
        <v>20686</v>
      </c>
      <c r="AJ118" s="190"/>
      <c r="AK118" s="160"/>
    </row>
    <row r="119" spans="1:46" s="87" customFormat="1" ht="12.75" customHeight="1" x14ac:dyDescent="0.2">
      <c r="A119" s="488">
        <f>VLOOKUP(B119,Sheet1!$AQ$4:$AR$25,2,FALSE)</f>
        <v>0</v>
      </c>
      <c r="B119" s="93" t="str">
        <f t="shared" si="25"/>
        <v>Medway</v>
      </c>
      <c r="C119" s="85"/>
      <c r="D119" s="162">
        <f t="shared" si="30"/>
        <v>0.83365446371226715</v>
      </c>
      <c r="E119" s="162">
        <f t="shared" si="31"/>
        <v>0.95848119233498941</v>
      </c>
      <c r="F119" s="162">
        <f t="shared" si="32"/>
        <v>0.85930649661219605</v>
      </c>
      <c r="G119" s="162">
        <f t="shared" si="33"/>
        <v>0.63128654970760234</v>
      </c>
      <c r="H119" s="164">
        <f t="shared" si="34"/>
        <v>0.95097623089983019</v>
      </c>
      <c r="I119" s="96"/>
      <c r="J119" s="96"/>
      <c r="K119" s="166"/>
      <c r="L119" s="166"/>
      <c r="M119" s="166"/>
      <c r="N119" s="166"/>
      <c r="O119" s="166"/>
      <c r="P119" s="166"/>
      <c r="Q119" s="166"/>
      <c r="R119" s="167"/>
      <c r="S119" s="159"/>
      <c r="T119" s="159"/>
      <c r="U119" s="166"/>
      <c r="V119" s="122"/>
      <c r="W119" s="139"/>
      <c r="X119" s="152"/>
      <c r="Y119" s="436" t="str">
        <f t="shared" si="35"/>
        <v>Medway</v>
      </c>
      <c r="Z119" s="372">
        <f>IF(Year1_Medway Year1_Assessments_within45days="","",Year1_Medway Year1_Assessments_within45days)</f>
        <v>2596</v>
      </c>
      <c r="AA119" s="372">
        <f>IF(Year2_Medway Year2_Assessments_within45days="","",Year2_Medway Year2_Assessments_within45days)</f>
        <v>2701</v>
      </c>
      <c r="AB119" s="372">
        <f>IF(Year3_Medway Year3_Assessments_within45days="","",Year3_Medway Year3_Assessments_within45days)</f>
        <v>2156</v>
      </c>
      <c r="AC119" s="372">
        <f>IF(Year4_Medway Year4_Assessments_within45days="","",Year4_Medway Year4_Assessments_within45days)</f>
        <v>2159</v>
      </c>
      <c r="AD119" s="577">
        <f>IF(Year5_Medway Year5_Assessments_within45days="","",Year5_Medway Year5_Assessments_within45days)</f>
        <v>4481</v>
      </c>
      <c r="AE119" s="581">
        <f>IF(Year1_Medway Year1_Continuous_assessments="","",Year1_Medway Year1_Continuous_assessments)</f>
        <v>3114</v>
      </c>
      <c r="AF119" s="489">
        <f>IF(Year2_Medway Year2_Continuous_assessments="","",Year2_Medway Year2_Continuous_assessments)</f>
        <v>2818</v>
      </c>
      <c r="AG119" s="489">
        <f>IF(Year3_Medway Year3_Continuous_assessments="","",Year3_Medway Year3_Continuous_assessments)</f>
        <v>2509</v>
      </c>
      <c r="AH119" s="489">
        <f>IF(Year4_Medway Year4_Continuous_assessments="","",Year4_Medway Year4_Continuous_assessments)</f>
        <v>3420</v>
      </c>
      <c r="AI119" s="489">
        <f>IF(Year5_Medway Year5_Continuous_assessments="","",Year5_Medway Year5_Continuous_assessments)</f>
        <v>4712</v>
      </c>
      <c r="AJ119" s="190"/>
      <c r="AK119" s="160"/>
    </row>
    <row r="120" spans="1:46" s="87" customFormat="1" ht="12.75" customHeight="1" x14ac:dyDescent="0.2">
      <c r="A120" s="488">
        <f>VLOOKUP(B120,Sheet1!$AQ$4:$AR$25,2,FALSE)</f>
        <v>0</v>
      </c>
      <c r="B120" s="93" t="str">
        <f t="shared" si="25"/>
        <v>Milton Keynes</v>
      </c>
      <c r="C120" s="85"/>
      <c r="D120" s="162">
        <f t="shared" si="30"/>
        <v>0.93291806420699563</v>
      </c>
      <c r="E120" s="162">
        <f t="shared" si="31"/>
        <v>0.90186730234406043</v>
      </c>
      <c r="F120" s="162">
        <f t="shared" si="32"/>
        <v>0.87754179846362401</v>
      </c>
      <c r="G120" s="162">
        <f t="shared" si="33"/>
        <v>0.93863939528679408</v>
      </c>
      <c r="H120" s="164">
        <f t="shared" si="34"/>
        <v>0.82929226736566186</v>
      </c>
      <c r="I120" s="96"/>
      <c r="J120" s="96"/>
      <c r="K120" s="166"/>
      <c r="L120" s="166"/>
      <c r="M120" s="166"/>
      <c r="N120" s="166"/>
      <c r="O120" s="166"/>
      <c r="P120" s="166"/>
      <c r="Q120" s="166"/>
      <c r="R120" s="167"/>
      <c r="S120" s="159"/>
      <c r="T120" s="159"/>
      <c r="U120" s="166"/>
      <c r="V120" s="122"/>
      <c r="W120" s="139"/>
      <c r="X120" s="152"/>
      <c r="Y120" s="436" t="str">
        <f t="shared" si="35"/>
        <v>Milton Keynes</v>
      </c>
      <c r="Z120" s="372">
        <f>IF(Year1_Milton_Keynes Year1_Assessments_within45days="","",Year1_Milton_Keynes Year1_Assessments_within45days)</f>
        <v>1947</v>
      </c>
      <c r="AA120" s="372">
        <f>IF(Year2_Milton_Keynes Year2_Assessments_within45days="","",Year2_Milton_Keynes Year2_Assessments_within45days)</f>
        <v>2270</v>
      </c>
      <c r="AB120" s="372">
        <f>IF(Year3_Milton_Keynes Year3_Assessments_within45days="","",Year3_Milton_Keynes Year3_Assessments_within45days)</f>
        <v>1942</v>
      </c>
      <c r="AC120" s="372">
        <f>IF(Year4_Milton_Keynes Year4_Assessments_within45days="","",Year4_Milton_Keynes Year4_Assessments_within45days)</f>
        <v>2111</v>
      </c>
      <c r="AD120" s="577">
        <f>IF(Year5_Milton_Keynes Year5_Assessments_within45days="","",Year5_Milton_Keynes Year5_Assessments_within45days)</f>
        <v>2531</v>
      </c>
      <c r="AE120" s="581">
        <f>IF(Year1_Milton_Keynes Year1_Continuous_assessments="","",Year1_Milton_Keynes Year1_Continuous_assessments)</f>
        <v>2087</v>
      </c>
      <c r="AF120" s="489">
        <f>IF(Year2_Milton_Keynes Year2_Continuous_assessments="","",Year2_Milton_Keynes Year2_Continuous_assessments)</f>
        <v>2517</v>
      </c>
      <c r="AG120" s="489">
        <f>IF(Year3_Milton_Keynes Year3_Continuous_assessments="","",Year3_Milton_Keynes Year3_Continuous_assessments)</f>
        <v>2213</v>
      </c>
      <c r="AH120" s="489">
        <f>IF(Year4_Milton_Keynes Year4_Continuous_assessments="","",Year4_Milton_Keynes Year4_Continuous_assessments)</f>
        <v>2249</v>
      </c>
      <c r="AI120" s="489">
        <f>IF(Year5_Milton_Keynes Year5_Continuous_assessments="","",Year5_Milton_Keynes Year5_Continuous_assessments)</f>
        <v>3052</v>
      </c>
      <c r="AJ120" s="190"/>
      <c r="AK120" s="160"/>
    </row>
    <row r="121" spans="1:46" s="87" customFormat="1" ht="12.75" customHeight="1" x14ac:dyDescent="0.2">
      <c r="A121" s="488">
        <f>VLOOKUP(B121,Sheet1!$AQ$4:$AR$25,2,FALSE)</f>
        <v>0</v>
      </c>
      <c r="B121" s="93" t="str">
        <f t="shared" si="25"/>
        <v>Oxfordshire</v>
      </c>
      <c r="C121" s="85"/>
      <c r="D121" s="162">
        <f t="shared" si="30"/>
        <v>0.6292603335750544</v>
      </c>
      <c r="E121" s="162">
        <f t="shared" si="31"/>
        <v>0.5178571428571429</v>
      </c>
      <c r="F121" s="162">
        <f t="shared" si="32"/>
        <v>0.51692573402417963</v>
      </c>
      <c r="G121" s="162">
        <f t="shared" si="33"/>
        <v>0.58327165062916353</v>
      </c>
      <c r="H121" s="164">
        <f t="shared" si="34"/>
        <v>0.63010967098703885</v>
      </c>
      <c r="I121" s="96"/>
      <c r="J121" s="96"/>
      <c r="K121" s="166"/>
      <c r="L121" s="166"/>
      <c r="M121" s="166"/>
      <c r="N121" s="166"/>
      <c r="O121" s="166"/>
      <c r="P121" s="166"/>
      <c r="Q121" s="166"/>
      <c r="R121" s="167"/>
      <c r="S121" s="159"/>
      <c r="T121" s="159"/>
      <c r="U121" s="166"/>
      <c r="V121" s="122"/>
      <c r="W121" s="139"/>
      <c r="X121" s="152"/>
      <c r="Y121" s="436" t="str">
        <f t="shared" si="35"/>
        <v>Oxfordshire</v>
      </c>
      <c r="Z121" s="372">
        <f>IF(Year1_Oxfordshire Year1_Assessments_within45days="","",Year1_Oxfordshire Year1_Assessments_within45days)</f>
        <v>3471</v>
      </c>
      <c r="AA121" s="372">
        <f>IF(Year2_Oxfordshire Year2_Assessments_within45days="","",Year2_Oxfordshire Year2_Assessments_within45days)</f>
        <v>3480</v>
      </c>
      <c r="AB121" s="372">
        <f>IF(Year3_Oxfordshire Year3_Assessments_within45days="","",Year3_Oxfordshire Year3_Assessments_within45days)</f>
        <v>2993</v>
      </c>
      <c r="AC121" s="372">
        <f>IF(Year4_Oxfordshire Year4_Assessments_within45days="","",Year4_Oxfordshire Year4_Assessments_within45days)</f>
        <v>3152</v>
      </c>
      <c r="AD121" s="577">
        <f>IF(Year5_Oxfordshire Year5_Assessments_within45days="","",Year5_Oxfordshire Year5_Assessments_within45days)</f>
        <v>4424</v>
      </c>
      <c r="AE121" s="581">
        <f>IF(Year1_Oxfordshire Year1_Continuous_assessments="","",Year1_Oxfordshire Year1_Continuous_assessments)</f>
        <v>5516</v>
      </c>
      <c r="AF121" s="489">
        <f>IF(Year2_Oxfordshire Year2_Continuous_assessments="","",Year2_Oxfordshire Year2_Continuous_assessments)</f>
        <v>6720</v>
      </c>
      <c r="AG121" s="489">
        <f>IF(Year3_Oxfordshire Year3_Continuous_assessments="","",Year3_Oxfordshire Year3_Continuous_assessments)</f>
        <v>5790</v>
      </c>
      <c r="AH121" s="489">
        <f>IF(Year4_Oxfordshire Year4_Continuous_assessments="","",Year4_Oxfordshire Year4_Continuous_assessments)</f>
        <v>5404</v>
      </c>
      <c r="AI121" s="489">
        <f>IF(Year5_Oxfordshire Year5_Continuous_assessments="","",Year5_Oxfordshire Year5_Continuous_assessments)</f>
        <v>7021</v>
      </c>
      <c r="AJ121" s="190"/>
      <c r="AK121" s="160"/>
    </row>
    <row r="122" spans="1:46" s="87" customFormat="1" ht="12.75" customHeight="1" x14ac:dyDescent="0.2">
      <c r="A122" s="488">
        <f>VLOOKUP(B122,Sheet1!$AQ$4:$AR$25,2,FALSE)</f>
        <v>0</v>
      </c>
      <c r="B122" s="93" t="str">
        <f t="shared" si="25"/>
        <v>Portsmouth</v>
      </c>
      <c r="C122" s="85"/>
      <c r="D122" s="162">
        <f t="shared" si="30"/>
        <v>0.99516908212560384</v>
      </c>
      <c r="E122" s="162">
        <f t="shared" si="31"/>
        <v>0.94135593220338987</v>
      </c>
      <c r="F122" s="162">
        <f t="shared" si="32"/>
        <v>0.93573667711598751</v>
      </c>
      <c r="G122" s="162">
        <f t="shared" si="33"/>
        <v>0.95210061546695213</v>
      </c>
      <c r="H122" s="164">
        <f t="shared" si="34"/>
        <v>0.97992277992277987</v>
      </c>
      <c r="I122" s="96"/>
      <c r="J122" s="96"/>
      <c r="K122" s="166"/>
      <c r="L122" s="166"/>
      <c r="M122" s="166"/>
      <c r="N122" s="166"/>
      <c r="O122" s="166"/>
      <c r="P122" s="166"/>
      <c r="Q122" s="166"/>
      <c r="R122" s="167"/>
      <c r="S122" s="159"/>
      <c r="T122" s="159"/>
      <c r="U122" s="166"/>
      <c r="V122" s="122"/>
      <c r="W122" s="139"/>
      <c r="X122" s="152"/>
      <c r="Y122" s="436" t="str">
        <f t="shared" si="35"/>
        <v>Portsmouth</v>
      </c>
      <c r="Z122" s="372">
        <f>IF(Year1_Portsmouth Year1_Assessments_within45days="","",Year1_Portsmouth Year1_Assessments_within45days)</f>
        <v>1854</v>
      </c>
      <c r="AA122" s="372">
        <f>IF(Year2_Portsmouth Year2_Assessments_within45days="","",Year2_Portsmouth Year2_Assessments_within45days)</f>
        <v>2777</v>
      </c>
      <c r="AB122" s="372">
        <f>IF(Year3_Portsmouth Year3_Assessments_within45days="","",Year3_Portsmouth Year3_Assessments_within45days)</f>
        <v>2985</v>
      </c>
      <c r="AC122" s="372">
        <f>IF(Year4_Portsmouth Year4_Assessments_within45days="","",Year4_Portsmouth Year4_Assessments_within45days)</f>
        <v>3558</v>
      </c>
      <c r="AD122" s="577">
        <f>IF(Year5_Portsmouth Year5_Assessments_within45days="","",Year5_Portsmouth Year5_Assessments_within45days)</f>
        <v>2538</v>
      </c>
      <c r="AE122" s="581">
        <f>IF(Year1_Portsmouth Year1_Continuous_assessments="","",Year1_Portsmouth Year1_Continuous_assessments)</f>
        <v>1863</v>
      </c>
      <c r="AF122" s="489">
        <f>IF(Year2_Portsmouth Year2_Continuous_assessments="","",Year2_Portsmouth Year2_Continuous_assessments)</f>
        <v>2950</v>
      </c>
      <c r="AG122" s="489">
        <f>IF(Year3_Portsmouth Year3_Continuous_assessments="","",Year3_Portsmouth Year3_Continuous_assessments)</f>
        <v>3190</v>
      </c>
      <c r="AH122" s="489">
        <f>IF(Year4_Portsmouth Year4_Continuous_assessments="","",Year4_Portsmouth Year4_Continuous_assessments)</f>
        <v>3737</v>
      </c>
      <c r="AI122" s="489">
        <f>IF(Year5_Portsmouth Year5_Continuous_assessments="","",Year5_Portsmouth Year5_Continuous_assessments)</f>
        <v>2590</v>
      </c>
      <c r="AJ122" s="190"/>
      <c r="AK122" s="160"/>
    </row>
    <row r="123" spans="1:46" s="87" customFormat="1" ht="12.75" customHeight="1" x14ac:dyDescent="0.2">
      <c r="A123" s="488">
        <f>VLOOKUP(B123,Sheet1!$AQ$4:$AR$25,2,FALSE)</f>
        <v>0</v>
      </c>
      <c r="B123" s="93" t="str">
        <f t="shared" si="25"/>
        <v>Reading</v>
      </c>
      <c r="C123" s="85"/>
      <c r="D123" s="162">
        <f t="shared" si="30"/>
        <v>0.8337171810225702</v>
      </c>
      <c r="E123" s="162">
        <f t="shared" si="31"/>
        <v>0.69847198641765706</v>
      </c>
      <c r="F123" s="162">
        <f t="shared" si="32"/>
        <v>0.86205661053385885</v>
      </c>
      <c r="G123" s="162">
        <f t="shared" si="33"/>
        <v>0.88191330343796714</v>
      </c>
      <c r="H123" s="164">
        <f t="shared" si="34"/>
        <v>0.79992562290814428</v>
      </c>
      <c r="I123" s="96"/>
      <c r="J123" s="96"/>
      <c r="K123" s="166"/>
      <c r="L123" s="166"/>
      <c r="M123" s="166"/>
      <c r="N123" s="166"/>
      <c r="O123" s="166"/>
      <c r="P123" s="166"/>
      <c r="Q123" s="166"/>
      <c r="R123" s="167"/>
      <c r="S123" s="159"/>
      <c r="T123" s="159"/>
      <c r="U123" s="166"/>
      <c r="V123" s="122"/>
      <c r="W123" s="139"/>
      <c r="X123" s="152"/>
      <c r="Y123" s="436" t="str">
        <f t="shared" si="35"/>
        <v>Reading</v>
      </c>
      <c r="Z123" s="372">
        <f>IF(Year1_Reading Year1_Assessments_within45days="","",Year1_Reading Year1_Assessments_within45days)</f>
        <v>1810</v>
      </c>
      <c r="AA123" s="372">
        <f>IF(Year2_Reading Year2_Assessments_within45days="","",Year2_Reading Year2_Assessments_within45days)</f>
        <v>2057</v>
      </c>
      <c r="AB123" s="372">
        <f>IF(Year3_Reading Year3_Assessments_within45days="","",Year3_Reading Year3_Assessments_within45days)</f>
        <v>2406</v>
      </c>
      <c r="AC123" s="372">
        <f>IF(Year4_Reading Year4_Assessments_within45days="","",Year4_Reading Year4_Assessments_within45days)</f>
        <v>2360</v>
      </c>
      <c r="AD123" s="577">
        <f>IF(Year5_Reading Year5_Assessments_within45days="","",Year5_Reading Year5_Assessments_within45days)</f>
        <v>2151</v>
      </c>
      <c r="AE123" s="581">
        <f>IF(Year1_Reading Year1_Continuous_assessments="","",Year1_Reading Year1_Continuous_assessments)</f>
        <v>2171</v>
      </c>
      <c r="AF123" s="489">
        <f>IF(Year2_Reading Year2_Continuous_assessments="","",Year2_Reading Year2_Continuous_assessments)</f>
        <v>2945</v>
      </c>
      <c r="AG123" s="489">
        <f>IF(Year3_Reading Year3_Continuous_assessments="","",Year3_Reading Year3_Continuous_assessments)</f>
        <v>2791</v>
      </c>
      <c r="AH123" s="489">
        <f>IF(Year4_Reading Year4_Continuous_assessments="","",Year4_Reading Year4_Continuous_assessments)</f>
        <v>2676</v>
      </c>
      <c r="AI123" s="489">
        <f>IF(Year5_Reading Year5_Continuous_assessments="","",Year5_Reading Year5_Continuous_assessments)</f>
        <v>2689</v>
      </c>
      <c r="AJ123" s="190"/>
      <c r="AK123" s="160"/>
    </row>
    <row r="124" spans="1:46" s="87" customFormat="1" ht="12.75" customHeight="1" x14ac:dyDescent="0.2">
      <c r="A124" s="488">
        <f>VLOOKUP(B124,Sheet1!$AQ$4:$AR$25,2,FALSE)</f>
        <v>0</v>
      </c>
      <c r="B124" s="93" t="str">
        <f t="shared" si="25"/>
        <v>Slough</v>
      </c>
      <c r="C124" s="85"/>
      <c r="D124" s="162">
        <f t="shared" si="30"/>
        <v>0.92851622874806805</v>
      </c>
      <c r="E124" s="162">
        <f t="shared" si="31"/>
        <v>0.85763146643864896</v>
      </c>
      <c r="F124" s="162">
        <f t="shared" si="32"/>
        <v>0.56594885598923284</v>
      </c>
      <c r="G124" s="162">
        <f t="shared" si="33"/>
        <v>0.79708580679978414</v>
      </c>
      <c r="H124" s="164">
        <f t="shared" si="34"/>
        <v>0.73904052936311004</v>
      </c>
      <c r="I124" s="96"/>
      <c r="J124" s="96"/>
      <c r="K124" s="166"/>
      <c r="L124" s="166"/>
      <c r="M124" s="166"/>
      <c r="N124" s="166"/>
      <c r="O124" s="166"/>
      <c r="P124" s="166"/>
      <c r="Q124" s="166"/>
      <c r="R124" s="167"/>
      <c r="S124" s="159"/>
      <c r="T124" s="159"/>
      <c r="U124" s="166"/>
      <c r="V124" s="122"/>
      <c r="W124" s="139"/>
      <c r="X124" s="152"/>
      <c r="Y124" s="436" t="str">
        <f t="shared" si="35"/>
        <v>Slough</v>
      </c>
      <c r="Z124" s="372">
        <f>IF(Year1_Slough Year1_Assessments_within45days="","",Year1_Slough Year1_Assessments_within45days)</f>
        <v>2403</v>
      </c>
      <c r="AA124" s="372">
        <f>IF(Year2_Slough Year2_Assessments_within45days="","",Year2_Slough Year2_Assessments_within45days)</f>
        <v>2006</v>
      </c>
      <c r="AB124" s="372">
        <f>IF(Year3_Slough Year3_Assessments_within45days="","",Year3_Slough Year3_Assessments_within45days)</f>
        <v>841</v>
      </c>
      <c r="AC124" s="372">
        <f>IF(Year4_Slough Year4_Assessments_within45days="","",Year4_Slough Year4_Assessments_within45days)</f>
        <v>1477</v>
      </c>
      <c r="AD124" s="577">
        <f>IF(Year5_Slough Year5_Assessments_within45days="","",Year5_Slough Year5_Assessments_within45days)</f>
        <v>1787</v>
      </c>
      <c r="AE124" s="581">
        <f>IF(Year1_Slough Year1_Continuous_assessments="","",Year1_Slough Year1_Continuous_assessments)</f>
        <v>2588</v>
      </c>
      <c r="AF124" s="489">
        <f>IF(Year2_Slough Year2_Continuous_assessments="","",Year2_Slough Year2_Continuous_assessments)</f>
        <v>2339</v>
      </c>
      <c r="AG124" s="489">
        <f>IF(Year3_Slough Year3_Continuous_assessments="","",Year3_Slough Year3_Continuous_assessments)</f>
        <v>1486</v>
      </c>
      <c r="AH124" s="489">
        <f>IF(Year4_Slough Year4_Continuous_assessments="","",Year4_Slough Year4_Continuous_assessments)</f>
        <v>1853</v>
      </c>
      <c r="AI124" s="489">
        <f>IF(Year5_Slough Year5_Continuous_assessments="","",Year5_Slough Year5_Continuous_assessments)</f>
        <v>2418</v>
      </c>
      <c r="AJ124" s="190"/>
      <c r="AK124" s="160"/>
    </row>
    <row r="125" spans="1:46" s="87" customFormat="1" ht="12.75" customHeight="1" x14ac:dyDescent="0.2">
      <c r="A125" s="488">
        <f>VLOOKUP(B125,Sheet1!$AQ$4:$AR$25,2,FALSE)</f>
        <v>0</v>
      </c>
      <c r="B125" s="93" t="str">
        <f t="shared" si="25"/>
        <v>Somerset</v>
      </c>
      <c r="C125" s="85"/>
      <c r="D125" s="162">
        <f t="shared" si="30"/>
        <v>0.68116927260367099</v>
      </c>
      <c r="E125" s="162">
        <f t="shared" si="31"/>
        <v>0.89199029126213591</v>
      </c>
      <c r="F125" s="162">
        <f t="shared" si="32"/>
        <v>0.80662488809310651</v>
      </c>
      <c r="G125" s="162">
        <f t="shared" si="33"/>
        <v>0.76045719844357973</v>
      </c>
      <c r="H125" s="164">
        <f t="shared" si="34"/>
        <v>0.82956259426847667</v>
      </c>
      <c r="I125" s="96"/>
      <c r="J125" s="96"/>
      <c r="K125" s="166"/>
      <c r="L125" s="166"/>
      <c r="M125" s="166"/>
      <c r="N125" s="166"/>
      <c r="O125" s="166"/>
      <c r="P125" s="166"/>
      <c r="Q125" s="166"/>
      <c r="R125" s="167"/>
      <c r="S125" s="159"/>
      <c r="T125" s="159"/>
      <c r="U125" s="166"/>
      <c r="V125" s="122"/>
      <c r="W125" s="139"/>
      <c r="X125" s="152"/>
      <c r="Y125" s="436" t="str">
        <f t="shared" si="35"/>
        <v>Somerset</v>
      </c>
      <c r="Z125" s="372">
        <f>IF(Year1_Somerset Year1_Assessments_within45days="","",Year1_Somerset Year1_Assessments_within45days)</f>
        <v>3006</v>
      </c>
      <c r="AA125" s="372">
        <f>IF(Year2_Somerset Year2_Assessments_within45days="","",Year2_Somerset Year2_Assessments_within45days)</f>
        <v>4410</v>
      </c>
      <c r="AB125" s="372">
        <f>IF(Year3_Somerset Year3_Assessments_within45days="","",Year3_Somerset Year3_Assessments_within45days)</f>
        <v>4505</v>
      </c>
      <c r="AC125" s="372">
        <f>IF(Year4_Somerset Year4_Assessments_within45days="","",Year4_Somerset Year4_Assessments_within45days)</f>
        <v>3127</v>
      </c>
      <c r="AD125" s="577">
        <f>IF(Year5_Somerset Year5_Assessments_within45days="","",Year5_Somerset Year5_Assessments_within45days)</f>
        <v>2750</v>
      </c>
      <c r="AE125" s="581">
        <f>IF(Year1_Somerset Year1_Continuous_assessments="","",Year1_Somerset Year1_Continuous_assessments)</f>
        <v>4413</v>
      </c>
      <c r="AF125" s="489">
        <f>IF(Year2_Somerset Year2_Continuous_assessments="","",Year2_Somerset Year2_Continuous_assessments)</f>
        <v>4944</v>
      </c>
      <c r="AG125" s="489">
        <f>IF(Year3_Somerset Year3_Continuous_assessments="","",Year3_Somerset Year3_Continuous_assessments)</f>
        <v>5585</v>
      </c>
      <c r="AH125" s="489">
        <f>IF(Year4_Somerset Year4_Continuous_assessments="","",Year4_Somerset Year4_Continuous_assessments)</f>
        <v>4112</v>
      </c>
      <c r="AI125" s="489">
        <f>IF(Year5_Somerset Year5_Continuous_assessments="","",Year5_Somerset Year5_Continuous_assessments)</f>
        <v>3315</v>
      </c>
      <c r="AJ125" s="190"/>
      <c r="AK125" s="160"/>
    </row>
    <row r="126" spans="1:46" s="87" customFormat="1" ht="12.75" customHeight="1" x14ac:dyDescent="0.2">
      <c r="A126" s="488">
        <f>VLOOKUP(B126,Sheet1!$AQ$4:$AR$25,2,FALSE)</f>
        <v>0</v>
      </c>
      <c r="B126" s="93" t="str">
        <f t="shared" si="25"/>
        <v>Southampton</v>
      </c>
      <c r="C126" s="85"/>
      <c r="D126" s="162">
        <f t="shared" si="30"/>
        <v>0.84843492586490943</v>
      </c>
      <c r="E126" s="162">
        <f t="shared" si="31"/>
        <v>0.67984934086629001</v>
      </c>
      <c r="F126" s="162">
        <f t="shared" si="32"/>
        <v>0.82916307161345992</v>
      </c>
      <c r="G126" s="162">
        <f t="shared" si="33"/>
        <v>0.66094771241830064</v>
      </c>
      <c r="H126" s="164">
        <f t="shared" si="34"/>
        <v>0.65254237288135597</v>
      </c>
      <c r="I126" s="96"/>
      <c r="J126" s="96"/>
      <c r="K126" s="166"/>
      <c r="L126" s="166"/>
      <c r="M126" s="166"/>
      <c r="N126" s="166"/>
      <c r="O126" s="166"/>
      <c r="P126" s="166"/>
      <c r="Q126" s="166"/>
      <c r="R126" s="167"/>
      <c r="S126" s="159"/>
      <c r="T126" s="159"/>
      <c r="U126" s="166"/>
      <c r="V126" s="122"/>
      <c r="W126" s="139"/>
      <c r="X126" s="152"/>
      <c r="Y126" s="436" t="str">
        <f t="shared" si="35"/>
        <v>Southampton</v>
      </c>
      <c r="Z126" s="372">
        <f>IF(Year1_Southampton Year1_Assessments_within45days="","",Year1_Southampton Year1_Assessments_within45days)</f>
        <v>2575</v>
      </c>
      <c r="AA126" s="372">
        <f>IF(Year2_Southampton Year2_Assessments_within45days="","",Year2_Southampton Year2_Assessments_within45days)</f>
        <v>1805</v>
      </c>
      <c r="AB126" s="372">
        <f>IF(Year3_Southampton Year3_Assessments_within45days="","",Year3_Southampton Year3_Assessments_within45days)</f>
        <v>1922</v>
      </c>
      <c r="AC126" s="372">
        <f>IF(Year4_Southampton Year4_Assessments_within45days="","",Year4_Southampton Year4_Assessments_within45days)</f>
        <v>1618</v>
      </c>
      <c r="AD126" s="577">
        <f>IF(Year5_Southampton Year5_Assessments_within45days="","",Year5_Southampton Year5_Assessments_within45days)</f>
        <v>3003</v>
      </c>
      <c r="AE126" s="581">
        <f>IF(Year1_Southampton Year1_Continuous_assessments="","",Year1_Southampton Year1_Continuous_assessments)</f>
        <v>3035</v>
      </c>
      <c r="AF126" s="489">
        <f>IF(Year2_Southampton Year2_Continuous_assessments="","",Year2_Southampton Year2_Continuous_assessments)</f>
        <v>2655</v>
      </c>
      <c r="AG126" s="489">
        <f>IF(Year3_Southampton Year3_Continuous_assessments="","",Year3_Southampton Year3_Continuous_assessments)</f>
        <v>2318</v>
      </c>
      <c r="AH126" s="489">
        <f>IF(Year4_Southampton Year4_Continuous_assessments="","",Year4_Southampton Year4_Continuous_assessments)</f>
        <v>2448</v>
      </c>
      <c r="AI126" s="489">
        <f>IF(Year5_Southampton Year5_Continuous_assessments="","",Year5_Southampton Year5_Continuous_assessments)</f>
        <v>4602</v>
      </c>
      <c r="AJ126" s="190"/>
      <c r="AK126" s="160"/>
    </row>
    <row r="127" spans="1:46" s="87" customFormat="1" ht="12.75" customHeight="1" x14ac:dyDescent="0.2">
      <c r="A127" s="488">
        <f>VLOOKUP(B127,Sheet1!$AQ$4:$AR$25,2,FALSE)</f>
        <v>0</v>
      </c>
      <c r="B127" s="93" t="str">
        <f t="shared" si="25"/>
        <v>Surrey</v>
      </c>
      <c r="C127" s="85"/>
      <c r="D127" s="162">
        <f t="shared" si="30"/>
        <v>0.6516346311812059</v>
      </c>
      <c r="E127" s="162">
        <f t="shared" si="31"/>
        <v>0.75511562136083843</v>
      </c>
      <c r="F127" s="162">
        <f t="shared" si="32"/>
        <v>0.75856586374115587</v>
      </c>
      <c r="G127" s="162">
        <f t="shared" si="33"/>
        <v>0.73061982773180201</v>
      </c>
      <c r="H127" s="164">
        <f t="shared" si="34"/>
        <v>0.81808803301237965</v>
      </c>
      <c r="I127" s="96"/>
      <c r="J127" s="96"/>
      <c r="K127" s="166"/>
      <c r="L127" s="166"/>
      <c r="M127" s="166"/>
      <c r="N127" s="166"/>
      <c r="O127" s="166"/>
      <c r="P127" s="166"/>
      <c r="Q127" s="166"/>
      <c r="R127" s="167"/>
      <c r="S127" s="159"/>
      <c r="T127" s="159"/>
      <c r="U127" s="166"/>
      <c r="V127" s="122"/>
      <c r="W127" s="139"/>
      <c r="X127" s="152"/>
      <c r="Y127" s="436" t="str">
        <f t="shared" si="35"/>
        <v>Surrey</v>
      </c>
      <c r="Z127" s="372">
        <f>IF(Year1_Surrey Year1_Assessments_within45days="","",Year1_Surrey Year1_Assessments_within45days)</f>
        <v>7933</v>
      </c>
      <c r="AA127" s="372">
        <f>IF(Year2_Surrey Year2_Assessments_within45days="","",Year2_Surrey Year2_Assessments_within45days)</f>
        <v>9078</v>
      </c>
      <c r="AB127" s="372">
        <f>IF(Year3_Surrey Year3_Assessments_within45days="","",Year3_Surrey Year3_Assessments_within45days)</f>
        <v>9542</v>
      </c>
      <c r="AC127" s="372">
        <f>IF(Year4_Surrey Year4_Assessments_within45days="","",Year4_Surrey Year4_Assessments_within45days)</f>
        <v>8652</v>
      </c>
      <c r="AD127" s="577">
        <f>IF(Year5_Surrey Year5_Assessments_within45days="","",Year5_Surrey Year5_Assessments_within45days)</f>
        <v>7137</v>
      </c>
      <c r="AE127" s="581">
        <f>IF(Year1_Surrey Year1_Continuous_assessments="","",Year1_Surrey Year1_Continuous_assessments)</f>
        <v>12174</v>
      </c>
      <c r="AF127" s="489">
        <f>IF(Year2_Surrey Year2_Continuous_assessments="","",Year2_Surrey Year2_Continuous_assessments)</f>
        <v>12022</v>
      </c>
      <c r="AG127" s="489">
        <f>IF(Year3_Surrey Year3_Continuous_assessments="","",Year3_Surrey Year3_Continuous_assessments)</f>
        <v>12579</v>
      </c>
      <c r="AH127" s="489">
        <f>IF(Year4_Surrey Year4_Continuous_assessments="","",Year4_Surrey Year4_Continuous_assessments)</f>
        <v>11842</v>
      </c>
      <c r="AI127" s="489">
        <f>IF(Year5_Surrey Year5_Continuous_assessments="","",Year5_Surrey Year5_Continuous_assessments)</f>
        <v>8724</v>
      </c>
      <c r="AJ127" s="190"/>
      <c r="AK127" s="160"/>
    </row>
    <row r="128" spans="1:46" s="87" customFormat="1" ht="12.75" customHeight="1" x14ac:dyDescent="0.2">
      <c r="A128" s="488">
        <f>VLOOKUP(B128,Sheet1!$AQ$4:$AR$25,2,FALSE)</f>
        <v>0</v>
      </c>
      <c r="B128" s="93" t="str">
        <f t="shared" si="25"/>
        <v>Swindon</v>
      </c>
      <c r="C128" s="85"/>
      <c r="D128" s="162">
        <f t="shared" si="30"/>
        <v>0.60688117234788153</v>
      </c>
      <c r="E128" s="162">
        <f t="shared" si="31"/>
        <v>0.59084836339345359</v>
      </c>
      <c r="F128" s="162">
        <f t="shared" si="32"/>
        <v>0.71691526499523961</v>
      </c>
      <c r="G128" s="162">
        <f t="shared" si="33"/>
        <v>0.79471931493815418</v>
      </c>
      <c r="H128" s="164">
        <f t="shared" si="34"/>
        <v>0.93099442379182151</v>
      </c>
      <c r="I128" s="96"/>
      <c r="J128" s="96"/>
      <c r="K128" s="166"/>
      <c r="L128" s="166"/>
      <c r="M128" s="166"/>
      <c r="N128" s="166"/>
      <c r="O128" s="166"/>
      <c r="P128" s="166"/>
      <c r="Q128" s="166"/>
      <c r="R128" s="167"/>
      <c r="S128" s="159"/>
      <c r="T128" s="159"/>
      <c r="U128" s="166"/>
      <c r="V128" s="122"/>
      <c r="W128" s="139"/>
      <c r="X128" s="152"/>
      <c r="Y128" s="436" t="str">
        <f t="shared" si="35"/>
        <v>Swindon</v>
      </c>
      <c r="Z128" s="580">
        <f>IF(Year1_Swindon Year1_Assessments_within45days="","",Year1_Swindon Year1_Assessments_within45days)</f>
        <v>1905</v>
      </c>
      <c r="AA128" s="580">
        <f>IF(Year2_Swindon Year2_Assessments_within45days="","",Year2_Swindon Year2_Assessments_within45days)</f>
        <v>1769</v>
      </c>
      <c r="AB128" s="580">
        <f>IF(Year3_Swindon Year3_Assessments_within45days="","",Year3_Swindon Year3_Assessments_within45days)</f>
        <v>2259</v>
      </c>
      <c r="AC128" s="580">
        <f>IF(Year4_Swindon Year4_Assessments_within45days="","",Year4_Swindon Year4_Assessments_within45days)</f>
        <v>3341</v>
      </c>
      <c r="AD128" s="582">
        <f>IF(Year5_Swindon Year5_Assessments_within45days="","",Year5_Swindon Year5_Assessments_within45days)</f>
        <v>4007</v>
      </c>
      <c r="AE128" s="581">
        <f>IF(Year1_Swindon Year1_Continuous_assessments="","",Year1_Swindon Year1_Continuous_assessments)</f>
        <v>3139</v>
      </c>
      <c r="AF128" s="489">
        <f>IF(Year2_Swindon Year2_Continuous_assessments="","",Year2_Swindon Year2_Continuous_assessments)</f>
        <v>2994</v>
      </c>
      <c r="AG128" s="489">
        <f>IF(Year3_Swindon Year3_Continuous_assessments="","",Year3_Swindon Year3_Continuous_assessments)</f>
        <v>3151</v>
      </c>
      <c r="AH128" s="489">
        <f>IF(Year4_Swindon Year4_Continuous_assessments="","",Year4_Swindon Year4_Continuous_assessments)</f>
        <v>4204</v>
      </c>
      <c r="AI128" s="489">
        <f>IF(Year5_Swindon Year5_Continuous_assessments="","",Year5_Swindon Year5_Continuous_assessments)</f>
        <v>4304</v>
      </c>
      <c r="AJ128" s="190"/>
      <c r="AK128" s="160"/>
    </row>
    <row r="129" spans="1:46" s="87" customFormat="1" ht="12.75" customHeight="1" x14ac:dyDescent="0.2">
      <c r="A129" s="488">
        <f>VLOOKUP(B129,Sheet1!$AQ$4:$AR$25,2,FALSE)</f>
        <v>0</v>
      </c>
      <c r="B129" s="93" t="str">
        <f t="shared" si="25"/>
        <v>Torbay</v>
      </c>
      <c r="C129" s="85"/>
      <c r="D129" s="162">
        <f t="shared" si="30"/>
        <v>0.90115532734274706</v>
      </c>
      <c r="E129" s="162">
        <f t="shared" si="31"/>
        <v>0.81576253838280455</v>
      </c>
      <c r="F129" s="162">
        <f t="shared" si="32"/>
        <v>0.72042440318302392</v>
      </c>
      <c r="G129" s="162">
        <f t="shared" si="33"/>
        <v>0.74375000000000002</v>
      </c>
      <c r="H129" s="164">
        <f t="shared" si="34"/>
        <v>0.80328905755850732</v>
      </c>
      <c r="I129" s="96"/>
      <c r="J129" s="96"/>
      <c r="K129" s="166"/>
      <c r="L129" s="166"/>
      <c r="M129" s="166"/>
      <c r="N129" s="166"/>
      <c r="O129" s="166"/>
      <c r="P129" s="166"/>
      <c r="Q129" s="166"/>
      <c r="R129" s="167"/>
      <c r="S129" s="159"/>
      <c r="T129" s="159"/>
      <c r="U129" s="166"/>
      <c r="V129" s="122"/>
      <c r="W129" s="139"/>
      <c r="X129" s="152"/>
      <c r="Y129" s="436" t="str">
        <f t="shared" si="35"/>
        <v>Torbay</v>
      </c>
      <c r="Z129" s="580">
        <f>IF(Year1_Torbay Year1_Assessments_within45days="","",Year1_Torbay Year1_Assessments_within45days)</f>
        <v>1404</v>
      </c>
      <c r="AA129" s="580">
        <f>IF(Year2_Torbay Year2_Assessments_within45days="","",Year2_Torbay Year2_Assessments_within45days)</f>
        <v>797</v>
      </c>
      <c r="AB129" s="580">
        <f>IF(Year3_Torbay Year3_Assessments_within45days="","",Year3_Torbay Year3_Assessments_within45days)</f>
        <v>1358</v>
      </c>
      <c r="AC129" s="580">
        <f>IF(Year4_Torbay Year4_Assessments_within45days="","",Year4_Torbay Year4_Assessments_within45days)</f>
        <v>1309</v>
      </c>
      <c r="AD129" s="582">
        <f>IF(Year5_Torbay Year5_Assessments_within45days="","",Year5_Torbay Year5_Assessments_within45days)</f>
        <v>1270</v>
      </c>
      <c r="AE129" s="581">
        <f>IF(Year1_Torbay Year1_Continuous_assessments="","",Year1_Torbay Year1_Continuous_assessments)</f>
        <v>1558</v>
      </c>
      <c r="AF129" s="489">
        <f>IF(Year2_Torbay Year2_Continuous_assessments="","",Year2_Torbay Year2_Continuous_assessments)</f>
        <v>977</v>
      </c>
      <c r="AG129" s="489">
        <f>IF(Year3_Torbay Year3_Continuous_assessments="","",Year3_Torbay Year3_Continuous_assessments)</f>
        <v>1885</v>
      </c>
      <c r="AH129" s="489">
        <f>IF(Year4_Torbay Year4_Continuous_assessments="","",Year4_Torbay Year4_Continuous_assessments)</f>
        <v>1760</v>
      </c>
      <c r="AI129" s="489">
        <f>IF(Year5_Torbay Year5_Continuous_assessments="","",Year5_Torbay Year5_Continuous_assessments)</f>
        <v>1581</v>
      </c>
      <c r="AJ129" s="190"/>
      <c r="AK129" s="160"/>
    </row>
    <row r="130" spans="1:46" s="87" customFormat="1" ht="12.75" customHeight="1" x14ac:dyDescent="0.2">
      <c r="A130" s="488">
        <f>VLOOKUP(B130,Sheet1!$AQ$4:$AR$25,2,FALSE)</f>
        <v>0</v>
      </c>
      <c r="B130" s="93" t="str">
        <f t="shared" si="25"/>
        <v>West Berkshire</v>
      </c>
      <c r="C130" s="85"/>
      <c r="D130" s="162">
        <f t="shared" si="30"/>
        <v>0.86052998605299857</v>
      </c>
      <c r="E130" s="162">
        <f t="shared" si="31"/>
        <v>0.96673320026613441</v>
      </c>
      <c r="F130" s="162">
        <f t="shared" si="32"/>
        <v>0.98258426966292134</v>
      </c>
      <c r="G130" s="162">
        <f t="shared" si="33"/>
        <v>0.96980029225523623</v>
      </c>
      <c r="H130" s="164">
        <f t="shared" si="34"/>
        <v>0.99090422685928303</v>
      </c>
      <c r="I130" s="96"/>
      <c r="J130" s="96"/>
      <c r="K130" s="166"/>
      <c r="L130" s="166"/>
      <c r="M130" s="166"/>
      <c r="N130" s="166"/>
      <c r="O130" s="166"/>
      <c r="P130" s="166"/>
      <c r="Q130" s="166"/>
      <c r="R130" s="167"/>
      <c r="S130" s="159"/>
      <c r="T130" s="159"/>
      <c r="U130" s="166"/>
      <c r="V130" s="122"/>
      <c r="W130" s="139"/>
      <c r="X130" s="152"/>
      <c r="Y130" s="436" t="str">
        <f t="shared" si="35"/>
        <v>West Berkshire</v>
      </c>
      <c r="Z130" s="372">
        <f>IF(Year1_West_Berkshire Year1_Assessments_within45days="","",Year1_West_Berkshire Year1_Assessments_within45days)</f>
        <v>1234</v>
      </c>
      <c r="AA130" s="372">
        <f>IF(Year2_West_Berkshire Year2_Assessments_within45days="","",Year2_West_Berkshire Year2_Assessments_within45days)</f>
        <v>1453</v>
      </c>
      <c r="AB130" s="372">
        <f>IF(Year3_West_Berkshire Year3_Assessments_within45days="","",Year3_West_Berkshire Year3_Assessments_within45days)</f>
        <v>1749</v>
      </c>
      <c r="AC130" s="372">
        <f>IF(Year4_West_Berkshire Year4_Assessments_within45days="","",Year4_West_Berkshire Year4_Assessments_within45days)</f>
        <v>1991</v>
      </c>
      <c r="AD130" s="577">
        <f>IF(Year5_West_Berkshire Year5_Assessments_within45days="","",Year5_West_Berkshire Year5_Assessments_within45days)</f>
        <v>1852</v>
      </c>
      <c r="AE130" s="581">
        <f>IF(Year1_West_Berkshire Year1_Continuous_assessments="","",Year1_West_Berkshire Year1_Continuous_assessments)</f>
        <v>1434</v>
      </c>
      <c r="AF130" s="489">
        <f>IF(Year2_West_Berkshire Year2_Continuous_assessments="","",Year2_West_Berkshire Year2_Continuous_assessments)</f>
        <v>1503</v>
      </c>
      <c r="AG130" s="489">
        <f>IF(Year3_West_Berkshire Year3_Continuous_assessments="","",Year3_West_Berkshire Year3_Continuous_assessments)</f>
        <v>1780</v>
      </c>
      <c r="AH130" s="489">
        <f>IF(Year4_West_Berkshire Year4_Continuous_assessments="","",Year4_West_Berkshire Year4_Continuous_assessments)</f>
        <v>2053</v>
      </c>
      <c r="AI130" s="489">
        <f>IF(Year5_West_Berkshire Year5_Continuous_assessments="","",Year5_West_Berkshire Year5_Continuous_assessments)</f>
        <v>1869</v>
      </c>
      <c r="AJ130" s="190"/>
      <c r="AK130" s="160"/>
    </row>
    <row r="131" spans="1:46" s="87" customFormat="1" ht="12.75" customHeight="1" x14ac:dyDescent="0.2">
      <c r="A131" s="488">
        <f>VLOOKUP(B131,Sheet1!$AQ$4:$AR$25,2,FALSE)</f>
        <v>0</v>
      </c>
      <c r="B131" s="93" t="str">
        <f t="shared" si="25"/>
        <v>West Sussex</v>
      </c>
      <c r="C131" s="85"/>
      <c r="D131" s="162">
        <f t="shared" si="30"/>
        <v>0.96490288010716674</v>
      </c>
      <c r="E131" s="162">
        <f t="shared" si="31"/>
        <v>0.96934363946023849</v>
      </c>
      <c r="F131" s="162">
        <f t="shared" si="32"/>
        <v>0.97780887644942027</v>
      </c>
      <c r="G131" s="162">
        <f t="shared" si="33"/>
        <v>0.85417867435158501</v>
      </c>
      <c r="H131" s="164">
        <f t="shared" si="34"/>
        <v>0.87779690189328741</v>
      </c>
      <c r="I131" s="96"/>
      <c r="J131" s="96"/>
      <c r="K131" s="166"/>
      <c r="L131" s="166"/>
      <c r="M131" s="166"/>
      <c r="N131" s="166"/>
      <c r="O131" s="166"/>
      <c r="P131" s="166"/>
      <c r="Q131" s="166"/>
      <c r="R131" s="167"/>
      <c r="S131" s="159"/>
      <c r="T131" s="159"/>
      <c r="U131" s="166"/>
      <c r="V131" s="122"/>
      <c r="W131" s="139"/>
      <c r="X131" s="152"/>
      <c r="Y131" s="436" t="str">
        <f t="shared" si="35"/>
        <v>West Sussex</v>
      </c>
      <c r="Z131" s="372">
        <f>IF(Year1_West_Sussex Year1_Assessments_within45days="","",Year1_West_Sussex Year1_Assessments_within45days)</f>
        <v>7203</v>
      </c>
      <c r="AA131" s="372">
        <f>IF(Year2_West_Sussex Year2_Assessments_within45days="","",Year2_West_Sussex Year2_Assessments_within45days)</f>
        <v>7399</v>
      </c>
      <c r="AB131" s="372">
        <f>IF(Year3_West_Sussex Year3_Assessments_within45days="","",Year3_West_Sussex Year3_Assessments_within45days)</f>
        <v>9782</v>
      </c>
      <c r="AC131" s="372">
        <f>IF(Year4_West_Sussex Year4_Assessments_within45days="","",Year4_West_Sussex Year4_Assessments_within45days)</f>
        <v>8892</v>
      </c>
      <c r="AD131" s="577">
        <f>IF(Year5_West_Sussex Year5_Assessments_within45days="","",Year5_West_Sussex Year5_Assessments_within45days)</f>
        <v>9180</v>
      </c>
      <c r="AE131" s="581">
        <f>IF(Year1_West_Sussex Year1_Continuous_assessments="","",Year1_West_Sussex Year1_Continuous_assessments)</f>
        <v>7465</v>
      </c>
      <c r="AF131" s="489">
        <f>IF(Year2_West_Sussex Year2_Continuous_assessments="","",Year2_West_Sussex Year2_Continuous_assessments)</f>
        <v>7633</v>
      </c>
      <c r="AG131" s="489">
        <f>IF(Year3_West_Sussex Year3_Continuous_assessments="","",Year3_West_Sussex Year3_Continuous_assessments)</f>
        <v>10004</v>
      </c>
      <c r="AH131" s="489">
        <f>IF(Year4_West_Sussex Year4_Continuous_assessments="","",Year4_West_Sussex Year4_Continuous_assessments)</f>
        <v>10410</v>
      </c>
      <c r="AI131" s="489">
        <f>IF(Year5_West_Sussex Year5_Continuous_assessments="","",Year5_West_Sussex Year5_Continuous_assessments)</f>
        <v>10458</v>
      </c>
      <c r="AJ131" s="190"/>
      <c r="AK131" s="160"/>
    </row>
    <row r="132" spans="1:46" s="87" customFormat="1" ht="12.75" customHeight="1" x14ac:dyDescent="0.2">
      <c r="A132" s="488">
        <f>VLOOKUP(B132,Sheet1!$AQ$4:$AR$25,2,FALSE)</f>
        <v>0</v>
      </c>
      <c r="B132" s="93" t="str">
        <f t="shared" si="25"/>
        <v>Windsor &amp; Maidenhead</v>
      </c>
      <c r="C132" s="85"/>
      <c r="D132" s="162">
        <f t="shared" si="30"/>
        <v>0.81060606060606055</v>
      </c>
      <c r="E132" s="162">
        <f t="shared" si="31"/>
        <v>0.57485029940119758</v>
      </c>
      <c r="F132" s="162">
        <f t="shared" si="32"/>
        <v>0.57126696832579182</v>
      </c>
      <c r="G132" s="162">
        <f t="shared" si="33"/>
        <v>0.61585365853658536</v>
      </c>
      <c r="H132" s="164">
        <f t="shared" si="34"/>
        <v>0.93063583815028905</v>
      </c>
      <c r="I132" s="96"/>
      <c r="J132" s="96"/>
      <c r="K132" s="166"/>
      <c r="L132" s="166"/>
      <c r="M132" s="166"/>
      <c r="N132" s="166"/>
      <c r="O132" s="166"/>
      <c r="P132" s="166"/>
      <c r="Q132" s="166"/>
      <c r="R132" s="167"/>
      <c r="S132" s="159"/>
      <c r="T132" s="159"/>
      <c r="U132" s="166"/>
      <c r="V132" s="122"/>
      <c r="W132" s="139"/>
      <c r="X132" s="152"/>
      <c r="Y132" s="436" t="str">
        <f t="shared" si="35"/>
        <v>Windsor &amp; Maidenhead</v>
      </c>
      <c r="Z132" s="372">
        <f>IF(Year1_Windsor_Maidenhead Year1_Assessments_within45days="","",Year1_Windsor_Maidenhead Year1_Assessments_within45days)</f>
        <v>749</v>
      </c>
      <c r="AA132" s="372">
        <f>IF(Year2_Windsor_Maidenhead Year2_Assessments_within45days="","",Year2_Windsor_Maidenhead Year2_Assessments_within45days)</f>
        <v>384</v>
      </c>
      <c r="AB132" s="372">
        <f>IF(Year3_Windsor_Maidenhead Year3_Assessments_within45days="","",Year3_Windsor_Maidenhead Year3_Assessments_within45days)</f>
        <v>505</v>
      </c>
      <c r="AC132" s="372">
        <f>IF(Year4_Windsor_Maidenhead Year4_Assessments_within45days="","",Year4_Windsor_Maidenhead Year4_Assessments_within45days)</f>
        <v>505</v>
      </c>
      <c r="AD132" s="577">
        <f>IF(Year5_Windsor_Maidenhead Year5_Assessments_within45days="","",Year5_Windsor_Maidenhead Year5_Assessments_within45days)</f>
        <v>1127</v>
      </c>
      <c r="AE132" s="581">
        <f>IF(Year1_Windsor_Maidenhead Year1_Continuous_assessments="","",Year1_Windsor_Maidenhead Year1_Continuous_assessments)</f>
        <v>924</v>
      </c>
      <c r="AF132" s="489">
        <f>IF(Year2_Windsor_Maidenhead Year2_Continuous_assessments="","",Year2_Windsor_Maidenhead Year2_Continuous_assessments)</f>
        <v>668</v>
      </c>
      <c r="AG132" s="489">
        <f>IF(Year3_Windsor_Maidenhead Year3_Continuous_assessments="","",Year3_Windsor_Maidenhead Year3_Continuous_assessments)</f>
        <v>884</v>
      </c>
      <c r="AH132" s="489">
        <f>IF(Year4_Windsor_Maidenhead Year4_Continuous_assessments="","",Year4_Windsor_Maidenhead Year4_Continuous_assessments)</f>
        <v>820</v>
      </c>
      <c r="AI132" s="489">
        <f>IF(Year5_Windsor_Maidenhead Year5_Continuous_assessments="","",Year5_Windsor_Maidenhead Year5_Continuous_assessments)</f>
        <v>1211</v>
      </c>
      <c r="AJ132" s="190"/>
      <c r="AK132" s="160"/>
    </row>
    <row r="133" spans="1:46" s="87" customFormat="1" ht="12.75" customHeight="1" x14ac:dyDescent="0.2">
      <c r="A133" s="488">
        <f>VLOOKUP(B133,Sheet1!$AQ$4:$AR$25,2,FALSE)</f>
        <v>0</v>
      </c>
      <c r="B133" s="93" t="str">
        <f t="shared" si="25"/>
        <v>Wokingham</v>
      </c>
      <c r="C133" s="85"/>
      <c r="D133" s="162">
        <f t="shared" si="30"/>
        <v>0.9521276595744681</v>
      </c>
      <c r="E133" s="162">
        <f t="shared" si="31"/>
        <v>0.85599999999999998</v>
      </c>
      <c r="F133" s="162">
        <f t="shared" si="32"/>
        <v>0.7308394160583942</v>
      </c>
      <c r="G133" s="162">
        <f t="shared" si="33"/>
        <v>0.7541834968263128</v>
      </c>
      <c r="H133" s="164">
        <f t="shared" si="34"/>
        <v>0.78744939271255066</v>
      </c>
      <c r="I133" s="96"/>
      <c r="J133" s="96"/>
      <c r="K133" s="166"/>
      <c r="L133" s="166"/>
      <c r="M133" s="166"/>
      <c r="N133" s="166"/>
      <c r="O133" s="166"/>
      <c r="P133" s="166"/>
      <c r="Q133" s="166"/>
      <c r="R133" s="167"/>
      <c r="S133" s="159"/>
      <c r="T133" s="159"/>
      <c r="U133" s="166"/>
      <c r="V133" s="122"/>
      <c r="W133" s="139"/>
      <c r="X133" s="152"/>
      <c r="Y133" s="436" t="str">
        <f t="shared" si="35"/>
        <v>Wokingham</v>
      </c>
      <c r="Z133" s="372">
        <f>IF(Year1_Wokingham Year1_Assessments_within45days="","",Year1_Wokingham Year1_Assessments_within45days)</f>
        <v>1074</v>
      </c>
      <c r="AA133" s="372">
        <f>IF(Year2_Wokingham Year2_Assessments_within45days="","",Year2_Wokingham Year2_Assessments_within45days)</f>
        <v>749</v>
      </c>
      <c r="AB133" s="372">
        <f>IF(Year3_Wokingham Year3_Assessments_within45days="","",Year3_Wokingham Year3_Assessments_within45days)</f>
        <v>801</v>
      </c>
      <c r="AC133" s="372">
        <f>IF(Year4_Wokingham Year4_Assessments_within45days="","",Year4_Wokingham Year4_Assessments_within45days)</f>
        <v>1307</v>
      </c>
      <c r="AD133" s="577">
        <f>IF(Year5_Wokingham Year5_Assessments_within45days="","",Year5_Wokingham Year5_Assessments_within45days)</f>
        <v>1167</v>
      </c>
      <c r="AE133" s="581">
        <f>IF(Year1_Wokingham Year1_Continuous_assessments="","",Year1_Wokingham Year1_Continuous_assessments)</f>
        <v>1128</v>
      </c>
      <c r="AF133" s="489">
        <f>IF(Year2_Wokingham Year2_Continuous_assessments="","",Year2_Wokingham Year2_Continuous_assessments)</f>
        <v>875</v>
      </c>
      <c r="AG133" s="489">
        <f>IF(Year3_Wokingham Year3_Continuous_assessments="","",Year3_Wokingham Year3_Continuous_assessments)</f>
        <v>1096</v>
      </c>
      <c r="AH133" s="489">
        <f>IF(Year4_Wokingham Year4_Continuous_assessments="","",Year4_Wokingham Year4_Continuous_assessments)</f>
        <v>1733</v>
      </c>
      <c r="AI133" s="489">
        <f>IF(Year5_Wokingham Year5_Continuous_assessments="","",Year5_Wokingham Year5_Continuous_assessments)</f>
        <v>1482</v>
      </c>
      <c r="AJ133" s="190"/>
      <c r="AK133" s="160"/>
    </row>
    <row r="134" spans="1:46" s="87" customFormat="1" ht="12.75" customHeight="1" x14ac:dyDescent="0.2">
      <c r="A134" s="121"/>
      <c r="B134" s="129" t="str">
        <f t="shared" si="25"/>
        <v>South East</v>
      </c>
      <c r="C134" s="85"/>
      <c r="D134" s="163">
        <f t="shared" si="30"/>
        <v>0.82711047848461627</v>
      </c>
      <c r="E134" s="163">
        <f t="shared" si="31"/>
        <v>0.83836032388663972</v>
      </c>
      <c r="F134" s="163">
        <f t="shared" si="32"/>
        <v>0.83770299354333788</v>
      </c>
      <c r="G134" s="163">
        <f t="shared" si="33"/>
        <v>0.82349480290252985</v>
      </c>
      <c r="H134" s="165">
        <f t="shared" si="34"/>
        <v>0.85129876006878447</v>
      </c>
      <c r="I134" s="96"/>
      <c r="J134" s="96"/>
      <c r="K134" s="168"/>
      <c r="L134" s="168"/>
      <c r="M134" s="168"/>
      <c r="N134" s="168"/>
      <c r="O134" s="168"/>
      <c r="P134" s="168"/>
      <c r="Q134" s="168"/>
      <c r="R134" s="169"/>
      <c r="S134" s="159"/>
      <c r="T134" s="159"/>
      <c r="U134" s="170"/>
      <c r="V134" s="122"/>
      <c r="W134" s="139"/>
      <c r="X134" s="152"/>
      <c r="Y134" s="436" t="str">
        <f t="shared" si="35"/>
        <v>South East</v>
      </c>
      <c r="Z134" s="489">
        <f>IF(Year1_SouthEast Year1_Assessments_within45days="","",Year1_SouthEast Year1_Assessments_within45days)</f>
        <v>75540</v>
      </c>
      <c r="AA134" s="489">
        <f>IF(Year2_SouthEast Year2_Assessments_within45days="","",Year2_SouthEast Year2_Assessments_within45days)</f>
        <v>82830</v>
      </c>
      <c r="AB134" s="489">
        <f>IF(Year3_SouthEast Year3_Assessments_within45days="","",Year3_SouthEast Year3_Assessments_within45days)</f>
        <v>85630</v>
      </c>
      <c r="AC134" s="489">
        <f>IF(Year4_SouthEast Year4_Assessments_within45days="","",Year4_SouthEast Year4_Assessments_within45days)</f>
        <v>83980</v>
      </c>
      <c r="AD134" s="578">
        <f>IF(Year5_SouthEast Year5_Assessments_within45days="","",Year5_SouthEast Year5_Assessments_within45days)</f>
        <v>94060</v>
      </c>
      <c r="AE134" s="581">
        <f>IF(Year1_SouthEast Year1_Continuous_assessments="","",Year1_SouthEast Year1_Continuous_assessments)</f>
        <v>91330</v>
      </c>
      <c r="AF134" s="489">
        <f>IF(Year2_SouthEast Year2_Continuous_assessments="","",Year2_SouthEast Year2_Continuous_assessments)</f>
        <v>98800</v>
      </c>
      <c r="AG134" s="489">
        <f>IF(Year3_SouthEast Year3_Continuous_assessments="","",Year3_SouthEast Year3_Continuous_assessments)</f>
        <v>102220</v>
      </c>
      <c r="AH134" s="489">
        <f>IF(Year4_SouthEast Year4_Continuous_assessments="","",Year4_SouthEast Year4_Continuous_assessments)</f>
        <v>101980</v>
      </c>
      <c r="AI134" s="489">
        <f>IF(Year5_SouthEast Year5_Continuous_assessments="","",Year5_SouthEast Year5_Continuous_assessments)</f>
        <v>110490</v>
      </c>
      <c r="AJ134" s="190"/>
      <c r="AK134" s="160"/>
    </row>
    <row r="135" spans="1:46" s="87" customFormat="1" ht="12.75" x14ac:dyDescent="0.2">
      <c r="A135" s="121"/>
      <c r="B135" s="329" t="s">
        <v>127</v>
      </c>
      <c r="C135" s="85"/>
      <c r="D135" s="351">
        <f t="shared" si="30"/>
        <v>0.8343537890980337</v>
      </c>
      <c r="E135" s="351">
        <f t="shared" si="31"/>
        <v>0.82934023200632745</v>
      </c>
      <c r="F135" s="351">
        <f t="shared" si="32"/>
        <v>0.82698676808493776</v>
      </c>
      <c r="G135" s="351">
        <f t="shared" si="33"/>
        <v>0.83147723042561117</v>
      </c>
      <c r="H135" s="352">
        <f t="shared" si="34"/>
        <v>0.83848095180867688</v>
      </c>
      <c r="I135" s="96"/>
      <c r="J135" s="96"/>
      <c r="K135" s="168"/>
      <c r="L135" s="168"/>
      <c r="M135" s="168"/>
      <c r="N135" s="168"/>
      <c r="O135" s="168"/>
      <c r="P135" s="168"/>
      <c r="Q135" s="168"/>
      <c r="R135" s="169"/>
      <c r="S135" s="159"/>
      <c r="T135" s="159"/>
      <c r="U135" s="170"/>
      <c r="V135" s="122"/>
      <c r="W135" s="139"/>
      <c r="X135" s="152"/>
      <c r="Y135" s="436" t="str">
        <f t="shared" si="35"/>
        <v>England</v>
      </c>
      <c r="Z135" s="372">
        <f>IF(Year1_England Year1_Assessments_within45days="","",Year1_England Year1_Assessments_within45days)</f>
        <v>476950</v>
      </c>
      <c r="AA135" s="372">
        <f>IF(Year2_England Year2_Assessments_within45days="","",Year2_England Year2_Assessments_within45days)</f>
        <v>503310</v>
      </c>
      <c r="AB135" s="372">
        <f>IF(Year3_England Year3_Assessments_within45days="","",Year3_England Year3_Assessments_within45days)</f>
        <v>521870</v>
      </c>
      <c r="AC135" s="372">
        <f>IF(Year4_England Year4_Assessments_within45days="","",Year4_England Year4_Assessments_within45days)</f>
        <v>536070</v>
      </c>
      <c r="AD135" s="577">
        <f>IF(Year5_England Year5_Assessments_within45days="","",Year5_England Year5_Assessments_within45days)</f>
        <v>558160</v>
      </c>
      <c r="AE135" s="581">
        <f>IF(Year1_England Year1_Continuous_assessments="","",Year1_England Year1_Continuous_assessments)</f>
        <v>571640</v>
      </c>
      <c r="AF135" s="489">
        <f>IF(Year2_England Year2_Continuous_assessments="","",Year2_England Year2_Continuous_assessments)</f>
        <v>606880</v>
      </c>
      <c r="AG135" s="489">
        <f>IF(Year3_England Year3_Continuous_assessments="","",Year3_England Year3_Continuous_assessments)</f>
        <v>631050</v>
      </c>
      <c r="AH135" s="489">
        <f>IF(Year4_England Year4_Continuous_assessments="","",Year4_England Year4_Continuous_assessments)</f>
        <v>644720</v>
      </c>
      <c r="AI135" s="489">
        <f>IF(Year5_England Year5_Continuous_assessments="","",Year5_England Year5_Continuous_assessments)</f>
        <v>665680</v>
      </c>
      <c r="AJ135" s="202"/>
      <c r="AK135" s="160"/>
    </row>
    <row r="136" spans="1:46" s="87" customFormat="1" ht="7.5" customHeight="1" x14ac:dyDescent="0.2">
      <c r="A136" s="292"/>
      <c r="B136" s="96"/>
      <c r="C136" s="96"/>
      <c r="D136" s="96"/>
      <c r="E136" s="96"/>
      <c r="F136" s="96"/>
      <c r="G136" s="96"/>
      <c r="H136" s="96"/>
      <c r="I136" s="96"/>
      <c r="J136" s="96"/>
      <c r="K136" s="168"/>
      <c r="L136" s="168"/>
      <c r="M136" s="168"/>
      <c r="N136" s="168"/>
      <c r="O136" s="168"/>
      <c r="P136" s="168"/>
      <c r="Q136" s="168"/>
      <c r="R136" s="169"/>
      <c r="S136" s="159"/>
      <c r="T136" s="159"/>
      <c r="U136" s="170"/>
      <c r="V136" s="122"/>
      <c r="W136" s="139"/>
      <c r="X136" s="152"/>
      <c r="Y136" s="81"/>
      <c r="Z136" s="81"/>
      <c r="AA136" s="196"/>
      <c r="AB136" s="196"/>
      <c r="AC136" s="197"/>
      <c r="AD136" s="197"/>
      <c r="AE136" s="199"/>
      <c r="AF136" s="202"/>
      <c r="AG136" s="202"/>
      <c r="AH136" s="202"/>
      <c r="AI136" s="190"/>
      <c r="AJ136" s="202"/>
      <c r="AK136" s="160"/>
    </row>
    <row r="137" spans="1:46" s="81" customFormat="1" ht="36.75" customHeight="1" x14ac:dyDescent="0.2">
      <c r="A137" s="217"/>
      <c r="B137" s="1905"/>
      <c r="C137" s="1905"/>
      <c r="D137" s="1905"/>
      <c r="E137" s="1905"/>
      <c r="F137" s="1905"/>
      <c r="G137" s="1905"/>
      <c r="H137" s="1905"/>
      <c r="I137" s="392"/>
      <c r="J137" s="172"/>
      <c r="K137" s="172"/>
      <c r="L137" s="172"/>
      <c r="M137" s="172"/>
      <c r="N137" s="172"/>
      <c r="O137" s="172"/>
      <c r="P137" s="172"/>
      <c r="Q137" s="172"/>
      <c r="R137" s="136"/>
      <c r="S137" s="172"/>
      <c r="T137" s="172"/>
      <c r="U137" s="172"/>
      <c r="V137" s="117"/>
      <c r="W137" s="137"/>
      <c r="X137" s="150"/>
      <c r="AD137" s="197"/>
      <c r="AE137" s="199"/>
      <c r="AF137" s="184"/>
      <c r="AG137" s="184"/>
      <c r="AH137" s="184"/>
      <c r="AJ137" s="184"/>
      <c r="AK137" s="161"/>
    </row>
    <row r="138" spans="1:46" s="81" customFormat="1" ht="42" customHeight="1" x14ac:dyDescent="0.2">
      <c r="A138" s="217"/>
      <c r="B138" s="392"/>
      <c r="C138" s="392"/>
      <c r="D138" s="392"/>
      <c r="E138" s="392"/>
      <c r="F138" s="392"/>
      <c r="G138" s="392"/>
      <c r="H138" s="392"/>
      <c r="I138" s="392"/>
      <c r="J138" s="172"/>
      <c r="K138" s="172"/>
      <c r="L138" s="172"/>
      <c r="M138" s="172"/>
      <c r="N138" s="172"/>
      <c r="O138" s="172"/>
      <c r="P138" s="172"/>
      <c r="Q138" s="172"/>
      <c r="R138" s="136"/>
      <c r="S138" s="172"/>
      <c r="T138" s="172"/>
      <c r="U138" s="172"/>
      <c r="V138" s="117"/>
      <c r="W138" s="137"/>
      <c r="X138" s="150"/>
      <c r="Z138" s="190"/>
      <c r="AE138" s="199"/>
      <c r="AF138" s="184"/>
      <c r="AG138" s="184"/>
      <c r="AH138" s="184"/>
      <c r="AJ138" s="184"/>
      <c r="AK138" s="161"/>
    </row>
    <row r="139" spans="1:46" s="81" customFormat="1" ht="36.75" customHeight="1" x14ac:dyDescent="0.2">
      <c r="A139" s="217"/>
      <c r="B139" s="392"/>
      <c r="C139" s="392"/>
      <c r="D139" s="392"/>
      <c r="E139" s="392"/>
      <c r="F139" s="392"/>
      <c r="G139" s="392"/>
      <c r="H139" s="392"/>
      <c r="I139" s="392"/>
      <c r="J139" s="172"/>
      <c r="K139" s="172"/>
      <c r="L139" s="172"/>
      <c r="M139" s="172"/>
      <c r="N139" s="172"/>
      <c r="O139" s="172"/>
      <c r="P139" s="172"/>
      <c r="Q139" s="172"/>
      <c r="R139" s="136"/>
      <c r="S139" s="172"/>
      <c r="T139" s="172"/>
      <c r="U139" s="172"/>
      <c r="V139" s="117"/>
      <c r="W139" s="137"/>
      <c r="X139" s="150"/>
      <c r="Z139" s="190"/>
      <c r="AE139" s="199"/>
      <c r="AF139" s="184"/>
      <c r="AG139" s="184"/>
      <c r="AH139" s="184"/>
      <c r="AJ139" s="184"/>
      <c r="AK139" s="161"/>
    </row>
    <row r="140" spans="1:46" s="81" customFormat="1" ht="7.5" customHeight="1" x14ac:dyDescent="0.2">
      <c r="A140" s="118"/>
      <c r="B140" s="17"/>
      <c r="C140" s="17"/>
      <c r="D140" s="16"/>
      <c r="E140" s="16"/>
      <c r="F140" s="16"/>
      <c r="G140" s="16"/>
      <c r="H140" s="16"/>
      <c r="I140" s="16"/>
      <c r="J140" s="12"/>
      <c r="K140" s="18"/>
      <c r="L140" s="18"/>
      <c r="M140" s="18"/>
      <c r="N140" s="18"/>
      <c r="O140" s="18"/>
      <c r="P140" s="18"/>
      <c r="Q140" s="18"/>
      <c r="R140" s="18"/>
      <c r="S140" s="18"/>
      <c r="T140" s="18"/>
      <c r="U140" s="19"/>
      <c r="V140" s="117"/>
      <c r="W140" s="137"/>
      <c r="X140" s="150"/>
      <c r="Z140" s="190"/>
      <c r="AJ140" s="184"/>
      <c r="AK140" s="157"/>
      <c r="AM140" s="74"/>
      <c r="AN140" s="74"/>
      <c r="AO140" s="74"/>
      <c r="AP140" s="74"/>
      <c r="AQ140" s="74"/>
      <c r="AR140" s="74"/>
    </row>
    <row r="141" spans="1:46" s="81" customFormat="1" ht="15" customHeight="1" x14ac:dyDescent="0.2">
      <c r="A141" s="1716"/>
      <c r="B141" s="1760"/>
      <c r="C141" s="1760"/>
      <c r="D141" s="1760"/>
      <c r="E141" s="1760"/>
      <c r="F141" s="1760"/>
      <c r="G141" s="1760"/>
      <c r="H141" s="1760"/>
      <c r="I141" s="1760"/>
      <c r="J141" s="1760"/>
      <c r="K141" s="1760"/>
      <c r="L141" s="1760"/>
      <c r="M141" s="1760"/>
      <c r="N141" s="1760"/>
      <c r="O141" s="1760"/>
      <c r="P141" s="1760"/>
      <c r="Q141" s="1760"/>
      <c r="R141" s="1760"/>
      <c r="S141" s="1760"/>
      <c r="T141" s="1760"/>
      <c r="U141" s="1760"/>
      <c r="V141" s="1761"/>
      <c r="W141" s="137"/>
      <c r="X141" s="150"/>
      <c r="AK141" s="161"/>
      <c r="AT141" s="74"/>
    </row>
    <row r="142" spans="1:46" s="81" customFormat="1" ht="11.25" customHeight="1" x14ac:dyDescent="0.2">
      <c r="A142" s="1765" t="str">
        <f>Home!$A$39</f>
        <v xml:space="preserve"> </v>
      </c>
      <c r="B142" s="1766"/>
      <c r="C142" s="1766"/>
      <c r="D142" s="1766"/>
      <c r="E142" s="1766"/>
      <c r="F142" s="1766"/>
      <c r="G142" s="1766"/>
      <c r="H142" s="1766"/>
      <c r="I142" s="1767"/>
      <c r="J142" s="1766"/>
      <c r="K142" s="1766"/>
      <c r="L142" s="1766"/>
      <c r="M142" s="1766"/>
      <c r="N142" s="1766"/>
      <c r="O142" s="1766"/>
      <c r="P142" s="1768"/>
      <c r="Q142" s="1766"/>
      <c r="R142" s="1766"/>
      <c r="S142" s="1766"/>
      <c r="T142" s="1767"/>
      <c r="U142" s="1766"/>
      <c r="V142" s="1769"/>
      <c r="W142" s="137"/>
      <c r="X142" s="150"/>
      <c r="AJ142" s="184"/>
      <c r="AK142" s="160"/>
      <c r="AM142" s="87"/>
      <c r="AT142" s="74"/>
    </row>
    <row r="143" spans="1:46" ht="11.25" customHeight="1" x14ac:dyDescent="0.2">
      <c r="A143" s="112"/>
      <c r="B143" s="113"/>
      <c r="C143" s="113"/>
      <c r="D143" s="113"/>
      <c r="E143" s="113"/>
      <c r="F143" s="113"/>
      <c r="G143" s="113"/>
      <c r="H143" s="113"/>
      <c r="I143" s="113"/>
      <c r="J143" s="114"/>
      <c r="K143" s="113"/>
      <c r="L143" s="113"/>
      <c r="M143" s="113"/>
      <c r="N143" s="113"/>
      <c r="O143" s="113"/>
      <c r="P143" s="113"/>
      <c r="Q143" s="113"/>
      <c r="R143" s="113"/>
      <c r="S143" s="113"/>
      <c r="T143" s="113"/>
      <c r="U143" s="113"/>
      <c r="V143" s="115"/>
      <c r="W143" s="137"/>
      <c r="X143" s="150"/>
      <c r="Y143" s="595"/>
      <c r="Z143" s="382"/>
      <c r="AA143" s="383"/>
      <c r="AB143" s="383"/>
      <c r="AC143" s="383"/>
      <c r="AD143" s="596"/>
      <c r="AE143" s="596"/>
      <c r="AJ143" s="184"/>
      <c r="AK143" s="157"/>
    </row>
    <row r="144" spans="1:46" s="76" customFormat="1" ht="15" customHeight="1" x14ac:dyDescent="0.2">
      <c r="A144" s="119"/>
      <c r="B144" s="1770" t="str">
        <f>"Proportion of Single Assessments completed within each 
time band ("&amp;Sheet1!$E$3&amp;")"</f>
        <v>Proportion of Single Assessments completed within each 
time band (2019-20)</v>
      </c>
      <c r="C144" s="1770"/>
      <c r="D144" s="1770"/>
      <c r="E144" s="1770"/>
      <c r="F144" s="1770"/>
      <c r="G144" s="1770"/>
      <c r="H144" s="1770"/>
      <c r="I144" s="1770"/>
      <c r="J144" s="70"/>
      <c r="K144" s="70"/>
      <c r="L144" s="70"/>
      <c r="M144" s="70"/>
      <c r="N144" s="317"/>
      <c r="O144" s="70"/>
      <c r="P144" s="70"/>
      <c r="Q144" s="70"/>
      <c r="R144" s="70"/>
      <c r="S144" s="70"/>
      <c r="T144" s="70"/>
      <c r="U144" s="70"/>
      <c r="V144" s="120"/>
      <c r="W144" s="138"/>
      <c r="X144" s="151"/>
      <c r="Y144" s="383"/>
      <c r="Z144" s="382"/>
      <c r="AA144" s="383"/>
      <c r="AB144" s="383"/>
      <c r="AC144" s="383"/>
      <c r="AD144" s="596"/>
      <c r="AE144" s="596"/>
      <c r="AF144" s="188"/>
      <c r="AG144" s="188"/>
      <c r="AH144" s="188"/>
      <c r="AI144" s="188"/>
      <c r="AJ144" s="188"/>
      <c r="AK144" s="158"/>
    </row>
    <row r="145" spans="1:46" ht="18" customHeight="1" x14ac:dyDescent="0.2">
      <c r="A145" s="118"/>
      <c r="B145" s="1770"/>
      <c r="C145" s="1770"/>
      <c r="D145" s="1770"/>
      <c r="E145" s="1770"/>
      <c r="F145" s="1770"/>
      <c r="G145" s="1770"/>
      <c r="H145" s="1770"/>
      <c r="I145" s="1770"/>
      <c r="J145" s="70"/>
      <c r="K145" s="70"/>
      <c r="L145" s="70"/>
      <c r="M145" s="70"/>
      <c r="N145" s="317"/>
      <c r="O145" s="70"/>
      <c r="P145" s="70"/>
      <c r="Q145" s="70"/>
      <c r="R145" s="10"/>
      <c r="S145" s="70"/>
      <c r="T145" s="70"/>
      <c r="U145" s="70"/>
      <c r="V145" s="117"/>
      <c r="W145" s="137"/>
      <c r="X145" s="150"/>
      <c r="Y145" s="383"/>
      <c r="AJ145" s="81"/>
      <c r="AK145" s="157"/>
    </row>
    <row r="146" spans="1:46" s="87" customFormat="1" ht="34.5" customHeight="1" x14ac:dyDescent="0.2">
      <c r="A146" s="121"/>
      <c r="B146" s="741" t="s">
        <v>205</v>
      </c>
      <c r="C146" s="85"/>
      <c r="D146" s="318" t="s">
        <v>133</v>
      </c>
      <c r="E146" s="318" t="s">
        <v>604</v>
      </c>
      <c r="F146" s="318" t="s">
        <v>605</v>
      </c>
      <c r="G146" s="318" t="s">
        <v>606</v>
      </c>
      <c r="H146" s="319" t="s">
        <v>137</v>
      </c>
      <c r="I146" s="96"/>
      <c r="J146" s="96"/>
      <c r="K146" s="61"/>
      <c r="L146" s="61"/>
      <c r="M146" s="61"/>
      <c r="N146" s="61"/>
      <c r="O146" s="61"/>
      <c r="P146" s="61"/>
      <c r="Q146" s="324"/>
      <c r="R146" s="324"/>
      <c r="S146" s="159"/>
      <c r="T146" s="159"/>
      <c r="U146" s="323"/>
      <c r="V146" s="122"/>
      <c r="W146" s="139"/>
      <c r="X146" s="152"/>
      <c r="Y146" s="372"/>
      <c r="Z146" s="597" t="str">
        <f>D146</f>
        <v>Within 10 Days</v>
      </c>
      <c r="AA146" s="597" t="str">
        <f>E146</f>
        <v>11-20 Days</v>
      </c>
      <c r="AB146" s="597" t="str">
        <f>F146</f>
        <v>21-30 Days</v>
      </c>
      <c r="AC146" s="597" t="str">
        <f>G146</f>
        <v>31-45 Days</v>
      </c>
      <c r="AD146" s="597" t="str">
        <f>H146</f>
        <v>Over 45 Days</v>
      </c>
      <c r="AE146" s="598" t="s">
        <v>87</v>
      </c>
      <c r="AF146" s="586" t="s">
        <v>109</v>
      </c>
      <c r="AG146" s="190"/>
      <c r="AH146" s="190"/>
      <c r="AI146" s="190"/>
      <c r="AJ146" s="190"/>
      <c r="AK146" s="160"/>
    </row>
    <row r="147" spans="1:46" s="87" customFormat="1" ht="12.75" customHeight="1" x14ac:dyDescent="0.2">
      <c r="A147" s="488">
        <f>VLOOKUP(B147,Sheet1!$AQ$4:$AR$25,2,FALSE)</f>
        <v>0</v>
      </c>
      <c r="B147" s="93" t="str">
        <f t="shared" ref="B147:B169" si="36">B10</f>
        <v>Bracknell Forest</v>
      </c>
      <c r="C147" s="85"/>
      <c r="D147" s="162">
        <f>IF(AND(ISNUMBER(Z147),$AE147&gt;0),Z147/$AE147,NA())</f>
        <v>0.18158066623122143</v>
      </c>
      <c r="E147" s="162">
        <f t="shared" ref="E147:H147" si="37">IF(AND(ISNUMBER(AA147),$AE147&gt;0),AA147/$AE147,NA())</f>
        <v>0.36903984323971262</v>
      </c>
      <c r="F147" s="162">
        <f t="shared" si="37"/>
        <v>0.18680600914435011</v>
      </c>
      <c r="G147" s="162">
        <f t="shared" si="37"/>
        <v>0.19986936642717179</v>
      </c>
      <c r="H147" s="164">
        <f t="shared" si="37"/>
        <v>6.2704114957544091E-2</v>
      </c>
      <c r="I147" s="96"/>
      <c r="J147" s="96"/>
      <c r="K147" s="166"/>
      <c r="L147" s="166"/>
      <c r="M147" s="166"/>
      <c r="N147" s="166"/>
      <c r="O147" s="166"/>
      <c r="P147" s="166"/>
      <c r="Q147" s="166"/>
      <c r="R147" s="167"/>
      <c r="S147" s="159"/>
      <c r="T147" s="159"/>
      <c r="U147" s="166"/>
      <c r="V147" s="122"/>
      <c r="W147" s="139"/>
      <c r="X147" s="152"/>
      <c r="Y147" s="436" t="str">
        <f>B147</f>
        <v>Bracknell Forest</v>
      </c>
      <c r="Z147" s="489">
        <f>IF(Year5_Bracknell_Forest Year5_Assessments_10days="","",Year5_Bracknell_Forest Year5_Assessments_10days)</f>
        <v>278</v>
      </c>
      <c r="AA147" s="372">
        <f>IF(Year5_Bracknell_Forest Year5_Assessments_11_25days="","",Year5_Bracknell_Forest Year5_Assessments_11_25days)</f>
        <v>565</v>
      </c>
      <c r="AB147" s="372">
        <f>IF(Year5_Bracknell_Forest Year5_Assessments_26_35days="","",Year5_Bracknell_Forest Year5_Assessments_26_35days)</f>
        <v>286</v>
      </c>
      <c r="AC147" s="372">
        <f>IF(Year5_Bracknell_Forest Year5_Assessments_36_45days="","",Year5_Bracknell_Forest Year5_Assessments_36_45days)</f>
        <v>306</v>
      </c>
      <c r="AD147" s="372">
        <f>IF(Year5_Bracknell_Forest Year5_Assessments_over_45days="","",Year5_Bracknell_Forest Year5_Assessments_over_45days)</f>
        <v>96</v>
      </c>
      <c r="AE147" s="599">
        <f>SUM(Z147:AD147)</f>
        <v>1531</v>
      </c>
      <c r="AF147" s="600">
        <f>SUM(AA147:AC147)/AE147</f>
        <v>0.75571521881123449</v>
      </c>
      <c r="AG147" s="190"/>
      <c r="AH147" s="190"/>
      <c r="AI147" s="190"/>
      <c r="AJ147" s="190"/>
      <c r="AK147" s="160"/>
    </row>
    <row r="148" spans="1:46" s="87" customFormat="1" ht="12.75" customHeight="1" x14ac:dyDescent="0.2">
      <c r="A148" s="488">
        <f>VLOOKUP(B148,Sheet1!$AQ$4:$AR$25,2,FALSE)</f>
        <v>0</v>
      </c>
      <c r="B148" s="93" t="str">
        <f t="shared" si="36"/>
        <v>Brighton &amp; Hove</v>
      </c>
      <c r="C148" s="85"/>
      <c r="D148" s="162">
        <f t="shared" ref="D148:D169" si="38">IF(AND(ISNUMBER(Z148),$AE148&gt;0),Z148/$AE148,NA())</f>
        <v>0.14633260711692084</v>
      </c>
      <c r="E148" s="162">
        <f t="shared" ref="E148:E169" si="39">IF(AND(ISNUMBER(AA148),$AE148&gt;0),AA148/$AE148,NA())</f>
        <v>0.11510530137981119</v>
      </c>
      <c r="F148" s="162">
        <f t="shared" ref="F148:F169" si="40">IF(AND(ISNUMBER(AB148),$AE148&gt;0),AB148/$AE148,NA())</f>
        <v>0.24146695715323166</v>
      </c>
      <c r="G148" s="162">
        <f t="shared" ref="G148:G169" si="41">IF(AND(ISNUMBER(AC148),$AE148&gt;0),AC148/$AE148,NA())</f>
        <v>0.3972403776325345</v>
      </c>
      <c r="H148" s="164">
        <f t="shared" ref="H148:H169" si="42">IF(AND(ISNUMBER(AD148),$AE148&gt;0),AD148/$AE148,NA())</f>
        <v>9.9854756717501811E-2</v>
      </c>
      <c r="I148" s="96"/>
      <c r="J148" s="96"/>
      <c r="K148" s="166"/>
      <c r="L148" s="166"/>
      <c r="M148" s="166"/>
      <c r="N148" s="166"/>
      <c r="O148" s="166"/>
      <c r="P148" s="166"/>
      <c r="Q148" s="166"/>
      <c r="R148" s="167"/>
      <c r="S148" s="159"/>
      <c r="T148" s="159"/>
      <c r="U148" s="166"/>
      <c r="V148" s="122"/>
      <c r="W148" s="139"/>
      <c r="X148" s="152"/>
      <c r="Y148" s="436" t="str">
        <f t="shared" ref="Y148:Y169" si="43">B148</f>
        <v>Brighton &amp; Hove</v>
      </c>
      <c r="Z148" s="489">
        <f>IF(Year5_Brighton_Hove Year5_Assessments_10days="","",Year5_Brighton_Hove Year5_Assessments_10days)</f>
        <v>403</v>
      </c>
      <c r="AA148" s="372">
        <f>IF(Year5_Brighton_Hove Year5_Assessments_11_25days="","",Year5_Brighton_Hove Year5_Assessments_11_25days)</f>
        <v>317</v>
      </c>
      <c r="AB148" s="372">
        <f>IF(Year5_Brighton_Hove Year5_Assessments_26_35days="","",Year5_Brighton_Hove Year5_Assessments_26_35days)</f>
        <v>665</v>
      </c>
      <c r="AC148" s="372">
        <f>IF(Year5_Brighton_Hove Year5_Assessments_36_45days="","",Year5_Brighton_Hove Year5_Assessments_36_45days)</f>
        <v>1094</v>
      </c>
      <c r="AD148" s="372">
        <f>IF(Year5_Brighton_Hove Year5_Assessments_over_45days="","",Year5_Brighton_Hove Year5_Assessments_over_45days)</f>
        <v>275</v>
      </c>
      <c r="AE148" s="599">
        <f t="shared" ref="AE148:AE159" si="44">SUM(Z148:AD148)</f>
        <v>2754</v>
      </c>
      <c r="AF148" s="600">
        <f t="shared" ref="AF148:AF170" si="45">SUM(AA148:AC148)/AE148</f>
        <v>0.75381263616557737</v>
      </c>
      <c r="AG148" s="190"/>
      <c r="AH148" s="190"/>
      <c r="AI148" s="190"/>
      <c r="AJ148" s="190"/>
      <c r="AK148" s="160"/>
    </row>
    <row r="149" spans="1:46" s="87" customFormat="1" ht="12.75" customHeight="1" x14ac:dyDescent="0.2">
      <c r="A149" s="488">
        <f>VLOOKUP(B149,Sheet1!$AQ$4:$AR$25,2,FALSE)</f>
        <v>0</v>
      </c>
      <c r="B149" s="93" t="str">
        <f t="shared" si="36"/>
        <v>Buckinghamshire</v>
      </c>
      <c r="C149" s="85"/>
      <c r="D149" s="162">
        <f t="shared" si="38"/>
        <v>0.24267421817286383</v>
      </c>
      <c r="E149" s="162">
        <f t="shared" si="39"/>
        <v>0.12989411475006157</v>
      </c>
      <c r="F149" s="162">
        <f t="shared" si="40"/>
        <v>0.20068948534843634</v>
      </c>
      <c r="G149" s="162">
        <f t="shared" si="41"/>
        <v>0.30632849051957645</v>
      </c>
      <c r="H149" s="164">
        <f t="shared" si="42"/>
        <v>0.12041369120906181</v>
      </c>
      <c r="I149" s="96"/>
      <c r="J149" s="96"/>
      <c r="K149" s="166"/>
      <c r="L149" s="166"/>
      <c r="M149" s="166"/>
      <c r="N149" s="166"/>
      <c r="O149" s="166"/>
      <c r="P149" s="166"/>
      <c r="Q149" s="166"/>
      <c r="R149" s="167"/>
      <c r="S149" s="159"/>
      <c r="T149" s="159"/>
      <c r="U149" s="166"/>
      <c r="V149" s="122"/>
      <c r="W149" s="139"/>
      <c r="X149" s="152"/>
      <c r="Y149" s="436" t="str">
        <f t="shared" si="43"/>
        <v>Buckinghamshire</v>
      </c>
      <c r="Z149" s="489">
        <f>IF(Year5_Buckinghamshire Year5_Assessments_10days="","",Year5_Buckinghamshire Year5_Assessments_10days)</f>
        <v>1971</v>
      </c>
      <c r="AA149" s="372">
        <f>IF(Year5_Buckinghamshire Year5_Assessments_11_25days="","",Year5_Buckinghamshire Year5_Assessments_11_25days)</f>
        <v>1055</v>
      </c>
      <c r="AB149" s="372">
        <f>IF(Year5_Buckinghamshire Year5_Assessments_26_35days="","",Year5_Buckinghamshire Year5_Assessments_26_35days)</f>
        <v>1630</v>
      </c>
      <c r="AC149" s="372">
        <f>IF(Year5_Buckinghamshire Year5_Assessments_36_45days="","",Year5_Buckinghamshire Year5_Assessments_36_45days)</f>
        <v>2488</v>
      </c>
      <c r="AD149" s="372">
        <f>IF(Year5_Buckinghamshire Year5_Assessments_over_45days="","",Year5_Buckinghamshire Year5_Assessments_over_45days)</f>
        <v>978</v>
      </c>
      <c r="AE149" s="599">
        <f t="shared" si="44"/>
        <v>8122</v>
      </c>
      <c r="AF149" s="600">
        <f t="shared" si="45"/>
        <v>0.63691209061807441</v>
      </c>
      <c r="AG149" s="190"/>
      <c r="AH149" s="190"/>
      <c r="AI149" s="190"/>
      <c r="AJ149" s="190"/>
      <c r="AK149" s="160"/>
    </row>
    <row r="150" spans="1:46" s="87" customFormat="1" ht="12.75" customHeight="1" x14ac:dyDescent="0.2">
      <c r="A150" s="488">
        <f>VLOOKUP(B150,Sheet1!$AQ$4:$AR$25,2,FALSE)</f>
        <v>0</v>
      </c>
      <c r="B150" s="93" t="str">
        <f t="shared" si="36"/>
        <v>East Sussex</v>
      </c>
      <c r="C150" s="85"/>
      <c r="D150" s="162">
        <f t="shared" si="38"/>
        <v>6.8011527377521613E-2</v>
      </c>
      <c r="E150" s="162">
        <f t="shared" si="39"/>
        <v>0.13342939481268012</v>
      </c>
      <c r="F150" s="162">
        <f t="shared" si="40"/>
        <v>0.13227665706051872</v>
      </c>
      <c r="G150" s="162">
        <f t="shared" si="41"/>
        <v>0.27636887608069166</v>
      </c>
      <c r="H150" s="164">
        <f t="shared" si="42"/>
        <v>0.38991354466858791</v>
      </c>
      <c r="I150" s="96"/>
      <c r="J150" s="96"/>
      <c r="K150" s="166"/>
      <c r="L150" s="166"/>
      <c r="M150" s="166"/>
      <c r="N150" s="166"/>
      <c r="O150" s="166"/>
      <c r="P150" s="166"/>
      <c r="Q150" s="166"/>
      <c r="R150" s="167"/>
      <c r="S150" s="159"/>
      <c r="T150" s="159"/>
      <c r="U150" s="166"/>
      <c r="V150" s="122"/>
      <c r="W150" s="139"/>
      <c r="X150" s="152"/>
      <c r="Y150" s="436" t="str">
        <f t="shared" si="43"/>
        <v>East Sussex</v>
      </c>
      <c r="Z150" s="601">
        <f>IF(Year5_East_Sussex Year5_Assessments_10days="","",Year5_East_Sussex Year5_Assessments_10days)</f>
        <v>236</v>
      </c>
      <c r="AA150" s="372">
        <f>IF(Year5_East_Sussex Year5_Assessments_11_25days="","",Year5_East_Sussex Year5_Assessments_11_25days)</f>
        <v>463</v>
      </c>
      <c r="AB150" s="372">
        <f>IF(Year5_East_Sussex Year5_Assessments_26_35days="","",Year5_East_Sussex Year5_Assessments_26_35days)</f>
        <v>459</v>
      </c>
      <c r="AC150" s="372">
        <f>IF(Year5_East_Sussex Year5_Assessments_36_45days="","",Year5_East_Sussex Year5_Assessments_36_45days)</f>
        <v>959</v>
      </c>
      <c r="AD150" s="372">
        <f>IF(Year5_East_Sussex Year5_Assessments_over_45days="","",Year5_East_Sussex Year5_Assessments_over_45days)</f>
        <v>1353</v>
      </c>
      <c r="AE150" s="599">
        <f t="shared" si="44"/>
        <v>3470</v>
      </c>
      <c r="AF150" s="600">
        <f t="shared" si="45"/>
        <v>0.54207492795389045</v>
      </c>
      <c r="AG150" s="190"/>
      <c r="AH150" s="190"/>
      <c r="AI150" s="190"/>
      <c r="AJ150" s="190"/>
      <c r="AK150" s="160"/>
    </row>
    <row r="151" spans="1:46" s="87" customFormat="1" ht="12.75" customHeight="1" x14ac:dyDescent="0.2">
      <c r="A151" s="488">
        <f>VLOOKUP(B151,Sheet1!$AQ$4:$AR$25,2,FALSE)</f>
        <v>0</v>
      </c>
      <c r="B151" s="93" t="str">
        <f t="shared" si="36"/>
        <v>Hampshire</v>
      </c>
      <c r="C151" s="85"/>
      <c r="D151" s="162">
        <f t="shared" si="38"/>
        <v>0.23549107142857142</v>
      </c>
      <c r="E151" s="162">
        <f t="shared" si="39"/>
        <v>0.47940340909090912</v>
      </c>
      <c r="F151" s="162">
        <f t="shared" si="40"/>
        <v>0.10907061688311688</v>
      </c>
      <c r="G151" s="162">
        <f t="shared" si="41"/>
        <v>0.10212053571428571</v>
      </c>
      <c r="H151" s="164">
        <f t="shared" si="42"/>
        <v>7.391436688311688E-2</v>
      </c>
      <c r="I151" s="96"/>
      <c r="J151" s="96"/>
      <c r="K151" s="166"/>
      <c r="L151" s="166"/>
      <c r="M151" s="166"/>
      <c r="N151" s="166"/>
      <c r="O151" s="166"/>
      <c r="P151" s="166"/>
      <c r="Q151" s="166"/>
      <c r="R151" s="167"/>
      <c r="S151" s="159"/>
      <c r="T151" s="159"/>
      <c r="U151" s="166"/>
      <c r="V151" s="122"/>
      <c r="W151" s="139"/>
      <c r="X151" s="152"/>
      <c r="Y151" s="436" t="str">
        <f t="shared" si="43"/>
        <v>Hampshire</v>
      </c>
      <c r="Z151" s="489">
        <f>IF(Year5_Hampshire Year5_Assessments_10days="","",Year5_Hampshire Year5_Assessments_10days)</f>
        <v>4642</v>
      </c>
      <c r="AA151" s="372">
        <f>IF(Year5_Hampshire Year5_Assessments_11_25days="","",Year5_Hampshire Year5_Assessments_11_25days)</f>
        <v>9450</v>
      </c>
      <c r="AB151" s="372">
        <f>IF(Year5_Hampshire Year5_Assessments_26_35days="","",Year5_Hampshire Year5_Assessments_26_35days)</f>
        <v>2150</v>
      </c>
      <c r="AC151" s="372">
        <f>IF(Year5_Hampshire Year5_Assessments_36_45days="","",Year5_Hampshire Year5_Assessments_36_45days)</f>
        <v>2013</v>
      </c>
      <c r="AD151" s="372">
        <f>IF(Year5_Hampshire Year5_Assessments_over_45days="","",Year5_Hampshire Year5_Assessments_over_45days)</f>
        <v>1457</v>
      </c>
      <c r="AE151" s="599">
        <f t="shared" si="44"/>
        <v>19712</v>
      </c>
      <c r="AF151" s="600">
        <f t="shared" si="45"/>
        <v>0.69059456168831168</v>
      </c>
      <c r="AG151" s="190"/>
      <c r="AH151" s="190"/>
      <c r="AI151" s="190"/>
      <c r="AJ151" s="190"/>
      <c r="AK151" s="160"/>
    </row>
    <row r="152" spans="1:46" s="87" customFormat="1" ht="12.75" customHeight="1" x14ac:dyDescent="0.2">
      <c r="A152" s="488">
        <f>VLOOKUP(B152,Sheet1!$AQ$4:$AR$25,2,FALSE)</f>
        <v>0</v>
      </c>
      <c r="B152" s="93" t="str">
        <f t="shared" si="36"/>
        <v>Isle of Wight</v>
      </c>
      <c r="C152" s="85"/>
      <c r="D152" s="162">
        <f t="shared" si="38"/>
        <v>0.32232454747538902</v>
      </c>
      <c r="E152" s="162">
        <f t="shared" si="39"/>
        <v>0.36392505557319782</v>
      </c>
      <c r="F152" s="162">
        <f t="shared" si="40"/>
        <v>9.6221022546840271E-2</v>
      </c>
      <c r="G152" s="162">
        <f t="shared" si="41"/>
        <v>0.1622737376945062</v>
      </c>
      <c r="H152" s="164">
        <f t="shared" si="42"/>
        <v>5.525563671006669E-2</v>
      </c>
      <c r="I152" s="96"/>
      <c r="J152" s="96"/>
      <c r="K152" s="166"/>
      <c r="L152" s="166"/>
      <c r="M152" s="166"/>
      <c r="N152" s="166"/>
      <c r="O152" s="166"/>
      <c r="P152" s="166"/>
      <c r="Q152" s="166"/>
      <c r="R152" s="167"/>
      <c r="S152" s="159"/>
      <c r="T152" s="159"/>
      <c r="U152" s="166"/>
      <c r="V152" s="122"/>
      <c r="W152" s="139"/>
      <c r="X152" s="152"/>
      <c r="Y152" s="436" t="str">
        <f t="shared" si="43"/>
        <v>Isle of Wight</v>
      </c>
      <c r="Z152" s="489">
        <f>IF(Year5_Isle_of_Wight Year5_Assessments_10days="","",Year5_Isle_of_Wight Year5_Assessments_10days)</f>
        <v>1015</v>
      </c>
      <c r="AA152" s="372">
        <f>IF(Year5_Isle_of_Wight Year5_Assessments_11_25days="","",Year5_Isle_of_Wight Year5_Assessments_11_25days)</f>
        <v>1146</v>
      </c>
      <c r="AB152" s="372">
        <f>IF(Year5_Isle_of_Wight Year5_Assessments_26_35days="","",Year5_Isle_of_Wight Year5_Assessments_26_35days)</f>
        <v>303</v>
      </c>
      <c r="AC152" s="372">
        <f>IF(Year5_Isle_of_Wight Year5_Assessments_36_45days="","",Year5_Isle_of_Wight Year5_Assessments_36_45days)</f>
        <v>511</v>
      </c>
      <c r="AD152" s="372">
        <f>IF(Year5_Isle_of_Wight Year5_Assessments_over_45days="","",Year5_Isle_of_Wight Year5_Assessments_over_45days)</f>
        <v>174</v>
      </c>
      <c r="AE152" s="599">
        <f t="shared" si="44"/>
        <v>3149</v>
      </c>
      <c r="AF152" s="600">
        <f t="shared" si="45"/>
        <v>0.62241981581454431</v>
      </c>
      <c r="AG152" s="190"/>
      <c r="AH152" s="190"/>
      <c r="AI152" s="190"/>
      <c r="AJ152" s="190"/>
      <c r="AK152" s="160"/>
      <c r="AT152" s="87" t="s">
        <v>102</v>
      </c>
    </row>
    <row r="153" spans="1:46" s="87" customFormat="1" ht="12.75" customHeight="1" x14ac:dyDescent="0.2">
      <c r="A153" s="488">
        <f>VLOOKUP(B153,Sheet1!$AQ$4:$AR$25,2,FALSE)</f>
        <v>0</v>
      </c>
      <c r="B153" s="93" t="str">
        <f t="shared" si="36"/>
        <v>Kent</v>
      </c>
      <c r="C153" s="85"/>
      <c r="D153" s="162">
        <f t="shared" si="38"/>
        <v>6.8355409455670507E-2</v>
      </c>
      <c r="E153" s="162">
        <f t="shared" si="39"/>
        <v>0.12907280286183892</v>
      </c>
      <c r="F153" s="162">
        <f t="shared" si="40"/>
        <v>0.24659189790196268</v>
      </c>
      <c r="G153" s="162">
        <f t="shared" si="41"/>
        <v>0.43618872667504593</v>
      </c>
      <c r="H153" s="164">
        <f t="shared" si="42"/>
        <v>0.11979116310548196</v>
      </c>
      <c r="I153" s="96"/>
      <c r="J153" s="96"/>
      <c r="K153" s="166"/>
      <c r="L153" s="166"/>
      <c r="M153" s="166"/>
      <c r="N153" s="166"/>
      <c r="O153" s="166"/>
      <c r="P153" s="166"/>
      <c r="Q153" s="166"/>
      <c r="R153" s="167"/>
      <c r="S153" s="159"/>
      <c r="T153" s="159"/>
      <c r="U153" s="166"/>
      <c r="V153" s="122"/>
      <c r="W153" s="139"/>
      <c r="X153" s="152"/>
      <c r="Y153" s="436" t="str">
        <f t="shared" si="43"/>
        <v>Kent</v>
      </c>
      <c r="Z153" s="601">
        <f>IF(Year5_Kent Year5_Assessments_10days="","",Year5_Kent Year5_Assessments_10days)</f>
        <v>1414</v>
      </c>
      <c r="AA153" s="602">
        <f>IF(Year5_Kent Year5_Assessments_11_25days="","",Year5_Kent Year5_Assessments_11_25days)</f>
        <v>2670</v>
      </c>
      <c r="AB153" s="602">
        <f>IF(Year5_Kent Year5_Assessments_26_35days="","",Year5_Kent Year5_Assessments_26_35days)</f>
        <v>5101</v>
      </c>
      <c r="AC153" s="602">
        <f>IF(Year5_Kent Year5_Assessments_36_45days="","",Year5_Kent Year5_Assessments_36_45days)</f>
        <v>9023</v>
      </c>
      <c r="AD153" s="602">
        <f>IF(Year5_Kent Year5_Assessments_over_45days="","",Year5_Kent Year5_Assessments_over_45days)</f>
        <v>2478</v>
      </c>
      <c r="AE153" s="599">
        <f t="shared" si="44"/>
        <v>20686</v>
      </c>
      <c r="AF153" s="600">
        <f t="shared" si="45"/>
        <v>0.81185342743884747</v>
      </c>
      <c r="AG153" s="190"/>
      <c r="AH153" s="190"/>
      <c r="AI153" s="190"/>
      <c r="AJ153" s="190"/>
      <c r="AK153" s="160"/>
    </row>
    <row r="154" spans="1:46" s="87" customFormat="1" ht="12.75" customHeight="1" x14ac:dyDescent="0.2">
      <c r="A154" s="488">
        <f>VLOOKUP(B154,Sheet1!$AQ$4:$AR$25,2,FALSE)</f>
        <v>0</v>
      </c>
      <c r="B154" s="93" t="str">
        <f t="shared" si="36"/>
        <v>Medway</v>
      </c>
      <c r="C154" s="85"/>
      <c r="D154" s="162">
        <f t="shared" si="38"/>
        <v>2.3132427843803056E-2</v>
      </c>
      <c r="E154" s="162">
        <f t="shared" si="39"/>
        <v>0.13667232597623091</v>
      </c>
      <c r="F154" s="162">
        <f t="shared" si="40"/>
        <v>0.20606960950764006</v>
      </c>
      <c r="G154" s="162">
        <f t="shared" si="41"/>
        <v>0.58510186757215621</v>
      </c>
      <c r="H154" s="164">
        <f t="shared" si="42"/>
        <v>4.9023769100169777E-2</v>
      </c>
      <c r="I154" s="96"/>
      <c r="J154" s="96"/>
      <c r="K154" s="166"/>
      <c r="L154" s="166"/>
      <c r="M154" s="166"/>
      <c r="N154" s="166"/>
      <c r="O154" s="166"/>
      <c r="P154" s="166"/>
      <c r="Q154" s="166"/>
      <c r="R154" s="167"/>
      <c r="S154" s="159"/>
      <c r="T154" s="159"/>
      <c r="U154" s="166"/>
      <c r="V154" s="122"/>
      <c r="W154" s="139"/>
      <c r="X154" s="152"/>
      <c r="Y154" s="436" t="str">
        <f t="shared" si="43"/>
        <v>Medway</v>
      </c>
      <c r="Z154" s="601">
        <f>IF(Year5_Medway Year5_Assessments_10days="","",Year5_Medway Year5_Assessments_10days)</f>
        <v>109</v>
      </c>
      <c r="AA154" s="602">
        <f>IF(Year5_Medway Year5_Assessments_11_25days="","",Year5_Medway Year5_Assessments_11_25days)</f>
        <v>644</v>
      </c>
      <c r="AB154" s="602">
        <f>IF(Year5_Medway Year5_Assessments_26_35days="","",Year5_Medway Year5_Assessments_26_35days)</f>
        <v>971</v>
      </c>
      <c r="AC154" s="602">
        <f>IF(Year5_Medway Year5_Assessments_36_45days="","",Year5_Medway Year5_Assessments_36_45days)</f>
        <v>2757</v>
      </c>
      <c r="AD154" s="602">
        <f>IF(Year5_Medway Year5_Assessments_over_45days="","",Year5_Medway Year5_Assessments_over_45days)</f>
        <v>231</v>
      </c>
      <c r="AE154" s="599">
        <f t="shared" si="44"/>
        <v>4712</v>
      </c>
      <c r="AF154" s="600">
        <f t="shared" si="45"/>
        <v>0.92784380305602721</v>
      </c>
      <c r="AG154" s="190"/>
      <c r="AH154" s="190"/>
      <c r="AI154" s="190"/>
      <c r="AJ154" s="190"/>
      <c r="AK154" s="160"/>
    </row>
    <row r="155" spans="1:46" s="87" customFormat="1" ht="12.75" customHeight="1" x14ac:dyDescent="0.2">
      <c r="A155" s="488">
        <f>VLOOKUP(B155,Sheet1!$AQ$4:$AR$25,2,FALSE)</f>
        <v>0</v>
      </c>
      <c r="B155" s="93" t="str">
        <f t="shared" si="36"/>
        <v>Milton Keynes</v>
      </c>
      <c r="C155" s="85"/>
      <c r="D155" s="162">
        <f t="shared" si="38"/>
        <v>0.15432503276539974</v>
      </c>
      <c r="E155" s="162">
        <f t="shared" si="39"/>
        <v>0.19692005242463959</v>
      </c>
      <c r="F155" s="162">
        <f t="shared" si="40"/>
        <v>0.20740498034076016</v>
      </c>
      <c r="G155" s="162">
        <f t="shared" si="41"/>
        <v>0.27064220183486237</v>
      </c>
      <c r="H155" s="164">
        <f t="shared" si="42"/>
        <v>0.17070773263433814</v>
      </c>
      <c r="I155" s="96"/>
      <c r="J155" s="96"/>
      <c r="K155" s="166"/>
      <c r="L155" s="166"/>
      <c r="M155" s="166"/>
      <c r="N155" s="166"/>
      <c r="O155" s="166"/>
      <c r="P155" s="166"/>
      <c r="Q155" s="166"/>
      <c r="R155" s="167"/>
      <c r="S155" s="159"/>
      <c r="T155" s="159"/>
      <c r="U155" s="166"/>
      <c r="V155" s="122"/>
      <c r="W155" s="139"/>
      <c r="X155" s="152"/>
      <c r="Y155" s="436" t="str">
        <f t="shared" si="43"/>
        <v>Milton Keynes</v>
      </c>
      <c r="Z155" s="601">
        <f>IF(Year5_Milton_Keynes Year5_Assessments_10days="","",Year5_Milton_Keynes Year5_Assessments_10days)</f>
        <v>471</v>
      </c>
      <c r="AA155" s="602">
        <f>IF(Year5_Milton_Keynes Year5_Assessments_11_25days="","",Year5_Milton_Keynes Year5_Assessments_11_25days)</f>
        <v>601</v>
      </c>
      <c r="AB155" s="602">
        <f>IF(Year5_Milton_Keynes Year5_Assessments_26_35days="","",Year5_Milton_Keynes Year5_Assessments_26_35days)</f>
        <v>633</v>
      </c>
      <c r="AC155" s="602">
        <f>IF(Year5_Milton_Keynes Year5_Assessments_36_45days="","",Year5_Milton_Keynes Year5_Assessments_36_45days)</f>
        <v>826</v>
      </c>
      <c r="AD155" s="602">
        <f>IF(Year5_Milton_Keynes Year5_Assessments_over_45days="","",Year5_Milton_Keynes Year5_Assessments_over_45days)</f>
        <v>521</v>
      </c>
      <c r="AE155" s="599">
        <f t="shared" si="44"/>
        <v>3052</v>
      </c>
      <c r="AF155" s="600">
        <f t="shared" si="45"/>
        <v>0.67496723460026209</v>
      </c>
      <c r="AG155" s="190"/>
      <c r="AH155" s="190"/>
      <c r="AI155" s="190"/>
      <c r="AJ155" s="190"/>
      <c r="AK155" s="160"/>
    </row>
    <row r="156" spans="1:46" s="87" customFormat="1" ht="12.75" customHeight="1" x14ac:dyDescent="0.2">
      <c r="A156" s="488">
        <f>VLOOKUP(B156,Sheet1!$AQ$4:$AR$25,2,FALSE)</f>
        <v>0</v>
      </c>
      <c r="B156" s="93" t="str">
        <f t="shared" si="36"/>
        <v>Oxfordshire</v>
      </c>
      <c r="C156" s="85"/>
      <c r="D156" s="162">
        <f t="shared" si="38"/>
        <v>6.0532687651331719E-2</v>
      </c>
      <c r="E156" s="162">
        <f t="shared" si="39"/>
        <v>0.10254949437402079</v>
      </c>
      <c r="F156" s="162">
        <f t="shared" si="40"/>
        <v>0.10895883777239709</v>
      </c>
      <c r="G156" s="162">
        <f t="shared" si="41"/>
        <v>0.35806865118928927</v>
      </c>
      <c r="H156" s="164">
        <f t="shared" si="42"/>
        <v>0.36989032901296109</v>
      </c>
      <c r="I156" s="96"/>
      <c r="J156" s="96"/>
      <c r="K156" s="166"/>
      <c r="L156" s="166"/>
      <c r="M156" s="166"/>
      <c r="N156" s="166"/>
      <c r="O156" s="166"/>
      <c r="P156" s="166"/>
      <c r="Q156" s="166"/>
      <c r="R156" s="167"/>
      <c r="S156" s="159"/>
      <c r="T156" s="159"/>
      <c r="U156" s="166"/>
      <c r="V156" s="122"/>
      <c r="W156" s="139"/>
      <c r="X156" s="152"/>
      <c r="Y156" s="436" t="str">
        <f t="shared" si="43"/>
        <v>Oxfordshire</v>
      </c>
      <c r="Z156" s="489">
        <f>IF(Year5_Oxfordshire Year5_Assessments_10days="","",Year5_Oxfordshire Year5_Assessments_10days)</f>
        <v>425</v>
      </c>
      <c r="AA156" s="372">
        <f>IF(Year5_Oxfordshire Year5_Assessments_11_25days="","",Year5_Oxfordshire Year5_Assessments_11_25days)</f>
        <v>720</v>
      </c>
      <c r="AB156" s="372">
        <f>IF(Year5_Oxfordshire Year5_Assessments_26_35days="","",Year5_Oxfordshire Year5_Assessments_26_35days)</f>
        <v>765</v>
      </c>
      <c r="AC156" s="372">
        <f>IF(Year5_Oxfordshire Year5_Assessments_36_45days="","",Year5_Oxfordshire Year5_Assessments_36_45days)</f>
        <v>2514</v>
      </c>
      <c r="AD156" s="372">
        <f>IF(Year5_Oxfordshire Year5_Assessments_over_45days="","",Year5_Oxfordshire Year5_Assessments_over_45days)</f>
        <v>2597</v>
      </c>
      <c r="AE156" s="599">
        <f t="shared" si="44"/>
        <v>7021</v>
      </c>
      <c r="AF156" s="600">
        <f t="shared" si="45"/>
        <v>0.56957698333570717</v>
      </c>
      <c r="AG156" s="190"/>
      <c r="AH156" s="190"/>
      <c r="AI156" s="190"/>
      <c r="AJ156" s="190"/>
      <c r="AK156" s="160"/>
    </row>
    <row r="157" spans="1:46" s="87" customFormat="1" ht="12.75" customHeight="1" x14ac:dyDescent="0.2">
      <c r="A157" s="488">
        <f>VLOOKUP(B157,Sheet1!$AQ$4:$AR$25,2,FALSE)</f>
        <v>0</v>
      </c>
      <c r="B157" s="93" t="str">
        <f t="shared" si="36"/>
        <v>Portsmouth</v>
      </c>
      <c r="C157" s="85"/>
      <c r="D157" s="162">
        <f t="shared" si="38"/>
        <v>0.26833976833976836</v>
      </c>
      <c r="E157" s="162">
        <f t="shared" si="39"/>
        <v>0.24362934362934363</v>
      </c>
      <c r="F157" s="162">
        <f t="shared" si="40"/>
        <v>0.2413127413127413</v>
      </c>
      <c r="G157" s="162">
        <f t="shared" si="41"/>
        <v>0.22664092664092664</v>
      </c>
      <c r="H157" s="164">
        <f t="shared" si="42"/>
        <v>2.0077220077220077E-2</v>
      </c>
      <c r="I157" s="96"/>
      <c r="J157" s="96"/>
      <c r="K157" s="166"/>
      <c r="L157" s="166"/>
      <c r="M157" s="166"/>
      <c r="N157" s="166"/>
      <c r="O157" s="166"/>
      <c r="P157" s="166"/>
      <c r="Q157" s="166"/>
      <c r="R157" s="167"/>
      <c r="S157" s="159"/>
      <c r="T157" s="159"/>
      <c r="U157" s="166"/>
      <c r="V157" s="122"/>
      <c r="W157" s="139"/>
      <c r="X157" s="152"/>
      <c r="Y157" s="436" t="str">
        <f t="shared" si="43"/>
        <v>Portsmouth</v>
      </c>
      <c r="Z157" s="489">
        <f>IF(Year5_Portsmouth Year5_Assessments_10days="","",Year5_Portsmouth Year5_Assessments_10days)</f>
        <v>695</v>
      </c>
      <c r="AA157" s="372">
        <f>IF(Year5_Portsmouth Year5_Assessments_11_25days="","",Year5_Portsmouth Year5_Assessments_11_25days)</f>
        <v>631</v>
      </c>
      <c r="AB157" s="372">
        <f>IF(Year5_Portsmouth Year5_Assessments_26_35days="","",Year5_Portsmouth Year5_Assessments_26_35days)</f>
        <v>625</v>
      </c>
      <c r="AC157" s="372">
        <f>IF(Year5_Portsmouth Year5_Assessments_36_45days="","",Year5_Portsmouth Year5_Assessments_36_45days)</f>
        <v>587</v>
      </c>
      <c r="AD157" s="372">
        <f>IF(Year5_Portsmouth Year5_Assessments_over_45days="","",Year5_Portsmouth Year5_Assessments_over_45days)</f>
        <v>52</v>
      </c>
      <c r="AE157" s="599">
        <f t="shared" si="44"/>
        <v>2590</v>
      </c>
      <c r="AF157" s="600">
        <f t="shared" si="45"/>
        <v>0.71158301158301163</v>
      </c>
      <c r="AG157" s="190"/>
      <c r="AH157" s="190"/>
      <c r="AI157" s="190"/>
      <c r="AJ157" s="190"/>
      <c r="AK157" s="160"/>
    </row>
    <row r="158" spans="1:46" s="87" customFormat="1" ht="12.75" customHeight="1" x14ac:dyDescent="0.2">
      <c r="A158" s="488">
        <f>VLOOKUP(B158,Sheet1!$AQ$4:$AR$25,2,FALSE)</f>
        <v>0</v>
      </c>
      <c r="B158" s="93" t="str">
        <f t="shared" si="36"/>
        <v>Reading</v>
      </c>
      <c r="C158" s="85"/>
      <c r="D158" s="162">
        <f t="shared" si="38"/>
        <v>7.9955373744886579E-2</v>
      </c>
      <c r="E158" s="162">
        <f t="shared" si="39"/>
        <v>0.1647452584603942</v>
      </c>
      <c r="F158" s="162">
        <f t="shared" si="40"/>
        <v>0.14652287095574562</v>
      </c>
      <c r="G158" s="162">
        <f t="shared" si="41"/>
        <v>0.4087021197471179</v>
      </c>
      <c r="H158" s="164">
        <f t="shared" si="42"/>
        <v>0.20007437709185572</v>
      </c>
      <c r="I158" s="96"/>
      <c r="J158" s="96"/>
      <c r="K158" s="166"/>
      <c r="L158" s="166"/>
      <c r="M158" s="166"/>
      <c r="N158" s="166"/>
      <c r="O158" s="166"/>
      <c r="P158" s="166"/>
      <c r="Q158" s="166"/>
      <c r="R158" s="167"/>
      <c r="S158" s="159"/>
      <c r="T158" s="159"/>
      <c r="U158" s="166"/>
      <c r="V158" s="122"/>
      <c r="W158" s="139"/>
      <c r="X158" s="152"/>
      <c r="Y158" s="436" t="str">
        <f t="shared" si="43"/>
        <v>Reading</v>
      </c>
      <c r="Z158" s="489">
        <f>IF(Year5_Reading Year5_Assessments_10days="","",Year5_Reading Year5_Assessments_10days)</f>
        <v>215</v>
      </c>
      <c r="AA158" s="372">
        <f>IF(Year5_Reading Year5_Assessments_11_25days="","",Year5_Reading Year5_Assessments_11_25days)</f>
        <v>443</v>
      </c>
      <c r="AB158" s="372">
        <f>IF(Year5_Reading Year5_Assessments_26_35days="","",Year5_Reading Year5_Assessments_26_35days)</f>
        <v>394</v>
      </c>
      <c r="AC158" s="372">
        <f>IF(Year5_Reading Year5_Assessments_36_45days="","",Year5_Reading Year5_Assessments_36_45days)</f>
        <v>1099</v>
      </c>
      <c r="AD158" s="372">
        <f>IF(Year5_Reading Year5_Assessments_over_45days="","",Year5_Reading Year5_Assessments_over_45days)</f>
        <v>538</v>
      </c>
      <c r="AE158" s="599">
        <f t="shared" si="44"/>
        <v>2689</v>
      </c>
      <c r="AF158" s="600">
        <f t="shared" si="45"/>
        <v>0.71997024916325769</v>
      </c>
      <c r="AG158" s="190"/>
      <c r="AH158" s="190"/>
      <c r="AI158" s="190"/>
      <c r="AJ158" s="190"/>
      <c r="AK158" s="160"/>
    </row>
    <row r="159" spans="1:46" s="87" customFormat="1" ht="12.75" customHeight="1" x14ac:dyDescent="0.2">
      <c r="A159" s="488">
        <f>VLOOKUP(B159,Sheet1!$AQ$4:$AR$25,2,FALSE)</f>
        <v>0</v>
      </c>
      <c r="B159" s="93" t="str">
        <f t="shared" si="36"/>
        <v>Slough</v>
      </c>
      <c r="C159" s="85"/>
      <c r="D159" s="162">
        <f t="shared" si="38"/>
        <v>0</v>
      </c>
      <c r="E159" s="162">
        <f t="shared" si="39"/>
        <v>0.11414392059553349</v>
      </c>
      <c r="F159" s="162">
        <f t="shared" si="40"/>
        <v>0.22249793217535152</v>
      </c>
      <c r="G159" s="162">
        <f t="shared" si="41"/>
        <v>0.402398676592225</v>
      </c>
      <c r="H159" s="164">
        <f t="shared" si="42"/>
        <v>0.26095947063689001</v>
      </c>
      <c r="I159" s="96"/>
      <c r="J159" s="96"/>
      <c r="K159" s="166"/>
      <c r="L159" s="166"/>
      <c r="M159" s="166"/>
      <c r="N159" s="166"/>
      <c r="O159" s="166"/>
      <c r="P159" s="166"/>
      <c r="Q159" s="166"/>
      <c r="R159" s="167"/>
      <c r="S159" s="159"/>
      <c r="T159" s="159"/>
      <c r="U159" s="166"/>
      <c r="V159" s="122"/>
      <c r="W159" s="139"/>
      <c r="X159" s="152"/>
      <c r="Y159" s="436" t="str">
        <f t="shared" si="43"/>
        <v>Slough</v>
      </c>
      <c r="Z159" s="489">
        <f>IF(Year5_Slough Year5_Assessments_10days="","",Year5_Slough Year5_Assessments_10days)</f>
        <v>0</v>
      </c>
      <c r="AA159" s="372">
        <f>IF(Year5_Slough Year5_Assessments_11_25days="","",Year5_Slough Year5_Assessments_11_25days)</f>
        <v>276</v>
      </c>
      <c r="AB159" s="372">
        <f>IF(Year5_Slough Year5_Assessments_26_35days="","",Year5_Slough Year5_Assessments_26_35days)</f>
        <v>538</v>
      </c>
      <c r="AC159" s="372">
        <f>IF(Year5_Slough Year5_Assessments_36_45days="","",Year5_Slough Year5_Assessments_36_45days)</f>
        <v>973</v>
      </c>
      <c r="AD159" s="372">
        <f>IF(Year5_Slough Year5_Assessments_over_45days="","",Year5_Slough Year5_Assessments_over_45days)</f>
        <v>631</v>
      </c>
      <c r="AE159" s="599">
        <f t="shared" si="44"/>
        <v>2418</v>
      </c>
      <c r="AF159" s="600">
        <f t="shared" si="45"/>
        <v>0.73904052936311004</v>
      </c>
      <c r="AG159" s="190"/>
      <c r="AH159" s="190"/>
      <c r="AI159" s="190"/>
      <c r="AJ159" s="190"/>
      <c r="AK159" s="160"/>
    </row>
    <row r="160" spans="1:46" s="87" customFormat="1" ht="12.75" customHeight="1" x14ac:dyDescent="0.2">
      <c r="A160" s="488">
        <f>VLOOKUP(B160,Sheet1!$AQ$4:$AR$25,2,FALSE)</f>
        <v>0</v>
      </c>
      <c r="B160" s="93" t="str">
        <f t="shared" si="36"/>
        <v>Somerset</v>
      </c>
      <c r="C160" s="85"/>
      <c r="D160" s="162">
        <f t="shared" si="38"/>
        <v>0.11131221719457013</v>
      </c>
      <c r="E160" s="162">
        <f t="shared" si="39"/>
        <v>0.11282051282051282</v>
      </c>
      <c r="F160" s="162">
        <f t="shared" si="40"/>
        <v>0.18401206636500755</v>
      </c>
      <c r="G160" s="162">
        <f t="shared" si="41"/>
        <v>0.42141779788838613</v>
      </c>
      <c r="H160" s="164">
        <f t="shared" si="42"/>
        <v>0.17043740573152338</v>
      </c>
      <c r="I160" s="96"/>
      <c r="J160" s="96"/>
      <c r="K160" s="166"/>
      <c r="L160" s="166"/>
      <c r="M160" s="166"/>
      <c r="N160" s="166"/>
      <c r="O160" s="166"/>
      <c r="P160" s="166"/>
      <c r="Q160" s="166"/>
      <c r="R160" s="167"/>
      <c r="S160" s="159"/>
      <c r="T160" s="159"/>
      <c r="U160" s="166"/>
      <c r="V160" s="122"/>
      <c r="W160" s="139"/>
      <c r="X160" s="152"/>
      <c r="Y160" s="436" t="str">
        <f t="shared" si="43"/>
        <v>Somerset</v>
      </c>
      <c r="Z160" s="489">
        <f>IF(Year5_Somerset Year5_Assessments_10days="","",Year5_Somerset Year5_Assessments_10days)</f>
        <v>369</v>
      </c>
      <c r="AA160" s="372">
        <f>IF(Year5_Somerset Year5_Assessments_11_25days="","",Year5_Somerset Year5_Assessments_11_25days)</f>
        <v>374</v>
      </c>
      <c r="AB160" s="372">
        <f>IF(Year5_Somerset Year5_Assessments_26_35days="","",Year5_Somerset Year5_Assessments_26_35days)</f>
        <v>610</v>
      </c>
      <c r="AC160" s="372">
        <f>IF(Year5_Somerset Year5_Assessments_36_45days="","",Year5_Somerset Year5_Assessments_36_45days)</f>
        <v>1397</v>
      </c>
      <c r="AD160" s="372">
        <f>IF(Year5_Somerset Year5_Assessments_over_45days="","",Year5_Somerset Year5_Assessments_over_45days)</f>
        <v>565</v>
      </c>
      <c r="AE160" s="599">
        <f>SUM(Z160:AD160)</f>
        <v>3315</v>
      </c>
      <c r="AF160" s="600">
        <f t="shared" si="45"/>
        <v>0.71825037707390649</v>
      </c>
      <c r="AG160" s="190"/>
      <c r="AH160" s="190"/>
      <c r="AI160" s="190"/>
      <c r="AJ160" s="190"/>
      <c r="AK160" s="160"/>
    </row>
    <row r="161" spans="1:46" s="87" customFormat="1" ht="12.75" customHeight="1" x14ac:dyDescent="0.2">
      <c r="A161" s="488">
        <f>VLOOKUP(B161,Sheet1!$AQ$4:$AR$25,2,FALSE)</f>
        <v>0</v>
      </c>
      <c r="B161" s="93" t="str">
        <f t="shared" si="36"/>
        <v>Southampton</v>
      </c>
      <c r="C161" s="85"/>
      <c r="D161" s="162">
        <f t="shared" si="38"/>
        <v>9.1481964363320289E-2</v>
      </c>
      <c r="E161" s="162">
        <f t="shared" si="39"/>
        <v>0.16492829204693613</v>
      </c>
      <c r="F161" s="162">
        <f t="shared" si="40"/>
        <v>0.15015210777922641</v>
      </c>
      <c r="G161" s="162">
        <f t="shared" si="41"/>
        <v>0.24598000869187309</v>
      </c>
      <c r="H161" s="164">
        <f t="shared" si="42"/>
        <v>0.34745762711864409</v>
      </c>
      <c r="I161" s="96"/>
      <c r="J161" s="96"/>
      <c r="K161" s="166"/>
      <c r="L161" s="166"/>
      <c r="M161" s="166"/>
      <c r="N161" s="166"/>
      <c r="O161" s="166"/>
      <c r="P161" s="166"/>
      <c r="Q161" s="166"/>
      <c r="R161" s="167"/>
      <c r="S161" s="159"/>
      <c r="T161" s="159"/>
      <c r="U161" s="166"/>
      <c r="V161" s="122"/>
      <c r="W161" s="139"/>
      <c r="X161" s="152"/>
      <c r="Y161" s="436" t="str">
        <f t="shared" si="43"/>
        <v>Southampton</v>
      </c>
      <c r="Z161" s="489">
        <f>IF(Year5_Southampton Year5_Assessments_10days="","",Year5_Southampton Year5_Assessments_10days)</f>
        <v>421</v>
      </c>
      <c r="AA161" s="372">
        <f>IF(Year5_Southampton Year5_Assessments_11_25days="","",Year5_Southampton Year5_Assessments_11_25days)</f>
        <v>759</v>
      </c>
      <c r="AB161" s="372">
        <f>IF(Year5_Southampton Year5_Assessments_26_35days="","",Year5_Southampton Year5_Assessments_26_35days)</f>
        <v>691</v>
      </c>
      <c r="AC161" s="372">
        <f>IF(Year5_Southampton Year5_Assessments_36_45days="","",Year5_Southampton Year5_Assessments_36_45days)</f>
        <v>1132</v>
      </c>
      <c r="AD161" s="372">
        <f>IF(Year5_Southampton Year5_Assessments_over_45days="","",Year5_Southampton Year5_Assessments_over_45days)</f>
        <v>1599</v>
      </c>
      <c r="AE161" s="599">
        <f t="shared" ref="AE161:AE170" si="46">SUM(Z161:AD161)</f>
        <v>4602</v>
      </c>
      <c r="AF161" s="600">
        <f t="shared" si="45"/>
        <v>0.56106040851803562</v>
      </c>
      <c r="AG161" s="190"/>
      <c r="AH161" s="190"/>
      <c r="AI161" s="190"/>
      <c r="AJ161" s="190"/>
      <c r="AK161" s="160"/>
    </row>
    <row r="162" spans="1:46" s="87" customFormat="1" ht="12.75" customHeight="1" x14ac:dyDescent="0.2">
      <c r="A162" s="488">
        <f>VLOOKUP(B162,Sheet1!$AQ$4:$AR$25,2,FALSE)</f>
        <v>0</v>
      </c>
      <c r="B162" s="93" t="str">
        <f t="shared" si="36"/>
        <v>Surrey</v>
      </c>
      <c r="C162" s="85"/>
      <c r="D162" s="162">
        <f t="shared" si="38"/>
        <v>4.745529573590096E-2</v>
      </c>
      <c r="E162" s="162">
        <f t="shared" si="39"/>
        <v>0.16758367721228795</v>
      </c>
      <c r="F162" s="162">
        <f t="shared" si="40"/>
        <v>0.21240256762952775</v>
      </c>
      <c r="G162" s="162">
        <f t="shared" si="41"/>
        <v>0.39064649243466298</v>
      </c>
      <c r="H162" s="164">
        <f t="shared" si="42"/>
        <v>0.18191196698762035</v>
      </c>
      <c r="I162" s="96"/>
      <c r="J162" s="96"/>
      <c r="K162" s="166"/>
      <c r="L162" s="166"/>
      <c r="M162" s="166"/>
      <c r="N162" s="166"/>
      <c r="O162" s="166"/>
      <c r="P162" s="166"/>
      <c r="Q162" s="166"/>
      <c r="R162" s="167"/>
      <c r="S162" s="159"/>
      <c r="T162" s="159"/>
      <c r="U162" s="166"/>
      <c r="V162" s="122"/>
      <c r="W162" s="139"/>
      <c r="X162" s="152"/>
      <c r="Y162" s="436" t="str">
        <f t="shared" si="43"/>
        <v>Surrey</v>
      </c>
      <c r="Z162" s="489">
        <f>IF(Year5_Surrey Year5_Assessments_10days="","",Year5_Surrey Year5_Assessments_10days)</f>
        <v>414</v>
      </c>
      <c r="AA162" s="372">
        <f>IF(Year5_Surrey Year5_Assessments_11_25days="","",Year5_Surrey Year5_Assessments_11_25days)</f>
        <v>1462</v>
      </c>
      <c r="AB162" s="372">
        <f>IF(Year5_Surrey Year5_Assessments_26_35days="","",Year5_Surrey Year5_Assessments_26_35days)</f>
        <v>1853</v>
      </c>
      <c r="AC162" s="372">
        <f>IF(Year5_Surrey Year5_Assessments_36_45days="","",Year5_Surrey Year5_Assessments_36_45days)</f>
        <v>3408</v>
      </c>
      <c r="AD162" s="372">
        <f>IF(Year5_Surrey Year5_Assessments_over_45days="","",Year5_Surrey Year5_Assessments_over_45days)</f>
        <v>1587</v>
      </c>
      <c r="AE162" s="599">
        <f t="shared" si="46"/>
        <v>8724</v>
      </c>
      <c r="AF162" s="600">
        <f t="shared" si="45"/>
        <v>0.77063273727647863</v>
      </c>
      <c r="AG162" s="190"/>
      <c r="AH162" s="190"/>
      <c r="AI162" s="190"/>
      <c r="AJ162" s="190"/>
      <c r="AK162" s="160"/>
    </row>
    <row r="163" spans="1:46" s="87" customFormat="1" ht="12.75" customHeight="1" x14ac:dyDescent="0.2">
      <c r="A163" s="488">
        <f>VLOOKUP(B163,Sheet1!$AQ$4:$AR$25,2,FALSE)</f>
        <v>0</v>
      </c>
      <c r="B163" s="93" t="str">
        <f t="shared" si="36"/>
        <v>Swindon</v>
      </c>
      <c r="C163" s="85"/>
      <c r="D163" s="162">
        <f t="shared" si="38"/>
        <v>0.40566914498141265</v>
      </c>
      <c r="E163" s="162">
        <f t="shared" si="39"/>
        <v>0.32086431226765799</v>
      </c>
      <c r="F163" s="162">
        <f t="shared" si="40"/>
        <v>0.12197955390334572</v>
      </c>
      <c r="G163" s="162">
        <f t="shared" si="41"/>
        <v>8.2481412639405199E-2</v>
      </c>
      <c r="H163" s="164">
        <f t="shared" si="42"/>
        <v>6.9005576208178432E-2</v>
      </c>
      <c r="I163" s="96"/>
      <c r="J163" s="96"/>
      <c r="K163" s="166"/>
      <c r="L163" s="166"/>
      <c r="M163" s="166"/>
      <c r="N163" s="166"/>
      <c r="O163" s="166"/>
      <c r="P163" s="166"/>
      <c r="Q163" s="166"/>
      <c r="R163" s="167"/>
      <c r="S163" s="159"/>
      <c r="T163" s="159"/>
      <c r="U163" s="166"/>
      <c r="V163" s="122"/>
      <c r="W163" s="139"/>
      <c r="X163" s="152"/>
      <c r="Y163" s="436" t="str">
        <f t="shared" si="43"/>
        <v>Swindon</v>
      </c>
      <c r="Z163" s="489">
        <f>IF(Year5_Swindon Year5_Assessments_10days="","",Year5_Swindon Year5_Assessments_10days)</f>
        <v>1746</v>
      </c>
      <c r="AA163" s="372">
        <f>IF(Year5_Swindon Year5_Assessments_11_25days="","",Year5_Swindon Year5_Assessments_11_25days)</f>
        <v>1381</v>
      </c>
      <c r="AB163" s="372">
        <f>IF(Year5_Swindon Year5_Assessments_26_35days="","",Year5_Swindon Year5_Assessments_26_35days)</f>
        <v>525</v>
      </c>
      <c r="AC163" s="372">
        <f>IF(Year5_Swindon Year5_Assessments_36_45days="","",Year5_Swindon Year5_Assessments_36_45days)</f>
        <v>355</v>
      </c>
      <c r="AD163" s="372">
        <f>IF(Year5_Swindon Year5_Assessments_over_45days="","",Year5_Swindon Year5_Assessments_over_45days)</f>
        <v>297</v>
      </c>
      <c r="AE163" s="599">
        <f t="shared" si="46"/>
        <v>4304</v>
      </c>
      <c r="AF163" s="600">
        <f t="shared" si="45"/>
        <v>0.52532527881040891</v>
      </c>
      <c r="AG163" s="190"/>
      <c r="AH163" s="190"/>
      <c r="AI163" s="190"/>
      <c r="AJ163" s="190"/>
      <c r="AK163" s="160"/>
    </row>
    <row r="164" spans="1:46" s="87" customFormat="1" ht="12.75" customHeight="1" x14ac:dyDescent="0.2">
      <c r="A164" s="488">
        <f>VLOOKUP(B164,Sheet1!$AQ$4:$AR$25,2,FALSE)</f>
        <v>0</v>
      </c>
      <c r="B164" s="93" t="str">
        <f t="shared" si="36"/>
        <v>Torbay</v>
      </c>
      <c r="C164" s="85"/>
      <c r="D164" s="162">
        <f t="shared" si="38"/>
        <v>0.1157495256166983</v>
      </c>
      <c r="E164" s="162">
        <f t="shared" si="39"/>
        <v>0.22580645161290322</v>
      </c>
      <c r="F164" s="162">
        <f t="shared" si="40"/>
        <v>0.22896900695762176</v>
      </c>
      <c r="G164" s="162">
        <f t="shared" si="41"/>
        <v>0.23276407337128399</v>
      </c>
      <c r="H164" s="164">
        <f t="shared" si="42"/>
        <v>0.19671094244149273</v>
      </c>
      <c r="I164" s="96"/>
      <c r="J164" s="96"/>
      <c r="K164" s="166"/>
      <c r="L164" s="166"/>
      <c r="M164" s="166"/>
      <c r="N164" s="166"/>
      <c r="O164" s="166"/>
      <c r="P164" s="166"/>
      <c r="Q164" s="166"/>
      <c r="R164" s="167"/>
      <c r="S164" s="159"/>
      <c r="T164" s="159"/>
      <c r="U164" s="166"/>
      <c r="V164" s="122"/>
      <c r="W164" s="139"/>
      <c r="X164" s="152"/>
      <c r="Y164" s="436" t="str">
        <f t="shared" si="43"/>
        <v>Torbay</v>
      </c>
      <c r="Z164" s="489">
        <f>IF(Year5_Torbay Year5_Assessments_10days="","",Year5_Torbay Year5_Assessments_10days)</f>
        <v>183</v>
      </c>
      <c r="AA164" s="372">
        <f>IF(Year5_Torbay Year5_Assessments_11_25days="","",Year5_Torbay Year5_Assessments_11_25days)</f>
        <v>357</v>
      </c>
      <c r="AB164" s="372">
        <f>IF(Year5_Torbay Year5_Assessments_26_35days="","",Year5_Torbay Year5_Assessments_26_35days)</f>
        <v>362</v>
      </c>
      <c r="AC164" s="372">
        <f>IF(Year5_Torbay Year5_Assessments_36_45days="","",Year5_Torbay Year5_Assessments_36_45days)</f>
        <v>368</v>
      </c>
      <c r="AD164" s="372">
        <f>IF(Year5_Torbay Year5_Assessments_over_45days="","",Year5_Torbay Year5_Assessments_over_45days)</f>
        <v>311</v>
      </c>
      <c r="AE164" s="599">
        <f t="shared" si="46"/>
        <v>1581</v>
      </c>
      <c r="AF164" s="600">
        <f t="shared" si="45"/>
        <v>0.68753953194180895</v>
      </c>
      <c r="AG164" s="190"/>
      <c r="AH164" s="190"/>
      <c r="AI164" s="190"/>
      <c r="AJ164" s="190"/>
      <c r="AK164" s="160"/>
    </row>
    <row r="165" spans="1:46" s="87" customFormat="1" ht="12.75" customHeight="1" x14ac:dyDescent="0.2">
      <c r="A165" s="488">
        <f>VLOOKUP(B165,Sheet1!$AQ$4:$AR$25,2,FALSE)</f>
        <v>0</v>
      </c>
      <c r="B165" s="93" t="str">
        <f t="shared" si="36"/>
        <v>West Berkshire</v>
      </c>
      <c r="C165" s="85"/>
      <c r="D165" s="162">
        <f t="shared" si="38"/>
        <v>0.2231139646869984</v>
      </c>
      <c r="E165" s="162">
        <f t="shared" si="39"/>
        <v>0.17174959871589085</v>
      </c>
      <c r="F165" s="162">
        <f t="shared" si="40"/>
        <v>0.11289459604066346</v>
      </c>
      <c r="G165" s="162">
        <f t="shared" si="41"/>
        <v>0.48314606741573035</v>
      </c>
      <c r="H165" s="164">
        <f t="shared" si="42"/>
        <v>9.0957731407169604E-3</v>
      </c>
      <c r="I165" s="96"/>
      <c r="J165" s="96"/>
      <c r="K165" s="166"/>
      <c r="L165" s="166"/>
      <c r="M165" s="166"/>
      <c r="N165" s="166"/>
      <c r="O165" s="166"/>
      <c r="P165" s="166"/>
      <c r="Q165" s="166"/>
      <c r="R165" s="167"/>
      <c r="S165" s="159"/>
      <c r="T165" s="159"/>
      <c r="U165" s="166"/>
      <c r="V165" s="122"/>
      <c r="W165" s="139"/>
      <c r="X165" s="152"/>
      <c r="Y165" s="436" t="str">
        <f t="shared" si="43"/>
        <v>West Berkshire</v>
      </c>
      <c r="Z165" s="489">
        <f>IF(Year5_West_Berkshire Year5_Assessments_10days="","",Year5_West_Berkshire Year5_Assessments_10days)</f>
        <v>417</v>
      </c>
      <c r="AA165" s="372">
        <f>IF(Year5_West_Berkshire Year5_Assessments_11_25days="","",Year5_West_Berkshire Year5_Assessments_11_25days)</f>
        <v>321</v>
      </c>
      <c r="AB165" s="372">
        <f>IF(Year5_West_Berkshire Year5_Assessments_26_35days="","",Year5_West_Berkshire Year5_Assessments_26_35days)</f>
        <v>211</v>
      </c>
      <c r="AC165" s="372">
        <f>IF(Year5_West_Berkshire Year5_Assessments_36_45days="","",Year5_West_Berkshire Year5_Assessments_36_45days)</f>
        <v>903</v>
      </c>
      <c r="AD165" s="372">
        <f>IF(Year5_West_Berkshire Year5_Assessments_over_45days="","",Year5_West_Berkshire Year5_Assessments_over_45days)</f>
        <v>17</v>
      </c>
      <c r="AE165" s="599">
        <f t="shared" si="46"/>
        <v>1869</v>
      </c>
      <c r="AF165" s="600">
        <f t="shared" si="45"/>
        <v>0.76779026217228463</v>
      </c>
      <c r="AG165" s="202"/>
      <c r="AH165" s="190"/>
      <c r="AI165" s="190"/>
      <c r="AJ165" s="190"/>
      <c r="AK165" s="160"/>
    </row>
    <row r="166" spans="1:46" s="87" customFormat="1" ht="12.75" customHeight="1" x14ac:dyDescent="0.2">
      <c r="A166" s="488">
        <f>VLOOKUP(B166,Sheet1!$AQ$4:$AR$25,2,FALSE)</f>
        <v>0</v>
      </c>
      <c r="B166" s="93" t="str">
        <f t="shared" si="36"/>
        <v>West Sussex</v>
      </c>
      <c r="C166" s="85"/>
      <c r="D166" s="162">
        <f t="shared" si="38"/>
        <v>0.24153757888697647</v>
      </c>
      <c r="E166" s="162">
        <f t="shared" si="39"/>
        <v>0.10795563205201759</v>
      </c>
      <c r="F166" s="162">
        <f t="shared" si="40"/>
        <v>0.14601262191623637</v>
      </c>
      <c r="G166" s="162">
        <f t="shared" si="41"/>
        <v>0.38229106903805699</v>
      </c>
      <c r="H166" s="164">
        <f t="shared" si="42"/>
        <v>0.12220309810671257</v>
      </c>
      <c r="I166" s="96"/>
      <c r="J166" s="96"/>
      <c r="K166" s="166"/>
      <c r="L166" s="166"/>
      <c r="M166" s="166"/>
      <c r="N166" s="166"/>
      <c r="O166" s="166"/>
      <c r="P166" s="166"/>
      <c r="Q166" s="166"/>
      <c r="R166" s="167"/>
      <c r="S166" s="159"/>
      <c r="T166" s="159"/>
      <c r="U166" s="166"/>
      <c r="V166" s="122"/>
      <c r="W166" s="139"/>
      <c r="X166" s="152"/>
      <c r="Y166" s="436" t="str">
        <f t="shared" si="43"/>
        <v>West Sussex</v>
      </c>
      <c r="Z166" s="489">
        <f>IF(Year5_West_Sussex Year5_Assessments_10days="","",Year5_West_Sussex Year5_Assessments_10days)</f>
        <v>2526</v>
      </c>
      <c r="AA166" s="372">
        <f>IF(Year5_West_Sussex Year5_Assessments_11_25days="","",Year5_West_Sussex Year5_Assessments_11_25days)</f>
        <v>1129</v>
      </c>
      <c r="AB166" s="372">
        <f>IF(Year5_West_Sussex Year5_Assessments_26_35days="","",Year5_West_Sussex Year5_Assessments_26_35days)</f>
        <v>1527</v>
      </c>
      <c r="AC166" s="372">
        <f>IF(Year5_West_Sussex Year5_Assessments_36_45days="","",Year5_West_Sussex Year5_Assessments_36_45days)</f>
        <v>3998</v>
      </c>
      <c r="AD166" s="372">
        <f>IF(Year5_West_Sussex Year5_Assessments_over_45days="","",Year5_West_Sussex Year5_Assessments_over_45days)</f>
        <v>1278</v>
      </c>
      <c r="AE166" s="599">
        <f t="shared" si="46"/>
        <v>10458</v>
      </c>
      <c r="AF166" s="600">
        <f t="shared" si="45"/>
        <v>0.63625932300631094</v>
      </c>
      <c r="AG166" s="202"/>
      <c r="AH166" s="190"/>
      <c r="AI166" s="190"/>
      <c r="AJ166" s="190"/>
      <c r="AK166" s="160"/>
    </row>
    <row r="167" spans="1:46" s="87" customFormat="1" ht="12.75" customHeight="1" x14ac:dyDescent="0.2">
      <c r="A167" s="488">
        <f>VLOOKUP(B167,Sheet1!$AQ$4:$AR$25,2,FALSE)</f>
        <v>0</v>
      </c>
      <c r="B167" s="93" t="str">
        <f t="shared" si="36"/>
        <v>Windsor &amp; Maidenhead</v>
      </c>
      <c r="C167" s="85"/>
      <c r="D167" s="162">
        <f t="shared" si="38"/>
        <v>6.9364161849710976E-2</v>
      </c>
      <c r="E167" s="162">
        <f t="shared" si="39"/>
        <v>0.19900908340214699</v>
      </c>
      <c r="F167" s="162">
        <f t="shared" si="40"/>
        <v>0.22708505367464904</v>
      </c>
      <c r="G167" s="162">
        <f t="shared" si="41"/>
        <v>0.435177539223782</v>
      </c>
      <c r="H167" s="164">
        <f t="shared" si="42"/>
        <v>6.9364161849710976E-2</v>
      </c>
      <c r="I167" s="96"/>
      <c r="J167" s="96"/>
      <c r="K167" s="166"/>
      <c r="L167" s="166"/>
      <c r="M167" s="166"/>
      <c r="N167" s="166"/>
      <c r="O167" s="166"/>
      <c r="P167" s="166"/>
      <c r="Q167" s="166"/>
      <c r="R167" s="167"/>
      <c r="S167" s="159"/>
      <c r="T167" s="159"/>
      <c r="U167" s="166"/>
      <c r="V167" s="122"/>
      <c r="W167" s="139"/>
      <c r="X167" s="152"/>
      <c r="Y167" s="436" t="str">
        <f t="shared" si="43"/>
        <v>Windsor &amp; Maidenhead</v>
      </c>
      <c r="Z167" s="489">
        <f>IF(Year5_Windsor_Maidenhead Year5_Assessments_10days="","",Year5_Windsor_Maidenhead Year5_Assessments_10days)</f>
        <v>84</v>
      </c>
      <c r="AA167" s="372">
        <f>IF(Year5_Windsor_Maidenhead Year5_Assessments_11_25days="","",Year5_Windsor_Maidenhead Year5_Assessments_11_25days)</f>
        <v>241</v>
      </c>
      <c r="AB167" s="372">
        <f>IF(Year5_Windsor_Maidenhead Year5_Assessments_26_35days="","",Year5_Windsor_Maidenhead Year5_Assessments_26_35days)</f>
        <v>275</v>
      </c>
      <c r="AC167" s="372">
        <f>IF(Year5_Windsor_Maidenhead Year5_Assessments_36_45days="","",Year5_Windsor_Maidenhead Year5_Assessments_36_45days)</f>
        <v>527</v>
      </c>
      <c r="AD167" s="372">
        <f>IF(Year5_Windsor_Maidenhead Year5_Assessments_over_45days="","",Year5_Windsor_Maidenhead Year5_Assessments_over_45days)</f>
        <v>84</v>
      </c>
      <c r="AE167" s="1016">
        <f>H30</f>
        <v>1211</v>
      </c>
      <c r="AF167" s="600">
        <f t="shared" si="45"/>
        <v>0.86127167630057799</v>
      </c>
      <c r="AG167" s="202"/>
      <c r="AH167" s="202"/>
      <c r="AI167" s="202"/>
      <c r="AJ167" s="190"/>
      <c r="AK167" s="160"/>
    </row>
    <row r="168" spans="1:46" s="87" customFormat="1" ht="12.75" customHeight="1" x14ac:dyDescent="0.2">
      <c r="A168" s="488">
        <f>VLOOKUP(B168,Sheet1!$AQ$4:$AR$25,2,FALSE)</f>
        <v>0</v>
      </c>
      <c r="B168" s="93" t="str">
        <f t="shared" si="36"/>
        <v>Wokingham</v>
      </c>
      <c r="C168" s="85"/>
      <c r="D168" s="162">
        <f t="shared" si="38"/>
        <v>8.5020242914979755E-2</v>
      </c>
      <c r="E168" s="162">
        <f t="shared" si="39"/>
        <v>0.16599190283400811</v>
      </c>
      <c r="F168" s="162">
        <f t="shared" si="40"/>
        <v>0.21929824561403508</v>
      </c>
      <c r="G168" s="162">
        <f t="shared" si="41"/>
        <v>0.31713900134952766</v>
      </c>
      <c r="H168" s="164">
        <f t="shared" si="42"/>
        <v>0.2125506072874494</v>
      </c>
      <c r="I168" s="96"/>
      <c r="J168" s="96"/>
      <c r="K168" s="166"/>
      <c r="L168" s="166"/>
      <c r="M168" s="166"/>
      <c r="N168" s="166"/>
      <c r="O168" s="166"/>
      <c r="P168" s="166"/>
      <c r="Q168" s="166"/>
      <c r="R168" s="167"/>
      <c r="S168" s="159"/>
      <c r="T168" s="159"/>
      <c r="U168" s="166"/>
      <c r="V168" s="122"/>
      <c r="W168" s="139"/>
      <c r="X168" s="152"/>
      <c r="Y168" s="436" t="str">
        <f t="shared" si="43"/>
        <v>Wokingham</v>
      </c>
      <c r="Z168" s="489">
        <f>IF(Year5_Wokingham Year5_Assessments_10days="","",Year5_Wokingham Year5_Assessments_10days)</f>
        <v>126</v>
      </c>
      <c r="AA168" s="372">
        <f>IF(Year5_Wokingham Year5_Assessments_11_25days="","",Year5_Wokingham Year5_Assessments_11_25days)</f>
        <v>246</v>
      </c>
      <c r="AB168" s="372">
        <f>IF(Year5_Wokingham Year5_Assessments_26_35days="","",Year5_Wokingham Year5_Assessments_26_35days)</f>
        <v>325</v>
      </c>
      <c r="AC168" s="372">
        <f>IF(Year5_Wokingham Year5_Assessments_36_45days="","",Year5_Wokingham Year5_Assessments_36_45days)</f>
        <v>470</v>
      </c>
      <c r="AD168" s="372">
        <f>IF(Year5_Wokingham Year5_Assessments_over_45days="","",Year5_Wokingham Year5_Assessments_over_45days)</f>
        <v>315</v>
      </c>
      <c r="AE168" s="599">
        <f t="shared" si="46"/>
        <v>1482</v>
      </c>
      <c r="AF168" s="600">
        <f t="shared" si="45"/>
        <v>0.70242914979757087</v>
      </c>
      <c r="AG168" s="202"/>
      <c r="AH168" s="202"/>
      <c r="AI168" s="202"/>
      <c r="AJ168" s="190"/>
      <c r="AK168" s="160"/>
    </row>
    <row r="169" spans="1:46" s="87" customFormat="1" ht="12.75" customHeight="1" x14ac:dyDescent="0.2">
      <c r="A169" s="121"/>
      <c r="B169" s="129" t="str">
        <f t="shared" si="36"/>
        <v>South East</v>
      </c>
      <c r="C169" s="85"/>
      <c r="D169" s="163">
        <f t="shared" si="38"/>
        <v>0.14417594352430085</v>
      </c>
      <c r="E169" s="163">
        <f t="shared" si="39"/>
        <v>0.20943071771201013</v>
      </c>
      <c r="F169" s="163">
        <f t="shared" si="40"/>
        <v>0.17558150058828853</v>
      </c>
      <c r="G169" s="163">
        <f t="shared" si="41"/>
        <v>0.32211059824418498</v>
      </c>
      <c r="H169" s="165">
        <f t="shared" si="42"/>
        <v>0.14870123993121551</v>
      </c>
      <c r="I169" s="96"/>
      <c r="J169" s="96"/>
      <c r="K169" s="168"/>
      <c r="L169" s="168"/>
      <c r="M169" s="168"/>
      <c r="N169" s="168"/>
      <c r="O169" s="168"/>
      <c r="P169" s="168"/>
      <c r="Q169" s="168"/>
      <c r="R169" s="169"/>
      <c r="S169" s="159"/>
      <c r="T169" s="159"/>
      <c r="U169" s="170"/>
      <c r="V169" s="122"/>
      <c r="W169" s="139"/>
      <c r="X169" s="152"/>
      <c r="Y169" s="436" t="str">
        <f t="shared" si="43"/>
        <v>South East</v>
      </c>
      <c r="Z169" s="372">
        <f>IF(Year5_SouthEast Year5_Assessments_10days="","",Year5_SouthEast Year5_Assessments_10days)</f>
        <v>15930</v>
      </c>
      <c r="AA169" s="372">
        <f>IF(Year5_SouthEast Year5_Assessments_11_25days="","",Year5_SouthEast Year5_Assessments_11_25days)</f>
        <v>23140</v>
      </c>
      <c r="AB169" s="372">
        <f>IF(Year5_SouthEast Year5_Assessments_26_35days="","",Year5_SouthEast Year5_Assessments_26_35days)</f>
        <v>19400</v>
      </c>
      <c r="AC169" s="372">
        <f>IF(Year5_SouthEast Year5_Assessments_36_45days="","",Year5_SouthEast Year5_Assessments_36_45days)</f>
        <v>35590</v>
      </c>
      <c r="AD169" s="372">
        <f>IF(Year5_SouthEast Year5_Assessments_over_45days="","",Year5_SouthEast Year5_Assessments_over_45days)</f>
        <v>16430</v>
      </c>
      <c r="AE169" s="599">
        <f>SUM(Z169:AD169)</f>
        <v>110490</v>
      </c>
      <c r="AF169" s="600">
        <f t="shared" si="45"/>
        <v>0.70712281654448361</v>
      </c>
      <c r="AG169" s="202"/>
      <c r="AH169" s="202"/>
      <c r="AI169" s="202"/>
      <c r="AJ169" s="190"/>
      <c r="AK169" s="160"/>
    </row>
    <row r="170" spans="1:46" s="87" customFormat="1" ht="12.75" x14ac:dyDescent="0.2">
      <c r="A170" s="121"/>
      <c r="B170" s="329" t="s">
        <v>127</v>
      </c>
      <c r="C170" s="85"/>
      <c r="D170" s="351">
        <f t="shared" ref="D170" si="47">IF(AND(ISNUMBER(Z170),$AE170&gt;0),Z170/$AE170,NA())</f>
        <v>0.13856507631294315</v>
      </c>
      <c r="E170" s="351">
        <f t="shared" ref="E170" si="48">IF(AND(ISNUMBER(AA170),$AE170&gt;0),AA170/$AE170,NA())</f>
        <v>0.16839923086167527</v>
      </c>
      <c r="F170" s="351">
        <f t="shared" ref="F170" si="49">IF(AND(ISNUMBER(AB170),$AE170&gt;0),AB170/$AE170,NA())</f>
        <v>0.16851940872491286</v>
      </c>
      <c r="G170" s="351">
        <f t="shared" ref="G170" si="50">IF(AND(ISNUMBER(AC170),$AE170&gt;0),AC170/$AE170,NA())</f>
        <v>0.36299723590914551</v>
      </c>
      <c r="H170" s="352">
        <f t="shared" ref="H170" si="51">IF(AND(ISNUMBER(AD170),$AE170&gt;0),AD170/$AE170,NA())</f>
        <v>0.16151904819132315</v>
      </c>
      <c r="I170" s="96"/>
      <c r="J170" s="96"/>
      <c r="K170" s="168"/>
      <c r="L170" s="168"/>
      <c r="M170" s="168"/>
      <c r="N170" s="168"/>
      <c r="O170" s="168"/>
      <c r="P170" s="168"/>
      <c r="Q170" s="168"/>
      <c r="R170" s="169"/>
      <c r="S170" s="159"/>
      <c r="T170" s="159"/>
      <c r="U170" s="170"/>
      <c r="V170" s="122"/>
      <c r="W170" s="139"/>
      <c r="X170" s="152"/>
      <c r="Y170" s="436" t="str">
        <f>B170</f>
        <v>England</v>
      </c>
      <c r="Z170" s="372">
        <f>IF(Year5_England Year5_Assessments_10days="","",Year5_England Year5_Assessments_10days)</f>
        <v>92240</v>
      </c>
      <c r="AA170" s="372">
        <f>IF(Year5_England Year5_Assessments_11_25days="","",Year5_England Year5_Assessments_11_25days)</f>
        <v>112100</v>
      </c>
      <c r="AB170" s="372">
        <f>IF(Year5_England Year5_Assessments_26_35days="","",Year5_England Year5_Assessments_26_35days)</f>
        <v>112180</v>
      </c>
      <c r="AC170" s="372">
        <f>IF(Year5_England Year5_Assessments_36_45days="","",Year5_England Year5_Assessments_36_45days)</f>
        <v>241640</v>
      </c>
      <c r="AD170" s="372">
        <f>IF(Year5_England Year5_Assessments_over_45days="","",Year5_England Year5_Assessments_over_45days)</f>
        <v>107520</v>
      </c>
      <c r="AE170" s="599">
        <f t="shared" si="46"/>
        <v>665680</v>
      </c>
      <c r="AF170" s="600">
        <f t="shared" si="45"/>
        <v>0.69991587549573364</v>
      </c>
      <c r="AG170" s="202"/>
      <c r="AH170" s="202"/>
      <c r="AI170" s="190"/>
      <c r="AJ170" s="202"/>
      <c r="AK170" s="160"/>
    </row>
    <row r="171" spans="1:46" s="87" customFormat="1" ht="12.75" x14ac:dyDescent="0.2">
      <c r="A171" s="292"/>
      <c r="B171" s="96"/>
      <c r="C171" s="96"/>
      <c r="D171" s="96"/>
      <c r="E171" s="96"/>
      <c r="F171" s="96"/>
      <c r="G171" s="96"/>
      <c r="H171" s="96"/>
      <c r="I171" s="96"/>
      <c r="J171" s="96"/>
      <c r="K171" s="168"/>
      <c r="L171" s="168"/>
      <c r="M171" s="168"/>
      <c r="N171" s="168"/>
      <c r="O171" s="168"/>
      <c r="P171" s="168"/>
      <c r="Q171" s="168"/>
      <c r="R171" s="169"/>
      <c r="S171" s="159"/>
      <c r="T171" s="159"/>
      <c r="U171" s="170"/>
      <c r="V171" s="122"/>
      <c r="W171" s="139"/>
      <c r="X171" s="152"/>
      <c r="Y171" s="81"/>
      <c r="Z171" s="81"/>
      <c r="AA171" s="196"/>
      <c r="AB171" s="196"/>
      <c r="AC171" s="197"/>
      <c r="AD171" s="197"/>
      <c r="AE171" s="199"/>
      <c r="AF171" s="202"/>
      <c r="AG171" s="202"/>
      <c r="AH171" s="202"/>
      <c r="AI171" s="190"/>
      <c r="AJ171" s="202"/>
      <c r="AK171" s="160"/>
    </row>
    <row r="172" spans="1:46" s="81" customFormat="1" ht="33.6" customHeight="1" x14ac:dyDescent="0.2">
      <c r="A172" s="217"/>
      <c r="B172" s="1905"/>
      <c r="C172" s="1905"/>
      <c r="D172" s="1905"/>
      <c r="E172" s="1905"/>
      <c r="F172" s="1905"/>
      <c r="G172" s="1905"/>
      <c r="H172" s="1905"/>
      <c r="I172" s="325"/>
      <c r="J172" s="172"/>
      <c r="K172" s="172"/>
      <c r="L172" s="172"/>
      <c r="M172" s="172"/>
      <c r="N172" s="172"/>
      <c r="O172" s="172"/>
      <c r="P172" s="172"/>
      <c r="Q172" s="172"/>
      <c r="R172" s="136"/>
      <c r="S172" s="172"/>
      <c r="T172" s="172"/>
      <c r="U172" s="172"/>
      <c r="V172" s="117"/>
      <c r="W172" s="137"/>
      <c r="X172" s="150"/>
      <c r="AD172" s="197"/>
      <c r="AE172" s="199"/>
      <c r="AF172" s="184"/>
      <c r="AG172" s="184"/>
      <c r="AH172" s="184"/>
      <c r="AJ172" s="184"/>
      <c r="AK172" s="161"/>
    </row>
    <row r="173" spans="1:46" s="81" customFormat="1" ht="36.950000000000003" customHeight="1" x14ac:dyDescent="0.2">
      <c r="A173" s="217"/>
      <c r="B173" s="325"/>
      <c r="C173" s="325"/>
      <c r="D173" s="325"/>
      <c r="E173" s="325"/>
      <c r="F173" s="325"/>
      <c r="G173" s="325"/>
      <c r="H173" s="325"/>
      <c r="I173" s="325"/>
      <c r="J173" s="172"/>
      <c r="K173" s="172"/>
      <c r="L173" s="172"/>
      <c r="M173" s="172"/>
      <c r="N173" s="172"/>
      <c r="O173" s="172"/>
      <c r="P173" s="172"/>
      <c r="Q173" s="172"/>
      <c r="R173" s="136"/>
      <c r="S173" s="172"/>
      <c r="T173" s="172"/>
      <c r="U173" s="172"/>
      <c r="V173" s="117"/>
      <c r="W173" s="137"/>
      <c r="X173" s="150"/>
      <c r="Z173" s="190"/>
      <c r="AE173" s="199"/>
      <c r="AF173" s="184"/>
      <c r="AG173" s="184"/>
      <c r="AH173" s="184"/>
      <c r="AJ173" s="184"/>
      <c r="AK173" s="161"/>
    </row>
    <row r="174" spans="1:46" s="81" customFormat="1" ht="29.25" customHeight="1" x14ac:dyDescent="0.2">
      <c r="A174" s="217"/>
      <c r="B174" s="325"/>
      <c r="C174" s="325"/>
      <c r="D174" s="325"/>
      <c r="E174" s="325"/>
      <c r="F174" s="325"/>
      <c r="G174" s="325"/>
      <c r="H174" s="325"/>
      <c r="I174" s="325"/>
      <c r="J174" s="172"/>
      <c r="K174" s="172"/>
      <c r="L174" s="172"/>
      <c r="M174" s="172"/>
      <c r="N174" s="172"/>
      <c r="O174" s="172"/>
      <c r="P174" s="172"/>
      <c r="Q174" s="172"/>
      <c r="R174" s="136"/>
      <c r="S174" s="172"/>
      <c r="T174" s="172"/>
      <c r="U174" s="172"/>
      <c r="V174" s="117"/>
      <c r="W174" s="137"/>
      <c r="X174" s="150"/>
      <c r="Z174" s="190"/>
      <c r="AE174" s="199"/>
      <c r="AF174" s="184"/>
      <c r="AG174" s="184"/>
      <c r="AH174" s="184"/>
      <c r="AJ174" s="184"/>
      <c r="AK174" s="161"/>
    </row>
    <row r="175" spans="1:46" s="81" customFormat="1" ht="7.5" customHeight="1" x14ac:dyDescent="0.2">
      <c r="A175" s="118"/>
      <c r="B175" s="17"/>
      <c r="C175" s="17"/>
      <c r="D175" s="16"/>
      <c r="E175" s="16"/>
      <c r="F175" s="16"/>
      <c r="G175" s="16"/>
      <c r="H175" s="16"/>
      <c r="I175" s="16"/>
      <c r="J175" s="12"/>
      <c r="K175" s="18"/>
      <c r="L175" s="18"/>
      <c r="M175" s="18"/>
      <c r="N175" s="18"/>
      <c r="O175" s="18"/>
      <c r="P175" s="18"/>
      <c r="Q175" s="18"/>
      <c r="R175" s="18"/>
      <c r="S175" s="18"/>
      <c r="T175" s="18"/>
      <c r="U175" s="19"/>
      <c r="V175" s="117"/>
      <c r="W175" s="137"/>
      <c r="X175" s="150"/>
      <c r="Z175" s="190"/>
      <c r="AJ175" s="184"/>
      <c r="AK175" s="157"/>
      <c r="AM175" s="74"/>
      <c r="AN175" s="74"/>
      <c r="AO175" s="74"/>
      <c r="AP175" s="74"/>
      <c r="AQ175" s="74"/>
      <c r="AR175" s="74"/>
    </row>
    <row r="176" spans="1:46" s="81" customFormat="1" ht="15" customHeight="1" x14ac:dyDescent="0.2">
      <c r="A176" s="1716"/>
      <c r="B176" s="1760"/>
      <c r="C176" s="1760"/>
      <c r="D176" s="1760"/>
      <c r="E176" s="1760"/>
      <c r="F176" s="1760"/>
      <c r="G176" s="1760"/>
      <c r="H176" s="1760"/>
      <c r="I176" s="1760"/>
      <c r="J176" s="1760"/>
      <c r="K176" s="1760"/>
      <c r="L176" s="1760"/>
      <c r="M176" s="1760"/>
      <c r="N176" s="1760"/>
      <c r="O176" s="1760"/>
      <c r="P176" s="1760"/>
      <c r="Q176" s="1760"/>
      <c r="R176" s="1760"/>
      <c r="S176" s="1760"/>
      <c r="T176" s="1760"/>
      <c r="U176" s="1760"/>
      <c r="V176" s="1761"/>
      <c r="W176" s="137"/>
      <c r="X176" s="150"/>
      <c r="AK176" s="161"/>
      <c r="AT176" s="74"/>
    </row>
    <row r="177" spans="1:66" s="81" customFormat="1" ht="11.25" customHeight="1" x14ac:dyDescent="0.2">
      <c r="A177" s="1765" t="str">
        <f>Home!$A$39</f>
        <v xml:space="preserve"> </v>
      </c>
      <c r="B177" s="1766"/>
      <c r="C177" s="1766"/>
      <c r="D177" s="1766"/>
      <c r="E177" s="1766"/>
      <c r="F177" s="1766"/>
      <c r="G177" s="1766"/>
      <c r="H177" s="1766"/>
      <c r="I177" s="1767"/>
      <c r="J177" s="1766"/>
      <c r="K177" s="1766"/>
      <c r="L177" s="1766"/>
      <c r="M177" s="1766"/>
      <c r="N177" s="1766"/>
      <c r="O177" s="1766"/>
      <c r="P177" s="1768"/>
      <c r="Q177" s="1766"/>
      <c r="R177" s="1766"/>
      <c r="S177" s="1766"/>
      <c r="T177" s="1767"/>
      <c r="U177" s="1766"/>
      <c r="V177" s="1769"/>
      <c r="W177" s="137"/>
      <c r="X177" s="150"/>
      <c r="AJ177" s="184"/>
      <c r="AK177" s="161"/>
      <c r="AT177" s="74"/>
    </row>
    <row r="178" spans="1:66" ht="11.25" customHeight="1" x14ac:dyDescent="0.2">
      <c r="A178" s="142"/>
      <c r="B178" s="9"/>
      <c r="C178" s="9"/>
      <c r="D178" s="9"/>
      <c r="E178" s="9"/>
      <c r="F178" s="58"/>
      <c r="G178" s="58"/>
      <c r="H178" s="58"/>
      <c r="I178" s="58"/>
      <c r="J178" s="114"/>
      <c r="K178" s="113"/>
      <c r="L178" s="113"/>
      <c r="M178" s="113"/>
      <c r="N178" s="113"/>
      <c r="O178" s="113"/>
      <c r="P178" s="113"/>
      <c r="Q178" s="113"/>
      <c r="R178" s="113"/>
      <c r="S178" s="113"/>
      <c r="T178" s="113"/>
      <c r="U178" s="113"/>
      <c r="V178" s="113"/>
      <c r="W178" s="137"/>
      <c r="X178" s="150"/>
      <c r="AJ178" s="81"/>
      <c r="AK178" s="161"/>
      <c r="AL178" s="81"/>
      <c r="AM178" s="81"/>
      <c r="AN178" s="81"/>
      <c r="AO178" s="81"/>
      <c r="AP178" s="81"/>
      <c r="AQ178" s="81"/>
      <c r="AR178" s="81"/>
      <c r="AS178" s="81"/>
      <c r="AU178" s="81"/>
      <c r="AV178" s="81"/>
      <c r="AW178" s="81"/>
      <c r="AX178" s="81"/>
      <c r="AY178" s="81"/>
      <c r="AZ178" s="81"/>
      <c r="BA178" s="81"/>
      <c r="BB178" s="81"/>
      <c r="BC178" s="81"/>
      <c r="BD178" s="81"/>
      <c r="BE178" s="81"/>
      <c r="BF178" s="81"/>
      <c r="BG178" s="81"/>
      <c r="BH178" s="81"/>
      <c r="BI178" s="81"/>
      <c r="BJ178" s="81"/>
      <c r="BK178" s="81"/>
      <c r="BL178" s="81"/>
      <c r="BM178" s="81"/>
      <c r="BN178" s="81"/>
    </row>
    <row r="179" spans="1:66" ht="11.25" customHeight="1" x14ac:dyDescent="0.2">
      <c r="A179" s="142"/>
      <c r="B179" s="1685" t="s">
        <v>82</v>
      </c>
      <c r="C179" s="1685"/>
      <c r="D179" s="1685"/>
      <c r="E179" s="1685"/>
      <c r="F179" s="1685"/>
      <c r="G179" s="1685"/>
      <c r="H179" s="1685"/>
      <c r="I179" s="1685"/>
      <c r="J179" s="12"/>
      <c r="K179" s="9"/>
      <c r="L179" s="9"/>
      <c r="M179" s="9"/>
      <c r="N179" s="9"/>
      <c r="O179" s="9"/>
      <c r="P179" s="9"/>
      <c r="Q179" s="9"/>
      <c r="R179" s="9"/>
      <c r="S179" s="9"/>
      <c r="T179" s="9"/>
      <c r="U179" s="9"/>
      <c r="V179" s="9"/>
      <c r="W179" s="137"/>
      <c r="X179" s="150"/>
      <c r="AJ179" s="81"/>
      <c r="AK179" s="161"/>
      <c r="AL179" s="81"/>
      <c r="AM179" s="81"/>
      <c r="AN179" s="81"/>
      <c r="AO179" s="81"/>
      <c r="AP179" s="81"/>
      <c r="AQ179" s="81"/>
      <c r="AR179" s="81"/>
      <c r="AS179" s="81"/>
      <c r="AU179" s="81"/>
      <c r="AV179" s="81"/>
      <c r="AW179" s="81"/>
      <c r="AX179" s="81"/>
      <c r="AY179" s="81"/>
      <c r="AZ179" s="81"/>
      <c r="BA179" s="81"/>
      <c r="BB179" s="81"/>
      <c r="BC179" s="81"/>
      <c r="BD179" s="81"/>
      <c r="BE179" s="81"/>
      <c r="BF179" s="81"/>
      <c r="BG179" s="81"/>
      <c r="BH179" s="81"/>
      <c r="BI179" s="81"/>
      <c r="BJ179" s="81"/>
      <c r="BK179" s="81"/>
      <c r="BL179" s="81"/>
      <c r="BM179" s="81"/>
      <c r="BN179" s="81"/>
    </row>
    <row r="180" spans="1:66" ht="11.25" customHeight="1" x14ac:dyDescent="0.2">
      <c r="A180" s="142"/>
      <c r="B180" s="1685"/>
      <c r="C180" s="1685"/>
      <c r="D180" s="1685"/>
      <c r="E180" s="1685"/>
      <c r="F180" s="1685"/>
      <c r="G180" s="1685"/>
      <c r="H180" s="1685"/>
      <c r="I180" s="1685"/>
      <c r="J180" s="12"/>
      <c r="K180" s="9"/>
      <c r="L180" s="9"/>
      <c r="M180" s="9"/>
      <c r="N180" s="9"/>
      <c r="O180" s="9"/>
      <c r="P180" s="9"/>
      <c r="Q180" s="9"/>
      <c r="R180" s="9"/>
      <c r="S180" s="9"/>
      <c r="T180" s="9"/>
      <c r="U180" s="9"/>
      <c r="V180" s="9"/>
      <c r="W180" s="137"/>
      <c r="X180" s="150"/>
      <c r="AJ180" s="81"/>
      <c r="AK180" s="161"/>
      <c r="AL180" s="81"/>
      <c r="AM180" s="81"/>
      <c r="AN180" s="81"/>
      <c r="AO180" s="81"/>
      <c r="AP180" s="81"/>
      <c r="AQ180" s="81"/>
      <c r="AR180" s="81"/>
      <c r="AS180" s="81"/>
      <c r="AU180" s="81"/>
      <c r="AV180" s="81"/>
      <c r="AW180" s="81"/>
      <c r="AX180" s="81"/>
      <c r="AY180" s="81"/>
      <c r="AZ180" s="81"/>
      <c r="BA180" s="81"/>
      <c r="BB180" s="81"/>
      <c r="BC180" s="81"/>
      <c r="BD180" s="81"/>
      <c r="BE180" s="81"/>
      <c r="BF180" s="81"/>
      <c r="BG180" s="81"/>
      <c r="BH180" s="81"/>
      <c r="BI180" s="81"/>
      <c r="BJ180" s="81"/>
      <c r="BK180" s="81"/>
      <c r="BL180" s="81"/>
      <c r="BM180" s="81"/>
      <c r="BN180" s="81"/>
    </row>
    <row r="181" spans="1:66" ht="11.25" customHeight="1" x14ac:dyDescent="0.2">
      <c r="A181" s="142"/>
      <c r="B181" s="1680" t="s">
        <v>800</v>
      </c>
      <c r="C181" s="1680"/>
      <c r="D181" s="1680"/>
      <c r="E181" s="1680"/>
      <c r="F181" s="1680"/>
      <c r="G181" s="1680"/>
      <c r="H181" s="1680"/>
      <c r="I181" s="1680"/>
      <c r="J181" s="12"/>
      <c r="K181" s="9"/>
      <c r="L181" s="9"/>
      <c r="M181" s="9"/>
      <c r="N181" s="9"/>
      <c r="O181" s="9"/>
      <c r="P181" s="9"/>
      <c r="Q181" s="9"/>
      <c r="R181" s="9"/>
      <c r="S181" s="9"/>
      <c r="T181" s="9"/>
      <c r="U181" s="9"/>
      <c r="V181" s="9"/>
      <c r="W181" s="137"/>
      <c r="X181" s="150"/>
      <c r="AJ181" s="81"/>
      <c r="AK181" s="161"/>
      <c r="AL181" s="81"/>
      <c r="AM181" s="81"/>
      <c r="AN181" s="81"/>
      <c r="AO181" s="81"/>
      <c r="AP181" s="81"/>
      <c r="AQ181" s="81"/>
      <c r="AR181" s="81"/>
      <c r="AS181" s="81"/>
      <c r="AU181" s="81"/>
      <c r="AV181" s="81"/>
      <c r="AW181" s="81"/>
      <c r="AX181" s="81"/>
      <c r="AY181" s="81"/>
      <c r="AZ181" s="81"/>
      <c r="BA181" s="81"/>
      <c r="BB181" s="81"/>
      <c r="BC181" s="81"/>
      <c r="BD181" s="81"/>
      <c r="BE181" s="81"/>
      <c r="BF181" s="81"/>
      <c r="BG181" s="81"/>
      <c r="BH181" s="81"/>
      <c r="BI181" s="81"/>
      <c r="BJ181" s="81"/>
      <c r="BK181" s="81"/>
      <c r="BL181" s="81"/>
      <c r="BM181" s="81"/>
      <c r="BN181" s="81"/>
    </row>
    <row r="182" spans="1:66" ht="11.25" customHeight="1" x14ac:dyDescent="0.2">
      <c r="A182" s="142"/>
      <c r="B182" s="1680"/>
      <c r="C182" s="1680"/>
      <c r="D182" s="1680"/>
      <c r="E182" s="1680"/>
      <c r="F182" s="1680"/>
      <c r="G182" s="1680"/>
      <c r="H182" s="1680"/>
      <c r="I182" s="1680"/>
      <c r="J182" s="12"/>
      <c r="K182" s="9"/>
      <c r="L182" s="9"/>
      <c r="M182" s="9"/>
      <c r="N182" s="9"/>
      <c r="O182" s="9"/>
      <c r="P182" s="9"/>
      <c r="Q182" s="9"/>
      <c r="R182" s="9"/>
      <c r="S182" s="9"/>
      <c r="T182" s="9"/>
      <c r="U182" s="9"/>
      <c r="V182" s="9"/>
      <c r="W182" s="137"/>
      <c r="X182" s="150"/>
      <c r="AJ182" s="81"/>
      <c r="AK182" s="161"/>
      <c r="AL182" s="81"/>
      <c r="AM182" s="81"/>
      <c r="AN182" s="81"/>
      <c r="AO182" s="81"/>
      <c r="AP182" s="81"/>
      <c r="AQ182" s="81"/>
      <c r="AR182" s="81"/>
      <c r="AS182" s="81"/>
      <c r="AU182" s="81"/>
      <c r="AV182" s="81"/>
      <c r="AW182" s="81"/>
      <c r="AX182" s="81"/>
      <c r="AY182" s="81"/>
      <c r="AZ182" s="81"/>
      <c r="BA182" s="81"/>
      <c r="BB182" s="81"/>
      <c r="BC182" s="81"/>
      <c r="BD182" s="81"/>
      <c r="BE182" s="81"/>
      <c r="BF182" s="81"/>
      <c r="BG182" s="81"/>
      <c r="BH182" s="81"/>
      <c r="BI182" s="81"/>
      <c r="BJ182" s="81"/>
      <c r="BK182" s="81"/>
      <c r="BL182" s="81"/>
      <c r="BM182" s="81"/>
      <c r="BN182" s="81"/>
    </row>
    <row r="183" spans="1:66" s="76" customFormat="1" ht="11.25" hidden="1" customHeight="1" x14ac:dyDescent="0.2">
      <c r="A183" s="142"/>
      <c r="B183" s="1680" t="s">
        <v>81</v>
      </c>
      <c r="C183" s="1680"/>
      <c r="D183" s="1680"/>
      <c r="E183" s="1680"/>
      <c r="F183" s="1680"/>
      <c r="G183" s="1680"/>
      <c r="H183" s="1680"/>
      <c r="I183" s="1680"/>
      <c r="J183" s="14"/>
      <c r="K183" s="14"/>
      <c r="L183" s="14"/>
      <c r="M183" s="14"/>
      <c r="N183" s="14"/>
      <c r="O183" s="14"/>
      <c r="P183" s="14"/>
      <c r="Q183" s="14"/>
      <c r="R183" s="14"/>
      <c r="S183" s="14"/>
      <c r="T183" s="14"/>
      <c r="U183" s="14"/>
      <c r="V183" s="14"/>
      <c r="W183" s="140"/>
      <c r="X183" s="154"/>
      <c r="Y183" s="81"/>
      <c r="Z183" s="81"/>
      <c r="AA183" s="81"/>
      <c r="AB183" s="81"/>
      <c r="AC183" s="81"/>
      <c r="AD183" s="81"/>
      <c r="AE183" s="81"/>
      <c r="AF183" s="81"/>
      <c r="AG183" s="81"/>
      <c r="AH183" s="81"/>
      <c r="AI183" s="81"/>
      <c r="AJ183" s="81"/>
      <c r="AK183" s="161"/>
      <c r="AL183" s="81"/>
      <c r="AM183" s="81"/>
      <c r="AN183" s="81"/>
      <c r="AO183" s="81"/>
      <c r="AP183" s="81"/>
      <c r="AQ183" s="81"/>
      <c r="AR183" s="81"/>
      <c r="AS183" s="81"/>
      <c r="AT183" s="74"/>
      <c r="AU183" s="81"/>
      <c r="AV183" s="81"/>
      <c r="AW183" s="81"/>
      <c r="AX183" s="81"/>
      <c r="AY183" s="81"/>
      <c r="AZ183" s="81"/>
      <c r="BA183" s="81"/>
      <c r="BB183" s="81"/>
      <c r="BC183" s="81"/>
      <c r="BD183" s="81"/>
      <c r="BE183" s="81"/>
      <c r="BF183" s="81"/>
      <c r="BG183" s="81"/>
      <c r="BH183" s="81"/>
      <c r="BI183" s="81"/>
      <c r="BJ183" s="81"/>
      <c r="BK183" s="81"/>
      <c r="BL183" s="81"/>
      <c r="BM183" s="81"/>
      <c r="BN183" s="81"/>
    </row>
    <row r="184" spans="1:66" ht="11.25" hidden="1" customHeight="1" x14ac:dyDescent="0.2">
      <c r="A184" s="142"/>
      <c r="B184" s="1680"/>
      <c r="C184" s="1680"/>
      <c r="D184" s="1680"/>
      <c r="E184" s="1680"/>
      <c r="F184" s="1680"/>
      <c r="G184" s="1680"/>
      <c r="H184" s="1680"/>
      <c r="I184" s="1680"/>
      <c r="J184" s="12"/>
      <c r="K184" s="9"/>
      <c r="L184" s="9"/>
      <c r="M184" s="9"/>
      <c r="N184" s="9"/>
      <c r="O184" s="9"/>
      <c r="P184" s="9"/>
      <c r="Q184" s="9"/>
      <c r="R184" s="9"/>
      <c r="S184" s="9"/>
      <c r="T184" s="9"/>
      <c r="U184" s="9"/>
      <c r="V184" s="9"/>
      <c r="W184" s="137"/>
      <c r="X184" s="150"/>
      <c r="AJ184" s="81"/>
      <c r="AK184" s="161"/>
      <c r="AL184" s="81"/>
      <c r="AM184" s="81"/>
      <c r="AN184" s="81"/>
      <c r="AO184" s="81"/>
      <c r="AP184" s="81"/>
      <c r="AQ184" s="81"/>
      <c r="AR184" s="81"/>
      <c r="AS184" s="81"/>
      <c r="AU184" s="81"/>
      <c r="AV184" s="81"/>
      <c r="AW184" s="81"/>
      <c r="AX184" s="81"/>
      <c r="AY184" s="81"/>
      <c r="AZ184" s="81"/>
      <c r="BA184" s="81"/>
      <c r="BB184" s="81"/>
      <c r="BC184" s="81"/>
      <c r="BD184" s="81"/>
      <c r="BE184" s="81"/>
      <c r="BF184" s="81"/>
      <c r="BG184" s="81"/>
      <c r="BH184" s="81"/>
      <c r="BI184" s="81"/>
      <c r="BJ184" s="81"/>
      <c r="BK184" s="81"/>
      <c r="BL184" s="81"/>
      <c r="BM184" s="81"/>
      <c r="BN184" s="81"/>
    </row>
    <row r="185" spans="1:66" ht="11.25" customHeight="1" x14ac:dyDescent="0.2">
      <c r="A185" s="142"/>
      <c r="B185" s="1680" t="s">
        <v>78</v>
      </c>
      <c r="C185" s="1680"/>
      <c r="D185" s="1680"/>
      <c r="E185" s="1680"/>
      <c r="F185" s="1680"/>
      <c r="G185" s="1680"/>
      <c r="H185" s="1680"/>
      <c r="I185" s="1680"/>
      <c r="J185" s="12"/>
      <c r="K185" s="9"/>
      <c r="L185" s="9"/>
      <c r="M185" s="9"/>
      <c r="N185" s="9"/>
      <c r="O185" s="9"/>
      <c r="P185" s="9"/>
      <c r="Q185" s="9"/>
      <c r="R185" s="9"/>
      <c r="S185" s="9"/>
      <c r="T185" s="9"/>
      <c r="U185" s="9"/>
      <c r="V185" s="9"/>
      <c r="W185" s="137"/>
      <c r="X185" s="150"/>
      <c r="AJ185" s="81"/>
      <c r="AK185" s="161"/>
      <c r="AL185" s="81"/>
      <c r="AM185" s="81"/>
      <c r="AN185" s="81"/>
      <c r="AO185" s="81"/>
      <c r="AP185" s="81"/>
      <c r="AQ185" s="81"/>
      <c r="AR185" s="81"/>
      <c r="AS185" s="81"/>
      <c r="AU185" s="81"/>
      <c r="AV185" s="81"/>
      <c r="AW185" s="81"/>
      <c r="AX185" s="81"/>
      <c r="AY185" s="81"/>
      <c r="AZ185" s="81"/>
      <c r="BA185" s="81"/>
      <c r="BB185" s="81"/>
      <c r="BC185" s="81"/>
      <c r="BD185" s="81"/>
      <c r="BE185" s="81"/>
      <c r="BF185" s="81"/>
      <c r="BG185" s="81"/>
      <c r="BH185" s="81"/>
      <c r="BI185" s="81"/>
      <c r="BJ185" s="81"/>
      <c r="BK185" s="81"/>
      <c r="BL185" s="81"/>
      <c r="BM185" s="81"/>
      <c r="BN185" s="81"/>
    </row>
    <row r="186" spans="1:66" ht="11.25" customHeight="1" x14ac:dyDescent="0.2">
      <c r="A186" s="142"/>
      <c r="B186" s="1680"/>
      <c r="C186" s="1680"/>
      <c r="D186" s="1680"/>
      <c r="E186" s="1680"/>
      <c r="F186" s="1680"/>
      <c r="G186" s="1680"/>
      <c r="H186" s="1680"/>
      <c r="I186" s="1680"/>
      <c r="J186" s="12"/>
      <c r="K186" s="9"/>
      <c r="L186" s="9"/>
      <c r="M186" s="9"/>
      <c r="N186" s="9"/>
      <c r="O186" s="9"/>
      <c r="P186" s="9"/>
      <c r="Q186" s="9"/>
      <c r="R186" s="9"/>
      <c r="S186" s="9"/>
      <c r="T186" s="9"/>
      <c r="U186" s="9"/>
      <c r="V186" s="9"/>
      <c r="W186" s="137"/>
      <c r="X186" s="150"/>
      <c r="AJ186" s="81"/>
      <c r="AK186" s="161"/>
      <c r="AL186" s="81"/>
      <c r="AM186" s="81"/>
      <c r="AN186" s="81"/>
      <c r="AO186" s="81"/>
      <c r="AP186" s="81"/>
      <c r="AQ186" s="81"/>
      <c r="AR186" s="81"/>
      <c r="AS186" s="81"/>
      <c r="AU186" s="81"/>
      <c r="AV186" s="81"/>
      <c r="AW186" s="81"/>
      <c r="AX186" s="81"/>
      <c r="AY186" s="81"/>
      <c r="AZ186" s="81"/>
      <c r="BA186" s="81"/>
      <c r="BB186" s="81"/>
      <c r="BC186" s="81"/>
      <c r="BD186" s="81"/>
      <c r="BE186" s="81"/>
      <c r="BF186" s="81"/>
      <c r="BG186" s="81"/>
      <c r="BH186" s="81"/>
      <c r="BI186" s="81"/>
      <c r="BJ186" s="81"/>
      <c r="BK186" s="81"/>
      <c r="BL186" s="81"/>
      <c r="BM186" s="81"/>
      <c r="BN186" s="81"/>
    </row>
    <row r="187" spans="1:66" ht="11.25" customHeight="1" x14ac:dyDescent="0.2">
      <c r="A187" s="142"/>
      <c r="B187" s="1680" t="s">
        <v>17</v>
      </c>
      <c r="C187" s="1680"/>
      <c r="D187" s="1680"/>
      <c r="E187" s="1680"/>
      <c r="F187" s="1680"/>
      <c r="G187" s="1680"/>
      <c r="H187" s="1680"/>
      <c r="I187" s="1680"/>
      <c r="J187" s="12"/>
      <c r="K187" s="9"/>
      <c r="L187" s="9"/>
      <c r="M187" s="9"/>
      <c r="N187" s="9"/>
      <c r="O187" s="9"/>
      <c r="P187" s="9"/>
      <c r="Q187" s="9"/>
      <c r="R187" s="9"/>
      <c r="S187" s="9"/>
      <c r="T187" s="9"/>
      <c r="U187" s="9"/>
      <c r="V187" s="11"/>
      <c r="W187" s="252"/>
      <c r="X187" s="150"/>
      <c r="AA187" s="74"/>
      <c r="AB187" s="74"/>
      <c r="AJ187" s="81"/>
      <c r="AK187" s="161"/>
      <c r="AL187" s="81"/>
      <c r="AM187" s="81"/>
      <c r="AN187" s="81"/>
      <c r="AO187" s="81"/>
      <c r="AP187" s="81"/>
      <c r="AQ187" s="81"/>
      <c r="AR187" s="81"/>
      <c r="AS187" s="81"/>
      <c r="AU187" s="81"/>
      <c r="AV187" s="81"/>
      <c r="AW187" s="81"/>
      <c r="AX187" s="81"/>
      <c r="AY187" s="81"/>
      <c r="AZ187" s="81"/>
      <c r="BA187" s="81"/>
      <c r="BB187" s="81"/>
      <c r="BC187" s="81"/>
      <c r="BD187" s="81"/>
      <c r="BE187" s="81"/>
      <c r="BF187" s="81"/>
      <c r="BG187" s="81"/>
      <c r="BH187" s="81"/>
      <c r="BI187" s="81"/>
      <c r="BJ187" s="81"/>
      <c r="BK187" s="81"/>
      <c r="BL187" s="81"/>
      <c r="BM187" s="81"/>
      <c r="BN187" s="81"/>
    </row>
    <row r="188" spans="1:66" ht="11.25" customHeight="1" x14ac:dyDescent="0.2">
      <c r="A188" s="142"/>
      <c r="B188" s="1680"/>
      <c r="C188" s="1680"/>
      <c r="D188" s="1680"/>
      <c r="E188" s="1680"/>
      <c r="F188" s="1680"/>
      <c r="G188" s="1680"/>
      <c r="H188" s="1680"/>
      <c r="I188" s="1680"/>
      <c r="J188" s="12"/>
      <c r="K188" s="9"/>
      <c r="L188" s="9"/>
      <c r="M188" s="9"/>
      <c r="N188" s="9"/>
      <c r="O188" s="9"/>
      <c r="P188" s="9"/>
      <c r="Q188" s="9"/>
      <c r="R188" s="9"/>
      <c r="S188" s="9"/>
      <c r="T188" s="9"/>
      <c r="U188" s="9"/>
      <c r="V188" s="11"/>
      <c r="W188" s="252"/>
      <c r="X188" s="150"/>
      <c r="AA188" s="74"/>
      <c r="AB188" s="74"/>
      <c r="AJ188" s="81"/>
      <c r="AK188" s="161"/>
      <c r="AL188" s="81"/>
      <c r="AM188" s="81"/>
      <c r="AN188" s="81"/>
      <c r="AO188" s="81"/>
      <c r="AP188" s="81"/>
      <c r="AQ188" s="81"/>
      <c r="AR188" s="81"/>
      <c r="AS188" s="81"/>
      <c r="AU188" s="81"/>
      <c r="AV188" s="81"/>
      <c r="AW188" s="81"/>
      <c r="AX188" s="81"/>
      <c r="AY188" s="81"/>
      <c r="AZ188" s="81"/>
      <c r="BA188" s="81"/>
      <c r="BB188" s="81"/>
      <c r="BC188" s="81"/>
      <c r="BD188" s="81"/>
      <c r="BE188" s="81"/>
      <c r="BF188" s="81"/>
      <c r="BG188" s="81"/>
      <c r="BH188" s="81"/>
      <c r="BI188" s="81"/>
      <c r="BJ188" s="81"/>
      <c r="BK188" s="81"/>
      <c r="BL188" s="81"/>
      <c r="BM188" s="81"/>
      <c r="BN188" s="81"/>
    </row>
    <row r="189" spans="1:66" ht="11.25" customHeight="1" x14ac:dyDescent="0.2">
      <c r="A189" s="142"/>
      <c r="B189" s="1680" t="s">
        <v>80</v>
      </c>
      <c r="C189" s="1680"/>
      <c r="D189" s="1680"/>
      <c r="E189" s="1680"/>
      <c r="F189" s="1680"/>
      <c r="G189" s="1680"/>
      <c r="H189" s="1680"/>
      <c r="I189" s="1680"/>
      <c r="J189" s="12"/>
      <c r="K189" s="9"/>
      <c r="L189" s="9"/>
      <c r="M189" s="9"/>
      <c r="N189" s="9"/>
      <c r="O189" s="9"/>
      <c r="P189" s="9"/>
      <c r="Q189" s="9"/>
      <c r="R189" s="9"/>
      <c r="S189" s="9"/>
      <c r="T189" s="9"/>
      <c r="U189" s="9"/>
      <c r="V189" s="11"/>
      <c r="W189" s="252"/>
      <c r="X189" s="150"/>
      <c r="AA189" s="74"/>
      <c r="AB189" s="74"/>
      <c r="AJ189" s="81"/>
      <c r="AK189" s="161"/>
      <c r="AL189" s="81"/>
      <c r="AM189" s="81"/>
      <c r="AN189" s="81"/>
      <c r="AO189" s="81"/>
      <c r="AP189" s="81"/>
      <c r="AQ189" s="81"/>
      <c r="AR189" s="81"/>
      <c r="AS189" s="81"/>
      <c r="AU189" s="81"/>
      <c r="AV189" s="81"/>
      <c r="AW189" s="81"/>
      <c r="AX189" s="81"/>
      <c r="AY189" s="81"/>
      <c r="AZ189" s="81"/>
      <c r="BA189" s="81"/>
      <c r="BB189" s="81"/>
      <c r="BC189" s="81"/>
      <c r="BD189" s="81"/>
      <c r="BE189" s="81"/>
      <c r="BF189" s="81"/>
      <c r="BG189" s="81"/>
      <c r="BH189" s="81"/>
      <c r="BI189" s="81"/>
      <c r="BJ189" s="81"/>
      <c r="BK189" s="81"/>
      <c r="BL189" s="81"/>
      <c r="BM189" s="81"/>
      <c r="BN189" s="81"/>
    </row>
    <row r="190" spans="1:66" ht="11.25" customHeight="1" x14ac:dyDescent="0.2">
      <c r="A190" s="142"/>
      <c r="B190" s="1680"/>
      <c r="C190" s="1680"/>
      <c r="D190" s="1680"/>
      <c r="E190" s="1680"/>
      <c r="F190" s="1680"/>
      <c r="G190" s="1680"/>
      <c r="H190" s="1680"/>
      <c r="I190" s="1680"/>
      <c r="J190" s="12"/>
      <c r="K190" s="9"/>
      <c r="L190" s="9"/>
      <c r="M190" s="9"/>
      <c r="N190" s="9"/>
      <c r="O190" s="9"/>
      <c r="P190" s="9"/>
      <c r="Q190" s="9"/>
      <c r="R190" s="9"/>
      <c r="S190" s="9"/>
      <c r="T190" s="9"/>
      <c r="U190" s="9"/>
      <c r="V190" s="11"/>
      <c r="W190" s="252"/>
      <c r="X190" s="150"/>
      <c r="AA190" s="74"/>
      <c r="AB190" s="74"/>
      <c r="AJ190" s="81"/>
      <c r="AK190" s="161"/>
      <c r="AL190" s="81"/>
      <c r="AM190" s="81"/>
      <c r="AN190" s="81"/>
      <c r="AO190" s="81"/>
      <c r="AP190" s="81"/>
      <c r="AQ190" s="81"/>
      <c r="AR190" s="81"/>
      <c r="AS190" s="81"/>
      <c r="AU190" s="81"/>
      <c r="AV190" s="81"/>
      <c r="AW190" s="81"/>
      <c r="AX190" s="81"/>
      <c r="AY190" s="81"/>
      <c r="AZ190" s="81"/>
      <c r="BA190" s="81"/>
      <c r="BB190" s="81"/>
      <c r="BC190" s="81"/>
      <c r="BD190" s="81"/>
      <c r="BE190" s="81"/>
      <c r="BF190" s="81"/>
      <c r="BG190" s="81"/>
      <c r="BH190" s="81"/>
      <c r="BI190" s="81"/>
      <c r="BJ190" s="81"/>
      <c r="BK190" s="81"/>
      <c r="BL190" s="81"/>
      <c r="BM190" s="81"/>
      <c r="BN190" s="81"/>
    </row>
    <row r="191" spans="1:66" ht="11.25" customHeight="1" x14ac:dyDescent="0.2">
      <c r="A191" s="142"/>
      <c r="B191" s="1680" t="s">
        <v>69</v>
      </c>
      <c r="C191" s="1680"/>
      <c r="D191" s="1680"/>
      <c r="E191" s="1680"/>
      <c r="F191" s="1680"/>
      <c r="G191" s="1680"/>
      <c r="H191" s="1680"/>
      <c r="I191" s="1680"/>
      <c r="J191" s="12"/>
      <c r="K191" s="9"/>
      <c r="L191" s="9"/>
      <c r="M191" s="9"/>
      <c r="N191" s="9"/>
      <c r="O191" s="9"/>
      <c r="P191" s="9"/>
      <c r="Q191" s="9"/>
      <c r="R191" s="9"/>
      <c r="S191" s="9"/>
      <c r="T191" s="9"/>
      <c r="U191" s="9"/>
      <c r="V191" s="11"/>
      <c r="W191" s="252"/>
      <c r="X191" s="150"/>
      <c r="AA191" s="74"/>
      <c r="AB191" s="74"/>
      <c r="AJ191" s="81"/>
      <c r="AK191" s="161"/>
      <c r="AL191" s="81"/>
      <c r="AM191" s="81"/>
      <c r="AN191" s="81"/>
      <c r="AO191" s="81"/>
      <c r="AP191" s="81"/>
      <c r="AQ191" s="81"/>
      <c r="AR191" s="81"/>
      <c r="AS191" s="81"/>
      <c r="AU191" s="81"/>
      <c r="AV191" s="81"/>
      <c r="AW191" s="81"/>
      <c r="AX191" s="81"/>
      <c r="AY191" s="81"/>
      <c r="AZ191" s="81"/>
      <c r="BA191" s="81"/>
      <c r="BB191" s="81"/>
      <c r="BC191" s="81"/>
      <c r="BD191" s="81"/>
      <c r="BE191" s="81"/>
      <c r="BF191" s="81"/>
      <c r="BG191" s="81"/>
      <c r="BH191" s="81"/>
      <c r="BI191" s="81"/>
      <c r="BJ191" s="81"/>
      <c r="BK191" s="81"/>
      <c r="BL191" s="81"/>
      <c r="BM191" s="81"/>
      <c r="BN191" s="81"/>
    </row>
    <row r="192" spans="1:66" ht="11.25" customHeight="1" x14ac:dyDescent="0.2">
      <c r="A192" s="142"/>
      <c r="B192" s="1680"/>
      <c r="C192" s="1680"/>
      <c r="D192" s="1680"/>
      <c r="E192" s="1680"/>
      <c r="F192" s="1680"/>
      <c r="G192" s="1680"/>
      <c r="H192" s="1680"/>
      <c r="I192" s="1680"/>
      <c r="J192" s="12"/>
      <c r="K192" s="9"/>
      <c r="L192" s="9"/>
      <c r="M192" s="9"/>
      <c r="N192" s="9"/>
      <c r="O192" s="9"/>
      <c r="P192" s="9"/>
      <c r="Q192" s="9"/>
      <c r="R192" s="9"/>
      <c r="S192" s="9"/>
      <c r="T192" s="9"/>
      <c r="U192" s="9"/>
      <c r="V192" s="11"/>
      <c r="W192" s="252"/>
      <c r="X192" s="150"/>
      <c r="AA192" s="74"/>
      <c r="AB192" s="74"/>
      <c r="AJ192" s="81"/>
      <c r="AK192" s="161"/>
      <c r="AL192" s="81"/>
      <c r="AM192" s="81"/>
      <c r="AN192" s="81"/>
      <c r="AO192" s="81"/>
      <c r="AP192" s="81"/>
      <c r="AQ192" s="81"/>
      <c r="AR192" s="81"/>
      <c r="AS192" s="81"/>
      <c r="AU192" s="81"/>
      <c r="AV192" s="81"/>
      <c r="AW192" s="81"/>
      <c r="AX192" s="81"/>
      <c r="AY192" s="81"/>
      <c r="AZ192" s="81"/>
      <c r="BA192" s="81"/>
      <c r="BB192" s="81"/>
      <c r="BC192" s="81"/>
      <c r="BD192" s="81"/>
      <c r="BE192" s="81"/>
      <c r="BF192" s="81"/>
      <c r="BG192" s="81"/>
      <c r="BH192" s="81"/>
      <c r="BI192" s="81"/>
      <c r="BJ192" s="81"/>
      <c r="BK192" s="81"/>
      <c r="BL192" s="81"/>
      <c r="BM192" s="81"/>
      <c r="BN192" s="81"/>
    </row>
    <row r="193" spans="1:66" ht="11.25" customHeight="1" x14ac:dyDescent="0.2">
      <c r="A193" s="142"/>
      <c r="B193" s="1680" t="s">
        <v>24</v>
      </c>
      <c r="C193" s="1680"/>
      <c r="D193" s="1680"/>
      <c r="E193" s="1680"/>
      <c r="F193" s="1680"/>
      <c r="G193" s="1680"/>
      <c r="H193" s="1680"/>
      <c r="I193" s="1680"/>
      <c r="J193" s="12"/>
      <c r="K193" s="9"/>
      <c r="L193" s="9"/>
      <c r="M193" s="9"/>
      <c r="N193" s="9"/>
      <c r="O193" s="9"/>
      <c r="P193" s="9"/>
      <c r="Q193" s="9"/>
      <c r="R193" s="9"/>
      <c r="S193" s="9"/>
      <c r="T193" s="9"/>
      <c r="U193" s="9"/>
      <c r="V193" s="9"/>
      <c r="W193" s="137"/>
      <c r="X193" s="150"/>
      <c r="AJ193" s="81"/>
      <c r="AK193" s="161"/>
      <c r="AL193" s="81"/>
      <c r="AM193" s="81"/>
      <c r="AN193" s="81"/>
      <c r="AO193" s="81"/>
      <c r="AP193" s="81"/>
      <c r="AQ193" s="81"/>
      <c r="AR193" s="81"/>
      <c r="AS193" s="81"/>
      <c r="AU193" s="81"/>
      <c r="AV193" s="81"/>
      <c r="AW193" s="81"/>
      <c r="AX193" s="81"/>
      <c r="AY193" s="81"/>
      <c r="AZ193" s="81"/>
      <c r="BA193" s="81"/>
      <c r="BB193" s="81"/>
      <c r="BC193" s="81"/>
      <c r="BD193" s="81"/>
      <c r="BE193" s="81"/>
      <c r="BF193" s="81"/>
      <c r="BG193" s="81"/>
      <c r="BH193" s="81"/>
      <c r="BI193" s="81"/>
      <c r="BJ193" s="81"/>
      <c r="BK193" s="81"/>
      <c r="BL193" s="81"/>
      <c r="BM193" s="81"/>
      <c r="BN193" s="81"/>
    </row>
    <row r="194" spans="1:66" ht="11.25" customHeight="1" x14ac:dyDescent="0.2">
      <c r="A194" s="142"/>
      <c r="B194" s="1680"/>
      <c r="C194" s="1680"/>
      <c r="D194" s="1680"/>
      <c r="E194" s="1680"/>
      <c r="F194" s="1680"/>
      <c r="G194" s="1680"/>
      <c r="H194" s="1680"/>
      <c r="I194" s="1680"/>
      <c r="J194" s="12"/>
      <c r="K194" s="9"/>
      <c r="L194" s="9"/>
      <c r="M194" s="9"/>
      <c r="N194" s="9"/>
      <c r="O194" s="9"/>
      <c r="P194" s="9"/>
      <c r="Q194" s="9"/>
      <c r="R194" s="9"/>
      <c r="S194" s="9"/>
      <c r="T194" s="9"/>
      <c r="U194" s="9"/>
      <c r="V194" s="9"/>
      <c r="W194" s="137"/>
      <c r="X194" s="150"/>
      <c r="AJ194" s="81"/>
      <c r="AK194" s="161"/>
      <c r="AL194" s="81"/>
      <c r="AM194" s="81"/>
      <c r="AN194" s="81"/>
      <c r="AO194" s="81"/>
      <c r="AP194" s="81"/>
      <c r="AQ194" s="81"/>
      <c r="AR194" s="81"/>
      <c r="AS194" s="81"/>
      <c r="AU194" s="81"/>
      <c r="AV194" s="81"/>
      <c r="AW194" s="81"/>
      <c r="AX194" s="81"/>
      <c r="AY194" s="81"/>
      <c r="AZ194" s="81"/>
      <c r="BA194" s="81"/>
      <c r="BB194" s="81"/>
      <c r="BC194" s="81"/>
      <c r="BD194" s="81"/>
      <c r="BE194" s="81"/>
      <c r="BF194" s="81"/>
      <c r="BG194" s="81"/>
      <c r="BH194" s="81"/>
      <c r="BI194" s="81"/>
      <c r="BJ194" s="81"/>
      <c r="BK194" s="81"/>
      <c r="BL194" s="81"/>
      <c r="BM194" s="81"/>
      <c r="BN194" s="81"/>
    </row>
    <row r="195" spans="1:66" ht="11.25" customHeight="1" x14ac:dyDescent="0.2">
      <c r="A195" s="142"/>
      <c r="B195" s="1680" t="s">
        <v>22</v>
      </c>
      <c r="C195" s="1680"/>
      <c r="D195" s="1680"/>
      <c r="E195" s="1680"/>
      <c r="F195" s="1680"/>
      <c r="G195" s="1680"/>
      <c r="H195" s="1680"/>
      <c r="I195" s="1680"/>
      <c r="J195" s="12"/>
      <c r="K195" s="9"/>
      <c r="L195" s="9"/>
      <c r="M195" s="9"/>
      <c r="N195" s="9"/>
      <c r="O195" s="9"/>
      <c r="P195" s="9"/>
      <c r="Q195" s="9"/>
      <c r="R195" s="9"/>
      <c r="S195" s="9"/>
      <c r="T195" s="9"/>
      <c r="U195" s="9"/>
      <c r="V195" s="9"/>
      <c r="W195" s="137"/>
      <c r="X195" s="150"/>
      <c r="AJ195" s="81"/>
      <c r="AK195" s="161"/>
      <c r="AL195" s="81"/>
      <c r="AM195" s="81"/>
      <c r="AN195" s="81"/>
      <c r="AO195" s="81"/>
      <c r="AP195" s="81"/>
      <c r="AQ195" s="81"/>
      <c r="AR195" s="81"/>
      <c r="AS195" s="81"/>
      <c r="AU195" s="81"/>
      <c r="AV195" s="81"/>
      <c r="AW195" s="81"/>
      <c r="AX195" s="81"/>
      <c r="AY195" s="81"/>
      <c r="AZ195" s="81"/>
      <c r="BA195" s="81"/>
      <c r="BB195" s="81"/>
      <c r="BC195" s="81"/>
      <c r="BD195" s="81"/>
      <c r="BE195" s="81"/>
      <c r="BF195" s="81"/>
      <c r="BG195" s="81"/>
      <c r="BH195" s="81"/>
      <c r="BI195" s="81"/>
      <c r="BJ195" s="81"/>
      <c r="BK195" s="81"/>
      <c r="BL195" s="81"/>
      <c r="BM195" s="81"/>
      <c r="BN195" s="81"/>
    </row>
    <row r="196" spans="1:66" ht="11.25" customHeight="1" x14ac:dyDescent="0.2">
      <c r="A196" s="142"/>
      <c r="B196" s="1680"/>
      <c r="C196" s="1680"/>
      <c r="D196" s="1680"/>
      <c r="E196" s="1680"/>
      <c r="F196" s="1680"/>
      <c r="G196" s="1680"/>
      <c r="H196" s="1680"/>
      <c r="I196" s="1680"/>
      <c r="J196" s="12"/>
      <c r="K196" s="9"/>
      <c r="L196" s="9"/>
      <c r="M196" s="9"/>
      <c r="N196" s="9"/>
      <c r="O196" s="9"/>
      <c r="P196" s="9"/>
      <c r="Q196" s="9"/>
      <c r="R196" s="9"/>
      <c r="S196" s="9"/>
      <c r="T196" s="9"/>
      <c r="U196" s="9"/>
      <c r="V196" s="9"/>
      <c r="W196" s="137"/>
      <c r="X196" s="150"/>
      <c r="AJ196" s="81"/>
      <c r="AK196" s="161"/>
      <c r="AL196" s="81"/>
      <c r="AM196" s="81"/>
      <c r="AN196" s="81"/>
      <c r="AO196" s="81"/>
      <c r="AP196" s="81"/>
      <c r="AQ196" s="81"/>
      <c r="AR196" s="81"/>
      <c r="AS196" s="81"/>
      <c r="AU196" s="81"/>
      <c r="AV196" s="81"/>
      <c r="AW196" s="81"/>
      <c r="AX196" s="81"/>
      <c r="AY196" s="81"/>
      <c r="AZ196" s="81"/>
      <c r="BA196" s="81"/>
      <c r="BB196" s="81"/>
      <c r="BC196" s="81"/>
      <c r="BD196" s="81"/>
      <c r="BE196" s="81"/>
      <c r="BF196" s="81"/>
      <c r="BG196" s="81"/>
      <c r="BH196" s="81"/>
      <c r="BI196" s="81"/>
      <c r="BJ196" s="81"/>
      <c r="BK196" s="81"/>
      <c r="BL196" s="81"/>
      <c r="BM196" s="81"/>
      <c r="BN196" s="81"/>
    </row>
    <row r="197" spans="1:66" ht="11.25" customHeight="1" x14ac:dyDescent="0.2">
      <c r="A197" s="142"/>
      <c r="B197" s="1680" t="s">
        <v>25</v>
      </c>
      <c r="C197" s="1680"/>
      <c r="D197" s="1680"/>
      <c r="E197" s="1680"/>
      <c r="F197" s="1680"/>
      <c r="G197" s="1680"/>
      <c r="H197" s="1680"/>
      <c r="I197" s="1680"/>
      <c r="J197" s="12"/>
      <c r="K197" s="9"/>
      <c r="L197" s="9"/>
      <c r="M197" s="9"/>
      <c r="N197" s="9"/>
      <c r="O197" s="9"/>
      <c r="P197" s="9"/>
      <c r="Q197" s="9"/>
      <c r="R197" s="9"/>
      <c r="S197" s="9"/>
      <c r="T197" s="9"/>
      <c r="U197" s="9"/>
      <c r="V197" s="9"/>
      <c r="W197" s="137"/>
      <c r="X197" s="150"/>
      <c r="AJ197" s="81"/>
      <c r="AK197" s="161"/>
      <c r="AL197" s="81"/>
      <c r="AM197" s="81"/>
      <c r="AN197" s="81"/>
      <c r="AO197" s="81"/>
      <c r="AP197" s="81"/>
      <c r="AQ197" s="81"/>
      <c r="AR197" s="81"/>
      <c r="AS197" s="81"/>
      <c r="AU197" s="81"/>
      <c r="AV197" s="81"/>
      <c r="AW197" s="81"/>
      <c r="AX197" s="81"/>
      <c r="AY197" s="81"/>
      <c r="AZ197" s="81"/>
      <c r="BA197" s="81"/>
      <c r="BB197" s="81"/>
      <c r="BC197" s="81"/>
      <c r="BD197" s="81"/>
      <c r="BE197" s="81"/>
      <c r="BF197" s="81"/>
      <c r="BG197" s="81"/>
      <c r="BH197" s="81"/>
      <c r="BI197" s="81"/>
      <c r="BJ197" s="81"/>
      <c r="BK197" s="81"/>
      <c r="BL197" s="81"/>
      <c r="BM197" s="81"/>
      <c r="BN197" s="81"/>
    </row>
    <row r="198" spans="1:66" ht="11.25" customHeight="1" x14ac:dyDescent="0.2">
      <c r="A198" s="142"/>
      <c r="B198" s="1680"/>
      <c r="C198" s="1680"/>
      <c r="D198" s="1680"/>
      <c r="E198" s="1680"/>
      <c r="F198" s="1680"/>
      <c r="G198" s="1680"/>
      <c r="H198" s="1680"/>
      <c r="I198" s="1680"/>
      <c r="J198" s="12"/>
      <c r="K198" s="9"/>
      <c r="L198" s="9"/>
      <c r="M198" s="9"/>
      <c r="N198" s="9"/>
      <c r="O198" s="9"/>
      <c r="P198" s="9"/>
      <c r="Q198" s="9"/>
      <c r="R198" s="9"/>
      <c r="S198" s="9"/>
      <c r="T198" s="9"/>
      <c r="U198" s="9"/>
      <c r="V198" s="9"/>
      <c r="W198" s="137"/>
      <c r="X198" s="150"/>
      <c r="AJ198" s="81"/>
      <c r="AK198" s="161"/>
      <c r="AL198" s="81"/>
      <c r="AM198" s="81"/>
      <c r="AN198" s="81"/>
      <c r="AO198" s="81"/>
      <c r="AP198" s="81"/>
      <c r="AQ198" s="81"/>
      <c r="AR198" s="81"/>
      <c r="AS198" s="81"/>
      <c r="AU198" s="81"/>
      <c r="AV198" s="81"/>
      <c r="AW198" s="81"/>
      <c r="AX198" s="81"/>
      <c r="AY198" s="81"/>
      <c r="AZ198" s="81"/>
      <c r="BA198" s="81"/>
      <c r="BB198" s="81"/>
      <c r="BC198" s="81"/>
      <c r="BD198" s="81"/>
      <c r="BE198" s="81"/>
      <c r="BF198" s="81"/>
      <c r="BG198" s="81"/>
      <c r="BH198" s="81"/>
      <c r="BI198" s="81"/>
      <c r="BJ198" s="81"/>
      <c r="BK198" s="81"/>
      <c r="BL198" s="81"/>
      <c r="BM198" s="81"/>
      <c r="BN198" s="81"/>
    </row>
    <row r="199" spans="1:66" ht="11.25" customHeight="1" x14ac:dyDescent="0.2">
      <c r="A199" s="142"/>
      <c r="B199" s="1680" t="s">
        <v>18</v>
      </c>
      <c r="C199" s="1680"/>
      <c r="D199" s="1680"/>
      <c r="E199" s="1680"/>
      <c r="F199" s="1680"/>
      <c r="G199" s="1680"/>
      <c r="H199" s="1680"/>
      <c r="I199" s="1680"/>
      <c r="J199" s="12"/>
      <c r="K199" s="9"/>
      <c r="L199" s="9"/>
      <c r="M199" s="9"/>
      <c r="N199" s="9"/>
      <c r="O199" s="9"/>
      <c r="P199" s="9"/>
      <c r="Q199" s="9"/>
      <c r="R199" s="9"/>
      <c r="S199" s="9"/>
      <c r="T199" s="9"/>
      <c r="U199" s="9"/>
      <c r="V199" s="9"/>
      <c r="W199" s="137"/>
      <c r="X199" s="150"/>
      <c r="AJ199" s="81"/>
      <c r="AK199" s="161"/>
      <c r="AL199" s="81"/>
      <c r="AM199" s="81"/>
      <c r="AN199" s="81"/>
      <c r="AO199" s="81"/>
      <c r="AP199" s="81"/>
      <c r="AQ199" s="81"/>
      <c r="AR199" s="81"/>
      <c r="AS199" s="81"/>
      <c r="AU199" s="81"/>
      <c r="AV199" s="81"/>
      <c r="AW199" s="81"/>
      <c r="AX199" s="81"/>
      <c r="AY199" s="81"/>
      <c r="AZ199" s="81"/>
      <c r="BA199" s="81"/>
      <c r="BB199" s="81"/>
      <c r="BC199" s="81"/>
      <c r="BD199" s="81"/>
      <c r="BE199" s="81"/>
      <c r="BF199" s="81"/>
      <c r="BG199" s="81"/>
      <c r="BH199" s="81"/>
      <c r="BI199" s="81"/>
      <c r="BJ199" s="81"/>
      <c r="BK199" s="81"/>
      <c r="BL199" s="81"/>
      <c r="BM199" s="81"/>
      <c r="BN199" s="81"/>
    </row>
    <row r="200" spans="1:66" ht="11.25" customHeight="1" x14ac:dyDescent="0.2">
      <c r="A200" s="142"/>
      <c r="B200" s="1680"/>
      <c r="C200" s="1680"/>
      <c r="D200" s="1680"/>
      <c r="E200" s="1680"/>
      <c r="F200" s="1680"/>
      <c r="G200" s="1680"/>
      <c r="H200" s="1680"/>
      <c r="I200" s="1680"/>
      <c r="J200" s="12"/>
      <c r="K200" s="9"/>
      <c r="L200" s="9"/>
      <c r="M200" s="9"/>
      <c r="N200" s="9"/>
      <c r="O200" s="9"/>
      <c r="P200" s="9"/>
      <c r="Q200" s="9"/>
      <c r="R200" s="9"/>
      <c r="S200" s="9"/>
      <c r="T200" s="9"/>
      <c r="U200" s="9"/>
      <c r="V200" s="9"/>
      <c r="W200" s="137"/>
      <c r="X200" s="150"/>
      <c r="AJ200" s="81"/>
      <c r="AK200" s="161"/>
      <c r="AL200" s="81"/>
      <c r="AM200" s="81"/>
      <c r="AN200" s="81"/>
      <c r="AO200" s="81"/>
      <c r="AP200" s="81"/>
      <c r="AQ200" s="81"/>
      <c r="AR200" s="81"/>
      <c r="AS200" s="81"/>
      <c r="AU200" s="81"/>
      <c r="AV200" s="81"/>
      <c r="AW200" s="81"/>
      <c r="AX200" s="81"/>
      <c r="AY200" s="81"/>
      <c r="AZ200" s="81"/>
      <c r="BA200" s="81"/>
      <c r="BB200" s="81"/>
      <c r="BC200" s="81"/>
      <c r="BD200" s="81"/>
      <c r="BE200" s="81"/>
      <c r="BF200" s="81"/>
      <c r="BG200" s="81"/>
      <c r="BH200" s="81"/>
      <c r="BI200" s="81"/>
      <c r="BJ200" s="81"/>
      <c r="BK200" s="81"/>
      <c r="BL200" s="81"/>
      <c r="BM200" s="81"/>
      <c r="BN200" s="81"/>
    </row>
    <row r="201" spans="1:66" ht="11.25" customHeight="1" x14ac:dyDescent="0.2">
      <c r="A201" s="142"/>
      <c r="B201" s="1680" t="s">
        <v>19</v>
      </c>
      <c r="C201" s="1680"/>
      <c r="D201" s="1680"/>
      <c r="E201" s="1680"/>
      <c r="F201" s="1680"/>
      <c r="G201" s="1680"/>
      <c r="H201" s="1680"/>
      <c r="I201" s="1680"/>
      <c r="J201" s="12"/>
      <c r="K201" s="9"/>
      <c r="L201" s="9"/>
      <c r="M201" s="9"/>
      <c r="N201" s="9"/>
      <c r="O201" s="9"/>
      <c r="P201" s="9"/>
      <c r="Q201" s="9"/>
      <c r="R201" s="9"/>
      <c r="S201" s="9"/>
      <c r="T201" s="9"/>
      <c r="U201" s="9"/>
      <c r="V201" s="9"/>
      <c r="W201" s="137"/>
      <c r="X201" s="150"/>
      <c r="AJ201" s="81"/>
      <c r="AK201" s="161"/>
      <c r="AL201" s="81"/>
      <c r="AM201" s="81"/>
      <c r="AN201" s="81"/>
      <c r="AO201" s="81"/>
      <c r="AP201" s="81"/>
      <c r="AQ201" s="81"/>
      <c r="AR201" s="81"/>
      <c r="AS201" s="81"/>
      <c r="AU201" s="81"/>
      <c r="AV201" s="81"/>
      <c r="AW201" s="81"/>
      <c r="AX201" s="81"/>
      <c r="AY201" s="81"/>
      <c r="AZ201" s="81"/>
      <c r="BA201" s="81"/>
      <c r="BB201" s="81"/>
      <c r="BC201" s="81"/>
      <c r="BD201" s="81"/>
      <c r="BE201" s="81"/>
      <c r="BF201" s="81"/>
      <c r="BG201" s="81"/>
      <c r="BH201" s="81"/>
      <c r="BI201" s="81"/>
      <c r="BJ201" s="81"/>
      <c r="BK201" s="81"/>
      <c r="BL201" s="81"/>
      <c r="BM201" s="81"/>
      <c r="BN201" s="81"/>
    </row>
    <row r="202" spans="1:66" ht="11.25" customHeight="1" x14ac:dyDescent="0.2">
      <c r="A202" s="142"/>
      <c r="B202" s="1680"/>
      <c r="C202" s="1680"/>
      <c r="D202" s="1680"/>
      <c r="E202" s="1680"/>
      <c r="F202" s="1680"/>
      <c r="G202" s="1680"/>
      <c r="H202" s="1680"/>
      <c r="I202" s="1680"/>
      <c r="J202" s="12"/>
      <c r="K202" s="9"/>
      <c r="L202" s="9"/>
      <c r="M202" s="9"/>
      <c r="N202" s="9"/>
      <c r="O202" s="9"/>
      <c r="P202" s="9"/>
      <c r="Q202" s="9"/>
      <c r="R202" s="9"/>
      <c r="S202" s="9"/>
      <c r="T202" s="9"/>
      <c r="U202" s="9"/>
      <c r="V202" s="9"/>
      <c r="W202" s="137"/>
      <c r="X202" s="150"/>
      <c r="AJ202" s="81"/>
      <c r="AK202" s="161"/>
      <c r="AL202" s="81"/>
      <c r="AM202" s="81"/>
      <c r="AN202" s="81"/>
      <c r="AO202" s="81"/>
      <c r="AP202" s="81"/>
      <c r="AQ202" s="81"/>
      <c r="AR202" s="81"/>
      <c r="AS202" s="81"/>
      <c r="AU202" s="81"/>
      <c r="AV202" s="81"/>
      <c r="AW202" s="81"/>
      <c r="AX202" s="81"/>
      <c r="AY202" s="81"/>
      <c r="AZ202" s="81"/>
      <c r="BA202" s="81"/>
      <c r="BB202" s="81"/>
      <c r="BC202" s="81"/>
      <c r="BD202" s="81"/>
      <c r="BE202" s="81"/>
      <c r="BF202" s="81"/>
      <c r="BG202" s="81"/>
      <c r="BH202" s="81"/>
      <c r="BI202" s="81"/>
      <c r="BJ202" s="81"/>
      <c r="BK202" s="81"/>
      <c r="BL202" s="81"/>
      <c r="BM202" s="81"/>
      <c r="BN202" s="81"/>
    </row>
    <row r="203" spans="1:66" ht="11.25" customHeight="1" x14ac:dyDescent="0.2">
      <c r="A203" s="142"/>
      <c r="B203" s="1680" t="s">
        <v>20</v>
      </c>
      <c r="C203" s="1680"/>
      <c r="D203" s="1680"/>
      <c r="E203" s="1680"/>
      <c r="F203" s="1680"/>
      <c r="G203" s="1680"/>
      <c r="H203" s="1680"/>
      <c r="I203" s="1680"/>
      <c r="J203" s="12"/>
      <c r="K203" s="9"/>
      <c r="L203" s="9"/>
      <c r="M203" s="9"/>
      <c r="N203" s="9"/>
      <c r="O203" s="9"/>
      <c r="P203" s="9"/>
      <c r="Q203" s="9"/>
      <c r="R203" s="9"/>
      <c r="S203" s="9"/>
      <c r="T203" s="9"/>
      <c r="U203" s="9"/>
      <c r="V203" s="9"/>
      <c r="W203" s="137"/>
      <c r="X203" s="150"/>
      <c r="AJ203" s="81"/>
      <c r="AK203" s="161"/>
      <c r="AL203" s="81"/>
      <c r="AM203" s="81"/>
      <c r="AN203" s="81"/>
      <c r="AO203" s="81"/>
      <c r="AP203" s="81"/>
      <c r="AQ203" s="81"/>
      <c r="AR203" s="81"/>
      <c r="AS203" s="81"/>
      <c r="AU203" s="81"/>
      <c r="AV203" s="81"/>
      <c r="AW203" s="81"/>
      <c r="AX203" s="81"/>
      <c r="AY203" s="81"/>
      <c r="AZ203" s="81"/>
      <c r="BA203" s="81"/>
      <c r="BB203" s="81"/>
      <c r="BC203" s="81"/>
      <c r="BD203" s="81"/>
      <c r="BE203" s="81"/>
      <c r="BF203" s="81"/>
      <c r="BG203" s="81"/>
      <c r="BH203" s="81"/>
      <c r="BI203" s="81"/>
      <c r="BJ203" s="81"/>
      <c r="BK203" s="81"/>
      <c r="BL203" s="81"/>
      <c r="BM203" s="81"/>
      <c r="BN203" s="81"/>
    </row>
    <row r="204" spans="1:66" ht="11.25" customHeight="1" x14ac:dyDescent="0.2">
      <c r="A204" s="142"/>
      <c r="B204" s="1680"/>
      <c r="C204" s="1680"/>
      <c r="D204" s="1680"/>
      <c r="E204" s="1680"/>
      <c r="F204" s="1680"/>
      <c r="G204" s="1680"/>
      <c r="H204" s="1680"/>
      <c r="I204" s="1680"/>
      <c r="J204" s="12"/>
      <c r="K204" s="9"/>
      <c r="L204" s="9"/>
      <c r="M204" s="9"/>
      <c r="N204" s="9"/>
      <c r="O204" s="9"/>
      <c r="P204" s="9"/>
      <c r="Q204" s="9"/>
      <c r="R204" s="9"/>
      <c r="S204" s="9"/>
      <c r="T204" s="9"/>
      <c r="U204" s="9"/>
      <c r="V204" s="9"/>
      <c r="W204" s="137"/>
      <c r="X204" s="150"/>
      <c r="AJ204" s="81"/>
      <c r="AK204" s="161"/>
      <c r="AL204" s="81"/>
      <c r="AM204" s="81"/>
      <c r="AN204" s="81"/>
      <c r="AO204" s="81"/>
      <c r="AP204" s="81"/>
      <c r="AQ204" s="81"/>
      <c r="AR204" s="81"/>
      <c r="AS204" s="81"/>
      <c r="AU204" s="81"/>
      <c r="AV204" s="81"/>
      <c r="AW204" s="81"/>
      <c r="AX204" s="81"/>
      <c r="AY204" s="81"/>
      <c r="AZ204" s="81"/>
      <c r="BA204" s="81"/>
      <c r="BB204" s="81"/>
      <c r="BC204" s="81"/>
      <c r="BD204" s="81"/>
      <c r="BE204" s="81"/>
      <c r="BF204" s="81"/>
      <c r="BG204" s="81"/>
      <c r="BH204" s="81"/>
      <c r="BI204" s="81"/>
      <c r="BJ204" s="81"/>
      <c r="BK204" s="81"/>
      <c r="BL204" s="81"/>
      <c r="BM204" s="81"/>
      <c r="BN204" s="81"/>
    </row>
    <row r="205" spans="1:66" ht="11.25" customHeight="1" x14ac:dyDescent="0.2">
      <c r="A205" s="142"/>
      <c r="B205" s="1680" t="s">
        <v>26</v>
      </c>
      <c r="C205" s="1680"/>
      <c r="D205" s="1680"/>
      <c r="E205" s="1680"/>
      <c r="F205" s="1680"/>
      <c r="G205" s="1680"/>
      <c r="H205" s="1680"/>
      <c r="I205" s="1680"/>
      <c r="J205" s="12"/>
      <c r="K205" s="9"/>
      <c r="L205" s="9"/>
      <c r="M205" s="9"/>
      <c r="N205" s="9"/>
      <c r="O205" s="9"/>
      <c r="P205" s="9"/>
      <c r="Q205" s="9"/>
      <c r="R205" s="9"/>
      <c r="S205" s="9"/>
      <c r="T205" s="9"/>
      <c r="U205" s="9"/>
      <c r="V205" s="9"/>
      <c r="W205" s="137"/>
      <c r="X205" s="150"/>
      <c r="AJ205" s="81"/>
      <c r="AK205" s="161"/>
      <c r="AL205" s="81"/>
      <c r="AM205" s="81"/>
      <c r="AN205" s="81"/>
      <c r="AO205" s="81"/>
      <c r="AP205" s="81"/>
      <c r="AQ205" s="81"/>
      <c r="AR205" s="81"/>
      <c r="AS205" s="81"/>
      <c r="AU205" s="81"/>
      <c r="AV205" s="81"/>
      <c r="AW205" s="81"/>
      <c r="AX205" s="81"/>
      <c r="AY205" s="81"/>
      <c r="AZ205" s="81"/>
      <c r="BA205" s="81"/>
      <c r="BB205" s="81"/>
      <c r="BC205" s="81"/>
      <c r="BD205" s="81"/>
      <c r="BE205" s="81"/>
      <c r="BF205" s="81"/>
      <c r="BG205" s="81"/>
      <c r="BH205" s="81"/>
      <c r="BI205" s="81"/>
      <c r="BJ205" s="81"/>
      <c r="BK205" s="81"/>
      <c r="BL205" s="81"/>
      <c r="BM205" s="81"/>
      <c r="BN205" s="81"/>
    </row>
    <row r="206" spans="1:66" ht="11.25" customHeight="1" x14ac:dyDescent="0.2">
      <c r="A206" s="142"/>
      <c r="B206" s="1680"/>
      <c r="C206" s="1680"/>
      <c r="D206" s="1680"/>
      <c r="E206" s="1680"/>
      <c r="F206" s="1680"/>
      <c r="G206" s="1680"/>
      <c r="H206" s="1680"/>
      <c r="I206" s="1680"/>
      <c r="J206" s="12"/>
      <c r="K206" s="9"/>
      <c r="L206" s="9"/>
      <c r="M206" s="9"/>
      <c r="N206" s="9"/>
      <c r="O206" s="9"/>
      <c r="P206" s="9"/>
      <c r="Q206" s="9"/>
      <c r="R206" s="9"/>
      <c r="S206" s="9"/>
      <c r="T206" s="9"/>
      <c r="U206" s="9"/>
      <c r="V206" s="9"/>
      <c r="W206" s="137"/>
      <c r="X206" s="150"/>
      <c r="AJ206" s="81"/>
      <c r="AK206" s="161"/>
      <c r="AL206" s="81"/>
      <c r="AM206" s="81"/>
      <c r="AN206" s="81"/>
      <c r="AO206" s="81"/>
      <c r="AP206" s="81"/>
      <c r="AQ206" s="81"/>
      <c r="AR206" s="81"/>
      <c r="AS206" s="81"/>
      <c r="AU206" s="81"/>
      <c r="AV206" s="81"/>
      <c r="AW206" s="81"/>
      <c r="AX206" s="81"/>
      <c r="AY206" s="81"/>
      <c r="AZ206" s="81"/>
      <c r="BA206" s="81"/>
      <c r="BB206" s="81"/>
      <c r="BC206" s="81"/>
      <c r="BD206" s="81"/>
      <c r="BE206" s="81"/>
      <c r="BF206" s="81"/>
      <c r="BG206" s="81"/>
      <c r="BH206" s="81"/>
      <c r="BI206" s="81"/>
      <c r="BJ206" s="81"/>
      <c r="BK206" s="81"/>
      <c r="BL206" s="81"/>
      <c r="BM206" s="81"/>
      <c r="BN206" s="81"/>
    </row>
    <row r="207" spans="1:66" ht="11.25" customHeight="1" x14ac:dyDescent="0.2">
      <c r="A207" s="142"/>
      <c r="B207" s="1680" t="s">
        <v>21</v>
      </c>
      <c r="C207" s="1680"/>
      <c r="D207" s="1680"/>
      <c r="E207" s="1680"/>
      <c r="F207" s="1680"/>
      <c r="G207" s="1680"/>
      <c r="H207" s="1680"/>
      <c r="I207" s="1680"/>
      <c r="J207" s="12"/>
      <c r="K207" s="9"/>
      <c r="L207" s="9"/>
      <c r="M207" s="9"/>
      <c r="N207" s="9"/>
      <c r="O207" s="9"/>
      <c r="P207" s="9"/>
      <c r="Q207" s="9"/>
      <c r="R207" s="9"/>
      <c r="S207" s="9"/>
      <c r="T207" s="9"/>
      <c r="U207" s="9"/>
      <c r="V207" s="9"/>
      <c r="W207" s="137"/>
      <c r="X207" s="150"/>
      <c r="AJ207" s="81"/>
      <c r="AK207" s="161"/>
      <c r="AL207" s="81"/>
      <c r="AM207" s="81"/>
      <c r="AN207" s="81"/>
      <c r="AO207" s="81"/>
      <c r="AP207" s="81"/>
      <c r="AQ207" s="81"/>
      <c r="AR207" s="81"/>
      <c r="AS207" s="81"/>
      <c r="AU207" s="81"/>
      <c r="AV207" s="81"/>
      <c r="AW207" s="81"/>
      <c r="AX207" s="81"/>
      <c r="AY207" s="81"/>
      <c r="AZ207" s="81"/>
      <c r="BA207" s="81"/>
      <c r="BB207" s="81"/>
      <c r="BC207" s="81"/>
      <c r="BD207" s="81"/>
      <c r="BE207" s="81"/>
      <c r="BF207" s="81"/>
      <c r="BG207" s="81"/>
      <c r="BH207" s="81"/>
      <c r="BI207" s="81"/>
      <c r="BJ207" s="81"/>
      <c r="BK207" s="81"/>
      <c r="BL207" s="81"/>
      <c r="BM207" s="81"/>
      <c r="BN207" s="81"/>
    </row>
    <row r="208" spans="1:66" ht="11.25" customHeight="1" x14ac:dyDescent="0.2">
      <c r="A208" s="142"/>
      <c r="B208" s="1680"/>
      <c r="C208" s="1680"/>
      <c r="D208" s="1680"/>
      <c r="E208" s="1680"/>
      <c r="F208" s="1680"/>
      <c r="G208" s="1680"/>
      <c r="H208" s="1680"/>
      <c r="I208" s="1680"/>
      <c r="J208" s="12"/>
      <c r="K208" s="9"/>
      <c r="L208" s="9"/>
      <c r="M208" s="9"/>
      <c r="N208" s="9"/>
      <c r="O208" s="9"/>
      <c r="P208" s="9"/>
      <c r="Q208" s="9"/>
      <c r="R208" s="9"/>
      <c r="S208" s="9"/>
      <c r="T208" s="9"/>
      <c r="U208" s="9"/>
      <c r="V208" s="9"/>
      <c r="W208" s="137"/>
      <c r="X208" s="150"/>
      <c r="AJ208" s="81"/>
      <c r="AK208" s="161"/>
      <c r="AL208" s="81"/>
      <c r="AM208" s="81"/>
      <c r="AN208" s="81"/>
      <c r="AO208" s="81"/>
      <c r="AP208" s="81"/>
      <c r="AQ208" s="81"/>
      <c r="AR208" s="81"/>
      <c r="AS208" s="81"/>
      <c r="AU208" s="81"/>
      <c r="AV208" s="81"/>
      <c r="AW208" s="81"/>
      <c r="AX208" s="81"/>
      <c r="AY208" s="81"/>
      <c r="AZ208" s="81"/>
      <c r="BA208" s="81"/>
      <c r="BB208" s="81"/>
      <c r="BC208" s="81"/>
      <c r="BD208" s="81"/>
      <c r="BE208" s="81"/>
      <c r="BF208" s="81"/>
      <c r="BG208" s="81"/>
      <c r="BH208" s="81"/>
      <c r="BI208" s="81"/>
      <c r="BJ208" s="81"/>
      <c r="BK208" s="81"/>
      <c r="BL208" s="81"/>
      <c r="BM208" s="81"/>
      <c r="BN208" s="81"/>
    </row>
    <row r="209" spans="1:66" ht="11.25" customHeight="1" x14ac:dyDescent="0.2">
      <c r="A209" s="142"/>
      <c r="B209" s="1680" t="s">
        <v>905</v>
      </c>
      <c r="C209" s="1680"/>
      <c r="D209" s="1680"/>
      <c r="E209" s="1680"/>
      <c r="F209" s="1680"/>
      <c r="G209" s="1680"/>
      <c r="H209" s="1680"/>
      <c r="I209" s="1680"/>
      <c r="J209" s="12"/>
      <c r="K209" s="9"/>
      <c r="L209" s="9"/>
      <c r="M209" s="9"/>
      <c r="N209" s="9"/>
      <c r="O209" s="9"/>
      <c r="P209" s="9"/>
      <c r="Q209" s="9"/>
      <c r="R209" s="9"/>
      <c r="S209" s="9"/>
      <c r="T209" s="9"/>
      <c r="U209" s="9"/>
      <c r="V209" s="9"/>
      <c r="W209" s="137"/>
      <c r="X209" s="150"/>
      <c r="AJ209" s="81"/>
      <c r="AK209" s="161"/>
      <c r="AL209" s="81"/>
      <c r="AM209" s="81"/>
      <c r="AN209" s="81"/>
      <c r="AO209" s="81"/>
      <c r="AP209" s="81"/>
      <c r="AQ209" s="81"/>
      <c r="AR209" s="81"/>
      <c r="AS209" s="81"/>
      <c r="AU209" s="81"/>
      <c r="AV209" s="81"/>
      <c r="AW209" s="81"/>
      <c r="AX209" s="81"/>
      <c r="AY209" s="81"/>
      <c r="AZ209" s="81"/>
      <c r="BA209" s="81"/>
      <c r="BB209" s="81"/>
      <c r="BC209" s="81"/>
      <c r="BD209" s="81"/>
      <c r="BE209" s="81"/>
      <c r="BF209" s="81"/>
      <c r="BG209" s="81"/>
      <c r="BH209" s="81"/>
      <c r="BI209" s="81"/>
      <c r="BJ209" s="81"/>
      <c r="BK209" s="81"/>
      <c r="BL209" s="81"/>
      <c r="BM209" s="81"/>
      <c r="BN209" s="81"/>
    </row>
    <row r="210" spans="1:66" ht="11.25" customHeight="1" x14ac:dyDescent="0.2">
      <c r="A210" s="142"/>
      <c r="B210" s="1680"/>
      <c r="C210" s="1680"/>
      <c r="D210" s="1680"/>
      <c r="E210" s="1680"/>
      <c r="F210" s="1680"/>
      <c r="G210" s="1680"/>
      <c r="H210" s="1680"/>
      <c r="I210" s="1680"/>
      <c r="J210" s="12"/>
      <c r="K210" s="9"/>
      <c r="L210" s="9"/>
      <c r="M210" s="9"/>
      <c r="N210" s="9"/>
      <c r="O210" s="9"/>
      <c r="P210" s="9"/>
      <c r="Q210" s="9"/>
      <c r="R210" s="9"/>
      <c r="S210" s="9"/>
      <c r="T210" s="9"/>
      <c r="U210" s="9"/>
      <c r="V210" s="9"/>
      <c r="W210" s="137"/>
      <c r="X210" s="150"/>
      <c r="AJ210" s="81"/>
      <c r="AK210" s="161"/>
      <c r="AL210" s="81"/>
      <c r="AM210" s="81"/>
      <c r="AN210" s="81"/>
      <c r="AO210" s="81"/>
      <c r="AP210" s="81"/>
      <c r="AQ210" s="81"/>
      <c r="AR210" s="81"/>
      <c r="AS210" s="81"/>
      <c r="AU210" s="81"/>
      <c r="AV210" s="81"/>
      <c r="AW210" s="81"/>
      <c r="AX210" s="81"/>
      <c r="AY210" s="81"/>
      <c r="AZ210" s="81"/>
      <c r="BA210" s="81"/>
      <c r="BB210" s="81"/>
      <c r="BC210" s="81"/>
      <c r="BD210" s="81"/>
      <c r="BE210" s="81"/>
      <c r="BF210" s="81"/>
      <c r="BG210" s="81"/>
      <c r="BH210" s="81"/>
      <c r="BI210" s="81"/>
      <c r="BJ210" s="81"/>
      <c r="BK210" s="81"/>
      <c r="BL210" s="81"/>
      <c r="BM210" s="81"/>
      <c r="BN210" s="81"/>
    </row>
    <row r="211" spans="1:66" ht="11.25" customHeight="1" x14ac:dyDescent="0.2">
      <c r="A211" s="142"/>
      <c r="B211" s="1680" t="s">
        <v>32</v>
      </c>
      <c r="C211" s="1680"/>
      <c r="D211" s="1680"/>
      <c r="E211" s="1680"/>
      <c r="F211" s="1680"/>
      <c r="G211" s="1680"/>
      <c r="H211" s="1680"/>
      <c r="I211" s="1680"/>
      <c r="J211" s="12"/>
      <c r="K211" s="9"/>
      <c r="L211" s="9"/>
      <c r="M211" s="9"/>
      <c r="N211" s="9"/>
      <c r="O211" s="9"/>
      <c r="P211" s="9"/>
      <c r="Q211" s="9"/>
      <c r="R211" s="9"/>
      <c r="S211" s="9"/>
      <c r="T211" s="9"/>
      <c r="U211" s="9"/>
      <c r="V211" s="9"/>
      <c r="W211" s="137"/>
      <c r="X211" s="150"/>
      <c r="AJ211" s="81"/>
      <c r="AK211" s="161"/>
      <c r="AL211" s="81"/>
      <c r="AM211" s="81"/>
      <c r="AN211" s="81"/>
      <c r="AO211" s="81"/>
      <c r="AP211" s="81"/>
      <c r="AQ211" s="81"/>
      <c r="AR211" s="81"/>
      <c r="AS211" s="81"/>
      <c r="AU211" s="81"/>
      <c r="AV211" s="81"/>
      <c r="AW211" s="81"/>
      <c r="AX211" s="81"/>
      <c r="AY211" s="81"/>
      <c r="AZ211" s="81"/>
      <c r="BA211" s="81"/>
      <c r="BB211" s="81"/>
      <c r="BC211" s="81"/>
      <c r="BD211" s="81"/>
      <c r="BE211" s="81"/>
      <c r="BF211" s="81"/>
      <c r="BG211" s="81"/>
      <c r="BH211" s="81"/>
      <c r="BI211" s="81"/>
      <c r="BJ211" s="81"/>
      <c r="BK211" s="81"/>
      <c r="BL211" s="81"/>
      <c r="BM211" s="81"/>
      <c r="BN211" s="81"/>
    </row>
    <row r="212" spans="1:66" ht="11.25" customHeight="1" x14ac:dyDescent="0.2">
      <c r="A212" s="142"/>
      <c r="B212" s="1680"/>
      <c r="C212" s="1680"/>
      <c r="D212" s="1680"/>
      <c r="E212" s="1680"/>
      <c r="F212" s="1680"/>
      <c r="G212" s="1680"/>
      <c r="H212" s="1680"/>
      <c r="I212" s="1680"/>
      <c r="J212" s="12"/>
      <c r="K212" s="9"/>
      <c r="L212" s="9"/>
      <c r="M212" s="9"/>
      <c r="N212" s="9"/>
      <c r="O212" s="9"/>
      <c r="P212" s="9"/>
      <c r="Q212" s="9"/>
      <c r="R212" s="9"/>
      <c r="S212" s="9"/>
      <c r="T212" s="9"/>
      <c r="U212" s="9"/>
      <c r="V212" s="9"/>
      <c r="W212" s="137"/>
      <c r="X212" s="150"/>
      <c r="AJ212" s="81"/>
      <c r="AK212" s="161"/>
      <c r="AL212" s="81"/>
      <c r="AM212" s="81"/>
      <c r="AN212" s="81"/>
      <c r="AO212" s="81"/>
      <c r="AP212" s="81"/>
      <c r="AQ212" s="81"/>
      <c r="AR212" s="81"/>
      <c r="AS212" s="81"/>
      <c r="AU212" s="81"/>
      <c r="AV212" s="81"/>
      <c r="AW212" s="81"/>
      <c r="AX212" s="81"/>
      <c r="AY212" s="81"/>
      <c r="AZ212" s="81"/>
      <c r="BA212" s="81"/>
      <c r="BB212" s="81"/>
      <c r="BC212" s="81"/>
      <c r="BD212" s="81"/>
      <c r="BE212" s="81"/>
      <c r="BF212" s="81"/>
      <c r="BG212" s="81"/>
      <c r="BH212" s="81"/>
      <c r="BI212" s="81"/>
      <c r="BJ212" s="81"/>
      <c r="BK212" s="81"/>
      <c r="BL212" s="81"/>
      <c r="BM212" s="81"/>
      <c r="BN212" s="81"/>
    </row>
    <row r="213" spans="1:66" ht="11.25" customHeight="1" x14ac:dyDescent="0.2">
      <c r="A213" s="142"/>
      <c r="B213" s="1680" t="s">
        <v>666</v>
      </c>
      <c r="C213" s="1680"/>
      <c r="D213" s="1680"/>
      <c r="E213" s="1680"/>
      <c r="F213" s="1680"/>
      <c r="G213" s="1680"/>
      <c r="H213" s="1680"/>
      <c r="I213" s="1680"/>
      <c r="J213" s="12"/>
      <c r="K213" s="9"/>
      <c r="L213" s="9"/>
      <c r="M213" s="9"/>
      <c r="N213" s="9"/>
      <c r="O213" s="9"/>
      <c r="P213" s="9"/>
      <c r="Q213" s="9"/>
      <c r="R213" s="9"/>
      <c r="S213" s="9"/>
      <c r="T213" s="9"/>
      <c r="U213" s="9"/>
      <c r="V213" s="9"/>
      <c r="W213" s="137"/>
      <c r="X213" s="150"/>
      <c r="AJ213" s="81"/>
      <c r="AK213" s="161"/>
      <c r="AL213" s="81"/>
      <c r="AM213" s="81"/>
      <c r="AN213" s="81"/>
      <c r="AO213" s="81"/>
      <c r="AP213" s="81"/>
      <c r="AQ213" s="81"/>
      <c r="AR213" s="81"/>
      <c r="AS213" s="81"/>
      <c r="AU213" s="81"/>
      <c r="AV213" s="81"/>
      <c r="AW213" s="81"/>
      <c r="AX213" s="81"/>
      <c r="AY213" s="81"/>
      <c r="AZ213" s="81"/>
      <c r="BA213" s="81"/>
      <c r="BB213" s="81"/>
      <c r="BC213" s="81"/>
      <c r="BD213" s="81"/>
      <c r="BE213" s="81"/>
      <c r="BF213" s="81"/>
      <c r="BG213" s="81"/>
      <c r="BH213" s="81"/>
      <c r="BI213" s="81"/>
      <c r="BJ213" s="81"/>
      <c r="BK213" s="81"/>
      <c r="BL213" s="81"/>
      <c r="BM213" s="81"/>
      <c r="BN213" s="81"/>
    </row>
    <row r="214" spans="1:66" ht="11.25" customHeight="1" x14ac:dyDescent="0.2">
      <c r="A214" s="142"/>
      <c r="B214" s="1680"/>
      <c r="C214" s="1680"/>
      <c r="D214" s="1680"/>
      <c r="E214" s="1680"/>
      <c r="F214" s="1680"/>
      <c r="G214" s="1680"/>
      <c r="H214" s="1680"/>
      <c r="I214" s="1680"/>
      <c r="J214" s="12"/>
      <c r="K214" s="9"/>
      <c r="L214" s="9"/>
      <c r="M214" s="9"/>
      <c r="N214" s="9"/>
      <c r="O214" s="9"/>
      <c r="P214" s="9"/>
      <c r="Q214" s="9"/>
      <c r="R214" s="9"/>
      <c r="S214" s="9"/>
      <c r="T214" s="9"/>
      <c r="U214" s="9"/>
      <c r="V214" s="9"/>
      <c r="W214" s="137"/>
      <c r="X214" s="150"/>
      <c r="AJ214" s="81"/>
      <c r="AK214" s="161"/>
      <c r="AL214" s="81"/>
      <c r="AM214" s="81"/>
      <c r="AN214" s="81"/>
      <c r="AO214" s="81"/>
      <c r="AP214" s="81"/>
      <c r="AQ214" s="81"/>
      <c r="AR214" s="81"/>
      <c r="AS214" s="81"/>
      <c r="AU214" s="81"/>
      <c r="AV214" s="81"/>
      <c r="AW214" s="81"/>
      <c r="AX214" s="81"/>
      <c r="AY214" s="81"/>
      <c r="AZ214" s="81"/>
      <c r="BA214" s="81"/>
      <c r="BB214" s="81"/>
      <c r="BC214" s="81"/>
      <c r="BD214" s="81"/>
      <c r="BE214" s="81"/>
      <c r="BF214" s="81"/>
      <c r="BG214" s="81"/>
      <c r="BH214" s="81"/>
      <c r="BI214" s="81"/>
      <c r="BJ214" s="81"/>
      <c r="BK214" s="81"/>
      <c r="BL214" s="81"/>
      <c r="BM214" s="81"/>
      <c r="BN214" s="81"/>
    </row>
    <row r="215" spans="1:66" ht="11.25" customHeight="1" x14ac:dyDescent="0.2">
      <c r="A215" s="142"/>
      <c r="B215" s="1680" t="s">
        <v>906</v>
      </c>
      <c r="C215" s="1680"/>
      <c r="D215" s="1680"/>
      <c r="E215" s="1680"/>
      <c r="F215" s="1680"/>
      <c r="G215" s="1680"/>
      <c r="H215" s="1680"/>
      <c r="I215" s="1680"/>
      <c r="J215" s="12"/>
      <c r="K215" s="9"/>
      <c r="L215" s="9"/>
      <c r="M215" s="9"/>
      <c r="N215" s="9"/>
      <c r="O215" s="9"/>
      <c r="P215" s="9"/>
      <c r="Q215" s="9"/>
      <c r="R215" s="9"/>
      <c r="S215" s="9"/>
      <c r="T215" s="9"/>
      <c r="U215" s="9"/>
      <c r="V215" s="9"/>
      <c r="W215" s="137"/>
      <c r="X215" s="150"/>
      <c r="AJ215" s="81"/>
      <c r="AK215" s="161"/>
      <c r="AL215" s="81"/>
      <c r="AM215" s="81"/>
      <c r="AN215" s="81"/>
      <c r="AO215" s="81"/>
      <c r="AP215" s="81"/>
      <c r="AQ215" s="81"/>
      <c r="AR215" s="81"/>
      <c r="AS215" s="81"/>
      <c r="AU215" s="81"/>
      <c r="AV215" s="81"/>
      <c r="AW215" s="81"/>
      <c r="AX215" s="81"/>
      <c r="AY215" s="81"/>
      <c r="AZ215" s="81"/>
      <c r="BA215" s="81"/>
      <c r="BB215" s="81"/>
      <c r="BC215" s="81"/>
      <c r="BD215" s="81"/>
      <c r="BE215" s="81"/>
      <c r="BF215" s="81"/>
      <c r="BG215" s="81"/>
      <c r="BH215" s="81"/>
      <c r="BI215" s="81"/>
      <c r="BJ215" s="81"/>
      <c r="BK215" s="81"/>
      <c r="BL215" s="81"/>
      <c r="BM215" s="81"/>
      <c r="BN215" s="81"/>
    </row>
    <row r="216" spans="1:66" ht="11.25" customHeight="1" x14ac:dyDescent="0.2">
      <c r="A216" s="142"/>
      <c r="B216" s="1680"/>
      <c r="C216" s="1680"/>
      <c r="D216" s="1680"/>
      <c r="E216" s="1680"/>
      <c r="F216" s="1680"/>
      <c r="G216" s="1680"/>
      <c r="H216" s="1680"/>
      <c r="I216" s="1680"/>
      <c r="J216" s="12"/>
      <c r="K216" s="9"/>
      <c r="L216" s="9"/>
      <c r="M216" s="9"/>
      <c r="N216" s="9"/>
      <c r="O216" s="9"/>
      <c r="P216" s="9"/>
      <c r="Q216" s="9"/>
      <c r="R216" s="9"/>
      <c r="S216" s="9"/>
      <c r="T216" s="9"/>
      <c r="U216" s="9"/>
      <c r="V216" s="9"/>
      <c r="W216" s="137"/>
      <c r="X216" s="150"/>
      <c r="AJ216" s="81"/>
      <c r="AK216" s="161"/>
      <c r="AL216" s="81"/>
      <c r="AM216" s="81"/>
      <c r="AN216" s="81"/>
      <c r="AO216" s="81"/>
      <c r="AP216" s="81"/>
      <c r="AQ216" s="81"/>
      <c r="AR216" s="81"/>
      <c r="AS216" s="81"/>
      <c r="AU216" s="81"/>
      <c r="AV216" s="81"/>
      <c r="AW216" s="81"/>
      <c r="AX216" s="81"/>
      <c r="AY216" s="81"/>
      <c r="AZ216" s="81"/>
      <c r="BA216" s="81"/>
      <c r="BB216" s="81"/>
      <c r="BC216" s="81"/>
      <c r="BD216" s="81"/>
      <c r="BE216" s="81"/>
      <c r="BF216" s="81"/>
      <c r="BG216" s="81"/>
      <c r="BH216" s="81"/>
      <c r="BI216" s="81"/>
      <c r="BJ216" s="81"/>
      <c r="BK216" s="81"/>
      <c r="BL216" s="81"/>
      <c r="BM216" s="81"/>
      <c r="BN216" s="81"/>
    </row>
    <row r="217" spans="1:66" ht="11.25" customHeight="1" x14ac:dyDescent="0.2">
      <c r="A217" s="142"/>
      <c r="B217" s="1680" t="s">
        <v>672</v>
      </c>
      <c r="C217" s="1680"/>
      <c r="D217" s="1680"/>
      <c r="E217" s="1680"/>
      <c r="F217" s="1680"/>
      <c r="G217" s="1680"/>
      <c r="H217" s="1680"/>
      <c r="I217" s="1680"/>
      <c r="J217" s="12"/>
      <c r="K217" s="9"/>
      <c r="L217" s="9"/>
      <c r="M217" s="9"/>
      <c r="N217" s="9"/>
      <c r="O217" s="9"/>
      <c r="P217" s="9"/>
      <c r="Q217" s="9"/>
      <c r="R217" s="9"/>
      <c r="S217" s="9"/>
      <c r="T217" s="9"/>
      <c r="U217" s="9"/>
      <c r="V217" s="9"/>
      <c r="W217" s="137"/>
      <c r="X217" s="150"/>
      <c r="AJ217" s="81"/>
      <c r="AK217" s="161"/>
      <c r="AL217" s="81"/>
      <c r="AM217" s="81"/>
      <c r="AN217" s="81"/>
      <c r="AO217" s="81"/>
      <c r="AP217" s="81"/>
      <c r="AQ217" s="81"/>
      <c r="AR217" s="81"/>
      <c r="AS217" s="81"/>
      <c r="AU217" s="81"/>
      <c r="AV217" s="81"/>
      <c r="AW217" s="81"/>
      <c r="AX217" s="81"/>
      <c r="AY217" s="81"/>
      <c r="AZ217" s="81"/>
      <c r="BA217" s="81"/>
      <c r="BB217" s="81"/>
      <c r="BC217" s="81"/>
      <c r="BD217" s="81"/>
      <c r="BE217" s="81"/>
      <c r="BF217" s="81"/>
      <c r="BG217" s="81"/>
      <c r="BH217" s="81"/>
      <c r="BI217" s="81"/>
      <c r="BJ217" s="81"/>
      <c r="BK217" s="81"/>
      <c r="BL217" s="81"/>
      <c r="BM217" s="81"/>
      <c r="BN217" s="81"/>
    </row>
    <row r="218" spans="1:66" s="80" customFormat="1" ht="11.25" customHeight="1" x14ac:dyDescent="0.2">
      <c r="A218" s="142"/>
      <c r="B218" s="1680"/>
      <c r="C218" s="1680"/>
      <c r="D218" s="1680"/>
      <c r="E218" s="1680"/>
      <c r="F218" s="1680"/>
      <c r="G218" s="1680"/>
      <c r="H218" s="1680"/>
      <c r="I218" s="1680"/>
      <c r="J218" s="12"/>
      <c r="K218" s="9"/>
      <c r="L218" s="9"/>
      <c r="M218" s="9"/>
      <c r="N218" s="9"/>
      <c r="O218" s="9"/>
      <c r="P218" s="9"/>
      <c r="Q218" s="9"/>
      <c r="R218" s="9"/>
      <c r="S218" s="9"/>
      <c r="T218" s="9"/>
      <c r="U218" s="9"/>
      <c r="V218" s="9"/>
      <c r="W218" s="137"/>
      <c r="X218" s="150"/>
      <c r="Y218" s="81"/>
      <c r="Z218" s="81"/>
      <c r="AA218" s="81"/>
      <c r="AB218" s="81"/>
      <c r="AC218" s="81"/>
      <c r="AD218" s="81"/>
      <c r="AE218" s="81"/>
      <c r="AF218" s="81"/>
      <c r="AG218" s="81"/>
      <c r="AH218" s="81"/>
      <c r="AI218" s="81"/>
      <c r="AJ218" s="81"/>
      <c r="AK218" s="161"/>
      <c r="AL218" s="81"/>
      <c r="AM218" s="81"/>
      <c r="AN218" s="81"/>
      <c r="AO218" s="81"/>
      <c r="AP218" s="81"/>
      <c r="AQ218" s="81"/>
      <c r="AR218" s="81"/>
      <c r="AS218" s="81"/>
      <c r="AT218" s="74"/>
      <c r="AU218" s="81"/>
      <c r="AV218" s="81"/>
      <c r="AW218" s="81"/>
      <c r="AX218" s="81"/>
      <c r="AY218" s="81"/>
      <c r="AZ218" s="81"/>
      <c r="BA218" s="81"/>
      <c r="BB218" s="81"/>
      <c r="BC218" s="81"/>
      <c r="BD218" s="81"/>
      <c r="BE218" s="81"/>
      <c r="BF218" s="81"/>
      <c r="BG218" s="81"/>
      <c r="BH218" s="81"/>
      <c r="BI218" s="81"/>
      <c r="BJ218" s="81"/>
      <c r="BK218" s="81"/>
      <c r="BL218" s="81"/>
      <c r="BM218" s="81"/>
      <c r="BN218" s="81"/>
    </row>
    <row r="219" spans="1:66" ht="11.25" customHeight="1" x14ac:dyDescent="0.2">
      <c r="A219" s="1273"/>
      <c r="B219" s="1274"/>
      <c r="C219" s="1275"/>
      <c r="D219" s="1275"/>
      <c r="E219" s="1275"/>
      <c r="F219" s="1275"/>
      <c r="G219" s="1275"/>
      <c r="H219" s="1275"/>
      <c r="I219" s="1275"/>
      <c r="J219" s="1276"/>
      <c r="K219" s="201"/>
      <c r="L219" s="201"/>
      <c r="M219" s="201"/>
      <c r="N219" s="201"/>
      <c r="O219" s="201"/>
      <c r="P219" s="201"/>
      <c r="Q219" s="201"/>
      <c r="R219" s="201"/>
      <c r="S219" s="201"/>
      <c r="T219" s="201"/>
      <c r="U219" s="201"/>
      <c r="V219" s="201"/>
      <c r="W219" s="1277"/>
      <c r="X219" s="1271"/>
      <c r="Y219" s="200"/>
      <c r="Z219" s="200"/>
      <c r="AA219" s="200"/>
      <c r="AB219" s="200"/>
      <c r="AC219" s="200"/>
      <c r="AD219" s="200"/>
      <c r="AE219" s="200"/>
      <c r="AF219" s="200"/>
      <c r="AG219" s="200"/>
      <c r="AH219" s="200"/>
      <c r="AI219" s="200"/>
      <c r="AJ219" s="200"/>
      <c r="AK219" s="1614"/>
      <c r="AL219" s="1278"/>
      <c r="AM219" s="200"/>
      <c r="AN219" s="200"/>
      <c r="AO219" s="201"/>
      <c r="AP219" s="201"/>
      <c r="AQ219" s="201"/>
      <c r="AR219" s="251"/>
      <c r="BN219" s="81"/>
    </row>
    <row r="220" spans="1:66" ht="11.25" customHeight="1" x14ac:dyDescent="0.2">
      <c r="AJ220" s="81"/>
      <c r="AK220" s="81"/>
      <c r="AL220" s="81"/>
      <c r="AM220" s="81"/>
      <c r="AN220" s="81"/>
      <c r="AO220" s="81"/>
      <c r="AR220" s="184"/>
    </row>
    <row r="221" spans="1:66" ht="11.25" customHeight="1" x14ac:dyDescent="0.2">
      <c r="AJ221" s="81"/>
      <c r="AK221" s="81"/>
      <c r="AL221" s="81"/>
      <c r="AM221" s="81"/>
      <c r="AN221" s="81"/>
      <c r="AO221" s="81"/>
      <c r="AR221" s="184"/>
    </row>
    <row r="222" spans="1:66" ht="11.25" customHeight="1" x14ac:dyDescent="0.2">
      <c r="AJ222" s="81"/>
      <c r="AK222" s="81"/>
      <c r="AL222" s="81"/>
      <c r="AM222" s="81"/>
      <c r="AN222" s="81"/>
      <c r="AO222" s="81"/>
      <c r="AR222" s="184"/>
    </row>
    <row r="223" spans="1:66" ht="11.25" customHeight="1" x14ac:dyDescent="0.2">
      <c r="AJ223" s="81"/>
      <c r="AK223" s="81"/>
      <c r="AL223" s="81"/>
      <c r="AM223" s="81"/>
      <c r="AN223" s="81"/>
      <c r="AO223" s="81"/>
      <c r="AR223" s="184"/>
    </row>
    <row r="224" spans="1:66" ht="11.25" customHeight="1" x14ac:dyDescent="0.2">
      <c r="AJ224" s="81"/>
      <c r="AK224" s="81"/>
      <c r="AL224" s="81"/>
      <c r="AM224" s="81"/>
      <c r="AN224" s="81"/>
      <c r="AO224" s="81"/>
      <c r="AR224" s="184"/>
    </row>
    <row r="225" spans="36:44" ht="11.25" customHeight="1" x14ac:dyDescent="0.2">
      <c r="AJ225" s="81"/>
      <c r="AK225" s="81"/>
      <c r="AL225" s="81"/>
      <c r="AM225" s="81"/>
      <c r="AN225" s="81"/>
      <c r="AO225" s="81"/>
      <c r="AR225" s="184"/>
    </row>
    <row r="226" spans="36:44" ht="11.25" customHeight="1" x14ac:dyDescent="0.2">
      <c r="AJ226" s="81"/>
      <c r="AK226" s="81"/>
      <c r="AL226" s="81"/>
      <c r="AM226" s="81"/>
      <c r="AN226" s="81"/>
      <c r="AO226" s="81"/>
      <c r="AR226" s="184"/>
    </row>
    <row r="227" spans="36:44" ht="11.25" customHeight="1" x14ac:dyDescent="0.2">
      <c r="AJ227" s="81"/>
      <c r="AK227" s="81"/>
      <c r="AL227" s="81"/>
      <c r="AM227" s="81"/>
      <c r="AN227" s="81"/>
      <c r="AO227" s="81"/>
      <c r="AR227" s="184"/>
    </row>
    <row r="228" spans="36:44" ht="11.25" customHeight="1" x14ac:dyDescent="0.2">
      <c r="AJ228" s="81"/>
      <c r="AK228" s="81"/>
      <c r="AL228" s="81"/>
      <c r="AM228" s="81"/>
      <c r="AN228" s="81"/>
      <c r="AO228" s="81"/>
      <c r="AR228" s="184"/>
    </row>
    <row r="229" spans="36:44" ht="11.25" customHeight="1" x14ac:dyDescent="0.2">
      <c r="AJ229" s="81"/>
      <c r="AK229" s="81"/>
      <c r="AL229" s="81"/>
      <c r="AM229" s="81"/>
      <c r="AN229" s="81"/>
      <c r="AO229" s="81"/>
      <c r="AR229" s="184"/>
    </row>
    <row r="230" spans="36:44" ht="11.25" customHeight="1" x14ac:dyDescent="0.2">
      <c r="AJ230" s="81"/>
      <c r="AK230" s="81"/>
      <c r="AL230" s="81"/>
      <c r="AM230" s="81"/>
      <c r="AN230" s="81"/>
      <c r="AO230" s="81"/>
      <c r="AR230" s="184"/>
    </row>
    <row r="231" spans="36:44" ht="11.25" customHeight="1" x14ac:dyDescent="0.2">
      <c r="AJ231" s="81"/>
      <c r="AK231" s="81"/>
      <c r="AL231" s="81"/>
      <c r="AM231" s="81"/>
      <c r="AN231" s="81"/>
      <c r="AO231" s="81"/>
      <c r="AR231" s="184"/>
    </row>
    <row r="232" spans="36:44" ht="11.25" customHeight="1" x14ac:dyDescent="0.2">
      <c r="AJ232" s="81"/>
      <c r="AK232" s="81"/>
      <c r="AL232" s="81"/>
      <c r="AM232" s="81"/>
      <c r="AN232" s="81"/>
      <c r="AO232" s="81"/>
      <c r="AR232" s="184"/>
    </row>
    <row r="233" spans="36:44" ht="11.25" customHeight="1" x14ac:dyDescent="0.2">
      <c r="AJ233" s="81"/>
      <c r="AK233" s="81"/>
      <c r="AL233" s="81"/>
      <c r="AM233" s="81"/>
      <c r="AN233" s="81"/>
      <c r="AO233" s="81"/>
      <c r="AR233" s="184"/>
    </row>
    <row r="234" spans="36:44" ht="11.25" customHeight="1" x14ac:dyDescent="0.2">
      <c r="AJ234" s="81"/>
      <c r="AK234" s="81"/>
      <c r="AL234" s="81"/>
      <c r="AM234" s="81"/>
      <c r="AN234" s="81"/>
      <c r="AO234" s="81"/>
      <c r="AR234" s="184"/>
    </row>
    <row r="235" spans="36:44" ht="11.25" customHeight="1" x14ac:dyDescent="0.2">
      <c r="AJ235" s="81"/>
      <c r="AK235" s="81"/>
      <c r="AL235" s="81"/>
      <c r="AM235" s="81"/>
      <c r="AN235" s="81"/>
      <c r="AO235" s="81"/>
      <c r="AR235" s="184"/>
    </row>
    <row r="236" spans="36:44" ht="11.25" customHeight="1" x14ac:dyDescent="0.2">
      <c r="AJ236" s="81"/>
      <c r="AK236" s="81"/>
      <c r="AL236" s="81"/>
      <c r="AM236" s="81"/>
      <c r="AN236" s="81"/>
      <c r="AO236" s="81"/>
      <c r="AR236" s="184"/>
    </row>
    <row r="237" spans="36:44" ht="11.25" customHeight="1" x14ac:dyDescent="0.2">
      <c r="AJ237" s="81"/>
      <c r="AK237" s="81"/>
      <c r="AL237" s="81"/>
      <c r="AM237" s="81"/>
      <c r="AN237" s="81"/>
      <c r="AO237" s="81"/>
      <c r="AR237" s="184"/>
    </row>
    <row r="238" spans="36:44" ht="11.25" customHeight="1" x14ac:dyDescent="0.2">
      <c r="AJ238" s="81"/>
      <c r="AK238" s="81"/>
      <c r="AL238" s="81"/>
      <c r="AM238" s="81"/>
      <c r="AN238" s="81"/>
      <c r="AO238" s="81"/>
      <c r="AR238" s="184"/>
    </row>
    <row r="239" spans="36:44" ht="11.25" customHeight="1" x14ac:dyDescent="0.2">
      <c r="AJ239" s="81"/>
      <c r="AK239" s="81"/>
      <c r="AL239" s="81"/>
      <c r="AM239" s="81"/>
      <c r="AN239" s="81"/>
      <c r="AO239" s="81"/>
      <c r="AR239" s="184"/>
    </row>
    <row r="240" spans="36:44" ht="11.25" customHeight="1" x14ac:dyDescent="0.2">
      <c r="AJ240" s="81"/>
      <c r="AK240" s="81"/>
      <c r="AL240" s="81"/>
      <c r="AM240" s="81"/>
      <c r="AN240" s="81"/>
      <c r="AO240" s="81"/>
      <c r="AR240" s="184"/>
    </row>
    <row r="241" spans="36:44" ht="11.25" customHeight="1" x14ac:dyDescent="0.2">
      <c r="AJ241" s="81"/>
      <c r="AK241" s="81"/>
      <c r="AL241" s="81"/>
      <c r="AM241" s="81"/>
      <c r="AN241" s="81"/>
      <c r="AO241" s="81"/>
      <c r="AR241" s="184"/>
    </row>
    <row r="242" spans="36:44" ht="11.25" customHeight="1" x14ac:dyDescent="0.2">
      <c r="AJ242" s="81"/>
      <c r="AK242" s="81"/>
      <c r="AL242" s="81"/>
      <c r="AM242" s="81"/>
      <c r="AN242" s="81"/>
      <c r="AO242" s="81"/>
      <c r="AR242" s="184"/>
    </row>
    <row r="243" spans="36:44" ht="11.25" customHeight="1" x14ac:dyDescent="0.2">
      <c r="AJ243" s="81"/>
      <c r="AK243" s="81"/>
      <c r="AL243" s="81"/>
      <c r="AM243" s="81"/>
      <c r="AN243" s="81"/>
      <c r="AO243" s="81"/>
      <c r="AR243" s="184"/>
    </row>
    <row r="244" spans="36:44" ht="11.25" customHeight="1" x14ac:dyDescent="0.2">
      <c r="AJ244" s="81"/>
      <c r="AK244" s="81"/>
      <c r="AL244" s="81"/>
      <c r="AM244" s="81"/>
      <c r="AN244" s="81"/>
      <c r="AO244" s="81"/>
      <c r="AR244" s="184"/>
    </row>
    <row r="245" spans="36:44" ht="11.25" customHeight="1" x14ac:dyDescent="0.2">
      <c r="AJ245" s="81"/>
      <c r="AK245" s="81"/>
      <c r="AL245" s="81"/>
      <c r="AM245" s="81"/>
      <c r="AN245" s="81"/>
      <c r="AO245" s="81"/>
      <c r="AR245" s="184"/>
    </row>
    <row r="246" spans="36:44" ht="11.25" customHeight="1" x14ac:dyDescent="0.2">
      <c r="AJ246" s="81"/>
      <c r="AK246" s="81"/>
      <c r="AL246" s="81"/>
      <c r="AM246" s="81"/>
      <c r="AN246" s="81"/>
      <c r="AO246" s="81"/>
      <c r="AR246" s="184"/>
    </row>
    <row r="247" spans="36:44" ht="11.25" customHeight="1" x14ac:dyDescent="0.2">
      <c r="AJ247" s="81"/>
      <c r="AK247" s="81"/>
      <c r="AL247" s="81"/>
      <c r="AM247" s="81"/>
      <c r="AN247" s="81"/>
      <c r="AO247" s="81"/>
      <c r="AR247" s="184"/>
    </row>
    <row r="248" spans="36:44" ht="11.25" customHeight="1" x14ac:dyDescent="0.2">
      <c r="AJ248" s="81"/>
      <c r="AK248" s="81"/>
      <c r="AL248" s="81"/>
      <c r="AM248" s="81"/>
      <c r="AN248" s="81"/>
      <c r="AO248" s="81"/>
      <c r="AR248" s="184"/>
    </row>
    <row r="249" spans="36:44" ht="11.25" customHeight="1" x14ac:dyDescent="0.2">
      <c r="AJ249" s="81"/>
      <c r="AK249" s="81"/>
      <c r="AL249" s="81"/>
      <c r="AM249" s="81"/>
      <c r="AN249" s="81"/>
      <c r="AO249" s="81"/>
      <c r="AR249" s="184"/>
    </row>
    <row r="250" spans="36:44" ht="11.25" customHeight="1" x14ac:dyDescent="0.2">
      <c r="AJ250" s="81"/>
      <c r="AK250" s="81"/>
      <c r="AL250" s="81"/>
      <c r="AM250" s="81"/>
      <c r="AN250" s="81"/>
      <c r="AO250" s="81"/>
      <c r="AR250" s="184"/>
    </row>
    <row r="251" spans="36:44" ht="11.25" customHeight="1" x14ac:dyDescent="0.2">
      <c r="AJ251" s="81"/>
      <c r="AK251" s="81"/>
      <c r="AL251" s="81"/>
      <c r="AM251" s="81"/>
      <c r="AN251" s="81"/>
      <c r="AO251" s="81"/>
      <c r="AR251" s="184"/>
    </row>
    <row r="252" spans="36:44" ht="11.25" customHeight="1" x14ac:dyDescent="0.2">
      <c r="AJ252" s="81"/>
      <c r="AK252" s="81"/>
      <c r="AL252" s="81"/>
      <c r="AM252" s="81"/>
      <c r="AN252" s="81"/>
      <c r="AO252" s="81"/>
      <c r="AR252" s="184"/>
    </row>
    <row r="344" spans="38:38" ht="11.25" customHeight="1" x14ac:dyDescent="0.2">
      <c r="AL344" s="74" t="b">
        <v>1</v>
      </c>
    </row>
  </sheetData>
  <sheetProtection sheet="1" objects="1" scenarios="1"/>
  <mergeCells count="59">
    <mergeCell ref="B215:I216"/>
    <mergeCell ref="B217:I218"/>
    <mergeCell ref="BH38:BL38"/>
    <mergeCell ref="A141:V141"/>
    <mergeCell ref="A142:V142"/>
    <mergeCell ref="BC38:BG38"/>
    <mergeCell ref="Z8:Z9"/>
    <mergeCell ref="AA8:AA9"/>
    <mergeCell ref="A70:V70"/>
    <mergeCell ref="A71:V71"/>
    <mergeCell ref="R64:U64"/>
    <mergeCell ref="M64:P64"/>
    <mergeCell ref="M65:P65"/>
    <mergeCell ref="B35:U35"/>
    <mergeCell ref="Q7:Q9"/>
    <mergeCell ref="B7:B9"/>
    <mergeCell ref="R65:U65"/>
    <mergeCell ref="S7:U8"/>
    <mergeCell ref="B189:I190"/>
    <mergeCell ref="B191:I192"/>
    <mergeCell ref="B193:I194"/>
    <mergeCell ref="B179:I180"/>
    <mergeCell ref="B181:I182"/>
    <mergeCell ref="B183:I184"/>
    <mergeCell ref="B185:I186"/>
    <mergeCell ref="B187:I188"/>
    <mergeCell ref="B5:N6"/>
    <mergeCell ref="D7:H7"/>
    <mergeCell ref="I7:I9"/>
    <mergeCell ref="B172:H172"/>
    <mergeCell ref="K7:P7"/>
    <mergeCell ref="O8:P8"/>
    <mergeCell ref="O9:P9"/>
    <mergeCell ref="A37:V37"/>
    <mergeCell ref="A38:V38"/>
    <mergeCell ref="B108:I109"/>
    <mergeCell ref="B137:H137"/>
    <mergeCell ref="A105:V105"/>
    <mergeCell ref="A106:V106"/>
    <mergeCell ref="A176:V176"/>
    <mergeCell ref="B144:I145"/>
    <mergeCell ref="A177:V177"/>
    <mergeCell ref="B110:B111"/>
    <mergeCell ref="AR38:AR40"/>
    <mergeCell ref="Z109:AD109"/>
    <mergeCell ref="AE109:AI109"/>
    <mergeCell ref="AA75:AA76"/>
    <mergeCell ref="Z75:Z76"/>
    <mergeCell ref="AM38:AQ38"/>
    <mergeCell ref="B195:I196"/>
    <mergeCell ref="B197:I198"/>
    <mergeCell ref="B199:I200"/>
    <mergeCell ref="B201:I202"/>
    <mergeCell ref="B203:I204"/>
    <mergeCell ref="B205:I206"/>
    <mergeCell ref="B207:I208"/>
    <mergeCell ref="B209:I210"/>
    <mergeCell ref="B211:I212"/>
    <mergeCell ref="B213:I214"/>
  </mergeCells>
  <conditionalFormatting sqref="B10:B31 K10:O31 B51:C66 B147:B168 D147:H168 B112:B133 D10:H31 A1:A37 A39:A70 A72:A105 A107:A141 A143:A176 A253:A1048576">
    <cfRule type="containsErrors" dxfId="791" priority="1048">
      <formula>ISERROR(A1)</formula>
    </cfRule>
  </conditionalFormatting>
  <conditionalFormatting sqref="B10:B31 K10:O31 D10:I31 Q10:Q31 S10:U31 B51:C66 D112:H133 B112:B133 B147:B168 D147:H168 P10:P33">
    <cfRule type="expression" dxfId="790" priority="1044">
      <formula>$B10=$Z$4</formula>
    </cfRule>
  </conditionalFormatting>
  <conditionalFormatting sqref="S10:S32 D112:F133 H112:H133">
    <cfRule type="containsErrors" dxfId="789" priority="1045">
      <formula>ISERROR(D10)</formula>
    </cfRule>
  </conditionalFormatting>
  <conditionalFormatting sqref="A147:A168">
    <cfRule type="cellIs" dxfId="788" priority="84" operator="equal">
      <formula>0</formula>
    </cfRule>
  </conditionalFormatting>
  <conditionalFormatting sqref="A10:A31">
    <cfRule type="cellIs" dxfId="787" priority="83" operator="equal">
      <formula>0</formula>
    </cfRule>
  </conditionalFormatting>
  <conditionalFormatting sqref="A112:A133">
    <cfRule type="cellIs" dxfId="785" priority="78" operator="equal">
      <formula>0</formula>
    </cfRule>
  </conditionalFormatting>
  <conditionalFormatting sqref="AG10:AH28">
    <cfRule type="containsErrors" dxfId="781" priority="69">
      <formula>ISERROR(AG10)</formula>
    </cfRule>
  </conditionalFormatting>
  <conditionalFormatting sqref="AG10:AH21 AH11:AH28">
    <cfRule type="expression" dxfId="780" priority="68">
      <formula>$B10=$X$4</formula>
    </cfRule>
  </conditionalFormatting>
  <conditionalFormatting sqref="I10:I31">
    <cfRule type="containsErrors" dxfId="779" priority="1046">
      <formula>ISERROR(I10)</formula>
    </cfRule>
  </conditionalFormatting>
  <conditionalFormatting sqref="D135:F135 D170:H170 D33:I33 K33:O33 S33 H135 Q33">
    <cfRule type="containsErrors" dxfId="778" priority="60">
      <formula>ISERROR(D33)</formula>
    </cfRule>
  </conditionalFormatting>
  <conditionalFormatting sqref="D134:F134 D169:H169 D32:I32 K32:O32 S32 H134 Q32">
    <cfRule type="containsErrors" dxfId="777" priority="59">
      <formula>ISERROR(D32)</formula>
    </cfRule>
  </conditionalFormatting>
  <conditionalFormatting sqref="G112:G133">
    <cfRule type="expression" dxfId="776" priority="57">
      <formula>$K76=$Z$4</formula>
    </cfRule>
  </conditionalFormatting>
  <conditionalFormatting sqref="G112:G133">
    <cfRule type="containsErrors" dxfId="775" priority="58">
      <formula>ISERROR(G112)</formula>
    </cfRule>
  </conditionalFormatting>
  <conditionalFormatting sqref="G135">
    <cfRule type="containsErrors" dxfId="774" priority="56">
      <formula>ISERROR(G135)</formula>
    </cfRule>
  </conditionalFormatting>
  <conditionalFormatting sqref="G134">
    <cfRule type="containsErrors" dxfId="773" priority="55">
      <formula>ISERROR(G134)</formula>
    </cfRule>
  </conditionalFormatting>
  <conditionalFormatting sqref="A38">
    <cfRule type="cellIs" dxfId="772" priority="53" operator="equal">
      <formula>0</formula>
    </cfRule>
    <cfRule type="containsErrors" dxfId="771" priority="54">
      <formula>ISERROR(A38)</formula>
    </cfRule>
  </conditionalFormatting>
  <conditionalFormatting sqref="A71">
    <cfRule type="cellIs" dxfId="770" priority="51" operator="equal">
      <formula>0</formula>
    </cfRule>
    <cfRule type="containsErrors" dxfId="769" priority="52">
      <formula>ISERROR(A71)</formula>
    </cfRule>
  </conditionalFormatting>
  <conditionalFormatting sqref="A106">
    <cfRule type="cellIs" dxfId="768" priority="49" operator="equal">
      <formula>0</formula>
    </cfRule>
    <cfRule type="containsErrors" dxfId="767" priority="50">
      <formula>ISERROR(A106)</formula>
    </cfRule>
  </conditionalFormatting>
  <conditionalFormatting sqref="A142">
    <cfRule type="cellIs" dxfId="766" priority="47" operator="equal">
      <formula>0</formula>
    </cfRule>
    <cfRule type="containsErrors" dxfId="765" priority="48">
      <formula>ISERROR(A142)</formula>
    </cfRule>
  </conditionalFormatting>
  <conditionalFormatting sqref="A177">
    <cfRule type="cellIs" dxfId="764" priority="45" operator="equal">
      <formula>0</formula>
    </cfRule>
    <cfRule type="containsErrors" dxfId="763" priority="46">
      <formula>ISERROR(A177)</formula>
    </cfRule>
  </conditionalFormatting>
  <conditionalFormatting sqref="D110:H110">
    <cfRule type="containsErrors" dxfId="758" priority="33">
      <formula>ISERROR(D110)</formula>
    </cfRule>
  </conditionalFormatting>
  <conditionalFormatting sqref="D111:H111">
    <cfRule type="containsErrors" dxfId="757" priority="34">
      <formula>ISERROR(D111)</formula>
    </cfRule>
  </conditionalFormatting>
  <conditionalFormatting sqref="Y2">
    <cfRule type="containsErrors" dxfId="756" priority="31">
      <formula>ISERROR(Y2)</formula>
    </cfRule>
  </conditionalFormatting>
  <conditionalFormatting sqref="Y3">
    <cfRule type="containsErrors" dxfId="755" priority="32">
      <formula>ISERROR(Y3)</formula>
    </cfRule>
  </conditionalFormatting>
  <conditionalFormatting sqref="P32:P33">
    <cfRule type="containsErrors" dxfId="754" priority="28">
      <formula>ISERROR(P32)</formula>
    </cfRule>
  </conditionalFormatting>
  <conditionalFormatting sqref="P10:P33">
    <cfRule type="containsErrors" dxfId="753" priority="26">
      <formula>ISERROR(P10)</formula>
    </cfRule>
    <cfRule type="dataBar" priority="27">
      <dataBar showValue="0">
        <cfvo type="min"/>
        <cfvo type="max"/>
        <color theme="9"/>
      </dataBar>
      <extLst>
        <ext xmlns:x14="http://schemas.microsoft.com/office/spreadsheetml/2009/9/main" uri="{B025F937-C7B1-47D3-B67F-A62EFF666E3E}">
          <x14:id>{DC9F9637-D530-4B01-9362-B2D66A9D2E91}</x14:id>
        </ext>
      </extLst>
    </cfRule>
  </conditionalFormatting>
  <conditionalFormatting sqref="D8:H8">
    <cfRule type="containsErrors" dxfId="752" priority="23">
      <formula>ISERROR(D8)</formula>
    </cfRule>
  </conditionalFormatting>
  <conditionalFormatting sqref="D9:H9">
    <cfRule type="containsErrors" dxfId="751" priority="25">
      <formula>ISERROR(D9)</formula>
    </cfRule>
  </conditionalFormatting>
  <conditionalFormatting sqref="K8:O8">
    <cfRule type="containsErrors" dxfId="750" priority="22">
      <formula>ISERROR(K8)</formula>
    </cfRule>
  </conditionalFormatting>
  <conditionalFormatting sqref="K9:O9">
    <cfRule type="containsErrors" dxfId="749" priority="1049">
      <formula>ISERROR(K9)</formula>
    </cfRule>
  </conditionalFormatting>
  <conditionalFormatting sqref="AB9:AF9">
    <cfRule type="cellIs" dxfId="748" priority="17" stopIfTrue="1" operator="equal">
      <formula>0</formula>
    </cfRule>
  </conditionalFormatting>
  <conditionalFormatting sqref="Q10:Q31">
    <cfRule type="containsErrors" dxfId="743" priority="12">
      <formula>ISERROR(Q10)</formula>
    </cfRule>
  </conditionalFormatting>
  <conditionalFormatting sqref="T10:T31">
    <cfRule type="containsErrors" dxfId="742" priority="11">
      <formula>ISERROR(T10)</formula>
    </cfRule>
  </conditionalFormatting>
  <conditionalFormatting sqref="T32">
    <cfRule type="containsErrors" dxfId="741" priority="9">
      <formula>ISERROR(T32)</formula>
    </cfRule>
  </conditionalFormatting>
  <conditionalFormatting sqref="T33">
    <cfRule type="containsErrors" dxfId="740" priority="8">
      <formula>ISERROR(T33)</formula>
    </cfRule>
  </conditionalFormatting>
  <conditionalFormatting sqref="U10:U31">
    <cfRule type="containsErrors" dxfId="739" priority="7">
      <formula>ISERROR(U10)</formula>
    </cfRule>
  </conditionalFormatting>
  <conditionalFormatting sqref="U32">
    <cfRule type="containsErrors" dxfId="738" priority="5">
      <formula>ISERROR(U32)</formula>
    </cfRule>
  </conditionalFormatting>
  <conditionalFormatting sqref="U33">
    <cfRule type="containsErrors" dxfId="737" priority="4">
      <formula>ISERROR(U33)</formula>
    </cfRule>
  </conditionalFormatting>
  <conditionalFormatting sqref="Z3:AD3">
    <cfRule type="containsErrors" dxfId="736" priority="3">
      <formula>ISERROR(Z3)</formula>
    </cfRule>
  </conditionalFormatting>
  <conditionalFormatting sqref="Z2:AD2">
    <cfRule type="containsErrors" dxfId="735" priority="2">
      <formula>ISERROR(Z2)</formula>
    </cfRule>
  </conditionalFormatting>
  <conditionalFormatting sqref="A220:A252">
    <cfRule type="containsErrors" dxfId="734" priority="1">
      <formula>ISERROR(A220)</formula>
    </cfRule>
  </conditionalFormatting>
  <hyperlinks>
    <hyperlink ref="B183:H184" location="IDACI!A1" display="IDACI" xr:uid="{2ED6CB73-18D9-4440-87E5-913FFD2A68F2}"/>
    <hyperlink ref="B207:I208" location="ROSGO!A1" display="Child Arrangement &amp; Special Guardianship Orders" xr:uid="{198EE91A-CC89-4ABA-BAC5-3A8A932D7BE3}"/>
    <hyperlink ref="B187:G188" location="EH_Referrals!A1" display="Early Help Referrals" xr:uid="{270E5CAC-34B6-4C41-BC31-6C68073B1513}"/>
    <hyperlink ref="B207:E208" location="ROSGO!A1" display="Child Arrangement &amp; Special Guardianship Orders" xr:uid="{89371109-4E92-4509-A5F0-160B997153FC}"/>
    <hyperlink ref="B187:E188" location="EH_Referrals!A1" display="Early Help Referrals" xr:uid="{86DC00A5-16C3-4494-ADC0-6918914A391C}"/>
    <hyperlink ref="B185:D186" location="IDACI!A1" display="IDACI" xr:uid="{3F739C6D-6898-43BD-BCB8-BC6607C028FF}"/>
    <hyperlink ref="B181:D182" location="Indicators!A1" display="Indicators" xr:uid="{59054721-3226-48D7-917A-733027A98193}"/>
    <hyperlink ref="B209:D210" location="New_Ceased_LAC!A1" display="New/ Ceased Looked After Children" xr:uid="{1FCFE926-E7EC-4B91-89A6-FAB42C2B715B}"/>
    <hyperlink ref="B213:D214" location="Care_Leavers!A1" display="Care Leavers" xr:uid="{310A8AD6-B9C2-476A-9692-329CC12BE439}"/>
    <hyperlink ref="B217:D218" location="Offending!A1" display="Offending" xr:uid="{13F4246B-60D7-4F82-A732-0AEDF343ACF5}"/>
    <hyperlink ref="B215:D216" location="EHCP!A1" display="Education Health and Care Plans (EHCP)" xr:uid="{2C12A75F-7050-4A25-A69D-527E3420667B}"/>
    <hyperlink ref="B183:B184" location="Coverage!A1" display="Participating LA's" xr:uid="{90BB3F6D-FA9D-43C7-AFEA-3FB3DC78097A}"/>
    <hyperlink ref="B185:B186" location="IDACI!A1" display="IDACI" xr:uid="{9D9B91D7-49DB-4A63-B078-506DA5287772}"/>
    <hyperlink ref="B211:B212" location="Adoption!A1" display="Adoption" xr:uid="{D18936CE-F4AE-4B41-88E8-2C80D6824E3F}"/>
    <hyperlink ref="B207:B208" location="'Looked After Children'!A1" display="Looked After Children" xr:uid="{AE8BFA28-8895-40A9-9DD6-7956EB29A8AE}"/>
    <hyperlink ref="B205:B206" location="'Court Applications'!A1" display="Court Applications" xr:uid="{946FAEBC-557C-4065-9DB3-BE1D17D57126}"/>
    <hyperlink ref="B203:B204" location="'Child Protection Plans'!A1" display="Child Protection Plans" xr:uid="{339E573B-F759-4293-AFE7-211AABB5B8BD}"/>
    <hyperlink ref="B201:B202" location="'Initial CP Conferences'!A1" display="Initial Child Protection Conferences" xr:uid="{FB3F4AA6-E774-40F6-B19E-9C04FAD0EF9F}"/>
    <hyperlink ref="B199:B200" location="'Section 47 Enquiries'!A1" display="Section 47 Enquiries" xr:uid="{59717A29-BD39-4173-B538-3CEEC013A24E}"/>
    <hyperlink ref="B197:B198" location="'Children in Need'!A1" display="Children in Need" xr:uid="{9E59616F-6113-43FC-83E8-09C850C3CE6A}"/>
    <hyperlink ref="B195:B196" location="Assessments!A1" display="Assessments" xr:uid="{5A669638-2483-4C1D-9DB9-48156ACA3092}"/>
    <hyperlink ref="B193:B194" location="'Re-referrals'!A1" display="Re-referrals" xr:uid="{578C4631-3C0B-4207-94D4-EC9C9D852E69}"/>
    <hyperlink ref="B191:B192" location="Referral_Source!A1" display="Referral Source" xr:uid="{45A6EF73-7DCA-4E2A-99A9-757B5F5EB9DD}"/>
    <hyperlink ref="B189:B190" location="Referrals!A1" display="Referrals" xr:uid="{6D406FDC-5A25-41DB-B82B-A977E943EB4B}"/>
    <hyperlink ref="B187:B188" location="Population!A1" display="Population" xr:uid="{71FF28BB-FBD1-43B0-9102-80154C72DF72}"/>
    <hyperlink ref="B185:C186" location="IDACI!A1" display="IDACI" xr:uid="{B06FD29E-BB61-4BF0-9A00-E7B0CC2FD975}"/>
    <hyperlink ref="B181:B182" location="Coverage!A1" display="Participating LA's" xr:uid="{EA87B762-57C0-426F-8F08-D2507F910DE1}"/>
    <hyperlink ref="B181:C182" location="Indicators!A1" display="Indicators" xr:uid="{986F974D-A3A4-42DF-AFDB-31674FA3C281}"/>
    <hyperlink ref="B213:B214" location="'Looked After Children'!A1" display="Looked After Children" xr:uid="{C8B9A9F0-CD91-4E7A-866F-5CBD1D424E7B}"/>
    <hyperlink ref="B209:B210" location="'Court Applications'!A1" display="Court Applications" xr:uid="{0B5BF5E7-294A-4A4F-9348-3AE82ECE7D3D}"/>
    <hyperlink ref="B209:C210" location="New_Ceased_LAC!A1" display="New/ Ceased Looked After Children" xr:uid="{86FAFAC0-9464-4D2B-B4C3-DE872C9B7009}"/>
    <hyperlink ref="B213:C214" location="Care_Leavers!A1" display="Care Leavers" xr:uid="{010BEA34-322B-4D4F-A6C8-1A5D6CC1F249}"/>
    <hyperlink ref="B216:B218" location="Adoption!A1" display="Adoption" xr:uid="{0A151B90-FA57-47E7-B9F5-41BBF0BBA63C}"/>
    <hyperlink ref="B217:B218" location="'Looked After Children'!A1" display="Looked After Children" xr:uid="{851AA9D2-A3E1-4790-A720-33EE7C20351F}"/>
    <hyperlink ref="B217:C218" location="Offending!A1" display="Offending" xr:uid="{F1ACA705-0EFF-4681-98EB-CB13DFF41403}"/>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8" max="20" man="1"/>
    <brk id="71" max="20" man="1"/>
    <brk id="106" max="20" man="1"/>
    <brk id="142" max="20" man="1"/>
  </rowBreaks>
  <ignoredErrors>
    <ignoredError sqref="A10:A31 A112:A133 A147:A17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87041" r:id="rId4" name="Check Box 1">
              <controlPr defaultSize="0" autoFill="0" autoLine="0" autoPict="0" macro="[0]!CheckBox1_Click" altText="">
                <anchor>
                  <from>
                    <xdr:col>23</xdr:col>
                    <xdr:colOff>95250</xdr:colOff>
                    <xdr:row>39</xdr:row>
                    <xdr:rowOff>38100</xdr:rowOff>
                  </from>
                  <to>
                    <xdr:col>36</xdr:col>
                    <xdr:colOff>66675</xdr:colOff>
                    <xdr:row>41</xdr:row>
                    <xdr:rowOff>19050</xdr:rowOff>
                  </to>
                </anchor>
              </controlPr>
            </control>
          </mc:Choice>
        </mc:AlternateContent>
        <mc:AlternateContent xmlns:mc="http://schemas.openxmlformats.org/markup-compatibility/2006">
          <mc:Choice Requires="x14">
            <control shapeId="87042" r:id="rId5" name="Check Box 2">
              <controlPr defaultSize="0" autoFill="0" autoLine="0" autoPict="0" macro="[0]!CheckBox1_Click" altText="">
                <anchor>
                  <from>
                    <xdr:col>23</xdr:col>
                    <xdr:colOff>95250</xdr:colOff>
                    <xdr:row>40</xdr:row>
                    <xdr:rowOff>161925</xdr:rowOff>
                  </from>
                  <to>
                    <xdr:col>36</xdr:col>
                    <xdr:colOff>66675</xdr:colOff>
                    <xdr:row>42</xdr:row>
                    <xdr:rowOff>19050</xdr:rowOff>
                  </to>
                </anchor>
              </controlPr>
            </control>
          </mc:Choice>
        </mc:AlternateContent>
        <mc:AlternateContent xmlns:mc="http://schemas.openxmlformats.org/markup-compatibility/2006">
          <mc:Choice Requires="x14">
            <control shapeId="87043" r:id="rId6" name="Check Box 3">
              <controlPr defaultSize="0" autoFill="0" autoLine="0" autoPict="0" macro="[0]!CheckBox1_Click" altText="">
                <anchor>
                  <from>
                    <xdr:col>23</xdr:col>
                    <xdr:colOff>95250</xdr:colOff>
                    <xdr:row>41</xdr:row>
                    <xdr:rowOff>161925</xdr:rowOff>
                  </from>
                  <to>
                    <xdr:col>36</xdr:col>
                    <xdr:colOff>66675</xdr:colOff>
                    <xdr:row>43</xdr:row>
                    <xdr:rowOff>19050</xdr:rowOff>
                  </to>
                </anchor>
              </controlPr>
            </control>
          </mc:Choice>
        </mc:AlternateContent>
        <mc:AlternateContent xmlns:mc="http://schemas.openxmlformats.org/markup-compatibility/2006">
          <mc:Choice Requires="x14">
            <control shapeId="87044" r:id="rId7" name="Check Box 4">
              <controlPr defaultSize="0" autoFill="0" autoLine="0" autoPict="0" macro="[0]!CheckBox1_Click" altText="">
                <anchor>
                  <from>
                    <xdr:col>23</xdr:col>
                    <xdr:colOff>95250</xdr:colOff>
                    <xdr:row>42</xdr:row>
                    <xdr:rowOff>161925</xdr:rowOff>
                  </from>
                  <to>
                    <xdr:col>36</xdr:col>
                    <xdr:colOff>66675</xdr:colOff>
                    <xdr:row>44</xdr:row>
                    <xdr:rowOff>19050</xdr:rowOff>
                  </to>
                </anchor>
              </controlPr>
            </control>
          </mc:Choice>
        </mc:AlternateContent>
        <mc:AlternateContent xmlns:mc="http://schemas.openxmlformats.org/markup-compatibility/2006">
          <mc:Choice Requires="x14">
            <control shapeId="87045" r:id="rId8" name="Check Box 5">
              <controlPr defaultSize="0" autoFill="0" autoLine="0" autoPict="0" macro="[0]!CheckBox1_Click" altText="">
                <anchor>
                  <from>
                    <xdr:col>23</xdr:col>
                    <xdr:colOff>95250</xdr:colOff>
                    <xdr:row>43</xdr:row>
                    <xdr:rowOff>161925</xdr:rowOff>
                  </from>
                  <to>
                    <xdr:col>36</xdr:col>
                    <xdr:colOff>66675</xdr:colOff>
                    <xdr:row>45</xdr:row>
                    <xdr:rowOff>19050</xdr:rowOff>
                  </to>
                </anchor>
              </controlPr>
            </control>
          </mc:Choice>
        </mc:AlternateContent>
        <mc:AlternateContent xmlns:mc="http://schemas.openxmlformats.org/markup-compatibility/2006">
          <mc:Choice Requires="x14">
            <control shapeId="87046" r:id="rId9" name="Check Box 6">
              <controlPr defaultSize="0" autoFill="0" autoLine="0" autoPict="0" macro="[0]!CheckBox1_Click" altText="">
                <anchor>
                  <from>
                    <xdr:col>23</xdr:col>
                    <xdr:colOff>95250</xdr:colOff>
                    <xdr:row>44</xdr:row>
                    <xdr:rowOff>161925</xdr:rowOff>
                  </from>
                  <to>
                    <xdr:col>36</xdr:col>
                    <xdr:colOff>66675</xdr:colOff>
                    <xdr:row>46</xdr:row>
                    <xdr:rowOff>19050</xdr:rowOff>
                  </to>
                </anchor>
              </controlPr>
            </control>
          </mc:Choice>
        </mc:AlternateContent>
        <mc:AlternateContent xmlns:mc="http://schemas.openxmlformats.org/markup-compatibility/2006">
          <mc:Choice Requires="x14">
            <control shapeId="87047" r:id="rId10" name="Check Box 7">
              <controlPr defaultSize="0" autoFill="0" autoLine="0" autoPict="0" macro="[0]!CheckBox1_Click" altText="">
                <anchor>
                  <from>
                    <xdr:col>23</xdr:col>
                    <xdr:colOff>95250</xdr:colOff>
                    <xdr:row>45</xdr:row>
                    <xdr:rowOff>161925</xdr:rowOff>
                  </from>
                  <to>
                    <xdr:col>36</xdr:col>
                    <xdr:colOff>66675</xdr:colOff>
                    <xdr:row>47</xdr:row>
                    <xdr:rowOff>19050</xdr:rowOff>
                  </to>
                </anchor>
              </controlPr>
            </control>
          </mc:Choice>
        </mc:AlternateContent>
        <mc:AlternateContent xmlns:mc="http://schemas.openxmlformats.org/markup-compatibility/2006">
          <mc:Choice Requires="x14">
            <control shapeId="87048" r:id="rId11" name="Check Box 8">
              <controlPr defaultSize="0" autoFill="0" autoLine="0" autoPict="0" macro="[0]!CheckBox1_Click" altText="">
                <anchor>
                  <from>
                    <xdr:col>23</xdr:col>
                    <xdr:colOff>95250</xdr:colOff>
                    <xdr:row>46</xdr:row>
                    <xdr:rowOff>161925</xdr:rowOff>
                  </from>
                  <to>
                    <xdr:col>36</xdr:col>
                    <xdr:colOff>66675</xdr:colOff>
                    <xdr:row>48</xdr:row>
                    <xdr:rowOff>19050</xdr:rowOff>
                  </to>
                </anchor>
              </controlPr>
            </control>
          </mc:Choice>
        </mc:AlternateContent>
        <mc:AlternateContent xmlns:mc="http://schemas.openxmlformats.org/markup-compatibility/2006">
          <mc:Choice Requires="x14">
            <control shapeId="87049" r:id="rId12" name="Check Box 9">
              <controlPr defaultSize="0" autoFill="0" autoLine="0" autoPict="0" macro="[0]!CheckBox1_Click" altText="">
                <anchor>
                  <from>
                    <xdr:col>23</xdr:col>
                    <xdr:colOff>95250</xdr:colOff>
                    <xdr:row>47</xdr:row>
                    <xdr:rowOff>161925</xdr:rowOff>
                  </from>
                  <to>
                    <xdr:col>36</xdr:col>
                    <xdr:colOff>66675</xdr:colOff>
                    <xdr:row>49</xdr:row>
                    <xdr:rowOff>19050</xdr:rowOff>
                  </to>
                </anchor>
              </controlPr>
            </control>
          </mc:Choice>
        </mc:AlternateContent>
        <mc:AlternateContent xmlns:mc="http://schemas.openxmlformats.org/markup-compatibility/2006">
          <mc:Choice Requires="x14">
            <control shapeId="87050" r:id="rId13" name="Check Box 10">
              <controlPr defaultSize="0" autoFill="0" autoLine="0" autoPict="0" macro="[0]!CheckBox1_Click" altText="">
                <anchor>
                  <from>
                    <xdr:col>23</xdr:col>
                    <xdr:colOff>95250</xdr:colOff>
                    <xdr:row>48</xdr:row>
                    <xdr:rowOff>161925</xdr:rowOff>
                  </from>
                  <to>
                    <xdr:col>36</xdr:col>
                    <xdr:colOff>66675</xdr:colOff>
                    <xdr:row>50</xdr:row>
                    <xdr:rowOff>19050</xdr:rowOff>
                  </to>
                </anchor>
              </controlPr>
            </control>
          </mc:Choice>
        </mc:AlternateContent>
        <mc:AlternateContent xmlns:mc="http://schemas.openxmlformats.org/markup-compatibility/2006">
          <mc:Choice Requires="x14">
            <control shapeId="87051" r:id="rId14" name="Check Box 11">
              <controlPr defaultSize="0" autoFill="0" autoLine="0" autoPict="0" macro="[0]!CheckBox1_Click" altText="">
                <anchor>
                  <from>
                    <xdr:col>23</xdr:col>
                    <xdr:colOff>95250</xdr:colOff>
                    <xdr:row>49</xdr:row>
                    <xdr:rowOff>161925</xdr:rowOff>
                  </from>
                  <to>
                    <xdr:col>36</xdr:col>
                    <xdr:colOff>66675</xdr:colOff>
                    <xdr:row>51</xdr:row>
                    <xdr:rowOff>19050</xdr:rowOff>
                  </to>
                </anchor>
              </controlPr>
            </control>
          </mc:Choice>
        </mc:AlternateContent>
        <mc:AlternateContent xmlns:mc="http://schemas.openxmlformats.org/markup-compatibility/2006">
          <mc:Choice Requires="x14">
            <control shapeId="87052" r:id="rId15" name="Check Box 12">
              <controlPr defaultSize="0" autoFill="0" autoLine="0" autoPict="0" macro="[0]!CheckBox1_Click" altText="">
                <anchor>
                  <from>
                    <xdr:col>23</xdr:col>
                    <xdr:colOff>95250</xdr:colOff>
                    <xdr:row>50</xdr:row>
                    <xdr:rowOff>161925</xdr:rowOff>
                  </from>
                  <to>
                    <xdr:col>36</xdr:col>
                    <xdr:colOff>66675</xdr:colOff>
                    <xdr:row>52</xdr:row>
                    <xdr:rowOff>19050</xdr:rowOff>
                  </to>
                </anchor>
              </controlPr>
            </control>
          </mc:Choice>
        </mc:AlternateContent>
        <mc:AlternateContent xmlns:mc="http://schemas.openxmlformats.org/markup-compatibility/2006">
          <mc:Choice Requires="x14">
            <control shapeId="87053" r:id="rId16" name="Check Box 13">
              <controlPr defaultSize="0" autoFill="0" autoLine="0" autoPict="0" macro="[0]!CheckBox1_Click" altText="">
                <anchor>
                  <from>
                    <xdr:col>23</xdr:col>
                    <xdr:colOff>95250</xdr:colOff>
                    <xdr:row>51</xdr:row>
                    <xdr:rowOff>161925</xdr:rowOff>
                  </from>
                  <to>
                    <xdr:col>36</xdr:col>
                    <xdr:colOff>66675</xdr:colOff>
                    <xdr:row>53</xdr:row>
                    <xdr:rowOff>19050</xdr:rowOff>
                  </to>
                </anchor>
              </controlPr>
            </control>
          </mc:Choice>
        </mc:AlternateContent>
        <mc:AlternateContent xmlns:mc="http://schemas.openxmlformats.org/markup-compatibility/2006">
          <mc:Choice Requires="x14">
            <control shapeId="87054" r:id="rId17" name="Check Box 14">
              <controlPr defaultSize="0" autoFill="0" autoLine="0" autoPict="0" macro="[0]!CheckBox1_Click" altText="">
                <anchor>
                  <from>
                    <xdr:col>23</xdr:col>
                    <xdr:colOff>95250</xdr:colOff>
                    <xdr:row>52</xdr:row>
                    <xdr:rowOff>161925</xdr:rowOff>
                  </from>
                  <to>
                    <xdr:col>36</xdr:col>
                    <xdr:colOff>66675</xdr:colOff>
                    <xdr:row>54</xdr:row>
                    <xdr:rowOff>19050</xdr:rowOff>
                  </to>
                </anchor>
              </controlPr>
            </control>
          </mc:Choice>
        </mc:AlternateContent>
        <mc:AlternateContent xmlns:mc="http://schemas.openxmlformats.org/markup-compatibility/2006">
          <mc:Choice Requires="x14">
            <control shapeId="87055" r:id="rId18" name="Check Box 15">
              <controlPr defaultSize="0" autoFill="0" autoLine="0" autoPict="0" macro="[0]!CheckBox1_Click" altText="">
                <anchor>
                  <from>
                    <xdr:col>23</xdr:col>
                    <xdr:colOff>95250</xdr:colOff>
                    <xdr:row>53</xdr:row>
                    <xdr:rowOff>161925</xdr:rowOff>
                  </from>
                  <to>
                    <xdr:col>36</xdr:col>
                    <xdr:colOff>66675</xdr:colOff>
                    <xdr:row>55</xdr:row>
                    <xdr:rowOff>19050</xdr:rowOff>
                  </to>
                </anchor>
              </controlPr>
            </control>
          </mc:Choice>
        </mc:AlternateContent>
        <mc:AlternateContent xmlns:mc="http://schemas.openxmlformats.org/markup-compatibility/2006">
          <mc:Choice Requires="x14">
            <control shapeId="87056" r:id="rId19" name="Check Box 16">
              <controlPr defaultSize="0" autoFill="0" autoLine="0" autoPict="0" macro="[0]!CheckBox1_Click" altText="">
                <anchor>
                  <from>
                    <xdr:col>23</xdr:col>
                    <xdr:colOff>95250</xdr:colOff>
                    <xdr:row>54</xdr:row>
                    <xdr:rowOff>161925</xdr:rowOff>
                  </from>
                  <to>
                    <xdr:col>36</xdr:col>
                    <xdr:colOff>66675</xdr:colOff>
                    <xdr:row>56</xdr:row>
                    <xdr:rowOff>19050</xdr:rowOff>
                  </to>
                </anchor>
              </controlPr>
            </control>
          </mc:Choice>
        </mc:AlternateContent>
        <mc:AlternateContent xmlns:mc="http://schemas.openxmlformats.org/markup-compatibility/2006">
          <mc:Choice Requires="x14">
            <control shapeId="87057" r:id="rId20" name="Check Box 17">
              <controlPr defaultSize="0" autoFill="0" autoLine="0" autoPict="0" macro="[0]!CheckBox1_Click" altText="">
                <anchor>
                  <from>
                    <xdr:col>23</xdr:col>
                    <xdr:colOff>95250</xdr:colOff>
                    <xdr:row>57</xdr:row>
                    <xdr:rowOff>161925</xdr:rowOff>
                  </from>
                  <to>
                    <xdr:col>36</xdr:col>
                    <xdr:colOff>66675</xdr:colOff>
                    <xdr:row>59</xdr:row>
                    <xdr:rowOff>19050</xdr:rowOff>
                  </to>
                </anchor>
              </controlPr>
            </control>
          </mc:Choice>
        </mc:AlternateContent>
        <mc:AlternateContent xmlns:mc="http://schemas.openxmlformats.org/markup-compatibility/2006">
          <mc:Choice Requires="x14">
            <control shapeId="87058" r:id="rId21" name="Check Box 18">
              <controlPr defaultSize="0" autoFill="0" autoLine="0" autoPict="0" macro="[0]!CheckBox1_Click" altText="">
                <anchor>
                  <from>
                    <xdr:col>23</xdr:col>
                    <xdr:colOff>95250</xdr:colOff>
                    <xdr:row>58</xdr:row>
                    <xdr:rowOff>161925</xdr:rowOff>
                  </from>
                  <to>
                    <xdr:col>36</xdr:col>
                    <xdr:colOff>66675</xdr:colOff>
                    <xdr:row>60</xdr:row>
                    <xdr:rowOff>19050</xdr:rowOff>
                  </to>
                </anchor>
              </controlPr>
            </control>
          </mc:Choice>
        </mc:AlternateContent>
        <mc:AlternateContent xmlns:mc="http://schemas.openxmlformats.org/markup-compatibility/2006">
          <mc:Choice Requires="x14">
            <control shapeId="87059" r:id="rId22" name="Check Box 19">
              <controlPr defaultSize="0" autoFill="0" autoLine="0" autoPict="0" macro="[0]!CheckBox1_Click" altText="">
                <anchor>
                  <from>
                    <xdr:col>23</xdr:col>
                    <xdr:colOff>95250</xdr:colOff>
                    <xdr:row>59</xdr:row>
                    <xdr:rowOff>161925</xdr:rowOff>
                  </from>
                  <to>
                    <xdr:col>36</xdr:col>
                    <xdr:colOff>66675</xdr:colOff>
                    <xdr:row>61</xdr:row>
                    <xdr:rowOff>19050</xdr:rowOff>
                  </to>
                </anchor>
              </controlPr>
            </control>
          </mc:Choice>
        </mc:AlternateContent>
        <mc:AlternateContent xmlns:mc="http://schemas.openxmlformats.org/markup-compatibility/2006">
          <mc:Choice Requires="x14">
            <control shapeId="87060" r:id="rId23" name="Check Box 20">
              <controlPr defaultSize="0" autoFill="0" autoLine="0" autoPict="0" macro="[0]!CheckBox1_Click" altText="">
                <anchor>
                  <from>
                    <xdr:col>23</xdr:col>
                    <xdr:colOff>95250</xdr:colOff>
                    <xdr:row>60</xdr:row>
                    <xdr:rowOff>161925</xdr:rowOff>
                  </from>
                  <to>
                    <xdr:col>36</xdr:col>
                    <xdr:colOff>66675</xdr:colOff>
                    <xdr:row>62</xdr:row>
                    <xdr:rowOff>19050</xdr:rowOff>
                  </to>
                </anchor>
              </controlPr>
            </control>
          </mc:Choice>
        </mc:AlternateContent>
        <mc:AlternateContent xmlns:mc="http://schemas.openxmlformats.org/markup-compatibility/2006">
          <mc:Choice Requires="x14">
            <control shapeId="87061" r:id="rId24" name="Check Box 21">
              <controlPr defaultSize="0" autoFill="0" autoLine="0" autoPict="0" macro="[0]!CheckBox1_Click" altText="">
                <anchor>
                  <from>
                    <xdr:col>23</xdr:col>
                    <xdr:colOff>95250</xdr:colOff>
                    <xdr:row>61</xdr:row>
                    <xdr:rowOff>161925</xdr:rowOff>
                  </from>
                  <to>
                    <xdr:col>36</xdr:col>
                    <xdr:colOff>66675</xdr:colOff>
                    <xdr:row>63</xdr:row>
                    <xdr:rowOff>19050</xdr:rowOff>
                  </to>
                </anchor>
              </controlPr>
            </control>
          </mc:Choice>
        </mc:AlternateContent>
        <mc:AlternateContent xmlns:mc="http://schemas.openxmlformats.org/markup-compatibility/2006">
          <mc:Choice Requires="x14">
            <control shapeId="87062" r:id="rId25" name="Check Box 22">
              <controlPr defaultSize="0" autoFill="0" autoLine="0" autoPict="0" macro="[0]!CheckBox1_Click" altText="">
                <anchor>
                  <from>
                    <xdr:col>23</xdr:col>
                    <xdr:colOff>95250</xdr:colOff>
                    <xdr:row>55</xdr:row>
                    <xdr:rowOff>161925</xdr:rowOff>
                  </from>
                  <to>
                    <xdr:col>36</xdr:col>
                    <xdr:colOff>66675</xdr:colOff>
                    <xdr:row>57</xdr:row>
                    <xdr:rowOff>19050</xdr:rowOff>
                  </to>
                </anchor>
              </controlPr>
            </control>
          </mc:Choice>
        </mc:AlternateContent>
        <mc:AlternateContent xmlns:mc="http://schemas.openxmlformats.org/markup-compatibility/2006">
          <mc:Choice Requires="x14">
            <control shapeId="87063" r:id="rId26" name="Check Box 23">
              <controlPr defaultSize="0" autoFill="0" autoLine="0" autoPict="0" macro="[0]!CheckBox1_Click" altText="">
                <anchor>
                  <from>
                    <xdr:col>23</xdr:col>
                    <xdr:colOff>95250</xdr:colOff>
                    <xdr:row>56</xdr:row>
                    <xdr:rowOff>161925</xdr:rowOff>
                  </from>
                  <to>
                    <xdr:col>36</xdr:col>
                    <xdr:colOff>66675</xdr:colOff>
                    <xdr:row>58</xdr:row>
                    <xdr:rowOff>19050</xdr:rowOff>
                  </to>
                </anchor>
              </controlPr>
            </control>
          </mc:Choice>
        </mc:AlternateContent>
        <mc:AlternateContent xmlns:mc="http://schemas.openxmlformats.org/markup-compatibility/2006">
          <mc:Choice Requires="x14">
            <control shapeId="87064" r:id="rId27" name="Check Box 24">
              <controlPr defaultSize="0" autoFill="0" autoLine="0" autoPict="0" macro="[0]!CheckBox1_Click" altText="">
                <anchor>
                  <from>
                    <xdr:col>23</xdr:col>
                    <xdr:colOff>95250</xdr:colOff>
                    <xdr:row>62</xdr:row>
                    <xdr:rowOff>161925</xdr:rowOff>
                  </from>
                  <to>
                    <xdr:col>36</xdr:col>
                    <xdr:colOff>66675</xdr:colOff>
                    <xdr:row>64</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C9F9637-D530-4B01-9362-B2D66A9D2E91}">
            <x14:dataBar minLength="0" maxLength="100" gradient="0" negativeBarColorSameAsPositive="1">
              <x14:cfvo type="autoMin"/>
              <x14:cfvo type="autoMax"/>
              <x14:axisColor rgb="FF000000"/>
            </x14:dataBar>
          </x14:cfRule>
          <xm:sqref>P10:P33</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tabColor rgb="FFFFC000"/>
  </sheetPr>
  <dimension ref="A1:BN274"/>
  <sheetViews>
    <sheetView showRowColHeaders="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8" width="6.85546875" style="74" customWidth="1"/>
    <col min="9" max="9" width="7.42578125" style="74" customWidth="1"/>
    <col min="10" max="10" width="1.42578125" style="88" customWidth="1"/>
    <col min="11" max="15" width="6.85546875" style="74" customWidth="1"/>
    <col min="16" max="16" width="7.140625" style="74" customWidth="1"/>
    <col min="17" max="17" width="7.42578125" style="74" customWidth="1"/>
    <col min="18" max="18" width="1.42578125" style="74" customWidth="1"/>
    <col min="19" max="19" width="5.7109375" style="74" customWidth="1"/>
    <col min="20" max="20" width="8.28515625" style="74" customWidth="1"/>
    <col min="21" max="21" width="7.7109375" style="74" customWidth="1"/>
    <col min="22" max="22" width="2.140625" style="74" customWidth="1"/>
    <col min="23" max="23" width="6.42578125" style="80" customWidth="1"/>
    <col min="24" max="24" width="4.85546875" style="80" customWidth="1"/>
    <col min="25" max="25" width="17.85546875" style="81" hidden="1" customWidth="1"/>
    <col min="26" max="26" width="19.42578125" style="81" hidden="1" customWidth="1"/>
    <col min="27" max="27" width="11" style="81" hidden="1" customWidth="1"/>
    <col min="28" max="29" width="16.5703125" style="81" hidden="1" customWidth="1"/>
    <col min="30" max="31" width="8.5703125" style="81" hidden="1" customWidth="1"/>
    <col min="32" max="32" width="7" style="81" hidden="1" customWidth="1"/>
    <col min="33" max="33" width="17" style="81" hidden="1" customWidth="1"/>
    <col min="34" max="34" width="5.5703125" style="81" hidden="1" customWidth="1"/>
    <col min="35" max="35" width="4.85546875" style="81" hidden="1" customWidth="1"/>
    <col min="36" max="36" width="5.5703125" style="74" hidden="1" customWidth="1"/>
    <col min="37" max="37" width="31.5703125" style="74" customWidth="1"/>
    <col min="38" max="38" width="17" style="74" hidden="1" customWidth="1"/>
    <col min="39" max="43" width="13.5703125" style="74" hidden="1" customWidth="1"/>
    <col min="44" max="46" width="9.140625" style="74" hidden="1" customWidth="1"/>
    <col min="47" max="53" width="9.140625" style="74" customWidth="1"/>
    <col min="54" max="16384" width="9.140625" style="74"/>
  </cols>
  <sheetData>
    <row r="1" spans="1:50" ht="18.75" customHeight="1" thickBot="1" x14ac:dyDescent="0.25">
      <c r="A1" s="112"/>
      <c r="B1" s="113"/>
      <c r="C1" s="113"/>
      <c r="D1" s="113"/>
      <c r="E1" s="113"/>
      <c r="F1" s="113"/>
      <c r="G1" s="113"/>
      <c r="H1" s="113"/>
      <c r="I1" s="113"/>
      <c r="J1" s="114"/>
      <c r="K1" s="113"/>
      <c r="L1" s="113"/>
      <c r="M1" s="113"/>
      <c r="N1" s="113"/>
      <c r="O1" s="113"/>
      <c r="P1" s="113"/>
      <c r="Q1" s="113"/>
      <c r="R1" s="113"/>
      <c r="S1" s="113"/>
      <c r="T1" s="113"/>
      <c r="U1" s="113"/>
      <c r="V1" s="115"/>
      <c r="W1" s="275"/>
      <c r="X1" s="155"/>
      <c r="Y1" s="180"/>
      <c r="Z1" s="939" t="str">
        <f>IF(Sheet1!$C$3="Annual"," at 31st March"," at last day in quarter")</f>
        <v xml:space="preserve"> at 31st March</v>
      </c>
      <c r="AA1" s="180"/>
      <c r="AB1" s="180"/>
      <c r="AC1" s="180"/>
      <c r="AD1" s="180"/>
      <c r="AE1" s="180"/>
      <c r="AF1" s="180"/>
      <c r="AG1" s="180"/>
      <c r="AH1" s="180"/>
      <c r="AI1" s="180"/>
      <c r="AJ1" s="181"/>
      <c r="AK1" s="156"/>
    </row>
    <row r="2" spans="1:50" ht="18.75" customHeight="1" x14ac:dyDescent="0.2">
      <c r="A2" s="118"/>
      <c r="B2" s="128" t="s">
        <v>25</v>
      </c>
      <c r="C2" s="9"/>
      <c r="D2" s="9"/>
      <c r="E2" s="9"/>
      <c r="F2" s="9"/>
      <c r="G2" s="9"/>
      <c r="H2" s="9"/>
      <c r="I2" s="9"/>
      <c r="J2" s="12"/>
      <c r="K2" s="9"/>
      <c r="L2" s="9"/>
      <c r="M2" s="9"/>
      <c r="N2" s="9"/>
      <c r="O2" s="9"/>
      <c r="P2" s="9"/>
      <c r="Q2" s="9"/>
      <c r="R2" s="9"/>
      <c r="S2" s="9"/>
      <c r="T2" s="9"/>
      <c r="U2" s="9"/>
      <c r="V2" s="117"/>
      <c r="W2" s="161"/>
      <c r="X2" s="150"/>
      <c r="Y2" s="1020">
        <v>1</v>
      </c>
      <c r="Z2" s="800" t="str">
        <f>IF(Sheet1!$C$3="Annual","",Sheet1!$D$28)</f>
        <v/>
      </c>
      <c r="AA2" s="801" t="str">
        <f>IF(Sheet1!$C$3="Annual","",Sheet1!$E$28)</f>
        <v/>
      </c>
      <c r="AB2" s="801" t="str">
        <f>IF(Sheet1!$C$3="Annual","",Sheet1!$F$28)</f>
        <v/>
      </c>
      <c r="AC2" s="801" t="str">
        <f>IF(Sheet1!$C$3="Annual","",Sheet1!$G$28)</f>
        <v/>
      </c>
      <c r="AD2" s="802" t="str">
        <f>IF(Sheet1!$C$3="Annual","",Sheet1!$H$28)</f>
        <v/>
      </c>
      <c r="AJ2" s="184"/>
      <c r="AK2" s="157"/>
    </row>
    <row r="3" spans="1:50" ht="18.75" customHeight="1" thickBot="1" x14ac:dyDescent="0.25">
      <c r="A3" s="124"/>
      <c r="B3" s="125"/>
      <c r="C3" s="125"/>
      <c r="D3" s="125"/>
      <c r="E3" s="125"/>
      <c r="F3" s="125"/>
      <c r="G3" s="125"/>
      <c r="H3" s="125"/>
      <c r="I3" s="267"/>
      <c r="J3" s="126"/>
      <c r="K3" s="125"/>
      <c r="L3" s="125"/>
      <c r="M3" s="125"/>
      <c r="N3" s="125"/>
      <c r="O3" s="125"/>
      <c r="P3" s="553"/>
      <c r="Q3" s="125"/>
      <c r="R3" s="125"/>
      <c r="S3" s="125"/>
      <c r="T3" s="267"/>
      <c r="U3" s="125"/>
      <c r="V3" s="127"/>
      <c r="W3" s="161"/>
      <c r="X3" s="150"/>
      <c r="Y3" s="803"/>
      <c r="Z3" s="803" t="str">
        <f>Sheet1!$D$27</f>
        <v>2015-16</v>
      </c>
      <c r="AA3" s="804" t="str">
        <f>Sheet1!$E$27</f>
        <v>2016-17</v>
      </c>
      <c r="AB3" s="804" t="str">
        <f>Sheet1!$F$27</f>
        <v>2017-18</v>
      </c>
      <c r="AC3" s="804" t="str">
        <f>Sheet1!$G$27</f>
        <v>2018-19</v>
      </c>
      <c r="AD3" s="805" t="str">
        <f>Sheet1!$H$27</f>
        <v>2019-20</v>
      </c>
      <c r="AJ3" s="184"/>
      <c r="AK3" s="157"/>
      <c r="AR3" s="184"/>
      <c r="AS3" s="184"/>
      <c r="AT3" s="184"/>
      <c r="AU3" s="184"/>
      <c r="AV3" s="184"/>
      <c r="AW3" s="184"/>
      <c r="AX3" s="184"/>
    </row>
    <row r="4" spans="1:50" ht="11.25" customHeight="1" x14ac:dyDescent="0.2">
      <c r="A4" s="112"/>
      <c r="B4" s="113"/>
      <c r="C4" s="113"/>
      <c r="D4" s="113"/>
      <c r="E4" s="113"/>
      <c r="F4" s="113"/>
      <c r="G4" s="113"/>
      <c r="H4" s="113"/>
      <c r="I4" s="113"/>
      <c r="J4" s="114"/>
      <c r="K4" s="113"/>
      <c r="L4" s="113"/>
      <c r="M4" s="113"/>
      <c r="N4" s="113"/>
      <c r="O4" s="113"/>
      <c r="P4" s="113"/>
      <c r="Q4" s="113"/>
      <c r="R4" s="113"/>
      <c r="S4" s="113"/>
      <c r="T4" s="113"/>
      <c r="U4" s="113"/>
      <c r="V4" s="115"/>
      <c r="W4" s="137"/>
      <c r="X4" s="150"/>
      <c r="Y4" s="186"/>
      <c r="Z4" s="186" t="str">
        <f>Home!$D$10</f>
        <v>(none)</v>
      </c>
      <c r="AA4" s="42" t="str">
        <f>"Selected LA- "&amp;Z4</f>
        <v>Selected LA- (none)</v>
      </c>
      <c r="AJ4" s="184"/>
      <c r="AK4" s="157"/>
      <c r="AR4" s="184"/>
      <c r="AS4" s="184"/>
      <c r="AT4" s="184"/>
      <c r="AU4" s="184"/>
      <c r="AV4" s="184"/>
      <c r="AW4" s="184"/>
      <c r="AX4" s="184"/>
    </row>
    <row r="5" spans="1:50" s="76" customFormat="1" ht="15" customHeight="1" x14ac:dyDescent="0.2">
      <c r="A5" s="119"/>
      <c r="B5" s="1808" t="str">
        <f>"Children in Need in"&amp;Z1</f>
        <v>Children in Need in at 31st March</v>
      </c>
      <c r="C5" s="1642"/>
      <c r="D5" s="1642"/>
      <c r="E5" s="1642"/>
      <c r="F5" s="1642"/>
      <c r="G5" s="1642"/>
      <c r="H5" s="1642"/>
      <c r="I5" s="1642"/>
      <c r="J5" s="1642"/>
      <c r="K5" s="1642"/>
      <c r="L5" s="1642"/>
      <c r="M5" s="1642"/>
      <c r="N5" s="1642"/>
      <c r="O5" s="70"/>
      <c r="P5" s="70"/>
      <c r="Q5" s="70"/>
      <c r="R5" s="70"/>
      <c r="S5" s="70"/>
      <c r="T5" s="70"/>
      <c r="U5" s="70"/>
      <c r="V5" s="120"/>
      <c r="W5" s="138"/>
      <c r="X5" s="151"/>
      <c r="Y5" s="188"/>
      <c r="Z5" s="188"/>
      <c r="AA5" s="188"/>
      <c r="AB5" s="188"/>
      <c r="AC5" s="188"/>
      <c r="AD5" s="188"/>
      <c r="AE5" s="188"/>
      <c r="AF5" s="188"/>
      <c r="AG5" s="188"/>
      <c r="AH5" s="188"/>
      <c r="AI5" s="188"/>
      <c r="AJ5" s="188"/>
      <c r="AK5" s="158"/>
      <c r="AL5" s="188" t="str">
        <f>CONCATENATE($I$7,"in Number of "&amp;$B2)</f>
        <v>Average Annual Change in Number of Children in Need</v>
      </c>
      <c r="AR5" s="1021"/>
      <c r="AS5" s="188"/>
      <c r="AT5" s="188"/>
      <c r="AU5" s="188"/>
      <c r="AV5" s="188"/>
      <c r="AW5" s="188"/>
      <c r="AX5" s="188"/>
    </row>
    <row r="6" spans="1:50" ht="13.5" customHeight="1" x14ac:dyDescent="0.2">
      <c r="A6" s="118"/>
      <c r="B6" s="1642"/>
      <c r="C6" s="1642"/>
      <c r="D6" s="1642"/>
      <c r="E6" s="1642"/>
      <c r="F6" s="1642"/>
      <c r="G6" s="1642"/>
      <c r="H6" s="1642"/>
      <c r="I6" s="1642"/>
      <c r="J6" s="1642"/>
      <c r="K6" s="1642"/>
      <c r="L6" s="1642"/>
      <c r="M6" s="1642"/>
      <c r="N6" s="1642"/>
      <c r="O6" s="70"/>
      <c r="P6" s="70"/>
      <c r="Q6" s="70"/>
      <c r="R6" s="70"/>
      <c r="S6" s="70"/>
      <c r="T6" s="70"/>
      <c r="U6" s="70"/>
      <c r="V6" s="117"/>
      <c r="W6" s="137"/>
      <c r="X6" s="150"/>
      <c r="Z6" s="190"/>
      <c r="AJ6" s="184"/>
      <c r="AK6" s="157"/>
      <c r="AR6" s="184"/>
      <c r="AS6" s="184"/>
      <c r="AT6" s="184"/>
      <c r="AU6" s="184"/>
      <c r="AV6" s="184"/>
      <c r="AW6" s="184"/>
      <c r="AX6" s="184"/>
    </row>
    <row r="7" spans="1:50" ht="12.75" customHeight="1" x14ac:dyDescent="0.2">
      <c r="A7" s="278"/>
      <c r="B7" s="1789" t="s">
        <v>205</v>
      </c>
      <c r="C7" s="85"/>
      <c r="D7" s="1851" t="s">
        <v>88</v>
      </c>
      <c r="E7" s="1911"/>
      <c r="F7" s="1911"/>
      <c r="G7" s="1911"/>
      <c r="H7" s="1912"/>
      <c r="I7" s="1811" t="str">
        <f>"Average "&amp;Sheet1!C3&amp;" Change "</f>
        <v xml:space="preserve">Average Annual Change </v>
      </c>
      <c r="J7" s="96"/>
      <c r="K7" s="1913" t="s">
        <v>89</v>
      </c>
      <c r="L7" s="1914"/>
      <c r="M7" s="1914"/>
      <c r="N7" s="1914"/>
      <c r="O7" s="1914"/>
      <c r="P7" s="1915"/>
      <c r="Q7" s="1753" t="str">
        <f>IF(ISNA(O9),"SE Rank "&amp;O8,"SE Rank "&amp;O9)</f>
        <v>SE Rank 2019-20</v>
      </c>
      <c r="R7" s="70"/>
      <c r="S7" s="1817" t="str">
        <f>"Distance from Expected "&amp;Sheet1!$B$8</f>
        <v>Distance from Expected 2020</v>
      </c>
      <c r="T7" s="1818"/>
      <c r="U7" s="1819"/>
      <c r="V7" s="117"/>
      <c r="W7" s="137"/>
      <c r="X7" s="150"/>
      <c r="Z7" s="190"/>
      <c r="AB7" s="203" t="s">
        <v>79</v>
      </c>
      <c r="AC7" s="190"/>
      <c r="AD7" s="190"/>
      <c r="AE7" s="199"/>
      <c r="AF7" s="199"/>
      <c r="AJ7" s="184"/>
      <c r="AK7" s="157"/>
      <c r="AL7" s="575"/>
      <c r="AM7" s="575"/>
      <c r="AN7" s="575"/>
      <c r="AO7" s="575"/>
      <c r="AP7" s="575"/>
      <c r="AR7" s="202"/>
      <c r="AS7" s="202"/>
      <c r="AT7" s="202"/>
      <c r="AU7" s="202"/>
      <c r="AV7" s="202"/>
      <c r="AW7" s="202"/>
      <c r="AX7" s="202"/>
    </row>
    <row r="8" spans="1:50" s="87" customFormat="1" ht="12.75" customHeight="1" x14ac:dyDescent="0.2">
      <c r="A8" s="121"/>
      <c r="B8" s="1789"/>
      <c r="C8" s="85"/>
      <c r="D8" s="789" t="str">
        <f>Sheet1!$D$27</f>
        <v>2015-16</v>
      </c>
      <c r="E8" s="790" t="str">
        <f>Sheet1!$E$27</f>
        <v>2016-17</v>
      </c>
      <c r="F8" s="790" t="str">
        <f>Sheet1!$F$27</f>
        <v>2017-18</v>
      </c>
      <c r="G8" s="790" t="str">
        <f>Sheet1!$G$27</f>
        <v>2018-19</v>
      </c>
      <c r="H8" s="791" t="str">
        <f>Sheet1!$H$27</f>
        <v>2019-20</v>
      </c>
      <c r="I8" s="1812"/>
      <c r="J8" s="96"/>
      <c r="K8" s="820" t="str">
        <f>Sheet1!$D$27</f>
        <v>2015-16</v>
      </c>
      <c r="L8" s="821" t="str">
        <f>Sheet1!$E$27</f>
        <v>2016-17</v>
      </c>
      <c r="M8" s="821" t="str">
        <f>Sheet1!$F$27</f>
        <v>2017-18</v>
      </c>
      <c r="N8" s="821" t="str">
        <f>Sheet1!$G$27</f>
        <v>2018-19</v>
      </c>
      <c r="O8" s="1741" t="str">
        <f>Sheet1!$H$27</f>
        <v>2019-20</v>
      </c>
      <c r="P8" s="1780"/>
      <c r="Q8" s="1755"/>
      <c r="R8" s="70"/>
      <c r="S8" s="1820"/>
      <c r="T8" s="1821"/>
      <c r="U8" s="1822"/>
      <c r="V8" s="122"/>
      <c r="W8" s="139"/>
      <c r="X8" s="152"/>
      <c r="Y8" s="202"/>
      <c r="Z8" s="1735" t="s">
        <v>76</v>
      </c>
      <c r="AA8" s="1735" t="s">
        <v>77</v>
      </c>
      <c r="AB8" s="758" t="str">
        <f>Sheet1!$D$27</f>
        <v>2015-16</v>
      </c>
      <c r="AC8" s="758" t="str">
        <f>Sheet1!$E$27</f>
        <v>2016-17</v>
      </c>
      <c r="AD8" s="758" t="str">
        <f>Sheet1!$F$27</f>
        <v>2017-18</v>
      </c>
      <c r="AE8" s="758" t="str">
        <f>Sheet1!$G$27</f>
        <v>2018-19</v>
      </c>
      <c r="AF8" s="758" t="str">
        <f>Sheet1!$H$27</f>
        <v>2019-20</v>
      </c>
      <c r="AG8" s="204" t="s">
        <v>94</v>
      </c>
      <c r="AH8" s="190"/>
      <c r="AI8" s="190"/>
      <c r="AJ8" s="202"/>
      <c r="AK8" s="160"/>
      <c r="AL8" s="908"/>
      <c r="AM8" s="908"/>
      <c r="AN8" s="908"/>
      <c r="AO8" s="908"/>
      <c r="AP8" s="908"/>
      <c r="AR8" s="202"/>
      <c r="AS8" s="202"/>
      <c r="AT8" s="202"/>
      <c r="AU8" s="202"/>
      <c r="AV8" s="202"/>
      <c r="AW8" s="202"/>
      <c r="AX8" s="202"/>
    </row>
    <row r="9" spans="1:50" s="87" customFormat="1" ht="12.75" customHeight="1" x14ac:dyDescent="0.2">
      <c r="A9" s="121"/>
      <c r="B9" s="1910"/>
      <c r="C9" s="85"/>
      <c r="D9" s="792" t="e">
        <f>Sheet1!$D$28</f>
        <v>#N/A</v>
      </c>
      <c r="E9" s="792" t="e">
        <f>Sheet1!$E$28</f>
        <v>#N/A</v>
      </c>
      <c r="F9" s="792" t="e">
        <f>Sheet1!$F$28</f>
        <v>#N/A</v>
      </c>
      <c r="G9" s="792" t="e">
        <f>Sheet1!$G$28</f>
        <v>#N/A</v>
      </c>
      <c r="H9" s="793" t="e">
        <f>Sheet1!$H$28</f>
        <v>#N/A</v>
      </c>
      <c r="I9" s="1813"/>
      <c r="J9" s="96"/>
      <c r="K9" s="792" t="e">
        <f>Sheet1!$D$28</f>
        <v>#N/A</v>
      </c>
      <c r="L9" s="792" t="e">
        <f>Sheet1!$E$28</f>
        <v>#N/A</v>
      </c>
      <c r="M9" s="792" t="e">
        <f>Sheet1!$F$28</f>
        <v>#N/A</v>
      </c>
      <c r="N9" s="792" t="e">
        <f>Sheet1!$G$28</f>
        <v>#N/A</v>
      </c>
      <c r="O9" s="1739" t="e">
        <f>Sheet1!$H$28</f>
        <v>#N/A</v>
      </c>
      <c r="P9" s="1781"/>
      <c r="Q9" s="1756"/>
      <c r="R9" s="70"/>
      <c r="S9" s="904" t="s">
        <v>78</v>
      </c>
      <c r="T9" s="856" t="s">
        <v>128</v>
      </c>
      <c r="U9" s="857" t="s">
        <v>129</v>
      </c>
      <c r="V9" s="122"/>
      <c r="W9" s="139"/>
      <c r="X9" s="152"/>
      <c r="Y9" s="202"/>
      <c r="Z9" s="1736"/>
      <c r="AA9" s="1736"/>
      <c r="AB9" s="758" t="e">
        <f>Sheet1!$D$28</f>
        <v>#N/A</v>
      </c>
      <c r="AC9" s="758" t="e">
        <f>Sheet1!$E$28</f>
        <v>#N/A</v>
      </c>
      <c r="AD9" s="758" t="e">
        <f>Sheet1!$F$28</f>
        <v>#N/A</v>
      </c>
      <c r="AE9" s="758" t="e">
        <f>Sheet1!$G$28</f>
        <v>#N/A</v>
      </c>
      <c r="AF9" s="758" t="e">
        <f>Sheet1!$H$28</f>
        <v>#N/A</v>
      </c>
      <c r="AG9" s="190"/>
      <c r="AH9" s="190">
        <f>COLUMNS($B$4:O$4)</f>
        <v>14</v>
      </c>
      <c r="AI9" s="190"/>
      <c r="AJ9" s="202"/>
      <c r="AK9" s="160"/>
      <c r="AL9" s="911" t="s">
        <v>676</v>
      </c>
      <c r="AM9" s="911" t="s">
        <v>677</v>
      </c>
      <c r="AN9" s="911" t="s">
        <v>678</v>
      </c>
      <c r="AO9" s="911" t="s">
        <v>679</v>
      </c>
      <c r="AP9" s="911" t="s">
        <v>680</v>
      </c>
      <c r="AR9" s="1022"/>
      <c r="AS9" s="1022"/>
      <c r="AT9" s="1022"/>
      <c r="AU9" s="1022"/>
      <c r="AV9" s="1023"/>
      <c r="AW9" s="1023"/>
      <c r="AX9" s="1023"/>
    </row>
    <row r="10" spans="1:50" s="87" customFormat="1" ht="13.5" customHeight="1" x14ac:dyDescent="0.2">
      <c r="A10" s="488">
        <f>VLOOKUP(B10,Sheet1!$AQ$4:$AR$25,2,FALSE)</f>
        <v>0</v>
      </c>
      <c r="B10" s="93" t="str">
        <f>Sheet1!$K$4</f>
        <v>Bracknell Forest</v>
      </c>
      <c r="C10" s="85"/>
      <c r="D10" s="94">
        <f>IF(Year1_Bracknell_Forest Year1_CIN="","",Year1_Bracknell_Forest Year1_CIN)</f>
        <v>839</v>
      </c>
      <c r="E10" s="94">
        <f>IF(Year2_Bracknell_Forest Year2_CIN="","",Year2_Bracknell_Forest Year2_CIN)</f>
        <v>981</v>
      </c>
      <c r="F10" s="94">
        <f>IF(Year3_Bracknell_Forest Year3_CIN="","",Year3_Bracknell_Forest Year3_CIN)</f>
        <v>993</v>
      </c>
      <c r="G10" s="94">
        <f>IF(Year4_Bracknell_Forest Year4_CIN="","",Year4_Bracknell_Forest Year4_CIN)</f>
        <v>1043</v>
      </c>
      <c r="H10" s="95">
        <f>IF(Year5_Bracknell_Forest Year5_CIN="","",Year5_Bracknell_Forest Year5_CIN)</f>
        <v>879</v>
      </c>
      <c r="I10" s="344">
        <f>AP10</f>
        <v>1.8648813707939887E-2</v>
      </c>
      <c r="J10" s="96"/>
      <c r="K10" s="97">
        <f>IF(ISNUMBER(D10),D10/Population!D10*10000,NA())</f>
        <v>297.51773049645391</v>
      </c>
      <c r="L10" s="97">
        <f>IF(ISNUMBER(E10),E10/Population!E10*10000,NA())</f>
        <v>347.87234042553189</v>
      </c>
      <c r="M10" s="97">
        <f>IF(ISNUMBER(F10),F10/Population!F10*10000,NA())</f>
        <v>353.38078291814946</v>
      </c>
      <c r="N10" s="97">
        <f>IF(ISNUMBER(G10),G10/Population!G10*10000,NA())</f>
        <v>368.55123674911658</v>
      </c>
      <c r="O10" s="929">
        <f>IF(ISNUMBER(H10),H10/Population!H10*10000,NA())</f>
        <v>309.50704225352109</v>
      </c>
      <c r="P10" s="99">
        <f>IF(ISNUMBER(O10),O10,"")</f>
        <v>309.50704225352109</v>
      </c>
      <c r="Q10" s="933">
        <f>IF(ISNA(VLOOKUP(B10,$AG$10:$AI$28,3,FALSE)),"--",IF(ISNUMBER(H10),VLOOKUP(B10,$AG$10:$AI$28,3,FALSE),NA()))</f>
        <v>9</v>
      </c>
      <c r="R10" s="70"/>
      <c r="S10" s="340">
        <f>IDACI!C9</f>
        <v>8.9</v>
      </c>
      <c r="T10" s="341">
        <f t="shared" ref="T10:T33" si="0">(S10*$Z$44)+$AA$44</f>
        <v>263.74917787327172</v>
      </c>
      <c r="U10" s="342">
        <f>O10-T10</f>
        <v>45.757864380249373</v>
      </c>
      <c r="V10" s="122"/>
      <c r="W10" s="139"/>
      <c r="X10" s="152"/>
      <c r="Y10" s="72" t="str">
        <f t="shared" ref="Y10:Y33" si="1">B10</f>
        <v>Bracknell Forest</v>
      </c>
      <c r="Z10" s="44">
        <f>IF(ISNUMBER($H10),IDACI!D9,0)</f>
        <v>24849</v>
      </c>
      <c r="AA10" s="44">
        <f>IF(ISNUMBER($H10),IDACI!E9,0)</f>
        <v>2211.5610000000001</v>
      </c>
      <c r="AB10" s="205">
        <f>IF(ISNUMBER(D10),Population!D10,"")</f>
        <v>28200</v>
      </c>
      <c r="AC10" s="205">
        <f>IF(ISNUMBER(E10),Population!E10,"")</f>
        <v>28200</v>
      </c>
      <c r="AD10" s="205">
        <f>IF(ISNUMBER(F10),Population!F10,"")</f>
        <v>28100</v>
      </c>
      <c r="AE10" s="205">
        <f>IF(ISNUMBER(G10),Population!G10,"")</f>
        <v>28300</v>
      </c>
      <c r="AF10" s="205">
        <f>IF(ISNUMBER(H10),Population!H10,"")</f>
        <v>28400</v>
      </c>
      <c r="AG10" s="93" t="str">
        <f>B10</f>
        <v>Bracknell Forest</v>
      </c>
      <c r="AH10" s="231">
        <f>IFERROR(VLOOKUP(AG10,$B$10:$O$31,$AH$9,FALSE),"")</f>
        <v>309.50704225352109</v>
      </c>
      <c r="AI10" s="206">
        <f>RANK(AH10,$AH$10:$AH$28,1)</f>
        <v>9</v>
      </c>
      <c r="AJ10" s="202"/>
      <c r="AK10" s="160"/>
      <c r="AL10" s="853">
        <f>IF(ISERROR((E10-D10)/D10),"x",(E10-D10)/D10)</f>
        <v>0.16924910607866508</v>
      </c>
      <c r="AM10" s="853">
        <f>IF(ISERROR((F10-E10)/E10),"x",(F10-E10)/E10)</f>
        <v>1.2232415902140673E-2</v>
      </c>
      <c r="AN10" s="853">
        <f>IF(ISERROR((G10-F10)/F10),"x",(G10-F10)/F10)</f>
        <v>5.0352467270896276E-2</v>
      </c>
      <c r="AO10" s="853">
        <f>IF(ISERROR((H10-G10)/G10),"x",(H10-G10)/G10)</f>
        <v>-0.15723873441994246</v>
      </c>
      <c r="AP10" s="853">
        <f>AVERAGE(AL10:AO10)</f>
        <v>1.8648813707939887E-2</v>
      </c>
      <c r="AR10" s="1024"/>
      <c r="AS10" s="1024"/>
      <c r="AT10" s="1024"/>
      <c r="AU10" s="1024"/>
      <c r="AV10" s="1024"/>
      <c r="AW10" s="202"/>
      <c r="AX10" s="1024"/>
    </row>
    <row r="11" spans="1:50" s="87" customFormat="1" ht="13.5" customHeight="1" x14ac:dyDescent="0.2">
      <c r="A11" s="488">
        <f>VLOOKUP(B11,Sheet1!$AQ$4:$AR$25,2,FALSE)</f>
        <v>0</v>
      </c>
      <c r="B11" s="93" t="str">
        <f>Sheet1!$K$5</f>
        <v>Brighton &amp; Hove</v>
      </c>
      <c r="C11" s="85"/>
      <c r="D11" s="94">
        <f>IF(Year1_Brighton_Hove Year1_CIN="","",Year1_Brighton_Hove Year1_CIN)</f>
        <v>2347</v>
      </c>
      <c r="E11" s="94">
        <f>IF(Year2_Brighton_Hove Year2_CIN="","",Year2_Brighton_Hove Year2_CIN)</f>
        <v>2166</v>
      </c>
      <c r="F11" s="94">
        <f>IF(Year3_Brighton_Hove Year3_CIN="","",Year3_Brighton_Hove Year3_CIN)</f>
        <v>2175</v>
      </c>
      <c r="G11" s="94">
        <f>IF(Year4_Brighton_Hove Year4_CIN="","",Year4_Brighton_Hove Year4_CIN)</f>
        <v>2039</v>
      </c>
      <c r="H11" s="95">
        <f>IF(Year5_Brighton_Hove Year5_CIN="","",Year5_Brighton_Hove Year5_CIN)</f>
        <v>1815</v>
      </c>
      <c r="I11" s="344">
        <f t="shared" ref="I11:I33" si="2">AP11</f>
        <v>-6.1337777927062014E-2</v>
      </c>
      <c r="J11" s="96"/>
      <c r="K11" s="97">
        <f>IF(ISNUMBER(D11),D11/Population!D11*10000,NA())</f>
        <v>458.3984375</v>
      </c>
      <c r="L11" s="97">
        <f>IF(ISNUMBER(E11),E11/Population!E11*10000,NA())</f>
        <v>422.22222222222223</v>
      </c>
      <c r="M11" s="97">
        <f>IF(ISNUMBER(F11),F11/Population!F11*10000,NA())</f>
        <v>426.47058823529414</v>
      </c>
      <c r="N11" s="97">
        <f>IF(ISNUMBER(G11),G11/Population!G11*10000,NA())</f>
        <v>399.80392156862746</v>
      </c>
      <c r="O11" s="98">
        <f>IF(ISNUMBER(H11),H11/Population!H11*10000,NA())</f>
        <v>360.83499005964211</v>
      </c>
      <c r="P11" s="99">
        <f t="shared" ref="P11:P33" si="3">IF(ISNUMBER(O11),O11,"")</f>
        <v>360.83499005964211</v>
      </c>
      <c r="Q11" s="933">
        <f t="shared" ref="Q11:Q33" si="4">IF(ISNA(VLOOKUP(B11,$AG$10:$AI$28,3,FALSE)),"--",IF(ISNUMBER(H11),VLOOKUP(B11,$AG$10:$AI$28,3,FALSE),NA()))</f>
        <v>14</v>
      </c>
      <c r="R11" s="70"/>
      <c r="S11" s="340">
        <f>IDACI!C10</f>
        <v>15.299999999999999</v>
      </c>
      <c r="T11" s="341">
        <f t="shared" si="0"/>
        <v>330.36598474878167</v>
      </c>
      <c r="U11" s="342">
        <f t="shared" ref="U11:U33" si="5">O11-T11</f>
        <v>30.469005310860439</v>
      </c>
      <c r="V11" s="122"/>
      <c r="W11" s="139"/>
      <c r="X11" s="152"/>
      <c r="Y11" s="72" t="str">
        <f t="shared" si="1"/>
        <v>Brighton &amp; Hove</v>
      </c>
      <c r="Z11" s="44">
        <f>IF(ISNUMBER($H11),IDACI!D10,0)</f>
        <v>45576</v>
      </c>
      <c r="AA11" s="44">
        <f>IF(ISNUMBER($H11),IDACI!E10,0)</f>
        <v>6973.1279999999997</v>
      </c>
      <c r="AB11" s="205">
        <f>IF(ISNUMBER(D11),Population!D11,"")</f>
        <v>51200</v>
      </c>
      <c r="AC11" s="205">
        <f>IF(ISNUMBER(E11),Population!E11,"")</f>
        <v>51300</v>
      </c>
      <c r="AD11" s="205">
        <f>IF(ISNUMBER(F11),Population!F11,"")</f>
        <v>51000</v>
      </c>
      <c r="AE11" s="205">
        <f>IF(ISNUMBER(G11),Population!G11,"")</f>
        <v>51000</v>
      </c>
      <c r="AF11" s="205">
        <f>IF(ISNUMBER(H11),Population!H11,"")</f>
        <v>50300</v>
      </c>
      <c r="AG11" s="93" t="s">
        <v>31</v>
      </c>
      <c r="AH11" s="231">
        <f t="shared" ref="AH11:AH28" si="6">IFERROR(VLOOKUP(AG11,$B$10:$O$31,$AH$9,FALSE),"")</f>
        <v>360.83499005964211</v>
      </c>
      <c r="AI11" s="206">
        <f t="shared" ref="AI11:AI28" si="7">RANK(AH11,$AH$10:$AH$28,1)</f>
        <v>14</v>
      </c>
      <c r="AJ11" s="202"/>
      <c r="AK11" s="160"/>
      <c r="AL11" s="853">
        <f t="shared" ref="AL11:AL33" si="8">IF(ISERROR((E11-D11)/D11),"x",(E11-D11)/D11)</f>
        <v>-7.7119727311461439E-2</v>
      </c>
      <c r="AM11" s="853">
        <f t="shared" ref="AM11:AM33" si="9">IF(ISERROR((F11-E11)/E11),"x",(F11-E11)/E11)</f>
        <v>4.1551246537396124E-3</v>
      </c>
      <c r="AN11" s="853">
        <f t="shared" ref="AN11:AN33" si="10">IF(ISERROR((G11-F11)/F11),"x",(G11-F11)/F11)</f>
        <v>-6.2528735632183904E-2</v>
      </c>
      <c r="AO11" s="853">
        <f t="shared" ref="AO11:AO33" si="11">IF(ISERROR((H11-G11)/G11),"x",(H11-G11)/G11)</f>
        <v>-0.10985777341834232</v>
      </c>
      <c r="AP11" s="853">
        <f t="shared" ref="AP11:AP32" si="12">AVERAGE(AL11:AO11)</f>
        <v>-6.1337777927062014E-2</v>
      </c>
      <c r="AR11" s="1024"/>
      <c r="AS11" s="1024"/>
      <c r="AT11" s="1024"/>
      <c r="AU11" s="1024"/>
      <c r="AV11" s="1024"/>
      <c r="AW11" s="202"/>
      <c r="AX11" s="1024"/>
    </row>
    <row r="12" spans="1:50" s="87" customFormat="1" ht="13.5" customHeight="1" x14ac:dyDescent="0.2">
      <c r="A12" s="488">
        <f>VLOOKUP(B12,Sheet1!$AQ$4:$AR$25,2,FALSE)</f>
        <v>0</v>
      </c>
      <c r="B12" s="93" t="str">
        <f>Sheet1!$K$6</f>
        <v>Buckinghamshire</v>
      </c>
      <c r="C12" s="85"/>
      <c r="D12" s="94">
        <f>IF(Year1_Buckinghamshire Year1_CIN="","",Year1_Buckinghamshire Year1_CIN)</f>
        <v>2635</v>
      </c>
      <c r="E12" s="94">
        <f>IF(Year2_Buckinghamshire Year2_CIN="","",Year2_Buckinghamshire Year2_CIN)</f>
        <v>3363</v>
      </c>
      <c r="F12" s="94">
        <f>IF(Year3_Buckinghamshire Year3_CIN="","",Year3_Buckinghamshire Year3_CIN)</f>
        <v>3714</v>
      </c>
      <c r="G12" s="94">
        <f>IF(Year4_Buckinghamshire Year4_CIN="","",Year4_Buckinghamshire Year4_CIN)</f>
        <v>3338</v>
      </c>
      <c r="H12" s="95">
        <f>IF(Year5_Buckinghamshire Year5_CIN="","",Year5_Buckinghamshire Year5_CIN)</f>
        <v>3328</v>
      </c>
      <c r="I12" s="344">
        <f t="shared" si="2"/>
        <v>6.910439236634526E-2</v>
      </c>
      <c r="J12" s="96"/>
      <c r="K12" s="97">
        <f>IF(ISNUMBER(D12),D12/Population!D12*10000,NA())</f>
        <v>218.49087893864015</v>
      </c>
      <c r="L12" s="97">
        <f>IF(ISNUMBER(E12),E12/Population!E12*10000,NA())</f>
        <v>275.20458265139115</v>
      </c>
      <c r="M12" s="97">
        <f>IF(ISNUMBER(F12),F12/Population!F12*10000,NA())</f>
        <v>301.70593013809912</v>
      </c>
      <c r="N12" s="97">
        <f>IF(ISNUMBER(G12),G12/Population!G12*10000,NA())</f>
        <v>268.54384553499597</v>
      </c>
      <c r="O12" s="98">
        <f>IF(ISNUMBER(H12),H12/Population!H12*10000,NA())</f>
        <v>264.75735879077166</v>
      </c>
      <c r="P12" s="99">
        <f t="shared" si="3"/>
        <v>264.75735879077166</v>
      </c>
      <c r="Q12" s="933">
        <f t="shared" si="4"/>
        <v>5</v>
      </c>
      <c r="R12" s="70"/>
      <c r="S12" s="340">
        <f>IDACI!C11</f>
        <v>8.5</v>
      </c>
      <c r="T12" s="341">
        <f t="shared" si="0"/>
        <v>259.58562744355237</v>
      </c>
      <c r="U12" s="342">
        <f t="shared" si="5"/>
        <v>5.1717313472192927</v>
      </c>
      <c r="V12" s="122"/>
      <c r="W12" s="139"/>
      <c r="X12" s="152"/>
      <c r="Y12" s="72" t="str">
        <f t="shared" si="1"/>
        <v>Buckinghamshire</v>
      </c>
      <c r="Z12" s="44">
        <f>IF(ISNUMBER($H12),IDACI!D11,0)</f>
        <v>107385</v>
      </c>
      <c r="AA12" s="44">
        <f>IF(ISNUMBER($H12),IDACI!E11,0)</f>
        <v>9127.7250000000004</v>
      </c>
      <c r="AB12" s="205">
        <f>IF(ISNUMBER(D12),Population!D12,"")</f>
        <v>120600</v>
      </c>
      <c r="AC12" s="205">
        <f>IF(ISNUMBER(E12),Population!E12,"")</f>
        <v>122200</v>
      </c>
      <c r="AD12" s="205">
        <f>IF(ISNUMBER(F12),Population!F12,"")</f>
        <v>123100</v>
      </c>
      <c r="AE12" s="205">
        <f>IF(ISNUMBER(G12),Population!G12,"")</f>
        <v>124300</v>
      </c>
      <c r="AF12" s="205">
        <f>IF(ISNUMBER(H12),Population!H12,"")</f>
        <v>125700</v>
      </c>
      <c r="AG12" s="93" t="s">
        <v>8</v>
      </c>
      <c r="AH12" s="231">
        <f t="shared" si="6"/>
        <v>264.75735879077166</v>
      </c>
      <c r="AI12" s="206">
        <f t="shared" si="7"/>
        <v>5</v>
      </c>
      <c r="AJ12" s="202"/>
      <c r="AK12" s="160"/>
      <c r="AL12" s="853">
        <f t="shared" si="8"/>
        <v>0.27628083491461103</v>
      </c>
      <c r="AM12" s="853">
        <f t="shared" si="9"/>
        <v>0.10437109723461195</v>
      </c>
      <c r="AN12" s="853">
        <f t="shared" si="10"/>
        <v>-0.10123855681206247</v>
      </c>
      <c r="AO12" s="853">
        <f t="shared" si="11"/>
        <v>-2.9958058717795086E-3</v>
      </c>
      <c r="AP12" s="853">
        <f t="shared" si="12"/>
        <v>6.910439236634526E-2</v>
      </c>
      <c r="AR12" s="1024"/>
      <c r="AS12" s="1024"/>
      <c r="AT12" s="1024"/>
      <c r="AU12" s="1024"/>
      <c r="AV12" s="1024"/>
      <c r="AW12" s="202"/>
      <c r="AX12" s="1024"/>
    </row>
    <row r="13" spans="1:50" s="87" customFormat="1" ht="13.5" customHeight="1" x14ac:dyDescent="0.2">
      <c r="A13" s="488">
        <f>VLOOKUP(B13,Sheet1!$AQ$4:$AR$25,2,FALSE)</f>
        <v>0</v>
      </c>
      <c r="B13" s="93" t="str">
        <f>Sheet1!$K$7</f>
        <v>East Sussex</v>
      </c>
      <c r="C13" s="85"/>
      <c r="D13" s="94">
        <f>IF(Year1_East_Sussex Year1_CIN="","",Year1_East_Sussex Year1_CIN)</f>
        <v>2999</v>
      </c>
      <c r="E13" s="100">
        <f>IF(Year2_East_Sussex Year2_CIN="","",Year2_East_Sussex Year2_CIN)</f>
        <v>3140</v>
      </c>
      <c r="F13" s="94">
        <f>IF(Year3_East_Sussex Year3_CIN="","",Year3_East_Sussex Year3_CIN)</f>
        <v>3134</v>
      </c>
      <c r="G13" s="94">
        <f>IF(Year4_East_Sussex Year4_CIN="","",Year4_East_Sussex Year4_CIN)</f>
        <v>3135</v>
      </c>
      <c r="H13" s="95">
        <f>IF(Year5_East_Sussex Year5_CIN="","",Year5_East_Sussex Year5_CIN)</f>
        <v>3276</v>
      </c>
      <c r="I13" s="344">
        <f t="shared" si="2"/>
        <v>2.2600000366690565E-2</v>
      </c>
      <c r="J13" s="96"/>
      <c r="K13" s="97">
        <f>IF(ISNUMBER(D13),D13/Population!D13*10000,NA())</f>
        <v>283.19169027384328</v>
      </c>
      <c r="L13" s="97">
        <f>IF(ISNUMBER(E13),E13/Population!E13*10000,NA())</f>
        <v>296.50613786591123</v>
      </c>
      <c r="M13" s="97">
        <f>IF(ISNUMBER(F13),F13/Population!F13*10000,NA())</f>
        <v>295.66037735849056</v>
      </c>
      <c r="N13" s="97">
        <f>IF(ISNUMBER(G13),G13/Population!G13*10000,NA())</f>
        <v>294.64285714285711</v>
      </c>
      <c r="O13" s="98">
        <f>IF(ISNUMBER(H13),H13/Population!H13*10000,NA())</f>
        <v>308.18438381937909</v>
      </c>
      <c r="P13" s="99">
        <f t="shared" si="3"/>
        <v>308.18438381937909</v>
      </c>
      <c r="Q13" s="933">
        <f t="shared" si="4"/>
        <v>8</v>
      </c>
      <c r="R13" s="70"/>
      <c r="S13" s="340">
        <f>IDACI!C12</f>
        <v>16.100000000000001</v>
      </c>
      <c r="T13" s="341">
        <f t="shared" si="0"/>
        <v>338.69308560822043</v>
      </c>
      <c r="U13" s="342">
        <f t="shared" si="5"/>
        <v>-30.508701788841336</v>
      </c>
      <c r="V13" s="122"/>
      <c r="W13" s="139"/>
      <c r="X13" s="152"/>
      <c r="Y13" s="72" t="str">
        <f t="shared" si="1"/>
        <v>East Sussex</v>
      </c>
      <c r="Z13" s="44">
        <f>IF(ISNUMBER($H13),IDACI!D12,0)</f>
        <v>93130</v>
      </c>
      <c r="AA13" s="44">
        <f>IF(ISNUMBER($H13),IDACI!E12,0)</f>
        <v>14993.93</v>
      </c>
      <c r="AB13" s="205">
        <f>IF(ISNUMBER(D13),Population!D13,"")</f>
        <v>105900</v>
      </c>
      <c r="AC13" s="205">
        <f>IF(ISNUMBER(E13),Population!E13,"")</f>
        <v>105900</v>
      </c>
      <c r="AD13" s="205">
        <f>IF(ISNUMBER(F13),Population!F13,"")</f>
        <v>106000</v>
      </c>
      <c r="AE13" s="205">
        <f>IF(ISNUMBER(G13),Population!G13,"")</f>
        <v>106400</v>
      </c>
      <c r="AF13" s="205">
        <f>IF(ISNUMBER(H13),Population!H13,"")</f>
        <v>106300</v>
      </c>
      <c r="AG13" s="93" t="s">
        <v>4</v>
      </c>
      <c r="AH13" s="231">
        <f t="shared" si="6"/>
        <v>308.18438381937909</v>
      </c>
      <c r="AI13" s="206">
        <f t="shared" si="7"/>
        <v>8</v>
      </c>
      <c r="AJ13" s="202"/>
      <c r="AK13" s="160"/>
      <c r="AL13" s="853">
        <f t="shared" si="8"/>
        <v>4.701567189063021E-2</v>
      </c>
      <c r="AM13" s="853">
        <f t="shared" si="9"/>
        <v>-1.910828025477707E-3</v>
      </c>
      <c r="AN13" s="853">
        <f t="shared" si="10"/>
        <v>3.1908104658583282E-4</v>
      </c>
      <c r="AO13" s="853">
        <f t="shared" si="11"/>
        <v>4.4976076555023926E-2</v>
      </c>
      <c r="AP13" s="853">
        <f t="shared" si="12"/>
        <v>2.2600000366690565E-2</v>
      </c>
      <c r="AR13" s="1024"/>
      <c r="AS13" s="1024"/>
      <c r="AT13" s="1024"/>
      <c r="AU13" s="1024"/>
      <c r="AV13" s="1024"/>
      <c r="AW13" s="202"/>
      <c r="AX13" s="1024"/>
    </row>
    <row r="14" spans="1:50" s="87" customFormat="1" ht="13.5" customHeight="1" x14ac:dyDescent="0.2">
      <c r="A14" s="488">
        <f>VLOOKUP(B14,Sheet1!$AQ$4:$AR$25,2,FALSE)</f>
        <v>0</v>
      </c>
      <c r="B14" s="93" t="str">
        <f>Sheet1!$K$8</f>
        <v>Hampshire</v>
      </c>
      <c r="C14" s="85"/>
      <c r="D14" s="94">
        <f>IF(Year1_Hampshire Year1_CIN="","",Year1_Hampshire Year1_CIN)</f>
        <v>8732</v>
      </c>
      <c r="E14" s="94">
        <f>IF(Year2_Hampshire Year2_CIN="","",Year2_Hampshire Year2_CIN)</f>
        <v>8713</v>
      </c>
      <c r="F14" s="101">
        <f>IF(Year3_Hampshire Year3_CIN="","",Year3_Hampshire Year3_CIN)</f>
        <v>8285</v>
      </c>
      <c r="G14" s="101">
        <f>IF(Year4_Hampshire Year4_CIN="","",Year4_Hampshire Year4_CIN)</f>
        <v>8585</v>
      </c>
      <c r="H14" s="95">
        <f>IF(Year5_Hampshire Year5_CIN="","",Year5_Hampshire Year5_CIN)</f>
        <v>8293</v>
      </c>
      <c r="I14" s="344">
        <f t="shared" si="2"/>
        <v>-1.2275175316518368E-2</v>
      </c>
      <c r="J14" s="96"/>
      <c r="K14" s="97">
        <f>IF(ISNUMBER(D14),D14/Population!D14*10000,NA())</f>
        <v>309.7552323518978</v>
      </c>
      <c r="L14" s="97">
        <f>IF(ISNUMBER(E14),E14/Population!E14*10000,NA())</f>
        <v>308.09759547383311</v>
      </c>
      <c r="M14" s="97">
        <f>IF(ISNUMBER(F14),F14/Population!F14*10000,NA())</f>
        <v>292.44617013766327</v>
      </c>
      <c r="N14" s="97">
        <f>IF(ISNUMBER(G14),G14/Population!G14*10000,NA())</f>
        <v>302.28873239436621</v>
      </c>
      <c r="O14" s="98">
        <f>IF(ISNUMBER(H14),H14/Population!H14*10000,NA())</f>
        <v>291.69890960253252</v>
      </c>
      <c r="P14" s="99">
        <f t="shared" si="3"/>
        <v>291.69890960253252</v>
      </c>
      <c r="Q14" s="933">
        <f t="shared" si="4"/>
        <v>6</v>
      </c>
      <c r="R14" s="70"/>
      <c r="S14" s="340">
        <f>IDACI!C13</f>
        <v>10.100000000000001</v>
      </c>
      <c r="T14" s="341">
        <f t="shared" si="0"/>
        <v>276.23982916242983</v>
      </c>
      <c r="U14" s="342">
        <f t="shared" si="5"/>
        <v>15.459080440102696</v>
      </c>
      <c r="V14" s="122"/>
      <c r="W14" s="139"/>
      <c r="X14" s="152"/>
      <c r="Y14" s="72" t="str">
        <f t="shared" si="1"/>
        <v>Hampshire</v>
      </c>
      <c r="Z14" s="44">
        <f>IF(ISNUMBER($H14),IDACI!D13,0)</f>
        <v>249483</v>
      </c>
      <c r="AA14" s="44">
        <f>IF(ISNUMBER($H14),IDACI!E13,0)</f>
        <v>25197.783000000007</v>
      </c>
      <c r="AB14" s="205">
        <f>IF(ISNUMBER(D14),Population!D14,"")</f>
        <v>281900</v>
      </c>
      <c r="AC14" s="205">
        <f>IF(ISNUMBER(E14),Population!E14,"")</f>
        <v>282800</v>
      </c>
      <c r="AD14" s="205">
        <f>IF(ISNUMBER(F14),Population!F14,"")</f>
        <v>283300</v>
      </c>
      <c r="AE14" s="205">
        <f>IF(ISNUMBER(G14),Population!G14,"")</f>
        <v>284000</v>
      </c>
      <c r="AF14" s="205">
        <f>IF(ISNUMBER(H14),Population!H14,"")</f>
        <v>284300</v>
      </c>
      <c r="AG14" s="93" t="s">
        <v>6</v>
      </c>
      <c r="AH14" s="231">
        <f t="shared" si="6"/>
        <v>291.69890960253252</v>
      </c>
      <c r="AI14" s="206">
        <f t="shared" si="7"/>
        <v>6</v>
      </c>
      <c r="AJ14" s="202"/>
      <c r="AK14" s="160"/>
      <c r="AL14" s="853">
        <f t="shared" si="8"/>
        <v>-2.1759047182775995E-3</v>
      </c>
      <c r="AM14" s="853">
        <f t="shared" si="9"/>
        <v>-4.9122001606794446E-2</v>
      </c>
      <c r="AN14" s="853">
        <f t="shared" si="10"/>
        <v>3.6210018105009054E-2</v>
      </c>
      <c r="AO14" s="853">
        <f t="shared" si="11"/>
        <v>-3.4012813046010483E-2</v>
      </c>
      <c r="AP14" s="853">
        <f t="shared" si="12"/>
        <v>-1.2275175316518368E-2</v>
      </c>
      <c r="AR14" s="1024"/>
      <c r="AS14" s="1024"/>
      <c r="AT14" s="1024"/>
      <c r="AU14" s="1024"/>
      <c r="AV14" s="1024"/>
      <c r="AW14" s="202"/>
      <c r="AX14" s="1024"/>
    </row>
    <row r="15" spans="1:50" s="87" customFormat="1" ht="13.5" customHeight="1" x14ac:dyDescent="0.2">
      <c r="A15" s="488">
        <f>VLOOKUP(B15,Sheet1!$AQ$4:$AR$25,2,FALSE)</f>
        <v>0</v>
      </c>
      <c r="B15" s="93" t="str">
        <f>Sheet1!$K$9</f>
        <v>Isle of Wight</v>
      </c>
      <c r="C15" s="85"/>
      <c r="D15" s="94">
        <f>IF(Year1_Isle_of_Wight Year1_CIN="","",Year1_Isle_of_Wight Year1_CIN)</f>
        <v>1302</v>
      </c>
      <c r="E15" s="94">
        <f>IF(Year2_Isle_of_Wight Year2_CIN="","",Year2_Isle_of_Wight Year2_CIN)</f>
        <v>1247</v>
      </c>
      <c r="F15" s="94">
        <f>IF(Year3_Isle_of_Wight Year3_CIN="","",Year3_Isle_of_Wight Year3_CIN)</f>
        <v>1230</v>
      </c>
      <c r="G15" s="94">
        <f>IF(Year4_Isle_of_Wight Year4_CIN="","",Year4_Isle_of_Wight Year4_CIN)</f>
        <v>1178</v>
      </c>
      <c r="H15" s="95">
        <f>IF(Year5_Isle_of_Wight Year5_CIN="","",Year5_Isle_of_Wight Year5_CIN)</f>
        <v>1168</v>
      </c>
      <c r="I15" s="344">
        <f t="shared" si="2"/>
        <v>-2.6660202292015552E-2</v>
      </c>
      <c r="J15" s="96"/>
      <c r="K15" s="97">
        <f>IF(ISNUMBER(D15),D15/Population!D15*10000,NA())</f>
        <v>514.62450592885375</v>
      </c>
      <c r="L15" s="97">
        <f>IF(ISNUMBER(E15),E15/Population!E15*10000,NA())</f>
        <v>494.84126984126982</v>
      </c>
      <c r="M15" s="97">
        <f>IF(ISNUMBER(F15),F15/Population!F15*10000,NA())</f>
        <v>490.03984063745014</v>
      </c>
      <c r="N15" s="97">
        <f>IF(ISNUMBER(G15),G15/Population!G15*10000,NA())</f>
        <v>473.09236947791163</v>
      </c>
      <c r="O15" s="98">
        <f>IF(ISNUMBER(H15),H15/Population!H15*10000,NA())</f>
        <v>472.87449392712551</v>
      </c>
      <c r="P15" s="99">
        <f t="shared" si="3"/>
        <v>472.87449392712551</v>
      </c>
      <c r="Q15" s="933">
        <f t="shared" si="4"/>
        <v>19</v>
      </c>
      <c r="R15" s="70"/>
      <c r="S15" s="340">
        <f>IDACI!C14</f>
        <v>18</v>
      </c>
      <c r="T15" s="341">
        <f t="shared" si="0"/>
        <v>358.46995014938744</v>
      </c>
      <c r="U15" s="342">
        <f t="shared" si="5"/>
        <v>114.40454377773807</v>
      </c>
      <c r="V15" s="122"/>
      <c r="W15" s="139"/>
      <c r="X15" s="152"/>
      <c r="Y15" s="72" t="str">
        <f t="shared" si="1"/>
        <v>Isle of Wight</v>
      </c>
      <c r="Z15" s="44">
        <f>IF(ISNUMBER($H15),IDACI!D14,0)</f>
        <v>22123</v>
      </c>
      <c r="AA15" s="44">
        <f>IF(ISNUMBER($H15),IDACI!E14,0)</f>
        <v>3982.14</v>
      </c>
      <c r="AB15" s="205">
        <f>IF(ISNUMBER(D15),Population!D15,"")</f>
        <v>25300</v>
      </c>
      <c r="AC15" s="205">
        <f>IF(ISNUMBER(E15),Population!E15,"")</f>
        <v>25200</v>
      </c>
      <c r="AD15" s="205">
        <f>IF(ISNUMBER(F15),Population!F15,"")</f>
        <v>25100</v>
      </c>
      <c r="AE15" s="205">
        <f>IF(ISNUMBER(G15),Population!G15,"")</f>
        <v>24900</v>
      </c>
      <c r="AF15" s="205">
        <f>IF(ISNUMBER(H15),Population!H15,"")</f>
        <v>24700</v>
      </c>
      <c r="AG15" s="93" t="s">
        <v>1</v>
      </c>
      <c r="AH15" s="231">
        <f t="shared" si="6"/>
        <v>472.87449392712551</v>
      </c>
      <c r="AI15" s="206">
        <f t="shared" si="7"/>
        <v>19</v>
      </c>
      <c r="AJ15" s="202"/>
      <c r="AK15" s="160"/>
      <c r="AL15" s="853">
        <f t="shared" si="8"/>
        <v>-4.2242703533026116E-2</v>
      </c>
      <c r="AM15" s="853">
        <f t="shared" si="9"/>
        <v>-1.3632718524458701E-2</v>
      </c>
      <c r="AN15" s="853">
        <f t="shared" si="10"/>
        <v>-4.2276422764227641E-2</v>
      </c>
      <c r="AO15" s="853">
        <f t="shared" si="11"/>
        <v>-8.4889643463497456E-3</v>
      </c>
      <c r="AP15" s="853">
        <f t="shared" si="12"/>
        <v>-2.6660202292015552E-2</v>
      </c>
      <c r="AR15" s="1024"/>
      <c r="AS15" s="1024"/>
      <c r="AT15" s="1024"/>
      <c r="AU15" s="1024"/>
      <c r="AV15" s="1024"/>
      <c r="AW15" s="202"/>
      <c r="AX15" s="1024"/>
    </row>
    <row r="16" spans="1:50" s="87" customFormat="1" ht="13.5" customHeight="1" x14ac:dyDescent="0.2">
      <c r="A16" s="488">
        <f>VLOOKUP(B16,Sheet1!$AQ$4:$AR$25,2,FALSE)</f>
        <v>0</v>
      </c>
      <c r="B16" s="93" t="str">
        <f>Sheet1!$K$10</f>
        <v>Kent</v>
      </c>
      <c r="C16" s="85"/>
      <c r="D16" s="94">
        <f>IF(Year1_Kent Year1_CIN="","",Year1_Kent Year1_CIN)</f>
        <v>9290</v>
      </c>
      <c r="E16" s="94">
        <f>IF(Year2_Kent Year2_CIN="","",Year2_Kent Year2_CIN)</f>
        <v>10005</v>
      </c>
      <c r="F16" s="94">
        <f>IF(Year3_Kent Year3_CIN="","",Year3_Kent Year3_CIN)</f>
        <v>10019</v>
      </c>
      <c r="G16" s="94">
        <f>IF(Year4_Kent Year4_CIN="","",Year4_Kent Year4_CIN)</f>
        <v>10370</v>
      </c>
      <c r="H16" s="95">
        <f>IF(Year5_Kent Year5_CIN="","",Year5_Kent Year5_CIN)</f>
        <v>10524</v>
      </c>
      <c r="I16" s="344">
        <f t="shared" si="2"/>
        <v>3.2061936282469297E-2</v>
      </c>
      <c r="J16" s="96"/>
      <c r="K16" s="97">
        <f>IF(ISNUMBER(D16),D16/Population!D16*10000,NA())</f>
        <v>281.17433414043586</v>
      </c>
      <c r="L16" s="97">
        <f>IF(ISNUMBER(E16),E16/Population!E16*10000,NA())</f>
        <v>300.45045045045043</v>
      </c>
      <c r="M16" s="97">
        <f>IF(ISNUMBER(F16),F16/Population!F16*10000,NA())</f>
        <v>298.09580481999404</v>
      </c>
      <c r="N16" s="97">
        <f>IF(ISNUMBER(G16),G16/Population!G16*10000,NA())</f>
        <v>304.91032049397239</v>
      </c>
      <c r="O16" s="98">
        <f>IF(ISNUMBER(H16),H16/Population!H16*10000,NA())</f>
        <v>306.10820244328096</v>
      </c>
      <c r="P16" s="99">
        <f t="shared" si="3"/>
        <v>306.10820244328096</v>
      </c>
      <c r="Q16" s="933">
        <f t="shared" si="4"/>
        <v>7</v>
      </c>
      <c r="R16" s="70"/>
      <c r="S16" s="340">
        <f>IDACI!C15</f>
        <v>15.8</v>
      </c>
      <c r="T16" s="341">
        <f t="shared" si="0"/>
        <v>335.57042278593087</v>
      </c>
      <c r="U16" s="342">
        <f t="shared" si="5"/>
        <v>-29.462220342649914</v>
      </c>
      <c r="V16" s="122"/>
      <c r="W16" s="139"/>
      <c r="X16" s="152"/>
      <c r="Y16" s="72" t="str">
        <f t="shared" si="1"/>
        <v>Kent</v>
      </c>
      <c r="Z16" s="44">
        <f>IF(ISNUMBER($H16),IDACI!D15,0)</f>
        <v>291866</v>
      </c>
      <c r="AA16" s="44">
        <f>IF(ISNUMBER($H16),IDACI!E15,0)</f>
        <v>46114.828000000001</v>
      </c>
      <c r="AB16" s="205">
        <f>IF(ISNUMBER(D16),Population!D16,"")</f>
        <v>330400</v>
      </c>
      <c r="AC16" s="205">
        <f>IF(ISNUMBER(E16),Population!E16,"")</f>
        <v>333000</v>
      </c>
      <c r="AD16" s="205">
        <f>IF(ISNUMBER(F16),Population!F16,"")</f>
        <v>336100</v>
      </c>
      <c r="AE16" s="205">
        <f>IF(ISNUMBER(G16),Population!G16,"")</f>
        <v>340100</v>
      </c>
      <c r="AF16" s="205">
        <f>IF(ISNUMBER(H16),Population!H16,"")</f>
        <v>343800</v>
      </c>
      <c r="AG16" s="93" t="s">
        <v>9</v>
      </c>
      <c r="AH16" s="231">
        <f t="shared" si="6"/>
        <v>306.10820244328096</v>
      </c>
      <c r="AI16" s="206">
        <f t="shared" si="7"/>
        <v>7</v>
      </c>
      <c r="AJ16" s="202"/>
      <c r="AK16" s="160"/>
      <c r="AL16" s="853">
        <f t="shared" si="8"/>
        <v>7.6964477933261569E-2</v>
      </c>
      <c r="AM16" s="853">
        <f t="shared" si="9"/>
        <v>1.3993003498250875E-3</v>
      </c>
      <c r="AN16" s="853">
        <f t="shared" si="10"/>
        <v>3.5033436470705656E-2</v>
      </c>
      <c r="AO16" s="853">
        <f t="shared" si="11"/>
        <v>1.485053037608486E-2</v>
      </c>
      <c r="AP16" s="853">
        <f t="shared" si="12"/>
        <v>3.2061936282469297E-2</v>
      </c>
      <c r="AR16" s="1024"/>
      <c r="AS16" s="1024"/>
      <c r="AT16" s="1024"/>
      <c r="AU16" s="1024"/>
      <c r="AV16" s="1024"/>
      <c r="AW16" s="202"/>
      <c r="AX16" s="1024"/>
    </row>
    <row r="17" spans="1:50" s="87" customFormat="1" ht="13.5" customHeight="1" x14ac:dyDescent="0.2">
      <c r="A17" s="488">
        <f>VLOOKUP(B17,Sheet1!$AQ$4:$AR$25,2,FALSE)</f>
        <v>0</v>
      </c>
      <c r="B17" s="93" t="str">
        <f>Sheet1!$K$11</f>
        <v>Medway</v>
      </c>
      <c r="C17" s="85"/>
      <c r="D17" s="94">
        <f>IF(Year1_Medway Year1_CIN="","",Year1_Medway Year1_CIN)</f>
        <v>2618</v>
      </c>
      <c r="E17" s="301">
        <f>IF(Year2_Medway Year2_CIN="","",Year2_Medway Year2_CIN)</f>
        <v>1776</v>
      </c>
      <c r="F17" s="301">
        <f>IF(Year3_Medway Year3_CIN="","",Year3_Medway Year3_CIN)</f>
        <v>1945</v>
      </c>
      <c r="G17" s="301">
        <f>IF(Year4_Medway Year4_CIN="","",Year4_Medway Year4_CIN)</f>
        <v>2417</v>
      </c>
      <c r="H17" s="302">
        <f>IF(Year5_Medway Year5_CIN="","",Year5_Medway Year5_CIN)</f>
        <v>2303</v>
      </c>
      <c r="I17" s="344">
        <f t="shared" si="2"/>
        <v>-7.7385713889292669E-3</v>
      </c>
      <c r="J17" s="96"/>
      <c r="K17" s="97">
        <f>IF(ISNUMBER(D17),D17/Population!D17*10000,NA())</f>
        <v>414.24050632911394</v>
      </c>
      <c r="L17" s="97">
        <f>IF(ISNUMBER(E17),E17/Population!E17*10000,NA())</f>
        <v>278.80690737833595</v>
      </c>
      <c r="M17" s="97">
        <f>IF(ISNUMBER(F17),F17/Population!F17*10000,NA())</f>
        <v>304.38184663536776</v>
      </c>
      <c r="N17" s="97">
        <f>IF(ISNUMBER(G17),G17/Population!G17*10000,NA())</f>
        <v>375.31055900621118</v>
      </c>
      <c r="O17" s="98">
        <f>IF(ISNUMBER(H17),H17/Population!H17*10000,NA())</f>
        <v>354.30769230769232</v>
      </c>
      <c r="P17" s="99">
        <f t="shared" si="3"/>
        <v>354.30769230769232</v>
      </c>
      <c r="Q17" s="933">
        <f t="shared" si="4"/>
        <v>13</v>
      </c>
      <c r="R17" s="70"/>
      <c r="S17" s="340">
        <f>IDACI!C16</f>
        <v>18.899999999999999</v>
      </c>
      <c r="T17" s="341">
        <f t="shared" si="0"/>
        <v>367.837938616256</v>
      </c>
      <c r="U17" s="342">
        <f t="shared" si="5"/>
        <v>-13.530246308563676</v>
      </c>
      <c r="V17" s="122"/>
      <c r="W17" s="139"/>
      <c r="X17" s="152"/>
      <c r="Y17" s="72" t="str">
        <f t="shared" si="1"/>
        <v>Medway</v>
      </c>
      <c r="Z17" s="44">
        <f>IF(ISNUMBER($H17),IDACI!D16,0)</f>
        <v>55993</v>
      </c>
      <c r="AA17" s="44">
        <f>IF(ISNUMBER($H17),IDACI!E16,0)</f>
        <v>10582.676999999998</v>
      </c>
      <c r="AB17" s="205">
        <f>IF(ISNUMBER(D17),Population!D17,"")</f>
        <v>63200</v>
      </c>
      <c r="AC17" s="205">
        <f>IF(ISNUMBER(E17),Population!E17,"")</f>
        <v>63700</v>
      </c>
      <c r="AD17" s="205">
        <f>IF(ISNUMBER(F17),Population!F17,"")</f>
        <v>63900</v>
      </c>
      <c r="AE17" s="205">
        <f>IF(ISNUMBER(G17),Population!G17,"")</f>
        <v>64400</v>
      </c>
      <c r="AF17" s="205">
        <f>IF(ISNUMBER(H17),Population!H17,"")</f>
        <v>65000</v>
      </c>
      <c r="AG17" s="93" t="s">
        <v>2</v>
      </c>
      <c r="AH17" s="231">
        <f t="shared" si="6"/>
        <v>354.30769230769232</v>
      </c>
      <c r="AI17" s="206">
        <f t="shared" si="7"/>
        <v>13</v>
      </c>
      <c r="AJ17" s="202"/>
      <c r="AK17" s="160"/>
      <c r="AL17" s="853">
        <f t="shared" si="8"/>
        <v>-0.32161955691367455</v>
      </c>
      <c r="AM17" s="853">
        <f t="shared" si="9"/>
        <v>9.5157657657657657E-2</v>
      </c>
      <c r="AN17" s="853">
        <f t="shared" si="10"/>
        <v>0.24267352185089974</v>
      </c>
      <c r="AO17" s="853">
        <f t="shared" si="11"/>
        <v>-4.7165908150599914E-2</v>
      </c>
      <c r="AP17" s="853">
        <f t="shared" si="12"/>
        <v>-7.7385713889292669E-3</v>
      </c>
      <c r="AR17" s="1024"/>
      <c r="AS17" s="1024"/>
      <c r="AT17" s="1024"/>
      <c r="AU17" s="1024"/>
      <c r="AV17" s="1024"/>
      <c r="AW17" s="202"/>
      <c r="AX17" s="1024"/>
    </row>
    <row r="18" spans="1:50" s="87" customFormat="1" ht="13.5" customHeight="1" x14ac:dyDescent="0.2">
      <c r="A18" s="488">
        <f>VLOOKUP(B18,Sheet1!$AQ$4:$AR$25,2,FALSE)</f>
        <v>0</v>
      </c>
      <c r="B18" s="93" t="str">
        <f>Sheet1!$K$12</f>
        <v>Milton Keynes</v>
      </c>
      <c r="C18" s="85"/>
      <c r="D18" s="94">
        <f>IF(Year1_Milton_Keynes Year1_CIN="","",Year1_Milton_Keynes Year1_CIN)</f>
        <v>1730</v>
      </c>
      <c r="E18" s="94">
        <f>IF(Year2_Milton_Keynes Year2_CIN="","",Year2_Milton_Keynes Year2_CIN)</f>
        <v>2025</v>
      </c>
      <c r="F18" s="94">
        <f>IF(Year3_Milton_Keynes Year3_CIN="","",Year3_Milton_Keynes Year3_CIN)</f>
        <v>1874</v>
      </c>
      <c r="G18" s="94">
        <f>IF(Year4_Milton_Keynes Year4_CIN="","",Year4_Milton_Keynes Year4_CIN)</f>
        <v>2156</v>
      </c>
      <c r="H18" s="95">
        <f>IF(Year5_Milton_Keynes Year5_CIN="","",Year5_Milton_Keynes Year5_CIN)</f>
        <v>2365</v>
      </c>
      <c r="I18" s="344">
        <f t="shared" si="2"/>
        <v>8.58428404065288E-2</v>
      </c>
      <c r="J18" s="96"/>
      <c r="K18" s="97">
        <f>IF(ISNUMBER(D18),D18/Population!D18*10000,NA())</f>
        <v>261.72465960665659</v>
      </c>
      <c r="L18" s="97">
        <f>IF(ISNUMBER(E18),E18/Population!E18*10000,NA())</f>
        <v>301.78837555886736</v>
      </c>
      <c r="M18" s="97">
        <f>IF(ISNUMBER(F18),F18/Population!F18*10000,NA())</f>
        <v>277.21893491124263</v>
      </c>
      <c r="N18" s="97">
        <f>IF(ISNUMBER(G18),G18/Population!G18*10000,NA())</f>
        <v>315.66617862371885</v>
      </c>
      <c r="O18" s="98">
        <f>IF(ISNUMBER(H18),H18/Population!H18*10000,NA())</f>
        <v>343.75</v>
      </c>
      <c r="P18" s="99">
        <f t="shared" si="3"/>
        <v>343.75</v>
      </c>
      <c r="Q18" s="933">
        <f t="shared" si="4"/>
        <v>12</v>
      </c>
      <c r="R18" s="70"/>
      <c r="S18" s="340">
        <f>IDACI!C17</f>
        <v>15</v>
      </c>
      <c r="T18" s="341">
        <f t="shared" si="0"/>
        <v>327.24332192649217</v>
      </c>
      <c r="U18" s="342">
        <f t="shared" si="5"/>
        <v>16.506678073507828</v>
      </c>
      <c r="V18" s="122"/>
      <c r="W18" s="139"/>
      <c r="X18" s="152"/>
      <c r="Y18" s="72" t="str">
        <f t="shared" si="1"/>
        <v>Milton Keynes</v>
      </c>
      <c r="Z18" s="44">
        <f>IF(ISNUMBER($H18),IDACI!D17,0)</f>
        <v>59903</v>
      </c>
      <c r="AA18" s="44">
        <f>IF(ISNUMBER($H18),IDACI!E17,0)</f>
        <v>8985.4499999999989</v>
      </c>
      <c r="AB18" s="205">
        <f>IF(ISNUMBER(D18),Population!D18,"")</f>
        <v>66100</v>
      </c>
      <c r="AC18" s="205">
        <f>IF(ISNUMBER(E18),Population!E18,"")</f>
        <v>67100</v>
      </c>
      <c r="AD18" s="205">
        <f>IF(ISNUMBER(F18),Population!F18,"")</f>
        <v>67600</v>
      </c>
      <c r="AE18" s="205">
        <f>IF(ISNUMBER(G18),Population!G18,"")</f>
        <v>68300</v>
      </c>
      <c r="AF18" s="205">
        <f>IF(ISNUMBER(H18),Population!H18,"")</f>
        <v>68800</v>
      </c>
      <c r="AG18" s="93" t="s">
        <v>10</v>
      </c>
      <c r="AH18" s="231">
        <f t="shared" si="6"/>
        <v>343.75</v>
      </c>
      <c r="AI18" s="206">
        <f t="shared" si="7"/>
        <v>12</v>
      </c>
      <c r="AJ18" s="202"/>
      <c r="AK18" s="160"/>
      <c r="AL18" s="853">
        <f t="shared" si="8"/>
        <v>0.17052023121387283</v>
      </c>
      <c r="AM18" s="853">
        <f t="shared" si="9"/>
        <v>-7.4567901234567899E-2</v>
      </c>
      <c r="AN18" s="853">
        <f t="shared" si="10"/>
        <v>0.15048025613660618</v>
      </c>
      <c r="AO18" s="853">
        <f t="shared" si="11"/>
        <v>9.6938775510204078E-2</v>
      </c>
      <c r="AP18" s="853">
        <f t="shared" si="12"/>
        <v>8.58428404065288E-2</v>
      </c>
      <c r="AR18" s="1024"/>
      <c r="AS18" s="1024"/>
      <c r="AT18" s="1024"/>
      <c r="AU18" s="1024"/>
      <c r="AV18" s="1024"/>
      <c r="AW18" s="202"/>
      <c r="AX18" s="1024"/>
    </row>
    <row r="19" spans="1:50" s="87" customFormat="1" ht="13.5" customHeight="1" x14ac:dyDescent="0.2">
      <c r="A19" s="488">
        <f>VLOOKUP(B19,Sheet1!$AQ$4:$AR$25,2,FALSE)</f>
        <v>0</v>
      </c>
      <c r="B19" s="93" t="str">
        <f>Sheet1!$K$13</f>
        <v>Oxfordshire</v>
      </c>
      <c r="C19" s="85"/>
      <c r="D19" s="94">
        <f>IF(Year1_Oxfordshire Year1_CIN="","",Year1_Oxfordshire Year1_CIN)</f>
        <v>4636</v>
      </c>
      <c r="E19" s="94">
        <f>IF(Year2_Oxfordshire Year2_CIN="","",Year2_Oxfordshire Year2_CIN)</f>
        <v>4808</v>
      </c>
      <c r="F19" s="94">
        <f>IF(Year3_Oxfordshire Year3_CIN="","",Year3_Oxfordshire Year3_CIN)</f>
        <v>4293</v>
      </c>
      <c r="G19" s="94">
        <f>IF(Year4_Oxfordshire Year4_CIN="","",Year4_Oxfordshire Year4_CIN)</f>
        <v>4511</v>
      </c>
      <c r="H19" s="95">
        <f>IF(Year5_Oxfordshire Year5_CIN="","",Year5_Oxfordshire Year5_CIN)</f>
        <v>4750</v>
      </c>
      <c r="I19" s="344">
        <f t="shared" si="2"/>
        <v>8.4374362389650348E-3</v>
      </c>
      <c r="J19" s="96"/>
      <c r="K19" s="97">
        <f>IF(ISNUMBER(D19),D19/Population!D19*10000,NA())</f>
        <v>326.93935119887163</v>
      </c>
      <c r="L19" s="97">
        <f>IF(ISNUMBER(E19),E19/Population!E19*10000,NA())</f>
        <v>336.4590622813156</v>
      </c>
      <c r="M19" s="97">
        <f>IF(ISNUMBER(F19),F19/Population!F19*10000,NA())</f>
        <v>299.37238493723851</v>
      </c>
      <c r="N19" s="97">
        <f>IF(ISNUMBER(G19),G19/Population!G19*10000,NA())</f>
        <v>311.53314917127068</v>
      </c>
      <c r="O19" s="98">
        <f>IF(ISNUMBER(H19),H19/Population!H19*10000,NA())</f>
        <v>325.11978097193702</v>
      </c>
      <c r="P19" s="99">
        <f t="shared" si="3"/>
        <v>325.11978097193702</v>
      </c>
      <c r="Q19" s="933">
        <f t="shared" si="4"/>
        <v>11</v>
      </c>
      <c r="R19" s="70"/>
      <c r="S19" s="340">
        <f>IDACI!C18</f>
        <v>10.100000000000001</v>
      </c>
      <c r="T19" s="341">
        <f t="shared" si="0"/>
        <v>276.23982916242983</v>
      </c>
      <c r="U19" s="342">
        <f t="shared" si="5"/>
        <v>48.87995180950719</v>
      </c>
      <c r="V19" s="122"/>
      <c r="W19" s="139"/>
      <c r="X19" s="152"/>
      <c r="Y19" s="72" t="str">
        <f t="shared" si="1"/>
        <v>Oxfordshire</v>
      </c>
      <c r="Z19" s="44">
        <f>IF(ISNUMBER($H19),IDACI!D18,0)</f>
        <v>126119</v>
      </c>
      <c r="AA19" s="44">
        <f>IF(ISNUMBER($H19),IDACI!E18,0)</f>
        <v>12738.019000000002</v>
      </c>
      <c r="AB19" s="205">
        <f>IF(ISNUMBER(D19),Population!D19,"")</f>
        <v>141800</v>
      </c>
      <c r="AC19" s="205">
        <f>IF(ISNUMBER(E19),Population!E19,"")</f>
        <v>142900</v>
      </c>
      <c r="AD19" s="205">
        <f>IF(ISNUMBER(F19),Population!F19,"")</f>
        <v>143400</v>
      </c>
      <c r="AE19" s="205">
        <f>IF(ISNUMBER(G19),Population!G19,"")</f>
        <v>144800</v>
      </c>
      <c r="AF19" s="205">
        <f>IF(ISNUMBER(H19),Population!H19,"")</f>
        <v>146100</v>
      </c>
      <c r="AG19" s="93" t="s">
        <v>11</v>
      </c>
      <c r="AH19" s="231">
        <f t="shared" si="6"/>
        <v>325.11978097193702</v>
      </c>
      <c r="AI19" s="206">
        <f t="shared" si="7"/>
        <v>11</v>
      </c>
      <c r="AJ19" s="202"/>
      <c r="AK19" s="160"/>
      <c r="AL19" s="853">
        <f t="shared" si="8"/>
        <v>3.7100949094046591E-2</v>
      </c>
      <c r="AM19" s="853">
        <f t="shared" si="9"/>
        <v>-0.10711314475873544</v>
      </c>
      <c r="AN19" s="853">
        <f t="shared" si="10"/>
        <v>5.0780340088516188E-2</v>
      </c>
      <c r="AO19" s="853">
        <f t="shared" si="11"/>
        <v>5.298160053203281E-2</v>
      </c>
      <c r="AP19" s="853">
        <f t="shared" si="12"/>
        <v>8.4374362389650348E-3</v>
      </c>
      <c r="AR19" s="1024"/>
      <c r="AS19" s="1024"/>
      <c r="AT19" s="1024"/>
      <c r="AU19" s="1024"/>
      <c r="AV19" s="1024"/>
      <c r="AW19" s="202"/>
      <c r="AX19" s="1024"/>
    </row>
    <row r="20" spans="1:50" s="87" customFormat="1" ht="13.5" customHeight="1" x14ac:dyDescent="0.2">
      <c r="A20" s="488">
        <f>VLOOKUP(B20,Sheet1!$AQ$4:$AR$25,2,FALSE)</f>
        <v>0</v>
      </c>
      <c r="B20" s="93" t="str">
        <f>Sheet1!$K$14</f>
        <v>Portsmouth</v>
      </c>
      <c r="C20" s="85"/>
      <c r="D20" s="94">
        <f>IF(Year1_Portsmouth Year1_CIN="","",Year1_Portsmouth Year1_CIN)</f>
        <v>1331</v>
      </c>
      <c r="E20" s="94">
        <f>IF(Year2_Portsmouth Year2_CIN="","",Year2_Portsmouth Year2_CIN)</f>
        <v>1432</v>
      </c>
      <c r="F20" s="94">
        <f>IF(Year3_Portsmouth Year3_CIN="","",Year3_Portsmouth Year3_CIN)</f>
        <v>1748</v>
      </c>
      <c r="G20" s="94">
        <f>IF(Year4_Portsmouth Year4_CIN="","",Year4_Portsmouth Year4_CIN)</f>
        <v>1645</v>
      </c>
      <c r="H20" s="95">
        <f>IF(Year5_Portsmouth Year5_CIN="","",Year5_Portsmouth Year5_CIN)</f>
        <v>1661</v>
      </c>
      <c r="I20" s="344">
        <f t="shared" si="2"/>
        <v>6.1838786148912667E-2</v>
      </c>
      <c r="J20" s="96"/>
      <c r="K20" s="97">
        <f>IF(ISNUMBER(D20),D20/Population!D20*10000,NA())</f>
        <v>303.88127853881281</v>
      </c>
      <c r="L20" s="97">
        <f>IF(ISNUMBER(E20),E20/Population!E20*10000,NA())</f>
        <v>325.45454545454544</v>
      </c>
      <c r="M20" s="97">
        <f>IF(ISNUMBER(F20),F20/Population!F20*10000,NA())</f>
        <v>395.47511312217199</v>
      </c>
      <c r="N20" s="97">
        <f>IF(ISNUMBER(G20),G20/Population!G20*10000,NA())</f>
        <v>373.86363636363632</v>
      </c>
      <c r="O20" s="98">
        <f>IF(ISNUMBER(H20),H20/Population!H20*10000,NA())</f>
        <v>379.22374429223743</v>
      </c>
      <c r="P20" s="99">
        <f t="shared" si="3"/>
        <v>379.22374429223743</v>
      </c>
      <c r="Q20" s="933">
        <f t="shared" si="4"/>
        <v>16</v>
      </c>
      <c r="R20" s="70"/>
      <c r="S20" s="340">
        <f>IDACI!C19</f>
        <v>20.200000000000003</v>
      </c>
      <c r="T20" s="341">
        <f t="shared" si="0"/>
        <v>381.36947751284401</v>
      </c>
      <c r="U20" s="342">
        <f t="shared" si="5"/>
        <v>-2.1457332206065871</v>
      </c>
      <c r="V20" s="122"/>
      <c r="W20" s="139"/>
      <c r="X20" s="152"/>
      <c r="Y20" s="72" t="str">
        <f t="shared" si="1"/>
        <v>Portsmouth</v>
      </c>
      <c r="Z20" s="44">
        <f>IF(ISNUMBER($H20),IDACI!D19,0)</f>
        <v>39325</v>
      </c>
      <c r="AA20" s="44">
        <f>IF(ISNUMBER($H20),IDACI!E19,0)</f>
        <v>7943.6500000000015</v>
      </c>
      <c r="AB20" s="205">
        <f>IF(ISNUMBER(D20),Population!D20,"")</f>
        <v>43800</v>
      </c>
      <c r="AC20" s="205">
        <f>IF(ISNUMBER(E20),Population!E20,"")</f>
        <v>44000</v>
      </c>
      <c r="AD20" s="205">
        <f>IF(ISNUMBER(F20),Population!F20,"")</f>
        <v>44200</v>
      </c>
      <c r="AE20" s="205">
        <f>IF(ISNUMBER(G20),Population!G20,"")</f>
        <v>44000</v>
      </c>
      <c r="AF20" s="205">
        <f>IF(ISNUMBER(H20),Population!H20,"")</f>
        <v>43800</v>
      </c>
      <c r="AG20" s="93" t="s">
        <v>12</v>
      </c>
      <c r="AH20" s="231">
        <f t="shared" si="6"/>
        <v>379.22374429223743</v>
      </c>
      <c r="AI20" s="206">
        <f t="shared" si="7"/>
        <v>16</v>
      </c>
      <c r="AJ20" s="202"/>
      <c r="AK20" s="160"/>
      <c r="AL20" s="853">
        <f t="shared" si="8"/>
        <v>7.5882794891059355E-2</v>
      </c>
      <c r="AM20" s="853">
        <f t="shared" si="9"/>
        <v>0.2206703910614525</v>
      </c>
      <c r="AN20" s="853">
        <f t="shared" si="10"/>
        <v>-5.8924485125858121E-2</v>
      </c>
      <c r="AO20" s="853">
        <f t="shared" si="11"/>
        <v>9.7264437689969611E-3</v>
      </c>
      <c r="AP20" s="853">
        <f t="shared" si="12"/>
        <v>6.1838786148912667E-2</v>
      </c>
      <c r="AR20" s="1024"/>
      <c r="AS20" s="1024"/>
      <c r="AT20" s="1024"/>
      <c r="AU20" s="1024"/>
      <c r="AV20" s="1024"/>
      <c r="AW20" s="202"/>
      <c r="AX20" s="1024"/>
    </row>
    <row r="21" spans="1:50" s="87" customFormat="1" ht="13.5" customHeight="1" x14ac:dyDescent="0.2">
      <c r="A21" s="488">
        <f>VLOOKUP(B21,Sheet1!$AQ$4:$AR$25,2,FALSE)</f>
        <v>0</v>
      </c>
      <c r="B21" s="93" t="str">
        <f>Sheet1!$K$15</f>
        <v>Reading</v>
      </c>
      <c r="C21" s="85"/>
      <c r="D21" s="94">
        <f>IF(Year1_Reading Year1_CIN="","",Year1_Reading Year1_CIN)</f>
        <v>1869</v>
      </c>
      <c r="E21" s="94">
        <f>IF(Year2_Reading Year2_CIN="","",Year2_Reading Year2_CIN)</f>
        <v>1781</v>
      </c>
      <c r="F21" s="94">
        <f>IF(Year3_Reading Year3_CIN="","",Year3_Reading Year3_CIN)</f>
        <v>1683</v>
      </c>
      <c r="G21" s="94">
        <f>IF(Year4_Reading Year4_CIN="","",Year4_Reading Year4_CIN)</f>
        <v>1635</v>
      </c>
      <c r="H21" s="95">
        <f>IF(Year5_Reading Year5_CIN="","",Year5_Reading Year5_CIN)</f>
        <v>1451</v>
      </c>
      <c r="I21" s="344">
        <f t="shared" si="2"/>
        <v>-6.0791998563177324E-2</v>
      </c>
      <c r="J21" s="96"/>
      <c r="K21" s="97">
        <f>IF(ISNUMBER(D21),D21/Population!D21*10000,NA())</f>
        <v>513.46153846153845</v>
      </c>
      <c r="L21" s="97">
        <f>IF(ISNUMBER(E21),E21/Population!E21*10000,NA())</f>
        <v>486.61202185792348</v>
      </c>
      <c r="M21" s="97">
        <f>IF(ISNUMBER(F21),F21/Population!F21*10000,NA())</f>
        <v>453.63881401617249</v>
      </c>
      <c r="N21" s="97">
        <f>IF(ISNUMBER(G21),G21/Population!G21*10000,NA())</f>
        <v>440.70080862533695</v>
      </c>
      <c r="O21" s="98">
        <f>IF(ISNUMBER(H21),H21/Population!H21*10000,NA())</f>
        <v>392.16216216216219</v>
      </c>
      <c r="P21" s="99">
        <f t="shared" si="3"/>
        <v>392.16216216216219</v>
      </c>
      <c r="Q21" s="933">
        <f t="shared" si="4"/>
        <v>17</v>
      </c>
      <c r="R21" s="70"/>
      <c r="S21" s="340">
        <f>IDACI!C20</f>
        <v>16</v>
      </c>
      <c r="T21" s="341">
        <f t="shared" si="0"/>
        <v>337.65219800079058</v>
      </c>
      <c r="U21" s="342">
        <f t="shared" si="5"/>
        <v>54.509964161371613</v>
      </c>
      <c r="V21" s="122"/>
      <c r="W21" s="139"/>
      <c r="X21" s="152"/>
      <c r="Y21" s="72" t="str">
        <f t="shared" si="1"/>
        <v>Reading</v>
      </c>
      <c r="Z21" s="44">
        <f>IF(ISNUMBER($H21),IDACI!D20,0)</f>
        <v>33203</v>
      </c>
      <c r="AA21" s="44">
        <f>IF(ISNUMBER($H21),IDACI!E20,0)</f>
        <v>5312.4800000000005</v>
      </c>
      <c r="AB21" s="205">
        <f>IF(ISNUMBER(D21),Population!D21,"")</f>
        <v>36400</v>
      </c>
      <c r="AC21" s="205">
        <f>IF(ISNUMBER(E21),Population!E21,"")</f>
        <v>36600</v>
      </c>
      <c r="AD21" s="205">
        <f>IF(ISNUMBER(F21),Population!F21,"")</f>
        <v>37100</v>
      </c>
      <c r="AE21" s="205">
        <f>IF(ISNUMBER(G21),Population!G21,"")</f>
        <v>37100</v>
      </c>
      <c r="AF21" s="205">
        <f>IF(ISNUMBER(H21),Population!H21,"")</f>
        <v>37000</v>
      </c>
      <c r="AG21" s="93" t="s">
        <v>3</v>
      </c>
      <c r="AH21" s="231">
        <f t="shared" si="6"/>
        <v>392.16216216216219</v>
      </c>
      <c r="AI21" s="206">
        <f t="shared" si="7"/>
        <v>17</v>
      </c>
      <c r="AJ21" s="202"/>
      <c r="AK21" s="160"/>
      <c r="AL21" s="853">
        <f t="shared" si="8"/>
        <v>-4.7084002140181914E-2</v>
      </c>
      <c r="AM21" s="853">
        <f t="shared" si="9"/>
        <v>-5.5025266704098824E-2</v>
      </c>
      <c r="AN21" s="853">
        <f t="shared" si="10"/>
        <v>-2.8520499108734401E-2</v>
      </c>
      <c r="AO21" s="853">
        <f t="shared" si="11"/>
        <v>-0.11253822629969419</v>
      </c>
      <c r="AP21" s="853">
        <f t="shared" si="12"/>
        <v>-6.0791998563177324E-2</v>
      </c>
      <c r="AR21" s="1024"/>
      <c r="AS21" s="1024"/>
      <c r="AT21" s="1024"/>
      <c r="AU21" s="1024"/>
      <c r="AV21" s="1024"/>
      <c r="AW21" s="202"/>
      <c r="AX21" s="1024"/>
    </row>
    <row r="22" spans="1:50" s="87" customFormat="1" ht="13.5" customHeight="1" x14ac:dyDescent="0.2">
      <c r="A22" s="488">
        <f>VLOOKUP(B22,Sheet1!$AQ$4:$AR$25,2,FALSE)</f>
        <v>0</v>
      </c>
      <c r="B22" s="93" t="str">
        <f>Sheet1!$K$16</f>
        <v>Slough</v>
      </c>
      <c r="C22" s="85"/>
      <c r="D22" s="94">
        <f>IF(Year1_Slough Year1_CIN="","",Year1_Slough Year1_CIN)</f>
        <v>1601</v>
      </c>
      <c r="E22" s="94">
        <f>IF(Year2_Slough Year2_CIN="","",Year2_Slough Year2_CIN)</f>
        <v>1212</v>
      </c>
      <c r="F22" s="94">
        <f>IF(Year3_Slough Year3_CIN="","",Year3_Slough Year3_CIN)</f>
        <v>1223</v>
      </c>
      <c r="G22" s="94">
        <f>IF(Year4_Slough Year4_CIN="","",Year4_Slough Year4_CIN)</f>
        <v>1426</v>
      </c>
      <c r="H22" s="95">
        <f>IF(Year5_Slough Year5_CIN="","",Year5_Slough Year5_CIN)</f>
        <v>1589</v>
      </c>
      <c r="I22" s="344">
        <f t="shared" si="2"/>
        <v>1.1598449562055028E-2</v>
      </c>
      <c r="J22" s="96"/>
      <c r="K22" s="97">
        <f>IF(ISNUMBER(D22),D22/Population!D22*10000,NA())</f>
        <v>394.33497536945811</v>
      </c>
      <c r="L22" s="97">
        <f>IF(ISNUMBER(E22),E22/Population!E22*10000,NA())</f>
        <v>292.75362318840575</v>
      </c>
      <c r="M22" s="97">
        <f>IF(ISNUMBER(F22),F22/Population!F22*10000,NA())</f>
        <v>289.81042654028437</v>
      </c>
      <c r="N22" s="97">
        <f>IF(ISNUMBER(G22),G22/Population!G22*10000,NA())</f>
        <v>333.95784543325527</v>
      </c>
      <c r="O22" s="98">
        <f>IF(ISNUMBER(H22),H22/Population!H22*10000,NA())</f>
        <v>368.677494199536</v>
      </c>
      <c r="P22" s="99">
        <f t="shared" si="3"/>
        <v>368.677494199536</v>
      </c>
      <c r="Q22" s="933">
        <f t="shared" si="4"/>
        <v>15</v>
      </c>
      <c r="R22" s="70"/>
      <c r="S22" s="340">
        <f>IDACI!C21</f>
        <v>14.7</v>
      </c>
      <c r="T22" s="341">
        <f t="shared" si="0"/>
        <v>324.12065910420262</v>
      </c>
      <c r="U22" s="342">
        <f t="shared" si="5"/>
        <v>44.556835095333383</v>
      </c>
      <c r="V22" s="122"/>
      <c r="W22" s="139"/>
      <c r="X22" s="152"/>
      <c r="Y22" s="72" t="str">
        <f t="shared" si="1"/>
        <v>Slough</v>
      </c>
      <c r="Z22" s="44">
        <f>IF(ISNUMBER($H22),IDACI!D21,0)</f>
        <v>37031</v>
      </c>
      <c r="AA22" s="44">
        <f>IF(ISNUMBER($H22),IDACI!E21,0)</f>
        <v>5443.5569999999998</v>
      </c>
      <c r="AB22" s="205">
        <f>IF(ISNUMBER(D22),Population!D22,"")</f>
        <v>40600</v>
      </c>
      <c r="AC22" s="205">
        <f>IF(ISNUMBER(E22),Population!E22,"")</f>
        <v>41400</v>
      </c>
      <c r="AD22" s="205">
        <f>IF(ISNUMBER(F22),Population!F22,"")</f>
        <v>42200</v>
      </c>
      <c r="AE22" s="205">
        <f>IF(ISNUMBER(G22),Population!G22,"")</f>
        <v>42700</v>
      </c>
      <c r="AF22" s="205">
        <f>IF(ISNUMBER(H22),Population!H22,"")</f>
        <v>43100</v>
      </c>
      <c r="AG22" s="93" t="s">
        <v>13</v>
      </c>
      <c r="AH22" s="231">
        <f t="shared" si="6"/>
        <v>368.677494199536</v>
      </c>
      <c r="AI22" s="206">
        <f t="shared" si="7"/>
        <v>15</v>
      </c>
      <c r="AJ22" s="202"/>
      <c r="AK22" s="160"/>
      <c r="AL22" s="853">
        <f t="shared" si="8"/>
        <v>-0.24297314178638352</v>
      </c>
      <c r="AM22" s="853">
        <f t="shared" si="9"/>
        <v>9.0759075907590765E-3</v>
      </c>
      <c r="AN22" s="853">
        <f t="shared" si="10"/>
        <v>0.16598528209321342</v>
      </c>
      <c r="AO22" s="853">
        <f t="shared" si="11"/>
        <v>0.11430575035063113</v>
      </c>
      <c r="AP22" s="853">
        <f t="shared" si="12"/>
        <v>1.1598449562055028E-2</v>
      </c>
      <c r="AR22" s="1024"/>
      <c r="AS22" s="1024"/>
      <c r="AT22" s="1024"/>
      <c r="AU22" s="1024"/>
      <c r="AV22" s="1024"/>
      <c r="AW22" s="202"/>
      <c r="AX22" s="1024"/>
    </row>
    <row r="23" spans="1:50" s="87" customFormat="1" ht="13.5" customHeight="1" x14ac:dyDescent="0.2">
      <c r="A23" s="488">
        <f>VLOOKUP(B23,Sheet1!$AQ$4:$AR$25,2,FALSE)</f>
        <v>0</v>
      </c>
      <c r="B23" s="93" t="str">
        <f>Sheet1!$K$17</f>
        <v>Somerset</v>
      </c>
      <c r="C23" s="85"/>
      <c r="D23" s="94">
        <f>IF(Year1_Somerset Year1_CIN="","",Year1_Somerset Year1_CIN)</f>
        <v>2903</v>
      </c>
      <c r="E23" s="94">
        <f>IF(Year2_Somerset Year2_CIN="","",Year2_Somerset Year2_CIN)</f>
        <v>3109</v>
      </c>
      <c r="F23" s="94">
        <f>IF(Year3_Somerset Year3_CIN="","",Year3_Somerset Year3_CIN)</f>
        <v>3193</v>
      </c>
      <c r="G23" s="94">
        <f>IF(Year4_Somerset Year4_CIN="","",Year4_Somerset Year4_CIN)</f>
        <v>2608</v>
      </c>
      <c r="H23" s="95">
        <f>IF(Year5_Somerset Year5_CIN="","",Year5_Somerset Year5_CIN)</f>
        <v>2445</v>
      </c>
      <c r="I23" s="344">
        <f t="shared" si="2"/>
        <v>-3.6933467607061898E-2</v>
      </c>
      <c r="J23" s="96"/>
      <c r="K23" s="97">
        <f>IF(ISNUMBER(D23),D23/Population!D23*10000,NA())</f>
        <v>265.84249084249086</v>
      </c>
      <c r="L23" s="97">
        <f>IF(ISNUMBER(E23),E23/Population!E23*10000,NA())</f>
        <v>283.40929808568825</v>
      </c>
      <c r="M23" s="97">
        <f>IF(ISNUMBER(F23),F23/Population!F23*10000,NA())</f>
        <v>290.00908265213445</v>
      </c>
      <c r="N23" s="97">
        <f>IF(ISNUMBER(G23),G23/Population!G23*10000,NA())</f>
        <v>235.59168925022584</v>
      </c>
      <c r="O23" s="98">
        <f>IF(ISNUMBER(H23),H23/Population!H23*10000,NA())</f>
        <v>219.87410071942446</v>
      </c>
      <c r="P23" s="99">
        <f t="shared" si="3"/>
        <v>219.87410071942446</v>
      </c>
      <c r="Q23" s="930" t="str">
        <f t="shared" si="4"/>
        <v>--</v>
      </c>
      <c r="R23" s="70"/>
      <c r="S23" s="340">
        <f>IDACI!C22</f>
        <v>13.600000000000001</v>
      </c>
      <c r="T23" s="341">
        <f t="shared" si="0"/>
        <v>312.67089542247436</v>
      </c>
      <c r="U23" s="342">
        <f t="shared" si="5"/>
        <v>-92.796794703049898</v>
      </c>
      <c r="V23" s="122"/>
      <c r="W23" s="139"/>
      <c r="X23" s="152"/>
      <c r="Y23" s="72" t="str">
        <f t="shared" si="1"/>
        <v>Somerset</v>
      </c>
      <c r="Z23" s="44">
        <f>IF(ISNUMBER($H23),IDACI!D22,0)</f>
        <v>95875</v>
      </c>
      <c r="AA23" s="44">
        <f>IF(ISNUMBER($H23),IDACI!E22,0)</f>
        <v>13039.000000000002</v>
      </c>
      <c r="AB23" s="205">
        <f>IF(ISNUMBER(D23),Population!D23,"")</f>
        <v>109200</v>
      </c>
      <c r="AC23" s="205">
        <f>IF(ISNUMBER(E23),Population!E23,"")</f>
        <v>109700</v>
      </c>
      <c r="AD23" s="205">
        <f>IF(ISNUMBER(F23),Population!F23,"")</f>
        <v>110100</v>
      </c>
      <c r="AE23" s="205">
        <f>IF(ISNUMBER(G23),Population!G23,"")</f>
        <v>110700</v>
      </c>
      <c r="AF23" s="205">
        <f>IF(ISNUMBER(H23),Population!H23,"")</f>
        <v>111200</v>
      </c>
      <c r="AG23" s="93" t="s">
        <v>14</v>
      </c>
      <c r="AH23" s="231">
        <f t="shared" si="6"/>
        <v>469.00584795321635</v>
      </c>
      <c r="AI23" s="206">
        <f t="shared" si="7"/>
        <v>18</v>
      </c>
      <c r="AJ23" s="202"/>
      <c r="AK23" s="160"/>
      <c r="AL23" s="853">
        <f t="shared" si="8"/>
        <v>7.0961074750258354E-2</v>
      </c>
      <c r="AM23" s="853">
        <f t="shared" si="9"/>
        <v>2.7018333869411385E-2</v>
      </c>
      <c r="AN23" s="853">
        <f t="shared" si="10"/>
        <v>-0.18321327904791732</v>
      </c>
      <c r="AO23" s="853">
        <f t="shared" si="11"/>
        <v>-6.25E-2</v>
      </c>
      <c r="AP23" s="853">
        <f t="shared" si="12"/>
        <v>-3.6933467607061898E-2</v>
      </c>
      <c r="AR23" s="1024"/>
      <c r="AS23" s="1024"/>
      <c r="AT23" s="1024"/>
      <c r="AU23" s="1024"/>
      <c r="AV23" s="1024"/>
      <c r="AW23" s="202"/>
      <c r="AX23" s="1024"/>
    </row>
    <row r="24" spans="1:50" s="87" customFormat="1" ht="13.5" customHeight="1" x14ac:dyDescent="0.2">
      <c r="A24" s="488">
        <f>VLOOKUP(B24,Sheet1!$AQ$4:$AR$25,2,FALSE)</f>
        <v>0</v>
      </c>
      <c r="B24" s="93" t="str">
        <f>Sheet1!$K$18</f>
        <v>Southampton</v>
      </c>
      <c r="C24" s="85"/>
      <c r="D24" s="94">
        <f>IF(Year1_Southampton Year1_CIN="","",Year1_Southampton Year1_CIN)</f>
        <v>3444</v>
      </c>
      <c r="E24" s="94">
        <f>IF(Year2_Southampton Year2_CIN="","",Year2_Southampton Year2_CIN)</f>
        <v>2287</v>
      </c>
      <c r="F24" s="94">
        <f>IF(Year3_Southampton Year3_CIN="","",Year3_Southampton Year3_CIN)</f>
        <v>2394</v>
      </c>
      <c r="G24" s="94">
        <f>IF(Year4_Southampton Year4_CIN="","",Year4_Southampton Year4_CIN)</f>
        <v>2657</v>
      </c>
      <c r="H24" s="95">
        <f>IF(Year5_Southampton Year5_CIN="","",Year5_Southampton Year5_CIN)</f>
        <v>2406</v>
      </c>
      <c r="I24" s="344">
        <f t="shared" si="2"/>
        <v>-6.8442464296623234E-2</v>
      </c>
      <c r="J24" s="96"/>
      <c r="K24" s="97">
        <f>IF(ISNUMBER(D24),D24/Population!D24*10000,NA())</f>
        <v>700.00000000000011</v>
      </c>
      <c r="L24" s="97">
        <f>IF(ISNUMBER(E24),E24/Population!E24*10000,NA())</f>
        <v>458.31663326653302</v>
      </c>
      <c r="M24" s="97">
        <f>IF(ISNUMBER(F24),F24/Population!F24*10000,NA())</f>
        <v>475.94433399602383</v>
      </c>
      <c r="N24" s="97">
        <f>IF(ISNUMBER(G24),G24/Population!G24*10000,NA())</f>
        <v>523.03149606299212</v>
      </c>
      <c r="O24" s="98">
        <f>IF(ISNUMBER(H24),H24/Population!H24*10000,NA())</f>
        <v>469.00584795321635</v>
      </c>
      <c r="P24" s="99">
        <f t="shared" si="3"/>
        <v>469.00584795321635</v>
      </c>
      <c r="Q24" s="933">
        <f t="shared" si="4"/>
        <v>18</v>
      </c>
      <c r="R24" s="70"/>
      <c r="S24" s="340">
        <f>IDACI!C23</f>
        <v>20.5</v>
      </c>
      <c r="T24" s="341">
        <f t="shared" si="0"/>
        <v>384.49214033513351</v>
      </c>
      <c r="U24" s="342">
        <f t="shared" si="5"/>
        <v>84.513707618082833</v>
      </c>
      <c r="V24" s="122"/>
      <c r="W24" s="139"/>
      <c r="X24" s="152"/>
      <c r="Y24" s="72" t="str">
        <f t="shared" si="1"/>
        <v>Southampton</v>
      </c>
      <c r="Z24" s="44">
        <f>IF(ISNUMBER($H24),IDACI!D23,0)</f>
        <v>44295</v>
      </c>
      <c r="AA24" s="44">
        <f>IF(ISNUMBER($H24),IDACI!E23,0)</f>
        <v>9080.4750000000004</v>
      </c>
      <c r="AB24" s="205">
        <f>IF(ISNUMBER(D24),Population!D24,"")</f>
        <v>49200</v>
      </c>
      <c r="AC24" s="205">
        <f>IF(ISNUMBER(E24),Population!E24,"")</f>
        <v>49900</v>
      </c>
      <c r="AD24" s="205">
        <f>IF(ISNUMBER(F24),Population!F24,"")</f>
        <v>50300</v>
      </c>
      <c r="AE24" s="205">
        <f>IF(ISNUMBER(G24),Population!G24,"")</f>
        <v>50800</v>
      </c>
      <c r="AF24" s="205">
        <f>IF(ISNUMBER(H24),Population!H24,"")</f>
        <v>51300</v>
      </c>
      <c r="AG24" s="93" t="s">
        <v>7</v>
      </c>
      <c r="AH24" s="231">
        <f t="shared" si="6"/>
        <v>218.00606520090977</v>
      </c>
      <c r="AI24" s="206">
        <f t="shared" si="7"/>
        <v>1</v>
      </c>
      <c r="AJ24" s="202"/>
      <c r="AK24" s="160"/>
      <c r="AL24" s="853">
        <f t="shared" si="8"/>
        <v>-0.33594657375145182</v>
      </c>
      <c r="AM24" s="853">
        <f t="shared" si="9"/>
        <v>4.678618277219064E-2</v>
      </c>
      <c r="AN24" s="853">
        <f t="shared" si="10"/>
        <v>0.1098579782790309</v>
      </c>
      <c r="AO24" s="853">
        <f t="shared" si="11"/>
        <v>-9.4467444486262708E-2</v>
      </c>
      <c r="AP24" s="853">
        <f t="shared" si="12"/>
        <v>-6.8442464296623234E-2</v>
      </c>
      <c r="AR24" s="1024"/>
      <c r="AS24" s="1024"/>
      <c r="AT24" s="1024"/>
      <c r="AU24" s="1024"/>
      <c r="AV24" s="1024"/>
      <c r="AW24" s="202"/>
      <c r="AX24" s="1024"/>
    </row>
    <row r="25" spans="1:50" s="87" customFormat="1" ht="13.5" customHeight="1" x14ac:dyDescent="0.2">
      <c r="A25" s="488">
        <f>VLOOKUP(B25,Sheet1!$AQ$4:$AR$25,2,FALSE)</f>
        <v>0</v>
      </c>
      <c r="B25" s="93" t="str">
        <f>Sheet1!$K$19</f>
        <v>Surrey</v>
      </c>
      <c r="C25" s="85"/>
      <c r="D25" s="94">
        <f>IF(Year1_Surrey Year1_CIN="","",Year1_Surrey Year1_CIN)</f>
        <v>6227</v>
      </c>
      <c r="E25" s="94">
        <f>IF(Year2_Surrey Year2_CIN="","",Year2_Surrey Year2_CIN)</f>
        <v>6125</v>
      </c>
      <c r="F25" s="94">
        <f>IF(Year3_Surrey Year3_CIN="","",Year3_Surrey Year3_CIN)</f>
        <v>7019</v>
      </c>
      <c r="G25" s="94">
        <f>IF(Year4_Surrey Year4_CIN="","",Year4_Surrey Year4_CIN)</f>
        <v>5932</v>
      </c>
      <c r="H25" s="95">
        <f>IF(Year5_Surrey Year5_CIN="","",Year5_Surrey Year5_CIN)</f>
        <v>5751</v>
      </c>
      <c r="I25" s="344">
        <f t="shared" si="2"/>
        <v>-1.3949733976229345E-2</v>
      </c>
      <c r="J25" s="96"/>
      <c r="K25" s="97">
        <f>IF(ISNUMBER(D25),D25/Population!D25*10000,NA())</f>
        <v>242.86271450858032</v>
      </c>
      <c r="L25" s="97">
        <f>IF(ISNUMBER(E25),E25/Population!E25*10000,NA())</f>
        <v>236.48648648648651</v>
      </c>
      <c r="M25" s="97">
        <f>IF(ISNUMBER(F25),F25/Population!F25*10000,NA())</f>
        <v>269.65040338071458</v>
      </c>
      <c r="N25" s="97">
        <f>IF(ISNUMBER(G25),G25/Population!G25*10000,NA())</f>
        <v>226.49866361206566</v>
      </c>
      <c r="O25" s="98">
        <f>IF(ISNUMBER(H25),H25/Population!H25*10000,NA())</f>
        <v>218.00606520090977</v>
      </c>
      <c r="P25" s="99">
        <f t="shared" si="3"/>
        <v>218.00606520090977</v>
      </c>
      <c r="Q25" s="933">
        <f t="shared" si="4"/>
        <v>1</v>
      </c>
      <c r="R25" s="70"/>
      <c r="S25" s="340">
        <f>IDACI!C24</f>
        <v>8.3000000000000007</v>
      </c>
      <c r="T25" s="341">
        <f t="shared" si="0"/>
        <v>257.50385222869266</v>
      </c>
      <c r="U25" s="342">
        <f t="shared" si="5"/>
        <v>-39.497787027782891</v>
      </c>
      <c r="V25" s="122"/>
      <c r="W25" s="139"/>
      <c r="X25" s="152"/>
      <c r="Y25" s="72" t="str">
        <f t="shared" si="1"/>
        <v>Surrey</v>
      </c>
      <c r="Z25" s="44">
        <f>IF(ISNUMBER($H25),IDACI!D24,0)</f>
        <v>228466</v>
      </c>
      <c r="AA25" s="44">
        <f>IF(ISNUMBER($H25),IDACI!E24,0)</f>
        <v>18962.678</v>
      </c>
      <c r="AB25" s="205">
        <f>IF(ISNUMBER(D25),Population!D25,"")</f>
        <v>256400</v>
      </c>
      <c r="AC25" s="205">
        <f>IF(ISNUMBER(E25),Population!E25,"")</f>
        <v>259000</v>
      </c>
      <c r="AD25" s="205">
        <f>IF(ISNUMBER(F25),Population!F25,"")</f>
        <v>260300</v>
      </c>
      <c r="AE25" s="205">
        <f>IF(ISNUMBER(G25),Population!G25,"")</f>
        <v>261900</v>
      </c>
      <c r="AF25" s="205">
        <f>IF(ISNUMBER(H25),Population!H25,"")</f>
        <v>263800</v>
      </c>
      <c r="AG25" s="93" t="s">
        <v>15</v>
      </c>
      <c r="AH25" s="231">
        <f t="shared" si="6"/>
        <v>261.23595505617976</v>
      </c>
      <c r="AI25" s="206">
        <f t="shared" si="7"/>
        <v>4</v>
      </c>
      <c r="AJ25" s="202"/>
      <c r="AK25" s="160"/>
      <c r="AL25" s="853">
        <f t="shared" si="8"/>
        <v>-1.6380279428296129E-2</v>
      </c>
      <c r="AM25" s="853">
        <f t="shared" si="9"/>
        <v>0.14595918367346938</v>
      </c>
      <c r="AN25" s="853">
        <f t="shared" si="10"/>
        <v>-0.1548653654366719</v>
      </c>
      <c r="AO25" s="853">
        <f t="shared" si="11"/>
        <v>-3.0512474713418745E-2</v>
      </c>
      <c r="AP25" s="853">
        <f t="shared" si="12"/>
        <v>-1.3949733976229345E-2</v>
      </c>
      <c r="AR25" s="1024"/>
      <c r="AS25" s="1024"/>
      <c r="AT25" s="1024"/>
      <c r="AU25" s="1024"/>
      <c r="AV25" s="1024"/>
      <c r="AW25" s="202"/>
      <c r="AX25" s="1024"/>
    </row>
    <row r="26" spans="1:50" s="87" customFormat="1" ht="13.5" customHeight="1" x14ac:dyDescent="0.2">
      <c r="A26" s="488">
        <f>VLOOKUP(B26,Sheet1!$AQ$4:$AR$25,2,FALSE)</f>
        <v>0</v>
      </c>
      <c r="B26" s="93" t="str">
        <f>Sheet1!$K$20</f>
        <v>Swindon</v>
      </c>
      <c r="C26" s="85"/>
      <c r="D26" s="94">
        <f>IF(Year1_Swindon Year1_CIN="","",Year1_Swindon Year1_CIN)</f>
        <v>1968</v>
      </c>
      <c r="E26" s="94">
        <f>IF(Year2_Swindon Year2_CIN="","",Year2_Swindon Year2_CIN)</f>
        <v>1919</v>
      </c>
      <c r="F26" s="94">
        <f>IF(Year3_Swindon Year3_CIN="","",Year3_Swindon Year3_CIN)</f>
        <v>2713</v>
      </c>
      <c r="G26" s="94">
        <f>IF(Year4_Swindon Year4_CIN="","",Year4_Swindon Year4_CIN)</f>
        <v>2277</v>
      </c>
      <c r="H26" s="95">
        <f>IF(Year5_Swindon Year5_CIN="","",Year5_Swindon Year5_CIN)</f>
        <v>1457</v>
      </c>
      <c r="I26" s="344">
        <f t="shared" si="2"/>
        <v>-3.299297031531364E-2</v>
      </c>
      <c r="J26" s="96"/>
      <c r="K26" s="97">
        <f>IF(ISNUMBER(D26),D26/Population!D26*10000,NA())</f>
        <v>401.63265306122452</v>
      </c>
      <c r="L26" s="97">
        <f>IF(ISNUMBER(E26),E26/Population!E26*10000,NA())</f>
        <v>387.67676767676772</v>
      </c>
      <c r="M26" s="97">
        <f>IF(ISNUMBER(F26),F26/Population!F26*10000,NA())</f>
        <v>543.68737474949899</v>
      </c>
      <c r="N26" s="97">
        <f>IF(ISNUMBER(G26),G26/Population!G26*10000,NA())</f>
        <v>453.58565737051794</v>
      </c>
      <c r="O26" s="98">
        <f>IF(ISNUMBER(H26),H26/Population!H26*10000,NA())</f>
        <v>289.08730158730157</v>
      </c>
      <c r="P26" s="99">
        <f t="shared" si="3"/>
        <v>289.08730158730157</v>
      </c>
      <c r="Q26" s="930" t="str">
        <f t="shared" si="4"/>
        <v>--</v>
      </c>
      <c r="R26" s="70"/>
      <c r="S26" s="340">
        <f>IDACI!C25</f>
        <v>14.899999999999999</v>
      </c>
      <c r="T26" s="341">
        <f t="shared" si="0"/>
        <v>326.20243431906226</v>
      </c>
      <c r="U26" s="342">
        <f t="shared" si="5"/>
        <v>-37.115132731760696</v>
      </c>
      <c r="V26" s="122"/>
      <c r="W26" s="139"/>
      <c r="X26" s="152"/>
      <c r="Y26" s="72" t="str">
        <f t="shared" si="1"/>
        <v>Swindon</v>
      </c>
      <c r="Z26" s="44">
        <f>IF(ISNUMBER($H26),IDACI!D25,0)</f>
        <v>43899</v>
      </c>
      <c r="AA26" s="44">
        <f>IF(ISNUMBER($H26),IDACI!E25,0)</f>
        <v>6540.951</v>
      </c>
      <c r="AB26" s="205">
        <f>IF(ISNUMBER(D26),Population!D26,"")</f>
        <v>49000</v>
      </c>
      <c r="AC26" s="205">
        <f>IF(ISNUMBER(E26),Population!E26,"")</f>
        <v>49500</v>
      </c>
      <c r="AD26" s="205">
        <f>IF(ISNUMBER(F26),Population!F26,"")</f>
        <v>49900</v>
      </c>
      <c r="AE26" s="205">
        <f>IF(ISNUMBER(G26),Population!G26,"")</f>
        <v>50200</v>
      </c>
      <c r="AF26" s="205">
        <f>IF(ISNUMBER(H26),Population!H26,"")</f>
        <v>50400</v>
      </c>
      <c r="AG26" s="93" t="s">
        <v>5</v>
      </c>
      <c r="AH26" s="231">
        <f t="shared" si="6"/>
        <v>314.36683702441792</v>
      </c>
      <c r="AI26" s="206">
        <f t="shared" si="7"/>
        <v>10</v>
      </c>
      <c r="AJ26" s="202"/>
      <c r="AK26" s="160"/>
      <c r="AL26" s="853">
        <f t="shared" si="8"/>
        <v>-2.4898373983739838E-2</v>
      </c>
      <c r="AM26" s="853">
        <f t="shared" si="9"/>
        <v>0.41375716519020322</v>
      </c>
      <c r="AN26" s="853">
        <f t="shared" si="10"/>
        <v>-0.16070770364909695</v>
      </c>
      <c r="AO26" s="853">
        <f t="shared" si="11"/>
        <v>-0.36012296881862099</v>
      </c>
      <c r="AP26" s="853">
        <f t="shared" si="12"/>
        <v>-3.299297031531364E-2</v>
      </c>
      <c r="AR26" s="1024"/>
      <c r="AS26" s="1024"/>
      <c r="AT26" s="1024"/>
      <c r="AU26" s="1024"/>
      <c r="AV26" s="1024"/>
      <c r="AW26" s="202"/>
      <c r="AX26" s="1024"/>
    </row>
    <row r="27" spans="1:50" s="87" customFormat="1" ht="13.5" customHeight="1" x14ac:dyDescent="0.2">
      <c r="A27" s="488">
        <f>VLOOKUP(B27,Sheet1!$AQ$4:$AR$25,2,FALSE)</f>
        <v>0</v>
      </c>
      <c r="B27" s="93" t="str">
        <f>Sheet1!$K$21</f>
        <v>Torbay</v>
      </c>
      <c r="C27" s="85"/>
      <c r="D27" s="94">
        <f>IF(Year1_Torbay Year1_CIN="","",Year1_Torbay Year1_CIN)</f>
        <v>1180</v>
      </c>
      <c r="E27" s="94">
        <f>IF(Year2_Torbay Year2_CIN="","",Year2_Torbay Year2_CIN)</f>
        <v>1196</v>
      </c>
      <c r="F27" s="94">
        <f>IF(Year3_Torbay Year3_CIN="","",Year3_Torbay Year3_CIN)</f>
        <v>1159</v>
      </c>
      <c r="G27" s="94">
        <f>IF(Year4_Torbay Year4_CIN="","",Year4_Torbay Year4_CIN)</f>
        <v>1067</v>
      </c>
      <c r="H27" s="95">
        <f>IF(Year5_Torbay Year5_CIN="","",Year5_Torbay Year5_CIN)</f>
        <v>1288</v>
      </c>
      <c r="I27" s="344">
        <f t="shared" si="2"/>
        <v>2.7591716627904068E-2</v>
      </c>
      <c r="J27" s="96"/>
      <c r="K27" s="97">
        <f>IF(ISNUMBER(D27),D27/Population!D27*10000,NA())</f>
        <v>468.25396825396825</v>
      </c>
      <c r="L27" s="97">
        <f>IF(ISNUMBER(E27),E27/Population!E27*10000,NA())</f>
        <v>470.8661417322835</v>
      </c>
      <c r="M27" s="97">
        <f>IF(ISNUMBER(F27),F27/Population!F27*10000,NA())</f>
        <v>456.29921259842519</v>
      </c>
      <c r="N27" s="97">
        <f>IF(ISNUMBER(G27),G27/Population!G27*10000,NA())</f>
        <v>420.0787401574803</v>
      </c>
      <c r="O27" s="98">
        <f>IF(ISNUMBER(H27),H27/Population!H27*10000,NA())</f>
        <v>503.12500000000006</v>
      </c>
      <c r="P27" s="99">
        <f t="shared" si="3"/>
        <v>503.12500000000006</v>
      </c>
      <c r="Q27" s="930" t="str">
        <f t="shared" si="4"/>
        <v>--</v>
      </c>
      <c r="R27" s="70"/>
      <c r="S27" s="340">
        <f>IDACI!C26</f>
        <v>21.9</v>
      </c>
      <c r="T27" s="341">
        <f t="shared" si="0"/>
        <v>399.06456683915133</v>
      </c>
      <c r="U27" s="342">
        <f t="shared" si="5"/>
        <v>104.06043316084873</v>
      </c>
      <c r="V27" s="122"/>
      <c r="W27" s="139"/>
      <c r="X27" s="152"/>
      <c r="Y27" s="72" t="str">
        <f t="shared" si="1"/>
        <v>Torbay</v>
      </c>
      <c r="Z27" s="44">
        <f>IF(ISNUMBER($H27),IDACI!D26,0)</f>
        <v>22257</v>
      </c>
      <c r="AA27" s="44">
        <f>IF(ISNUMBER($H27),IDACI!E26,0)</f>
        <v>4874.2829999999994</v>
      </c>
      <c r="AB27" s="205">
        <f>IF(ISNUMBER(D27),Population!D27,"")</f>
        <v>25200</v>
      </c>
      <c r="AC27" s="205">
        <f>IF(ISNUMBER(E27),Population!E27,"")</f>
        <v>25400</v>
      </c>
      <c r="AD27" s="205">
        <f>IF(ISNUMBER(F27),Population!F27,"")</f>
        <v>25400</v>
      </c>
      <c r="AE27" s="205">
        <f>IF(ISNUMBER(G27),Population!G27,"")</f>
        <v>25400</v>
      </c>
      <c r="AF27" s="205">
        <f>IF(ISNUMBER(H27),Population!H27,"")</f>
        <v>25600</v>
      </c>
      <c r="AG27" s="93" t="s">
        <v>30</v>
      </c>
      <c r="AH27" s="231">
        <f t="shared" si="6"/>
        <v>254.46685878962535</v>
      </c>
      <c r="AI27" s="206">
        <f t="shared" si="7"/>
        <v>2</v>
      </c>
      <c r="AJ27" s="202"/>
      <c r="AK27" s="160"/>
      <c r="AL27" s="853">
        <f t="shared" si="8"/>
        <v>1.3559322033898305E-2</v>
      </c>
      <c r="AM27" s="853">
        <f t="shared" si="9"/>
        <v>-3.0936454849498328E-2</v>
      </c>
      <c r="AN27" s="853">
        <f t="shared" si="10"/>
        <v>-7.9378774805867122E-2</v>
      </c>
      <c r="AO27" s="853">
        <f t="shared" si="11"/>
        <v>0.20712277413308341</v>
      </c>
      <c r="AP27" s="853">
        <f t="shared" si="12"/>
        <v>2.7591716627904068E-2</v>
      </c>
      <c r="AR27" s="1024"/>
      <c r="AS27" s="1024"/>
      <c r="AT27" s="1024"/>
      <c r="AU27" s="1024"/>
      <c r="AV27" s="1024"/>
      <c r="AW27" s="202"/>
      <c r="AX27" s="1024"/>
    </row>
    <row r="28" spans="1:50" s="87" customFormat="1" ht="13.5" customHeight="1" x14ac:dyDescent="0.2">
      <c r="A28" s="488">
        <f>VLOOKUP(B28,Sheet1!$AQ$4:$AR$25,2,FALSE)</f>
        <v>0</v>
      </c>
      <c r="B28" s="93" t="str">
        <f>Sheet1!$K$22</f>
        <v>West Berkshire</v>
      </c>
      <c r="C28" s="85"/>
      <c r="D28" s="94">
        <f>IF(Year1_West_Berkshire Year1_CIN="","",Year1_West_Berkshire Year1_CIN)</f>
        <v>1054</v>
      </c>
      <c r="E28" s="100">
        <f>IF(Year2_West_Berkshire Year2_CIN="","",Year2_West_Berkshire Year2_CIN)</f>
        <v>984</v>
      </c>
      <c r="F28" s="94">
        <f>IF(Year3_West_Berkshire Year3_CIN="","",Year3_West_Berkshire Year3_CIN)</f>
        <v>1021</v>
      </c>
      <c r="G28" s="94">
        <f>IF(Year4_West_Berkshire Year4_CIN="","",Year4_West_Berkshire Year4_CIN)</f>
        <v>1065</v>
      </c>
      <c r="H28" s="95">
        <f>IF(Year5_West_Berkshire Year5_CIN="","",Year5_West_Berkshire Year5_CIN)</f>
        <v>930</v>
      </c>
      <c r="I28" s="344">
        <f t="shared" si="2"/>
        <v>-2.8119398676487765E-2</v>
      </c>
      <c r="J28" s="96"/>
      <c r="K28" s="97">
        <f>IF(ISNUMBER(D28),D28/Population!D28*10000,NA())</f>
        <v>295.23809523809524</v>
      </c>
      <c r="L28" s="97">
        <f>IF(ISNUMBER(E28),E28/Population!E28*10000,NA())</f>
        <v>274.09470752089135</v>
      </c>
      <c r="M28" s="97">
        <f>IF(ISNUMBER(F28),F28/Population!F28*10000,NA())</f>
        <v>285.19553072625695</v>
      </c>
      <c r="N28" s="97">
        <f>IF(ISNUMBER(G28),G28/Population!G28*10000,NA())</f>
        <v>299.15730337078651</v>
      </c>
      <c r="O28" s="98">
        <f>IF(ISNUMBER(H28),H28/Population!H28*10000,NA())</f>
        <v>261.23595505617976</v>
      </c>
      <c r="P28" s="99">
        <f t="shared" si="3"/>
        <v>261.23595505617976</v>
      </c>
      <c r="Q28" s="933">
        <f t="shared" si="4"/>
        <v>4</v>
      </c>
      <c r="R28" s="70"/>
      <c r="S28" s="340">
        <f>IDACI!C27</f>
        <v>8.6999999999999993</v>
      </c>
      <c r="T28" s="341">
        <f t="shared" si="0"/>
        <v>261.66740265841202</v>
      </c>
      <c r="U28" s="342">
        <f t="shared" si="5"/>
        <v>-0.43144760223225376</v>
      </c>
      <c r="V28" s="122"/>
      <c r="W28" s="139"/>
      <c r="X28" s="152"/>
      <c r="Y28" s="72" t="str">
        <f t="shared" si="1"/>
        <v>West Berkshire</v>
      </c>
      <c r="Z28" s="44">
        <f>IF(ISNUMBER($H28),IDACI!D27,0)</f>
        <v>31625</v>
      </c>
      <c r="AA28" s="44">
        <f>IF(ISNUMBER($H28),IDACI!E27,0)</f>
        <v>2751.375</v>
      </c>
      <c r="AB28" s="205">
        <f>IF(ISNUMBER(D28),Population!D28,"")</f>
        <v>35700</v>
      </c>
      <c r="AC28" s="205">
        <f>IF(ISNUMBER(E28),Population!E28,"")</f>
        <v>35900</v>
      </c>
      <c r="AD28" s="205">
        <f>IF(ISNUMBER(F28),Population!F28,"")</f>
        <v>35800</v>
      </c>
      <c r="AE28" s="205">
        <f>IF(ISNUMBER(G28),Population!G28,"")</f>
        <v>35600</v>
      </c>
      <c r="AF28" s="205">
        <f>IF(ISNUMBER(H28),Population!H28,"")</f>
        <v>35600</v>
      </c>
      <c r="AG28" s="93" t="s">
        <v>16</v>
      </c>
      <c r="AH28" s="231">
        <f t="shared" si="6"/>
        <v>257.17821782178214</v>
      </c>
      <c r="AI28" s="206">
        <f t="shared" si="7"/>
        <v>3</v>
      </c>
      <c r="AJ28" s="202"/>
      <c r="AK28" s="160"/>
      <c r="AL28" s="853">
        <f t="shared" si="8"/>
        <v>-6.6413662239089177E-2</v>
      </c>
      <c r="AM28" s="853">
        <f t="shared" si="9"/>
        <v>3.7601626016260166E-2</v>
      </c>
      <c r="AN28" s="853">
        <f t="shared" si="10"/>
        <v>4.3095004897159644E-2</v>
      </c>
      <c r="AO28" s="853">
        <f t="shared" si="11"/>
        <v>-0.12676056338028169</v>
      </c>
      <c r="AP28" s="853">
        <f t="shared" si="12"/>
        <v>-2.8119398676487765E-2</v>
      </c>
      <c r="AR28" s="1024"/>
      <c r="AS28" s="1024"/>
      <c r="AT28" s="1024"/>
      <c r="AU28" s="1024"/>
      <c r="AV28" s="1024"/>
      <c r="AW28" s="202"/>
      <c r="AX28" s="1024"/>
    </row>
    <row r="29" spans="1:50" s="87" customFormat="1" ht="13.5" customHeight="1" x14ac:dyDescent="0.2">
      <c r="A29" s="488">
        <f>VLOOKUP(B29,Sheet1!$AQ$4:$AR$25,2,FALSE)</f>
        <v>0</v>
      </c>
      <c r="B29" s="93" t="str">
        <f>Sheet1!$K$23</f>
        <v>West Sussex</v>
      </c>
      <c r="C29" s="85"/>
      <c r="D29" s="94">
        <f>IF(Year1_West_Sussex Year1_CIN="","",Year1_West_Sussex Year1_CIN)</f>
        <v>3877</v>
      </c>
      <c r="E29" s="100">
        <f>IF(Year2_West_Sussex Year2_CIN="","",Year2_West_Sussex Year2_CIN)</f>
        <v>4802</v>
      </c>
      <c r="F29" s="94">
        <f>IF(Year3_West_Sussex Year3_CIN="","",Year3_West_Sussex Year3_CIN)</f>
        <v>7233</v>
      </c>
      <c r="G29" s="94">
        <f>IF(Year4_West_Sussex Year4_CIN="","",Year4_West_Sussex Year4_CIN)</f>
        <v>4699</v>
      </c>
      <c r="H29" s="95">
        <f>IF(Year5_West_Sussex Year5_CIN="","",Year5_West_Sussex Year5_CIN)</f>
        <v>5536</v>
      </c>
      <c r="I29" s="344">
        <f t="shared" si="2"/>
        <v>0.14315455312678965</v>
      </c>
      <c r="J29" s="96"/>
      <c r="K29" s="97">
        <f>IF(ISNUMBER(D29),D29/Population!D29*10000,NA())</f>
        <v>227.52347417840377</v>
      </c>
      <c r="L29" s="97">
        <f>IF(ISNUMBER(E29),E29/Population!E29*10000,NA())</f>
        <v>279.51105937136208</v>
      </c>
      <c r="M29" s="97">
        <f>IF(ISNUMBER(F29),F29/Population!F29*10000,NA())</f>
        <v>417.36872475476054</v>
      </c>
      <c r="N29" s="97">
        <f>IF(ISNUMBER(G29),G29/Population!G29*10000,NA())</f>
        <v>268.9753863766457</v>
      </c>
      <c r="O29" s="98">
        <f>IF(ISNUMBER(H29),H29/Population!H29*10000,NA())</f>
        <v>314.36683702441792</v>
      </c>
      <c r="P29" s="99">
        <f t="shared" si="3"/>
        <v>314.36683702441792</v>
      </c>
      <c r="Q29" s="933">
        <f t="shared" si="4"/>
        <v>10</v>
      </c>
      <c r="R29" s="70"/>
      <c r="S29" s="340">
        <f>IDACI!C28</f>
        <v>11</v>
      </c>
      <c r="T29" s="341">
        <f t="shared" si="0"/>
        <v>285.60781762929844</v>
      </c>
      <c r="U29" s="342">
        <f t="shared" si="5"/>
        <v>28.759019395119481</v>
      </c>
      <c r="V29" s="122"/>
      <c r="W29" s="139"/>
      <c r="X29" s="152"/>
      <c r="Y29" s="72" t="str">
        <f t="shared" si="1"/>
        <v>West Sussex</v>
      </c>
      <c r="Z29" s="44">
        <f>IF(ISNUMBER($H29),IDACI!D28,0)</f>
        <v>151487</v>
      </c>
      <c r="AA29" s="44">
        <f>IF(ISNUMBER($H29),IDACI!E28,0)</f>
        <v>16663.57</v>
      </c>
      <c r="AB29" s="205">
        <f>IF(ISNUMBER(D29),Population!D29,"")</f>
        <v>170400</v>
      </c>
      <c r="AC29" s="205">
        <f>IF(ISNUMBER(E29),Population!E29,"")</f>
        <v>171800</v>
      </c>
      <c r="AD29" s="205">
        <f>IF(ISNUMBER(F29),Population!F29,"")</f>
        <v>173300</v>
      </c>
      <c r="AE29" s="205">
        <f>IF(ISNUMBER(G29),Population!G29,"")</f>
        <v>174700</v>
      </c>
      <c r="AF29" s="205">
        <f>IF(ISNUMBER(H29),Population!H29,"")</f>
        <v>176100</v>
      </c>
      <c r="AG29" s="202"/>
      <c r="AH29" s="202"/>
      <c r="AI29" s="190"/>
      <c r="AJ29" s="202"/>
      <c r="AK29" s="160"/>
      <c r="AL29" s="853">
        <f t="shared" si="8"/>
        <v>0.23858653598142893</v>
      </c>
      <c r="AM29" s="853">
        <f t="shared" si="9"/>
        <v>0.50624739691795084</v>
      </c>
      <c r="AN29" s="853">
        <f t="shared" si="10"/>
        <v>-0.35033872528687959</v>
      </c>
      <c r="AO29" s="853">
        <f t="shared" si="11"/>
        <v>0.17812300489465843</v>
      </c>
      <c r="AP29" s="853">
        <f t="shared" si="12"/>
        <v>0.14315455312678965</v>
      </c>
      <c r="AR29" s="1024"/>
      <c r="AS29" s="1024"/>
      <c r="AT29" s="1024"/>
      <c r="AU29" s="1024"/>
      <c r="AV29" s="1024"/>
      <c r="AW29" s="202"/>
      <c r="AX29" s="1024"/>
    </row>
    <row r="30" spans="1:50" s="87" customFormat="1" ht="13.5" customHeight="1" x14ac:dyDescent="0.2">
      <c r="A30" s="488">
        <f>VLOOKUP(B30,Sheet1!$AQ$4:$AR$25,2,FALSE)</f>
        <v>0</v>
      </c>
      <c r="B30" s="93" t="str">
        <f>Sheet1!$K$24</f>
        <v>Windsor &amp; Maidenhead</v>
      </c>
      <c r="C30" s="85"/>
      <c r="D30" s="100">
        <f>IF(Year1_Windsor_Maidenhead Year1_CIN="","",Year1_Windsor_Maidenhead Year1_CIN)</f>
        <v>1013</v>
      </c>
      <c r="E30" s="94">
        <f>IF(Year2_Windsor_Maidenhead Year2_CIN="","",Year2_Windsor_Maidenhead Year2_CIN)</f>
        <v>959</v>
      </c>
      <c r="F30" s="94">
        <f>IF(Year3_Windsor_Maidenhead Year3_CIN="","",Year3_Windsor_Maidenhead Year3_CIN)</f>
        <v>767</v>
      </c>
      <c r="G30" s="94">
        <f>IF(Year4_Windsor_Maidenhead Year4_CIN="","",Year4_Windsor_Maidenhead Year4_CIN)</f>
        <v>737</v>
      </c>
      <c r="H30" s="95">
        <f>IF(Year5_Windsor_Maidenhead Year5_CIN="","",Year5_Windsor_Maidenhead Year5_CIN)</f>
        <v>883</v>
      </c>
      <c r="I30" s="344">
        <f t="shared" si="2"/>
        <v>-2.3632145336580521E-2</v>
      </c>
      <c r="J30" s="96"/>
      <c r="K30" s="97">
        <f>IF(ISNUMBER(D30),D30/Population!D30*10000,NA())</f>
        <v>300.593471810089</v>
      </c>
      <c r="L30" s="97">
        <f>IF(ISNUMBER(E30),E30/Population!E30*10000,NA())</f>
        <v>280.40935672514621</v>
      </c>
      <c r="M30" s="97">
        <f>IF(ISNUMBER(F30),F30/Population!F30*10000,NA())</f>
        <v>222.96511627906978</v>
      </c>
      <c r="N30" s="97">
        <f>IF(ISNUMBER(G30),G30/Population!G30*10000,NA())</f>
        <v>213.00578034682081</v>
      </c>
      <c r="O30" s="98">
        <f>IF(ISNUMBER(H30),H30/Population!H30*10000,NA())</f>
        <v>254.46685878962535</v>
      </c>
      <c r="P30" s="99">
        <f t="shared" si="3"/>
        <v>254.46685878962535</v>
      </c>
      <c r="Q30" s="933">
        <f t="shared" si="4"/>
        <v>2</v>
      </c>
      <c r="R30" s="70"/>
      <c r="S30" s="340">
        <f>IDACI!C29</f>
        <v>6.7</v>
      </c>
      <c r="T30" s="341">
        <f t="shared" si="0"/>
        <v>240.84965050981518</v>
      </c>
      <c r="U30" s="342">
        <f t="shared" si="5"/>
        <v>13.617208279810171</v>
      </c>
      <c r="V30" s="122"/>
      <c r="W30" s="139"/>
      <c r="X30" s="152"/>
      <c r="Y30" s="72" t="str">
        <f t="shared" si="1"/>
        <v>Windsor &amp; Maidenhead</v>
      </c>
      <c r="Z30" s="44">
        <f>IF(ISNUMBER($H30),IDACI!D29,0)</f>
        <v>29792</v>
      </c>
      <c r="AA30" s="44">
        <f>IF(ISNUMBER($H30),IDACI!E29,0)</f>
        <v>1996.0640000000001</v>
      </c>
      <c r="AB30" s="205">
        <f>IF(ISNUMBER(D30),Population!D30,"")</f>
        <v>33700</v>
      </c>
      <c r="AC30" s="205">
        <f>IF(ISNUMBER(E30),Population!E30,"")</f>
        <v>34200</v>
      </c>
      <c r="AD30" s="205">
        <f>IF(ISNUMBER(F30),Population!F30,"")</f>
        <v>34400</v>
      </c>
      <c r="AE30" s="205">
        <f>IF(ISNUMBER(G30),Population!G30,"")</f>
        <v>34600</v>
      </c>
      <c r="AF30" s="205">
        <f>IF(ISNUMBER(H30),Population!H30,"")</f>
        <v>34700</v>
      </c>
      <c r="AG30" s="202"/>
      <c r="AH30" s="202"/>
      <c r="AI30" s="190"/>
      <c r="AJ30" s="202"/>
      <c r="AK30" s="160"/>
      <c r="AL30" s="853">
        <f t="shared" si="8"/>
        <v>-5.3307008884501482E-2</v>
      </c>
      <c r="AM30" s="853">
        <f t="shared" si="9"/>
        <v>-0.20020855057351408</v>
      </c>
      <c r="AN30" s="853">
        <f t="shared" si="10"/>
        <v>-3.911342894393742E-2</v>
      </c>
      <c r="AO30" s="853">
        <f t="shared" si="11"/>
        <v>0.19810040705563092</v>
      </c>
      <c r="AP30" s="853">
        <f t="shared" si="12"/>
        <v>-2.3632145336580521E-2</v>
      </c>
      <c r="AR30" s="1024"/>
      <c r="AS30" s="1024"/>
      <c r="AT30" s="1024"/>
      <c r="AU30" s="1024"/>
      <c r="AV30" s="1024"/>
      <c r="AW30" s="202"/>
      <c r="AX30" s="1024"/>
    </row>
    <row r="31" spans="1:50" s="87" customFormat="1" ht="13.5" customHeight="1" x14ac:dyDescent="0.2">
      <c r="A31" s="488">
        <f>VLOOKUP(B31,Sheet1!$AQ$4:$AR$25,2,FALSE)</f>
        <v>0</v>
      </c>
      <c r="B31" s="93" t="str">
        <f>Sheet1!$K$25</f>
        <v>Wokingham</v>
      </c>
      <c r="C31" s="85"/>
      <c r="D31" s="100">
        <f>IF(Year1_Wokingham Year1_CIN="","",Year1_Wokingham Year1_CIN)</f>
        <v>563</v>
      </c>
      <c r="E31" s="94">
        <f>IF(Year2_Wokingham Year2_CIN="","",Year2_Wokingham Year2_CIN)</f>
        <v>667</v>
      </c>
      <c r="F31" s="94">
        <f>IF(Year3_Wokingham Year3_CIN="","",Year3_Wokingham Year3_CIN)</f>
        <v>969</v>
      </c>
      <c r="G31" s="94">
        <f>IF(Year4_Wokingham Year4_CIN="","",Year4_Wokingham Year4_CIN)</f>
        <v>898</v>
      </c>
      <c r="H31" s="95">
        <f>IF(Year5_Wokingham Year5_CIN="","",Year5_Wokingham Year5_CIN)</f>
        <v>1039</v>
      </c>
      <c r="I31" s="344">
        <f t="shared" si="2"/>
        <v>0.18031061968258646</v>
      </c>
      <c r="J31" s="96"/>
      <c r="K31" s="97">
        <f>IF(ISNUMBER(D31),D31/Population!D31*10000,NA())</f>
        <v>150.93833780160858</v>
      </c>
      <c r="L31" s="97">
        <f>IF(ISNUMBER(E31),E31/Population!E31*10000,NA())</f>
        <v>175.52631578947367</v>
      </c>
      <c r="M31" s="97">
        <f>IF(ISNUMBER(F31),F31/Population!F31*10000,NA())</f>
        <v>250.3875968992248</v>
      </c>
      <c r="N31" s="97">
        <f>IF(ISNUMBER(G31),G31/Population!G31*10000,NA())</f>
        <v>227.34177215189874</v>
      </c>
      <c r="O31" s="98">
        <f>IF(ISNUMBER(H31),H31/Population!H31*10000,NA())</f>
        <v>257.17821782178214</v>
      </c>
      <c r="P31" s="99">
        <f t="shared" si="3"/>
        <v>257.17821782178214</v>
      </c>
      <c r="Q31" s="933">
        <f t="shared" si="4"/>
        <v>3</v>
      </c>
      <c r="R31" s="70"/>
      <c r="S31" s="340">
        <f>IDACI!C30</f>
        <v>5.6000000000000005</v>
      </c>
      <c r="T31" s="341">
        <f t="shared" si="0"/>
        <v>229.39988682808692</v>
      </c>
      <c r="U31" s="342">
        <f t="shared" si="5"/>
        <v>27.778330993695221</v>
      </c>
      <c r="V31" s="122"/>
      <c r="W31" s="139"/>
      <c r="X31" s="152"/>
      <c r="Y31" s="72" t="str">
        <f t="shared" si="1"/>
        <v>Wokingham</v>
      </c>
      <c r="Z31" s="44">
        <f>IF(ISNUMBER($H31),IDACI!D30,0)</f>
        <v>33327</v>
      </c>
      <c r="AA31" s="44">
        <f>IF(ISNUMBER($H31),IDACI!E30,0)</f>
        <v>1866.3120000000004</v>
      </c>
      <c r="AB31" s="205">
        <f>IF(ISNUMBER(D31),Population!D31,"")</f>
        <v>37300</v>
      </c>
      <c r="AC31" s="205">
        <f>IF(ISNUMBER(E31),Population!E31,"")</f>
        <v>38000</v>
      </c>
      <c r="AD31" s="205">
        <f>IF(ISNUMBER(F31),Population!F31,"")</f>
        <v>38700</v>
      </c>
      <c r="AE31" s="205">
        <f>IF(ISNUMBER(G31),Population!G31,"")</f>
        <v>39500</v>
      </c>
      <c r="AF31" s="205">
        <f>IF(ISNUMBER(H31),Population!H31,"")</f>
        <v>40400</v>
      </c>
      <c r="AG31" s="202"/>
      <c r="AH31" s="202"/>
      <c r="AI31" s="190"/>
      <c r="AJ31" s="202"/>
      <c r="AK31" s="160"/>
      <c r="AL31" s="853">
        <f t="shared" si="8"/>
        <v>0.1847246891651865</v>
      </c>
      <c r="AM31" s="853">
        <f t="shared" si="9"/>
        <v>0.45277361319340331</v>
      </c>
      <c r="AN31" s="853">
        <f t="shared" si="10"/>
        <v>-7.3271413828689375E-2</v>
      </c>
      <c r="AO31" s="853">
        <f t="shared" si="11"/>
        <v>0.15701559020044542</v>
      </c>
      <c r="AP31" s="853">
        <f t="shared" si="12"/>
        <v>0.18031061968258646</v>
      </c>
      <c r="AR31" s="1024"/>
      <c r="AS31" s="1024"/>
      <c r="AT31" s="1024"/>
      <c r="AU31" s="1024"/>
      <c r="AV31" s="1024"/>
      <c r="AW31" s="202"/>
      <c r="AX31" s="1024"/>
    </row>
    <row r="32" spans="1:50" s="87" customFormat="1" ht="13.5" customHeight="1" x14ac:dyDescent="0.2">
      <c r="A32" s="121"/>
      <c r="B32" s="129" t="str">
        <f>Sheet1!$K$26</f>
        <v>South East</v>
      </c>
      <c r="C32" s="85"/>
      <c r="D32" s="130">
        <f>IF(Year1_SouthEast Year1_CIN="","",Year1_SouthEast Year1_CIN)</f>
        <v>58110</v>
      </c>
      <c r="E32" s="130">
        <f>IF(Year2_SouthEast Year2_CIN="","",Year2_SouthEast Year2_CIN)</f>
        <v>58470</v>
      </c>
      <c r="F32" s="130">
        <f>IF(Year3_SouthEast Year3_CIN="","",Year3_SouthEast Year3_CIN)</f>
        <v>61720</v>
      </c>
      <c r="G32" s="130">
        <f>IF(Year4_SouthEast Year4_CIN="","",Year4_SouthEast Year4_CIN)</f>
        <v>59470</v>
      </c>
      <c r="H32" s="131">
        <f>IF(Year5_SouthEast Year5_CIN="","",Year5_SouthEast Year5_CIN)</f>
        <v>59950</v>
      </c>
      <c r="I32" s="357">
        <f t="shared" si="2"/>
        <v>1.7592838103906452E-3</v>
      </c>
      <c r="J32" s="96"/>
      <c r="K32" s="132">
        <f>IF(ISNUMBER(D32),D32/AB32*10000,NA())</f>
        <v>302.95605025806788</v>
      </c>
      <c r="L32" s="132">
        <f>IF(ISNUMBER(E32),E32/AC32*10000,NA())</f>
        <v>302.46753918576377</v>
      </c>
      <c r="M32" s="132">
        <f>IF(ISNUMBER(F32),F32/AD32*10000,NA())</f>
        <v>317.50604454961672</v>
      </c>
      <c r="N32" s="132">
        <f>IF(ISNUMBER(G32),G32/AE32*10000,NA())</f>
        <v>303.82139572902832</v>
      </c>
      <c r="O32" s="133">
        <f>IF(ISNUMBER(H32),H32/AF32*10000,NA())</f>
        <v>304.4383505992281</v>
      </c>
      <c r="P32" s="99">
        <f t="shared" si="3"/>
        <v>304.4383505992281</v>
      </c>
      <c r="Q32" s="931" t="str">
        <f t="shared" si="4"/>
        <v>--</v>
      </c>
      <c r="R32" s="70"/>
      <c r="S32" s="338">
        <f>AA32/Z32*100</f>
        <v>12.371268250968637</v>
      </c>
      <c r="T32" s="132">
        <f t="shared" si="0"/>
        <v>299.88117891825095</v>
      </c>
      <c r="U32" s="343">
        <f t="shared" si="5"/>
        <v>4.5571716809771488</v>
      </c>
      <c r="V32" s="122"/>
      <c r="W32" s="139"/>
      <c r="X32" s="152"/>
      <c r="Y32" s="72" t="str">
        <f t="shared" si="1"/>
        <v>South East</v>
      </c>
      <c r="Z32" s="44">
        <f>SUM(Z24:Z25,Z10:Z22,Z28:Z31)</f>
        <v>1704978</v>
      </c>
      <c r="AA32" s="44">
        <f>SUM(AA24:AA25,AA10:AA22,AA28:AA31)</f>
        <v>210927.40200000003</v>
      </c>
      <c r="AB32" s="205">
        <f>SUM(AB10:AB22,AB24:AB25,AB28:AB31)</f>
        <v>1918100</v>
      </c>
      <c r="AC32" s="205">
        <f t="shared" ref="AC32:AF32" si="13">SUM(AC10:AC22,AC24:AC25,AC28:AC31)</f>
        <v>1933100</v>
      </c>
      <c r="AD32" s="205">
        <f t="shared" si="13"/>
        <v>1943900</v>
      </c>
      <c r="AE32" s="205">
        <f t="shared" si="13"/>
        <v>1957400</v>
      </c>
      <c r="AF32" s="205">
        <f t="shared" si="13"/>
        <v>1969200</v>
      </c>
      <c r="AG32" s="202"/>
      <c r="AH32" s="202"/>
      <c r="AI32" s="190"/>
      <c r="AJ32" s="202"/>
      <c r="AK32" s="160"/>
      <c r="AL32" s="1025">
        <f>IF(ISERROR((L32-K32)/K32),"x",(L32-K32)/K32)</f>
        <v>-1.6124816516718413E-3</v>
      </c>
      <c r="AM32" s="1025">
        <f t="shared" ref="AM32:AO32" si="14">IF(ISERROR((M32-L32)/L32),"x",(M32-L32)/L32)</f>
        <v>4.9719402631886671E-2</v>
      </c>
      <c r="AN32" s="1025">
        <f t="shared" si="14"/>
        <v>-4.3100435583833085E-2</v>
      </c>
      <c r="AO32" s="1025">
        <f t="shared" si="14"/>
        <v>2.0306498451808362E-3</v>
      </c>
      <c r="AP32" s="853">
        <f t="shared" si="12"/>
        <v>1.7592838103906452E-3</v>
      </c>
      <c r="AR32" s="1024"/>
      <c r="AS32" s="1024"/>
      <c r="AT32" s="1024"/>
      <c r="AU32" s="1024"/>
      <c r="AV32" s="1024"/>
      <c r="AW32" s="202"/>
      <c r="AX32" s="1024"/>
    </row>
    <row r="33" spans="1:50" s="87" customFormat="1" ht="12.75" x14ac:dyDescent="0.2">
      <c r="A33" s="292"/>
      <c r="B33" s="329" t="str">
        <f>Sheet1!$K$27</f>
        <v>England</v>
      </c>
      <c r="C33" s="85"/>
      <c r="D33" s="330">
        <f>IF(Year1_England Year1_CIN="","",Year1_England Year1_CIN)</f>
        <v>394400</v>
      </c>
      <c r="E33" s="330">
        <f>IF(Year2_England Year2_CIN="","",Year2_England Year2_CIN)</f>
        <v>389430</v>
      </c>
      <c r="F33" s="330">
        <f>IF(Year3_England Year3_CIN="","",Year3_England Year3_CIN)</f>
        <v>404710</v>
      </c>
      <c r="G33" s="330">
        <f>IF(Year4_England Year4_CIN="","",Year4_England Year4_CIN)</f>
        <v>399510</v>
      </c>
      <c r="H33" s="331">
        <f>IF(Year5_England Year5_CIN="","",Year5_England Year5_CIN)</f>
        <v>389260</v>
      </c>
      <c r="I33" s="358">
        <f t="shared" si="2"/>
        <v>-2.9674305411662772E-3</v>
      </c>
      <c r="J33" s="96"/>
      <c r="K33" s="332">
        <f>IF(ISNUMBER(D33),D33/Population!D33*10000,NA())</f>
        <v>337.73195523167698</v>
      </c>
      <c r="L33" s="332">
        <f>IF(ISNUMBER(E33),E33/Population!E33*10000,NA())</f>
        <v>330.43706990912409</v>
      </c>
      <c r="M33" s="332">
        <f>IF(ISNUMBER(F33),F33/Population!F33*10000,NA())</f>
        <v>341.03817308502573</v>
      </c>
      <c r="N33" s="332">
        <f>IF(ISNUMBER(G33),G33/Population!G33*10000,NA())</f>
        <v>334.18934970638912</v>
      </c>
      <c r="O33" s="333">
        <f>IF(ISNUMBER(H33),H33/Population!H33*10000,NA())</f>
        <v>323.74663162447183</v>
      </c>
      <c r="P33" s="99">
        <f t="shared" si="3"/>
        <v>323.74663162447183</v>
      </c>
      <c r="Q33" s="932" t="str">
        <f t="shared" si="4"/>
        <v>--</v>
      </c>
      <c r="R33" s="70"/>
      <c r="S33" s="339">
        <f>IDACI!C32</f>
        <v>17.084413405029373</v>
      </c>
      <c r="T33" s="332">
        <f t="shared" si="0"/>
        <v>348.9397227470493</v>
      </c>
      <c r="U33" s="624">
        <f t="shared" si="5"/>
        <v>-25.193091122577471</v>
      </c>
      <c r="V33" s="122"/>
      <c r="W33" s="139"/>
      <c r="X33" s="152"/>
      <c r="Y33" s="72" t="str">
        <f t="shared" si="1"/>
        <v>England</v>
      </c>
      <c r="Z33" s="44">
        <f>IF(H33&gt;0,IDACI!D32,0)</f>
        <v>10405050</v>
      </c>
      <c r="AA33" s="44">
        <f>IF(H33&gt;0,IDACI!E32,0)</f>
        <v>1777641.7570000088</v>
      </c>
      <c r="AB33" s="205">
        <f>IF(ISNUMBER(D33),Population!D33,"")</f>
        <v>11677900</v>
      </c>
      <c r="AC33" s="205">
        <f>IF(ISNUMBER(E33),Population!E33,"")</f>
        <v>11785300</v>
      </c>
      <c r="AD33" s="205">
        <f>IF(ISNUMBER(F33),Population!F33,"")</f>
        <v>11867000</v>
      </c>
      <c r="AE33" s="205">
        <f>IF(ISNUMBER(G33),Population!G33,"")</f>
        <v>11954600</v>
      </c>
      <c r="AF33" s="205">
        <f>IF(ISNUMBER(H33),Population!H33,"")</f>
        <v>12023600</v>
      </c>
      <c r="AG33" s="202"/>
      <c r="AH33" s="202"/>
      <c r="AI33" s="190"/>
      <c r="AJ33" s="202"/>
      <c r="AK33" s="160"/>
      <c r="AL33" s="853">
        <f t="shared" si="8"/>
        <v>-1.2601419878296147E-2</v>
      </c>
      <c r="AM33" s="853">
        <f t="shared" si="9"/>
        <v>3.9236833320494054E-2</v>
      </c>
      <c r="AN33" s="853">
        <f t="shared" si="10"/>
        <v>-1.2848706481184058E-2</v>
      </c>
      <c r="AO33" s="853">
        <f t="shared" si="11"/>
        <v>-2.5656429125678958E-2</v>
      </c>
      <c r="AP33" s="853">
        <f>AVERAGE(AL33:AO33)</f>
        <v>-2.9674305411662772E-3</v>
      </c>
      <c r="AR33" s="1024"/>
      <c r="AS33" s="1024"/>
      <c r="AT33" s="1024"/>
      <c r="AU33" s="1024"/>
      <c r="AV33" s="1024"/>
      <c r="AW33" s="202"/>
      <c r="AX33" s="1024"/>
    </row>
    <row r="34" spans="1:50" s="81" customFormat="1" ht="13.5" customHeight="1" x14ac:dyDescent="0.2">
      <c r="A34" s="118"/>
      <c r="B34" s="123" t="s">
        <v>90</v>
      </c>
      <c r="C34" s="63"/>
      <c r="D34" s="63"/>
      <c r="E34" s="63"/>
      <c r="F34" s="63"/>
      <c r="G34" s="63"/>
      <c r="H34" s="63"/>
      <c r="I34" s="63"/>
      <c r="J34" s="63"/>
      <c r="K34" s="63"/>
      <c r="L34" s="63"/>
      <c r="M34" s="63"/>
      <c r="N34" s="63"/>
      <c r="O34" s="63"/>
      <c r="P34" s="63"/>
      <c r="Q34" s="136" t="s">
        <v>108</v>
      </c>
      <c r="S34" s="63"/>
      <c r="T34" s="63"/>
      <c r="U34" s="63"/>
      <c r="V34" s="117"/>
      <c r="W34" s="137"/>
      <c r="X34" s="150"/>
      <c r="Y34" s="80"/>
      <c r="Z34" s="184"/>
      <c r="AA34" s="184"/>
      <c r="AB34" s="184"/>
      <c r="AC34" s="184"/>
      <c r="AD34" s="184"/>
      <c r="AE34" s="184"/>
      <c r="AF34" s="184"/>
      <c r="AG34" s="184"/>
      <c r="AH34" s="184"/>
      <c r="AJ34" s="184"/>
      <c r="AK34" s="161"/>
    </row>
    <row r="35" spans="1:50" s="81" customFormat="1" ht="27" customHeight="1" x14ac:dyDescent="0.2">
      <c r="A35" s="118"/>
      <c r="B35" s="1762"/>
      <c r="C35" s="1825"/>
      <c r="D35" s="1825"/>
      <c r="E35" s="1825"/>
      <c r="F35" s="1825"/>
      <c r="G35" s="1825"/>
      <c r="H35" s="1825"/>
      <c r="I35" s="1825"/>
      <c r="J35" s="1825"/>
      <c r="K35" s="1825"/>
      <c r="L35" s="1825"/>
      <c r="M35" s="1825"/>
      <c r="N35" s="1825"/>
      <c r="O35" s="1825"/>
      <c r="P35" s="1825"/>
      <c r="Q35" s="1825"/>
      <c r="R35" s="1825"/>
      <c r="S35" s="1825"/>
      <c r="T35" s="1825"/>
      <c r="U35" s="1826"/>
      <c r="V35" s="117"/>
      <c r="W35" s="137"/>
      <c r="X35" s="150"/>
      <c r="Y35" s="80"/>
      <c r="Z35" s="184"/>
      <c r="AA35" s="184"/>
      <c r="AB35" s="184"/>
      <c r="AC35" s="184"/>
      <c r="AD35" s="184"/>
      <c r="AE35" s="184"/>
      <c r="AF35" s="184"/>
      <c r="AG35" s="184"/>
      <c r="AH35" s="184"/>
      <c r="AJ35" s="184"/>
      <c r="AK35" s="157"/>
      <c r="AL35" s="74"/>
      <c r="AM35" s="74"/>
      <c r="AN35" s="74"/>
      <c r="AO35" s="74"/>
      <c r="AP35" s="74"/>
      <c r="AQ35" s="74"/>
      <c r="AR35" s="74"/>
    </row>
    <row r="36" spans="1:50" s="81" customFormat="1" ht="7.5" customHeight="1" x14ac:dyDescent="0.2">
      <c r="A36" s="118"/>
      <c r="B36" s="17"/>
      <c r="C36" s="17"/>
      <c r="D36" s="16"/>
      <c r="E36" s="16"/>
      <c r="F36" s="16"/>
      <c r="G36" s="16"/>
      <c r="H36" s="16"/>
      <c r="I36" s="16"/>
      <c r="J36" s="12"/>
      <c r="K36" s="18"/>
      <c r="L36" s="18"/>
      <c r="M36" s="18"/>
      <c r="N36" s="18"/>
      <c r="O36" s="18"/>
      <c r="P36" s="18"/>
      <c r="Q36" s="18"/>
      <c r="R36" s="18"/>
      <c r="S36" s="18"/>
      <c r="T36" s="18"/>
      <c r="U36" s="19"/>
      <c r="V36" s="117"/>
      <c r="W36" s="137"/>
      <c r="X36" s="150"/>
      <c r="Z36" s="190"/>
      <c r="AJ36" s="184"/>
      <c r="AK36" s="157"/>
      <c r="AL36" s="74"/>
      <c r="AM36" s="74"/>
      <c r="AN36" s="74"/>
      <c r="AO36" s="74"/>
      <c r="AP36" s="74"/>
      <c r="AQ36" s="74"/>
      <c r="AR36" s="74"/>
    </row>
    <row r="37" spans="1:50" s="81" customFormat="1" ht="15" customHeight="1" x14ac:dyDescent="0.2">
      <c r="A37" s="1716"/>
      <c r="B37" s="1760"/>
      <c r="C37" s="1760"/>
      <c r="D37" s="1760"/>
      <c r="E37" s="1760"/>
      <c r="F37" s="1760"/>
      <c r="G37" s="1760"/>
      <c r="H37" s="1760"/>
      <c r="I37" s="1760"/>
      <c r="J37" s="1760"/>
      <c r="K37" s="1760"/>
      <c r="L37" s="1760"/>
      <c r="M37" s="1760"/>
      <c r="N37" s="1760"/>
      <c r="O37" s="1760"/>
      <c r="P37" s="1760"/>
      <c r="Q37" s="1760"/>
      <c r="R37" s="1760"/>
      <c r="S37" s="1760"/>
      <c r="T37" s="1760"/>
      <c r="U37" s="1760"/>
      <c r="V37" s="1761"/>
      <c r="W37" s="137"/>
      <c r="X37" s="150"/>
      <c r="Z37" s="190"/>
      <c r="AK37" s="161"/>
      <c r="AM37" s="81">
        <f>COLUMNS($B$4:K$4)</f>
        <v>10</v>
      </c>
      <c r="AN37" s="81">
        <f>COLUMNS($B$4:L$4)</f>
        <v>11</v>
      </c>
      <c r="AO37" s="81">
        <f>COLUMNS($B$4:M$4)</f>
        <v>12</v>
      </c>
      <c r="AP37" s="81">
        <f>COLUMNS($B$4:N$4)</f>
        <v>13</v>
      </c>
      <c r="AQ37" s="81">
        <f>COLUMNS($B$4:O$4)</f>
        <v>14</v>
      </c>
      <c r="AR37" s="81">
        <f>COLUMNS($B$4:S$4)</f>
        <v>18</v>
      </c>
    </row>
    <row r="38" spans="1:50" s="81" customFormat="1" ht="11.1" customHeight="1" x14ac:dyDescent="0.2">
      <c r="A38" s="1765" t="str">
        <f>Home!$A$39</f>
        <v xml:space="preserve"> </v>
      </c>
      <c r="B38" s="1766"/>
      <c r="C38" s="1766"/>
      <c r="D38" s="1766"/>
      <c r="E38" s="1766"/>
      <c r="F38" s="1766"/>
      <c r="G38" s="1766"/>
      <c r="H38" s="1766"/>
      <c r="I38" s="1767"/>
      <c r="J38" s="1766"/>
      <c r="K38" s="1766"/>
      <c r="L38" s="1766"/>
      <c r="M38" s="1766"/>
      <c r="N38" s="1766"/>
      <c r="O38" s="1766"/>
      <c r="P38" s="1768"/>
      <c r="Q38" s="1766"/>
      <c r="R38" s="1766"/>
      <c r="S38" s="1766"/>
      <c r="T38" s="1767"/>
      <c r="U38" s="1766"/>
      <c r="V38" s="1769"/>
      <c r="W38" s="137"/>
      <c r="X38" s="150"/>
      <c r="Z38" s="190"/>
      <c r="AJ38" s="184"/>
      <c r="AK38" s="160"/>
      <c r="AL38" s="87"/>
      <c r="AM38" s="1793" t="s">
        <v>89</v>
      </c>
      <c r="AN38" s="1794"/>
      <c r="AO38" s="1794"/>
      <c r="AP38" s="1794"/>
      <c r="AQ38" s="1795"/>
      <c r="AR38" s="1907" t="s">
        <v>1213</v>
      </c>
    </row>
    <row r="39" spans="1:50" s="81" customFormat="1" ht="11.25" customHeight="1" x14ac:dyDescent="0.2">
      <c r="A39" s="112"/>
      <c r="B39" s="113"/>
      <c r="C39" s="113"/>
      <c r="D39" s="113"/>
      <c r="E39" s="113"/>
      <c r="F39" s="113"/>
      <c r="G39" s="113"/>
      <c r="H39" s="113"/>
      <c r="I39" s="113"/>
      <c r="J39" s="114"/>
      <c r="K39" s="113"/>
      <c r="L39" s="113"/>
      <c r="M39" s="113"/>
      <c r="N39" s="113"/>
      <c r="O39" s="113"/>
      <c r="P39" s="113"/>
      <c r="Q39" s="113"/>
      <c r="R39" s="113"/>
      <c r="S39" s="113"/>
      <c r="T39" s="113"/>
      <c r="U39" s="113"/>
      <c r="V39" s="115"/>
      <c r="W39" s="137"/>
      <c r="X39" s="149" t="s">
        <v>101</v>
      </c>
      <c r="Y39" s="197"/>
      <c r="Z39" s="197"/>
      <c r="AA39" s="197"/>
      <c r="AB39" s="197"/>
      <c r="AC39" s="197"/>
      <c r="AJ39" s="184"/>
      <c r="AK39" s="160"/>
      <c r="AL39" s="87"/>
      <c r="AM39" s="758" t="str">
        <f>Sheet1!$D$27</f>
        <v>2015-16</v>
      </c>
      <c r="AN39" s="758" t="str">
        <f>Sheet1!$E$27</f>
        <v>2016-17</v>
      </c>
      <c r="AO39" s="758" t="str">
        <f>Sheet1!$F$27</f>
        <v>2017-18</v>
      </c>
      <c r="AP39" s="758" t="str">
        <f>Sheet1!$G$27</f>
        <v>2018-19</v>
      </c>
      <c r="AQ39" s="758" t="str">
        <f>Sheet1!$H$27</f>
        <v>2019-20</v>
      </c>
      <c r="AR39" s="1908"/>
    </row>
    <row r="40" spans="1:50" s="81" customFormat="1" ht="3.75" customHeight="1" x14ac:dyDescent="0.25">
      <c r="A40" s="116"/>
      <c r="B40" s="9"/>
      <c r="C40" s="9"/>
      <c r="D40" s="9"/>
      <c r="E40" s="9"/>
      <c r="F40" s="9"/>
      <c r="G40" s="9"/>
      <c r="H40" s="9"/>
      <c r="I40" s="9"/>
      <c r="J40" s="12"/>
      <c r="K40" s="9"/>
      <c r="L40" s="9"/>
      <c r="M40" s="9"/>
      <c r="N40" s="9"/>
      <c r="O40" s="9"/>
      <c r="P40" s="9"/>
      <c r="Q40" s="9"/>
      <c r="R40" s="9"/>
      <c r="S40" s="9"/>
      <c r="T40" s="9"/>
      <c r="U40" s="9"/>
      <c r="V40" s="117"/>
      <c r="W40" s="137"/>
      <c r="X40" s="294"/>
      <c r="AD40" s="1320" t="s">
        <v>977</v>
      </c>
      <c r="AK40" s="160"/>
      <c r="AL40" s="87"/>
      <c r="AM40" s="758" t="e">
        <f>Sheet1!$D$28</f>
        <v>#N/A</v>
      </c>
      <c r="AN40" s="758" t="e">
        <f>Sheet1!$E$28</f>
        <v>#N/A</v>
      </c>
      <c r="AO40" s="758" t="e">
        <f>Sheet1!$F$28</f>
        <v>#N/A</v>
      </c>
      <c r="AP40" s="758" t="e">
        <f>Sheet1!$G$28</f>
        <v>#N/A</v>
      </c>
      <c r="AQ40" s="758" t="e">
        <f>Sheet1!$H$28</f>
        <v>#N/A</v>
      </c>
      <c r="AR40" s="1909"/>
    </row>
    <row r="41" spans="1:50" s="81" customFormat="1" ht="14.25" customHeight="1" x14ac:dyDescent="0.2">
      <c r="A41" s="118"/>
      <c r="B41" s="9"/>
      <c r="C41" s="9"/>
      <c r="D41" s="9"/>
      <c r="E41" s="9"/>
      <c r="F41" s="9"/>
      <c r="G41" s="9"/>
      <c r="H41" s="9"/>
      <c r="I41" s="9"/>
      <c r="J41" s="12"/>
      <c r="K41" s="9"/>
      <c r="L41" s="9"/>
      <c r="M41" s="9"/>
      <c r="N41" s="9"/>
      <c r="O41" s="9"/>
      <c r="P41" s="9"/>
      <c r="Q41" s="9"/>
      <c r="R41" s="9"/>
      <c r="S41" s="9"/>
      <c r="T41" s="9"/>
      <c r="U41" s="9"/>
      <c r="V41" s="117"/>
      <c r="W41" s="137"/>
      <c r="X41" s="294"/>
      <c r="Y41" s="43" t="s">
        <v>72</v>
      </c>
      <c r="Z41" s="43" t="s">
        <v>70</v>
      </c>
      <c r="AA41" s="43" t="s">
        <v>71</v>
      </c>
      <c r="AB41" s="1194">
        <v>5</v>
      </c>
      <c r="AC41" s="216">
        <f>(AB41*Z42)+AA42</f>
        <v>231.10716165396747</v>
      </c>
      <c r="AD41" s="206">
        <f>ROUND(ChartLabels!$AA10,3)</f>
        <v>0.69099999999999995</v>
      </c>
      <c r="AJ41" s="585" t="b">
        <v>1</v>
      </c>
      <c r="AK41" s="160" t="s">
        <v>0</v>
      </c>
      <c r="AL41" s="87" t="str">
        <f t="shared" ref="AL41:AL64" si="15">IF(AJ41=TRUE,B10,"")</f>
        <v>Bracknell Forest</v>
      </c>
      <c r="AM41" s="146">
        <f t="shared" ref="AM41:AQ50" si="16">VLOOKUP($AL41,$B$10:$O$33,AM$37,FALSE)</f>
        <v>297.51773049645391</v>
      </c>
      <c r="AN41" s="146">
        <f t="shared" si="16"/>
        <v>347.87234042553189</v>
      </c>
      <c r="AO41" s="146">
        <f t="shared" si="16"/>
        <v>353.38078291814946</v>
      </c>
      <c r="AP41" s="146">
        <f t="shared" si="16"/>
        <v>368.55123674911658</v>
      </c>
      <c r="AQ41" s="146">
        <f t="shared" si="16"/>
        <v>309.50704225352109</v>
      </c>
      <c r="AR41" s="147">
        <f>VLOOKUP(AL41,$B$10:$U$33,$AR$37,FALSE)</f>
        <v>8.9</v>
      </c>
    </row>
    <row r="42" spans="1:50" s="81" customFormat="1" ht="14.25" customHeight="1" x14ac:dyDescent="0.2">
      <c r="A42" s="118"/>
      <c r="B42" s="9"/>
      <c r="C42" s="9"/>
      <c r="D42" s="9"/>
      <c r="E42" s="9"/>
      <c r="F42" s="9"/>
      <c r="G42" s="9"/>
      <c r="H42" s="9"/>
      <c r="I42" s="9"/>
      <c r="J42" s="12"/>
      <c r="K42" s="9"/>
      <c r="L42" s="9"/>
      <c r="M42" s="9"/>
      <c r="N42" s="9"/>
      <c r="O42" s="9"/>
      <c r="P42" s="9"/>
      <c r="Q42" s="9"/>
      <c r="R42" s="9"/>
      <c r="S42" s="9"/>
      <c r="T42" s="9"/>
      <c r="U42" s="9"/>
      <c r="V42" s="117"/>
      <c r="W42" s="137"/>
      <c r="X42" s="294"/>
      <c r="Y42" s="212" t="str">
        <f>"Y= "&amp;Z42&amp;"x + "&amp;AA42</f>
        <v>Y= 12.1279658751667x + 170.467332278134</v>
      </c>
      <c r="Z42" s="743">
        <f>ChartLabels!$Y10</f>
        <v>12.127965875166677</v>
      </c>
      <c r="AA42" s="743">
        <f>ChartLabels!$Z10</f>
        <v>170.46733227813408</v>
      </c>
      <c r="AB42" s="215">
        <v>35</v>
      </c>
      <c r="AC42" s="216">
        <f>(AB42*Z42)+AA42</f>
        <v>594.94613790896778</v>
      </c>
      <c r="AD42" s="1319" t="str">
        <f>AD40&amp;" = "&amp;AD41</f>
        <v>r² = 0.691</v>
      </c>
      <c r="AJ42" s="585" t="b">
        <v>1</v>
      </c>
      <c r="AK42" s="160" t="s">
        <v>31</v>
      </c>
      <c r="AL42" s="87" t="str">
        <f t="shared" si="15"/>
        <v>Brighton &amp; Hove</v>
      </c>
      <c r="AM42" s="146">
        <f t="shared" si="16"/>
        <v>458.3984375</v>
      </c>
      <c r="AN42" s="146">
        <f t="shared" si="16"/>
        <v>422.22222222222223</v>
      </c>
      <c r="AO42" s="146">
        <f t="shared" si="16"/>
        <v>426.47058823529414</v>
      </c>
      <c r="AP42" s="146">
        <f t="shared" si="16"/>
        <v>399.80392156862746</v>
      </c>
      <c r="AQ42" s="146">
        <f t="shared" si="16"/>
        <v>360.83499005964211</v>
      </c>
      <c r="AR42" s="147">
        <f t="shared" ref="AR42:AR64" si="17">VLOOKUP(AL42,$B$10:$U$33,$AR$37,FALSE)</f>
        <v>15.299999999999999</v>
      </c>
    </row>
    <row r="43" spans="1:50" ht="14.25" customHeight="1" x14ac:dyDescent="0.2">
      <c r="A43" s="118"/>
      <c r="B43" s="9"/>
      <c r="C43" s="9"/>
      <c r="D43" s="9"/>
      <c r="E43" s="9"/>
      <c r="F43" s="9"/>
      <c r="G43" s="9"/>
      <c r="H43" s="9"/>
      <c r="I43" s="9"/>
      <c r="J43" s="12"/>
      <c r="K43" s="9"/>
      <c r="L43" s="9"/>
      <c r="M43" s="9"/>
      <c r="N43" s="9"/>
      <c r="O43" s="9"/>
      <c r="P43" s="9"/>
      <c r="Q43" s="9"/>
      <c r="R43" s="9"/>
      <c r="S43" s="9"/>
      <c r="T43" s="9"/>
      <c r="U43" s="9"/>
      <c r="V43" s="117"/>
      <c r="W43" s="137"/>
      <c r="X43" s="294"/>
      <c r="Y43" s="43" t="str">
        <f>"National Trend "&amp;Sheet1!$B$8</f>
        <v>National Trend 2020</v>
      </c>
      <c r="Z43" s="209" t="s">
        <v>70</v>
      </c>
      <c r="AA43" s="43" t="s">
        <v>71</v>
      </c>
      <c r="AB43" s="1194">
        <v>5</v>
      </c>
      <c r="AC43" s="211">
        <f>((AB43*Z44)+AA44)/$Y$2</f>
        <v>223.15456118350784</v>
      </c>
      <c r="AD43" s="1319" t="str">
        <f>$AD$40&amp;" = "&amp;AD44</f>
        <v>r² = 0.29</v>
      </c>
      <c r="AJ43" s="585" t="b">
        <v>1</v>
      </c>
      <c r="AK43" s="160" t="s">
        <v>8</v>
      </c>
      <c r="AL43" s="87" t="str">
        <f t="shared" si="15"/>
        <v>Buckinghamshire</v>
      </c>
      <c r="AM43" s="146">
        <f t="shared" si="16"/>
        <v>218.49087893864015</v>
      </c>
      <c r="AN43" s="146">
        <f t="shared" si="16"/>
        <v>275.20458265139115</v>
      </c>
      <c r="AO43" s="146">
        <f t="shared" si="16"/>
        <v>301.70593013809912</v>
      </c>
      <c r="AP43" s="146">
        <f t="shared" si="16"/>
        <v>268.54384553499597</v>
      </c>
      <c r="AQ43" s="146">
        <f t="shared" si="16"/>
        <v>264.75735879077166</v>
      </c>
      <c r="AR43" s="147">
        <f t="shared" si="17"/>
        <v>8.5</v>
      </c>
      <c r="AS43" s="81"/>
      <c r="AT43" s="81"/>
      <c r="AU43" s="81"/>
      <c r="AV43" s="81"/>
      <c r="AW43" s="81"/>
      <c r="AX43" s="81"/>
    </row>
    <row r="44" spans="1:50" ht="14.25" customHeight="1" x14ac:dyDescent="0.2">
      <c r="A44" s="118"/>
      <c r="B44" s="9"/>
      <c r="C44" s="9"/>
      <c r="D44" s="9"/>
      <c r="E44" s="9"/>
      <c r="F44" s="9"/>
      <c r="G44" s="9"/>
      <c r="H44" s="9"/>
      <c r="I44" s="9"/>
      <c r="J44" s="12"/>
      <c r="K44" s="13"/>
      <c r="L44" s="13"/>
      <c r="M44" s="13"/>
      <c r="N44" s="13"/>
      <c r="O44" s="14"/>
      <c r="P44" s="14"/>
      <c r="Q44" s="14"/>
      <c r="R44" s="14"/>
      <c r="S44" s="14"/>
      <c r="T44" s="14"/>
      <c r="U44" s="14"/>
      <c r="V44" s="117"/>
      <c r="W44" s="137"/>
      <c r="X44" s="294"/>
      <c r="Y44" s="212" t="str">
        <f>"Y= "&amp;Z44&amp;"x + "&amp;AA44</f>
        <v>Y= 10.4088760742984x + 171.110180812016</v>
      </c>
      <c r="Z44" s="743">
        <f>Sheet1!$G$7</f>
        <v>10.40887607429843</v>
      </c>
      <c r="AA44" s="743">
        <f>Sheet1!$G$8</f>
        <v>171.1101808120157</v>
      </c>
      <c r="AB44" s="215">
        <v>35</v>
      </c>
      <c r="AC44" s="216">
        <f>((AB44*Z44)+AA44)/$Y$2</f>
        <v>535.42084341246073</v>
      </c>
      <c r="AD44" s="1195">
        <f>ROUND(Sheet1!$G$9,3)</f>
        <v>0.28999999999999998</v>
      </c>
      <c r="AJ44" s="585" t="b">
        <v>1</v>
      </c>
      <c r="AK44" s="160" t="s">
        <v>4</v>
      </c>
      <c r="AL44" s="87" t="str">
        <f t="shared" si="15"/>
        <v>East Sussex</v>
      </c>
      <c r="AM44" s="146">
        <f t="shared" si="16"/>
        <v>283.19169027384328</v>
      </c>
      <c r="AN44" s="146">
        <f t="shared" si="16"/>
        <v>296.50613786591123</v>
      </c>
      <c r="AO44" s="146">
        <f t="shared" si="16"/>
        <v>295.66037735849056</v>
      </c>
      <c r="AP44" s="146">
        <f t="shared" si="16"/>
        <v>294.64285714285711</v>
      </c>
      <c r="AQ44" s="146">
        <f t="shared" si="16"/>
        <v>308.18438381937909</v>
      </c>
      <c r="AR44" s="147">
        <f t="shared" si="17"/>
        <v>16.100000000000001</v>
      </c>
      <c r="AS44" s="348"/>
      <c r="AT44" s="348"/>
      <c r="AU44" s="348"/>
      <c r="AV44" s="348"/>
      <c r="AW44" s="348"/>
      <c r="AX44" s="81"/>
    </row>
    <row r="45" spans="1:50" s="76" customFormat="1" ht="14.25" customHeight="1" x14ac:dyDescent="0.2">
      <c r="A45" s="119"/>
      <c r="B45" s="226"/>
      <c r="C45" s="226"/>
      <c r="D45" s="227"/>
      <c r="E45" s="227"/>
      <c r="F45" s="227"/>
      <c r="G45" s="227"/>
      <c r="H45" s="227"/>
      <c r="I45" s="227"/>
      <c r="J45" s="15"/>
      <c r="K45" s="9"/>
      <c r="L45" s="9"/>
      <c r="M45" s="9"/>
      <c r="N45" s="9"/>
      <c r="O45" s="9"/>
      <c r="P45" s="9"/>
      <c r="Q45" s="9"/>
      <c r="R45" s="9"/>
      <c r="S45" s="9"/>
      <c r="T45" s="9"/>
      <c r="U45" s="9"/>
      <c r="V45" s="120"/>
      <c r="W45" s="138"/>
      <c r="X45" s="295"/>
      <c r="AD45" s="81"/>
      <c r="AE45" s="81"/>
      <c r="AF45" s="81"/>
      <c r="AG45" s="81"/>
      <c r="AH45" s="81"/>
      <c r="AI45" s="81"/>
      <c r="AJ45" s="585" t="b">
        <v>1</v>
      </c>
      <c r="AK45" s="160" t="s">
        <v>6</v>
      </c>
      <c r="AL45" s="87" t="str">
        <f t="shared" si="15"/>
        <v>Hampshire</v>
      </c>
      <c r="AM45" s="146">
        <f t="shared" si="16"/>
        <v>309.7552323518978</v>
      </c>
      <c r="AN45" s="146">
        <f t="shared" si="16"/>
        <v>308.09759547383311</v>
      </c>
      <c r="AO45" s="146">
        <f t="shared" si="16"/>
        <v>292.44617013766327</v>
      </c>
      <c r="AP45" s="146">
        <f t="shared" si="16"/>
        <v>302.28873239436621</v>
      </c>
      <c r="AQ45" s="146">
        <f t="shared" si="16"/>
        <v>291.69890960253252</v>
      </c>
      <c r="AR45" s="147">
        <f t="shared" si="17"/>
        <v>10.100000000000001</v>
      </c>
      <c r="AS45" s="348"/>
      <c r="AT45" s="348"/>
      <c r="AU45" s="348"/>
      <c r="AV45" s="348"/>
      <c r="AW45" s="348"/>
    </row>
    <row r="46" spans="1:50" ht="14.25" customHeight="1" x14ac:dyDescent="0.2">
      <c r="A46" s="118"/>
      <c r="B46" s="227"/>
      <c r="C46" s="227"/>
      <c r="D46" s="227"/>
      <c r="E46" s="227"/>
      <c r="F46" s="227"/>
      <c r="G46" s="227"/>
      <c r="H46" s="227"/>
      <c r="I46" s="227"/>
      <c r="J46" s="12"/>
      <c r="K46" s="14"/>
      <c r="L46" s="14"/>
      <c r="M46" s="14"/>
      <c r="N46" s="14"/>
      <c r="O46" s="9"/>
      <c r="P46" s="9"/>
      <c r="Q46" s="9"/>
      <c r="R46" s="9"/>
      <c r="S46" s="9"/>
      <c r="T46" s="9"/>
      <c r="U46" s="9"/>
      <c r="V46" s="117"/>
      <c r="W46" s="137"/>
      <c r="X46" s="294"/>
      <c r="AJ46" s="585" t="b">
        <v>1</v>
      </c>
      <c r="AK46" s="160" t="s">
        <v>1</v>
      </c>
      <c r="AL46" s="87" t="str">
        <f t="shared" si="15"/>
        <v>Isle of Wight</v>
      </c>
      <c r="AM46" s="146">
        <f t="shared" si="16"/>
        <v>514.62450592885375</v>
      </c>
      <c r="AN46" s="146">
        <f t="shared" si="16"/>
        <v>494.84126984126982</v>
      </c>
      <c r="AO46" s="146">
        <f t="shared" si="16"/>
        <v>490.03984063745014</v>
      </c>
      <c r="AP46" s="146">
        <f t="shared" si="16"/>
        <v>473.09236947791163</v>
      </c>
      <c r="AQ46" s="146">
        <f t="shared" si="16"/>
        <v>472.87449392712551</v>
      </c>
      <c r="AR46" s="147">
        <f t="shared" si="17"/>
        <v>18</v>
      </c>
      <c r="AS46" s="348"/>
      <c r="AT46" s="348"/>
      <c r="AU46" s="348"/>
      <c r="AV46" s="348"/>
      <c r="AW46" s="348"/>
    </row>
    <row r="47" spans="1:50" ht="14.25" customHeight="1" x14ac:dyDescent="0.2">
      <c r="A47" s="118"/>
      <c r="B47" s="227"/>
      <c r="C47" s="227"/>
      <c r="D47" s="227"/>
      <c r="E47" s="227"/>
      <c r="F47" s="227"/>
      <c r="G47" s="227"/>
      <c r="H47" s="227"/>
      <c r="I47" s="227"/>
      <c r="J47" s="12"/>
      <c r="K47" s="14"/>
      <c r="L47" s="14"/>
      <c r="M47" s="14"/>
      <c r="N47" s="14"/>
      <c r="O47" s="9"/>
      <c r="P47" s="9"/>
      <c r="Q47" s="9"/>
      <c r="R47" s="9"/>
      <c r="S47" s="9"/>
      <c r="T47" s="9"/>
      <c r="U47" s="9"/>
      <c r="V47" s="117"/>
      <c r="W47" s="137"/>
      <c r="X47" s="294"/>
      <c r="AD47" s="207"/>
      <c r="AJ47" s="585" t="b">
        <v>1</v>
      </c>
      <c r="AK47" s="160" t="s">
        <v>9</v>
      </c>
      <c r="AL47" s="87" t="str">
        <f t="shared" si="15"/>
        <v>Kent</v>
      </c>
      <c r="AM47" s="146">
        <f t="shared" si="16"/>
        <v>281.17433414043586</v>
      </c>
      <c r="AN47" s="146">
        <f t="shared" si="16"/>
        <v>300.45045045045043</v>
      </c>
      <c r="AO47" s="146">
        <f t="shared" si="16"/>
        <v>298.09580481999404</v>
      </c>
      <c r="AP47" s="146">
        <f t="shared" si="16"/>
        <v>304.91032049397239</v>
      </c>
      <c r="AQ47" s="146">
        <f t="shared" si="16"/>
        <v>306.10820244328096</v>
      </c>
      <c r="AR47" s="147">
        <f t="shared" si="17"/>
        <v>15.8</v>
      </c>
      <c r="AS47" s="348"/>
      <c r="AT47" s="348"/>
      <c r="AU47" s="348"/>
      <c r="AV47" s="348"/>
      <c r="AW47" s="348"/>
    </row>
    <row r="48" spans="1:50" ht="14.25" customHeight="1" x14ac:dyDescent="0.2">
      <c r="A48" s="118"/>
      <c r="B48" s="58"/>
      <c r="C48" s="58"/>
      <c r="D48" s="58"/>
      <c r="E48" s="58"/>
      <c r="F48" s="58"/>
      <c r="G48" s="58"/>
      <c r="H48" s="58"/>
      <c r="I48" s="58"/>
      <c r="J48" s="12"/>
      <c r="K48" s="14"/>
      <c r="L48" s="14"/>
      <c r="M48" s="14"/>
      <c r="N48" s="14"/>
      <c r="O48" s="9"/>
      <c r="P48" s="9"/>
      <c r="Q48" s="9"/>
      <c r="R48" s="9"/>
      <c r="S48" s="9"/>
      <c r="T48" s="9"/>
      <c r="U48" s="9"/>
      <c r="V48" s="117"/>
      <c r="W48" s="137"/>
      <c r="X48" s="294"/>
      <c r="AD48" s="184"/>
      <c r="AJ48" s="585" t="b">
        <v>1</v>
      </c>
      <c r="AK48" s="160" t="s">
        <v>2</v>
      </c>
      <c r="AL48" s="87" t="str">
        <f t="shared" si="15"/>
        <v>Medway</v>
      </c>
      <c r="AM48" s="146">
        <f t="shared" si="16"/>
        <v>414.24050632911394</v>
      </c>
      <c r="AN48" s="146">
        <f t="shared" si="16"/>
        <v>278.80690737833595</v>
      </c>
      <c r="AO48" s="146">
        <f t="shared" si="16"/>
        <v>304.38184663536776</v>
      </c>
      <c r="AP48" s="146">
        <f t="shared" si="16"/>
        <v>375.31055900621118</v>
      </c>
      <c r="AQ48" s="146">
        <f t="shared" si="16"/>
        <v>354.30769230769232</v>
      </c>
      <c r="AR48" s="147">
        <f t="shared" si="17"/>
        <v>18.899999999999999</v>
      </c>
      <c r="AS48" s="348"/>
      <c r="AT48" s="348"/>
      <c r="AU48" s="348"/>
      <c r="AV48" s="348"/>
      <c r="AW48" s="348"/>
    </row>
    <row r="49" spans="1:49" ht="14.25" customHeight="1" x14ac:dyDescent="0.2">
      <c r="A49" s="118"/>
      <c r="B49" s="58"/>
      <c r="C49" s="58"/>
      <c r="D49" s="69"/>
      <c r="E49" s="70"/>
      <c r="F49" s="69"/>
      <c r="G49" s="70"/>
      <c r="H49" s="70"/>
      <c r="I49" s="70"/>
      <c r="J49" s="12"/>
      <c r="K49" s="14"/>
      <c r="L49" s="14"/>
      <c r="M49" s="14"/>
      <c r="N49" s="14"/>
      <c r="O49" s="9"/>
      <c r="P49" s="9"/>
      <c r="Q49" s="9"/>
      <c r="R49" s="9"/>
      <c r="S49" s="9"/>
      <c r="T49" s="9"/>
      <c r="U49" s="9"/>
      <c r="V49" s="117"/>
      <c r="W49" s="137"/>
      <c r="X49" s="294"/>
      <c r="AJ49" s="585" t="b">
        <v>1</v>
      </c>
      <c r="AK49" s="160" t="s">
        <v>10</v>
      </c>
      <c r="AL49" s="87" t="str">
        <f t="shared" si="15"/>
        <v>Milton Keynes</v>
      </c>
      <c r="AM49" s="146">
        <f t="shared" si="16"/>
        <v>261.72465960665659</v>
      </c>
      <c r="AN49" s="146">
        <f t="shared" si="16"/>
        <v>301.78837555886736</v>
      </c>
      <c r="AO49" s="146">
        <f t="shared" si="16"/>
        <v>277.21893491124263</v>
      </c>
      <c r="AP49" s="146">
        <f t="shared" si="16"/>
        <v>315.66617862371885</v>
      </c>
      <c r="AQ49" s="146">
        <f t="shared" si="16"/>
        <v>343.75</v>
      </c>
      <c r="AR49" s="147">
        <f t="shared" si="17"/>
        <v>15</v>
      </c>
      <c r="AS49" s="348"/>
      <c r="AT49" s="348"/>
      <c r="AU49" s="348"/>
      <c r="AV49" s="348"/>
      <c r="AW49" s="348"/>
    </row>
    <row r="50" spans="1:49" ht="14.25" customHeight="1" x14ac:dyDescent="0.2">
      <c r="A50" s="118"/>
      <c r="B50" s="58"/>
      <c r="C50" s="58"/>
      <c r="D50" s="61"/>
      <c r="E50" s="61"/>
      <c r="F50" s="61"/>
      <c r="G50" s="61"/>
      <c r="H50" s="61"/>
      <c r="I50" s="61"/>
      <c r="J50" s="12"/>
      <c r="K50" s="14"/>
      <c r="L50" s="14"/>
      <c r="M50" s="14"/>
      <c r="N50" s="14"/>
      <c r="O50" s="9"/>
      <c r="P50" s="9"/>
      <c r="Q50" s="9"/>
      <c r="R50" s="9"/>
      <c r="S50" s="9"/>
      <c r="T50" s="9"/>
      <c r="U50" s="9"/>
      <c r="V50" s="117"/>
      <c r="W50" s="137"/>
      <c r="X50" s="294"/>
      <c r="AJ50" s="585" t="b">
        <v>1</v>
      </c>
      <c r="AK50" s="160" t="s">
        <v>11</v>
      </c>
      <c r="AL50" s="87" t="str">
        <f t="shared" si="15"/>
        <v>Oxfordshire</v>
      </c>
      <c r="AM50" s="146">
        <f t="shared" si="16"/>
        <v>326.93935119887163</v>
      </c>
      <c r="AN50" s="146">
        <f t="shared" si="16"/>
        <v>336.4590622813156</v>
      </c>
      <c r="AO50" s="146">
        <f t="shared" si="16"/>
        <v>299.37238493723851</v>
      </c>
      <c r="AP50" s="146">
        <f t="shared" si="16"/>
        <v>311.53314917127068</v>
      </c>
      <c r="AQ50" s="146">
        <f t="shared" si="16"/>
        <v>325.11978097193702</v>
      </c>
      <c r="AR50" s="147">
        <f t="shared" si="17"/>
        <v>10.100000000000001</v>
      </c>
      <c r="AS50" s="348"/>
      <c r="AT50" s="348"/>
      <c r="AU50" s="348"/>
      <c r="AV50" s="348"/>
      <c r="AW50" s="348"/>
    </row>
    <row r="51" spans="1:49" ht="14.25" customHeight="1" x14ac:dyDescent="0.2">
      <c r="A51" s="118"/>
      <c r="B51" s="363"/>
      <c r="C51" s="363"/>
      <c r="D51" s="58"/>
      <c r="E51" s="58"/>
      <c r="F51" s="58"/>
      <c r="G51" s="58"/>
      <c r="H51" s="58"/>
      <c r="I51" s="58"/>
      <c r="J51" s="12"/>
      <c r="K51" s="14"/>
      <c r="L51" s="14"/>
      <c r="M51" s="14"/>
      <c r="N51" s="14"/>
      <c r="O51" s="9"/>
      <c r="P51" s="9"/>
      <c r="Q51" s="9"/>
      <c r="R51" s="9"/>
      <c r="S51" s="9"/>
      <c r="T51" s="9"/>
      <c r="U51" s="9"/>
      <c r="V51" s="117"/>
      <c r="W51" s="137"/>
      <c r="X51" s="294"/>
      <c r="AJ51" s="585" t="b">
        <v>1</v>
      </c>
      <c r="AK51" s="160" t="s">
        <v>12</v>
      </c>
      <c r="AL51" s="87" t="str">
        <f t="shared" si="15"/>
        <v>Portsmouth</v>
      </c>
      <c r="AM51" s="146">
        <f t="shared" ref="AM51:AQ64" si="18">VLOOKUP($AL51,$B$10:$O$33,AM$37,FALSE)</f>
        <v>303.88127853881281</v>
      </c>
      <c r="AN51" s="146">
        <f t="shared" si="18"/>
        <v>325.45454545454544</v>
      </c>
      <c r="AO51" s="146">
        <f t="shared" si="18"/>
        <v>395.47511312217199</v>
      </c>
      <c r="AP51" s="146">
        <f t="shared" si="18"/>
        <v>373.86363636363632</v>
      </c>
      <c r="AQ51" s="146">
        <f t="shared" si="18"/>
        <v>379.22374429223743</v>
      </c>
      <c r="AR51" s="147">
        <f t="shared" si="17"/>
        <v>20.200000000000003</v>
      </c>
      <c r="AS51" s="348"/>
      <c r="AT51" s="348"/>
      <c r="AU51" s="348"/>
      <c r="AV51" s="348"/>
      <c r="AW51" s="348"/>
    </row>
    <row r="52" spans="1:49" ht="14.25" customHeight="1" x14ac:dyDescent="0.2">
      <c r="A52" s="118"/>
      <c r="B52" s="363"/>
      <c r="C52" s="363"/>
      <c r="D52" s="58"/>
      <c r="E52" s="58"/>
      <c r="F52" s="58"/>
      <c r="G52" s="58"/>
      <c r="H52" s="58"/>
      <c r="I52" s="58"/>
      <c r="J52" s="12"/>
      <c r="K52" s="14"/>
      <c r="L52" s="14"/>
      <c r="M52" s="14"/>
      <c r="N52" s="14"/>
      <c r="O52" s="9"/>
      <c r="P52" s="9"/>
      <c r="Q52" s="9"/>
      <c r="R52" s="9"/>
      <c r="S52" s="9"/>
      <c r="T52" s="9"/>
      <c r="U52" s="9"/>
      <c r="V52" s="117"/>
      <c r="W52" s="137"/>
      <c r="X52" s="294"/>
      <c r="AJ52" s="585" t="b">
        <v>1</v>
      </c>
      <c r="AK52" s="160" t="s">
        <v>3</v>
      </c>
      <c r="AL52" s="87" t="str">
        <f t="shared" si="15"/>
        <v>Reading</v>
      </c>
      <c r="AM52" s="146">
        <f t="shared" si="18"/>
        <v>513.46153846153845</v>
      </c>
      <c r="AN52" s="146">
        <f t="shared" si="18"/>
        <v>486.61202185792348</v>
      </c>
      <c r="AO52" s="146">
        <f t="shared" si="18"/>
        <v>453.63881401617249</v>
      </c>
      <c r="AP52" s="146">
        <f t="shared" si="18"/>
        <v>440.70080862533695</v>
      </c>
      <c r="AQ52" s="146">
        <f t="shared" si="18"/>
        <v>392.16216216216219</v>
      </c>
      <c r="AR52" s="147">
        <f t="shared" si="17"/>
        <v>16</v>
      </c>
      <c r="AS52" s="348"/>
      <c r="AT52" s="348"/>
      <c r="AU52" s="348"/>
      <c r="AV52" s="348"/>
      <c r="AW52" s="348"/>
    </row>
    <row r="53" spans="1:49" ht="14.25" customHeight="1" x14ac:dyDescent="0.2">
      <c r="A53" s="118"/>
      <c r="B53" s="363"/>
      <c r="C53" s="363"/>
      <c r="D53" s="58"/>
      <c r="E53" s="58"/>
      <c r="F53" s="58"/>
      <c r="G53" s="58"/>
      <c r="H53" s="58"/>
      <c r="I53" s="58"/>
      <c r="J53" s="12"/>
      <c r="K53" s="14"/>
      <c r="L53" s="14"/>
      <c r="M53" s="14"/>
      <c r="N53" s="14"/>
      <c r="O53" s="9"/>
      <c r="P53" s="9"/>
      <c r="Q53" s="9"/>
      <c r="R53" s="9"/>
      <c r="S53" s="9"/>
      <c r="T53" s="9"/>
      <c r="U53" s="9"/>
      <c r="V53" s="117"/>
      <c r="W53" s="137"/>
      <c r="X53" s="294"/>
      <c r="AJ53" s="585" t="b">
        <v>1</v>
      </c>
      <c r="AK53" s="160" t="s">
        <v>13</v>
      </c>
      <c r="AL53" s="87" t="str">
        <f t="shared" si="15"/>
        <v>Slough</v>
      </c>
      <c r="AM53" s="146">
        <f t="shared" si="18"/>
        <v>394.33497536945811</v>
      </c>
      <c r="AN53" s="146">
        <f t="shared" si="18"/>
        <v>292.75362318840575</v>
      </c>
      <c r="AO53" s="146">
        <f t="shared" si="18"/>
        <v>289.81042654028437</v>
      </c>
      <c r="AP53" s="146">
        <f t="shared" si="18"/>
        <v>333.95784543325527</v>
      </c>
      <c r="AQ53" s="146">
        <f t="shared" si="18"/>
        <v>368.677494199536</v>
      </c>
      <c r="AR53" s="147">
        <f t="shared" si="17"/>
        <v>14.7</v>
      </c>
      <c r="AS53" s="348"/>
      <c r="AT53" s="348"/>
      <c r="AU53" s="348"/>
      <c r="AV53" s="348"/>
      <c r="AW53" s="348"/>
    </row>
    <row r="54" spans="1:49" ht="14.25" customHeight="1" x14ac:dyDescent="0.2">
      <c r="A54" s="118"/>
      <c r="B54" s="363"/>
      <c r="C54" s="363"/>
      <c r="D54" s="58"/>
      <c r="E54" s="58"/>
      <c r="F54" s="58"/>
      <c r="G54" s="58"/>
      <c r="H54" s="58"/>
      <c r="I54" s="58"/>
      <c r="J54" s="12"/>
      <c r="K54" s="14"/>
      <c r="L54" s="14"/>
      <c r="M54" s="14"/>
      <c r="N54" s="14"/>
      <c r="O54" s="9"/>
      <c r="P54" s="9"/>
      <c r="Q54" s="9"/>
      <c r="R54" s="9"/>
      <c r="S54" s="9"/>
      <c r="T54" s="9"/>
      <c r="U54" s="9"/>
      <c r="V54" s="117"/>
      <c r="W54" s="137"/>
      <c r="X54" s="294"/>
      <c r="AJ54" s="585" t="b">
        <v>1</v>
      </c>
      <c r="AK54" s="160" t="s">
        <v>95</v>
      </c>
      <c r="AL54" s="87" t="str">
        <f t="shared" si="15"/>
        <v>Somerset</v>
      </c>
      <c r="AM54" s="146">
        <f t="shared" si="18"/>
        <v>265.84249084249086</v>
      </c>
      <c r="AN54" s="146">
        <f t="shared" si="18"/>
        <v>283.40929808568825</v>
      </c>
      <c r="AO54" s="146">
        <f t="shared" si="18"/>
        <v>290.00908265213445</v>
      </c>
      <c r="AP54" s="146">
        <f t="shared" si="18"/>
        <v>235.59168925022584</v>
      </c>
      <c r="AQ54" s="146">
        <f t="shared" si="18"/>
        <v>219.87410071942446</v>
      </c>
      <c r="AR54" s="147">
        <f t="shared" si="17"/>
        <v>13.600000000000001</v>
      </c>
      <c r="AS54" s="348"/>
      <c r="AT54" s="348"/>
      <c r="AU54" s="348"/>
      <c r="AV54" s="348"/>
      <c r="AW54" s="348"/>
    </row>
    <row r="55" spans="1:49" ht="14.25" customHeight="1" x14ac:dyDescent="0.2">
      <c r="A55" s="118"/>
      <c r="B55" s="363"/>
      <c r="C55" s="363"/>
      <c r="D55" s="58"/>
      <c r="E55" s="58"/>
      <c r="F55" s="58"/>
      <c r="G55" s="58"/>
      <c r="H55" s="58"/>
      <c r="I55" s="58"/>
      <c r="J55" s="12"/>
      <c r="K55" s="14"/>
      <c r="L55" s="14"/>
      <c r="M55" s="14"/>
      <c r="N55" s="14"/>
      <c r="O55" s="9"/>
      <c r="P55" s="9"/>
      <c r="Q55" s="9"/>
      <c r="R55" s="9"/>
      <c r="S55" s="9"/>
      <c r="T55" s="9"/>
      <c r="U55" s="9"/>
      <c r="V55" s="117"/>
      <c r="W55" s="137"/>
      <c r="X55" s="294"/>
      <c r="AJ55" s="585" t="b">
        <v>1</v>
      </c>
      <c r="AK55" s="160" t="s">
        <v>14</v>
      </c>
      <c r="AL55" s="87" t="str">
        <f t="shared" si="15"/>
        <v>Southampton</v>
      </c>
      <c r="AM55" s="146">
        <f t="shared" si="18"/>
        <v>700.00000000000011</v>
      </c>
      <c r="AN55" s="146">
        <f t="shared" si="18"/>
        <v>458.31663326653302</v>
      </c>
      <c r="AO55" s="146">
        <f t="shared" si="18"/>
        <v>475.94433399602383</v>
      </c>
      <c r="AP55" s="146">
        <f t="shared" si="18"/>
        <v>523.03149606299212</v>
      </c>
      <c r="AQ55" s="146">
        <f t="shared" si="18"/>
        <v>469.00584795321635</v>
      </c>
      <c r="AR55" s="147">
        <f t="shared" si="17"/>
        <v>20.5</v>
      </c>
      <c r="AS55" s="348"/>
      <c r="AT55" s="348"/>
      <c r="AU55" s="348"/>
      <c r="AV55" s="348"/>
      <c r="AW55" s="348"/>
    </row>
    <row r="56" spans="1:49" ht="14.25" customHeight="1" x14ac:dyDescent="0.2">
      <c r="A56" s="118"/>
      <c r="B56" s="363"/>
      <c r="C56" s="363"/>
      <c r="D56" s="58"/>
      <c r="E56" s="58"/>
      <c r="F56" s="58"/>
      <c r="G56" s="58"/>
      <c r="H56" s="58"/>
      <c r="I56" s="58"/>
      <c r="J56" s="12"/>
      <c r="K56" s="14"/>
      <c r="L56" s="14"/>
      <c r="M56" s="14"/>
      <c r="N56" s="14"/>
      <c r="O56" s="9"/>
      <c r="P56" s="9"/>
      <c r="Q56" s="9"/>
      <c r="R56" s="9"/>
      <c r="S56" s="9"/>
      <c r="T56" s="9"/>
      <c r="U56" s="9"/>
      <c r="V56" s="117"/>
      <c r="W56" s="137"/>
      <c r="X56" s="294"/>
      <c r="AJ56" s="585" t="b">
        <v>1</v>
      </c>
      <c r="AK56" s="160" t="s">
        <v>7</v>
      </c>
      <c r="AL56" s="87" t="str">
        <f t="shared" si="15"/>
        <v>Surrey</v>
      </c>
      <c r="AM56" s="146">
        <f t="shared" si="18"/>
        <v>242.86271450858032</v>
      </c>
      <c r="AN56" s="146">
        <f t="shared" si="18"/>
        <v>236.48648648648651</v>
      </c>
      <c r="AO56" s="146">
        <f t="shared" si="18"/>
        <v>269.65040338071458</v>
      </c>
      <c r="AP56" s="146">
        <f t="shared" si="18"/>
        <v>226.49866361206566</v>
      </c>
      <c r="AQ56" s="146">
        <f t="shared" si="18"/>
        <v>218.00606520090977</v>
      </c>
      <c r="AR56" s="147">
        <f t="shared" si="17"/>
        <v>8.3000000000000007</v>
      </c>
      <c r="AS56" s="348"/>
      <c r="AT56" s="348"/>
      <c r="AU56" s="348"/>
      <c r="AV56" s="348"/>
      <c r="AW56" s="348"/>
    </row>
    <row r="57" spans="1:49" ht="14.25" customHeight="1" x14ac:dyDescent="0.2">
      <c r="A57" s="278"/>
      <c r="B57" s="363"/>
      <c r="C57" s="363"/>
      <c r="D57" s="58"/>
      <c r="E57" s="58"/>
      <c r="F57" s="58"/>
      <c r="G57" s="58"/>
      <c r="H57" s="58"/>
      <c r="I57" s="58"/>
      <c r="J57" s="12"/>
      <c r="K57" s="14"/>
      <c r="L57" s="14"/>
      <c r="M57" s="14"/>
      <c r="N57" s="14"/>
      <c r="O57" s="9"/>
      <c r="P57" s="9"/>
      <c r="Q57" s="9"/>
      <c r="R57" s="9"/>
      <c r="S57" s="9"/>
      <c r="T57" s="9"/>
      <c r="U57" s="9"/>
      <c r="V57" s="117"/>
      <c r="W57" s="137"/>
      <c r="X57" s="294"/>
      <c r="AJ57" s="585" t="b">
        <v>1</v>
      </c>
      <c r="AK57" s="160" t="s">
        <v>113</v>
      </c>
      <c r="AL57" s="87" t="str">
        <f t="shared" si="15"/>
        <v>Swindon</v>
      </c>
      <c r="AM57" s="146">
        <f t="shared" si="18"/>
        <v>401.63265306122452</v>
      </c>
      <c r="AN57" s="146">
        <f t="shared" si="18"/>
        <v>387.67676767676772</v>
      </c>
      <c r="AO57" s="146">
        <f t="shared" si="18"/>
        <v>543.68737474949899</v>
      </c>
      <c r="AP57" s="146">
        <f t="shared" si="18"/>
        <v>453.58565737051794</v>
      </c>
      <c r="AQ57" s="146">
        <f t="shared" si="18"/>
        <v>289.08730158730157</v>
      </c>
      <c r="AR57" s="147">
        <f t="shared" si="17"/>
        <v>14.899999999999999</v>
      </c>
      <c r="AS57" s="348"/>
      <c r="AT57" s="348"/>
      <c r="AU57" s="348"/>
      <c r="AV57" s="348"/>
      <c r="AW57" s="348"/>
    </row>
    <row r="58" spans="1:49" ht="14.25" customHeight="1" x14ac:dyDescent="0.2">
      <c r="A58" s="278"/>
      <c r="B58" s="363"/>
      <c r="C58" s="363"/>
      <c r="D58" s="58"/>
      <c r="E58" s="58"/>
      <c r="F58" s="58"/>
      <c r="G58" s="58"/>
      <c r="H58" s="58"/>
      <c r="I58" s="58"/>
      <c r="J58" s="12"/>
      <c r="K58" s="14"/>
      <c r="L58" s="14"/>
      <c r="M58" s="14"/>
      <c r="N58" s="14"/>
      <c r="O58" s="9"/>
      <c r="P58" s="9"/>
      <c r="Q58" s="9"/>
      <c r="R58" s="9"/>
      <c r="S58" s="9"/>
      <c r="T58" s="9"/>
      <c r="U58" s="9"/>
      <c r="V58" s="117"/>
      <c r="W58" s="137"/>
      <c r="X58" s="294"/>
      <c r="AJ58" s="585" t="b">
        <v>1</v>
      </c>
      <c r="AK58" s="160" t="s">
        <v>114</v>
      </c>
      <c r="AL58" s="87" t="str">
        <f t="shared" si="15"/>
        <v>Torbay</v>
      </c>
      <c r="AM58" s="146">
        <f t="shared" si="18"/>
        <v>468.25396825396825</v>
      </c>
      <c r="AN58" s="146">
        <f t="shared" si="18"/>
        <v>470.8661417322835</v>
      </c>
      <c r="AO58" s="146">
        <f t="shared" si="18"/>
        <v>456.29921259842519</v>
      </c>
      <c r="AP58" s="146">
        <f t="shared" si="18"/>
        <v>420.0787401574803</v>
      </c>
      <c r="AQ58" s="146">
        <f t="shared" si="18"/>
        <v>503.12500000000006</v>
      </c>
      <c r="AR58" s="147">
        <f t="shared" si="17"/>
        <v>21.9</v>
      </c>
      <c r="AS58" s="348"/>
      <c r="AT58" s="348"/>
      <c r="AU58" s="348"/>
      <c r="AV58" s="348"/>
      <c r="AW58" s="348"/>
    </row>
    <row r="59" spans="1:49" ht="14.25" customHeight="1" x14ac:dyDescent="0.2">
      <c r="A59" s="118"/>
      <c r="B59" s="363"/>
      <c r="C59" s="363"/>
      <c r="D59" s="58"/>
      <c r="E59" s="58"/>
      <c r="F59" s="58"/>
      <c r="G59" s="58"/>
      <c r="H59" s="58"/>
      <c r="I59" s="58"/>
      <c r="J59" s="12"/>
      <c r="K59" s="14"/>
      <c r="L59" s="14"/>
      <c r="M59" s="14"/>
      <c r="N59" s="14"/>
      <c r="O59" s="9"/>
      <c r="P59" s="9"/>
      <c r="Q59" s="9"/>
      <c r="R59" s="9"/>
      <c r="S59" s="9"/>
      <c r="T59" s="9"/>
      <c r="U59" s="9"/>
      <c r="V59" s="117"/>
      <c r="W59" s="137"/>
      <c r="X59" s="294"/>
      <c r="AJ59" s="585" t="b">
        <v>1</v>
      </c>
      <c r="AK59" s="160" t="s">
        <v>15</v>
      </c>
      <c r="AL59" s="87" t="str">
        <f t="shared" si="15"/>
        <v>West Berkshire</v>
      </c>
      <c r="AM59" s="146">
        <f t="shared" si="18"/>
        <v>295.23809523809524</v>
      </c>
      <c r="AN59" s="146">
        <f t="shared" si="18"/>
        <v>274.09470752089135</v>
      </c>
      <c r="AO59" s="146">
        <f t="shared" si="18"/>
        <v>285.19553072625695</v>
      </c>
      <c r="AP59" s="146">
        <f t="shared" si="18"/>
        <v>299.15730337078651</v>
      </c>
      <c r="AQ59" s="146">
        <f t="shared" si="18"/>
        <v>261.23595505617976</v>
      </c>
      <c r="AR59" s="147">
        <f t="shared" si="17"/>
        <v>8.6999999999999993</v>
      </c>
      <c r="AS59" s="348"/>
      <c r="AT59" s="348"/>
      <c r="AU59" s="348"/>
      <c r="AV59" s="348"/>
      <c r="AW59" s="348"/>
    </row>
    <row r="60" spans="1:49" ht="14.25" customHeight="1" x14ac:dyDescent="0.2">
      <c r="A60" s="118"/>
      <c r="B60" s="363"/>
      <c r="C60" s="363"/>
      <c r="D60" s="58"/>
      <c r="E60" s="58"/>
      <c r="F60" s="58"/>
      <c r="G60" s="58"/>
      <c r="H60" s="58"/>
      <c r="I60" s="58"/>
      <c r="J60" s="12"/>
      <c r="K60" s="14"/>
      <c r="L60" s="14"/>
      <c r="M60" s="14"/>
      <c r="N60" s="14"/>
      <c r="O60" s="9"/>
      <c r="P60" s="9"/>
      <c r="Q60" s="9"/>
      <c r="R60" s="9"/>
      <c r="S60" s="9"/>
      <c r="T60" s="9"/>
      <c r="U60" s="9"/>
      <c r="V60" s="117"/>
      <c r="W60" s="137"/>
      <c r="X60" s="294"/>
      <c r="AJ60" s="585" t="b">
        <v>1</v>
      </c>
      <c r="AK60" s="160" t="s">
        <v>5</v>
      </c>
      <c r="AL60" s="87" t="str">
        <f t="shared" si="15"/>
        <v>West Sussex</v>
      </c>
      <c r="AM60" s="146">
        <f t="shared" si="18"/>
        <v>227.52347417840377</v>
      </c>
      <c r="AN60" s="146">
        <f t="shared" si="18"/>
        <v>279.51105937136208</v>
      </c>
      <c r="AO60" s="146">
        <f t="shared" si="18"/>
        <v>417.36872475476054</v>
      </c>
      <c r="AP60" s="146">
        <f t="shared" si="18"/>
        <v>268.9753863766457</v>
      </c>
      <c r="AQ60" s="146">
        <f t="shared" si="18"/>
        <v>314.36683702441792</v>
      </c>
      <c r="AR60" s="147">
        <f t="shared" si="17"/>
        <v>11</v>
      </c>
      <c r="AS60" s="348"/>
      <c r="AT60" s="348"/>
      <c r="AU60" s="348"/>
      <c r="AV60" s="348"/>
      <c r="AW60" s="348"/>
    </row>
    <row r="61" spans="1:49" s="81" customFormat="1" ht="14.25" customHeight="1" x14ac:dyDescent="0.2">
      <c r="A61" s="118"/>
      <c r="B61" s="363"/>
      <c r="C61" s="363"/>
      <c r="D61" s="58"/>
      <c r="E61" s="58"/>
      <c r="F61" s="58"/>
      <c r="G61" s="58"/>
      <c r="H61" s="58"/>
      <c r="I61" s="58"/>
      <c r="J61" s="12"/>
      <c r="K61" s="14"/>
      <c r="L61" s="14"/>
      <c r="M61" s="14"/>
      <c r="N61" s="14"/>
      <c r="O61" s="9"/>
      <c r="P61" s="9"/>
      <c r="Q61" s="9"/>
      <c r="R61" s="9"/>
      <c r="S61" s="9"/>
      <c r="T61" s="9"/>
      <c r="U61" s="9"/>
      <c r="V61" s="117"/>
      <c r="W61" s="137"/>
      <c r="X61" s="294"/>
      <c r="AJ61" s="585" t="b">
        <v>1</v>
      </c>
      <c r="AK61" s="160" t="s">
        <v>30</v>
      </c>
      <c r="AL61" s="87" t="str">
        <f t="shared" si="15"/>
        <v>Windsor &amp; Maidenhead</v>
      </c>
      <c r="AM61" s="146">
        <f t="shared" si="18"/>
        <v>300.593471810089</v>
      </c>
      <c r="AN61" s="146">
        <f t="shared" si="18"/>
        <v>280.40935672514621</v>
      </c>
      <c r="AO61" s="146">
        <f t="shared" si="18"/>
        <v>222.96511627906978</v>
      </c>
      <c r="AP61" s="146">
        <f t="shared" si="18"/>
        <v>213.00578034682081</v>
      </c>
      <c r="AQ61" s="146">
        <f t="shared" si="18"/>
        <v>254.46685878962535</v>
      </c>
      <c r="AR61" s="147">
        <f t="shared" si="17"/>
        <v>6.7</v>
      </c>
      <c r="AS61" s="348"/>
      <c r="AT61" s="348"/>
      <c r="AU61" s="348"/>
      <c r="AV61" s="348"/>
      <c r="AW61" s="348"/>
    </row>
    <row r="62" spans="1:49" s="81" customFormat="1" ht="14.25" customHeight="1" x14ac:dyDescent="0.2">
      <c r="A62" s="118"/>
      <c r="B62" s="363"/>
      <c r="C62" s="363"/>
      <c r="D62" s="58"/>
      <c r="E62" s="58"/>
      <c r="F62" s="58"/>
      <c r="G62" s="58"/>
      <c r="H62" s="58"/>
      <c r="I62" s="58"/>
      <c r="J62" s="12"/>
      <c r="K62" s="14"/>
      <c r="L62" s="14"/>
      <c r="M62" s="14"/>
      <c r="N62" s="14"/>
      <c r="O62" s="9"/>
      <c r="P62" s="9"/>
      <c r="Q62" s="9"/>
      <c r="R62" s="9"/>
      <c r="S62" s="9"/>
      <c r="T62" s="9"/>
      <c r="U62" s="9"/>
      <c r="V62" s="117"/>
      <c r="W62" s="137"/>
      <c r="X62" s="294"/>
      <c r="AJ62" s="585" t="b">
        <v>1</v>
      </c>
      <c r="AK62" s="160" t="s">
        <v>16</v>
      </c>
      <c r="AL62" s="87" t="str">
        <f t="shared" si="15"/>
        <v>Wokingham</v>
      </c>
      <c r="AM62" s="146">
        <f t="shared" si="18"/>
        <v>150.93833780160858</v>
      </c>
      <c r="AN62" s="146">
        <f t="shared" si="18"/>
        <v>175.52631578947367</v>
      </c>
      <c r="AO62" s="146">
        <f t="shared" si="18"/>
        <v>250.3875968992248</v>
      </c>
      <c r="AP62" s="146">
        <f t="shared" si="18"/>
        <v>227.34177215189874</v>
      </c>
      <c r="AQ62" s="146">
        <f t="shared" si="18"/>
        <v>257.17821782178214</v>
      </c>
      <c r="AR62" s="147">
        <f t="shared" si="17"/>
        <v>5.6000000000000005</v>
      </c>
      <c r="AS62" s="348"/>
      <c r="AT62" s="348"/>
      <c r="AU62" s="348"/>
      <c r="AV62" s="348"/>
      <c r="AW62" s="348"/>
    </row>
    <row r="63" spans="1:49" s="81" customFormat="1" ht="14.25" customHeight="1" x14ac:dyDescent="0.2">
      <c r="A63" s="118"/>
      <c r="B63" s="363"/>
      <c r="C63" s="363"/>
      <c r="D63" s="58"/>
      <c r="E63" s="58"/>
      <c r="F63" s="58"/>
      <c r="G63" s="58"/>
      <c r="H63" s="58"/>
      <c r="I63" s="58"/>
      <c r="J63" s="12"/>
      <c r="K63" s="14"/>
      <c r="L63" s="14"/>
      <c r="M63" s="14"/>
      <c r="N63" s="14"/>
      <c r="O63" s="9"/>
      <c r="P63" s="9"/>
      <c r="Q63" s="9"/>
      <c r="R63" s="9"/>
      <c r="S63" s="9"/>
      <c r="T63" s="9"/>
      <c r="U63" s="9"/>
      <c r="V63" s="117"/>
      <c r="W63" s="137"/>
      <c r="X63" s="294"/>
      <c r="AJ63" s="585" t="b">
        <v>1</v>
      </c>
      <c r="AK63" s="160" t="s">
        <v>74</v>
      </c>
      <c r="AL63" s="87" t="str">
        <f t="shared" si="15"/>
        <v>South East</v>
      </c>
      <c r="AM63" s="146">
        <f t="shared" si="18"/>
        <v>302.95605025806788</v>
      </c>
      <c r="AN63" s="146">
        <f t="shared" si="18"/>
        <v>302.46753918576377</v>
      </c>
      <c r="AO63" s="146">
        <f t="shared" si="18"/>
        <v>317.50604454961672</v>
      </c>
      <c r="AP63" s="146">
        <f t="shared" si="18"/>
        <v>303.82139572902832</v>
      </c>
      <c r="AQ63" s="146">
        <f t="shared" si="18"/>
        <v>304.4383505992281</v>
      </c>
      <c r="AR63" s="147">
        <f t="shared" si="17"/>
        <v>12.371268250968637</v>
      </c>
      <c r="AS63" s="348"/>
      <c r="AT63" s="348"/>
      <c r="AU63" s="348"/>
      <c r="AV63" s="348"/>
      <c r="AW63" s="348"/>
    </row>
    <row r="64" spans="1:49" s="81" customFormat="1" ht="14.25" customHeight="1" x14ac:dyDescent="0.2">
      <c r="A64" s="118"/>
      <c r="B64" s="363"/>
      <c r="C64" s="363"/>
      <c r="D64" s="58"/>
      <c r="E64" s="58"/>
      <c r="F64" s="58"/>
      <c r="G64" s="58"/>
      <c r="H64" s="58"/>
      <c r="I64" s="58"/>
      <c r="J64" s="12"/>
      <c r="K64" s="9"/>
      <c r="L64" s="110"/>
      <c r="M64" s="1823" t="s">
        <v>72</v>
      </c>
      <c r="N64" s="1790"/>
      <c r="O64" s="1790"/>
      <c r="P64" s="1824"/>
      <c r="Q64" s="917"/>
      <c r="R64" s="1802" t="s">
        <v>100</v>
      </c>
      <c r="S64" s="1803"/>
      <c r="T64" s="1803"/>
      <c r="U64" s="1804"/>
      <c r="V64" s="117"/>
      <c r="W64" s="137"/>
      <c r="X64" s="294"/>
      <c r="AJ64" s="585" t="b">
        <v>1</v>
      </c>
      <c r="AK64" s="160" t="s">
        <v>127</v>
      </c>
      <c r="AL64" s="87" t="str">
        <f t="shared" si="15"/>
        <v>England</v>
      </c>
      <c r="AM64" s="146">
        <f t="shared" si="18"/>
        <v>337.73195523167698</v>
      </c>
      <c r="AN64" s="146">
        <f t="shared" si="18"/>
        <v>330.43706990912409</v>
      </c>
      <c r="AO64" s="146">
        <f t="shared" si="18"/>
        <v>341.03817308502573</v>
      </c>
      <c r="AP64" s="146">
        <f t="shared" si="18"/>
        <v>334.18934970638912</v>
      </c>
      <c r="AQ64" s="146">
        <f t="shared" si="18"/>
        <v>323.74663162447183</v>
      </c>
      <c r="AR64" s="147">
        <f t="shared" si="17"/>
        <v>17.084413405029373</v>
      </c>
      <c r="AS64" s="348"/>
      <c r="AT64" s="348"/>
      <c r="AU64" s="348"/>
      <c r="AV64" s="348"/>
      <c r="AW64" s="348"/>
    </row>
    <row r="65" spans="1:49" s="81" customFormat="1" ht="14.25" customHeight="1" x14ac:dyDescent="0.2">
      <c r="A65" s="118"/>
      <c r="B65" s="363"/>
      <c r="C65" s="363"/>
      <c r="D65" s="58"/>
      <c r="E65" s="58"/>
      <c r="F65" s="58"/>
      <c r="G65" s="58"/>
      <c r="H65" s="58"/>
      <c r="I65" s="58"/>
      <c r="J65" s="12"/>
      <c r="K65" s="9"/>
      <c r="L65" s="111"/>
      <c r="M65" s="1802" t="str">
        <f>AA4</f>
        <v>Selected LA- (none)</v>
      </c>
      <c r="N65" s="1803"/>
      <c r="O65" s="1803"/>
      <c r="P65" s="1803"/>
      <c r="Q65" s="110"/>
      <c r="R65" s="1806" t="s">
        <v>187</v>
      </c>
      <c r="S65" s="1806"/>
      <c r="T65" s="1806"/>
      <c r="U65" s="1807"/>
      <c r="V65" s="117"/>
      <c r="W65" s="137"/>
      <c r="X65" s="150"/>
      <c r="AK65" s="161"/>
      <c r="AL65" s="74" t="str">
        <f>AA4</f>
        <v>Selected LA- (none)</v>
      </c>
      <c r="AM65" s="148" t="e">
        <f>VLOOKUP($Z4,$B$10:$O$32,AM$37,FALSE)</f>
        <v>#N/A</v>
      </c>
      <c r="AN65" s="148" t="e">
        <f>VLOOKUP($Z4,$B$10:$O$32,AN$37,FALSE)</f>
        <v>#N/A</v>
      </c>
      <c r="AO65" s="148" t="e">
        <f>VLOOKUP($Z4,$B$10:$O$32,AO$37,FALSE)</f>
        <v>#N/A</v>
      </c>
      <c r="AP65" s="148" t="e">
        <f>VLOOKUP($Z4,$B$10:$O$32,AP$37,FALSE)</f>
        <v>#N/A</v>
      </c>
      <c r="AQ65" s="148" t="e">
        <f>VLOOKUP($Z4,$B$10:$O$32,AQ$37,FALSE)</f>
        <v>#N/A</v>
      </c>
      <c r="AR65" s="147" t="e">
        <f>VLOOKUP($Z$4,$B$10:$U$33,$AR$37,FALSE)</f>
        <v>#N/A</v>
      </c>
      <c r="AS65" s="171"/>
      <c r="AT65" s="171"/>
      <c r="AU65" s="171"/>
      <c r="AV65" s="171"/>
      <c r="AW65" s="171"/>
    </row>
    <row r="66" spans="1:49" s="81" customFormat="1" ht="39.6" customHeight="1" x14ac:dyDescent="0.2">
      <c r="A66" s="118"/>
      <c r="B66" s="363"/>
      <c r="C66" s="363"/>
      <c r="D66" s="58"/>
      <c r="E66" s="58"/>
      <c r="F66" s="58"/>
      <c r="G66" s="58"/>
      <c r="H66" s="58"/>
      <c r="I66" s="58"/>
      <c r="J66" s="12"/>
      <c r="K66" s="9"/>
      <c r="L66" s="9"/>
      <c r="M66" s="9"/>
      <c r="N66" s="9"/>
      <c r="O66" s="9"/>
      <c r="P66" s="9"/>
      <c r="Q66" s="9"/>
      <c r="R66" s="9"/>
      <c r="S66" s="9"/>
      <c r="T66" s="9"/>
      <c r="U66" s="9"/>
      <c r="V66" s="117"/>
      <c r="W66" s="137"/>
      <c r="X66" s="150"/>
      <c r="AK66" s="161"/>
    </row>
    <row r="67" spans="1:49" s="87" customFormat="1" ht="39.6" customHeight="1" x14ac:dyDescent="0.2">
      <c r="A67" s="121"/>
      <c r="B67" s="109"/>
      <c r="C67" s="109"/>
      <c r="D67" s="109"/>
      <c r="E67" s="109"/>
      <c r="F67" s="109"/>
      <c r="G67" s="109"/>
      <c r="H67" s="109"/>
      <c r="I67" s="109"/>
      <c r="J67" s="96"/>
      <c r="K67" s="85"/>
      <c r="L67" s="85"/>
      <c r="M67" s="85"/>
      <c r="N67" s="85"/>
      <c r="O67" s="85"/>
      <c r="P67" s="85"/>
      <c r="Q67" s="85"/>
      <c r="R67" s="85"/>
      <c r="S67" s="85"/>
      <c r="T67" s="85"/>
      <c r="U67" s="85"/>
      <c r="V67" s="122"/>
      <c r="W67" s="139"/>
      <c r="X67" s="152"/>
      <c r="AE67" s="190"/>
      <c r="AF67" s="190"/>
      <c r="AG67" s="190"/>
      <c r="AH67" s="190"/>
      <c r="AI67" s="190"/>
      <c r="AJ67" s="202"/>
      <c r="AK67" s="160"/>
    </row>
    <row r="68" spans="1:49" s="87" customFormat="1" ht="47.25" customHeight="1" x14ac:dyDescent="0.2">
      <c r="A68" s="121"/>
      <c r="B68" s="109"/>
      <c r="C68" s="109"/>
      <c r="D68" s="109"/>
      <c r="E68" s="109"/>
      <c r="F68" s="109"/>
      <c r="G68" s="109"/>
      <c r="H68" s="109"/>
      <c r="I68" s="109"/>
      <c r="J68" s="96"/>
      <c r="K68" s="85"/>
      <c r="L68" s="85"/>
      <c r="M68" s="85"/>
      <c r="N68" s="85"/>
      <c r="O68" s="85"/>
      <c r="P68" s="85"/>
      <c r="Q68" s="85"/>
      <c r="R68" s="85"/>
      <c r="S68" s="85"/>
      <c r="T68" s="85"/>
      <c r="U68" s="85"/>
      <c r="V68" s="122"/>
      <c r="W68" s="139"/>
      <c r="X68" s="371"/>
      <c r="AE68" s="190"/>
      <c r="AF68" s="190"/>
      <c r="AG68" s="190"/>
      <c r="AH68" s="190"/>
      <c r="AI68" s="190"/>
      <c r="AJ68" s="202"/>
      <c r="AK68" s="160"/>
    </row>
    <row r="69" spans="1:49" ht="7.5" customHeight="1" x14ac:dyDescent="0.2">
      <c r="A69" s="118"/>
      <c r="B69" s="17"/>
      <c r="C69" s="17"/>
      <c r="D69" s="16"/>
      <c r="E69" s="16"/>
      <c r="F69" s="16"/>
      <c r="G69" s="16"/>
      <c r="H69" s="16"/>
      <c r="I69" s="16"/>
      <c r="J69" s="12"/>
      <c r="K69" s="18"/>
      <c r="L69" s="18"/>
      <c r="M69" s="18"/>
      <c r="N69" s="18"/>
      <c r="O69" s="18"/>
      <c r="P69" s="18"/>
      <c r="Q69" s="18"/>
      <c r="R69" s="18"/>
      <c r="S69" s="18"/>
      <c r="T69" s="18"/>
      <c r="U69" s="19"/>
      <c r="V69" s="117"/>
      <c r="W69" s="137"/>
      <c r="X69" s="150"/>
      <c r="Y69" s="87"/>
      <c r="Z69" s="87"/>
      <c r="AA69" s="87"/>
      <c r="AB69" s="87"/>
      <c r="AC69" s="87"/>
      <c r="AJ69" s="184"/>
      <c r="AK69" s="157"/>
    </row>
    <row r="70" spans="1:49" ht="15" customHeight="1" x14ac:dyDescent="0.2">
      <c r="A70" s="1716"/>
      <c r="B70" s="1760"/>
      <c r="C70" s="1760"/>
      <c r="D70" s="1760"/>
      <c r="E70" s="1760"/>
      <c r="F70" s="1760"/>
      <c r="G70" s="1760"/>
      <c r="H70" s="1760"/>
      <c r="I70" s="1760"/>
      <c r="J70" s="1760"/>
      <c r="K70" s="1760"/>
      <c r="L70" s="1760"/>
      <c r="M70" s="1760"/>
      <c r="N70" s="1760"/>
      <c r="O70" s="1760"/>
      <c r="P70" s="1760"/>
      <c r="Q70" s="1760"/>
      <c r="R70" s="1760"/>
      <c r="S70" s="1760"/>
      <c r="T70" s="1760"/>
      <c r="U70" s="1760"/>
      <c r="V70" s="1761"/>
      <c r="W70" s="137"/>
      <c r="X70" s="150"/>
      <c r="Y70" s="87"/>
      <c r="Z70" s="87"/>
      <c r="AA70" s="87"/>
      <c r="AB70" s="87"/>
      <c r="AC70" s="87"/>
      <c r="AJ70" s="184"/>
      <c r="AK70" s="157"/>
    </row>
    <row r="71" spans="1:49" ht="11.25" customHeight="1" x14ac:dyDescent="0.2">
      <c r="A71" s="1765" t="str">
        <f>Home!$A$39</f>
        <v xml:space="preserve"> </v>
      </c>
      <c r="B71" s="1766"/>
      <c r="C71" s="1766"/>
      <c r="D71" s="1766"/>
      <c r="E71" s="1766"/>
      <c r="F71" s="1766"/>
      <c r="G71" s="1766"/>
      <c r="H71" s="1766"/>
      <c r="I71" s="1767"/>
      <c r="J71" s="1766"/>
      <c r="K71" s="1766"/>
      <c r="L71" s="1766"/>
      <c r="M71" s="1766"/>
      <c r="N71" s="1766"/>
      <c r="O71" s="1766"/>
      <c r="P71" s="1768"/>
      <c r="Q71" s="1766"/>
      <c r="R71" s="1766"/>
      <c r="S71" s="1766"/>
      <c r="T71" s="1767"/>
      <c r="U71" s="1766"/>
      <c r="V71" s="1769"/>
      <c r="W71" s="137"/>
      <c r="X71" s="150"/>
      <c r="Y71" s="87"/>
      <c r="Z71" s="87"/>
      <c r="AA71" s="87"/>
      <c r="AB71" s="87"/>
      <c r="AC71" s="87"/>
      <c r="AJ71" s="184"/>
      <c r="AK71" s="157"/>
    </row>
    <row r="72" spans="1:49" ht="11.25" customHeight="1" x14ac:dyDescent="0.2">
      <c r="A72" s="112"/>
      <c r="B72" s="113"/>
      <c r="C72" s="113"/>
      <c r="D72" s="113"/>
      <c r="E72" s="113"/>
      <c r="F72" s="113"/>
      <c r="G72" s="113"/>
      <c r="H72" s="113"/>
      <c r="I72" s="113"/>
      <c r="J72" s="114"/>
      <c r="K72" s="113"/>
      <c r="L72" s="113"/>
      <c r="M72" s="113"/>
      <c r="N72" s="113"/>
      <c r="O72" s="113"/>
      <c r="P72" s="113"/>
      <c r="Q72" s="113"/>
      <c r="R72" s="113"/>
      <c r="S72" s="113"/>
      <c r="T72" s="113"/>
      <c r="U72" s="113"/>
      <c r="V72" s="115"/>
      <c r="W72" s="137"/>
      <c r="X72" s="150"/>
      <c r="Y72" s="87"/>
      <c r="Z72" s="87"/>
      <c r="AA72" s="87"/>
      <c r="AB72" s="87"/>
      <c r="AC72" s="87"/>
      <c r="AJ72" s="184"/>
      <c r="AK72" s="157"/>
    </row>
    <row r="73" spans="1:49" s="76" customFormat="1" ht="15" customHeight="1" x14ac:dyDescent="0.2">
      <c r="A73" s="119"/>
      <c r="B73" s="59"/>
      <c r="C73" s="362"/>
      <c r="D73" s="362"/>
      <c r="E73" s="362"/>
      <c r="F73" s="362"/>
      <c r="G73" s="362"/>
      <c r="H73" s="362"/>
      <c r="I73" s="362"/>
      <c r="J73" s="70"/>
      <c r="K73" s="70"/>
      <c r="L73" s="70"/>
      <c r="M73" s="70"/>
      <c r="N73" s="359"/>
      <c r="O73" s="70"/>
      <c r="P73" s="70"/>
      <c r="Q73" s="70"/>
      <c r="R73" s="70"/>
      <c r="S73" s="70"/>
      <c r="T73" s="70"/>
      <c r="U73" s="70"/>
      <c r="V73" s="120"/>
      <c r="W73" s="138"/>
      <c r="X73" s="151"/>
      <c r="Y73" s="87"/>
      <c r="Z73" s="87"/>
      <c r="AA73" s="87"/>
      <c r="AB73" s="87"/>
      <c r="AC73" s="87"/>
      <c r="AD73" s="188"/>
      <c r="AE73" s="188"/>
      <c r="AF73" s="188"/>
      <c r="AG73" s="188"/>
      <c r="AH73" s="188"/>
      <c r="AI73" s="188"/>
      <c r="AJ73" s="188"/>
      <c r="AK73" s="158"/>
    </row>
    <row r="74" spans="1:49" ht="13.5" customHeight="1" x14ac:dyDescent="0.2">
      <c r="A74" s="118"/>
      <c r="B74" s="362"/>
      <c r="C74" s="362"/>
      <c r="D74" s="362"/>
      <c r="E74" s="362"/>
      <c r="F74" s="362"/>
      <c r="G74" s="362"/>
      <c r="H74" s="362"/>
      <c r="I74" s="362"/>
      <c r="J74" s="70"/>
      <c r="K74" s="70"/>
      <c r="L74" s="70"/>
      <c r="M74" s="70"/>
      <c r="N74" s="359"/>
      <c r="O74" s="70"/>
      <c r="P74" s="70"/>
      <c r="Q74" s="70"/>
      <c r="R74" s="10"/>
      <c r="S74" s="70"/>
      <c r="T74" s="70"/>
      <c r="U74" s="70"/>
      <c r="V74" s="117"/>
      <c r="W74" s="137"/>
      <c r="X74" s="150"/>
      <c r="Y74" s="188"/>
      <c r="Z74" s="188"/>
      <c r="AA74" s="196"/>
      <c r="AB74" s="196"/>
      <c r="AC74" s="197"/>
      <c r="AD74" s="197"/>
      <c r="AJ74" s="184"/>
      <c r="AK74" s="157"/>
    </row>
    <row r="75" spans="1:49" s="87" customFormat="1" ht="12" customHeight="1" x14ac:dyDescent="0.2">
      <c r="A75" s="121"/>
      <c r="B75" s="362"/>
      <c r="C75" s="362"/>
      <c r="D75" s="362"/>
      <c r="E75" s="362"/>
      <c r="F75" s="362"/>
      <c r="G75" s="362"/>
      <c r="H75" s="362"/>
      <c r="I75" s="96"/>
      <c r="J75" s="96"/>
      <c r="K75" s="61"/>
      <c r="L75" s="61"/>
      <c r="M75" s="61"/>
      <c r="N75" s="61"/>
      <c r="O75" s="61"/>
      <c r="P75" s="61"/>
      <c r="Q75" s="365"/>
      <c r="R75" s="365"/>
      <c r="S75" s="159"/>
      <c r="T75" s="159"/>
      <c r="U75" s="366"/>
      <c r="V75" s="122"/>
      <c r="W75" s="139"/>
      <c r="X75" s="152"/>
      <c r="Y75" s="188"/>
      <c r="Z75" s="188"/>
      <c r="AA75" s="196"/>
      <c r="AB75" s="196"/>
      <c r="AC75" s="197"/>
      <c r="AD75" s="197"/>
      <c r="AE75" s="199"/>
      <c r="AF75" s="190"/>
      <c r="AG75" s="190"/>
      <c r="AH75" s="190"/>
      <c r="AI75" s="190"/>
      <c r="AJ75" s="202"/>
      <c r="AK75" s="160"/>
    </row>
    <row r="76" spans="1:49" s="87" customFormat="1" ht="24" customHeight="1" x14ac:dyDescent="0.2">
      <c r="A76" s="121"/>
      <c r="B76" s="362"/>
      <c r="C76" s="362"/>
      <c r="D76" s="362"/>
      <c r="E76" s="362"/>
      <c r="F76" s="362"/>
      <c r="G76" s="362"/>
      <c r="H76" s="362"/>
      <c r="I76" s="96"/>
      <c r="J76" s="96"/>
      <c r="K76" s="166"/>
      <c r="L76" s="166"/>
      <c r="M76" s="166"/>
      <c r="N76" s="166"/>
      <c r="O76" s="166"/>
      <c r="P76" s="166"/>
      <c r="Q76" s="166"/>
      <c r="R76" s="167"/>
      <c r="S76" s="159"/>
      <c r="T76" s="159"/>
      <c r="U76" s="166"/>
      <c r="V76" s="122"/>
      <c r="W76" s="139"/>
      <c r="X76" s="152"/>
      <c r="Z76" s="353" t="s">
        <v>130</v>
      </c>
      <c r="AA76" s="354" t="s">
        <v>131</v>
      </c>
      <c r="AB76" s="196"/>
      <c r="AC76" s="197"/>
      <c r="AD76" s="197"/>
      <c r="AE76" s="199"/>
      <c r="AF76" s="190"/>
      <c r="AG76" s="190"/>
      <c r="AH76" s="190"/>
      <c r="AI76" s="190"/>
      <c r="AJ76" s="202"/>
      <c r="AK76" s="160"/>
    </row>
    <row r="77" spans="1:49" s="87" customFormat="1" ht="12.75" customHeight="1" x14ac:dyDescent="0.2">
      <c r="A77" s="121"/>
      <c r="B77" s="362"/>
      <c r="C77" s="362"/>
      <c r="D77" s="362"/>
      <c r="E77" s="362"/>
      <c r="F77" s="362"/>
      <c r="G77" s="362"/>
      <c r="H77" s="362"/>
      <c r="I77" s="96"/>
      <c r="J77" s="96"/>
      <c r="K77" s="166"/>
      <c r="L77" s="166"/>
      <c r="M77" s="166"/>
      <c r="N77" s="166"/>
      <c r="O77" s="166"/>
      <c r="P77" s="166"/>
      <c r="Q77" s="166"/>
      <c r="R77" s="167"/>
      <c r="S77" s="159"/>
      <c r="T77" s="159"/>
      <c r="U77" s="166"/>
      <c r="V77" s="122"/>
      <c r="W77" s="139"/>
      <c r="X77" s="152"/>
      <c r="Y77" s="355" t="str">
        <f>B10</f>
        <v>Bracknell Forest</v>
      </c>
      <c r="Z77" s="356" t="e">
        <f>IF(Y77=$Z$4,I10,#N/A)</f>
        <v>#N/A</v>
      </c>
      <c r="AA77" s="356" t="e">
        <f>IF(Y77=$Z$4,U10,#N/A)</f>
        <v>#N/A</v>
      </c>
      <c r="AB77" s="196"/>
      <c r="AC77" s="197"/>
      <c r="AD77" s="197"/>
      <c r="AE77" s="199"/>
      <c r="AF77" s="190"/>
      <c r="AG77" s="190"/>
      <c r="AH77" s="190"/>
      <c r="AI77" s="190"/>
      <c r="AJ77" s="202"/>
      <c r="AK77" s="160"/>
    </row>
    <row r="78" spans="1:49" s="87" customFormat="1" ht="12.75" customHeight="1" x14ac:dyDescent="0.2">
      <c r="A78" s="121"/>
      <c r="B78" s="362"/>
      <c r="C78" s="362"/>
      <c r="D78" s="362"/>
      <c r="E78" s="362"/>
      <c r="F78" s="362"/>
      <c r="G78" s="362"/>
      <c r="H78" s="362"/>
      <c r="I78" s="96"/>
      <c r="J78" s="96"/>
      <c r="K78" s="166"/>
      <c r="L78" s="166"/>
      <c r="M78" s="166"/>
      <c r="N78" s="166"/>
      <c r="O78" s="166"/>
      <c r="P78" s="166"/>
      <c r="Q78" s="166"/>
      <c r="R78" s="167"/>
      <c r="S78" s="159"/>
      <c r="T78" s="159"/>
      <c r="U78" s="166"/>
      <c r="V78" s="122"/>
      <c r="W78" s="139"/>
      <c r="X78" s="152"/>
      <c r="Y78" s="355" t="str">
        <f t="shared" ref="Y78:Y98" si="19">B11</f>
        <v>Brighton &amp; Hove</v>
      </c>
      <c r="Z78" s="356" t="e">
        <f t="shared" ref="Z78:Z100" si="20">IF(Y78=$Z$4,I11,#N/A)</f>
        <v>#N/A</v>
      </c>
      <c r="AA78" s="356" t="e">
        <f t="shared" ref="AA78:AA100" si="21">IF(Y78=$Z$4,U11,#N/A)</f>
        <v>#N/A</v>
      </c>
      <c r="AB78" s="196"/>
      <c r="AC78" s="197"/>
      <c r="AD78" s="197"/>
      <c r="AE78" s="199"/>
      <c r="AF78" s="190"/>
      <c r="AG78" s="190"/>
      <c r="AH78" s="190"/>
      <c r="AI78" s="190"/>
      <c r="AJ78" s="202"/>
      <c r="AK78" s="160"/>
    </row>
    <row r="79" spans="1:49" s="87" customFormat="1" ht="12.75" customHeight="1" x14ac:dyDescent="0.2">
      <c r="A79" s="121"/>
      <c r="B79" s="362"/>
      <c r="C79" s="362"/>
      <c r="D79" s="362"/>
      <c r="E79" s="362"/>
      <c r="F79" s="362"/>
      <c r="G79" s="362"/>
      <c r="H79" s="362"/>
      <c r="I79" s="96"/>
      <c r="J79" s="96"/>
      <c r="K79" s="166"/>
      <c r="L79" s="166"/>
      <c r="M79" s="166"/>
      <c r="N79" s="166"/>
      <c r="O79" s="166"/>
      <c r="P79" s="166"/>
      <c r="Q79" s="166"/>
      <c r="R79" s="167"/>
      <c r="S79" s="159"/>
      <c r="T79" s="159"/>
      <c r="U79" s="166"/>
      <c r="V79" s="122"/>
      <c r="W79" s="139"/>
      <c r="X79" s="152"/>
      <c r="Y79" s="355" t="str">
        <f t="shared" si="19"/>
        <v>Buckinghamshire</v>
      </c>
      <c r="Z79" s="356" t="e">
        <f t="shared" si="20"/>
        <v>#N/A</v>
      </c>
      <c r="AA79" s="356" t="e">
        <f t="shared" si="21"/>
        <v>#N/A</v>
      </c>
      <c r="AB79" s="196"/>
      <c r="AC79" s="197"/>
      <c r="AD79" s="197"/>
      <c r="AE79" s="199"/>
      <c r="AF79" s="190"/>
      <c r="AG79" s="190"/>
      <c r="AH79" s="190"/>
      <c r="AI79" s="190"/>
      <c r="AJ79" s="202"/>
      <c r="AK79" s="160"/>
    </row>
    <row r="80" spans="1:49" s="87" customFormat="1" ht="12.75" customHeight="1" x14ac:dyDescent="0.2">
      <c r="A80" s="121"/>
      <c r="B80" s="362"/>
      <c r="C80" s="362"/>
      <c r="D80" s="362"/>
      <c r="E80" s="362"/>
      <c r="F80" s="362"/>
      <c r="G80" s="362"/>
      <c r="H80" s="362"/>
      <c r="I80" s="96"/>
      <c r="J80" s="96"/>
      <c r="K80" s="166"/>
      <c r="L80" s="166"/>
      <c r="M80" s="166"/>
      <c r="N80" s="166"/>
      <c r="O80" s="166"/>
      <c r="P80" s="166"/>
      <c r="Q80" s="166"/>
      <c r="R80" s="167"/>
      <c r="S80" s="159"/>
      <c r="T80" s="159"/>
      <c r="U80" s="166"/>
      <c r="V80" s="122"/>
      <c r="W80" s="139"/>
      <c r="X80" s="152"/>
      <c r="Y80" s="355" t="str">
        <f t="shared" si="19"/>
        <v>East Sussex</v>
      </c>
      <c r="Z80" s="356" t="e">
        <f t="shared" si="20"/>
        <v>#N/A</v>
      </c>
      <c r="AA80" s="356" t="e">
        <f t="shared" si="21"/>
        <v>#N/A</v>
      </c>
      <c r="AB80" s="196"/>
      <c r="AC80" s="197"/>
      <c r="AD80" s="197"/>
      <c r="AE80" s="199"/>
      <c r="AF80" s="190"/>
      <c r="AG80" s="190"/>
      <c r="AH80" s="190"/>
      <c r="AI80" s="190"/>
      <c r="AJ80" s="202"/>
      <c r="AK80" s="160"/>
    </row>
    <row r="81" spans="1:45" s="87" customFormat="1" ht="12.75" customHeight="1" x14ac:dyDescent="0.2">
      <c r="A81" s="121"/>
      <c r="B81" s="362"/>
      <c r="C81" s="362"/>
      <c r="D81" s="362"/>
      <c r="E81" s="362"/>
      <c r="F81" s="362"/>
      <c r="G81" s="362"/>
      <c r="H81" s="362"/>
      <c r="I81" s="96"/>
      <c r="J81" s="96"/>
      <c r="K81" s="166"/>
      <c r="L81" s="166"/>
      <c r="M81" s="166"/>
      <c r="N81" s="166"/>
      <c r="O81" s="166"/>
      <c r="P81" s="166"/>
      <c r="Q81" s="166"/>
      <c r="R81" s="167"/>
      <c r="S81" s="159"/>
      <c r="T81" s="159"/>
      <c r="U81" s="166"/>
      <c r="V81" s="122"/>
      <c r="W81" s="139"/>
      <c r="X81" s="152"/>
      <c r="Y81" s="355" t="str">
        <f t="shared" si="19"/>
        <v>Hampshire</v>
      </c>
      <c r="Z81" s="356" t="e">
        <f t="shared" si="20"/>
        <v>#N/A</v>
      </c>
      <c r="AA81" s="356" t="e">
        <f t="shared" si="21"/>
        <v>#N/A</v>
      </c>
      <c r="AB81" s="196"/>
      <c r="AC81" s="197"/>
      <c r="AD81" s="197"/>
      <c r="AE81" s="199"/>
      <c r="AF81" s="190"/>
      <c r="AG81" s="190"/>
      <c r="AH81" s="190"/>
      <c r="AI81" s="190"/>
      <c r="AJ81" s="202"/>
      <c r="AK81" s="160"/>
      <c r="AS81" s="87" t="s">
        <v>102</v>
      </c>
    </row>
    <row r="82" spans="1:45" s="87" customFormat="1" ht="12.75" customHeight="1" x14ac:dyDescent="0.2">
      <c r="A82" s="121"/>
      <c r="B82" s="362"/>
      <c r="C82" s="362"/>
      <c r="D82" s="362"/>
      <c r="E82" s="362"/>
      <c r="F82" s="362"/>
      <c r="G82" s="362"/>
      <c r="H82" s="362"/>
      <c r="I82" s="96"/>
      <c r="J82" s="96"/>
      <c r="K82" s="166"/>
      <c r="L82" s="166"/>
      <c r="M82" s="166"/>
      <c r="N82" s="166"/>
      <c r="O82" s="166"/>
      <c r="P82" s="166"/>
      <c r="Q82" s="166"/>
      <c r="R82" s="167"/>
      <c r="S82" s="159"/>
      <c r="T82" s="159"/>
      <c r="U82" s="166"/>
      <c r="V82" s="122"/>
      <c r="W82" s="139"/>
      <c r="X82" s="152"/>
      <c r="Y82" s="355" t="str">
        <f t="shared" si="19"/>
        <v>Isle of Wight</v>
      </c>
      <c r="Z82" s="356" t="e">
        <f t="shared" si="20"/>
        <v>#N/A</v>
      </c>
      <c r="AA82" s="356" t="e">
        <f t="shared" si="21"/>
        <v>#N/A</v>
      </c>
      <c r="AB82" s="196"/>
      <c r="AC82" s="197"/>
      <c r="AD82" s="197"/>
      <c r="AE82" s="199"/>
      <c r="AF82" s="190"/>
      <c r="AG82" s="190"/>
      <c r="AH82" s="190"/>
      <c r="AI82" s="190"/>
      <c r="AJ82" s="202"/>
      <c r="AK82" s="160"/>
    </row>
    <row r="83" spans="1:45" s="87" customFormat="1" ht="12.75" customHeight="1" x14ac:dyDescent="0.2">
      <c r="A83" s="121"/>
      <c r="B83" s="362"/>
      <c r="C83" s="362"/>
      <c r="D83" s="362"/>
      <c r="E83" s="362"/>
      <c r="F83" s="362"/>
      <c r="G83" s="362"/>
      <c r="H83" s="362"/>
      <c r="I83" s="96"/>
      <c r="J83" s="96"/>
      <c r="K83" s="166"/>
      <c r="L83" s="166"/>
      <c r="M83" s="166"/>
      <c r="N83" s="166"/>
      <c r="O83" s="166"/>
      <c r="P83" s="166"/>
      <c r="Q83" s="166"/>
      <c r="R83" s="167"/>
      <c r="S83" s="159"/>
      <c r="T83" s="159"/>
      <c r="U83" s="166"/>
      <c r="V83" s="122"/>
      <c r="W83" s="139"/>
      <c r="X83" s="152"/>
      <c r="Y83" s="355" t="str">
        <f t="shared" si="19"/>
        <v>Kent</v>
      </c>
      <c r="Z83" s="356" t="e">
        <f t="shared" si="20"/>
        <v>#N/A</v>
      </c>
      <c r="AA83" s="356" t="e">
        <f t="shared" si="21"/>
        <v>#N/A</v>
      </c>
      <c r="AB83" s="196"/>
      <c r="AC83" s="197"/>
      <c r="AD83" s="197"/>
      <c r="AE83" s="199"/>
      <c r="AF83" s="190"/>
      <c r="AG83" s="190"/>
      <c r="AH83" s="190"/>
      <c r="AI83" s="190"/>
      <c r="AJ83" s="202"/>
      <c r="AK83" s="160"/>
    </row>
    <row r="84" spans="1:45" s="87" customFormat="1" ht="12.75" customHeight="1" x14ac:dyDescent="0.2">
      <c r="A84" s="121"/>
      <c r="B84" s="362"/>
      <c r="C84" s="362"/>
      <c r="D84" s="362"/>
      <c r="E84" s="362"/>
      <c r="F84" s="362"/>
      <c r="G84" s="362"/>
      <c r="H84" s="362"/>
      <c r="I84" s="96"/>
      <c r="J84" s="96"/>
      <c r="K84" s="166"/>
      <c r="L84" s="166"/>
      <c r="M84" s="166"/>
      <c r="N84" s="166"/>
      <c r="O84" s="166"/>
      <c r="P84" s="166"/>
      <c r="Q84" s="166"/>
      <c r="R84" s="167"/>
      <c r="S84" s="159"/>
      <c r="T84" s="159"/>
      <c r="U84" s="166"/>
      <c r="V84" s="122"/>
      <c r="W84" s="139"/>
      <c r="X84" s="152"/>
      <c r="Y84" s="355" t="str">
        <f t="shared" si="19"/>
        <v>Medway</v>
      </c>
      <c r="Z84" s="356" t="e">
        <f t="shared" si="20"/>
        <v>#N/A</v>
      </c>
      <c r="AA84" s="356" t="e">
        <f t="shared" si="21"/>
        <v>#N/A</v>
      </c>
      <c r="AB84" s="196"/>
      <c r="AC84" s="197"/>
      <c r="AD84" s="197"/>
      <c r="AE84" s="199"/>
      <c r="AF84" s="190"/>
      <c r="AG84" s="190"/>
      <c r="AH84" s="190"/>
      <c r="AI84" s="190"/>
      <c r="AJ84" s="202"/>
      <c r="AK84" s="160"/>
    </row>
    <row r="85" spans="1:45" s="87" customFormat="1" ht="12.75" customHeight="1" x14ac:dyDescent="0.2">
      <c r="A85" s="121"/>
      <c r="B85" s="362"/>
      <c r="C85" s="362"/>
      <c r="D85" s="362"/>
      <c r="E85" s="362"/>
      <c r="F85" s="362"/>
      <c r="G85" s="362"/>
      <c r="H85" s="362"/>
      <c r="I85" s="96"/>
      <c r="J85" s="96"/>
      <c r="K85" s="166"/>
      <c r="L85" s="166"/>
      <c r="M85" s="166"/>
      <c r="N85" s="166"/>
      <c r="O85" s="166"/>
      <c r="P85" s="166"/>
      <c r="Q85" s="166"/>
      <c r="R85" s="167"/>
      <c r="S85" s="159"/>
      <c r="T85" s="159"/>
      <c r="U85" s="166"/>
      <c r="V85" s="122"/>
      <c r="W85" s="139"/>
      <c r="X85" s="152"/>
      <c r="Y85" s="355" t="str">
        <f t="shared" si="19"/>
        <v>Milton Keynes</v>
      </c>
      <c r="Z85" s="356" t="e">
        <f t="shared" si="20"/>
        <v>#N/A</v>
      </c>
      <c r="AA85" s="356" t="e">
        <f t="shared" si="21"/>
        <v>#N/A</v>
      </c>
      <c r="AB85" s="196"/>
      <c r="AC85" s="197"/>
      <c r="AD85" s="197"/>
      <c r="AE85" s="199"/>
      <c r="AF85" s="190"/>
      <c r="AG85" s="190"/>
      <c r="AH85" s="190"/>
      <c r="AI85" s="190"/>
      <c r="AJ85" s="202"/>
      <c r="AK85" s="160"/>
    </row>
    <row r="86" spans="1:45" s="87" customFormat="1" ht="12.75" customHeight="1" x14ac:dyDescent="0.2">
      <c r="A86" s="121"/>
      <c r="B86" s="362"/>
      <c r="C86" s="362"/>
      <c r="D86" s="362"/>
      <c r="E86" s="362"/>
      <c r="F86" s="362"/>
      <c r="G86" s="362"/>
      <c r="H86" s="362"/>
      <c r="I86" s="96"/>
      <c r="J86" s="96"/>
      <c r="K86" s="166"/>
      <c r="L86" s="166"/>
      <c r="M86" s="166"/>
      <c r="N86" s="166"/>
      <c r="O86" s="166"/>
      <c r="P86" s="166"/>
      <c r="Q86" s="166"/>
      <c r="R86" s="167"/>
      <c r="S86" s="159"/>
      <c r="T86" s="159"/>
      <c r="U86" s="166"/>
      <c r="V86" s="122"/>
      <c r="W86" s="139"/>
      <c r="X86" s="152"/>
      <c r="Y86" s="355" t="str">
        <f t="shared" si="19"/>
        <v>Oxfordshire</v>
      </c>
      <c r="Z86" s="356" t="e">
        <f t="shared" si="20"/>
        <v>#N/A</v>
      </c>
      <c r="AA86" s="356" t="e">
        <f t="shared" si="21"/>
        <v>#N/A</v>
      </c>
      <c r="AB86" s="196"/>
      <c r="AC86" s="197"/>
      <c r="AD86" s="197"/>
      <c r="AE86" s="199"/>
      <c r="AF86" s="190"/>
      <c r="AG86" s="190"/>
      <c r="AH86" s="190"/>
      <c r="AI86" s="190"/>
      <c r="AJ86" s="202"/>
      <c r="AK86" s="160"/>
    </row>
    <row r="87" spans="1:45" s="87" customFormat="1" ht="12.75" customHeight="1" x14ac:dyDescent="0.2">
      <c r="A87" s="121"/>
      <c r="B87" s="362"/>
      <c r="C87" s="362"/>
      <c r="D87" s="362"/>
      <c r="E87" s="362"/>
      <c r="F87" s="362"/>
      <c r="G87" s="362"/>
      <c r="H87" s="362"/>
      <c r="I87" s="96"/>
      <c r="J87" s="96"/>
      <c r="K87" s="166"/>
      <c r="L87" s="166"/>
      <c r="M87" s="166"/>
      <c r="N87" s="166"/>
      <c r="O87" s="166"/>
      <c r="P87" s="166"/>
      <c r="Q87" s="166"/>
      <c r="R87" s="167"/>
      <c r="S87" s="159"/>
      <c r="T87" s="159"/>
      <c r="U87" s="166"/>
      <c r="V87" s="122"/>
      <c r="W87" s="139"/>
      <c r="X87" s="152"/>
      <c r="Y87" s="355" t="str">
        <f t="shared" si="19"/>
        <v>Portsmouth</v>
      </c>
      <c r="Z87" s="356" t="e">
        <f t="shared" si="20"/>
        <v>#N/A</v>
      </c>
      <c r="AA87" s="356" t="e">
        <f t="shared" si="21"/>
        <v>#N/A</v>
      </c>
      <c r="AB87" s="196"/>
      <c r="AC87" s="197"/>
      <c r="AD87" s="197"/>
      <c r="AE87" s="199"/>
      <c r="AF87" s="190"/>
      <c r="AG87" s="190"/>
      <c r="AH87" s="190"/>
      <c r="AI87" s="190"/>
      <c r="AJ87" s="202"/>
      <c r="AK87" s="160"/>
    </row>
    <row r="88" spans="1:45" s="87" customFormat="1" ht="12.75" customHeight="1" x14ac:dyDescent="0.2">
      <c r="A88" s="121"/>
      <c r="B88" s="362"/>
      <c r="C88" s="362"/>
      <c r="D88" s="362"/>
      <c r="E88" s="362"/>
      <c r="F88" s="362"/>
      <c r="G88" s="362"/>
      <c r="H88" s="362"/>
      <c r="I88" s="96"/>
      <c r="J88" s="96"/>
      <c r="K88" s="166"/>
      <c r="L88" s="166"/>
      <c r="M88" s="166"/>
      <c r="N88" s="166"/>
      <c r="O88" s="166"/>
      <c r="P88" s="166"/>
      <c r="Q88" s="166"/>
      <c r="R88" s="167"/>
      <c r="S88" s="159"/>
      <c r="T88" s="159"/>
      <c r="U88" s="166"/>
      <c r="V88" s="122"/>
      <c r="W88" s="139"/>
      <c r="X88" s="152"/>
      <c r="Y88" s="355" t="str">
        <f t="shared" si="19"/>
        <v>Reading</v>
      </c>
      <c r="Z88" s="356" t="e">
        <f t="shared" si="20"/>
        <v>#N/A</v>
      </c>
      <c r="AA88" s="356" t="e">
        <f t="shared" si="21"/>
        <v>#N/A</v>
      </c>
      <c r="AB88" s="196"/>
      <c r="AC88" s="197"/>
      <c r="AD88" s="197"/>
      <c r="AE88" s="199"/>
      <c r="AF88" s="190"/>
      <c r="AG88" s="190"/>
      <c r="AH88" s="190"/>
      <c r="AI88" s="190"/>
      <c r="AJ88" s="202"/>
      <c r="AK88" s="160"/>
    </row>
    <row r="89" spans="1:45" s="87" customFormat="1" ht="12.75" customHeight="1" x14ac:dyDescent="0.2">
      <c r="A89" s="121"/>
      <c r="B89" s="362"/>
      <c r="C89" s="362"/>
      <c r="D89" s="362"/>
      <c r="E89" s="362"/>
      <c r="F89" s="362"/>
      <c r="G89" s="362"/>
      <c r="H89" s="362"/>
      <c r="I89" s="96"/>
      <c r="J89" s="96"/>
      <c r="K89" s="166"/>
      <c r="L89" s="166"/>
      <c r="M89" s="166"/>
      <c r="N89" s="166"/>
      <c r="O89" s="166"/>
      <c r="P89" s="166"/>
      <c r="Q89" s="166"/>
      <c r="R89" s="167"/>
      <c r="S89" s="159"/>
      <c r="T89" s="159"/>
      <c r="U89" s="166"/>
      <c r="V89" s="122"/>
      <c r="W89" s="139"/>
      <c r="X89" s="152"/>
      <c r="Y89" s="355" t="str">
        <f t="shared" si="19"/>
        <v>Slough</v>
      </c>
      <c r="Z89" s="356" t="e">
        <f t="shared" si="20"/>
        <v>#N/A</v>
      </c>
      <c r="AA89" s="356" t="e">
        <f t="shared" si="21"/>
        <v>#N/A</v>
      </c>
      <c r="AB89" s="196"/>
      <c r="AC89" s="197"/>
      <c r="AD89" s="197"/>
      <c r="AE89" s="199"/>
      <c r="AF89" s="190"/>
      <c r="AG89" s="190"/>
      <c r="AH89" s="190"/>
      <c r="AI89" s="190"/>
      <c r="AJ89" s="202"/>
      <c r="AK89" s="160"/>
    </row>
    <row r="90" spans="1:45" s="87" customFormat="1" ht="12.75" customHeight="1" x14ac:dyDescent="0.2">
      <c r="A90" s="121"/>
      <c r="B90" s="362"/>
      <c r="C90" s="362"/>
      <c r="D90" s="362"/>
      <c r="E90" s="362"/>
      <c r="F90" s="362"/>
      <c r="G90" s="362"/>
      <c r="H90" s="362"/>
      <c r="I90" s="96"/>
      <c r="J90" s="96"/>
      <c r="K90" s="166"/>
      <c r="L90" s="166"/>
      <c r="M90" s="166"/>
      <c r="N90" s="166"/>
      <c r="O90" s="166"/>
      <c r="P90" s="166"/>
      <c r="Q90" s="166"/>
      <c r="R90" s="167"/>
      <c r="S90" s="159"/>
      <c r="T90" s="159"/>
      <c r="U90" s="166"/>
      <c r="V90" s="122"/>
      <c r="W90" s="139"/>
      <c r="X90" s="152"/>
      <c r="Y90" s="355" t="str">
        <f t="shared" si="19"/>
        <v>Somerset</v>
      </c>
      <c r="Z90" s="356" t="e">
        <f t="shared" si="20"/>
        <v>#N/A</v>
      </c>
      <c r="AA90" s="356" t="e">
        <f t="shared" si="21"/>
        <v>#N/A</v>
      </c>
      <c r="AB90" s="196"/>
      <c r="AC90" s="197"/>
      <c r="AD90" s="197"/>
      <c r="AE90" s="199"/>
      <c r="AF90" s="190"/>
      <c r="AG90" s="190"/>
      <c r="AH90" s="190"/>
      <c r="AI90" s="190"/>
      <c r="AJ90" s="202"/>
      <c r="AK90" s="160"/>
    </row>
    <row r="91" spans="1:45" s="87" customFormat="1" ht="12.75" customHeight="1" x14ac:dyDescent="0.2">
      <c r="A91" s="121"/>
      <c r="B91" s="362"/>
      <c r="C91" s="362"/>
      <c r="D91" s="362"/>
      <c r="E91" s="362"/>
      <c r="F91" s="362"/>
      <c r="G91" s="362"/>
      <c r="H91" s="362"/>
      <c r="I91" s="96"/>
      <c r="J91" s="96"/>
      <c r="K91" s="166"/>
      <c r="L91" s="166"/>
      <c r="M91" s="166"/>
      <c r="N91" s="166"/>
      <c r="O91" s="166"/>
      <c r="P91" s="166"/>
      <c r="Q91" s="166"/>
      <c r="R91" s="167"/>
      <c r="S91" s="159"/>
      <c r="T91" s="159"/>
      <c r="U91" s="166"/>
      <c r="V91" s="122"/>
      <c r="W91" s="139"/>
      <c r="X91" s="152"/>
      <c r="Y91" s="355" t="str">
        <f t="shared" si="19"/>
        <v>Southampton</v>
      </c>
      <c r="Z91" s="356" t="e">
        <f t="shared" si="20"/>
        <v>#N/A</v>
      </c>
      <c r="AA91" s="356" t="e">
        <f t="shared" si="21"/>
        <v>#N/A</v>
      </c>
      <c r="AB91" s="196"/>
      <c r="AC91" s="197"/>
      <c r="AD91" s="197"/>
      <c r="AE91" s="199"/>
      <c r="AF91" s="190"/>
      <c r="AG91" s="190"/>
      <c r="AH91" s="190"/>
      <c r="AI91" s="190"/>
      <c r="AJ91" s="202"/>
      <c r="AK91" s="160"/>
    </row>
    <row r="92" spans="1:45" s="87" customFormat="1" ht="12.75" customHeight="1" x14ac:dyDescent="0.2">
      <c r="A92" s="292"/>
      <c r="B92" s="362"/>
      <c r="C92" s="362"/>
      <c r="D92" s="362"/>
      <c r="E92" s="362"/>
      <c r="F92" s="362"/>
      <c r="G92" s="362"/>
      <c r="H92" s="362"/>
      <c r="I92" s="96"/>
      <c r="J92" s="96"/>
      <c r="K92" s="166"/>
      <c r="L92" s="166"/>
      <c r="M92" s="166"/>
      <c r="N92" s="166"/>
      <c r="O92" s="166"/>
      <c r="P92" s="166"/>
      <c r="Q92" s="166"/>
      <c r="R92" s="167"/>
      <c r="S92" s="159"/>
      <c r="T92" s="159"/>
      <c r="U92" s="166"/>
      <c r="V92" s="122"/>
      <c r="W92" s="139"/>
      <c r="X92" s="152"/>
      <c r="Y92" s="355" t="str">
        <f t="shared" si="19"/>
        <v>Surrey</v>
      </c>
      <c r="Z92" s="356" t="e">
        <f t="shared" si="20"/>
        <v>#N/A</v>
      </c>
      <c r="AA92" s="356" t="e">
        <f t="shared" si="21"/>
        <v>#N/A</v>
      </c>
      <c r="AB92" s="196"/>
      <c r="AC92" s="197"/>
      <c r="AD92" s="197"/>
      <c r="AE92" s="199"/>
      <c r="AF92" s="190"/>
      <c r="AG92" s="190"/>
      <c r="AH92" s="190"/>
      <c r="AI92" s="190"/>
      <c r="AJ92" s="202"/>
      <c r="AK92" s="160"/>
    </row>
    <row r="93" spans="1:45" s="87" customFormat="1" ht="12.75" customHeight="1" x14ac:dyDescent="0.2">
      <c r="A93" s="292"/>
      <c r="B93" s="362"/>
      <c r="C93" s="362"/>
      <c r="D93" s="362"/>
      <c r="E93" s="362"/>
      <c r="F93" s="362"/>
      <c r="G93" s="362"/>
      <c r="H93" s="362"/>
      <c r="I93" s="96"/>
      <c r="J93" s="96"/>
      <c r="K93" s="166"/>
      <c r="L93" s="166"/>
      <c r="M93" s="166"/>
      <c r="N93" s="166"/>
      <c r="O93" s="166"/>
      <c r="P93" s="166"/>
      <c r="Q93" s="166"/>
      <c r="R93" s="167"/>
      <c r="S93" s="159"/>
      <c r="T93" s="159"/>
      <c r="U93" s="166"/>
      <c r="V93" s="122"/>
      <c r="W93" s="139"/>
      <c r="X93" s="152"/>
      <c r="Y93" s="355" t="str">
        <f t="shared" si="19"/>
        <v>Swindon</v>
      </c>
      <c r="Z93" s="356" t="e">
        <f t="shared" si="20"/>
        <v>#N/A</v>
      </c>
      <c r="AA93" s="356" t="e">
        <f t="shared" si="21"/>
        <v>#N/A</v>
      </c>
      <c r="AB93" s="196"/>
      <c r="AC93" s="197"/>
      <c r="AD93" s="197"/>
      <c r="AE93" s="199"/>
      <c r="AF93" s="190"/>
      <c r="AG93" s="190"/>
      <c r="AH93" s="190"/>
      <c r="AI93" s="190"/>
      <c r="AJ93" s="202"/>
      <c r="AK93" s="160"/>
    </row>
    <row r="94" spans="1:45" s="87" customFormat="1" ht="12.75" customHeight="1" x14ac:dyDescent="0.2">
      <c r="A94" s="121"/>
      <c r="B94" s="362"/>
      <c r="C94" s="362"/>
      <c r="D94" s="362"/>
      <c r="E94" s="362"/>
      <c r="F94" s="362"/>
      <c r="G94" s="362"/>
      <c r="H94" s="362"/>
      <c r="I94" s="96"/>
      <c r="J94" s="96"/>
      <c r="K94" s="166"/>
      <c r="L94" s="166"/>
      <c r="M94" s="166"/>
      <c r="N94" s="166"/>
      <c r="O94" s="166"/>
      <c r="P94" s="166"/>
      <c r="Q94" s="166"/>
      <c r="R94" s="167"/>
      <c r="S94" s="159"/>
      <c r="T94" s="159"/>
      <c r="U94" s="166"/>
      <c r="V94" s="122"/>
      <c r="W94" s="139"/>
      <c r="X94" s="152"/>
      <c r="Y94" s="355" t="str">
        <f t="shared" si="19"/>
        <v>Torbay</v>
      </c>
      <c r="Z94" s="356" t="e">
        <f t="shared" si="20"/>
        <v>#N/A</v>
      </c>
      <c r="AA94" s="356" t="e">
        <f t="shared" si="21"/>
        <v>#N/A</v>
      </c>
      <c r="AB94" s="196"/>
      <c r="AC94" s="197"/>
      <c r="AD94" s="197"/>
      <c r="AE94" s="199"/>
      <c r="AF94" s="202"/>
      <c r="AG94" s="190"/>
      <c r="AH94" s="190"/>
      <c r="AI94" s="190"/>
      <c r="AJ94" s="202"/>
      <c r="AK94" s="160"/>
    </row>
    <row r="95" spans="1:45" s="87" customFormat="1" ht="12.75" customHeight="1" x14ac:dyDescent="0.2">
      <c r="A95" s="121"/>
      <c r="B95" s="362"/>
      <c r="C95" s="362"/>
      <c r="D95" s="362"/>
      <c r="E95" s="362"/>
      <c r="F95" s="362"/>
      <c r="G95" s="362"/>
      <c r="H95" s="362"/>
      <c r="I95" s="96"/>
      <c r="J95" s="96"/>
      <c r="K95" s="166"/>
      <c r="L95" s="166"/>
      <c r="M95" s="166"/>
      <c r="N95" s="166"/>
      <c r="O95" s="166"/>
      <c r="P95" s="166"/>
      <c r="Q95" s="166"/>
      <c r="R95" s="167"/>
      <c r="S95" s="159"/>
      <c r="T95" s="159"/>
      <c r="U95" s="166"/>
      <c r="V95" s="122"/>
      <c r="W95" s="139"/>
      <c r="X95" s="152"/>
      <c r="Y95" s="355" t="str">
        <f t="shared" si="19"/>
        <v>West Berkshire</v>
      </c>
      <c r="Z95" s="356" t="e">
        <f t="shared" si="20"/>
        <v>#N/A</v>
      </c>
      <c r="AA95" s="356" t="e">
        <f t="shared" si="21"/>
        <v>#N/A</v>
      </c>
      <c r="AB95" s="196"/>
      <c r="AC95" s="197"/>
      <c r="AD95" s="197"/>
      <c r="AE95" s="199"/>
      <c r="AF95" s="202"/>
      <c r="AG95" s="190"/>
      <c r="AH95" s="190"/>
      <c r="AI95" s="190"/>
      <c r="AJ95" s="202"/>
      <c r="AK95" s="160"/>
    </row>
    <row r="96" spans="1:45" s="87" customFormat="1" ht="12.75" customHeight="1" x14ac:dyDescent="0.2">
      <c r="A96" s="121"/>
      <c r="B96" s="362"/>
      <c r="C96" s="362"/>
      <c r="D96" s="362"/>
      <c r="E96" s="362"/>
      <c r="F96" s="362"/>
      <c r="G96" s="362"/>
      <c r="H96" s="362"/>
      <c r="I96" s="96"/>
      <c r="J96" s="96"/>
      <c r="K96" s="166"/>
      <c r="L96" s="166"/>
      <c r="M96" s="166"/>
      <c r="N96" s="166"/>
      <c r="O96" s="166"/>
      <c r="P96" s="166"/>
      <c r="Q96" s="166"/>
      <c r="R96" s="167"/>
      <c r="S96" s="159"/>
      <c r="T96" s="159"/>
      <c r="U96" s="166"/>
      <c r="V96" s="122"/>
      <c r="W96" s="139"/>
      <c r="X96" s="152"/>
      <c r="Y96" s="355" t="str">
        <f t="shared" si="19"/>
        <v>West Sussex</v>
      </c>
      <c r="Z96" s="356" t="e">
        <f t="shared" si="20"/>
        <v>#N/A</v>
      </c>
      <c r="AA96" s="356" t="e">
        <f t="shared" si="21"/>
        <v>#N/A</v>
      </c>
      <c r="AB96" s="196"/>
      <c r="AC96" s="197"/>
      <c r="AD96" s="197"/>
      <c r="AE96" s="199"/>
      <c r="AF96" s="202"/>
      <c r="AG96" s="202"/>
      <c r="AH96" s="202"/>
      <c r="AI96" s="190"/>
      <c r="AJ96" s="202"/>
      <c r="AK96" s="160"/>
    </row>
    <row r="97" spans="1:66" s="87" customFormat="1" ht="12.75" customHeight="1" x14ac:dyDescent="0.2">
      <c r="A97" s="121"/>
      <c r="B97" s="362"/>
      <c r="C97" s="362"/>
      <c r="D97" s="362"/>
      <c r="E97" s="362"/>
      <c r="F97" s="362"/>
      <c r="G97" s="362"/>
      <c r="H97" s="362"/>
      <c r="I97" s="96"/>
      <c r="J97" s="96"/>
      <c r="K97" s="166"/>
      <c r="L97" s="166"/>
      <c r="M97" s="166"/>
      <c r="N97" s="166"/>
      <c r="O97" s="166"/>
      <c r="P97" s="166"/>
      <c r="Q97" s="166"/>
      <c r="R97" s="167"/>
      <c r="S97" s="159"/>
      <c r="T97" s="159"/>
      <c r="U97" s="166"/>
      <c r="V97" s="122"/>
      <c r="W97" s="139"/>
      <c r="X97" s="152"/>
      <c r="Y97" s="355" t="str">
        <f t="shared" si="19"/>
        <v>Windsor &amp; Maidenhead</v>
      </c>
      <c r="Z97" s="356" t="e">
        <f t="shared" si="20"/>
        <v>#N/A</v>
      </c>
      <c r="AA97" s="356" t="e">
        <f t="shared" si="21"/>
        <v>#N/A</v>
      </c>
      <c r="AB97" s="196"/>
      <c r="AC97" s="197"/>
      <c r="AD97" s="197"/>
      <c r="AE97" s="199"/>
      <c r="AF97" s="202"/>
      <c r="AG97" s="202"/>
      <c r="AH97" s="202"/>
      <c r="AI97" s="190"/>
      <c r="AJ97" s="202"/>
      <c r="AK97" s="160"/>
    </row>
    <row r="98" spans="1:66" s="87" customFormat="1" ht="12.75" customHeight="1" x14ac:dyDescent="0.2">
      <c r="A98" s="121"/>
      <c r="B98" s="362"/>
      <c r="C98" s="362"/>
      <c r="D98" s="362"/>
      <c r="E98" s="362"/>
      <c r="F98" s="362"/>
      <c r="G98" s="362"/>
      <c r="H98" s="362"/>
      <c r="I98" s="96"/>
      <c r="J98" s="96"/>
      <c r="K98" s="168"/>
      <c r="L98" s="168"/>
      <c r="M98" s="168"/>
      <c r="N98" s="168"/>
      <c r="O98" s="168"/>
      <c r="P98" s="168"/>
      <c r="Q98" s="168"/>
      <c r="R98" s="169"/>
      <c r="S98" s="159"/>
      <c r="T98" s="159"/>
      <c r="U98" s="170"/>
      <c r="V98" s="122"/>
      <c r="W98" s="139"/>
      <c r="X98" s="152"/>
      <c r="Y98" s="355" t="str">
        <f t="shared" si="19"/>
        <v>Wokingham</v>
      </c>
      <c r="Z98" s="356" t="e">
        <f t="shared" si="20"/>
        <v>#N/A</v>
      </c>
      <c r="AA98" s="356" t="e">
        <f t="shared" si="21"/>
        <v>#N/A</v>
      </c>
      <c r="AB98" s="196"/>
      <c r="AC98" s="197"/>
      <c r="AD98" s="197"/>
      <c r="AE98" s="199"/>
      <c r="AF98" s="202"/>
      <c r="AG98" s="202"/>
      <c r="AH98" s="202"/>
      <c r="AI98" s="190"/>
      <c r="AJ98" s="202"/>
      <c r="AK98" s="160"/>
    </row>
    <row r="99" spans="1:66" s="87" customFormat="1" ht="12.75" customHeight="1" x14ac:dyDescent="0.2">
      <c r="A99" s="121"/>
      <c r="B99" s="362"/>
      <c r="C99" s="362"/>
      <c r="D99" s="362"/>
      <c r="E99" s="362"/>
      <c r="F99" s="362"/>
      <c r="G99" s="362"/>
      <c r="H99" s="362"/>
      <c r="I99" s="96"/>
      <c r="J99" s="96"/>
      <c r="K99" s="168"/>
      <c r="L99" s="168"/>
      <c r="M99" s="168"/>
      <c r="N99" s="168"/>
      <c r="O99" s="168"/>
      <c r="P99" s="168"/>
      <c r="Q99" s="168"/>
      <c r="R99" s="169"/>
      <c r="S99" s="159"/>
      <c r="T99" s="159"/>
      <c r="U99" s="170"/>
      <c r="V99" s="122"/>
      <c r="W99" s="139"/>
      <c r="X99" s="152"/>
      <c r="Y99" s="355" t="str">
        <f>B32</f>
        <v>South East</v>
      </c>
      <c r="Z99" s="356" t="e">
        <f t="shared" si="20"/>
        <v>#N/A</v>
      </c>
      <c r="AA99" s="356" t="e">
        <f t="shared" si="21"/>
        <v>#N/A</v>
      </c>
      <c r="AB99" s="196"/>
      <c r="AC99" s="197"/>
      <c r="AD99" s="197"/>
      <c r="AE99" s="199"/>
      <c r="AF99" s="202"/>
      <c r="AG99" s="202"/>
      <c r="AH99" s="202"/>
      <c r="AI99" s="190"/>
      <c r="AJ99" s="202"/>
      <c r="AK99" s="160"/>
    </row>
    <row r="100" spans="1:66" s="87" customFormat="1" ht="11.25" customHeight="1" x14ac:dyDescent="0.2">
      <c r="A100" s="292"/>
      <c r="B100" s="362"/>
      <c r="C100" s="362"/>
      <c r="D100" s="362"/>
      <c r="E100" s="362"/>
      <c r="F100" s="362"/>
      <c r="G100" s="362"/>
      <c r="H100" s="362"/>
      <c r="I100" s="96"/>
      <c r="J100" s="96"/>
      <c r="K100" s="168"/>
      <c r="L100" s="168"/>
      <c r="M100" s="168"/>
      <c r="N100" s="168"/>
      <c r="O100" s="168"/>
      <c r="P100" s="168"/>
      <c r="Q100" s="168"/>
      <c r="R100" s="169"/>
      <c r="S100" s="159"/>
      <c r="T100" s="159"/>
      <c r="U100" s="170"/>
      <c r="V100" s="122"/>
      <c r="W100" s="139"/>
      <c r="X100" s="152"/>
      <c r="Y100" s="355" t="str">
        <f>B33</f>
        <v>England</v>
      </c>
      <c r="Z100" s="356" t="e">
        <f t="shared" si="20"/>
        <v>#N/A</v>
      </c>
      <c r="AA100" s="356" t="e">
        <f t="shared" si="21"/>
        <v>#N/A</v>
      </c>
      <c r="AB100" s="196"/>
      <c r="AC100" s="197"/>
      <c r="AD100" s="197"/>
      <c r="AE100" s="199"/>
      <c r="AF100" s="202"/>
      <c r="AG100" s="202"/>
      <c r="AH100" s="202"/>
      <c r="AI100" s="190"/>
      <c r="AJ100" s="202"/>
      <c r="AK100" s="160"/>
    </row>
    <row r="101" spans="1:66" s="81" customFormat="1" ht="36.6" customHeight="1" x14ac:dyDescent="0.2">
      <c r="A101" s="217"/>
      <c r="B101" s="362"/>
      <c r="C101" s="362"/>
      <c r="D101" s="362"/>
      <c r="E101" s="362"/>
      <c r="F101" s="362"/>
      <c r="G101" s="362"/>
      <c r="H101" s="362"/>
      <c r="I101" s="369"/>
      <c r="J101" s="172"/>
      <c r="K101" s="172"/>
      <c r="L101" s="172"/>
      <c r="M101" s="172"/>
      <c r="N101" s="172"/>
      <c r="O101" s="172"/>
      <c r="P101" s="172"/>
      <c r="Q101" s="172"/>
      <c r="R101" s="136"/>
      <c r="S101" s="172"/>
      <c r="T101" s="172"/>
      <c r="U101" s="172"/>
      <c r="V101" s="117"/>
      <c r="W101" s="137"/>
      <c r="X101" s="150"/>
      <c r="AD101" s="197"/>
      <c r="AE101" s="199"/>
      <c r="AF101" s="184"/>
      <c r="AG101" s="184"/>
      <c r="AH101" s="184"/>
      <c r="AJ101" s="184"/>
      <c r="AK101" s="161"/>
    </row>
    <row r="102" spans="1:66" s="81" customFormat="1" ht="37.5" customHeight="1" x14ac:dyDescent="0.2">
      <c r="A102" s="217"/>
      <c r="B102" s="362"/>
      <c r="C102" s="362"/>
      <c r="D102" s="362"/>
      <c r="E102" s="362"/>
      <c r="F102" s="362"/>
      <c r="G102" s="362"/>
      <c r="H102" s="362"/>
      <c r="I102" s="369"/>
      <c r="J102" s="172"/>
      <c r="K102" s="172"/>
      <c r="L102" s="172"/>
      <c r="M102" s="172"/>
      <c r="N102" s="172"/>
      <c r="O102" s="172"/>
      <c r="P102" s="172"/>
      <c r="Q102" s="172"/>
      <c r="R102" s="136"/>
      <c r="S102" s="172"/>
      <c r="T102" s="172"/>
      <c r="U102" s="172"/>
      <c r="V102" s="117"/>
      <c r="W102" s="137"/>
      <c r="X102" s="150"/>
      <c r="Z102" s="190"/>
      <c r="AE102" s="199"/>
      <c r="AF102" s="184"/>
      <c r="AG102" s="184"/>
      <c r="AH102" s="184"/>
      <c r="AJ102" s="184"/>
      <c r="AK102" s="161"/>
    </row>
    <row r="103" spans="1:66" s="81" customFormat="1" ht="42.75" customHeight="1" x14ac:dyDescent="0.2">
      <c r="A103" s="217"/>
      <c r="B103" s="369"/>
      <c r="C103" s="369"/>
      <c r="D103" s="369"/>
      <c r="E103" s="369"/>
      <c r="F103" s="369"/>
      <c r="G103" s="369"/>
      <c r="H103" s="369"/>
      <c r="I103" s="369"/>
      <c r="J103" s="172"/>
      <c r="K103" s="172"/>
      <c r="L103" s="172"/>
      <c r="M103" s="172"/>
      <c r="N103" s="172"/>
      <c r="O103" s="172"/>
      <c r="P103" s="172"/>
      <c r="Q103" s="172"/>
      <c r="R103" s="136"/>
      <c r="S103" s="172"/>
      <c r="T103" s="172"/>
      <c r="U103" s="172"/>
      <c r="V103" s="117"/>
      <c r="W103" s="137"/>
      <c r="X103" s="150"/>
      <c r="Z103" s="190"/>
      <c r="AE103" s="199"/>
      <c r="AF103" s="184"/>
      <c r="AG103" s="184"/>
      <c r="AH103" s="184"/>
      <c r="AJ103" s="184"/>
      <c r="AK103" s="161"/>
    </row>
    <row r="104" spans="1:66" s="81" customFormat="1" ht="7.5" customHeight="1" x14ac:dyDescent="0.2">
      <c r="A104" s="118"/>
      <c r="B104" s="17"/>
      <c r="C104" s="17"/>
      <c r="D104" s="16"/>
      <c r="E104" s="16"/>
      <c r="F104" s="16"/>
      <c r="G104" s="16"/>
      <c r="H104" s="16"/>
      <c r="I104" s="16"/>
      <c r="J104" s="12"/>
      <c r="K104" s="18"/>
      <c r="L104" s="18"/>
      <c r="M104" s="18"/>
      <c r="N104" s="18"/>
      <c r="O104" s="18"/>
      <c r="P104" s="18"/>
      <c r="Q104" s="18"/>
      <c r="R104" s="18"/>
      <c r="S104" s="18"/>
      <c r="T104" s="18"/>
      <c r="U104" s="19"/>
      <c r="V104" s="117"/>
      <c r="W104" s="137"/>
      <c r="X104" s="150"/>
      <c r="Z104" s="190"/>
      <c r="AJ104" s="184"/>
      <c r="AK104" s="157"/>
      <c r="AL104" s="74"/>
      <c r="AM104" s="74"/>
      <c r="AN104" s="74"/>
      <c r="AO104" s="74"/>
      <c r="AP104" s="74"/>
      <c r="AQ104" s="74"/>
      <c r="AR104" s="74"/>
    </row>
    <row r="105" spans="1:66" s="81" customFormat="1" ht="15" customHeight="1" x14ac:dyDescent="0.2">
      <c r="A105" s="1716"/>
      <c r="B105" s="1760"/>
      <c r="C105" s="1760"/>
      <c r="D105" s="1760"/>
      <c r="E105" s="1760"/>
      <c r="F105" s="1760"/>
      <c r="G105" s="1760"/>
      <c r="H105" s="1760"/>
      <c r="I105" s="1760"/>
      <c r="J105" s="1760"/>
      <c r="K105" s="1760"/>
      <c r="L105" s="1760"/>
      <c r="M105" s="1760"/>
      <c r="N105" s="1760"/>
      <c r="O105" s="1760"/>
      <c r="P105" s="1760"/>
      <c r="Q105" s="1760"/>
      <c r="R105" s="1760"/>
      <c r="S105" s="1760"/>
      <c r="T105" s="1760"/>
      <c r="U105" s="1760"/>
      <c r="V105" s="1761"/>
      <c r="W105" s="137"/>
      <c r="X105" s="150"/>
      <c r="Y105" s="188"/>
      <c r="Z105" s="188"/>
      <c r="AK105" s="161"/>
      <c r="AT105" s="74"/>
    </row>
    <row r="106" spans="1:66" s="81" customFormat="1" ht="11.25" customHeight="1" x14ac:dyDescent="0.2">
      <c r="A106" s="1765" t="str">
        <f>Home!$A$39</f>
        <v xml:space="preserve"> </v>
      </c>
      <c r="B106" s="1766"/>
      <c r="C106" s="1766"/>
      <c r="D106" s="1766"/>
      <c r="E106" s="1766"/>
      <c r="F106" s="1766"/>
      <c r="G106" s="1766"/>
      <c r="H106" s="1766"/>
      <c r="I106" s="1767"/>
      <c r="J106" s="1766"/>
      <c r="K106" s="1766"/>
      <c r="L106" s="1766"/>
      <c r="M106" s="1766"/>
      <c r="N106" s="1766"/>
      <c r="O106" s="1766"/>
      <c r="P106" s="1768"/>
      <c r="Q106" s="1766"/>
      <c r="R106" s="1766"/>
      <c r="S106" s="1766"/>
      <c r="T106" s="1767"/>
      <c r="U106" s="1766"/>
      <c r="V106" s="1769"/>
      <c r="W106" s="137"/>
      <c r="X106" s="150"/>
      <c r="Y106" s="188"/>
      <c r="Z106" s="188"/>
      <c r="AJ106" s="184"/>
      <c r="AK106" s="161"/>
      <c r="AT106" s="74"/>
    </row>
    <row r="107" spans="1:66" ht="11.25" customHeight="1" x14ac:dyDescent="0.2">
      <c r="A107" s="142"/>
      <c r="B107" s="9"/>
      <c r="C107" s="9"/>
      <c r="D107" s="9"/>
      <c r="E107" s="9"/>
      <c r="F107" s="58"/>
      <c r="G107" s="58"/>
      <c r="H107" s="58"/>
      <c r="I107" s="58"/>
      <c r="J107" s="114"/>
      <c r="K107" s="113"/>
      <c r="L107" s="113"/>
      <c r="M107" s="113"/>
      <c r="N107" s="113"/>
      <c r="O107" s="113"/>
      <c r="P107" s="113"/>
      <c r="Q107" s="113"/>
      <c r="R107" s="113"/>
      <c r="S107" s="113"/>
      <c r="T107" s="113"/>
      <c r="U107" s="113"/>
      <c r="V107" s="113"/>
      <c r="W107" s="137"/>
      <c r="X107" s="150"/>
      <c r="AJ107" s="81"/>
      <c r="AK107" s="161"/>
      <c r="AL107" s="81"/>
      <c r="AM107" s="81"/>
      <c r="AN107" s="81"/>
      <c r="AO107" s="81"/>
      <c r="AP107" s="81"/>
      <c r="AQ107" s="81"/>
      <c r="AR107" s="81"/>
      <c r="AS107" s="81"/>
      <c r="AU107" s="81"/>
      <c r="AZ107" s="81"/>
      <c r="BA107" s="81"/>
      <c r="BB107" s="81"/>
      <c r="BC107" s="81"/>
      <c r="BD107" s="81"/>
      <c r="BE107" s="81"/>
      <c r="BF107" s="81"/>
      <c r="BG107" s="81"/>
      <c r="BH107" s="81"/>
      <c r="BI107" s="81"/>
      <c r="BJ107" s="81"/>
      <c r="BK107" s="81"/>
      <c r="BL107" s="81"/>
      <c r="BM107" s="81"/>
      <c r="BN107" s="81"/>
    </row>
    <row r="108" spans="1:66" ht="11.25" customHeight="1" x14ac:dyDescent="0.2">
      <c r="A108" s="142"/>
      <c r="B108" s="1685" t="s">
        <v>82</v>
      </c>
      <c r="C108" s="1685"/>
      <c r="D108" s="1685"/>
      <c r="E108" s="1685"/>
      <c r="F108" s="1685"/>
      <c r="G108" s="1685"/>
      <c r="H108" s="1685"/>
      <c r="I108" s="1685"/>
      <c r="J108" s="12"/>
      <c r="K108" s="9"/>
      <c r="L108" s="9"/>
      <c r="M108" s="9"/>
      <c r="N108" s="9"/>
      <c r="O108" s="9"/>
      <c r="P108" s="9"/>
      <c r="Q108" s="9"/>
      <c r="R108" s="9"/>
      <c r="S108" s="9"/>
      <c r="T108" s="9"/>
      <c r="U108" s="9"/>
      <c r="V108" s="9"/>
      <c r="W108" s="137"/>
      <c r="X108" s="150"/>
      <c r="AJ108" s="81"/>
      <c r="AK108" s="161"/>
      <c r="AL108" s="81"/>
      <c r="AM108" s="81"/>
      <c r="AN108" s="81"/>
      <c r="AO108" s="81"/>
      <c r="AP108" s="81"/>
      <c r="AQ108" s="81"/>
      <c r="AR108" s="81"/>
      <c r="AS108" s="81"/>
      <c r="AU108" s="81"/>
      <c r="AV108" s="81"/>
      <c r="AW108" s="81"/>
      <c r="AX108" s="81"/>
      <c r="AY108" s="81"/>
    </row>
    <row r="109" spans="1:66" ht="11.25" customHeight="1" x14ac:dyDescent="0.2">
      <c r="A109" s="142"/>
      <c r="B109" s="1685"/>
      <c r="C109" s="1685"/>
      <c r="D109" s="1685"/>
      <c r="E109" s="1685"/>
      <c r="F109" s="1685"/>
      <c r="G109" s="1685"/>
      <c r="H109" s="1685"/>
      <c r="I109" s="1685"/>
      <c r="J109" s="12"/>
      <c r="K109" s="9"/>
      <c r="L109" s="9"/>
      <c r="M109" s="9"/>
      <c r="N109" s="9"/>
      <c r="O109" s="9"/>
      <c r="P109" s="9"/>
      <c r="Q109" s="9"/>
      <c r="R109" s="9"/>
      <c r="S109" s="9"/>
      <c r="T109" s="9"/>
      <c r="U109" s="9"/>
      <c r="V109" s="9"/>
      <c r="W109" s="137"/>
      <c r="X109" s="150"/>
      <c r="AJ109" s="81"/>
      <c r="AK109" s="161"/>
      <c r="AL109" s="81"/>
      <c r="AM109" s="81"/>
      <c r="AN109" s="81"/>
      <c r="AO109" s="81"/>
      <c r="AP109" s="81"/>
      <c r="AQ109" s="81"/>
      <c r="AR109" s="81"/>
      <c r="AS109" s="81"/>
      <c r="AU109" s="81"/>
    </row>
    <row r="110" spans="1:66" ht="11.25" customHeight="1" x14ac:dyDescent="0.2">
      <c r="A110" s="142"/>
      <c r="B110" s="1680" t="s">
        <v>800</v>
      </c>
      <c r="C110" s="1680"/>
      <c r="D110" s="1680"/>
      <c r="E110" s="1680"/>
      <c r="F110" s="1680"/>
      <c r="G110" s="1680"/>
      <c r="H110" s="1680"/>
      <c r="I110" s="1680"/>
      <c r="J110" s="12"/>
      <c r="K110" s="9"/>
      <c r="L110" s="9"/>
      <c r="M110" s="9"/>
      <c r="N110" s="9"/>
      <c r="O110" s="9"/>
      <c r="P110" s="9"/>
      <c r="Q110" s="9"/>
      <c r="R110" s="9"/>
      <c r="S110" s="9"/>
      <c r="T110" s="9"/>
      <c r="U110" s="9"/>
      <c r="V110" s="9"/>
      <c r="W110" s="137"/>
      <c r="X110" s="150"/>
      <c r="AJ110" s="81"/>
      <c r="AK110" s="161"/>
      <c r="AL110" s="81"/>
      <c r="AM110" s="81"/>
      <c r="AN110" s="81"/>
      <c r="AO110" s="81"/>
      <c r="AP110" s="81"/>
      <c r="AQ110" s="81"/>
      <c r="AR110" s="81"/>
      <c r="AS110" s="81"/>
      <c r="AU110" s="81"/>
    </row>
    <row r="111" spans="1:66" ht="11.25" customHeight="1" x14ac:dyDescent="0.2">
      <c r="A111" s="142"/>
      <c r="B111" s="1680"/>
      <c r="C111" s="1680"/>
      <c r="D111" s="1680"/>
      <c r="E111" s="1680"/>
      <c r="F111" s="1680"/>
      <c r="G111" s="1680"/>
      <c r="H111" s="1680"/>
      <c r="I111" s="1680"/>
      <c r="J111" s="12"/>
      <c r="K111" s="9"/>
      <c r="L111" s="9"/>
      <c r="M111" s="9"/>
      <c r="N111" s="9"/>
      <c r="O111" s="9"/>
      <c r="P111" s="9"/>
      <c r="Q111" s="9"/>
      <c r="R111" s="9"/>
      <c r="S111" s="9"/>
      <c r="T111" s="9"/>
      <c r="U111" s="9"/>
      <c r="V111" s="9"/>
      <c r="W111" s="137"/>
      <c r="X111" s="150"/>
      <c r="AJ111" s="81"/>
      <c r="AK111" s="161"/>
      <c r="AL111" s="81"/>
      <c r="AM111" s="81"/>
      <c r="AN111" s="81"/>
      <c r="AO111" s="81"/>
      <c r="AP111" s="81"/>
      <c r="AQ111" s="81"/>
      <c r="AR111" s="81"/>
      <c r="AS111" s="81"/>
      <c r="AU111" s="81"/>
    </row>
    <row r="112" spans="1:66" s="76" customFormat="1" ht="11.25" hidden="1" customHeight="1" x14ac:dyDescent="0.2">
      <c r="A112" s="142"/>
      <c r="B112" s="1680" t="s">
        <v>81</v>
      </c>
      <c r="C112" s="1680"/>
      <c r="D112" s="1680"/>
      <c r="E112" s="1680"/>
      <c r="F112" s="1680"/>
      <c r="G112" s="1680"/>
      <c r="H112" s="1680"/>
      <c r="I112" s="1680"/>
      <c r="J112" s="14"/>
      <c r="K112" s="14"/>
      <c r="L112" s="14"/>
      <c r="M112" s="14"/>
      <c r="N112" s="14"/>
      <c r="O112" s="14"/>
      <c r="P112" s="14"/>
      <c r="Q112" s="14"/>
      <c r="R112" s="14"/>
      <c r="S112" s="14"/>
      <c r="T112" s="14"/>
      <c r="U112" s="14"/>
      <c r="V112" s="14"/>
      <c r="W112" s="140"/>
      <c r="X112" s="154"/>
      <c r="Y112" s="81"/>
      <c r="Z112" s="81"/>
      <c r="AA112" s="81"/>
      <c r="AB112" s="81"/>
      <c r="AC112" s="81"/>
      <c r="AD112" s="81"/>
      <c r="AE112" s="81"/>
      <c r="AF112" s="81"/>
      <c r="AG112" s="81"/>
      <c r="AH112" s="81"/>
      <c r="AI112" s="81"/>
      <c r="AJ112" s="81"/>
      <c r="AK112" s="161"/>
      <c r="AL112" s="81"/>
      <c r="AM112" s="81"/>
      <c r="AN112" s="81"/>
      <c r="AO112" s="81"/>
      <c r="AP112" s="81"/>
      <c r="AQ112" s="81"/>
      <c r="AR112" s="81"/>
      <c r="AS112" s="81"/>
      <c r="AT112" s="74"/>
      <c r="AU112" s="81"/>
    </row>
    <row r="113" spans="1:47" ht="11.25" hidden="1" customHeight="1" x14ac:dyDescent="0.2">
      <c r="A113" s="142"/>
      <c r="B113" s="1680"/>
      <c r="C113" s="1680"/>
      <c r="D113" s="1680"/>
      <c r="E113" s="1680"/>
      <c r="F113" s="1680"/>
      <c r="G113" s="1680"/>
      <c r="H113" s="1680"/>
      <c r="I113" s="1680"/>
      <c r="J113" s="12"/>
      <c r="K113" s="9"/>
      <c r="L113" s="9"/>
      <c r="M113" s="9"/>
      <c r="N113" s="9"/>
      <c r="O113" s="9"/>
      <c r="P113" s="9"/>
      <c r="Q113" s="9"/>
      <c r="R113" s="9"/>
      <c r="S113" s="9"/>
      <c r="T113" s="9"/>
      <c r="U113" s="9"/>
      <c r="V113" s="9"/>
      <c r="W113" s="137"/>
      <c r="X113" s="150"/>
      <c r="AJ113" s="81"/>
      <c r="AK113" s="161"/>
      <c r="AL113" s="81"/>
      <c r="AM113" s="81"/>
      <c r="AN113" s="81"/>
      <c r="AO113" s="81"/>
      <c r="AP113" s="81"/>
      <c r="AQ113" s="81"/>
      <c r="AR113" s="81"/>
      <c r="AS113" s="81"/>
      <c r="AU113" s="81"/>
    </row>
    <row r="114" spans="1:47" ht="11.25" customHeight="1" x14ac:dyDescent="0.2">
      <c r="A114" s="142"/>
      <c r="B114" s="1680" t="s">
        <v>78</v>
      </c>
      <c r="C114" s="1680"/>
      <c r="D114" s="1680"/>
      <c r="E114" s="1680"/>
      <c r="F114" s="1680"/>
      <c r="G114" s="1680"/>
      <c r="H114" s="1680"/>
      <c r="I114" s="1680"/>
      <c r="J114" s="12"/>
      <c r="K114" s="9"/>
      <c r="L114" s="9"/>
      <c r="M114" s="9"/>
      <c r="N114" s="9"/>
      <c r="O114" s="9"/>
      <c r="P114" s="9"/>
      <c r="Q114" s="9"/>
      <c r="R114" s="9"/>
      <c r="S114" s="9"/>
      <c r="T114" s="9"/>
      <c r="U114" s="9"/>
      <c r="V114" s="9"/>
      <c r="W114" s="137"/>
      <c r="X114" s="150"/>
      <c r="AJ114" s="81"/>
      <c r="AK114" s="161"/>
      <c r="AL114" s="81"/>
      <c r="AM114" s="81"/>
      <c r="AN114" s="81"/>
      <c r="AO114" s="81"/>
      <c r="AP114" s="81"/>
      <c r="AQ114" s="81"/>
      <c r="AR114" s="81"/>
      <c r="AS114" s="81"/>
      <c r="AU114" s="81"/>
    </row>
    <row r="115" spans="1:47" ht="11.25" customHeight="1" x14ac:dyDescent="0.2">
      <c r="A115" s="142"/>
      <c r="B115" s="1680"/>
      <c r="C115" s="1680"/>
      <c r="D115" s="1680"/>
      <c r="E115" s="1680"/>
      <c r="F115" s="1680"/>
      <c r="G115" s="1680"/>
      <c r="H115" s="1680"/>
      <c r="I115" s="1680"/>
      <c r="J115" s="12"/>
      <c r="K115" s="9"/>
      <c r="L115" s="9"/>
      <c r="M115" s="9"/>
      <c r="N115" s="9"/>
      <c r="O115" s="9"/>
      <c r="P115" s="9"/>
      <c r="Q115" s="9"/>
      <c r="R115" s="9"/>
      <c r="S115" s="9"/>
      <c r="T115" s="9"/>
      <c r="U115" s="9"/>
      <c r="V115" s="9"/>
      <c r="W115" s="137"/>
      <c r="X115" s="150"/>
      <c r="AJ115" s="81"/>
      <c r="AK115" s="161"/>
      <c r="AL115" s="81"/>
      <c r="AM115" s="81"/>
      <c r="AN115" s="81"/>
      <c r="AO115" s="81"/>
      <c r="AP115" s="81"/>
      <c r="AQ115" s="81"/>
      <c r="AR115" s="81"/>
      <c r="AS115" s="81"/>
      <c r="AU115" s="81"/>
    </row>
    <row r="116" spans="1:47" ht="11.25" customHeight="1" x14ac:dyDescent="0.2">
      <c r="A116" s="142"/>
      <c r="B116" s="1680" t="s">
        <v>17</v>
      </c>
      <c r="C116" s="1680"/>
      <c r="D116" s="1680"/>
      <c r="E116" s="1680"/>
      <c r="F116" s="1680"/>
      <c r="G116" s="1680"/>
      <c r="H116" s="1680"/>
      <c r="I116" s="1680"/>
      <c r="J116" s="12"/>
      <c r="K116" s="9"/>
      <c r="L116" s="9"/>
      <c r="M116" s="9"/>
      <c r="N116" s="9"/>
      <c r="O116" s="9"/>
      <c r="P116" s="9"/>
      <c r="Q116" s="9"/>
      <c r="R116" s="9"/>
      <c r="S116" s="9"/>
      <c r="T116" s="9"/>
      <c r="U116" s="9"/>
      <c r="V116" s="11"/>
      <c r="W116" s="252"/>
      <c r="X116" s="150"/>
      <c r="AA116" s="74"/>
      <c r="AB116" s="74"/>
      <c r="AJ116" s="81"/>
      <c r="AK116" s="161"/>
      <c r="AL116" s="81"/>
      <c r="AM116" s="81"/>
      <c r="AN116" s="81"/>
      <c r="AO116" s="81"/>
      <c r="AP116" s="81"/>
      <c r="AQ116" s="81"/>
      <c r="AR116" s="81"/>
      <c r="AS116" s="81"/>
      <c r="AU116" s="81"/>
    </row>
    <row r="117" spans="1:47" ht="11.25" customHeight="1" x14ac:dyDescent="0.2">
      <c r="A117" s="142"/>
      <c r="B117" s="1680"/>
      <c r="C117" s="1680"/>
      <c r="D117" s="1680"/>
      <c r="E117" s="1680"/>
      <c r="F117" s="1680"/>
      <c r="G117" s="1680"/>
      <c r="H117" s="1680"/>
      <c r="I117" s="1680"/>
      <c r="J117" s="12"/>
      <c r="K117" s="9"/>
      <c r="L117" s="9"/>
      <c r="M117" s="9"/>
      <c r="N117" s="9"/>
      <c r="O117" s="9"/>
      <c r="P117" s="9"/>
      <c r="Q117" s="9"/>
      <c r="R117" s="9"/>
      <c r="S117" s="9"/>
      <c r="T117" s="9"/>
      <c r="U117" s="9"/>
      <c r="V117" s="11"/>
      <c r="W117" s="252"/>
      <c r="X117" s="150"/>
      <c r="AA117" s="74"/>
      <c r="AB117" s="74"/>
      <c r="AJ117" s="81"/>
      <c r="AK117" s="161"/>
      <c r="AL117" s="81"/>
      <c r="AM117" s="81"/>
      <c r="AN117" s="81"/>
      <c r="AO117" s="81"/>
      <c r="AP117" s="81"/>
      <c r="AQ117" s="81"/>
      <c r="AR117" s="81"/>
      <c r="AS117" s="81"/>
      <c r="AU117" s="81"/>
    </row>
    <row r="118" spans="1:47" ht="11.25" customHeight="1" x14ac:dyDescent="0.2">
      <c r="A118" s="142"/>
      <c r="B118" s="1680" t="s">
        <v>80</v>
      </c>
      <c r="C118" s="1680"/>
      <c r="D118" s="1680"/>
      <c r="E118" s="1680"/>
      <c r="F118" s="1680"/>
      <c r="G118" s="1680"/>
      <c r="H118" s="1680"/>
      <c r="I118" s="1680"/>
      <c r="J118" s="12"/>
      <c r="K118" s="9"/>
      <c r="L118" s="9"/>
      <c r="M118" s="9"/>
      <c r="N118" s="9"/>
      <c r="O118" s="9"/>
      <c r="P118" s="9"/>
      <c r="Q118" s="9"/>
      <c r="R118" s="9"/>
      <c r="S118" s="9"/>
      <c r="T118" s="9"/>
      <c r="U118" s="9"/>
      <c r="V118" s="11"/>
      <c r="W118" s="252"/>
      <c r="X118" s="150"/>
      <c r="AA118" s="74"/>
      <c r="AB118" s="74"/>
      <c r="AJ118" s="81"/>
      <c r="AK118" s="161"/>
      <c r="AL118" s="81"/>
      <c r="AM118" s="81"/>
      <c r="AN118" s="81"/>
      <c r="AO118" s="81"/>
      <c r="AP118" s="81"/>
      <c r="AQ118" s="81"/>
      <c r="AR118" s="81"/>
      <c r="AS118" s="81"/>
      <c r="AU118" s="81"/>
    </row>
    <row r="119" spans="1:47" ht="11.25" customHeight="1" x14ac:dyDescent="0.2">
      <c r="A119" s="142"/>
      <c r="B119" s="1680"/>
      <c r="C119" s="1680"/>
      <c r="D119" s="1680"/>
      <c r="E119" s="1680"/>
      <c r="F119" s="1680"/>
      <c r="G119" s="1680"/>
      <c r="H119" s="1680"/>
      <c r="I119" s="1680"/>
      <c r="J119" s="12"/>
      <c r="K119" s="9"/>
      <c r="L119" s="9"/>
      <c r="M119" s="9"/>
      <c r="N119" s="9"/>
      <c r="O119" s="9"/>
      <c r="P119" s="9"/>
      <c r="Q119" s="9"/>
      <c r="R119" s="9"/>
      <c r="S119" s="9"/>
      <c r="T119" s="9"/>
      <c r="U119" s="9"/>
      <c r="V119" s="11"/>
      <c r="W119" s="252"/>
      <c r="X119" s="150"/>
      <c r="AA119" s="74"/>
      <c r="AB119" s="74"/>
      <c r="AJ119" s="81"/>
      <c r="AK119" s="161"/>
      <c r="AL119" s="81"/>
      <c r="AM119" s="81"/>
      <c r="AN119" s="81"/>
      <c r="AO119" s="81"/>
      <c r="AP119" s="81"/>
      <c r="AQ119" s="81"/>
      <c r="AR119" s="81"/>
      <c r="AS119" s="81"/>
      <c r="AU119" s="81"/>
    </row>
    <row r="120" spans="1:47" ht="11.25" customHeight="1" x14ac:dyDescent="0.2">
      <c r="A120" s="142"/>
      <c r="B120" s="1680" t="s">
        <v>69</v>
      </c>
      <c r="C120" s="1680"/>
      <c r="D120" s="1680"/>
      <c r="E120" s="1680"/>
      <c r="F120" s="1680"/>
      <c r="G120" s="1680"/>
      <c r="H120" s="1680"/>
      <c r="I120" s="1680"/>
      <c r="J120" s="12"/>
      <c r="K120" s="9"/>
      <c r="L120" s="9"/>
      <c r="M120" s="9"/>
      <c r="N120" s="9"/>
      <c r="O120" s="9"/>
      <c r="P120" s="9"/>
      <c r="Q120" s="9"/>
      <c r="R120" s="9"/>
      <c r="S120" s="9"/>
      <c r="T120" s="9"/>
      <c r="U120" s="9"/>
      <c r="V120" s="11"/>
      <c r="W120" s="252"/>
      <c r="X120" s="150"/>
      <c r="AA120" s="74"/>
      <c r="AB120" s="74"/>
      <c r="AJ120" s="81"/>
      <c r="AK120" s="161"/>
      <c r="AL120" s="81"/>
      <c r="AM120" s="81"/>
      <c r="AN120" s="81"/>
      <c r="AO120" s="81"/>
      <c r="AP120" s="81"/>
      <c r="AQ120" s="81"/>
      <c r="AR120" s="81"/>
      <c r="AS120" s="81"/>
      <c r="AU120" s="81"/>
    </row>
    <row r="121" spans="1:47" ht="11.25" customHeight="1" x14ac:dyDescent="0.2">
      <c r="A121" s="142"/>
      <c r="B121" s="1680"/>
      <c r="C121" s="1680"/>
      <c r="D121" s="1680"/>
      <c r="E121" s="1680"/>
      <c r="F121" s="1680"/>
      <c r="G121" s="1680"/>
      <c r="H121" s="1680"/>
      <c r="I121" s="1680"/>
      <c r="J121" s="12"/>
      <c r="K121" s="9"/>
      <c r="L121" s="9"/>
      <c r="M121" s="9"/>
      <c r="N121" s="9"/>
      <c r="O121" s="9"/>
      <c r="P121" s="9"/>
      <c r="Q121" s="9"/>
      <c r="R121" s="9"/>
      <c r="S121" s="9"/>
      <c r="T121" s="9"/>
      <c r="U121" s="9"/>
      <c r="V121" s="11"/>
      <c r="W121" s="252"/>
      <c r="X121" s="150"/>
      <c r="AA121" s="74"/>
      <c r="AB121" s="74"/>
      <c r="AJ121" s="81"/>
      <c r="AK121" s="161"/>
      <c r="AL121" s="81"/>
      <c r="AM121" s="81"/>
      <c r="AN121" s="81"/>
      <c r="AO121" s="81"/>
      <c r="AP121" s="81"/>
      <c r="AQ121" s="81"/>
      <c r="AR121" s="81"/>
      <c r="AS121" s="81"/>
      <c r="AU121" s="81"/>
    </row>
    <row r="122" spans="1:47" ht="11.25" customHeight="1" x14ac:dyDescent="0.2">
      <c r="A122" s="142"/>
      <c r="B122" s="1680" t="s">
        <v>24</v>
      </c>
      <c r="C122" s="1680"/>
      <c r="D122" s="1680"/>
      <c r="E122" s="1680"/>
      <c r="F122" s="1680"/>
      <c r="G122" s="1680"/>
      <c r="H122" s="1680"/>
      <c r="I122" s="1680"/>
      <c r="J122" s="12"/>
      <c r="K122" s="9"/>
      <c r="L122" s="9"/>
      <c r="M122" s="9"/>
      <c r="N122" s="9"/>
      <c r="O122" s="9"/>
      <c r="P122" s="9"/>
      <c r="Q122" s="9"/>
      <c r="R122" s="9"/>
      <c r="S122" s="9"/>
      <c r="T122" s="9"/>
      <c r="U122" s="9"/>
      <c r="V122" s="9"/>
      <c r="W122" s="137"/>
      <c r="X122" s="150"/>
      <c r="AJ122" s="81"/>
      <c r="AK122" s="161"/>
      <c r="AL122" s="81"/>
      <c r="AM122" s="81"/>
      <c r="AN122" s="81"/>
      <c r="AO122" s="81"/>
      <c r="AP122" s="81"/>
      <c r="AQ122" s="81"/>
      <c r="AR122" s="81"/>
      <c r="AS122" s="81"/>
      <c r="AU122" s="81"/>
    </row>
    <row r="123" spans="1:47" ht="11.25" customHeight="1" x14ac:dyDescent="0.2">
      <c r="A123" s="142"/>
      <c r="B123" s="1680"/>
      <c r="C123" s="1680"/>
      <c r="D123" s="1680"/>
      <c r="E123" s="1680"/>
      <c r="F123" s="1680"/>
      <c r="G123" s="1680"/>
      <c r="H123" s="1680"/>
      <c r="I123" s="1680"/>
      <c r="J123" s="12"/>
      <c r="K123" s="9"/>
      <c r="L123" s="9"/>
      <c r="M123" s="9"/>
      <c r="N123" s="9"/>
      <c r="O123" s="9"/>
      <c r="P123" s="9"/>
      <c r="Q123" s="9"/>
      <c r="R123" s="9"/>
      <c r="S123" s="9"/>
      <c r="T123" s="9"/>
      <c r="U123" s="9"/>
      <c r="V123" s="9"/>
      <c r="W123" s="137"/>
      <c r="X123" s="150"/>
      <c r="AJ123" s="81"/>
      <c r="AK123" s="161"/>
      <c r="AL123" s="81"/>
      <c r="AM123" s="81"/>
      <c r="AN123" s="81"/>
      <c r="AO123" s="81"/>
      <c r="AP123" s="81"/>
      <c r="AQ123" s="81"/>
      <c r="AR123" s="81"/>
      <c r="AS123" s="81"/>
      <c r="AU123" s="81"/>
    </row>
    <row r="124" spans="1:47" ht="11.25" customHeight="1" x14ac:dyDescent="0.2">
      <c r="A124" s="142"/>
      <c r="B124" s="1680" t="s">
        <v>22</v>
      </c>
      <c r="C124" s="1680"/>
      <c r="D124" s="1680"/>
      <c r="E124" s="1680"/>
      <c r="F124" s="1680"/>
      <c r="G124" s="1680"/>
      <c r="H124" s="1680"/>
      <c r="I124" s="1680"/>
      <c r="J124" s="12"/>
      <c r="K124" s="9"/>
      <c r="L124" s="9"/>
      <c r="M124" s="9"/>
      <c r="N124" s="9"/>
      <c r="O124" s="9"/>
      <c r="P124" s="9"/>
      <c r="Q124" s="9"/>
      <c r="R124" s="9"/>
      <c r="S124" s="9"/>
      <c r="T124" s="9"/>
      <c r="U124" s="9"/>
      <c r="V124" s="9"/>
      <c r="W124" s="137"/>
      <c r="X124" s="150"/>
      <c r="AJ124" s="81"/>
      <c r="AK124" s="161"/>
      <c r="AL124" s="81"/>
      <c r="AM124" s="81"/>
      <c r="AN124" s="81"/>
      <c r="AO124" s="81"/>
      <c r="AP124" s="81"/>
      <c r="AQ124" s="81"/>
      <c r="AR124" s="81"/>
      <c r="AS124" s="81"/>
      <c r="AU124" s="81"/>
    </row>
    <row r="125" spans="1:47" ht="11.25" customHeight="1" x14ac:dyDescent="0.2">
      <c r="A125" s="142"/>
      <c r="B125" s="1680"/>
      <c r="C125" s="1680"/>
      <c r="D125" s="1680"/>
      <c r="E125" s="1680"/>
      <c r="F125" s="1680"/>
      <c r="G125" s="1680"/>
      <c r="H125" s="1680"/>
      <c r="I125" s="1680"/>
      <c r="J125" s="12"/>
      <c r="K125" s="9"/>
      <c r="L125" s="9"/>
      <c r="M125" s="9"/>
      <c r="N125" s="9"/>
      <c r="O125" s="9"/>
      <c r="P125" s="9"/>
      <c r="Q125" s="9"/>
      <c r="R125" s="9"/>
      <c r="S125" s="9"/>
      <c r="T125" s="9"/>
      <c r="U125" s="9"/>
      <c r="V125" s="9"/>
      <c r="W125" s="137"/>
      <c r="X125" s="150"/>
      <c r="AJ125" s="81"/>
      <c r="AK125" s="161"/>
      <c r="AL125" s="81"/>
      <c r="AM125" s="81"/>
      <c r="AN125" s="81"/>
      <c r="AO125" s="81"/>
      <c r="AP125" s="81"/>
      <c r="AQ125" s="81"/>
      <c r="AR125" s="81"/>
      <c r="AS125" s="81"/>
      <c r="AU125" s="81"/>
    </row>
    <row r="126" spans="1:47" ht="11.25" customHeight="1" x14ac:dyDescent="0.2">
      <c r="A126" s="142"/>
      <c r="B126" s="1680" t="s">
        <v>25</v>
      </c>
      <c r="C126" s="1680"/>
      <c r="D126" s="1680"/>
      <c r="E126" s="1680"/>
      <c r="F126" s="1680"/>
      <c r="G126" s="1680"/>
      <c r="H126" s="1680"/>
      <c r="I126" s="1680"/>
      <c r="J126" s="12"/>
      <c r="K126" s="9"/>
      <c r="L126" s="9"/>
      <c r="M126" s="9"/>
      <c r="N126" s="9"/>
      <c r="O126" s="9"/>
      <c r="P126" s="9"/>
      <c r="Q126" s="9"/>
      <c r="R126" s="9"/>
      <c r="S126" s="9"/>
      <c r="T126" s="9"/>
      <c r="U126" s="9"/>
      <c r="V126" s="9"/>
      <c r="W126" s="137"/>
      <c r="X126" s="150"/>
      <c r="AJ126" s="81"/>
      <c r="AK126" s="161"/>
      <c r="AL126" s="81"/>
      <c r="AM126" s="81"/>
      <c r="AN126" s="81"/>
      <c r="AO126" s="81"/>
      <c r="AP126" s="81"/>
      <c r="AQ126" s="81"/>
      <c r="AR126" s="81"/>
      <c r="AS126" s="81"/>
      <c r="AU126" s="81"/>
    </row>
    <row r="127" spans="1:47" ht="11.25" customHeight="1" x14ac:dyDescent="0.2">
      <c r="A127" s="142"/>
      <c r="B127" s="1680"/>
      <c r="C127" s="1680"/>
      <c r="D127" s="1680"/>
      <c r="E127" s="1680"/>
      <c r="F127" s="1680"/>
      <c r="G127" s="1680"/>
      <c r="H127" s="1680"/>
      <c r="I127" s="1680"/>
      <c r="J127" s="12"/>
      <c r="K127" s="9"/>
      <c r="L127" s="9"/>
      <c r="M127" s="9"/>
      <c r="N127" s="9"/>
      <c r="O127" s="9"/>
      <c r="P127" s="9"/>
      <c r="Q127" s="9"/>
      <c r="R127" s="9"/>
      <c r="S127" s="9"/>
      <c r="T127" s="9"/>
      <c r="U127" s="9"/>
      <c r="V127" s="9"/>
      <c r="W127" s="137"/>
      <c r="X127" s="150"/>
      <c r="AJ127" s="81"/>
      <c r="AK127" s="161"/>
      <c r="AL127" s="81"/>
      <c r="AM127" s="81"/>
      <c r="AN127" s="81"/>
      <c r="AO127" s="81"/>
      <c r="AP127" s="81"/>
      <c r="AQ127" s="81"/>
      <c r="AR127" s="81"/>
      <c r="AS127" s="81"/>
      <c r="AU127" s="81"/>
    </row>
    <row r="128" spans="1:47" ht="11.25" customHeight="1" x14ac:dyDescent="0.2">
      <c r="A128" s="142"/>
      <c r="B128" s="1680" t="s">
        <v>18</v>
      </c>
      <c r="C128" s="1680"/>
      <c r="D128" s="1680"/>
      <c r="E128" s="1680"/>
      <c r="F128" s="1680"/>
      <c r="G128" s="1680"/>
      <c r="H128" s="1680"/>
      <c r="I128" s="1680"/>
      <c r="J128" s="12"/>
      <c r="K128" s="9"/>
      <c r="L128" s="9"/>
      <c r="M128" s="9"/>
      <c r="N128" s="9"/>
      <c r="O128" s="9"/>
      <c r="P128" s="9"/>
      <c r="Q128" s="9"/>
      <c r="R128" s="9"/>
      <c r="S128" s="9"/>
      <c r="T128" s="9"/>
      <c r="U128" s="9"/>
      <c r="V128" s="9"/>
      <c r="W128" s="137"/>
      <c r="X128" s="150"/>
      <c r="AJ128" s="81"/>
      <c r="AK128" s="161"/>
      <c r="AL128" s="81"/>
      <c r="AM128" s="81"/>
      <c r="AN128" s="81"/>
      <c r="AO128" s="81"/>
      <c r="AP128" s="81"/>
      <c r="AQ128" s="81"/>
      <c r="AR128" s="81"/>
      <c r="AS128" s="81"/>
      <c r="AU128" s="81"/>
    </row>
    <row r="129" spans="1:47" ht="11.25" customHeight="1" x14ac:dyDescent="0.2">
      <c r="A129" s="142"/>
      <c r="B129" s="1680"/>
      <c r="C129" s="1680"/>
      <c r="D129" s="1680"/>
      <c r="E129" s="1680"/>
      <c r="F129" s="1680"/>
      <c r="G129" s="1680"/>
      <c r="H129" s="1680"/>
      <c r="I129" s="1680"/>
      <c r="J129" s="12"/>
      <c r="K129" s="9"/>
      <c r="L129" s="9"/>
      <c r="M129" s="9"/>
      <c r="N129" s="9"/>
      <c r="O129" s="9"/>
      <c r="P129" s="9"/>
      <c r="Q129" s="9"/>
      <c r="R129" s="9"/>
      <c r="S129" s="9"/>
      <c r="T129" s="9"/>
      <c r="U129" s="9"/>
      <c r="V129" s="9"/>
      <c r="W129" s="137"/>
      <c r="X129" s="150"/>
      <c r="AJ129" s="81"/>
      <c r="AK129" s="161"/>
      <c r="AL129" s="81"/>
      <c r="AM129" s="81"/>
      <c r="AN129" s="81"/>
      <c r="AO129" s="81"/>
      <c r="AP129" s="81"/>
      <c r="AQ129" s="81"/>
      <c r="AR129" s="81"/>
      <c r="AS129" s="81"/>
      <c r="AU129" s="81"/>
    </row>
    <row r="130" spans="1:47" ht="11.25" customHeight="1" x14ac:dyDescent="0.2">
      <c r="A130" s="142"/>
      <c r="B130" s="1680" t="s">
        <v>19</v>
      </c>
      <c r="C130" s="1680"/>
      <c r="D130" s="1680"/>
      <c r="E130" s="1680"/>
      <c r="F130" s="1680"/>
      <c r="G130" s="1680"/>
      <c r="H130" s="1680"/>
      <c r="I130" s="1680"/>
      <c r="J130" s="12"/>
      <c r="K130" s="9"/>
      <c r="L130" s="9"/>
      <c r="M130" s="9"/>
      <c r="N130" s="9"/>
      <c r="O130" s="9"/>
      <c r="P130" s="9"/>
      <c r="Q130" s="9"/>
      <c r="R130" s="9"/>
      <c r="S130" s="9"/>
      <c r="T130" s="9"/>
      <c r="U130" s="9"/>
      <c r="V130" s="9"/>
      <c r="W130" s="137"/>
      <c r="X130" s="150"/>
      <c r="AJ130" s="81"/>
      <c r="AK130" s="161"/>
      <c r="AL130" s="81"/>
      <c r="AM130" s="81"/>
      <c r="AN130" s="81"/>
      <c r="AO130" s="81"/>
      <c r="AP130" s="81"/>
      <c r="AQ130" s="81"/>
      <c r="AR130" s="81"/>
      <c r="AS130" s="81"/>
      <c r="AU130" s="81"/>
    </row>
    <row r="131" spans="1:47" ht="11.25" customHeight="1" x14ac:dyDescent="0.2">
      <c r="A131" s="142"/>
      <c r="B131" s="1680"/>
      <c r="C131" s="1680"/>
      <c r="D131" s="1680"/>
      <c r="E131" s="1680"/>
      <c r="F131" s="1680"/>
      <c r="G131" s="1680"/>
      <c r="H131" s="1680"/>
      <c r="I131" s="1680"/>
      <c r="J131" s="12"/>
      <c r="K131" s="9"/>
      <c r="L131" s="9"/>
      <c r="M131" s="9"/>
      <c r="N131" s="9"/>
      <c r="O131" s="9"/>
      <c r="P131" s="9"/>
      <c r="Q131" s="9"/>
      <c r="R131" s="9"/>
      <c r="S131" s="9"/>
      <c r="T131" s="9"/>
      <c r="U131" s="9"/>
      <c r="V131" s="9"/>
      <c r="W131" s="137"/>
      <c r="X131" s="150"/>
      <c r="AJ131" s="81"/>
      <c r="AK131" s="161"/>
      <c r="AL131" s="81"/>
      <c r="AM131" s="81"/>
      <c r="AN131" s="81"/>
      <c r="AO131" s="81"/>
      <c r="AP131" s="81"/>
      <c r="AQ131" s="81"/>
      <c r="AR131" s="81"/>
      <c r="AS131" s="81"/>
      <c r="AU131" s="81"/>
    </row>
    <row r="132" spans="1:47" ht="11.25" customHeight="1" x14ac:dyDescent="0.2">
      <c r="A132" s="142"/>
      <c r="B132" s="1680" t="s">
        <v>20</v>
      </c>
      <c r="C132" s="1680"/>
      <c r="D132" s="1680"/>
      <c r="E132" s="1680"/>
      <c r="F132" s="1680"/>
      <c r="G132" s="1680"/>
      <c r="H132" s="1680"/>
      <c r="I132" s="1680"/>
      <c r="J132" s="12"/>
      <c r="K132" s="9"/>
      <c r="L132" s="9"/>
      <c r="M132" s="9"/>
      <c r="N132" s="9"/>
      <c r="O132" s="9"/>
      <c r="P132" s="9"/>
      <c r="Q132" s="9"/>
      <c r="R132" s="9"/>
      <c r="S132" s="9"/>
      <c r="T132" s="9"/>
      <c r="U132" s="9"/>
      <c r="V132" s="9"/>
      <c r="W132" s="137"/>
      <c r="X132" s="150"/>
      <c r="AJ132" s="81"/>
      <c r="AK132" s="161"/>
      <c r="AL132" s="81"/>
      <c r="AM132" s="81"/>
      <c r="AN132" s="81"/>
      <c r="AO132" s="81"/>
      <c r="AP132" s="81"/>
      <c r="AQ132" s="81"/>
      <c r="AR132" s="81"/>
      <c r="AS132" s="81"/>
      <c r="AU132" s="81"/>
    </row>
    <row r="133" spans="1:47" ht="11.25" customHeight="1" x14ac:dyDescent="0.2">
      <c r="A133" s="142"/>
      <c r="B133" s="1680"/>
      <c r="C133" s="1680"/>
      <c r="D133" s="1680"/>
      <c r="E133" s="1680"/>
      <c r="F133" s="1680"/>
      <c r="G133" s="1680"/>
      <c r="H133" s="1680"/>
      <c r="I133" s="1680"/>
      <c r="J133" s="12"/>
      <c r="K133" s="9"/>
      <c r="L133" s="9"/>
      <c r="M133" s="9"/>
      <c r="N133" s="9"/>
      <c r="O133" s="9"/>
      <c r="P133" s="9"/>
      <c r="Q133" s="9"/>
      <c r="R133" s="9"/>
      <c r="S133" s="9"/>
      <c r="T133" s="9"/>
      <c r="U133" s="9"/>
      <c r="V133" s="9"/>
      <c r="W133" s="137"/>
      <c r="X133" s="150"/>
      <c r="AJ133" s="81"/>
      <c r="AK133" s="161"/>
      <c r="AL133" s="81"/>
      <c r="AM133" s="81"/>
      <c r="AN133" s="81"/>
      <c r="AO133" s="81"/>
      <c r="AP133" s="81"/>
      <c r="AQ133" s="81"/>
      <c r="AR133" s="81"/>
      <c r="AS133" s="81"/>
      <c r="AU133" s="81"/>
    </row>
    <row r="134" spans="1:47" ht="11.25" customHeight="1" x14ac:dyDescent="0.2">
      <c r="A134" s="142"/>
      <c r="B134" s="1680" t="s">
        <v>26</v>
      </c>
      <c r="C134" s="1680"/>
      <c r="D134" s="1680"/>
      <c r="E134" s="1680"/>
      <c r="F134" s="1680"/>
      <c r="G134" s="1680"/>
      <c r="H134" s="1680"/>
      <c r="I134" s="1680"/>
      <c r="J134" s="12"/>
      <c r="K134" s="9"/>
      <c r="L134" s="9"/>
      <c r="M134" s="9"/>
      <c r="N134" s="9"/>
      <c r="O134" s="9"/>
      <c r="P134" s="9"/>
      <c r="Q134" s="9"/>
      <c r="R134" s="9"/>
      <c r="S134" s="9"/>
      <c r="T134" s="9"/>
      <c r="U134" s="9"/>
      <c r="V134" s="9"/>
      <c r="W134" s="137"/>
      <c r="X134" s="150"/>
      <c r="AJ134" s="81"/>
      <c r="AK134" s="161"/>
      <c r="AL134" s="81"/>
      <c r="AM134" s="81"/>
      <c r="AN134" s="81"/>
      <c r="AO134" s="81"/>
      <c r="AP134" s="81"/>
      <c r="AQ134" s="81"/>
      <c r="AR134" s="81"/>
      <c r="AS134" s="81"/>
      <c r="AU134" s="81"/>
    </row>
    <row r="135" spans="1:47" ht="11.25" customHeight="1" x14ac:dyDescent="0.2">
      <c r="A135" s="142"/>
      <c r="B135" s="1680"/>
      <c r="C135" s="1680"/>
      <c r="D135" s="1680"/>
      <c r="E135" s="1680"/>
      <c r="F135" s="1680"/>
      <c r="G135" s="1680"/>
      <c r="H135" s="1680"/>
      <c r="I135" s="1680"/>
      <c r="J135" s="12"/>
      <c r="K135" s="9"/>
      <c r="L135" s="9"/>
      <c r="M135" s="9"/>
      <c r="N135" s="9"/>
      <c r="O135" s="9"/>
      <c r="P135" s="9"/>
      <c r="Q135" s="9"/>
      <c r="R135" s="9"/>
      <c r="S135" s="9"/>
      <c r="T135" s="9"/>
      <c r="U135" s="9"/>
      <c r="V135" s="9"/>
      <c r="W135" s="137"/>
      <c r="X135" s="150"/>
      <c r="AJ135" s="81"/>
      <c r="AK135" s="161"/>
      <c r="AL135" s="81"/>
      <c r="AM135" s="81"/>
      <c r="AN135" s="81"/>
      <c r="AO135" s="81"/>
      <c r="AP135" s="81"/>
      <c r="AQ135" s="81"/>
      <c r="AR135" s="81"/>
      <c r="AS135" s="81"/>
      <c r="AU135" s="81"/>
    </row>
    <row r="136" spans="1:47" ht="11.25" customHeight="1" x14ac:dyDescent="0.2">
      <c r="A136" s="142"/>
      <c r="B136" s="1680" t="s">
        <v>21</v>
      </c>
      <c r="C136" s="1680"/>
      <c r="D136" s="1680"/>
      <c r="E136" s="1680"/>
      <c r="F136" s="1680"/>
      <c r="G136" s="1680"/>
      <c r="H136" s="1680"/>
      <c r="I136" s="1680"/>
      <c r="J136" s="12"/>
      <c r="K136" s="9"/>
      <c r="L136" s="9"/>
      <c r="M136" s="9"/>
      <c r="N136" s="9"/>
      <c r="O136" s="9"/>
      <c r="P136" s="9"/>
      <c r="Q136" s="9"/>
      <c r="R136" s="9"/>
      <c r="S136" s="9"/>
      <c r="T136" s="9"/>
      <c r="U136" s="9"/>
      <c r="V136" s="9"/>
      <c r="W136" s="137"/>
      <c r="X136" s="150"/>
      <c r="AJ136" s="81"/>
      <c r="AK136" s="161"/>
      <c r="AL136" s="81"/>
      <c r="AM136" s="81"/>
      <c r="AN136" s="81"/>
      <c r="AO136" s="81"/>
      <c r="AP136" s="81"/>
      <c r="AQ136" s="81"/>
      <c r="AR136" s="81"/>
      <c r="AS136" s="81"/>
      <c r="AU136" s="81"/>
    </row>
    <row r="137" spans="1:47" ht="11.25" customHeight="1" x14ac:dyDescent="0.2">
      <c r="A137" s="142"/>
      <c r="B137" s="1680"/>
      <c r="C137" s="1680"/>
      <c r="D137" s="1680"/>
      <c r="E137" s="1680"/>
      <c r="F137" s="1680"/>
      <c r="G137" s="1680"/>
      <c r="H137" s="1680"/>
      <c r="I137" s="1680"/>
      <c r="J137" s="12"/>
      <c r="K137" s="9"/>
      <c r="L137" s="9"/>
      <c r="M137" s="9"/>
      <c r="N137" s="9"/>
      <c r="O137" s="9"/>
      <c r="P137" s="9"/>
      <c r="Q137" s="9"/>
      <c r="R137" s="9"/>
      <c r="S137" s="9"/>
      <c r="T137" s="9"/>
      <c r="U137" s="9"/>
      <c r="V137" s="9"/>
      <c r="W137" s="137"/>
      <c r="X137" s="150"/>
      <c r="AJ137" s="81"/>
      <c r="AK137" s="161"/>
      <c r="AL137" s="81"/>
      <c r="AM137" s="81"/>
      <c r="AN137" s="81"/>
      <c r="AO137" s="81"/>
      <c r="AP137" s="81"/>
      <c r="AQ137" s="81"/>
      <c r="AR137" s="81"/>
      <c r="AS137" s="81"/>
      <c r="AU137" s="81"/>
    </row>
    <row r="138" spans="1:47" ht="11.25" customHeight="1" x14ac:dyDescent="0.2">
      <c r="A138" s="142"/>
      <c r="B138" s="1680" t="s">
        <v>905</v>
      </c>
      <c r="C138" s="1680"/>
      <c r="D138" s="1680"/>
      <c r="E138" s="1680"/>
      <c r="F138" s="1680"/>
      <c r="G138" s="1680"/>
      <c r="H138" s="1680"/>
      <c r="I138" s="1680"/>
      <c r="J138" s="12"/>
      <c r="K138" s="9"/>
      <c r="L138" s="9"/>
      <c r="M138" s="9"/>
      <c r="N138" s="9"/>
      <c r="O138" s="9"/>
      <c r="P138" s="9"/>
      <c r="Q138" s="9"/>
      <c r="R138" s="9"/>
      <c r="S138" s="9"/>
      <c r="T138" s="9"/>
      <c r="U138" s="9"/>
      <c r="V138" s="9"/>
      <c r="W138" s="137"/>
      <c r="X138" s="150"/>
      <c r="AJ138" s="81"/>
      <c r="AK138" s="161"/>
      <c r="AL138" s="81"/>
      <c r="AM138" s="81"/>
      <c r="AN138" s="81"/>
      <c r="AO138" s="81"/>
      <c r="AP138" s="81"/>
      <c r="AQ138" s="81"/>
      <c r="AR138" s="81"/>
      <c r="AS138" s="81"/>
      <c r="AU138" s="81"/>
    </row>
    <row r="139" spans="1:47" ht="11.25" customHeight="1" x14ac:dyDescent="0.2">
      <c r="A139" s="142"/>
      <c r="B139" s="1680"/>
      <c r="C139" s="1680"/>
      <c r="D139" s="1680"/>
      <c r="E139" s="1680"/>
      <c r="F139" s="1680"/>
      <c r="G139" s="1680"/>
      <c r="H139" s="1680"/>
      <c r="I139" s="1680"/>
      <c r="J139" s="12"/>
      <c r="K139" s="9"/>
      <c r="L139" s="9"/>
      <c r="M139" s="9"/>
      <c r="N139" s="9"/>
      <c r="O139" s="9"/>
      <c r="P139" s="9"/>
      <c r="Q139" s="9"/>
      <c r="R139" s="9"/>
      <c r="S139" s="9"/>
      <c r="T139" s="9"/>
      <c r="U139" s="9"/>
      <c r="V139" s="9"/>
      <c r="W139" s="137"/>
      <c r="X139" s="150"/>
      <c r="AJ139" s="81"/>
      <c r="AK139" s="161"/>
      <c r="AL139" s="81"/>
      <c r="AM139" s="81"/>
      <c r="AN139" s="81"/>
      <c r="AO139" s="81"/>
      <c r="AP139" s="81"/>
      <c r="AQ139" s="81"/>
      <c r="AR139" s="81"/>
      <c r="AS139" s="81"/>
      <c r="AU139" s="81"/>
    </row>
    <row r="140" spans="1:47" ht="11.25" customHeight="1" x14ac:dyDescent="0.2">
      <c r="A140" s="142"/>
      <c r="B140" s="1680" t="s">
        <v>32</v>
      </c>
      <c r="C140" s="1680"/>
      <c r="D140" s="1680"/>
      <c r="E140" s="1680"/>
      <c r="F140" s="1680"/>
      <c r="G140" s="1680"/>
      <c r="H140" s="1680"/>
      <c r="I140" s="1680"/>
      <c r="J140" s="12"/>
      <c r="K140" s="9"/>
      <c r="L140" s="9"/>
      <c r="M140" s="9"/>
      <c r="N140" s="9"/>
      <c r="O140" s="9"/>
      <c r="P140" s="9"/>
      <c r="Q140" s="9"/>
      <c r="R140" s="9"/>
      <c r="S140" s="9"/>
      <c r="T140" s="9"/>
      <c r="U140" s="9"/>
      <c r="V140" s="9"/>
      <c r="W140" s="137"/>
      <c r="X140" s="150"/>
      <c r="AJ140" s="81"/>
      <c r="AK140" s="161"/>
      <c r="AL140" s="81"/>
      <c r="AM140" s="81"/>
      <c r="AN140" s="81"/>
      <c r="AO140" s="81"/>
      <c r="AP140" s="81"/>
      <c r="AQ140" s="81"/>
      <c r="AR140" s="81"/>
      <c r="AS140" s="81"/>
      <c r="AU140" s="81"/>
    </row>
    <row r="141" spans="1:47" ht="11.25" customHeight="1" x14ac:dyDescent="0.2">
      <c r="A141" s="142"/>
      <c r="B141" s="1680"/>
      <c r="C141" s="1680"/>
      <c r="D141" s="1680"/>
      <c r="E141" s="1680"/>
      <c r="F141" s="1680"/>
      <c r="G141" s="1680"/>
      <c r="H141" s="1680"/>
      <c r="I141" s="1680"/>
      <c r="J141" s="12"/>
      <c r="K141" s="9"/>
      <c r="L141" s="9"/>
      <c r="M141" s="9"/>
      <c r="N141" s="9"/>
      <c r="O141" s="9"/>
      <c r="P141" s="9"/>
      <c r="Q141" s="9"/>
      <c r="R141" s="9"/>
      <c r="S141" s="9"/>
      <c r="T141" s="9"/>
      <c r="U141" s="9"/>
      <c r="V141" s="9"/>
      <c r="W141" s="137"/>
      <c r="X141" s="150"/>
      <c r="AJ141" s="81"/>
      <c r="AK141" s="161"/>
      <c r="AL141" s="81"/>
      <c r="AM141" s="81"/>
      <c r="AN141" s="81"/>
      <c r="AO141" s="81"/>
      <c r="AP141" s="81"/>
      <c r="AQ141" s="81"/>
      <c r="AR141" s="81"/>
      <c r="AS141" s="81"/>
      <c r="AU141" s="81"/>
    </row>
    <row r="142" spans="1:47" ht="11.25" customHeight="1" x14ac:dyDescent="0.2">
      <c r="A142" s="142"/>
      <c r="B142" s="1680" t="s">
        <v>666</v>
      </c>
      <c r="C142" s="1680"/>
      <c r="D142" s="1680"/>
      <c r="E142" s="1680"/>
      <c r="F142" s="1680"/>
      <c r="G142" s="1680"/>
      <c r="H142" s="1680"/>
      <c r="I142" s="1680"/>
      <c r="J142" s="12"/>
      <c r="K142" s="9"/>
      <c r="L142" s="9"/>
      <c r="M142" s="9"/>
      <c r="N142" s="9"/>
      <c r="O142" s="9"/>
      <c r="P142" s="9"/>
      <c r="Q142" s="9"/>
      <c r="R142" s="9"/>
      <c r="S142" s="9"/>
      <c r="T142" s="9"/>
      <c r="U142" s="9"/>
      <c r="V142" s="9"/>
      <c r="W142" s="137"/>
      <c r="X142" s="150"/>
      <c r="AJ142" s="81"/>
      <c r="AK142" s="161"/>
      <c r="AL142" s="81"/>
      <c r="AM142" s="81"/>
      <c r="AN142" s="81"/>
      <c r="AO142" s="81"/>
      <c r="AP142" s="81"/>
      <c r="AQ142" s="81"/>
      <c r="AR142" s="81"/>
      <c r="AS142" s="81"/>
      <c r="AU142" s="81"/>
    </row>
    <row r="143" spans="1:47" ht="11.25" customHeight="1" x14ac:dyDescent="0.2">
      <c r="A143" s="142"/>
      <c r="B143" s="1680"/>
      <c r="C143" s="1680"/>
      <c r="D143" s="1680"/>
      <c r="E143" s="1680"/>
      <c r="F143" s="1680"/>
      <c r="G143" s="1680"/>
      <c r="H143" s="1680"/>
      <c r="I143" s="1680"/>
      <c r="J143" s="12"/>
      <c r="K143" s="9"/>
      <c r="L143" s="9"/>
      <c r="M143" s="9"/>
      <c r="N143" s="9"/>
      <c r="O143" s="9"/>
      <c r="P143" s="9"/>
      <c r="Q143" s="9"/>
      <c r="R143" s="9"/>
      <c r="S143" s="9"/>
      <c r="T143" s="9"/>
      <c r="U143" s="9"/>
      <c r="V143" s="9"/>
      <c r="W143" s="137"/>
      <c r="X143" s="150"/>
      <c r="AJ143" s="81"/>
      <c r="AK143" s="161"/>
      <c r="AL143" s="81"/>
      <c r="AM143" s="81"/>
      <c r="AN143" s="81"/>
      <c r="AO143" s="81"/>
      <c r="AP143" s="81"/>
      <c r="AQ143" s="81"/>
      <c r="AR143" s="81"/>
      <c r="AS143" s="81"/>
      <c r="AU143" s="81"/>
    </row>
    <row r="144" spans="1:47" ht="11.25" customHeight="1" x14ac:dyDescent="0.2">
      <c r="A144" s="142"/>
      <c r="B144" s="1680" t="s">
        <v>906</v>
      </c>
      <c r="C144" s="1680"/>
      <c r="D144" s="1680"/>
      <c r="E144" s="1680"/>
      <c r="F144" s="1680"/>
      <c r="G144" s="1680"/>
      <c r="H144" s="1680"/>
      <c r="I144" s="1680"/>
      <c r="J144" s="12"/>
      <c r="K144" s="9"/>
      <c r="L144" s="9"/>
      <c r="M144" s="9"/>
      <c r="N144" s="9"/>
      <c r="O144" s="9"/>
      <c r="P144" s="9"/>
      <c r="Q144" s="9"/>
      <c r="R144" s="9"/>
      <c r="S144" s="9"/>
      <c r="T144" s="9"/>
      <c r="U144" s="9"/>
      <c r="V144" s="9"/>
      <c r="W144" s="137"/>
      <c r="X144" s="150"/>
      <c r="AJ144" s="81"/>
      <c r="AK144" s="161"/>
      <c r="AL144" s="81"/>
      <c r="AM144" s="81"/>
      <c r="AN144" s="81"/>
      <c r="AO144" s="81"/>
      <c r="AP144" s="81"/>
      <c r="AQ144" s="81"/>
      <c r="AR144" s="81"/>
      <c r="AS144" s="81"/>
      <c r="AU144" s="81"/>
    </row>
    <row r="145" spans="1:58" ht="11.25" customHeight="1" x14ac:dyDescent="0.2">
      <c r="A145" s="142"/>
      <c r="B145" s="1680"/>
      <c r="C145" s="1680"/>
      <c r="D145" s="1680"/>
      <c r="E145" s="1680"/>
      <c r="F145" s="1680"/>
      <c r="G145" s="1680"/>
      <c r="H145" s="1680"/>
      <c r="I145" s="1680"/>
      <c r="J145" s="12"/>
      <c r="K145" s="9"/>
      <c r="L145" s="9"/>
      <c r="M145" s="9"/>
      <c r="N145" s="9"/>
      <c r="O145" s="9"/>
      <c r="P145" s="9"/>
      <c r="Q145" s="9"/>
      <c r="R145" s="9"/>
      <c r="S145" s="9"/>
      <c r="T145" s="9"/>
      <c r="U145" s="9"/>
      <c r="V145" s="9"/>
      <c r="W145" s="137"/>
      <c r="X145" s="150"/>
      <c r="AJ145" s="81"/>
      <c r="AK145" s="161"/>
      <c r="AL145" s="81"/>
      <c r="AM145" s="81"/>
      <c r="AN145" s="81"/>
      <c r="AO145" s="81"/>
      <c r="AP145" s="81"/>
      <c r="AQ145" s="81"/>
      <c r="AR145" s="81"/>
      <c r="AS145" s="81"/>
      <c r="AU145" s="81"/>
    </row>
    <row r="146" spans="1:58" ht="11.25" customHeight="1" x14ac:dyDescent="0.2">
      <c r="A146" s="142"/>
      <c r="B146" s="1680" t="s">
        <v>672</v>
      </c>
      <c r="C146" s="1680"/>
      <c r="D146" s="1680"/>
      <c r="E146" s="1680"/>
      <c r="F146" s="1680"/>
      <c r="G146" s="1680"/>
      <c r="H146" s="1680"/>
      <c r="I146" s="1680"/>
      <c r="J146" s="12"/>
      <c r="K146" s="9"/>
      <c r="L146" s="9"/>
      <c r="M146" s="9"/>
      <c r="N146" s="9"/>
      <c r="O146" s="9"/>
      <c r="P146" s="9"/>
      <c r="Q146" s="9"/>
      <c r="R146" s="9"/>
      <c r="S146" s="9"/>
      <c r="T146" s="9"/>
      <c r="U146" s="9"/>
      <c r="V146" s="9"/>
      <c r="W146" s="137"/>
      <c r="X146" s="150"/>
      <c r="AJ146" s="81"/>
      <c r="AK146" s="161"/>
      <c r="AL146" s="81"/>
      <c r="AM146" s="81"/>
      <c r="AN146" s="81"/>
      <c r="AO146" s="81"/>
      <c r="AP146" s="81"/>
      <c r="AQ146" s="81"/>
      <c r="AR146" s="81"/>
      <c r="AS146" s="81"/>
      <c r="AU146" s="81"/>
    </row>
    <row r="147" spans="1:58" s="80" customFormat="1" ht="11.25" customHeight="1" x14ac:dyDescent="0.2">
      <c r="A147" s="142"/>
      <c r="B147" s="1680"/>
      <c r="C147" s="1680"/>
      <c r="D147" s="1680"/>
      <c r="E147" s="1680"/>
      <c r="F147" s="1680"/>
      <c r="G147" s="1680"/>
      <c r="H147" s="1680"/>
      <c r="I147" s="1680"/>
      <c r="J147" s="12"/>
      <c r="K147" s="9"/>
      <c r="L147" s="9"/>
      <c r="M147" s="9"/>
      <c r="N147" s="9"/>
      <c r="O147" s="9"/>
      <c r="P147" s="9"/>
      <c r="Q147" s="9"/>
      <c r="R147" s="9"/>
      <c r="S147" s="9"/>
      <c r="T147" s="9"/>
      <c r="U147" s="9"/>
      <c r="V147" s="9"/>
      <c r="W147" s="137"/>
      <c r="X147" s="150"/>
      <c r="Y147" s="81"/>
      <c r="Z147" s="81"/>
      <c r="AA147" s="81"/>
      <c r="AB147" s="81"/>
      <c r="AC147" s="81"/>
      <c r="AD147" s="81"/>
      <c r="AE147" s="81"/>
      <c r="AF147" s="81"/>
      <c r="AG147" s="81"/>
      <c r="AH147" s="81"/>
      <c r="AI147" s="81"/>
      <c r="AJ147" s="81"/>
      <c r="AK147" s="161"/>
      <c r="AL147" s="81"/>
      <c r="AM147" s="81"/>
      <c r="AN147" s="81"/>
      <c r="AO147" s="81"/>
      <c r="AP147" s="81"/>
      <c r="AQ147" s="81"/>
      <c r="AR147" s="81"/>
      <c r="AS147" s="81"/>
      <c r="AT147" s="74"/>
      <c r="AU147" s="81"/>
      <c r="AV147" s="74"/>
      <c r="AW147" s="74"/>
      <c r="AX147" s="74"/>
      <c r="AY147" s="74"/>
      <c r="AZ147" s="74"/>
      <c r="BA147" s="74"/>
      <c r="BB147" s="74"/>
      <c r="BC147" s="74"/>
      <c r="BD147" s="74"/>
      <c r="BE147" s="74"/>
      <c r="BF147" s="74"/>
    </row>
    <row r="148" spans="1:58" ht="11.25" customHeight="1" x14ac:dyDescent="0.2">
      <c r="A148" s="1273"/>
      <c r="B148" s="1274"/>
      <c r="C148" s="1275"/>
      <c r="D148" s="1275"/>
      <c r="E148" s="1275"/>
      <c r="F148" s="1275"/>
      <c r="G148" s="1275"/>
      <c r="H148" s="1275"/>
      <c r="I148" s="1275"/>
      <c r="J148" s="1276"/>
      <c r="K148" s="201"/>
      <c r="L148" s="201"/>
      <c r="M148" s="201"/>
      <c r="N148" s="201"/>
      <c r="O148" s="201"/>
      <c r="P148" s="201"/>
      <c r="Q148" s="201"/>
      <c r="R148" s="201"/>
      <c r="S148" s="201"/>
      <c r="T148" s="201"/>
      <c r="U148" s="201"/>
      <c r="V148" s="201"/>
      <c r="W148" s="1277"/>
      <c r="X148" s="1271"/>
      <c r="Y148" s="200"/>
      <c r="Z148" s="200"/>
      <c r="AA148" s="200"/>
      <c r="AB148" s="200"/>
      <c r="AC148" s="200"/>
      <c r="AD148" s="200"/>
      <c r="AE148" s="200"/>
      <c r="AF148" s="200"/>
      <c r="AG148" s="200"/>
      <c r="AH148" s="200"/>
      <c r="AI148" s="200"/>
      <c r="AJ148" s="200"/>
      <c r="AK148" s="1614"/>
      <c r="AL148" s="1278"/>
      <c r="AM148" s="200"/>
      <c r="AN148" s="200"/>
      <c r="AO148" s="201"/>
      <c r="AP148" s="201"/>
      <c r="AQ148" s="201"/>
      <c r="AR148" s="251"/>
    </row>
    <row r="149" spans="1:58" ht="11.25" customHeight="1" x14ac:dyDescent="0.2">
      <c r="AJ149" s="81"/>
      <c r="AK149" s="81"/>
      <c r="AL149" s="81"/>
      <c r="AM149" s="81"/>
      <c r="AN149" s="81"/>
      <c r="AO149" s="81"/>
      <c r="AR149" s="184"/>
    </row>
    <row r="150" spans="1:58" ht="11.25" customHeight="1" x14ac:dyDescent="0.2">
      <c r="AJ150" s="81"/>
      <c r="AK150" s="81"/>
      <c r="AL150" s="81"/>
      <c r="AM150" s="81"/>
      <c r="AN150" s="81"/>
      <c r="AO150" s="81"/>
      <c r="AR150" s="184"/>
    </row>
    <row r="151" spans="1:58" ht="11.25" customHeight="1" x14ac:dyDescent="0.2">
      <c r="AJ151" s="81"/>
      <c r="AK151" s="81"/>
      <c r="AL151" s="81"/>
      <c r="AM151" s="81"/>
      <c r="AN151" s="81"/>
      <c r="AO151" s="81"/>
      <c r="AR151" s="184"/>
    </row>
    <row r="152" spans="1:58" ht="11.25" customHeight="1" x14ac:dyDescent="0.2">
      <c r="AJ152" s="81"/>
      <c r="AK152" s="81"/>
      <c r="AL152" s="81"/>
      <c r="AM152" s="81"/>
      <c r="AN152" s="81"/>
      <c r="AO152" s="81"/>
      <c r="AR152" s="184"/>
    </row>
    <row r="153" spans="1:58" ht="11.25" customHeight="1" x14ac:dyDescent="0.2">
      <c r="AJ153" s="81"/>
      <c r="AK153" s="81"/>
      <c r="AL153" s="81"/>
      <c r="AM153" s="81"/>
      <c r="AN153" s="81"/>
      <c r="AO153" s="81"/>
      <c r="AR153" s="184"/>
    </row>
    <row r="154" spans="1:58" ht="11.25" customHeight="1" x14ac:dyDescent="0.2">
      <c r="AJ154" s="81"/>
      <c r="AK154" s="81"/>
      <c r="AL154" s="81"/>
      <c r="AM154" s="81"/>
      <c r="AN154" s="81"/>
      <c r="AO154" s="81"/>
      <c r="AR154" s="184"/>
    </row>
    <row r="155" spans="1:58" ht="11.25" customHeight="1" x14ac:dyDescent="0.2">
      <c r="AJ155" s="81"/>
      <c r="AK155" s="81"/>
      <c r="AL155" s="81"/>
      <c r="AM155" s="81"/>
      <c r="AN155" s="81"/>
      <c r="AO155" s="81"/>
      <c r="AR155" s="184"/>
    </row>
    <row r="156" spans="1:58" ht="11.25" customHeight="1" x14ac:dyDescent="0.2">
      <c r="AJ156" s="81"/>
      <c r="AK156" s="81"/>
      <c r="AL156" s="81"/>
      <c r="AM156" s="81"/>
      <c r="AN156" s="81"/>
      <c r="AO156" s="81"/>
      <c r="AR156" s="184"/>
    </row>
    <row r="157" spans="1:58" ht="11.25" customHeight="1" x14ac:dyDescent="0.2">
      <c r="AJ157" s="81"/>
      <c r="AK157" s="81"/>
      <c r="AL157" s="81"/>
      <c r="AM157" s="81"/>
      <c r="AN157" s="81"/>
      <c r="AO157" s="81"/>
      <c r="AR157" s="184"/>
    </row>
    <row r="158" spans="1:58" ht="11.25" customHeight="1" x14ac:dyDescent="0.2">
      <c r="AJ158" s="81"/>
      <c r="AK158" s="81"/>
      <c r="AL158" s="81"/>
      <c r="AM158" s="81"/>
      <c r="AN158" s="81"/>
      <c r="AO158" s="81"/>
      <c r="AR158" s="184"/>
    </row>
    <row r="159" spans="1:58" ht="11.25" customHeight="1" x14ac:dyDescent="0.2">
      <c r="AJ159" s="81"/>
      <c r="AK159" s="81"/>
      <c r="AL159" s="81"/>
      <c r="AM159" s="81"/>
      <c r="AN159" s="81"/>
      <c r="AO159" s="81"/>
      <c r="AR159" s="184"/>
    </row>
    <row r="160" spans="1:58" ht="11.25" customHeight="1" x14ac:dyDescent="0.2">
      <c r="AJ160" s="81"/>
      <c r="AK160" s="81"/>
      <c r="AL160" s="81"/>
      <c r="AM160" s="81"/>
      <c r="AN160" s="81"/>
      <c r="AO160" s="81"/>
      <c r="AR160" s="184"/>
    </row>
    <row r="161" spans="36:44" ht="11.25" customHeight="1" x14ac:dyDescent="0.2">
      <c r="AJ161" s="81"/>
      <c r="AK161" s="81"/>
      <c r="AL161" s="81"/>
      <c r="AM161" s="81"/>
      <c r="AN161" s="81"/>
      <c r="AO161" s="81"/>
      <c r="AR161" s="184"/>
    </row>
    <row r="162" spans="36:44" ht="11.25" customHeight="1" x14ac:dyDescent="0.2">
      <c r="AJ162" s="81"/>
      <c r="AK162" s="81"/>
      <c r="AL162" s="81"/>
      <c r="AM162" s="81"/>
      <c r="AN162" s="81"/>
      <c r="AO162" s="81"/>
      <c r="AR162" s="184"/>
    </row>
    <row r="163" spans="36:44" ht="11.25" customHeight="1" x14ac:dyDescent="0.2">
      <c r="AJ163" s="81"/>
      <c r="AK163" s="81"/>
      <c r="AL163" s="81"/>
      <c r="AM163" s="81"/>
      <c r="AN163" s="81"/>
      <c r="AO163" s="81"/>
      <c r="AR163" s="184"/>
    </row>
    <row r="164" spans="36:44" ht="11.25" customHeight="1" x14ac:dyDescent="0.2">
      <c r="AJ164" s="81"/>
      <c r="AK164" s="81"/>
      <c r="AL164" s="81"/>
      <c r="AM164" s="81"/>
      <c r="AN164" s="81"/>
      <c r="AO164" s="81"/>
      <c r="AR164" s="184"/>
    </row>
    <row r="165" spans="36:44" ht="11.25" customHeight="1" x14ac:dyDescent="0.2">
      <c r="AJ165" s="81"/>
      <c r="AK165" s="81"/>
      <c r="AL165" s="81"/>
      <c r="AM165" s="81"/>
      <c r="AN165" s="81"/>
      <c r="AO165" s="81"/>
      <c r="AR165" s="184"/>
    </row>
    <row r="166" spans="36:44" ht="11.25" customHeight="1" x14ac:dyDescent="0.2">
      <c r="AJ166" s="81"/>
      <c r="AK166" s="81"/>
      <c r="AL166" s="81"/>
      <c r="AM166" s="81"/>
      <c r="AN166" s="81"/>
      <c r="AO166" s="81"/>
      <c r="AR166" s="184"/>
    </row>
    <row r="167" spans="36:44" ht="11.25" customHeight="1" x14ac:dyDescent="0.2">
      <c r="AJ167" s="81"/>
      <c r="AK167" s="81"/>
      <c r="AL167" s="81"/>
      <c r="AM167" s="81"/>
      <c r="AN167" s="81"/>
      <c r="AO167" s="81"/>
      <c r="AR167" s="184"/>
    </row>
    <row r="168" spans="36:44" ht="11.25" customHeight="1" x14ac:dyDescent="0.2">
      <c r="AJ168" s="81"/>
      <c r="AK168" s="81"/>
      <c r="AL168" s="81"/>
      <c r="AM168" s="81"/>
      <c r="AN168" s="81"/>
      <c r="AO168" s="81"/>
      <c r="AR168" s="184"/>
    </row>
    <row r="169" spans="36:44" ht="11.25" customHeight="1" x14ac:dyDescent="0.2">
      <c r="AJ169" s="81"/>
      <c r="AK169" s="81"/>
      <c r="AL169" s="81"/>
      <c r="AM169" s="81"/>
      <c r="AN169" s="81"/>
      <c r="AO169" s="81"/>
      <c r="AR169" s="184"/>
    </row>
    <row r="170" spans="36:44" ht="11.25" customHeight="1" x14ac:dyDescent="0.2">
      <c r="AJ170" s="81"/>
      <c r="AK170" s="81"/>
      <c r="AL170" s="81"/>
      <c r="AM170" s="81"/>
      <c r="AN170" s="81"/>
      <c r="AO170" s="81"/>
      <c r="AR170" s="184"/>
    </row>
    <row r="171" spans="36:44" ht="11.25" customHeight="1" x14ac:dyDescent="0.2">
      <c r="AJ171" s="81"/>
      <c r="AK171" s="81"/>
      <c r="AL171" s="81"/>
      <c r="AM171" s="81"/>
      <c r="AN171" s="81"/>
      <c r="AO171" s="81"/>
      <c r="AR171" s="184"/>
    </row>
    <row r="172" spans="36:44" ht="11.25" customHeight="1" x14ac:dyDescent="0.2">
      <c r="AJ172" s="81"/>
      <c r="AK172" s="81"/>
      <c r="AL172" s="81"/>
      <c r="AM172" s="81"/>
      <c r="AN172" s="81"/>
      <c r="AO172" s="81"/>
      <c r="AR172" s="184"/>
    </row>
    <row r="173" spans="36:44" ht="11.25" customHeight="1" x14ac:dyDescent="0.2">
      <c r="AJ173" s="81"/>
      <c r="AK173" s="81"/>
      <c r="AL173" s="81"/>
      <c r="AM173" s="81"/>
      <c r="AN173" s="81"/>
      <c r="AO173" s="81"/>
      <c r="AR173" s="184"/>
    </row>
    <row r="174" spans="36:44" ht="11.25" customHeight="1" x14ac:dyDescent="0.2">
      <c r="AJ174" s="81"/>
      <c r="AK174" s="81"/>
      <c r="AL174" s="81"/>
      <c r="AM174" s="81"/>
      <c r="AN174" s="81"/>
      <c r="AO174" s="81"/>
      <c r="AR174" s="184"/>
    </row>
    <row r="175" spans="36:44" ht="11.25" customHeight="1" x14ac:dyDescent="0.2">
      <c r="AJ175" s="81"/>
      <c r="AK175" s="81"/>
      <c r="AL175" s="81"/>
      <c r="AM175" s="81"/>
      <c r="AN175" s="81"/>
      <c r="AO175" s="81"/>
      <c r="AR175" s="184"/>
    </row>
    <row r="176" spans="36:44" ht="11.25" customHeight="1" x14ac:dyDescent="0.2">
      <c r="AJ176" s="81"/>
      <c r="AK176" s="81"/>
      <c r="AL176" s="81"/>
      <c r="AM176" s="81"/>
      <c r="AN176" s="81"/>
      <c r="AO176" s="81"/>
      <c r="AR176" s="184"/>
    </row>
    <row r="177" spans="36:44" ht="11.25" customHeight="1" x14ac:dyDescent="0.2">
      <c r="AJ177" s="81"/>
      <c r="AK177" s="81"/>
      <c r="AL177" s="81"/>
      <c r="AM177" s="81"/>
      <c r="AN177" s="81"/>
      <c r="AO177" s="81"/>
      <c r="AR177" s="184"/>
    </row>
    <row r="178" spans="36:44" ht="11.25" customHeight="1" x14ac:dyDescent="0.2">
      <c r="AJ178" s="81"/>
      <c r="AK178" s="81"/>
      <c r="AL178" s="81"/>
      <c r="AM178" s="81"/>
      <c r="AN178" s="81"/>
      <c r="AO178" s="81"/>
      <c r="AR178" s="184"/>
    </row>
    <row r="179" spans="36:44" ht="11.25" customHeight="1" x14ac:dyDescent="0.2">
      <c r="AJ179" s="81"/>
      <c r="AK179" s="81"/>
      <c r="AL179" s="81"/>
      <c r="AM179" s="81"/>
      <c r="AN179" s="81"/>
      <c r="AO179" s="81"/>
      <c r="AR179" s="184"/>
    </row>
    <row r="180" spans="36:44" ht="11.25" customHeight="1" x14ac:dyDescent="0.2">
      <c r="AJ180" s="81"/>
      <c r="AK180" s="81"/>
      <c r="AL180" s="81"/>
      <c r="AM180" s="81"/>
      <c r="AN180" s="81"/>
      <c r="AO180" s="81"/>
      <c r="AR180" s="184"/>
    </row>
    <row r="181" spans="36:44" ht="11.25" customHeight="1" x14ac:dyDescent="0.2">
      <c r="AJ181" s="81"/>
      <c r="AK181" s="81"/>
      <c r="AL181" s="81"/>
      <c r="AM181" s="81"/>
      <c r="AN181" s="81"/>
      <c r="AO181" s="81"/>
      <c r="AR181" s="184"/>
    </row>
    <row r="274" spans="38:38" ht="11.25" customHeight="1" x14ac:dyDescent="0.2">
      <c r="AL274" s="74" t="b">
        <v>1</v>
      </c>
    </row>
  </sheetData>
  <sheetProtection sheet="1" objects="1" scenarios="1"/>
  <mergeCells count="44">
    <mergeCell ref="Z8:Z9"/>
    <mergeCell ref="A106:V106"/>
    <mergeCell ref="A105:V105"/>
    <mergeCell ref="O8:P8"/>
    <mergeCell ref="O9:P9"/>
    <mergeCell ref="B5:N6"/>
    <mergeCell ref="M64:P64"/>
    <mergeCell ref="M65:P65"/>
    <mergeCell ref="AM38:AQ38"/>
    <mergeCell ref="AR38:AR40"/>
    <mergeCell ref="AA8:AA9"/>
    <mergeCell ref="A70:V70"/>
    <mergeCell ref="A71:V71"/>
    <mergeCell ref="R64:U64"/>
    <mergeCell ref="R65:U65"/>
    <mergeCell ref="B35:U35"/>
    <mergeCell ref="A37:V37"/>
    <mergeCell ref="A38:V38"/>
    <mergeCell ref="B7:B9"/>
    <mergeCell ref="D7:H7"/>
    <mergeCell ref="I7:I9"/>
    <mergeCell ref="Q7:Q9"/>
    <mergeCell ref="S7:U8"/>
    <mergeCell ref="K7:P7"/>
    <mergeCell ref="B138:I139"/>
    <mergeCell ref="B140:I141"/>
    <mergeCell ref="B142:I143"/>
    <mergeCell ref="B144:I145"/>
    <mergeCell ref="B146:I147"/>
    <mergeCell ref="B108:I109"/>
    <mergeCell ref="B110:I111"/>
    <mergeCell ref="B112:I113"/>
    <mergeCell ref="B114:I115"/>
    <mergeCell ref="B116:I117"/>
    <mergeCell ref="B118:I119"/>
    <mergeCell ref="B120:I121"/>
    <mergeCell ref="B122:I123"/>
    <mergeCell ref="B124:I125"/>
    <mergeCell ref="B126:I127"/>
    <mergeCell ref="B128:I129"/>
    <mergeCell ref="B130:I131"/>
    <mergeCell ref="B132:I133"/>
    <mergeCell ref="B134:I135"/>
    <mergeCell ref="B136:I137"/>
  </mergeCells>
  <conditionalFormatting sqref="B10:B31 K10:O31 B51:C66 D10:H31">
    <cfRule type="containsErrors" dxfId="733" priority="43">
      <formula>ISERROR(B10)</formula>
    </cfRule>
  </conditionalFormatting>
  <conditionalFormatting sqref="S10:T33">
    <cfRule type="containsErrors" dxfId="732" priority="37">
      <formula>ISERROR(S10)</formula>
    </cfRule>
  </conditionalFormatting>
  <conditionalFormatting sqref="A10:A31">
    <cfRule type="cellIs" dxfId="731" priority="36" operator="equal">
      <formula>0</formula>
    </cfRule>
  </conditionalFormatting>
  <conditionalFormatting sqref="B10:B31 K10:O31 Q10:Q31 D10:I31 S10:U31 B51:C66 P10:P33">
    <cfRule type="expression" dxfId="730" priority="42">
      <formula>$B10=$Z$4</formula>
    </cfRule>
  </conditionalFormatting>
  <conditionalFormatting sqref="A10:A32">
    <cfRule type="containsErrors" dxfId="729" priority="35">
      <formula>ISERROR(A10)</formula>
    </cfRule>
  </conditionalFormatting>
  <conditionalFormatting sqref="AG10:AH28">
    <cfRule type="containsErrors" dxfId="728" priority="34">
      <formula>ISERROR(AG10)</formula>
    </cfRule>
  </conditionalFormatting>
  <conditionalFormatting sqref="AG10:AH21 AH11:AH28">
    <cfRule type="expression" dxfId="727" priority="33">
      <formula>$B10=$X$4</formula>
    </cfRule>
  </conditionalFormatting>
  <conditionalFormatting sqref="I10:I31">
    <cfRule type="containsErrors" dxfId="726" priority="44">
      <formula>ISERROR(I10)</formula>
    </cfRule>
  </conditionalFormatting>
  <conditionalFormatting sqref="A38">
    <cfRule type="cellIs" dxfId="725" priority="29" operator="equal">
      <formula>0</formula>
    </cfRule>
    <cfRule type="containsErrors" dxfId="724" priority="30">
      <formula>ISERROR(A38)</formula>
    </cfRule>
  </conditionalFormatting>
  <conditionalFormatting sqref="A71">
    <cfRule type="cellIs" dxfId="723" priority="27" operator="equal">
      <formula>0</formula>
    </cfRule>
    <cfRule type="containsErrors" dxfId="722" priority="28">
      <formula>ISERROR(A71)</formula>
    </cfRule>
  </conditionalFormatting>
  <conditionalFormatting sqref="A106">
    <cfRule type="cellIs" dxfId="721" priority="25" operator="equal">
      <formula>0</formula>
    </cfRule>
    <cfRule type="containsErrors" dxfId="720" priority="26">
      <formula>ISERROR(A106)</formula>
    </cfRule>
  </conditionalFormatting>
  <conditionalFormatting sqref="D8:H8">
    <cfRule type="containsErrors" dxfId="719" priority="22">
      <formula>ISERROR(D8)</formula>
    </cfRule>
  </conditionalFormatting>
  <conditionalFormatting sqref="D9:H9">
    <cfRule type="containsErrors" dxfId="718" priority="24">
      <formula>ISERROR(D9)</formula>
    </cfRule>
  </conditionalFormatting>
  <conditionalFormatting sqref="K8:O8">
    <cfRule type="containsErrors" dxfId="717" priority="21">
      <formula>ISERROR(K8)</formula>
    </cfRule>
  </conditionalFormatting>
  <conditionalFormatting sqref="K9:O9">
    <cfRule type="containsErrors" dxfId="716" priority="45">
      <formula>ISERROR(K9)</formula>
    </cfRule>
  </conditionalFormatting>
  <conditionalFormatting sqref="Y3">
    <cfRule type="containsErrors" dxfId="715" priority="18">
      <formula>ISERROR(Y3)</formula>
    </cfRule>
  </conditionalFormatting>
  <conditionalFormatting sqref="Y2">
    <cfRule type="containsErrors" dxfId="714" priority="17">
      <formula>ISERROR(Y2)</formula>
    </cfRule>
  </conditionalFormatting>
  <conditionalFormatting sqref="P32:P33">
    <cfRule type="containsErrors" dxfId="713" priority="14">
      <formula>ISERROR(P32)</formula>
    </cfRule>
  </conditionalFormatting>
  <conditionalFormatting sqref="P10:P33">
    <cfRule type="containsErrors" dxfId="712" priority="12">
      <formula>ISERROR(P10)</formula>
    </cfRule>
    <cfRule type="dataBar" priority="13">
      <dataBar showValue="0">
        <cfvo type="min"/>
        <cfvo type="max"/>
        <color theme="9"/>
      </dataBar>
      <extLst>
        <ext xmlns:x14="http://schemas.microsoft.com/office/spreadsheetml/2009/9/main" uri="{B025F937-C7B1-47D3-B67F-A62EFF666E3E}">
          <x14:id>{D0FCE642-09EC-4527-A4A0-6215318E3759}</x14:id>
        </ext>
      </extLst>
    </cfRule>
  </conditionalFormatting>
  <conditionalFormatting sqref="U10:U31">
    <cfRule type="containsErrors" dxfId="711" priority="11">
      <formula>ISERROR(U10)</formula>
    </cfRule>
  </conditionalFormatting>
  <conditionalFormatting sqref="U32">
    <cfRule type="containsErrors" dxfId="710" priority="9">
      <formula>ISERROR(U32)</formula>
    </cfRule>
  </conditionalFormatting>
  <conditionalFormatting sqref="U33">
    <cfRule type="containsErrors" dxfId="709" priority="8">
      <formula>ISERROR(U33)</formula>
    </cfRule>
  </conditionalFormatting>
  <conditionalFormatting sqref="AB9:AF9">
    <cfRule type="cellIs" dxfId="708" priority="7" stopIfTrue="1" operator="equal">
      <formula>0</formula>
    </cfRule>
  </conditionalFormatting>
  <conditionalFormatting sqref="D33:I33 K33:O33">
    <cfRule type="containsErrors" dxfId="707" priority="6">
      <formula>ISERROR(D33)</formula>
    </cfRule>
  </conditionalFormatting>
  <conditionalFormatting sqref="Q10:Q31">
    <cfRule type="containsErrors" dxfId="706" priority="5">
      <formula>ISERROR(Q10)</formula>
    </cfRule>
  </conditionalFormatting>
  <conditionalFormatting sqref="Z3:AD3">
    <cfRule type="containsErrors" dxfId="705" priority="4">
      <formula>ISERROR(Z3)</formula>
    </cfRule>
  </conditionalFormatting>
  <conditionalFormatting sqref="Z2:AD2">
    <cfRule type="containsErrors" dxfId="704" priority="3">
      <formula>ISERROR(Z2)</formula>
    </cfRule>
  </conditionalFormatting>
  <conditionalFormatting sqref="AM40:AQ40">
    <cfRule type="cellIs" dxfId="703" priority="2" stopIfTrue="1" operator="equal">
      <formula>0</formula>
    </cfRule>
  </conditionalFormatting>
  <conditionalFormatting sqref="A149:A181">
    <cfRule type="containsErrors" dxfId="702" priority="1">
      <formula>ISERROR(A149)</formula>
    </cfRule>
  </conditionalFormatting>
  <hyperlinks>
    <hyperlink ref="B112:H113" location="IDACI!A1" display="IDACI" xr:uid="{469D22AE-2278-4C53-B52D-8868718C992D}"/>
    <hyperlink ref="B136:I137" location="ROSGO!A1" display="Child Arrangement &amp; Special Guardianship Orders" xr:uid="{9568DA19-B578-4176-AA18-1523399F8AD1}"/>
    <hyperlink ref="B116:G117" location="EH_Referrals!A1" display="Early Help Referrals" xr:uid="{930954F3-78D1-4D5E-B816-1A9152E840EC}"/>
    <hyperlink ref="B136:E137" location="ROSGO!A1" display="Child Arrangement &amp; Special Guardianship Orders" xr:uid="{AF31B74C-A88D-477B-B722-6925F4698CEE}"/>
    <hyperlink ref="B116:E117" location="EH_Referrals!A1" display="Early Help Referrals" xr:uid="{897B08D7-5F26-49AA-BC17-2725E79890A0}"/>
    <hyperlink ref="B114:D115" location="IDACI!A1" display="IDACI" xr:uid="{EF685390-AD32-46D6-AD11-9C86D7059D42}"/>
    <hyperlink ref="B110:D111" location="Indicators!A1" display="Indicators" xr:uid="{1E722D87-9CAD-48E8-BC61-2D7C99FD6AE9}"/>
    <hyperlink ref="B138:D139" location="New_Ceased_LAC!A1" display="New/ Ceased Looked After Children" xr:uid="{8CA38B2F-E1EA-46D9-A678-B166F913F1C6}"/>
    <hyperlink ref="B142:D143" location="Care_Leavers!A1" display="Care Leavers" xr:uid="{A84AB35B-8098-4CC0-985D-5D6100779C28}"/>
    <hyperlink ref="B146:D147" location="Offending!A1" display="Offending" xr:uid="{89385861-6511-4AC7-8A0B-2BD04CD2D068}"/>
    <hyperlink ref="B144:D145" location="EHCP!A1" display="Education Health and Care Plans (EHCP)" xr:uid="{32DF1E8F-D7F5-456E-BA5D-DF0911709F75}"/>
    <hyperlink ref="B112:B113" location="Coverage!A1" display="Participating LA's" xr:uid="{4F73EB24-A6A5-41E7-8F69-B7074904F560}"/>
    <hyperlink ref="B114:B115" location="IDACI!A1" display="IDACI" xr:uid="{F7694BF8-6F4C-4FAD-A4D3-A667A2DE1300}"/>
    <hyperlink ref="B140:B141" location="Adoption!A1" display="Adoption" xr:uid="{DD210661-56B4-4E20-82E3-380D6873420F}"/>
    <hyperlink ref="B136:B137" location="'Looked After Children'!A1" display="Looked After Children" xr:uid="{380295B3-C408-4FF6-900C-2CACF3A1FFAF}"/>
    <hyperlink ref="B134:B135" location="'Court Applications'!A1" display="Court Applications" xr:uid="{2D68F1C9-A399-438B-A7B4-31ED61EC727F}"/>
    <hyperlink ref="B132:B133" location="'Child Protection Plans'!A1" display="Child Protection Plans" xr:uid="{5F6049E9-E96B-4501-A3C2-54C03DBCFC72}"/>
    <hyperlink ref="B130:B131" location="'Initial CP Conferences'!A1" display="Initial Child Protection Conferences" xr:uid="{6D272B90-44BF-4C96-8F48-455B3012488B}"/>
    <hyperlink ref="B128:B129" location="'Section 47 Enquiries'!A1" display="Section 47 Enquiries" xr:uid="{D3442C62-B41F-42D3-AFC2-EEB3AC9A7575}"/>
    <hyperlink ref="B126:B127" location="'Children in Need'!A1" display="Children in Need" xr:uid="{8A384801-BA6C-48D1-880D-CB8B45D15A5F}"/>
    <hyperlink ref="B124:B125" location="Assessments!A1" display="Assessments" xr:uid="{3144824A-B201-4FDA-A757-D35203F65291}"/>
    <hyperlink ref="B122:B123" location="'Re-referrals'!A1" display="Re-referrals" xr:uid="{AA1639A6-9857-4688-995B-E5834ECABC7E}"/>
    <hyperlink ref="B120:B121" location="Referral_Source!A1" display="Referral Source" xr:uid="{9276E52C-1DB8-45F6-A901-279C6D0BCAFA}"/>
    <hyperlink ref="B118:B119" location="Referrals!A1" display="Referrals" xr:uid="{08DBB70E-C7E1-409E-86A5-851952A9B035}"/>
    <hyperlink ref="B116:B117" location="Population!A1" display="Population" xr:uid="{C655E895-C823-426A-BDE1-0A058056D36F}"/>
    <hyperlink ref="B114:C115" location="IDACI!A1" display="IDACI" xr:uid="{00A18689-40E8-4E52-ACFC-BB90117BDA20}"/>
    <hyperlink ref="B110:B111" location="Coverage!A1" display="Participating LA's" xr:uid="{F40A0CE7-2A0A-4FCC-93AA-836995450FDC}"/>
    <hyperlink ref="B110:C111" location="Indicators!A1" display="Indicators" xr:uid="{B4C7D031-63FD-4C0F-B3BF-F78537F734D4}"/>
    <hyperlink ref="B142:B143" location="'Looked After Children'!A1" display="Looked After Children" xr:uid="{2FE1CD04-5B3D-41D8-8260-24AE707B3AD7}"/>
    <hyperlink ref="B138:B139" location="'Court Applications'!A1" display="Court Applications" xr:uid="{3F542B39-7F45-4E67-B069-611C59C87670}"/>
    <hyperlink ref="B138:C139" location="New_Ceased_LAC!A1" display="New/ Ceased Looked After Children" xr:uid="{CBA4114F-7927-49D9-959D-091079901D17}"/>
    <hyperlink ref="B142:C143" location="Care_Leavers!A1" display="Care Leavers" xr:uid="{F0020908-5AE1-47EC-94A5-4C84A5261EEE}"/>
    <hyperlink ref="B145:B147" location="Adoption!A1" display="Adoption" xr:uid="{46E50929-9BA5-4162-A55B-D48F79831B32}"/>
    <hyperlink ref="B146:B147" location="'Looked After Children'!A1" display="Looked After Children" xr:uid="{EABF2E87-F55E-415B-946F-9D083CF639E1}"/>
    <hyperlink ref="B146:C147" location="Offending!A1" display="Offending" xr:uid="{76FA9195-F7F6-43E0-843A-C5A5C5937384}"/>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8" max="18" man="1"/>
    <brk id="71" max="20" man="1"/>
  </rowBreaks>
  <ignoredErrors>
    <ignoredError sqref="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6257" r:id="rId4" name="Check Box 1">
              <controlPr defaultSize="0" autoFill="0" autoLine="0" autoPict="0" macro="[0]!CheckBox1_Click" altText="">
                <anchor>
                  <from>
                    <xdr:col>23</xdr:col>
                    <xdr:colOff>76200</xdr:colOff>
                    <xdr:row>39</xdr:row>
                    <xdr:rowOff>38100</xdr:rowOff>
                  </from>
                  <to>
                    <xdr:col>36</xdr:col>
                    <xdr:colOff>47625</xdr:colOff>
                    <xdr:row>41</xdr:row>
                    <xdr:rowOff>19050</xdr:rowOff>
                  </to>
                </anchor>
              </controlPr>
            </control>
          </mc:Choice>
        </mc:AlternateContent>
        <mc:AlternateContent xmlns:mc="http://schemas.openxmlformats.org/markup-compatibility/2006">
          <mc:Choice Requires="x14">
            <control shapeId="96258" r:id="rId5" name="Check Box 2">
              <controlPr defaultSize="0" autoFill="0" autoLine="0" autoPict="0" macro="[0]!CheckBox1_Click" altText="">
                <anchor>
                  <from>
                    <xdr:col>23</xdr:col>
                    <xdr:colOff>76200</xdr:colOff>
                    <xdr:row>40</xdr:row>
                    <xdr:rowOff>161925</xdr:rowOff>
                  </from>
                  <to>
                    <xdr:col>36</xdr:col>
                    <xdr:colOff>47625</xdr:colOff>
                    <xdr:row>42</xdr:row>
                    <xdr:rowOff>19050</xdr:rowOff>
                  </to>
                </anchor>
              </controlPr>
            </control>
          </mc:Choice>
        </mc:AlternateContent>
        <mc:AlternateContent xmlns:mc="http://schemas.openxmlformats.org/markup-compatibility/2006">
          <mc:Choice Requires="x14">
            <control shapeId="96259" r:id="rId6" name="Check Box 3">
              <controlPr defaultSize="0" autoFill="0" autoLine="0" autoPict="0" macro="[0]!CheckBox1_Click" altText="">
                <anchor>
                  <from>
                    <xdr:col>23</xdr:col>
                    <xdr:colOff>76200</xdr:colOff>
                    <xdr:row>41</xdr:row>
                    <xdr:rowOff>161925</xdr:rowOff>
                  </from>
                  <to>
                    <xdr:col>36</xdr:col>
                    <xdr:colOff>47625</xdr:colOff>
                    <xdr:row>43</xdr:row>
                    <xdr:rowOff>19050</xdr:rowOff>
                  </to>
                </anchor>
              </controlPr>
            </control>
          </mc:Choice>
        </mc:AlternateContent>
        <mc:AlternateContent xmlns:mc="http://schemas.openxmlformats.org/markup-compatibility/2006">
          <mc:Choice Requires="x14">
            <control shapeId="96260" r:id="rId7" name="Check Box 4">
              <controlPr defaultSize="0" autoFill="0" autoLine="0" autoPict="0" macro="[0]!CheckBox1_Click" altText="">
                <anchor>
                  <from>
                    <xdr:col>23</xdr:col>
                    <xdr:colOff>76200</xdr:colOff>
                    <xdr:row>42</xdr:row>
                    <xdr:rowOff>161925</xdr:rowOff>
                  </from>
                  <to>
                    <xdr:col>36</xdr:col>
                    <xdr:colOff>47625</xdr:colOff>
                    <xdr:row>44</xdr:row>
                    <xdr:rowOff>19050</xdr:rowOff>
                  </to>
                </anchor>
              </controlPr>
            </control>
          </mc:Choice>
        </mc:AlternateContent>
        <mc:AlternateContent xmlns:mc="http://schemas.openxmlformats.org/markup-compatibility/2006">
          <mc:Choice Requires="x14">
            <control shapeId="96261" r:id="rId8" name="Check Box 5">
              <controlPr defaultSize="0" autoFill="0" autoLine="0" autoPict="0" macro="[0]!CheckBox1_Click" altText="">
                <anchor>
                  <from>
                    <xdr:col>23</xdr:col>
                    <xdr:colOff>76200</xdr:colOff>
                    <xdr:row>43</xdr:row>
                    <xdr:rowOff>161925</xdr:rowOff>
                  </from>
                  <to>
                    <xdr:col>36</xdr:col>
                    <xdr:colOff>47625</xdr:colOff>
                    <xdr:row>45</xdr:row>
                    <xdr:rowOff>19050</xdr:rowOff>
                  </to>
                </anchor>
              </controlPr>
            </control>
          </mc:Choice>
        </mc:AlternateContent>
        <mc:AlternateContent xmlns:mc="http://schemas.openxmlformats.org/markup-compatibility/2006">
          <mc:Choice Requires="x14">
            <control shapeId="96262" r:id="rId9" name="Check Box 6">
              <controlPr defaultSize="0" autoFill="0" autoLine="0" autoPict="0" macro="[0]!CheckBox1_Click" altText="">
                <anchor>
                  <from>
                    <xdr:col>23</xdr:col>
                    <xdr:colOff>76200</xdr:colOff>
                    <xdr:row>44</xdr:row>
                    <xdr:rowOff>161925</xdr:rowOff>
                  </from>
                  <to>
                    <xdr:col>36</xdr:col>
                    <xdr:colOff>47625</xdr:colOff>
                    <xdr:row>46</xdr:row>
                    <xdr:rowOff>19050</xdr:rowOff>
                  </to>
                </anchor>
              </controlPr>
            </control>
          </mc:Choice>
        </mc:AlternateContent>
        <mc:AlternateContent xmlns:mc="http://schemas.openxmlformats.org/markup-compatibility/2006">
          <mc:Choice Requires="x14">
            <control shapeId="96263" r:id="rId10" name="Check Box 7">
              <controlPr defaultSize="0" autoFill="0" autoLine="0" autoPict="0" macro="[0]!CheckBox1_Click" altText="">
                <anchor>
                  <from>
                    <xdr:col>23</xdr:col>
                    <xdr:colOff>76200</xdr:colOff>
                    <xdr:row>45</xdr:row>
                    <xdr:rowOff>161925</xdr:rowOff>
                  </from>
                  <to>
                    <xdr:col>36</xdr:col>
                    <xdr:colOff>47625</xdr:colOff>
                    <xdr:row>47</xdr:row>
                    <xdr:rowOff>19050</xdr:rowOff>
                  </to>
                </anchor>
              </controlPr>
            </control>
          </mc:Choice>
        </mc:AlternateContent>
        <mc:AlternateContent xmlns:mc="http://schemas.openxmlformats.org/markup-compatibility/2006">
          <mc:Choice Requires="x14">
            <control shapeId="96264" r:id="rId11" name="Check Box 8">
              <controlPr defaultSize="0" autoFill="0" autoLine="0" autoPict="0" macro="[0]!CheckBox1_Click" altText="">
                <anchor>
                  <from>
                    <xdr:col>23</xdr:col>
                    <xdr:colOff>76200</xdr:colOff>
                    <xdr:row>46</xdr:row>
                    <xdr:rowOff>161925</xdr:rowOff>
                  </from>
                  <to>
                    <xdr:col>36</xdr:col>
                    <xdr:colOff>47625</xdr:colOff>
                    <xdr:row>48</xdr:row>
                    <xdr:rowOff>19050</xdr:rowOff>
                  </to>
                </anchor>
              </controlPr>
            </control>
          </mc:Choice>
        </mc:AlternateContent>
        <mc:AlternateContent xmlns:mc="http://schemas.openxmlformats.org/markup-compatibility/2006">
          <mc:Choice Requires="x14">
            <control shapeId="96265" r:id="rId12" name="Check Box 9">
              <controlPr defaultSize="0" autoFill="0" autoLine="0" autoPict="0" macro="[0]!CheckBox1_Click" altText="">
                <anchor>
                  <from>
                    <xdr:col>23</xdr:col>
                    <xdr:colOff>76200</xdr:colOff>
                    <xdr:row>47</xdr:row>
                    <xdr:rowOff>161925</xdr:rowOff>
                  </from>
                  <to>
                    <xdr:col>36</xdr:col>
                    <xdr:colOff>47625</xdr:colOff>
                    <xdr:row>49</xdr:row>
                    <xdr:rowOff>19050</xdr:rowOff>
                  </to>
                </anchor>
              </controlPr>
            </control>
          </mc:Choice>
        </mc:AlternateContent>
        <mc:AlternateContent xmlns:mc="http://schemas.openxmlformats.org/markup-compatibility/2006">
          <mc:Choice Requires="x14">
            <control shapeId="96266" r:id="rId13" name="Check Box 10">
              <controlPr defaultSize="0" autoFill="0" autoLine="0" autoPict="0" macro="[0]!CheckBox1_Click" altText="">
                <anchor>
                  <from>
                    <xdr:col>23</xdr:col>
                    <xdr:colOff>76200</xdr:colOff>
                    <xdr:row>48</xdr:row>
                    <xdr:rowOff>161925</xdr:rowOff>
                  </from>
                  <to>
                    <xdr:col>36</xdr:col>
                    <xdr:colOff>47625</xdr:colOff>
                    <xdr:row>50</xdr:row>
                    <xdr:rowOff>19050</xdr:rowOff>
                  </to>
                </anchor>
              </controlPr>
            </control>
          </mc:Choice>
        </mc:AlternateContent>
        <mc:AlternateContent xmlns:mc="http://schemas.openxmlformats.org/markup-compatibility/2006">
          <mc:Choice Requires="x14">
            <control shapeId="96267" r:id="rId14" name="Check Box 11">
              <controlPr defaultSize="0" autoFill="0" autoLine="0" autoPict="0" macro="[0]!CheckBox1_Click" altText="">
                <anchor>
                  <from>
                    <xdr:col>23</xdr:col>
                    <xdr:colOff>76200</xdr:colOff>
                    <xdr:row>49</xdr:row>
                    <xdr:rowOff>161925</xdr:rowOff>
                  </from>
                  <to>
                    <xdr:col>36</xdr:col>
                    <xdr:colOff>47625</xdr:colOff>
                    <xdr:row>51</xdr:row>
                    <xdr:rowOff>19050</xdr:rowOff>
                  </to>
                </anchor>
              </controlPr>
            </control>
          </mc:Choice>
        </mc:AlternateContent>
        <mc:AlternateContent xmlns:mc="http://schemas.openxmlformats.org/markup-compatibility/2006">
          <mc:Choice Requires="x14">
            <control shapeId="96268" r:id="rId15" name="Check Box 12">
              <controlPr defaultSize="0" autoFill="0" autoLine="0" autoPict="0" macro="[0]!CheckBox1_Click" altText="">
                <anchor>
                  <from>
                    <xdr:col>23</xdr:col>
                    <xdr:colOff>76200</xdr:colOff>
                    <xdr:row>50</xdr:row>
                    <xdr:rowOff>161925</xdr:rowOff>
                  </from>
                  <to>
                    <xdr:col>36</xdr:col>
                    <xdr:colOff>47625</xdr:colOff>
                    <xdr:row>52</xdr:row>
                    <xdr:rowOff>19050</xdr:rowOff>
                  </to>
                </anchor>
              </controlPr>
            </control>
          </mc:Choice>
        </mc:AlternateContent>
        <mc:AlternateContent xmlns:mc="http://schemas.openxmlformats.org/markup-compatibility/2006">
          <mc:Choice Requires="x14">
            <control shapeId="96269" r:id="rId16" name="Check Box 13">
              <controlPr defaultSize="0" autoFill="0" autoLine="0" autoPict="0" macro="[0]!CheckBox1_Click" altText="">
                <anchor>
                  <from>
                    <xdr:col>23</xdr:col>
                    <xdr:colOff>76200</xdr:colOff>
                    <xdr:row>51</xdr:row>
                    <xdr:rowOff>161925</xdr:rowOff>
                  </from>
                  <to>
                    <xdr:col>36</xdr:col>
                    <xdr:colOff>47625</xdr:colOff>
                    <xdr:row>53</xdr:row>
                    <xdr:rowOff>19050</xdr:rowOff>
                  </to>
                </anchor>
              </controlPr>
            </control>
          </mc:Choice>
        </mc:AlternateContent>
        <mc:AlternateContent xmlns:mc="http://schemas.openxmlformats.org/markup-compatibility/2006">
          <mc:Choice Requires="x14">
            <control shapeId="96270" r:id="rId17" name="Check Box 14">
              <controlPr defaultSize="0" autoFill="0" autoLine="0" autoPict="0" macro="[0]!CheckBox1_Click" altText="">
                <anchor>
                  <from>
                    <xdr:col>23</xdr:col>
                    <xdr:colOff>76200</xdr:colOff>
                    <xdr:row>52</xdr:row>
                    <xdr:rowOff>161925</xdr:rowOff>
                  </from>
                  <to>
                    <xdr:col>36</xdr:col>
                    <xdr:colOff>47625</xdr:colOff>
                    <xdr:row>54</xdr:row>
                    <xdr:rowOff>19050</xdr:rowOff>
                  </to>
                </anchor>
              </controlPr>
            </control>
          </mc:Choice>
        </mc:AlternateContent>
        <mc:AlternateContent xmlns:mc="http://schemas.openxmlformats.org/markup-compatibility/2006">
          <mc:Choice Requires="x14">
            <control shapeId="96271" r:id="rId18" name="Check Box 15">
              <controlPr defaultSize="0" autoFill="0" autoLine="0" autoPict="0" macro="[0]!CheckBox1_Click" altText="">
                <anchor>
                  <from>
                    <xdr:col>23</xdr:col>
                    <xdr:colOff>76200</xdr:colOff>
                    <xdr:row>53</xdr:row>
                    <xdr:rowOff>161925</xdr:rowOff>
                  </from>
                  <to>
                    <xdr:col>36</xdr:col>
                    <xdr:colOff>47625</xdr:colOff>
                    <xdr:row>55</xdr:row>
                    <xdr:rowOff>19050</xdr:rowOff>
                  </to>
                </anchor>
              </controlPr>
            </control>
          </mc:Choice>
        </mc:AlternateContent>
        <mc:AlternateContent xmlns:mc="http://schemas.openxmlformats.org/markup-compatibility/2006">
          <mc:Choice Requires="x14">
            <control shapeId="96272" r:id="rId19" name="Check Box 16">
              <controlPr defaultSize="0" autoFill="0" autoLine="0" autoPict="0" macro="[0]!CheckBox1_Click" altText="">
                <anchor>
                  <from>
                    <xdr:col>23</xdr:col>
                    <xdr:colOff>76200</xdr:colOff>
                    <xdr:row>54</xdr:row>
                    <xdr:rowOff>161925</xdr:rowOff>
                  </from>
                  <to>
                    <xdr:col>36</xdr:col>
                    <xdr:colOff>47625</xdr:colOff>
                    <xdr:row>56</xdr:row>
                    <xdr:rowOff>19050</xdr:rowOff>
                  </to>
                </anchor>
              </controlPr>
            </control>
          </mc:Choice>
        </mc:AlternateContent>
        <mc:AlternateContent xmlns:mc="http://schemas.openxmlformats.org/markup-compatibility/2006">
          <mc:Choice Requires="x14">
            <control shapeId="96273" r:id="rId20" name="Check Box 17">
              <controlPr defaultSize="0" autoFill="0" autoLine="0" autoPict="0" macro="[0]!CheckBox1_Click" altText="">
                <anchor>
                  <from>
                    <xdr:col>23</xdr:col>
                    <xdr:colOff>76200</xdr:colOff>
                    <xdr:row>57</xdr:row>
                    <xdr:rowOff>161925</xdr:rowOff>
                  </from>
                  <to>
                    <xdr:col>36</xdr:col>
                    <xdr:colOff>47625</xdr:colOff>
                    <xdr:row>59</xdr:row>
                    <xdr:rowOff>19050</xdr:rowOff>
                  </to>
                </anchor>
              </controlPr>
            </control>
          </mc:Choice>
        </mc:AlternateContent>
        <mc:AlternateContent xmlns:mc="http://schemas.openxmlformats.org/markup-compatibility/2006">
          <mc:Choice Requires="x14">
            <control shapeId="96274" r:id="rId21" name="Check Box 18">
              <controlPr defaultSize="0" autoFill="0" autoLine="0" autoPict="0" macro="[0]!CheckBox1_Click" altText="">
                <anchor>
                  <from>
                    <xdr:col>23</xdr:col>
                    <xdr:colOff>76200</xdr:colOff>
                    <xdr:row>58</xdr:row>
                    <xdr:rowOff>161925</xdr:rowOff>
                  </from>
                  <to>
                    <xdr:col>36</xdr:col>
                    <xdr:colOff>47625</xdr:colOff>
                    <xdr:row>60</xdr:row>
                    <xdr:rowOff>19050</xdr:rowOff>
                  </to>
                </anchor>
              </controlPr>
            </control>
          </mc:Choice>
        </mc:AlternateContent>
        <mc:AlternateContent xmlns:mc="http://schemas.openxmlformats.org/markup-compatibility/2006">
          <mc:Choice Requires="x14">
            <control shapeId="96275" r:id="rId22" name="Check Box 19">
              <controlPr defaultSize="0" autoFill="0" autoLine="0" autoPict="0" macro="[0]!CheckBox1_Click" altText="">
                <anchor>
                  <from>
                    <xdr:col>23</xdr:col>
                    <xdr:colOff>76200</xdr:colOff>
                    <xdr:row>59</xdr:row>
                    <xdr:rowOff>161925</xdr:rowOff>
                  </from>
                  <to>
                    <xdr:col>36</xdr:col>
                    <xdr:colOff>47625</xdr:colOff>
                    <xdr:row>61</xdr:row>
                    <xdr:rowOff>19050</xdr:rowOff>
                  </to>
                </anchor>
              </controlPr>
            </control>
          </mc:Choice>
        </mc:AlternateContent>
        <mc:AlternateContent xmlns:mc="http://schemas.openxmlformats.org/markup-compatibility/2006">
          <mc:Choice Requires="x14">
            <control shapeId="96276" r:id="rId23" name="Check Box 20">
              <controlPr defaultSize="0" autoFill="0" autoLine="0" autoPict="0" macro="[0]!CheckBox1_Click" altText="">
                <anchor>
                  <from>
                    <xdr:col>23</xdr:col>
                    <xdr:colOff>76200</xdr:colOff>
                    <xdr:row>60</xdr:row>
                    <xdr:rowOff>161925</xdr:rowOff>
                  </from>
                  <to>
                    <xdr:col>36</xdr:col>
                    <xdr:colOff>47625</xdr:colOff>
                    <xdr:row>62</xdr:row>
                    <xdr:rowOff>19050</xdr:rowOff>
                  </to>
                </anchor>
              </controlPr>
            </control>
          </mc:Choice>
        </mc:AlternateContent>
        <mc:AlternateContent xmlns:mc="http://schemas.openxmlformats.org/markup-compatibility/2006">
          <mc:Choice Requires="x14">
            <control shapeId="96277" r:id="rId24" name="Check Box 21">
              <controlPr defaultSize="0" autoFill="0" autoLine="0" autoPict="0" macro="[0]!CheckBox1_Click" altText="">
                <anchor>
                  <from>
                    <xdr:col>23</xdr:col>
                    <xdr:colOff>76200</xdr:colOff>
                    <xdr:row>61</xdr:row>
                    <xdr:rowOff>161925</xdr:rowOff>
                  </from>
                  <to>
                    <xdr:col>36</xdr:col>
                    <xdr:colOff>47625</xdr:colOff>
                    <xdr:row>63</xdr:row>
                    <xdr:rowOff>19050</xdr:rowOff>
                  </to>
                </anchor>
              </controlPr>
            </control>
          </mc:Choice>
        </mc:AlternateContent>
        <mc:AlternateContent xmlns:mc="http://schemas.openxmlformats.org/markup-compatibility/2006">
          <mc:Choice Requires="x14">
            <control shapeId="96278" r:id="rId25" name="Check Box 22">
              <controlPr defaultSize="0" autoFill="0" autoLine="0" autoPict="0" macro="[0]!CheckBox1_Click" altText="">
                <anchor>
                  <from>
                    <xdr:col>23</xdr:col>
                    <xdr:colOff>76200</xdr:colOff>
                    <xdr:row>55</xdr:row>
                    <xdr:rowOff>161925</xdr:rowOff>
                  </from>
                  <to>
                    <xdr:col>36</xdr:col>
                    <xdr:colOff>47625</xdr:colOff>
                    <xdr:row>57</xdr:row>
                    <xdr:rowOff>19050</xdr:rowOff>
                  </to>
                </anchor>
              </controlPr>
            </control>
          </mc:Choice>
        </mc:AlternateContent>
        <mc:AlternateContent xmlns:mc="http://schemas.openxmlformats.org/markup-compatibility/2006">
          <mc:Choice Requires="x14">
            <control shapeId="96279" r:id="rId26" name="Check Box 23">
              <controlPr defaultSize="0" autoFill="0" autoLine="0" autoPict="0" macro="[0]!CheckBox1_Click" altText="">
                <anchor>
                  <from>
                    <xdr:col>23</xdr:col>
                    <xdr:colOff>76200</xdr:colOff>
                    <xdr:row>56</xdr:row>
                    <xdr:rowOff>161925</xdr:rowOff>
                  </from>
                  <to>
                    <xdr:col>36</xdr:col>
                    <xdr:colOff>47625</xdr:colOff>
                    <xdr:row>58</xdr:row>
                    <xdr:rowOff>19050</xdr:rowOff>
                  </to>
                </anchor>
              </controlPr>
            </control>
          </mc:Choice>
        </mc:AlternateContent>
        <mc:AlternateContent xmlns:mc="http://schemas.openxmlformats.org/markup-compatibility/2006">
          <mc:Choice Requires="x14">
            <control shapeId="96280" r:id="rId27" name="Check Box 24">
              <controlPr defaultSize="0" autoFill="0" autoLine="0" autoPict="0" macro="[0]!CheckBox1_Click" altText="">
                <anchor>
                  <from>
                    <xdr:col>23</xdr:col>
                    <xdr:colOff>76200</xdr:colOff>
                    <xdr:row>62</xdr:row>
                    <xdr:rowOff>161925</xdr:rowOff>
                  </from>
                  <to>
                    <xdr:col>36</xdr:col>
                    <xdr:colOff>47625</xdr:colOff>
                    <xdr:row>64</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0FCE642-09EC-4527-A4A0-6215318E3759}">
            <x14:dataBar minLength="0" maxLength="100" gradient="0" negativeBarColorSameAsPositive="1">
              <x14:cfvo type="autoMin"/>
              <x14:cfvo type="autoMax"/>
              <x14:axisColor rgb="FF000000"/>
            </x14:dataBar>
          </x14:cfRule>
          <xm:sqref>P10:P33</xm:sqref>
        </x14:conditionalFormatting>
      </x14:conditionalFormatting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4">
    <tabColor rgb="FFFFC000"/>
  </sheetPr>
  <dimension ref="A1:BN274"/>
  <sheetViews>
    <sheetView showRowColHeaders="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8" width="6.85546875" style="74" customWidth="1"/>
    <col min="9" max="9" width="7.42578125" style="74" customWidth="1"/>
    <col min="10" max="10" width="1.42578125" style="88" customWidth="1"/>
    <col min="11" max="15" width="6.85546875" style="74" customWidth="1"/>
    <col min="16" max="16" width="7.140625" style="74" customWidth="1"/>
    <col min="17" max="17" width="7.42578125" style="74" customWidth="1"/>
    <col min="18" max="18" width="1.42578125" style="74" customWidth="1"/>
    <col min="19" max="19" width="5.7109375" style="74" customWidth="1"/>
    <col min="20" max="20" width="8.28515625" style="74" customWidth="1"/>
    <col min="21" max="21" width="7.7109375" style="74" customWidth="1"/>
    <col min="22" max="22" width="2.140625" style="74" customWidth="1"/>
    <col min="23" max="23" width="6.42578125" style="80" customWidth="1"/>
    <col min="24" max="24" width="4.85546875" style="80" customWidth="1"/>
    <col min="25" max="25" width="17.5703125" style="81" hidden="1" customWidth="1"/>
    <col min="26" max="26" width="19.42578125" style="81" hidden="1" customWidth="1"/>
    <col min="27" max="27" width="19.85546875" style="81" hidden="1" customWidth="1"/>
    <col min="28" max="29" width="16.5703125" style="81" hidden="1" customWidth="1"/>
    <col min="30" max="31" width="8.5703125" style="81" hidden="1" customWidth="1"/>
    <col min="32" max="32" width="7" style="81" hidden="1" customWidth="1"/>
    <col min="33" max="33" width="17" style="81" hidden="1" customWidth="1"/>
    <col min="34" max="34" width="5.5703125" style="81" hidden="1" customWidth="1"/>
    <col min="35" max="35" width="10.42578125" style="81" hidden="1" customWidth="1"/>
    <col min="36" max="36" width="5.5703125" style="74" hidden="1" customWidth="1"/>
    <col min="37" max="37" width="31.5703125" style="74" customWidth="1"/>
    <col min="38" max="38" width="17" style="74" hidden="1" customWidth="1"/>
    <col min="39" max="43" width="13.5703125" style="74" hidden="1" customWidth="1"/>
    <col min="44" max="45" width="9.140625" style="74" hidden="1" customWidth="1"/>
    <col min="46" max="53" width="9.140625" style="74" customWidth="1"/>
    <col min="54" max="16384" width="9.140625" style="74"/>
  </cols>
  <sheetData>
    <row r="1" spans="1:52" ht="18.75" customHeight="1" thickBot="1" x14ac:dyDescent="0.25">
      <c r="A1" s="112"/>
      <c r="B1" s="113"/>
      <c r="C1" s="113"/>
      <c r="D1" s="113"/>
      <c r="E1" s="113"/>
      <c r="F1" s="113"/>
      <c r="G1" s="113"/>
      <c r="H1" s="113"/>
      <c r="I1" s="113"/>
      <c r="J1" s="114"/>
      <c r="K1" s="113"/>
      <c r="L1" s="113"/>
      <c r="M1" s="113"/>
      <c r="N1" s="113"/>
      <c r="O1" s="113"/>
      <c r="P1" s="113"/>
      <c r="Q1" s="113"/>
      <c r="R1" s="113"/>
      <c r="S1" s="113"/>
      <c r="T1" s="113"/>
      <c r="U1" s="113"/>
      <c r="V1" s="115"/>
      <c r="W1" s="275"/>
      <c r="X1" s="155"/>
      <c r="Y1" s="180"/>
      <c r="Z1" s="939" t="str">
        <f>IF(Sheet1!$C$3="Annual"," the year ending 31st March"," the quarter")</f>
        <v xml:space="preserve"> the year ending 31st March</v>
      </c>
      <c r="AA1" s="180"/>
      <c r="AB1" s="180"/>
      <c r="AC1" s="180"/>
      <c r="AD1" s="180"/>
      <c r="AE1" s="180"/>
      <c r="AF1" s="180"/>
      <c r="AG1" s="180"/>
      <c r="AH1" s="180"/>
      <c r="AI1" s="180"/>
      <c r="AJ1" s="181"/>
      <c r="AK1" s="156"/>
    </row>
    <row r="2" spans="1:52" ht="18.75" customHeight="1" x14ac:dyDescent="0.2">
      <c r="A2" s="118"/>
      <c r="B2" s="128" t="s">
        <v>18</v>
      </c>
      <c r="C2" s="9"/>
      <c r="D2" s="9"/>
      <c r="E2" s="9"/>
      <c r="F2" s="9"/>
      <c r="G2" s="9"/>
      <c r="H2" s="9"/>
      <c r="I2" s="9"/>
      <c r="J2" s="12"/>
      <c r="K2" s="9"/>
      <c r="L2" s="9"/>
      <c r="M2" s="9"/>
      <c r="N2" s="9"/>
      <c r="O2" s="9"/>
      <c r="P2" s="9"/>
      <c r="Q2" s="9"/>
      <c r="R2" s="9"/>
      <c r="S2" s="9"/>
      <c r="T2" s="9"/>
      <c r="U2" s="9"/>
      <c r="V2" s="117"/>
      <c r="W2" s="161"/>
      <c r="X2" s="150"/>
      <c r="Y2" s="866">
        <f>IF(Sheet1!$C$3="Annual",1,4)</f>
        <v>1</v>
      </c>
      <c r="Z2" s="800" t="str">
        <f>IF(Sheet1!$C$3="Annual","",Sheet1!$D$28)</f>
        <v/>
      </c>
      <c r="AA2" s="801" t="str">
        <f>IF(Sheet1!$C$3="Annual","",Sheet1!$E$28)</f>
        <v/>
      </c>
      <c r="AB2" s="801" t="str">
        <f>IF(Sheet1!$C$3="Annual","",Sheet1!$F$28)</f>
        <v/>
      </c>
      <c r="AC2" s="801" t="str">
        <f>IF(Sheet1!$C$3="Annual","",Sheet1!$G$28)</f>
        <v/>
      </c>
      <c r="AD2" s="802" t="str">
        <f>IF(Sheet1!$C$3="Annual","",Sheet1!$H$28)</f>
        <v/>
      </c>
      <c r="AJ2" s="184"/>
      <c r="AK2" s="157"/>
    </row>
    <row r="3" spans="1:52" ht="18.75" customHeight="1" thickBot="1" x14ac:dyDescent="0.25">
      <c r="A3" s="124"/>
      <c r="B3" s="125"/>
      <c r="C3" s="125"/>
      <c r="D3" s="125"/>
      <c r="E3" s="125"/>
      <c r="F3" s="125"/>
      <c r="G3" s="125"/>
      <c r="H3" s="125"/>
      <c r="I3" s="267"/>
      <c r="J3" s="126"/>
      <c r="K3" s="125"/>
      <c r="L3" s="125"/>
      <c r="M3" s="125"/>
      <c r="N3" s="125"/>
      <c r="O3" s="125"/>
      <c r="P3" s="553"/>
      <c r="Q3" s="125"/>
      <c r="R3" s="125"/>
      <c r="S3" s="125"/>
      <c r="T3" s="267"/>
      <c r="U3" s="125"/>
      <c r="V3" s="127"/>
      <c r="W3" s="161"/>
      <c r="X3" s="150"/>
      <c r="Y3" s="803"/>
      <c r="Z3" s="803" t="str">
        <f>Sheet1!$D$27</f>
        <v>2015-16</v>
      </c>
      <c r="AA3" s="804" t="str">
        <f>Sheet1!$E$27</f>
        <v>2016-17</v>
      </c>
      <c r="AB3" s="804" t="str">
        <f>Sheet1!$F$27</f>
        <v>2017-18</v>
      </c>
      <c r="AC3" s="804" t="str">
        <f>Sheet1!$G$27</f>
        <v>2018-19</v>
      </c>
      <c r="AD3" s="805" t="str">
        <f>Sheet1!$H$27</f>
        <v>2019-20</v>
      </c>
      <c r="AJ3" s="184"/>
      <c r="AK3" s="157"/>
    </row>
    <row r="4" spans="1:52" ht="11.25" customHeight="1" x14ac:dyDescent="0.2">
      <c r="A4" s="112"/>
      <c r="B4" s="113"/>
      <c r="C4" s="113"/>
      <c r="D4" s="113"/>
      <c r="E4" s="113"/>
      <c r="F4" s="113"/>
      <c r="G4" s="113"/>
      <c r="H4" s="113"/>
      <c r="I4" s="113"/>
      <c r="J4" s="114"/>
      <c r="K4" s="113"/>
      <c r="L4" s="113"/>
      <c r="M4" s="113"/>
      <c r="N4" s="113"/>
      <c r="O4" s="113"/>
      <c r="P4" s="113"/>
      <c r="Q4" s="113"/>
      <c r="R4" s="113"/>
      <c r="S4" s="113"/>
      <c r="T4" s="113"/>
      <c r="U4" s="113"/>
      <c r="V4" s="115"/>
      <c r="W4" s="137"/>
      <c r="X4" s="150"/>
      <c r="Z4" s="186" t="str">
        <f>Home!$D$10</f>
        <v>(none)</v>
      </c>
      <c r="AA4" s="42" t="str">
        <f>"Selected LA- "&amp;Z4</f>
        <v>Selected LA- (none)</v>
      </c>
      <c r="AJ4" s="184"/>
      <c r="AK4" s="157"/>
    </row>
    <row r="5" spans="1:52" s="76" customFormat="1" ht="15" customHeight="1" x14ac:dyDescent="0.2">
      <c r="A5" s="119"/>
      <c r="B5" s="1808" t="str">
        <f>"Children subject to Section 47 Enquiries which started in"&amp;Z1</f>
        <v>Children subject to Section 47 Enquiries which started in the year ending 31st March</v>
      </c>
      <c r="C5" s="1642"/>
      <c r="D5" s="1642"/>
      <c r="E5" s="1642"/>
      <c r="F5" s="1642"/>
      <c r="G5" s="1642"/>
      <c r="H5" s="1642"/>
      <c r="I5" s="1642"/>
      <c r="J5" s="1642"/>
      <c r="K5" s="1642"/>
      <c r="L5" s="1642"/>
      <c r="M5" s="1642"/>
      <c r="N5" s="1642"/>
      <c r="O5" s="906"/>
      <c r="P5" s="906"/>
      <c r="Q5" s="906"/>
      <c r="R5" s="70"/>
      <c r="S5" s="70"/>
      <c r="T5" s="70"/>
      <c r="U5" s="70"/>
      <c r="V5" s="120"/>
      <c r="W5" s="138"/>
      <c r="X5" s="151"/>
      <c r="Y5" s="81"/>
      <c r="Z5" s="188"/>
      <c r="AA5" s="188"/>
      <c r="AB5" s="188"/>
      <c r="AC5" s="188"/>
      <c r="AD5" s="188"/>
      <c r="AE5" s="188"/>
      <c r="AF5" s="188"/>
      <c r="AG5" s="188"/>
      <c r="AH5" s="188"/>
      <c r="AI5" s="188"/>
      <c r="AJ5" s="188"/>
      <c r="AK5" s="158"/>
      <c r="AL5" s="188" t="str">
        <f>CONCATENATE($I$7,"in Number of "&amp;$B2)</f>
        <v>Average Annual Change in Number of Section 47 Enquiries</v>
      </c>
      <c r="AQ5" s="74"/>
      <c r="AR5" s="74"/>
      <c r="AS5" s="74"/>
      <c r="AT5" s="74"/>
      <c r="AU5" s="74"/>
      <c r="AV5" s="74"/>
      <c r="AW5" s="74"/>
      <c r="AX5" s="74"/>
      <c r="AY5" s="74"/>
      <c r="AZ5" s="74"/>
    </row>
    <row r="6" spans="1:52" ht="13.5" customHeight="1" x14ac:dyDescent="0.2">
      <c r="A6" s="118"/>
      <c r="B6" s="1642"/>
      <c r="C6" s="1642"/>
      <c r="D6" s="1642"/>
      <c r="E6" s="1642"/>
      <c r="F6" s="1642"/>
      <c r="G6" s="1642"/>
      <c r="H6" s="1642"/>
      <c r="I6" s="1642"/>
      <c r="J6" s="1642"/>
      <c r="K6" s="1642"/>
      <c r="L6" s="1642"/>
      <c r="M6" s="1642"/>
      <c r="N6" s="1642"/>
      <c r="O6" s="906"/>
      <c r="P6" s="906"/>
      <c r="Q6" s="906"/>
      <c r="R6" s="70"/>
      <c r="S6" s="70"/>
      <c r="T6" s="70"/>
      <c r="U6" s="70"/>
      <c r="V6" s="117"/>
      <c r="W6" s="137"/>
      <c r="X6" s="150"/>
      <c r="Z6" s="190"/>
      <c r="AJ6" s="184"/>
      <c r="AK6" s="157"/>
    </row>
    <row r="7" spans="1:52" s="87" customFormat="1" ht="12.75" customHeight="1" x14ac:dyDescent="0.2">
      <c r="A7" s="121"/>
      <c r="B7" s="1789" t="s">
        <v>205</v>
      </c>
      <c r="C7" s="85"/>
      <c r="D7" s="1851" t="s">
        <v>88</v>
      </c>
      <c r="E7" s="1911"/>
      <c r="F7" s="1911"/>
      <c r="G7" s="1911"/>
      <c r="H7" s="1912"/>
      <c r="I7" s="1811" t="str">
        <f>"Average "&amp;Sheet1!C3&amp;" Change "</f>
        <v xml:space="preserve">Average Annual Change </v>
      </c>
      <c r="J7" s="96"/>
      <c r="K7" s="1913" t="s">
        <v>89</v>
      </c>
      <c r="L7" s="1914"/>
      <c r="M7" s="1914"/>
      <c r="N7" s="1914"/>
      <c r="O7" s="1914"/>
      <c r="P7" s="1914"/>
      <c r="Q7" s="1744" t="str">
        <f>IF(ISNA(O9),"SE Rank "&amp;O8,"SE Rank "&amp;O9)</f>
        <v>SE Rank 2019-20</v>
      </c>
      <c r="R7" s="70"/>
      <c r="S7" s="1817" t="str">
        <f>"Distance from Expected "&amp;Sheet1!$B$8</f>
        <v>Distance from Expected 2020</v>
      </c>
      <c r="T7" s="1818"/>
      <c r="U7" s="1819"/>
      <c r="V7" s="122"/>
      <c r="W7" s="139"/>
      <c r="X7" s="152"/>
      <c r="Y7" s="202"/>
      <c r="Z7" s="202"/>
      <c r="AB7" s="203" t="s">
        <v>79</v>
      </c>
      <c r="AC7" s="190"/>
      <c r="AD7" s="190"/>
      <c r="AE7" s="199"/>
      <c r="AF7" s="199"/>
      <c r="AG7" s="204" t="s">
        <v>94</v>
      </c>
      <c r="AH7" s="190"/>
      <c r="AI7" s="190"/>
      <c r="AJ7" s="202"/>
      <c r="AK7" s="160"/>
      <c r="AL7" s="575"/>
      <c r="AM7" s="575"/>
      <c r="AN7" s="575"/>
      <c r="AO7" s="575"/>
      <c r="AP7" s="575"/>
      <c r="AQ7" s="74"/>
      <c r="AR7" s="74"/>
      <c r="AS7" s="74"/>
      <c r="AT7" s="74"/>
      <c r="AU7" s="74"/>
      <c r="AV7" s="74"/>
      <c r="AW7" s="74"/>
      <c r="AX7" s="74"/>
      <c r="AY7" s="74"/>
      <c r="AZ7" s="74"/>
    </row>
    <row r="8" spans="1:52" s="87" customFormat="1" ht="12.75" customHeight="1" x14ac:dyDescent="0.2">
      <c r="A8" s="292"/>
      <c r="B8" s="1789"/>
      <c r="C8" s="85"/>
      <c r="D8" s="789" t="str">
        <f>Sheet1!$D$27</f>
        <v>2015-16</v>
      </c>
      <c r="E8" s="790" t="str">
        <f>Sheet1!$E$27</f>
        <v>2016-17</v>
      </c>
      <c r="F8" s="790" t="str">
        <f>Sheet1!$F$27</f>
        <v>2017-18</v>
      </c>
      <c r="G8" s="790" t="str">
        <f>Sheet1!$G$27</f>
        <v>2018-19</v>
      </c>
      <c r="H8" s="791" t="str">
        <f>Sheet1!$H$27</f>
        <v>2019-20</v>
      </c>
      <c r="I8" s="1812"/>
      <c r="J8" s="96"/>
      <c r="K8" s="820" t="str">
        <f>Sheet1!$D$27</f>
        <v>2015-16</v>
      </c>
      <c r="L8" s="821" t="str">
        <f>Sheet1!$E$27</f>
        <v>2016-17</v>
      </c>
      <c r="M8" s="821" t="str">
        <f>Sheet1!$F$27</f>
        <v>2017-18</v>
      </c>
      <c r="N8" s="821" t="str">
        <f>Sheet1!$G$27</f>
        <v>2018-19</v>
      </c>
      <c r="O8" s="1741" t="str">
        <f>Sheet1!$H$27</f>
        <v>2019-20</v>
      </c>
      <c r="P8" s="1742"/>
      <c r="Q8" s="1816"/>
      <c r="R8" s="70"/>
      <c r="S8" s="1820"/>
      <c r="T8" s="1821"/>
      <c r="U8" s="1822"/>
      <c r="V8" s="122"/>
      <c r="W8" s="139"/>
      <c r="X8" s="152"/>
      <c r="Y8" s="202"/>
      <c r="Z8" s="1735" t="s">
        <v>76</v>
      </c>
      <c r="AA8" s="1735" t="s">
        <v>77</v>
      </c>
      <c r="AB8" s="758" t="str">
        <f>Sheet1!$D$27</f>
        <v>2015-16</v>
      </c>
      <c r="AC8" s="758" t="str">
        <f>Sheet1!$E$27</f>
        <v>2016-17</v>
      </c>
      <c r="AD8" s="758" t="str">
        <f>Sheet1!$F$27</f>
        <v>2017-18</v>
      </c>
      <c r="AE8" s="758" t="str">
        <f>Sheet1!$G$27</f>
        <v>2018-19</v>
      </c>
      <c r="AF8" s="758" t="str">
        <f>Sheet1!$H$27</f>
        <v>2019-20</v>
      </c>
      <c r="AG8" s="204"/>
      <c r="AH8" s="190"/>
      <c r="AI8" s="190"/>
      <c r="AJ8" s="202"/>
      <c r="AK8" s="160"/>
      <c r="AL8" s="908"/>
      <c r="AM8" s="908"/>
      <c r="AN8" s="908"/>
      <c r="AO8" s="908"/>
      <c r="AP8" s="908"/>
      <c r="AQ8" s="74"/>
      <c r="AR8" s="74"/>
      <c r="AS8" s="74"/>
      <c r="AT8" s="74"/>
      <c r="AU8" s="74"/>
      <c r="AV8" s="74"/>
      <c r="AW8" s="74"/>
      <c r="AX8" s="74"/>
      <c r="AY8" s="74"/>
      <c r="AZ8" s="74"/>
    </row>
    <row r="9" spans="1:52" s="87" customFormat="1" ht="12.75" customHeight="1" x14ac:dyDescent="0.2">
      <c r="A9" s="121"/>
      <c r="B9" s="1790"/>
      <c r="C9" s="85"/>
      <c r="D9" s="792" t="e">
        <f>Sheet1!$D$28</f>
        <v>#N/A</v>
      </c>
      <c r="E9" s="792" t="e">
        <f>Sheet1!$E$28</f>
        <v>#N/A</v>
      </c>
      <c r="F9" s="792" t="e">
        <f>Sheet1!$F$28</f>
        <v>#N/A</v>
      </c>
      <c r="G9" s="792" t="e">
        <f>Sheet1!$G$28</f>
        <v>#N/A</v>
      </c>
      <c r="H9" s="793" t="e">
        <f>Sheet1!$H$28</f>
        <v>#N/A</v>
      </c>
      <c r="I9" s="1813"/>
      <c r="J9" s="96"/>
      <c r="K9" s="792" t="e">
        <f>Sheet1!$D$28</f>
        <v>#N/A</v>
      </c>
      <c r="L9" s="792" t="e">
        <f>Sheet1!$E$28</f>
        <v>#N/A</v>
      </c>
      <c r="M9" s="792" t="e">
        <f>Sheet1!$F$28</f>
        <v>#N/A</v>
      </c>
      <c r="N9" s="792" t="e">
        <f>Sheet1!$G$28</f>
        <v>#N/A</v>
      </c>
      <c r="O9" s="1739" t="e">
        <f>Sheet1!$H$28</f>
        <v>#N/A</v>
      </c>
      <c r="P9" s="1827"/>
      <c r="Q9" s="1745"/>
      <c r="R9" s="70"/>
      <c r="S9" s="904" t="s">
        <v>78</v>
      </c>
      <c r="T9" s="856" t="s">
        <v>128</v>
      </c>
      <c r="U9" s="857" t="s">
        <v>129</v>
      </c>
      <c r="V9" s="122"/>
      <c r="W9" s="139"/>
      <c r="X9" s="152"/>
      <c r="Y9" s="202"/>
      <c r="Z9" s="1736"/>
      <c r="AA9" s="1736"/>
      <c r="AB9" s="758" t="e">
        <f>Sheet1!$D$28</f>
        <v>#N/A</v>
      </c>
      <c r="AC9" s="758" t="e">
        <f>Sheet1!$E$28</f>
        <v>#N/A</v>
      </c>
      <c r="AD9" s="758" t="e">
        <f>Sheet1!$F$28</f>
        <v>#N/A</v>
      </c>
      <c r="AE9" s="758" t="e">
        <f>Sheet1!$G$28</f>
        <v>#N/A</v>
      </c>
      <c r="AF9" s="758" t="e">
        <f>Sheet1!$H$28</f>
        <v>#N/A</v>
      </c>
      <c r="AG9" s="190"/>
      <c r="AH9" s="190">
        <f>COLUMNS($B$4:O$4)</f>
        <v>14</v>
      </c>
      <c r="AI9" s="190"/>
      <c r="AJ9" s="202"/>
      <c r="AK9" s="160"/>
      <c r="AL9" s="911" t="s">
        <v>676</v>
      </c>
      <c r="AM9" s="911" t="s">
        <v>677</v>
      </c>
      <c r="AN9" s="911" t="s">
        <v>678</v>
      </c>
      <c r="AO9" s="911" t="s">
        <v>679</v>
      </c>
      <c r="AP9" s="911" t="s">
        <v>680</v>
      </c>
      <c r="AQ9" s="74"/>
      <c r="AR9" s="74"/>
      <c r="AS9" s="74"/>
      <c r="AT9" s="74"/>
      <c r="AU9" s="74"/>
      <c r="AV9" s="74"/>
      <c r="AW9" s="74"/>
      <c r="AX9" s="74"/>
      <c r="AY9" s="74"/>
      <c r="AZ9" s="74"/>
    </row>
    <row r="10" spans="1:52" s="87" customFormat="1" ht="13.5" customHeight="1" x14ac:dyDescent="0.2">
      <c r="A10" s="488">
        <f>VLOOKUP(B10,Sheet1!$AQ$4:$AR$25,2,FALSE)</f>
        <v>0</v>
      </c>
      <c r="B10" s="93" t="str">
        <f>Sheet1!$K$4</f>
        <v>Bracknell Forest</v>
      </c>
      <c r="C10" s="85"/>
      <c r="D10" s="94">
        <f>IF(Year1_Bracknell_Forest Year1_CIN_Section47="","",Year1_Bracknell_Forest Year1_CIN_Section47)</f>
        <v>394</v>
      </c>
      <c r="E10" s="94">
        <f>IF(Year2_Bracknell_Forest Year2_CIN_Section47="","",Year2_Bracknell_Forest Year2_CIN_Section47)</f>
        <v>560</v>
      </c>
      <c r="F10" s="94">
        <f>IF(Year3_Bracknell_Forest Year3_CIN_Section47="","",Year3_Bracknell_Forest Year3_CIN_Section47)</f>
        <v>632</v>
      </c>
      <c r="G10" s="94">
        <f>IF(Year4_Bracknell_Forest Year4_CIN_Section47="","",Year4_Bracknell_Forest Year4_CIN_Section47)</f>
        <v>702</v>
      </c>
      <c r="H10" s="95">
        <f>IF(Year5_Bracknell_Forest Year5_CIN_Section47="","",Year5_Bracknell_Forest Year5_CIN_Section47)</f>
        <v>818</v>
      </c>
      <c r="I10" s="344">
        <f>AP10</f>
        <v>0.20647322110969868</v>
      </c>
      <c r="J10" s="96"/>
      <c r="K10" s="97">
        <f>IF(ISNUMBER(D10),D10/Population!D10*10000,NA())</f>
        <v>139.71631205673759</v>
      </c>
      <c r="L10" s="97">
        <f>IF(ISNUMBER(E10),E10/Population!E10*10000,NA())</f>
        <v>198.58156028368796</v>
      </c>
      <c r="M10" s="97">
        <f>IF(ISNUMBER(F10),F10/Population!F10*10000,NA())</f>
        <v>224.91103202846975</v>
      </c>
      <c r="N10" s="97">
        <f>IF(ISNUMBER(G10),G10/Population!G10*10000,NA())</f>
        <v>248.0565371024735</v>
      </c>
      <c r="O10" s="98">
        <f>IF(ISNUMBER(H10),H10/Population!H10*10000,NA())</f>
        <v>288.02816901408448</v>
      </c>
      <c r="P10" s="99">
        <f>IF(ISNUMBER(O10),O10,"")</f>
        <v>288.02816901408448</v>
      </c>
      <c r="Q10" s="822">
        <f t="shared" ref="Q10:Q33" si="0">IF(ISNA(VLOOKUP(B10,$AG$10:$AI$28,3,FALSE)),"--",IF(ISNUMBER(H10),VLOOKUP(B10,$AG$10:$AI$28,3,FALSE),NA()))</f>
        <v>16</v>
      </c>
      <c r="R10" s="70"/>
      <c r="S10" s="340">
        <f>IDACI!C9</f>
        <v>8.9</v>
      </c>
      <c r="T10" s="341">
        <f t="shared" ref="T10:T33" si="1">((S10*$Z$44)+$AA$44)/$Y$2</f>
        <v>118.43244115565925</v>
      </c>
      <c r="U10" s="342">
        <f>O10-T10</f>
        <v>169.59572785842522</v>
      </c>
      <c r="V10" s="122"/>
      <c r="W10" s="139"/>
      <c r="X10" s="152"/>
      <c r="Y10" s="72" t="str">
        <f t="shared" ref="Y10:Y33" si="2">B10</f>
        <v>Bracknell Forest</v>
      </c>
      <c r="Z10" s="44">
        <f>IF(ISNUMBER($H10),IDACI!D9,0)</f>
        <v>24849</v>
      </c>
      <c r="AA10" s="44">
        <f>IF(ISNUMBER($H10),IDACI!E9,0)</f>
        <v>2211.5610000000001</v>
      </c>
      <c r="AB10" s="205">
        <f>IF(ISNUMBER(D10),Population!D10,"")</f>
        <v>28200</v>
      </c>
      <c r="AC10" s="205">
        <f>IF(ISNUMBER(E10),Population!E10,"")</f>
        <v>28200</v>
      </c>
      <c r="AD10" s="205">
        <f>IF(ISNUMBER(F10),Population!F10,"")</f>
        <v>28100</v>
      </c>
      <c r="AE10" s="205">
        <f>IF(ISNUMBER(G10),Population!G10,"")</f>
        <v>28300</v>
      </c>
      <c r="AF10" s="205">
        <f>IF(ISNUMBER(H10),Population!H10,"")</f>
        <v>28400</v>
      </c>
      <c r="AG10" s="93" t="str">
        <f>B10</f>
        <v>Bracknell Forest</v>
      </c>
      <c r="AH10" s="231">
        <f>IFERROR(VLOOKUP(AG10,$B$10:$O$31,$AH$9,FALSE),"")</f>
        <v>288.02816901408448</v>
      </c>
      <c r="AI10" s="206">
        <f>RANK(AH10,$AH$10:$AH$28,1)</f>
        <v>16</v>
      </c>
      <c r="AJ10" s="202"/>
      <c r="AK10" s="160"/>
      <c r="AL10" s="853">
        <f>IF(ISERROR((E10-D10)/D10),"x",(E10-D10)/D10)</f>
        <v>0.42131979695431471</v>
      </c>
      <c r="AM10" s="853">
        <f>IF(ISERROR((F10-E10)/E10),"x",(F10-E10)/E10)</f>
        <v>0.12857142857142856</v>
      </c>
      <c r="AN10" s="853">
        <f>IF(ISERROR((G10-F10)/F10),"x",(G10-F10)/F10)</f>
        <v>0.11075949367088607</v>
      </c>
      <c r="AO10" s="853">
        <f>IF(ISERROR((H10-G10)/G10),"x",(H10-G10)/G10)</f>
        <v>0.16524216524216523</v>
      </c>
      <c r="AP10" s="853">
        <f>AVERAGE(AL10:AO10)</f>
        <v>0.20647322110969868</v>
      </c>
      <c r="AQ10" s="74"/>
      <c r="AR10" s="74"/>
      <c r="AS10" s="74"/>
      <c r="AT10" s="74"/>
      <c r="AU10" s="74"/>
      <c r="AV10" s="74"/>
      <c r="AW10" s="74"/>
      <c r="AX10" s="74"/>
      <c r="AY10" s="74"/>
      <c r="AZ10" s="74"/>
    </row>
    <row r="11" spans="1:52" s="87" customFormat="1" ht="13.5" customHeight="1" x14ac:dyDescent="0.2">
      <c r="A11" s="488">
        <f>VLOOKUP(B11,Sheet1!$AQ$4:$AR$25,2,FALSE)</f>
        <v>0</v>
      </c>
      <c r="B11" s="93" t="str">
        <f>Sheet1!$K$5</f>
        <v>Brighton &amp; Hove</v>
      </c>
      <c r="C11" s="85"/>
      <c r="D11" s="94">
        <f>IF(Year1_Brighton_Hove Year1_CIN_Section47="","",Year1_Brighton_Hove Year1_CIN_Section47)</f>
        <v>1143</v>
      </c>
      <c r="E11" s="94">
        <f>IF(Year2_Brighton_Hove Year2_CIN_Section47="","",Year2_Brighton_Hove Year2_CIN_Section47)</f>
        <v>863</v>
      </c>
      <c r="F11" s="94">
        <f>IF(Year3_Brighton_Hove Year3_CIN_Section47="","",Year3_Brighton_Hove Year3_CIN_Section47)</f>
        <v>879</v>
      </c>
      <c r="G11" s="94">
        <f>IF(Year4_Brighton_Hove Year4_CIN_Section47="","",Year4_Brighton_Hove Year4_CIN_Section47)</f>
        <v>778</v>
      </c>
      <c r="H11" s="95">
        <f>IF(Year5_Brighton_Hove Year5_CIN_Section47="","",Year5_Brighton_Hove Year5_CIN_Section47)</f>
        <v>844</v>
      </c>
      <c r="I11" s="344">
        <f t="shared" ref="I11:I33" si="3">AP11</f>
        <v>-6.4124949080484828E-2</v>
      </c>
      <c r="J11" s="96"/>
      <c r="K11" s="97">
        <f>IF(ISNUMBER(D11),D11/Population!D11*10000,NA())</f>
        <v>223.2421875</v>
      </c>
      <c r="L11" s="97">
        <f>IF(ISNUMBER(E11),E11/Population!E11*10000,NA())</f>
        <v>168.22612085769981</v>
      </c>
      <c r="M11" s="97">
        <f>IF(ISNUMBER(F11),F11/Population!F11*10000,NA())</f>
        <v>172.35294117647061</v>
      </c>
      <c r="N11" s="97">
        <f>IF(ISNUMBER(G11),G11/Population!G11*10000,NA())</f>
        <v>152.54901960784315</v>
      </c>
      <c r="O11" s="98">
        <f>IF(ISNUMBER(H11),H11/Population!H11*10000,NA())</f>
        <v>167.79324055666004</v>
      </c>
      <c r="P11" s="99">
        <f t="shared" ref="P11:P33" si="4">IF(ISNUMBER(O11),O11,"")</f>
        <v>167.79324055666004</v>
      </c>
      <c r="Q11" s="822">
        <f t="shared" si="0"/>
        <v>7</v>
      </c>
      <c r="R11" s="70"/>
      <c r="S11" s="340">
        <f>IDACI!C10</f>
        <v>15.299999999999999</v>
      </c>
      <c r="T11" s="341">
        <f t="shared" si="1"/>
        <v>166.06587220984025</v>
      </c>
      <c r="U11" s="342">
        <f t="shared" ref="U11:U33" si="5">O11-T11</f>
        <v>1.7273683468197873</v>
      </c>
      <c r="V11" s="122"/>
      <c r="W11" s="139"/>
      <c r="X11" s="152"/>
      <c r="Y11" s="72" t="str">
        <f t="shared" si="2"/>
        <v>Brighton &amp; Hove</v>
      </c>
      <c r="Z11" s="44">
        <f>IF(ISNUMBER($H11),IDACI!D10,0)</f>
        <v>45576</v>
      </c>
      <c r="AA11" s="44">
        <f>IF(ISNUMBER($H11),IDACI!E10,0)</f>
        <v>6973.1279999999997</v>
      </c>
      <c r="AB11" s="205">
        <f>IF(ISNUMBER(D11),Population!D11,"")</f>
        <v>51200</v>
      </c>
      <c r="AC11" s="205">
        <f>IF(ISNUMBER(E11),Population!E11,"")</f>
        <v>51300</v>
      </c>
      <c r="AD11" s="205">
        <f>IF(ISNUMBER(F11),Population!F11,"")</f>
        <v>51000</v>
      </c>
      <c r="AE11" s="205">
        <f>IF(ISNUMBER(G11),Population!G11,"")</f>
        <v>51000</v>
      </c>
      <c r="AF11" s="205">
        <f>IF(ISNUMBER(H11),Population!H11,"")</f>
        <v>50300</v>
      </c>
      <c r="AG11" s="93" t="s">
        <v>31</v>
      </c>
      <c r="AH11" s="231">
        <f t="shared" ref="AH11:AH28" si="6">IFERROR(VLOOKUP(AG11,$B$10:$O$31,$AH$9,FALSE),"")</f>
        <v>167.79324055666004</v>
      </c>
      <c r="AI11" s="206">
        <f t="shared" ref="AI11:AI28" si="7">RANK(AH11,$AH$10:$AH$28,1)</f>
        <v>7</v>
      </c>
      <c r="AJ11" s="202"/>
      <c r="AK11" s="160"/>
      <c r="AL11" s="853">
        <f t="shared" ref="AL11:AO33" si="8">IF(ISERROR((E11-D11)/D11),"x",(E11-D11)/D11)</f>
        <v>-0.24496937882764655</v>
      </c>
      <c r="AM11" s="853">
        <f t="shared" si="8"/>
        <v>1.8539976825028968E-2</v>
      </c>
      <c r="AN11" s="853">
        <f t="shared" si="8"/>
        <v>-0.11490329920364049</v>
      </c>
      <c r="AO11" s="853">
        <f t="shared" si="8"/>
        <v>8.4832904884318772E-2</v>
      </c>
      <c r="AP11" s="853">
        <f t="shared" ref="AP11:AP31" si="9">AVERAGE(AL11:AO11)</f>
        <v>-6.4124949080484828E-2</v>
      </c>
      <c r="AQ11" s="74"/>
      <c r="AR11" s="74"/>
      <c r="AS11" s="74"/>
      <c r="AT11" s="74"/>
      <c r="AU11" s="74"/>
      <c r="AV11" s="74"/>
      <c r="AW11" s="74"/>
      <c r="AX11" s="74"/>
      <c r="AY11" s="74"/>
      <c r="AZ11" s="74"/>
    </row>
    <row r="12" spans="1:52" s="87" customFormat="1" ht="13.5" customHeight="1" x14ac:dyDescent="0.2">
      <c r="A12" s="488">
        <f>VLOOKUP(B12,Sheet1!$AQ$4:$AR$25,2,FALSE)</f>
        <v>0</v>
      </c>
      <c r="B12" s="93" t="str">
        <f>Sheet1!$K$6</f>
        <v>Buckinghamshire</v>
      </c>
      <c r="C12" s="85"/>
      <c r="D12" s="94">
        <f>IF(Year1_Buckinghamshire Year1_CIN_Section47="","",Year1_Buckinghamshire Year1_CIN_Section47)</f>
        <v>1924</v>
      </c>
      <c r="E12" s="94">
        <f>IF(Year2_Buckinghamshire Year2_CIN_Section47="","",Year2_Buckinghamshire Year2_CIN_Section47)</f>
        <v>2576</v>
      </c>
      <c r="F12" s="94">
        <f>IF(Year3_Buckinghamshire Year3_CIN_Section47="","",Year3_Buckinghamshire Year3_CIN_Section47)</f>
        <v>2472</v>
      </c>
      <c r="G12" s="94">
        <f>IF(Year4_Buckinghamshire Year4_CIN_Section47="","",Year4_Buckinghamshire Year4_CIN_Section47)</f>
        <v>2174</v>
      </c>
      <c r="H12" s="95">
        <f>IF(Year5_Buckinghamshire Year5_CIN_Section47="","",Year5_Buckinghamshire Year5_CIN_Section47)</f>
        <v>2414</v>
      </c>
      <c r="I12" s="344">
        <f t="shared" si="3"/>
        <v>7.2087522608555166E-2</v>
      </c>
      <c r="J12" s="96"/>
      <c r="K12" s="97">
        <f>IF(ISNUMBER(D12),D12/Population!D12*10000,NA())</f>
        <v>159.53565505804312</v>
      </c>
      <c r="L12" s="97">
        <f>IF(ISNUMBER(E12),E12/Population!E12*10000,NA())</f>
        <v>210.80196399345337</v>
      </c>
      <c r="M12" s="97">
        <f>IF(ISNUMBER(F12),F12/Population!F12*10000,NA())</f>
        <v>200.81234768480911</v>
      </c>
      <c r="N12" s="97">
        <f>IF(ISNUMBER(G12),G12/Population!G12*10000,NA())</f>
        <v>174.89943684633951</v>
      </c>
      <c r="O12" s="98">
        <f>IF(ISNUMBER(H12),H12/Population!H12*10000,NA())</f>
        <v>192.04455051710423</v>
      </c>
      <c r="P12" s="99">
        <f t="shared" si="4"/>
        <v>192.04455051710423</v>
      </c>
      <c r="Q12" s="822">
        <f t="shared" si="0"/>
        <v>11</v>
      </c>
      <c r="R12" s="70"/>
      <c r="S12" s="340">
        <f>IDACI!C11</f>
        <v>8.5</v>
      </c>
      <c r="T12" s="341">
        <f t="shared" si="1"/>
        <v>115.45535171477295</v>
      </c>
      <c r="U12" s="342">
        <f t="shared" si="5"/>
        <v>76.589198802331282</v>
      </c>
      <c r="V12" s="122"/>
      <c r="W12" s="139"/>
      <c r="X12" s="152"/>
      <c r="Y12" s="72" t="str">
        <f t="shared" si="2"/>
        <v>Buckinghamshire</v>
      </c>
      <c r="Z12" s="44">
        <f>IF(ISNUMBER($H12),IDACI!D11,0)</f>
        <v>107385</v>
      </c>
      <c r="AA12" s="44">
        <f>IF(ISNUMBER($H12),IDACI!E11,0)</f>
        <v>9127.7250000000004</v>
      </c>
      <c r="AB12" s="205">
        <f>IF(ISNUMBER(D12),Population!D12,"")</f>
        <v>120600</v>
      </c>
      <c r="AC12" s="205">
        <f>IF(ISNUMBER(E12),Population!E12,"")</f>
        <v>122200</v>
      </c>
      <c r="AD12" s="205">
        <f>IF(ISNUMBER(F12),Population!F12,"")</f>
        <v>123100</v>
      </c>
      <c r="AE12" s="205">
        <f>IF(ISNUMBER(G12),Population!G12,"")</f>
        <v>124300</v>
      </c>
      <c r="AF12" s="205">
        <f>IF(ISNUMBER(H12),Population!H12,"")</f>
        <v>125700</v>
      </c>
      <c r="AG12" s="93" t="s">
        <v>8</v>
      </c>
      <c r="AH12" s="231">
        <f t="shared" si="6"/>
        <v>192.04455051710423</v>
      </c>
      <c r="AI12" s="206">
        <f t="shared" si="7"/>
        <v>11</v>
      </c>
      <c r="AJ12" s="202"/>
      <c r="AK12" s="160"/>
      <c r="AL12" s="853">
        <f t="shared" si="8"/>
        <v>0.3388773388773389</v>
      </c>
      <c r="AM12" s="853">
        <f t="shared" si="8"/>
        <v>-4.0372670807453416E-2</v>
      </c>
      <c r="AN12" s="853">
        <f t="shared" si="8"/>
        <v>-0.12055016181229773</v>
      </c>
      <c r="AO12" s="853">
        <f t="shared" si="8"/>
        <v>0.11039558417663294</v>
      </c>
      <c r="AP12" s="853">
        <f t="shared" si="9"/>
        <v>7.2087522608555166E-2</v>
      </c>
      <c r="AQ12" s="74"/>
      <c r="AR12" s="74"/>
      <c r="AS12" s="74"/>
      <c r="AT12" s="74"/>
      <c r="AU12" s="74"/>
      <c r="AV12" s="74"/>
      <c r="AW12" s="74"/>
      <c r="AX12" s="74"/>
      <c r="AY12" s="74"/>
      <c r="AZ12" s="74"/>
    </row>
    <row r="13" spans="1:52" s="87" customFormat="1" ht="13.5" customHeight="1" x14ac:dyDescent="0.2">
      <c r="A13" s="488">
        <f>VLOOKUP(B13,Sheet1!$AQ$4:$AR$25,2,FALSE)</f>
        <v>0</v>
      </c>
      <c r="B13" s="93" t="str">
        <f>Sheet1!$K$7</f>
        <v>East Sussex</v>
      </c>
      <c r="C13" s="85"/>
      <c r="D13" s="94">
        <f>IF(Year1_East_Sussex Year1_CIN_Section47="","",Year1_East_Sussex Year1_CIN_Section47)</f>
        <v>868</v>
      </c>
      <c r="E13" s="100">
        <f>IF(Year2_East_Sussex Year2_CIN_Section47="","",Year2_East_Sussex Year2_CIN_Section47)</f>
        <v>1127</v>
      </c>
      <c r="F13" s="94">
        <f>IF(Year3_East_Sussex Year3_CIN_Section47="","",Year3_East_Sussex Year3_CIN_Section47)</f>
        <v>1334</v>
      </c>
      <c r="G13" s="94">
        <f>IF(Year4_East_Sussex Year4_CIN_Section47="","",Year4_East_Sussex Year4_CIN_Section47)</f>
        <v>1329</v>
      </c>
      <c r="H13" s="95">
        <f>IF(Year5_East_Sussex Year5_CIN_Section47="","",Year5_East_Sussex Year5_CIN_Section47)</f>
        <v>1331</v>
      </c>
      <c r="I13" s="344">
        <f t="shared" si="3"/>
        <v>0.11995433278008182</v>
      </c>
      <c r="J13" s="96"/>
      <c r="K13" s="97">
        <f>IF(ISNUMBER(D13),D13/Population!D13*10000,NA())</f>
        <v>81.964117091595838</v>
      </c>
      <c r="L13" s="97">
        <f>IF(ISNUMBER(E13),E13/Population!E13*10000,NA())</f>
        <v>106.42115203021719</v>
      </c>
      <c r="M13" s="97">
        <f>IF(ISNUMBER(F13),F13/Population!F13*10000,NA())</f>
        <v>125.84905660377359</v>
      </c>
      <c r="N13" s="97">
        <f>IF(ISNUMBER(G13),G13/Population!G13*10000,NA())</f>
        <v>124.90601503759399</v>
      </c>
      <c r="O13" s="98">
        <f>IF(ISNUMBER(H13),H13/Population!H13*10000,NA())</f>
        <v>125.21166509877705</v>
      </c>
      <c r="P13" s="99">
        <f t="shared" si="4"/>
        <v>125.21166509877705</v>
      </c>
      <c r="Q13" s="822">
        <f t="shared" si="0"/>
        <v>3</v>
      </c>
      <c r="R13" s="70"/>
      <c r="S13" s="340">
        <f>IDACI!C12</f>
        <v>16.100000000000001</v>
      </c>
      <c r="T13" s="341">
        <f t="shared" si="1"/>
        <v>172.02005109161288</v>
      </c>
      <c r="U13" s="342">
        <f t="shared" si="5"/>
        <v>-46.808385992835838</v>
      </c>
      <c r="V13" s="122"/>
      <c r="W13" s="139"/>
      <c r="X13" s="152"/>
      <c r="Y13" s="72" t="str">
        <f t="shared" si="2"/>
        <v>East Sussex</v>
      </c>
      <c r="Z13" s="44">
        <f>IF(ISNUMBER($H13),IDACI!D12,0)</f>
        <v>93130</v>
      </c>
      <c r="AA13" s="44">
        <f>IF(ISNUMBER($H13),IDACI!E12,0)</f>
        <v>14993.93</v>
      </c>
      <c r="AB13" s="205">
        <f>IF(ISNUMBER(D13),Population!D13,"")</f>
        <v>105900</v>
      </c>
      <c r="AC13" s="205">
        <f>IF(ISNUMBER(E13),Population!E13,"")</f>
        <v>105900</v>
      </c>
      <c r="AD13" s="205">
        <f>IF(ISNUMBER(F13),Population!F13,"")</f>
        <v>106000</v>
      </c>
      <c r="AE13" s="205">
        <f>IF(ISNUMBER(G13),Population!G13,"")</f>
        <v>106400</v>
      </c>
      <c r="AF13" s="205">
        <f>IF(ISNUMBER(H13),Population!H13,"")</f>
        <v>106300</v>
      </c>
      <c r="AG13" s="93" t="s">
        <v>4</v>
      </c>
      <c r="AH13" s="231">
        <f t="shared" si="6"/>
        <v>125.21166509877705</v>
      </c>
      <c r="AI13" s="206">
        <f t="shared" si="7"/>
        <v>3</v>
      </c>
      <c r="AJ13" s="202"/>
      <c r="AK13" s="160"/>
      <c r="AL13" s="853">
        <f t="shared" si="8"/>
        <v>0.29838709677419356</v>
      </c>
      <c r="AM13" s="853">
        <f t="shared" si="8"/>
        <v>0.18367346938775511</v>
      </c>
      <c r="AN13" s="853">
        <f t="shared" si="8"/>
        <v>-3.7481259370314842E-3</v>
      </c>
      <c r="AO13" s="853">
        <f t="shared" si="8"/>
        <v>1.5048908954100827E-3</v>
      </c>
      <c r="AP13" s="853">
        <f t="shared" si="9"/>
        <v>0.11995433278008182</v>
      </c>
      <c r="AQ13" s="74"/>
      <c r="AR13" s="74"/>
      <c r="AS13" s="74"/>
      <c r="AT13" s="74"/>
      <c r="AU13" s="74"/>
      <c r="AV13" s="74"/>
      <c r="AW13" s="74"/>
      <c r="AX13" s="74"/>
      <c r="AY13" s="74"/>
      <c r="AZ13" s="74"/>
    </row>
    <row r="14" spans="1:52" s="87" customFormat="1" ht="13.5" customHeight="1" x14ac:dyDescent="0.2">
      <c r="A14" s="488">
        <f>VLOOKUP(B14,Sheet1!$AQ$4:$AR$25,2,FALSE)</f>
        <v>0</v>
      </c>
      <c r="B14" s="93" t="str">
        <f>Sheet1!$K$8</f>
        <v>Hampshire</v>
      </c>
      <c r="C14" s="85"/>
      <c r="D14" s="94">
        <f>IF(Year1_Hampshire Year1_CIN_Section47="","",Year1_Hampshire Year1_CIN_Section47)</f>
        <v>4182</v>
      </c>
      <c r="E14" s="94">
        <f>IF(Year2_Hampshire Year2_CIN_Section47="","",Year2_Hampshire Year2_CIN_Section47)</f>
        <v>4211</v>
      </c>
      <c r="F14" s="101">
        <f>IF(Year3_Hampshire Year3_CIN_Section47="","",Year3_Hampshire Year3_CIN_Section47)</f>
        <v>3844</v>
      </c>
      <c r="G14" s="101">
        <f>IF(Year4_Hampshire Year4_CIN_Section47="","",Year4_Hampshire Year4_CIN_Section47)</f>
        <v>4317</v>
      </c>
      <c r="H14" s="95">
        <f>IF(Year5_Hampshire Year5_CIN_Section47="","",Year5_Hampshire Year5_CIN_Section47)</f>
        <v>5035</v>
      </c>
      <c r="I14" s="344">
        <f t="shared" si="3"/>
        <v>5.2287474081553473E-2</v>
      </c>
      <c r="J14" s="96"/>
      <c r="K14" s="97">
        <f>IF(ISNUMBER(D14),D14/Population!D14*10000,NA())</f>
        <v>148.35047889322453</v>
      </c>
      <c r="L14" s="97">
        <f>IF(ISNUMBER(E14),E14/Population!E14*10000,NA())</f>
        <v>148.90381895332391</v>
      </c>
      <c r="M14" s="97">
        <f>IF(ISNUMBER(F14),F14/Population!F14*10000,NA())</f>
        <v>135.68655135898342</v>
      </c>
      <c r="N14" s="97">
        <f>IF(ISNUMBER(G14),G14/Population!G14*10000,NA())</f>
        <v>152.00704225352112</v>
      </c>
      <c r="O14" s="98">
        <f>IF(ISNUMBER(H14),H14/Population!H14*10000,NA())</f>
        <v>177.10165318325713</v>
      </c>
      <c r="P14" s="99">
        <f t="shared" si="4"/>
        <v>177.10165318325713</v>
      </c>
      <c r="Q14" s="822">
        <f t="shared" si="0"/>
        <v>10</v>
      </c>
      <c r="R14" s="70"/>
      <c r="S14" s="340">
        <f>IDACI!C13</f>
        <v>10.100000000000001</v>
      </c>
      <c r="T14" s="341">
        <f t="shared" si="1"/>
        <v>127.3637094783182</v>
      </c>
      <c r="U14" s="342">
        <f t="shared" si="5"/>
        <v>49.737943704938928</v>
      </c>
      <c r="V14" s="122"/>
      <c r="W14" s="139"/>
      <c r="X14" s="152"/>
      <c r="Y14" s="72" t="str">
        <f t="shared" si="2"/>
        <v>Hampshire</v>
      </c>
      <c r="Z14" s="44">
        <f>IF(ISNUMBER($H14),IDACI!D13,0)</f>
        <v>249483</v>
      </c>
      <c r="AA14" s="44">
        <f>IF(ISNUMBER($H14),IDACI!E13,0)</f>
        <v>25197.783000000007</v>
      </c>
      <c r="AB14" s="205">
        <f>IF(ISNUMBER(D14),Population!D14,"")</f>
        <v>281900</v>
      </c>
      <c r="AC14" s="205">
        <f>IF(ISNUMBER(E14),Population!E14,"")</f>
        <v>282800</v>
      </c>
      <c r="AD14" s="205">
        <f>IF(ISNUMBER(F14),Population!F14,"")</f>
        <v>283300</v>
      </c>
      <c r="AE14" s="205">
        <f>IF(ISNUMBER(G14),Population!G14,"")</f>
        <v>284000</v>
      </c>
      <c r="AF14" s="205">
        <f>IF(ISNUMBER(H14),Population!H14,"")</f>
        <v>284300</v>
      </c>
      <c r="AG14" s="93" t="s">
        <v>6</v>
      </c>
      <c r="AH14" s="231">
        <f t="shared" si="6"/>
        <v>177.10165318325713</v>
      </c>
      <c r="AI14" s="206">
        <f t="shared" si="7"/>
        <v>10</v>
      </c>
      <c r="AJ14" s="202"/>
      <c r="AK14" s="160"/>
      <c r="AL14" s="853">
        <f t="shared" si="8"/>
        <v>6.9344811095169772E-3</v>
      </c>
      <c r="AM14" s="853">
        <f t="shared" si="8"/>
        <v>-8.7152695321776302E-2</v>
      </c>
      <c r="AN14" s="853">
        <f t="shared" si="8"/>
        <v>0.12304890738813735</v>
      </c>
      <c r="AO14" s="853">
        <f t="shared" si="8"/>
        <v>0.16631920315033588</v>
      </c>
      <c r="AP14" s="853">
        <f t="shared" si="9"/>
        <v>5.2287474081553473E-2</v>
      </c>
      <c r="AQ14" s="74"/>
      <c r="AR14" s="74"/>
      <c r="AS14" s="74"/>
      <c r="AT14" s="74"/>
      <c r="AU14" s="74"/>
      <c r="AV14" s="74"/>
      <c r="AW14" s="74"/>
      <c r="AX14" s="74"/>
      <c r="AY14" s="74"/>
      <c r="AZ14" s="74"/>
    </row>
    <row r="15" spans="1:52" s="87" customFormat="1" ht="13.5" customHeight="1" x14ac:dyDescent="0.2">
      <c r="A15" s="488">
        <f>VLOOKUP(B15,Sheet1!$AQ$4:$AR$25,2,FALSE)</f>
        <v>0</v>
      </c>
      <c r="B15" s="93" t="str">
        <f>Sheet1!$K$9</f>
        <v>Isle of Wight</v>
      </c>
      <c r="C15" s="85"/>
      <c r="D15" s="94">
        <f>IF(Year1_Isle_of_Wight Year1_CIN_Section47="","",Year1_Isle_of_Wight Year1_CIN_Section47)</f>
        <v>676</v>
      </c>
      <c r="E15" s="94">
        <f>IF(Year2_Isle_of_Wight Year2_CIN_Section47="","",Year2_Isle_of_Wight Year2_CIN_Section47)</f>
        <v>549</v>
      </c>
      <c r="F15" s="94">
        <f>IF(Year3_Isle_of_Wight Year3_CIN_Section47="","",Year3_Isle_of_Wight Year3_CIN_Section47)</f>
        <v>557</v>
      </c>
      <c r="G15" s="94">
        <f>IF(Year4_Isle_of_Wight Year4_CIN_Section47="","",Year4_Isle_of_Wight Year4_CIN_Section47)</f>
        <v>501</v>
      </c>
      <c r="H15" s="95">
        <f>IF(Year5_Isle_of_Wight Year5_CIN_Section47="","",Year5_Isle_of_Wight Year5_CIN_Section47)</f>
        <v>641</v>
      </c>
      <c r="I15" s="344">
        <f t="shared" si="3"/>
        <v>1.4011611591272233E-3</v>
      </c>
      <c r="J15" s="96"/>
      <c r="K15" s="97">
        <f>IF(ISNUMBER(D15),D15/Population!D15*10000,NA())</f>
        <v>267.19367588932806</v>
      </c>
      <c r="L15" s="97">
        <f>IF(ISNUMBER(E15),E15/Population!E15*10000,NA())</f>
        <v>217.85714285714286</v>
      </c>
      <c r="M15" s="97">
        <f>IF(ISNUMBER(F15),F15/Population!F15*10000,NA())</f>
        <v>221.91235059760956</v>
      </c>
      <c r="N15" s="97">
        <f>IF(ISNUMBER(G15),G15/Population!G15*10000,NA())</f>
        <v>201.20481927710844</v>
      </c>
      <c r="O15" s="98">
        <f>IF(ISNUMBER(H15),H15/Population!H15*10000,NA())</f>
        <v>259.51417004048579</v>
      </c>
      <c r="P15" s="99">
        <f t="shared" si="4"/>
        <v>259.51417004048579</v>
      </c>
      <c r="Q15" s="822">
        <f t="shared" si="0"/>
        <v>14</v>
      </c>
      <c r="R15" s="70"/>
      <c r="S15" s="340">
        <f>IDACI!C14</f>
        <v>18</v>
      </c>
      <c r="T15" s="341">
        <f t="shared" si="1"/>
        <v>186.16122593582287</v>
      </c>
      <c r="U15" s="342">
        <f t="shared" si="5"/>
        <v>73.352944104662924</v>
      </c>
      <c r="V15" s="122"/>
      <c r="W15" s="139"/>
      <c r="X15" s="152"/>
      <c r="Y15" s="72" t="str">
        <f t="shared" si="2"/>
        <v>Isle of Wight</v>
      </c>
      <c r="Z15" s="44">
        <f>IF(ISNUMBER($H15),IDACI!D14,0)</f>
        <v>22123</v>
      </c>
      <c r="AA15" s="44">
        <f>IF(ISNUMBER($H15),IDACI!E14,0)</f>
        <v>3982.14</v>
      </c>
      <c r="AB15" s="205">
        <f>IF(ISNUMBER(D15),Population!D15,"")</f>
        <v>25300</v>
      </c>
      <c r="AC15" s="205">
        <f>IF(ISNUMBER(E15),Population!E15,"")</f>
        <v>25200</v>
      </c>
      <c r="AD15" s="205">
        <f>IF(ISNUMBER(F15),Population!F15,"")</f>
        <v>25100</v>
      </c>
      <c r="AE15" s="205">
        <f>IF(ISNUMBER(G15),Population!G15,"")</f>
        <v>24900</v>
      </c>
      <c r="AF15" s="205">
        <f>IF(ISNUMBER(H15),Population!H15,"")</f>
        <v>24700</v>
      </c>
      <c r="AG15" s="93" t="s">
        <v>1</v>
      </c>
      <c r="AH15" s="231">
        <f t="shared" si="6"/>
        <v>259.51417004048579</v>
      </c>
      <c r="AI15" s="206">
        <f t="shared" si="7"/>
        <v>14</v>
      </c>
      <c r="AJ15" s="202"/>
      <c r="AK15" s="160"/>
      <c r="AL15" s="853">
        <f t="shared" si="8"/>
        <v>-0.18786982248520709</v>
      </c>
      <c r="AM15" s="853">
        <f t="shared" si="8"/>
        <v>1.4571948998178506E-2</v>
      </c>
      <c r="AN15" s="853">
        <f t="shared" si="8"/>
        <v>-0.10053859964093358</v>
      </c>
      <c r="AO15" s="853">
        <f t="shared" si="8"/>
        <v>0.27944111776447106</v>
      </c>
      <c r="AP15" s="853">
        <f t="shared" si="9"/>
        <v>1.4011611591272233E-3</v>
      </c>
      <c r="AQ15" s="74"/>
      <c r="AR15" s="74"/>
      <c r="AS15" s="74"/>
      <c r="AT15" s="74"/>
      <c r="AU15" s="74"/>
      <c r="AV15" s="74"/>
      <c r="AW15" s="74"/>
      <c r="AX15" s="74"/>
      <c r="AY15" s="74"/>
      <c r="AZ15" s="74"/>
    </row>
    <row r="16" spans="1:52" s="87" customFormat="1" ht="13.5" customHeight="1" x14ac:dyDescent="0.2">
      <c r="A16" s="488">
        <f>VLOOKUP(B16,Sheet1!$AQ$4:$AR$25,2,FALSE)</f>
        <v>0</v>
      </c>
      <c r="B16" s="93" t="str">
        <f>Sheet1!$K$10</f>
        <v>Kent</v>
      </c>
      <c r="C16" s="85"/>
      <c r="D16" s="94">
        <f>IF(Year1_Kent Year1_CIN_Section47="","",Year1_Kent Year1_CIN_Section47)</f>
        <v>4760</v>
      </c>
      <c r="E16" s="94">
        <f>IF(Year2_Kent Year2_CIN_Section47="","",Year2_Kent Year2_CIN_Section47)</f>
        <v>4893</v>
      </c>
      <c r="F16" s="94">
        <f>IF(Year3_Kent Year3_CIN_Section47="","",Year3_Kent Year3_CIN_Section47)</f>
        <v>6259</v>
      </c>
      <c r="G16" s="94">
        <f>IF(Year4_Kent Year4_CIN_Section47="","",Year4_Kent Year4_CIN_Section47)</f>
        <v>6015</v>
      </c>
      <c r="H16" s="95">
        <f>IF(Year5_Kent Year5_CIN_Section47="","",Year5_Kent Year5_CIN_Section47)</f>
        <v>6614</v>
      </c>
      <c r="I16" s="344">
        <f t="shared" si="3"/>
        <v>9.1929004078113385E-2</v>
      </c>
      <c r="J16" s="96"/>
      <c r="K16" s="97">
        <f>IF(ISNUMBER(D16),D16/Population!D16*10000,NA())</f>
        <v>144.06779661016949</v>
      </c>
      <c r="L16" s="97">
        <f>IF(ISNUMBER(E16),E16/Population!E16*10000,NA())</f>
        <v>146.93693693693695</v>
      </c>
      <c r="M16" s="97">
        <f>IF(ISNUMBER(F16),F16/Population!F16*10000,NA())</f>
        <v>186.22433799464446</v>
      </c>
      <c r="N16" s="97">
        <f>IF(ISNUMBER(G16),G16/Population!G16*10000,NA())</f>
        <v>176.85974713319612</v>
      </c>
      <c r="O16" s="98">
        <f>IF(ISNUMBER(H16),H16/Population!H16*10000,NA())</f>
        <v>192.37929028504945</v>
      </c>
      <c r="P16" s="99">
        <f t="shared" si="4"/>
        <v>192.37929028504945</v>
      </c>
      <c r="Q16" s="822">
        <f t="shared" si="0"/>
        <v>12</v>
      </c>
      <c r="R16" s="70"/>
      <c r="S16" s="340">
        <f>IDACI!C15</f>
        <v>15.8</v>
      </c>
      <c r="T16" s="341">
        <f t="shared" si="1"/>
        <v>169.78723401094817</v>
      </c>
      <c r="U16" s="342">
        <f t="shared" si="5"/>
        <v>22.592056274101282</v>
      </c>
      <c r="V16" s="122"/>
      <c r="W16" s="139"/>
      <c r="X16" s="152"/>
      <c r="Y16" s="72" t="str">
        <f t="shared" si="2"/>
        <v>Kent</v>
      </c>
      <c r="Z16" s="44">
        <f>IF(ISNUMBER($H16),IDACI!D15,0)</f>
        <v>291866</v>
      </c>
      <c r="AA16" s="44">
        <f>IF(ISNUMBER($H16),IDACI!E15,0)</f>
        <v>46114.828000000001</v>
      </c>
      <c r="AB16" s="205">
        <f>IF(ISNUMBER(D16),Population!D16,"")</f>
        <v>330400</v>
      </c>
      <c r="AC16" s="205">
        <f>IF(ISNUMBER(E16),Population!E16,"")</f>
        <v>333000</v>
      </c>
      <c r="AD16" s="205">
        <f>IF(ISNUMBER(F16),Population!F16,"")</f>
        <v>336100</v>
      </c>
      <c r="AE16" s="205">
        <f>IF(ISNUMBER(G16),Population!G16,"")</f>
        <v>340100</v>
      </c>
      <c r="AF16" s="205">
        <f>IF(ISNUMBER(H16),Population!H16,"")</f>
        <v>343800</v>
      </c>
      <c r="AG16" s="93" t="s">
        <v>9</v>
      </c>
      <c r="AH16" s="231">
        <f t="shared" si="6"/>
        <v>192.37929028504945</v>
      </c>
      <c r="AI16" s="206">
        <f t="shared" si="7"/>
        <v>12</v>
      </c>
      <c r="AJ16" s="202"/>
      <c r="AK16" s="160"/>
      <c r="AL16" s="853">
        <f t="shared" si="8"/>
        <v>2.7941176470588237E-2</v>
      </c>
      <c r="AM16" s="853">
        <f t="shared" si="8"/>
        <v>0.27917433067647662</v>
      </c>
      <c r="AN16" s="853">
        <f t="shared" si="8"/>
        <v>-3.8983863236938809E-2</v>
      </c>
      <c r="AO16" s="853">
        <f t="shared" si="8"/>
        <v>9.9584372402327509E-2</v>
      </c>
      <c r="AP16" s="853">
        <f t="shared" si="9"/>
        <v>9.1929004078113385E-2</v>
      </c>
      <c r="AQ16" s="74"/>
      <c r="AR16" s="74"/>
      <c r="AS16" s="74"/>
      <c r="AT16" s="74"/>
      <c r="AU16" s="74"/>
      <c r="AV16" s="74"/>
      <c r="AW16" s="74"/>
      <c r="AX16" s="74"/>
      <c r="AY16" s="74"/>
      <c r="AZ16" s="74"/>
    </row>
    <row r="17" spans="1:52" s="87" customFormat="1" ht="13.5" customHeight="1" x14ac:dyDescent="0.2">
      <c r="A17" s="488">
        <f>VLOOKUP(B17,Sheet1!$AQ$4:$AR$25,2,FALSE)</f>
        <v>0</v>
      </c>
      <c r="B17" s="93" t="str">
        <f>Sheet1!$K$11</f>
        <v>Medway</v>
      </c>
      <c r="C17" s="85"/>
      <c r="D17" s="94">
        <f>IF(Year1_Medway Year1_CIN_Section47="","",Year1_Medway Year1_CIN_Section47)</f>
        <v>1631</v>
      </c>
      <c r="E17" s="301">
        <f>IF(Year2_Medway Year2_CIN_Section47="","",Year2_Medway Year2_CIN_Section47)</f>
        <v>1072</v>
      </c>
      <c r="F17" s="301">
        <f>IF(Year3_Medway Year3_CIN_Section47="","",Year3_Medway Year3_CIN_Section47)</f>
        <v>1181</v>
      </c>
      <c r="G17" s="301">
        <f>IF(Year4_Medway Year4_CIN_Section47="","",Year4_Medway Year4_CIN_Section47)</f>
        <v>1509</v>
      </c>
      <c r="H17" s="302">
        <f>IF(Year5_Medway Year5_CIN_Section47="","",Year5_Medway Year5_CIN_Section47)</f>
        <v>1773</v>
      </c>
      <c r="I17" s="344">
        <f t="shared" si="3"/>
        <v>5.2906405163001942E-2</v>
      </c>
      <c r="J17" s="96"/>
      <c r="K17" s="97">
        <f>IF(ISNUMBER(D17),D17/Population!D17*10000,NA())</f>
        <v>258.06962025316454</v>
      </c>
      <c r="L17" s="97">
        <f>IF(ISNUMBER(E17),E17/Population!E17*10000,NA())</f>
        <v>168.2888540031397</v>
      </c>
      <c r="M17" s="97">
        <f>IF(ISNUMBER(F17),F17/Population!F17*10000,NA())</f>
        <v>184.82003129890452</v>
      </c>
      <c r="N17" s="97">
        <f>IF(ISNUMBER(G17),G17/Population!G17*10000,NA())</f>
        <v>234.31677018633542</v>
      </c>
      <c r="O17" s="98">
        <f>IF(ISNUMBER(H17),H17/Population!H17*10000,NA())</f>
        <v>272.76923076923077</v>
      </c>
      <c r="P17" s="99">
        <f t="shared" si="4"/>
        <v>272.76923076923077</v>
      </c>
      <c r="Q17" s="822">
        <f t="shared" si="0"/>
        <v>15</v>
      </c>
      <c r="R17" s="70"/>
      <c r="S17" s="340">
        <f>IDACI!C16</f>
        <v>18.899999999999999</v>
      </c>
      <c r="T17" s="341">
        <f t="shared" si="1"/>
        <v>192.85967717781705</v>
      </c>
      <c r="U17" s="342">
        <f t="shared" si="5"/>
        <v>79.909553591413726</v>
      </c>
      <c r="V17" s="122"/>
      <c r="W17" s="139"/>
      <c r="X17" s="152"/>
      <c r="Y17" s="72" t="str">
        <f t="shared" si="2"/>
        <v>Medway</v>
      </c>
      <c r="Z17" s="44">
        <f>IF(ISNUMBER($H17),IDACI!D16,0)</f>
        <v>55993</v>
      </c>
      <c r="AA17" s="44">
        <f>IF(ISNUMBER($H17),IDACI!E16,0)</f>
        <v>10582.676999999998</v>
      </c>
      <c r="AB17" s="205">
        <f>IF(ISNUMBER(D17),Population!D17,"")</f>
        <v>63200</v>
      </c>
      <c r="AC17" s="205">
        <f>IF(ISNUMBER(E17),Population!E17,"")</f>
        <v>63700</v>
      </c>
      <c r="AD17" s="205">
        <f>IF(ISNUMBER(F17),Population!F17,"")</f>
        <v>63900</v>
      </c>
      <c r="AE17" s="205">
        <f>IF(ISNUMBER(G17),Population!G17,"")</f>
        <v>64400</v>
      </c>
      <c r="AF17" s="205">
        <f>IF(ISNUMBER(H17),Population!H17,"")</f>
        <v>65000</v>
      </c>
      <c r="AG17" s="93" t="s">
        <v>2</v>
      </c>
      <c r="AH17" s="231">
        <f t="shared" si="6"/>
        <v>272.76923076923077</v>
      </c>
      <c r="AI17" s="206">
        <f t="shared" si="7"/>
        <v>15</v>
      </c>
      <c r="AJ17" s="202"/>
      <c r="AK17" s="160"/>
      <c r="AL17" s="853">
        <f t="shared" si="8"/>
        <v>-0.34273451870018395</v>
      </c>
      <c r="AM17" s="853">
        <f t="shared" si="8"/>
        <v>0.10167910447761194</v>
      </c>
      <c r="AN17" s="853">
        <f t="shared" si="8"/>
        <v>0.27773073666384418</v>
      </c>
      <c r="AO17" s="853">
        <f t="shared" si="8"/>
        <v>0.1749502982107356</v>
      </c>
      <c r="AP17" s="853">
        <f t="shared" si="9"/>
        <v>5.2906405163001942E-2</v>
      </c>
      <c r="AQ17" s="74"/>
      <c r="AR17" s="74"/>
      <c r="AS17" s="74"/>
      <c r="AT17" s="74"/>
      <c r="AU17" s="74"/>
      <c r="AV17" s="74"/>
      <c r="AW17" s="74"/>
      <c r="AX17" s="74"/>
      <c r="AY17" s="74"/>
      <c r="AZ17" s="74"/>
    </row>
    <row r="18" spans="1:52" s="87" customFormat="1" ht="13.5" customHeight="1" x14ac:dyDescent="0.2">
      <c r="A18" s="488">
        <f>VLOOKUP(B18,Sheet1!$AQ$4:$AR$25,2,FALSE)</f>
        <v>0</v>
      </c>
      <c r="B18" s="93" t="str">
        <f>Sheet1!$K$12</f>
        <v>Milton Keynes</v>
      </c>
      <c r="C18" s="85"/>
      <c r="D18" s="94">
        <f>IF(Year1_Milton_Keynes Year1_CIN_Section47="","",Year1_Milton_Keynes Year1_CIN_Section47)</f>
        <v>569</v>
      </c>
      <c r="E18" s="94">
        <f>IF(Year2_Milton_Keynes Year2_CIN_Section47="","",Year2_Milton_Keynes Year2_CIN_Section47)</f>
        <v>776</v>
      </c>
      <c r="F18" s="94">
        <f>IF(Year3_Milton_Keynes Year3_CIN_Section47="","",Year3_Milton_Keynes Year3_CIN_Section47)</f>
        <v>558</v>
      </c>
      <c r="G18" s="94">
        <f>IF(Year4_Milton_Keynes Year4_CIN_Section47="","",Year4_Milton_Keynes Year4_CIN_Section47)</f>
        <v>603</v>
      </c>
      <c r="H18" s="95">
        <f>IF(Year5_Milton_Keynes Year5_CIN_Section47="","",Year5_Milton_Keynes Year5_CIN_Section47)</f>
        <v>817</v>
      </c>
      <c r="I18" s="344">
        <f t="shared" si="3"/>
        <v>0.12960141636122824</v>
      </c>
      <c r="J18" s="96"/>
      <c r="K18" s="97">
        <f>IF(ISNUMBER(D18),D18/Population!D18*10000,NA())</f>
        <v>86.081694402420567</v>
      </c>
      <c r="L18" s="97">
        <f>IF(ISNUMBER(E18),E18/Population!E18*10000,NA())</f>
        <v>115.64828614008943</v>
      </c>
      <c r="M18" s="97">
        <f>IF(ISNUMBER(F18),F18/Population!F18*10000,NA())</f>
        <v>82.544378698224847</v>
      </c>
      <c r="N18" s="97">
        <f>IF(ISNUMBER(G18),G18/Population!G18*10000,NA())</f>
        <v>88.286969253294288</v>
      </c>
      <c r="O18" s="98">
        <f>IF(ISNUMBER(H18),H18/Population!H18*10000,NA())</f>
        <v>118.75</v>
      </c>
      <c r="P18" s="99">
        <f t="shared" si="4"/>
        <v>118.75</v>
      </c>
      <c r="Q18" s="822">
        <f t="shared" si="0"/>
        <v>2</v>
      </c>
      <c r="R18" s="70"/>
      <c r="S18" s="340">
        <f>IDACI!C17</f>
        <v>15</v>
      </c>
      <c r="T18" s="341">
        <f t="shared" si="1"/>
        <v>163.83305512917553</v>
      </c>
      <c r="U18" s="342">
        <f t="shared" si="5"/>
        <v>-45.083055129175534</v>
      </c>
      <c r="V18" s="122"/>
      <c r="W18" s="139"/>
      <c r="X18" s="152"/>
      <c r="Y18" s="72" t="str">
        <f t="shared" si="2"/>
        <v>Milton Keynes</v>
      </c>
      <c r="Z18" s="44">
        <f>IF(ISNUMBER($H18),IDACI!D17,0)</f>
        <v>59903</v>
      </c>
      <c r="AA18" s="44">
        <f>IF(ISNUMBER($H18),IDACI!E17,0)</f>
        <v>8985.4499999999989</v>
      </c>
      <c r="AB18" s="205">
        <f>IF(ISNUMBER(D18),Population!D18,"")</f>
        <v>66100</v>
      </c>
      <c r="AC18" s="205">
        <f>IF(ISNUMBER(E18),Population!E18,"")</f>
        <v>67100</v>
      </c>
      <c r="AD18" s="205">
        <f>IF(ISNUMBER(F18),Population!F18,"")</f>
        <v>67600</v>
      </c>
      <c r="AE18" s="205">
        <f>IF(ISNUMBER(G18),Population!G18,"")</f>
        <v>68300</v>
      </c>
      <c r="AF18" s="205">
        <f>IF(ISNUMBER(H18),Population!H18,"")</f>
        <v>68800</v>
      </c>
      <c r="AG18" s="93" t="s">
        <v>10</v>
      </c>
      <c r="AH18" s="231">
        <f t="shared" si="6"/>
        <v>118.75</v>
      </c>
      <c r="AI18" s="206">
        <f t="shared" si="7"/>
        <v>2</v>
      </c>
      <c r="AJ18" s="202"/>
      <c r="AK18" s="160"/>
      <c r="AL18" s="853">
        <f t="shared" si="8"/>
        <v>0.36379613356766255</v>
      </c>
      <c r="AM18" s="853">
        <f t="shared" si="8"/>
        <v>-0.28092783505154639</v>
      </c>
      <c r="AN18" s="853">
        <f t="shared" si="8"/>
        <v>8.0645161290322578E-2</v>
      </c>
      <c r="AO18" s="853">
        <f t="shared" si="8"/>
        <v>0.35489220563847429</v>
      </c>
      <c r="AP18" s="853">
        <f t="shared" si="9"/>
        <v>0.12960141636122824</v>
      </c>
      <c r="AQ18" s="74"/>
      <c r="AR18" s="74"/>
      <c r="AS18" s="74"/>
      <c r="AT18" s="74"/>
      <c r="AU18" s="74"/>
      <c r="AV18" s="74"/>
      <c r="AW18" s="74"/>
      <c r="AX18" s="74"/>
      <c r="AY18" s="74"/>
      <c r="AZ18" s="74"/>
    </row>
    <row r="19" spans="1:52" s="87" customFormat="1" ht="13.5" customHeight="1" x14ac:dyDescent="0.2">
      <c r="A19" s="488">
        <f>VLOOKUP(B19,Sheet1!$AQ$4:$AR$25,2,FALSE)</f>
        <v>0</v>
      </c>
      <c r="B19" s="93" t="str">
        <f>Sheet1!$K$13</f>
        <v>Oxfordshire</v>
      </c>
      <c r="C19" s="85"/>
      <c r="D19" s="94">
        <f>IF(Year1_Oxfordshire Year1_CIN_Section47="","",Year1_Oxfordshire Year1_CIN_Section47)</f>
        <v>1864</v>
      </c>
      <c r="E19" s="94">
        <f>IF(Year2_Oxfordshire Year2_CIN_Section47="","",Year2_Oxfordshire Year2_CIN_Section47)</f>
        <v>1926</v>
      </c>
      <c r="F19" s="94">
        <f>IF(Year3_Oxfordshire Year3_CIN_Section47="","",Year3_Oxfordshire Year3_CIN_Section47)</f>
        <v>1805</v>
      </c>
      <c r="G19" s="94">
        <f>IF(Year4_Oxfordshire Year4_CIN_Section47="","",Year4_Oxfordshire Year4_CIN_Section47)</f>
        <v>1873</v>
      </c>
      <c r="H19" s="95">
        <f>IF(Year5_Oxfordshire Year5_CIN_Section47="","",Year5_Oxfordshire Year5_CIN_Section47)</f>
        <v>1905</v>
      </c>
      <c r="I19" s="344">
        <f t="shared" si="3"/>
        <v>6.2988291422981565E-3</v>
      </c>
      <c r="J19" s="96"/>
      <c r="K19" s="97">
        <f>IF(ISNUMBER(D19),D19/Population!D19*10000,NA())</f>
        <v>131.45275035260931</v>
      </c>
      <c r="L19" s="97">
        <f>IF(ISNUMBER(E19),E19/Population!E19*10000,NA())</f>
        <v>134.77956613016096</v>
      </c>
      <c r="M19" s="97">
        <f>IF(ISNUMBER(F19),F19/Population!F19*10000,NA())</f>
        <v>125.87168758716875</v>
      </c>
      <c r="N19" s="97">
        <f>IF(ISNUMBER(G19),G19/Population!G19*10000,NA())</f>
        <v>129.35082872928177</v>
      </c>
      <c r="O19" s="98">
        <f>IF(ISNUMBER(H19),H19/Population!H19*10000,NA())</f>
        <v>130.39014373716631</v>
      </c>
      <c r="P19" s="99">
        <f t="shared" si="4"/>
        <v>130.39014373716631</v>
      </c>
      <c r="Q19" s="822">
        <f t="shared" si="0"/>
        <v>4</v>
      </c>
      <c r="R19" s="70"/>
      <c r="S19" s="340">
        <f>IDACI!C18</f>
        <v>10.100000000000001</v>
      </c>
      <c r="T19" s="341">
        <f t="shared" si="1"/>
        <v>127.3637094783182</v>
      </c>
      <c r="U19" s="342">
        <f t="shared" si="5"/>
        <v>3.0264342588481128</v>
      </c>
      <c r="V19" s="122"/>
      <c r="W19" s="139"/>
      <c r="X19" s="152"/>
      <c r="Y19" s="72" t="str">
        <f t="shared" si="2"/>
        <v>Oxfordshire</v>
      </c>
      <c r="Z19" s="44">
        <f>IF(ISNUMBER($H19),IDACI!D18,0)</f>
        <v>126119</v>
      </c>
      <c r="AA19" s="44">
        <f>IF(ISNUMBER($H19),IDACI!E18,0)</f>
        <v>12738.019000000002</v>
      </c>
      <c r="AB19" s="205">
        <f>IF(ISNUMBER(D19),Population!D19,"")</f>
        <v>141800</v>
      </c>
      <c r="AC19" s="205">
        <f>IF(ISNUMBER(E19),Population!E19,"")</f>
        <v>142900</v>
      </c>
      <c r="AD19" s="205">
        <f>IF(ISNUMBER(F19),Population!F19,"")</f>
        <v>143400</v>
      </c>
      <c r="AE19" s="205">
        <f>IF(ISNUMBER(G19),Population!G19,"")</f>
        <v>144800</v>
      </c>
      <c r="AF19" s="205">
        <f>IF(ISNUMBER(H19),Population!H19,"")</f>
        <v>146100</v>
      </c>
      <c r="AG19" s="93" t="s">
        <v>11</v>
      </c>
      <c r="AH19" s="231">
        <f t="shared" si="6"/>
        <v>130.39014373716631</v>
      </c>
      <c r="AI19" s="206">
        <f t="shared" si="7"/>
        <v>4</v>
      </c>
      <c r="AJ19" s="202"/>
      <c r="AK19" s="160"/>
      <c r="AL19" s="853">
        <f t="shared" si="8"/>
        <v>3.3261802575107295E-2</v>
      </c>
      <c r="AM19" s="853">
        <f t="shared" si="8"/>
        <v>-6.2824506749740397E-2</v>
      </c>
      <c r="AN19" s="853">
        <f t="shared" si="8"/>
        <v>3.7673130193905814E-2</v>
      </c>
      <c r="AO19" s="853">
        <f t="shared" si="8"/>
        <v>1.7084890549919914E-2</v>
      </c>
      <c r="AP19" s="853">
        <f t="shared" si="9"/>
        <v>6.2988291422981565E-3</v>
      </c>
      <c r="AQ19" s="74"/>
      <c r="AR19" s="74"/>
      <c r="AS19" s="74"/>
      <c r="AT19" s="74"/>
      <c r="AU19" s="74"/>
      <c r="AV19" s="74"/>
      <c r="AW19" s="74"/>
      <c r="AX19" s="74"/>
      <c r="AY19" s="74"/>
      <c r="AZ19" s="74"/>
    </row>
    <row r="20" spans="1:52" s="87" customFormat="1" ht="13.5" customHeight="1" x14ac:dyDescent="0.2">
      <c r="A20" s="488">
        <f>VLOOKUP(B20,Sheet1!$AQ$4:$AR$25,2,FALSE)</f>
        <v>0</v>
      </c>
      <c r="B20" s="93" t="str">
        <f>Sheet1!$K$14</f>
        <v>Portsmouth</v>
      </c>
      <c r="C20" s="85"/>
      <c r="D20" s="94">
        <f>IF(Year1_Portsmouth Year1_CIN_Section47="","",Year1_Portsmouth Year1_CIN_Section47)</f>
        <v>1148</v>
      </c>
      <c r="E20" s="94">
        <f>IF(Year2_Portsmouth Year2_CIN_Section47="","",Year2_Portsmouth Year2_CIN_Section47)</f>
        <v>1240</v>
      </c>
      <c r="F20" s="94">
        <f>IF(Year3_Portsmouth Year3_CIN_Section47="","",Year3_Portsmouth Year3_CIN_Section47)</f>
        <v>1025</v>
      </c>
      <c r="G20" s="94">
        <f>IF(Year4_Portsmouth Year4_CIN_Section47="","",Year4_Portsmouth Year4_CIN_Section47)</f>
        <v>1313</v>
      </c>
      <c r="H20" s="95">
        <f>IF(Year5_Portsmouth Year5_CIN_Section47="","",Year5_Portsmouth Year5_CIN_Section47)</f>
        <v>1294</v>
      </c>
      <c r="I20" s="344">
        <f t="shared" si="3"/>
        <v>4.3314301991797304E-2</v>
      </c>
      <c r="J20" s="96"/>
      <c r="K20" s="97">
        <f>IF(ISNUMBER(D20),D20/Population!D20*10000,NA())</f>
        <v>262.10045662100458</v>
      </c>
      <c r="L20" s="97">
        <f>IF(ISNUMBER(E20),E20/Population!E20*10000,NA())</f>
        <v>281.81818181818181</v>
      </c>
      <c r="M20" s="97">
        <f>IF(ISNUMBER(F20),F20/Population!F20*10000,NA())</f>
        <v>231.90045248868779</v>
      </c>
      <c r="N20" s="97">
        <f>IF(ISNUMBER(G20),G20/Population!G20*10000,NA())</f>
        <v>298.40909090909093</v>
      </c>
      <c r="O20" s="98">
        <f>IF(ISNUMBER(H20),H20/Population!H20*10000,NA())</f>
        <v>295.4337899543379</v>
      </c>
      <c r="P20" s="99">
        <f t="shared" si="4"/>
        <v>295.4337899543379</v>
      </c>
      <c r="Q20" s="822">
        <f t="shared" si="0"/>
        <v>17</v>
      </c>
      <c r="R20" s="70"/>
      <c r="S20" s="340">
        <f>IDACI!C19</f>
        <v>20.200000000000003</v>
      </c>
      <c r="T20" s="341">
        <f t="shared" si="1"/>
        <v>202.5352178606976</v>
      </c>
      <c r="U20" s="342">
        <f t="shared" si="5"/>
        <v>92.898572093640297</v>
      </c>
      <c r="V20" s="122"/>
      <c r="W20" s="139"/>
      <c r="X20" s="152"/>
      <c r="Y20" s="72" t="str">
        <f t="shared" si="2"/>
        <v>Portsmouth</v>
      </c>
      <c r="Z20" s="44">
        <f>IF(ISNUMBER($H20),IDACI!D19,0)</f>
        <v>39325</v>
      </c>
      <c r="AA20" s="44">
        <f>IF(ISNUMBER($H20),IDACI!E19,0)</f>
        <v>7943.6500000000015</v>
      </c>
      <c r="AB20" s="205">
        <f>IF(ISNUMBER(D20),Population!D20,"")</f>
        <v>43800</v>
      </c>
      <c r="AC20" s="205">
        <f>IF(ISNUMBER(E20),Population!E20,"")</f>
        <v>44000</v>
      </c>
      <c r="AD20" s="205">
        <f>IF(ISNUMBER(F20),Population!F20,"")</f>
        <v>44200</v>
      </c>
      <c r="AE20" s="205">
        <f>IF(ISNUMBER(G20),Population!G20,"")</f>
        <v>44000</v>
      </c>
      <c r="AF20" s="205">
        <f>IF(ISNUMBER(H20),Population!H20,"")</f>
        <v>43800</v>
      </c>
      <c r="AG20" s="93" t="s">
        <v>12</v>
      </c>
      <c r="AH20" s="231">
        <f t="shared" si="6"/>
        <v>295.4337899543379</v>
      </c>
      <c r="AI20" s="206">
        <f t="shared" si="7"/>
        <v>17</v>
      </c>
      <c r="AJ20" s="202"/>
      <c r="AK20" s="160"/>
      <c r="AL20" s="853">
        <f t="shared" si="8"/>
        <v>8.0139372822299645E-2</v>
      </c>
      <c r="AM20" s="853">
        <f t="shared" si="8"/>
        <v>-0.17338709677419356</v>
      </c>
      <c r="AN20" s="853">
        <f t="shared" si="8"/>
        <v>0.28097560975609759</v>
      </c>
      <c r="AO20" s="853">
        <f t="shared" si="8"/>
        <v>-1.4470677837014471E-2</v>
      </c>
      <c r="AP20" s="853">
        <f t="shared" si="9"/>
        <v>4.3314301991797304E-2</v>
      </c>
      <c r="AQ20" s="74"/>
      <c r="AR20" s="74"/>
      <c r="AS20" s="74"/>
      <c r="AT20" s="74"/>
      <c r="AU20" s="74"/>
      <c r="AV20" s="74"/>
      <c r="AW20" s="74"/>
      <c r="AX20" s="74"/>
      <c r="AY20" s="74"/>
      <c r="AZ20" s="74"/>
    </row>
    <row r="21" spans="1:52" s="87" customFormat="1" ht="13.5" customHeight="1" x14ac:dyDescent="0.2">
      <c r="A21" s="488">
        <f>VLOOKUP(B21,Sheet1!$AQ$4:$AR$25,2,FALSE)</f>
        <v>0</v>
      </c>
      <c r="B21" s="93" t="str">
        <f>Sheet1!$K$15</f>
        <v>Reading</v>
      </c>
      <c r="C21" s="85"/>
      <c r="D21" s="94">
        <f>IF(Year1_Reading Year1_CIN_Section47="","",Year1_Reading Year1_CIN_Section47)</f>
        <v>973</v>
      </c>
      <c r="E21" s="94">
        <f>IF(Year2_Reading Year2_CIN_Section47="","",Year2_Reading Year2_CIN_Section47)</f>
        <v>1090</v>
      </c>
      <c r="F21" s="94">
        <f>IF(Year3_Reading Year3_CIN_Section47="","",Year3_Reading Year3_CIN_Section47)</f>
        <v>840</v>
      </c>
      <c r="G21" s="94">
        <f>IF(Year4_Reading Year4_CIN_Section47="","",Year4_Reading Year4_CIN_Section47)</f>
        <v>1031</v>
      </c>
      <c r="H21" s="95">
        <f>IF(Year5_Reading Year5_CIN_Section47="","",Year5_Reading Year5_CIN_Section47)</f>
        <v>865</v>
      </c>
      <c r="I21" s="344">
        <f t="shared" si="3"/>
        <v>-1.0684728839530724E-2</v>
      </c>
      <c r="J21" s="96"/>
      <c r="K21" s="97">
        <f>IF(ISNUMBER(D21),D21/Population!D21*10000,NA())</f>
        <v>267.30769230769232</v>
      </c>
      <c r="L21" s="97">
        <f>IF(ISNUMBER(E21),E21/Population!E21*10000,NA())</f>
        <v>297.8142076502732</v>
      </c>
      <c r="M21" s="97">
        <f>IF(ISNUMBER(F21),F21/Population!F21*10000,NA())</f>
        <v>226.41509433962261</v>
      </c>
      <c r="N21" s="97">
        <f>IF(ISNUMBER(G21),G21/Population!G21*10000,NA())</f>
        <v>277.89757412398922</v>
      </c>
      <c r="O21" s="98">
        <f>IF(ISNUMBER(H21),H21/Population!H21*10000,NA())</f>
        <v>233.7837837837838</v>
      </c>
      <c r="P21" s="99">
        <f t="shared" si="4"/>
        <v>233.7837837837838</v>
      </c>
      <c r="Q21" s="822">
        <f t="shared" si="0"/>
        <v>13</v>
      </c>
      <c r="R21" s="70"/>
      <c r="S21" s="340">
        <f>IDACI!C20</f>
        <v>16</v>
      </c>
      <c r="T21" s="341">
        <f t="shared" si="1"/>
        <v>171.27577873139131</v>
      </c>
      <c r="U21" s="342">
        <f t="shared" si="5"/>
        <v>62.508005052392491</v>
      </c>
      <c r="V21" s="122"/>
      <c r="W21" s="139"/>
      <c r="X21" s="152"/>
      <c r="Y21" s="72" t="str">
        <f t="shared" si="2"/>
        <v>Reading</v>
      </c>
      <c r="Z21" s="44">
        <f>IF(ISNUMBER($H21),IDACI!D20,0)</f>
        <v>33203</v>
      </c>
      <c r="AA21" s="44">
        <f>IF(ISNUMBER($H21),IDACI!E20,0)</f>
        <v>5312.4800000000005</v>
      </c>
      <c r="AB21" s="205">
        <f>IF(ISNUMBER(D21),Population!D21,"")</f>
        <v>36400</v>
      </c>
      <c r="AC21" s="205">
        <f>IF(ISNUMBER(E21),Population!E21,"")</f>
        <v>36600</v>
      </c>
      <c r="AD21" s="205">
        <f>IF(ISNUMBER(F21),Population!F21,"")</f>
        <v>37100</v>
      </c>
      <c r="AE21" s="205">
        <f>IF(ISNUMBER(G21),Population!G21,"")</f>
        <v>37100</v>
      </c>
      <c r="AF21" s="205">
        <f>IF(ISNUMBER(H21),Population!H21,"")</f>
        <v>37000</v>
      </c>
      <c r="AG21" s="93" t="s">
        <v>3</v>
      </c>
      <c r="AH21" s="231">
        <f t="shared" si="6"/>
        <v>233.7837837837838</v>
      </c>
      <c r="AI21" s="206">
        <f t="shared" si="7"/>
        <v>13</v>
      </c>
      <c r="AJ21" s="202"/>
      <c r="AK21" s="160"/>
      <c r="AL21" s="853">
        <f t="shared" si="8"/>
        <v>0.12024665981500514</v>
      </c>
      <c r="AM21" s="853">
        <f t="shared" si="8"/>
        <v>-0.22935779816513763</v>
      </c>
      <c r="AN21" s="853">
        <f t="shared" si="8"/>
        <v>0.22738095238095238</v>
      </c>
      <c r="AO21" s="853">
        <f t="shared" si="8"/>
        <v>-0.16100872938894278</v>
      </c>
      <c r="AP21" s="853">
        <f t="shared" si="9"/>
        <v>-1.0684728839530724E-2</v>
      </c>
      <c r="AQ21" s="74"/>
      <c r="AR21" s="74"/>
      <c r="AS21" s="74"/>
      <c r="AT21" s="74"/>
      <c r="AU21" s="74"/>
      <c r="AV21" s="74"/>
      <c r="AW21" s="74"/>
      <c r="AX21" s="74"/>
      <c r="AY21" s="74"/>
      <c r="AZ21" s="74"/>
    </row>
    <row r="22" spans="1:52" s="87" customFormat="1" ht="13.5" customHeight="1" x14ac:dyDescent="0.2">
      <c r="A22" s="488">
        <f>VLOOKUP(B22,Sheet1!$AQ$4:$AR$25,2,FALSE)</f>
        <v>0</v>
      </c>
      <c r="B22" s="93" t="str">
        <f>Sheet1!$K$16</f>
        <v>Slough</v>
      </c>
      <c r="C22" s="85"/>
      <c r="D22" s="94">
        <f>IF(Year1_Slough Year1_CIN_Section47="","",Year1_Slough Year1_CIN_Section47)</f>
        <v>900</v>
      </c>
      <c r="E22" s="94">
        <f>IF(Year2_Slough Year2_CIN_Section47="","",Year2_Slough Year2_CIN_Section47)</f>
        <v>876</v>
      </c>
      <c r="F22" s="94">
        <f>IF(Year3_Slough Year3_CIN_Section47="","",Year3_Slough Year3_CIN_Section47)</f>
        <v>708</v>
      </c>
      <c r="G22" s="94">
        <f>IF(Year4_Slough Year4_CIN_Section47="","",Year4_Slough Year4_CIN_Section47)</f>
        <v>1064</v>
      </c>
      <c r="H22" s="95">
        <f>IF(Year5_Slough Year5_CIN_Section47="","",Year5_Slough Year5_CIN_Section47)</f>
        <v>1295</v>
      </c>
      <c r="I22" s="344">
        <f t="shared" si="3"/>
        <v>0.12537065833262051</v>
      </c>
      <c r="J22" s="96"/>
      <c r="K22" s="97">
        <f>IF(ISNUMBER(D22),D22/Population!D22*10000,NA())</f>
        <v>221.67487684729065</v>
      </c>
      <c r="L22" s="97">
        <f>IF(ISNUMBER(E22),E22/Population!E22*10000,NA())</f>
        <v>211.59420289855072</v>
      </c>
      <c r="M22" s="97">
        <f>IF(ISNUMBER(F22),F22/Population!F22*10000,NA())</f>
        <v>167.77251184834122</v>
      </c>
      <c r="N22" s="97">
        <f>IF(ISNUMBER(G22),G22/Population!G22*10000,NA())</f>
        <v>249.18032786885249</v>
      </c>
      <c r="O22" s="98">
        <f>IF(ISNUMBER(H22),H22/Population!H22*10000,NA())</f>
        <v>300.46403712296984</v>
      </c>
      <c r="P22" s="99">
        <f t="shared" si="4"/>
        <v>300.46403712296984</v>
      </c>
      <c r="Q22" s="822">
        <f t="shared" si="0"/>
        <v>18</v>
      </c>
      <c r="R22" s="70"/>
      <c r="S22" s="340">
        <f>IDACI!C21</f>
        <v>14.7</v>
      </c>
      <c r="T22" s="341">
        <f t="shared" si="1"/>
        <v>161.60023804851079</v>
      </c>
      <c r="U22" s="342">
        <f t="shared" si="5"/>
        <v>138.86379907445905</v>
      </c>
      <c r="V22" s="122"/>
      <c r="W22" s="139"/>
      <c r="X22" s="152"/>
      <c r="Y22" s="72" t="str">
        <f t="shared" si="2"/>
        <v>Slough</v>
      </c>
      <c r="Z22" s="44">
        <f>IF(ISNUMBER($H22),IDACI!D21,0)</f>
        <v>37031</v>
      </c>
      <c r="AA22" s="44">
        <f>IF(ISNUMBER($H22),IDACI!E21,0)</f>
        <v>5443.5569999999998</v>
      </c>
      <c r="AB22" s="205">
        <f>IF(ISNUMBER(D22),Population!D22,"")</f>
        <v>40600</v>
      </c>
      <c r="AC22" s="205">
        <f>IF(ISNUMBER(E22),Population!E22,"")</f>
        <v>41400</v>
      </c>
      <c r="AD22" s="205">
        <f>IF(ISNUMBER(F22),Population!F22,"")</f>
        <v>42200</v>
      </c>
      <c r="AE22" s="205">
        <f>IF(ISNUMBER(G22),Population!G22,"")</f>
        <v>42700</v>
      </c>
      <c r="AF22" s="205">
        <f>IF(ISNUMBER(H22),Population!H22,"")</f>
        <v>43100</v>
      </c>
      <c r="AG22" s="93" t="s">
        <v>13</v>
      </c>
      <c r="AH22" s="231">
        <f t="shared" si="6"/>
        <v>300.46403712296984</v>
      </c>
      <c r="AI22" s="206">
        <f t="shared" si="7"/>
        <v>18</v>
      </c>
      <c r="AJ22" s="202"/>
      <c r="AK22" s="160"/>
      <c r="AL22" s="853">
        <f t="shared" si="8"/>
        <v>-2.6666666666666668E-2</v>
      </c>
      <c r="AM22" s="853">
        <f t="shared" si="8"/>
        <v>-0.19178082191780821</v>
      </c>
      <c r="AN22" s="853">
        <f t="shared" si="8"/>
        <v>0.50282485875706218</v>
      </c>
      <c r="AO22" s="853">
        <f t="shared" si="8"/>
        <v>0.21710526315789475</v>
      </c>
      <c r="AP22" s="853">
        <f t="shared" si="9"/>
        <v>0.12537065833262051</v>
      </c>
      <c r="AQ22" s="74"/>
      <c r="AR22" s="74"/>
      <c r="AS22" s="74"/>
      <c r="AT22" s="74"/>
      <c r="AU22" s="74"/>
      <c r="AV22" s="74"/>
      <c r="AW22" s="74"/>
      <c r="AX22" s="74"/>
      <c r="AY22" s="74"/>
      <c r="AZ22" s="74"/>
    </row>
    <row r="23" spans="1:52" s="87" customFormat="1" ht="13.5" customHeight="1" x14ac:dyDescent="0.2">
      <c r="A23" s="488">
        <f>VLOOKUP(B23,Sheet1!$AQ$4:$AR$25,2,FALSE)</f>
        <v>0</v>
      </c>
      <c r="B23" s="93" t="str">
        <f>Sheet1!$K$17</f>
        <v>Somerset</v>
      </c>
      <c r="C23" s="85"/>
      <c r="D23" s="94">
        <f>IF(Year1_Somerset Year1_CIN_Section47="","",Year1_Somerset Year1_CIN_Section47)</f>
        <v>1297</v>
      </c>
      <c r="E23" s="94">
        <f>IF(Year2_Somerset Year2_CIN_Section47="","",Year2_Somerset Year2_CIN_Section47)</f>
        <v>1577</v>
      </c>
      <c r="F23" s="94">
        <f>IF(Year3_Somerset Year3_CIN_Section47="","",Year3_Somerset Year3_CIN_Section47)</f>
        <v>1529</v>
      </c>
      <c r="G23" s="94">
        <f>IF(Year4_Somerset Year4_CIN_Section47="","",Year4_Somerset Year4_CIN_Section47)</f>
        <v>1221</v>
      </c>
      <c r="H23" s="95">
        <f>IF(Year5_Somerset Year5_CIN_Section47="","",Year5_Somerset Year5_CIN_Section47)</f>
        <v>923</v>
      </c>
      <c r="I23" s="344">
        <f t="shared" si="3"/>
        <v>-6.5013956534709066E-2</v>
      </c>
      <c r="J23" s="96"/>
      <c r="K23" s="97">
        <f>IF(ISNUMBER(D23),D23/Population!D23*10000,NA())</f>
        <v>118.77289377289378</v>
      </c>
      <c r="L23" s="97">
        <f>IF(ISNUMBER(E23),E23/Population!E23*10000,NA())</f>
        <v>143.75569735642662</v>
      </c>
      <c r="M23" s="97">
        <f>IF(ISNUMBER(F23),F23/Population!F23*10000,NA())</f>
        <v>138.87375113533153</v>
      </c>
      <c r="N23" s="97">
        <f>IF(ISNUMBER(G23),G23/Population!G23*10000,NA())</f>
        <v>110.29810298102981</v>
      </c>
      <c r="O23" s="98">
        <f>IF(ISNUMBER(H23),H23/Population!H23*10000,NA())</f>
        <v>83.003597122302153</v>
      </c>
      <c r="P23" s="99">
        <f t="shared" si="4"/>
        <v>83.003597122302153</v>
      </c>
      <c r="Q23" s="807" t="str">
        <f t="shared" si="0"/>
        <v>--</v>
      </c>
      <c r="R23" s="70"/>
      <c r="S23" s="340">
        <f>IDACI!C22</f>
        <v>13.600000000000001</v>
      </c>
      <c r="T23" s="341">
        <f t="shared" si="1"/>
        <v>153.41324208607344</v>
      </c>
      <c r="U23" s="342">
        <f t="shared" si="5"/>
        <v>-70.409644963771285</v>
      </c>
      <c r="V23" s="122"/>
      <c r="W23" s="139"/>
      <c r="X23" s="152"/>
      <c r="Y23" s="72" t="str">
        <f t="shared" si="2"/>
        <v>Somerset</v>
      </c>
      <c r="Z23" s="44">
        <f>IF(ISNUMBER($H23),IDACI!D22,0)</f>
        <v>95875</v>
      </c>
      <c r="AA23" s="44">
        <f>IF(ISNUMBER($H23),IDACI!E22,0)</f>
        <v>13039.000000000002</v>
      </c>
      <c r="AB23" s="205">
        <f>IF(ISNUMBER(D23),Population!D23,"")</f>
        <v>109200</v>
      </c>
      <c r="AC23" s="205">
        <f>IF(ISNUMBER(E23),Population!E23,"")</f>
        <v>109700</v>
      </c>
      <c r="AD23" s="205">
        <f>IF(ISNUMBER(F23),Population!F23,"")</f>
        <v>110100</v>
      </c>
      <c r="AE23" s="205">
        <f>IF(ISNUMBER(G23),Population!G23,"")</f>
        <v>110700</v>
      </c>
      <c r="AF23" s="205">
        <f>IF(ISNUMBER(H23),Population!H23,"")</f>
        <v>111200</v>
      </c>
      <c r="AG23" s="93" t="s">
        <v>14</v>
      </c>
      <c r="AH23" s="231">
        <f t="shared" si="6"/>
        <v>412.47563352826512</v>
      </c>
      <c r="AI23" s="206">
        <f t="shared" si="7"/>
        <v>19</v>
      </c>
      <c r="AJ23" s="202"/>
      <c r="AK23" s="160"/>
      <c r="AL23" s="853">
        <f t="shared" si="8"/>
        <v>0.2158828064764842</v>
      </c>
      <c r="AM23" s="853">
        <f t="shared" si="8"/>
        <v>-3.0437539632213063E-2</v>
      </c>
      <c r="AN23" s="853">
        <f t="shared" si="8"/>
        <v>-0.20143884892086331</v>
      </c>
      <c r="AO23" s="853">
        <f t="shared" si="8"/>
        <v>-0.24406224406224405</v>
      </c>
      <c r="AP23" s="853">
        <f t="shared" si="9"/>
        <v>-6.5013956534709066E-2</v>
      </c>
      <c r="AQ23" s="74"/>
      <c r="AR23" s="74"/>
      <c r="AS23" s="74"/>
      <c r="AT23" s="74"/>
      <c r="AU23" s="74"/>
      <c r="AV23" s="74"/>
      <c r="AW23" s="74"/>
      <c r="AX23" s="74"/>
      <c r="AY23" s="74"/>
      <c r="AZ23" s="74"/>
    </row>
    <row r="24" spans="1:52" s="87" customFormat="1" ht="13.5" customHeight="1" x14ac:dyDescent="0.2">
      <c r="A24" s="488">
        <f>VLOOKUP(B24,Sheet1!$AQ$4:$AR$25,2,FALSE)</f>
        <v>0</v>
      </c>
      <c r="B24" s="93" t="str">
        <f>Sheet1!$K$18</f>
        <v>Southampton</v>
      </c>
      <c r="C24" s="85"/>
      <c r="D24" s="94">
        <f>IF(Year1_Southampton Year1_CIN_Section47="","",Year1_Southampton Year1_CIN_Section47)</f>
        <v>1888</v>
      </c>
      <c r="E24" s="94">
        <f>IF(Year2_Southampton Year2_CIN_Section47="","",Year2_Southampton Year2_CIN_Section47)</f>
        <v>1352</v>
      </c>
      <c r="F24" s="94">
        <f>IF(Year3_Southampton Year3_CIN_Section47="","",Year3_Southampton Year3_CIN_Section47)</f>
        <v>1692</v>
      </c>
      <c r="G24" s="94">
        <f>IF(Year4_Southampton Year4_CIN_Section47="","",Year4_Southampton Year4_CIN_Section47)</f>
        <v>1713</v>
      </c>
      <c r="H24" s="95">
        <f>IF(Year5_Southampton Year5_CIN_Section47="","",Year5_Southampton Year5_CIN_Section47)</f>
        <v>2116</v>
      </c>
      <c r="I24" s="344">
        <f t="shared" si="3"/>
        <v>5.3813027635192918E-2</v>
      </c>
      <c r="J24" s="96"/>
      <c r="K24" s="97">
        <f>IF(ISNUMBER(D24),D24/Population!D24*10000,NA())</f>
        <v>383.73983739837399</v>
      </c>
      <c r="L24" s="97">
        <f>IF(ISNUMBER(E24),E24/Population!E24*10000,NA())</f>
        <v>270.9418837675351</v>
      </c>
      <c r="M24" s="97">
        <f>IF(ISNUMBER(F24),F24/Population!F24*10000,NA())</f>
        <v>336.38170974155071</v>
      </c>
      <c r="N24" s="97">
        <f>IF(ISNUMBER(G24),G24/Population!G24*10000,NA())</f>
        <v>337.20472440944877</v>
      </c>
      <c r="O24" s="98">
        <f>IF(ISNUMBER(H24),H24/Population!H24*10000,NA())</f>
        <v>412.47563352826512</v>
      </c>
      <c r="P24" s="99">
        <f t="shared" si="4"/>
        <v>412.47563352826512</v>
      </c>
      <c r="Q24" s="822">
        <f t="shared" si="0"/>
        <v>19</v>
      </c>
      <c r="R24" s="70"/>
      <c r="S24" s="340">
        <f>IDACI!C23</f>
        <v>20.5</v>
      </c>
      <c r="T24" s="341">
        <f t="shared" si="1"/>
        <v>204.76803494136232</v>
      </c>
      <c r="U24" s="342">
        <f t="shared" si="5"/>
        <v>207.7075985869028</v>
      </c>
      <c r="V24" s="122"/>
      <c r="W24" s="139"/>
      <c r="X24" s="152"/>
      <c r="Y24" s="72" t="str">
        <f t="shared" si="2"/>
        <v>Southampton</v>
      </c>
      <c r="Z24" s="44">
        <f>IF(ISNUMBER($H24),IDACI!D23,0)</f>
        <v>44295</v>
      </c>
      <c r="AA24" s="44">
        <f>IF(ISNUMBER($H24),IDACI!E23,0)</f>
        <v>9080.4750000000004</v>
      </c>
      <c r="AB24" s="205">
        <f>IF(ISNUMBER(D24),Population!D24,"")</f>
        <v>49200</v>
      </c>
      <c r="AC24" s="205">
        <f>IF(ISNUMBER(E24),Population!E24,"")</f>
        <v>49900</v>
      </c>
      <c r="AD24" s="205">
        <f>IF(ISNUMBER(F24),Population!F24,"")</f>
        <v>50300</v>
      </c>
      <c r="AE24" s="205">
        <f>IF(ISNUMBER(G24),Population!G24,"")</f>
        <v>50800</v>
      </c>
      <c r="AF24" s="205">
        <f>IF(ISNUMBER(H24),Population!H24,"")</f>
        <v>51300</v>
      </c>
      <c r="AG24" s="93" t="s">
        <v>7</v>
      </c>
      <c r="AH24" s="231">
        <f t="shared" si="6"/>
        <v>100.75815011372252</v>
      </c>
      <c r="AI24" s="206">
        <f t="shared" si="7"/>
        <v>1</v>
      </c>
      <c r="AJ24" s="202"/>
      <c r="AK24" s="160"/>
      <c r="AL24" s="853">
        <f t="shared" si="8"/>
        <v>-0.28389830508474578</v>
      </c>
      <c r="AM24" s="853">
        <f t="shared" si="8"/>
        <v>0.25147928994082841</v>
      </c>
      <c r="AN24" s="853">
        <f t="shared" si="8"/>
        <v>1.2411347517730497E-2</v>
      </c>
      <c r="AO24" s="853">
        <f t="shared" si="8"/>
        <v>0.23525977816695856</v>
      </c>
      <c r="AP24" s="853">
        <f t="shared" si="9"/>
        <v>5.3813027635192918E-2</v>
      </c>
      <c r="AQ24" s="74"/>
      <c r="AR24" s="74"/>
      <c r="AS24" s="74"/>
      <c r="AT24" s="74"/>
      <c r="AU24" s="74"/>
      <c r="AV24" s="74"/>
      <c r="AW24" s="74"/>
      <c r="AX24" s="74"/>
      <c r="AY24" s="74"/>
      <c r="AZ24" s="74"/>
    </row>
    <row r="25" spans="1:52" s="87" customFormat="1" ht="13.5" customHeight="1" x14ac:dyDescent="0.2">
      <c r="A25" s="488">
        <f>VLOOKUP(B25,Sheet1!$AQ$4:$AR$25,2,FALSE)</f>
        <v>0</v>
      </c>
      <c r="B25" s="93" t="str">
        <f>Sheet1!$K$19</f>
        <v>Surrey</v>
      </c>
      <c r="C25" s="85"/>
      <c r="D25" s="94">
        <f>IF(Year1_Surrey Year1_CIN_Section47="","",Year1_Surrey Year1_CIN_Section47)</f>
        <v>4489</v>
      </c>
      <c r="E25" s="94">
        <f>IF(Year2_Surrey Year2_CIN_Section47="","",Year2_Surrey Year2_CIN_Section47)</f>
        <v>4268</v>
      </c>
      <c r="F25" s="94">
        <f>IF(Year3_Surrey Year3_CIN_Section47="","",Year3_Surrey Year3_CIN_Section47)</f>
        <v>4165</v>
      </c>
      <c r="G25" s="94">
        <f>IF(Year4_Surrey Year4_CIN_Section47="","",Year4_Surrey Year4_CIN_Section47)</f>
        <v>4139</v>
      </c>
      <c r="H25" s="95">
        <f>IF(Year5_Surrey Year5_CIN_Section47="","",Year5_Surrey Year5_CIN_Section47)</f>
        <v>2658</v>
      </c>
      <c r="I25" s="344">
        <f t="shared" si="3"/>
        <v>-0.10935573315924854</v>
      </c>
      <c r="J25" s="96"/>
      <c r="K25" s="97">
        <f>IF(ISNUMBER(D25),D25/Population!D25*10000,NA())</f>
        <v>175.07800312012478</v>
      </c>
      <c r="L25" s="97">
        <f>IF(ISNUMBER(E25),E25/Population!E25*10000,NA())</f>
        <v>164.78764478764478</v>
      </c>
      <c r="M25" s="97">
        <f>IF(ISNUMBER(F25),F25/Population!F25*10000,NA())</f>
        <v>160.00768344218207</v>
      </c>
      <c r="N25" s="97">
        <f>IF(ISNUMBER(G25),G25/Population!G25*10000,NA())</f>
        <v>158.03741886216113</v>
      </c>
      <c r="O25" s="98">
        <f>IF(ISNUMBER(H25),H25/Population!H25*10000,NA())</f>
        <v>100.75815011372252</v>
      </c>
      <c r="P25" s="99">
        <f t="shared" si="4"/>
        <v>100.75815011372252</v>
      </c>
      <c r="Q25" s="822">
        <f t="shared" si="0"/>
        <v>1</v>
      </c>
      <c r="R25" s="70"/>
      <c r="S25" s="340">
        <f>IDACI!C24</f>
        <v>8.3000000000000007</v>
      </c>
      <c r="T25" s="341">
        <f t="shared" si="1"/>
        <v>113.96680699432979</v>
      </c>
      <c r="U25" s="342">
        <f t="shared" si="5"/>
        <v>-13.208656880607265</v>
      </c>
      <c r="V25" s="122"/>
      <c r="W25" s="139"/>
      <c r="X25" s="152"/>
      <c r="Y25" s="72" t="str">
        <f t="shared" si="2"/>
        <v>Surrey</v>
      </c>
      <c r="Z25" s="44">
        <f>IF(ISNUMBER($H25),IDACI!D24,0)</f>
        <v>228466</v>
      </c>
      <c r="AA25" s="44">
        <f>IF(ISNUMBER($H25),IDACI!E24,0)</f>
        <v>18962.678</v>
      </c>
      <c r="AB25" s="205">
        <f>IF(ISNUMBER(D25),Population!D25,"")</f>
        <v>256400</v>
      </c>
      <c r="AC25" s="205">
        <f>IF(ISNUMBER(E25),Population!E25,"")</f>
        <v>259000</v>
      </c>
      <c r="AD25" s="205">
        <f>IF(ISNUMBER(F25),Population!F25,"")</f>
        <v>260300</v>
      </c>
      <c r="AE25" s="205">
        <f>IF(ISNUMBER(G25),Population!G25,"")</f>
        <v>261900</v>
      </c>
      <c r="AF25" s="205">
        <f>IF(ISNUMBER(H25),Population!H25,"")</f>
        <v>263800</v>
      </c>
      <c r="AG25" s="93" t="s">
        <v>15</v>
      </c>
      <c r="AH25" s="231">
        <f t="shared" si="6"/>
        <v>145.22471910112358</v>
      </c>
      <c r="AI25" s="206">
        <f t="shared" si="7"/>
        <v>5</v>
      </c>
      <c r="AJ25" s="202"/>
      <c r="AK25" s="160"/>
      <c r="AL25" s="853">
        <f t="shared" si="8"/>
        <v>-4.9231454666963687E-2</v>
      </c>
      <c r="AM25" s="853">
        <f t="shared" si="8"/>
        <v>-2.4133083411433928E-2</v>
      </c>
      <c r="AN25" s="853">
        <f t="shared" si="8"/>
        <v>-6.2424969987995198E-3</v>
      </c>
      <c r="AO25" s="853">
        <f t="shared" si="8"/>
        <v>-0.35781589755979704</v>
      </c>
      <c r="AP25" s="853">
        <f t="shared" si="9"/>
        <v>-0.10935573315924854</v>
      </c>
      <c r="AQ25" s="74"/>
      <c r="AR25" s="74"/>
      <c r="AS25" s="74"/>
      <c r="AT25" s="74"/>
      <c r="AU25" s="74"/>
      <c r="AV25" s="74"/>
      <c r="AW25" s="74"/>
      <c r="AX25" s="74"/>
      <c r="AY25" s="74"/>
      <c r="AZ25" s="74"/>
    </row>
    <row r="26" spans="1:52" s="87" customFormat="1" ht="13.5" customHeight="1" x14ac:dyDescent="0.2">
      <c r="A26" s="488">
        <f>VLOOKUP(B26,Sheet1!$AQ$4:$AR$25,2,FALSE)</f>
        <v>0</v>
      </c>
      <c r="B26" s="93" t="str">
        <f>Sheet1!$K$20</f>
        <v>Swindon</v>
      </c>
      <c r="C26" s="85"/>
      <c r="D26" s="94">
        <f>IF(Year1_Swindon Year1_CIN_Section47="","",Year1_Swindon Year1_CIN_Section47)</f>
        <v>766</v>
      </c>
      <c r="E26" s="94">
        <f>IF(Year2_Swindon Year2_CIN_Section47="","",Year2_Swindon Year2_CIN_Section47)</f>
        <v>918</v>
      </c>
      <c r="F26" s="94">
        <f>IF(Year3_Swindon Year3_CIN_Section47="","",Year3_Swindon Year3_CIN_Section47)</f>
        <v>1014</v>
      </c>
      <c r="G26" s="94">
        <f>IF(Year4_Swindon Year4_CIN_Section47="","",Year4_Swindon Year4_CIN_Section47)</f>
        <v>1058</v>
      </c>
      <c r="H26" s="95">
        <f>IF(Year5_Swindon Year5_CIN_Section47="","",Year5_Swindon Year5_CIN_Section47)</f>
        <v>1048</v>
      </c>
      <c r="I26" s="344">
        <f t="shared" si="3"/>
        <v>8.4237323213496182E-2</v>
      </c>
      <c r="J26" s="96"/>
      <c r="K26" s="97">
        <f>IF(ISNUMBER(D26),D26/Population!D26*10000,NA())</f>
        <v>156.32653061224491</v>
      </c>
      <c r="L26" s="97">
        <f>IF(ISNUMBER(E26),E26/Population!E26*10000,NA())</f>
        <v>185.45454545454547</v>
      </c>
      <c r="M26" s="97">
        <f>IF(ISNUMBER(F26),F26/Population!F26*10000,NA())</f>
        <v>203.20641282565131</v>
      </c>
      <c r="N26" s="97">
        <f>IF(ISNUMBER(G26),G26/Population!G26*10000,NA())</f>
        <v>210.75697211155378</v>
      </c>
      <c r="O26" s="98">
        <f>IF(ISNUMBER(H26),H26/Population!H26*10000,NA())</f>
        <v>207.93650793650795</v>
      </c>
      <c r="P26" s="99">
        <f t="shared" si="4"/>
        <v>207.93650793650795</v>
      </c>
      <c r="Q26" s="807" t="str">
        <f t="shared" si="0"/>
        <v>--</v>
      </c>
      <c r="R26" s="70"/>
      <c r="S26" s="340">
        <f>IDACI!C25</f>
        <v>14.899999999999999</v>
      </c>
      <c r="T26" s="341">
        <f t="shared" si="1"/>
        <v>163.08878276895393</v>
      </c>
      <c r="U26" s="342">
        <f t="shared" si="5"/>
        <v>44.847725167554017</v>
      </c>
      <c r="V26" s="122"/>
      <c r="W26" s="139"/>
      <c r="X26" s="152"/>
      <c r="Y26" s="72" t="str">
        <f t="shared" si="2"/>
        <v>Swindon</v>
      </c>
      <c r="Z26" s="44">
        <f>IF(ISNUMBER($H26),IDACI!D25,0)</f>
        <v>43899</v>
      </c>
      <c r="AA26" s="44">
        <f>IF(ISNUMBER($H26),IDACI!E25,0)</f>
        <v>6540.951</v>
      </c>
      <c r="AB26" s="205">
        <f>IF(ISNUMBER(D26),Population!D26,"")</f>
        <v>49000</v>
      </c>
      <c r="AC26" s="205">
        <f>IF(ISNUMBER(E26),Population!E26,"")</f>
        <v>49500</v>
      </c>
      <c r="AD26" s="205">
        <f>IF(ISNUMBER(F26),Population!F26,"")</f>
        <v>49900</v>
      </c>
      <c r="AE26" s="205">
        <f>IF(ISNUMBER(G26),Population!G26,"")</f>
        <v>50200</v>
      </c>
      <c r="AF26" s="205">
        <f>IF(ISNUMBER(H26),Population!H26,"")</f>
        <v>50400</v>
      </c>
      <c r="AG26" s="93" t="s">
        <v>5</v>
      </c>
      <c r="AH26" s="231">
        <f t="shared" si="6"/>
        <v>174.90062464508802</v>
      </c>
      <c r="AI26" s="206">
        <f t="shared" si="7"/>
        <v>9</v>
      </c>
      <c r="AJ26" s="202"/>
      <c r="AK26" s="160"/>
      <c r="AL26" s="853">
        <f t="shared" si="8"/>
        <v>0.19843342036553524</v>
      </c>
      <c r="AM26" s="853">
        <f t="shared" si="8"/>
        <v>0.10457516339869281</v>
      </c>
      <c r="AN26" s="853">
        <f t="shared" si="8"/>
        <v>4.3392504930966469E-2</v>
      </c>
      <c r="AO26" s="853">
        <f t="shared" si="8"/>
        <v>-9.4517958412098299E-3</v>
      </c>
      <c r="AP26" s="853">
        <f t="shared" si="9"/>
        <v>8.4237323213496182E-2</v>
      </c>
      <c r="AQ26" s="74"/>
      <c r="AR26" s="74"/>
      <c r="AS26" s="74"/>
      <c r="AT26" s="74"/>
      <c r="AU26" s="74"/>
      <c r="AV26" s="74"/>
      <c r="AW26" s="74"/>
      <c r="AX26" s="74"/>
      <c r="AY26" s="74"/>
      <c r="AZ26" s="74"/>
    </row>
    <row r="27" spans="1:52" s="87" customFormat="1" ht="13.5" customHeight="1" x14ac:dyDescent="0.2">
      <c r="A27" s="488">
        <f>VLOOKUP(B27,Sheet1!$AQ$4:$AR$25,2,FALSE)</f>
        <v>0</v>
      </c>
      <c r="B27" s="93" t="str">
        <f>Sheet1!$K$21</f>
        <v>Torbay</v>
      </c>
      <c r="C27" s="85"/>
      <c r="D27" s="94">
        <f>IF(Year1_Torbay Year1_CIN_Section47="","",Year1_Torbay Year1_CIN_Section47)</f>
        <v>789</v>
      </c>
      <c r="E27" s="94">
        <f>IF(Year2_Torbay Year2_CIN_Section47="","",Year2_Torbay Year2_CIN_Section47)</f>
        <v>760</v>
      </c>
      <c r="F27" s="94">
        <f>IF(Year3_Torbay Year3_CIN_Section47="","",Year3_Torbay Year3_CIN_Section47)</f>
        <v>692</v>
      </c>
      <c r="G27" s="94">
        <f>IF(Year4_Torbay Year4_CIN_Section47="","",Year4_Torbay Year4_CIN_Section47)</f>
        <v>776</v>
      </c>
      <c r="H27" s="95">
        <f>IF(Year5_Torbay Year5_CIN_Section47="","",Year5_Torbay Year5_CIN_Section47)</f>
        <v>807</v>
      </c>
      <c r="I27" s="344">
        <f t="shared" si="3"/>
        <v>8.7766665173607053E-3</v>
      </c>
      <c r="J27" s="96"/>
      <c r="K27" s="97">
        <f>IF(ISNUMBER(D27),D27/Population!D27*10000,NA())</f>
        <v>313.09523809523807</v>
      </c>
      <c r="L27" s="97">
        <f>IF(ISNUMBER(E27),E27/Population!E27*10000,NA())</f>
        <v>299.21259842519686</v>
      </c>
      <c r="M27" s="97">
        <f>IF(ISNUMBER(F27),F27/Population!F27*10000,NA())</f>
        <v>272.44094488188978</v>
      </c>
      <c r="N27" s="97">
        <f>IF(ISNUMBER(G27),G27/Population!G27*10000,NA())</f>
        <v>305.51181102362204</v>
      </c>
      <c r="O27" s="98">
        <f>IF(ISNUMBER(H27),H27/Population!H27*10000,NA())</f>
        <v>315.234375</v>
      </c>
      <c r="P27" s="99">
        <f t="shared" si="4"/>
        <v>315.234375</v>
      </c>
      <c r="Q27" s="807" t="str">
        <f t="shared" si="0"/>
        <v>--</v>
      </c>
      <c r="R27" s="70"/>
      <c r="S27" s="340">
        <f>IDACI!C26</f>
        <v>21.9</v>
      </c>
      <c r="T27" s="341">
        <f t="shared" si="1"/>
        <v>215.18784798446438</v>
      </c>
      <c r="U27" s="342">
        <f t="shared" si="5"/>
        <v>100.04652701553562</v>
      </c>
      <c r="V27" s="122"/>
      <c r="W27" s="139"/>
      <c r="X27" s="152"/>
      <c r="Y27" s="72" t="str">
        <f t="shared" si="2"/>
        <v>Torbay</v>
      </c>
      <c r="Z27" s="44">
        <f>IF(ISNUMBER($H27),IDACI!D26,0)</f>
        <v>22257</v>
      </c>
      <c r="AA27" s="44">
        <f>IF(ISNUMBER($H27),IDACI!E26,0)</f>
        <v>4874.2829999999994</v>
      </c>
      <c r="AB27" s="205">
        <f>IF(ISNUMBER(D27),Population!D27,"")</f>
        <v>25200</v>
      </c>
      <c r="AC27" s="205">
        <f>IF(ISNUMBER(E27),Population!E27,"")</f>
        <v>25400</v>
      </c>
      <c r="AD27" s="205">
        <f>IF(ISNUMBER(F27),Population!F27,"")</f>
        <v>25400</v>
      </c>
      <c r="AE27" s="205">
        <f>IF(ISNUMBER(G27),Population!G27,"")</f>
        <v>25400</v>
      </c>
      <c r="AF27" s="205">
        <f>IF(ISNUMBER(H27),Population!H27,"")</f>
        <v>25600</v>
      </c>
      <c r="AG27" s="93" t="s">
        <v>30</v>
      </c>
      <c r="AH27" s="231">
        <f t="shared" si="6"/>
        <v>172.04610951008647</v>
      </c>
      <c r="AI27" s="206">
        <f t="shared" si="7"/>
        <v>8</v>
      </c>
      <c r="AJ27" s="202"/>
      <c r="AK27" s="160"/>
      <c r="AL27" s="853">
        <f t="shared" si="8"/>
        <v>-3.6755386565272496E-2</v>
      </c>
      <c r="AM27" s="853">
        <f t="shared" si="8"/>
        <v>-8.9473684210526316E-2</v>
      </c>
      <c r="AN27" s="853">
        <f t="shared" si="8"/>
        <v>0.12138728323699421</v>
      </c>
      <c r="AO27" s="853">
        <f t="shared" si="8"/>
        <v>3.994845360824742E-2</v>
      </c>
      <c r="AP27" s="853">
        <f t="shared" si="9"/>
        <v>8.7766665173607053E-3</v>
      </c>
      <c r="AQ27" s="74"/>
      <c r="AR27" s="74"/>
      <c r="AS27" s="74"/>
      <c r="AT27" s="74"/>
      <c r="AU27" s="74"/>
      <c r="AV27" s="74"/>
      <c r="AW27" s="74"/>
      <c r="AX27" s="74"/>
      <c r="AY27" s="74"/>
      <c r="AZ27" s="74"/>
    </row>
    <row r="28" spans="1:52" s="87" customFormat="1" ht="13.5" customHeight="1" x14ac:dyDescent="0.2">
      <c r="A28" s="488">
        <f>VLOOKUP(B28,Sheet1!$AQ$4:$AR$25,2,FALSE)</f>
        <v>0</v>
      </c>
      <c r="B28" s="93" t="str">
        <f>Sheet1!$K$22</f>
        <v>West Berkshire</v>
      </c>
      <c r="C28" s="85"/>
      <c r="D28" s="94">
        <f>IF(Year1_West_Berkshire Year1_CIN_Section47="","",Year1_West_Berkshire Year1_CIN_Section47)</f>
        <v>644</v>
      </c>
      <c r="E28" s="100">
        <f>IF(Year2_West_Berkshire Year2_CIN_Section47="","",Year2_West_Berkshire Year2_CIN_Section47)</f>
        <v>553</v>
      </c>
      <c r="F28" s="94">
        <f>IF(Year3_West_Berkshire Year3_CIN_Section47="","",Year3_West_Berkshire Year3_CIN_Section47)</f>
        <v>621</v>
      </c>
      <c r="G28" s="94">
        <f>IF(Year4_West_Berkshire Year4_CIN_Section47="","",Year4_West_Berkshire Year4_CIN_Section47)</f>
        <v>556</v>
      </c>
      <c r="H28" s="95">
        <f>IF(Year5_West_Berkshire Year5_CIN_Section47="","",Year5_West_Berkshire Year5_CIN_Section47)</f>
        <v>517</v>
      </c>
      <c r="I28" s="344">
        <f t="shared" si="3"/>
        <v>-4.8288119510943125E-2</v>
      </c>
      <c r="J28" s="96"/>
      <c r="K28" s="97">
        <f>IF(ISNUMBER(D28),D28/Population!D28*10000,NA())</f>
        <v>180.39215686274511</v>
      </c>
      <c r="L28" s="97">
        <f>IF(ISNUMBER(E28),E28/Population!E28*10000,NA())</f>
        <v>154.03899721448468</v>
      </c>
      <c r="M28" s="97">
        <f>IF(ISNUMBER(F28),F28/Population!F28*10000,NA())</f>
        <v>173.46368715083798</v>
      </c>
      <c r="N28" s="97">
        <f>IF(ISNUMBER(G28),G28/Population!G28*10000,NA())</f>
        <v>156.17977528089887</v>
      </c>
      <c r="O28" s="98">
        <f>IF(ISNUMBER(H28),H28/Population!H28*10000,NA())</f>
        <v>145.22471910112358</v>
      </c>
      <c r="P28" s="99">
        <f t="shared" si="4"/>
        <v>145.22471910112358</v>
      </c>
      <c r="Q28" s="822">
        <f t="shared" si="0"/>
        <v>5</v>
      </c>
      <c r="R28" s="70"/>
      <c r="S28" s="340">
        <f>IDACI!C27</f>
        <v>8.6999999999999993</v>
      </c>
      <c r="T28" s="341">
        <f t="shared" si="1"/>
        <v>116.94389643521609</v>
      </c>
      <c r="U28" s="342">
        <f t="shared" si="5"/>
        <v>28.280822665907493</v>
      </c>
      <c r="V28" s="122"/>
      <c r="W28" s="139"/>
      <c r="X28" s="152"/>
      <c r="Y28" s="72" t="str">
        <f t="shared" si="2"/>
        <v>West Berkshire</v>
      </c>
      <c r="Z28" s="44">
        <f>IF(ISNUMBER($H28),IDACI!D27,0)</f>
        <v>31625</v>
      </c>
      <c r="AA28" s="44">
        <f>IF(ISNUMBER($H28),IDACI!E27,0)</f>
        <v>2751.375</v>
      </c>
      <c r="AB28" s="205">
        <f>IF(ISNUMBER(D28),Population!D28,"")</f>
        <v>35700</v>
      </c>
      <c r="AC28" s="205">
        <f>IF(ISNUMBER(E28),Population!E28,"")</f>
        <v>35900</v>
      </c>
      <c r="AD28" s="205">
        <f>IF(ISNUMBER(F28),Population!F28,"")</f>
        <v>35800</v>
      </c>
      <c r="AE28" s="205">
        <f>IF(ISNUMBER(G28),Population!G28,"")</f>
        <v>35600</v>
      </c>
      <c r="AF28" s="205">
        <f>IF(ISNUMBER(H28),Population!H28,"")</f>
        <v>35600</v>
      </c>
      <c r="AG28" s="93" t="s">
        <v>16</v>
      </c>
      <c r="AH28" s="231">
        <f t="shared" si="6"/>
        <v>160.8910891089109</v>
      </c>
      <c r="AI28" s="206">
        <f t="shared" si="7"/>
        <v>6</v>
      </c>
      <c r="AJ28" s="202"/>
      <c r="AK28" s="160"/>
      <c r="AL28" s="853">
        <f t="shared" si="8"/>
        <v>-0.14130434782608695</v>
      </c>
      <c r="AM28" s="853">
        <f t="shared" si="8"/>
        <v>0.12296564195298372</v>
      </c>
      <c r="AN28" s="853">
        <f t="shared" si="8"/>
        <v>-0.10466988727858294</v>
      </c>
      <c r="AO28" s="853">
        <f t="shared" si="8"/>
        <v>-7.0143884892086325E-2</v>
      </c>
      <c r="AP28" s="853">
        <f t="shared" si="9"/>
        <v>-4.8288119510943125E-2</v>
      </c>
      <c r="AQ28" s="74"/>
      <c r="AR28" s="74"/>
      <c r="AS28" s="74"/>
      <c r="AT28" s="74"/>
      <c r="AU28" s="74"/>
      <c r="AV28" s="74"/>
      <c r="AW28" s="74"/>
      <c r="AX28" s="74"/>
      <c r="AY28" s="74"/>
      <c r="AZ28" s="74"/>
    </row>
    <row r="29" spans="1:52" s="87" customFormat="1" ht="13.5" customHeight="1" x14ac:dyDescent="0.2">
      <c r="A29" s="488">
        <f>VLOOKUP(B29,Sheet1!$AQ$4:$AR$25,2,FALSE)</f>
        <v>0</v>
      </c>
      <c r="B29" s="93" t="str">
        <f>Sheet1!$K$23</f>
        <v>West Sussex</v>
      </c>
      <c r="C29" s="85"/>
      <c r="D29" s="94">
        <f>IF(Year1_West_Sussex Year1_CIN_Section47="","",Year1_West_Sussex Year1_CIN_Section47)</f>
        <v>1805</v>
      </c>
      <c r="E29" s="100">
        <f>IF(Year2_West_Sussex Year2_CIN_Section47="","",Year2_West_Sussex Year2_CIN_Section47)</f>
        <v>2169</v>
      </c>
      <c r="F29" s="94">
        <f>IF(Year3_West_Sussex Year3_CIN_Section47="","",Year3_West_Sussex Year3_CIN_Section47)</f>
        <v>3003</v>
      </c>
      <c r="G29" s="94">
        <f>IF(Year4_West_Sussex Year4_CIN_Section47="","",Year4_West_Sussex Year4_CIN_Section47)</f>
        <v>2894</v>
      </c>
      <c r="H29" s="95">
        <f>IF(Year5_West_Sussex Year5_CIN_Section47="","",Year5_West_Sussex Year5_CIN_Section47)</f>
        <v>3080</v>
      </c>
      <c r="I29" s="344">
        <f t="shared" si="3"/>
        <v>0.15353622730098326</v>
      </c>
      <c r="J29" s="96"/>
      <c r="K29" s="97">
        <f>IF(ISNUMBER(D29),D29/Population!D29*10000,NA())</f>
        <v>105.92723004694835</v>
      </c>
      <c r="L29" s="97">
        <f>IF(ISNUMBER(E29),E29/Population!E29*10000,NA())</f>
        <v>126.25145518044236</v>
      </c>
      <c r="M29" s="97">
        <f>IF(ISNUMBER(F29),F29/Population!F29*10000,NA())</f>
        <v>173.28332371609926</v>
      </c>
      <c r="N29" s="97">
        <f>IF(ISNUMBER(G29),G29/Population!G29*10000,NA())</f>
        <v>165.65540927303948</v>
      </c>
      <c r="O29" s="98">
        <f>IF(ISNUMBER(H29),H29/Population!H29*10000,NA())</f>
        <v>174.90062464508802</v>
      </c>
      <c r="P29" s="99">
        <f t="shared" si="4"/>
        <v>174.90062464508802</v>
      </c>
      <c r="Q29" s="822">
        <f t="shared" si="0"/>
        <v>9</v>
      </c>
      <c r="R29" s="70"/>
      <c r="S29" s="340">
        <f>IDACI!C28</f>
        <v>11</v>
      </c>
      <c r="T29" s="341">
        <f t="shared" si="1"/>
        <v>134.06216072031239</v>
      </c>
      <c r="U29" s="342">
        <f t="shared" si="5"/>
        <v>40.838463924775624</v>
      </c>
      <c r="V29" s="122"/>
      <c r="W29" s="139"/>
      <c r="X29" s="152"/>
      <c r="Y29" s="72" t="str">
        <f t="shared" si="2"/>
        <v>West Sussex</v>
      </c>
      <c r="Z29" s="44">
        <f>IF(ISNUMBER($H29),IDACI!D28,0)</f>
        <v>151487</v>
      </c>
      <c r="AA29" s="44">
        <f>IF(ISNUMBER($H29),IDACI!E28,0)</f>
        <v>16663.57</v>
      </c>
      <c r="AB29" s="205">
        <f>IF(ISNUMBER(D29),Population!D29,"")</f>
        <v>170400</v>
      </c>
      <c r="AC29" s="205">
        <f>IF(ISNUMBER(E29),Population!E29,"")</f>
        <v>171800</v>
      </c>
      <c r="AD29" s="205">
        <f>IF(ISNUMBER(F29),Population!F29,"")</f>
        <v>173300</v>
      </c>
      <c r="AE29" s="205">
        <f>IF(ISNUMBER(G29),Population!G29,"")</f>
        <v>174700</v>
      </c>
      <c r="AF29" s="205">
        <f>IF(ISNUMBER(H29),Population!H29,"")</f>
        <v>176100</v>
      </c>
      <c r="AG29" s="202"/>
      <c r="AH29" s="202"/>
      <c r="AI29" s="190"/>
      <c r="AJ29" s="202"/>
      <c r="AK29" s="160"/>
      <c r="AL29" s="853">
        <f t="shared" si="8"/>
        <v>0.20166204986149586</v>
      </c>
      <c r="AM29" s="853">
        <f t="shared" si="8"/>
        <v>0.38450899031811897</v>
      </c>
      <c r="AN29" s="853">
        <f t="shared" si="8"/>
        <v>-3.6297036297036296E-2</v>
      </c>
      <c r="AO29" s="853">
        <f t="shared" si="8"/>
        <v>6.4270905321354529E-2</v>
      </c>
      <c r="AP29" s="853">
        <f t="shared" si="9"/>
        <v>0.15353622730098326</v>
      </c>
      <c r="AQ29" s="74"/>
      <c r="AR29" s="74"/>
      <c r="AS29" s="74"/>
      <c r="AT29" s="74"/>
      <c r="AU29" s="74"/>
      <c r="AV29" s="74"/>
      <c r="AW29" s="74"/>
      <c r="AX29" s="74"/>
      <c r="AY29" s="74"/>
      <c r="AZ29" s="74"/>
    </row>
    <row r="30" spans="1:52" s="87" customFormat="1" ht="13.5" customHeight="1" x14ac:dyDescent="0.2">
      <c r="A30" s="488">
        <f>VLOOKUP(B30,Sheet1!$AQ$4:$AR$25,2,FALSE)</f>
        <v>0</v>
      </c>
      <c r="B30" s="93" t="str">
        <f>Sheet1!$K$24</f>
        <v>Windsor &amp; Maidenhead</v>
      </c>
      <c r="C30" s="85"/>
      <c r="D30" s="100">
        <f>IF(Year1_Windsor_Maidenhead Year1_CIN_Section47="","",Year1_Windsor_Maidenhead Year1_CIN_Section47)</f>
        <v>437</v>
      </c>
      <c r="E30" s="94">
        <f>IF(Year2_Windsor_Maidenhead Year2_CIN_Section47="","",Year2_Windsor_Maidenhead Year2_CIN_Section47)</f>
        <v>457</v>
      </c>
      <c r="F30" s="94">
        <f>IF(Year3_Windsor_Maidenhead Year3_CIN_Section47="","",Year3_Windsor_Maidenhead Year3_CIN_Section47)</f>
        <v>350</v>
      </c>
      <c r="G30" s="94">
        <f>IF(Year4_Windsor_Maidenhead Year4_CIN_Section47="","",Year4_Windsor_Maidenhead Year4_CIN_Section47)</f>
        <v>522</v>
      </c>
      <c r="H30" s="95">
        <f>IF(Year5_Windsor_Maidenhead Year5_CIN_Section47="","",Year5_Windsor_Maidenhead Year5_CIN_Section47)</f>
        <v>597</v>
      </c>
      <c r="I30" s="344">
        <f t="shared" si="3"/>
        <v>0.1116844138352666</v>
      </c>
      <c r="J30" s="96"/>
      <c r="K30" s="97">
        <f>IF(ISNUMBER(D30),D30/Population!D30*10000,NA())</f>
        <v>129.67359050445106</v>
      </c>
      <c r="L30" s="97">
        <f>IF(ISNUMBER(E30),E30/Population!E30*10000,NA())</f>
        <v>133.62573099415204</v>
      </c>
      <c r="M30" s="97">
        <f>IF(ISNUMBER(F30),F30/Population!F30*10000,NA())</f>
        <v>101.74418604651163</v>
      </c>
      <c r="N30" s="97">
        <f>IF(ISNUMBER(G30),G30/Population!G30*10000,NA())</f>
        <v>150.86705202312137</v>
      </c>
      <c r="O30" s="98">
        <f>IF(ISNUMBER(H30),H30/Population!H30*10000,NA())</f>
        <v>172.04610951008647</v>
      </c>
      <c r="P30" s="99">
        <f t="shared" si="4"/>
        <v>172.04610951008647</v>
      </c>
      <c r="Q30" s="822">
        <f t="shared" si="0"/>
        <v>8</v>
      </c>
      <c r="R30" s="70"/>
      <c r="S30" s="340">
        <f>IDACI!C29</f>
        <v>6.7</v>
      </c>
      <c r="T30" s="341">
        <f t="shared" si="1"/>
        <v>102.05844923078453</v>
      </c>
      <c r="U30" s="342">
        <f t="shared" si="5"/>
        <v>69.987660279301934</v>
      </c>
      <c r="V30" s="122"/>
      <c r="W30" s="139"/>
      <c r="X30" s="152"/>
      <c r="Y30" s="72" t="str">
        <f t="shared" si="2"/>
        <v>Windsor &amp; Maidenhead</v>
      </c>
      <c r="Z30" s="44">
        <f>IF(ISNUMBER($H30),IDACI!D29,0)</f>
        <v>29792</v>
      </c>
      <c r="AA30" s="44">
        <f>IF(ISNUMBER($H30),IDACI!E29,0)</f>
        <v>1996.0640000000001</v>
      </c>
      <c r="AB30" s="205">
        <f>IF(ISNUMBER(D30),Population!D30,"")</f>
        <v>33700</v>
      </c>
      <c r="AC30" s="205">
        <f>IF(ISNUMBER(E30),Population!E30,"")</f>
        <v>34200</v>
      </c>
      <c r="AD30" s="205">
        <f>IF(ISNUMBER(F30),Population!F30,"")</f>
        <v>34400</v>
      </c>
      <c r="AE30" s="205">
        <f>IF(ISNUMBER(G30),Population!G30,"")</f>
        <v>34600</v>
      </c>
      <c r="AF30" s="205">
        <f>IF(ISNUMBER(H30),Population!H30,"")</f>
        <v>34700</v>
      </c>
      <c r="AG30" s="202"/>
      <c r="AH30" s="202"/>
      <c r="AI30" s="190"/>
      <c r="AJ30" s="202"/>
      <c r="AK30" s="160"/>
      <c r="AL30" s="853">
        <f t="shared" si="8"/>
        <v>4.5766590389016017E-2</v>
      </c>
      <c r="AM30" s="853">
        <f t="shared" si="8"/>
        <v>-0.23413566739606126</v>
      </c>
      <c r="AN30" s="853">
        <f t="shared" si="8"/>
        <v>0.49142857142857144</v>
      </c>
      <c r="AO30" s="853">
        <f t="shared" si="8"/>
        <v>0.14367816091954022</v>
      </c>
      <c r="AP30" s="853">
        <f t="shared" si="9"/>
        <v>0.1116844138352666</v>
      </c>
      <c r="AQ30" s="74"/>
      <c r="AR30" s="74"/>
      <c r="AS30" s="74"/>
      <c r="AT30" s="74"/>
      <c r="AU30" s="74"/>
      <c r="AV30" s="74"/>
      <c r="AW30" s="74"/>
      <c r="AX30" s="74"/>
      <c r="AY30" s="74"/>
      <c r="AZ30" s="74"/>
    </row>
    <row r="31" spans="1:52" s="87" customFormat="1" ht="13.5" customHeight="1" x14ac:dyDescent="0.2">
      <c r="A31" s="488">
        <f>VLOOKUP(B31,Sheet1!$AQ$4:$AR$25,2,FALSE)</f>
        <v>0</v>
      </c>
      <c r="B31" s="93" t="str">
        <f>Sheet1!$K$25</f>
        <v>Wokingham</v>
      </c>
      <c r="C31" s="85"/>
      <c r="D31" s="100">
        <f>IF(Year1_Wokingham Year1_CIN_Section47="","",Year1_Wokingham Year1_CIN_Section47)</f>
        <v>346</v>
      </c>
      <c r="E31" s="94">
        <f>IF(Year2_Wokingham Year2_CIN_Section47="","",Year2_Wokingham Year2_CIN_Section47)</f>
        <v>263</v>
      </c>
      <c r="F31" s="94">
        <f>IF(Year3_Wokingham Year3_CIN_Section47="","",Year3_Wokingham Year3_CIN_Section47)</f>
        <v>471</v>
      </c>
      <c r="G31" s="94">
        <f>IF(Year4_Wokingham Year4_CIN_Section47="","",Year4_Wokingham Year4_CIN_Section47)</f>
        <v>655</v>
      </c>
      <c r="H31" s="95">
        <f>IF(Year5_Wokingham Year5_CIN_Section47="","",Year5_Wokingham Year5_CIN_Section47)</f>
        <v>650</v>
      </c>
      <c r="I31" s="344">
        <f t="shared" si="3"/>
        <v>0.23350367949066253</v>
      </c>
      <c r="J31" s="96"/>
      <c r="K31" s="97">
        <f>IF(ISNUMBER(D31),D31/Population!D31*10000,NA())</f>
        <v>92.761394101876675</v>
      </c>
      <c r="L31" s="97">
        <f>IF(ISNUMBER(E31),E31/Population!E31*10000,NA())</f>
        <v>69.21052631578948</v>
      </c>
      <c r="M31" s="97">
        <f>IF(ISNUMBER(F31),F31/Population!F31*10000,NA())</f>
        <v>121.70542635658914</v>
      </c>
      <c r="N31" s="97">
        <f>IF(ISNUMBER(G31),G31/Population!G31*10000,NA())</f>
        <v>165.82278481012659</v>
      </c>
      <c r="O31" s="98">
        <f>IF(ISNUMBER(H31),H31/Population!H31*10000,NA())</f>
        <v>160.8910891089109</v>
      </c>
      <c r="P31" s="99">
        <f t="shared" si="4"/>
        <v>160.8910891089109</v>
      </c>
      <c r="Q31" s="822">
        <f t="shared" si="0"/>
        <v>6</v>
      </c>
      <c r="R31" s="70"/>
      <c r="S31" s="340">
        <f>IDACI!C30</f>
        <v>5.6000000000000005</v>
      </c>
      <c r="T31" s="341">
        <f t="shared" si="1"/>
        <v>93.871453268347182</v>
      </c>
      <c r="U31" s="342">
        <f t="shared" si="5"/>
        <v>67.019635840563723</v>
      </c>
      <c r="V31" s="122"/>
      <c r="W31" s="139"/>
      <c r="X31" s="152"/>
      <c r="Y31" s="72" t="str">
        <f t="shared" si="2"/>
        <v>Wokingham</v>
      </c>
      <c r="Z31" s="44">
        <f>IF(ISNUMBER($H31),IDACI!D30,0)</f>
        <v>33327</v>
      </c>
      <c r="AA31" s="44">
        <f>IF(ISNUMBER($H31),IDACI!E30,0)</f>
        <v>1866.3120000000004</v>
      </c>
      <c r="AB31" s="205">
        <f>IF(ISNUMBER(D31),Population!D31,"")</f>
        <v>37300</v>
      </c>
      <c r="AC31" s="205">
        <f>IF(ISNUMBER(E31),Population!E31,"")</f>
        <v>38000</v>
      </c>
      <c r="AD31" s="205">
        <f>IF(ISNUMBER(F31),Population!F31,"")</f>
        <v>38700</v>
      </c>
      <c r="AE31" s="205">
        <f>IF(ISNUMBER(G31),Population!G31,"")</f>
        <v>39500</v>
      </c>
      <c r="AF31" s="205">
        <f>IF(ISNUMBER(H31),Population!H31,"")</f>
        <v>40400</v>
      </c>
      <c r="AG31" s="202"/>
      <c r="AH31" s="202"/>
      <c r="AI31" s="190"/>
      <c r="AJ31" s="202"/>
      <c r="AK31" s="160"/>
      <c r="AL31" s="853">
        <f t="shared" si="8"/>
        <v>-0.23988439306358381</v>
      </c>
      <c r="AM31" s="853">
        <f t="shared" si="8"/>
        <v>0.79087452471482889</v>
      </c>
      <c r="AN31" s="853">
        <f t="shared" si="8"/>
        <v>0.39065817409766457</v>
      </c>
      <c r="AO31" s="853">
        <f t="shared" si="8"/>
        <v>-7.6335877862595417E-3</v>
      </c>
      <c r="AP31" s="853">
        <f t="shared" si="9"/>
        <v>0.23350367949066253</v>
      </c>
      <c r="AQ31" s="74"/>
      <c r="AR31" s="74"/>
      <c r="AS31" s="74"/>
      <c r="AT31" s="74"/>
      <c r="AU31" s="74"/>
      <c r="AV31" s="74"/>
      <c r="AW31" s="74"/>
      <c r="AX31" s="74"/>
      <c r="AY31" s="74"/>
      <c r="AZ31" s="74"/>
    </row>
    <row r="32" spans="1:52" s="87" customFormat="1" ht="13.5" customHeight="1" x14ac:dyDescent="0.2">
      <c r="A32" s="121"/>
      <c r="B32" s="129" t="str">
        <f>Sheet1!$K$26</f>
        <v>South East</v>
      </c>
      <c r="C32" s="85"/>
      <c r="D32" s="130">
        <f>IF(Year1_SouthEast Year1_CIN_Section47="","",Year1_SouthEast Year1_CIN_Section47)</f>
        <v>30640</v>
      </c>
      <c r="E32" s="130">
        <f>IF(Year2_SouthEast Year2_CIN_Section47="","",Year2_SouthEast Year2_CIN_Section47)</f>
        <v>30820</v>
      </c>
      <c r="F32" s="130">
        <f>IF(Year3_SouthEast Year3_CIN_Section47="","",Year3_SouthEast Year3_CIN_Section47)</f>
        <v>32400</v>
      </c>
      <c r="G32" s="130">
        <f>IF(Year4_SouthEast Year4_CIN_Section47="","",Year4_SouthEast Year4_CIN_Section47)</f>
        <v>33690</v>
      </c>
      <c r="H32" s="131">
        <f>IF(Year5_SouthEast Year5_CIN_Section47="","",Year5_SouthEast Year5_CIN_Section47)</f>
        <v>35260</v>
      </c>
      <c r="I32" s="357">
        <f t="shared" si="3"/>
        <v>2.9116856844613612E-2</v>
      </c>
      <c r="J32" s="96"/>
      <c r="K32" s="132">
        <f>IF(ISNUMBER(D32),D32/AB32*10000,NA())</f>
        <v>159.74141077107555</v>
      </c>
      <c r="L32" s="132">
        <f>IF(ISNUMBER(E32),E32/AC32*10000,NA())</f>
        <v>159.4330350214681</v>
      </c>
      <c r="M32" s="132">
        <f>IF(ISNUMBER(F32),F32/AD32*10000,NA())</f>
        <v>166.67524049591029</v>
      </c>
      <c r="N32" s="132">
        <f>IF(ISNUMBER(G32),G32/AE32*10000,NA())</f>
        <v>172.11607234086031</v>
      </c>
      <c r="O32" s="133">
        <f>IF(ISNUMBER(H32),H32/AF32*10000,NA())</f>
        <v>179.05748527320739</v>
      </c>
      <c r="P32" s="99">
        <f t="shared" si="4"/>
        <v>179.05748527320739</v>
      </c>
      <c r="Q32" s="134" t="str">
        <f t="shared" si="0"/>
        <v>--</v>
      </c>
      <c r="R32" s="70"/>
      <c r="S32" s="338">
        <f>AA32/Z32*100</f>
        <v>12.371268250968637</v>
      </c>
      <c r="T32" s="338">
        <f t="shared" si="1"/>
        <v>144.26813129676583</v>
      </c>
      <c r="U32" s="343">
        <f t="shared" si="5"/>
        <v>34.789353976441561</v>
      </c>
      <c r="V32" s="122"/>
      <c r="W32" s="139"/>
      <c r="X32" s="152"/>
      <c r="Y32" s="72" t="str">
        <f t="shared" si="2"/>
        <v>South East</v>
      </c>
      <c r="Z32" s="44">
        <f>SUM(Z24:Z25,Z10:Z22,Z28:Z31)</f>
        <v>1704978</v>
      </c>
      <c r="AA32" s="44">
        <f>SUM(AA24:AA25,AA10:AA22,AA28:AA31)</f>
        <v>210927.40200000003</v>
      </c>
      <c r="AB32" s="205">
        <f>SUM(AB10:AB22,AB24:AB25,AB28:AB31)</f>
        <v>1918100</v>
      </c>
      <c r="AC32" s="205">
        <f t="shared" ref="AC32:AE32" si="10">SUM(AC10:AC22,AC24:AC25,AC28:AC31)</f>
        <v>1933100</v>
      </c>
      <c r="AD32" s="205">
        <f t="shared" si="10"/>
        <v>1943900</v>
      </c>
      <c r="AE32" s="205">
        <f t="shared" si="10"/>
        <v>1957400</v>
      </c>
      <c r="AF32" s="205">
        <f>SUM(AF10:AF22,AF24:AF25,AF28:AF31)</f>
        <v>1969200</v>
      </c>
      <c r="AG32" s="202"/>
      <c r="AH32" s="202"/>
      <c r="AI32" s="190"/>
      <c r="AJ32" s="202"/>
      <c r="AK32" s="160"/>
      <c r="AL32" s="1025">
        <f>IF(ISERROR((L32-K32)/K32),"x",(L32-K32)/K32)</f>
        <v>-1.9304684246803177E-3</v>
      </c>
      <c r="AM32" s="1025">
        <f t="shared" ref="AM32:AN32" si="11">IF(ISERROR((M32-L32)/L32),"x",(M32-L32)/L32)</f>
        <v>4.5424748224023988E-2</v>
      </c>
      <c r="AN32" s="1025">
        <f t="shared" si="11"/>
        <v>3.2643311800612203E-2</v>
      </c>
      <c r="AO32" s="1025">
        <f>IF(ISERROR((O32-N32)/N32),"x",(O32-N32)/N32)</f>
        <v>4.0329835778498579E-2</v>
      </c>
      <c r="AP32" s="853">
        <f>AVERAGE(AL32:AO32)</f>
        <v>2.9116856844613612E-2</v>
      </c>
      <c r="AQ32" s="74"/>
      <c r="AR32" s="74"/>
      <c r="AS32" s="74"/>
      <c r="AT32" s="74"/>
      <c r="AU32" s="74"/>
      <c r="AV32" s="74"/>
      <c r="AW32" s="74"/>
      <c r="AX32" s="74"/>
      <c r="AY32" s="74"/>
      <c r="AZ32" s="74"/>
    </row>
    <row r="33" spans="1:52" s="87" customFormat="1" ht="12.75" x14ac:dyDescent="0.2">
      <c r="A33" s="292"/>
      <c r="B33" s="329" t="str">
        <f>Sheet1!$K$27</f>
        <v>England</v>
      </c>
      <c r="C33" s="85"/>
      <c r="D33" s="330">
        <f>IF(Year1_England Year1_CIN_Section47="","",Year1_England Year1_CIN_Section47)</f>
        <v>172290</v>
      </c>
      <c r="E33" s="330">
        <f>IF(Year2_England Year2_CIN_Section47="","",Year2_England Year2_CIN_Section47)</f>
        <v>185450</v>
      </c>
      <c r="F33" s="330">
        <f>IF(Year3_England Year3_CIN_Section47="","",Year3_England Year3_CIN_Section47)</f>
        <v>198090</v>
      </c>
      <c r="G33" s="330">
        <f>IF(Year4_England Year4_CIN_Section47="","",Year4_England Year4_CIN_Section47)</f>
        <v>201170</v>
      </c>
      <c r="H33" s="331">
        <f>IF(Year5_England Year5_CIN_Section47="","",Year5_England Year5_CIN_Section47)</f>
        <v>201000</v>
      </c>
      <c r="I33" s="358">
        <f t="shared" si="3"/>
        <v>3.9811201954903119E-2</v>
      </c>
      <c r="J33" s="96"/>
      <c r="K33" s="332">
        <f>IF(ISNUMBER(D33),D33/Population!D33*10000,NA())</f>
        <v>147.5350876441826</v>
      </c>
      <c r="L33" s="332">
        <f>IF(ISNUMBER(E33),E33/Population!E33*10000,NA())</f>
        <v>157.35704649011907</v>
      </c>
      <c r="M33" s="332">
        <f>IF(ISNUMBER(F33),F33/Population!F33*10000,NA())</f>
        <v>166.92508637397827</v>
      </c>
      <c r="N33" s="332">
        <f>IF(ISNUMBER(G33),G33/Population!G33*10000,NA())</f>
        <v>168.278319642648</v>
      </c>
      <c r="O33" s="625">
        <f>IF(ISNUMBER(H33),H33/Population!H33*10000,NA())</f>
        <v>167.17122991450148</v>
      </c>
      <c r="P33" s="99">
        <f t="shared" si="4"/>
        <v>167.17122991450148</v>
      </c>
      <c r="Q33" s="858" t="str">
        <f t="shared" si="0"/>
        <v>--</v>
      </c>
      <c r="R33" s="70"/>
      <c r="S33" s="339">
        <f>IDACI!C32</f>
        <v>17.084413405029373</v>
      </c>
      <c r="T33" s="339">
        <f t="shared" si="1"/>
        <v>179.34676797556261</v>
      </c>
      <c r="U33" s="624">
        <f t="shared" si="5"/>
        <v>-12.175538061061133</v>
      </c>
      <c r="V33" s="122"/>
      <c r="W33" s="139"/>
      <c r="X33" s="152"/>
      <c r="Y33" s="72" t="str">
        <f t="shared" si="2"/>
        <v>England</v>
      </c>
      <c r="Z33" s="44">
        <f>IF(H33&gt;0,IDACI!D32,0)</f>
        <v>10405050</v>
      </c>
      <c r="AA33" s="44">
        <f>IF(H33&gt;0,IDACI!E32,0)</f>
        <v>1777641.7570000088</v>
      </c>
      <c r="AB33" s="205">
        <f>IF(ISNUMBER(D33),Population!D33,"")</f>
        <v>11677900</v>
      </c>
      <c r="AC33" s="205">
        <f>IF(ISNUMBER(E33),Population!E33,"")</f>
        <v>11785300</v>
      </c>
      <c r="AD33" s="205">
        <f>IF(ISNUMBER(F33),Population!F33,"")</f>
        <v>11867000</v>
      </c>
      <c r="AE33" s="205">
        <f>IF(ISNUMBER(G33),Population!G33,"")</f>
        <v>11954600</v>
      </c>
      <c r="AF33" s="205">
        <f>IF(ISNUMBER(H33),Population!H33,"")</f>
        <v>12023600</v>
      </c>
      <c r="AG33" s="202"/>
      <c r="AH33" s="202"/>
      <c r="AI33" s="190"/>
      <c r="AJ33" s="202"/>
      <c r="AK33" s="160"/>
      <c r="AL33" s="853">
        <f t="shared" si="8"/>
        <v>7.6382842881188698E-2</v>
      </c>
      <c r="AM33" s="853">
        <f t="shared" si="8"/>
        <v>6.8158533297384735E-2</v>
      </c>
      <c r="AN33" s="853">
        <f t="shared" si="8"/>
        <v>1.5548488060982382E-2</v>
      </c>
      <c r="AO33" s="853">
        <f t="shared" si="8"/>
        <v>-8.4505641994333147E-4</v>
      </c>
      <c r="AP33" s="853">
        <f>AVERAGE(AL33:AO33)</f>
        <v>3.9811201954903119E-2</v>
      </c>
      <c r="AQ33" s="74"/>
      <c r="AR33" s="74"/>
      <c r="AS33" s="74"/>
      <c r="AT33" s="74"/>
      <c r="AU33" s="74"/>
      <c r="AV33" s="74"/>
      <c r="AW33" s="74"/>
      <c r="AX33" s="74"/>
      <c r="AY33" s="74"/>
      <c r="AZ33" s="74"/>
    </row>
    <row r="34" spans="1:52" s="81" customFormat="1" ht="13.5" customHeight="1" x14ac:dyDescent="0.2">
      <c r="A34" s="118"/>
      <c r="B34" s="123" t="s">
        <v>90</v>
      </c>
      <c r="C34" s="63"/>
      <c r="D34" s="63"/>
      <c r="E34" s="63"/>
      <c r="F34" s="63"/>
      <c r="G34" s="63"/>
      <c r="H34" s="63"/>
      <c r="I34" s="63"/>
      <c r="J34" s="63"/>
      <c r="K34" s="63"/>
      <c r="L34" s="63"/>
      <c r="M34" s="63"/>
      <c r="N34" s="63"/>
      <c r="O34" s="63"/>
      <c r="P34" s="63"/>
      <c r="Q34" s="136" t="s">
        <v>108</v>
      </c>
      <c r="S34" s="63"/>
      <c r="T34" s="63"/>
      <c r="U34" s="63"/>
      <c r="V34" s="117"/>
      <c r="W34" s="137"/>
      <c r="X34" s="150"/>
      <c r="Y34" s="80"/>
      <c r="Z34" s="184"/>
      <c r="AA34" s="184"/>
      <c r="AB34" s="184"/>
      <c r="AC34" s="184"/>
      <c r="AD34" s="184"/>
      <c r="AE34" s="184"/>
      <c r="AF34" s="184"/>
      <c r="AG34" s="184"/>
      <c r="AH34" s="184"/>
      <c r="AJ34" s="184"/>
      <c r="AK34" s="161"/>
      <c r="AQ34" s="74"/>
      <c r="AR34" s="74"/>
      <c r="AS34" s="74"/>
      <c r="AT34" s="74"/>
      <c r="AU34" s="74"/>
      <c r="AV34" s="74"/>
      <c r="AW34" s="74"/>
      <c r="AX34" s="74"/>
      <c r="AY34" s="74"/>
      <c r="AZ34" s="74"/>
    </row>
    <row r="35" spans="1:52" s="81" customFormat="1" ht="27" customHeight="1" x14ac:dyDescent="0.2">
      <c r="A35" s="118"/>
      <c r="B35" s="1762" t="s">
        <v>729</v>
      </c>
      <c r="C35" s="1825"/>
      <c r="D35" s="1825"/>
      <c r="E35" s="1825"/>
      <c r="F35" s="1825"/>
      <c r="G35" s="1825"/>
      <c r="H35" s="1825"/>
      <c r="I35" s="1825"/>
      <c r="J35" s="1825"/>
      <c r="K35" s="1825"/>
      <c r="L35" s="1825"/>
      <c r="M35" s="1825"/>
      <c r="N35" s="1825"/>
      <c r="O35" s="1825"/>
      <c r="P35" s="1825"/>
      <c r="Q35" s="1825"/>
      <c r="R35" s="1825"/>
      <c r="S35" s="1825"/>
      <c r="T35" s="1825"/>
      <c r="U35" s="1826"/>
      <c r="V35" s="117"/>
      <c r="W35" s="137"/>
      <c r="X35" s="150"/>
      <c r="Y35" s="80"/>
      <c r="Z35" s="184"/>
      <c r="AA35" s="184"/>
      <c r="AB35" s="184"/>
      <c r="AC35" s="184"/>
      <c r="AD35" s="184"/>
      <c r="AE35" s="184"/>
      <c r="AF35" s="184"/>
      <c r="AG35" s="184"/>
      <c r="AH35" s="184"/>
      <c r="AJ35" s="184"/>
      <c r="AK35" s="157"/>
      <c r="AL35" s="74"/>
      <c r="AM35" s="74"/>
      <c r="AN35" s="74"/>
      <c r="AO35" s="74"/>
      <c r="AP35" s="74"/>
      <c r="AQ35" s="74"/>
      <c r="AR35" s="74"/>
    </row>
    <row r="36" spans="1:52" s="81" customFormat="1" ht="7.5" customHeight="1" x14ac:dyDescent="0.2">
      <c r="A36" s="118"/>
      <c r="B36" s="17"/>
      <c r="C36" s="17"/>
      <c r="D36" s="16"/>
      <c r="E36" s="16"/>
      <c r="F36" s="16"/>
      <c r="G36" s="16"/>
      <c r="H36" s="16"/>
      <c r="I36" s="16"/>
      <c r="J36" s="12"/>
      <c r="K36" s="18"/>
      <c r="L36" s="18"/>
      <c r="M36" s="18"/>
      <c r="N36" s="18"/>
      <c r="O36" s="18"/>
      <c r="P36" s="18"/>
      <c r="Q36" s="18"/>
      <c r="R36" s="18"/>
      <c r="S36" s="18"/>
      <c r="T36" s="18"/>
      <c r="U36" s="19"/>
      <c r="V36" s="117"/>
      <c r="W36" s="137"/>
      <c r="X36" s="150"/>
      <c r="Z36" s="190"/>
      <c r="AJ36" s="184"/>
      <c r="AK36" s="157"/>
      <c r="AL36" s="74"/>
      <c r="AM36" s="74"/>
      <c r="AN36" s="74"/>
      <c r="AO36" s="74"/>
      <c r="AP36" s="74"/>
      <c r="AQ36" s="74"/>
      <c r="AR36" s="74"/>
    </row>
    <row r="37" spans="1:52" s="81" customFormat="1" ht="15" customHeight="1" x14ac:dyDescent="0.2">
      <c r="A37" s="1716"/>
      <c r="B37" s="1760"/>
      <c r="C37" s="1760"/>
      <c r="D37" s="1760"/>
      <c r="E37" s="1760"/>
      <c r="F37" s="1760"/>
      <c r="G37" s="1760"/>
      <c r="H37" s="1760"/>
      <c r="I37" s="1760"/>
      <c r="J37" s="1760"/>
      <c r="K37" s="1760"/>
      <c r="L37" s="1760"/>
      <c r="M37" s="1760"/>
      <c r="N37" s="1760"/>
      <c r="O37" s="1760"/>
      <c r="P37" s="1760"/>
      <c r="Q37" s="1760"/>
      <c r="R37" s="1760"/>
      <c r="S37" s="1760"/>
      <c r="T37" s="1760"/>
      <c r="U37" s="1760"/>
      <c r="V37" s="1761"/>
      <c r="W37" s="137"/>
      <c r="X37" s="150"/>
      <c r="Z37" s="190"/>
      <c r="AK37" s="161"/>
      <c r="AM37" s="81">
        <f>COLUMNS($B$4:K$4)</f>
        <v>10</v>
      </c>
      <c r="AN37" s="81">
        <f>COLUMNS($B$4:L$4)</f>
        <v>11</v>
      </c>
      <c r="AO37" s="81">
        <f>COLUMNS($B$4:M$4)</f>
        <v>12</v>
      </c>
      <c r="AP37" s="81">
        <f>COLUMNS($B$4:N$4)</f>
        <v>13</v>
      </c>
      <c r="AQ37" s="81">
        <f>COLUMNS($B$4:O$4)</f>
        <v>14</v>
      </c>
      <c r="AR37" s="81">
        <f>COLUMNS($B$4:S$4)</f>
        <v>18</v>
      </c>
    </row>
    <row r="38" spans="1:52" s="81" customFormat="1" ht="11.1" customHeight="1" x14ac:dyDescent="0.2">
      <c r="A38" s="1765" t="str">
        <f>Home!$A$39</f>
        <v xml:space="preserve"> </v>
      </c>
      <c r="B38" s="1766"/>
      <c r="C38" s="1766"/>
      <c r="D38" s="1766"/>
      <c r="E38" s="1766"/>
      <c r="F38" s="1766"/>
      <c r="G38" s="1766"/>
      <c r="H38" s="1766"/>
      <c r="I38" s="1767"/>
      <c r="J38" s="1766"/>
      <c r="K38" s="1766"/>
      <c r="L38" s="1766"/>
      <c r="M38" s="1766"/>
      <c r="N38" s="1766"/>
      <c r="O38" s="1766"/>
      <c r="P38" s="1768"/>
      <c r="Q38" s="1766"/>
      <c r="R38" s="1766"/>
      <c r="S38" s="1766"/>
      <c r="T38" s="1767"/>
      <c r="U38" s="1766"/>
      <c r="V38" s="1769"/>
      <c r="W38" s="137"/>
      <c r="X38" s="150"/>
      <c r="Z38" s="190"/>
      <c r="AJ38" s="184"/>
      <c r="AK38" s="160"/>
      <c r="AL38" s="87"/>
      <c r="AM38" s="1773" t="s">
        <v>89</v>
      </c>
      <c r="AN38" s="1773"/>
      <c r="AO38" s="1773"/>
      <c r="AP38" s="1773"/>
      <c r="AQ38" s="1773"/>
      <c r="AR38" s="1773" t="s">
        <v>1213</v>
      </c>
    </row>
    <row r="39" spans="1:52" s="81" customFormat="1" ht="11.25" customHeight="1" x14ac:dyDescent="0.2">
      <c r="A39" s="112"/>
      <c r="B39" s="113"/>
      <c r="C39" s="113"/>
      <c r="D39" s="113"/>
      <c r="E39" s="113"/>
      <c r="F39" s="113"/>
      <c r="G39" s="113"/>
      <c r="H39" s="113"/>
      <c r="I39" s="113"/>
      <c r="J39" s="114"/>
      <c r="K39" s="113"/>
      <c r="L39" s="113"/>
      <c r="M39" s="113"/>
      <c r="N39" s="113"/>
      <c r="O39" s="113"/>
      <c r="P39" s="113"/>
      <c r="Q39" s="113"/>
      <c r="R39" s="113"/>
      <c r="S39" s="113"/>
      <c r="T39" s="113"/>
      <c r="U39" s="113"/>
      <c r="V39" s="115"/>
      <c r="W39" s="137"/>
      <c r="X39" s="149" t="s">
        <v>101</v>
      </c>
      <c r="Y39" s="197"/>
      <c r="Z39" s="197"/>
      <c r="AA39" s="197"/>
      <c r="AB39" s="197"/>
      <c r="AC39" s="197"/>
      <c r="AJ39" s="184"/>
      <c r="AK39" s="160"/>
      <c r="AL39" s="87"/>
      <c r="AM39" s="367" t="s">
        <v>651</v>
      </c>
      <c r="AN39" s="367" t="s">
        <v>652</v>
      </c>
      <c r="AO39" s="367" t="s">
        <v>653</v>
      </c>
      <c r="AP39" s="367" t="s">
        <v>654</v>
      </c>
      <c r="AQ39" s="367" t="s">
        <v>651</v>
      </c>
      <c r="AR39" s="1773"/>
    </row>
    <row r="40" spans="1:52" s="81" customFormat="1" ht="3.75" customHeight="1" x14ac:dyDescent="0.25">
      <c r="A40" s="116"/>
      <c r="B40" s="9"/>
      <c r="C40" s="9"/>
      <c r="D40" s="9"/>
      <c r="E40" s="9"/>
      <c r="F40" s="9"/>
      <c r="G40" s="9"/>
      <c r="H40" s="9"/>
      <c r="I40" s="9"/>
      <c r="J40" s="12"/>
      <c r="K40" s="9"/>
      <c r="L40" s="9"/>
      <c r="M40" s="9"/>
      <c r="N40" s="9"/>
      <c r="O40" s="9"/>
      <c r="P40" s="9"/>
      <c r="Q40" s="9"/>
      <c r="R40" s="9"/>
      <c r="S40" s="9"/>
      <c r="T40" s="9"/>
      <c r="U40" s="9"/>
      <c r="V40" s="117"/>
      <c r="W40" s="137"/>
      <c r="X40" s="294"/>
      <c r="AD40" s="1320" t="s">
        <v>977</v>
      </c>
      <c r="AK40" s="160"/>
      <c r="AL40" s="87"/>
      <c r="AM40" s="367" t="s">
        <v>210</v>
      </c>
      <c r="AN40" s="367" t="s">
        <v>210</v>
      </c>
      <c r="AO40" s="367" t="s">
        <v>210</v>
      </c>
      <c r="AP40" s="367" t="s">
        <v>650</v>
      </c>
      <c r="AQ40" s="367" t="s">
        <v>650</v>
      </c>
      <c r="AR40" s="1773"/>
    </row>
    <row r="41" spans="1:52" s="81" customFormat="1" ht="14.25" customHeight="1" x14ac:dyDescent="0.2">
      <c r="A41" s="118"/>
      <c r="B41" s="9"/>
      <c r="C41" s="9"/>
      <c r="D41" s="9"/>
      <c r="E41" s="9"/>
      <c r="F41" s="9"/>
      <c r="G41" s="9"/>
      <c r="H41" s="9"/>
      <c r="I41" s="9"/>
      <c r="J41" s="12"/>
      <c r="K41" s="9"/>
      <c r="L41" s="9"/>
      <c r="M41" s="9"/>
      <c r="N41" s="9"/>
      <c r="O41" s="9"/>
      <c r="P41" s="9"/>
      <c r="Q41" s="9"/>
      <c r="R41" s="9"/>
      <c r="S41" s="9"/>
      <c r="T41" s="9"/>
      <c r="U41" s="9"/>
      <c r="V41" s="117"/>
      <c r="W41" s="137"/>
      <c r="X41" s="294"/>
      <c r="Y41" s="43" t="s">
        <v>72</v>
      </c>
      <c r="Z41" s="43" t="s">
        <v>70</v>
      </c>
      <c r="AA41" s="43" t="s">
        <v>71</v>
      </c>
      <c r="AB41" s="1194">
        <v>5</v>
      </c>
      <c r="AC41" s="216">
        <f>(AB41*Z42)+AA42</f>
        <v>126.61568155492756</v>
      </c>
      <c r="AD41" s="206">
        <f>ROUND(ChartLabels!$AA11,3)</f>
        <v>0.33600000000000002</v>
      </c>
      <c r="AJ41" s="585" t="b">
        <v>1</v>
      </c>
      <c r="AK41" s="160" t="s">
        <v>0</v>
      </c>
      <c r="AL41" s="87" t="str">
        <f t="shared" ref="AL41:AL64" si="12">IF(AJ41=TRUE,B10,"")</f>
        <v>Bracknell Forest</v>
      </c>
      <c r="AM41" s="146">
        <f t="shared" ref="AM41:AQ50" si="13">VLOOKUP($AL41,$B$10:$O$33,AM$37,FALSE)</f>
        <v>139.71631205673759</v>
      </c>
      <c r="AN41" s="146">
        <f t="shared" si="13"/>
        <v>198.58156028368796</v>
      </c>
      <c r="AO41" s="146">
        <f t="shared" si="13"/>
        <v>224.91103202846975</v>
      </c>
      <c r="AP41" s="146">
        <f t="shared" si="13"/>
        <v>248.0565371024735</v>
      </c>
      <c r="AQ41" s="146">
        <f t="shared" si="13"/>
        <v>288.02816901408448</v>
      </c>
      <c r="AR41" s="147">
        <f>VLOOKUP(AL41,$B$10:$U$33,$AR$37,FALSE)</f>
        <v>8.9</v>
      </c>
    </row>
    <row r="42" spans="1:52" s="81" customFormat="1" ht="14.25" customHeight="1" x14ac:dyDescent="0.2">
      <c r="A42" s="118"/>
      <c r="B42" s="9"/>
      <c r="C42" s="9"/>
      <c r="D42" s="9"/>
      <c r="E42" s="9"/>
      <c r="F42" s="9"/>
      <c r="G42" s="9"/>
      <c r="H42" s="9"/>
      <c r="I42" s="9"/>
      <c r="J42" s="12"/>
      <c r="K42" s="9"/>
      <c r="L42" s="9"/>
      <c r="M42" s="9"/>
      <c r="N42" s="9"/>
      <c r="O42" s="9"/>
      <c r="P42" s="9"/>
      <c r="Q42" s="9"/>
      <c r="R42" s="9"/>
      <c r="S42" s="9"/>
      <c r="T42" s="9"/>
      <c r="U42" s="9"/>
      <c r="V42" s="117"/>
      <c r="W42" s="137"/>
      <c r="X42" s="294"/>
      <c r="Y42" s="212" t="str">
        <f>"Y= "&amp;Z42&amp;"x + "&amp;AA42</f>
        <v>Y= 9.87133051190665x + 77.2590289953943</v>
      </c>
      <c r="Z42" s="743">
        <f>ChartLabels!$Y11</f>
        <v>9.8713305119066472</v>
      </c>
      <c r="AA42" s="743">
        <f>ChartLabels!$Z11</f>
        <v>77.259028995394317</v>
      </c>
      <c r="AB42" s="215">
        <v>35</v>
      </c>
      <c r="AC42" s="216">
        <f>(AB42*Z42)+AA42</f>
        <v>422.75559691212698</v>
      </c>
      <c r="AD42" s="1319" t="str">
        <f>AD40&amp;" = "&amp;AD41</f>
        <v>r² = 0.336</v>
      </c>
      <c r="AJ42" s="585" t="b">
        <v>1</v>
      </c>
      <c r="AK42" s="160" t="s">
        <v>31</v>
      </c>
      <c r="AL42" s="87" t="str">
        <f t="shared" si="12"/>
        <v>Brighton &amp; Hove</v>
      </c>
      <c r="AM42" s="146">
        <f t="shared" si="13"/>
        <v>223.2421875</v>
      </c>
      <c r="AN42" s="146">
        <f t="shared" si="13"/>
        <v>168.22612085769981</v>
      </c>
      <c r="AO42" s="146">
        <f t="shared" si="13"/>
        <v>172.35294117647061</v>
      </c>
      <c r="AP42" s="146">
        <f t="shared" si="13"/>
        <v>152.54901960784315</v>
      </c>
      <c r="AQ42" s="146">
        <f t="shared" si="13"/>
        <v>167.79324055666004</v>
      </c>
      <c r="AR42" s="147">
        <f t="shared" ref="AR42:AR64" si="14">VLOOKUP(AL42,$B$10:$U$33,$AR$37,FALSE)</f>
        <v>15.299999999999999</v>
      </c>
    </row>
    <row r="43" spans="1:52" ht="14.25" customHeight="1" x14ac:dyDescent="0.2">
      <c r="A43" s="118"/>
      <c r="B43" s="9"/>
      <c r="C43" s="9"/>
      <c r="D43" s="9"/>
      <c r="E43" s="9"/>
      <c r="F43" s="9"/>
      <c r="G43" s="9"/>
      <c r="H43" s="9"/>
      <c r="I43" s="9"/>
      <c r="J43" s="12"/>
      <c r="K43" s="9"/>
      <c r="L43" s="9"/>
      <c r="M43" s="9"/>
      <c r="N43" s="9"/>
      <c r="O43" s="9"/>
      <c r="P43" s="9"/>
      <c r="Q43" s="9"/>
      <c r="R43" s="9"/>
      <c r="S43" s="9"/>
      <c r="T43" s="9"/>
      <c r="U43" s="9"/>
      <c r="V43" s="117"/>
      <c r="W43" s="137"/>
      <c r="X43" s="294"/>
      <c r="Y43" s="43" t="str">
        <f>"National Trend "&amp;Sheet1!$B$8</f>
        <v>National Trend 2020</v>
      </c>
      <c r="Z43" s="209" t="s">
        <v>70</v>
      </c>
      <c r="AA43" s="43" t="s">
        <v>71</v>
      </c>
      <c r="AB43" s="1194">
        <v>5</v>
      </c>
      <c r="AC43" s="211">
        <f>((AB43*Z44)+AA44)/$Y$2</f>
        <v>89.405819107017706</v>
      </c>
      <c r="AD43" s="1319" t="str">
        <f>$AD$40&amp;" = "&amp;AD44</f>
        <v>r² = 0.299</v>
      </c>
      <c r="AJ43" s="585" t="b">
        <v>1</v>
      </c>
      <c r="AK43" s="160" t="s">
        <v>8</v>
      </c>
      <c r="AL43" s="87" t="str">
        <f t="shared" si="12"/>
        <v>Buckinghamshire</v>
      </c>
      <c r="AM43" s="146">
        <f t="shared" si="13"/>
        <v>159.53565505804312</v>
      </c>
      <c r="AN43" s="146">
        <f t="shared" si="13"/>
        <v>210.80196399345337</v>
      </c>
      <c r="AO43" s="146">
        <f t="shared" si="13"/>
        <v>200.81234768480911</v>
      </c>
      <c r="AP43" s="146">
        <f t="shared" si="13"/>
        <v>174.89943684633951</v>
      </c>
      <c r="AQ43" s="146">
        <f t="shared" si="13"/>
        <v>192.04455051710423</v>
      </c>
      <c r="AR43" s="147">
        <f t="shared" si="14"/>
        <v>8.5</v>
      </c>
      <c r="AS43" s="81"/>
      <c r="AT43" s="81"/>
      <c r="AU43" s="81"/>
      <c r="AV43" s="81"/>
      <c r="AW43" s="81"/>
      <c r="AX43" s="81"/>
    </row>
    <row r="44" spans="1:52" ht="14.25" customHeight="1" x14ac:dyDescent="0.2">
      <c r="A44" s="118"/>
      <c r="B44" s="9"/>
      <c r="C44" s="9"/>
      <c r="D44" s="9"/>
      <c r="E44" s="9"/>
      <c r="F44" s="9"/>
      <c r="G44" s="9"/>
      <c r="H44" s="9"/>
      <c r="I44" s="9"/>
      <c r="J44" s="12"/>
      <c r="K44" s="13"/>
      <c r="L44" s="13"/>
      <c r="M44" s="13"/>
      <c r="N44" s="13"/>
      <c r="O44" s="14"/>
      <c r="P44" s="14"/>
      <c r="Q44" s="14"/>
      <c r="R44" s="14"/>
      <c r="S44" s="14"/>
      <c r="T44" s="14"/>
      <c r="U44" s="14"/>
      <c r="V44" s="117"/>
      <c r="W44" s="137"/>
      <c r="X44" s="294"/>
      <c r="Y44" s="212" t="str">
        <f>"Y= "&amp;Z44&amp;"x + "&amp;AA44</f>
        <v>Y= 7.44272360221578x + 52.1922010959388</v>
      </c>
      <c r="Z44" s="743">
        <f>Sheet1!$H$7</f>
        <v>7.4427236022157812</v>
      </c>
      <c r="AA44" s="743">
        <f>Sheet1!$H$8</f>
        <v>52.192201095938799</v>
      </c>
      <c r="AB44" s="215">
        <v>35</v>
      </c>
      <c r="AC44" s="216">
        <f>((AB44*Z44)+AA44)/$Y$2</f>
        <v>312.68752717349116</v>
      </c>
      <c r="AD44" s="1195">
        <f>ROUND(Sheet1!$H$9,3)</f>
        <v>0.29899999999999999</v>
      </c>
      <c r="AJ44" s="585" t="b">
        <v>1</v>
      </c>
      <c r="AK44" s="160" t="s">
        <v>4</v>
      </c>
      <c r="AL44" s="87" t="str">
        <f t="shared" si="12"/>
        <v>East Sussex</v>
      </c>
      <c r="AM44" s="146">
        <f t="shared" si="13"/>
        <v>81.964117091595838</v>
      </c>
      <c r="AN44" s="146">
        <f t="shared" si="13"/>
        <v>106.42115203021719</v>
      </c>
      <c r="AO44" s="146">
        <f t="shared" si="13"/>
        <v>125.84905660377359</v>
      </c>
      <c r="AP44" s="146">
        <f t="shared" si="13"/>
        <v>124.90601503759399</v>
      </c>
      <c r="AQ44" s="146">
        <f t="shared" si="13"/>
        <v>125.21166509877705</v>
      </c>
      <c r="AR44" s="147">
        <f t="shared" si="14"/>
        <v>16.100000000000001</v>
      </c>
      <c r="AS44" s="81"/>
      <c r="AT44" s="81"/>
      <c r="AU44" s="81"/>
      <c r="AV44" s="81"/>
      <c r="AW44" s="81"/>
      <c r="AX44" s="81"/>
    </row>
    <row r="45" spans="1:52" s="76" customFormat="1" ht="14.25" customHeight="1" x14ac:dyDescent="0.2">
      <c r="A45" s="119"/>
      <c r="B45" s="226"/>
      <c r="C45" s="226"/>
      <c r="D45" s="227"/>
      <c r="E45" s="227"/>
      <c r="F45" s="227"/>
      <c r="G45" s="227"/>
      <c r="H45" s="227"/>
      <c r="I45" s="227"/>
      <c r="J45" s="15"/>
      <c r="K45" s="9"/>
      <c r="L45" s="9"/>
      <c r="M45" s="9"/>
      <c r="N45" s="9"/>
      <c r="O45" s="9"/>
      <c r="P45" s="9"/>
      <c r="Q45" s="9"/>
      <c r="R45" s="9"/>
      <c r="S45" s="9"/>
      <c r="T45" s="9"/>
      <c r="U45" s="9"/>
      <c r="V45" s="120"/>
      <c r="W45" s="138"/>
      <c r="X45" s="295"/>
      <c r="AD45" s="81"/>
      <c r="AE45" s="81"/>
      <c r="AF45" s="81"/>
      <c r="AG45" s="81"/>
      <c r="AH45" s="81"/>
      <c r="AI45" s="81"/>
      <c r="AJ45" s="585" t="b">
        <v>1</v>
      </c>
      <c r="AK45" s="160" t="s">
        <v>6</v>
      </c>
      <c r="AL45" s="87" t="str">
        <f t="shared" si="12"/>
        <v>Hampshire</v>
      </c>
      <c r="AM45" s="146">
        <f t="shared" si="13"/>
        <v>148.35047889322453</v>
      </c>
      <c r="AN45" s="146">
        <f t="shared" si="13"/>
        <v>148.90381895332391</v>
      </c>
      <c r="AO45" s="146">
        <f t="shared" si="13"/>
        <v>135.68655135898342</v>
      </c>
      <c r="AP45" s="146">
        <f t="shared" si="13"/>
        <v>152.00704225352112</v>
      </c>
      <c r="AQ45" s="146">
        <f t="shared" si="13"/>
        <v>177.10165318325713</v>
      </c>
      <c r="AR45" s="147">
        <f t="shared" si="14"/>
        <v>10.100000000000001</v>
      </c>
      <c r="AS45" s="81"/>
      <c r="AT45" s="81"/>
      <c r="AU45" s="81"/>
      <c r="AV45" s="81"/>
      <c r="AW45" s="81"/>
    </row>
    <row r="46" spans="1:52" ht="14.25" customHeight="1" x14ac:dyDescent="0.2">
      <c r="A46" s="118"/>
      <c r="B46" s="227"/>
      <c r="C46" s="227"/>
      <c r="D46" s="227"/>
      <c r="E46" s="227"/>
      <c r="F46" s="227"/>
      <c r="G46" s="227"/>
      <c r="H46" s="227"/>
      <c r="I46" s="227"/>
      <c r="J46" s="12"/>
      <c r="K46" s="14"/>
      <c r="L46" s="14"/>
      <c r="M46" s="14"/>
      <c r="N46" s="14"/>
      <c r="O46" s="9"/>
      <c r="P46" s="9"/>
      <c r="Q46" s="9"/>
      <c r="R46" s="9"/>
      <c r="S46" s="9"/>
      <c r="T46" s="9"/>
      <c r="U46" s="9"/>
      <c r="V46" s="117"/>
      <c r="W46" s="137"/>
      <c r="X46" s="294"/>
      <c r="AJ46" s="585" t="b">
        <v>1</v>
      </c>
      <c r="AK46" s="160" t="s">
        <v>1</v>
      </c>
      <c r="AL46" s="87" t="str">
        <f t="shared" si="12"/>
        <v>Isle of Wight</v>
      </c>
      <c r="AM46" s="146">
        <f t="shared" si="13"/>
        <v>267.19367588932806</v>
      </c>
      <c r="AN46" s="146">
        <f t="shared" si="13"/>
        <v>217.85714285714286</v>
      </c>
      <c r="AO46" s="146">
        <f t="shared" si="13"/>
        <v>221.91235059760956</v>
      </c>
      <c r="AP46" s="146">
        <f t="shared" si="13"/>
        <v>201.20481927710844</v>
      </c>
      <c r="AQ46" s="146">
        <f t="shared" si="13"/>
        <v>259.51417004048579</v>
      </c>
      <c r="AR46" s="147">
        <f t="shared" si="14"/>
        <v>18</v>
      </c>
      <c r="AS46" s="81"/>
      <c r="AT46" s="81"/>
      <c r="AU46" s="81"/>
      <c r="AV46" s="81"/>
      <c r="AW46" s="81"/>
    </row>
    <row r="47" spans="1:52" ht="14.25" customHeight="1" x14ac:dyDescent="0.2">
      <c r="A47" s="118"/>
      <c r="B47" s="227"/>
      <c r="C47" s="227"/>
      <c r="D47" s="227"/>
      <c r="E47" s="227"/>
      <c r="F47" s="227"/>
      <c r="G47" s="227"/>
      <c r="H47" s="227"/>
      <c r="I47" s="227"/>
      <c r="J47" s="12"/>
      <c r="K47" s="14"/>
      <c r="L47" s="14"/>
      <c r="M47" s="14"/>
      <c r="N47" s="14"/>
      <c r="O47" s="9"/>
      <c r="P47" s="9"/>
      <c r="Q47" s="9"/>
      <c r="R47" s="9"/>
      <c r="S47" s="9"/>
      <c r="T47" s="9"/>
      <c r="U47" s="9"/>
      <c r="V47" s="117"/>
      <c r="W47" s="137"/>
      <c r="X47" s="294"/>
      <c r="AD47" s="207"/>
      <c r="AJ47" s="585" t="b">
        <v>1</v>
      </c>
      <c r="AK47" s="160" t="s">
        <v>9</v>
      </c>
      <c r="AL47" s="87" t="str">
        <f t="shared" si="12"/>
        <v>Kent</v>
      </c>
      <c r="AM47" s="146">
        <f t="shared" si="13"/>
        <v>144.06779661016949</v>
      </c>
      <c r="AN47" s="146">
        <f t="shared" si="13"/>
        <v>146.93693693693695</v>
      </c>
      <c r="AO47" s="146">
        <f t="shared" si="13"/>
        <v>186.22433799464446</v>
      </c>
      <c r="AP47" s="146">
        <f t="shared" si="13"/>
        <v>176.85974713319612</v>
      </c>
      <c r="AQ47" s="146">
        <f t="shared" si="13"/>
        <v>192.37929028504945</v>
      </c>
      <c r="AR47" s="147">
        <f t="shared" si="14"/>
        <v>15.8</v>
      </c>
      <c r="AS47" s="81"/>
      <c r="AT47" s="81"/>
      <c r="AU47" s="81"/>
      <c r="AV47" s="81"/>
      <c r="AW47" s="81"/>
    </row>
    <row r="48" spans="1:52" ht="14.25" customHeight="1" x14ac:dyDescent="0.2">
      <c r="A48" s="118"/>
      <c r="B48" s="58"/>
      <c r="C48" s="58"/>
      <c r="D48" s="58"/>
      <c r="E48" s="58"/>
      <c r="F48" s="58"/>
      <c r="G48" s="58"/>
      <c r="H48" s="58"/>
      <c r="I48" s="58"/>
      <c r="J48" s="12"/>
      <c r="K48" s="14"/>
      <c r="L48" s="14"/>
      <c r="M48" s="14"/>
      <c r="N48" s="14"/>
      <c r="O48" s="9"/>
      <c r="P48" s="9"/>
      <c r="Q48" s="9"/>
      <c r="R48" s="9"/>
      <c r="S48" s="9"/>
      <c r="T48" s="9"/>
      <c r="U48" s="9"/>
      <c r="V48" s="117"/>
      <c r="W48" s="137"/>
      <c r="X48" s="294"/>
      <c r="AD48" s="184"/>
      <c r="AJ48" s="585" t="b">
        <v>1</v>
      </c>
      <c r="AK48" s="160" t="s">
        <v>2</v>
      </c>
      <c r="AL48" s="87" t="str">
        <f t="shared" si="12"/>
        <v>Medway</v>
      </c>
      <c r="AM48" s="146">
        <f t="shared" si="13"/>
        <v>258.06962025316454</v>
      </c>
      <c r="AN48" s="146">
        <f t="shared" si="13"/>
        <v>168.2888540031397</v>
      </c>
      <c r="AO48" s="146">
        <f t="shared" si="13"/>
        <v>184.82003129890452</v>
      </c>
      <c r="AP48" s="146">
        <f t="shared" si="13"/>
        <v>234.31677018633542</v>
      </c>
      <c r="AQ48" s="146">
        <f t="shared" si="13"/>
        <v>272.76923076923077</v>
      </c>
      <c r="AR48" s="147">
        <f t="shared" si="14"/>
        <v>18.899999999999999</v>
      </c>
      <c r="AS48" s="81"/>
      <c r="AT48" s="81"/>
      <c r="AU48" s="81"/>
      <c r="AV48" s="81"/>
      <c r="AW48" s="81"/>
    </row>
    <row r="49" spans="1:49" ht="14.25" customHeight="1" x14ac:dyDescent="0.2">
      <c r="A49" s="118"/>
      <c r="B49" s="58"/>
      <c r="C49" s="58"/>
      <c r="D49" s="69"/>
      <c r="E49" s="70"/>
      <c r="F49" s="69"/>
      <c r="G49" s="70"/>
      <c r="H49" s="70"/>
      <c r="I49" s="70"/>
      <c r="J49" s="12"/>
      <c r="K49" s="14"/>
      <c r="L49" s="14"/>
      <c r="M49" s="14"/>
      <c r="N49" s="14"/>
      <c r="O49" s="9"/>
      <c r="P49" s="9"/>
      <c r="Q49" s="9"/>
      <c r="R49" s="9"/>
      <c r="S49" s="9"/>
      <c r="T49" s="9"/>
      <c r="U49" s="9"/>
      <c r="V49" s="117"/>
      <c r="W49" s="137"/>
      <c r="X49" s="294"/>
      <c r="AJ49" s="585" t="b">
        <v>1</v>
      </c>
      <c r="AK49" s="160" t="s">
        <v>10</v>
      </c>
      <c r="AL49" s="87" t="str">
        <f t="shared" si="12"/>
        <v>Milton Keynes</v>
      </c>
      <c r="AM49" s="146">
        <f t="shared" si="13"/>
        <v>86.081694402420567</v>
      </c>
      <c r="AN49" s="146">
        <f t="shared" si="13"/>
        <v>115.64828614008943</v>
      </c>
      <c r="AO49" s="146">
        <f t="shared" si="13"/>
        <v>82.544378698224847</v>
      </c>
      <c r="AP49" s="146">
        <f t="shared" si="13"/>
        <v>88.286969253294288</v>
      </c>
      <c r="AQ49" s="146">
        <f t="shared" si="13"/>
        <v>118.75</v>
      </c>
      <c r="AR49" s="147">
        <f t="shared" si="14"/>
        <v>15</v>
      </c>
      <c r="AS49" s="81"/>
      <c r="AT49" s="81"/>
      <c r="AU49" s="81"/>
      <c r="AV49" s="81"/>
      <c r="AW49" s="81"/>
    </row>
    <row r="50" spans="1:49" ht="14.25" customHeight="1" x14ac:dyDescent="0.2">
      <c r="A50" s="118"/>
      <c r="B50" s="58"/>
      <c r="C50" s="58"/>
      <c r="D50" s="61"/>
      <c r="E50" s="61"/>
      <c r="F50" s="61"/>
      <c r="G50" s="61"/>
      <c r="H50" s="61"/>
      <c r="I50" s="61"/>
      <c r="J50" s="12"/>
      <c r="K50" s="14"/>
      <c r="L50" s="14"/>
      <c r="M50" s="14"/>
      <c r="N50" s="14"/>
      <c r="O50" s="9"/>
      <c r="P50" s="9"/>
      <c r="Q50" s="9"/>
      <c r="R50" s="9"/>
      <c r="S50" s="9"/>
      <c r="T50" s="9"/>
      <c r="U50" s="9"/>
      <c r="V50" s="117"/>
      <c r="W50" s="137"/>
      <c r="X50" s="294"/>
      <c r="AJ50" s="585" t="b">
        <v>1</v>
      </c>
      <c r="AK50" s="160" t="s">
        <v>11</v>
      </c>
      <c r="AL50" s="87" t="str">
        <f t="shared" si="12"/>
        <v>Oxfordshire</v>
      </c>
      <c r="AM50" s="146">
        <f t="shared" si="13"/>
        <v>131.45275035260931</v>
      </c>
      <c r="AN50" s="146">
        <f t="shared" si="13"/>
        <v>134.77956613016096</v>
      </c>
      <c r="AO50" s="146">
        <f t="shared" si="13"/>
        <v>125.87168758716875</v>
      </c>
      <c r="AP50" s="146">
        <f t="shared" si="13"/>
        <v>129.35082872928177</v>
      </c>
      <c r="AQ50" s="146">
        <f t="shared" si="13"/>
        <v>130.39014373716631</v>
      </c>
      <c r="AR50" s="147">
        <f t="shared" si="14"/>
        <v>10.100000000000001</v>
      </c>
      <c r="AS50" s="81"/>
      <c r="AT50" s="81"/>
      <c r="AU50" s="81"/>
      <c r="AV50" s="81"/>
      <c r="AW50" s="81"/>
    </row>
    <row r="51" spans="1:49" ht="14.25" customHeight="1" x14ac:dyDescent="0.2">
      <c r="A51" s="118"/>
      <c r="B51" s="363"/>
      <c r="C51" s="363"/>
      <c r="D51" s="58"/>
      <c r="E51" s="58"/>
      <c r="F51" s="58"/>
      <c r="G51" s="58"/>
      <c r="H51" s="58"/>
      <c r="I51" s="58"/>
      <c r="J51" s="12"/>
      <c r="K51" s="14"/>
      <c r="L51" s="14"/>
      <c r="M51" s="14"/>
      <c r="N51" s="14"/>
      <c r="O51" s="9"/>
      <c r="P51" s="9"/>
      <c r="Q51" s="9"/>
      <c r="R51" s="9"/>
      <c r="S51" s="9"/>
      <c r="T51" s="9"/>
      <c r="U51" s="9"/>
      <c r="V51" s="117"/>
      <c r="W51" s="137"/>
      <c r="X51" s="294"/>
      <c r="AJ51" s="585" t="b">
        <v>1</v>
      </c>
      <c r="AK51" s="160" t="s">
        <v>12</v>
      </c>
      <c r="AL51" s="87" t="str">
        <f t="shared" si="12"/>
        <v>Portsmouth</v>
      </c>
      <c r="AM51" s="146">
        <f t="shared" ref="AM51:AQ64" si="15">VLOOKUP($AL51,$B$10:$O$33,AM$37,FALSE)</f>
        <v>262.10045662100458</v>
      </c>
      <c r="AN51" s="146">
        <f t="shared" si="15"/>
        <v>281.81818181818181</v>
      </c>
      <c r="AO51" s="146">
        <f t="shared" si="15"/>
        <v>231.90045248868779</v>
      </c>
      <c r="AP51" s="146">
        <f t="shared" si="15"/>
        <v>298.40909090909093</v>
      </c>
      <c r="AQ51" s="146">
        <f t="shared" si="15"/>
        <v>295.4337899543379</v>
      </c>
      <c r="AR51" s="147">
        <f t="shared" si="14"/>
        <v>20.200000000000003</v>
      </c>
      <c r="AS51" s="81"/>
      <c r="AT51" s="81"/>
      <c r="AU51" s="81"/>
      <c r="AV51" s="81"/>
      <c r="AW51" s="81"/>
    </row>
    <row r="52" spans="1:49" ht="14.25" customHeight="1" x14ac:dyDescent="0.2">
      <c r="A52" s="118"/>
      <c r="B52" s="363"/>
      <c r="C52" s="363"/>
      <c r="D52" s="58"/>
      <c r="E52" s="58"/>
      <c r="F52" s="58"/>
      <c r="G52" s="58"/>
      <c r="H52" s="58"/>
      <c r="I52" s="58"/>
      <c r="J52" s="12"/>
      <c r="K52" s="14"/>
      <c r="L52" s="14"/>
      <c r="M52" s="14"/>
      <c r="N52" s="14"/>
      <c r="O52" s="9"/>
      <c r="P52" s="9"/>
      <c r="Q52" s="9"/>
      <c r="R52" s="9"/>
      <c r="S52" s="9"/>
      <c r="T52" s="9"/>
      <c r="U52" s="9"/>
      <c r="V52" s="117"/>
      <c r="W52" s="137"/>
      <c r="X52" s="294"/>
      <c r="AJ52" s="585" t="b">
        <v>1</v>
      </c>
      <c r="AK52" s="160" t="s">
        <v>3</v>
      </c>
      <c r="AL52" s="87" t="str">
        <f t="shared" si="12"/>
        <v>Reading</v>
      </c>
      <c r="AM52" s="146">
        <f t="shared" si="15"/>
        <v>267.30769230769232</v>
      </c>
      <c r="AN52" s="146">
        <f t="shared" si="15"/>
        <v>297.8142076502732</v>
      </c>
      <c r="AO52" s="146">
        <f t="shared" si="15"/>
        <v>226.41509433962261</v>
      </c>
      <c r="AP52" s="146">
        <f t="shared" si="15"/>
        <v>277.89757412398922</v>
      </c>
      <c r="AQ52" s="146">
        <f t="shared" si="15"/>
        <v>233.7837837837838</v>
      </c>
      <c r="AR52" s="147">
        <f t="shared" si="14"/>
        <v>16</v>
      </c>
      <c r="AS52" s="81"/>
      <c r="AT52" s="81"/>
      <c r="AU52" s="81"/>
      <c r="AV52" s="81"/>
      <c r="AW52" s="81"/>
    </row>
    <row r="53" spans="1:49" ht="14.25" customHeight="1" x14ac:dyDescent="0.2">
      <c r="A53" s="118"/>
      <c r="B53" s="363"/>
      <c r="C53" s="363"/>
      <c r="D53" s="58"/>
      <c r="E53" s="58"/>
      <c r="F53" s="58"/>
      <c r="G53" s="58"/>
      <c r="H53" s="58"/>
      <c r="I53" s="58"/>
      <c r="J53" s="12"/>
      <c r="K53" s="14"/>
      <c r="L53" s="14"/>
      <c r="M53" s="14"/>
      <c r="N53" s="14"/>
      <c r="O53" s="9"/>
      <c r="P53" s="9"/>
      <c r="Q53" s="9"/>
      <c r="R53" s="9"/>
      <c r="S53" s="9"/>
      <c r="T53" s="9"/>
      <c r="U53" s="9"/>
      <c r="V53" s="117"/>
      <c r="W53" s="137"/>
      <c r="X53" s="294"/>
      <c r="AJ53" s="585" t="b">
        <v>1</v>
      </c>
      <c r="AK53" s="160" t="s">
        <v>13</v>
      </c>
      <c r="AL53" s="87" t="str">
        <f t="shared" si="12"/>
        <v>Slough</v>
      </c>
      <c r="AM53" s="146">
        <f t="shared" si="15"/>
        <v>221.67487684729065</v>
      </c>
      <c r="AN53" s="146">
        <f t="shared" si="15"/>
        <v>211.59420289855072</v>
      </c>
      <c r="AO53" s="146">
        <f t="shared" si="15"/>
        <v>167.77251184834122</v>
      </c>
      <c r="AP53" s="146">
        <f t="shared" si="15"/>
        <v>249.18032786885249</v>
      </c>
      <c r="AQ53" s="146">
        <f t="shared" si="15"/>
        <v>300.46403712296984</v>
      </c>
      <c r="AR53" s="147">
        <f t="shared" si="14"/>
        <v>14.7</v>
      </c>
      <c r="AS53" s="81"/>
      <c r="AT53" s="81"/>
      <c r="AU53" s="81"/>
      <c r="AV53" s="81"/>
      <c r="AW53" s="81"/>
    </row>
    <row r="54" spans="1:49" ht="14.25" customHeight="1" x14ac:dyDescent="0.2">
      <c r="A54" s="118"/>
      <c r="B54" s="363"/>
      <c r="C54" s="363"/>
      <c r="D54" s="58"/>
      <c r="E54" s="58"/>
      <c r="F54" s="58"/>
      <c r="G54" s="58"/>
      <c r="H54" s="58"/>
      <c r="I54" s="58"/>
      <c r="J54" s="12"/>
      <c r="K54" s="14"/>
      <c r="L54" s="14"/>
      <c r="M54" s="14"/>
      <c r="N54" s="14"/>
      <c r="O54" s="9"/>
      <c r="P54" s="9"/>
      <c r="Q54" s="9"/>
      <c r="R54" s="9"/>
      <c r="S54" s="9"/>
      <c r="T54" s="9"/>
      <c r="U54" s="9"/>
      <c r="V54" s="117"/>
      <c r="W54" s="137"/>
      <c r="X54" s="294"/>
      <c r="AJ54" s="585" t="b">
        <v>1</v>
      </c>
      <c r="AK54" s="160" t="s">
        <v>95</v>
      </c>
      <c r="AL54" s="87" t="str">
        <f t="shared" si="12"/>
        <v>Somerset</v>
      </c>
      <c r="AM54" s="146">
        <f t="shared" si="15"/>
        <v>118.77289377289378</v>
      </c>
      <c r="AN54" s="146">
        <f t="shared" si="15"/>
        <v>143.75569735642662</v>
      </c>
      <c r="AO54" s="146">
        <f t="shared" si="15"/>
        <v>138.87375113533153</v>
      </c>
      <c r="AP54" s="146">
        <f t="shared" si="15"/>
        <v>110.29810298102981</v>
      </c>
      <c r="AQ54" s="146">
        <f t="shared" si="15"/>
        <v>83.003597122302153</v>
      </c>
      <c r="AR54" s="147">
        <f t="shared" si="14"/>
        <v>13.600000000000001</v>
      </c>
      <c r="AS54" s="81"/>
      <c r="AT54" s="81"/>
      <c r="AU54" s="81"/>
      <c r="AV54" s="81"/>
      <c r="AW54" s="81"/>
    </row>
    <row r="55" spans="1:49" ht="14.25" customHeight="1" x14ac:dyDescent="0.2">
      <c r="A55" s="118"/>
      <c r="B55" s="363"/>
      <c r="C55" s="363"/>
      <c r="D55" s="58"/>
      <c r="E55" s="58"/>
      <c r="F55" s="58"/>
      <c r="G55" s="58"/>
      <c r="H55" s="58"/>
      <c r="I55" s="58"/>
      <c r="J55" s="12"/>
      <c r="K55" s="14"/>
      <c r="L55" s="14"/>
      <c r="M55" s="14"/>
      <c r="N55" s="14"/>
      <c r="O55" s="9"/>
      <c r="P55" s="9"/>
      <c r="Q55" s="9"/>
      <c r="R55" s="9"/>
      <c r="S55" s="9"/>
      <c r="T55" s="9"/>
      <c r="U55" s="9"/>
      <c r="V55" s="117"/>
      <c r="W55" s="137"/>
      <c r="X55" s="294"/>
      <c r="AJ55" s="585" t="b">
        <v>1</v>
      </c>
      <c r="AK55" s="160" t="s">
        <v>14</v>
      </c>
      <c r="AL55" s="87" t="str">
        <f t="shared" si="12"/>
        <v>Southampton</v>
      </c>
      <c r="AM55" s="146">
        <f t="shared" si="15"/>
        <v>383.73983739837399</v>
      </c>
      <c r="AN55" s="146">
        <f t="shared" si="15"/>
        <v>270.9418837675351</v>
      </c>
      <c r="AO55" s="146">
        <f t="shared" si="15"/>
        <v>336.38170974155071</v>
      </c>
      <c r="AP55" s="146">
        <f t="shared" si="15"/>
        <v>337.20472440944877</v>
      </c>
      <c r="AQ55" s="146">
        <f t="shared" si="15"/>
        <v>412.47563352826512</v>
      </c>
      <c r="AR55" s="147">
        <f t="shared" si="14"/>
        <v>20.5</v>
      </c>
      <c r="AS55" s="81"/>
      <c r="AT55" s="81"/>
      <c r="AU55" s="81"/>
      <c r="AV55" s="81"/>
      <c r="AW55" s="81"/>
    </row>
    <row r="56" spans="1:49" ht="14.25" customHeight="1" x14ac:dyDescent="0.2">
      <c r="A56" s="118"/>
      <c r="B56" s="363"/>
      <c r="C56" s="363"/>
      <c r="D56" s="58"/>
      <c r="E56" s="58"/>
      <c r="F56" s="58"/>
      <c r="G56" s="58"/>
      <c r="H56" s="58"/>
      <c r="I56" s="58"/>
      <c r="J56" s="12"/>
      <c r="K56" s="14"/>
      <c r="L56" s="14"/>
      <c r="M56" s="14"/>
      <c r="N56" s="14"/>
      <c r="O56" s="9"/>
      <c r="P56" s="9"/>
      <c r="Q56" s="9"/>
      <c r="R56" s="9"/>
      <c r="S56" s="9"/>
      <c r="T56" s="9"/>
      <c r="U56" s="9"/>
      <c r="V56" s="117"/>
      <c r="W56" s="137"/>
      <c r="X56" s="294"/>
      <c r="AJ56" s="585" t="b">
        <v>1</v>
      </c>
      <c r="AK56" s="160" t="s">
        <v>7</v>
      </c>
      <c r="AL56" s="87" t="str">
        <f t="shared" si="12"/>
        <v>Surrey</v>
      </c>
      <c r="AM56" s="146">
        <f t="shared" si="15"/>
        <v>175.07800312012478</v>
      </c>
      <c r="AN56" s="146">
        <f t="shared" si="15"/>
        <v>164.78764478764478</v>
      </c>
      <c r="AO56" s="146">
        <f t="shared" si="15"/>
        <v>160.00768344218207</v>
      </c>
      <c r="AP56" s="146">
        <f t="shared" si="15"/>
        <v>158.03741886216113</v>
      </c>
      <c r="AQ56" s="146">
        <f t="shared" si="15"/>
        <v>100.75815011372252</v>
      </c>
      <c r="AR56" s="147">
        <f t="shared" si="14"/>
        <v>8.3000000000000007</v>
      </c>
      <c r="AS56" s="81"/>
      <c r="AT56" s="81"/>
      <c r="AU56" s="81"/>
      <c r="AV56" s="81"/>
      <c r="AW56" s="81"/>
    </row>
    <row r="57" spans="1:49" ht="14.25" customHeight="1" x14ac:dyDescent="0.2">
      <c r="A57" s="278"/>
      <c r="B57" s="363"/>
      <c r="C57" s="363"/>
      <c r="D57" s="58"/>
      <c r="E57" s="58"/>
      <c r="F57" s="58"/>
      <c r="G57" s="58"/>
      <c r="H57" s="58"/>
      <c r="I57" s="58"/>
      <c r="J57" s="12"/>
      <c r="K57" s="14"/>
      <c r="L57" s="14"/>
      <c r="M57" s="14"/>
      <c r="N57" s="14"/>
      <c r="O57" s="9"/>
      <c r="P57" s="9"/>
      <c r="Q57" s="9"/>
      <c r="R57" s="9"/>
      <c r="S57" s="9"/>
      <c r="T57" s="9"/>
      <c r="U57" s="9"/>
      <c r="V57" s="117"/>
      <c r="W57" s="137"/>
      <c r="X57" s="294"/>
      <c r="AJ57" s="585" t="b">
        <v>1</v>
      </c>
      <c r="AK57" s="160" t="s">
        <v>113</v>
      </c>
      <c r="AL57" s="87" t="str">
        <f t="shared" si="12"/>
        <v>Swindon</v>
      </c>
      <c r="AM57" s="146">
        <f t="shared" si="15"/>
        <v>156.32653061224491</v>
      </c>
      <c r="AN57" s="146">
        <f t="shared" si="15"/>
        <v>185.45454545454547</v>
      </c>
      <c r="AO57" s="146">
        <f t="shared" si="15"/>
        <v>203.20641282565131</v>
      </c>
      <c r="AP57" s="146">
        <f t="shared" si="15"/>
        <v>210.75697211155378</v>
      </c>
      <c r="AQ57" s="146">
        <f t="shared" si="15"/>
        <v>207.93650793650795</v>
      </c>
      <c r="AR57" s="147">
        <f t="shared" si="14"/>
        <v>14.899999999999999</v>
      </c>
      <c r="AS57" s="81"/>
      <c r="AT57" s="81"/>
      <c r="AU57" s="81"/>
      <c r="AV57" s="81"/>
      <c r="AW57" s="81"/>
    </row>
    <row r="58" spans="1:49" ht="14.25" customHeight="1" x14ac:dyDescent="0.2">
      <c r="A58" s="278"/>
      <c r="B58" s="363"/>
      <c r="C58" s="363"/>
      <c r="D58" s="58"/>
      <c r="E58" s="58"/>
      <c r="F58" s="58"/>
      <c r="G58" s="58"/>
      <c r="H58" s="58"/>
      <c r="I58" s="58"/>
      <c r="J58" s="12"/>
      <c r="K58" s="14"/>
      <c r="L58" s="14"/>
      <c r="M58" s="14"/>
      <c r="N58" s="14"/>
      <c r="O58" s="9"/>
      <c r="P58" s="9"/>
      <c r="Q58" s="9"/>
      <c r="R58" s="9"/>
      <c r="S58" s="9"/>
      <c r="T58" s="9"/>
      <c r="U58" s="9"/>
      <c r="V58" s="117"/>
      <c r="W58" s="137"/>
      <c r="X58" s="294"/>
      <c r="AJ58" s="585" t="b">
        <v>1</v>
      </c>
      <c r="AK58" s="160" t="s">
        <v>114</v>
      </c>
      <c r="AL58" s="87" t="str">
        <f t="shared" si="12"/>
        <v>Torbay</v>
      </c>
      <c r="AM58" s="146">
        <f t="shared" si="15"/>
        <v>313.09523809523807</v>
      </c>
      <c r="AN58" s="146">
        <f t="shared" si="15"/>
        <v>299.21259842519686</v>
      </c>
      <c r="AO58" s="146">
        <f t="shared" si="15"/>
        <v>272.44094488188978</v>
      </c>
      <c r="AP58" s="146">
        <f t="shared" si="15"/>
        <v>305.51181102362204</v>
      </c>
      <c r="AQ58" s="146">
        <f t="shared" si="15"/>
        <v>315.234375</v>
      </c>
      <c r="AR58" s="147">
        <f t="shared" si="14"/>
        <v>21.9</v>
      </c>
      <c r="AS58" s="81"/>
      <c r="AT58" s="81"/>
      <c r="AU58" s="81"/>
      <c r="AV58" s="81"/>
      <c r="AW58" s="81"/>
    </row>
    <row r="59" spans="1:49" ht="14.25" customHeight="1" x14ac:dyDescent="0.2">
      <c r="A59" s="118"/>
      <c r="B59" s="363"/>
      <c r="C59" s="363"/>
      <c r="D59" s="58"/>
      <c r="E59" s="58"/>
      <c r="F59" s="58"/>
      <c r="G59" s="58"/>
      <c r="H59" s="58"/>
      <c r="I59" s="58"/>
      <c r="J59" s="12"/>
      <c r="K59" s="14"/>
      <c r="L59" s="14"/>
      <c r="M59" s="14"/>
      <c r="N59" s="14"/>
      <c r="O59" s="9"/>
      <c r="P59" s="9"/>
      <c r="Q59" s="9"/>
      <c r="R59" s="9"/>
      <c r="S59" s="9"/>
      <c r="T59" s="9"/>
      <c r="U59" s="9"/>
      <c r="V59" s="117"/>
      <c r="W59" s="137"/>
      <c r="X59" s="294"/>
      <c r="AJ59" s="585" t="b">
        <v>1</v>
      </c>
      <c r="AK59" s="160" t="s">
        <v>15</v>
      </c>
      <c r="AL59" s="87" t="str">
        <f t="shared" si="12"/>
        <v>West Berkshire</v>
      </c>
      <c r="AM59" s="146">
        <f t="shared" si="15"/>
        <v>180.39215686274511</v>
      </c>
      <c r="AN59" s="146">
        <f t="shared" si="15"/>
        <v>154.03899721448468</v>
      </c>
      <c r="AO59" s="146">
        <f t="shared" si="15"/>
        <v>173.46368715083798</v>
      </c>
      <c r="AP59" s="146">
        <f t="shared" si="15"/>
        <v>156.17977528089887</v>
      </c>
      <c r="AQ59" s="146">
        <f t="shared" si="15"/>
        <v>145.22471910112358</v>
      </c>
      <c r="AR59" s="147">
        <f t="shared" si="14"/>
        <v>8.6999999999999993</v>
      </c>
      <c r="AS59" s="81"/>
      <c r="AT59" s="81"/>
      <c r="AU59" s="81"/>
      <c r="AV59" s="81"/>
      <c r="AW59" s="81"/>
    </row>
    <row r="60" spans="1:49" ht="14.25" customHeight="1" x14ac:dyDescent="0.2">
      <c r="A60" s="118"/>
      <c r="B60" s="363"/>
      <c r="C60" s="363"/>
      <c r="D60" s="58"/>
      <c r="E60" s="58"/>
      <c r="F60" s="58"/>
      <c r="G60" s="58"/>
      <c r="H60" s="58"/>
      <c r="I60" s="58"/>
      <c r="J60" s="12"/>
      <c r="K60" s="14"/>
      <c r="L60" s="14"/>
      <c r="M60" s="14"/>
      <c r="N60" s="14"/>
      <c r="O60" s="9"/>
      <c r="P60" s="9"/>
      <c r="Q60" s="9"/>
      <c r="R60" s="9"/>
      <c r="S60" s="9"/>
      <c r="T60" s="9"/>
      <c r="U60" s="9"/>
      <c r="V60" s="117"/>
      <c r="W60" s="137"/>
      <c r="X60" s="294"/>
      <c r="AJ60" s="585" t="b">
        <v>1</v>
      </c>
      <c r="AK60" s="160" t="s">
        <v>5</v>
      </c>
      <c r="AL60" s="87" t="str">
        <f t="shared" si="12"/>
        <v>West Sussex</v>
      </c>
      <c r="AM60" s="146">
        <f t="shared" si="15"/>
        <v>105.92723004694835</v>
      </c>
      <c r="AN60" s="146">
        <f t="shared" si="15"/>
        <v>126.25145518044236</v>
      </c>
      <c r="AO60" s="146">
        <f t="shared" si="15"/>
        <v>173.28332371609926</v>
      </c>
      <c r="AP60" s="146">
        <f t="shared" si="15"/>
        <v>165.65540927303948</v>
      </c>
      <c r="AQ60" s="146">
        <f t="shared" si="15"/>
        <v>174.90062464508802</v>
      </c>
      <c r="AR60" s="147">
        <f t="shared" si="14"/>
        <v>11</v>
      </c>
      <c r="AS60" s="81"/>
      <c r="AT60" s="81"/>
      <c r="AU60" s="81"/>
      <c r="AV60" s="81"/>
      <c r="AW60" s="81"/>
    </row>
    <row r="61" spans="1:49" s="81" customFormat="1" ht="14.25" customHeight="1" x14ac:dyDescent="0.2">
      <c r="A61" s="118"/>
      <c r="B61" s="363"/>
      <c r="C61" s="363"/>
      <c r="D61" s="58"/>
      <c r="E61" s="58"/>
      <c r="F61" s="58"/>
      <c r="G61" s="58"/>
      <c r="H61" s="58"/>
      <c r="I61" s="58"/>
      <c r="J61" s="12"/>
      <c r="K61" s="14"/>
      <c r="L61" s="14"/>
      <c r="M61" s="14"/>
      <c r="N61" s="14"/>
      <c r="O61" s="9"/>
      <c r="P61" s="9"/>
      <c r="Q61" s="9"/>
      <c r="R61" s="9"/>
      <c r="S61" s="9"/>
      <c r="T61" s="9"/>
      <c r="U61" s="9"/>
      <c r="V61" s="117"/>
      <c r="W61" s="137"/>
      <c r="X61" s="294"/>
      <c r="AJ61" s="585" t="b">
        <v>1</v>
      </c>
      <c r="AK61" s="160" t="s">
        <v>30</v>
      </c>
      <c r="AL61" s="87" t="str">
        <f t="shared" si="12"/>
        <v>Windsor &amp; Maidenhead</v>
      </c>
      <c r="AM61" s="146">
        <f t="shared" si="15"/>
        <v>129.67359050445106</v>
      </c>
      <c r="AN61" s="146">
        <f t="shared" si="15"/>
        <v>133.62573099415204</v>
      </c>
      <c r="AO61" s="146">
        <f t="shared" si="15"/>
        <v>101.74418604651163</v>
      </c>
      <c r="AP61" s="146">
        <f t="shared" si="15"/>
        <v>150.86705202312137</v>
      </c>
      <c r="AQ61" s="146">
        <f t="shared" si="15"/>
        <v>172.04610951008647</v>
      </c>
      <c r="AR61" s="147">
        <f t="shared" si="14"/>
        <v>6.7</v>
      </c>
    </row>
    <row r="62" spans="1:49" s="81" customFormat="1" ht="14.25" customHeight="1" x14ac:dyDescent="0.2">
      <c r="A62" s="118"/>
      <c r="B62" s="363"/>
      <c r="C62" s="363"/>
      <c r="D62" s="58"/>
      <c r="E62" s="58"/>
      <c r="F62" s="58"/>
      <c r="G62" s="58"/>
      <c r="H62" s="58"/>
      <c r="I62" s="58"/>
      <c r="J62" s="12"/>
      <c r="K62" s="14"/>
      <c r="L62" s="14"/>
      <c r="M62" s="14"/>
      <c r="N62" s="14"/>
      <c r="O62" s="9"/>
      <c r="P62" s="9"/>
      <c r="Q62" s="9"/>
      <c r="R62" s="9"/>
      <c r="S62" s="9"/>
      <c r="T62" s="9"/>
      <c r="U62" s="9"/>
      <c r="V62" s="117"/>
      <c r="W62" s="137"/>
      <c r="X62" s="294"/>
      <c r="AJ62" s="585" t="b">
        <v>1</v>
      </c>
      <c r="AK62" s="160" t="s">
        <v>16</v>
      </c>
      <c r="AL62" s="87" t="str">
        <f t="shared" si="12"/>
        <v>Wokingham</v>
      </c>
      <c r="AM62" s="146">
        <f t="shared" si="15"/>
        <v>92.761394101876675</v>
      </c>
      <c r="AN62" s="146">
        <f t="shared" si="15"/>
        <v>69.21052631578948</v>
      </c>
      <c r="AO62" s="146">
        <f t="shared" si="15"/>
        <v>121.70542635658914</v>
      </c>
      <c r="AP62" s="146">
        <f t="shared" si="15"/>
        <v>165.82278481012659</v>
      </c>
      <c r="AQ62" s="146">
        <f t="shared" si="15"/>
        <v>160.8910891089109</v>
      </c>
      <c r="AR62" s="147">
        <f t="shared" si="14"/>
        <v>5.6000000000000005</v>
      </c>
    </row>
    <row r="63" spans="1:49" s="81" customFormat="1" ht="14.25" customHeight="1" x14ac:dyDescent="0.2">
      <c r="A63" s="118"/>
      <c r="B63" s="363"/>
      <c r="C63" s="363"/>
      <c r="D63" s="58"/>
      <c r="E63" s="58"/>
      <c r="F63" s="58"/>
      <c r="G63" s="58"/>
      <c r="H63" s="58"/>
      <c r="I63" s="58"/>
      <c r="J63" s="12"/>
      <c r="K63" s="14"/>
      <c r="L63" s="14"/>
      <c r="M63" s="14"/>
      <c r="N63" s="14"/>
      <c r="O63" s="9"/>
      <c r="P63" s="9"/>
      <c r="Q63" s="9"/>
      <c r="R63" s="9"/>
      <c r="S63" s="9"/>
      <c r="T63" s="9"/>
      <c r="U63" s="9"/>
      <c r="V63" s="117"/>
      <c r="W63" s="137"/>
      <c r="X63" s="294"/>
      <c r="AJ63" s="585" t="b">
        <v>1</v>
      </c>
      <c r="AK63" s="160" t="s">
        <v>74</v>
      </c>
      <c r="AL63" s="87" t="str">
        <f t="shared" si="12"/>
        <v>South East</v>
      </c>
      <c r="AM63" s="146">
        <f t="shared" si="15"/>
        <v>159.74141077107555</v>
      </c>
      <c r="AN63" s="146">
        <f t="shared" si="15"/>
        <v>159.4330350214681</v>
      </c>
      <c r="AO63" s="146">
        <f t="shared" si="15"/>
        <v>166.67524049591029</v>
      </c>
      <c r="AP63" s="146">
        <f t="shared" si="15"/>
        <v>172.11607234086031</v>
      </c>
      <c r="AQ63" s="146">
        <f t="shared" si="15"/>
        <v>179.05748527320739</v>
      </c>
      <c r="AR63" s="147">
        <f t="shared" si="14"/>
        <v>12.371268250968637</v>
      </c>
    </row>
    <row r="64" spans="1:49" s="81" customFormat="1" ht="14.25" customHeight="1" x14ac:dyDescent="0.2">
      <c r="A64" s="118"/>
      <c r="B64" s="363"/>
      <c r="C64" s="363"/>
      <c r="D64" s="58"/>
      <c r="E64" s="58"/>
      <c r="F64" s="58"/>
      <c r="G64" s="58"/>
      <c r="H64" s="58"/>
      <c r="I64" s="58"/>
      <c r="J64" s="12"/>
      <c r="K64" s="9"/>
      <c r="L64" s="110"/>
      <c r="M64" s="1823" t="s">
        <v>72</v>
      </c>
      <c r="N64" s="1790"/>
      <c r="O64" s="1790"/>
      <c r="P64" s="1824"/>
      <c r="Q64" s="917"/>
      <c r="R64" s="1802" t="s">
        <v>100</v>
      </c>
      <c r="S64" s="1803"/>
      <c r="T64" s="1803"/>
      <c r="U64" s="1804"/>
      <c r="V64" s="117"/>
      <c r="W64" s="137"/>
      <c r="X64" s="294"/>
      <c r="AJ64" s="585" t="b">
        <v>1</v>
      </c>
      <c r="AK64" s="160" t="s">
        <v>127</v>
      </c>
      <c r="AL64" s="87" t="str">
        <f t="shared" si="12"/>
        <v>England</v>
      </c>
      <c r="AM64" s="146">
        <f t="shared" si="15"/>
        <v>147.5350876441826</v>
      </c>
      <c r="AN64" s="146">
        <f t="shared" si="15"/>
        <v>157.35704649011907</v>
      </c>
      <c r="AO64" s="146">
        <f t="shared" si="15"/>
        <v>166.92508637397827</v>
      </c>
      <c r="AP64" s="146">
        <f t="shared" si="15"/>
        <v>168.278319642648</v>
      </c>
      <c r="AQ64" s="146">
        <f t="shared" si="15"/>
        <v>167.17122991450148</v>
      </c>
      <c r="AR64" s="147">
        <f t="shared" si="14"/>
        <v>17.084413405029373</v>
      </c>
    </row>
    <row r="65" spans="1:49" s="81" customFormat="1" ht="14.25" customHeight="1" x14ac:dyDescent="0.2">
      <c r="A65" s="118"/>
      <c r="B65" s="363"/>
      <c r="C65" s="363"/>
      <c r="D65" s="58"/>
      <c r="E65" s="58"/>
      <c r="F65" s="58"/>
      <c r="G65" s="58"/>
      <c r="H65" s="58"/>
      <c r="I65" s="58"/>
      <c r="J65" s="12"/>
      <c r="K65" s="9"/>
      <c r="L65" s="111"/>
      <c r="M65" s="1802" t="str">
        <f>AA4</f>
        <v>Selected LA- (none)</v>
      </c>
      <c r="N65" s="1803"/>
      <c r="O65" s="1803"/>
      <c r="P65" s="1803"/>
      <c r="Q65" s="110"/>
      <c r="R65" s="1806" t="s">
        <v>187</v>
      </c>
      <c r="S65" s="1806"/>
      <c r="T65" s="1806"/>
      <c r="U65" s="1807"/>
      <c r="V65" s="117"/>
      <c r="W65" s="137"/>
      <c r="X65" s="150"/>
      <c r="AK65" s="161"/>
      <c r="AL65" s="74" t="str">
        <f>AA4</f>
        <v>Selected LA- (none)</v>
      </c>
      <c r="AM65" s="148" t="e">
        <f>VLOOKUP($Z4,$B$10:$O$32,AM$37,FALSE)</f>
        <v>#N/A</v>
      </c>
      <c r="AN65" s="148" t="e">
        <f>VLOOKUP($Z4,$B$10:$O$32,AN$37,FALSE)</f>
        <v>#N/A</v>
      </c>
      <c r="AO65" s="148" t="e">
        <f>VLOOKUP($Z4,$B$10:$O$32,AO$37,FALSE)</f>
        <v>#N/A</v>
      </c>
      <c r="AP65" s="148" t="e">
        <f>VLOOKUP($Z4,$B$10:$O$32,AP$37,FALSE)</f>
        <v>#N/A</v>
      </c>
      <c r="AQ65" s="148" t="e">
        <f>VLOOKUP($Z4,$B$10:$O$32,AQ$37,FALSE)</f>
        <v>#N/A</v>
      </c>
      <c r="AR65" s="147" t="e">
        <f>VLOOKUP(Z4,$B$10:$U$33,$AR$37,FALSE)</f>
        <v>#N/A</v>
      </c>
    </row>
    <row r="66" spans="1:49" s="81" customFormat="1" ht="38.450000000000003" customHeight="1" x14ac:dyDescent="0.2">
      <c r="A66" s="118"/>
      <c r="B66" s="363"/>
      <c r="C66" s="363"/>
      <c r="D66" s="58"/>
      <c r="E66" s="58"/>
      <c r="F66" s="58"/>
      <c r="G66" s="58"/>
      <c r="H66" s="58"/>
      <c r="I66" s="58"/>
      <c r="J66" s="12"/>
      <c r="K66" s="9"/>
      <c r="L66" s="9"/>
      <c r="M66" s="9"/>
      <c r="N66" s="9"/>
      <c r="O66" s="9"/>
      <c r="P66" s="9"/>
      <c r="Q66" s="9"/>
      <c r="R66" s="9"/>
      <c r="S66" s="9"/>
      <c r="T66" s="9"/>
      <c r="U66" s="9"/>
      <c r="V66" s="117"/>
      <c r="W66" s="137"/>
      <c r="X66" s="150"/>
      <c r="AK66" s="161"/>
    </row>
    <row r="67" spans="1:49" s="87" customFormat="1" ht="39.950000000000003" customHeight="1" x14ac:dyDescent="0.2">
      <c r="A67" s="121"/>
      <c r="B67" s="109"/>
      <c r="C67" s="109"/>
      <c r="D67" s="109"/>
      <c r="E67" s="109"/>
      <c r="F67" s="109"/>
      <c r="G67" s="109"/>
      <c r="H67" s="109"/>
      <c r="I67" s="109"/>
      <c r="J67" s="96"/>
      <c r="K67" s="85"/>
      <c r="L67" s="85"/>
      <c r="M67" s="85"/>
      <c r="N67" s="85"/>
      <c r="O67" s="85"/>
      <c r="P67" s="85"/>
      <c r="Q67" s="85"/>
      <c r="R67" s="85"/>
      <c r="S67" s="85"/>
      <c r="T67" s="85"/>
      <c r="U67" s="85"/>
      <c r="V67" s="122"/>
      <c r="W67" s="139"/>
      <c r="X67" s="152"/>
      <c r="AE67" s="190"/>
      <c r="AF67" s="190"/>
      <c r="AG67" s="190"/>
      <c r="AH67" s="190"/>
      <c r="AI67" s="190"/>
      <c r="AJ67" s="202"/>
      <c r="AK67" s="160"/>
      <c r="AS67" s="81"/>
      <c r="AT67" s="81"/>
      <c r="AU67" s="81"/>
      <c r="AV67" s="81"/>
      <c r="AW67" s="81"/>
    </row>
    <row r="68" spans="1:49" s="87" customFormat="1" ht="48.75" customHeight="1" x14ac:dyDescent="0.2">
      <c r="A68" s="121"/>
      <c r="B68" s="109"/>
      <c r="C68" s="109"/>
      <c r="D68" s="109"/>
      <c r="E68" s="109"/>
      <c r="F68" s="109"/>
      <c r="G68" s="109"/>
      <c r="H68" s="109"/>
      <c r="I68" s="109"/>
      <c r="J68" s="96"/>
      <c r="K68" s="85"/>
      <c r="L68" s="85"/>
      <c r="M68" s="85"/>
      <c r="N68" s="85"/>
      <c r="O68" s="85"/>
      <c r="P68" s="85"/>
      <c r="Q68" s="85"/>
      <c r="R68" s="85"/>
      <c r="S68" s="85"/>
      <c r="T68" s="85"/>
      <c r="U68" s="85"/>
      <c r="V68" s="122"/>
      <c r="W68" s="139"/>
      <c r="X68" s="152"/>
      <c r="AE68" s="190"/>
      <c r="AF68" s="190"/>
      <c r="AG68" s="190"/>
      <c r="AH68" s="190"/>
      <c r="AI68" s="190"/>
      <c r="AJ68" s="202"/>
      <c r="AK68" s="160"/>
    </row>
    <row r="69" spans="1:49" ht="7.5" customHeight="1" x14ac:dyDescent="0.2">
      <c r="A69" s="118"/>
      <c r="B69" s="17"/>
      <c r="C69" s="17"/>
      <c r="D69" s="16"/>
      <c r="E69" s="16"/>
      <c r="F69" s="16"/>
      <c r="G69" s="16"/>
      <c r="H69" s="16"/>
      <c r="I69" s="16"/>
      <c r="J69" s="12"/>
      <c r="K69" s="18"/>
      <c r="L69" s="18"/>
      <c r="M69" s="18"/>
      <c r="N69" s="18"/>
      <c r="O69" s="18"/>
      <c r="P69" s="18"/>
      <c r="Q69" s="18"/>
      <c r="R69" s="18"/>
      <c r="S69" s="18"/>
      <c r="T69" s="18"/>
      <c r="U69" s="19"/>
      <c r="V69" s="117"/>
      <c r="W69" s="137"/>
      <c r="X69" s="150"/>
      <c r="Y69" s="87"/>
      <c r="Z69" s="87"/>
      <c r="AA69" s="87"/>
      <c r="AB69" s="87"/>
      <c r="AC69" s="87"/>
      <c r="AD69" s="87"/>
      <c r="AJ69" s="184"/>
      <c r="AK69" s="157"/>
    </row>
    <row r="70" spans="1:49" ht="15" customHeight="1" x14ac:dyDescent="0.2">
      <c r="A70" s="1716"/>
      <c r="B70" s="1760"/>
      <c r="C70" s="1760"/>
      <c r="D70" s="1760"/>
      <c r="E70" s="1760"/>
      <c r="F70" s="1760"/>
      <c r="G70" s="1760"/>
      <c r="H70" s="1760"/>
      <c r="I70" s="1760"/>
      <c r="J70" s="1760"/>
      <c r="K70" s="1760"/>
      <c r="L70" s="1760"/>
      <c r="M70" s="1760"/>
      <c r="N70" s="1760"/>
      <c r="O70" s="1760"/>
      <c r="P70" s="1760"/>
      <c r="Q70" s="1760"/>
      <c r="R70" s="1760"/>
      <c r="S70" s="1760"/>
      <c r="T70" s="1760"/>
      <c r="U70" s="1760"/>
      <c r="V70" s="1761"/>
      <c r="W70" s="137"/>
      <c r="X70" s="150"/>
      <c r="Y70" s="87"/>
      <c r="Z70" s="87"/>
      <c r="AA70" s="87"/>
      <c r="AB70" s="87"/>
      <c r="AC70" s="87"/>
      <c r="AD70" s="87"/>
      <c r="AJ70" s="184"/>
      <c r="AK70" s="157"/>
    </row>
    <row r="71" spans="1:49" ht="11.1" customHeight="1" x14ac:dyDescent="0.2">
      <c r="A71" s="1765" t="str">
        <f>Home!$A$39</f>
        <v xml:space="preserve"> </v>
      </c>
      <c r="B71" s="1766"/>
      <c r="C71" s="1766"/>
      <c r="D71" s="1766"/>
      <c r="E71" s="1766"/>
      <c r="F71" s="1766"/>
      <c r="G71" s="1766"/>
      <c r="H71" s="1766"/>
      <c r="I71" s="1767"/>
      <c r="J71" s="1766"/>
      <c r="K71" s="1766"/>
      <c r="L71" s="1766"/>
      <c r="M71" s="1766"/>
      <c r="N71" s="1766"/>
      <c r="O71" s="1766"/>
      <c r="P71" s="1768"/>
      <c r="Q71" s="1766"/>
      <c r="R71" s="1766"/>
      <c r="S71" s="1766"/>
      <c r="T71" s="1767"/>
      <c r="U71" s="1766"/>
      <c r="V71" s="1769"/>
      <c r="W71" s="137"/>
      <c r="X71" s="150"/>
      <c r="Y71" s="87"/>
      <c r="Z71" s="87"/>
      <c r="AA71" s="87"/>
      <c r="AB71" s="87"/>
      <c r="AC71" s="87"/>
      <c r="AD71" s="87"/>
      <c r="AJ71" s="184"/>
      <c r="AK71" s="157"/>
    </row>
    <row r="72" spans="1:49" ht="11.25" customHeight="1" x14ac:dyDescent="0.2">
      <c r="A72" s="112"/>
      <c r="B72" s="113"/>
      <c r="C72" s="113"/>
      <c r="D72" s="113"/>
      <c r="E72" s="113"/>
      <c r="F72" s="113"/>
      <c r="G72" s="113"/>
      <c r="H72" s="113"/>
      <c r="I72" s="113"/>
      <c r="J72" s="114"/>
      <c r="K72" s="113"/>
      <c r="L72" s="113"/>
      <c r="M72" s="113"/>
      <c r="N72" s="113"/>
      <c r="O72" s="113"/>
      <c r="P72" s="113"/>
      <c r="Q72" s="113"/>
      <c r="R72" s="113"/>
      <c r="S72" s="113"/>
      <c r="T72" s="113"/>
      <c r="U72" s="113"/>
      <c r="V72" s="115"/>
      <c r="W72" s="137"/>
      <c r="X72" s="150"/>
      <c r="Y72" s="188"/>
      <c r="Z72" s="188"/>
      <c r="AA72" s="188"/>
      <c r="AJ72" s="184"/>
      <c r="AK72" s="157"/>
    </row>
    <row r="73" spans="1:49" s="76" customFormat="1" ht="15" customHeight="1" x14ac:dyDescent="0.2">
      <c r="A73" s="119"/>
      <c r="B73" s="59"/>
      <c r="C73" s="362"/>
      <c r="D73" s="362"/>
      <c r="E73" s="362"/>
      <c r="F73" s="362"/>
      <c r="G73" s="362"/>
      <c r="H73" s="362"/>
      <c r="I73" s="362"/>
      <c r="J73" s="70"/>
      <c r="K73" s="70"/>
      <c r="L73" s="70"/>
      <c r="M73" s="70"/>
      <c r="N73" s="359"/>
      <c r="O73" s="70"/>
      <c r="P73" s="70"/>
      <c r="Q73" s="70"/>
      <c r="R73" s="70"/>
      <c r="S73" s="70"/>
      <c r="T73" s="70"/>
      <c r="U73" s="70"/>
      <c r="V73" s="120"/>
      <c r="W73" s="138"/>
      <c r="X73" s="151"/>
      <c r="Y73" s="188"/>
      <c r="Z73" s="188"/>
      <c r="AA73" s="188"/>
      <c r="AB73" s="188"/>
      <c r="AC73" s="188"/>
      <c r="AD73" s="188"/>
      <c r="AE73" s="188"/>
      <c r="AF73" s="188"/>
      <c r="AG73" s="188"/>
      <c r="AH73" s="188"/>
      <c r="AI73" s="188"/>
      <c r="AJ73" s="188"/>
      <c r="AK73" s="158"/>
    </row>
    <row r="74" spans="1:49" ht="13.5" customHeight="1" x14ac:dyDescent="0.2">
      <c r="A74" s="118"/>
      <c r="B74" s="362"/>
      <c r="C74" s="362"/>
      <c r="D74" s="362"/>
      <c r="E74" s="362"/>
      <c r="F74" s="362"/>
      <c r="G74" s="362"/>
      <c r="H74" s="362"/>
      <c r="I74" s="362"/>
      <c r="J74" s="70"/>
      <c r="K74" s="70"/>
      <c r="L74" s="70"/>
      <c r="M74" s="70"/>
      <c r="N74" s="359"/>
      <c r="O74" s="70"/>
      <c r="P74" s="70"/>
      <c r="Q74" s="70"/>
      <c r="R74" s="10"/>
      <c r="S74" s="70"/>
      <c r="T74" s="70"/>
      <c r="U74" s="70"/>
      <c r="V74" s="117"/>
      <c r="W74" s="137"/>
      <c r="X74" s="150"/>
      <c r="Y74" s="188"/>
      <c r="Z74" s="188"/>
      <c r="AA74" s="196"/>
      <c r="AB74" s="196"/>
      <c r="AC74" s="197"/>
      <c r="AD74" s="197"/>
      <c r="AJ74" s="184"/>
      <c r="AK74" s="157"/>
    </row>
    <row r="75" spans="1:49" s="87" customFormat="1" ht="12" customHeight="1" x14ac:dyDescent="0.2">
      <c r="A75" s="121"/>
      <c r="B75" s="362"/>
      <c r="C75" s="362"/>
      <c r="D75" s="362"/>
      <c r="E75" s="362"/>
      <c r="F75" s="362"/>
      <c r="G75" s="362"/>
      <c r="H75" s="362"/>
      <c r="I75" s="96"/>
      <c r="J75" s="96"/>
      <c r="K75" s="61"/>
      <c r="L75" s="61"/>
      <c r="M75" s="61"/>
      <c r="N75" s="61"/>
      <c r="O75" s="61"/>
      <c r="P75" s="61"/>
      <c r="Q75" s="365"/>
      <c r="R75" s="365"/>
      <c r="S75" s="159"/>
      <c r="T75" s="159"/>
      <c r="U75" s="366"/>
      <c r="V75" s="122"/>
      <c r="W75" s="139"/>
      <c r="X75" s="152"/>
      <c r="Y75" s="188"/>
      <c r="Z75" s="188"/>
      <c r="AA75" s="196"/>
      <c r="AB75" s="196"/>
      <c r="AC75" s="197"/>
      <c r="AD75" s="197"/>
      <c r="AE75" s="199"/>
      <c r="AF75" s="190"/>
      <c r="AG75" s="190"/>
      <c r="AH75" s="190"/>
      <c r="AI75" s="190"/>
      <c r="AJ75" s="202"/>
      <c r="AK75" s="160"/>
    </row>
    <row r="76" spans="1:49" s="87" customFormat="1" ht="24" customHeight="1" x14ac:dyDescent="0.2">
      <c r="A76" s="121"/>
      <c r="B76" s="362"/>
      <c r="C76" s="362"/>
      <c r="D76" s="362"/>
      <c r="E76" s="362"/>
      <c r="F76" s="362"/>
      <c r="G76" s="362"/>
      <c r="H76" s="362"/>
      <c r="I76" s="96"/>
      <c r="J76" s="96"/>
      <c r="K76" s="166"/>
      <c r="L76" s="166"/>
      <c r="M76" s="166"/>
      <c r="N76" s="166"/>
      <c r="O76" s="166"/>
      <c r="P76" s="166"/>
      <c r="Q76" s="166"/>
      <c r="R76" s="167"/>
      <c r="S76" s="159"/>
      <c r="T76" s="159"/>
      <c r="U76" s="166"/>
      <c r="V76" s="122"/>
      <c r="W76" s="139"/>
      <c r="X76" s="152"/>
      <c r="Z76" s="353" t="s">
        <v>130</v>
      </c>
      <c r="AA76" s="354" t="s">
        <v>131</v>
      </c>
      <c r="AB76" s="196"/>
      <c r="AC76" s="197"/>
      <c r="AD76" s="197"/>
      <c r="AE76" s="199"/>
      <c r="AF76" s="190"/>
      <c r="AG76" s="190"/>
      <c r="AH76" s="190"/>
      <c r="AI76" s="190"/>
      <c r="AJ76" s="202"/>
      <c r="AK76" s="160"/>
    </row>
    <row r="77" spans="1:49" s="87" customFormat="1" ht="12.75" customHeight="1" x14ac:dyDescent="0.2">
      <c r="A77" s="121"/>
      <c r="B77" s="362"/>
      <c r="C77" s="362"/>
      <c r="D77" s="362"/>
      <c r="E77" s="362"/>
      <c r="F77" s="362"/>
      <c r="G77" s="362"/>
      <c r="H77" s="362"/>
      <c r="I77" s="96"/>
      <c r="J77" s="96"/>
      <c r="K77" s="166"/>
      <c r="L77" s="166"/>
      <c r="M77" s="166"/>
      <c r="N77" s="166"/>
      <c r="O77" s="166"/>
      <c r="P77" s="166"/>
      <c r="Q77" s="166"/>
      <c r="R77" s="167"/>
      <c r="S77" s="159"/>
      <c r="T77" s="159"/>
      <c r="U77" s="166"/>
      <c r="V77" s="122"/>
      <c r="W77" s="139"/>
      <c r="X77" s="152"/>
      <c r="Y77" s="355" t="str">
        <f t="shared" ref="Y77:Y100" si="16">B10</f>
        <v>Bracknell Forest</v>
      </c>
      <c r="Z77" s="356" t="e">
        <f t="shared" ref="Z77:Z100" si="17">IF(Y77=$Z$4,I10,#N/A)</f>
        <v>#N/A</v>
      </c>
      <c r="AA77" s="356" t="e">
        <f>IF(Y77=$Z$4,U10,#N/A)</f>
        <v>#N/A</v>
      </c>
      <c r="AB77" s="196"/>
      <c r="AC77" s="197"/>
      <c r="AD77" s="197"/>
      <c r="AE77" s="199"/>
      <c r="AF77" s="190"/>
      <c r="AG77" s="190"/>
      <c r="AH77" s="190"/>
      <c r="AI77" s="190"/>
      <c r="AJ77" s="202"/>
      <c r="AK77" s="160"/>
    </row>
    <row r="78" spans="1:49" s="87" customFormat="1" ht="12.75" customHeight="1" x14ac:dyDescent="0.2">
      <c r="A78" s="121"/>
      <c r="B78" s="362"/>
      <c r="C78" s="362"/>
      <c r="D78" s="362"/>
      <c r="E78" s="362"/>
      <c r="F78" s="362"/>
      <c r="G78" s="362"/>
      <c r="H78" s="362"/>
      <c r="I78" s="96"/>
      <c r="J78" s="96"/>
      <c r="K78" s="166"/>
      <c r="L78" s="166"/>
      <c r="M78" s="166"/>
      <c r="N78" s="166"/>
      <c r="O78" s="166"/>
      <c r="P78" s="166"/>
      <c r="Q78" s="166"/>
      <c r="R78" s="167"/>
      <c r="S78" s="159"/>
      <c r="T78" s="159"/>
      <c r="U78" s="166"/>
      <c r="V78" s="122"/>
      <c r="W78" s="139"/>
      <c r="X78" s="152"/>
      <c r="Y78" s="355" t="str">
        <f t="shared" si="16"/>
        <v>Brighton &amp; Hove</v>
      </c>
      <c r="Z78" s="356" t="e">
        <f t="shared" si="17"/>
        <v>#N/A</v>
      </c>
      <c r="AA78" s="356" t="e">
        <f t="shared" ref="AA78:AA100" si="18">IF(Y78=$Z$4,U11,#N/A)</f>
        <v>#N/A</v>
      </c>
      <c r="AB78" s="196"/>
      <c r="AC78" s="197"/>
      <c r="AD78" s="197"/>
      <c r="AE78" s="199"/>
      <c r="AF78" s="190"/>
      <c r="AG78" s="190"/>
      <c r="AH78" s="190"/>
      <c r="AI78" s="190"/>
      <c r="AJ78" s="202"/>
      <c r="AK78" s="160"/>
    </row>
    <row r="79" spans="1:49" s="87" customFormat="1" ht="12.75" customHeight="1" x14ac:dyDescent="0.2">
      <c r="A79" s="121"/>
      <c r="B79" s="362"/>
      <c r="C79" s="362"/>
      <c r="D79" s="362"/>
      <c r="E79" s="362"/>
      <c r="F79" s="362"/>
      <c r="G79" s="362"/>
      <c r="H79" s="362"/>
      <c r="I79" s="96"/>
      <c r="J79" s="96"/>
      <c r="K79" s="166"/>
      <c r="L79" s="166"/>
      <c r="M79" s="166"/>
      <c r="N79" s="166"/>
      <c r="O79" s="166"/>
      <c r="P79" s="166"/>
      <c r="Q79" s="166"/>
      <c r="R79" s="167"/>
      <c r="S79" s="159"/>
      <c r="T79" s="159"/>
      <c r="U79" s="166"/>
      <c r="V79" s="122"/>
      <c r="W79" s="139"/>
      <c r="X79" s="152"/>
      <c r="Y79" s="355" t="str">
        <f t="shared" si="16"/>
        <v>Buckinghamshire</v>
      </c>
      <c r="Z79" s="356" t="e">
        <f t="shared" si="17"/>
        <v>#N/A</v>
      </c>
      <c r="AA79" s="356" t="e">
        <f t="shared" si="18"/>
        <v>#N/A</v>
      </c>
      <c r="AB79" s="196"/>
      <c r="AC79" s="197"/>
      <c r="AD79" s="197"/>
      <c r="AE79" s="199"/>
      <c r="AF79" s="190"/>
      <c r="AG79" s="190"/>
      <c r="AH79" s="190"/>
      <c r="AI79" s="190"/>
      <c r="AJ79" s="202"/>
      <c r="AK79" s="160"/>
    </row>
    <row r="80" spans="1:49" s="87" customFormat="1" ht="12.75" customHeight="1" x14ac:dyDescent="0.2">
      <c r="A80" s="121"/>
      <c r="B80" s="362"/>
      <c r="C80" s="362"/>
      <c r="D80" s="362"/>
      <c r="E80" s="362"/>
      <c r="F80" s="362"/>
      <c r="G80" s="362"/>
      <c r="H80" s="362"/>
      <c r="I80" s="96"/>
      <c r="J80" s="96"/>
      <c r="K80" s="166"/>
      <c r="L80" s="166"/>
      <c r="M80" s="166"/>
      <c r="N80" s="166"/>
      <c r="O80" s="166"/>
      <c r="P80" s="166"/>
      <c r="Q80" s="166"/>
      <c r="R80" s="167"/>
      <c r="S80" s="159"/>
      <c r="T80" s="159"/>
      <c r="U80" s="166"/>
      <c r="V80" s="122"/>
      <c r="W80" s="139"/>
      <c r="X80" s="152"/>
      <c r="Y80" s="355" t="str">
        <f t="shared" si="16"/>
        <v>East Sussex</v>
      </c>
      <c r="Z80" s="356" t="e">
        <f t="shared" si="17"/>
        <v>#N/A</v>
      </c>
      <c r="AA80" s="356" t="e">
        <f t="shared" si="18"/>
        <v>#N/A</v>
      </c>
      <c r="AB80" s="196"/>
      <c r="AC80" s="197"/>
      <c r="AD80" s="197"/>
      <c r="AE80" s="199"/>
      <c r="AF80" s="190"/>
      <c r="AG80" s="190"/>
      <c r="AH80" s="190"/>
      <c r="AI80" s="190"/>
      <c r="AJ80" s="202"/>
      <c r="AK80" s="160"/>
    </row>
    <row r="81" spans="1:45" s="87" customFormat="1" ht="12.75" customHeight="1" x14ac:dyDescent="0.2">
      <c r="A81" s="121"/>
      <c r="B81" s="362"/>
      <c r="C81" s="362"/>
      <c r="D81" s="362"/>
      <c r="E81" s="362"/>
      <c r="F81" s="362"/>
      <c r="G81" s="362"/>
      <c r="H81" s="362"/>
      <c r="I81" s="96"/>
      <c r="J81" s="96"/>
      <c r="K81" s="166"/>
      <c r="L81" s="166"/>
      <c r="M81" s="166"/>
      <c r="N81" s="166"/>
      <c r="O81" s="166"/>
      <c r="P81" s="166"/>
      <c r="Q81" s="166"/>
      <c r="R81" s="167"/>
      <c r="S81" s="159"/>
      <c r="T81" s="159"/>
      <c r="U81" s="166"/>
      <c r="V81" s="122"/>
      <c r="W81" s="139"/>
      <c r="X81" s="152"/>
      <c r="Y81" s="355" t="str">
        <f t="shared" si="16"/>
        <v>Hampshire</v>
      </c>
      <c r="Z81" s="356" t="e">
        <f t="shared" si="17"/>
        <v>#N/A</v>
      </c>
      <c r="AA81" s="356" t="e">
        <f t="shared" si="18"/>
        <v>#N/A</v>
      </c>
      <c r="AB81" s="196"/>
      <c r="AC81" s="197"/>
      <c r="AD81" s="197"/>
      <c r="AE81" s="199"/>
      <c r="AF81" s="190"/>
      <c r="AG81" s="190"/>
      <c r="AH81" s="190"/>
      <c r="AI81" s="190"/>
      <c r="AJ81" s="202"/>
      <c r="AK81" s="160"/>
      <c r="AS81" s="87" t="s">
        <v>102</v>
      </c>
    </row>
    <row r="82" spans="1:45" s="87" customFormat="1" ht="12.75" customHeight="1" x14ac:dyDescent="0.2">
      <c r="A82" s="121"/>
      <c r="B82" s="362"/>
      <c r="C82" s="362"/>
      <c r="D82" s="362"/>
      <c r="E82" s="362"/>
      <c r="F82" s="362"/>
      <c r="G82" s="362"/>
      <c r="H82" s="362"/>
      <c r="I82" s="96"/>
      <c r="J82" s="96"/>
      <c r="K82" s="166"/>
      <c r="L82" s="166"/>
      <c r="M82" s="166"/>
      <c r="N82" s="166"/>
      <c r="O82" s="166"/>
      <c r="P82" s="166"/>
      <c r="Q82" s="166"/>
      <c r="R82" s="167"/>
      <c r="S82" s="159"/>
      <c r="T82" s="159"/>
      <c r="U82" s="166"/>
      <c r="V82" s="122"/>
      <c r="W82" s="139"/>
      <c r="X82" s="152"/>
      <c r="Y82" s="355" t="str">
        <f t="shared" si="16"/>
        <v>Isle of Wight</v>
      </c>
      <c r="Z82" s="356" t="e">
        <f t="shared" si="17"/>
        <v>#N/A</v>
      </c>
      <c r="AA82" s="356" t="e">
        <f t="shared" si="18"/>
        <v>#N/A</v>
      </c>
      <c r="AB82" s="196"/>
      <c r="AC82" s="197"/>
      <c r="AD82" s="197"/>
      <c r="AE82" s="199"/>
      <c r="AF82" s="190"/>
      <c r="AG82" s="190"/>
      <c r="AH82" s="190"/>
      <c r="AI82" s="190"/>
      <c r="AJ82" s="202"/>
      <c r="AK82" s="160"/>
    </row>
    <row r="83" spans="1:45" s="87" customFormat="1" ht="12.75" customHeight="1" x14ac:dyDescent="0.2">
      <c r="A83" s="121"/>
      <c r="B83" s="362"/>
      <c r="C83" s="362"/>
      <c r="D83" s="362"/>
      <c r="E83" s="362"/>
      <c r="F83" s="362"/>
      <c r="G83" s="362"/>
      <c r="H83" s="362"/>
      <c r="I83" s="96"/>
      <c r="J83" s="96"/>
      <c r="K83" s="166"/>
      <c r="L83" s="166"/>
      <c r="M83" s="166"/>
      <c r="N83" s="166"/>
      <c r="O83" s="166"/>
      <c r="P83" s="166"/>
      <c r="Q83" s="166"/>
      <c r="R83" s="167"/>
      <c r="S83" s="159"/>
      <c r="T83" s="159"/>
      <c r="U83" s="166"/>
      <c r="V83" s="122"/>
      <c r="W83" s="139"/>
      <c r="X83" s="152"/>
      <c r="Y83" s="355" t="str">
        <f t="shared" si="16"/>
        <v>Kent</v>
      </c>
      <c r="Z83" s="356" t="e">
        <f t="shared" si="17"/>
        <v>#N/A</v>
      </c>
      <c r="AA83" s="356" t="e">
        <f t="shared" si="18"/>
        <v>#N/A</v>
      </c>
      <c r="AB83" s="196"/>
      <c r="AC83" s="197"/>
      <c r="AD83" s="197"/>
      <c r="AE83" s="199"/>
      <c r="AF83" s="190"/>
      <c r="AG83" s="190"/>
      <c r="AH83" s="190"/>
      <c r="AI83" s="190"/>
      <c r="AJ83" s="202"/>
      <c r="AK83" s="160"/>
    </row>
    <row r="84" spans="1:45" s="87" customFormat="1" ht="12.75" customHeight="1" x14ac:dyDescent="0.2">
      <c r="A84" s="121"/>
      <c r="B84" s="362"/>
      <c r="C84" s="362"/>
      <c r="D84" s="362"/>
      <c r="E84" s="362"/>
      <c r="F84" s="362"/>
      <c r="G84" s="362"/>
      <c r="H84" s="362"/>
      <c r="I84" s="96"/>
      <c r="J84" s="96"/>
      <c r="K84" s="166"/>
      <c r="L84" s="166"/>
      <c r="M84" s="166"/>
      <c r="N84" s="166"/>
      <c r="O84" s="166"/>
      <c r="P84" s="166"/>
      <c r="Q84" s="166"/>
      <c r="R84" s="167"/>
      <c r="S84" s="159"/>
      <c r="T84" s="159"/>
      <c r="U84" s="166"/>
      <c r="V84" s="122"/>
      <c r="W84" s="139"/>
      <c r="X84" s="152"/>
      <c r="Y84" s="355" t="str">
        <f t="shared" si="16"/>
        <v>Medway</v>
      </c>
      <c r="Z84" s="356" t="e">
        <f t="shared" si="17"/>
        <v>#N/A</v>
      </c>
      <c r="AA84" s="356" t="e">
        <f t="shared" si="18"/>
        <v>#N/A</v>
      </c>
      <c r="AB84" s="196"/>
      <c r="AC84" s="197"/>
      <c r="AD84" s="197"/>
      <c r="AE84" s="199"/>
      <c r="AF84" s="190"/>
      <c r="AG84" s="190"/>
      <c r="AH84" s="190"/>
      <c r="AI84" s="190"/>
      <c r="AJ84" s="202"/>
      <c r="AK84" s="160"/>
    </row>
    <row r="85" spans="1:45" s="87" customFormat="1" ht="12.75" customHeight="1" x14ac:dyDescent="0.2">
      <c r="A85" s="121"/>
      <c r="B85" s="362"/>
      <c r="C85" s="362"/>
      <c r="D85" s="362"/>
      <c r="E85" s="362"/>
      <c r="F85" s="362"/>
      <c r="G85" s="362"/>
      <c r="H85" s="362"/>
      <c r="I85" s="96"/>
      <c r="J85" s="96"/>
      <c r="K85" s="166"/>
      <c r="L85" s="166"/>
      <c r="M85" s="166"/>
      <c r="N85" s="166"/>
      <c r="O85" s="166"/>
      <c r="P85" s="166"/>
      <c r="Q85" s="166"/>
      <c r="R85" s="167"/>
      <c r="S85" s="159"/>
      <c r="T85" s="159"/>
      <c r="U85" s="166"/>
      <c r="V85" s="122"/>
      <c r="W85" s="139"/>
      <c r="X85" s="152"/>
      <c r="Y85" s="355" t="str">
        <f t="shared" si="16"/>
        <v>Milton Keynes</v>
      </c>
      <c r="Z85" s="356" t="e">
        <f t="shared" si="17"/>
        <v>#N/A</v>
      </c>
      <c r="AA85" s="356" t="e">
        <f t="shared" si="18"/>
        <v>#N/A</v>
      </c>
      <c r="AB85" s="196"/>
      <c r="AC85" s="197"/>
      <c r="AD85" s="197"/>
      <c r="AE85" s="199"/>
      <c r="AF85" s="190"/>
      <c r="AG85" s="190"/>
      <c r="AH85" s="190"/>
      <c r="AI85" s="190"/>
      <c r="AJ85" s="202"/>
      <c r="AK85" s="160"/>
    </row>
    <row r="86" spans="1:45" s="87" customFormat="1" ht="12.75" customHeight="1" x14ac:dyDescent="0.2">
      <c r="A86" s="121"/>
      <c r="B86" s="362"/>
      <c r="C86" s="362"/>
      <c r="D86" s="362"/>
      <c r="E86" s="362"/>
      <c r="F86" s="362"/>
      <c r="G86" s="362"/>
      <c r="H86" s="362"/>
      <c r="I86" s="96"/>
      <c r="J86" s="96"/>
      <c r="K86" s="166"/>
      <c r="L86" s="166"/>
      <c r="M86" s="166"/>
      <c r="N86" s="166"/>
      <c r="O86" s="166"/>
      <c r="P86" s="166"/>
      <c r="Q86" s="166"/>
      <c r="R86" s="167"/>
      <c r="S86" s="159"/>
      <c r="T86" s="159"/>
      <c r="U86" s="166"/>
      <c r="V86" s="122"/>
      <c r="W86" s="139"/>
      <c r="X86" s="152"/>
      <c r="Y86" s="355" t="str">
        <f t="shared" si="16"/>
        <v>Oxfordshire</v>
      </c>
      <c r="Z86" s="356" t="e">
        <f t="shared" si="17"/>
        <v>#N/A</v>
      </c>
      <c r="AA86" s="356" t="e">
        <f t="shared" si="18"/>
        <v>#N/A</v>
      </c>
      <c r="AB86" s="196"/>
      <c r="AC86" s="197"/>
      <c r="AD86" s="197"/>
      <c r="AE86" s="199"/>
      <c r="AF86" s="190"/>
      <c r="AG86" s="190"/>
      <c r="AH86" s="190"/>
      <c r="AI86" s="190"/>
      <c r="AJ86" s="202"/>
      <c r="AK86" s="160"/>
    </row>
    <row r="87" spans="1:45" s="87" customFormat="1" ht="12.75" customHeight="1" x14ac:dyDescent="0.2">
      <c r="A87" s="121"/>
      <c r="B87" s="362"/>
      <c r="C87" s="362"/>
      <c r="D87" s="362"/>
      <c r="E87" s="362"/>
      <c r="F87" s="362"/>
      <c r="G87" s="362"/>
      <c r="H87" s="362"/>
      <c r="I87" s="96"/>
      <c r="J87" s="96"/>
      <c r="K87" s="166"/>
      <c r="L87" s="166"/>
      <c r="M87" s="166"/>
      <c r="N87" s="166"/>
      <c r="O87" s="166"/>
      <c r="P87" s="166"/>
      <c r="Q87" s="166"/>
      <c r="R87" s="167"/>
      <c r="S87" s="159"/>
      <c r="T87" s="159"/>
      <c r="U87" s="166"/>
      <c r="V87" s="122"/>
      <c r="W87" s="139"/>
      <c r="X87" s="152"/>
      <c r="Y87" s="355" t="str">
        <f t="shared" si="16"/>
        <v>Portsmouth</v>
      </c>
      <c r="Z87" s="356" t="e">
        <f t="shared" si="17"/>
        <v>#N/A</v>
      </c>
      <c r="AA87" s="356" t="e">
        <f t="shared" si="18"/>
        <v>#N/A</v>
      </c>
      <c r="AB87" s="196"/>
      <c r="AC87" s="197"/>
      <c r="AD87" s="197"/>
      <c r="AE87" s="199"/>
      <c r="AF87" s="190"/>
      <c r="AG87" s="190"/>
      <c r="AH87" s="190"/>
      <c r="AI87" s="190"/>
      <c r="AJ87" s="202"/>
      <c r="AK87" s="160"/>
    </row>
    <row r="88" spans="1:45" s="87" customFormat="1" ht="12.75" customHeight="1" x14ac:dyDescent="0.2">
      <c r="A88" s="121"/>
      <c r="B88" s="362"/>
      <c r="C88" s="362"/>
      <c r="D88" s="362"/>
      <c r="E88" s="362"/>
      <c r="F88" s="362"/>
      <c r="G88" s="362"/>
      <c r="H88" s="362"/>
      <c r="I88" s="96"/>
      <c r="J88" s="96"/>
      <c r="K88" s="166"/>
      <c r="L88" s="166"/>
      <c r="M88" s="166"/>
      <c r="N88" s="166"/>
      <c r="O88" s="166"/>
      <c r="P88" s="166"/>
      <c r="Q88" s="166"/>
      <c r="R88" s="167"/>
      <c r="S88" s="159"/>
      <c r="T88" s="159"/>
      <c r="U88" s="166"/>
      <c r="V88" s="122"/>
      <c r="W88" s="139"/>
      <c r="X88" s="152"/>
      <c r="Y88" s="355" t="str">
        <f t="shared" si="16"/>
        <v>Reading</v>
      </c>
      <c r="Z88" s="356" t="e">
        <f t="shared" si="17"/>
        <v>#N/A</v>
      </c>
      <c r="AA88" s="356" t="e">
        <f t="shared" si="18"/>
        <v>#N/A</v>
      </c>
      <c r="AB88" s="196"/>
      <c r="AC88" s="197"/>
      <c r="AD88" s="197"/>
      <c r="AE88" s="199"/>
      <c r="AF88" s="190"/>
      <c r="AG88" s="190"/>
      <c r="AH88" s="190"/>
      <c r="AI88" s="190"/>
      <c r="AJ88" s="202"/>
      <c r="AK88" s="160"/>
    </row>
    <row r="89" spans="1:45" s="87" customFormat="1" ht="12.75" customHeight="1" x14ac:dyDescent="0.2">
      <c r="A89" s="121"/>
      <c r="B89" s="362"/>
      <c r="C89" s="362"/>
      <c r="D89" s="362"/>
      <c r="E89" s="362"/>
      <c r="F89" s="362"/>
      <c r="G89" s="362"/>
      <c r="H89" s="362"/>
      <c r="I89" s="96"/>
      <c r="J89" s="96"/>
      <c r="K89" s="166"/>
      <c r="L89" s="166"/>
      <c r="M89" s="166"/>
      <c r="N89" s="166"/>
      <c r="O89" s="166"/>
      <c r="P89" s="166"/>
      <c r="Q89" s="166"/>
      <c r="R89" s="167"/>
      <c r="S89" s="159"/>
      <c r="T89" s="159"/>
      <c r="U89" s="166"/>
      <c r="V89" s="122"/>
      <c r="W89" s="139"/>
      <c r="X89" s="152"/>
      <c r="Y89" s="355" t="str">
        <f t="shared" si="16"/>
        <v>Slough</v>
      </c>
      <c r="Z89" s="356" t="e">
        <f t="shared" si="17"/>
        <v>#N/A</v>
      </c>
      <c r="AA89" s="356" t="e">
        <f t="shared" si="18"/>
        <v>#N/A</v>
      </c>
      <c r="AB89" s="196"/>
      <c r="AC89" s="197"/>
      <c r="AD89" s="197"/>
      <c r="AE89" s="199"/>
      <c r="AF89" s="190"/>
      <c r="AG89" s="190"/>
      <c r="AH89" s="190"/>
      <c r="AI89" s="190"/>
      <c r="AJ89" s="202"/>
      <c r="AK89" s="160"/>
    </row>
    <row r="90" spans="1:45" s="87" customFormat="1" ht="12.75" customHeight="1" x14ac:dyDescent="0.2">
      <c r="A90" s="121"/>
      <c r="B90" s="362"/>
      <c r="C90" s="362"/>
      <c r="D90" s="362"/>
      <c r="E90" s="362"/>
      <c r="F90" s="362"/>
      <c r="G90" s="362"/>
      <c r="H90" s="362"/>
      <c r="I90" s="96"/>
      <c r="J90" s="96"/>
      <c r="K90" s="166"/>
      <c r="L90" s="166"/>
      <c r="M90" s="166"/>
      <c r="N90" s="166"/>
      <c r="O90" s="166"/>
      <c r="P90" s="166"/>
      <c r="Q90" s="166"/>
      <c r="R90" s="167"/>
      <c r="S90" s="159"/>
      <c r="T90" s="159"/>
      <c r="U90" s="166"/>
      <c r="V90" s="122"/>
      <c r="W90" s="139"/>
      <c r="X90" s="152"/>
      <c r="Y90" s="355" t="str">
        <f t="shared" si="16"/>
        <v>Somerset</v>
      </c>
      <c r="Z90" s="356" t="e">
        <f t="shared" si="17"/>
        <v>#N/A</v>
      </c>
      <c r="AA90" s="356" t="e">
        <f t="shared" si="18"/>
        <v>#N/A</v>
      </c>
      <c r="AB90" s="196"/>
      <c r="AC90" s="197"/>
      <c r="AD90" s="197"/>
      <c r="AE90" s="199"/>
      <c r="AF90" s="190"/>
      <c r="AG90" s="190"/>
      <c r="AH90" s="190"/>
      <c r="AI90" s="190"/>
      <c r="AJ90" s="202"/>
      <c r="AK90" s="160"/>
    </row>
    <row r="91" spans="1:45" s="87" customFormat="1" ht="12.75" customHeight="1" x14ac:dyDescent="0.2">
      <c r="A91" s="121"/>
      <c r="B91" s="362"/>
      <c r="C91" s="362"/>
      <c r="D91" s="362"/>
      <c r="E91" s="362"/>
      <c r="F91" s="362"/>
      <c r="G91" s="362"/>
      <c r="H91" s="362"/>
      <c r="I91" s="96"/>
      <c r="J91" s="96"/>
      <c r="K91" s="166"/>
      <c r="L91" s="166"/>
      <c r="M91" s="166"/>
      <c r="N91" s="166"/>
      <c r="O91" s="166"/>
      <c r="P91" s="166"/>
      <c r="Q91" s="166"/>
      <c r="R91" s="167"/>
      <c r="S91" s="159"/>
      <c r="T91" s="159"/>
      <c r="U91" s="166"/>
      <c r="V91" s="122"/>
      <c r="W91" s="139"/>
      <c r="X91" s="152"/>
      <c r="Y91" s="355" t="str">
        <f t="shared" si="16"/>
        <v>Southampton</v>
      </c>
      <c r="Z91" s="356" t="e">
        <f t="shared" si="17"/>
        <v>#N/A</v>
      </c>
      <c r="AA91" s="356" t="e">
        <f t="shared" si="18"/>
        <v>#N/A</v>
      </c>
      <c r="AB91" s="196"/>
      <c r="AC91" s="197"/>
      <c r="AD91" s="197"/>
      <c r="AE91" s="199"/>
      <c r="AF91" s="190"/>
      <c r="AG91" s="190"/>
      <c r="AH91" s="190"/>
      <c r="AI91" s="190"/>
      <c r="AJ91" s="202"/>
      <c r="AK91" s="160"/>
    </row>
    <row r="92" spans="1:45" s="87" customFormat="1" ht="12.75" customHeight="1" x14ac:dyDescent="0.2">
      <c r="A92" s="292"/>
      <c r="B92" s="362"/>
      <c r="C92" s="362"/>
      <c r="D92" s="362"/>
      <c r="E92" s="362"/>
      <c r="F92" s="362"/>
      <c r="G92" s="362"/>
      <c r="H92" s="362"/>
      <c r="I92" s="96"/>
      <c r="J92" s="96"/>
      <c r="K92" s="166"/>
      <c r="L92" s="166"/>
      <c r="M92" s="166"/>
      <c r="N92" s="166"/>
      <c r="O92" s="166"/>
      <c r="P92" s="166"/>
      <c r="Q92" s="166"/>
      <c r="R92" s="167"/>
      <c r="S92" s="159"/>
      <c r="T92" s="159"/>
      <c r="U92" s="166"/>
      <c r="V92" s="122"/>
      <c r="W92" s="139"/>
      <c r="X92" s="152"/>
      <c r="Y92" s="355" t="str">
        <f t="shared" si="16"/>
        <v>Surrey</v>
      </c>
      <c r="Z92" s="356" t="e">
        <f t="shared" si="17"/>
        <v>#N/A</v>
      </c>
      <c r="AA92" s="356" t="e">
        <f t="shared" si="18"/>
        <v>#N/A</v>
      </c>
      <c r="AB92" s="196"/>
      <c r="AC92" s="197"/>
      <c r="AD92" s="197"/>
      <c r="AE92" s="199"/>
      <c r="AF92" s="190"/>
      <c r="AG92" s="190"/>
      <c r="AH92" s="190"/>
      <c r="AI92" s="190"/>
      <c r="AJ92" s="202"/>
      <c r="AK92" s="160"/>
    </row>
    <row r="93" spans="1:45" s="87" customFormat="1" ht="12.75" customHeight="1" x14ac:dyDescent="0.2">
      <c r="A93" s="292"/>
      <c r="B93" s="362"/>
      <c r="C93" s="362"/>
      <c r="D93" s="362"/>
      <c r="E93" s="362"/>
      <c r="F93" s="362"/>
      <c r="G93" s="362"/>
      <c r="H93" s="362"/>
      <c r="I93" s="96"/>
      <c r="J93" s="96"/>
      <c r="K93" s="166"/>
      <c r="L93" s="166"/>
      <c r="M93" s="166"/>
      <c r="N93" s="166"/>
      <c r="O93" s="166"/>
      <c r="P93" s="166"/>
      <c r="Q93" s="166"/>
      <c r="R93" s="167"/>
      <c r="S93" s="159"/>
      <c r="T93" s="159"/>
      <c r="U93" s="166"/>
      <c r="V93" s="122"/>
      <c r="W93" s="139"/>
      <c r="X93" s="152"/>
      <c r="Y93" s="355" t="str">
        <f t="shared" si="16"/>
        <v>Swindon</v>
      </c>
      <c r="Z93" s="356" t="e">
        <f t="shared" si="17"/>
        <v>#N/A</v>
      </c>
      <c r="AA93" s="356" t="e">
        <f t="shared" si="18"/>
        <v>#N/A</v>
      </c>
      <c r="AB93" s="196"/>
      <c r="AC93" s="197"/>
      <c r="AD93" s="197"/>
      <c r="AE93" s="199"/>
      <c r="AF93" s="190"/>
      <c r="AG93" s="190"/>
      <c r="AH93" s="190"/>
      <c r="AI93" s="190"/>
      <c r="AJ93" s="202"/>
      <c r="AK93" s="160"/>
    </row>
    <row r="94" spans="1:45" s="87" customFormat="1" ht="12.75" customHeight="1" x14ac:dyDescent="0.2">
      <c r="A94" s="121"/>
      <c r="B94" s="362"/>
      <c r="C94" s="362"/>
      <c r="D94" s="362"/>
      <c r="E94" s="362"/>
      <c r="F94" s="362"/>
      <c r="G94" s="362"/>
      <c r="H94" s="362"/>
      <c r="I94" s="96"/>
      <c r="J94" s="96"/>
      <c r="K94" s="166"/>
      <c r="L94" s="166"/>
      <c r="M94" s="166"/>
      <c r="N94" s="166"/>
      <c r="O94" s="166"/>
      <c r="P94" s="166"/>
      <c r="Q94" s="166"/>
      <c r="R94" s="167"/>
      <c r="S94" s="159"/>
      <c r="T94" s="159"/>
      <c r="U94" s="166"/>
      <c r="V94" s="122"/>
      <c r="W94" s="139"/>
      <c r="X94" s="152"/>
      <c r="Y94" s="355" t="str">
        <f t="shared" si="16"/>
        <v>Torbay</v>
      </c>
      <c r="Z94" s="356" t="e">
        <f t="shared" si="17"/>
        <v>#N/A</v>
      </c>
      <c r="AA94" s="356" t="e">
        <f t="shared" si="18"/>
        <v>#N/A</v>
      </c>
      <c r="AB94" s="196"/>
      <c r="AC94" s="197"/>
      <c r="AD94" s="197"/>
      <c r="AE94" s="199"/>
      <c r="AF94" s="202"/>
      <c r="AG94" s="190"/>
      <c r="AH94" s="190"/>
      <c r="AI94" s="190"/>
      <c r="AJ94" s="202"/>
      <c r="AK94" s="160"/>
    </row>
    <row r="95" spans="1:45" s="87" customFormat="1" ht="12.75" customHeight="1" x14ac:dyDescent="0.2">
      <c r="A95" s="121"/>
      <c r="B95" s="362"/>
      <c r="C95" s="362"/>
      <c r="D95" s="362"/>
      <c r="E95" s="362"/>
      <c r="F95" s="362"/>
      <c r="G95" s="362"/>
      <c r="H95" s="362"/>
      <c r="I95" s="96"/>
      <c r="J95" s="96"/>
      <c r="K95" s="166"/>
      <c r="L95" s="166"/>
      <c r="M95" s="166"/>
      <c r="N95" s="166"/>
      <c r="O95" s="166"/>
      <c r="P95" s="166"/>
      <c r="Q95" s="166"/>
      <c r="R95" s="167"/>
      <c r="S95" s="159"/>
      <c r="T95" s="159"/>
      <c r="U95" s="166"/>
      <c r="V95" s="122"/>
      <c r="W95" s="139"/>
      <c r="X95" s="152"/>
      <c r="Y95" s="355" t="str">
        <f t="shared" si="16"/>
        <v>West Berkshire</v>
      </c>
      <c r="Z95" s="356" t="e">
        <f t="shared" si="17"/>
        <v>#N/A</v>
      </c>
      <c r="AA95" s="356" t="e">
        <f t="shared" si="18"/>
        <v>#N/A</v>
      </c>
      <c r="AB95" s="196"/>
      <c r="AC95" s="197"/>
      <c r="AD95" s="197"/>
      <c r="AE95" s="199"/>
      <c r="AF95" s="202"/>
      <c r="AG95" s="190"/>
      <c r="AH95" s="190"/>
      <c r="AI95" s="190"/>
      <c r="AJ95" s="202"/>
      <c r="AK95" s="160"/>
    </row>
    <row r="96" spans="1:45" s="87" customFormat="1" ht="12.75" customHeight="1" x14ac:dyDescent="0.2">
      <c r="A96" s="121"/>
      <c r="B96" s="362"/>
      <c r="C96" s="362"/>
      <c r="D96" s="362"/>
      <c r="E96" s="362"/>
      <c r="F96" s="362"/>
      <c r="G96" s="362"/>
      <c r="H96" s="362"/>
      <c r="I96" s="96"/>
      <c r="J96" s="96"/>
      <c r="K96" s="166"/>
      <c r="L96" s="166"/>
      <c r="M96" s="166"/>
      <c r="N96" s="166"/>
      <c r="O96" s="166"/>
      <c r="P96" s="166"/>
      <c r="Q96" s="166"/>
      <c r="R96" s="167"/>
      <c r="S96" s="159"/>
      <c r="T96" s="159"/>
      <c r="U96" s="166"/>
      <c r="V96" s="122"/>
      <c r="W96" s="139"/>
      <c r="X96" s="152"/>
      <c r="Y96" s="355" t="str">
        <f t="shared" si="16"/>
        <v>West Sussex</v>
      </c>
      <c r="Z96" s="356" t="e">
        <f t="shared" si="17"/>
        <v>#N/A</v>
      </c>
      <c r="AA96" s="356" t="e">
        <f t="shared" si="18"/>
        <v>#N/A</v>
      </c>
      <c r="AB96" s="196"/>
      <c r="AC96" s="197"/>
      <c r="AD96" s="197"/>
      <c r="AE96" s="199"/>
      <c r="AF96" s="202"/>
      <c r="AG96" s="202"/>
      <c r="AH96" s="202"/>
      <c r="AI96" s="190"/>
      <c r="AJ96" s="202"/>
      <c r="AK96" s="160"/>
    </row>
    <row r="97" spans="1:66" s="87" customFormat="1" ht="12.75" customHeight="1" x14ac:dyDescent="0.2">
      <c r="A97" s="121"/>
      <c r="B97" s="362"/>
      <c r="C97" s="362"/>
      <c r="D97" s="362"/>
      <c r="E97" s="362"/>
      <c r="F97" s="362"/>
      <c r="G97" s="362"/>
      <c r="H97" s="362"/>
      <c r="I97" s="96"/>
      <c r="J97" s="96"/>
      <c r="K97" s="166"/>
      <c r="L97" s="166"/>
      <c r="M97" s="166"/>
      <c r="N97" s="166"/>
      <c r="O97" s="166"/>
      <c r="P97" s="166"/>
      <c r="Q97" s="166"/>
      <c r="R97" s="167"/>
      <c r="S97" s="159"/>
      <c r="T97" s="159"/>
      <c r="U97" s="166"/>
      <c r="V97" s="122"/>
      <c r="W97" s="139"/>
      <c r="X97" s="152"/>
      <c r="Y97" s="355" t="str">
        <f t="shared" si="16"/>
        <v>Windsor &amp; Maidenhead</v>
      </c>
      <c r="Z97" s="356" t="e">
        <f t="shared" si="17"/>
        <v>#N/A</v>
      </c>
      <c r="AA97" s="356" t="e">
        <f t="shared" si="18"/>
        <v>#N/A</v>
      </c>
      <c r="AB97" s="196"/>
      <c r="AC97" s="197"/>
      <c r="AD97" s="197"/>
      <c r="AE97" s="199"/>
      <c r="AF97" s="202"/>
      <c r="AG97" s="202"/>
      <c r="AH97" s="202"/>
      <c r="AI97" s="190"/>
      <c r="AJ97" s="202"/>
      <c r="AK97" s="160"/>
    </row>
    <row r="98" spans="1:66" s="87" customFormat="1" ht="12.75" customHeight="1" x14ac:dyDescent="0.2">
      <c r="A98" s="121"/>
      <c r="B98" s="362"/>
      <c r="C98" s="362"/>
      <c r="D98" s="362"/>
      <c r="E98" s="362"/>
      <c r="F98" s="362"/>
      <c r="G98" s="362"/>
      <c r="H98" s="362"/>
      <c r="I98" s="96"/>
      <c r="J98" s="96"/>
      <c r="K98" s="168"/>
      <c r="L98" s="168"/>
      <c r="M98" s="168"/>
      <c r="N98" s="168"/>
      <c r="O98" s="168"/>
      <c r="P98" s="168"/>
      <c r="Q98" s="168"/>
      <c r="R98" s="169"/>
      <c r="S98" s="159"/>
      <c r="T98" s="159"/>
      <c r="U98" s="170"/>
      <c r="V98" s="122"/>
      <c r="W98" s="139"/>
      <c r="X98" s="152"/>
      <c r="Y98" s="355" t="str">
        <f t="shared" si="16"/>
        <v>Wokingham</v>
      </c>
      <c r="Z98" s="356" t="e">
        <f t="shared" si="17"/>
        <v>#N/A</v>
      </c>
      <c r="AA98" s="356" t="e">
        <f t="shared" si="18"/>
        <v>#N/A</v>
      </c>
      <c r="AB98" s="196"/>
      <c r="AC98" s="197"/>
      <c r="AD98" s="197"/>
      <c r="AE98" s="199"/>
      <c r="AF98" s="202"/>
      <c r="AG98" s="202"/>
      <c r="AH98" s="202"/>
      <c r="AI98" s="190"/>
      <c r="AJ98" s="202"/>
      <c r="AK98" s="160"/>
    </row>
    <row r="99" spans="1:66" s="87" customFormat="1" ht="12.75" customHeight="1" x14ac:dyDescent="0.2">
      <c r="A99" s="121"/>
      <c r="B99" s="362"/>
      <c r="C99" s="362"/>
      <c r="D99" s="362"/>
      <c r="E99" s="362"/>
      <c r="F99" s="362"/>
      <c r="G99" s="362"/>
      <c r="H99" s="362"/>
      <c r="I99" s="96"/>
      <c r="J99" s="96"/>
      <c r="K99" s="168"/>
      <c r="L99" s="168"/>
      <c r="M99" s="168"/>
      <c r="N99" s="168"/>
      <c r="O99" s="168"/>
      <c r="P99" s="168"/>
      <c r="Q99" s="168"/>
      <c r="R99" s="169"/>
      <c r="S99" s="159"/>
      <c r="T99" s="159"/>
      <c r="U99" s="170"/>
      <c r="V99" s="122"/>
      <c r="W99" s="139"/>
      <c r="X99" s="152"/>
      <c r="Y99" s="355" t="str">
        <f t="shared" si="16"/>
        <v>South East</v>
      </c>
      <c r="Z99" s="356" t="e">
        <f t="shared" si="17"/>
        <v>#N/A</v>
      </c>
      <c r="AA99" s="356" t="e">
        <f t="shared" si="18"/>
        <v>#N/A</v>
      </c>
      <c r="AB99" s="196"/>
      <c r="AC99" s="197"/>
      <c r="AD99" s="197"/>
      <c r="AE99" s="199"/>
      <c r="AF99" s="202"/>
      <c r="AG99" s="202"/>
      <c r="AH99" s="202"/>
      <c r="AI99" s="190"/>
      <c r="AJ99" s="202"/>
      <c r="AK99" s="160"/>
    </row>
    <row r="100" spans="1:66" s="87" customFormat="1" ht="11.25" customHeight="1" x14ac:dyDescent="0.2">
      <c r="A100" s="292"/>
      <c r="B100" s="362"/>
      <c r="C100" s="362"/>
      <c r="D100" s="362"/>
      <c r="E100" s="362"/>
      <c r="F100" s="362"/>
      <c r="G100" s="362"/>
      <c r="H100" s="362"/>
      <c r="I100" s="96"/>
      <c r="J100" s="96"/>
      <c r="K100" s="168"/>
      <c r="L100" s="168"/>
      <c r="M100" s="168"/>
      <c r="N100" s="168"/>
      <c r="O100" s="168"/>
      <c r="P100" s="168"/>
      <c r="Q100" s="168"/>
      <c r="R100" s="169"/>
      <c r="S100" s="159"/>
      <c r="T100" s="159"/>
      <c r="U100" s="170"/>
      <c r="V100" s="122"/>
      <c r="W100" s="139"/>
      <c r="X100" s="152"/>
      <c r="Y100" s="355" t="str">
        <f t="shared" si="16"/>
        <v>England</v>
      </c>
      <c r="Z100" s="356" t="e">
        <f t="shared" si="17"/>
        <v>#N/A</v>
      </c>
      <c r="AA100" s="356" t="e">
        <f t="shared" si="18"/>
        <v>#N/A</v>
      </c>
      <c r="AB100" s="196"/>
      <c r="AC100" s="197"/>
      <c r="AD100" s="197"/>
      <c r="AE100" s="199"/>
      <c r="AF100" s="202"/>
      <c r="AG100" s="202"/>
      <c r="AH100" s="202"/>
      <c r="AI100" s="190"/>
      <c r="AJ100" s="202"/>
      <c r="AK100" s="160"/>
    </row>
    <row r="101" spans="1:66" s="81" customFormat="1" ht="35.1" customHeight="1" x14ac:dyDescent="0.2">
      <c r="A101" s="217"/>
      <c r="B101" s="362"/>
      <c r="C101" s="362"/>
      <c r="D101" s="362"/>
      <c r="E101" s="362"/>
      <c r="F101" s="362"/>
      <c r="G101" s="362"/>
      <c r="H101" s="362"/>
      <c r="I101" s="369"/>
      <c r="J101" s="172"/>
      <c r="K101" s="172"/>
      <c r="L101" s="172"/>
      <c r="M101" s="172"/>
      <c r="N101" s="172"/>
      <c r="O101" s="172"/>
      <c r="P101" s="172"/>
      <c r="Q101" s="172"/>
      <c r="R101" s="136"/>
      <c r="S101" s="172"/>
      <c r="T101" s="172"/>
      <c r="U101" s="172"/>
      <c r="V101" s="117"/>
      <c r="W101" s="137"/>
      <c r="X101" s="150"/>
      <c r="AD101" s="197"/>
      <c r="AE101" s="199"/>
      <c r="AF101" s="184"/>
      <c r="AG101" s="184"/>
      <c r="AH101" s="184"/>
      <c r="AJ101" s="184"/>
      <c r="AK101" s="161"/>
    </row>
    <row r="102" spans="1:66" s="81" customFormat="1" ht="36" customHeight="1" x14ac:dyDescent="0.2">
      <c r="A102" s="217"/>
      <c r="B102" s="362"/>
      <c r="C102" s="362"/>
      <c r="D102" s="362"/>
      <c r="E102" s="362"/>
      <c r="F102" s="362"/>
      <c r="G102" s="362"/>
      <c r="H102" s="362"/>
      <c r="I102" s="369"/>
      <c r="J102" s="172"/>
      <c r="K102" s="172"/>
      <c r="L102" s="172"/>
      <c r="M102" s="172"/>
      <c r="N102" s="172"/>
      <c r="O102" s="172"/>
      <c r="P102" s="172"/>
      <c r="Q102" s="172"/>
      <c r="R102" s="136"/>
      <c r="S102" s="172"/>
      <c r="T102" s="172"/>
      <c r="U102" s="172"/>
      <c r="V102" s="117"/>
      <c r="W102" s="137"/>
      <c r="X102" s="150"/>
      <c r="Z102" s="190"/>
      <c r="AE102" s="199"/>
      <c r="AF102" s="184"/>
      <c r="AG102" s="184"/>
      <c r="AH102" s="184"/>
      <c r="AJ102" s="184"/>
      <c r="AK102" s="161"/>
    </row>
    <row r="103" spans="1:66" s="81" customFormat="1" ht="46.5" customHeight="1" x14ac:dyDescent="0.2">
      <c r="A103" s="217"/>
      <c r="B103" s="369"/>
      <c r="C103" s="369"/>
      <c r="D103" s="369"/>
      <c r="E103" s="369"/>
      <c r="F103" s="369"/>
      <c r="G103" s="369"/>
      <c r="H103" s="369"/>
      <c r="I103" s="369"/>
      <c r="J103" s="172"/>
      <c r="K103" s="172"/>
      <c r="L103" s="172"/>
      <c r="M103" s="172"/>
      <c r="N103" s="172"/>
      <c r="O103" s="172"/>
      <c r="P103" s="172"/>
      <c r="Q103" s="172"/>
      <c r="R103" s="136"/>
      <c r="S103" s="172"/>
      <c r="T103" s="172"/>
      <c r="U103" s="172"/>
      <c r="V103" s="117"/>
      <c r="W103" s="137"/>
      <c r="X103" s="150"/>
      <c r="Z103" s="190"/>
      <c r="AE103" s="199"/>
      <c r="AF103" s="184"/>
      <c r="AG103" s="184"/>
      <c r="AH103" s="184"/>
      <c r="AJ103" s="184"/>
      <c r="AK103" s="161"/>
    </row>
    <row r="104" spans="1:66" s="81" customFormat="1" ht="7.5" customHeight="1" x14ac:dyDescent="0.2">
      <c r="A104" s="118"/>
      <c r="B104" s="17"/>
      <c r="C104" s="17"/>
      <c r="D104" s="16"/>
      <c r="E104" s="16"/>
      <c r="F104" s="16"/>
      <c r="G104" s="16"/>
      <c r="H104" s="16"/>
      <c r="I104" s="16"/>
      <c r="J104" s="12"/>
      <c r="K104" s="18"/>
      <c r="L104" s="18"/>
      <c r="M104" s="18"/>
      <c r="N104" s="18"/>
      <c r="O104" s="18"/>
      <c r="P104" s="18"/>
      <c r="Q104" s="18"/>
      <c r="R104" s="18"/>
      <c r="S104" s="18"/>
      <c r="T104" s="18"/>
      <c r="U104" s="19"/>
      <c r="V104" s="117"/>
      <c r="W104" s="137"/>
      <c r="X104" s="150"/>
      <c r="Z104" s="190"/>
      <c r="AJ104" s="184"/>
      <c r="AK104" s="157"/>
      <c r="AL104" s="74"/>
      <c r="AM104" s="74"/>
      <c r="AN104" s="74"/>
      <c r="AO104" s="74"/>
      <c r="AP104" s="74"/>
      <c r="AQ104" s="74"/>
      <c r="AR104" s="74"/>
    </row>
    <row r="105" spans="1:66" s="81" customFormat="1" ht="15" customHeight="1" x14ac:dyDescent="0.2">
      <c r="A105" s="1716"/>
      <c r="B105" s="1760"/>
      <c r="C105" s="1760"/>
      <c r="D105" s="1760"/>
      <c r="E105" s="1760"/>
      <c r="F105" s="1760"/>
      <c r="G105" s="1760"/>
      <c r="H105" s="1760"/>
      <c r="I105" s="1760"/>
      <c r="J105" s="1760"/>
      <c r="K105" s="1760"/>
      <c r="L105" s="1760"/>
      <c r="M105" s="1760"/>
      <c r="N105" s="1760"/>
      <c r="O105" s="1760"/>
      <c r="P105" s="1760"/>
      <c r="Q105" s="1760"/>
      <c r="R105" s="1760"/>
      <c r="S105" s="1760"/>
      <c r="T105" s="1760"/>
      <c r="U105" s="1760"/>
      <c r="V105" s="1761"/>
      <c r="W105" s="137"/>
      <c r="X105" s="150"/>
      <c r="Y105" s="188"/>
      <c r="Z105" s="188"/>
      <c r="AK105" s="161"/>
      <c r="AT105" s="74"/>
    </row>
    <row r="106" spans="1:66" s="81" customFormat="1" ht="11.25" customHeight="1" x14ac:dyDescent="0.2">
      <c r="A106" s="1765" t="str">
        <f>Home!$A$39</f>
        <v xml:space="preserve"> </v>
      </c>
      <c r="B106" s="1766"/>
      <c r="C106" s="1766"/>
      <c r="D106" s="1766"/>
      <c r="E106" s="1766"/>
      <c r="F106" s="1766"/>
      <c r="G106" s="1766"/>
      <c r="H106" s="1766"/>
      <c r="I106" s="1767"/>
      <c r="J106" s="1766"/>
      <c r="K106" s="1766"/>
      <c r="L106" s="1766"/>
      <c r="M106" s="1766"/>
      <c r="N106" s="1766"/>
      <c r="O106" s="1766"/>
      <c r="P106" s="1768"/>
      <c r="Q106" s="1766"/>
      <c r="R106" s="1766"/>
      <c r="S106" s="1766"/>
      <c r="T106" s="1767"/>
      <c r="U106" s="1766"/>
      <c r="V106" s="1769"/>
      <c r="W106" s="137"/>
      <c r="X106" s="150"/>
      <c r="Y106" s="188"/>
      <c r="Z106" s="188"/>
      <c r="AJ106" s="184"/>
      <c r="AK106" s="160"/>
      <c r="AL106" s="87"/>
      <c r="AT106" s="74"/>
    </row>
    <row r="107" spans="1:66" ht="11.25" customHeight="1" x14ac:dyDescent="0.2">
      <c r="A107" s="142"/>
      <c r="B107" s="9"/>
      <c r="C107" s="9"/>
      <c r="D107" s="9"/>
      <c r="E107" s="9"/>
      <c r="F107" s="58"/>
      <c r="G107" s="58"/>
      <c r="H107" s="58"/>
      <c r="I107" s="58"/>
      <c r="J107" s="114"/>
      <c r="K107" s="113"/>
      <c r="L107" s="113"/>
      <c r="M107" s="113"/>
      <c r="N107" s="113"/>
      <c r="O107" s="113"/>
      <c r="P107" s="113"/>
      <c r="Q107" s="113"/>
      <c r="R107" s="113"/>
      <c r="S107" s="113"/>
      <c r="T107" s="113"/>
      <c r="U107" s="113"/>
      <c r="V107" s="113"/>
      <c r="W107" s="137"/>
      <c r="X107" s="150"/>
      <c r="AJ107" s="81"/>
      <c r="AK107" s="160"/>
      <c r="AL107" s="87"/>
      <c r="AM107" s="81"/>
      <c r="AN107" s="81"/>
      <c r="AO107" s="81"/>
      <c r="AP107" s="81"/>
      <c r="AQ107" s="81"/>
      <c r="AR107" s="81"/>
      <c r="AS107" s="81"/>
      <c r="AZ107" s="81"/>
      <c r="BA107" s="81"/>
      <c r="BB107" s="81"/>
      <c r="BC107" s="81"/>
      <c r="BD107" s="81"/>
      <c r="BE107" s="81"/>
      <c r="BF107" s="81"/>
      <c r="BG107" s="81"/>
      <c r="BH107" s="81"/>
      <c r="BI107" s="81"/>
      <c r="BJ107" s="81"/>
      <c r="BK107" s="81"/>
      <c r="BL107" s="81"/>
      <c r="BM107" s="81"/>
      <c r="BN107" s="81"/>
    </row>
    <row r="108" spans="1:66" ht="11.25" customHeight="1" x14ac:dyDescent="0.2">
      <c r="A108" s="142"/>
      <c r="B108" s="1685" t="s">
        <v>82</v>
      </c>
      <c r="C108" s="1685"/>
      <c r="D108" s="1685"/>
      <c r="E108" s="1685"/>
      <c r="F108" s="1685"/>
      <c r="G108" s="1685"/>
      <c r="H108" s="1685"/>
      <c r="I108" s="1685"/>
      <c r="J108" s="12"/>
      <c r="K108" s="9"/>
      <c r="L108" s="9"/>
      <c r="M108" s="9"/>
      <c r="N108" s="9"/>
      <c r="O108" s="9"/>
      <c r="P108" s="9"/>
      <c r="Q108" s="9"/>
      <c r="R108" s="9"/>
      <c r="S108" s="9"/>
      <c r="T108" s="9"/>
      <c r="U108" s="9"/>
      <c r="V108" s="9"/>
      <c r="W108" s="137"/>
      <c r="X108" s="150"/>
      <c r="AJ108" s="81"/>
      <c r="AK108" s="160"/>
      <c r="AL108" s="87"/>
      <c r="AM108" s="81"/>
      <c r="AN108" s="81"/>
      <c r="AO108" s="81"/>
      <c r="AP108" s="81"/>
      <c r="AQ108" s="81"/>
      <c r="AR108" s="81"/>
      <c r="AS108" s="81"/>
      <c r="AU108" s="81"/>
      <c r="AV108" s="81"/>
      <c r="AW108" s="81"/>
      <c r="AX108" s="81"/>
      <c r="AY108" s="81"/>
    </row>
    <row r="109" spans="1:66" ht="11.25" customHeight="1" x14ac:dyDescent="0.2">
      <c r="A109" s="142"/>
      <c r="B109" s="1685"/>
      <c r="C109" s="1685"/>
      <c r="D109" s="1685"/>
      <c r="E109" s="1685"/>
      <c r="F109" s="1685"/>
      <c r="G109" s="1685"/>
      <c r="H109" s="1685"/>
      <c r="I109" s="1685"/>
      <c r="J109" s="12"/>
      <c r="K109" s="9"/>
      <c r="L109" s="9"/>
      <c r="M109" s="9"/>
      <c r="N109" s="9"/>
      <c r="O109" s="9"/>
      <c r="P109" s="9"/>
      <c r="Q109" s="9"/>
      <c r="R109" s="9"/>
      <c r="S109" s="9"/>
      <c r="T109" s="9"/>
      <c r="U109" s="9"/>
      <c r="V109" s="9"/>
      <c r="W109" s="137"/>
      <c r="X109" s="150"/>
      <c r="AJ109" s="81"/>
      <c r="AK109" s="160"/>
      <c r="AL109" s="87"/>
      <c r="AM109" s="81"/>
      <c r="AN109" s="81"/>
      <c r="AO109" s="81"/>
      <c r="AP109" s="81"/>
      <c r="AQ109" s="81"/>
      <c r="AR109" s="81"/>
      <c r="AS109" s="81"/>
    </row>
    <row r="110" spans="1:66" ht="11.25" customHeight="1" x14ac:dyDescent="0.2">
      <c r="A110" s="142"/>
      <c r="B110" s="1680" t="s">
        <v>800</v>
      </c>
      <c r="C110" s="1680"/>
      <c r="D110" s="1680"/>
      <c r="E110" s="1680"/>
      <c r="F110" s="1680"/>
      <c r="G110" s="1680"/>
      <c r="H110" s="1680"/>
      <c r="I110" s="1680"/>
      <c r="J110" s="12"/>
      <c r="K110" s="9"/>
      <c r="L110" s="9"/>
      <c r="M110" s="9"/>
      <c r="N110" s="9"/>
      <c r="O110" s="9"/>
      <c r="P110" s="9"/>
      <c r="Q110" s="9"/>
      <c r="R110" s="9"/>
      <c r="S110" s="9"/>
      <c r="T110" s="9"/>
      <c r="U110" s="9"/>
      <c r="V110" s="9"/>
      <c r="W110" s="137"/>
      <c r="X110" s="150"/>
      <c r="AJ110" s="81"/>
      <c r="AK110" s="160"/>
      <c r="AL110" s="87"/>
      <c r="AM110" s="81"/>
      <c r="AN110" s="81"/>
      <c r="AO110" s="81"/>
      <c r="AP110" s="81"/>
      <c r="AQ110" s="81"/>
      <c r="AR110" s="81"/>
      <c r="AS110" s="81"/>
    </row>
    <row r="111" spans="1:66" ht="11.25" customHeight="1" x14ac:dyDescent="0.2">
      <c r="A111" s="142"/>
      <c r="B111" s="1680"/>
      <c r="C111" s="1680"/>
      <c r="D111" s="1680"/>
      <c r="E111" s="1680"/>
      <c r="F111" s="1680"/>
      <c r="G111" s="1680"/>
      <c r="H111" s="1680"/>
      <c r="I111" s="1680"/>
      <c r="J111" s="12"/>
      <c r="K111" s="9"/>
      <c r="L111" s="9"/>
      <c r="M111" s="9"/>
      <c r="N111" s="9"/>
      <c r="O111" s="9"/>
      <c r="P111" s="9"/>
      <c r="Q111" s="9"/>
      <c r="R111" s="9"/>
      <c r="S111" s="9"/>
      <c r="T111" s="9"/>
      <c r="U111" s="9"/>
      <c r="V111" s="9"/>
      <c r="W111" s="137"/>
      <c r="X111" s="150"/>
      <c r="AJ111" s="81"/>
      <c r="AK111" s="160"/>
      <c r="AL111" s="87"/>
      <c r="AM111" s="81"/>
      <c r="AN111" s="81"/>
      <c r="AO111" s="81"/>
      <c r="AP111" s="81"/>
      <c r="AQ111" s="81"/>
      <c r="AR111" s="81"/>
      <c r="AS111" s="81"/>
    </row>
    <row r="112" spans="1:66" s="76" customFormat="1" ht="11.25" hidden="1" customHeight="1" x14ac:dyDescent="0.2">
      <c r="A112" s="142"/>
      <c r="B112" s="1680" t="s">
        <v>81</v>
      </c>
      <c r="C112" s="1680"/>
      <c r="D112" s="1680"/>
      <c r="E112" s="1680"/>
      <c r="F112" s="1680"/>
      <c r="G112" s="1680"/>
      <c r="H112" s="1680"/>
      <c r="I112" s="1680"/>
      <c r="J112" s="14"/>
      <c r="K112" s="14"/>
      <c r="L112" s="14"/>
      <c r="M112" s="14"/>
      <c r="N112" s="14"/>
      <c r="O112" s="14"/>
      <c r="P112" s="14"/>
      <c r="Q112" s="14"/>
      <c r="R112" s="14"/>
      <c r="S112" s="14"/>
      <c r="T112" s="14"/>
      <c r="U112" s="14"/>
      <c r="V112" s="14"/>
      <c r="W112" s="140"/>
      <c r="X112" s="154"/>
      <c r="Y112" s="81"/>
      <c r="Z112" s="81"/>
      <c r="AA112" s="81"/>
      <c r="AB112" s="81"/>
      <c r="AC112" s="81"/>
      <c r="AD112" s="81"/>
      <c r="AE112" s="81"/>
      <c r="AF112" s="81"/>
      <c r="AG112" s="81"/>
      <c r="AH112" s="81"/>
      <c r="AI112" s="81"/>
      <c r="AJ112" s="81"/>
      <c r="AK112" s="160"/>
      <c r="AL112" s="87"/>
      <c r="AM112" s="81"/>
      <c r="AN112" s="81"/>
      <c r="AO112" s="81"/>
      <c r="AP112" s="81"/>
      <c r="AQ112" s="81"/>
      <c r="AR112" s="81"/>
      <c r="AS112" s="81"/>
      <c r="AT112" s="74"/>
    </row>
    <row r="113" spans="1:45" ht="11.25" hidden="1" customHeight="1" x14ac:dyDescent="0.2">
      <c r="A113" s="142"/>
      <c r="B113" s="1680"/>
      <c r="C113" s="1680"/>
      <c r="D113" s="1680"/>
      <c r="E113" s="1680"/>
      <c r="F113" s="1680"/>
      <c r="G113" s="1680"/>
      <c r="H113" s="1680"/>
      <c r="I113" s="1680"/>
      <c r="J113" s="12"/>
      <c r="K113" s="9"/>
      <c r="L113" s="9"/>
      <c r="M113" s="9"/>
      <c r="N113" s="9"/>
      <c r="O113" s="9"/>
      <c r="P113" s="9"/>
      <c r="Q113" s="9"/>
      <c r="R113" s="9"/>
      <c r="S113" s="9"/>
      <c r="T113" s="9"/>
      <c r="U113" s="9"/>
      <c r="V113" s="9"/>
      <c r="W113" s="137"/>
      <c r="X113" s="150"/>
      <c r="AJ113" s="81"/>
      <c r="AK113" s="160"/>
      <c r="AL113" s="87"/>
      <c r="AM113" s="81"/>
      <c r="AN113" s="81"/>
      <c r="AO113" s="81"/>
      <c r="AP113" s="81"/>
      <c r="AQ113" s="81"/>
      <c r="AR113" s="81"/>
      <c r="AS113" s="81"/>
    </row>
    <row r="114" spans="1:45" ht="11.25" customHeight="1" x14ac:dyDescent="0.2">
      <c r="A114" s="142"/>
      <c r="B114" s="1680" t="s">
        <v>78</v>
      </c>
      <c r="C114" s="1680"/>
      <c r="D114" s="1680"/>
      <c r="E114" s="1680"/>
      <c r="F114" s="1680"/>
      <c r="G114" s="1680"/>
      <c r="H114" s="1680"/>
      <c r="I114" s="1680"/>
      <c r="J114" s="12"/>
      <c r="K114" s="9"/>
      <c r="L114" s="9"/>
      <c r="M114" s="9"/>
      <c r="N114" s="9"/>
      <c r="O114" s="9"/>
      <c r="P114" s="9"/>
      <c r="Q114" s="9"/>
      <c r="R114" s="9"/>
      <c r="S114" s="9"/>
      <c r="T114" s="9"/>
      <c r="U114" s="9"/>
      <c r="V114" s="9"/>
      <c r="W114" s="137"/>
      <c r="X114" s="150"/>
      <c r="AJ114" s="81"/>
      <c r="AK114" s="160"/>
      <c r="AL114" s="87"/>
      <c r="AM114" s="81"/>
      <c r="AN114" s="81"/>
      <c r="AO114" s="81"/>
      <c r="AP114" s="81"/>
      <c r="AQ114" s="81"/>
      <c r="AR114" s="81"/>
      <c r="AS114" s="81"/>
    </row>
    <row r="115" spans="1:45" ht="11.25" customHeight="1" x14ac:dyDescent="0.2">
      <c r="A115" s="142"/>
      <c r="B115" s="1680"/>
      <c r="C115" s="1680"/>
      <c r="D115" s="1680"/>
      <c r="E115" s="1680"/>
      <c r="F115" s="1680"/>
      <c r="G115" s="1680"/>
      <c r="H115" s="1680"/>
      <c r="I115" s="1680"/>
      <c r="J115" s="12"/>
      <c r="K115" s="9"/>
      <c r="L115" s="9"/>
      <c r="M115" s="9"/>
      <c r="N115" s="9"/>
      <c r="O115" s="9"/>
      <c r="P115" s="9"/>
      <c r="Q115" s="9"/>
      <c r="R115" s="9"/>
      <c r="S115" s="9"/>
      <c r="T115" s="9"/>
      <c r="U115" s="9"/>
      <c r="V115" s="9"/>
      <c r="W115" s="137"/>
      <c r="X115" s="150"/>
      <c r="AJ115" s="81"/>
      <c r="AK115" s="160"/>
      <c r="AL115" s="87"/>
      <c r="AM115" s="81"/>
      <c r="AN115" s="81"/>
      <c r="AO115" s="81"/>
      <c r="AP115" s="81"/>
      <c r="AQ115" s="81"/>
      <c r="AR115" s="81"/>
      <c r="AS115" s="81"/>
    </row>
    <row r="116" spans="1:45" ht="11.25" customHeight="1" x14ac:dyDescent="0.2">
      <c r="A116" s="142"/>
      <c r="B116" s="1680" t="s">
        <v>17</v>
      </c>
      <c r="C116" s="1680"/>
      <c r="D116" s="1680"/>
      <c r="E116" s="1680"/>
      <c r="F116" s="1680"/>
      <c r="G116" s="1680"/>
      <c r="H116" s="1680"/>
      <c r="I116" s="1680"/>
      <c r="J116" s="12"/>
      <c r="K116" s="9"/>
      <c r="L116" s="9"/>
      <c r="M116" s="9"/>
      <c r="N116" s="9"/>
      <c r="O116" s="9"/>
      <c r="P116" s="9"/>
      <c r="Q116" s="9"/>
      <c r="R116" s="9"/>
      <c r="S116" s="9"/>
      <c r="T116" s="9"/>
      <c r="U116" s="9"/>
      <c r="V116" s="11"/>
      <c r="W116" s="252"/>
      <c r="X116" s="150"/>
      <c r="AA116" s="74"/>
      <c r="AB116" s="74"/>
      <c r="AJ116" s="81"/>
      <c r="AK116" s="160"/>
      <c r="AL116" s="87"/>
      <c r="AM116" s="81"/>
      <c r="AN116" s="81"/>
      <c r="AO116" s="81"/>
      <c r="AP116" s="81"/>
      <c r="AQ116" s="81"/>
      <c r="AR116" s="81"/>
      <c r="AS116" s="81"/>
    </row>
    <row r="117" spans="1:45" ht="11.25" customHeight="1" x14ac:dyDescent="0.2">
      <c r="A117" s="142"/>
      <c r="B117" s="1680"/>
      <c r="C117" s="1680"/>
      <c r="D117" s="1680"/>
      <c r="E117" s="1680"/>
      <c r="F117" s="1680"/>
      <c r="G117" s="1680"/>
      <c r="H117" s="1680"/>
      <c r="I117" s="1680"/>
      <c r="J117" s="12"/>
      <c r="K117" s="9"/>
      <c r="L117" s="9"/>
      <c r="M117" s="9"/>
      <c r="N117" s="9"/>
      <c r="O117" s="9"/>
      <c r="P117" s="9"/>
      <c r="Q117" s="9"/>
      <c r="R117" s="9"/>
      <c r="S117" s="9"/>
      <c r="T117" s="9"/>
      <c r="U117" s="9"/>
      <c r="V117" s="11"/>
      <c r="W117" s="252"/>
      <c r="X117" s="150"/>
      <c r="AA117" s="74"/>
      <c r="AB117" s="74"/>
      <c r="AJ117" s="81"/>
      <c r="AK117" s="160"/>
      <c r="AL117" s="87"/>
      <c r="AM117" s="81"/>
      <c r="AN117" s="81"/>
      <c r="AO117" s="81"/>
      <c r="AP117" s="81"/>
      <c r="AQ117" s="81"/>
      <c r="AR117" s="81"/>
      <c r="AS117" s="81"/>
    </row>
    <row r="118" spans="1:45" ht="11.25" customHeight="1" x14ac:dyDescent="0.2">
      <c r="A118" s="142"/>
      <c r="B118" s="1680" t="s">
        <v>80</v>
      </c>
      <c r="C118" s="1680"/>
      <c r="D118" s="1680"/>
      <c r="E118" s="1680"/>
      <c r="F118" s="1680"/>
      <c r="G118" s="1680"/>
      <c r="H118" s="1680"/>
      <c r="I118" s="1680"/>
      <c r="J118" s="12"/>
      <c r="K118" s="9"/>
      <c r="L118" s="9"/>
      <c r="M118" s="9"/>
      <c r="N118" s="9"/>
      <c r="O118" s="9"/>
      <c r="P118" s="9"/>
      <c r="Q118" s="9"/>
      <c r="R118" s="9"/>
      <c r="S118" s="9"/>
      <c r="T118" s="9"/>
      <c r="U118" s="9"/>
      <c r="V118" s="11"/>
      <c r="W118" s="252"/>
      <c r="X118" s="150"/>
      <c r="AA118" s="74"/>
      <c r="AB118" s="74"/>
      <c r="AJ118" s="81"/>
      <c r="AK118" s="160"/>
      <c r="AL118" s="87"/>
      <c r="AM118" s="81"/>
      <c r="AN118" s="81"/>
      <c r="AO118" s="81"/>
      <c r="AP118" s="81"/>
      <c r="AQ118" s="81"/>
      <c r="AR118" s="81"/>
      <c r="AS118" s="81"/>
    </row>
    <row r="119" spans="1:45" ht="11.25" customHeight="1" x14ac:dyDescent="0.2">
      <c r="A119" s="142"/>
      <c r="B119" s="1680"/>
      <c r="C119" s="1680"/>
      <c r="D119" s="1680"/>
      <c r="E119" s="1680"/>
      <c r="F119" s="1680"/>
      <c r="G119" s="1680"/>
      <c r="H119" s="1680"/>
      <c r="I119" s="1680"/>
      <c r="J119" s="12"/>
      <c r="K119" s="9"/>
      <c r="L119" s="9"/>
      <c r="M119" s="9"/>
      <c r="N119" s="9"/>
      <c r="O119" s="9"/>
      <c r="P119" s="9"/>
      <c r="Q119" s="9"/>
      <c r="R119" s="9"/>
      <c r="S119" s="9"/>
      <c r="T119" s="9"/>
      <c r="U119" s="9"/>
      <c r="V119" s="11"/>
      <c r="W119" s="252"/>
      <c r="X119" s="150"/>
      <c r="AA119" s="74"/>
      <c r="AB119" s="74"/>
      <c r="AJ119" s="81"/>
      <c r="AK119" s="160"/>
      <c r="AL119" s="87"/>
      <c r="AM119" s="81"/>
      <c r="AN119" s="81"/>
      <c r="AO119" s="81"/>
      <c r="AP119" s="81"/>
      <c r="AQ119" s="81"/>
      <c r="AR119" s="81"/>
      <c r="AS119" s="81"/>
    </row>
    <row r="120" spans="1:45" ht="11.25" customHeight="1" x14ac:dyDescent="0.2">
      <c r="A120" s="142"/>
      <c r="B120" s="1680" t="s">
        <v>69</v>
      </c>
      <c r="C120" s="1680"/>
      <c r="D120" s="1680"/>
      <c r="E120" s="1680"/>
      <c r="F120" s="1680"/>
      <c r="G120" s="1680"/>
      <c r="H120" s="1680"/>
      <c r="I120" s="1680"/>
      <c r="J120" s="12"/>
      <c r="K120" s="9"/>
      <c r="L120" s="9"/>
      <c r="M120" s="9"/>
      <c r="N120" s="9"/>
      <c r="O120" s="9"/>
      <c r="P120" s="9"/>
      <c r="Q120" s="9"/>
      <c r="R120" s="9"/>
      <c r="S120" s="9"/>
      <c r="T120" s="9"/>
      <c r="U120" s="9"/>
      <c r="V120" s="11"/>
      <c r="W120" s="252"/>
      <c r="X120" s="150"/>
      <c r="AA120" s="74"/>
      <c r="AB120" s="74"/>
      <c r="AJ120" s="81"/>
      <c r="AK120" s="160"/>
      <c r="AL120" s="87"/>
      <c r="AM120" s="81"/>
      <c r="AN120" s="81"/>
      <c r="AO120" s="81"/>
      <c r="AP120" s="81"/>
      <c r="AQ120" s="81"/>
      <c r="AR120" s="81"/>
      <c r="AS120" s="81"/>
    </row>
    <row r="121" spans="1:45" ht="11.25" customHeight="1" x14ac:dyDescent="0.2">
      <c r="A121" s="142"/>
      <c r="B121" s="1680"/>
      <c r="C121" s="1680"/>
      <c r="D121" s="1680"/>
      <c r="E121" s="1680"/>
      <c r="F121" s="1680"/>
      <c r="G121" s="1680"/>
      <c r="H121" s="1680"/>
      <c r="I121" s="1680"/>
      <c r="J121" s="12"/>
      <c r="K121" s="9"/>
      <c r="L121" s="9"/>
      <c r="M121" s="9"/>
      <c r="N121" s="9"/>
      <c r="O121" s="9"/>
      <c r="P121" s="9"/>
      <c r="Q121" s="9"/>
      <c r="R121" s="9"/>
      <c r="S121" s="9"/>
      <c r="T121" s="9"/>
      <c r="U121" s="9"/>
      <c r="V121" s="11"/>
      <c r="W121" s="252"/>
      <c r="X121" s="150"/>
      <c r="AA121" s="74"/>
      <c r="AB121" s="74"/>
      <c r="AJ121" s="81"/>
      <c r="AK121" s="160"/>
      <c r="AL121" s="87"/>
      <c r="AM121" s="81"/>
      <c r="AN121" s="81"/>
      <c r="AO121" s="81"/>
      <c r="AP121" s="81"/>
      <c r="AQ121" s="81"/>
      <c r="AR121" s="81"/>
      <c r="AS121" s="81"/>
    </row>
    <row r="122" spans="1:45" ht="11.25" customHeight="1" x14ac:dyDescent="0.2">
      <c r="A122" s="142"/>
      <c r="B122" s="1680" t="s">
        <v>24</v>
      </c>
      <c r="C122" s="1680"/>
      <c r="D122" s="1680"/>
      <c r="E122" s="1680"/>
      <c r="F122" s="1680"/>
      <c r="G122" s="1680"/>
      <c r="H122" s="1680"/>
      <c r="I122" s="1680"/>
      <c r="J122" s="12"/>
      <c r="K122" s="9"/>
      <c r="L122" s="9"/>
      <c r="M122" s="9"/>
      <c r="N122" s="9"/>
      <c r="O122" s="9"/>
      <c r="P122" s="9"/>
      <c r="Q122" s="9"/>
      <c r="R122" s="9"/>
      <c r="S122" s="9"/>
      <c r="T122" s="9"/>
      <c r="U122" s="9"/>
      <c r="V122" s="9"/>
      <c r="W122" s="137"/>
      <c r="X122" s="150"/>
      <c r="AJ122" s="81"/>
      <c r="AK122" s="160"/>
      <c r="AL122" s="87"/>
      <c r="AM122" s="81"/>
      <c r="AN122" s="81"/>
      <c r="AO122" s="81"/>
      <c r="AP122" s="81"/>
      <c r="AQ122" s="81"/>
      <c r="AR122" s="81"/>
      <c r="AS122" s="81"/>
    </row>
    <row r="123" spans="1:45" ht="11.25" customHeight="1" x14ac:dyDescent="0.2">
      <c r="A123" s="142"/>
      <c r="B123" s="1680"/>
      <c r="C123" s="1680"/>
      <c r="D123" s="1680"/>
      <c r="E123" s="1680"/>
      <c r="F123" s="1680"/>
      <c r="G123" s="1680"/>
      <c r="H123" s="1680"/>
      <c r="I123" s="1680"/>
      <c r="J123" s="12"/>
      <c r="K123" s="9"/>
      <c r="L123" s="9"/>
      <c r="M123" s="9"/>
      <c r="N123" s="9"/>
      <c r="O123" s="9"/>
      <c r="P123" s="9"/>
      <c r="Q123" s="9"/>
      <c r="R123" s="9"/>
      <c r="S123" s="9"/>
      <c r="T123" s="9"/>
      <c r="U123" s="9"/>
      <c r="V123" s="9"/>
      <c r="W123" s="137"/>
      <c r="X123" s="150"/>
      <c r="AJ123" s="81"/>
      <c r="AK123" s="160"/>
      <c r="AL123" s="87"/>
      <c r="AM123" s="81"/>
      <c r="AN123" s="81"/>
      <c r="AO123" s="81"/>
      <c r="AP123" s="81"/>
      <c r="AQ123" s="81"/>
      <c r="AR123" s="81"/>
      <c r="AS123" s="81"/>
    </row>
    <row r="124" spans="1:45" ht="11.25" customHeight="1" x14ac:dyDescent="0.2">
      <c r="A124" s="142"/>
      <c r="B124" s="1680" t="s">
        <v>22</v>
      </c>
      <c r="C124" s="1680"/>
      <c r="D124" s="1680"/>
      <c r="E124" s="1680"/>
      <c r="F124" s="1680"/>
      <c r="G124" s="1680"/>
      <c r="H124" s="1680"/>
      <c r="I124" s="1680"/>
      <c r="J124" s="12"/>
      <c r="K124" s="9"/>
      <c r="L124" s="9"/>
      <c r="M124" s="9"/>
      <c r="N124" s="9"/>
      <c r="O124" s="9"/>
      <c r="P124" s="9"/>
      <c r="Q124" s="9"/>
      <c r="R124" s="9"/>
      <c r="S124" s="9"/>
      <c r="T124" s="9"/>
      <c r="U124" s="9"/>
      <c r="V124" s="9"/>
      <c r="W124" s="137"/>
      <c r="X124" s="150"/>
      <c r="AJ124" s="81"/>
      <c r="AK124" s="160"/>
      <c r="AL124" s="87"/>
      <c r="AM124" s="81"/>
      <c r="AN124" s="81"/>
      <c r="AO124" s="81"/>
      <c r="AP124" s="81"/>
      <c r="AQ124" s="81"/>
      <c r="AR124" s="81"/>
      <c r="AS124" s="81"/>
    </row>
    <row r="125" spans="1:45" ht="11.25" customHeight="1" x14ac:dyDescent="0.2">
      <c r="A125" s="142"/>
      <c r="B125" s="1680"/>
      <c r="C125" s="1680"/>
      <c r="D125" s="1680"/>
      <c r="E125" s="1680"/>
      <c r="F125" s="1680"/>
      <c r="G125" s="1680"/>
      <c r="H125" s="1680"/>
      <c r="I125" s="1680"/>
      <c r="J125" s="12"/>
      <c r="K125" s="9"/>
      <c r="L125" s="9"/>
      <c r="M125" s="9"/>
      <c r="N125" s="9"/>
      <c r="O125" s="9"/>
      <c r="P125" s="9"/>
      <c r="Q125" s="9"/>
      <c r="R125" s="9"/>
      <c r="S125" s="9"/>
      <c r="T125" s="9"/>
      <c r="U125" s="9"/>
      <c r="V125" s="9"/>
      <c r="W125" s="137"/>
      <c r="X125" s="150"/>
      <c r="AJ125" s="81"/>
      <c r="AK125" s="160"/>
      <c r="AL125" s="87"/>
      <c r="AM125" s="81"/>
      <c r="AN125" s="81"/>
      <c r="AO125" s="81"/>
      <c r="AP125" s="81"/>
      <c r="AQ125" s="81"/>
      <c r="AR125" s="81"/>
      <c r="AS125" s="81"/>
    </row>
    <row r="126" spans="1:45" ht="11.25" customHeight="1" x14ac:dyDescent="0.2">
      <c r="A126" s="142"/>
      <c r="B126" s="1680" t="s">
        <v>25</v>
      </c>
      <c r="C126" s="1680"/>
      <c r="D126" s="1680"/>
      <c r="E126" s="1680"/>
      <c r="F126" s="1680"/>
      <c r="G126" s="1680"/>
      <c r="H126" s="1680"/>
      <c r="I126" s="1680"/>
      <c r="J126" s="12"/>
      <c r="K126" s="9"/>
      <c r="L126" s="9"/>
      <c r="M126" s="9"/>
      <c r="N126" s="9"/>
      <c r="O126" s="9"/>
      <c r="P126" s="9"/>
      <c r="Q126" s="9"/>
      <c r="R126" s="9"/>
      <c r="S126" s="9"/>
      <c r="T126" s="9"/>
      <c r="U126" s="9"/>
      <c r="V126" s="9"/>
      <c r="W126" s="137"/>
      <c r="X126" s="150"/>
      <c r="AJ126" s="81"/>
      <c r="AK126" s="160"/>
      <c r="AL126" s="87"/>
      <c r="AM126" s="81"/>
      <c r="AN126" s="81"/>
      <c r="AO126" s="81"/>
      <c r="AP126" s="81"/>
      <c r="AQ126" s="81"/>
      <c r="AR126" s="81"/>
      <c r="AS126" s="81"/>
    </row>
    <row r="127" spans="1:45" ht="11.25" customHeight="1" x14ac:dyDescent="0.2">
      <c r="A127" s="142"/>
      <c r="B127" s="1680"/>
      <c r="C127" s="1680"/>
      <c r="D127" s="1680"/>
      <c r="E127" s="1680"/>
      <c r="F127" s="1680"/>
      <c r="G127" s="1680"/>
      <c r="H127" s="1680"/>
      <c r="I127" s="1680"/>
      <c r="J127" s="12"/>
      <c r="K127" s="9"/>
      <c r="L127" s="9"/>
      <c r="M127" s="9"/>
      <c r="N127" s="9"/>
      <c r="O127" s="9"/>
      <c r="P127" s="9"/>
      <c r="Q127" s="9"/>
      <c r="R127" s="9"/>
      <c r="S127" s="9"/>
      <c r="T127" s="9"/>
      <c r="U127" s="9"/>
      <c r="V127" s="9"/>
      <c r="W127" s="137"/>
      <c r="X127" s="150"/>
      <c r="AJ127" s="81"/>
      <c r="AK127" s="160"/>
      <c r="AL127" s="87"/>
      <c r="AM127" s="81"/>
      <c r="AN127" s="81"/>
      <c r="AO127" s="81"/>
      <c r="AP127" s="81"/>
      <c r="AQ127" s="81"/>
      <c r="AR127" s="81"/>
      <c r="AS127" s="81"/>
    </row>
    <row r="128" spans="1:45" ht="11.25" customHeight="1" x14ac:dyDescent="0.2">
      <c r="A128" s="142"/>
      <c r="B128" s="1680" t="s">
        <v>18</v>
      </c>
      <c r="C128" s="1680"/>
      <c r="D128" s="1680"/>
      <c r="E128" s="1680"/>
      <c r="F128" s="1680"/>
      <c r="G128" s="1680"/>
      <c r="H128" s="1680"/>
      <c r="I128" s="1680"/>
      <c r="J128" s="12"/>
      <c r="K128" s="9"/>
      <c r="L128" s="9"/>
      <c r="M128" s="9"/>
      <c r="N128" s="9"/>
      <c r="O128" s="9"/>
      <c r="P128" s="9"/>
      <c r="Q128" s="9"/>
      <c r="R128" s="9"/>
      <c r="S128" s="9"/>
      <c r="T128" s="9"/>
      <c r="U128" s="9"/>
      <c r="V128" s="9"/>
      <c r="W128" s="137"/>
      <c r="X128" s="150"/>
      <c r="AJ128" s="81"/>
      <c r="AK128" s="160"/>
      <c r="AL128" s="87"/>
      <c r="AM128" s="81"/>
      <c r="AN128" s="81"/>
      <c r="AO128" s="81"/>
      <c r="AP128" s="81"/>
      <c r="AQ128" s="81"/>
      <c r="AR128" s="81"/>
      <c r="AS128" s="81"/>
    </row>
    <row r="129" spans="1:45" ht="11.25" customHeight="1" x14ac:dyDescent="0.2">
      <c r="A129" s="142"/>
      <c r="B129" s="1680"/>
      <c r="C129" s="1680"/>
      <c r="D129" s="1680"/>
      <c r="E129" s="1680"/>
      <c r="F129" s="1680"/>
      <c r="G129" s="1680"/>
      <c r="H129" s="1680"/>
      <c r="I129" s="1680"/>
      <c r="J129" s="12"/>
      <c r="K129" s="9"/>
      <c r="L129" s="9"/>
      <c r="M129" s="9"/>
      <c r="N129" s="9"/>
      <c r="O129" s="9"/>
      <c r="P129" s="9"/>
      <c r="Q129" s="9"/>
      <c r="R129" s="9"/>
      <c r="S129" s="9"/>
      <c r="T129" s="9"/>
      <c r="U129" s="9"/>
      <c r="V129" s="9"/>
      <c r="W129" s="137"/>
      <c r="X129" s="150"/>
      <c r="AJ129" s="81"/>
      <c r="AK129" s="160"/>
      <c r="AL129" s="87"/>
      <c r="AM129" s="81"/>
      <c r="AN129" s="81"/>
      <c r="AO129" s="81"/>
      <c r="AP129" s="81"/>
      <c r="AQ129" s="81"/>
      <c r="AR129" s="81"/>
      <c r="AS129" s="81"/>
    </row>
    <row r="130" spans="1:45" ht="11.25" customHeight="1" x14ac:dyDescent="0.2">
      <c r="A130" s="142"/>
      <c r="B130" s="1680" t="s">
        <v>19</v>
      </c>
      <c r="C130" s="1680"/>
      <c r="D130" s="1680"/>
      <c r="E130" s="1680"/>
      <c r="F130" s="1680"/>
      <c r="G130" s="1680"/>
      <c r="H130" s="1680"/>
      <c r="I130" s="1680"/>
      <c r="J130" s="12"/>
      <c r="K130" s="9"/>
      <c r="L130" s="9"/>
      <c r="M130" s="9"/>
      <c r="N130" s="9"/>
      <c r="O130" s="9"/>
      <c r="P130" s="9"/>
      <c r="Q130" s="9"/>
      <c r="R130" s="9"/>
      <c r="S130" s="9"/>
      <c r="T130" s="9"/>
      <c r="U130" s="9"/>
      <c r="V130" s="9"/>
      <c r="W130" s="137"/>
      <c r="X130" s="150"/>
      <c r="AJ130" s="81"/>
      <c r="AK130" s="160"/>
      <c r="AL130" s="87"/>
      <c r="AM130" s="81"/>
      <c r="AN130" s="81"/>
      <c r="AO130" s="81"/>
      <c r="AP130" s="81"/>
      <c r="AQ130" s="81"/>
      <c r="AR130" s="81"/>
      <c r="AS130" s="81"/>
    </row>
    <row r="131" spans="1:45" ht="11.25" customHeight="1" x14ac:dyDescent="0.2">
      <c r="A131" s="142"/>
      <c r="B131" s="1680"/>
      <c r="C131" s="1680"/>
      <c r="D131" s="1680"/>
      <c r="E131" s="1680"/>
      <c r="F131" s="1680"/>
      <c r="G131" s="1680"/>
      <c r="H131" s="1680"/>
      <c r="I131" s="1680"/>
      <c r="J131" s="12"/>
      <c r="K131" s="9"/>
      <c r="L131" s="9"/>
      <c r="M131" s="9"/>
      <c r="N131" s="9"/>
      <c r="O131" s="9"/>
      <c r="P131" s="9"/>
      <c r="Q131" s="9"/>
      <c r="R131" s="9"/>
      <c r="S131" s="9"/>
      <c r="T131" s="9"/>
      <c r="U131" s="9"/>
      <c r="V131" s="9"/>
      <c r="W131" s="137"/>
      <c r="X131" s="150"/>
      <c r="AJ131" s="81"/>
      <c r="AK131" s="160"/>
      <c r="AL131" s="87"/>
      <c r="AM131" s="81"/>
      <c r="AN131" s="81"/>
      <c r="AO131" s="81"/>
      <c r="AP131" s="81"/>
      <c r="AQ131" s="81"/>
      <c r="AR131" s="81"/>
      <c r="AS131" s="81"/>
    </row>
    <row r="132" spans="1:45" ht="11.25" customHeight="1" x14ac:dyDescent="0.2">
      <c r="A132" s="142"/>
      <c r="B132" s="1680" t="s">
        <v>20</v>
      </c>
      <c r="C132" s="1680"/>
      <c r="D132" s="1680"/>
      <c r="E132" s="1680"/>
      <c r="F132" s="1680"/>
      <c r="G132" s="1680"/>
      <c r="H132" s="1680"/>
      <c r="I132" s="1680"/>
      <c r="J132" s="12"/>
      <c r="K132" s="9"/>
      <c r="L132" s="9"/>
      <c r="M132" s="9"/>
      <c r="N132" s="9"/>
      <c r="O132" s="9"/>
      <c r="P132" s="9"/>
      <c r="Q132" s="9"/>
      <c r="R132" s="9"/>
      <c r="S132" s="9"/>
      <c r="T132" s="9"/>
      <c r="U132" s="9"/>
      <c r="V132" s="9"/>
      <c r="W132" s="137"/>
      <c r="X132" s="150"/>
      <c r="AJ132" s="81"/>
      <c r="AK132" s="160"/>
      <c r="AL132" s="87"/>
      <c r="AM132" s="81"/>
      <c r="AN132" s="81"/>
      <c r="AO132" s="81"/>
      <c r="AP132" s="81"/>
      <c r="AQ132" s="81"/>
      <c r="AR132" s="81"/>
      <c r="AS132" s="81"/>
    </row>
    <row r="133" spans="1:45" ht="11.25" customHeight="1" x14ac:dyDescent="0.2">
      <c r="A133" s="142"/>
      <c r="B133" s="1680"/>
      <c r="C133" s="1680"/>
      <c r="D133" s="1680"/>
      <c r="E133" s="1680"/>
      <c r="F133" s="1680"/>
      <c r="G133" s="1680"/>
      <c r="H133" s="1680"/>
      <c r="I133" s="1680"/>
      <c r="J133" s="12"/>
      <c r="K133" s="9"/>
      <c r="L133" s="9"/>
      <c r="M133" s="9"/>
      <c r="N133" s="9"/>
      <c r="O133" s="9"/>
      <c r="P133" s="9"/>
      <c r="Q133" s="9"/>
      <c r="R133" s="9"/>
      <c r="S133" s="9"/>
      <c r="T133" s="9"/>
      <c r="U133" s="9"/>
      <c r="V133" s="9"/>
      <c r="W133" s="137"/>
      <c r="X133" s="150"/>
      <c r="AJ133" s="81"/>
      <c r="AK133" s="160"/>
      <c r="AL133" s="87"/>
      <c r="AM133" s="81"/>
      <c r="AN133" s="81"/>
      <c r="AO133" s="81"/>
      <c r="AP133" s="81"/>
      <c r="AQ133" s="81"/>
      <c r="AR133" s="81"/>
      <c r="AS133" s="81"/>
    </row>
    <row r="134" spans="1:45" ht="11.25" customHeight="1" x14ac:dyDescent="0.2">
      <c r="A134" s="142"/>
      <c r="B134" s="1680" t="s">
        <v>26</v>
      </c>
      <c r="C134" s="1680"/>
      <c r="D134" s="1680"/>
      <c r="E134" s="1680"/>
      <c r="F134" s="1680"/>
      <c r="G134" s="1680"/>
      <c r="H134" s="1680"/>
      <c r="I134" s="1680"/>
      <c r="J134" s="12"/>
      <c r="K134" s="9"/>
      <c r="L134" s="9"/>
      <c r="M134" s="9"/>
      <c r="N134" s="9"/>
      <c r="O134" s="9"/>
      <c r="P134" s="9"/>
      <c r="Q134" s="9"/>
      <c r="R134" s="9"/>
      <c r="S134" s="9"/>
      <c r="T134" s="9"/>
      <c r="U134" s="9"/>
      <c r="V134" s="9"/>
      <c r="W134" s="137"/>
      <c r="X134" s="150"/>
      <c r="AJ134" s="81"/>
      <c r="AK134" s="160"/>
      <c r="AL134" s="87"/>
      <c r="AM134" s="81"/>
      <c r="AN134" s="81"/>
      <c r="AO134" s="81"/>
      <c r="AP134" s="81"/>
      <c r="AQ134" s="81"/>
      <c r="AR134" s="81"/>
      <c r="AS134" s="81"/>
    </row>
    <row r="135" spans="1:45" ht="11.25" customHeight="1" x14ac:dyDescent="0.2">
      <c r="A135" s="142"/>
      <c r="B135" s="1680"/>
      <c r="C135" s="1680"/>
      <c r="D135" s="1680"/>
      <c r="E135" s="1680"/>
      <c r="F135" s="1680"/>
      <c r="G135" s="1680"/>
      <c r="H135" s="1680"/>
      <c r="I135" s="1680"/>
      <c r="J135" s="12"/>
      <c r="K135" s="9"/>
      <c r="L135" s="9"/>
      <c r="M135" s="9"/>
      <c r="N135" s="9"/>
      <c r="O135" s="9"/>
      <c r="P135" s="9"/>
      <c r="Q135" s="9"/>
      <c r="R135" s="9"/>
      <c r="S135" s="9"/>
      <c r="T135" s="9"/>
      <c r="U135" s="9"/>
      <c r="V135" s="9"/>
      <c r="W135" s="137"/>
      <c r="X135" s="150"/>
      <c r="AJ135" s="81"/>
      <c r="AK135" s="160"/>
      <c r="AL135" s="87"/>
      <c r="AM135" s="81"/>
      <c r="AN135" s="81"/>
      <c r="AO135" s="81"/>
      <c r="AP135" s="81"/>
      <c r="AQ135" s="81"/>
      <c r="AR135" s="81"/>
      <c r="AS135" s="81"/>
    </row>
    <row r="136" spans="1:45" ht="11.25" customHeight="1" x14ac:dyDescent="0.2">
      <c r="A136" s="142"/>
      <c r="B136" s="1680" t="s">
        <v>21</v>
      </c>
      <c r="C136" s="1680"/>
      <c r="D136" s="1680"/>
      <c r="E136" s="1680"/>
      <c r="F136" s="1680"/>
      <c r="G136" s="1680"/>
      <c r="H136" s="1680"/>
      <c r="I136" s="1680"/>
      <c r="J136" s="12"/>
      <c r="K136" s="9"/>
      <c r="L136" s="9"/>
      <c r="M136" s="9"/>
      <c r="N136" s="9"/>
      <c r="O136" s="9"/>
      <c r="P136" s="9"/>
      <c r="Q136" s="9"/>
      <c r="R136" s="9"/>
      <c r="S136" s="9"/>
      <c r="T136" s="9"/>
      <c r="U136" s="9"/>
      <c r="V136" s="9"/>
      <c r="W136" s="137"/>
      <c r="X136" s="150"/>
      <c r="AJ136" s="81"/>
      <c r="AK136" s="160"/>
      <c r="AL136" s="87"/>
      <c r="AM136" s="81"/>
      <c r="AN136" s="81"/>
      <c r="AO136" s="81"/>
      <c r="AP136" s="81"/>
      <c r="AQ136" s="81"/>
      <c r="AR136" s="81"/>
      <c r="AS136" s="81"/>
    </row>
    <row r="137" spans="1:45" ht="11.25" customHeight="1" x14ac:dyDescent="0.2">
      <c r="A137" s="142"/>
      <c r="B137" s="1680"/>
      <c r="C137" s="1680"/>
      <c r="D137" s="1680"/>
      <c r="E137" s="1680"/>
      <c r="F137" s="1680"/>
      <c r="G137" s="1680"/>
      <c r="H137" s="1680"/>
      <c r="I137" s="1680"/>
      <c r="J137" s="12"/>
      <c r="K137" s="9"/>
      <c r="L137" s="9"/>
      <c r="M137" s="9"/>
      <c r="N137" s="9"/>
      <c r="O137" s="9"/>
      <c r="P137" s="9"/>
      <c r="Q137" s="9"/>
      <c r="R137" s="9"/>
      <c r="S137" s="9"/>
      <c r="T137" s="9"/>
      <c r="U137" s="9"/>
      <c r="V137" s="9"/>
      <c r="W137" s="137"/>
      <c r="X137" s="150"/>
      <c r="AJ137" s="81"/>
      <c r="AK137" s="160"/>
      <c r="AL137" s="87"/>
      <c r="AM137" s="81"/>
      <c r="AN137" s="81"/>
      <c r="AO137" s="81"/>
      <c r="AP137" s="81"/>
      <c r="AQ137" s="81"/>
      <c r="AR137" s="81"/>
      <c r="AS137" s="81"/>
    </row>
    <row r="138" spans="1:45" ht="11.25" customHeight="1" x14ac:dyDescent="0.2">
      <c r="A138" s="142"/>
      <c r="B138" s="1680" t="s">
        <v>905</v>
      </c>
      <c r="C138" s="1680"/>
      <c r="D138" s="1680"/>
      <c r="E138" s="1680"/>
      <c r="F138" s="1680"/>
      <c r="G138" s="1680"/>
      <c r="H138" s="1680"/>
      <c r="I138" s="1680"/>
      <c r="J138" s="12"/>
      <c r="K138" s="9"/>
      <c r="L138" s="9"/>
      <c r="M138" s="9"/>
      <c r="N138" s="9"/>
      <c r="O138" s="9"/>
      <c r="P138" s="9"/>
      <c r="Q138" s="9"/>
      <c r="R138" s="9"/>
      <c r="S138" s="9"/>
      <c r="T138" s="9"/>
      <c r="U138" s="9"/>
      <c r="V138" s="9"/>
      <c r="W138" s="137"/>
      <c r="X138" s="150"/>
      <c r="AJ138" s="81"/>
      <c r="AK138" s="160"/>
      <c r="AL138" s="87"/>
      <c r="AM138" s="81"/>
      <c r="AN138" s="81"/>
      <c r="AO138" s="81"/>
      <c r="AP138" s="81"/>
      <c r="AQ138" s="81"/>
      <c r="AR138" s="81"/>
      <c r="AS138" s="81"/>
    </row>
    <row r="139" spans="1:45" ht="11.25" customHeight="1" x14ac:dyDescent="0.2">
      <c r="A139" s="142"/>
      <c r="B139" s="1680"/>
      <c r="C139" s="1680"/>
      <c r="D139" s="1680"/>
      <c r="E139" s="1680"/>
      <c r="F139" s="1680"/>
      <c r="G139" s="1680"/>
      <c r="H139" s="1680"/>
      <c r="I139" s="1680"/>
      <c r="J139" s="12"/>
      <c r="K139" s="9"/>
      <c r="L139" s="9"/>
      <c r="M139" s="9"/>
      <c r="N139" s="9"/>
      <c r="O139" s="9"/>
      <c r="P139" s="9"/>
      <c r="Q139" s="9"/>
      <c r="R139" s="9"/>
      <c r="S139" s="9"/>
      <c r="T139" s="9"/>
      <c r="U139" s="9"/>
      <c r="V139" s="9"/>
      <c r="W139" s="137"/>
      <c r="X139" s="150"/>
      <c r="AJ139" s="81"/>
      <c r="AK139" s="160"/>
      <c r="AL139" s="87"/>
      <c r="AM139" s="81"/>
      <c r="AN139" s="81"/>
      <c r="AO139" s="81"/>
      <c r="AP139" s="81"/>
      <c r="AQ139" s="81"/>
      <c r="AR139" s="81"/>
      <c r="AS139" s="81"/>
    </row>
    <row r="140" spans="1:45" ht="11.25" customHeight="1" x14ac:dyDescent="0.2">
      <c r="A140" s="142"/>
      <c r="B140" s="1680" t="s">
        <v>32</v>
      </c>
      <c r="C140" s="1680"/>
      <c r="D140" s="1680"/>
      <c r="E140" s="1680"/>
      <c r="F140" s="1680"/>
      <c r="G140" s="1680"/>
      <c r="H140" s="1680"/>
      <c r="I140" s="1680"/>
      <c r="J140" s="12"/>
      <c r="K140" s="9"/>
      <c r="L140" s="9"/>
      <c r="M140" s="9"/>
      <c r="N140" s="9"/>
      <c r="O140" s="9"/>
      <c r="P140" s="9"/>
      <c r="Q140" s="9"/>
      <c r="R140" s="9"/>
      <c r="S140" s="9"/>
      <c r="T140" s="9"/>
      <c r="U140" s="9"/>
      <c r="V140" s="9"/>
      <c r="W140" s="137"/>
      <c r="X140" s="150"/>
      <c r="AJ140" s="81"/>
      <c r="AK140" s="160"/>
      <c r="AL140" s="87"/>
      <c r="AM140" s="81"/>
      <c r="AN140" s="81"/>
      <c r="AO140" s="81"/>
      <c r="AP140" s="81"/>
      <c r="AQ140" s="81"/>
      <c r="AR140" s="81"/>
      <c r="AS140" s="81"/>
    </row>
    <row r="141" spans="1:45" ht="11.25" customHeight="1" x14ac:dyDescent="0.2">
      <c r="A141" s="142"/>
      <c r="B141" s="1680"/>
      <c r="C141" s="1680"/>
      <c r="D141" s="1680"/>
      <c r="E141" s="1680"/>
      <c r="F141" s="1680"/>
      <c r="G141" s="1680"/>
      <c r="H141" s="1680"/>
      <c r="I141" s="1680"/>
      <c r="J141" s="12"/>
      <c r="K141" s="9"/>
      <c r="L141" s="9"/>
      <c r="M141" s="9"/>
      <c r="N141" s="9"/>
      <c r="O141" s="9"/>
      <c r="P141" s="9"/>
      <c r="Q141" s="9"/>
      <c r="R141" s="9"/>
      <c r="S141" s="9"/>
      <c r="T141" s="9"/>
      <c r="U141" s="9"/>
      <c r="V141" s="9"/>
      <c r="W141" s="137"/>
      <c r="X141" s="150"/>
      <c r="AJ141" s="81"/>
      <c r="AK141" s="160"/>
      <c r="AL141" s="87"/>
      <c r="AM141" s="81"/>
      <c r="AN141" s="81"/>
      <c r="AO141" s="81"/>
      <c r="AP141" s="81"/>
      <c r="AQ141" s="81"/>
      <c r="AR141" s="81"/>
      <c r="AS141" s="81"/>
    </row>
    <row r="142" spans="1:45" ht="11.25" customHeight="1" x14ac:dyDescent="0.2">
      <c r="A142" s="142"/>
      <c r="B142" s="1680" t="s">
        <v>666</v>
      </c>
      <c r="C142" s="1680"/>
      <c r="D142" s="1680"/>
      <c r="E142" s="1680"/>
      <c r="F142" s="1680"/>
      <c r="G142" s="1680"/>
      <c r="H142" s="1680"/>
      <c r="I142" s="1680"/>
      <c r="J142" s="12"/>
      <c r="K142" s="9"/>
      <c r="L142" s="9"/>
      <c r="M142" s="9"/>
      <c r="N142" s="9"/>
      <c r="O142" s="9"/>
      <c r="P142" s="9"/>
      <c r="Q142" s="9"/>
      <c r="R142" s="9"/>
      <c r="S142" s="9"/>
      <c r="T142" s="9"/>
      <c r="U142" s="9"/>
      <c r="V142" s="9"/>
      <c r="W142" s="137"/>
      <c r="X142" s="150"/>
      <c r="AJ142" s="81"/>
      <c r="AK142" s="160"/>
      <c r="AL142" s="87"/>
      <c r="AM142" s="81"/>
      <c r="AN142" s="81"/>
      <c r="AO142" s="81"/>
      <c r="AP142" s="81"/>
      <c r="AQ142" s="81"/>
      <c r="AR142" s="81"/>
      <c r="AS142" s="81"/>
    </row>
    <row r="143" spans="1:45" ht="11.25" customHeight="1" x14ac:dyDescent="0.2">
      <c r="A143" s="142"/>
      <c r="B143" s="1680"/>
      <c r="C143" s="1680"/>
      <c r="D143" s="1680"/>
      <c r="E143" s="1680"/>
      <c r="F143" s="1680"/>
      <c r="G143" s="1680"/>
      <c r="H143" s="1680"/>
      <c r="I143" s="1680"/>
      <c r="J143" s="12"/>
      <c r="K143" s="9"/>
      <c r="L143" s="9"/>
      <c r="M143" s="9"/>
      <c r="N143" s="9"/>
      <c r="O143" s="9"/>
      <c r="P143" s="9"/>
      <c r="Q143" s="9"/>
      <c r="R143" s="9"/>
      <c r="S143" s="9"/>
      <c r="T143" s="9"/>
      <c r="U143" s="9"/>
      <c r="V143" s="9"/>
      <c r="W143" s="137"/>
      <c r="X143" s="150"/>
      <c r="AJ143" s="81"/>
      <c r="AK143" s="160"/>
      <c r="AL143" s="87"/>
      <c r="AM143" s="81"/>
      <c r="AN143" s="81"/>
      <c r="AO143" s="81"/>
      <c r="AP143" s="81"/>
      <c r="AQ143" s="81"/>
      <c r="AR143" s="81"/>
      <c r="AS143" s="81"/>
    </row>
    <row r="144" spans="1:45" ht="11.25" customHeight="1" x14ac:dyDescent="0.2">
      <c r="A144" s="142"/>
      <c r="B144" s="1680" t="s">
        <v>906</v>
      </c>
      <c r="C144" s="1680"/>
      <c r="D144" s="1680"/>
      <c r="E144" s="1680"/>
      <c r="F144" s="1680"/>
      <c r="G144" s="1680"/>
      <c r="H144" s="1680"/>
      <c r="I144" s="1680"/>
      <c r="J144" s="12"/>
      <c r="K144" s="9"/>
      <c r="L144" s="9"/>
      <c r="M144" s="9"/>
      <c r="N144" s="9"/>
      <c r="O144" s="9"/>
      <c r="P144" s="9"/>
      <c r="Q144" s="9"/>
      <c r="R144" s="9"/>
      <c r="S144" s="9"/>
      <c r="T144" s="9"/>
      <c r="U144" s="9"/>
      <c r="V144" s="9"/>
      <c r="W144" s="137"/>
      <c r="X144" s="150"/>
      <c r="AJ144" s="81"/>
      <c r="AK144" s="160"/>
      <c r="AL144" s="87"/>
      <c r="AM144" s="81"/>
      <c r="AN144" s="81"/>
      <c r="AO144" s="81"/>
      <c r="AP144" s="81"/>
      <c r="AQ144" s="81"/>
      <c r="AR144" s="81"/>
      <c r="AS144" s="81"/>
    </row>
    <row r="145" spans="1:58" ht="11.25" customHeight="1" x14ac:dyDescent="0.2">
      <c r="A145" s="142"/>
      <c r="B145" s="1680"/>
      <c r="C145" s="1680"/>
      <c r="D145" s="1680"/>
      <c r="E145" s="1680"/>
      <c r="F145" s="1680"/>
      <c r="G145" s="1680"/>
      <c r="H145" s="1680"/>
      <c r="I145" s="1680"/>
      <c r="J145" s="12"/>
      <c r="K145" s="9"/>
      <c r="L145" s="9"/>
      <c r="M145" s="9"/>
      <c r="N145" s="9"/>
      <c r="O145" s="9"/>
      <c r="P145" s="9"/>
      <c r="Q145" s="9"/>
      <c r="R145" s="9"/>
      <c r="S145" s="9"/>
      <c r="T145" s="9"/>
      <c r="U145" s="9"/>
      <c r="V145" s="9"/>
      <c r="W145" s="137"/>
      <c r="X145" s="150"/>
      <c r="AJ145" s="81"/>
      <c r="AK145" s="160"/>
      <c r="AL145" s="87"/>
      <c r="AM145" s="81"/>
      <c r="AN145" s="81"/>
      <c r="AO145" s="81"/>
      <c r="AP145" s="81"/>
      <c r="AQ145" s="81"/>
      <c r="AR145" s="81"/>
      <c r="AS145" s="81"/>
    </row>
    <row r="146" spans="1:58" ht="11.25" customHeight="1" x14ac:dyDescent="0.2">
      <c r="A146" s="142"/>
      <c r="B146" s="1680" t="s">
        <v>672</v>
      </c>
      <c r="C146" s="1680"/>
      <c r="D146" s="1680"/>
      <c r="E146" s="1680"/>
      <c r="F146" s="1680"/>
      <c r="G146" s="1680"/>
      <c r="H146" s="1680"/>
      <c r="I146" s="1680"/>
      <c r="J146" s="12"/>
      <c r="K146" s="9"/>
      <c r="L146" s="9"/>
      <c r="M146" s="9"/>
      <c r="N146" s="9"/>
      <c r="O146" s="9"/>
      <c r="P146" s="9"/>
      <c r="Q146" s="9"/>
      <c r="R146" s="9"/>
      <c r="S146" s="9"/>
      <c r="T146" s="9"/>
      <c r="U146" s="9"/>
      <c r="V146" s="9"/>
      <c r="W146" s="137"/>
      <c r="X146" s="150"/>
      <c r="AJ146" s="81"/>
      <c r="AK146" s="160"/>
      <c r="AL146" s="87"/>
      <c r="AM146" s="81"/>
      <c r="AN146" s="81"/>
      <c r="AO146" s="81"/>
      <c r="AP146" s="81"/>
      <c r="AQ146" s="81"/>
      <c r="AR146" s="81"/>
      <c r="AS146" s="81"/>
    </row>
    <row r="147" spans="1:58" s="80" customFormat="1" ht="11.25" customHeight="1" x14ac:dyDescent="0.2">
      <c r="A147" s="142"/>
      <c r="B147" s="1680"/>
      <c r="C147" s="1680"/>
      <c r="D147" s="1680"/>
      <c r="E147" s="1680"/>
      <c r="F147" s="1680"/>
      <c r="G147" s="1680"/>
      <c r="H147" s="1680"/>
      <c r="I147" s="1680"/>
      <c r="J147" s="12"/>
      <c r="K147" s="9"/>
      <c r="L147" s="9"/>
      <c r="M147" s="9"/>
      <c r="N147" s="9"/>
      <c r="O147" s="9"/>
      <c r="P147" s="9"/>
      <c r="Q147" s="9"/>
      <c r="R147" s="9"/>
      <c r="S147" s="9"/>
      <c r="T147" s="9"/>
      <c r="U147" s="9"/>
      <c r="V147" s="9"/>
      <c r="W147" s="137"/>
      <c r="X147" s="150"/>
      <c r="Y147" s="81"/>
      <c r="Z147" s="81"/>
      <c r="AA147" s="81"/>
      <c r="AB147" s="81"/>
      <c r="AC147" s="81"/>
      <c r="AD147" s="81"/>
      <c r="AE147" s="81"/>
      <c r="AF147" s="81"/>
      <c r="AG147" s="81"/>
      <c r="AH147" s="81"/>
      <c r="AI147" s="81"/>
      <c r="AJ147" s="81"/>
      <c r="AK147" s="160"/>
      <c r="AL147" s="87"/>
      <c r="AM147" s="81"/>
      <c r="AN147" s="81"/>
      <c r="AO147" s="81"/>
      <c r="AP147" s="81"/>
      <c r="AQ147" s="81"/>
      <c r="AR147" s="81"/>
      <c r="AS147" s="81"/>
      <c r="AT147" s="74"/>
      <c r="AU147" s="74"/>
      <c r="AV147" s="74"/>
      <c r="AW147" s="74"/>
      <c r="AX147" s="74"/>
      <c r="AY147" s="74"/>
      <c r="AZ147" s="74"/>
      <c r="BA147" s="74"/>
      <c r="BB147" s="74"/>
      <c r="BC147" s="74"/>
      <c r="BD147" s="74"/>
      <c r="BE147" s="74"/>
      <c r="BF147" s="74"/>
    </row>
    <row r="148" spans="1:58" ht="11.25" customHeight="1" x14ac:dyDescent="0.2">
      <c r="A148" s="1273"/>
      <c r="B148" s="1274"/>
      <c r="C148" s="1275"/>
      <c r="D148" s="1275"/>
      <c r="E148" s="1275"/>
      <c r="F148" s="1275"/>
      <c r="G148" s="1275"/>
      <c r="H148" s="1275"/>
      <c r="I148" s="1275"/>
      <c r="J148" s="1276"/>
      <c r="K148" s="201"/>
      <c r="L148" s="201"/>
      <c r="M148" s="201"/>
      <c r="N148" s="201"/>
      <c r="O148" s="201"/>
      <c r="P148" s="201"/>
      <c r="Q148" s="201"/>
      <c r="R148" s="201"/>
      <c r="S148" s="201"/>
      <c r="T148" s="201"/>
      <c r="U148" s="201"/>
      <c r="V148" s="201"/>
      <c r="W148" s="1277"/>
      <c r="X148" s="1271"/>
      <c r="Y148" s="200"/>
      <c r="Z148" s="200"/>
      <c r="AA148" s="200"/>
      <c r="AB148" s="200"/>
      <c r="AC148" s="200"/>
      <c r="AD148" s="200"/>
      <c r="AE148" s="200"/>
      <c r="AF148" s="200"/>
      <c r="AG148" s="200"/>
      <c r="AH148" s="200"/>
      <c r="AI148" s="200"/>
      <c r="AJ148" s="200"/>
      <c r="AK148" s="1615"/>
      <c r="AL148" s="87"/>
      <c r="AM148" s="81"/>
      <c r="AN148" s="81"/>
      <c r="AO148" s="81"/>
      <c r="AP148" s="81"/>
      <c r="AQ148" s="81"/>
      <c r="AR148" s="81"/>
      <c r="AS148" s="81"/>
    </row>
    <row r="149" spans="1:58" ht="11.25" customHeight="1" x14ac:dyDescent="0.2">
      <c r="AJ149" s="81"/>
      <c r="AK149" s="81"/>
      <c r="AL149" s="81"/>
      <c r="AM149" s="81"/>
      <c r="AN149" s="81"/>
      <c r="AO149" s="81"/>
      <c r="AR149" s="184"/>
    </row>
    <row r="150" spans="1:58" ht="11.25" customHeight="1" x14ac:dyDescent="0.2">
      <c r="AJ150" s="81"/>
      <c r="AK150" s="81"/>
      <c r="AL150" s="81"/>
      <c r="AM150" s="81"/>
      <c r="AN150" s="81"/>
      <c r="AO150" s="81"/>
      <c r="AR150" s="184"/>
    </row>
    <row r="151" spans="1:58" ht="11.25" customHeight="1" x14ac:dyDescent="0.2">
      <c r="AJ151" s="81"/>
      <c r="AK151" s="81"/>
      <c r="AL151" s="81"/>
      <c r="AM151" s="81"/>
      <c r="AN151" s="81"/>
      <c r="AO151" s="81"/>
      <c r="AR151" s="184"/>
    </row>
    <row r="152" spans="1:58" ht="11.25" customHeight="1" x14ac:dyDescent="0.2">
      <c r="AJ152" s="81"/>
      <c r="AK152" s="81"/>
      <c r="AL152" s="81"/>
      <c r="AM152" s="81"/>
      <c r="AN152" s="81"/>
      <c r="AO152" s="81"/>
      <c r="AR152" s="184"/>
    </row>
    <row r="153" spans="1:58" ht="11.25" customHeight="1" x14ac:dyDescent="0.2">
      <c r="AJ153" s="81"/>
      <c r="AK153" s="81"/>
      <c r="AL153" s="81"/>
      <c r="AM153" s="81"/>
      <c r="AN153" s="81"/>
      <c r="AO153" s="81"/>
      <c r="AR153" s="184"/>
    </row>
    <row r="154" spans="1:58" ht="11.25" customHeight="1" x14ac:dyDescent="0.2">
      <c r="AJ154" s="81"/>
      <c r="AK154" s="81"/>
      <c r="AL154" s="81"/>
      <c r="AM154" s="81"/>
      <c r="AN154" s="81"/>
      <c r="AO154" s="81"/>
      <c r="AR154" s="184"/>
    </row>
    <row r="155" spans="1:58" ht="11.25" customHeight="1" x14ac:dyDescent="0.2">
      <c r="AJ155" s="81"/>
      <c r="AK155" s="81"/>
      <c r="AL155" s="81"/>
      <c r="AM155" s="81"/>
      <c r="AN155" s="81"/>
      <c r="AO155" s="81"/>
      <c r="AR155" s="184"/>
    </row>
    <row r="156" spans="1:58" ht="11.25" customHeight="1" x14ac:dyDescent="0.2">
      <c r="AJ156" s="81"/>
      <c r="AK156" s="81"/>
      <c r="AL156" s="81"/>
      <c r="AM156" s="81"/>
      <c r="AN156" s="81"/>
      <c r="AO156" s="81"/>
      <c r="AR156" s="184"/>
    </row>
    <row r="157" spans="1:58" ht="11.25" customHeight="1" x14ac:dyDescent="0.2">
      <c r="AJ157" s="81"/>
      <c r="AK157" s="81"/>
      <c r="AL157" s="81"/>
      <c r="AM157" s="81"/>
      <c r="AN157" s="81"/>
      <c r="AO157" s="81"/>
      <c r="AR157" s="184"/>
    </row>
    <row r="158" spans="1:58" ht="11.25" customHeight="1" x14ac:dyDescent="0.2">
      <c r="AJ158" s="81"/>
      <c r="AK158" s="81"/>
      <c r="AL158" s="81"/>
      <c r="AM158" s="81"/>
      <c r="AN158" s="81"/>
      <c r="AO158" s="81"/>
      <c r="AR158" s="184"/>
    </row>
    <row r="159" spans="1:58" ht="11.25" customHeight="1" x14ac:dyDescent="0.2">
      <c r="AJ159" s="81"/>
      <c r="AK159" s="81"/>
      <c r="AL159" s="81"/>
      <c r="AM159" s="81"/>
      <c r="AN159" s="81"/>
      <c r="AO159" s="81"/>
      <c r="AR159" s="184"/>
    </row>
    <row r="160" spans="1:58" ht="11.25" customHeight="1" x14ac:dyDescent="0.2">
      <c r="AJ160" s="81"/>
      <c r="AK160" s="81"/>
      <c r="AL160" s="81"/>
      <c r="AM160" s="81"/>
      <c r="AN160" s="81"/>
      <c r="AO160" s="81"/>
      <c r="AR160" s="184"/>
    </row>
    <row r="161" spans="36:44" ht="11.25" customHeight="1" x14ac:dyDescent="0.2">
      <c r="AJ161" s="81"/>
      <c r="AK161" s="81"/>
      <c r="AL161" s="81"/>
      <c r="AM161" s="81"/>
      <c r="AN161" s="81"/>
      <c r="AO161" s="81"/>
      <c r="AR161" s="184"/>
    </row>
    <row r="162" spans="36:44" ht="11.25" customHeight="1" x14ac:dyDescent="0.2">
      <c r="AJ162" s="81"/>
      <c r="AK162" s="81"/>
      <c r="AL162" s="81"/>
      <c r="AM162" s="81"/>
      <c r="AN162" s="81"/>
      <c r="AO162" s="81"/>
      <c r="AR162" s="184"/>
    </row>
    <row r="163" spans="36:44" ht="11.25" customHeight="1" x14ac:dyDescent="0.2">
      <c r="AJ163" s="81"/>
      <c r="AK163" s="81"/>
      <c r="AL163" s="81"/>
      <c r="AM163" s="81"/>
      <c r="AN163" s="81"/>
      <c r="AO163" s="81"/>
      <c r="AR163" s="184"/>
    </row>
    <row r="164" spans="36:44" ht="11.25" customHeight="1" x14ac:dyDescent="0.2">
      <c r="AJ164" s="81"/>
      <c r="AK164" s="81"/>
      <c r="AL164" s="81"/>
      <c r="AM164" s="81"/>
      <c r="AN164" s="81"/>
      <c r="AO164" s="81"/>
      <c r="AR164" s="184"/>
    </row>
    <row r="165" spans="36:44" ht="11.25" customHeight="1" x14ac:dyDescent="0.2">
      <c r="AJ165" s="81"/>
      <c r="AK165" s="81"/>
      <c r="AL165" s="81"/>
      <c r="AM165" s="81"/>
      <c r="AN165" s="81"/>
      <c r="AO165" s="81"/>
      <c r="AR165" s="184"/>
    </row>
    <row r="166" spans="36:44" ht="11.25" customHeight="1" x14ac:dyDescent="0.2">
      <c r="AJ166" s="81"/>
      <c r="AK166" s="81"/>
      <c r="AL166" s="81"/>
      <c r="AM166" s="81"/>
      <c r="AN166" s="81"/>
      <c r="AO166" s="81"/>
      <c r="AR166" s="184"/>
    </row>
    <row r="167" spans="36:44" ht="11.25" customHeight="1" x14ac:dyDescent="0.2">
      <c r="AJ167" s="81"/>
      <c r="AK167" s="81"/>
      <c r="AL167" s="81"/>
      <c r="AM167" s="81"/>
      <c r="AN167" s="81"/>
      <c r="AO167" s="81"/>
      <c r="AR167" s="184"/>
    </row>
    <row r="168" spans="36:44" ht="11.25" customHeight="1" x14ac:dyDescent="0.2">
      <c r="AJ168" s="81"/>
      <c r="AK168" s="81"/>
      <c r="AL168" s="81"/>
      <c r="AM168" s="81"/>
      <c r="AN168" s="81"/>
      <c r="AO168" s="81"/>
      <c r="AR168" s="184"/>
    </row>
    <row r="169" spans="36:44" ht="11.25" customHeight="1" x14ac:dyDescent="0.2">
      <c r="AJ169" s="81"/>
      <c r="AK169" s="81"/>
      <c r="AL169" s="81"/>
      <c r="AM169" s="81"/>
      <c r="AN169" s="81"/>
      <c r="AO169" s="81"/>
      <c r="AR169" s="184"/>
    </row>
    <row r="170" spans="36:44" ht="11.25" customHeight="1" x14ac:dyDescent="0.2">
      <c r="AJ170" s="81"/>
      <c r="AK170" s="81"/>
      <c r="AL170" s="81"/>
      <c r="AM170" s="81"/>
      <c r="AN170" s="81"/>
      <c r="AO170" s="81"/>
      <c r="AR170" s="184"/>
    </row>
    <row r="171" spans="36:44" ht="11.25" customHeight="1" x14ac:dyDescent="0.2">
      <c r="AJ171" s="81"/>
      <c r="AK171" s="81"/>
      <c r="AL171" s="81"/>
      <c r="AM171" s="81"/>
      <c r="AN171" s="81"/>
      <c r="AO171" s="81"/>
      <c r="AR171" s="184"/>
    </row>
    <row r="172" spans="36:44" ht="11.25" customHeight="1" x14ac:dyDescent="0.2">
      <c r="AJ172" s="81"/>
      <c r="AK172" s="81"/>
      <c r="AL172" s="81"/>
      <c r="AM172" s="81"/>
      <c r="AN172" s="81"/>
      <c r="AO172" s="81"/>
      <c r="AR172" s="184"/>
    </row>
    <row r="173" spans="36:44" ht="11.25" customHeight="1" x14ac:dyDescent="0.2">
      <c r="AJ173" s="81"/>
      <c r="AK173" s="81"/>
      <c r="AL173" s="81"/>
      <c r="AM173" s="81"/>
      <c r="AN173" s="81"/>
      <c r="AO173" s="81"/>
      <c r="AR173" s="184"/>
    </row>
    <row r="174" spans="36:44" ht="11.25" customHeight="1" x14ac:dyDescent="0.2">
      <c r="AJ174" s="81"/>
      <c r="AK174" s="81"/>
      <c r="AL174" s="81"/>
      <c r="AM174" s="81"/>
      <c r="AN174" s="81"/>
      <c r="AO174" s="81"/>
      <c r="AR174" s="184"/>
    </row>
    <row r="175" spans="36:44" ht="11.25" customHeight="1" x14ac:dyDescent="0.2">
      <c r="AJ175" s="81"/>
      <c r="AK175" s="81"/>
      <c r="AL175" s="81"/>
      <c r="AM175" s="81"/>
      <c r="AN175" s="81"/>
      <c r="AO175" s="81"/>
      <c r="AR175" s="184"/>
    </row>
    <row r="176" spans="36:44" ht="11.25" customHeight="1" x14ac:dyDescent="0.2">
      <c r="AJ176" s="81"/>
      <c r="AK176" s="81"/>
      <c r="AL176" s="81"/>
      <c r="AM176" s="81"/>
      <c r="AN176" s="81"/>
      <c r="AO176" s="81"/>
      <c r="AR176" s="184"/>
    </row>
    <row r="177" spans="36:44" ht="11.25" customHeight="1" x14ac:dyDescent="0.2">
      <c r="AJ177" s="81"/>
      <c r="AK177" s="81"/>
      <c r="AL177" s="81"/>
      <c r="AM177" s="81"/>
      <c r="AN177" s="81"/>
      <c r="AO177" s="81"/>
      <c r="AR177" s="184"/>
    </row>
    <row r="178" spans="36:44" ht="11.25" customHeight="1" x14ac:dyDescent="0.2">
      <c r="AJ178" s="81"/>
      <c r="AK178" s="81"/>
      <c r="AL178" s="81"/>
      <c r="AM178" s="81"/>
      <c r="AN178" s="81"/>
      <c r="AO178" s="81"/>
      <c r="AR178" s="184"/>
    </row>
    <row r="179" spans="36:44" ht="11.25" customHeight="1" x14ac:dyDescent="0.2">
      <c r="AJ179" s="81"/>
      <c r="AK179" s="81"/>
      <c r="AL179" s="81"/>
      <c r="AM179" s="81"/>
      <c r="AN179" s="81"/>
      <c r="AO179" s="81"/>
      <c r="AR179" s="184"/>
    </row>
    <row r="180" spans="36:44" ht="11.25" customHeight="1" x14ac:dyDescent="0.2">
      <c r="AJ180" s="81"/>
      <c r="AK180" s="81"/>
      <c r="AL180" s="81"/>
      <c r="AM180" s="81"/>
      <c r="AN180" s="81"/>
      <c r="AO180" s="81"/>
      <c r="AR180" s="184"/>
    </row>
    <row r="181" spans="36:44" ht="11.25" customHeight="1" x14ac:dyDescent="0.2">
      <c r="AJ181" s="81"/>
      <c r="AK181" s="81"/>
      <c r="AL181" s="81"/>
      <c r="AM181" s="81"/>
      <c r="AN181" s="81"/>
      <c r="AO181" s="81"/>
      <c r="AR181" s="184"/>
    </row>
    <row r="274" spans="38:38" ht="11.25" customHeight="1" x14ac:dyDescent="0.2">
      <c r="AL274" s="74" t="b">
        <v>1</v>
      </c>
    </row>
  </sheetData>
  <sheetProtection sheet="1" objects="1" scenarios="1"/>
  <mergeCells count="44">
    <mergeCell ref="B146:I147"/>
    <mergeCell ref="AA8:AA9"/>
    <mergeCell ref="A70:V70"/>
    <mergeCell ref="Q7:Q9"/>
    <mergeCell ref="A71:V71"/>
    <mergeCell ref="A105:V105"/>
    <mergeCell ref="B144:I145"/>
    <mergeCell ref="B128:I129"/>
    <mergeCell ref="B130:I131"/>
    <mergeCell ref="B132:I133"/>
    <mergeCell ref="B35:U35"/>
    <mergeCell ref="A37:V37"/>
    <mergeCell ref="A106:V106"/>
    <mergeCell ref="B108:I109"/>
    <mergeCell ref="B110:I111"/>
    <mergeCell ref="B112:I113"/>
    <mergeCell ref="B114:I115"/>
    <mergeCell ref="B116:I117"/>
    <mergeCell ref="B134:I135"/>
    <mergeCell ref="B136:I137"/>
    <mergeCell ref="B138:I139"/>
    <mergeCell ref="B140:I141"/>
    <mergeCell ref="B142:I143"/>
    <mergeCell ref="AR38:AR40"/>
    <mergeCell ref="AM38:AQ38"/>
    <mergeCell ref="B5:N6"/>
    <mergeCell ref="M64:P64"/>
    <mergeCell ref="M65:P65"/>
    <mergeCell ref="R65:U65"/>
    <mergeCell ref="R64:U64"/>
    <mergeCell ref="A38:V38"/>
    <mergeCell ref="B7:B9"/>
    <mergeCell ref="K7:P7"/>
    <mergeCell ref="S7:U8"/>
    <mergeCell ref="O8:P8"/>
    <mergeCell ref="O9:P9"/>
    <mergeCell ref="D7:H7"/>
    <mergeCell ref="I7:I9"/>
    <mergeCell ref="Z8:Z9"/>
    <mergeCell ref="B118:I119"/>
    <mergeCell ref="B120:I121"/>
    <mergeCell ref="B122:I123"/>
    <mergeCell ref="B124:I125"/>
    <mergeCell ref="B126:I127"/>
  </mergeCells>
  <conditionalFormatting sqref="S10:S33">
    <cfRule type="cellIs" dxfId="701" priority="52" stopIfTrue="1" operator="equal">
      <formula>0</formula>
    </cfRule>
  </conditionalFormatting>
  <conditionalFormatting sqref="B10:B31 K10:O31 B51:C66 D10:H31">
    <cfRule type="containsErrors" dxfId="700" priority="54">
      <formula>ISERROR(B10)</formula>
    </cfRule>
  </conditionalFormatting>
  <conditionalFormatting sqref="S10:S33">
    <cfRule type="containsErrors" dxfId="699" priority="48">
      <formula>ISERROR(S10)</formula>
    </cfRule>
  </conditionalFormatting>
  <conditionalFormatting sqref="A10:A31">
    <cfRule type="containsErrors" dxfId="698" priority="42">
      <formula>ISERROR(A10)</formula>
    </cfRule>
    <cfRule type="cellIs" dxfId="697" priority="44" operator="equal">
      <formula>0</formula>
    </cfRule>
  </conditionalFormatting>
  <conditionalFormatting sqref="B10:B31 K10:O31 Q10:Q31 D10:I31 S10:U31 B51:C66 P10:P33">
    <cfRule type="expression" dxfId="696" priority="53">
      <formula>$B10=$Z$4</formula>
    </cfRule>
  </conditionalFormatting>
  <conditionalFormatting sqref="AG10:AH28">
    <cfRule type="containsErrors" dxfId="695" priority="41">
      <formula>ISERROR(AG10)</formula>
    </cfRule>
  </conditionalFormatting>
  <conditionalFormatting sqref="AG10:AH21 AH11:AH28">
    <cfRule type="expression" dxfId="694" priority="40">
      <formula>$B10=$X$4</formula>
    </cfRule>
  </conditionalFormatting>
  <conditionalFormatting sqref="I10:I31">
    <cfRule type="containsErrors" dxfId="693" priority="55">
      <formula>ISERROR(I10)</formula>
    </cfRule>
  </conditionalFormatting>
  <conditionalFormatting sqref="A38">
    <cfRule type="cellIs" dxfId="692" priority="36" operator="equal">
      <formula>0</formula>
    </cfRule>
    <cfRule type="containsErrors" dxfId="691" priority="37">
      <formula>ISERROR(A38)</formula>
    </cfRule>
  </conditionalFormatting>
  <conditionalFormatting sqref="A71">
    <cfRule type="cellIs" dxfId="690" priority="34" operator="equal">
      <formula>0</formula>
    </cfRule>
    <cfRule type="containsErrors" dxfId="689" priority="35">
      <formula>ISERROR(A71)</formula>
    </cfRule>
  </conditionalFormatting>
  <conditionalFormatting sqref="A106">
    <cfRule type="cellIs" dxfId="688" priority="32" operator="equal">
      <formula>0</formula>
    </cfRule>
    <cfRule type="containsErrors" dxfId="687" priority="33">
      <formula>ISERROR(A106)</formula>
    </cfRule>
  </conditionalFormatting>
  <conditionalFormatting sqref="Y3">
    <cfRule type="containsErrors" dxfId="686" priority="29">
      <formula>ISERROR(Y3)</formula>
    </cfRule>
  </conditionalFormatting>
  <conditionalFormatting sqref="Y2">
    <cfRule type="containsErrors" dxfId="685" priority="28">
      <formula>ISERROR(Y2)</formula>
    </cfRule>
  </conditionalFormatting>
  <conditionalFormatting sqref="D8:H8">
    <cfRule type="containsErrors" dxfId="684" priority="25">
      <formula>ISERROR(D8)</formula>
    </cfRule>
  </conditionalFormatting>
  <conditionalFormatting sqref="D9:H9">
    <cfRule type="containsErrors" dxfId="683" priority="27">
      <formula>ISERROR(D9)</formula>
    </cfRule>
  </conditionalFormatting>
  <conditionalFormatting sqref="K8:O8">
    <cfRule type="containsErrors" dxfId="682" priority="24">
      <formula>ISERROR(K8)</formula>
    </cfRule>
  </conditionalFormatting>
  <conditionalFormatting sqref="K9:O9">
    <cfRule type="containsErrors" dxfId="681" priority="56">
      <formula>ISERROR(K9)</formula>
    </cfRule>
  </conditionalFormatting>
  <conditionalFormatting sqref="P32:P33">
    <cfRule type="containsErrors" dxfId="680" priority="21">
      <formula>ISERROR(P32)</formula>
    </cfRule>
  </conditionalFormatting>
  <conditionalFormatting sqref="P10:P33">
    <cfRule type="containsErrors" dxfId="679" priority="19">
      <formula>ISERROR(P10)</formula>
    </cfRule>
    <cfRule type="dataBar" priority="20">
      <dataBar showValue="0">
        <cfvo type="min"/>
        <cfvo type="max"/>
        <color theme="9"/>
      </dataBar>
      <extLst>
        <ext xmlns:x14="http://schemas.microsoft.com/office/spreadsheetml/2009/9/main" uri="{B025F937-C7B1-47D3-B67F-A62EFF666E3E}">
          <x14:id>{7F5F98AA-D30D-4BDE-8662-1A5A9D8ACEE6}</x14:id>
        </ext>
      </extLst>
    </cfRule>
  </conditionalFormatting>
  <conditionalFormatting sqref="AB9:AF9">
    <cfRule type="cellIs" dxfId="678" priority="14" stopIfTrue="1" operator="equal">
      <formula>0</formula>
    </cfRule>
  </conditionalFormatting>
  <conditionalFormatting sqref="Q10:Q31">
    <cfRule type="containsErrors" dxfId="677" priority="13">
      <formula>ISERROR(Q10)</formula>
    </cfRule>
  </conditionalFormatting>
  <conditionalFormatting sqref="D33:I33 K33:O33">
    <cfRule type="containsErrors" dxfId="676" priority="12">
      <formula>ISERROR(D33)</formula>
    </cfRule>
  </conditionalFormatting>
  <conditionalFormatting sqref="T10:T31">
    <cfRule type="containsErrors" dxfId="675" priority="11">
      <formula>ISERROR(T10)</formula>
    </cfRule>
  </conditionalFormatting>
  <conditionalFormatting sqref="T32">
    <cfRule type="containsErrors" dxfId="674" priority="9">
      <formula>ISERROR(T32)</formula>
    </cfRule>
  </conditionalFormatting>
  <conditionalFormatting sqref="T33">
    <cfRule type="containsErrors" dxfId="673" priority="8">
      <formula>ISERROR(T33)</formula>
    </cfRule>
  </conditionalFormatting>
  <conditionalFormatting sqref="U10:U31">
    <cfRule type="containsErrors" dxfId="672" priority="7">
      <formula>ISERROR(U10)</formula>
    </cfRule>
  </conditionalFormatting>
  <conditionalFormatting sqref="U32">
    <cfRule type="containsErrors" dxfId="671" priority="5">
      <formula>ISERROR(U32)</formula>
    </cfRule>
  </conditionalFormatting>
  <conditionalFormatting sqref="U33">
    <cfRule type="containsErrors" dxfId="670" priority="4">
      <formula>ISERROR(U33)</formula>
    </cfRule>
  </conditionalFormatting>
  <conditionalFormatting sqref="Z3:AD3">
    <cfRule type="containsErrors" dxfId="669" priority="3">
      <formula>ISERROR(Z3)</formula>
    </cfRule>
  </conditionalFormatting>
  <conditionalFormatting sqref="Z2:AD2">
    <cfRule type="containsErrors" dxfId="668" priority="2">
      <formula>ISERROR(Z2)</formula>
    </cfRule>
  </conditionalFormatting>
  <conditionalFormatting sqref="A149:A181">
    <cfRule type="containsErrors" dxfId="667" priority="1">
      <formula>ISERROR(A149)</formula>
    </cfRule>
  </conditionalFormatting>
  <hyperlinks>
    <hyperlink ref="B112:H113" location="IDACI!A1" display="IDACI" xr:uid="{3A7F208D-E375-4ED4-BF2C-39054BA3F01C}"/>
    <hyperlink ref="B136:I137" location="ROSGO!A1" display="Child Arrangement &amp; Special Guardianship Orders" xr:uid="{472FADBA-708E-4007-BC71-4C28C22A5A1C}"/>
    <hyperlink ref="B116:G117" location="EH_Referrals!A1" display="Early Help Referrals" xr:uid="{CDEAED14-5E52-49E5-A322-4BDFF956BEA8}"/>
    <hyperlink ref="B136:E137" location="ROSGO!A1" display="Child Arrangement &amp; Special Guardianship Orders" xr:uid="{900B942A-5127-4EFD-802E-94E0C25E324E}"/>
    <hyperlink ref="B116:E117" location="EH_Referrals!A1" display="Early Help Referrals" xr:uid="{94A56AC8-D72E-4294-A36D-8F806A121EBA}"/>
    <hyperlink ref="B114:D115" location="IDACI!A1" display="IDACI" xr:uid="{87113ACB-0C44-4310-8B02-B75A8DD60141}"/>
    <hyperlink ref="B110:D111" location="Indicators!A1" display="Indicators" xr:uid="{3FBCF934-741A-4ABE-B99E-DA48CD1E98C4}"/>
    <hyperlink ref="B138:D139" location="New_Ceased_LAC!A1" display="New/ Ceased Looked After Children" xr:uid="{1C28B8A1-925D-4487-9B48-F5FE20D21AC6}"/>
    <hyperlink ref="B142:D143" location="Care_Leavers!A1" display="Care Leavers" xr:uid="{304AE14C-2EDF-466D-8EE8-C0AFE27033D6}"/>
    <hyperlink ref="B146:D147" location="Offending!A1" display="Offending" xr:uid="{649BA48A-604D-4D0B-ACEA-34FAA2A83F4B}"/>
    <hyperlink ref="B144:D145" location="EHCP!A1" display="Education Health and Care Plans (EHCP)" xr:uid="{B5D1B002-315A-4BDC-B87F-A30A1F930743}"/>
    <hyperlink ref="B112:B113" location="Coverage!A1" display="Participating LA's" xr:uid="{68C24FC5-F931-404E-B778-22DC641F785C}"/>
    <hyperlink ref="B114:B115" location="IDACI!A1" display="IDACI" xr:uid="{F099027A-DA48-4271-9870-C21E843654B7}"/>
    <hyperlink ref="B140:B141" location="Adoption!A1" display="Adoption" xr:uid="{2BA08510-37E6-4D8F-9CB9-9A9F0401732C}"/>
    <hyperlink ref="B136:B137" location="'Looked After Children'!A1" display="Looked After Children" xr:uid="{9AC560B7-BCD0-4D7F-BD4F-FA9AFC5A698F}"/>
    <hyperlink ref="B134:B135" location="'Court Applications'!A1" display="Court Applications" xr:uid="{5BB79785-9003-40A5-A1BA-C9CD251F7353}"/>
    <hyperlink ref="B132:B133" location="'Child Protection Plans'!A1" display="Child Protection Plans" xr:uid="{0AAD7F46-8478-463D-AF87-44D8AF1C8209}"/>
    <hyperlink ref="B130:B131" location="'Initial CP Conferences'!A1" display="Initial Child Protection Conferences" xr:uid="{D3BDF16A-7540-4290-8069-9A7919F2D48F}"/>
    <hyperlink ref="B128:B129" location="'Section 47 Enquiries'!A1" display="Section 47 Enquiries" xr:uid="{6C96AE6F-3911-4CFC-8C33-7D89D615B44C}"/>
    <hyperlink ref="B126:B127" location="'Children in Need'!A1" display="Children in Need" xr:uid="{0424A95D-705C-4C5C-931F-805D643F8FCB}"/>
    <hyperlink ref="B124:B125" location="Assessments!A1" display="Assessments" xr:uid="{92B3A0FB-0818-41BB-9BC0-EF4FFF8B9D1D}"/>
    <hyperlink ref="B122:B123" location="'Re-referrals'!A1" display="Re-referrals" xr:uid="{A423DFC2-3AB4-4A58-A324-33A38802FCAB}"/>
    <hyperlink ref="B120:B121" location="Referral_Source!A1" display="Referral Source" xr:uid="{02F1BBDF-F4A8-4221-AD38-CBCE8E4ECD80}"/>
    <hyperlink ref="B118:B119" location="Referrals!A1" display="Referrals" xr:uid="{CD7C4E8C-3BB3-4733-A945-4CD14FE35777}"/>
    <hyperlink ref="B116:B117" location="Population!A1" display="Population" xr:uid="{6A065E7F-8E46-4419-8E85-E9FE914AAA93}"/>
    <hyperlink ref="B114:C115" location="IDACI!A1" display="IDACI" xr:uid="{E1B4FD43-0E86-4EA4-A55A-4158891D4639}"/>
    <hyperlink ref="B110:B111" location="Coverage!A1" display="Participating LA's" xr:uid="{EB2C8A9C-248E-4BC9-A65B-79AAB70A4055}"/>
    <hyperlink ref="B110:C111" location="Indicators!A1" display="Indicators" xr:uid="{ADAC7AF9-15C8-4550-9001-0D1DE514F33C}"/>
    <hyperlink ref="B142:B143" location="'Looked After Children'!A1" display="Looked After Children" xr:uid="{6B322B85-9F3B-4869-9794-7689B5877BAD}"/>
    <hyperlink ref="B138:B139" location="'Court Applications'!A1" display="Court Applications" xr:uid="{F17B84B6-636E-4E00-A3C7-81A6657A27FD}"/>
    <hyperlink ref="B138:C139" location="New_Ceased_LAC!A1" display="New/ Ceased Looked After Children" xr:uid="{C29405B6-0DE3-4554-9A1D-DCC691790189}"/>
    <hyperlink ref="B142:C143" location="Care_Leavers!A1" display="Care Leavers" xr:uid="{13E6941E-2CC1-4AA1-BD1E-62C331CD9B3A}"/>
    <hyperlink ref="B145:B147" location="Adoption!A1" display="Adoption" xr:uid="{8DAEC9DC-E7FC-4314-A82A-413C6890BB25}"/>
    <hyperlink ref="B146:B147" location="'Looked After Children'!A1" display="Looked After Children" xr:uid="{AA55AA4B-5509-4929-984E-0D71067819C4}"/>
    <hyperlink ref="B146:C147" location="Offending!A1" display="Offending" xr:uid="{B458197F-B9B5-406F-A113-FA31B8CE98EA}"/>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8" max="18" man="1"/>
    <brk id="71" max="20" man="1"/>
  </rowBreaks>
  <ignoredErrors>
    <ignoredError sqref="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macro="[0]!CheckBox1_Click" altText="">
                <anchor>
                  <from>
                    <xdr:col>23</xdr:col>
                    <xdr:colOff>76200</xdr:colOff>
                    <xdr:row>39</xdr:row>
                    <xdr:rowOff>38100</xdr:rowOff>
                  </from>
                  <to>
                    <xdr:col>36</xdr:col>
                    <xdr:colOff>47625</xdr:colOff>
                    <xdr:row>41</xdr:row>
                    <xdr:rowOff>19050</xdr:rowOff>
                  </to>
                </anchor>
              </controlPr>
            </control>
          </mc:Choice>
        </mc:AlternateContent>
        <mc:AlternateContent xmlns:mc="http://schemas.openxmlformats.org/markup-compatibility/2006">
          <mc:Choice Requires="x14">
            <control shapeId="97282" r:id="rId5" name="Check Box 2">
              <controlPr defaultSize="0" autoFill="0" autoLine="0" autoPict="0" macro="[0]!CheckBox1_Click" altText="">
                <anchor>
                  <from>
                    <xdr:col>23</xdr:col>
                    <xdr:colOff>76200</xdr:colOff>
                    <xdr:row>40</xdr:row>
                    <xdr:rowOff>161925</xdr:rowOff>
                  </from>
                  <to>
                    <xdr:col>36</xdr:col>
                    <xdr:colOff>47625</xdr:colOff>
                    <xdr:row>42</xdr:row>
                    <xdr:rowOff>19050</xdr:rowOff>
                  </to>
                </anchor>
              </controlPr>
            </control>
          </mc:Choice>
        </mc:AlternateContent>
        <mc:AlternateContent xmlns:mc="http://schemas.openxmlformats.org/markup-compatibility/2006">
          <mc:Choice Requires="x14">
            <control shapeId="97283" r:id="rId6" name="Check Box 3">
              <controlPr defaultSize="0" autoFill="0" autoLine="0" autoPict="0" macro="[0]!CheckBox1_Click" altText="">
                <anchor>
                  <from>
                    <xdr:col>23</xdr:col>
                    <xdr:colOff>76200</xdr:colOff>
                    <xdr:row>41</xdr:row>
                    <xdr:rowOff>161925</xdr:rowOff>
                  </from>
                  <to>
                    <xdr:col>36</xdr:col>
                    <xdr:colOff>47625</xdr:colOff>
                    <xdr:row>43</xdr:row>
                    <xdr:rowOff>19050</xdr:rowOff>
                  </to>
                </anchor>
              </controlPr>
            </control>
          </mc:Choice>
        </mc:AlternateContent>
        <mc:AlternateContent xmlns:mc="http://schemas.openxmlformats.org/markup-compatibility/2006">
          <mc:Choice Requires="x14">
            <control shapeId="97284" r:id="rId7" name="Check Box 4">
              <controlPr defaultSize="0" autoFill="0" autoLine="0" autoPict="0" macro="[0]!CheckBox1_Click" altText="">
                <anchor>
                  <from>
                    <xdr:col>23</xdr:col>
                    <xdr:colOff>76200</xdr:colOff>
                    <xdr:row>42</xdr:row>
                    <xdr:rowOff>161925</xdr:rowOff>
                  </from>
                  <to>
                    <xdr:col>36</xdr:col>
                    <xdr:colOff>47625</xdr:colOff>
                    <xdr:row>44</xdr:row>
                    <xdr:rowOff>19050</xdr:rowOff>
                  </to>
                </anchor>
              </controlPr>
            </control>
          </mc:Choice>
        </mc:AlternateContent>
        <mc:AlternateContent xmlns:mc="http://schemas.openxmlformats.org/markup-compatibility/2006">
          <mc:Choice Requires="x14">
            <control shapeId="97285" r:id="rId8" name="Check Box 5">
              <controlPr defaultSize="0" autoFill="0" autoLine="0" autoPict="0" macro="[0]!CheckBox1_Click" altText="">
                <anchor>
                  <from>
                    <xdr:col>23</xdr:col>
                    <xdr:colOff>76200</xdr:colOff>
                    <xdr:row>43</xdr:row>
                    <xdr:rowOff>161925</xdr:rowOff>
                  </from>
                  <to>
                    <xdr:col>36</xdr:col>
                    <xdr:colOff>47625</xdr:colOff>
                    <xdr:row>45</xdr:row>
                    <xdr:rowOff>19050</xdr:rowOff>
                  </to>
                </anchor>
              </controlPr>
            </control>
          </mc:Choice>
        </mc:AlternateContent>
        <mc:AlternateContent xmlns:mc="http://schemas.openxmlformats.org/markup-compatibility/2006">
          <mc:Choice Requires="x14">
            <control shapeId="97286" r:id="rId9" name="Check Box 6">
              <controlPr defaultSize="0" autoFill="0" autoLine="0" autoPict="0" macro="[0]!CheckBox1_Click" altText="">
                <anchor>
                  <from>
                    <xdr:col>23</xdr:col>
                    <xdr:colOff>76200</xdr:colOff>
                    <xdr:row>44</xdr:row>
                    <xdr:rowOff>161925</xdr:rowOff>
                  </from>
                  <to>
                    <xdr:col>36</xdr:col>
                    <xdr:colOff>47625</xdr:colOff>
                    <xdr:row>46</xdr:row>
                    <xdr:rowOff>19050</xdr:rowOff>
                  </to>
                </anchor>
              </controlPr>
            </control>
          </mc:Choice>
        </mc:AlternateContent>
        <mc:AlternateContent xmlns:mc="http://schemas.openxmlformats.org/markup-compatibility/2006">
          <mc:Choice Requires="x14">
            <control shapeId="97287" r:id="rId10" name="Check Box 7">
              <controlPr defaultSize="0" autoFill="0" autoLine="0" autoPict="0" macro="[0]!CheckBox1_Click" altText="">
                <anchor>
                  <from>
                    <xdr:col>23</xdr:col>
                    <xdr:colOff>76200</xdr:colOff>
                    <xdr:row>45</xdr:row>
                    <xdr:rowOff>161925</xdr:rowOff>
                  </from>
                  <to>
                    <xdr:col>36</xdr:col>
                    <xdr:colOff>47625</xdr:colOff>
                    <xdr:row>47</xdr:row>
                    <xdr:rowOff>19050</xdr:rowOff>
                  </to>
                </anchor>
              </controlPr>
            </control>
          </mc:Choice>
        </mc:AlternateContent>
        <mc:AlternateContent xmlns:mc="http://schemas.openxmlformats.org/markup-compatibility/2006">
          <mc:Choice Requires="x14">
            <control shapeId="97288" r:id="rId11" name="Check Box 8">
              <controlPr defaultSize="0" autoFill="0" autoLine="0" autoPict="0" macro="[0]!CheckBox1_Click" altText="">
                <anchor>
                  <from>
                    <xdr:col>23</xdr:col>
                    <xdr:colOff>76200</xdr:colOff>
                    <xdr:row>46</xdr:row>
                    <xdr:rowOff>161925</xdr:rowOff>
                  </from>
                  <to>
                    <xdr:col>36</xdr:col>
                    <xdr:colOff>47625</xdr:colOff>
                    <xdr:row>48</xdr:row>
                    <xdr:rowOff>19050</xdr:rowOff>
                  </to>
                </anchor>
              </controlPr>
            </control>
          </mc:Choice>
        </mc:AlternateContent>
        <mc:AlternateContent xmlns:mc="http://schemas.openxmlformats.org/markup-compatibility/2006">
          <mc:Choice Requires="x14">
            <control shapeId="97289" r:id="rId12" name="Check Box 9">
              <controlPr defaultSize="0" autoFill="0" autoLine="0" autoPict="0" macro="[0]!CheckBox1_Click" altText="">
                <anchor>
                  <from>
                    <xdr:col>23</xdr:col>
                    <xdr:colOff>76200</xdr:colOff>
                    <xdr:row>47</xdr:row>
                    <xdr:rowOff>161925</xdr:rowOff>
                  </from>
                  <to>
                    <xdr:col>36</xdr:col>
                    <xdr:colOff>47625</xdr:colOff>
                    <xdr:row>49</xdr:row>
                    <xdr:rowOff>19050</xdr:rowOff>
                  </to>
                </anchor>
              </controlPr>
            </control>
          </mc:Choice>
        </mc:AlternateContent>
        <mc:AlternateContent xmlns:mc="http://schemas.openxmlformats.org/markup-compatibility/2006">
          <mc:Choice Requires="x14">
            <control shapeId="97290" r:id="rId13" name="Check Box 10">
              <controlPr defaultSize="0" autoFill="0" autoLine="0" autoPict="0" macro="[0]!CheckBox1_Click" altText="">
                <anchor>
                  <from>
                    <xdr:col>23</xdr:col>
                    <xdr:colOff>76200</xdr:colOff>
                    <xdr:row>48</xdr:row>
                    <xdr:rowOff>161925</xdr:rowOff>
                  </from>
                  <to>
                    <xdr:col>36</xdr:col>
                    <xdr:colOff>47625</xdr:colOff>
                    <xdr:row>50</xdr:row>
                    <xdr:rowOff>19050</xdr:rowOff>
                  </to>
                </anchor>
              </controlPr>
            </control>
          </mc:Choice>
        </mc:AlternateContent>
        <mc:AlternateContent xmlns:mc="http://schemas.openxmlformats.org/markup-compatibility/2006">
          <mc:Choice Requires="x14">
            <control shapeId="97291" r:id="rId14" name="Check Box 11">
              <controlPr defaultSize="0" autoFill="0" autoLine="0" autoPict="0" macro="[0]!CheckBox1_Click" altText="">
                <anchor>
                  <from>
                    <xdr:col>23</xdr:col>
                    <xdr:colOff>76200</xdr:colOff>
                    <xdr:row>49</xdr:row>
                    <xdr:rowOff>161925</xdr:rowOff>
                  </from>
                  <to>
                    <xdr:col>36</xdr:col>
                    <xdr:colOff>47625</xdr:colOff>
                    <xdr:row>51</xdr:row>
                    <xdr:rowOff>19050</xdr:rowOff>
                  </to>
                </anchor>
              </controlPr>
            </control>
          </mc:Choice>
        </mc:AlternateContent>
        <mc:AlternateContent xmlns:mc="http://schemas.openxmlformats.org/markup-compatibility/2006">
          <mc:Choice Requires="x14">
            <control shapeId="97292" r:id="rId15" name="Check Box 12">
              <controlPr defaultSize="0" autoFill="0" autoLine="0" autoPict="0" macro="[0]!CheckBox1_Click" altText="">
                <anchor>
                  <from>
                    <xdr:col>23</xdr:col>
                    <xdr:colOff>76200</xdr:colOff>
                    <xdr:row>50</xdr:row>
                    <xdr:rowOff>161925</xdr:rowOff>
                  </from>
                  <to>
                    <xdr:col>36</xdr:col>
                    <xdr:colOff>47625</xdr:colOff>
                    <xdr:row>52</xdr:row>
                    <xdr:rowOff>19050</xdr:rowOff>
                  </to>
                </anchor>
              </controlPr>
            </control>
          </mc:Choice>
        </mc:AlternateContent>
        <mc:AlternateContent xmlns:mc="http://schemas.openxmlformats.org/markup-compatibility/2006">
          <mc:Choice Requires="x14">
            <control shapeId="97293" r:id="rId16" name="Check Box 13">
              <controlPr defaultSize="0" autoFill="0" autoLine="0" autoPict="0" macro="[0]!CheckBox1_Click" altText="">
                <anchor>
                  <from>
                    <xdr:col>23</xdr:col>
                    <xdr:colOff>76200</xdr:colOff>
                    <xdr:row>51</xdr:row>
                    <xdr:rowOff>161925</xdr:rowOff>
                  </from>
                  <to>
                    <xdr:col>36</xdr:col>
                    <xdr:colOff>47625</xdr:colOff>
                    <xdr:row>53</xdr:row>
                    <xdr:rowOff>19050</xdr:rowOff>
                  </to>
                </anchor>
              </controlPr>
            </control>
          </mc:Choice>
        </mc:AlternateContent>
        <mc:AlternateContent xmlns:mc="http://schemas.openxmlformats.org/markup-compatibility/2006">
          <mc:Choice Requires="x14">
            <control shapeId="97294" r:id="rId17" name="Check Box 14">
              <controlPr defaultSize="0" autoFill="0" autoLine="0" autoPict="0" macro="[0]!CheckBox1_Click" altText="">
                <anchor>
                  <from>
                    <xdr:col>23</xdr:col>
                    <xdr:colOff>76200</xdr:colOff>
                    <xdr:row>52</xdr:row>
                    <xdr:rowOff>161925</xdr:rowOff>
                  </from>
                  <to>
                    <xdr:col>36</xdr:col>
                    <xdr:colOff>47625</xdr:colOff>
                    <xdr:row>54</xdr:row>
                    <xdr:rowOff>19050</xdr:rowOff>
                  </to>
                </anchor>
              </controlPr>
            </control>
          </mc:Choice>
        </mc:AlternateContent>
        <mc:AlternateContent xmlns:mc="http://schemas.openxmlformats.org/markup-compatibility/2006">
          <mc:Choice Requires="x14">
            <control shapeId="97295" r:id="rId18" name="Check Box 15">
              <controlPr defaultSize="0" autoFill="0" autoLine="0" autoPict="0" macro="[0]!CheckBox1_Click" altText="">
                <anchor>
                  <from>
                    <xdr:col>23</xdr:col>
                    <xdr:colOff>76200</xdr:colOff>
                    <xdr:row>53</xdr:row>
                    <xdr:rowOff>161925</xdr:rowOff>
                  </from>
                  <to>
                    <xdr:col>36</xdr:col>
                    <xdr:colOff>47625</xdr:colOff>
                    <xdr:row>55</xdr:row>
                    <xdr:rowOff>19050</xdr:rowOff>
                  </to>
                </anchor>
              </controlPr>
            </control>
          </mc:Choice>
        </mc:AlternateContent>
        <mc:AlternateContent xmlns:mc="http://schemas.openxmlformats.org/markup-compatibility/2006">
          <mc:Choice Requires="x14">
            <control shapeId="97296" r:id="rId19" name="Check Box 16">
              <controlPr defaultSize="0" autoFill="0" autoLine="0" autoPict="0" macro="[0]!CheckBox1_Click" altText="">
                <anchor>
                  <from>
                    <xdr:col>23</xdr:col>
                    <xdr:colOff>76200</xdr:colOff>
                    <xdr:row>54</xdr:row>
                    <xdr:rowOff>161925</xdr:rowOff>
                  </from>
                  <to>
                    <xdr:col>36</xdr:col>
                    <xdr:colOff>47625</xdr:colOff>
                    <xdr:row>56</xdr:row>
                    <xdr:rowOff>19050</xdr:rowOff>
                  </to>
                </anchor>
              </controlPr>
            </control>
          </mc:Choice>
        </mc:AlternateContent>
        <mc:AlternateContent xmlns:mc="http://schemas.openxmlformats.org/markup-compatibility/2006">
          <mc:Choice Requires="x14">
            <control shapeId="97297" r:id="rId20" name="Check Box 17">
              <controlPr defaultSize="0" autoFill="0" autoLine="0" autoPict="0" macro="[0]!CheckBox1_Click" altText="">
                <anchor>
                  <from>
                    <xdr:col>23</xdr:col>
                    <xdr:colOff>76200</xdr:colOff>
                    <xdr:row>57</xdr:row>
                    <xdr:rowOff>161925</xdr:rowOff>
                  </from>
                  <to>
                    <xdr:col>36</xdr:col>
                    <xdr:colOff>47625</xdr:colOff>
                    <xdr:row>59</xdr:row>
                    <xdr:rowOff>19050</xdr:rowOff>
                  </to>
                </anchor>
              </controlPr>
            </control>
          </mc:Choice>
        </mc:AlternateContent>
        <mc:AlternateContent xmlns:mc="http://schemas.openxmlformats.org/markup-compatibility/2006">
          <mc:Choice Requires="x14">
            <control shapeId="97298" r:id="rId21" name="Check Box 18">
              <controlPr defaultSize="0" autoFill="0" autoLine="0" autoPict="0" macro="[0]!CheckBox1_Click" altText="">
                <anchor>
                  <from>
                    <xdr:col>23</xdr:col>
                    <xdr:colOff>76200</xdr:colOff>
                    <xdr:row>58</xdr:row>
                    <xdr:rowOff>161925</xdr:rowOff>
                  </from>
                  <to>
                    <xdr:col>36</xdr:col>
                    <xdr:colOff>47625</xdr:colOff>
                    <xdr:row>60</xdr:row>
                    <xdr:rowOff>19050</xdr:rowOff>
                  </to>
                </anchor>
              </controlPr>
            </control>
          </mc:Choice>
        </mc:AlternateContent>
        <mc:AlternateContent xmlns:mc="http://schemas.openxmlformats.org/markup-compatibility/2006">
          <mc:Choice Requires="x14">
            <control shapeId="97299" r:id="rId22" name="Check Box 19">
              <controlPr defaultSize="0" autoFill="0" autoLine="0" autoPict="0" macro="[0]!CheckBox1_Click" altText="">
                <anchor>
                  <from>
                    <xdr:col>23</xdr:col>
                    <xdr:colOff>76200</xdr:colOff>
                    <xdr:row>59</xdr:row>
                    <xdr:rowOff>161925</xdr:rowOff>
                  </from>
                  <to>
                    <xdr:col>36</xdr:col>
                    <xdr:colOff>47625</xdr:colOff>
                    <xdr:row>61</xdr:row>
                    <xdr:rowOff>19050</xdr:rowOff>
                  </to>
                </anchor>
              </controlPr>
            </control>
          </mc:Choice>
        </mc:AlternateContent>
        <mc:AlternateContent xmlns:mc="http://schemas.openxmlformats.org/markup-compatibility/2006">
          <mc:Choice Requires="x14">
            <control shapeId="97300" r:id="rId23" name="Check Box 20">
              <controlPr defaultSize="0" autoFill="0" autoLine="0" autoPict="0" macro="[0]!CheckBox1_Click" altText="">
                <anchor>
                  <from>
                    <xdr:col>23</xdr:col>
                    <xdr:colOff>76200</xdr:colOff>
                    <xdr:row>60</xdr:row>
                    <xdr:rowOff>161925</xdr:rowOff>
                  </from>
                  <to>
                    <xdr:col>36</xdr:col>
                    <xdr:colOff>47625</xdr:colOff>
                    <xdr:row>62</xdr:row>
                    <xdr:rowOff>19050</xdr:rowOff>
                  </to>
                </anchor>
              </controlPr>
            </control>
          </mc:Choice>
        </mc:AlternateContent>
        <mc:AlternateContent xmlns:mc="http://schemas.openxmlformats.org/markup-compatibility/2006">
          <mc:Choice Requires="x14">
            <control shapeId="97301" r:id="rId24" name="Check Box 21">
              <controlPr defaultSize="0" autoFill="0" autoLine="0" autoPict="0" macro="[0]!CheckBox1_Click" altText="">
                <anchor>
                  <from>
                    <xdr:col>23</xdr:col>
                    <xdr:colOff>76200</xdr:colOff>
                    <xdr:row>61</xdr:row>
                    <xdr:rowOff>161925</xdr:rowOff>
                  </from>
                  <to>
                    <xdr:col>36</xdr:col>
                    <xdr:colOff>47625</xdr:colOff>
                    <xdr:row>63</xdr:row>
                    <xdr:rowOff>19050</xdr:rowOff>
                  </to>
                </anchor>
              </controlPr>
            </control>
          </mc:Choice>
        </mc:AlternateContent>
        <mc:AlternateContent xmlns:mc="http://schemas.openxmlformats.org/markup-compatibility/2006">
          <mc:Choice Requires="x14">
            <control shapeId="97302" r:id="rId25" name="Check Box 22">
              <controlPr defaultSize="0" autoFill="0" autoLine="0" autoPict="0" macro="[0]!CheckBox1_Click" altText="">
                <anchor>
                  <from>
                    <xdr:col>23</xdr:col>
                    <xdr:colOff>76200</xdr:colOff>
                    <xdr:row>55</xdr:row>
                    <xdr:rowOff>161925</xdr:rowOff>
                  </from>
                  <to>
                    <xdr:col>36</xdr:col>
                    <xdr:colOff>47625</xdr:colOff>
                    <xdr:row>57</xdr:row>
                    <xdr:rowOff>19050</xdr:rowOff>
                  </to>
                </anchor>
              </controlPr>
            </control>
          </mc:Choice>
        </mc:AlternateContent>
        <mc:AlternateContent xmlns:mc="http://schemas.openxmlformats.org/markup-compatibility/2006">
          <mc:Choice Requires="x14">
            <control shapeId="97303" r:id="rId26" name="Check Box 23">
              <controlPr defaultSize="0" autoFill="0" autoLine="0" autoPict="0" macro="[0]!CheckBox1_Click" altText="">
                <anchor>
                  <from>
                    <xdr:col>23</xdr:col>
                    <xdr:colOff>76200</xdr:colOff>
                    <xdr:row>56</xdr:row>
                    <xdr:rowOff>161925</xdr:rowOff>
                  </from>
                  <to>
                    <xdr:col>36</xdr:col>
                    <xdr:colOff>47625</xdr:colOff>
                    <xdr:row>58</xdr:row>
                    <xdr:rowOff>19050</xdr:rowOff>
                  </to>
                </anchor>
              </controlPr>
            </control>
          </mc:Choice>
        </mc:AlternateContent>
        <mc:AlternateContent xmlns:mc="http://schemas.openxmlformats.org/markup-compatibility/2006">
          <mc:Choice Requires="x14">
            <control shapeId="97304" r:id="rId27" name="Check Box 24">
              <controlPr defaultSize="0" autoFill="0" autoLine="0" autoPict="0" macro="[0]!CheckBox1_Click" altText="">
                <anchor>
                  <from>
                    <xdr:col>23</xdr:col>
                    <xdr:colOff>76200</xdr:colOff>
                    <xdr:row>62</xdr:row>
                    <xdr:rowOff>161925</xdr:rowOff>
                  </from>
                  <to>
                    <xdr:col>36</xdr:col>
                    <xdr:colOff>47625</xdr:colOff>
                    <xdr:row>64</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7F5F98AA-D30D-4BDE-8662-1A5A9D8ACEE6}">
            <x14:dataBar minLength="0" maxLength="100" gradient="0" negativeBarColorSameAsPositive="1">
              <x14:cfvo type="autoMin"/>
              <x14:cfvo type="autoMax"/>
              <x14:axisColor rgb="FF000000"/>
            </x14:dataBar>
          </x14:cfRule>
          <xm:sqref>P10:P33</xm:sqref>
        </x14:conditionalFormatting>
      </x14:conditionalFormatting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5">
    <tabColor rgb="FFFFC000"/>
  </sheetPr>
  <dimension ref="A1:BN346"/>
  <sheetViews>
    <sheetView showRowColHeaders="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8" width="6.85546875" style="74" customWidth="1"/>
    <col min="9" max="9" width="7.42578125" style="74" customWidth="1"/>
    <col min="10" max="10" width="1.42578125" style="88" customWidth="1"/>
    <col min="11" max="15" width="6.85546875" style="74" customWidth="1"/>
    <col min="16" max="16" width="7.140625" style="74" customWidth="1"/>
    <col min="17" max="17" width="7.42578125" style="74" customWidth="1"/>
    <col min="18" max="18" width="1.42578125" style="74" customWidth="1"/>
    <col min="19" max="19" width="5.7109375" style="74" customWidth="1"/>
    <col min="20" max="20" width="8.28515625" style="74" customWidth="1"/>
    <col min="21" max="21" width="7.7109375" style="74" customWidth="1"/>
    <col min="22" max="22" width="2.140625" style="74" customWidth="1"/>
    <col min="23" max="23" width="6.42578125" style="80" customWidth="1"/>
    <col min="24" max="24" width="4.85546875" style="80" customWidth="1"/>
    <col min="25" max="25" width="17.85546875" style="81" hidden="1" customWidth="1"/>
    <col min="26" max="26" width="19.42578125" style="81" hidden="1" customWidth="1"/>
    <col min="27" max="27" width="19.85546875" style="81" hidden="1" customWidth="1"/>
    <col min="28" max="29" width="16.5703125" style="81" hidden="1" customWidth="1"/>
    <col min="30" max="31" width="8.5703125" style="81" hidden="1" customWidth="1"/>
    <col min="32" max="32" width="7.140625" style="81" hidden="1" customWidth="1"/>
    <col min="33" max="33" width="17" style="81" hidden="1" customWidth="1"/>
    <col min="34" max="34" width="5.5703125" style="81" hidden="1" customWidth="1"/>
    <col min="35" max="35" width="4.85546875" style="81" hidden="1" customWidth="1"/>
    <col min="36" max="36" width="5.5703125" style="74" hidden="1" customWidth="1"/>
    <col min="37" max="37" width="31.5703125" style="74" customWidth="1"/>
    <col min="38" max="38" width="17" style="74" hidden="1" customWidth="1"/>
    <col min="39" max="43" width="13.5703125" style="74" hidden="1" customWidth="1"/>
    <col min="44" max="54" width="9.140625" style="74" hidden="1" customWidth="1"/>
    <col min="55" max="55" width="0" style="74" hidden="1" customWidth="1"/>
    <col min="56" max="16384" width="9.140625" style="74"/>
  </cols>
  <sheetData>
    <row r="1" spans="1:50" ht="18.75" customHeight="1" thickBot="1" x14ac:dyDescent="0.25">
      <c r="A1" s="112"/>
      <c r="B1" s="113"/>
      <c r="C1" s="113"/>
      <c r="D1" s="113"/>
      <c r="E1" s="113"/>
      <c r="F1" s="113"/>
      <c r="G1" s="113"/>
      <c r="H1" s="113"/>
      <c r="I1" s="113"/>
      <c r="J1" s="114"/>
      <c r="K1" s="113"/>
      <c r="L1" s="113"/>
      <c r="M1" s="113"/>
      <c r="N1" s="113"/>
      <c r="O1" s="113"/>
      <c r="P1" s="113"/>
      <c r="Q1" s="113"/>
      <c r="R1" s="113"/>
      <c r="S1" s="113"/>
      <c r="T1" s="113"/>
      <c r="U1" s="113"/>
      <c r="V1" s="115"/>
      <c r="W1" s="275"/>
      <c r="X1" s="155"/>
      <c r="Y1" s="180"/>
      <c r="Z1" s="939" t="str">
        <f>IF(Sheet1!$C$3="Annual"," the year ending 31st March"," the quarter")</f>
        <v xml:space="preserve"> the year ending 31st March</v>
      </c>
      <c r="AA1" s="180"/>
      <c r="AB1" s="180"/>
      <c r="AC1" s="180"/>
      <c r="AD1" s="180"/>
      <c r="AE1" s="180"/>
      <c r="AF1" s="180"/>
      <c r="AG1" s="180"/>
      <c r="AH1" s="180"/>
      <c r="AI1" s="180"/>
      <c r="AJ1" s="181"/>
      <c r="AK1" s="156"/>
    </row>
    <row r="2" spans="1:50" ht="18.75" customHeight="1" x14ac:dyDescent="0.2">
      <c r="A2" s="118"/>
      <c r="B2" s="128" t="s">
        <v>92</v>
      </c>
      <c r="C2" s="9"/>
      <c r="D2" s="9"/>
      <c r="E2" s="9"/>
      <c r="F2" s="9"/>
      <c r="G2" s="9"/>
      <c r="H2" s="9"/>
      <c r="I2" s="9"/>
      <c r="J2" s="12"/>
      <c r="K2" s="9"/>
      <c r="L2" s="9"/>
      <c r="M2" s="9"/>
      <c r="N2" s="9"/>
      <c r="O2" s="9"/>
      <c r="P2" s="9"/>
      <c r="Q2" s="9"/>
      <c r="R2" s="9"/>
      <c r="S2" s="9"/>
      <c r="T2" s="9"/>
      <c r="U2" s="9"/>
      <c r="V2" s="117"/>
      <c r="W2" s="161"/>
      <c r="X2" s="150"/>
      <c r="Y2" s="866">
        <f>IF(Sheet1!$C$3="Annual",1,4)</f>
        <v>1</v>
      </c>
      <c r="Z2" s="800" t="str">
        <f>IF(Sheet1!$C$3="Annual","",Sheet1!$D$28)</f>
        <v/>
      </c>
      <c r="AA2" s="801" t="str">
        <f>IF(Sheet1!$C$3="Annual","",Sheet1!$E$28)</f>
        <v/>
      </c>
      <c r="AB2" s="801" t="str">
        <f>IF(Sheet1!$C$3="Annual","",Sheet1!$F$28)</f>
        <v/>
      </c>
      <c r="AC2" s="801" t="str">
        <f>IF(Sheet1!$C$3="Annual","",Sheet1!$G$28)</f>
        <v/>
      </c>
      <c r="AD2" s="802" t="str">
        <f>IF(Sheet1!$C$3="Annual","",Sheet1!$H$28)</f>
        <v/>
      </c>
      <c r="AJ2" s="184"/>
      <c r="AK2" s="157"/>
    </row>
    <row r="3" spans="1:50" ht="18.75" customHeight="1" thickBot="1" x14ac:dyDescent="0.25">
      <c r="A3" s="124"/>
      <c r="B3" s="125"/>
      <c r="C3" s="125"/>
      <c r="D3" s="125"/>
      <c r="E3" s="125"/>
      <c r="F3" s="125"/>
      <c r="G3" s="125"/>
      <c r="H3" s="125"/>
      <c r="I3" s="267"/>
      <c r="J3" s="126"/>
      <c r="K3" s="125"/>
      <c r="L3" s="125"/>
      <c r="M3" s="125"/>
      <c r="N3" s="125"/>
      <c r="O3" s="125"/>
      <c r="P3" s="553"/>
      <c r="Q3" s="125"/>
      <c r="R3" s="125"/>
      <c r="S3" s="125"/>
      <c r="T3" s="267"/>
      <c r="U3" s="125"/>
      <c r="V3" s="127"/>
      <c r="W3" s="161"/>
      <c r="X3" s="150"/>
      <c r="Y3" s="803"/>
      <c r="Z3" s="803" t="str">
        <f>Sheet1!$D$27</f>
        <v>2015-16</v>
      </c>
      <c r="AA3" s="804" t="str">
        <f>Sheet1!$E$27</f>
        <v>2016-17</v>
      </c>
      <c r="AB3" s="804" t="str">
        <f>Sheet1!$F$27</f>
        <v>2017-18</v>
      </c>
      <c r="AC3" s="804" t="str">
        <f>Sheet1!$G$27</f>
        <v>2018-19</v>
      </c>
      <c r="AD3" s="805" t="str">
        <f>Sheet1!$H$27</f>
        <v>2019-20</v>
      </c>
      <c r="AJ3" s="184"/>
      <c r="AK3" s="157"/>
      <c r="AR3" s="74">
        <v>0</v>
      </c>
    </row>
    <row r="4" spans="1:50" ht="11.25" customHeight="1" x14ac:dyDescent="0.2">
      <c r="A4" s="112"/>
      <c r="B4" s="113"/>
      <c r="C4" s="113"/>
      <c r="D4" s="113"/>
      <c r="E4" s="113"/>
      <c r="F4" s="113"/>
      <c r="G4" s="113"/>
      <c r="H4" s="113"/>
      <c r="I4" s="113"/>
      <c r="J4" s="114"/>
      <c r="K4" s="113"/>
      <c r="L4" s="113"/>
      <c r="M4" s="113"/>
      <c r="N4" s="113"/>
      <c r="O4" s="113"/>
      <c r="P4" s="113"/>
      <c r="Q4" s="113"/>
      <c r="R4" s="113"/>
      <c r="S4" s="113"/>
      <c r="T4" s="113"/>
      <c r="U4" s="113"/>
      <c r="V4" s="115"/>
      <c r="W4" s="137"/>
      <c r="X4" s="150"/>
      <c r="Z4" s="186" t="str">
        <f>Home!$D$10</f>
        <v>(none)</v>
      </c>
      <c r="AA4" s="42" t="str">
        <f>"Selected LA- "&amp;Z4</f>
        <v>Selected LA- (none)</v>
      </c>
      <c r="AJ4" s="184"/>
      <c r="AK4" s="157"/>
    </row>
    <row r="5" spans="1:50" s="76" customFormat="1" ht="15" customHeight="1" x14ac:dyDescent="0.2">
      <c r="A5" s="119"/>
      <c r="B5" s="1808" t="str">
        <f>"Children subject to an Initial Child Protection Conference (ICPC) during"&amp;Z1</f>
        <v>Children subject to an Initial Child Protection Conference (ICPC) during the year ending 31st March</v>
      </c>
      <c r="C5" s="1642"/>
      <c r="D5" s="1642"/>
      <c r="E5" s="1642"/>
      <c r="F5" s="1642"/>
      <c r="G5" s="1642"/>
      <c r="H5" s="1642"/>
      <c r="I5" s="1642"/>
      <c r="J5" s="1642"/>
      <c r="K5" s="1642"/>
      <c r="L5" s="1642"/>
      <c r="M5" s="1642"/>
      <c r="N5" s="1642"/>
      <c r="O5" s="906"/>
      <c r="P5" s="906"/>
      <c r="Q5" s="906"/>
      <c r="R5" s="906"/>
      <c r="S5" s="906"/>
      <c r="T5" s="906"/>
      <c r="U5" s="906"/>
      <c r="V5" s="120"/>
      <c r="W5" s="138"/>
      <c r="X5" s="151"/>
      <c r="Y5" s="81"/>
      <c r="Z5" s="188"/>
      <c r="AA5" s="188"/>
      <c r="AB5" s="188"/>
      <c r="AC5" s="188"/>
      <c r="AD5" s="188"/>
      <c r="AE5" s="188"/>
      <c r="AF5" s="188"/>
      <c r="AG5" s="188"/>
      <c r="AH5" s="188"/>
      <c r="AI5" s="188"/>
      <c r="AJ5" s="188"/>
      <c r="AK5" s="158"/>
      <c r="AL5" s="188" t="str">
        <f>CONCATENATE($I$7,"in Number of "&amp;$B2)</f>
        <v>Average Annual Change in Number of Initial CP Conferences</v>
      </c>
      <c r="AR5" s="935" t="s">
        <v>682</v>
      </c>
    </row>
    <row r="6" spans="1:50" ht="13.5" customHeight="1" x14ac:dyDescent="0.2">
      <c r="A6" s="118"/>
      <c r="B6" s="1642"/>
      <c r="C6" s="1642"/>
      <c r="D6" s="1642"/>
      <c r="E6" s="1642"/>
      <c r="F6" s="1642"/>
      <c r="G6" s="1642"/>
      <c r="H6" s="1642"/>
      <c r="I6" s="1642"/>
      <c r="J6" s="1642"/>
      <c r="K6" s="1642"/>
      <c r="L6" s="1642"/>
      <c r="M6" s="1642"/>
      <c r="N6" s="1642"/>
      <c r="O6" s="906"/>
      <c r="P6" s="906"/>
      <c r="Q6" s="906"/>
      <c r="R6" s="906"/>
      <c r="S6" s="906"/>
      <c r="T6" s="906"/>
      <c r="U6" s="906"/>
      <c r="V6" s="117"/>
      <c r="W6" s="137"/>
      <c r="X6" s="150"/>
      <c r="Z6" s="190"/>
      <c r="AJ6" s="184"/>
      <c r="AK6" s="157"/>
    </row>
    <row r="7" spans="1:50" s="87" customFormat="1" ht="12.75" customHeight="1" x14ac:dyDescent="0.2">
      <c r="A7" s="121"/>
      <c r="B7" s="1789" t="s">
        <v>205</v>
      </c>
      <c r="C7" s="85"/>
      <c r="D7" s="1851" t="s">
        <v>88</v>
      </c>
      <c r="E7" s="1911"/>
      <c r="F7" s="1911"/>
      <c r="G7" s="1911"/>
      <c r="H7" s="1912"/>
      <c r="I7" s="1811" t="str">
        <f>"Average "&amp;Sheet1!C3&amp;" Change "</f>
        <v xml:space="preserve">Average Annual Change </v>
      </c>
      <c r="J7" s="96"/>
      <c r="K7" s="1913" t="s">
        <v>89</v>
      </c>
      <c r="L7" s="1914"/>
      <c r="M7" s="1914"/>
      <c r="N7" s="1914"/>
      <c r="O7" s="1914"/>
      <c r="P7" s="1914"/>
      <c r="Q7" s="1744" t="str">
        <f>IF(ISNA(O9),"SE Rank "&amp;O8,"SE Rank "&amp;O9)</f>
        <v>SE Rank 2019-20</v>
      </c>
      <c r="R7" s="70"/>
      <c r="S7" s="1817" t="str">
        <f>"Distance from Expected "&amp;Sheet1!$B$8</f>
        <v>Distance from Expected 2020</v>
      </c>
      <c r="T7" s="1818"/>
      <c r="U7" s="1819"/>
      <c r="V7" s="122"/>
      <c r="W7" s="139"/>
      <c r="X7" s="152"/>
      <c r="Y7" s="202"/>
      <c r="Z7" s="202"/>
      <c r="AB7" s="203" t="s">
        <v>79</v>
      </c>
      <c r="AC7" s="190"/>
      <c r="AD7" s="190"/>
      <c r="AE7" s="199"/>
      <c r="AF7" s="199"/>
      <c r="AG7" s="204" t="s">
        <v>94</v>
      </c>
      <c r="AH7" s="190"/>
      <c r="AI7" s="190"/>
      <c r="AJ7" s="202"/>
      <c r="AK7" s="160"/>
      <c r="AL7" s="575"/>
      <c r="AM7" s="575"/>
      <c r="AN7" s="575"/>
      <c r="AO7" s="575"/>
      <c r="AP7" s="575"/>
      <c r="AQ7" s="74"/>
    </row>
    <row r="8" spans="1:50" s="87" customFormat="1" ht="12.75" customHeight="1" x14ac:dyDescent="0.2">
      <c r="A8" s="292"/>
      <c r="B8" s="1789"/>
      <c r="C8" s="85"/>
      <c r="D8" s="789" t="str">
        <f>Sheet1!$D$27</f>
        <v>2015-16</v>
      </c>
      <c r="E8" s="790" t="str">
        <f>Sheet1!$E$27</f>
        <v>2016-17</v>
      </c>
      <c r="F8" s="790" t="str">
        <f>Sheet1!$F$27</f>
        <v>2017-18</v>
      </c>
      <c r="G8" s="790" t="str">
        <f>Sheet1!$G$27</f>
        <v>2018-19</v>
      </c>
      <c r="H8" s="791" t="str">
        <f>Sheet1!$H$27</f>
        <v>2019-20</v>
      </c>
      <c r="I8" s="1812"/>
      <c r="J8" s="96"/>
      <c r="K8" s="820" t="str">
        <f>Sheet1!$D$27</f>
        <v>2015-16</v>
      </c>
      <c r="L8" s="821" t="str">
        <f>Sheet1!$E$27</f>
        <v>2016-17</v>
      </c>
      <c r="M8" s="821" t="str">
        <f>Sheet1!$F$27</f>
        <v>2017-18</v>
      </c>
      <c r="N8" s="821" t="str">
        <f>Sheet1!$G$27</f>
        <v>2018-19</v>
      </c>
      <c r="O8" s="1741" t="str">
        <f>Sheet1!$H$27</f>
        <v>2019-20</v>
      </c>
      <c r="P8" s="1742"/>
      <c r="Q8" s="1816"/>
      <c r="R8" s="70"/>
      <c r="S8" s="1820"/>
      <c r="T8" s="1821"/>
      <c r="U8" s="1822"/>
      <c r="V8" s="122"/>
      <c r="W8" s="139"/>
      <c r="X8" s="152"/>
      <c r="Y8" s="202"/>
      <c r="Z8" s="1735" t="s">
        <v>76</v>
      </c>
      <c r="AA8" s="1735" t="s">
        <v>77</v>
      </c>
      <c r="AB8" s="758" t="str">
        <f>Sheet1!$D$27</f>
        <v>2015-16</v>
      </c>
      <c r="AC8" s="758" t="str">
        <f>Sheet1!$E$27</f>
        <v>2016-17</v>
      </c>
      <c r="AD8" s="758" t="str">
        <f>Sheet1!$F$27</f>
        <v>2017-18</v>
      </c>
      <c r="AE8" s="758" t="str">
        <f>Sheet1!$G$27</f>
        <v>2018-19</v>
      </c>
      <c r="AF8" s="758" t="str">
        <f>Sheet1!$H$27</f>
        <v>2019-20</v>
      </c>
      <c r="AG8" s="204"/>
      <c r="AH8" s="190"/>
      <c r="AI8" s="190"/>
      <c r="AJ8" s="202"/>
      <c r="AK8" s="160"/>
      <c r="AL8" s="908"/>
      <c r="AM8" s="908"/>
      <c r="AN8" s="908"/>
      <c r="AO8" s="908"/>
      <c r="AP8" s="908"/>
    </row>
    <row r="9" spans="1:50" s="87" customFormat="1" ht="12.75" customHeight="1" x14ac:dyDescent="0.2">
      <c r="A9" s="121"/>
      <c r="B9" s="1790"/>
      <c r="C9" s="85"/>
      <c r="D9" s="792" t="e">
        <f>Sheet1!$D$28</f>
        <v>#N/A</v>
      </c>
      <c r="E9" s="792" t="e">
        <f>Sheet1!$E$28</f>
        <v>#N/A</v>
      </c>
      <c r="F9" s="792" t="e">
        <f>Sheet1!$F$28</f>
        <v>#N/A</v>
      </c>
      <c r="G9" s="792" t="e">
        <f>Sheet1!$G$28</f>
        <v>#N/A</v>
      </c>
      <c r="H9" s="793" t="e">
        <f>Sheet1!$H$28</f>
        <v>#N/A</v>
      </c>
      <c r="I9" s="1813"/>
      <c r="J9" s="96"/>
      <c r="K9" s="792" t="e">
        <f>Sheet1!$D$28</f>
        <v>#N/A</v>
      </c>
      <c r="L9" s="792" t="e">
        <f>Sheet1!$E$28</f>
        <v>#N/A</v>
      </c>
      <c r="M9" s="792" t="e">
        <f>Sheet1!$F$28</f>
        <v>#N/A</v>
      </c>
      <c r="N9" s="792" t="e">
        <f>Sheet1!$G$28</f>
        <v>#N/A</v>
      </c>
      <c r="O9" s="1739" t="e">
        <f>Sheet1!$H$28</f>
        <v>#N/A</v>
      </c>
      <c r="P9" s="1827"/>
      <c r="Q9" s="1745"/>
      <c r="R9" s="70"/>
      <c r="S9" s="904" t="s">
        <v>78</v>
      </c>
      <c r="T9" s="856" t="s">
        <v>128</v>
      </c>
      <c r="U9" s="857" t="s">
        <v>129</v>
      </c>
      <c r="V9" s="122"/>
      <c r="W9" s="139"/>
      <c r="X9" s="152"/>
      <c r="Y9" s="202"/>
      <c r="Z9" s="1736"/>
      <c r="AA9" s="1736"/>
      <c r="AB9" s="758" t="e">
        <f>Sheet1!$D$28</f>
        <v>#N/A</v>
      </c>
      <c r="AC9" s="758" t="e">
        <f>Sheet1!$E$28</f>
        <v>#N/A</v>
      </c>
      <c r="AD9" s="758" t="e">
        <f>Sheet1!$F$28</f>
        <v>#N/A</v>
      </c>
      <c r="AE9" s="758" t="e">
        <f>Sheet1!$G$28</f>
        <v>#N/A</v>
      </c>
      <c r="AF9" s="758" t="e">
        <f>Sheet1!$H$28</f>
        <v>#N/A</v>
      </c>
      <c r="AG9" s="190"/>
      <c r="AH9" s="190">
        <f>COLUMNS($B$4:O$4)</f>
        <v>14</v>
      </c>
      <c r="AI9" s="190"/>
      <c r="AJ9" s="202"/>
      <c r="AK9" s="160"/>
      <c r="AL9" s="911" t="s">
        <v>676</v>
      </c>
      <c r="AM9" s="911" t="s">
        <v>677</v>
      </c>
      <c r="AN9" s="911" t="s">
        <v>678</v>
      </c>
      <c r="AO9" s="911" t="s">
        <v>679</v>
      </c>
      <c r="AP9" s="911" t="s">
        <v>680</v>
      </c>
      <c r="AR9" s="937" t="s">
        <v>683</v>
      </c>
      <c r="AS9" s="937" t="s">
        <v>684</v>
      </c>
      <c r="AT9" s="937" t="s">
        <v>685</v>
      </c>
      <c r="AU9" s="937" t="s">
        <v>686</v>
      </c>
      <c r="AV9" s="938" t="s">
        <v>687</v>
      </c>
      <c r="AW9" s="938" t="s">
        <v>688</v>
      </c>
      <c r="AX9" s="938" t="s">
        <v>689</v>
      </c>
    </row>
    <row r="10" spans="1:50" s="87" customFormat="1" ht="13.5" customHeight="1" x14ac:dyDescent="0.2">
      <c r="A10" s="488">
        <f>VLOOKUP(B10,Sheet1!$AQ$4:$AR$25,2,FALSE)</f>
        <v>0</v>
      </c>
      <c r="B10" s="93" t="str">
        <f>Sheet1!$K$4</f>
        <v>Bracknell Forest</v>
      </c>
      <c r="C10" s="85"/>
      <c r="D10" s="94">
        <f>IF(Year1_Bracknell_Forest Year1_CP_Conference="","",Year1_Bracknell_Forest Year1_CP_Conference)</f>
        <v>158</v>
      </c>
      <c r="E10" s="94">
        <f>IF(Year2_Bracknell_Forest Year2_CP_Conference="","",Year2_Bracknell_Forest Year2_CP_Conference)</f>
        <v>261</v>
      </c>
      <c r="F10" s="94">
        <f>IF(Year3_Bracknell_Forest Year3_CP_Conference="","",Year3_Bracknell_Forest Year3_CP_Conference)</f>
        <v>235</v>
      </c>
      <c r="G10" s="94">
        <f>IF(Year4_Bracknell_Forest Year4_CP_Conference="","",Year4_Bracknell_Forest Year4_CP_Conference)</f>
        <v>253</v>
      </c>
      <c r="H10" s="95">
        <f>IF(Year5_Bracknell_Forest Year5_CP_Conference="","",Year5_Bracknell_Forest Year5_CP_Conference)</f>
        <v>257</v>
      </c>
      <c r="I10" s="344">
        <f>AP10</f>
        <v>0.16117197432509009</v>
      </c>
      <c r="J10" s="96"/>
      <c r="K10" s="97">
        <f>IF(ISNUMBER(D10),D10/Population!D10*10000,NA())</f>
        <v>56.028368794326241</v>
      </c>
      <c r="L10" s="97">
        <f>IF(ISNUMBER(E10),E10/Population!E10*10000,NA())</f>
        <v>92.553191489361708</v>
      </c>
      <c r="M10" s="97">
        <f>IF(ISNUMBER(F10),F10/Population!F10*10000,NA())</f>
        <v>83.629893238434164</v>
      </c>
      <c r="N10" s="97">
        <f>IF(ISNUMBER(G10),G10/Population!G10*10000,NA())</f>
        <v>89.399293286219091</v>
      </c>
      <c r="O10" s="98">
        <f>IF(ISNUMBER(H10),H10/Population!H10*10000,NA())</f>
        <v>90.492957746478879</v>
      </c>
      <c r="P10" s="99">
        <f>IF(ISNUMBER(O10),O10,"")</f>
        <v>90.492957746478879</v>
      </c>
      <c r="Q10" s="822">
        <f>IF(ISNA(VLOOKUP(B10,$AG$10:$AI$28,3,FALSE)),"--",IF(ISNUMBER(H10),VLOOKUP(B10,$AG$10:$AI$28,3,FALSE),NA()))</f>
        <v>16</v>
      </c>
      <c r="R10" s="70"/>
      <c r="S10" s="340">
        <f>IDACI!C9</f>
        <v>8.9</v>
      </c>
      <c r="T10" s="341">
        <f t="shared" ref="T10:T33" si="0">((S10*$Z$44)+$AA$44)/$Y$2</f>
        <v>46.245883775689464</v>
      </c>
      <c r="U10" s="342">
        <f>O10-T10</f>
        <v>44.247073970789415</v>
      </c>
      <c r="V10" s="122"/>
      <c r="W10" s="139"/>
      <c r="X10" s="152"/>
      <c r="Y10" s="72" t="str">
        <f t="shared" ref="Y10:Y33" si="1">B10</f>
        <v>Bracknell Forest</v>
      </c>
      <c r="Z10" s="44">
        <f>IF(ISNUMBER(H10),IDACI!D9,0)</f>
        <v>24849</v>
      </c>
      <c r="AA10" s="44">
        <f>IF(ISNUMBER(H10),IDACI!E9,0)</f>
        <v>2211.5610000000001</v>
      </c>
      <c r="AB10" s="205">
        <f>IF(ISNUMBER(D10),Population!D10,"")</f>
        <v>28200</v>
      </c>
      <c r="AC10" s="205">
        <f>IF(ISNUMBER(E10),Population!E10,"")</f>
        <v>28200</v>
      </c>
      <c r="AD10" s="205">
        <f>IF(ISNUMBER(F10),Population!F10,"")</f>
        <v>28100</v>
      </c>
      <c r="AE10" s="205">
        <f>IF(ISNUMBER(G10),Population!G10,"")</f>
        <v>28300</v>
      </c>
      <c r="AF10" s="205">
        <f>IF(ISNUMBER(H10),Population!H10,"")</f>
        <v>28400</v>
      </c>
      <c r="AG10" s="93" t="str">
        <f>B10</f>
        <v>Bracknell Forest</v>
      </c>
      <c r="AH10" s="231">
        <f>IFERROR(VLOOKUP(AG10,$B$10:$O$31,$AH$9,FALSE),"")</f>
        <v>90.492957746478879</v>
      </c>
      <c r="AI10" s="206">
        <f>RANK(AH10,$AH$10:$AH$28,1)</f>
        <v>16</v>
      </c>
      <c r="AJ10" s="202"/>
      <c r="AK10" s="160"/>
      <c r="AL10" s="853">
        <f>IF(ISERROR((E10-D10)/D10),"x",(E10-D10)/D10)</f>
        <v>0.65189873417721522</v>
      </c>
      <c r="AM10" s="853">
        <f>IF(ISERROR((F10-E10)/E10),"x",(F10-E10)/E10)</f>
        <v>-9.9616858237547887E-2</v>
      </c>
      <c r="AN10" s="853">
        <f>IF(ISERROR((G10-F10)/F10),"x",(G10-F10)/F10)</f>
        <v>7.6595744680851063E-2</v>
      </c>
      <c r="AO10" s="853">
        <f>IF(ISERROR((H10-G10)/G10),"x",(H10-G10)/G10)</f>
        <v>1.5810276679841896E-2</v>
      </c>
      <c r="AP10" s="853">
        <f>AVERAGE(AL10:AO10)</f>
        <v>0.16117197432509009</v>
      </c>
      <c r="AR10" s="936">
        <f>IF(ISNUMBER(L10),L10,"")</f>
        <v>92.553191489361708</v>
      </c>
      <c r="AS10" s="936">
        <f t="shared" ref="AR10:AU25" si="2">IF(ISNUMBER(M10),M10,"")</f>
        <v>83.629893238434164</v>
      </c>
      <c r="AT10" s="936">
        <f t="shared" si="2"/>
        <v>89.399293286219091</v>
      </c>
      <c r="AU10" s="936">
        <f t="shared" si="2"/>
        <v>90.492957746478879</v>
      </c>
      <c r="AV10" s="936">
        <f t="shared" ref="AV10:AV22" si="3">SUM(AR10:AU10)</f>
        <v>356.07533576049377</v>
      </c>
      <c r="AW10" s="575">
        <f t="shared" ref="AW10:AW22" si="4">COUNTBLANK(AR10:AU10)</f>
        <v>0</v>
      </c>
      <c r="AX10" s="936">
        <f>AV10/(4-AW10)*4</f>
        <v>356.07533576049377</v>
      </c>
    </row>
    <row r="11" spans="1:50" s="87" customFormat="1" ht="13.5" customHeight="1" x14ac:dyDescent="0.2">
      <c r="A11" s="488">
        <f>VLOOKUP(B11,Sheet1!$AQ$4:$AR$25,2,FALSE)</f>
        <v>0</v>
      </c>
      <c r="B11" s="93" t="str">
        <f>Sheet1!$K$5</f>
        <v>Brighton &amp; Hove</v>
      </c>
      <c r="C11" s="85"/>
      <c r="D11" s="94">
        <f>IF(Year1_Brighton_Hove Year1_CP_Conference="","",Year1_Brighton_Hove Year1_CP_Conference)</f>
        <v>544</v>
      </c>
      <c r="E11" s="94">
        <f>IF(Year2_Brighton_Hove Year2_CP_Conference="","",Year2_Brighton_Hove Year2_CP_Conference)</f>
        <v>471</v>
      </c>
      <c r="F11" s="94">
        <f>IF(Year3_Brighton_Hove Year3_CP_Conference="","",Year3_Brighton_Hove Year3_CP_Conference)</f>
        <v>481</v>
      </c>
      <c r="G11" s="94">
        <f>IF(Year4_Brighton_Hove Year4_CP_Conference="","",Year4_Brighton_Hove Year4_CP_Conference)</f>
        <v>391</v>
      </c>
      <c r="H11" s="95">
        <f>IF(Year5_Brighton_Hove Year5_CP_Conference="","",Year5_Brighton_Hove Year5_CP_Conference)</f>
        <v>466</v>
      </c>
      <c r="I11" s="344">
        <f t="shared" ref="I11:I33" si="5">AP11</f>
        <v>-2.7063521074493467E-2</v>
      </c>
      <c r="J11" s="96"/>
      <c r="K11" s="97">
        <f>IF(ISNUMBER(D11),D11/Population!D11*10000,NA())</f>
        <v>106.25000000000001</v>
      </c>
      <c r="L11" s="97">
        <f>IF(ISNUMBER(E11),E11/Population!E11*10000,NA())</f>
        <v>91.812865497076032</v>
      </c>
      <c r="M11" s="97">
        <f>IF(ISNUMBER(F11),F11/Population!F11*10000,NA())</f>
        <v>94.313725490196077</v>
      </c>
      <c r="N11" s="97">
        <f>IF(ISNUMBER(G11),G11/Population!G11*10000,NA())</f>
        <v>76.666666666666657</v>
      </c>
      <c r="O11" s="98">
        <f>IF(ISNUMBER(H11),H11/Population!H11*10000,NA())</f>
        <v>92.644135188866798</v>
      </c>
      <c r="P11" s="99">
        <f t="shared" ref="P11:P33" si="6">IF(ISNUMBER(O11),O11,"")</f>
        <v>92.644135188866798</v>
      </c>
      <c r="Q11" s="822">
        <f t="shared" ref="Q11:Q33" si="7">IF(ISNA(VLOOKUP(B11,$AG$10:$AI$28,3,FALSE)),"--",IF(ISNUMBER(H11),VLOOKUP(B11,$AG$10:$AI$28,3,FALSE),NA()))</f>
        <v>17</v>
      </c>
      <c r="R11" s="70"/>
      <c r="S11" s="340">
        <f>IDACI!C10</f>
        <v>15.299999999999999</v>
      </c>
      <c r="T11" s="341">
        <f t="shared" si="0"/>
        <v>63.557050630732881</v>
      </c>
      <c r="U11" s="342">
        <f t="shared" ref="U11:U33" si="8">O11-T11</f>
        <v>29.087084558133917</v>
      </c>
      <c r="V11" s="122"/>
      <c r="W11" s="139"/>
      <c r="X11" s="152"/>
      <c r="Y11" s="72" t="str">
        <f t="shared" si="1"/>
        <v>Brighton &amp; Hove</v>
      </c>
      <c r="Z11" s="44">
        <f>IF(ISNUMBER(H11),IDACI!D10,0)</f>
        <v>45576</v>
      </c>
      <c r="AA11" s="44">
        <f>IF(ISNUMBER(H11),IDACI!E10,0)</f>
        <v>6973.1279999999997</v>
      </c>
      <c r="AB11" s="205">
        <f>IF(ISNUMBER(D11),Population!D11,"")</f>
        <v>51200</v>
      </c>
      <c r="AC11" s="205">
        <f>IF(ISNUMBER(E11),Population!E11,"")</f>
        <v>51300</v>
      </c>
      <c r="AD11" s="205">
        <f>IF(ISNUMBER(F11),Population!F11,"")</f>
        <v>51000</v>
      </c>
      <c r="AE11" s="205">
        <f>IF(ISNUMBER(G11),Population!G11,"")</f>
        <v>51000</v>
      </c>
      <c r="AF11" s="205">
        <f>IF(ISNUMBER(H11),Population!H11,"")</f>
        <v>50300</v>
      </c>
      <c r="AG11" s="93" t="s">
        <v>31</v>
      </c>
      <c r="AH11" s="231">
        <f t="shared" ref="AH11:AH28" si="9">IFERROR(VLOOKUP(AG11,$B$10:$O$31,$AH$9,FALSE),"")</f>
        <v>92.644135188866798</v>
      </c>
      <c r="AI11" s="206">
        <f t="shared" ref="AI11:AI28" si="10">RANK(AH11,$AH$10:$AH$28,1)</f>
        <v>17</v>
      </c>
      <c r="AJ11" s="202"/>
      <c r="AK11" s="160"/>
      <c r="AL11" s="853">
        <f t="shared" ref="AL11:AO33" si="11">IF(ISERROR((E11-D11)/D11),"x",(E11-D11)/D11)</f>
        <v>-0.13419117647058823</v>
      </c>
      <c r="AM11" s="853">
        <f t="shared" si="11"/>
        <v>2.1231422505307854E-2</v>
      </c>
      <c r="AN11" s="853">
        <f t="shared" si="11"/>
        <v>-0.18711018711018712</v>
      </c>
      <c r="AO11" s="853">
        <f t="shared" si="11"/>
        <v>0.1918158567774936</v>
      </c>
      <c r="AP11" s="853">
        <f t="shared" ref="AP11:AP32" si="12">AVERAGE(AL11:AO11)</f>
        <v>-2.7063521074493467E-2</v>
      </c>
      <c r="AR11" s="936">
        <f t="shared" si="2"/>
        <v>91.812865497076032</v>
      </c>
      <c r="AS11" s="936">
        <f t="shared" si="2"/>
        <v>94.313725490196077</v>
      </c>
      <c r="AT11" s="936">
        <f t="shared" si="2"/>
        <v>76.666666666666657</v>
      </c>
      <c r="AU11" s="936">
        <f t="shared" si="2"/>
        <v>92.644135188866798</v>
      </c>
      <c r="AV11" s="936">
        <f t="shared" si="3"/>
        <v>355.43739284280559</v>
      </c>
      <c r="AW11" s="575">
        <f t="shared" si="4"/>
        <v>0</v>
      </c>
      <c r="AX11" s="936">
        <f t="shared" ref="AX11:AX33" si="13">AV11/(4-AW11)*4</f>
        <v>355.43739284280559</v>
      </c>
    </row>
    <row r="12" spans="1:50" s="87" customFormat="1" ht="13.5" customHeight="1" x14ac:dyDescent="0.2">
      <c r="A12" s="488">
        <f>VLOOKUP(B12,Sheet1!$AQ$4:$AR$25,2,FALSE)</f>
        <v>0</v>
      </c>
      <c r="B12" s="93" t="str">
        <f>Sheet1!$K$6</f>
        <v>Buckinghamshire</v>
      </c>
      <c r="C12" s="85"/>
      <c r="D12" s="94">
        <f>IF(Year1_Buckinghamshire Year1_CP_Conference="","",Year1_Buckinghamshire Year1_CP_Conference)</f>
        <v>749</v>
      </c>
      <c r="E12" s="94">
        <f>IF(Year2_Buckinghamshire Year2_CP_Conference="","",Year2_Buckinghamshire Year2_CP_Conference)</f>
        <v>866</v>
      </c>
      <c r="F12" s="94">
        <f>IF(Year3_Buckinghamshire Year3_CP_Conference="","",Year3_Buckinghamshire Year3_CP_Conference)</f>
        <v>862</v>
      </c>
      <c r="G12" s="94">
        <f>IF(Year4_Buckinghamshire Year4_CP_Conference="","",Year4_Buckinghamshire Year4_CP_Conference)</f>
        <v>797</v>
      </c>
      <c r="H12" s="95">
        <f>IF(Year5_Buckinghamshire Year5_CP_Conference="","",Year5_Buckinghamshire Year5_CP_Conference)</f>
        <v>857</v>
      </c>
      <c r="I12" s="344">
        <f t="shared" si="5"/>
        <v>3.7866404058532477E-2</v>
      </c>
      <c r="J12" s="96"/>
      <c r="K12" s="97">
        <f>IF(ISNUMBER(D12),D12/Population!D12*10000,NA())</f>
        <v>62.106135986733001</v>
      </c>
      <c r="L12" s="97">
        <f>IF(ISNUMBER(E12),E12/Population!E12*10000,NA())</f>
        <v>70.86743044189852</v>
      </c>
      <c r="M12" s="97">
        <f>IF(ISNUMBER(F12),F12/Population!F12*10000,NA())</f>
        <v>70.02437043054428</v>
      </c>
      <c r="N12" s="97">
        <f>IF(ISNUMBER(G12),G12/Population!G12*10000,NA())</f>
        <v>64.119066773934023</v>
      </c>
      <c r="O12" s="98">
        <f>IF(ISNUMBER(H12),H12/Population!H12*10000,NA())</f>
        <v>68.178202068416866</v>
      </c>
      <c r="P12" s="99">
        <f t="shared" si="6"/>
        <v>68.178202068416866</v>
      </c>
      <c r="Q12" s="822">
        <f t="shared" si="7"/>
        <v>10</v>
      </c>
      <c r="R12" s="70"/>
      <c r="S12" s="340">
        <f>IDACI!C11</f>
        <v>8.5</v>
      </c>
      <c r="T12" s="341">
        <f t="shared" si="0"/>
        <v>45.163935847249249</v>
      </c>
      <c r="U12" s="342">
        <f t="shared" si="8"/>
        <v>23.014266221167617</v>
      </c>
      <c r="V12" s="122"/>
      <c r="W12" s="139"/>
      <c r="X12" s="152"/>
      <c r="Y12" s="72" t="str">
        <f t="shared" si="1"/>
        <v>Buckinghamshire</v>
      </c>
      <c r="Z12" s="44">
        <f>IF(ISNUMBER(H12),IDACI!D11,0)</f>
        <v>107385</v>
      </c>
      <c r="AA12" s="44">
        <f>IF(ISNUMBER(H12),IDACI!E11,0)</f>
        <v>9127.7250000000004</v>
      </c>
      <c r="AB12" s="205">
        <f>IF(ISNUMBER(D12),Population!D12,"")</f>
        <v>120600</v>
      </c>
      <c r="AC12" s="205">
        <f>IF(ISNUMBER(E12),Population!E12,"")</f>
        <v>122200</v>
      </c>
      <c r="AD12" s="205">
        <f>IF(ISNUMBER(F12),Population!F12,"")</f>
        <v>123100</v>
      </c>
      <c r="AE12" s="205">
        <f>IF(ISNUMBER(G12),Population!G12,"")</f>
        <v>124300</v>
      </c>
      <c r="AF12" s="205">
        <f>IF(ISNUMBER(H12),Population!H12,"")</f>
        <v>125700</v>
      </c>
      <c r="AG12" s="93" t="s">
        <v>8</v>
      </c>
      <c r="AH12" s="231">
        <f t="shared" si="9"/>
        <v>68.178202068416866</v>
      </c>
      <c r="AI12" s="206">
        <f t="shared" si="10"/>
        <v>10</v>
      </c>
      <c r="AJ12" s="202"/>
      <c r="AK12" s="160"/>
      <c r="AL12" s="853">
        <f t="shared" si="11"/>
        <v>0.15620827770360482</v>
      </c>
      <c r="AM12" s="853">
        <f t="shared" si="11"/>
        <v>-4.6189376443418013E-3</v>
      </c>
      <c r="AN12" s="853">
        <f t="shared" si="11"/>
        <v>-7.5406032482598612E-2</v>
      </c>
      <c r="AO12" s="853">
        <f t="shared" si="11"/>
        <v>7.5282308657465491E-2</v>
      </c>
      <c r="AP12" s="853">
        <f t="shared" si="12"/>
        <v>3.7866404058532477E-2</v>
      </c>
      <c r="AR12" s="936">
        <f t="shared" si="2"/>
        <v>70.86743044189852</v>
      </c>
      <c r="AS12" s="936">
        <f t="shared" si="2"/>
        <v>70.02437043054428</v>
      </c>
      <c r="AT12" s="936">
        <f t="shared" si="2"/>
        <v>64.119066773934023</v>
      </c>
      <c r="AU12" s="936">
        <f t="shared" si="2"/>
        <v>68.178202068416866</v>
      </c>
      <c r="AV12" s="936">
        <f>SUM(AR12:AU12)</f>
        <v>273.18906971479367</v>
      </c>
      <c r="AW12" s="575">
        <f>COUNTBLANK(AR12:AU12)</f>
        <v>0</v>
      </c>
      <c r="AX12" s="936">
        <f>AV12/(4-AW12)*4</f>
        <v>273.18906971479367</v>
      </c>
    </row>
    <row r="13" spans="1:50" s="87" customFormat="1" ht="13.5" customHeight="1" x14ac:dyDescent="0.2">
      <c r="A13" s="488">
        <f>VLOOKUP(B13,Sheet1!$AQ$4:$AR$25,2,FALSE)</f>
        <v>0</v>
      </c>
      <c r="B13" s="93" t="str">
        <f>Sheet1!$K$7</f>
        <v>East Sussex</v>
      </c>
      <c r="C13" s="85"/>
      <c r="D13" s="94">
        <f>IF(Year1_East_Sussex Year1_CP_Conference="","",Year1_East_Sussex Year1_CP_Conference)</f>
        <v>483</v>
      </c>
      <c r="E13" s="100">
        <f>IF(Year2_East_Sussex Year2_CP_Conference="","",Year2_East_Sussex Year2_CP_Conference)</f>
        <v>627</v>
      </c>
      <c r="F13" s="94">
        <f>IF(Year3_East_Sussex Year3_CP_Conference="","",Year3_East_Sussex Year3_CP_Conference)</f>
        <v>711</v>
      </c>
      <c r="G13" s="94">
        <f>IF(Year4_East_Sussex Year4_CP_Conference="","",Year4_East_Sussex Year4_CP_Conference)</f>
        <v>717</v>
      </c>
      <c r="H13" s="95">
        <f>IF(Year5_East_Sussex Year5_CP_Conference="","",Year5_East_Sussex Year5_CP_Conference)</f>
        <v>687</v>
      </c>
      <c r="I13" s="344">
        <f t="shared" si="5"/>
        <v>9.9676438052515526E-2</v>
      </c>
      <c r="J13" s="96"/>
      <c r="K13" s="97">
        <f>IF(ISNUMBER(D13),D13/Population!D13*10000,NA())</f>
        <v>45.609065155807372</v>
      </c>
      <c r="L13" s="97">
        <f>IF(ISNUMBER(E13),E13/Population!E13*10000,NA())</f>
        <v>59.206798866855522</v>
      </c>
      <c r="M13" s="97">
        <f>IF(ISNUMBER(F13),F13/Population!F13*10000,NA())</f>
        <v>67.075471698113205</v>
      </c>
      <c r="N13" s="97">
        <f>IF(ISNUMBER(G13),G13/Population!G13*10000,NA())</f>
        <v>67.387218045112789</v>
      </c>
      <c r="O13" s="98">
        <f>IF(ISNUMBER(H13),H13/Population!H13*10000,NA())</f>
        <v>64.628410159924741</v>
      </c>
      <c r="P13" s="99">
        <f t="shared" si="6"/>
        <v>64.628410159924741</v>
      </c>
      <c r="Q13" s="822">
        <f t="shared" si="7"/>
        <v>9</v>
      </c>
      <c r="R13" s="70"/>
      <c r="S13" s="340">
        <f>IDACI!C12</f>
        <v>16.100000000000001</v>
      </c>
      <c r="T13" s="341">
        <f t="shared" si="0"/>
        <v>65.720946487613318</v>
      </c>
      <c r="U13" s="342">
        <f t="shared" si="8"/>
        <v>-1.0925363276885776</v>
      </c>
      <c r="V13" s="122"/>
      <c r="W13" s="139"/>
      <c r="X13" s="152"/>
      <c r="Y13" s="72" t="str">
        <f t="shared" si="1"/>
        <v>East Sussex</v>
      </c>
      <c r="Z13" s="44">
        <f>IF(ISNUMBER(H13),IDACI!D12,0)</f>
        <v>93130</v>
      </c>
      <c r="AA13" s="44">
        <f>IF(ISNUMBER(H13),IDACI!E12,0)</f>
        <v>14993.93</v>
      </c>
      <c r="AB13" s="205">
        <f>IF(ISNUMBER(D13),Population!D13,"")</f>
        <v>105900</v>
      </c>
      <c r="AC13" s="205">
        <f>IF(ISNUMBER(E13),Population!E13,"")</f>
        <v>105900</v>
      </c>
      <c r="AD13" s="205">
        <f>IF(ISNUMBER(F13),Population!F13,"")</f>
        <v>106000</v>
      </c>
      <c r="AE13" s="205">
        <f>IF(ISNUMBER(G13),Population!G13,"")</f>
        <v>106400</v>
      </c>
      <c r="AF13" s="205">
        <f>IF(ISNUMBER(H13),Population!H13,"")</f>
        <v>106300</v>
      </c>
      <c r="AG13" s="93" t="s">
        <v>4</v>
      </c>
      <c r="AH13" s="231">
        <f t="shared" si="9"/>
        <v>64.628410159924741</v>
      </c>
      <c r="AI13" s="206">
        <f t="shared" si="10"/>
        <v>9</v>
      </c>
      <c r="AJ13" s="202"/>
      <c r="AK13" s="160"/>
      <c r="AL13" s="853">
        <f t="shared" si="11"/>
        <v>0.29813664596273293</v>
      </c>
      <c r="AM13" s="853">
        <f t="shared" si="11"/>
        <v>0.13397129186602871</v>
      </c>
      <c r="AN13" s="853">
        <f t="shared" si="11"/>
        <v>8.4388185654008432E-3</v>
      </c>
      <c r="AO13" s="853">
        <f t="shared" si="11"/>
        <v>-4.1841004184100417E-2</v>
      </c>
      <c r="AP13" s="853">
        <f t="shared" si="12"/>
        <v>9.9676438052515526E-2</v>
      </c>
      <c r="AR13" s="936">
        <f t="shared" si="2"/>
        <v>59.206798866855522</v>
      </c>
      <c r="AS13" s="936">
        <f t="shared" si="2"/>
        <v>67.075471698113205</v>
      </c>
      <c r="AT13" s="936">
        <f t="shared" si="2"/>
        <v>67.387218045112789</v>
      </c>
      <c r="AU13" s="936">
        <f t="shared" si="2"/>
        <v>64.628410159924741</v>
      </c>
      <c r="AV13" s="936">
        <f t="shared" si="3"/>
        <v>258.29789877000627</v>
      </c>
      <c r="AW13" s="575">
        <f t="shared" si="4"/>
        <v>0</v>
      </c>
      <c r="AX13" s="936">
        <f t="shared" si="13"/>
        <v>258.29789877000627</v>
      </c>
    </row>
    <row r="14" spans="1:50" s="87" customFormat="1" ht="13.5" customHeight="1" x14ac:dyDescent="0.2">
      <c r="A14" s="488">
        <f>VLOOKUP(B14,Sheet1!$AQ$4:$AR$25,2,FALSE)</f>
        <v>0</v>
      </c>
      <c r="B14" s="93" t="str">
        <f>Sheet1!$K$8</f>
        <v>Hampshire</v>
      </c>
      <c r="C14" s="85"/>
      <c r="D14" s="94">
        <f>IF(Year1_Hampshire Year1_CP_Conference="","",Year1_Hampshire Year1_CP_Conference)</f>
        <v>1900</v>
      </c>
      <c r="E14" s="94">
        <f>IF(Year2_Hampshire Year2_CP_Conference="","",Year2_Hampshire Year2_CP_Conference)</f>
        <v>1869</v>
      </c>
      <c r="F14" s="101">
        <f>IF(Year3_Hampshire Year3_CP_Conference="","",Year3_Hampshire Year3_CP_Conference)</f>
        <v>1784</v>
      </c>
      <c r="G14" s="101">
        <f>IF(Year4_Hampshire Year4_CP_Conference="","",Year4_Hampshire Year4_CP_Conference)</f>
        <v>1762</v>
      </c>
      <c r="H14" s="95">
        <f>IF(Year5_Hampshire Year5_CP_Conference="","",Year5_Hampshire Year5_CP_Conference)</f>
        <v>1585</v>
      </c>
      <c r="I14" s="344">
        <f t="shared" si="5"/>
        <v>-4.3645130813552424E-2</v>
      </c>
      <c r="J14" s="96"/>
      <c r="K14" s="97">
        <f>IF(ISNUMBER(D14),D14/Population!D14*10000,NA())</f>
        <v>67.399787158566866</v>
      </c>
      <c r="L14" s="97">
        <f>IF(ISNUMBER(E14),E14/Population!E14*10000,NA())</f>
        <v>66.089108910891085</v>
      </c>
      <c r="M14" s="97">
        <f>IF(ISNUMBER(F14),F14/Population!F14*10000,NA())</f>
        <v>62.972114366396042</v>
      </c>
      <c r="N14" s="97">
        <f>IF(ISNUMBER(G14),G14/Population!G14*10000,NA())</f>
        <v>62.04225352112676</v>
      </c>
      <c r="O14" s="98">
        <f>IF(ISNUMBER(H14),H14/Population!H14*10000,NA())</f>
        <v>55.750967288075977</v>
      </c>
      <c r="P14" s="99">
        <f t="shared" si="6"/>
        <v>55.750967288075977</v>
      </c>
      <c r="Q14" s="822">
        <f t="shared" si="7"/>
        <v>5</v>
      </c>
      <c r="R14" s="70"/>
      <c r="S14" s="340">
        <f>IDACI!C13</f>
        <v>10.100000000000001</v>
      </c>
      <c r="T14" s="341">
        <f t="shared" si="0"/>
        <v>49.491727561010109</v>
      </c>
      <c r="U14" s="342">
        <f t="shared" si="8"/>
        <v>6.259239727065868</v>
      </c>
      <c r="V14" s="122"/>
      <c r="W14" s="139"/>
      <c r="X14" s="152"/>
      <c r="Y14" s="72" t="str">
        <f t="shared" si="1"/>
        <v>Hampshire</v>
      </c>
      <c r="Z14" s="44">
        <f>IF(ISNUMBER(H14),IDACI!D13,0)</f>
        <v>249483</v>
      </c>
      <c r="AA14" s="44">
        <f>IF(ISNUMBER(H14),IDACI!E13,0)</f>
        <v>25197.783000000007</v>
      </c>
      <c r="AB14" s="205">
        <f>IF(ISNUMBER(D14),Population!D14,"")</f>
        <v>281900</v>
      </c>
      <c r="AC14" s="205">
        <f>IF(ISNUMBER(E14),Population!E14,"")</f>
        <v>282800</v>
      </c>
      <c r="AD14" s="205">
        <f>IF(ISNUMBER(F14),Population!F14,"")</f>
        <v>283300</v>
      </c>
      <c r="AE14" s="205">
        <f>IF(ISNUMBER(G14),Population!G14,"")</f>
        <v>284000</v>
      </c>
      <c r="AF14" s="205">
        <f>IF(ISNUMBER(H14),Population!H14,"")</f>
        <v>284300</v>
      </c>
      <c r="AG14" s="93" t="s">
        <v>6</v>
      </c>
      <c r="AH14" s="231">
        <f t="shared" si="9"/>
        <v>55.750967288075977</v>
      </c>
      <c r="AI14" s="206">
        <f t="shared" si="10"/>
        <v>5</v>
      </c>
      <c r="AJ14" s="202"/>
      <c r="AK14" s="160"/>
      <c r="AL14" s="853">
        <f t="shared" si="11"/>
        <v>-1.6315789473684211E-2</v>
      </c>
      <c r="AM14" s="853">
        <f t="shared" si="11"/>
        <v>-4.5478865703584802E-2</v>
      </c>
      <c r="AN14" s="853">
        <f t="shared" si="11"/>
        <v>-1.2331838565022421E-2</v>
      </c>
      <c r="AO14" s="853">
        <f t="shared" si="11"/>
        <v>-0.10045402951191827</v>
      </c>
      <c r="AP14" s="853">
        <f t="shared" si="12"/>
        <v>-4.3645130813552424E-2</v>
      </c>
      <c r="AR14" s="936">
        <f t="shared" si="2"/>
        <v>66.089108910891085</v>
      </c>
      <c r="AS14" s="936">
        <f t="shared" si="2"/>
        <v>62.972114366396042</v>
      </c>
      <c r="AT14" s="936">
        <f t="shared" si="2"/>
        <v>62.04225352112676</v>
      </c>
      <c r="AU14" s="936">
        <f t="shared" si="2"/>
        <v>55.750967288075977</v>
      </c>
      <c r="AV14" s="936">
        <f t="shared" si="3"/>
        <v>246.85444408648985</v>
      </c>
      <c r="AW14" s="575">
        <f t="shared" si="4"/>
        <v>0</v>
      </c>
      <c r="AX14" s="936">
        <f t="shared" si="13"/>
        <v>246.85444408648985</v>
      </c>
    </row>
    <row r="15" spans="1:50" s="87" customFormat="1" ht="13.5" customHeight="1" x14ac:dyDescent="0.2">
      <c r="A15" s="488">
        <f>VLOOKUP(B15,Sheet1!$AQ$4:$AR$25,2,FALSE)</f>
        <v>0</v>
      </c>
      <c r="B15" s="93" t="str">
        <f>Sheet1!$K$9</f>
        <v>Isle of Wight</v>
      </c>
      <c r="C15" s="85"/>
      <c r="D15" s="94">
        <f>IF(Year1_Isle_of_Wight Year1_CP_Conference="","",Year1_Isle_of_Wight Year1_CP_Conference)</f>
        <v>375</v>
      </c>
      <c r="E15" s="94">
        <f>IF(Year2_Isle_of_Wight Year2_CP_Conference="","",Year2_Isle_of_Wight Year2_CP_Conference)</f>
        <v>288</v>
      </c>
      <c r="F15" s="94">
        <f>IF(Year3_Isle_of_Wight Year3_CP_Conference="","",Year3_Isle_of_Wight Year3_CP_Conference)</f>
        <v>271</v>
      </c>
      <c r="G15" s="94">
        <f>IF(Year4_Isle_of_Wight Year4_CP_Conference="","",Year4_Isle_of_Wight Year4_CP_Conference)</f>
        <v>231</v>
      </c>
      <c r="H15" s="95">
        <f>IF(Year5_Isle_of_Wight Year5_CP_Conference="","",Year5_Isle_of_Wight Year5_CP_Conference)</f>
        <v>154</v>
      </c>
      <c r="I15" s="344">
        <f t="shared" si="5"/>
        <v>-0.19299064678146782</v>
      </c>
      <c r="J15" s="96"/>
      <c r="K15" s="97">
        <f>IF(ISNUMBER(D15),D15/Population!D15*10000,NA())</f>
        <v>148.22134387351778</v>
      </c>
      <c r="L15" s="97">
        <f>IF(ISNUMBER(E15),E15/Population!E15*10000,NA())</f>
        <v>114.28571428571429</v>
      </c>
      <c r="M15" s="97">
        <f>IF(ISNUMBER(F15),F15/Population!F15*10000,NA())</f>
        <v>107.96812749003983</v>
      </c>
      <c r="N15" s="97">
        <f>IF(ISNUMBER(G15),G15/Population!G15*10000,NA())</f>
        <v>92.771084337349393</v>
      </c>
      <c r="O15" s="98">
        <f>IF(ISNUMBER(H15),H15/Population!H15*10000,NA())</f>
        <v>62.348178137651821</v>
      </c>
      <c r="P15" s="99">
        <f t="shared" si="6"/>
        <v>62.348178137651821</v>
      </c>
      <c r="Q15" s="822">
        <f t="shared" si="7"/>
        <v>8</v>
      </c>
      <c r="R15" s="70"/>
      <c r="S15" s="340">
        <f>IDACI!C14</f>
        <v>18</v>
      </c>
      <c r="T15" s="341">
        <f t="shared" si="0"/>
        <v>70.860199147704321</v>
      </c>
      <c r="U15" s="342">
        <f t="shared" si="8"/>
        <v>-8.5120210100525</v>
      </c>
      <c r="V15" s="122"/>
      <c r="W15" s="139"/>
      <c r="X15" s="152"/>
      <c r="Y15" s="72" t="str">
        <f t="shared" si="1"/>
        <v>Isle of Wight</v>
      </c>
      <c r="Z15" s="44">
        <f>IF(ISNUMBER(H15),IDACI!D14,0)</f>
        <v>22123</v>
      </c>
      <c r="AA15" s="44">
        <f>IF(ISNUMBER(H15),IDACI!E14,0)</f>
        <v>3982.14</v>
      </c>
      <c r="AB15" s="205">
        <f>IF(ISNUMBER(D15),Population!D15,"")</f>
        <v>25300</v>
      </c>
      <c r="AC15" s="205">
        <f>IF(ISNUMBER(E15),Population!E15,"")</f>
        <v>25200</v>
      </c>
      <c r="AD15" s="205">
        <f>IF(ISNUMBER(F15),Population!F15,"")</f>
        <v>25100</v>
      </c>
      <c r="AE15" s="205">
        <f>IF(ISNUMBER(G15),Population!G15,"")</f>
        <v>24900</v>
      </c>
      <c r="AF15" s="205">
        <f>IF(ISNUMBER(H15),Population!H15,"")</f>
        <v>24700</v>
      </c>
      <c r="AG15" s="93" t="s">
        <v>1</v>
      </c>
      <c r="AH15" s="231">
        <f t="shared" si="9"/>
        <v>62.348178137651821</v>
      </c>
      <c r="AI15" s="206">
        <f t="shared" si="10"/>
        <v>8</v>
      </c>
      <c r="AJ15" s="202"/>
      <c r="AK15" s="160"/>
      <c r="AL15" s="853">
        <f t="shared" si="11"/>
        <v>-0.23200000000000001</v>
      </c>
      <c r="AM15" s="853">
        <f t="shared" si="11"/>
        <v>-5.9027777777777776E-2</v>
      </c>
      <c r="AN15" s="853">
        <f t="shared" si="11"/>
        <v>-0.14760147601476015</v>
      </c>
      <c r="AO15" s="853">
        <f t="shared" si="11"/>
        <v>-0.33333333333333331</v>
      </c>
      <c r="AP15" s="853">
        <f t="shared" si="12"/>
        <v>-0.19299064678146782</v>
      </c>
      <c r="AR15" s="936">
        <f t="shared" si="2"/>
        <v>114.28571428571429</v>
      </c>
      <c r="AS15" s="936">
        <f t="shared" si="2"/>
        <v>107.96812749003983</v>
      </c>
      <c r="AT15" s="936">
        <f t="shared" si="2"/>
        <v>92.771084337349393</v>
      </c>
      <c r="AU15" s="936">
        <f t="shared" si="2"/>
        <v>62.348178137651821</v>
      </c>
      <c r="AV15" s="936">
        <f t="shared" si="3"/>
        <v>377.37310425075532</v>
      </c>
      <c r="AW15" s="575">
        <f t="shared" si="4"/>
        <v>0</v>
      </c>
      <c r="AX15" s="936">
        <f t="shared" si="13"/>
        <v>377.37310425075532</v>
      </c>
    </row>
    <row r="16" spans="1:50" s="87" customFormat="1" ht="13.5" customHeight="1" x14ac:dyDescent="0.2">
      <c r="A16" s="488">
        <f>VLOOKUP(B16,Sheet1!$AQ$4:$AR$25,2,FALSE)</f>
        <v>0</v>
      </c>
      <c r="B16" s="93" t="str">
        <f>Sheet1!$K$10</f>
        <v>Kent</v>
      </c>
      <c r="C16" s="85"/>
      <c r="D16" s="94">
        <f>IF(Year1_Kent Year1_CP_Conference="","",Year1_Kent Year1_CP_Conference)</f>
        <v>1549</v>
      </c>
      <c r="E16" s="94">
        <f>IF(Year2_Kent Year2_CP_Conference="","",Year2_Kent Year2_CP_Conference)</f>
        <v>1494</v>
      </c>
      <c r="F16" s="94">
        <f>IF(Year3_Kent Year3_CP_Conference="","",Year3_Kent Year3_CP_Conference)</f>
        <v>1762</v>
      </c>
      <c r="G16" s="94">
        <f>IF(Year4_Kent Year4_CP_Conference="","",Year4_Kent Year4_CP_Conference)</f>
        <v>1573</v>
      </c>
      <c r="H16" s="95">
        <f>IF(Year5_Kent Year5_CP_Conference="","",Year5_Kent Year5_CP_Conference)</f>
        <v>1705</v>
      </c>
      <c r="I16" s="344">
        <f t="shared" si="5"/>
        <v>3.0132259159790814E-2</v>
      </c>
      <c r="J16" s="96"/>
      <c r="K16" s="97">
        <f>IF(ISNUMBER(D16),D16/Population!D16*10000,NA())</f>
        <v>46.882566585956418</v>
      </c>
      <c r="L16" s="97">
        <f>IF(ISNUMBER(E16),E16/Population!E16*10000,NA())</f>
        <v>44.864864864864863</v>
      </c>
      <c r="M16" s="97">
        <f>IF(ISNUMBER(F16),F16/Population!F16*10000,NA())</f>
        <v>52.42487354953883</v>
      </c>
      <c r="N16" s="97">
        <f>IF(ISNUMBER(G16),G16/Population!G16*10000,NA())</f>
        <v>46.25110261687739</v>
      </c>
      <c r="O16" s="98">
        <f>IF(ISNUMBER(H16),H16/Population!H16*10000,NA())</f>
        <v>49.592786503781262</v>
      </c>
      <c r="P16" s="99">
        <f t="shared" si="6"/>
        <v>49.592786503781262</v>
      </c>
      <c r="Q16" s="822">
        <f t="shared" si="7"/>
        <v>3</v>
      </c>
      <c r="R16" s="70"/>
      <c r="S16" s="340">
        <f>IDACI!C15</f>
        <v>15.8</v>
      </c>
      <c r="T16" s="341">
        <f t="shared" si="0"/>
        <v>64.909485541283146</v>
      </c>
      <c r="U16" s="342">
        <f t="shared" si="8"/>
        <v>-15.316699037501884</v>
      </c>
      <c r="V16" s="122"/>
      <c r="W16" s="139"/>
      <c r="X16" s="152"/>
      <c r="Y16" s="72" t="str">
        <f t="shared" si="1"/>
        <v>Kent</v>
      </c>
      <c r="Z16" s="44">
        <f>IF(ISNUMBER(H16),IDACI!D15,0)</f>
        <v>291866</v>
      </c>
      <c r="AA16" s="44">
        <f>IF(ISNUMBER(H16),IDACI!E15,0)</f>
        <v>46114.828000000001</v>
      </c>
      <c r="AB16" s="205">
        <f>IF(ISNUMBER(D16),Population!D16,"")</f>
        <v>330400</v>
      </c>
      <c r="AC16" s="205">
        <f>IF(ISNUMBER(E16),Population!E16,"")</f>
        <v>333000</v>
      </c>
      <c r="AD16" s="205">
        <f>IF(ISNUMBER(F16),Population!F16,"")</f>
        <v>336100</v>
      </c>
      <c r="AE16" s="205">
        <f>IF(ISNUMBER(G16),Population!G16,"")</f>
        <v>340100</v>
      </c>
      <c r="AF16" s="205">
        <f>IF(ISNUMBER(H16),Population!H16,"")</f>
        <v>343800</v>
      </c>
      <c r="AG16" s="93" t="s">
        <v>9</v>
      </c>
      <c r="AH16" s="231">
        <f t="shared" si="9"/>
        <v>49.592786503781262</v>
      </c>
      <c r="AI16" s="206">
        <f t="shared" si="10"/>
        <v>3</v>
      </c>
      <c r="AJ16" s="202"/>
      <c r="AK16" s="160"/>
      <c r="AL16" s="853">
        <f t="shared" si="11"/>
        <v>-3.5506778566817304E-2</v>
      </c>
      <c r="AM16" s="853">
        <f t="shared" si="11"/>
        <v>0.17938420348058903</v>
      </c>
      <c r="AN16" s="853">
        <f t="shared" si="11"/>
        <v>-0.10726447219069239</v>
      </c>
      <c r="AO16" s="853">
        <f t="shared" si="11"/>
        <v>8.3916083916083919E-2</v>
      </c>
      <c r="AP16" s="853">
        <f t="shared" si="12"/>
        <v>3.0132259159790814E-2</v>
      </c>
      <c r="AR16" s="936">
        <f t="shared" si="2"/>
        <v>44.864864864864863</v>
      </c>
      <c r="AS16" s="936">
        <f t="shared" si="2"/>
        <v>52.42487354953883</v>
      </c>
      <c r="AT16" s="936">
        <f t="shared" si="2"/>
        <v>46.25110261687739</v>
      </c>
      <c r="AU16" s="936">
        <f t="shared" si="2"/>
        <v>49.592786503781262</v>
      </c>
      <c r="AV16" s="936">
        <f t="shared" si="3"/>
        <v>193.13362753506237</v>
      </c>
      <c r="AW16" s="575">
        <f t="shared" si="4"/>
        <v>0</v>
      </c>
      <c r="AX16" s="936">
        <f t="shared" si="13"/>
        <v>193.13362753506237</v>
      </c>
    </row>
    <row r="17" spans="1:50" s="87" customFormat="1" ht="13.5" customHeight="1" x14ac:dyDescent="0.2">
      <c r="A17" s="488">
        <f>VLOOKUP(B17,Sheet1!$AQ$4:$AR$25,2,FALSE)</f>
        <v>0</v>
      </c>
      <c r="B17" s="93" t="str">
        <f>Sheet1!$K$11</f>
        <v>Medway</v>
      </c>
      <c r="C17" s="85"/>
      <c r="D17" s="94">
        <f>IF(Year1_Medway Year1_CP_Conference="","",Year1_Medway Year1_CP_Conference)</f>
        <v>607</v>
      </c>
      <c r="E17" s="301">
        <f>IF(Year2_Medway Year2_CP_Conference="","",Year2_Medway Year2_CP_Conference)</f>
        <v>351</v>
      </c>
      <c r="F17" s="301">
        <f>IF(Year3_Medway Year3_CP_Conference="","",Year3_Medway Year3_CP_Conference)</f>
        <v>403</v>
      </c>
      <c r="G17" s="301">
        <f>IF(Year4_Medway Year4_CP_Conference="","",Year4_Medway Year4_CP_Conference)</f>
        <v>554</v>
      </c>
      <c r="H17" s="302">
        <f>IF(Year5_Medway Year5_CP_Conference="","",Year5_Medway Year5_CP_Conference)</f>
        <v>667</v>
      </c>
      <c r="I17" s="344">
        <f t="shared" si="5"/>
        <v>7.6265700084745536E-2</v>
      </c>
      <c r="J17" s="96"/>
      <c r="K17" s="97">
        <f>IF(ISNUMBER(D17),D17/Population!D17*10000,NA())</f>
        <v>96.044303797468359</v>
      </c>
      <c r="L17" s="97">
        <f>IF(ISNUMBER(E17),E17/Population!E17*10000,NA())</f>
        <v>55.102040816326529</v>
      </c>
      <c r="M17" s="97">
        <f>IF(ISNUMBER(F17),F17/Population!F17*10000,NA())</f>
        <v>63.06729264475743</v>
      </c>
      <c r="N17" s="97">
        <f>IF(ISNUMBER(G17),G17/Population!G17*10000,NA())</f>
        <v>86.024844720496901</v>
      </c>
      <c r="O17" s="98">
        <f>IF(ISNUMBER(H17),H17/Population!H17*10000,NA())</f>
        <v>102.61538461538461</v>
      </c>
      <c r="P17" s="99">
        <f t="shared" si="6"/>
        <v>102.61538461538461</v>
      </c>
      <c r="Q17" s="822">
        <f t="shared" si="7"/>
        <v>18</v>
      </c>
      <c r="R17" s="70"/>
      <c r="S17" s="340">
        <f>IDACI!C16</f>
        <v>18.899999999999999</v>
      </c>
      <c r="T17" s="341">
        <f t="shared" si="0"/>
        <v>73.294581986694809</v>
      </c>
      <c r="U17" s="342">
        <f t="shared" si="8"/>
        <v>29.320802628689805</v>
      </c>
      <c r="V17" s="122"/>
      <c r="W17" s="139"/>
      <c r="X17" s="152"/>
      <c r="Y17" s="72" t="str">
        <f t="shared" si="1"/>
        <v>Medway</v>
      </c>
      <c r="Z17" s="44">
        <f>IF(ISNUMBER(H17),IDACI!D16,0)</f>
        <v>55993</v>
      </c>
      <c r="AA17" s="44">
        <f>IF(ISNUMBER(H17),IDACI!E16,0)</f>
        <v>10582.676999999998</v>
      </c>
      <c r="AB17" s="205">
        <f>IF(ISNUMBER(D17),Population!D17,"")</f>
        <v>63200</v>
      </c>
      <c r="AC17" s="205">
        <f>IF(ISNUMBER(E17),Population!E17,"")</f>
        <v>63700</v>
      </c>
      <c r="AD17" s="205">
        <f>IF(ISNUMBER(F17),Population!F17,"")</f>
        <v>63900</v>
      </c>
      <c r="AE17" s="205">
        <f>IF(ISNUMBER(G17),Population!G17,"")</f>
        <v>64400</v>
      </c>
      <c r="AF17" s="205">
        <f>IF(ISNUMBER(H17),Population!H17,"")</f>
        <v>65000</v>
      </c>
      <c r="AG17" s="93" t="s">
        <v>2</v>
      </c>
      <c r="AH17" s="231">
        <f t="shared" si="9"/>
        <v>102.61538461538461</v>
      </c>
      <c r="AI17" s="206">
        <f t="shared" si="10"/>
        <v>18</v>
      </c>
      <c r="AJ17" s="202"/>
      <c r="AK17" s="160"/>
      <c r="AL17" s="853">
        <f t="shared" si="11"/>
        <v>-0.42174629324546953</v>
      </c>
      <c r="AM17" s="853">
        <f t="shared" si="11"/>
        <v>0.14814814814814814</v>
      </c>
      <c r="AN17" s="853">
        <f t="shared" si="11"/>
        <v>0.37468982630272951</v>
      </c>
      <c r="AO17" s="853">
        <f t="shared" si="11"/>
        <v>0.20397111913357402</v>
      </c>
      <c r="AP17" s="853">
        <f t="shared" si="12"/>
        <v>7.6265700084745536E-2</v>
      </c>
      <c r="AR17" s="936">
        <f t="shared" si="2"/>
        <v>55.102040816326529</v>
      </c>
      <c r="AS17" s="936">
        <f t="shared" si="2"/>
        <v>63.06729264475743</v>
      </c>
      <c r="AT17" s="936">
        <f t="shared" si="2"/>
        <v>86.024844720496901</v>
      </c>
      <c r="AU17" s="936">
        <f t="shared" si="2"/>
        <v>102.61538461538461</v>
      </c>
      <c r="AV17" s="936">
        <f t="shared" si="3"/>
        <v>306.80956279696545</v>
      </c>
      <c r="AW17" s="575">
        <f t="shared" si="4"/>
        <v>0</v>
      </c>
      <c r="AX17" s="936">
        <f t="shared" si="13"/>
        <v>306.80956279696545</v>
      </c>
    </row>
    <row r="18" spans="1:50" s="87" customFormat="1" ht="13.5" customHeight="1" x14ac:dyDescent="0.2">
      <c r="A18" s="488">
        <f>VLOOKUP(B18,Sheet1!$AQ$4:$AR$25,2,FALSE)</f>
        <v>0</v>
      </c>
      <c r="B18" s="93" t="str">
        <f>Sheet1!$K$12</f>
        <v>Milton Keynes</v>
      </c>
      <c r="C18" s="85"/>
      <c r="D18" s="94">
        <f>IF(Year1_Milton_Keynes Year1_CP_Conference="","",Year1_Milton_Keynes Year1_CP_Conference)</f>
        <v>120</v>
      </c>
      <c r="E18" s="94">
        <f>IF(Year2_Milton_Keynes Year2_CP_Conference="","",Year2_Milton_Keynes Year2_CP_Conference)</f>
        <v>147</v>
      </c>
      <c r="F18" s="94">
        <f>IF(Year3_Milton_Keynes Year3_CP_Conference="","",Year3_Milton_Keynes Year3_CP_Conference)</f>
        <v>175</v>
      </c>
      <c r="G18" s="94">
        <f>IF(Year4_Milton_Keynes Year4_CP_Conference="","",Year4_Milton_Keynes Year4_CP_Conference)</f>
        <v>222</v>
      </c>
      <c r="H18" s="95">
        <f>IF(Year5_Milton_Keynes Year5_CP_Conference="","",Year5_Milton_Keynes Year5_CP_Conference)</f>
        <v>263</v>
      </c>
      <c r="I18" s="344">
        <f t="shared" si="5"/>
        <v>0.21718307593307593</v>
      </c>
      <c r="J18" s="96"/>
      <c r="K18" s="97">
        <f>IF(ISNUMBER(D18),D18/Population!D18*10000,NA())</f>
        <v>18.154311649016641</v>
      </c>
      <c r="L18" s="97">
        <f>IF(ISNUMBER(E18),E18/Population!E18*10000,NA())</f>
        <v>21.907600596125189</v>
      </c>
      <c r="M18" s="97">
        <f>IF(ISNUMBER(F18),F18/Population!F18*10000,NA())</f>
        <v>25.887573964497044</v>
      </c>
      <c r="N18" s="97">
        <f>IF(ISNUMBER(G18),G18/Population!G18*10000,NA())</f>
        <v>32.503660322108345</v>
      </c>
      <c r="O18" s="98">
        <f>IF(ISNUMBER(H18),H18/Population!H18*10000,NA())</f>
        <v>38.22674418604651</v>
      </c>
      <c r="P18" s="99">
        <f t="shared" si="6"/>
        <v>38.22674418604651</v>
      </c>
      <c r="Q18" s="822">
        <f t="shared" si="7"/>
        <v>2</v>
      </c>
      <c r="R18" s="70"/>
      <c r="S18" s="340">
        <f>IDACI!C17</f>
        <v>15</v>
      </c>
      <c r="T18" s="341">
        <f t="shared" si="0"/>
        <v>62.745589684402724</v>
      </c>
      <c r="U18" s="342">
        <f t="shared" si="8"/>
        <v>-24.518845498356214</v>
      </c>
      <c r="V18" s="122"/>
      <c r="W18" s="139"/>
      <c r="X18" s="152"/>
      <c r="Y18" s="72" t="str">
        <f t="shared" si="1"/>
        <v>Milton Keynes</v>
      </c>
      <c r="Z18" s="44">
        <f>IF(ISNUMBER(H18),IDACI!D17,0)</f>
        <v>59903</v>
      </c>
      <c r="AA18" s="44">
        <f>IF(ISNUMBER(H18),IDACI!E17,0)</f>
        <v>8985.4499999999989</v>
      </c>
      <c r="AB18" s="205">
        <f>IF(ISNUMBER(D18),Population!D18,"")</f>
        <v>66100</v>
      </c>
      <c r="AC18" s="205">
        <f>IF(ISNUMBER(E18),Population!E18,"")</f>
        <v>67100</v>
      </c>
      <c r="AD18" s="205">
        <f>IF(ISNUMBER(F18),Population!F18,"")</f>
        <v>67600</v>
      </c>
      <c r="AE18" s="205">
        <f>IF(ISNUMBER(G18),Population!G18,"")</f>
        <v>68300</v>
      </c>
      <c r="AF18" s="205">
        <f>IF(ISNUMBER(H18),Population!H18,"")</f>
        <v>68800</v>
      </c>
      <c r="AG18" s="93" t="s">
        <v>10</v>
      </c>
      <c r="AH18" s="231">
        <f t="shared" si="9"/>
        <v>38.22674418604651</v>
      </c>
      <c r="AI18" s="206">
        <f t="shared" si="10"/>
        <v>2</v>
      </c>
      <c r="AJ18" s="202"/>
      <c r="AK18" s="160"/>
      <c r="AL18" s="853">
        <f t="shared" si="11"/>
        <v>0.22500000000000001</v>
      </c>
      <c r="AM18" s="853">
        <f t="shared" si="11"/>
        <v>0.19047619047619047</v>
      </c>
      <c r="AN18" s="853">
        <f t="shared" si="11"/>
        <v>0.26857142857142857</v>
      </c>
      <c r="AO18" s="853">
        <f t="shared" si="11"/>
        <v>0.18468468468468469</v>
      </c>
      <c r="AP18" s="853">
        <f t="shared" si="12"/>
        <v>0.21718307593307593</v>
      </c>
      <c r="AR18" s="936">
        <f t="shared" si="2"/>
        <v>21.907600596125189</v>
      </c>
      <c r="AS18" s="936">
        <f t="shared" si="2"/>
        <v>25.887573964497044</v>
      </c>
      <c r="AT18" s="936">
        <f t="shared" si="2"/>
        <v>32.503660322108345</v>
      </c>
      <c r="AU18" s="936">
        <f t="shared" si="2"/>
        <v>38.22674418604651</v>
      </c>
      <c r="AV18" s="936">
        <f t="shared" si="3"/>
        <v>118.52557906877709</v>
      </c>
      <c r="AW18" s="575">
        <f t="shared" si="4"/>
        <v>0</v>
      </c>
      <c r="AX18" s="936">
        <f t="shared" si="13"/>
        <v>118.52557906877709</v>
      </c>
    </row>
    <row r="19" spans="1:50" s="87" customFormat="1" ht="13.5" customHeight="1" x14ac:dyDescent="0.2">
      <c r="A19" s="488">
        <f>VLOOKUP(B19,Sheet1!$AQ$4:$AR$25,2,FALSE)</f>
        <v>0</v>
      </c>
      <c r="B19" s="93" t="str">
        <f>Sheet1!$K$13</f>
        <v>Oxfordshire</v>
      </c>
      <c r="C19" s="85"/>
      <c r="D19" s="94">
        <f>IF(Year1_Oxfordshire Year1_CP_Conference="","",Year1_Oxfordshire Year1_CP_Conference)</f>
        <v>778</v>
      </c>
      <c r="E19" s="94">
        <f>IF(Year2_Oxfordshire Year2_CP_Conference="","",Year2_Oxfordshire Year2_CP_Conference)</f>
        <v>920</v>
      </c>
      <c r="F19" s="94">
        <f>IF(Year3_Oxfordshire Year3_CP_Conference="","",Year3_Oxfordshire Year3_CP_Conference)</f>
        <v>878</v>
      </c>
      <c r="G19" s="94">
        <f>IF(Year4_Oxfordshire Year4_CP_Conference="","",Year4_Oxfordshire Year4_CP_Conference)</f>
        <v>845</v>
      </c>
      <c r="H19" s="95">
        <f>IF(Year5_Oxfordshire Year5_CP_Conference="","",Year5_Oxfordshire Year5_CP_Conference)</f>
        <v>866</v>
      </c>
      <c r="I19" s="344">
        <f t="shared" si="5"/>
        <v>3.1033438971557137E-2</v>
      </c>
      <c r="J19" s="96"/>
      <c r="K19" s="97">
        <f>IF(ISNUMBER(D19),D19/Population!D19*10000,NA())</f>
        <v>54.866008462623412</v>
      </c>
      <c r="L19" s="97">
        <f>IF(ISNUMBER(E19),E19/Population!E19*10000,NA())</f>
        <v>64.380685794261723</v>
      </c>
      <c r="M19" s="97">
        <f>IF(ISNUMBER(F19),F19/Population!F19*10000,NA())</f>
        <v>61.227336122733611</v>
      </c>
      <c r="N19" s="97">
        <f>IF(ISNUMBER(G19),G19/Population!G19*10000,NA())</f>
        <v>58.356353591160222</v>
      </c>
      <c r="O19" s="98">
        <f>IF(ISNUMBER(H19),H19/Population!H19*10000,NA())</f>
        <v>59.274469541409992</v>
      </c>
      <c r="P19" s="99">
        <f t="shared" si="6"/>
        <v>59.274469541409992</v>
      </c>
      <c r="Q19" s="822">
        <f t="shared" si="7"/>
        <v>6</v>
      </c>
      <c r="R19" s="70"/>
      <c r="S19" s="340">
        <f>IDACI!C18</f>
        <v>10.100000000000001</v>
      </c>
      <c r="T19" s="341">
        <f t="shared" si="0"/>
        <v>49.491727561010109</v>
      </c>
      <c r="U19" s="342">
        <f t="shared" si="8"/>
        <v>9.7827419803998836</v>
      </c>
      <c r="V19" s="122"/>
      <c r="W19" s="139"/>
      <c r="X19" s="152"/>
      <c r="Y19" s="72" t="str">
        <f t="shared" si="1"/>
        <v>Oxfordshire</v>
      </c>
      <c r="Z19" s="44">
        <f>IF(ISNUMBER(H19),IDACI!D18,0)</f>
        <v>126119</v>
      </c>
      <c r="AA19" s="44">
        <f>IF(ISNUMBER(H19),IDACI!E18,0)</f>
        <v>12738.019000000002</v>
      </c>
      <c r="AB19" s="205">
        <f>IF(ISNUMBER(D19),Population!D19,"")</f>
        <v>141800</v>
      </c>
      <c r="AC19" s="205">
        <f>IF(ISNUMBER(E19),Population!E19,"")</f>
        <v>142900</v>
      </c>
      <c r="AD19" s="205">
        <f>IF(ISNUMBER(F19),Population!F19,"")</f>
        <v>143400</v>
      </c>
      <c r="AE19" s="205">
        <f>IF(ISNUMBER(G19),Population!G19,"")</f>
        <v>144800</v>
      </c>
      <c r="AF19" s="205">
        <f>IF(ISNUMBER(H19),Population!H19,"")</f>
        <v>146100</v>
      </c>
      <c r="AG19" s="93" t="s">
        <v>11</v>
      </c>
      <c r="AH19" s="231">
        <f t="shared" si="9"/>
        <v>59.274469541409992</v>
      </c>
      <c r="AI19" s="206">
        <f t="shared" si="10"/>
        <v>6</v>
      </c>
      <c r="AJ19" s="202"/>
      <c r="AK19" s="160"/>
      <c r="AL19" s="853">
        <f t="shared" si="11"/>
        <v>0.18251928020565553</v>
      </c>
      <c r="AM19" s="853">
        <f t="shared" si="11"/>
        <v>-4.5652173913043478E-2</v>
      </c>
      <c r="AN19" s="853">
        <f t="shared" si="11"/>
        <v>-3.7585421412300681E-2</v>
      </c>
      <c r="AO19" s="853">
        <f t="shared" si="11"/>
        <v>2.4852071005917159E-2</v>
      </c>
      <c r="AP19" s="853">
        <f t="shared" si="12"/>
        <v>3.1033438971557137E-2</v>
      </c>
      <c r="AR19" s="936">
        <f t="shared" si="2"/>
        <v>64.380685794261723</v>
      </c>
      <c r="AS19" s="936">
        <f t="shared" si="2"/>
        <v>61.227336122733611</v>
      </c>
      <c r="AT19" s="936">
        <f t="shared" si="2"/>
        <v>58.356353591160222</v>
      </c>
      <c r="AU19" s="936">
        <f t="shared" si="2"/>
        <v>59.274469541409992</v>
      </c>
      <c r="AV19" s="936">
        <f t="shared" si="3"/>
        <v>243.23884504956555</v>
      </c>
      <c r="AW19" s="575">
        <f t="shared" si="4"/>
        <v>0</v>
      </c>
      <c r="AX19" s="936">
        <f t="shared" si="13"/>
        <v>243.23884504956555</v>
      </c>
    </row>
    <row r="20" spans="1:50" s="87" customFormat="1" ht="13.5" customHeight="1" x14ac:dyDescent="0.2">
      <c r="A20" s="488">
        <f>VLOOKUP(B20,Sheet1!$AQ$4:$AR$25,2,FALSE)</f>
        <v>0</v>
      </c>
      <c r="B20" s="93" t="str">
        <f>Sheet1!$K$14</f>
        <v>Portsmouth</v>
      </c>
      <c r="C20" s="85"/>
      <c r="D20" s="94">
        <f>IF(Year1_Portsmouth Year1_CP_Conference="","",Year1_Portsmouth Year1_CP_Conference)</f>
        <v>336</v>
      </c>
      <c r="E20" s="94">
        <f>IF(Year2_Portsmouth Year2_CP_Conference="","",Year2_Portsmouth Year2_CP_Conference)</f>
        <v>299</v>
      </c>
      <c r="F20" s="94">
        <f>IF(Year3_Portsmouth Year3_CP_Conference="","",Year3_Portsmouth Year3_CP_Conference)</f>
        <v>309</v>
      </c>
      <c r="G20" s="94">
        <f>IF(Year4_Portsmouth Year4_CP_Conference="","",Year4_Portsmouth Year4_CP_Conference)</f>
        <v>290</v>
      </c>
      <c r="H20" s="95">
        <f>IF(Year5_Portsmouth Year5_CP_Conference="","",Year5_Portsmouth Year5_CP_Conference)</f>
        <v>338</v>
      </c>
      <c r="I20" s="344">
        <f t="shared" si="5"/>
        <v>6.8385841686539675E-3</v>
      </c>
      <c r="J20" s="96"/>
      <c r="K20" s="97">
        <f>IF(ISNUMBER(D20),D20/Population!D20*10000,NA())</f>
        <v>76.712328767123282</v>
      </c>
      <c r="L20" s="97">
        <f>IF(ISNUMBER(E20),E20/Population!E20*10000,NA())</f>
        <v>67.954545454545453</v>
      </c>
      <c r="M20" s="97">
        <f>IF(ISNUMBER(F20),F20/Population!F20*10000,NA())</f>
        <v>69.909502262443439</v>
      </c>
      <c r="N20" s="97">
        <f>IF(ISNUMBER(G20),G20/Population!G20*10000,NA())</f>
        <v>65.909090909090907</v>
      </c>
      <c r="O20" s="98">
        <f>IF(ISNUMBER(H20),H20/Population!H20*10000,NA())</f>
        <v>77.168949771689498</v>
      </c>
      <c r="P20" s="99">
        <f t="shared" si="6"/>
        <v>77.168949771689498</v>
      </c>
      <c r="Q20" s="822">
        <f t="shared" si="7"/>
        <v>13</v>
      </c>
      <c r="R20" s="70"/>
      <c r="S20" s="340">
        <f>IDACI!C19</f>
        <v>20.200000000000003</v>
      </c>
      <c r="T20" s="341">
        <f t="shared" si="0"/>
        <v>76.810912754125525</v>
      </c>
      <c r="U20" s="342">
        <f t="shared" si="8"/>
        <v>0.35803701756397288</v>
      </c>
      <c r="V20" s="122"/>
      <c r="W20" s="139"/>
      <c r="X20" s="152"/>
      <c r="Y20" s="72" t="str">
        <f t="shared" si="1"/>
        <v>Portsmouth</v>
      </c>
      <c r="Z20" s="44">
        <f>IF(ISNUMBER(H20),IDACI!D19,0)</f>
        <v>39325</v>
      </c>
      <c r="AA20" s="44">
        <f>IF(ISNUMBER(H20),IDACI!E19,0)</f>
        <v>7943.6500000000015</v>
      </c>
      <c r="AB20" s="205">
        <f>IF(ISNUMBER(D20),Population!D20,"")</f>
        <v>43800</v>
      </c>
      <c r="AC20" s="205">
        <f>IF(ISNUMBER(E20),Population!E20,"")</f>
        <v>44000</v>
      </c>
      <c r="AD20" s="205">
        <f>IF(ISNUMBER(F20),Population!F20,"")</f>
        <v>44200</v>
      </c>
      <c r="AE20" s="205">
        <f>IF(ISNUMBER(G20),Population!G20,"")</f>
        <v>44000</v>
      </c>
      <c r="AF20" s="205">
        <f>IF(ISNUMBER(H20),Population!H20,"")</f>
        <v>43800</v>
      </c>
      <c r="AG20" s="93" t="s">
        <v>12</v>
      </c>
      <c r="AH20" s="231">
        <f t="shared" si="9"/>
        <v>77.168949771689498</v>
      </c>
      <c r="AI20" s="206">
        <f t="shared" si="10"/>
        <v>13</v>
      </c>
      <c r="AJ20" s="202"/>
      <c r="AK20" s="160"/>
      <c r="AL20" s="853">
        <f t="shared" si="11"/>
        <v>-0.11011904761904762</v>
      </c>
      <c r="AM20" s="853">
        <f t="shared" si="11"/>
        <v>3.3444816053511704E-2</v>
      </c>
      <c r="AN20" s="853">
        <f t="shared" si="11"/>
        <v>-6.1488673139158574E-2</v>
      </c>
      <c r="AO20" s="853">
        <f t="shared" si="11"/>
        <v>0.16551724137931034</v>
      </c>
      <c r="AP20" s="853">
        <f t="shared" si="12"/>
        <v>6.8385841686539675E-3</v>
      </c>
      <c r="AR20" s="936">
        <f t="shared" si="2"/>
        <v>67.954545454545453</v>
      </c>
      <c r="AS20" s="936">
        <f t="shared" si="2"/>
        <v>69.909502262443439</v>
      </c>
      <c r="AT20" s="936">
        <f t="shared" si="2"/>
        <v>65.909090909090907</v>
      </c>
      <c r="AU20" s="936">
        <f t="shared" si="2"/>
        <v>77.168949771689498</v>
      </c>
      <c r="AV20" s="936">
        <f t="shared" si="3"/>
        <v>280.94208839776928</v>
      </c>
      <c r="AW20" s="575">
        <f t="shared" si="4"/>
        <v>0</v>
      </c>
      <c r="AX20" s="936">
        <f t="shared" si="13"/>
        <v>280.94208839776928</v>
      </c>
    </row>
    <row r="21" spans="1:50" s="87" customFormat="1" ht="13.5" customHeight="1" x14ac:dyDescent="0.2">
      <c r="A21" s="488">
        <f>VLOOKUP(B21,Sheet1!$AQ$4:$AR$25,2,FALSE)</f>
        <v>0</v>
      </c>
      <c r="B21" s="93" t="str">
        <f>Sheet1!$K$15</f>
        <v>Reading</v>
      </c>
      <c r="C21" s="85"/>
      <c r="D21" s="94">
        <f>IF(Year1_Reading Year1_CP_Conference="","",Year1_Reading Year1_CP_Conference)</f>
        <v>430</v>
      </c>
      <c r="E21" s="94">
        <f>IF(Year2_Reading Year2_CP_Conference="","",Year2_Reading Year2_CP_Conference)</f>
        <v>528</v>
      </c>
      <c r="F21" s="94">
        <f>IF(Year3_Reading Year3_CP_Conference="","",Year3_Reading Year3_CP_Conference)</f>
        <v>415</v>
      </c>
      <c r="G21" s="94">
        <f>IF(Year4_Reading Year4_CP_Conference="","",Year4_Reading Year4_CP_Conference)</f>
        <v>424</v>
      </c>
      <c r="H21" s="95">
        <f>IF(Year5_Reading Year5_CP_Conference="","",Year5_Reading Year5_CP_Conference)</f>
        <v>321</v>
      </c>
      <c r="I21" s="344">
        <f t="shared" si="5"/>
        <v>-5.1836489021225111E-2</v>
      </c>
      <c r="J21" s="96"/>
      <c r="K21" s="97">
        <f>IF(ISNUMBER(D21),D21/Population!D21*10000,NA())</f>
        <v>118.13186813186813</v>
      </c>
      <c r="L21" s="97">
        <f>IF(ISNUMBER(E21),E21/Population!E21*10000,NA())</f>
        <v>144.26229508196721</v>
      </c>
      <c r="M21" s="97">
        <f>IF(ISNUMBER(F21),F21/Population!F21*10000,NA())</f>
        <v>111.85983827493261</v>
      </c>
      <c r="N21" s="97">
        <f>IF(ISNUMBER(G21),G21/Population!G21*10000,NA())</f>
        <v>114.28571428571429</v>
      </c>
      <c r="O21" s="98">
        <f>IF(ISNUMBER(H21),H21/Population!H21*10000,NA())</f>
        <v>86.756756756756758</v>
      </c>
      <c r="P21" s="99">
        <f t="shared" si="6"/>
        <v>86.756756756756758</v>
      </c>
      <c r="Q21" s="822">
        <f t="shared" si="7"/>
        <v>14</v>
      </c>
      <c r="R21" s="70"/>
      <c r="S21" s="340">
        <f>IDACI!C20</f>
        <v>16</v>
      </c>
      <c r="T21" s="341">
        <f t="shared" si="0"/>
        <v>65.450459505503261</v>
      </c>
      <c r="U21" s="342">
        <f t="shared" si="8"/>
        <v>21.306297251253497</v>
      </c>
      <c r="V21" s="122"/>
      <c r="W21" s="139"/>
      <c r="X21" s="152"/>
      <c r="Y21" s="72" t="str">
        <f t="shared" si="1"/>
        <v>Reading</v>
      </c>
      <c r="Z21" s="44">
        <f>IF(ISNUMBER(H21),IDACI!D20,0)</f>
        <v>33203</v>
      </c>
      <c r="AA21" s="44">
        <f>IF(ISNUMBER(H21),IDACI!E20,0)</f>
        <v>5312.4800000000005</v>
      </c>
      <c r="AB21" s="205">
        <f>IF(ISNUMBER(D21),Population!D21,"")</f>
        <v>36400</v>
      </c>
      <c r="AC21" s="205">
        <f>IF(ISNUMBER(E21),Population!E21,"")</f>
        <v>36600</v>
      </c>
      <c r="AD21" s="205">
        <f>IF(ISNUMBER(F21),Population!F21,"")</f>
        <v>37100</v>
      </c>
      <c r="AE21" s="205">
        <f>IF(ISNUMBER(G21),Population!G21,"")</f>
        <v>37100</v>
      </c>
      <c r="AF21" s="205">
        <f>IF(ISNUMBER(H21),Population!H21,"")</f>
        <v>37000</v>
      </c>
      <c r="AG21" s="93" t="s">
        <v>3</v>
      </c>
      <c r="AH21" s="231">
        <f t="shared" si="9"/>
        <v>86.756756756756758</v>
      </c>
      <c r="AI21" s="206">
        <f t="shared" si="10"/>
        <v>14</v>
      </c>
      <c r="AJ21" s="202"/>
      <c r="AK21" s="160"/>
      <c r="AL21" s="853">
        <f t="shared" si="11"/>
        <v>0.22790697674418606</v>
      </c>
      <c r="AM21" s="853">
        <f t="shared" si="11"/>
        <v>-0.21401515151515152</v>
      </c>
      <c r="AN21" s="853">
        <f t="shared" si="11"/>
        <v>2.1686746987951807E-2</v>
      </c>
      <c r="AO21" s="853">
        <f t="shared" si="11"/>
        <v>-0.24292452830188679</v>
      </c>
      <c r="AP21" s="853">
        <f t="shared" si="12"/>
        <v>-5.1836489021225111E-2</v>
      </c>
      <c r="AR21" s="936">
        <f t="shared" si="2"/>
        <v>144.26229508196721</v>
      </c>
      <c r="AS21" s="936">
        <f t="shared" si="2"/>
        <v>111.85983827493261</v>
      </c>
      <c r="AT21" s="936">
        <f t="shared" si="2"/>
        <v>114.28571428571429</v>
      </c>
      <c r="AU21" s="936">
        <f t="shared" si="2"/>
        <v>86.756756756756758</v>
      </c>
      <c r="AV21" s="936">
        <f t="shared" si="3"/>
        <v>457.16460439937089</v>
      </c>
      <c r="AW21" s="575">
        <f t="shared" si="4"/>
        <v>0</v>
      </c>
      <c r="AX21" s="936">
        <f t="shared" si="13"/>
        <v>457.16460439937089</v>
      </c>
    </row>
    <row r="22" spans="1:50" s="87" customFormat="1" ht="13.5" customHeight="1" x14ac:dyDescent="0.2">
      <c r="A22" s="488">
        <f>VLOOKUP(B22,Sheet1!$AQ$4:$AR$25,2,FALSE)</f>
        <v>0</v>
      </c>
      <c r="B22" s="93" t="str">
        <f>Sheet1!$K$16</f>
        <v>Slough</v>
      </c>
      <c r="C22" s="85"/>
      <c r="D22" s="94">
        <f>IF(Year1_Slough Year1_CP_Conference="","",Year1_Slough Year1_CP_Conference)</f>
        <v>351</v>
      </c>
      <c r="E22" s="94">
        <f>IF(Year2_Slough Year2_CP_Conference="","",Year2_Slough Year2_CP_Conference)</f>
        <v>338</v>
      </c>
      <c r="F22" s="94">
        <f>IF(Year3_Slough Year3_CP_Conference="","",Year3_Slough Year3_CP_Conference)</f>
        <v>274</v>
      </c>
      <c r="G22" s="94">
        <f>IF(Year4_Slough Year4_CP_Conference="","",Year4_Slough Year4_CP_Conference)</f>
        <v>343</v>
      </c>
      <c r="H22" s="95">
        <f>IF(Year5_Slough Year5_CP_Conference="","",Year5_Slough Year5_CP_Conference)</f>
        <v>388</v>
      </c>
      <c r="I22" s="344">
        <f t="shared" si="5"/>
        <v>3.9158500833035896E-2</v>
      </c>
      <c r="J22" s="96"/>
      <c r="K22" s="97">
        <f>IF(ISNUMBER(D22),D22/Population!D22*10000,NA())</f>
        <v>86.453201970443359</v>
      </c>
      <c r="L22" s="97">
        <f>IF(ISNUMBER(E22),E22/Population!E22*10000,NA())</f>
        <v>81.642512077294683</v>
      </c>
      <c r="M22" s="97">
        <f>IF(ISNUMBER(F22),F22/Population!F22*10000,NA())</f>
        <v>64.928909952606631</v>
      </c>
      <c r="N22" s="97">
        <f>IF(ISNUMBER(G22),G22/Population!G22*10000,NA())</f>
        <v>80.327868852459005</v>
      </c>
      <c r="O22" s="98">
        <f>IF(ISNUMBER(H22),H22/Population!H22*10000,NA())</f>
        <v>90.023201856148489</v>
      </c>
      <c r="P22" s="99">
        <f t="shared" si="6"/>
        <v>90.023201856148489</v>
      </c>
      <c r="Q22" s="822">
        <f t="shared" si="7"/>
        <v>15</v>
      </c>
      <c r="R22" s="70"/>
      <c r="S22" s="340">
        <f>IDACI!C21</f>
        <v>14.7</v>
      </c>
      <c r="T22" s="341">
        <f t="shared" si="0"/>
        <v>61.934128738072566</v>
      </c>
      <c r="U22" s="342">
        <f t="shared" si="8"/>
        <v>28.089073118075923</v>
      </c>
      <c r="V22" s="122"/>
      <c r="W22" s="139"/>
      <c r="X22" s="152"/>
      <c r="Y22" s="72" t="str">
        <f t="shared" si="1"/>
        <v>Slough</v>
      </c>
      <c r="Z22" s="44">
        <f>IF(ISNUMBER(H22),IDACI!D21,0)</f>
        <v>37031</v>
      </c>
      <c r="AA22" s="44">
        <f>IF(ISNUMBER(H22),IDACI!E21,0)</f>
        <v>5443.5569999999998</v>
      </c>
      <c r="AB22" s="205">
        <f>IF(ISNUMBER(D22),Population!D22,"")</f>
        <v>40600</v>
      </c>
      <c r="AC22" s="205">
        <f>IF(ISNUMBER(E22),Population!E22,"")</f>
        <v>41400</v>
      </c>
      <c r="AD22" s="205">
        <f>IF(ISNUMBER(F22),Population!F22,"")</f>
        <v>42200</v>
      </c>
      <c r="AE22" s="205">
        <f>IF(ISNUMBER(G22),Population!G22,"")</f>
        <v>42700</v>
      </c>
      <c r="AF22" s="205">
        <f>IF(ISNUMBER(H22),Population!H22,"")</f>
        <v>43100</v>
      </c>
      <c r="AG22" s="93" t="s">
        <v>13</v>
      </c>
      <c r="AH22" s="231">
        <f t="shared" si="9"/>
        <v>90.023201856148489</v>
      </c>
      <c r="AI22" s="206">
        <f t="shared" si="10"/>
        <v>15</v>
      </c>
      <c r="AJ22" s="202"/>
      <c r="AK22" s="160"/>
      <c r="AL22" s="853">
        <f t="shared" si="11"/>
        <v>-3.7037037037037035E-2</v>
      </c>
      <c r="AM22" s="853">
        <f t="shared" si="11"/>
        <v>-0.1893491124260355</v>
      </c>
      <c r="AN22" s="853">
        <f t="shared" si="11"/>
        <v>0.2518248175182482</v>
      </c>
      <c r="AO22" s="853">
        <f t="shared" si="11"/>
        <v>0.13119533527696792</v>
      </c>
      <c r="AP22" s="853">
        <f t="shared" si="12"/>
        <v>3.9158500833035896E-2</v>
      </c>
      <c r="AR22" s="936">
        <f t="shared" si="2"/>
        <v>81.642512077294683</v>
      </c>
      <c r="AS22" s="936">
        <f t="shared" si="2"/>
        <v>64.928909952606631</v>
      </c>
      <c r="AT22" s="936">
        <f t="shared" si="2"/>
        <v>80.327868852459005</v>
      </c>
      <c r="AU22" s="936">
        <f t="shared" si="2"/>
        <v>90.023201856148489</v>
      </c>
      <c r="AV22" s="936">
        <f t="shared" si="3"/>
        <v>316.92249273850882</v>
      </c>
      <c r="AW22" s="575">
        <f t="shared" si="4"/>
        <v>0</v>
      </c>
      <c r="AX22" s="936">
        <f t="shared" si="13"/>
        <v>316.92249273850882</v>
      </c>
    </row>
    <row r="23" spans="1:50" s="87" customFormat="1" ht="13.5" customHeight="1" x14ac:dyDescent="0.2">
      <c r="A23" s="488">
        <f>VLOOKUP(B23,Sheet1!$AQ$4:$AR$25,2,FALSE)</f>
        <v>0</v>
      </c>
      <c r="B23" s="93" t="str">
        <f>Sheet1!$K$17</f>
        <v>Somerset</v>
      </c>
      <c r="C23" s="85"/>
      <c r="D23" s="94">
        <f>IF(Year1_Somerset Year1_CP_Conference="","",Year1_Somerset Year1_CP_Conference)</f>
        <v>478</v>
      </c>
      <c r="E23" s="94">
        <f>IF(Year2_Somerset Year2_CP_Conference="","",Year2_Somerset Year2_CP_Conference)</f>
        <v>661</v>
      </c>
      <c r="F23" s="94">
        <f>IF(Year3_Somerset Year3_CP_Conference="","",Year3_Somerset Year3_CP_Conference)</f>
        <v>586</v>
      </c>
      <c r="G23" s="94">
        <f>IF(Year4_Somerset Year4_CP_Conference="","",Year4_Somerset Year4_CP_Conference)</f>
        <v>515</v>
      </c>
      <c r="H23" s="95">
        <f>IF(Year5_Somerset Year5_CP_Conference="","",Year5_Somerset Year5_CP_Conference)</f>
        <v>302</v>
      </c>
      <c r="I23" s="344">
        <f t="shared" si="5"/>
        <v>-6.634297552196447E-2</v>
      </c>
      <c r="J23" s="96"/>
      <c r="K23" s="97">
        <f>IF(ISNUMBER(D23),D23/Population!D23*10000,NA())</f>
        <v>43.772893772893774</v>
      </c>
      <c r="L23" s="97">
        <f>IF(ISNUMBER(E23),E23/Population!E23*10000,NA())</f>
        <v>60.255241567912492</v>
      </c>
      <c r="M23" s="97">
        <f>IF(ISNUMBER(F23),F23/Population!F23*10000,NA())</f>
        <v>53.224341507720254</v>
      </c>
      <c r="N23" s="97">
        <f>IF(ISNUMBER(G23),G23/Population!G23*10000,NA())</f>
        <v>46.522131887985545</v>
      </c>
      <c r="O23" s="98">
        <f>IF(ISNUMBER(H23),H23/Population!H23*10000,NA())</f>
        <v>27.158273381294961</v>
      </c>
      <c r="P23" s="99">
        <f t="shared" si="6"/>
        <v>27.158273381294961</v>
      </c>
      <c r="Q23" s="807" t="str">
        <f t="shared" si="7"/>
        <v>--</v>
      </c>
      <c r="R23" s="70"/>
      <c r="S23" s="340">
        <f>IDACI!C22</f>
        <v>13.600000000000001</v>
      </c>
      <c r="T23" s="341">
        <f t="shared" si="0"/>
        <v>58.958771934861979</v>
      </c>
      <c r="U23" s="342">
        <f t="shared" si="8"/>
        <v>-31.800498553567017</v>
      </c>
      <c r="V23" s="122"/>
      <c r="W23" s="139"/>
      <c r="X23" s="152"/>
      <c r="Y23" s="72" t="str">
        <f t="shared" si="1"/>
        <v>Somerset</v>
      </c>
      <c r="Z23" s="44">
        <f>IF(ISNUMBER(H23),IDACI!D22,0)</f>
        <v>95875</v>
      </c>
      <c r="AA23" s="44">
        <f>IF(ISNUMBER(H23),IDACI!E22,0)</f>
        <v>13039.000000000002</v>
      </c>
      <c r="AB23" s="205">
        <f>IF(ISNUMBER(D23),Population!D23,"")</f>
        <v>109200</v>
      </c>
      <c r="AC23" s="205">
        <f>IF(ISNUMBER(E23),Population!E23,"")</f>
        <v>109700</v>
      </c>
      <c r="AD23" s="205">
        <f>IF(ISNUMBER(F23),Population!F23,"")</f>
        <v>110100</v>
      </c>
      <c r="AE23" s="205">
        <f>IF(ISNUMBER(G23),Population!G23,"")</f>
        <v>110700</v>
      </c>
      <c r="AF23" s="205">
        <f>IF(ISNUMBER(H23),Population!H23,"")</f>
        <v>111200</v>
      </c>
      <c r="AG23" s="93" t="s">
        <v>14</v>
      </c>
      <c r="AH23" s="231">
        <f t="shared" si="9"/>
        <v>137.03703703703704</v>
      </c>
      <c r="AI23" s="206">
        <f t="shared" si="10"/>
        <v>19</v>
      </c>
      <c r="AJ23" s="202"/>
      <c r="AK23" s="160"/>
      <c r="AL23" s="853">
        <f t="shared" si="11"/>
        <v>0.38284518828451886</v>
      </c>
      <c r="AM23" s="853">
        <f t="shared" si="11"/>
        <v>-0.11346444780635401</v>
      </c>
      <c r="AN23" s="853">
        <f t="shared" si="11"/>
        <v>-0.12116040955631399</v>
      </c>
      <c r="AO23" s="853">
        <f t="shared" si="11"/>
        <v>-0.41359223300970877</v>
      </c>
      <c r="AP23" s="853">
        <f t="shared" si="12"/>
        <v>-6.634297552196447E-2</v>
      </c>
      <c r="AR23" s="936">
        <f t="shared" si="2"/>
        <v>60.255241567912492</v>
      </c>
      <c r="AS23" s="936">
        <f t="shared" si="2"/>
        <v>53.224341507720254</v>
      </c>
      <c r="AT23" s="936">
        <f t="shared" si="2"/>
        <v>46.522131887985545</v>
      </c>
      <c r="AU23" s="936">
        <f>IF(ISNUMBER(O23),O23,"")</f>
        <v>27.158273381294961</v>
      </c>
      <c r="AV23" s="936">
        <f>SUM(AR23:AU23)</f>
        <v>187.15998834491324</v>
      </c>
      <c r="AW23" s="575">
        <f>COUNTBLANK(AR23:AU23)</f>
        <v>0</v>
      </c>
      <c r="AX23" s="936">
        <f>AV23/(4-AW23)*4</f>
        <v>187.15998834491324</v>
      </c>
    </row>
    <row r="24" spans="1:50" s="87" customFormat="1" ht="13.5" customHeight="1" x14ac:dyDescent="0.2">
      <c r="A24" s="488">
        <f>VLOOKUP(B24,Sheet1!$AQ$4:$AR$25,2,FALSE)</f>
        <v>0</v>
      </c>
      <c r="B24" s="93" t="str">
        <f>Sheet1!$K$18</f>
        <v>Southampton</v>
      </c>
      <c r="C24" s="85"/>
      <c r="D24" s="94">
        <f>IF(Year1_Southampton Year1_CP_Conference="","",Year1_Southampton Year1_CP_Conference)</f>
        <v>555</v>
      </c>
      <c r="E24" s="94">
        <f>IF(Year2_Southampton Year2_CP_Conference="","",Year2_Southampton Year2_CP_Conference)</f>
        <v>463</v>
      </c>
      <c r="F24" s="94">
        <f>IF(Year3_Southampton Year3_CP_Conference="","",Year3_Southampton Year3_CP_Conference)</f>
        <v>514</v>
      </c>
      <c r="G24" s="94">
        <f>IF(Year4_Southampton Year4_CP_Conference="","",Year4_Southampton Year4_CP_Conference)</f>
        <v>479</v>
      </c>
      <c r="H24" s="95">
        <f>IF(Year5_Southampton Year5_CP_Conference="","",Year5_Southampton Year5_CP_Conference)</f>
        <v>703</v>
      </c>
      <c r="I24" s="344">
        <f t="shared" si="5"/>
        <v>8.5983238876392448E-2</v>
      </c>
      <c r="J24" s="96"/>
      <c r="K24" s="97">
        <f>IF(ISNUMBER(D24),D24/Population!D24*10000,NA())</f>
        <v>112.80487804878048</v>
      </c>
      <c r="L24" s="97">
        <f>IF(ISNUMBER(E24),E24/Population!E24*10000,NA())</f>
        <v>92.785571142284567</v>
      </c>
      <c r="M24" s="97">
        <f>IF(ISNUMBER(F24),F24/Population!F24*10000,NA())</f>
        <v>102.18687872763419</v>
      </c>
      <c r="N24" s="97">
        <f>IF(ISNUMBER(G24),G24/Population!G24*10000,NA())</f>
        <v>94.29133858267717</v>
      </c>
      <c r="O24" s="98">
        <f>IF(ISNUMBER(H24),H24/Population!H24*10000,NA())</f>
        <v>137.03703703703704</v>
      </c>
      <c r="P24" s="99">
        <f t="shared" si="6"/>
        <v>137.03703703703704</v>
      </c>
      <c r="Q24" s="822">
        <f t="shared" si="7"/>
        <v>19</v>
      </c>
      <c r="R24" s="70"/>
      <c r="S24" s="340">
        <f>IDACI!C23</f>
        <v>20.5</v>
      </c>
      <c r="T24" s="341">
        <f t="shared" si="0"/>
        <v>77.622373700455668</v>
      </c>
      <c r="U24" s="342">
        <f t="shared" si="8"/>
        <v>59.41466333658137</v>
      </c>
      <c r="V24" s="122"/>
      <c r="W24" s="139"/>
      <c r="X24" s="152"/>
      <c r="Y24" s="72" t="str">
        <f t="shared" si="1"/>
        <v>Southampton</v>
      </c>
      <c r="Z24" s="44">
        <f>IF(ISNUMBER(H24),IDACI!D23,0)</f>
        <v>44295</v>
      </c>
      <c r="AA24" s="44">
        <f>IF(ISNUMBER(H24),IDACI!E23,0)</f>
        <v>9080.4750000000004</v>
      </c>
      <c r="AB24" s="205">
        <f>IF(ISNUMBER(D24),Population!D24,"")</f>
        <v>49200</v>
      </c>
      <c r="AC24" s="205">
        <f>IF(ISNUMBER(E24),Population!E24,"")</f>
        <v>49900</v>
      </c>
      <c r="AD24" s="205">
        <f>IF(ISNUMBER(F24),Population!F24,"")</f>
        <v>50300</v>
      </c>
      <c r="AE24" s="205">
        <f>IF(ISNUMBER(G24),Population!G24,"")</f>
        <v>50800</v>
      </c>
      <c r="AF24" s="205">
        <f>IF(ISNUMBER(H24),Population!H24,"")</f>
        <v>51300</v>
      </c>
      <c r="AG24" s="93" t="s">
        <v>7</v>
      </c>
      <c r="AH24" s="231">
        <f t="shared" si="9"/>
        <v>32.448824867323729</v>
      </c>
      <c r="AI24" s="206">
        <f t="shared" si="10"/>
        <v>1</v>
      </c>
      <c r="AJ24" s="202"/>
      <c r="AK24" s="160"/>
      <c r="AL24" s="853">
        <f t="shared" si="11"/>
        <v>-0.16576576576576577</v>
      </c>
      <c r="AM24" s="853">
        <f t="shared" si="11"/>
        <v>0.1101511879049676</v>
      </c>
      <c r="AN24" s="853">
        <f t="shared" si="11"/>
        <v>-6.8093385214007776E-2</v>
      </c>
      <c r="AO24" s="853">
        <f t="shared" si="11"/>
        <v>0.46764091858037576</v>
      </c>
      <c r="AP24" s="853">
        <f t="shared" si="12"/>
        <v>8.5983238876392448E-2</v>
      </c>
      <c r="AR24" s="936">
        <f t="shared" si="2"/>
        <v>92.785571142284567</v>
      </c>
      <c r="AS24" s="936">
        <f t="shared" si="2"/>
        <v>102.18687872763419</v>
      </c>
      <c r="AT24" s="936">
        <f t="shared" si="2"/>
        <v>94.29133858267717</v>
      </c>
      <c r="AU24" s="936">
        <f t="shared" si="2"/>
        <v>137.03703703703704</v>
      </c>
      <c r="AV24" s="936">
        <f t="shared" ref="AV24:AV33" si="14">SUM(AR24:AU24)</f>
        <v>426.30082548963298</v>
      </c>
      <c r="AW24" s="575">
        <f t="shared" ref="AW24:AW33" si="15">COUNTBLANK(AR24:AU24)</f>
        <v>0</v>
      </c>
      <c r="AX24" s="936">
        <f t="shared" si="13"/>
        <v>426.30082548963298</v>
      </c>
    </row>
    <row r="25" spans="1:50" s="87" customFormat="1" ht="13.5" customHeight="1" x14ac:dyDescent="0.2">
      <c r="A25" s="488">
        <f>VLOOKUP(B25,Sheet1!$AQ$4:$AR$25,2,FALSE)</f>
        <v>0</v>
      </c>
      <c r="B25" s="93" t="str">
        <f>Sheet1!$K$19</f>
        <v>Surrey</v>
      </c>
      <c r="C25" s="85"/>
      <c r="D25" s="94">
        <f>IF(Year1_Surrey Year1_CP_Conference="","",Year1_Surrey Year1_CP_Conference)</f>
        <v>1220</v>
      </c>
      <c r="E25" s="94">
        <f>IF(Year2_Surrey Year2_CP_Conference="","",Year2_Surrey Year2_CP_Conference)</f>
        <v>1352</v>
      </c>
      <c r="F25" s="94">
        <f>IF(Year3_Surrey Year3_CP_Conference="","",Year3_Surrey Year3_CP_Conference)</f>
        <v>1485</v>
      </c>
      <c r="G25" s="94">
        <f>IF(Year4_Surrey Year4_CP_Conference="","",Year4_Surrey Year4_CP_Conference)</f>
        <v>1507</v>
      </c>
      <c r="H25" s="95">
        <f>IF(Year5_Surrey Year5_CP_Conference="","",Year5_Surrey Year5_CP_Conference)</f>
        <v>856</v>
      </c>
      <c r="I25" s="344">
        <f t="shared" si="5"/>
        <v>-5.2649939282115442E-2</v>
      </c>
      <c r="J25" s="96"/>
      <c r="K25" s="97">
        <f>IF(ISNUMBER(D25),D25/Population!D25*10000,NA())</f>
        <v>47.581903276131051</v>
      </c>
      <c r="L25" s="97">
        <f>IF(ISNUMBER(E25),E25/Population!E25*10000,NA())</f>
        <v>52.200772200772207</v>
      </c>
      <c r="M25" s="97">
        <f>IF(ISNUMBER(F25),F25/Population!F25*10000,NA())</f>
        <v>57.049558202074529</v>
      </c>
      <c r="N25" s="97">
        <f>IF(ISNUMBER(G25),G25/Population!G25*10000,NA())</f>
        <v>57.541046200840022</v>
      </c>
      <c r="O25" s="98">
        <f>IF(ISNUMBER(H25),H25/Population!H25*10000,NA())</f>
        <v>32.448824867323729</v>
      </c>
      <c r="P25" s="99">
        <f t="shared" si="6"/>
        <v>32.448824867323729</v>
      </c>
      <c r="Q25" s="822">
        <f t="shared" si="7"/>
        <v>1</v>
      </c>
      <c r="R25" s="70"/>
      <c r="S25" s="340">
        <f>IDACI!C24</f>
        <v>8.3000000000000007</v>
      </c>
      <c r="T25" s="341">
        <f t="shared" si="0"/>
        <v>44.622961883029149</v>
      </c>
      <c r="U25" s="342">
        <f t="shared" si="8"/>
        <v>-12.174137015705419</v>
      </c>
      <c r="V25" s="122"/>
      <c r="W25" s="139"/>
      <c r="X25" s="152"/>
      <c r="Y25" s="72" t="str">
        <f t="shared" si="1"/>
        <v>Surrey</v>
      </c>
      <c r="Z25" s="44">
        <f>IF(ISNUMBER(H25),IDACI!D24,0)</f>
        <v>228466</v>
      </c>
      <c r="AA25" s="44">
        <f>IF(ISNUMBER(H25),IDACI!E24,0)</f>
        <v>18962.678</v>
      </c>
      <c r="AB25" s="205">
        <f>IF(ISNUMBER(D25),Population!D25,"")</f>
        <v>256400</v>
      </c>
      <c r="AC25" s="205">
        <f>IF(ISNUMBER(E25),Population!E25,"")</f>
        <v>259000</v>
      </c>
      <c r="AD25" s="205">
        <f>IF(ISNUMBER(F25),Population!F25,"")</f>
        <v>260300</v>
      </c>
      <c r="AE25" s="205">
        <f>IF(ISNUMBER(G25),Population!G25,"")</f>
        <v>261900</v>
      </c>
      <c r="AF25" s="205">
        <f>IF(ISNUMBER(H25),Population!H25,"")</f>
        <v>263800</v>
      </c>
      <c r="AG25" s="93" t="s">
        <v>15</v>
      </c>
      <c r="AH25" s="231">
        <f t="shared" si="9"/>
        <v>60.112359550561798</v>
      </c>
      <c r="AI25" s="206">
        <f t="shared" si="10"/>
        <v>7</v>
      </c>
      <c r="AJ25" s="202"/>
      <c r="AK25" s="160"/>
      <c r="AL25" s="853">
        <f t="shared" si="11"/>
        <v>0.10819672131147541</v>
      </c>
      <c r="AM25" s="853">
        <f t="shared" si="11"/>
        <v>9.837278106508876E-2</v>
      </c>
      <c r="AN25" s="853">
        <f t="shared" si="11"/>
        <v>1.4814814814814815E-2</v>
      </c>
      <c r="AO25" s="853">
        <f t="shared" si="11"/>
        <v>-0.43198407431984076</v>
      </c>
      <c r="AP25" s="853">
        <f t="shared" si="12"/>
        <v>-5.2649939282115442E-2</v>
      </c>
      <c r="AR25" s="936">
        <f t="shared" si="2"/>
        <v>52.200772200772207</v>
      </c>
      <c r="AS25" s="936">
        <f t="shared" si="2"/>
        <v>57.049558202074529</v>
      </c>
      <c r="AT25" s="936">
        <f t="shared" si="2"/>
        <v>57.541046200840022</v>
      </c>
      <c r="AU25" s="936">
        <f t="shared" si="2"/>
        <v>32.448824867323729</v>
      </c>
      <c r="AV25" s="936">
        <f t="shared" si="14"/>
        <v>199.24020147101049</v>
      </c>
      <c r="AW25" s="575">
        <f t="shared" si="15"/>
        <v>0</v>
      </c>
      <c r="AX25" s="936">
        <f t="shared" si="13"/>
        <v>199.24020147101049</v>
      </c>
    </row>
    <row r="26" spans="1:50" s="87" customFormat="1" ht="13.5" customHeight="1" x14ac:dyDescent="0.2">
      <c r="A26" s="488">
        <f>VLOOKUP(B26,Sheet1!$AQ$4:$AR$25,2,FALSE)</f>
        <v>0</v>
      </c>
      <c r="B26" s="93" t="str">
        <f>Sheet1!$K$20</f>
        <v>Swindon</v>
      </c>
      <c r="C26" s="85"/>
      <c r="D26" s="94">
        <f>IF(Year1_Swindon Year1_CP_Conference="","",Year1_Swindon Year1_CP_Conference)</f>
        <v>346</v>
      </c>
      <c r="E26" s="94">
        <f>IF(Year2_Swindon Year2_CP_Conference="","",Year2_Swindon Year2_CP_Conference)</f>
        <v>387</v>
      </c>
      <c r="F26" s="94">
        <f>IF(Year3_Swindon Year3_CP_Conference="","",Year3_Swindon Year3_CP_Conference)</f>
        <v>574</v>
      </c>
      <c r="G26" s="94">
        <f>IF(Year4_Swindon Year4_CP_Conference="","",Year4_Swindon Year4_CP_Conference)</f>
        <v>495</v>
      </c>
      <c r="H26" s="95">
        <f>IF(Year5_Swindon Year5_CP_Conference="","",Year5_Swindon Year5_CP_Conference)</f>
        <v>278</v>
      </c>
      <c r="I26" s="344">
        <f t="shared" si="5"/>
        <v>6.4216859471925986E-3</v>
      </c>
      <c r="J26" s="96"/>
      <c r="K26" s="97">
        <f>IF(ISNUMBER(D26),D26/Population!D26*10000,NA())</f>
        <v>70.612244897959187</v>
      </c>
      <c r="L26" s="97">
        <f>IF(ISNUMBER(E26),E26/Population!E26*10000,NA())</f>
        <v>78.181818181818173</v>
      </c>
      <c r="M26" s="97">
        <f>IF(ISNUMBER(F26),F26/Population!F26*10000,NA())</f>
        <v>115.03006012024048</v>
      </c>
      <c r="N26" s="97">
        <f>IF(ISNUMBER(G26),G26/Population!G26*10000,NA())</f>
        <v>98.605577689243034</v>
      </c>
      <c r="O26" s="98">
        <f>IF(ISNUMBER(H26),H26/Population!H26*10000,NA())</f>
        <v>55.158730158730158</v>
      </c>
      <c r="P26" s="99">
        <f t="shared" si="6"/>
        <v>55.158730158730158</v>
      </c>
      <c r="Q26" s="807" t="str">
        <f t="shared" si="7"/>
        <v>--</v>
      </c>
      <c r="R26" s="70"/>
      <c r="S26" s="340">
        <f>IDACI!C25</f>
        <v>14.899999999999999</v>
      </c>
      <c r="T26" s="341">
        <f t="shared" si="0"/>
        <v>62.475102702292666</v>
      </c>
      <c r="U26" s="342">
        <f t="shared" si="8"/>
        <v>-7.3163725435625082</v>
      </c>
      <c r="V26" s="122"/>
      <c r="W26" s="139"/>
      <c r="X26" s="152"/>
      <c r="Y26" s="72" t="str">
        <f t="shared" si="1"/>
        <v>Swindon</v>
      </c>
      <c r="Z26" s="44">
        <f>IF(ISNUMBER(H26),IDACI!D25,0)</f>
        <v>43899</v>
      </c>
      <c r="AA26" s="44">
        <f>IF(ISNUMBER(H26),IDACI!E25,0)</f>
        <v>6540.951</v>
      </c>
      <c r="AB26" s="205">
        <f>IF(ISNUMBER(D26),Population!D26,"")</f>
        <v>49000</v>
      </c>
      <c r="AC26" s="205">
        <f>IF(ISNUMBER(E26),Population!E26,"")</f>
        <v>49500</v>
      </c>
      <c r="AD26" s="205">
        <f>IF(ISNUMBER(F26),Population!F26,"")</f>
        <v>49900</v>
      </c>
      <c r="AE26" s="205">
        <f>IF(ISNUMBER(G26),Population!G26,"")</f>
        <v>50200</v>
      </c>
      <c r="AF26" s="205">
        <f>IF(ISNUMBER(H26),Population!H26,"")</f>
        <v>50400</v>
      </c>
      <c r="AG26" s="93" t="s">
        <v>5</v>
      </c>
      <c r="AH26" s="231">
        <f t="shared" si="9"/>
        <v>76.093128904031801</v>
      </c>
      <c r="AI26" s="206">
        <f t="shared" si="10"/>
        <v>12</v>
      </c>
      <c r="AJ26" s="202"/>
      <c r="AK26" s="160"/>
      <c r="AL26" s="853">
        <f t="shared" si="11"/>
        <v>0.11849710982658959</v>
      </c>
      <c r="AM26" s="853">
        <f t="shared" si="11"/>
        <v>0.48320413436692505</v>
      </c>
      <c r="AN26" s="853">
        <f t="shared" si="11"/>
        <v>-0.13763066202090593</v>
      </c>
      <c r="AO26" s="853">
        <f t="shared" si="11"/>
        <v>-0.43838383838383838</v>
      </c>
      <c r="AP26" s="853">
        <f t="shared" si="12"/>
        <v>6.4216859471925986E-3</v>
      </c>
      <c r="AR26" s="936">
        <f t="shared" ref="AR26:AU33" si="16">IF(ISNUMBER(L26),L26,"")</f>
        <v>78.181818181818173</v>
      </c>
      <c r="AS26" s="936">
        <f t="shared" si="16"/>
        <v>115.03006012024048</v>
      </c>
      <c r="AT26" s="936">
        <f t="shared" si="16"/>
        <v>98.605577689243034</v>
      </c>
      <c r="AU26" s="936">
        <f t="shared" si="16"/>
        <v>55.158730158730158</v>
      </c>
      <c r="AV26" s="936">
        <f t="shared" si="14"/>
        <v>346.97618615003188</v>
      </c>
      <c r="AW26" s="575">
        <f t="shared" si="15"/>
        <v>0</v>
      </c>
      <c r="AX26" s="936">
        <f t="shared" si="13"/>
        <v>346.97618615003188</v>
      </c>
    </row>
    <row r="27" spans="1:50" s="87" customFormat="1" ht="13.5" customHeight="1" x14ac:dyDescent="0.2">
      <c r="A27" s="488">
        <f>VLOOKUP(B27,Sheet1!$AQ$4:$AR$25,2,FALSE)</f>
        <v>0</v>
      </c>
      <c r="B27" s="93" t="str">
        <f>Sheet1!$K$21</f>
        <v>Torbay</v>
      </c>
      <c r="C27" s="85"/>
      <c r="D27" s="94">
        <f>IF(Year1_Torbay Year1_CP_Conference="","",Year1_Torbay Year1_CP_Conference)</f>
        <v>325</v>
      </c>
      <c r="E27" s="94">
        <f>IF(Year2_Torbay Year2_CP_Conference="","",Year2_Torbay Year2_CP_Conference)</f>
        <v>362</v>
      </c>
      <c r="F27" s="94">
        <f>IF(Year3_Torbay Year3_CP_Conference="","",Year3_Torbay Year3_CP_Conference)</f>
        <v>362</v>
      </c>
      <c r="G27" s="94">
        <f>IF(Year4_Torbay Year4_CP_Conference="","",Year4_Torbay Year4_CP_Conference)</f>
        <v>307</v>
      </c>
      <c r="H27" s="95">
        <f>IF(Year5_Torbay Year5_CP_Conference="","",Year5_Torbay Year5_CP_Conference)</f>
        <v>311</v>
      </c>
      <c r="I27" s="344">
        <f t="shared" si="5"/>
        <v>-6.2645579625981666E-3</v>
      </c>
      <c r="J27" s="96"/>
      <c r="K27" s="97">
        <f>IF(ISNUMBER(D27),D27/Population!D27*10000,NA())</f>
        <v>128.96825396825395</v>
      </c>
      <c r="L27" s="97">
        <f>IF(ISNUMBER(E27),E27/Population!E27*10000,NA())</f>
        <v>142.51968503937007</v>
      </c>
      <c r="M27" s="97">
        <f>IF(ISNUMBER(F27),F27/Population!F27*10000,NA())</f>
        <v>142.51968503937007</v>
      </c>
      <c r="N27" s="97">
        <f>IF(ISNUMBER(G27),G27/Population!G27*10000,NA())</f>
        <v>120.86614173228345</v>
      </c>
      <c r="O27" s="98">
        <f>IF(ISNUMBER(H27),H27/Population!H27*10000,NA())</f>
        <v>121.484375</v>
      </c>
      <c r="P27" s="99">
        <f t="shared" si="6"/>
        <v>121.484375</v>
      </c>
      <c r="Q27" s="807" t="str">
        <f t="shared" si="7"/>
        <v>--</v>
      </c>
      <c r="R27" s="70"/>
      <c r="S27" s="340">
        <f>IDACI!C26</f>
        <v>21.9</v>
      </c>
      <c r="T27" s="341">
        <f t="shared" si="0"/>
        <v>81.409191449996413</v>
      </c>
      <c r="U27" s="342">
        <f t="shared" si="8"/>
        <v>40.075183550003587</v>
      </c>
      <c r="V27" s="122"/>
      <c r="W27" s="139"/>
      <c r="X27" s="152"/>
      <c r="Y27" s="72" t="str">
        <f t="shared" si="1"/>
        <v>Torbay</v>
      </c>
      <c r="Z27" s="44">
        <f>IF(ISNUMBER(H27),IDACI!D26,0)</f>
        <v>22257</v>
      </c>
      <c r="AA27" s="44">
        <f>IF(ISNUMBER(H27),IDACI!E26,0)</f>
        <v>4874.2829999999994</v>
      </c>
      <c r="AB27" s="205">
        <f>IF(ISNUMBER(D27),Population!D27,"")</f>
        <v>25200</v>
      </c>
      <c r="AC27" s="205">
        <f>IF(ISNUMBER(E27),Population!E27,"")</f>
        <v>25400</v>
      </c>
      <c r="AD27" s="205">
        <f>IF(ISNUMBER(F27),Population!F27,"")</f>
        <v>25400</v>
      </c>
      <c r="AE27" s="205">
        <f>IF(ISNUMBER(G27),Population!G27,"")</f>
        <v>25400</v>
      </c>
      <c r="AF27" s="205">
        <f>IF(ISNUMBER(H27),Population!H27,"")</f>
        <v>25600</v>
      </c>
      <c r="AG27" s="93" t="s">
        <v>30</v>
      </c>
      <c r="AH27" s="231">
        <f t="shared" si="9"/>
        <v>74.639769452449571</v>
      </c>
      <c r="AI27" s="206">
        <f t="shared" si="10"/>
        <v>11</v>
      </c>
      <c r="AJ27" s="202"/>
      <c r="AK27" s="160"/>
      <c r="AL27" s="853">
        <f t="shared" si="11"/>
        <v>0.11384615384615385</v>
      </c>
      <c r="AM27" s="853">
        <f t="shared" si="11"/>
        <v>0</v>
      </c>
      <c r="AN27" s="853">
        <f t="shared" si="11"/>
        <v>-0.15193370165745856</v>
      </c>
      <c r="AO27" s="853">
        <f t="shared" si="11"/>
        <v>1.3029315960912053E-2</v>
      </c>
      <c r="AP27" s="853">
        <f t="shared" si="12"/>
        <v>-6.2645579625981666E-3</v>
      </c>
      <c r="AR27" s="936">
        <f t="shared" si="16"/>
        <v>142.51968503937007</v>
      </c>
      <c r="AS27" s="936">
        <f t="shared" si="16"/>
        <v>142.51968503937007</v>
      </c>
      <c r="AT27" s="936">
        <f t="shared" si="16"/>
        <v>120.86614173228345</v>
      </c>
      <c r="AU27" s="936">
        <f t="shared" si="16"/>
        <v>121.484375</v>
      </c>
      <c r="AV27" s="936">
        <f t="shared" si="14"/>
        <v>527.38988681102364</v>
      </c>
      <c r="AW27" s="575">
        <f t="shared" si="15"/>
        <v>0</v>
      </c>
      <c r="AX27" s="936">
        <f t="shared" si="13"/>
        <v>527.38988681102364</v>
      </c>
    </row>
    <row r="28" spans="1:50" s="87" customFormat="1" ht="13.5" customHeight="1" x14ac:dyDescent="0.2">
      <c r="A28" s="488">
        <f>VLOOKUP(B28,Sheet1!$AQ$4:$AR$25,2,FALSE)</f>
        <v>0</v>
      </c>
      <c r="B28" s="93" t="str">
        <f>Sheet1!$K$22</f>
        <v>West Berkshire</v>
      </c>
      <c r="C28" s="85"/>
      <c r="D28" s="94">
        <f>IF(Year1_West_Berkshire Year1_CP_Conference="","",Year1_West_Berkshire Year1_CP_Conference)</f>
        <v>240</v>
      </c>
      <c r="E28" s="100">
        <f>IF(Year2_West_Berkshire Year2_CP_Conference="","",Year2_West_Berkshire Year2_CP_Conference)</f>
        <v>248</v>
      </c>
      <c r="F28" s="94">
        <f>IF(Year3_West_Berkshire Year3_CP_Conference="","",Year3_West_Berkshire Year3_CP_Conference)</f>
        <v>275</v>
      </c>
      <c r="G28" s="94">
        <f>IF(Year4_West_Berkshire Year4_CP_Conference="","",Year4_West_Berkshire Year4_CP_Conference)</f>
        <v>259</v>
      </c>
      <c r="H28" s="95">
        <f>IF(Year5_West_Berkshire Year5_CP_Conference="","",Year5_West_Berkshire Year5_CP_Conference)</f>
        <v>214</v>
      </c>
      <c r="I28" s="344">
        <f t="shared" si="5"/>
        <v>-2.2430672712930779E-2</v>
      </c>
      <c r="J28" s="96"/>
      <c r="K28" s="97">
        <f>IF(ISNUMBER(D28),D28/Population!D28*10000,NA())</f>
        <v>67.226890756302524</v>
      </c>
      <c r="L28" s="97">
        <f>IF(ISNUMBER(E28),E28/Population!E28*10000,NA())</f>
        <v>69.080779944289688</v>
      </c>
      <c r="M28" s="97">
        <f>IF(ISNUMBER(F28),F28/Population!F28*10000,NA())</f>
        <v>76.815642458100555</v>
      </c>
      <c r="N28" s="97">
        <f>IF(ISNUMBER(G28),G28/Population!G28*10000,NA())</f>
        <v>72.752808988764045</v>
      </c>
      <c r="O28" s="98">
        <f>IF(ISNUMBER(H28),H28/Population!H28*10000,NA())</f>
        <v>60.112359550561798</v>
      </c>
      <c r="P28" s="99">
        <f t="shared" si="6"/>
        <v>60.112359550561798</v>
      </c>
      <c r="Q28" s="822">
        <f t="shared" si="7"/>
        <v>7</v>
      </c>
      <c r="R28" s="70"/>
      <c r="S28" s="340">
        <f>IDACI!C27</f>
        <v>8.6999999999999993</v>
      </c>
      <c r="T28" s="341">
        <f t="shared" si="0"/>
        <v>45.704909811469356</v>
      </c>
      <c r="U28" s="342">
        <f t="shared" si="8"/>
        <v>14.407449739092442</v>
      </c>
      <c r="V28" s="122"/>
      <c r="W28" s="139"/>
      <c r="X28" s="152"/>
      <c r="Y28" s="72" t="str">
        <f t="shared" si="1"/>
        <v>West Berkshire</v>
      </c>
      <c r="Z28" s="44">
        <f>IF(ISNUMBER(H28),IDACI!D27,0)</f>
        <v>31625</v>
      </c>
      <c r="AA28" s="44">
        <f>IF(ISNUMBER(H28),IDACI!E27,0)</f>
        <v>2751.375</v>
      </c>
      <c r="AB28" s="205">
        <f>IF(ISNUMBER(D28),Population!D28,"")</f>
        <v>35700</v>
      </c>
      <c r="AC28" s="205">
        <f>IF(ISNUMBER(E28),Population!E28,"")</f>
        <v>35900</v>
      </c>
      <c r="AD28" s="205">
        <f>IF(ISNUMBER(F28),Population!F28,"")</f>
        <v>35800</v>
      </c>
      <c r="AE28" s="205">
        <f>IF(ISNUMBER(G28),Population!G28,"")</f>
        <v>35600</v>
      </c>
      <c r="AF28" s="205">
        <f>IF(ISNUMBER(H28),Population!H28,"")</f>
        <v>35600</v>
      </c>
      <c r="AG28" s="93" t="s">
        <v>16</v>
      </c>
      <c r="AH28" s="231">
        <f t="shared" si="9"/>
        <v>50.990099009900995</v>
      </c>
      <c r="AI28" s="206">
        <f t="shared" si="10"/>
        <v>4</v>
      </c>
      <c r="AJ28" s="202"/>
      <c r="AK28" s="160"/>
      <c r="AL28" s="853">
        <f t="shared" si="11"/>
        <v>3.3333333333333333E-2</v>
      </c>
      <c r="AM28" s="853">
        <f t="shared" si="11"/>
        <v>0.10887096774193548</v>
      </c>
      <c r="AN28" s="853">
        <f t="shared" si="11"/>
        <v>-5.8181818181818182E-2</v>
      </c>
      <c r="AO28" s="853">
        <f t="shared" si="11"/>
        <v>-0.17374517374517376</v>
      </c>
      <c r="AP28" s="853">
        <f t="shared" si="12"/>
        <v>-2.2430672712930779E-2</v>
      </c>
      <c r="AR28" s="936">
        <f t="shared" si="16"/>
        <v>69.080779944289688</v>
      </c>
      <c r="AS28" s="936">
        <f t="shared" si="16"/>
        <v>76.815642458100555</v>
      </c>
      <c r="AT28" s="936">
        <f t="shared" si="16"/>
        <v>72.752808988764045</v>
      </c>
      <c r="AU28" s="936">
        <f t="shared" si="16"/>
        <v>60.112359550561798</v>
      </c>
      <c r="AV28" s="936">
        <f t="shared" si="14"/>
        <v>278.76159094171607</v>
      </c>
      <c r="AW28" s="575">
        <f t="shared" si="15"/>
        <v>0</v>
      </c>
      <c r="AX28" s="936">
        <f t="shared" si="13"/>
        <v>278.76159094171607</v>
      </c>
    </row>
    <row r="29" spans="1:50" s="87" customFormat="1" ht="13.5" customHeight="1" x14ac:dyDescent="0.2">
      <c r="A29" s="488">
        <f>VLOOKUP(B29,Sheet1!$AQ$4:$AR$25,2,FALSE)</f>
        <v>0</v>
      </c>
      <c r="B29" s="93" t="str">
        <f>Sheet1!$K$23</f>
        <v>West Sussex</v>
      </c>
      <c r="C29" s="85"/>
      <c r="D29" s="94">
        <f>IF(Year1_West_Sussex Year1_CP_Conference="","",Year1_West_Sussex Year1_CP_Conference)</f>
        <v>671</v>
      </c>
      <c r="E29" s="100">
        <f>IF(Year2_West_Sussex Year2_CP_Conference="","",Year2_West_Sussex Year2_CP_Conference)</f>
        <v>680</v>
      </c>
      <c r="F29" s="94">
        <f>IF(Year3_West_Sussex Year3_CP_Conference="","",Year3_West_Sussex Year3_CP_Conference)</f>
        <v>1079</v>
      </c>
      <c r="G29" s="94">
        <f>IF(Year4_West_Sussex Year4_CP_Conference="","",Year4_West_Sussex Year4_CP_Conference)</f>
        <v>874</v>
      </c>
      <c r="H29" s="95">
        <f>IF(Year5_West_Sussex Year5_CP_Conference="","",Year5_West_Sussex Year5_CP_Conference)</f>
        <v>1340</v>
      </c>
      <c r="I29" s="344">
        <f t="shared" si="5"/>
        <v>0.23584189211162196</v>
      </c>
      <c r="J29" s="96"/>
      <c r="K29" s="97">
        <f>IF(ISNUMBER(D29),D29/Population!D29*10000,NA())</f>
        <v>39.377934272300465</v>
      </c>
      <c r="L29" s="97">
        <f>IF(ISNUMBER(E29),E29/Population!E29*10000,NA())</f>
        <v>39.580908032596035</v>
      </c>
      <c r="M29" s="97">
        <f>IF(ISNUMBER(F29),F29/Population!F29*10000,NA())</f>
        <v>62.261973456433928</v>
      </c>
      <c r="N29" s="97">
        <f>IF(ISNUMBER(G29),G29/Population!G29*10000,NA())</f>
        <v>50.028620492272466</v>
      </c>
      <c r="O29" s="98">
        <f>IF(ISNUMBER(H29),H29/Population!H29*10000,NA())</f>
        <v>76.093128904031801</v>
      </c>
      <c r="P29" s="99">
        <f t="shared" si="6"/>
        <v>76.093128904031801</v>
      </c>
      <c r="Q29" s="822">
        <f t="shared" si="7"/>
        <v>12</v>
      </c>
      <c r="R29" s="70"/>
      <c r="S29" s="340">
        <f>IDACI!C28</f>
        <v>11</v>
      </c>
      <c r="T29" s="341">
        <f t="shared" si="0"/>
        <v>51.926110400000589</v>
      </c>
      <c r="U29" s="342">
        <f t="shared" si="8"/>
        <v>24.167018504031212</v>
      </c>
      <c r="V29" s="122"/>
      <c r="W29" s="139"/>
      <c r="X29" s="152"/>
      <c r="Y29" s="72" t="str">
        <f t="shared" si="1"/>
        <v>West Sussex</v>
      </c>
      <c r="Z29" s="44">
        <f>IF(ISNUMBER(H29),IDACI!D28,0)</f>
        <v>151487</v>
      </c>
      <c r="AA29" s="44">
        <f>IF(ISNUMBER(H29),IDACI!E28,0)</f>
        <v>16663.57</v>
      </c>
      <c r="AB29" s="205">
        <f>IF(ISNUMBER(D29),Population!D29,"")</f>
        <v>170400</v>
      </c>
      <c r="AC29" s="205">
        <f>IF(ISNUMBER(E29),Population!E29,"")</f>
        <v>171800</v>
      </c>
      <c r="AD29" s="205">
        <f>IF(ISNUMBER(F29),Population!F29,"")</f>
        <v>173300</v>
      </c>
      <c r="AE29" s="205">
        <f>IF(ISNUMBER(G29),Population!G29,"")</f>
        <v>174700</v>
      </c>
      <c r="AF29" s="205">
        <f>IF(ISNUMBER(H29),Population!H29,"")</f>
        <v>176100</v>
      </c>
      <c r="AG29" s="202"/>
      <c r="AH29" s="202"/>
      <c r="AI29" s="190"/>
      <c r="AJ29" s="202"/>
      <c r="AK29" s="160"/>
      <c r="AL29" s="853">
        <f t="shared" si="11"/>
        <v>1.3412816691505217E-2</v>
      </c>
      <c r="AM29" s="853">
        <f t="shared" si="11"/>
        <v>0.58676470588235297</v>
      </c>
      <c r="AN29" s="853">
        <f t="shared" si="11"/>
        <v>-0.18999073215940684</v>
      </c>
      <c r="AO29" s="853">
        <f t="shared" si="11"/>
        <v>0.53318077803203656</v>
      </c>
      <c r="AP29" s="853">
        <f t="shared" si="12"/>
        <v>0.23584189211162196</v>
      </c>
      <c r="AR29" s="936">
        <f t="shared" si="16"/>
        <v>39.580908032596035</v>
      </c>
      <c r="AS29" s="936">
        <f t="shared" si="16"/>
        <v>62.261973456433928</v>
      </c>
      <c r="AT29" s="936">
        <f t="shared" si="16"/>
        <v>50.028620492272466</v>
      </c>
      <c r="AU29" s="936">
        <f t="shared" si="16"/>
        <v>76.093128904031801</v>
      </c>
      <c r="AV29" s="936">
        <f t="shared" si="14"/>
        <v>227.96463088533423</v>
      </c>
      <c r="AW29" s="575">
        <f t="shared" si="15"/>
        <v>0</v>
      </c>
      <c r="AX29" s="936">
        <f t="shared" si="13"/>
        <v>227.96463088533423</v>
      </c>
    </row>
    <row r="30" spans="1:50" s="87" customFormat="1" ht="13.5" customHeight="1" x14ac:dyDescent="0.2">
      <c r="A30" s="488">
        <f>VLOOKUP(B30,Sheet1!$AQ$4:$AR$25,2,FALSE)</f>
        <v>0</v>
      </c>
      <c r="B30" s="93" t="str">
        <f>Sheet1!$K$24</f>
        <v>Windsor &amp; Maidenhead</v>
      </c>
      <c r="C30" s="85"/>
      <c r="D30" s="100">
        <f>IF(Year1_Windsor_Maidenhead Year1_CP_Conference="","",Year1_Windsor_Maidenhead Year1_CP_Conference)</f>
        <v>200</v>
      </c>
      <c r="E30" s="94">
        <f>IF(Year2_Windsor_Maidenhead Year2_CP_Conference="","",Year2_Windsor_Maidenhead Year2_CP_Conference)</f>
        <v>194</v>
      </c>
      <c r="F30" s="94">
        <f>IF(Year3_Windsor_Maidenhead Year3_CP_Conference="","",Year3_Windsor_Maidenhead Year3_CP_Conference)</f>
        <v>137</v>
      </c>
      <c r="G30" s="94">
        <f>IF(Year4_Windsor_Maidenhead Year4_CP_Conference="","",Year4_Windsor_Maidenhead Year4_CP_Conference)</f>
        <v>121</v>
      </c>
      <c r="H30" s="95">
        <f>IF(Year5_Windsor_Maidenhead Year5_CP_Conference="","",Year5_Windsor_Maidenhead Year5_CP_Conference)</f>
        <v>259</v>
      </c>
      <c r="I30" s="344">
        <f t="shared" si="5"/>
        <v>0.17497327840275528</v>
      </c>
      <c r="J30" s="96"/>
      <c r="K30" s="97">
        <f>IF(ISNUMBER(D30),D30/Population!D30*10000,NA())</f>
        <v>59.347181008902076</v>
      </c>
      <c r="L30" s="97">
        <f>IF(ISNUMBER(E30),E30/Population!E30*10000,NA())</f>
        <v>56.725146198830409</v>
      </c>
      <c r="M30" s="97">
        <f>IF(ISNUMBER(F30),F30/Population!F30*10000,NA())</f>
        <v>39.825581395348834</v>
      </c>
      <c r="N30" s="97">
        <f>IF(ISNUMBER(G30),G30/Population!G30*10000,NA())</f>
        <v>34.971098265895954</v>
      </c>
      <c r="O30" s="98">
        <f>IF(ISNUMBER(H30),H30/Population!H30*10000,NA())</f>
        <v>74.639769452449571</v>
      </c>
      <c r="P30" s="99">
        <f t="shared" si="6"/>
        <v>74.639769452449571</v>
      </c>
      <c r="Q30" s="822">
        <f t="shared" si="7"/>
        <v>11</v>
      </c>
      <c r="R30" s="70"/>
      <c r="S30" s="340">
        <f>IDACI!C29</f>
        <v>6.7</v>
      </c>
      <c r="T30" s="341">
        <f t="shared" si="0"/>
        <v>40.295170169268289</v>
      </c>
      <c r="U30" s="342">
        <f t="shared" si="8"/>
        <v>34.344599283181282</v>
      </c>
      <c r="V30" s="122"/>
      <c r="W30" s="139"/>
      <c r="X30" s="152"/>
      <c r="Y30" s="72" t="str">
        <f t="shared" si="1"/>
        <v>Windsor &amp; Maidenhead</v>
      </c>
      <c r="Z30" s="44">
        <f>IF(ISNUMBER(H30),IDACI!D29,0)</f>
        <v>29792</v>
      </c>
      <c r="AA30" s="44">
        <f>IF(ISNUMBER(H30),IDACI!E29,0)</f>
        <v>1996.0640000000001</v>
      </c>
      <c r="AB30" s="205">
        <f>IF(ISNUMBER(D30),Population!D30,"")</f>
        <v>33700</v>
      </c>
      <c r="AC30" s="205">
        <f>IF(ISNUMBER(E30),Population!E30,"")</f>
        <v>34200</v>
      </c>
      <c r="AD30" s="205">
        <f>IF(ISNUMBER(F30),Population!F30,"")</f>
        <v>34400</v>
      </c>
      <c r="AE30" s="205">
        <f>IF(ISNUMBER(G30),Population!G30,"")</f>
        <v>34600</v>
      </c>
      <c r="AF30" s="205">
        <f>IF(ISNUMBER(H30),Population!H30,"")</f>
        <v>34700</v>
      </c>
      <c r="AG30" s="202"/>
      <c r="AH30" s="202"/>
      <c r="AI30" s="190"/>
      <c r="AJ30" s="202"/>
      <c r="AK30" s="160"/>
      <c r="AL30" s="853">
        <f t="shared" si="11"/>
        <v>-0.03</v>
      </c>
      <c r="AM30" s="853">
        <f t="shared" si="11"/>
        <v>-0.29381443298969073</v>
      </c>
      <c r="AN30" s="853">
        <f t="shared" si="11"/>
        <v>-0.11678832116788321</v>
      </c>
      <c r="AO30" s="853">
        <f t="shared" si="11"/>
        <v>1.140495867768595</v>
      </c>
      <c r="AP30" s="853">
        <f t="shared" si="12"/>
        <v>0.17497327840275528</v>
      </c>
      <c r="AR30" s="936">
        <f t="shared" si="16"/>
        <v>56.725146198830409</v>
      </c>
      <c r="AS30" s="936">
        <f t="shared" si="16"/>
        <v>39.825581395348834</v>
      </c>
      <c r="AT30" s="936">
        <f t="shared" si="16"/>
        <v>34.971098265895954</v>
      </c>
      <c r="AU30" s="936">
        <f t="shared" si="16"/>
        <v>74.639769452449571</v>
      </c>
      <c r="AV30" s="936">
        <f t="shared" si="14"/>
        <v>206.16159531252478</v>
      </c>
      <c r="AW30" s="575">
        <f t="shared" si="15"/>
        <v>0</v>
      </c>
      <c r="AX30" s="936">
        <f>AV30/(4-AW30)*4</f>
        <v>206.16159531252478</v>
      </c>
    </row>
    <row r="31" spans="1:50" s="87" customFormat="1" ht="13.5" customHeight="1" x14ac:dyDescent="0.2">
      <c r="A31" s="488">
        <f>VLOOKUP(B31,Sheet1!$AQ$4:$AR$25,2,FALSE)</f>
        <v>0</v>
      </c>
      <c r="B31" s="93" t="str">
        <f>Sheet1!$K$25</f>
        <v>Wokingham</v>
      </c>
      <c r="C31" s="85"/>
      <c r="D31" s="100">
        <f>IF(Year1_Wokingham Year1_CP_Conference="","",Year1_Wokingham Year1_CP_Conference)</f>
        <v>145</v>
      </c>
      <c r="E31" s="94">
        <f>IF(Year2_Wokingham Year2_CP_Conference="","",Year2_Wokingham Year2_CP_Conference)</f>
        <v>89</v>
      </c>
      <c r="F31" s="94">
        <f>IF(Year3_Wokingham Year3_CP_Conference="","",Year3_Wokingham Year3_CP_Conference)</f>
        <v>181</v>
      </c>
      <c r="G31" s="94">
        <f>IF(Year4_Wokingham Year4_CP_Conference="","",Year4_Wokingham Year4_CP_Conference)</f>
        <v>256</v>
      </c>
      <c r="H31" s="95">
        <f>IF(Year5_Wokingham Year5_CP_Conference="","",Year5_Wokingham Year5_CP_Conference)</f>
        <v>206</v>
      </c>
      <c r="I31" s="344">
        <f t="shared" si="5"/>
        <v>0.21663827737519831</v>
      </c>
      <c r="J31" s="96"/>
      <c r="K31" s="97">
        <f>IF(ISNUMBER(D31),D31/Population!D31*10000,NA())</f>
        <v>38.873994638069703</v>
      </c>
      <c r="L31" s="97">
        <f>IF(ISNUMBER(E31),E31/Population!E31*10000,NA())</f>
        <v>23.421052631578949</v>
      </c>
      <c r="M31" s="97">
        <f>IF(ISNUMBER(F31),F31/Population!F31*10000,NA())</f>
        <v>46.770025839793277</v>
      </c>
      <c r="N31" s="97">
        <f>IF(ISNUMBER(G31),G31/Population!G31*10000,NA())</f>
        <v>64.810126582278485</v>
      </c>
      <c r="O31" s="98">
        <f>IF(ISNUMBER(H31),H31/Population!H31*10000,NA())</f>
        <v>50.990099009900995</v>
      </c>
      <c r="P31" s="99">
        <f t="shared" si="6"/>
        <v>50.990099009900995</v>
      </c>
      <c r="Q31" s="822">
        <f t="shared" si="7"/>
        <v>4</v>
      </c>
      <c r="R31" s="70"/>
      <c r="S31" s="340">
        <f>IDACI!C30</f>
        <v>5.6000000000000005</v>
      </c>
      <c r="T31" s="341">
        <f t="shared" si="0"/>
        <v>37.319813366057701</v>
      </c>
      <c r="U31" s="342">
        <f t="shared" si="8"/>
        <v>13.670285643843293</v>
      </c>
      <c r="V31" s="122"/>
      <c r="W31" s="139"/>
      <c r="X31" s="152"/>
      <c r="Y31" s="72" t="str">
        <f t="shared" si="1"/>
        <v>Wokingham</v>
      </c>
      <c r="Z31" s="44">
        <f>IF(ISNUMBER(H31),IDACI!D30,0)</f>
        <v>33327</v>
      </c>
      <c r="AA31" s="44">
        <f>IF(ISNUMBER(H31),IDACI!E30,0)</f>
        <v>1866.3120000000004</v>
      </c>
      <c r="AB31" s="205">
        <f>IF(ISNUMBER(D31),Population!D31,"")</f>
        <v>37300</v>
      </c>
      <c r="AC31" s="205">
        <f>IF(ISNUMBER(E31),Population!E31,"")</f>
        <v>38000</v>
      </c>
      <c r="AD31" s="205">
        <f>IF(ISNUMBER(F31),Population!F31,"")</f>
        <v>38700</v>
      </c>
      <c r="AE31" s="205">
        <f>IF(ISNUMBER(G31),Population!G31,"")</f>
        <v>39500</v>
      </c>
      <c r="AF31" s="205">
        <f>IF(ISNUMBER(H31),Population!H31,"")</f>
        <v>40400</v>
      </c>
      <c r="AG31" s="202"/>
      <c r="AH31" s="202"/>
      <c r="AI31" s="190"/>
      <c r="AJ31" s="202"/>
      <c r="AK31" s="160"/>
      <c r="AL31" s="853">
        <f t="shared" si="11"/>
        <v>-0.38620689655172413</v>
      </c>
      <c r="AM31" s="853">
        <f t="shared" si="11"/>
        <v>1.0337078651685394</v>
      </c>
      <c r="AN31" s="853">
        <f t="shared" si="11"/>
        <v>0.4143646408839779</v>
      </c>
      <c r="AO31" s="853">
        <f t="shared" si="11"/>
        <v>-0.1953125</v>
      </c>
      <c r="AP31" s="853">
        <f t="shared" si="12"/>
        <v>0.21663827737519831</v>
      </c>
      <c r="AR31" s="936">
        <f t="shared" si="16"/>
        <v>23.421052631578949</v>
      </c>
      <c r="AS31" s="936">
        <f t="shared" si="16"/>
        <v>46.770025839793277</v>
      </c>
      <c r="AT31" s="936">
        <f t="shared" si="16"/>
        <v>64.810126582278485</v>
      </c>
      <c r="AU31" s="936">
        <f t="shared" si="16"/>
        <v>50.990099009900995</v>
      </c>
      <c r="AV31" s="936">
        <f t="shared" si="14"/>
        <v>185.99130406355172</v>
      </c>
      <c r="AW31" s="575">
        <f t="shared" si="15"/>
        <v>0</v>
      </c>
      <c r="AX31" s="936">
        <f t="shared" si="13"/>
        <v>185.99130406355172</v>
      </c>
    </row>
    <row r="32" spans="1:50" s="87" customFormat="1" ht="13.5" customHeight="1" x14ac:dyDescent="0.2">
      <c r="A32" s="121"/>
      <c r="B32" s="129" t="str">
        <f>Sheet1!$K$26</f>
        <v>South East</v>
      </c>
      <c r="C32" s="85"/>
      <c r="D32" s="130">
        <f>IF(Year1_SouthEast Year1_CP_Conference="","",Year1_SouthEast Year1_CP_Conference)</f>
        <v>11410</v>
      </c>
      <c r="E32" s="130">
        <f>IF(Year2_SouthEast Year2_CP_Conference="","",Year2_SouthEast Year2_CP_Conference)</f>
        <v>11490</v>
      </c>
      <c r="F32" s="130">
        <f>IF(Year3_SouthEast Year3_CP_Conference="","",Year3_SouthEast Year3_CP_Conference)</f>
        <v>12230</v>
      </c>
      <c r="G32" s="130">
        <f>IF(Year4_SouthEast Year4_CP_Conference="","",Year4_SouthEast Year4_CP_Conference)</f>
        <v>11900</v>
      </c>
      <c r="H32" s="131">
        <f>IF(Year5_SouthEast Year5_CP_Conference="","",Year5_SouthEast Year5_CP_Conference)</f>
        <v>12130</v>
      </c>
      <c r="I32" s="357">
        <f t="shared" si="5"/>
        <v>9.3033998022916849E-3</v>
      </c>
      <c r="J32" s="96"/>
      <c r="K32" s="132">
        <f>IF(ISNUMBER(D32),D32/AB32*10000,NA())</f>
        <v>59.485949637662273</v>
      </c>
      <c r="L32" s="132">
        <f>IF(ISNUMBER(E32),E32/AC32*10000,NA())</f>
        <v>59.4382080595934</v>
      </c>
      <c r="M32" s="132">
        <f>IF(ISNUMBER(F32),F32/AD32*10000,NA())</f>
        <v>62.914758989659965</v>
      </c>
      <c r="N32" s="132">
        <f>IF(ISNUMBER(G32),G32/AE32*10000,NA())</f>
        <v>60.794932052722999</v>
      </c>
      <c r="O32" s="133">
        <f>IF(ISNUMBER(H32),H32/AF32*10000,NA())</f>
        <v>61.598618728417634</v>
      </c>
      <c r="P32" s="99">
        <f t="shared" si="6"/>
        <v>61.598618728417634</v>
      </c>
      <c r="Q32" s="134" t="str">
        <f t="shared" si="7"/>
        <v>--</v>
      </c>
      <c r="R32" s="70"/>
      <c r="S32" s="338">
        <f>AA32/Z32*100</f>
        <v>12.371268250968637</v>
      </c>
      <c r="T32" s="338">
        <f t="shared" si="0"/>
        <v>55.635212508678968</v>
      </c>
      <c r="U32" s="343">
        <f t="shared" si="8"/>
        <v>5.9634062197386655</v>
      </c>
      <c r="V32" s="122"/>
      <c r="W32" s="139"/>
      <c r="X32" s="152"/>
      <c r="Y32" s="72" t="str">
        <f t="shared" si="1"/>
        <v>South East</v>
      </c>
      <c r="Z32" s="44">
        <f>SUM(Z24:Z25,Z10:Z22,Z28:Z31)</f>
        <v>1704978</v>
      </c>
      <c r="AA32" s="44">
        <f>SUM(AA24:AA25,AA10:AA22,AA28:AA31)</f>
        <v>210927.40200000003</v>
      </c>
      <c r="AB32" s="205">
        <f>SUM(AB10:AB22,AB24:AB25,AB28:AB31)</f>
        <v>1918100</v>
      </c>
      <c r="AC32" s="205">
        <f t="shared" ref="AC32:AF32" si="17">SUM(AC10:AC22,AC24:AC25,AC28:AC31)</f>
        <v>1933100</v>
      </c>
      <c r="AD32" s="205">
        <f t="shared" si="17"/>
        <v>1943900</v>
      </c>
      <c r="AE32" s="205">
        <f t="shared" si="17"/>
        <v>1957400</v>
      </c>
      <c r="AF32" s="205">
        <f t="shared" si="17"/>
        <v>1969200</v>
      </c>
      <c r="AG32" s="202"/>
      <c r="AH32" s="202"/>
      <c r="AI32" s="190"/>
      <c r="AJ32" s="202"/>
      <c r="AK32" s="160"/>
      <c r="AL32" s="1025">
        <f>IF(ISERROR((L32-K32)/K32),"x",(L32-K32)/K32)</f>
        <v>-8.0256898241810122E-4</v>
      </c>
      <c r="AM32" s="1025">
        <f t="shared" ref="AM32:AO32" si="18">IF(ISERROR((M32-L32)/L32),"x",(M32-L32)/L32)</f>
        <v>5.8490170608456724E-2</v>
      </c>
      <c r="AN32" s="1025">
        <f t="shared" si="18"/>
        <v>-3.3693635181617089E-2</v>
      </c>
      <c r="AO32" s="1025">
        <f t="shared" si="18"/>
        <v>1.3219632764745203E-2</v>
      </c>
      <c r="AP32" s="853">
        <f t="shared" si="12"/>
        <v>9.3033998022916849E-3</v>
      </c>
      <c r="AR32" s="936">
        <f t="shared" si="16"/>
        <v>59.4382080595934</v>
      </c>
      <c r="AS32" s="936">
        <f t="shared" si="16"/>
        <v>62.914758989659965</v>
      </c>
      <c r="AT32" s="936">
        <f t="shared" si="16"/>
        <v>60.794932052722999</v>
      </c>
      <c r="AU32" s="936">
        <f t="shared" si="16"/>
        <v>61.598618728417634</v>
      </c>
      <c r="AV32" s="936">
        <f t="shared" si="14"/>
        <v>244.746517830394</v>
      </c>
      <c r="AW32" s="575">
        <f t="shared" si="15"/>
        <v>0</v>
      </c>
      <c r="AX32" s="936">
        <f t="shared" si="13"/>
        <v>244.746517830394</v>
      </c>
    </row>
    <row r="33" spans="1:54" s="87" customFormat="1" ht="12.75" x14ac:dyDescent="0.2">
      <c r="A33" s="292"/>
      <c r="B33" s="329" t="str">
        <f>Sheet1!$K$27</f>
        <v>England</v>
      </c>
      <c r="C33" s="85"/>
      <c r="D33" s="330">
        <f>IF(Year1_England Year1_CP_Conference="","",Year1_England Year1_CP_Conference)</f>
        <v>73050</v>
      </c>
      <c r="E33" s="330">
        <f>IF(Year2_England Year2_CP_Conference="","",Year2_England Year2_CP_Conference)</f>
        <v>76930</v>
      </c>
      <c r="F33" s="330">
        <f>IF(Year3_England Year3_CP_Conference="","",Year3_England Year3_CP_Conference)</f>
        <v>79470</v>
      </c>
      <c r="G33" s="330">
        <f>IF(Year4_England Year4_CP_Conference="","",Year4_England Year4_CP_Conference)</f>
        <v>77440</v>
      </c>
      <c r="H33" s="331">
        <f>IF(Year5_England Year5_CP_Conference="","",Year5_England Year5_CP_Conference)</f>
        <v>77470</v>
      </c>
      <c r="I33" s="358">
        <f t="shared" si="5"/>
        <v>1.5243624976193148E-2</v>
      </c>
      <c r="J33" s="96"/>
      <c r="K33" s="332">
        <f>IF(ISNUMBER(D33),D33/Population!D33*10000,NA())</f>
        <v>62.554055095522315</v>
      </c>
      <c r="L33" s="332">
        <f>IF(ISNUMBER(E33),E33/Population!E33*10000,NA())</f>
        <v>65.276233952466214</v>
      </c>
      <c r="M33" s="332">
        <f>IF(ISNUMBER(F33),F33/Population!F33*10000,NA())</f>
        <v>66.967220021909498</v>
      </c>
      <c r="N33" s="332">
        <f>IF(ISNUMBER(G33),G33/Population!G33*10000,NA())</f>
        <v>64.778411657437303</v>
      </c>
      <c r="O33" s="333">
        <f>IF(ISNUMBER(H33),H33/Population!H33*10000,NA())</f>
        <v>64.43161781829069</v>
      </c>
      <c r="P33" s="99">
        <f t="shared" si="6"/>
        <v>64.43161781829069</v>
      </c>
      <c r="Q33" s="858" t="str">
        <f t="shared" si="7"/>
        <v>--</v>
      </c>
      <c r="R33" s="70"/>
      <c r="S33" s="339">
        <f>IDACI!C32</f>
        <v>17.084413405029373</v>
      </c>
      <c r="T33" s="339">
        <f t="shared" si="0"/>
        <v>68.383656598364084</v>
      </c>
      <c r="U33" s="624">
        <f t="shared" si="8"/>
        <v>-3.9520387800733943</v>
      </c>
      <c r="V33" s="122"/>
      <c r="W33" s="139"/>
      <c r="X33" s="152"/>
      <c r="Y33" s="72" t="str">
        <f t="shared" si="1"/>
        <v>England</v>
      </c>
      <c r="Z33" s="44">
        <f>IF(H33&gt;0,IDACI!D32,0)</f>
        <v>10405050</v>
      </c>
      <c r="AA33" s="44">
        <f>IF(H33&gt;0,IDACI!E32,0)</f>
        <v>1777641.7570000088</v>
      </c>
      <c r="AB33" s="205">
        <f>IF(ISNUMBER(D33),Population!D33,"")</f>
        <v>11677900</v>
      </c>
      <c r="AC33" s="205">
        <f>IF(ISNUMBER(E33),Population!E33,"")</f>
        <v>11785300</v>
      </c>
      <c r="AD33" s="205">
        <f>IF(ISNUMBER(F33),Population!F33,"")</f>
        <v>11867000</v>
      </c>
      <c r="AE33" s="205">
        <f>IF(ISNUMBER(G33),Population!G33,"")</f>
        <v>11954600</v>
      </c>
      <c r="AF33" s="205">
        <f>IF(ISNUMBER(H33),Population!H33,"")</f>
        <v>12023600</v>
      </c>
      <c r="AG33" s="202"/>
      <c r="AH33" s="202"/>
      <c r="AI33" s="190"/>
      <c r="AJ33" s="202"/>
      <c r="AK33" s="160"/>
      <c r="AL33" s="853">
        <f t="shared" si="11"/>
        <v>5.3114305270362767E-2</v>
      </c>
      <c r="AM33" s="853">
        <f t="shared" si="11"/>
        <v>3.3017028467437932E-2</v>
      </c>
      <c r="AN33" s="853">
        <f t="shared" si="11"/>
        <v>-2.5544230527242986E-2</v>
      </c>
      <c r="AO33" s="853">
        <f t="shared" si="11"/>
        <v>3.8739669421487604E-4</v>
      </c>
      <c r="AP33" s="853">
        <f>AVERAGE(AL33:AO33)</f>
        <v>1.5243624976193148E-2</v>
      </c>
      <c r="AR33" s="936">
        <f t="shared" si="16"/>
        <v>65.276233952466214</v>
      </c>
      <c r="AS33" s="936">
        <f t="shared" si="16"/>
        <v>66.967220021909498</v>
      </c>
      <c r="AT33" s="936">
        <f t="shared" si="16"/>
        <v>64.778411657437303</v>
      </c>
      <c r="AU33" s="936">
        <f t="shared" si="16"/>
        <v>64.43161781829069</v>
      </c>
      <c r="AV33" s="936">
        <f t="shared" si="14"/>
        <v>261.4534834501037</v>
      </c>
      <c r="AW33" s="575">
        <f t="shared" si="15"/>
        <v>0</v>
      </c>
      <c r="AX33" s="936">
        <f t="shared" si="13"/>
        <v>261.4534834501037</v>
      </c>
    </row>
    <row r="34" spans="1:54" s="81" customFormat="1" ht="13.5" customHeight="1" x14ac:dyDescent="0.2">
      <c r="A34" s="118"/>
      <c r="B34" s="123" t="s">
        <v>90</v>
      </c>
      <c r="C34" s="63"/>
      <c r="D34" s="63"/>
      <c r="E34" s="63"/>
      <c r="F34" s="63"/>
      <c r="G34" s="63"/>
      <c r="H34" s="63"/>
      <c r="I34" s="63"/>
      <c r="J34" s="63"/>
      <c r="K34" s="63"/>
      <c r="L34" s="63"/>
      <c r="M34" s="63"/>
      <c r="N34" s="63"/>
      <c r="O34" s="63"/>
      <c r="P34" s="63"/>
      <c r="Q34" s="136" t="s">
        <v>108</v>
      </c>
      <c r="S34" s="63"/>
      <c r="T34" s="63"/>
      <c r="U34" s="63"/>
      <c r="V34" s="117"/>
      <c r="W34" s="137"/>
      <c r="X34" s="150"/>
      <c r="Y34" s="80"/>
      <c r="Z34" s="184"/>
      <c r="AA34" s="184"/>
      <c r="AB34" s="184"/>
      <c r="AC34" s="184"/>
      <c r="AD34" s="184"/>
      <c r="AE34" s="184"/>
      <c r="AF34" s="184"/>
      <c r="AG34" s="184"/>
      <c r="AH34" s="184"/>
      <c r="AJ34" s="184"/>
      <c r="AK34" s="161"/>
    </row>
    <row r="35" spans="1:54" s="81" customFormat="1" ht="27" customHeight="1" x14ac:dyDescent="0.2">
      <c r="A35" s="118"/>
      <c r="B35" s="1762"/>
      <c r="C35" s="1825"/>
      <c r="D35" s="1825"/>
      <c r="E35" s="1825"/>
      <c r="F35" s="1825"/>
      <c r="G35" s="1825"/>
      <c r="H35" s="1825"/>
      <c r="I35" s="1825"/>
      <c r="J35" s="1825"/>
      <c r="K35" s="1825"/>
      <c r="L35" s="1825"/>
      <c r="M35" s="1825"/>
      <c r="N35" s="1825"/>
      <c r="O35" s="1825"/>
      <c r="P35" s="1825"/>
      <c r="Q35" s="1825"/>
      <c r="R35" s="1825"/>
      <c r="S35" s="1825"/>
      <c r="T35" s="1825"/>
      <c r="U35" s="1826"/>
      <c r="V35" s="117"/>
      <c r="W35" s="137"/>
      <c r="X35" s="150"/>
      <c r="Y35" s="80">
        <f>21/89</f>
        <v>0.23595505617977527</v>
      </c>
      <c r="Z35" s="184"/>
      <c r="AA35" s="184"/>
      <c r="AB35" s="184"/>
      <c r="AC35" s="184"/>
      <c r="AD35" s="184"/>
      <c r="AE35" s="184"/>
      <c r="AF35" s="184"/>
      <c r="AG35" s="184"/>
      <c r="AH35" s="184"/>
      <c r="AJ35" s="184"/>
      <c r="AK35" s="157"/>
      <c r="AL35" s="74"/>
      <c r="AM35" s="74"/>
      <c r="AN35" s="74"/>
      <c r="AO35" s="74"/>
      <c r="AP35" s="74"/>
      <c r="AQ35" s="74"/>
      <c r="AR35" s="74"/>
    </row>
    <row r="36" spans="1:54" s="81" customFormat="1" ht="7.5" customHeight="1" x14ac:dyDescent="0.2">
      <c r="A36" s="118"/>
      <c r="B36" s="17"/>
      <c r="C36" s="17"/>
      <c r="D36" s="16"/>
      <c r="E36" s="16"/>
      <c r="F36" s="16"/>
      <c r="G36" s="16"/>
      <c r="H36" s="16"/>
      <c r="I36" s="16"/>
      <c r="J36" s="12"/>
      <c r="K36" s="18"/>
      <c r="L36" s="18"/>
      <c r="M36" s="18"/>
      <c r="N36" s="18"/>
      <c r="O36" s="18"/>
      <c r="P36" s="18"/>
      <c r="Q36" s="18"/>
      <c r="R36" s="18"/>
      <c r="S36" s="18"/>
      <c r="T36" s="18"/>
      <c r="U36" s="19"/>
      <c r="V36" s="117"/>
      <c r="W36" s="137"/>
      <c r="X36" s="150"/>
      <c r="Z36" s="190"/>
      <c r="AJ36" s="184"/>
      <c r="AK36" s="157"/>
      <c r="AL36" s="74"/>
      <c r="AM36" s="74"/>
      <c r="AN36" s="74"/>
      <c r="AO36" s="74"/>
      <c r="AP36" s="74"/>
      <c r="AQ36" s="74"/>
      <c r="AR36" s="74"/>
    </row>
    <row r="37" spans="1:54" s="81" customFormat="1" ht="15" customHeight="1" x14ac:dyDescent="0.2">
      <c r="A37" s="1716"/>
      <c r="B37" s="1760"/>
      <c r="C37" s="1760"/>
      <c r="D37" s="1760"/>
      <c r="E37" s="1760"/>
      <c r="F37" s="1760"/>
      <c r="G37" s="1760"/>
      <c r="H37" s="1760"/>
      <c r="I37" s="1760"/>
      <c r="J37" s="1760"/>
      <c r="K37" s="1760"/>
      <c r="L37" s="1760"/>
      <c r="M37" s="1760"/>
      <c r="N37" s="1760"/>
      <c r="O37" s="1760"/>
      <c r="P37" s="1760"/>
      <c r="Q37" s="1760"/>
      <c r="R37" s="1760"/>
      <c r="S37" s="1760"/>
      <c r="T37" s="1760"/>
      <c r="U37" s="1760"/>
      <c r="V37" s="1761"/>
      <c r="W37" s="137"/>
      <c r="X37" s="150"/>
      <c r="Z37" s="190"/>
      <c r="AK37" s="161"/>
      <c r="AM37" s="81">
        <f>COLUMNS($B$4:K$4)</f>
        <v>10</v>
      </c>
      <c r="AN37" s="81">
        <f>COLUMNS($B$4:L$4)</f>
        <v>11</v>
      </c>
      <c r="AO37" s="81">
        <f>COLUMNS($B$4:M$4)</f>
        <v>12</v>
      </c>
      <c r="AP37" s="81">
        <f>COLUMNS($B$4:N$4)</f>
        <v>13</v>
      </c>
      <c r="AQ37" s="81">
        <f>COLUMNS($B$4:O$4)</f>
        <v>14</v>
      </c>
      <c r="AR37" s="81">
        <f>COLUMNS($B$4:S$4)</f>
        <v>18</v>
      </c>
      <c r="AS37" s="81">
        <f>COLUMNS($B$4:D$4)</f>
        <v>3</v>
      </c>
      <c r="AT37" s="81">
        <f>COLUMNS($B$4:E$4)</f>
        <v>4</v>
      </c>
      <c r="AU37" s="81">
        <f>COLUMNS($B$4:F$4)</f>
        <v>5</v>
      </c>
      <c r="AV37" s="81">
        <f>COLUMNS($B$4:G$4)</f>
        <v>6</v>
      </c>
      <c r="AW37" s="81">
        <f>COLUMNS($B$4:H$4)</f>
        <v>7</v>
      </c>
      <c r="AX37" s="81">
        <f>COLUMNS($B$4:D$4)</f>
        <v>3</v>
      </c>
      <c r="AY37" s="81">
        <f>COLUMNS($B$4:E$4)</f>
        <v>4</v>
      </c>
      <c r="AZ37" s="81">
        <f>COLUMNS($B$4:F$4)</f>
        <v>5</v>
      </c>
      <c r="BA37" s="81">
        <f>COLUMNS($B$4:G$4)</f>
        <v>6</v>
      </c>
      <c r="BB37" s="81">
        <f>COLUMNS($B$4:H$4)</f>
        <v>7</v>
      </c>
    </row>
    <row r="38" spans="1:54" s="81" customFormat="1" ht="11.1" customHeight="1" x14ac:dyDescent="0.2">
      <c r="A38" s="1765" t="str">
        <f>Home!$A$39</f>
        <v xml:space="preserve"> </v>
      </c>
      <c r="B38" s="1766"/>
      <c r="C38" s="1766"/>
      <c r="D38" s="1766"/>
      <c r="E38" s="1766"/>
      <c r="F38" s="1766"/>
      <c r="G38" s="1766"/>
      <c r="H38" s="1766"/>
      <c r="I38" s="1767"/>
      <c r="J38" s="1766"/>
      <c r="K38" s="1766"/>
      <c r="L38" s="1766"/>
      <c r="M38" s="1766"/>
      <c r="N38" s="1766"/>
      <c r="O38" s="1766"/>
      <c r="P38" s="1768"/>
      <c r="Q38" s="1766"/>
      <c r="R38" s="1766"/>
      <c r="S38" s="1766"/>
      <c r="T38" s="1767"/>
      <c r="U38" s="1766"/>
      <c r="V38" s="1769"/>
      <c r="W38" s="137"/>
      <c r="X38" s="150"/>
      <c r="Z38" s="190"/>
      <c r="AJ38" s="184"/>
      <c r="AK38" s="160"/>
      <c r="AL38" s="87"/>
      <c r="AM38" s="367" t="s">
        <v>89</v>
      </c>
      <c r="AN38" s="368"/>
      <c r="AO38" s="368"/>
      <c r="AP38" s="368"/>
      <c r="AQ38" s="368"/>
      <c r="AR38" s="367" t="s">
        <v>1213</v>
      </c>
      <c r="AS38" s="55" t="s">
        <v>111</v>
      </c>
      <c r="AT38" s="24"/>
      <c r="AU38" s="24"/>
      <c r="AV38" s="24"/>
      <c r="AW38" s="23"/>
      <c r="AX38" s="55" t="s">
        <v>140</v>
      </c>
      <c r="AY38" s="24"/>
      <c r="AZ38" s="24"/>
      <c r="BA38" s="24"/>
      <c r="BB38" s="23"/>
    </row>
    <row r="39" spans="1:54" s="81" customFormat="1" ht="11.25" customHeight="1" x14ac:dyDescent="0.2">
      <c r="A39" s="112"/>
      <c r="B39" s="113"/>
      <c r="C39" s="113"/>
      <c r="D39" s="113"/>
      <c r="E39" s="113"/>
      <c r="F39" s="113"/>
      <c r="G39" s="113"/>
      <c r="H39" s="113"/>
      <c r="I39" s="113"/>
      <c r="J39" s="114"/>
      <c r="K39" s="113"/>
      <c r="L39" s="113"/>
      <c r="M39" s="113"/>
      <c r="N39" s="113"/>
      <c r="O39" s="113"/>
      <c r="P39" s="113"/>
      <c r="Q39" s="113"/>
      <c r="R39" s="113"/>
      <c r="S39" s="113"/>
      <c r="T39" s="113"/>
      <c r="U39" s="113"/>
      <c r="V39" s="115"/>
      <c r="W39" s="137"/>
      <c r="X39" s="149" t="s">
        <v>101</v>
      </c>
      <c r="Y39" s="197"/>
      <c r="Z39" s="197"/>
      <c r="AA39" s="197"/>
      <c r="AB39" s="197"/>
      <c r="AC39" s="197"/>
      <c r="AJ39" s="184"/>
      <c r="AK39" s="160"/>
      <c r="AL39" s="87"/>
      <c r="AM39" s="367"/>
      <c r="AN39" s="367"/>
      <c r="AO39" s="367"/>
      <c r="AP39" s="367"/>
      <c r="AQ39" s="367"/>
      <c r="AR39" s="368"/>
      <c r="AS39" s="367"/>
      <c r="AT39" s="367"/>
      <c r="AU39" s="367"/>
      <c r="AV39" s="367"/>
      <c r="AW39" s="367"/>
      <c r="AX39" s="367"/>
      <c r="AY39" s="367"/>
      <c r="AZ39" s="367"/>
      <c r="BA39" s="367"/>
      <c r="BB39" s="367"/>
    </row>
    <row r="40" spans="1:54" s="81" customFormat="1" ht="3.75" customHeight="1" x14ac:dyDescent="0.25">
      <c r="A40" s="116"/>
      <c r="B40" s="9"/>
      <c r="C40" s="9"/>
      <c r="D40" s="9"/>
      <c r="E40" s="9"/>
      <c r="F40" s="9"/>
      <c r="G40" s="9"/>
      <c r="H40" s="9"/>
      <c r="I40" s="9"/>
      <c r="J40" s="12"/>
      <c r="K40" s="9"/>
      <c r="L40" s="9"/>
      <c r="M40" s="9"/>
      <c r="N40" s="9"/>
      <c r="O40" s="9"/>
      <c r="P40" s="9"/>
      <c r="Q40" s="9"/>
      <c r="R40" s="9"/>
      <c r="S40" s="9"/>
      <c r="T40" s="9"/>
      <c r="U40" s="9"/>
      <c r="V40" s="117"/>
      <c r="W40" s="137"/>
      <c r="X40" s="294"/>
      <c r="AD40" s="1320" t="s">
        <v>977</v>
      </c>
      <c r="AK40" s="160"/>
      <c r="AL40" s="87"/>
      <c r="AM40" s="367" t="e">
        <f>D9</f>
        <v>#N/A</v>
      </c>
      <c r="AN40" s="367" t="e">
        <f>E9</f>
        <v>#N/A</v>
      </c>
      <c r="AO40" s="367" t="e">
        <f>F9</f>
        <v>#N/A</v>
      </c>
      <c r="AP40" s="367" t="e">
        <f>G9</f>
        <v>#N/A</v>
      </c>
      <c r="AQ40" s="367" t="e">
        <f>H9</f>
        <v>#N/A</v>
      </c>
      <c r="AR40" s="368"/>
      <c r="AS40" s="367" t="e">
        <f>K9</f>
        <v>#N/A</v>
      </c>
      <c r="AT40" s="367" t="e">
        <f>L9</f>
        <v>#N/A</v>
      </c>
      <c r="AU40" s="367" t="e">
        <f>M9</f>
        <v>#N/A</v>
      </c>
      <c r="AV40" s="367" t="e">
        <f>N9</f>
        <v>#N/A</v>
      </c>
      <c r="AW40" s="367" t="e">
        <f>O9</f>
        <v>#N/A</v>
      </c>
      <c r="AX40" s="367" t="e">
        <f>AS40</f>
        <v>#N/A</v>
      </c>
      <c r="AY40" s="367" t="e">
        <f t="shared" ref="AY40:BB40" si="19">AT40</f>
        <v>#N/A</v>
      </c>
      <c r="AZ40" s="367" t="e">
        <f t="shared" si="19"/>
        <v>#N/A</v>
      </c>
      <c r="BA40" s="367" t="e">
        <f t="shared" si="19"/>
        <v>#N/A</v>
      </c>
      <c r="BB40" s="367" t="e">
        <f t="shared" si="19"/>
        <v>#N/A</v>
      </c>
    </row>
    <row r="41" spans="1:54" s="81" customFormat="1" ht="14.25" customHeight="1" x14ac:dyDescent="0.2">
      <c r="A41" s="118"/>
      <c r="B41" s="9"/>
      <c r="C41" s="9"/>
      <c r="D41" s="9"/>
      <c r="E41" s="9"/>
      <c r="F41" s="9"/>
      <c r="G41" s="9"/>
      <c r="H41" s="9"/>
      <c r="I41" s="9"/>
      <c r="J41" s="12"/>
      <c r="K41" s="9"/>
      <c r="L41" s="9"/>
      <c r="M41" s="9"/>
      <c r="N41" s="9"/>
      <c r="O41" s="9"/>
      <c r="P41" s="9"/>
      <c r="Q41" s="9"/>
      <c r="R41" s="9"/>
      <c r="S41" s="9"/>
      <c r="T41" s="9"/>
      <c r="U41" s="9"/>
      <c r="V41" s="117"/>
      <c r="W41" s="137"/>
      <c r="X41" s="294"/>
      <c r="Y41" s="43" t="s">
        <v>72</v>
      </c>
      <c r="Z41" s="43" t="s">
        <v>70</v>
      </c>
      <c r="AA41" s="43" t="s">
        <v>71</v>
      </c>
      <c r="AB41" s="1194">
        <v>5</v>
      </c>
      <c r="AC41" s="216">
        <f>(AB41*Z42)+AA42</f>
        <v>51.439606123784792</v>
      </c>
      <c r="AD41" s="206">
        <f>ROUND(ChartLabels!$AA12,3)</f>
        <v>0.23899999999999999</v>
      </c>
      <c r="AJ41" s="585" t="b">
        <v>1</v>
      </c>
      <c r="AK41" s="160" t="s">
        <v>0</v>
      </c>
      <c r="AL41" s="87" t="str">
        <f t="shared" ref="AL41:AL64" si="20">IF(AJ41=TRUE,B10,"")</f>
        <v>Bracknell Forest</v>
      </c>
      <c r="AM41" s="146">
        <f t="shared" ref="AM41:AQ50" si="21">VLOOKUP($AL41,$B$10:$O$33,AM$37,FALSE)</f>
        <v>56.028368794326241</v>
      </c>
      <c r="AN41" s="146">
        <f t="shared" si="21"/>
        <v>92.553191489361708</v>
      </c>
      <c r="AO41" s="146">
        <f t="shared" si="21"/>
        <v>83.629893238434164</v>
      </c>
      <c r="AP41" s="146">
        <f t="shared" si="21"/>
        <v>89.399293286219091</v>
      </c>
      <c r="AQ41" s="146">
        <f t="shared" si="21"/>
        <v>90.492957746478879</v>
      </c>
      <c r="AR41" s="147">
        <f>VLOOKUP(AL41,$B$10:$U$33,$AR$37,FALSE)</f>
        <v>8.9</v>
      </c>
      <c r="AS41" s="348">
        <f t="shared" ref="AS41:AW50" si="22">VLOOKUP($AL41,$B$112:$H$135,AS$37,FALSE)</f>
        <v>0.40101522842639592</v>
      </c>
      <c r="AT41" s="348">
        <f t="shared" si="22"/>
        <v>0.46607142857142858</v>
      </c>
      <c r="AU41" s="348">
        <f t="shared" si="22"/>
        <v>0.37183544303797467</v>
      </c>
      <c r="AV41" s="348">
        <f t="shared" si="22"/>
        <v>0.36039886039886038</v>
      </c>
      <c r="AW41" s="348">
        <f t="shared" si="22"/>
        <v>0.3141809290953545</v>
      </c>
      <c r="AX41" s="348">
        <f t="shared" ref="AX41:BB50" si="23">VLOOKUP($AL41,$B$148:$H$171,AX$37,FALSE)</f>
        <v>0.66455696202531644</v>
      </c>
      <c r="AY41" s="348">
        <f t="shared" si="23"/>
        <v>0.73946360153256707</v>
      </c>
      <c r="AZ41" s="348">
        <f t="shared" si="23"/>
        <v>0.82553191489361699</v>
      </c>
      <c r="BA41" s="348">
        <f t="shared" si="23"/>
        <v>0.7865612648221344</v>
      </c>
      <c r="BB41" s="348">
        <f t="shared" si="23"/>
        <v>0.77431906614785995</v>
      </c>
    </row>
    <row r="42" spans="1:54" s="81" customFormat="1" ht="14.25" customHeight="1" x14ac:dyDescent="0.2">
      <c r="A42" s="118"/>
      <c r="B42" s="9"/>
      <c r="C42" s="9"/>
      <c r="D42" s="9"/>
      <c r="E42" s="9"/>
      <c r="F42" s="9"/>
      <c r="G42" s="9"/>
      <c r="H42" s="9"/>
      <c r="I42" s="9"/>
      <c r="J42" s="12"/>
      <c r="K42" s="9"/>
      <c r="L42" s="9"/>
      <c r="M42" s="9"/>
      <c r="N42" s="9"/>
      <c r="O42" s="9"/>
      <c r="P42" s="9"/>
      <c r="Q42" s="9"/>
      <c r="R42" s="9"/>
      <c r="S42" s="9"/>
      <c r="T42" s="9"/>
      <c r="U42" s="9"/>
      <c r="V42" s="117"/>
      <c r="W42" s="137"/>
      <c r="X42" s="294"/>
      <c r="Y42" s="212" t="str">
        <f>"Y= "&amp;Z42&amp;"x + "&amp;AA42</f>
        <v>Y= 2.55325845039131x + 38.6733138718283</v>
      </c>
      <c r="Z42" s="743">
        <f>ChartLabels!$Y12</f>
        <v>2.5532584503913069</v>
      </c>
      <c r="AA42" s="743">
        <f>ChartLabels!$Z12</f>
        <v>38.673313871828256</v>
      </c>
      <c r="AB42" s="215">
        <v>35</v>
      </c>
      <c r="AC42" s="216">
        <f>(AB42*Z42)+AA42</f>
        <v>128.03735963552401</v>
      </c>
      <c r="AD42" s="1319" t="str">
        <f>AD40&amp;" = "&amp;AD41</f>
        <v>r² = 0.239</v>
      </c>
      <c r="AJ42" s="585" t="b">
        <v>1</v>
      </c>
      <c r="AK42" s="160" t="s">
        <v>31</v>
      </c>
      <c r="AL42" s="87" t="str">
        <f t="shared" si="20"/>
        <v>Brighton &amp; Hove</v>
      </c>
      <c r="AM42" s="146">
        <f t="shared" si="21"/>
        <v>106.25000000000001</v>
      </c>
      <c r="AN42" s="146">
        <f t="shared" si="21"/>
        <v>91.812865497076032</v>
      </c>
      <c r="AO42" s="146">
        <f t="shared" si="21"/>
        <v>94.313725490196077</v>
      </c>
      <c r="AP42" s="146">
        <f t="shared" si="21"/>
        <v>76.666666666666657</v>
      </c>
      <c r="AQ42" s="146">
        <f t="shared" si="21"/>
        <v>92.644135188866798</v>
      </c>
      <c r="AR42" s="147">
        <f t="shared" ref="AR42:AR64" si="24">VLOOKUP(AL42,$B$10:$U$33,$AR$37,FALSE)</f>
        <v>15.299999999999999</v>
      </c>
      <c r="AS42" s="348">
        <f t="shared" si="22"/>
        <v>0.4759405074365704</v>
      </c>
      <c r="AT42" s="348">
        <f t="shared" si="22"/>
        <v>0.54577056778679023</v>
      </c>
      <c r="AU42" s="348">
        <f t="shared" si="22"/>
        <v>0.54721274175199086</v>
      </c>
      <c r="AV42" s="348">
        <f t="shared" si="22"/>
        <v>0.50257069408740362</v>
      </c>
      <c r="AW42" s="348">
        <f t="shared" si="22"/>
        <v>0.55213270142180093</v>
      </c>
      <c r="AX42" s="348">
        <f t="shared" si="23"/>
        <v>0.63602941176470584</v>
      </c>
      <c r="AY42" s="348">
        <f t="shared" si="23"/>
        <v>0.66029723991507427</v>
      </c>
      <c r="AZ42" s="348">
        <f t="shared" si="23"/>
        <v>0.87318087318087323</v>
      </c>
      <c r="BA42" s="348">
        <f t="shared" si="23"/>
        <v>0.82864450127877243</v>
      </c>
      <c r="BB42" s="348">
        <f t="shared" si="23"/>
        <v>0.89699570815450647</v>
      </c>
    </row>
    <row r="43" spans="1:54" ht="14.25" customHeight="1" x14ac:dyDescent="0.2">
      <c r="A43" s="118"/>
      <c r="B43" s="9"/>
      <c r="C43" s="9"/>
      <c r="D43" s="9"/>
      <c r="E43" s="9"/>
      <c r="F43" s="9"/>
      <c r="G43" s="9"/>
      <c r="H43" s="9"/>
      <c r="I43" s="9"/>
      <c r="J43" s="12"/>
      <c r="K43" s="9"/>
      <c r="L43" s="9"/>
      <c r="M43" s="9"/>
      <c r="N43" s="9"/>
      <c r="O43" s="9"/>
      <c r="P43" s="9"/>
      <c r="Q43" s="9"/>
      <c r="R43" s="9"/>
      <c r="S43" s="9"/>
      <c r="T43" s="9"/>
      <c r="U43" s="9"/>
      <c r="V43" s="117"/>
      <c r="W43" s="137"/>
      <c r="X43" s="294"/>
      <c r="Y43" s="43" t="str">
        <f>"National Trend "&amp;Sheet1!$B$8</f>
        <v>National Trend 2020</v>
      </c>
      <c r="Z43" s="209" t="s">
        <v>70</v>
      </c>
      <c r="AA43" s="43" t="s">
        <v>71</v>
      </c>
      <c r="AB43" s="1194">
        <v>5</v>
      </c>
      <c r="AC43" s="211">
        <f>((AB43*Z44)+AA44)/$Y$2</f>
        <v>35.696891473397379</v>
      </c>
      <c r="AD43" s="1319" t="str">
        <f>$AD$40&amp;" = "&amp;AD44</f>
        <v>r² = 0.287</v>
      </c>
      <c r="AJ43" s="585" t="b">
        <v>1</v>
      </c>
      <c r="AK43" s="160" t="s">
        <v>8</v>
      </c>
      <c r="AL43" s="87" t="str">
        <f t="shared" si="20"/>
        <v>Buckinghamshire</v>
      </c>
      <c r="AM43" s="146">
        <f t="shared" si="21"/>
        <v>62.106135986733001</v>
      </c>
      <c r="AN43" s="146">
        <f t="shared" si="21"/>
        <v>70.86743044189852</v>
      </c>
      <c r="AO43" s="146">
        <f t="shared" si="21"/>
        <v>70.02437043054428</v>
      </c>
      <c r="AP43" s="146">
        <f t="shared" si="21"/>
        <v>64.119066773934023</v>
      </c>
      <c r="AQ43" s="146">
        <f t="shared" si="21"/>
        <v>68.178202068416866</v>
      </c>
      <c r="AR43" s="147">
        <f t="shared" si="24"/>
        <v>8.5</v>
      </c>
      <c r="AS43" s="348">
        <f t="shared" si="22"/>
        <v>0.3892931392931393</v>
      </c>
      <c r="AT43" s="348">
        <f t="shared" si="22"/>
        <v>0.33618012422360249</v>
      </c>
      <c r="AU43" s="348">
        <f t="shared" si="22"/>
        <v>0.34870550161812297</v>
      </c>
      <c r="AV43" s="348">
        <f t="shared" si="22"/>
        <v>0.36660533578656856</v>
      </c>
      <c r="AW43" s="348">
        <f t="shared" si="22"/>
        <v>0.35501242750621376</v>
      </c>
      <c r="AX43" s="348">
        <f t="shared" si="23"/>
        <v>0.68891855807743663</v>
      </c>
      <c r="AY43" s="348">
        <f t="shared" si="23"/>
        <v>0.69630484988452657</v>
      </c>
      <c r="AZ43" s="348">
        <f t="shared" si="23"/>
        <v>0.73201856148491884</v>
      </c>
      <c r="BA43" s="348">
        <f t="shared" si="23"/>
        <v>0.73525721455457971</v>
      </c>
      <c r="BB43" s="348">
        <f t="shared" si="23"/>
        <v>0.7537922987164527</v>
      </c>
    </row>
    <row r="44" spans="1:54" ht="14.25" customHeight="1" x14ac:dyDescent="0.2">
      <c r="A44" s="118"/>
      <c r="B44" s="9"/>
      <c r="C44" s="9"/>
      <c r="D44" s="9"/>
      <c r="E44" s="9"/>
      <c r="F44" s="9"/>
      <c r="G44" s="9"/>
      <c r="H44" s="9"/>
      <c r="I44" s="9"/>
      <c r="J44" s="12"/>
      <c r="K44" s="13"/>
      <c r="L44" s="13"/>
      <c r="M44" s="13"/>
      <c r="N44" s="13"/>
      <c r="O44" s="14"/>
      <c r="P44" s="14"/>
      <c r="Q44" s="14"/>
      <c r="R44" s="14"/>
      <c r="S44" s="14"/>
      <c r="T44" s="14"/>
      <c r="U44" s="14"/>
      <c r="V44" s="117"/>
      <c r="W44" s="137"/>
      <c r="X44" s="294"/>
      <c r="Y44" s="72" t="str">
        <f>"Y= "&amp;Z44&amp;"x + "&amp;AA44</f>
        <v>Y= 2.70486982110053x + 22.1725423678947</v>
      </c>
      <c r="Z44" s="743">
        <f>Sheet1!$C$11</f>
        <v>2.7048698211005346</v>
      </c>
      <c r="AA44" s="743">
        <f>Sheet1!C12</f>
        <v>22.172542367894707</v>
      </c>
      <c r="AB44" s="215">
        <v>35</v>
      </c>
      <c r="AC44" s="216">
        <f>((AB44*Z44)+AA44)/$Y$2</f>
        <v>116.84298610641342</v>
      </c>
      <c r="AD44" s="1195">
        <f>ROUND(Sheet1!$C$13,3)</f>
        <v>0.28699999999999998</v>
      </c>
      <c r="AJ44" s="585" t="b">
        <v>1</v>
      </c>
      <c r="AK44" s="160" t="s">
        <v>4</v>
      </c>
      <c r="AL44" s="87" t="str">
        <f t="shared" si="20"/>
        <v>East Sussex</v>
      </c>
      <c r="AM44" s="146">
        <f t="shared" si="21"/>
        <v>45.609065155807372</v>
      </c>
      <c r="AN44" s="146">
        <f t="shared" si="21"/>
        <v>59.206798866855522</v>
      </c>
      <c r="AO44" s="146">
        <f t="shared" si="21"/>
        <v>67.075471698113205</v>
      </c>
      <c r="AP44" s="146">
        <f t="shared" si="21"/>
        <v>67.387218045112789</v>
      </c>
      <c r="AQ44" s="146">
        <f t="shared" si="21"/>
        <v>64.628410159924741</v>
      </c>
      <c r="AR44" s="147">
        <f t="shared" si="24"/>
        <v>16.100000000000001</v>
      </c>
      <c r="AS44" s="348">
        <f t="shared" si="22"/>
        <v>0.55645161290322576</v>
      </c>
      <c r="AT44" s="348">
        <f t="shared" si="22"/>
        <v>0.55634427684117127</v>
      </c>
      <c r="AU44" s="348">
        <f t="shared" si="22"/>
        <v>0.53298350824587704</v>
      </c>
      <c r="AV44" s="348">
        <f t="shared" si="22"/>
        <v>0.53950338600451464</v>
      </c>
      <c r="AW44" s="348">
        <f t="shared" si="22"/>
        <v>0.5161532682193839</v>
      </c>
      <c r="AX44" s="348">
        <f t="shared" si="23"/>
        <v>0.6045548654244306</v>
      </c>
      <c r="AY44" s="348">
        <f t="shared" si="23"/>
        <v>0.59808612440191389</v>
      </c>
      <c r="AZ44" s="348">
        <f t="shared" si="23"/>
        <v>0.57665260196905765</v>
      </c>
      <c r="BA44" s="348">
        <f t="shared" si="23"/>
        <v>0.75174337517433754</v>
      </c>
      <c r="BB44" s="348">
        <f t="shared" si="23"/>
        <v>0.81368267831149932</v>
      </c>
    </row>
    <row r="45" spans="1:54" s="76" customFormat="1" ht="14.25" customHeight="1" x14ac:dyDescent="0.2">
      <c r="A45" s="119"/>
      <c r="B45" s="226"/>
      <c r="C45" s="226"/>
      <c r="D45" s="227"/>
      <c r="E45" s="227"/>
      <c r="F45" s="227"/>
      <c r="G45" s="227"/>
      <c r="H45" s="227"/>
      <c r="I45" s="227"/>
      <c r="J45" s="15"/>
      <c r="K45" s="9"/>
      <c r="L45" s="9"/>
      <c r="M45" s="9"/>
      <c r="N45" s="9"/>
      <c r="O45" s="9"/>
      <c r="P45" s="9"/>
      <c r="Q45" s="9"/>
      <c r="R45" s="9"/>
      <c r="S45" s="9"/>
      <c r="T45" s="9"/>
      <c r="U45" s="9"/>
      <c r="V45" s="120"/>
      <c r="W45" s="138"/>
      <c r="X45" s="295"/>
      <c r="AD45" s="81"/>
      <c r="AE45" s="81"/>
      <c r="AF45" s="81"/>
      <c r="AG45" s="81"/>
      <c r="AH45" s="81"/>
      <c r="AI45" s="81"/>
      <c r="AJ45" s="585" t="b">
        <v>1</v>
      </c>
      <c r="AK45" s="160" t="s">
        <v>6</v>
      </c>
      <c r="AL45" s="87" t="str">
        <f t="shared" si="20"/>
        <v>Hampshire</v>
      </c>
      <c r="AM45" s="146">
        <f t="shared" si="21"/>
        <v>67.399787158566866</v>
      </c>
      <c r="AN45" s="146">
        <f t="shared" si="21"/>
        <v>66.089108910891085</v>
      </c>
      <c r="AO45" s="146">
        <f t="shared" si="21"/>
        <v>62.972114366396042</v>
      </c>
      <c r="AP45" s="146">
        <f t="shared" si="21"/>
        <v>62.04225352112676</v>
      </c>
      <c r="AQ45" s="146">
        <f t="shared" si="21"/>
        <v>55.750967288075977</v>
      </c>
      <c r="AR45" s="147">
        <f t="shared" si="24"/>
        <v>10.100000000000001</v>
      </c>
      <c r="AS45" s="348">
        <f t="shared" si="22"/>
        <v>0.45432807269249165</v>
      </c>
      <c r="AT45" s="348">
        <f t="shared" si="22"/>
        <v>0.44383756827356924</v>
      </c>
      <c r="AU45" s="348">
        <f t="shared" si="22"/>
        <v>0.46409989594172735</v>
      </c>
      <c r="AV45" s="348">
        <f t="shared" si="22"/>
        <v>0.40815381051656241</v>
      </c>
      <c r="AW45" s="348">
        <f t="shared" si="22"/>
        <v>0.31479642502482624</v>
      </c>
      <c r="AX45" s="348">
        <f t="shared" si="23"/>
        <v>0.70842105263157895</v>
      </c>
      <c r="AY45" s="348">
        <f t="shared" si="23"/>
        <v>0.76779026217228463</v>
      </c>
      <c r="AZ45" s="348">
        <f t="shared" si="23"/>
        <v>0.77073991031390132</v>
      </c>
      <c r="BA45" s="348">
        <f t="shared" si="23"/>
        <v>0.7531214528944381</v>
      </c>
      <c r="BB45" s="348">
        <f t="shared" si="23"/>
        <v>0.77097791798107251</v>
      </c>
    </row>
    <row r="46" spans="1:54" ht="14.25" customHeight="1" x14ac:dyDescent="0.2">
      <c r="A46" s="118"/>
      <c r="B46" s="227"/>
      <c r="C46" s="227"/>
      <c r="D46" s="227"/>
      <c r="E46" s="227"/>
      <c r="F46" s="227"/>
      <c r="G46" s="227"/>
      <c r="H46" s="227"/>
      <c r="I46" s="227"/>
      <c r="J46" s="12"/>
      <c r="K46" s="14"/>
      <c r="L46" s="14"/>
      <c r="M46" s="14"/>
      <c r="N46" s="14"/>
      <c r="O46" s="9"/>
      <c r="P46" s="9"/>
      <c r="Q46" s="9"/>
      <c r="R46" s="9"/>
      <c r="S46" s="9"/>
      <c r="T46" s="9"/>
      <c r="U46" s="9"/>
      <c r="V46" s="117"/>
      <c r="W46" s="137"/>
      <c r="X46" s="294"/>
      <c r="AJ46" s="585" t="b">
        <v>1</v>
      </c>
      <c r="AK46" s="160" t="s">
        <v>1</v>
      </c>
      <c r="AL46" s="87" t="str">
        <f t="shared" si="20"/>
        <v>Isle of Wight</v>
      </c>
      <c r="AM46" s="146">
        <f t="shared" si="21"/>
        <v>148.22134387351778</v>
      </c>
      <c r="AN46" s="146">
        <f t="shared" si="21"/>
        <v>114.28571428571429</v>
      </c>
      <c r="AO46" s="146">
        <f t="shared" si="21"/>
        <v>107.96812749003983</v>
      </c>
      <c r="AP46" s="146">
        <f t="shared" si="21"/>
        <v>92.771084337349393</v>
      </c>
      <c r="AQ46" s="146">
        <f t="shared" si="21"/>
        <v>62.348178137651821</v>
      </c>
      <c r="AR46" s="147">
        <f t="shared" si="24"/>
        <v>18</v>
      </c>
      <c r="AS46" s="348">
        <f t="shared" si="22"/>
        <v>0.55473372781065089</v>
      </c>
      <c r="AT46" s="348">
        <f t="shared" si="22"/>
        <v>0.52459016393442626</v>
      </c>
      <c r="AU46" s="348">
        <f t="shared" si="22"/>
        <v>0.48653500897666069</v>
      </c>
      <c r="AV46" s="348">
        <f t="shared" si="22"/>
        <v>0.46107784431137727</v>
      </c>
      <c r="AW46" s="348">
        <f t="shared" si="22"/>
        <v>0.24024960998439937</v>
      </c>
      <c r="AX46" s="348">
        <f t="shared" si="23"/>
        <v>0.57066666666666666</v>
      </c>
      <c r="AY46" s="348">
        <f t="shared" si="23"/>
        <v>0.75694444444444442</v>
      </c>
      <c r="AZ46" s="348">
        <f t="shared" si="23"/>
        <v>0.8487084870848709</v>
      </c>
      <c r="BA46" s="348">
        <f t="shared" si="23"/>
        <v>0.80952380952380953</v>
      </c>
      <c r="BB46" s="348">
        <f t="shared" si="23"/>
        <v>0.83116883116883122</v>
      </c>
    </row>
    <row r="47" spans="1:54" ht="14.25" customHeight="1" x14ac:dyDescent="0.2">
      <c r="A47" s="118"/>
      <c r="B47" s="227"/>
      <c r="C47" s="227"/>
      <c r="D47" s="227"/>
      <c r="E47" s="227"/>
      <c r="F47" s="227"/>
      <c r="G47" s="227"/>
      <c r="H47" s="227"/>
      <c r="I47" s="227"/>
      <c r="J47" s="12"/>
      <c r="K47" s="14"/>
      <c r="L47" s="14"/>
      <c r="M47" s="14"/>
      <c r="N47" s="14"/>
      <c r="O47" s="9"/>
      <c r="P47" s="9"/>
      <c r="Q47" s="9"/>
      <c r="R47" s="9"/>
      <c r="S47" s="9"/>
      <c r="T47" s="9"/>
      <c r="U47" s="9"/>
      <c r="V47" s="117"/>
      <c r="W47" s="137"/>
      <c r="X47" s="294"/>
      <c r="AD47" s="207"/>
      <c r="AJ47" s="585" t="b">
        <v>1</v>
      </c>
      <c r="AK47" s="160" t="s">
        <v>9</v>
      </c>
      <c r="AL47" s="87" t="str">
        <f t="shared" si="20"/>
        <v>Kent</v>
      </c>
      <c r="AM47" s="146">
        <f t="shared" si="21"/>
        <v>46.882566585956418</v>
      </c>
      <c r="AN47" s="146">
        <f t="shared" si="21"/>
        <v>44.864864864864863</v>
      </c>
      <c r="AO47" s="146">
        <f t="shared" si="21"/>
        <v>52.42487354953883</v>
      </c>
      <c r="AP47" s="146">
        <f t="shared" si="21"/>
        <v>46.25110261687739</v>
      </c>
      <c r="AQ47" s="146">
        <f t="shared" si="21"/>
        <v>49.592786503781262</v>
      </c>
      <c r="AR47" s="147">
        <f t="shared" si="24"/>
        <v>15.8</v>
      </c>
      <c r="AS47" s="348">
        <f t="shared" si="22"/>
        <v>0.3254201680672269</v>
      </c>
      <c r="AT47" s="348">
        <f t="shared" si="22"/>
        <v>0.30533415082771304</v>
      </c>
      <c r="AU47" s="348">
        <f t="shared" si="22"/>
        <v>0.28151461894871388</v>
      </c>
      <c r="AV47" s="348">
        <f t="shared" si="22"/>
        <v>0.26151288445552784</v>
      </c>
      <c r="AW47" s="348">
        <f t="shared" si="22"/>
        <v>0.25778651345630482</v>
      </c>
      <c r="AX47" s="348">
        <f t="shared" si="23"/>
        <v>0.82956746287927696</v>
      </c>
      <c r="AY47" s="348">
        <f t="shared" si="23"/>
        <v>0.84337349397590367</v>
      </c>
      <c r="AZ47" s="348">
        <f t="shared" si="23"/>
        <v>0.74914869466515321</v>
      </c>
      <c r="BA47" s="348">
        <f t="shared" si="23"/>
        <v>0.87539732994278452</v>
      </c>
      <c r="BB47" s="348">
        <f t="shared" si="23"/>
        <v>0.86744868035190614</v>
      </c>
    </row>
    <row r="48" spans="1:54" ht="14.25" customHeight="1" x14ac:dyDescent="0.2">
      <c r="A48" s="118"/>
      <c r="B48" s="58"/>
      <c r="C48" s="58"/>
      <c r="D48" s="58"/>
      <c r="E48" s="58"/>
      <c r="F48" s="58"/>
      <c r="G48" s="58"/>
      <c r="H48" s="58"/>
      <c r="I48" s="58"/>
      <c r="J48" s="12"/>
      <c r="K48" s="14"/>
      <c r="L48" s="14"/>
      <c r="M48" s="14"/>
      <c r="N48" s="14"/>
      <c r="O48" s="9"/>
      <c r="P48" s="9"/>
      <c r="Q48" s="9"/>
      <c r="R48" s="9"/>
      <c r="S48" s="9"/>
      <c r="T48" s="9"/>
      <c r="U48" s="9"/>
      <c r="V48" s="117"/>
      <c r="W48" s="137"/>
      <c r="X48" s="294"/>
      <c r="AD48" s="184"/>
      <c r="AJ48" s="585" t="b">
        <v>1</v>
      </c>
      <c r="AK48" s="160" t="s">
        <v>2</v>
      </c>
      <c r="AL48" s="87" t="str">
        <f t="shared" si="20"/>
        <v>Medway</v>
      </c>
      <c r="AM48" s="146">
        <f t="shared" si="21"/>
        <v>96.044303797468359</v>
      </c>
      <c r="AN48" s="146">
        <f t="shared" si="21"/>
        <v>55.102040816326529</v>
      </c>
      <c r="AO48" s="146">
        <f t="shared" si="21"/>
        <v>63.06729264475743</v>
      </c>
      <c r="AP48" s="146">
        <f t="shared" si="21"/>
        <v>86.024844720496901</v>
      </c>
      <c r="AQ48" s="146">
        <f t="shared" si="21"/>
        <v>102.61538461538461</v>
      </c>
      <c r="AR48" s="147">
        <f t="shared" si="24"/>
        <v>18.899999999999999</v>
      </c>
      <c r="AS48" s="348">
        <f t="shared" si="22"/>
        <v>0.37216431637032493</v>
      </c>
      <c r="AT48" s="348">
        <f t="shared" si="22"/>
        <v>0.32742537313432835</v>
      </c>
      <c r="AU48" s="348">
        <f t="shared" si="22"/>
        <v>0.34123624047417445</v>
      </c>
      <c r="AV48" s="348">
        <f t="shared" si="22"/>
        <v>0.36713055003313455</v>
      </c>
      <c r="AW48" s="348">
        <f t="shared" si="22"/>
        <v>0.37619853355893967</v>
      </c>
      <c r="AX48" s="348">
        <f t="shared" si="23"/>
        <v>0.88797364085667219</v>
      </c>
      <c r="AY48" s="348">
        <f t="shared" si="23"/>
        <v>0.88319088319088324</v>
      </c>
      <c r="AZ48" s="348">
        <f t="shared" si="23"/>
        <v>0.87593052109181146</v>
      </c>
      <c r="BA48" s="348">
        <f t="shared" si="23"/>
        <v>0.74909747292418771</v>
      </c>
      <c r="BB48" s="348">
        <f t="shared" si="23"/>
        <v>0.73913043478260865</v>
      </c>
    </row>
    <row r="49" spans="1:54" ht="14.25" customHeight="1" x14ac:dyDescent="0.2">
      <c r="A49" s="118"/>
      <c r="B49" s="58"/>
      <c r="C49" s="58"/>
      <c r="D49" s="69"/>
      <c r="E49" s="70"/>
      <c r="F49" s="69"/>
      <c r="G49" s="70"/>
      <c r="H49" s="70"/>
      <c r="I49" s="70"/>
      <c r="J49" s="12"/>
      <c r="K49" s="14"/>
      <c r="L49" s="14"/>
      <c r="M49" s="14"/>
      <c r="N49" s="14"/>
      <c r="O49" s="9"/>
      <c r="P49" s="9"/>
      <c r="Q49" s="9"/>
      <c r="R49" s="9"/>
      <c r="S49" s="9"/>
      <c r="T49" s="9"/>
      <c r="U49" s="9"/>
      <c r="V49" s="117"/>
      <c r="W49" s="137"/>
      <c r="X49" s="294"/>
      <c r="AJ49" s="585" t="b">
        <v>1</v>
      </c>
      <c r="AK49" s="160" t="s">
        <v>10</v>
      </c>
      <c r="AL49" s="87" t="str">
        <f t="shared" si="20"/>
        <v>Milton Keynes</v>
      </c>
      <c r="AM49" s="146">
        <f t="shared" si="21"/>
        <v>18.154311649016641</v>
      </c>
      <c r="AN49" s="146">
        <f t="shared" si="21"/>
        <v>21.907600596125189</v>
      </c>
      <c r="AO49" s="146">
        <f t="shared" si="21"/>
        <v>25.887573964497044</v>
      </c>
      <c r="AP49" s="146">
        <f t="shared" si="21"/>
        <v>32.503660322108345</v>
      </c>
      <c r="AQ49" s="146">
        <f t="shared" si="21"/>
        <v>38.22674418604651</v>
      </c>
      <c r="AR49" s="147">
        <f t="shared" si="24"/>
        <v>15</v>
      </c>
      <c r="AS49" s="348">
        <f t="shared" si="22"/>
        <v>0.210896309314587</v>
      </c>
      <c r="AT49" s="348">
        <f t="shared" si="22"/>
        <v>0.18943298969072164</v>
      </c>
      <c r="AU49" s="348">
        <f t="shared" si="22"/>
        <v>0.31362007168458783</v>
      </c>
      <c r="AV49" s="348">
        <f t="shared" si="22"/>
        <v>0.36815920398009949</v>
      </c>
      <c r="AW49" s="348">
        <f t="shared" si="22"/>
        <v>0.32190942472460221</v>
      </c>
      <c r="AX49" s="348">
        <f t="shared" si="23"/>
        <v>0.93333333333333335</v>
      </c>
      <c r="AY49" s="348">
        <f t="shared" si="23"/>
        <v>0.87074829931972786</v>
      </c>
      <c r="AZ49" s="348">
        <f t="shared" si="23"/>
        <v>0.94857142857142862</v>
      </c>
      <c r="BA49" s="348">
        <f t="shared" si="23"/>
        <v>0.87387387387387383</v>
      </c>
      <c r="BB49" s="348">
        <f t="shared" si="23"/>
        <v>0.90874524714828897</v>
      </c>
    </row>
    <row r="50" spans="1:54" ht="14.25" customHeight="1" x14ac:dyDescent="0.2">
      <c r="A50" s="118"/>
      <c r="B50" s="58"/>
      <c r="C50" s="58"/>
      <c r="D50" s="61"/>
      <c r="E50" s="61"/>
      <c r="F50" s="61"/>
      <c r="G50" s="61"/>
      <c r="H50" s="61"/>
      <c r="I50" s="61"/>
      <c r="J50" s="12"/>
      <c r="K50" s="14"/>
      <c r="L50" s="14"/>
      <c r="M50" s="14"/>
      <c r="N50" s="14"/>
      <c r="O50" s="9"/>
      <c r="P50" s="9"/>
      <c r="Q50" s="9"/>
      <c r="R50" s="9"/>
      <c r="S50" s="9"/>
      <c r="T50" s="9"/>
      <c r="U50" s="9"/>
      <c r="V50" s="117"/>
      <c r="W50" s="137"/>
      <c r="X50" s="294"/>
      <c r="AJ50" s="585" t="b">
        <v>1</v>
      </c>
      <c r="AK50" s="160" t="s">
        <v>11</v>
      </c>
      <c r="AL50" s="87" t="str">
        <f t="shared" si="20"/>
        <v>Oxfordshire</v>
      </c>
      <c r="AM50" s="146">
        <f t="shared" si="21"/>
        <v>54.866008462623412</v>
      </c>
      <c r="AN50" s="146">
        <f t="shared" si="21"/>
        <v>64.380685794261723</v>
      </c>
      <c r="AO50" s="146">
        <f t="shared" si="21"/>
        <v>61.227336122733611</v>
      </c>
      <c r="AP50" s="146">
        <f t="shared" si="21"/>
        <v>58.356353591160222</v>
      </c>
      <c r="AQ50" s="146">
        <f t="shared" si="21"/>
        <v>59.274469541409992</v>
      </c>
      <c r="AR50" s="147">
        <f t="shared" si="24"/>
        <v>10.100000000000001</v>
      </c>
      <c r="AS50" s="348">
        <f t="shared" si="22"/>
        <v>0.41738197424892703</v>
      </c>
      <c r="AT50" s="348">
        <f t="shared" si="22"/>
        <v>0.47767393561786087</v>
      </c>
      <c r="AU50" s="348">
        <f t="shared" si="22"/>
        <v>0.48642659279778394</v>
      </c>
      <c r="AV50" s="348">
        <f t="shared" si="22"/>
        <v>0.45114789108382275</v>
      </c>
      <c r="AW50" s="348">
        <f t="shared" si="22"/>
        <v>0.45459317585301839</v>
      </c>
      <c r="AX50" s="348">
        <f t="shared" si="23"/>
        <v>0.81876606683804631</v>
      </c>
      <c r="AY50" s="348">
        <f t="shared" si="23"/>
        <v>0.89347826086956517</v>
      </c>
      <c r="AZ50" s="348">
        <f t="shared" si="23"/>
        <v>0.88952164009111623</v>
      </c>
      <c r="BA50" s="348">
        <f t="shared" si="23"/>
        <v>0.81656804733727806</v>
      </c>
      <c r="BB50" s="348">
        <f t="shared" si="23"/>
        <v>0.78060046189376442</v>
      </c>
    </row>
    <row r="51" spans="1:54" ht="14.25" customHeight="1" x14ac:dyDescent="0.2">
      <c r="A51" s="118"/>
      <c r="B51" s="363"/>
      <c r="C51" s="363"/>
      <c r="D51" s="58"/>
      <c r="E51" s="58"/>
      <c r="F51" s="58"/>
      <c r="G51" s="58"/>
      <c r="H51" s="58"/>
      <c r="I51" s="58"/>
      <c r="J51" s="12"/>
      <c r="K51" s="14"/>
      <c r="L51" s="14"/>
      <c r="M51" s="14"/>
      <c r="N51" s="14"/>
      <c r="O51" s="9"/>
      <c r="P51" s="9"/>
      <c r="Q51" s="9"/>
      <c r="R51" s="9"/>
      <c r="S51" s="9"/>
      <c r="T51" s="9"/>
      <c r="U51" s="9"/>
      <c r="V51" s="117"/>
      <c r="W51" s="137"/>
      <c r="X51" s="294"/>
      <c r="AJ51" s="585" t="b">
        <v>1</v>
      </c>
      <c r="AK51" s="160" t="s">
        <v>12</v>
      </c>
      <c r="AL51" s="87" t="str">
        <f t="shared" si="20"/>
        <v>Portsmouth</v>
      </c>
      <c r="AM51" s="146">
        <f t="shared" ref="AM51:AQ64" si="25">VLOOKUP($AL51,$B$10:$O$33,AM$37,FALSE)</f>
        <v>76.712328767123282</v>
      </c>
      <c r="AN51" s="146">
        <f t="shared" si="25"/>
        <v>67.954545454545453</v>
      </c>
      <c r="AO51" s="146">
        <f t="shared" si="25"/>
        <v>69.909502262443439</v>
      </c>
      <c r="AP51" s="146">
        <f t="shared" si="25"/>
        <v>65.909090909090907</v>
      </c>
      <c r="AQ51" s="146">
        <f t="shared" si="25"/>
        <v>77.168949771689498</v>
      </c>
      <c r="AR51" s="147">
        <f t="shared" si="24"/>
        <v>20.200000000000003</v>
      </c>
      <c r="AS51" s="348">
        <f t="shared" ref="AS51:AW64" si="26">VLOOKUP($AL51,$B$112:$H$135,AS$37,FALSE)</f>
        <v>0.29268292682926828</v>
      </c>
      <c r="AT51" s="348">
        <f t="shared" si="26"/>
        <v>0.24112903225806451</v>
      </c>
      <c r="AU51" s="348">
        <f t="shared" si="26"/>
        <v>0.30146341463414633</v>
      </c>
      <c r="AV51" s="348">
        <f t="shared" si="26"/>
        <v>0.22086824067022087</v>
      </c>
      <c r="AW51" s="348">
        <f t="shared" si="26"/>
        <v>0.26120556414219476</v>
      </c>
      <c r="AX51" s="348">
        <f t="shared" ref="AX51:BB64" si="27">VLOOKUP($AL51,$B$148:$H$171,AX$37,FALSE)</f>
        <v>0.67261904761904767</v>
      </c>
      <c r="AY51" s="348">
        <f t="shared" si="27"/>
        <v>0.77591973244147161</v>
      </c>
      <c r="AZ51" s="348">
        <f t="shared" si="27"/>
        <v>0.71844660194174759</v>
      </c>
      <c r="BA51" s="348">
        <f t="shared" si="27"/>
        <v>0.8172413793103448</v>
      </c>
      <c r="BB51" s="348">
        <f t="shared" si="27"/>
        <v>0.86094674556213013</v>
      </c>
    </row>
    <row r="52" spans="1:54" ht="14.25" customHeight="1" x14ac:dyDescent="0.2">
      <c r="A52" s="118"/>
      <c r="B52" s="363"/>
      <c r="C52" s="363"/>
      <c r="D52" s="58"/>
      <c r="E52" s="58"/>
      <c r="F52" s="58"/>
      <c r="G52" s="58"/>
      <c r="H52" s="58"/>
      <c r="I52" s="58"/>
      <c r="J52" s="12"/>
      <c r="K52" s="14"/>
      <c r="L52" s="14"/>
      <c r="M52" s="14"/>
      <c r="N52" s="14"/>
      <c r="O52" s="9"/>
      <c r="P52" s="9"/>
      <c r="Q52" s="9"/>
      <c r="R52" s="9"/>
      <c r="S52" s="9"/>
      <c r="T52" s="9"/>
      <c r="U52" s="9"/>
      <c r="V52" s="117"/>
      <c r="W52" s="137"/>
      <c r="X52" s="294"/>
      <c r="AJ52" s="585" t="b">
        <v>1</v>
      </c>
      <c r="AK52" s="160" t="s">
        <v>3</v>
      </c>
      <c r="AL52" s="87" t="str">
        <f t="shared" si="20"/>
        <v>Reading</v>
      </c>
      <c r="AM52" s="146">
        <f t="shared" si="25"/>
        <v>118.13186813186813</v>
      </c>
      <c r="AN52" s="146">
        <f t="shared" si="25"/>
        <v>144.26229508196721</v>
      </c>
      <c r="AO52" s="146">
        <f t="shared" si="25"/>
        <v>111.85983827493261</v>
      </c>
      <c r="AP52" s="146">
        <f t="shared" si="25"/>
        <v>114.28571428571429</v>
      </c>
      <c r="AQ52" s="146">
        <f t="shared" si="25"/>
        <v>86.756756756756758</v>
      </c>
      <c r="AR52" s="147">
        <f t="shared" si="24"/>
        <v>16</v>
      </c>
      <c r="AS52" s="348">
        <f t="shared" si="26"/>
        <v>0.44193216855087358</v>
      </c>
      <c r="AT52" s="348">
        <f t="shared" si="26"/>
        <v>0.48440366972477067</v>
      </c>
      <c r="AU52" s="348">
        <f t="shared" si="26"/>
        <v>0.49404761904761907</v>
      </c>
      <c r="AV52" s="348">
        <f t="shared" si="26"/>
        <v>0.41125121241513096</v>
      </c>
      <c r="AW52" s="348">
        <f t="shared" si="26"/>
        <v>0.37109826589595374</v>
      </c>
      <c r="AX52" s="348">
        <f t="shared" si="27"/>
        <v>0.67441860465116277</v>
      </c>
      <c r="AY52" s="348">
        <f t="shared" si="27"/>
        <v>0.84659090909090906</v>
      </c>
      <c r="AZ52" s="348">
        <f t="shared" si="27"/>
        <v>0.75421686746987948</v>
      </c>
      <c r="BA52" s="348">
        <f t="shared" si="27"/>
        <v>0.60377358490566035</v>
      </c>
      <c r="BB52" s="348">
        <f t="shared" si="27"/>
        <v>0.78504672897196259</v>
      </c>
    </row>
    <row r="53" spans="1:54" ht="14.25" customHeight="1" x14ac:dyDescent="0.2">
      <c r="A53" s="118"/>
      <c r="B53" s="363"/>
      <c r="C53" s="363"/>
      <c r="D53" s="58"/>
      <c r="E53" s="58"/>
      <c r="F53" s="58"/>
      <c r="G53" s="58"/>
      <c r="H53" s="58"/>
      <c r="I53" s="58"/>
      <c r="J53" s="12"/>
      <c r="K53" s="14"/>
      <c r="L53" s="14"/>
      <c r="M53" s="14"/>
      <c r="N53" s="14"/>
      <c r="O53" s="9"/>
      <c r="P53" s="9"/>
      <c r="Q53" s="9"/>
      <c r="R53" s="9"/>
      <c r="S53" s="9"/>
      <c r="T53" s="9"/>
      <c r="U53" s="9"/>
      <c r="V53" s="117"/>
      <c r="W53" s="137"/>
      <c r="X53" s="294"/>
      <c r="AJ53" s="585" t="b">
        <v>1</v>
      </c>
      <c r="AK53" s="160" t="s">
        <v>13</v>
      </c>
      <c r="AL53" s="87" t="str">
        <f t="shared" si="20"/>
        <v>Slough</v>
      </c>
      <c r="AM53" s="146">
        <f t="shared" si="25"/>
        <v>86.453201970443359</v>
      </c>
      <c r="AN53" s="146">
        <f t="shared" si="25"/>
        <v>81.642512077294683</v>
      </c>
      <c r="AO53" s="146">
        <f t="shared" si="25"/>
        <v>64.928909952606631</v>
      </c>
      <c r="AP53" s="146">
        <f t="shared" si="25"/>
        <v>80.327868852459005</v>
      </c>
      <c r="AQ53" s="146">
        <f t="shared" si="25"/>
        <v>90.023201856148489</v>
      </c>
      <c r="AR53" s="147">
        <f t="shared" si="24"/>
        <v>14.7</v>
      </c>
      <c r="AS53" s="348">
        <f t="shared" si="26"/>
        <v>0.39</v>
      </c>
      <c r="AT53" s="348">
        <f t="shared" si="26"/>
        <v>0.38584474885844749</v>
      </c>
      <c r="AU53" s="348">
        <f t="shared" si="26"/>
        <v>0.38700564971751411</v>
      </c>
      <c r="AV53" s="348">
        <f t="shared" si="26"/>
        <v>0.32236842105263158</v>
      </c>
      <c r="AW53" s="348">
        <f t="shared" si="26"/>
        <v>0.29961389961389961</v>
      </c>
      <c r="AX53" s="348">
        <f t="shared" si="27"/>
        <v>0.81481481481481477</v>
      </c>
      <c r="AY53" s="348">
        <f t="shared" si="27"/>
        <v>0.81656804733727806</v>
      </c>
      <c r="AZ53" s="348">
        <f t="shared" si="27"/>
        <v>0.75547445255474455</v>
      </c>
      <c r="BA53" s="348">
        <f t="shared" si="27"/>
        <v>0.68804664723032072</v>
      </c>
      <c r="BB53" s="348">
        <f t="shared" si="27"/>
        <v>0.40206185567010311</v>
      </c>
    </row>
    <row r="54" spans="1:54" ht="14.25" customHeight="1" x14ac:dyDescent="0.2">
      <c r="A54" s="118"/>
      <c r="B54" s="363"/>
      <c r="C54" s="363"/>
      <c r="D54" s="58"/>
      <c r="E54" s="58"/>
      <c r="F54" s="58"/>
      <c r="G54" s="58"/>
      <c r="H54" s="58"/>
      <c r="I54" s="58"/>
      <c r="J54" s="12"/>
      <c r="K54" s="14"/>
      <c r="L54" s="14"/>
      <c r="M54" s="14"/>
      <c r="N54" s="14"/>
      <c r="O54" s="9"/>
      <c r="P54" s="9"/>
      <c r="Q54" s="9"/>
      <c r="R54" s="9"/>
      <c r="S54" s="9"/>
      <c r="T54" s="9"/>
      <c r="U54" s="9"/>
      <c r="V54" s="117"/>
      <c r="W54" s="137"/>
      <c r="X54" s="294"/>
      <c r="AJ54" s="585" t="b">
        <v>1</v>
      </c>
      <c r="AK54" s="160" t="s">
        <v>95</v>
      </c>
      <c r="AL54" s="87" t="str">
        <f t="shared" si="20"/>
        <v>Somerset</v>
      </c>
      <c r="AM54" s="146">
        <f t="shared" si="25"/>
        <v>43.772893772893774</v>
      </c>
      <c r="AN54" s="146">
        <f t="shared" si="25"/>
        <v>60.255241567912492</v>
      </c>
      <c r="AO54" s="146">
        <f t="shared" si="25"/>
        <v>53.224341507720254</v>
      </c>
      <c r="AP54" s="146">
        <f t="shared" si="25"/>
        <v>46.522131887985545</v>
      </c>
      <c r="AQ54" s="146">
        <f t="shared" si="25"/>
        <v>27.158273381294961</v>
      </c>
      <c r="AR54" s="147">
        <f t="shared" si="24"/>
        <v>13.600000000000001</v>
      </c>
      <c r="AS54" s="348">
        <f t="shared" si="26"/>
        <v>0.36854279105628374</v>
      </c>
      <c r="AT54" s="348">
        <f t="shared" si="26"/>
        <v>0.41915028535193405</v>
      </c>
      <c r="AU54" s="348">
        <f t="shared" si="26"/>
        <v>0.3832570307390451</v>
      </c>
      <c r="AV54" s="348">
        <f t="shared" si="26"/>
        <v>0.42178542178542178</v>
      </c>
      <c r="AW54" s="348">
        <f t="shared" si="26"/>
        <v>0.32719393282773562</v>
      </c>
      <c r="AX54" s="348">
        <f t="shared" si="27"/>
        <v>0.96443514644351469</v>
      </c>
      <c r="AY54" s="348">
        <f t="shared" si="27"/>
        <v>0.94099848714069589</v>
      </c>
      <c r="AZ54" s="348">
        <f t="shared" si="27"/>
        <v>0.93344709897610922</v>
      </c>
      <c r="BA54" s="348">
        <f t="shared" si="27"/>
        <v>0.92427184466019419</v>
      </c>
      <c r="BB54" s="348">
        <f t="shared" si="27"/>
        <v>0.9072847682119205</v>
      </c>
    </row>
    <row r="55" spans="1:54" ht="14.25" customHeight="1" x14ac:dyDescent="0.2">
      <c r="A55" s="118"/>
      <c r="B55" s="363"/>
      <c r="C55" s="363"/>
      <c r="D55" s="58"/>
      <c r="E55" s="58"/>
      <c r="F55" s="58"/>
      <c r="G55" s="58"/>
      <c r="H55" s="58"/>
      <c r="I55" s="58"/>
      <c r="J55" s="12"/>
      <c r="K55" s="14"/>
      <c r="L55" s="14"/>
      <c r="M55" s="14"/>
      <c r="N55" s="14"/>
      <c r="O55" s="9"/>
      <c r="P55" s="9"/>
      <c r="Q55" s="9"/>
      <c r="R55" s="9"/>
      <c r="S55" s="9"/>
      <c r="T55" s="9"/>
      <c r="U55" s="9"/>
      <c r="V55" s="117"/>
      <c r="W55" s="137"/>
      <c r="X55" s="294"/>
      <c r="AJ55" s="585" t="b">
        <v>1</v>
      </c>
      <c r="AK55" s="160" t="s">
        <v>14</v>
      </c>
      <c r="AL55" s="87" t="str">
        <f t="shared" si="20"/>
        <v>Southampton</v>
      </c>
      <c r="AM55" s="146">
        <f t="shared" si="25"/>
        <v>112.80487804878048</v>
      </c>
      <c r="AN55" s="146">
        <f t="shared" si="25"/>
        <v>92.785571142284567</v>
      </c>
      <c r="AO55" s="146">
        <f t="shared" si="25"/>
        <v>102.18687872763419</v>
      </c>
      <c r="AP55" s="146">
        <f t="shared" si="25"/>
        <v>94.29133858267717</v>
      </c>
      <c r="AQ55" s="146">
        <f t="shared" si="25"/>
        <v>137.03703703703704</v>
      </c>
      <c r="AR55" s="147">
        <f t="shared" si="24"/>
        <v>20.5</v>
      </c>
      <c r="AS55" s="348">
        <f t="shared" si="26"/>
        <v>0.29396186440677968</v>
      </c>
      <c r="AT55" s="348">
        <f t="shared" si="26"/>
        <v>0.34245562130177515</v>
      </c>
      <c r="AU55" s="348">
        <f t="shared" si="26"/>
        <v>0.30378250591016548</v>
      </c>
      <c r="AV55" s="348">
        <f t="shared" si="26"/>
        <v>0.27962638645650906</v>
      </c>
      <c r="AW55" s="348">
        <f t="shared" si="26"/>
        <v>0.33223062381852553</v>
      </c>
      <c r="AX55" s="348">
        <f t="shared" si="27"/>
        <v>0.61801801801801803</v>
      </c>
      <c r="AY55" s="348">
        <f t="shared" si="27"/>
        <v>0.68034557235421167</v>
      </c>
      <c r="AZ55" s="348">
        <f t="shared" si="27"/>
        <v>0.73929961089494167</v>
      </c>
      <c r="BA55" s="348">
        <f t="shared" si="27"/>
        <v>0.71189979123173275</v>
      </c>
      <c r="BB55" s="348">
        <f t="shared" si="27"/>
        <v>0.55476529160739685</v>
      </c>
    </row>
    <row r="56" spans="1:54" ht="14.25" customHeight="1" x14ac:dyDescent="0.2">
      <c r="A56" s="118"/>
      <c r="B56" s="363"/>
      <c r="C56" s="363"/>
      <c r="D56" s="58"/>
      <c r="E56" s="58"/>
      <c r="F56" s="58"/>
      <c r="G56" s="58"/>
      <c r="H56" s="58"/>
      <c r="I56" s="58"/>
      <c r="J56" s="12"/>
      <c r="K56" s="14"/>
      <c r="L56" s="14"/>
      <c r="M56" s="14"/>
      <c r="N56" s="14"/>
      <c r="O56" s="9"/>
      <c r="P56" s="9"/>
      <c r="Q56" s="9"/>
      <c r="R56" s="9"/>
      <c r="S56" s="9"/>
      <c r="T56" s="9"/>
      <c r="U56" s="9"/>
      <c r="V56" s="117"/>
      <c r="W56" s="137"/>
      <c r="X56" s="294"/>
      <c r="AJ56" s="585" t="b">
        <v>1</v>
      </c>
      <c r="AK56" s="160" t="s">
        <v>7</v>
      </c>
      <c r="AL56" s="87" t="str">
        <f t="shared" si="20"/>
        <v>Surrey</v>
      </c>
      <c r="AM56" s="146">
        <f t="shared" si="25"/>
        <v>47.581903276131051</v>
      </c>
      <c r="AN56" s="146">
        <f t="shared" si="25"/>
        <v>52.200772200772207</v>
      </c>
      <c r="AO56" s="146">
        <f t="shared" si="25"/>
        <v>57.049558202074529</v>
      </c>
      <c r="AP56" s="146">
        <f t="shared" si="25"/>
        <v>57.541046200840022</v>
      </c>
      <c r="AQ56" s="146">
        <f t="shared" si="25"/>
        <v>32.448824867323729</v>
      </c>
      <c r="AR56" s="147">
        <f t="shared" si="24"/>
        <v>8.3000000000000007</v>
      </c>
      <c r="AS56" s="348">
        <f t="shared" si="26"/>
        <v>0.27177545110269546</v>
      </c>
      <c r="AT56" s="348">
        <f t="shared" si="26"/>
        <v>0.316776007497657</v>
      </c>
      <c r="AU56" s="348">
        <f t="shared" si="26"/>
        <v>0.35654261704681872</v>
      </c>
      <c r="AV56" s="348">
        <f t="shared" si="26"/>
        <v>0.36409760811790287</v>
      </c>
      <c r="AW56" s="348">
        <f t="shared" si="26"/>
        <v>0.3220466516177577</v>
      </c>
      <c r="AX56" s="348">
        <f t="shared" si="27"/>
        <v>0.66393442622950816</v>
      </c>
      <c r="AY56" s="348">
        <f t="shared" si="27"/>
        <v>0.68417159763313606</v>
      </c>
      <c r="AZ56" s="348">
        <f t="shared" si="27"/>
        <v>0.51447811447811442</v>
      </c>
      <c r="BA56" s="348">
        <f t="shared" si="27"/>
        <v>0.77903118779031189</v>
      </c>
      <c r="BB56" s="348">
        <f t="shared" si="27"/>
        <v>0.82242990654205606</v>
      </c>
    </row>
    <row r="57" spans="1:54" ht="14.25" customHeight="1" x14ac:dyDescent="0.2">
      <c r="A57" s="278"/>
      <c r="B57" s="363"/>
      <c r="C57" s="363"/>
      <c r="D57" s="58"/>
      <c r="E57" s="58"/>
      <c r="F57" s="58"/>
      <c r="G57" s="58"/>
      <c r="H57" s="58"/>
      <c r="I57" s="58"/>
      <c r="J57" s="12"/>
      <c r="K57" s="14"/>
      <c r="L57" s="14"/>
      <c r="M57" s="14"/>
      <c r="N57" s="14"/>
      <c r="O57" s="9"/>
      <c r="P57" s="9"/>
      <c r="Q57" s="9"/>
      <c r="R57" s="9"/>
      <c r="S57" s="9"/>
      <c r="T57" s="9"/>
      <c r="U57" s="9"/>
      <c r="V57" s="117"/>
      <c r="W57" s="137"/>
      <c r="X57" s="294"/>
      <c r="AJ57" s="585" t="b">
        <v>1</v>
      </c>
      <c r="AK57" s="160" t="s">
        <v>113</v>
      </c>
      <c r="AL57" s="87" t="str">
        <f t="shared" si="20"/>
        <v>Swindon</v>
      </c>
      <c r="AM57" s="146">
        <f t="shared" si="25"/>
        <v>70.612244897959187</v>
      </c>
      <c r="AN57" s="146">
        <f t="shared" si="25"/>
        <v>78.181818181818173</v>
      </c>
      <c r="AO57" s="146">
        <f t="shared" si="25"/>
        <v>115.03006012024048</v>
      </c>
      <c r="AP57" s="146">
        <f t="shared" si="25"/>
        <v>98.605577689243034</v>
      </c>
      <c r="AQ57" s="146">
        <f t="shared" si="25"/>
        <v>55.158730158730158</v>
      </c>
      <c r="AR57" s="147">
        <f t="shared" si="24"/>
        <v>14.899999999999999</v>
      </c>
      <c r="AS57" s="348">
        <f t="shared" si="26"/>
        <v>0.4516971279373368</v>
      </c>
      <c r="AT57" s="348">
        <f t="shared" si="26"/>
        <v>0.42156862745098039</v>
      </c>
      <c r="AU57" s="348">
        <f t="shared" si="26"/>
        <v>0.56607495069033531</v>
      </c>
      <c r="AV57" s="348">
        <f t="shared" si="26"/>
        <v>0.4678638941398866</v>
      </c>
      <c r="AW57" s="348">
        <f t="shared" si="26"/>
        <v>0.26526717557251911</v>
      </c>
      <c r="AX57" s="348">
        <f t="shared" si="27"/>
        <v>0.78034682080924855</v>
      </c>
      <c r="AY57" s="348">
        <f t="shared" si="27"/>
        <v>0.65374677002583981</v>
      </c>
      <c r="AZ57" s="348">
        <f t="shared" si="27"/>
        <v>0.84668989547038331</v>
      </c>
      <c r="BA57" s="348">
        <f t="shared" si="27"/>
        <v>0.68484848484848482</v>
      </c>
      <c r="BB57" s="348">
        <f t="shared" si="27"/>
        <v>0.93525179856115104</v>
      </c>
    </row>
    <row r="58" spans="1:54" ht="14.25" customHeight="1" x14ac:dyDescent="0.2">
      <c r="A58" s="278"/>
      <c r="B58" s="363"/>
      <c r="C58" s="363"/>
      <c r="D58" s="58"/>
      <c r="E58" s="58"/>
      <c r="F58" s="58"/>
      <c r="G58" s="58"/>
      <c r="H58" s="58"/>
      <c r="I58" s="58"/>
      <c r="J58" s="12"/>
      <c r="K58" s="14"/>
      <c r="L58" s="14"/>
      <c r="M58" s="14"/>
      <c r="N58" s="14"/>
      <c r="O58" s="9"/>
      <c r="P58" s="9"/>
      <c r="Q58" s="9"/>
      <c r="R58" s="9"/>
      <c r="S58" s="9"/>
      <c r="T58" s="9"/>
      <c r="U58" s="9"/>
      <c r="V58" s="117"/>
      <c r="W58" s="137"/>
      <c r="X58" s="294"/>
      <c r="AJ58" s="585" t="b">
        <v>1</v>
      </c>
      <c r="AK58" s="160" t="s">
        <v>114</v>
      </c>
      <c r="AL58" s="87" t="str">
        <f t="shared" si="20"/>
        <v>Torbay</v>
      </c>
      <c r="AM58" s="146">
        <f t="shared" si="25"/>
        <v>128.96825396825395</v>
      </c>
      <c r="AN58" s="146">
        <f t="shared" si="25"/>
        <v>142.51968503937007</v>
      </c>
      <c r="AO58" s="146">
        <f t="shared" si="25"/>
        <v>142.51968503937007</v>
      </c>
      <c r="AP58" s="146">
        <f t="shared" si="25"/>
        <v>120.86614173228345</v>
      </c>
      <c r="AQ58" s="146">
        <f t="shared" si="25"/>
        <v>121.484375</v>
      </c>
      <c r="AR58" s="147">
        <f t="shared" si="24"/>
        <v>21.9</v>
      </c>
      <c r="AS58" s="348">
        <f t="shared" si="26"/>
        <v>0.41191381495564006</v>
      </c>
      <c r="AT58" s="348">
        <f t="shared" si="26"/>
        <v>0.47631578947368419</v>
      </c>
      <c r="AU58" s="348">
        <f t="shared" si="26"/>
        <v>0.52312138728323698</v>
      </c>
      <c r="AV58" s="348">
        <f t="shared" si="26"/>
        <v>0.39561855670103091</v>
      </c>
      <c r="AW58" s="348">
        <f t="shared" si="26"/>
        <v>0.38537794299876083</v>
      </c>
      <c r="AX58" s="348">
        <f t="shared" si="27"/>
        <v>0.80615384615384611</v>
      </c>
      <c r="AY58" s="348">
        <f t="shared" si="27"/>
        <v>0.90055248618784534</v>
      </c>
      <c r="AZ58" s="348">
        <f t="shared" si="27"/>
        <v>0.66850828729281764</v>
      </c>
      <c r="BA58" s="348">
        <f t="shared" si="27"/>
        <v>0.73289902280130292</v>
      </c>
      <c r="BB58" s="348">
        <f t="shared" si="27"/>
        <v>0.71061093247588425</v>
      </c>
    </row>
    <row r="59" spans="1:54" ht="14.25" customHeight="1" x14ac:dyDescent="0.2">
      <c r="A59" s="118"/>
      <c r="B59" s="363"/>
      <c r="C59" s="363"/>
      <c r="D59" s="58"/>
      <c r="E59" s="58"/>
      <c r="F59" s="58"/>
      <c r="G59" s="58"/>
      <c r="H59" s="58"/>
      <c r="I59" s="58"/>
      <c r="J59" s="12"/>
      <c r="K59" s="14"/>
      <c r="L59" s="14"/>
      <c r="M59" s="14"/>
      <c r="N59" s="14"/>
      <c r="O59" s="9"/>
      <c r="P59" s="9"/>
      <c r="Q59" s="9"/>
      <c r="R59" s="9"/>
      <c r="S59" s="9"/>
      <c r="T59" s="9"/>
      <c r="U59" s="9"/>
      <c r="V59" s="117"/>
      <c r="W59" s="137"/>
      <c r="X59" s="294"/>
      <c r="AJ59" s="585" t="b">
        <v>1</v>
      </c>
      <c r="AK59" s="160" t="s">
        <v>15</v>
      </c>
      <c r="AL59" s="87" t="str">
        <f t="shared" si="20"/>
        <v>West Berkshire</v>
      </c>
      <c r="AM59" s="146">
        <f t="shared" si="25"/>
        <v>67.226890756302524</v>
      </c>
      <c r="AN59" s="146">
        <f t="shared" si="25"/>
        <v>69.080779944289688</v>
      </c>
      <c r="AO59" s="146">
        <f t="shared" si="25"/>
        <v>76.815642458100555</v>
      </c>
      <c r="AP59" s="146">
        <f t="shared" si="25"/>
        <v>72.752808988764045</v>
      </c>
      <c r="AQ59" s="146">
        <f t="shared" si="25"/>
        <v>60.112359550561798</v>
      </c>
      <c r="AR59" s="147">
        <f t="shared" si="24"/>
        <v>8.6999999999999993</v>
      </c>
      <c r="AS59" s="348">
        <f t="shared" si="26"/>
        <v>0.37267080745341613</v>
      </c>
      <c r="AT59" s="348">
        <f t="shared" si="26"/>
        <v>0.44846292947558769</v>
      </c>
      <c r="AU59" s="348">
        <f t="shared" si="26"/>
        <v>0.44283413848631242</v>
      </c>
      <c r="AV59" s="348">
        <f t="shared" si="26"/>
        <v>0.46582733812949639</v>
      </c>
      <c r="AW59" s="348">
        <f t="shared" si="26"/>
        <v>0.41392649903288203</v>
      </c>
      <c r="AX59" s="348">
        <f t="shared" si="27"/>
        <v>0.94166666666666665</v>
      </c>
      <c r="AY59" s="348">
        <f t="shared" si="27"/>
        <v>0.967741935483871</v>
      </c>
      <c r="AZ59" s="348">
        <f t="shared" si="27"/>
        <v>0.96363636363636362</v>
      </c>
      <c r="BA59" s="348">
        <f t="shared" si="27"/>
        <v>0.96138996138996136</v>
      </c>
      <c r="BB59" s="348">
        <f t="shared" si="27"/>
        <v>0.84579439252336452</v>
      </c>
    </row>
    <row r="60" spans="1:54" ht="14.25" customHeight="1" x14ac:dyDescent="0.2">
      <c r="A60" s="118"/>
      <c r="B60" s="363"/>
      <c r="C60" s="363"/>
      <c r="D60" s="58"/>
      <c r="E60" s="58"/>
      <c r="F60" s="58"/>
      <c r="G60" s="58"/>
      <c r="H60" s="58"/>
      <c r="I60" s="58"/>
      <c r="J60" s="12"/>
      <c r="K60" s="14"/>
      <c r="L60" s="14"/>
      <c r="M60" s="14"/>
      <c r="N60" s="14"/>
      <c r="O60" s="9"/>
      <c r="P60" s="9"/>
      <c r="Q60" s="9"/>
      <c r="R60" s="9"/>
      <c r="S60" s="9"/>
      <c r="T60" s="9"/>
      <c r="U60" s="9"/>
      <c r="V60" s="117"/>
      <c r="W60" s="137"/>
      <c r="X60" s="294"/>
      <c r="AJ60" s="585" t="b">
        <v>1</v>
      </c>
      <c r="AK60" s="160" t="s">
        <v>5</v>
      </c>
      <c r="AL60" s="87" t="str">
        <f t="shared" si="20"/>
        <v>West Sussex</v>
      </c>
      <c r="AM60" s="146">
        <f t="shared" si="25"/>
        <v>39.377934272300465</v>
      </c>
      <c r="AN60" s="146">
        <f t="shared" si="25"/>
        <v>39.580908032596035</v>
      </c>
      <c r="AO60" s="146">
        <f t="shared" si="25"/>
        <v>62.261973456433928</v>
      </c>
      <c r="AP60" s="146">
        <f t="shared" si="25"/>
        <v>50.028620492272466</v>
      </c>
      <c r="AQ60" s="146">
        <f t="shared" si="25"/>
        <v>76.093128904031801</v>
      </c>
      <c r="AR60" s="147">
        <f t="shared" si="24"/>
        <v>11</v>
      </c>
      <c r="AS60" s="348">
        <f t="shared" si="26"/>
        <v>0.37174515235457062</v>
      </c>
      <c r="AT60" s="348">
        <f t="shared" si="26"/>
        <v>0.31350852927616413</v>
      </c>
      <c r="AU60" s="348">
        <f t="shared" si="26"/>
        <v>0.3593073593073593</v>
      </c>
      <c r="AV60" s="348">
        <f t="shared" si="26"/>
        <v>0.30200414651002072</v>
      </c>
      <c r="AW60" s="348">
        <f t="shared" si="26"/>
        <v>0.43506493506493504</v>
      </c>
      <c r="AX60" s="348">
        <f t="shared" si="27"/>
        <v>0.52906110283159469</v>
      </c>
      <c r="AY60" s="348">
        <f t="shared" si="27"/>
        <v>0.42794117647058821</v>
      </c>
      <c r="AZ60" s="348">
        <f t="shared" si="27"/>
        <v>0.85078776645041709</v>
      </c>
      <c r="BA60" s="348">
        <f t="shared" si="27"/>
        <v>0.69450800915331812</v>
      </c>
      <c r="BB60" s="348">
        <f t="shared" si="27"/>
        <v>0.60970149253731343</v>
      </c>
    </row>
    <row r="61" spans="1:54" s="81" customFormat="1" ht="14.25" customHeight="1" x14ac:dyDescent="0.2">
      <c r="A61" s="118"/>
      <c r="B61" s="363"/>
      <c r="C61" s="363"/>
      <c r="D61" s="58"/>
      <c r="E61" s="58"/>
      <c r="F61" s="58"/>
      <c r="G61" s="58"/>
      <c r="H61" s="58"/>
      <c r="I61" s="58"/>
      <c r="J61" s="12"/>
      <c r="K61" s="14"/>
      <c r="L61" s="14"/>
      <c r="M61" s="14"/>
      <c r="N61" s="14"/>
      <c r="O61" s="9"/>
      <c r="P61" s="9"/>
      <c r="Q61" s="9"/>
      <c r="R61" s="9"/>
      <c r="S61" s="9"/>
      <c r="T61" s="9"/>
      <c r="U61" s="9"/>
      <c r="V61" s="117"/>
      <c r="W61" s="137"/>
      <c r="X61" s="294"/>
      <c r="AJ61" s="585" t="b">
        <v>1</v>
      </c>
      <c r="AK61" s="160" t="s">
        <v>30</v>
      </c>
      <c r="AL61" s="87" t="str">
        <f t="shared" si="20"/>
        <v>Windsor &amp; Maidenhead</v>
      </c>
      <c r="AM61" s="146">
        <f t="shared" si="25"/>
        <v>59.347181008902076</v>
      </c>
      <c r="AN61" s="146">
        <f t="shared" si="25"/>
        <v>56.725146198830409</v>
      </c>
      <c r="AO61" s="146">
        <f t="shared" si="25"/>
        <v>39.825581395348834</v>
      </c>
      <c r="AP61" s="146">
        <f t="shared" si="25"/>
        <v>34.971098265895954</v>
      </c>
      <c r="AQ61" s="146">
        <f t="shared" si="25"/>
        <v>74.639769452449571</v>
      </c>
      <c r="AR61" s="147">
        <f t="shared" si="24"/>
        <v>6.7</v>
      </c>
      <c r="AS61" s="348">
        <f t="shared" si="26"/>
        <v>0.45766590389016021</v>
      </c>
      <c r="AT61" s="348">
        <f t="shared" si="26"/>
        <v>0.42450765864332601</v>
      </c>
      <c r="AU61" s="348">
        <f t="shared" si="26"/>
        <v>0.3914285714285714</v>
      </c>
      <c r="AV61" s="348">
        <f t="shared" si="26"/>
        <v>0.23180076628352492</v>
      </c>
      <c r="AW61" s="348">
        <f t="shared" si="26"/>
        <v>0.43383584589614738</v>
      </c>
      <c r="AX61" s="348">
        <f t="shared" si="27"/>
        <v>0.86</v>
      </c>
      <c r="AY61" s="348">
        <f t="shared" si="27"/>
        <v>0.82989690721649489</v>
      </c>
      <c r="AZ61" s="348">
        <f t="shared" si="27"/>
        <v>0.53284671532846717</v>
      </c>
      <c r="BA61" s="348">
        <f t="shared" si="27"/>
        <v>0.64462809917355368</v>
      </c>
      <c r="BB61" s="348">
        <f t="shared" si="27"/>
        <v>0.5791505791505791</v>
      </c>
    </row>
    <row r="62" spans="1:54" s="81" customFormat="1" ht="14.25" customHeight="1" x14ac:dyDescent="0.2">
      <c r="A62" s="118"/>
      <c r="B62" s="363"/>
      <c r="C62" s="363"/>
      <c r="D62" s="58"/>
      <c r="E62" s="58"/>
      <c r="F62" s="58"/>
      <c r="G62" s="58"/>
      <c r="H62" s="58"/>
      <c r="I62" s="58"/>
      <c r="J62" s="12"/>
      <c r="K62" s="14"/>
      <c r="L62" s="14"/>
      <c r="M62" s="14"/>
      <c r="N62" s="14"/>
      <c r="O62" s="9"/>
      <c r="P62" s="9"/>
      <c r="Q62" s="9"/>
      <c r="R62" s="9"/>
      <c r="S62" s="9"/>
      <c r="T62" s="9"/>
      <c r="U62" s="9"/>
      <c r="V62" s="117"/>
      <c r="W62" s="137"/>
      <c r="X62" s="294"/>
      <c r="AJ62" s="585" t="b">
        <v>1</v>
      </c>
      <c r="AK62" s="160" t="s">
        <v>16</v>
      </c>
      <c r="AL62" s="87" t="str">
        <f t="shared" si="20"/>
        <v>Wokingham</v>
      </c>
      <c r="AM62" s="146">
        <f t="shared" si="25"/>
        <v>38.873994638069703</v>
      </c>
      <c r="AN62" s="146">
        <f t="shared" si="25"/>
        <v>23.421052631578949</v>
      </c>
      <c r="AO62" s="146">
        <f t="shared" si="25"/>
        <v>46.770025839793277</v>
      </c>
      <c r="AP62" s="146">
        <f t="shared" si="25"/>
        <v>64.810126582278485</v>
      </c>
      <c r="AQ62" s="146">
        <f t="shared" si="25"/>
        <v>50.990099009900995</v>
      </c>
      <c r="AR62" s="147">
        <f t="shared" si="24"/>
        <v>5.6000000000000005</v>
      </c>
      <c r="AS62" s="348">
        <f t="shared" si="26"/>
        <v>0.41907514450867051</v>
      </c>
      <c r="AT62" s="348">
        <f t="shared" si="26"/>
        <v>0.33840304182509506</v>
      </c>
      <c r="AU62" s="348">
        <f t="shared" si="26"/>
        <v>0.38428874734607221</v>
      </c>
      <c r="AV62" s="348">
        <f t="shared" si="26"/>
        <v>0.39083969465648855</v>
      </c>
      <c r="AW62" s="348">
        <f t="shared" si="26"/>
        <v>0.31692307692307692</v>
      </c>
      <c r="AX62" s="348">
        <f t="shared" si="27"/>
        <v>0.96551724137931039</v>
      </c>
      <c r="AY62" s="348">
        <f t="shared" si="27"/>
        <v>0.797752808988764</v>
      </c>
      <c r="AZ62" s="348">
        <f t="shared" si="27"/>
        <v>0.82320441988950277</v>
      </c>
      <c r="BA62" s="348">
        <f t="shared" si="27"/>
        <v>0.65625</v>
      </c>
      <c r="BB62" s="348">
        <f t="shared" si="27"/>
        <v>0.87378640776699024</v>
      </c>
    </row>
    <row r="63" spans="1:54" s="81" customFormat="1" ht="14.25" customHeight="1" x14ac:dyDescent="0.2">
      <c r="A63" s="118"/>
      <c r="B63" s="363"/>
      <c r="C63" s="363"/>
      <c r="D63" s="58"/>
      <c r="E63" s="58"/>
      <c r="F63" s="58"/>
      <c r="G63" s="58"/>
      <c r="H63" s="58"/>
      <c r="I63" s="58"/>
      <c r="J63" s="12"/>
      <c r="K63" s="14"/>
      <c r="L63" s="14"/>
      <c r="M63" s="14"/>
      <c r="N63" s="14"/>
      <c r="O63" s="9"/>
      <c r="P63" s="9"/>
      <c r="Q63" s="9"/>
      <c r="R63" s="9"/>
      <c r="S63" s="9"/>
      <c r="T63" s="9"/>
      <c r="U63" s="9"/>
      <c r="V63" s="117"/>
      <c r="W63" s="137"/>
      <c r="X63" s="294"/>
      <c r="AJ63" s="585" t="b">
        <v>1</v>
      </c>
      <c r="AK63" s="160" t="s">
        <v>74</v>
      </c>
      <c r="AL63" s="87" t="str">
        <f t="shared" si="20"/>
        <v>South East</v>
      </c>
      <c r="AM63" s="146">
        <f t="shared" si="25"/>
        <v>59.485949637662273</v>
      </c>
      <c r="AN63" s="146">
        <f t="shared" si="25"/>
        <v>59.4382080595934</v>
      </c>
      <c r="AO63" s="146">
        <f t="shared" si="25"/>
        <v>62.914758989659965</v>
      </c>
      <c r="AP63" s="146">
        <f t="shared" si="25"/>
        <v>60.794932052722999</v>
      </c>
      <c r="AQ63" s="146">
        <f t="shared" si="25"/>
        <v>61.598618728417634</v>
      </c>
      <c r="AR63" s="147">
        <f t="shared" si="24"/>
        <v>12.371268250968637</v>
      </c>
      <c r="AS63" s="348">
        <f t="shared" si="26"/>
        <v>0.37238903394255873</v>
      </c>
      <c r="AT63" s="348">
        <f t="shared" si="26"/>
        <v>0.37280986372485397</v>
      </c>
      <c r="AU63" s="348">
        <f t="shared" si="26"/>
        <v>0.37746913580246916</v>
      </c>
      <c r="AV63" s="348">
        <f t="shared" si="26"/>
        <v>0.35322054021964977</v>
      </c>
      <c r="AW63" s="348">
        <f t="shared" si="26"/>
        <v>0.34401588201928529</v>
      </c>
      <c r="AX63" s="348">
        <f t="shared" si="27"/>
        <v>0.72217353198948286</v>
      </c>
      <c r="AY63" s="348">
        <f t="shared" si="27"/>
        <v>0.75021758050478682</v>
      </c>
      <c r="AZ63" s="348">
        <f t="shared" si="27"/>
        <v>0.74979558462796403</v>
      </c>
      <c r="BA63" s="348">
        <f t="shared" si="27"/>
        <v>0.77226890756302524</v>
      </c>
      <c r="BB63" s="348">
        <f t="shared" si="27"/>
        <v>0.75927452596867273</v>
      </c>
    </row>
    <row r="64" spans="1:54" s="81" customFormat="1" ht="14.1" customHeight="1" x14ac:dyDescent="0.2">
      <c r="A64" s="118"/>
      <c r="B64" s="363"/>
      <c r="C64" s="363"/>
      <c r="D64" s="58"/>
      <c r="E64" s="58"/>
      <c r="F64" s="58"/>
      <c r="G64" s="58"/>
      <c r="H64" s="58"/>
      <c r="I64" s="58"/>
      <c r="J64" s="12"/>
      <c r="K64" s="9"/>
      <c r="L64" s="110"/>
      <c r="M64" s="1823" t="s">
        <v>72</v>
      </c>
      <c r="N64" s="1790"/>
      <c r="O64" s="1790"/>
      <c r="P64" s="1824"/>
      <c r="Q64" s="917"/>
      <c r="R64" s="1802" t="s">
        <v>100</v>
      </c>
      <c r="S64" s="1803"/>
      <c r="T64" s="1803"/>
      <c r="U64" s="1804"/>
      <c r="V64" s="117"/>
      <c r="W64" s="137"/>
      <c r="X64" s="294"/>
      <c r="AJ64" s="585" t="b">
        <v>1</v>
      </c>
      <c r="AK64" s="160" t="s">
        <v>127</v>
      </c>
      <c r="AL64" s="87" t="str">
        <f t="shared" si="20"/>
        <v>England</v>
      </c>
      <c r="AM64" s="146">
        <f t="shared" si="25"/>
        <v>62.554055095522315</v>
      </c>
      <c r="AN64" s="146">
        <f t="shared" si="25"/>
        <v>65.276233952466214</v>
      </c>
      <c r="AO64" s="146">
        <f t="shared" si="25"/>
        <v>66.967220021909498</v>
      </c>
      <c r="AP64" s="146">
        <f t="shared" si="25"/>
        <v>64.778411657437303</v>
      </c>
      <c r="AQ64" s="146">
        <f t="shared" si="25"/>
        <v>64.43161781829069</v>
      </c>
      <c r="AR64" s="147">
        <f t="shared" si="24"/>
        <v>17.084413405029373</v>
      </c>
      <c r="AS64" s="348">
        <f t="shared" si="26"/>
        <v>0.42399442799930348</v>
      </c>
      <c r="AT64" s="348">
        <f t="shared" si="26"/>
        <v>0.41482879482340251</v>
      </c>
      <c r="AU64" s="348">
        <f t="shared" si="26"/>
        <v>0.40118128123580193</v>
      </c>
      <c r="AV64" s="348">
        <f t="shared" si="26"/>
        <v>0.38494805388477404</v>
      </c>
      <c r="AW64" s="348">
        <f t="shared" si="26"/>
        <v>0.38542288557213933</v>
      </c>
      <c r="AX64" s="348">
        <f t="shared" si="27"/>
        <v>0.76659822039698833</v>
      </c>
      <c r="AY64" s="348">
        <f t="shared" si="27"/>
        <v>0.77226049655531004</v>
      </c>
      <c r="AZ64" s="348">
        <f t="shared" si="27"/>
        <v>0.76947275701522588</v>
      </c>
      <c r="BA64" s="348">
        <f t="shared" si="27"/>
        <v>0.7870609504132231</v>
      </c>
      <c r="BB64" s="348">
        <f t="shared" si="27"/>
        <v>0.77655866787143413</v>
      </c>
    </row>
    <row r="65" spans="1:54" s="81" customFormat="1" ht="15" customHeight="1" x14ac:dyDescent="0.2">
      <c r="A65" s="118"/>
      <c r="B65" s="363"/>
      <c r="C65" s="363"/>
      <c r="D65" s="58"/>
      <c r="E65" s="58"/>
      <c r="F65" s="58"/>
      <c r="G65" s="58"/>
      <c r="H65" s="58"/>
      <c r="I65" s="58"/>
      <c r="J65" s="12"/>
      <c r="K65" s="9"/>
      <c r="L65" s="111"/>
      <c r="M65" s="1802" t="str">
        <f>AA4</f>
        <v>Selected LA- (none)</v>
      </c>
      <c r="N65" s="1803"/>
      <c r="O65" s="1803"/>
      <c r="P65" s="1803"/>
      <c r="Q65" s="110"/>
      <c r="R65" s="1806" t="s">
        <v>187</v>
      </c>
      <c r="S65" s="1806"/>
      <c r="T65" s="1806"/>
      <c r="U65" s="1807"/>
      <c r="V65" s="117"/>
      <c r="W65" s="137"/>
      <c r="X65" s="150"/>
      <c r="AK65" s="161"/>
      <c r="AL65" s="74" t="str">
        <f>AA4</f>
        <v>Selected LA- (none)</v>
      </c>
      <c r="AM65" s="148" t="e">
        <f>VLOOKUP($Z4,$B$10:$O$32,AM$37,FALSE)</f>
        <v>#N/A</v>
      </c>
      <c r="AN65" s="148" t="e">
        <f>VLOOKUP($Z4,$B$10:$O$32,AN$37,FALSE)</f>
        <v>#N/A</v>
      </c>
      <c r="AO65" s="148" t="e">
        <f>VLOOKUP($Z4,$B$10:$O$32,AO$37,FALSE)</f>
        <v>#N/A</v>
      </c>
      <c r="AP65" s="148" t="e">
        <f>VLOOKUP($Z4,$B$10:$O$32,AP$37,FALSE)</f>
        <v>#N/A</v>
      </c>
      <c r="AQ65" s="148" t="e">
        <f>VLOOKUP($Z4,$B$10:$O$32,AQ$37,FALSE)</f>
        <v>#N/A</v>
      </c>
      <c r="AR65" s="147" t="e">
        <f>VLOOKUP(Z4,$B$10:$U$33,$AR$37,FALSE)</f>
        <v>#N/A</v>
      </c>
      <c r="AS65" s="171" t="e">
        <f>VLOOKUP($Z$4,$B$112:$H$135,AS$37,FALSE)</f>
        <v>#N/A</v>
      </c>
      <c r="AT65" s="171" t="e">
        <f>VLOOKUP($Z$4,$B$112:$H$135,AT$37,FALSE)</f>
        <v>#N/A</v>
      </c>
      <c r="AU65" s="171" t="e">
        <f>VLOOKUP($Z$4,$B$112:$H$135,AU$37,FALSE)</f>
        <v>#N/A</v>
      </c>
      <c r="AV65" s="171" t="e">
        <f>VLOOKUP($Z$4,$B$112:$H$135,AV$37,FALSE)</f>
        <v>#N/A</v>
      </c>
      <c r="AW65" s="171" t="e">
        <f>VLOOKUP($Z$4,$B$112:$H$135,AW$37,FALSE)</f>
        <v>#N/A</v>
      </c>
      <c r="AX65" s="171" t="e">
        <f>VLOOKUP($Z$4,$B$148:$H$171,AX$37,FALSE)</f>
        <v>#N/A</v>
      </c>
      <c r="AY65" s="171" t="e">
        <f>VLOOKUP($Z$4,$B$148:$H$171,AY$37,FALSE)</f>
        <v>#N/A</v>
      </c>
      <c r="AZ65" s="171" t="e">
        <f>VLOOKUP($Z$4,$B$148:$H$171,AZ$37,FALSE)</f>
        <v>#N/A</v>
      </c>
      <c r="BA65" s="171" t="e">
        <f>VLOOKUP($Z$4,$B$148:$H$171,BA$37,FALSE)</f>
        <v>#N/A</v>
      </c>
      <c r="BB65" s="171" t="e">
        <f>VLOOKUP($Z$4,$B$148:$H$171,BB$37,FALSE)</f>
        <v>#N/A</v>
      </c>
    </row>
    <row r="66" spans="1:54" s="81" customFormat="1" ht="39" customHeight="1" x14ac:dyDescent="0.2">
      <c r="A66" s="118"/>
      <c r="B66" s="363"/>
      <c r="C66" s="363"/>
      <c r="D66" s="58"/>
      <c r="E66" s="58"/>
      <c r="F66" s="58"/>
      <c r="G66" s="58"/>
      <c r="H66" s="58"/>
      <c r="I66" s="58"/>
      <c r="J66" s="12"/>
      <c r="K66" s="9"/>
      <c r="L66" s="9"/>
      <c r="M66" s="9"/>
      <c r="N66" s="9"/>
      <c r="O66" s="9"/>
      <c r="P66" s="9"/>
      <c r="Q66" s="9"/>
      <c r="R66" s="9"/>
      <c r="S66" s="9"/>
      <c r="T66" s="9"/>
      <c r="U66" s="9"/>
      <c r="V66" s="117"/>
      <c r="W66" s="137"/>
      <c r="X66" s="150"/>
      <c r="AK66" s="161"/>
    </row>
    <row r="67" spans="1:54" s="87" customFormat="1" ht="38.450000000000003" customHeight="1" x14ac:dyDescent="0.2">
      <c r="A67" s="121"/>
      <c r="B67" s="109"/>
      <c r="C67" s="109"/>
      <c r="D67" s="109"/>
      <c r="E67" s="109"/>
      <c r="F67" s="109"/>
      <c r="G67" s="109"/>
      <c r="H67" s="109"/>
      <c r="I67" s="109"/>
      <c r="J67" s="96"/>
      <c r="K67" s="85"/>
      <c r="L67" s="85"/>
      <c r="M67" s="85"/>
      <c r="N67" s="85"/>
      <c r="O67" s="85"/>
      <c r="P67" s="85"/>
      <c r="Q67" s="85"/>
      <c r="R67" s="85"/>
      <c r="S67" s="85"/>
      <c r="T67" s="85"/>
      <c r="U67" s="85"/>
      <c r="V67" s="122"/>
      <c r="W67" s="139"/>
      <c r="X67" s="152"/>
      <c r="AE67" s="190"/>
      <c r="AF67" s="190"/>
      <c r="AG67" s="190"/>
      <c r="AH67" s="190"/>
      <c r="AI67" s="190"/>
      <c r="AJ67" s="202"/>
      <c r="AK67" s="160"/>
    </row>
    <row r="68" spans="1:54" s="87" customFormat="1" ht="48.75" customHeight="1" x14ac:dyDescent="0.2">
      <c r="A68" s="121"/>
      <c r="B68" s="109"/>
      <c r="C68" s="109"/>
      <c r="D68" s="109"/>
      <c r="E68" s="109"/>
      <c r="F68" s="109"/>
      <c r="G68" s="109"/>
      <c r="H68" s="109"/>
      <c r="I68" s="109"/>
      <c r="J68" s="96"/>
      <c r="K68" s="85"/>
      <c r="L68" s="85"/>
      <c r="M68" s="85"/>
      <c r="N68" s="85"/>
      <c r="O68" s="85"/>
      <c r="P68" s="85"/>
      <c r="Q68" s="85"/>
      <c r="R68" s="85"/>
      <c r="S68" s="85"/>
      <c r="T68" s="85"/>
      <c r="U68" s="85"/>
      <c r="V68" s="122"/>
      <c r="W68" s="139"/>
      <c r="X68" s="152"/>
      <c r="AE68" s="190"/>
      <c r="AF68" s="190"/>
      <c r="AG68" s="190"/>
      <c r="AH68" s="190"/>
      <c r="AI68" s="190"/>
      <c r="AJ68" s="202"/>
      <c r="AK68" s="160"/>
    </row>
    <row r="69" spans="1:54" ht="7.5" customHeight="1" x14ac:dyDescent="0.2">
      <c r="A69" s="118"/>
      <c r="B69" s="17"/>
      <c r="C69" s="17"/>
      <c r="D69" s="16"/>
      <c r="E69" s="16"/>
      <c r="F69" s="16"/>
      <c r="G69" s="16"/>
      <c r="H69" s="16"/>
      <c r="I69" s="16"/>
      <c r="J69" s="12"/>
      <c r="K69" s="18"/>
      <c r="L69" s="18"/>
      <c r="M69" s="18"/>
      <c r="N69" s="18"/>
      <c r="O69" s="18"/>
      <c r="P69" s="18"/>
      <c r="Q69" s="18"/>
      <c r="R69" s="18"/>
      <c r="S69" s="18"/>
      <c r="T69" s="18"/>
      <c r="U69" s="19"/>
      <c r="V69" s="117"/>
      <c r="W69" s="137"/>
      <c r="X69" s="150"/>
      <c r="Y69" s="87"/>
      <c r="Z69" s="87"/>
      <c r="AA69" s="87"/>
      <c r="AB69" s="87"/>
      <c r="AC69" s="87"/>
      <c r="AD69" s="87"/>
      <c r="AJ69" s="184"/>
      <c r="AK69" s="157"/>
    </row>
    <row r="70" spans="1:54" ht="15" customHeight="1" x14ac:dyDescent="0.2">
      <c r="A70" s="1716"/>
      <c r="B70" s="1760"/>
      <c r="C70" s="1760"/>
      <c r="D70" s="1760"/>
      <c r="E70" s="1760"/>
      <c r="F70" s="1760"/>
      <c r="G70" s="1760"/>
      <c r="H70" s="1760"/>
      <c r="I70" s="1760"/>
      <c r="J70" s="1760"/>
      <c r="K70" s="1760"/>
      <c r="L70" s="1760"/>
      <c r="M70" s="1760"/>
      <c r="N70" s="1760"/>
      <c r="O70" s="1760"/>
      <c r="P70" s="1760"/>
      <c r="Q70" s="1760"/>
      <c r="R70" s="1760"/>
      <c r="S70" s="1760"/>
      <c r="T70" s="1760"/>
      <c r="U70" s="1760"/>
      <c r="V70" s="1761"/>
      <c r="W70" s="137"/>
      <c r="X70" s="150"/>
      <c r="Y70" s="87"/>
      <c r="Z70" s="87"/>
      <c r="AA70" s="87"/>
      <c r="AB70" s="87"/>
      <c r="AC70" s="87"/>
      <c r="AD70" s="87"/>
      <c r="AJ70" s="184"/>
      <c r="AK70" s="157"/>
    </row>
    <row r="71" spans="1:54" ht="11.45" customHeight="1" x14ac:dyDescent="0.2">
      <c r="A71" s="1765" t="str">
        <f>Home!$A$39</f>
        <v xml:space="preserve"> </v>
      </c>
      <c r="B71" s="1766"/>
      <c r="C71" s="1766"/>
      <c r="D71" s="1766"/>
      <c r="E71" s="1766"/>
      <c r="F71" s="1766"/>
      <c r="G71" s="1766"/>
      <c r="H71" s="1766"/>
      <c r="I71" s="1767"/>
      <c r="J71" s="1766"/>
      <c r="K71" s="1766"/>
      <c r="L71" s="1766"/>
      <c r="M71" s="1766"/>
      <c r="N71" s="1766"/>
      <c r="O71" s="1766"/>
      <c r="P71" s="1768"/>
      <c r="Q71" s="1766"/>
      <c r="R71" s="1766"/>
      <c r="S71" s="1766"/>
      <c r="T71" s="1767"/>
      <c r="U71" s="1766"/>
      <c r="V71" s="1769"/>
      <c r="W71" s="137"/>
      <c r="X71" s="150"/>
      <c r="Y71" s="87"/>
      <c r="Z71" s="87"/>
      <c r="AA71" s="87"/>
      <c r="AB71" s="87"/>
      <c r="AC71" s="87"/>
      <c r="AD71" s="87"/>
      <c r="AJ71" s="184"/>
      <c r="AK71" s="157"/>
    </row>
    <row r="72" spans="1:54" ht="11.25" customHeight="1" x14ac:dyDescent="0.2">
      <c r="A72" s="112"/>
      <c r="B72" s="113"/>
      <c r="C72" s="113"/>
      <c r="D72" s="113"/>
      <c r="E72" s="113"/>
      <c r="F72" s="113"/>
      <c r="G72" s="113"/>
      <c r="H72" s="113"/>
      <c r="I72" s="113"/>
      <c r="J72" s="114"/>
      <c r="K72" s="113"/>
      <c r="L72" s="113"/>
      <c r="M72" s="113"/>
      <c r="N72" s="113"/>
      <c r="O72" s="113"/>
      <c r="P72" s="113"/>
      <c r="Q72" s="113"/>
      <c r="R72" s="113"/>
      <c r="S72" s="113"/>
      <c r="T72" s="113"/>
      <c r="U72" s="113"/>
      <c r="V72" s="115"/>
      <c r="W72" s="137"/>
      <c r="X72" s="150"/>
      <c r="Y72" s="188"/>
      <c r="Z72" s="188"/>
      <c r="AA72" s="188"/>
      <c r="AJ72" s="184"/>
      <c r="AK72" s="157"/>
    </row>
    <row r="73" spans="1:54" s="76" customFormat="1" ht="15" customHeight="1" x14ac:dyDescent="0.2">
      <c r="A73" s="119"/>
      <c r="B73" s="59"/>
      <c r="C73" s="362"/>
      <c r="D73" s="362"/>
      <c r="E73" s="362"/>
      <c r="F73" s="362"/>
      <c r="G73" s="362"/>
      <c r="H73" s="362"/>
      <c r="I73" s="362"/>
      <c r="J73" s="70"/>
      <c r="K73" s="70"/>
      <c r="L73" s="70"/>
      <c r="M73" s="70"/>
      <c r="N73" s="359"/>
      <c r="O73" s="70"/>
      <c r="P73" s="70"/>
      <c r="Q73" s="70"/>
      <c r="R73" s="70"/>
      <c r="S73" s="70"/>
      <c r="T73" s="70"/>
      <c r="U73" s="70"/>
      <c r="V73" s="120"/>
      <c r="W73" s="138"/>
      <c r="X73" s="151"/>
      <c r="Y73" s="188"/>
      <c r="Z73" s="188"/>
      <c r="AA73" s="188"/>
      <c r="AB73" s="188"/>
      <c r="AC73" s="188"/>
      <c r="AD73" s="188"/>
      <c r="AE73" s="188"/>
      <c r="AF73" s="188"/>
      <c r="AG73" s="188"/>
      <c r="AH73" s="188"/>
      <c r="AI73" s="188"/>
      <c r="AJ73" s="188"/>
      <c r="AK73" s="158"/>
    </row>
    <row r="74" spans="1:54" ht="13.5" customHeight="1" x14ac:dyDescent="0.2">
      <c r="A74" s="118"/>
      <c r="B74" s="362"/>
      <c r="C74" s="362"/>
      <c r="D74" s="362"/>
      <c r="E74" s="362"/>
      <c r="F74" s="362"/>
      <c r="G74" s="362"/>
      <c r="H74" s="362"/>
      <c r="I74" s="362"/>
      <c r="J74" s="70"/>
      <c r="K74" s="70"/>
      <c r="L74" s="70"/>
      <c r="M74" s="70"/>
      <c r="N74" s="359"/>
      <c r="O74" s="70"/>
      <c r="P74" s="70"/>
      <c r="Q74" s="70"/>
      <c r="R74" s="10"/>
      <c r="S74" s="70"/>
      <c r="T74" s="70"/>
      <c r="U74" s="70"/>
      <c r="V74" s="117"/>
      <c r="W74" s="137"/>
      <c r="X74" s="150"/>
      <c r="Y74" s="188"/>
      <c r="Z74" s="188"/>
      <c r="AA74" s="196"/>
      <c r="AB74" s="196"/>
      <c r="AC74" s="197"/>
      <c r="AD74" s="197"/>
      <c r="AJ74" s="184"/>
      <c r="AK74" s="157"/>
    </row>
    <row r="75" spans="1:54" s="87" customFormat="1" ht="12" customHeight="1" x14ac:dyDescent="0.2">
      <c r="A75" s="121"/>
      <c r="B75" s="362"/>
      <c r="C75" s="362"/>
      <c r="D75" s="362"/>
      <c r="E75" s="362"/>
      <c r="F75" s="362"/>
      <c r="G75" s="362"/>
      <c r="H75" s="362"/>
      <c r="I75" s="96"/>
      <c r="J75" s="96"/>
      <c r="K75" s="61"/>
      <c r="L75" s="61"/>
      <c r="M75" s="61"/>
      <c r="N75" s="61"/>
      <c r="O75" s="61"/>
      <c r="P75" s="61"/>
      <c r="Q75" s="365"/>
      <c r="R75" s="365"/>
      <c r="S75" s="159"/>
      <c r="T75" s="159"/>
      <c r="U75" s="366"/>
      <c r="V75" s="122"/>
      <c r="W75" s="139"/>
      <c r="X75" s="152"/>
      <c r="Y75" s="188"/>
      <c r="Z75" s="188"/>
      <c r="AA75" s="196"/>
      <c r="AB75" s="196"/>
      <c r="AC75" s="197"/>
      <c r="AD75" s="197"/>
      <c r="AE75" s="199"/>
      <c r="AF75" s="190"/>
      <c r="AG75" s="190"/>
      <c r="AH75" s="190"/>
      <c r="AI75" s="190"/>
      <c r="AJ75" s="202"/>
      <c r="AK75" s="160"/>
    </row>
    <row r="76" spans="1:54" s="87" customFormat="1" ht="24" customHeight="1" x14ac:dyDescent="0.2">
      <c r="A76" s="121"/>
      <c r="B76" s="362"/>
      <c r="C76" s="362"/>
      <c r="D76" s="362"/>
      <c r="E76" s="362"/>
      <c r="F76" s="362"/>
      <c r="G76" s="362"/>
      <c r="H76" s="362"/>
      <c r="I76" s="96"/>
      <c r="J76" s="96"/>
      <c r="K76" s="166"/>
      <c r="L76" s="166"/>
      <c r="M76" s="166"/>
      <c r="N76" s="166"/>
      <c r="O76" s="166"/>
      <c r="P76" s="166"/>
      <c r="Q76" s="166"/>
      <c r="R76" s="167"/>
      <c r="S76" s="159"/>
      <c r="T76" s="159"/>
      <c r="U76" s="166"/>
      <c r="V76" s="122"/>
      <c r="W76" s="139"/>
      <c r="X76" s="152"/>
      <c r="Z76" s="354" t="s">
        <v>130</v>
      </c>
      <c r="AA76" s="354" t="s">
        <v>131</v>
      </c>
      <c r="AB76" s="196"/>
      <c r="AC76" s="197"/>
      <c r="AD76" s="197"/>
      <c r="AE76" s="199"/>
      <c r="AF76" s="190"/>
      <c r="AG76" s="190"/>
      <c r="AH76" s="190"/>
      <c r="AI76" s="190"/>
      <c r="AJ76" s="202"/>
      <c r="AK76" s="160"/>
    </row>
    <row r="77" spans="1:54" s="87" customFormat="1" ht="12.75" customHeight="1" x14ac:dyDescent="0.2">
      <c r="A77" s="121"/>
      <c r="B77" s="362"/>
      <c r="C77" s="362"/>
      <c r="D77" s="362"/>
      <c r="E77" s="362"/>
      <c r="F77" s="362"/>
      <c r="G77" s="362"/>
      <c r="H77" s="362"/>
      <c r="I77" s="96"/>
      <c r="J77" s="96"/>
      <c r="K77" s="166"/>
      <c r="L77" s="166"/>
      <c r="M77" s="166"/>
      <c r="N77" s="166"/>
      <c r="O77" s="166"/>
      <c r="P77" s="166"/>
      <c r="Q77" s="166"/>
      <c r="R77" s="167"/>
      <c r="S77" s="159"/>
      <c r="T77" s="159"/>
      <c r="U77" s="166"/>
      <c r="V77" s="122"/>
      <c r="W77" s="139"/>
      <c r="X77" s="152"/>
      <c r="Y77" s="576" t="str">
        <f>B10</f>
        <v>Bracknell Forest</v>
      </c>
      <c r="Z77" s="356" t="e">
        <f>IF(Y77=$Z$4,I10,#N/A)</f>
        <v>#N/A</v>
      </c>
      <c r="AA77" s="356" t="e">
        <f>IF(Y77=$Z$4,U10,#N/A)</f>
        <v>#N/A</v>
      </c>
      <c r="AB77" s="196"/>
      <c r="AC77" s="197"/>
      <c r="AD77" s="197"/>
      <c r="AE77" s="199"/>
      <c r="AF77" s="190"/>
      <c r="AG77" s="190"/>
      <c r="AH77" s="190"/>
      <c r="AI77" s="190"/>
      <c r="AJ77" s="202"/>
      <c r="AK77" s="160"/>
    </row>
    <row r="78" spans="1:54" s="87" customFormat="1" ht="12.75" customHeight="1" x14ac:dyDescent="0.2">
      <c r="A78" s="121"/>
      <c r="B78" s="362"/>
      <c r="C78" s="362"/>
      <c r="D78" s="362"/>
      <c r="E78" s="362"/>
      <c r="F78" s="362"/>
      <c r="G78" s="362"/>
      <c r="H78" s="362"/>
      <c r="I78" s="96"/>
      <c r="J78" s="96"/>
      <c r="K78" s="166"/>
      <c r="L78" s="166"/>
      <c r="M78" s="166"/>
      <c r="N78" s="166"/>
      <c r="O78" s="166"/>
      <c r="P78" s="166"/>
      <c r="Q78" s="166"/>
      <c r="R78" s="167"/>
      <c r="S78" s="159"/>
      <c r="T78" s="159"/>
      <c r="U78" s="166"/>
      <c r="V78" s="122"/>
      <c r="W78" s="139"/>
      <c r="X78" s="152"/>
      <c r="Y78" s="576" t="str">
        <f t="shared" ref="Y78:Y98" si="28">B11</f>
        <v>Brighton &amp; Hove</v>
      </c>
      <c r="Z78" s="356" t="e">
        <f t="shared" ref="Z78:Z100" si="29">IF(Y78=$Z$4,I11,#N/A)</f>
        <v>#N/A</v>
      </c>
      <c r="AA78" s="356" t="e">
        <f t="shared" ref="AA78:AA100" si="30">IF(Y78=$Z$4,U11,#N/A)</f>
        <v>#N/A</v>
      </c>
      <c r="AB78" s="196"/>
      <c r="AC78" s="197"/>
      <c r="AD78" s="197"/>
      <c r="AE78" s="199"/>
      <c r="AF78" s="190"/>
      <c r="AG78" s="190"/>
      <c r="AH78" s="190"/>
      <c r="AI78" s="190"/>
      <c r="AJ78" s="202"/>
      <c r="AK78" s="160"/>
    </row>
    <row r="79" spans="1:54" s="87" customFormat="1" ht="12.75" customHeight="1" x14ac:dyDescent="0.2">
      <c r="A79" s="121"/>
      <c r="B79" s="362"/>
      <c r="C79" s="362"/>
      <c r="D79" s="362"/>
      <c r="E79" s="362"/>
      <c r="F79" s="362"/>
      <c r="G79" s="362"/>
      <c r="H79" s="362"/>
      <c r="I79" s="96"/>
      <c r="J79" s="96"/>
      <c r="K79" s="166"/>
      <c r="L79" s="166"/>
      <c r="M79" s="166"/>
      <c r="N79" s="166"/>
      <c r="O79" s="166"/>
      <c r="P79" s="166"/>
      <c r="Q79" s="166"/>
      <c r="R79" s="167"/>
      <c r="S79" s="159"/>
      <c r="T79" s="159"/>
      <c r="U79" s="166"/>
      <c r="V79" s="122"/>
      <c r="W79" s="139"/>
      <c r="X79" s="152"/>
      <c r="Y79" s="576" t="str">
        <f t="shared" si="28"/>
        <v>Buckinghamshire</v>
      </c>
      <c r="Z79" s="356" t="e">
        <f t="shared" si="29"/>
        <v>#N/A</v>
      </c>
      <c r="AA79" s="356" t="e">
        <f t="shared" si="30"/>
        <v>#N/A</v>
      </c>
      <c r="AB79" s="196"/>
      <c r="AC79" s="197"/>
      <c r="AD79" s="197"/>
      <c r="AE79" s="199"/>
      <c r="AF79" s="190"/>
      <c r="AG79" s="190"/>
      <c r="AH79" s="190"/>
      <c r="AI79" s="190"/>
      <c r="AJ79" s="202"/>
      <c r="AK79" s="160"/>
    </row>
    <row r="80" spans="1:54" s="87" customFormat="1" ht="12.75" customHeight="1" x14ac:dyDescent="0.2">
      <c r="A80" s="121"/>
      <c r="B80" s="362"/>
      <c r="C80" s="362"/>
      <c r="D80" s="362"/>
      <c r="E80" s="362"/>
      <c r="F80" s="362"/>
      <c r="G80" s="362"/>
      <c r="H80" s="362"/>
      <c r="I80" s="96"/>
      <c r="J80" s="96"/>
      <c r="K80" s="166"/>
      <c r="L80" s="166"/>
      <c r="M80" s="166"/>
      <c r="N80" s="166"/>
      <c r="O80" s="166"/>
      <c r="P80" s="166"/>
      <c r="Q80" s="166"/>
      <c r="R80" s="167"/>
      <c r="S80" s="159"/>
      <c r="T80" s="159"/>
      <c r="U80" s="166"/>
      <c r="V80" s="122"/>
      <c r="W80" s="139"/>
      <c r="X80" s="152"/>
      <c r="Y80" s="576" t="str">
        <f t="shared" si="28"/>
        <v>East Sussex</v>
      </c>
      <c r="Z80" s="356" t="e">
        <f t="shared" si="29"/>
        <v>#N/A</v>
      </c>
      <c r="AA80" s="356" t="e">
        <f t="shared" si="30"/>
        <v>#N/A</v>
      </c>
      <c r="AB80" s="196"/>
      <c r="AC80" s="197"/>
      <c r="AD80" s="197"/>
      <c r="AE80" s="199"/>
      <c r="AF80" s="190"/>
      <c r="AG80" s="190"/>
      <c r="AH80" s="190"/>
      <c r="AI80" s="190"/>
      <c r="AJ80" s="202"/>
      <c r="AK80" s="160"/>
    </row>
    <row r="81" spans="1:45" s="87" customFormat="1" ht="12.75" customHeight="1" x14ac:dyDescent="0.2">
      <c r="A81" s="121"/>
      <c r="B81" s="362"/>
      <c r="C81" s="362"/>
      <c r="D81" s="362"/>
      <c r="E81" s="362"/>
      <c r="F81" s="362"/>
      <c r="G81" s="362"/>
      <c r="H81" s="362"/>
      <c r="I81" s="96"/>
      <c r="J81" s="96"/>
      <c r="K81" s="166"/>
      <c r="L81" s="166"/>
      <c r="M81" s="166"/>
      <c r="N81" s="166"/>
      <c r="O81" s="166"/>
      <c r="P81" s="166"/>
      <c r="Q81" s="166"/>
      <c r="R81" s="167"/>
      <c r="S81" s="159"/>
      <c r="T81" s="159"/>
      <c r="U81" s="166"/>
      <c r="V81" s="122"/>
      <c r="W81" s="139"/>
      <c r="X81" s="152"/>
      <c r="Y81" s="576" t="str">
        <f t="shared" si="28"/>
        <v>Hampshire</v>
      </c>
      <c r="Z81" s="356" t="e">
        <f t="shared" si="29"/>
        <v>#N/A</v>
      </c>
      <c r="AA81" s="356" t="e">
        <f t="shared" si="30"/>
        <v>#N/A</v>
      </c>
      <c r="AB81" s="196"/>
      <c r="AC81" s="197"/>
      <c r="AD81" s="197"/>
      <c r="AE81" s="199"/>
      <c r="AF81" s="190"/>
      <c r="AG81" s="190"/>
      <c r="AH81" s="190"/>
      <c r="AI81" s="190"/>
      <c r="AJ81" s="202"/>
      <c r="AK81" s="160"/>
      <c r="AS81" s="87" t="s">
        <v>102</v>
      </c>
    </row>
    <row r="82" spans="1:45" s="87" customFormat="1" ht="12.75" customHeight="1" x14ac:dyDescent="0.2">
      <c r="A82" s="121"/>
      <c r="B82" s="362"/>
      <c r="C82" s="362"/>
      <c r="D82" s="362"/>
      <c r="E82" s="362"/>
      <c r="F82" s="362"/>
      <c r="G82" s="362"/>
      <c r="H82" s="362"/>
      <c r="I82" s="96"/>
      <c r="J82" s="96"/>
      <c r="K82" s="166"/>
      <c r="L82" s="166"/>
      <c r="M82" s="166"/>
      <c r="N82" s="166"/>
      <c r="O82" s="166"/>
      <c r="P82" s="166"/>
      <c r="Q82" s="166"/>
      <c r="R82" s="167"/>
      <c r="S82" s="159"/>
      <c r="T82" s="159"/>
      <c r="U82" s="166"/>
      <c r="V82" s="122"/>
      <c r="W82" s="139"/>
      <c r="X82" s="152"/>
      <c r="Y82" s="576" t="str">
        <f t="shared" si="28"/>
        <v>Isle of Wight</v>
      </c>
      <c r="Z82" s="356" t="e">
        <f t="shared" si="29"/>
        <v>#N/A</v>
      </c>
      <c r="AA82" s="356" t="e">
        <f t="shared" si="30"/>
        <v>#N/A</v>
      </c>
      <c r="AB82" s="196"/>
      <c r="AC82" s="197"/>
      <c r="AD82" s="197"/>
      <c r="AE82" s="199"/>
      <c r="AF82" s="190"/>
      <c r="AG82" s="190"/>
      <c r="AH82" s="190"/>
      <c r="AI82" s="190"/>
      <c r="AJ82" s="202"/>
      <c r="AK82" s="160"/>
    </row>
    <row r="83" spans="1:45" s="87" customFormat="1" ht="12.75" customHeight="1" x14ac:dyDescent="0.2">
      <c r="A83" s="121"/>
      <c r="B83" s="362"/>
      <c r="C83" s="362"/>
      <c r="D83" s="362"/>
      <c r="E83" s="362"/>
      <c r="F83" s="362"/>
      <c r="G83" s="362"/>
      <c r="H83" s="362"/>
      <c r="I83" s="96"/>
      <c r="J83" s="96"/>
      <c r="K83" s="166"/>
      <c r="L83" s="166"/>
      <c r="M83" s="166"/>
      <c r="N83" s="166"/>
      <c r="O83" s="166"/>
      <c r="P83" s="166"/>
      <c r="Q83" s="166"/>
      <c r="R83" s="167"/>
      <c r="S83" s="159"/>
      <c r="T83" s="159"/>
      <c r="U83" s="166"/>
      <c r="V83" s="122"/>
      <c r="W83" s="139"/>
      <c r="X83" s="152"/>
      <c r="Y83" s="576" t="str">
        <f t="shared" si="28"/>
        <v>Kent</v>
      </c>
      <c r="Z83" s="356" t="e">
        <f t="shared" si="29"/>
        <v>#N/A</v>
      </c>
      <c r="AA83" s="356" t="e">
        <f t="shared" si="30"/>
        <v>#N/A</v>
      </c>
      <c r="AB83" s="196"/>
      <c r="AC83" s="197"/>
      <c r="AD83" s="197"/>
      <c r="AE83" s="199"/>
      <c r="AF83" s="190"/>
      <c r="AG83" s="190"/>
      <c r="AH83" s="190"/>
      <c r="AI83" s="190"/>
      <c r="AJ83" s="202"/>
      <c r="AK83" s="160"/>
    </row>
    <row r="84" spans="1:45" s="87" customFormat="1" ht="12.75" customHeight="1" x14ac:dyDescent="0.2">
      <c r="A84" s="121"/>
      <c r="B84" s="362"/>
      <c r="C84" s="362"/>
      <c r="D84" s="362"/>
      <c r="E84" s="362"/>
      <c r="F84" s="362"/>
      <c r="G84" s="362"/>
      <c r="H84" s="362"/>
      <c r="I84" s="96"/>
      <c r="J84" s="96"/>
      <c r="K84" s="166"/>
      <c r="L84" s="166"/>
      <c r="M84" s="166"/>
      <c r="N84" s="166"/>
      <c r="O84" s="166"/>
      <c r="P84" s="166"/>
      <c r="Q84" s="166"/>
      <c r="R84" s="167"/>
      <c r="S84" s="159"/>
      <c r="T84" s="159"/>
      <c r="U84" s="166"/>
      <c r="V84" s="122"/>
      <c r="W84" s="139"/>
      <c r="X84" s="152"/>
      <c r="Y84" s="576" t="str">
        <f t="shared" si="28"/>
        <v>Medway</v>
      </c>
      <c r="Z84" s="356" t="e">
        <f t="shared" si="29"/>
        <v>#N/A</v>
      </c>
      <c r="AA84" s="356" t="e">
        <f t="shared" si="30"/>
        <v>#N/A</v>
      </c>
      <c r="AB84" s="196"/>
      <c r="AC84" s="197"/>
      <c r="AD84" s="197"/>
      <c r="AE84" s="199"/>
      <c r="AF84" s="190"/>
      <c r="AG84" s="190"/>
      <c r="AH84" s="190"/>
      <c r="AI84" s="190"/>
      <c r="AJ84" s="202"/>
      <c r="AK84" s="160"/>
    </row>
    <row r="85" spans="1:45" s="87" customFormat="1" ht="12.75" customHeight="1" x14ac:dyDescent="0.2">
      <c r="A85" s="121"/>
      <c r="B85" s="362"/>
      <c r="C85" s="362"/>
      <c r="D85" s="362"/>
      <c r="E85" s="362"/>
      <c r="F85" s="362"/>
      <c r="G85" s="362"/>
      <c r="H85" s="362"/>
      <c r="I85" s="96"/>
      <c r="J85" s="96"/>
      <c r="K85" s="166"/>
      <c r="L85" s="166"/>
      <c r="M85" s="166"/>
      <c r="N85" s="166"/>
      <c r="O85" s="166"/>
      <c r="P85" s="166"/>
      <c r="Q85" s="166"/>
      <c r="R85" s="167"/>
      <c r="S85" s="159"/>
      <c r="T85" s="159"/>
      <c r="U85" s="166"/>
      <c r="V85" s="122"/>
      <c r="W85" s="139"/>
      <c r="X85" s="152"/>
      <c r="Y85" s="576" t="str">
        <f t="shared" si="28"/>
        <v>Milton Keynes</v>
      </c>
      <c r="Z85" s="356" t="e">
        <f t="shared" si="29"/>
        <v>#N/A</v>
      </c>
      <c r="AA85" s="356" t="e">
        <f t="shared" si="30"/>
        <v>#N/A</v>
      </c>
      <c r="AB85" s="196"/>
      <c r="AC85" s="197"/>
      <c r="AD85" s="197"/>
      <c r="AE85" s="199"/>
      <c r="AF85" s="190"/>
      <c r="AG85" s="190"/>
      <c r="AH85" s="190"/>
      <c r="AI85" s="190"/>
      <c r="AJ85" s="202"/>
      <c r="AK85" s="160"/>
    </row>
    <row r="86" spans="1:45" s="87" customFormat="1" ht="12.75" customHeight="1" x14ac:dyDescent="0.2">
      <c r="A86" s="121"/>
      <c r="B86" s="362"/>
      <c r="C86" s="362"/>
      <c r="D86" s="362"/>
      <c r="E86" s="362"/>
      <c r="F86" s="362"/>
      <c r="G86" s="362"/>
      <c r="H86" s="362"/>
      <c r="I86" s="96"/>
      <c r="J86" s="96"/>
      <c r="K86" s="166"/>
      <c r="L86" s="166"/>
      <c r="M86" s="166"/>
      <c r="N86" s="166"/>
      <c r="O86" s="166"/>
      <c r="P86" s="166"/>
      <c r="Q86" s="166"/>
      <c r="R86" s="167"/>
      <c r="S86" s="159"/>
      <c r="T86" s="159"/>
      <c r="U86" s="166"/>
      <c r="V86" s="122"/>
      <c r="W86" s="139"/>
      <c r="X86" s="152"/>
      <c r="Y86" s="576" t="str">
        <f t="shared" si="28"/>
        <v>Oxfordshire</v>
      </c>
      <c r="Z86" s="356" t="e">
        <f t="shared" si="29"/>
        <v>#N/A</v>
      </c>
      <c r="AA86" s="356" t="e">
        <f t="shared" si="30"/>
        <v>#N/A</v>
      </c>
      <c r="AB86" s="196"/>
      <c r="AC86" s="197"/>
      <c r="AD86" s="197"/>
      <c r="AE86" s="199"/>
      <c r="AF86" s="190"/>
      <c r="AG86" s="190"/>
      <c r="AH86" s="190"/>
      <c r="AI86" s="190"/>
      <c r="AJ86" s="202"/>
      <c r="AK86" s="160"/>
    </row>
    <row r="87" spans="1:45" s="87" customFormat="1" ht="12.75" customHeight="1" x14ac:dyDescent="0.2">
      <c r="A87" s="121"/>
      <c r="B87" s="362"/>
      <c r="C87" s="362"/>
      <c r="D87" s="362"/>
      <c r="E87" s="362"/>
      <c r="F87" s="362"/>
      <c r="G87" s="362"/>
      <c r="H87" s="362"/>
      <c r="I87" s="96"/>
      <c r="J87" s="96"/>
      <c r="K87" s="166"/>
      <c r="L87" s="166"/>
      <c r="M87" s="166"/>
      <c r="N87" s="166"/>
      <c r="O87" s="166"/>
      <c r="P87" s="166"/>
      <c r="Q87" s="166"/>
      <c r="R87" s="167"/>
      <c r="S87" s="159"/>
      <c r="T87" s="159"/>
      <c r="U87" s="166"/>
      <c r="V87" s="122"/>
      <c r="W87" s="139"/>
      <c r="X87" s="152"/>
      <c r="Y87" s="576" t="str">
        <f t="shared" si="28"/>
        <v>Portsmouth</v>
      </c>
      <c r="Z87" s="356" t="e">
        <f t="shared" si="29"/>
        <v>#N/A</v>
      </c>
      <c r="AA87" s="356" t="e">
        <f t="shared" si="30"/>
        <v>#N/A</v>
      </c>
      <c r="AB87" s="196"/>
      <c r="AC87" s="197"/>
      <c r="AD87" s="197"/>
      <c r="AE87" s="199"/>
      <c r="AF87" s="190"/>
      <c r="AG87" s="190"/>
      <c r="AH87" s="190"/>
      <c r="AI87" s="190"/>
      <c r="AJ87" s="202"/>
      <c r="AK87" s="160"/>
    </row>
    <row r="88" spans="1:45" s="87" customFormat="1" ht="12.75" customHeight="1" x14ac:dyDescent="0.2">
      <c r="A88" s="121"/>
      <c r="B88" s="362"/>
      <c r="C88" s="362"/>
      <c r="D88" s="362"/>
      <c r="E88" s="362"/>
      <c r="F88" s="362"/>
      <c r="G88" s="362"/>
      <c r="H88" s="362"/>
      <c r="I88" s="96"/>
      <c r="J88" s="96"/>
      <c r="K88" s="166"/>
      <c r="L88" s="166"/>
      <c r="M88" s="166"/>
      <c r="N88" s="166"/>
      <c r="O88" s="166"/>
      <c r="P88" s="166"/>
      <c r="Q88" s="166"/>
      <c r="R88" s="167"/>
      <c r="S88" s="159"/>
      <c r="T88" s="159"/>
      <c r="U88" s="166"/>
      <c r="V88" s="122"/>
      <c r="W88" s="139"/>
      <c r="X88" s="152"/>
      <c r="Y88" s="576" t="str">
        <f t="shared" si="28"/>
        <v>Reading</v>
      </c>
      <c r="Z88" s="356" t="e">
        <f t="shared" si="29"/>
        <v>#N/A</v>
      </c>
      <c r="AA88" s="356" t="e">
        <f t="shared" si="30"/>
        <v>#N/A</v>
      </c>
      <c r="AB88" s="196"/>
      <c r="AC88" s="197"/>
      <c r="AD88" s="197"/>
      <c r="AE88" s="199"/>
      <c r="AF88" s="190"/>
      <c r="AG88" s="190"/>
      <c r="AH88" s="190"/>
      <c r="AI88" s="190"/>
      <c r="AJ88" s="202"/>
      <c r="AK88" s="160"/>
    </row>
    <row r="89" spans="1:45" s="87" customFormat="1" ht="12.75" customHeight="1" x14ac:dyDescent="0.2">
      <c r="A89" s="121"/>
      <c r="B89" s="362"/>
      <c r="C89" s="362"/>
      <c r="D89" s="362"/>
      <c r="E89" s="362"/>
      <c r="F89" s="362"/>
      <c r="G89" s="362"/>
      <c r="H89" s="362"/>
      <c r="I89" s="96"/>
      <c r="J89" s="96"/>
      <c r="K89" s="166"/>
      <c r="L89" s="166"/>
      <c r="M89" s="166"/>
      <c r="N89" s="166"/>
      <c r="O89" s="166"/>
      <c r="P89" s="166"/>
      <c r="Q89" s="166"/>
      <c r="R89" s="167"/>
      <c r="S89" s="159"/>
      <c r="T89" s="159"/>
      <c r="U89" s="166"/>
      <c r="V89" s="122"/>
      <c r="W89" s="139"/>
      <c r="X89" s="152"/>
      <c r="Y89" s="576" t="str">
        <f t="shared" si="28"/>
        <v>Slough</v>
      </c>
      <c r="Z89" s="356" t="e">
        <f t="shared" si="29"/>
        <v>#N/A</v>
      </c>
      <c r="AA89" s="356" t="e">
        <f t="shared" si="30"/>
        <v>#N/A</v>
      </c>
      <c r="AB89" s="196"/>
      <c r="AC89" s="197"/>
      <c r="AD89" s="197"/>
      <c r="AE89" s="199"/>
      <c r="AF89" s="190"/>
      <c r="AG89" s="190"/>
      <c r="AH89" s="190"/>
      <c r="AI89" s="190"/>
      <c r="AJ89" s="202"/>
      <c r="AK89" s="160"/>
    </row>
    <row r="90" spans="1:45" s="87" customFormat="1" ht="12.75" customHeight="1" x14ac:dyDescent="0.2">
      <c r="A90" s="121"/>
      <c r="B90" s="362"/>
      <c r="C90" s="362"/>
      <c r="D90" s="362"/>
      <c r="E90" s="362"/>
      <c r="F90" s="362"/>
      <c r="G90" s="362"/>
      <c r="H90" s="362"/>
      <c r="I90" s="96"/>
      <c r="J90" s="96"/>
      <c r="K90" s="166"/>
      <c r="L90" s="166"/>
      <c r="M90" s="166"/>
      <c r="N90" s="166"/>
      <c r="O90" s="166"/>
      <c r="P90" s="166"/>
      <c r="Q90" s="166"/>
      <c r="R90" s="167"/>
      <c r="S90" s="159"/>
      <c r="T90" s="159"/>
      <c r="U90" s="166"/>
      <c r="V90" s="122"/>
      <c r="W90" s="139"/>
      <c r="X90" s="152"/>
      <c r="Y90" s="576" t="str">
        <f t="shared" si="28"/>
        <v>Somerset</v>
      </c>
      <c r="Z90" s="356" t="e">
        <f t="shared" si="29"/>
        <v>#N/A</v>
      </c>
      <c r="AA90" s="356" t="e">
        <f t="shared" si="30"/>
        <v>#N/A</v>
      </c>
      <c r="AB90" s="196"/>
      <c r="AC90" s="197"/>
      <c r="AD90" s="197"/>
      <c r="AE90" s="199"/>
      <c r="AF90" s="190"/>
      <c r="AG90" s="190"/>
      <c r="AH90" s="190"/>
      <c r="AI90" s="190"/>
      <c r="AJ90" s="202"/>
      <c r="AK90" s="160"/>
    </row>
    <row r="91" spans="1:45" s="87" customFormat="1" ht="12.75" customHeight="1" x14ac:dyDescent="0.2">
      <c r="A91" s="121"/>
      <c r="B91" s="362"/>
      <c r="C91" s="362"/>
      <c r="D91" s="362"/>
      <c r="E91" s="362"/>
      <c r="F91" s="362"/>
      <c r="G91" s="362"/>
      <c r="H91" s="362"/>
      <c r="I91" s="96"/>
      <c r="J91" s="96"/>
      <c r="K91" s="166"/>
      <c r="L91" s="166"/>
      <c r="M91" s="166"/>
      <c r="N91" s="166"/>
      <c r="O91" s="166"/>
      <c r="P91" s="166"/>
      <c r="Q91" s="166"/>
      <c r="R91" s="167"/>
      <c r="S91" s="159"/>
      <c r="T91" s="159"/>
      <c r="U91" s="166"/>
      <c r="V91" s="122"/>
      <c r="W91" s="139"/>
      <c r="X91" s="152"/>
      <c r="Y91" s="576" t="str">
        <f t="shared" si="28"/>
        <v>Southampton</v>
      </c>
      <c r="Z91" s="356" t="e">
        <f t="shared" si="29"/>
        <v>#N/A</v>
      </c>
      <c r="AA91" s="356" t="e">
        <f t="shared" si="30"/>
        <v>#N/A</v>
      </c>
      <c r="AB91" s="196"/>
      <c r="AC91" s="197"/>
      <c r="AD91" s="197"/>
      <c r="AE91" s="199"/>
      <c r="AF91" s="190"/>
      <c r="AG91" s="190"/>
      <c r="AH91" s="190"/>
      <c r="AI91" s="190"/>
      <c r="AJ91" s="202"/>
      <c r="AK91" s="160"/>
    </row>
    <row r="92" spans="1:45" s="87" customFormat="1" ht="12.75" customHeight="1" x14ac:dyDescent="0.2">
      <c r="A92" s="292"/>
      <c r="B92" s="362"/>
      <c r="C92" s="362"/>
      <c r="D92" s="362"/>
      <c r="E92" s="362"/>
      <c r="F92" s="362"/>
      <c r="G92" s="362"/>
      <c r="H92" s="362"/>
      <c r="I92" s="96"/>
      <c r="J92" s="96"/>
      <c r="K92" s="166"/>
      <c r="L92" s="166"/>
      <c r="M92" s="166"/>
      <c r="N92" s="166"/>
      <c r="O92" s="166"/>
      <c r="P92" s="166"/>
      <c r="Q92" s="166"/>
      <c r="R92" s="167"/>
      <c r="S92" s="159"/>
      <c r="T92" s="159"/>
      <c r="U92" s="166"/>
      <c r="V92" s="122"/>
      <c r="W92" s="139"/>
      <c r="X92" s="152"/>
      <c r="Y92" s="576" t="str">
        <f t="shared" si="28"/>
        <v>Surrey</v>
      </c>
      <c r="Z92" s="356" t="e">
        <f t="shared" si="29"/>
        <v>#N/A</v>
      </c>
      <c r="AA92" s="356" t="e">
        <f t="shared" si="30"/>
        <v>#N/A</v>
      </c>
      <c r="AB92" s="196"/>
      <c r="AC92" s="197"/>
      <c r="AD92" s="197"/>
      <c r="AE92" s="199"/>
      <c r="AF92" s="190"/>
      <c r="AG92" s="190"/>
      <c r="AH92" s="190"/>
      <c r="AI92" s="190"/>
      <c r="AJ92" s="202"/>
      <c r="AK92" s="160"/>
    </row>
    <row r="93" spans="1:45" s="87" customFormat="1" ht="12.75" customHeight="1" x14ac:dyDescent="0.2">
      <c r="A93" s="292"/>
      <c r="B93" s="362"/>
      <c r="C93" s="362"/>
      <c r="D93" s="362"/>
      <c r="E93" s="362"/>
      <c r="F93" s="362"/>
      <c r="G93" s="362"/>
      <c r="H93" s="362"/>
      <c r="I93" s="96"/>
      <c r="J93" s="96"/>
      <c r="K93" s="166"/>
      <c r="L93" s="166"/>
      <c r="M93" s="166"/>
      <c r="N93" s="166"/>
      <c r="O93" s="166"/>
      <c r="P93" s="166"/>
      <c r="Q93" s="166"/>
      <c r="R93" s="167"/>
      <c r="S93" s="159"/>
      <c r="T93" s="159"/>
      <c r="U93" s="166"/>
      <c r="V93" s="122"/>
      <c r="W93" s="139"/>
      <c r="X93" s="152"/>
      <c r="Y93" s="576" t="str">
        <f t="shared" si="28"/>
        <v>Swindon</v>
      </c>
      <c r="Z93" s="356" t="e">
        <f t="shared" si="29"/>
        <v>#N/A</v>
      </c>
      <c r="AA93" s="356" t="e">
        <f t="shared" si="30"/>
        <v>#N/A</v>
      </c>
      <c r="AB93" s="196"/>
      <c r="AC93" s="197"/>
      <c r="AD93" s="197"/>
      <c r="AE93" s="199"/>
      <c r="AF93" s="190"/>
      <c r="AG93" s="190"/>
      <c r="AH93" s="190"/>
      <c r="AI93" s="190"/>
      <c r="AJ93" s="202"/>
      <c r="AK93" s="160"/>
    </row>
    <row r="94" spans="1:45" s="87" customFormat="1" ht="12.75" customHeight="1" x14ac:dyDescent="0.2">
      <c r="A94" s="121"/>
      <c r="B94" s="362"/>
      <c r="C94" s="362"/>
      <c r="D94" s="362"/>
      <c r="E94" s="362"/>
      <c r="F94" s="362"/>
      <c r="G94" s="362"/>
      <c r="H94" s="362"/>
      <c r="I94" s="96"/>
      <c r="J94" s="96"/>
      <c r="K94" s="166"/>
      <c r="L94" s="166"/>
      <c r="M94" s="166"/>
      <c r="N94" s="166"/>
      <c r="O94" s="166"/>
      <c r="P94" s="166"/>
      <c r="Q94" s="166"/>
      <c r="R94" s="167"/>
      <c r="S94" s="159"/>
      <c r="T94" s="159"/>
      <c r="U94" s="166"/>
      <c r="V94" s="122"/>
      <c r="W94" s="139"/>
      <c r="X94" s="152"/>
      <c r="Y94" s="576" t="str">
        <f t="shared" si="28"/>
        <v>Torbay</v>
      </c>
      <c r="Z94" s="356" t="e">
        <f t="shared" si="29"/>
        <v>#N/A</v>
      </c>
      <c r="AA94" s="356" t="e">
        <f t="shared" si="30"/>
        <v>#N/A</v>
      </c>
      <c r="AB94" s="196"/>
      <c r="AC94" s="197"/>
      <c r="AD94" s="197"/>
      <c r="AE94" s="199"/>
      <c r="AF94" s="202"/>
      <c r="AG94" s="190"/>
      <c r="AH94" s="190"/>
      <c r="AI94" s="190"/>
      <c r="AJ94" s="202"/>
      <c r="AK94" s="160"/>
    </row>
    <row r="95" spans="1:45" s="87" customFormat="1" ht="12.75" customHeight="1" x14ac:dyDescent="0.2">
      <c r="A95" s="121"/>
      <c r="B95" s="362"/>
      <c r="C95" s="362"/>
      <c r="D95" s="362"/>
      <c r="E95" s="362"/>
      <c r="F95" s="362"/>
      <c r="G95" s="362"/>
      <c r="H95" s="362"/>
      <c r="I95" s="96"/>
      <c r="J95" s="96"/>
      <c r="K95" s="166"/>
      <c r="L95" s="166"/>
      <c r="M95" s="166"/>
      <c r="N95" s="166"/>
      <c r="O95" s="166"/>
      <c r="P95" s="166"/>
      <c r="Q95" s="166"/>
      <c r="R95" s="167"/>
      <c r="S95" s="159"/>
      <c r="T95" s="159"/>
      <c r="U95" s="166"/>
      <c r="V95" s="122"/>
      <c r="W95" s="139"/>
      <c r="X95" s="152"/>
      <c r="Y95" s="576" t="str">
        <f t="shared" si="28"/>
        <v>West Berkshire</v>
      </c>
      <c r="Z95" s="356" t="e">
        <f t="shared" si="29"/>
        <v>#N/A</v>
      </c>
      <c r="AA95" s="356" t="e">
        <f t="shared" si="30"/>
        <v>#N/A</v>
      </c>
      <c r="AB95" s="196"/>
      <c r="AC95" s="197"/>
      <c r="AD95" s="197"/>
      <c r="AE95" s="199"/>
      <c r="AF95" s="202"/>
      <c r="AG95" s="190"/>
      <c r="AH95" s="190"/>
      <c r="AI95" s="190"/>
      <c r="AJ95" s="202"/>
      <c r="AK95" s="160"/>
    </row>
    <row r="96" spans="1:45" s="87" customFormat="1" ht="12.75" customHeight="1" x14ac:dyDescent="0.2">
      <c r="A96" s="121"/>
      <c r="B96" s="362"/>
      <c r="C96" s="362"/>
      <c r="D96" s="362"/>
      <c r="E96" s="362"/>
      <c r="F96" s="362"/>
      <c r="G96" s="362"/>
      <c r="H96" s="362"/>
      <c r="I96" s="96"/>
      <c r="J96" s="96"/>
      <c r="K96" s="166"/>
      <c r="L96" s="166"/>
      <c r="M96" s="166"/>
      <c r="N96" s="166"/>
      <c r="O96" s="166"/>
      <c r="P96" s="166"/>
      <c r="Q96" s="166"/>
      <c r="R96" s="167"/>
      <c r="S96" s="159"/>
      <c r="T96" s="159"/>
      <c r="U96" s="166"/>
      <c r="V96" s="122"/>
      <c r="W96" s="139"/>
      <c r="X96" s="152"/>
      <c r="Y96" s="576" t="str">
        <f t="shared" si="28"/>
        <v>West Sussex</v>
      </c>
      <c r="Z96" s="356" t="e">
        <f t="shared" si="29"/>
        <v>#N/A</v>
      </c>
      <c r="AA96" s="356" t="e">
        <f t="shared" si="30"/>
        <v>#N/A</v>
      </c>
      <c r="AB96" s="196"/>
      <c r="AC96" s="197"/>
      <c r="AD96" s="197"/>
      <c r="AE96" s="199"/>
      <c r="AF96" s="202"/>
      <c r="AG96" s="202"/>
      <c r="AH96" s="202"/>
      <c r="AI96" s="190"/>
      <c r="AJ96" s="202"/>
      <c r="AK96" s="160"/>
    </row>
    <row r="97" spans="1:46" s="87" customFormat="1" ht="12.75" customHeight="1" x14ac:dyDescent="0.2">
      <c r="A97" s="121"/>
      <c r="B97" s="362"/>
      <c r="C97" s="362"/>
      <c r="D97" s="362"/>
      <c r="E97" s="362"/>
      <c r="F97" s="362"/>
      <c r="G97" s="362"/>
      <c r="H97" s="362"/>
      <c r="I97" s="96"/>
      <c r="J97" s="96"/>
      <c r="K97" s="166"/>
      <c r="L97" s="166"/>
      <c r="M97" s="166"/>
      <c r="N97" s="166"/>
      <c r="O97" s="166"/>
      <c r="P97" s="166"/>
      <c r="Q97" s="166"/>
      <c r="R97" s="167"/>
      <c r="S97" s="159"/>
      <c r="T97" s="159"/>
      <c r="U97" s="166"/>
      <c r="V97" s="122"/>
      <c r="W97" s="139"/>
      <c r="X97" s="152"/>
      <c r="Y97" s="576" t="str">
        <f t="shared" si="28"/>
        <v>Windsor &amp; Maidenhead</v>
      </c>
      <c r="Z97" s="356" t="e">
        <f t="shared" si="29"/>
        <v>#N/A</v>
      </c>
      <c r="AA97" s="356" t="e">
        <f t="shared" si="30"/>
        <v>#N/A</v>
      </c>
      <c r="AB97" s="196"/>
      <c r="AC97" s="197"/>
      <c r="AD97" s="197"/>
      <c r="AE97" s="199"/>
      <c r="AF97" s="202"/>
      <c r="AG97" s="202"/>
      <c r="AH97" s="202"/>
      <c r="AI97" s="190"/>
      <c r="AJ97" s="202"/>
      <c r="AK97" s="160"/>
    </row>
    <row r="98" spans="1:46" s="87" customFormat="1" ht="12.75" customHeight="1" x14ac:dyDescent="0.2">
      <c r="A98" s="121"/>
      <c r="B98" s="362"/>
      <c r="C98" s="362"/>
      <c r="D98" s="362"/>
      <c r="E98" s="362"/>
      <c r="F98" s="362"/>
      <c r="G98" s="362"/>
      <c r="H98" s="362"/>
      <c r="I98" s="96"/>
      <c r="J98" s="96"/>
      <c r="K98" s="168"/>
      <c r="L98" s="168"/>
      <c r="M98" s="168"/>
      <c r="N98" s="168"/>
      <c r="O98" s="168"/>
      <c r="P98" s="168"/>
      <c r="Q98" s="168"/>
      <c r="R98" s="169"/>
      <c r="S98" s="159"/>
      <c r="T98" s="159"/>
      <c r="U98" s="170"/>
      <c r="V98" s="122"/>
      <c r="W98" s="139"/>
      <c r="X98" s="152"/>
      <c r="Y98" s="576" t="str">
        <f t="shared" si="28"/>
        <v>Wokingham</v>
      </c>
      <c r="Z98" s="356" t="e">
        <f t="shared" si="29"/>
        <v>#N/A</v>
      </c>
      <c r="AA98" s="356" t="e">
        <f t="shared" si="30"/>
        <v>#N/A</v>
      </c>
      <c r="AB98" s="196"/>
      <c r="AC98" s="197"/>
      <c r="AD98" s="197"/>
      <c r="AE98" s="199"/>
      <c r="AF98" s="202"/>
      <c r="AG98" s="202"/>
      <c r="AH98" s="202"/>
      <c r="AI98" s="190"/>
      <c r="AJ98" s="202"/>
      <c r="AK98" s="160"/>
    </row>
    <row r="99" spans="1:46" s="87" customFormat="1" ht="12.75" customHeight="1" x14ac:dyDescent="0.2">
      <c r="A99" s="121"/>
      <c r="B99" s="362"/>
      <c r="C99" s="362"/>
      <c r="D99" s="362"/>
      <c r="E99" s="362"/>
      <c r="F99" s="362"/>
      <c r="G99" s="362"/>
      <c r="H99" s="362"/>
      <c r="I99" s="96"/>
      <c r="J99" s="96"/>
      <c r="K99" s="168"/>
      <c r="L99" s="168"/>
      <c r="M99" s="168"/>
      <c r="N99" s="168"/>
      <c r="O99" s="168"/>
      <c r="P99" s="168"/>
      <c r="Q99" s="168"/>
      <c r="R99" s="169"/>
      <c r="S99" s="159"/>
      <c r="T99" s="159"/>
      <c r="U99" s="170"/>
      <c r="V99" s="122"/>
      <c r="W99" s="139"/>
      <c r="X99" s="152"/>
      <c r="Y99" s="576" t="str">
        <f>B32</f>
        <v>South East</v>
      </c>
      <c r="Z99" s="356" t="e">
        <f t="shared" si="29"/>
        <v>#N/A</v>
      </c>
      <c r="AA99" s="356" t="e">
        <f t="shared" si="30"/>
        <v>#N/A</v>
      </c>
      <c r="AB99" s="196"/>
      <c r="AC99" s="197"/>
      <c r="AD99" s="197"/>
      <c r="AE99" s="199"/>
      <c r="AF99" s="202"/>
      <c r="AG99" s="202"/>
      <c r="AH99" s="202"/>
      <c r="AI99" s="190"/>
      <c r="AJ99" s="202"/>
      <c r="AK99" s="160"/>
    </row>
    <row r="100" spans="1:46" s="87" customFormat="1" ht="11.25" customHeight="1" x14ac:dyDescent="0.2">
      <c r="A100" s="292"/>
      <c r="B100" s="362"/>
      <c r="C100" s="362"/>
      <c r="D100" s="362"/>
      <c r="E100" s="362"/>
      <c r="F100" s="362"/>
      <c r="G100" s="362"/>
      <c r="H100" s="362"/>
      <c r="I100" s="96"/>
      <c r="J100" s="96"/>
      <c r="K100" s="168"/>
      <c r="L100" s="168"/>
      <c r="M100" s="168"/>
      <c r="N100" s="168"/>
      <c r="O100" s="168"/>
      <c r="P100" s="168"/>
      <c r="Q100" s="168"/>
      <c r="R100" s="169"/>
      <c r="S100" s="159"/>
      <c r="T100" s="159"/>
      <c r="U100" s="170"/>
      <c r="V100" s="122"/>
      <c r="W100" s="139"/>
      <c r="X100" s="152"/>
      <c r="Y100" s="576" t="str">
        <f>B33</f>
        <v>England</v>
      </c>
      <c r="Z100" s="356" t="e">
        <f t="shared" si="29"/>
        <v>#N/A</v>
      </c>
      <c r="AA100" s="356" t="e">
        <f t="shared" si="30"/>
        <v>#N/A</v>
      </c>
      <c r="AB100" s="196"/>
      <c r="AC100" s="197"/>
      <c r="AD100" s="197"/>
      <c r="AE100" s="199"/>
      <c r="AF100" s="202"/>
      <c r="AG100" s="202"/>
      <c r="AH100" s="202"/>
      <c r="AI100" s="190"/>
      <c r="AJ100" s="202"/>
      <c r="AK100" s="160"/>
    </row>
    <row r="101" spans="1:46" s="81" customFormat="1" ht="35.450000000000003" customHeight="1" x14ac:dyDescent="0.2">
      <c r="A101" s="217"/>
      <c r="B101" s="362"/>
      <c r="C101" s="362"/>
      <c r="D101" s="362"/>
      <c r="E101" s="362"/>
      <c r="F101" s="362"/>
      <c r="G101" s="362"/>
      <c r="H101" s="362"/>
      <c r="I101" s="369"/>
      <c r="J101" s="172"/>
      <c r="K101" s="172"/>
      <c r="L101" s="172"/>
      <c r="M101" s="172"/>
      <c r="N101" s="172"/>
      <c r="O101" s="172"/>
      <c r="P101" s="172"/>
      <c r="Q101" s="172"/>
      <c r="R101" s="136"/>
      <c r="S101" s="172"/>
      <c r="T101" s="172"/>
      <c r="U101" s="172"/>
      <c r="V101" s="117"/>
      <c r="W101" s="137"/>
      <c r="X101" s="150"/>
      <c r="AD101" s="197"/>
      <c r="AE101" s="199"/>
      <c r="AF101" s="184"/>
      <c r="AG101" s="184"/>
      <c r="AH101" s="184"/>
      <c r="AJ101" s="184"/>
      <c r="AK101" s="161"/>
    </row>
    <row r="102" spans="1:46" s="81" customFormat="1" ht="35.450000000000003" customHeight="1" x14ac:dyDescent="0.2">
      <c r="A102" s="217"/>
      <c r="B102" s="362"/>
      <c r="C102" s="362"/>
      <c r="D102" s="362"/>
      <c r="E102" s="362"/>
      <c r="F102" s="362"/>
      <c r="G102" s="362"/>
      <c r="H102" s="362"/>
      <c r="I102" s="369"/>
      <c r="J102" s="172"/>
      <c r="K102" s="172"/>
      <c r="L102" s="172"/>
      <c r="M102" s="172"/>
      <c r="N102" s="172"/>
      <c r="O102" s="172"/>
      <c r="P102" s="172"/>
      <c r="Q102" s="172"/>
      <c r="R102" s="136"/>
      <c r="S102" s="172"/>
      <c r="T102" s="172"/>
      <c r="U102" s="172"/>
      <c r="V102" s="117"/>
      <c r="W102" s="137"/>
      <c r="X102" s="150"/>
      <c r="Z102" s="190"/>
      <c r="AE102" s="199"/>
      <c r="AF102" s="184"/>
      <c r="AG102" s="184"/>
      <c r="AH102" s="184"/>
      <c r="AJ102" s="184"/>
      <c r="AK102" s="161"/>
    </row>
    <row r="103" spans="1:46" s="81" customFormat="1" ht="46.5" customHeight="1" x14ac:dyDescent="0.2">
      <c r="A103" s="217"/>
      <c r="B103" s="369"/>
      <c r="C103" s="369"/>
      <c r="D103" s="369"/>
      <c r="E103" s="369"/>
      <c r="F103" s="369"/>
      <c r="G103" s="369"/>
      <c r="H103" s="369"/>
      <c r="I103" s="369"/>
      <c r="J103" s="172"/>
      <c r="K103" s="172"/>
      <c r="L103" s="172"/>
      <c r="M103" s="172"/>
      <c r="N103" s="172"/>
      <c r="O103" s="172"/>
      <c r="P103" s="172"/>
      <c r="Q103" s="172"/>
      <c r="R103" s="136"/>
      <c r="S103" s="172"/>
      <c r="T103" s="172"/>
      <c r="U103" s="172"/>
      <c r="V103" s="117"/>
      <c r="W103" s="137"/>
      <c r="X103" s="150"/>
      <c r="Z103" s="190"/>
      <c r="AE103" s="199"/>
      <c r="AF103" s="184"/>
      <c r="AG103" s="184"/>
      <c r="AH103" s="184"/>
      <c r="AJ103" s="184"/>
      <c r="AK103" s="161"/>
    </row>
    <row r="104" spans="1:46" s="81" customFormat="1" ht="7.5" customHeight="1" x14ac:dyDescent="0.2">
      <c r="A104" s="118"/>
      <c r="B104" s="17"/>
      <c r="C104" s="17"/>
      <c r="D104" s="16"/>
      <c r="E104" s="16"/>
      <c r="F104" s="16"/>
      <c r="G104" s="16"/>
      <c r="H104" s="16"/>
      <c r="I104" s="16"/>
      <c r="J104" s="12"/>
      <c r="K104" s="18"/>
      <c r="L104" s="18"/>
      <c r="M104" s="18"/>
      <c r="N104" s="18"/>
      <c r="O104" s="18"/>
      <c r="P104" s="18"/>
      <c r="Q104" s="18"/>
      <c r="R104" s="18"/>
      <c r="S104" s="18"/>
      <c r="T104" s="18"/>
      <c r="U104" s="19"/>
      <c r="V104" s="117"/>
      <c r="W104" s="137"/>
      <c r="X104" s="150"/>
      <c r="Z104" s="190"/>
      <c r="AJ104" s="184"/>
      <c r="AK104" s="157"/>
      <c r="AL104" s="74"/>
      <c r="AM104" s="74"/>
      <c r="AN104" s="74"/>
      <c r="AO104" s="74"/>
      <c r="AP104" s="74"/>
      <c r="AQ104" s="74"/>
      <c r="AR104" s="74"/>
    </row>
    <row r="105" spans="1:46" s="81" customFormat="1" ht="15" customHeight="1" x14ac:dyDescent="0.2">
      <c r="A105" s="1716"/>
      <c r="B105" s="1760"/>
      <c r="C105" s="1760"/>
      <c r="D105" s="1760"/>
      <c r="E105" s="1760"/>
      <c r="F105" s="1760"/>
      <c r="G105" s="1760"/>
      <c r="H105" s="1760"/>
      <c r="I105" s="1760"/>
      <c r="J105" s="1760"/>
      <c r="K105" s="1760"/>
      <c r="L105" s="1760"/>
      <c r="M105" s="1760"/>
      <c r="N105" s="1760"/>
      <c r="O105" s="1760"/>
      <c r="P105" s="1760"/>
      <c r="Q105" s="1760"/>
      <c r="R105" s="1760"/>
      <c r="S105" s="1760"/>
      <c r="T105" s="1760"/>
      <c r="U105" s="1760"/>
      <c r="V105" s="1761"/>
      <c r="W105" s="137"/>
      <c r="X105" s="150"/>
      <c r="Y105" s="188"/>
      <c r="Z105" s="188"/>
      <c r="AK105" s="161"/>
      <c r="AT105" s="74"/>
    </row>
    <row r="106" spans="1:46" s="81" customFormat="1" ht="11.1" customHeight="1" x14ac:dyDescent="0.2">
      <c r="A106" s="1765" t="str">
        <f>Home!$A$39</f>
        <v xml:space="preserve"> </v>
      </c>
      <c r="B106" s="1766"/>
      <c r="C106" s="1766"/>
      <c r="D106" s="1766"/>
      <c r="E106" s="1766"/>
      <c r="F106" s="1766"/>
      <c r="G106" s="1766"/>
      <c r="H106" s="1766"/>
      <c r="I106" s="1767"/>
      <c r="J106" s="1766"/>
      <c r="K106" s="1766"/>
      <c r="L106" s="1766"/>
      <c r="M106" s="1766"/>
      <c r="N106" s="1766"/>
      <c r="O106" s="1766"/>
      <c r="P106" s="1768"/>
      <c r="Q106" s="1766"/>
      <c r="R106" s="1766"/>
      <c r="S106" s="1766"/>
      <c r="T106" s="1767"/>
      <c r="U106" s="1766"/>
      <c r="V106" s="1769"/>
      <c r="W106" s="137"/>
      <c r="X106" s="150"/>
      <c r="Y106" s="188"/>
      <c r="Z106" s="188"/>
      <c r="AJ106" s="184"/>
      <c r="AK106" s="160"/>
      <c r="AL106" s="87"/>
      <c r="AT106" s="74"/>
    </row>
    <row r="107" spans="1:46" ht="11.25" customHeight="1" x14ac:dyDescent="0.2">
      <c r="A107" s="112"/>
      <c r="B107" s="113"/>
      <c r="C107" s="113"/>
      <c r="D107" s="113"/>
      <c r="E107" s="113"/>
      <c r="F107" s="113"/>
      <c r="G107" s="113"/>
      <c r="H107" s="113"/>
      <c r="I107" s="113"/>
      <c r="J107" s="114"/>
      <c r="K107" s="113"/>
      <c r="L107" s="113"/>
      <c r="M107" s="113"/>
      <c r="N107" s="113"/>
      <c r="O107" s="113"/>
      <c r="P107" s="113"/>
      <c r="Q107" s="113"/>
      <c r="R107" s="113"/>
      <c r="S107" s="113"/>
      <c r="T107" s="113"/>
      <c r="U107" s="113"/>
      <c r="V107" s="115"/>
      <c r="W107" s="137"/>
      <c r="X107" s="150"/>
      <c r="Y107" s="188"/>
      <c r="Z107" s="188"/>
      <c r="AJ107" s="184"/>
      <c r="AK107" s="157"/>
    </row>
    <row r="108" spans="1:46" s="76" customFormat="1" ht="15" customHeight="1" x14ac:dyDescent="0.2">
      <c r="A108" s="119"/>
      <c r="B108" s="1916" t="s">
        <v>690</v>
      </c>
      <c r="C108" s="1916"/>
      <c r="D108" s="1916"/>
      <c r="E108" s="1916"/>
      <c r="F108" s="1916"/>
      <c r="G108" s="1916"/>
      <c r="H108" s="1916"/>
      <c r="I108" s="1916"/>
      <c r="J108" s="70"/>
      <c r="K108" s="70"/>
      <c r="L108" s="70"/>
      <c r="M108" s="70"/>
      <c r="N108" s="359"/>
      <c r="O108" s="70"/>
      <c r="P108" s="70"/>
      <c r="Q108" s="70"/>
      <c r="R108" s="70"/>
      <c r="S108" s="70"/>
      <c r="T108" s="70"/>
      <c r="U108" s="70"/>
      <c r="V108" s="120"/>
      <c r="W108" s="138"/>
      <c r="X108" s="151"/>
      <c r="Y108" s="188"/>
      <c r="Z108" s="188"/>
      <c r="AA108" s="81"/>
      <c r="AB108" s="81"/>
      <c r="AC108" s="81"/>
      <c r="AD108" s="81"/>
      <c r="AE108" s="81"/>
      <c r="AF108" s="188"/>
      <c r="AG108" s="188"/>
      <c r="AH108" s="188"/>
      <c r="AI108" s="188"/>
      <c r="AJ108" s="188"/>
      <c r="AK108" s="158"/>
    </row>
    <row r="109" spans="1:46" ht="15" customHeight="1" x14ac:dyDescent="0.2">
      <c r="A109" s="118"/>
      <c r="B109" s="1916"/>
      <c r="C109" s="1916"/>
      <c r="D109" s="1916"/>
      <c r="E109" s="1916"/>
      <c r="F109" s="1916"/>
      <c r="G109" s="1916"/>
      <c r="H109" s="1916"/>
      <c r="I109" s="1916"/>
      <c r="J109" s="70"/>
      <c r="K109" s="70"/>
      <c r="L109" s="70"/>
      <c r="M109" s="70"/>
      <c r="N109" s="359"/>
      <c r="O109" s="70"/>
      <c r="P109" s="70"/>
      <c r="Q109" s="70"/>
      <c r="R109" s="10"/>
      <c r="S109" s="70"/>
      <c r="T109" s="70"/>
      <c r="U109" s="70"/>
      <c r="V109" s="117"/>
      <c r="W109" s="137"/>
      <c r="X109" s="150"/>
      <c r="Y109" s="188"/>
      <c r="Z109" s="188"/>
      <c r="AJ109" s="184"/>
      <c r="AK109" s="157"/>
    </row>
    <row r="110" spans="1:46" ht="13.5" customHeight="1" x14ac:dyDescent="0.25">
      <c r="A110" s="278"/>
      <c r="B110" s="1771" t="s">
        <v>205</v>
      </c>
      <c r="C110" s="907"/>
      <c r="D110" s="789" t="str">
        <f>Sheet1!$D$27</f>
        <v>2015-16</v>
      </c>
      <c r="E110" s="790" t="str">
        <f>Sheet1!$E$27</f>
        <v>2016-17</v>
      </c>
      <c r="F110" s="790" t="str">
        <f>Sheet1!$F$27</f>
        <v>2017-18</v>
      </c>
      <c r="G110" s="790" t="str">
        <f>Sheet1!$G$27</f>
        <v>2018-19</v>
      </c>
      <c r="H110" s="791" t="str">
        <f>Sheet1!$H$27</f>
        <v>2019-20</v>
      </c>
      <c r="I110" s="916"/>
      <c r="J110" s="70"/>
      <c r="K110" s="70"/>
      <c r="L110" s="70"/>
      <c r="M110" s="70"/>
      <c r="N110" s="903"/>
      <c r="O110" s="70"/>
      <c r="P110" s="70"/>
      <c r="Q110" s="70"/>
      <c r="R110" s="10"/>
      <c r="S110" s="70"/>
      <c r="T110" s="70"/>
      <c r="U110" s="70"/>
      <c r="V110" s="117"/>
      <c r="W110" s="137"/>
      <c r="X110" s="150"/>
      <c r="Y110" s="188"/>
      <c r="Z110" s="188"/>
      <c r="AJ110" s="184"/>
      <c r="AK110" s="157"/>
    </row>
    <row r="111" spans="1:46" s="87" customFormat="1" ht="13.5" customHeight="1" x14ac:dyDescent="0.2">
      <c r="A111" s="121"/>
      <c r="B111" s="1772"/>
      <c r="C111" s="85"/>
      <c r="D111" s="792" t="e">
        <f>Sheet1!$D$28</f>
        <v>#N/A</v>
      </c>
      <c r="E111" s="792" t="e">
        <f>Sheet1!$E$28</f>
        <v>#N/A</v>
      </c>
      <c r="F111" s="792" t="e">
        <f>Sheet1!$F$28</f>
        <v>#N/A</v>
      </c>
      <c r="G111" s="792" t="e">
        <f>Sheet1!$G$28</f>
        <v>#N/A</v>
      </c>
      <c r="H111" s="793" t="e">
        <f>Sheet1!$H$28</f>
        <v>#N/A</v>
      </c>
      <c r="I111" s="96"/>
      <c r="J111" s="96"/>
      <c r="K111" s="61"/>
      <c r="L111" s="61"/>
      <c r="M111" s="61"/>
      <c r="N111" s="61"/>
      <c r="O111" s="61"/>
      <c r="P111" s="61"/>
      <c r="Q111" s="365"/>
      <c r="R111" s="365"/>
      <c r="S111" s="159"/>
      <c r="T111" s="159"/>
      <c r="U111" s="366"/>
      <c r="V111" s="122"/>
      <c r="W111" s="139"/>
      <c r="X111" s="152"/>
      <c r="Y111" s="188"/>
      <c r="Z111" s="188"/>
      <c r="AA111" s="81"/>
      <c r="AB111" s="81"/>
      <c r="AC111" s="81"/>
      <c r="AD111" s="81"/>
      <c r="AE111" s="81"/>
      <c r="AF111" s="190"/>
      <c r="AG111" s="190"/>
      <c r="AH111" s="190"/>
      <c r="AI111" s="190"/>
      <c r="AJ111" s="202"/>
      <c r="AK111" s="160"/>
    </row>
    <row r="112" spans="1:46" s="87" customFormat="1" ht="12.75" customHeight="1" x14ac:dyDescent="0.2">
      <c r="A112" s="488">
        <f>VLOOKUP(B112,Sheet1!$AQ$4:$AR$25,2,FALSE)</f>
        <v>0</v>
      </c>
      <c r="B112" s="93" t="str">
        <f t="shared" ref="B112:B135" si="31">B10</f>
        <v>Bracknell Forest</v>
      </c>
      <c r="C112" s="85"/>
      <c r="D112" s="162">
        <f>IF(AND(ISNUMBER(D10),ISNUMBER('Section 47 Enquiries'!D10)),D10/'Section 47 Enquiries'!D10,NA())</f>
        <v>0.40101522842639592</v>
      </c>
      <c r="E112" s="162">
        <f>IF(AND(ISNUMBER(E10),ISNUMBER('Section 47 Enquiries'!E10)),E10/'Section 47 Enquiries'!E10,NA())</f>
        <v>0.46607142857142858</v>
      </c>
      <c r="F112" s="162">
        <f>IF(AND(ISNUMBER(F10),ISNUMBER('Section 47 Enquiries'!F10)),F10/'Section 47 Enquiries'!F10,NA())</f>
        <v>0.37183544303797467</v>
      </c>
      <c r="G112" s="162">
        <f>IF(AND(ISNUMBER(G10),ISNUMBER('Section 47 Enquiries'!G10)),G10/'Section 47 Enquiries'!G10,NA())</f>
        <v>0.36039886039886038</v>
      </c>
      <c r="H112" s="164">
        <f>IF(AND(ISNUMBER(H10),ISNUMBER('Section 47 Enquiries'!H10)),H10/'Section 47 Enquiries'!H10,NA())</f>
        <v>0.3141809290953545</v>
      </c>
      <c r="I112" s="96"/>
      <c r="J112" s="96"/>
      <c r="K112" s="166"/>
      <c r="L112" s="166"/>
      <c r="M112" s="166"/>
      <c r="N112" s="166"/>
      <c r="O112" s="166"/>
      <c r="P112" s="166"/>
      <c r="Q112" s="166"/>
      <c r="R112" s="167"/>
      <c r="S112" s="159"/>
      <c r="T112" s="159"/>
      <c r="U112" s="166"/>
      <c r="V112" s="122"/>
      <c r="W112" s="139"/>
      <c r="X112" s="152"/>
      <c r="Y112" s="188"/>
      <c r="Z112" s="188"/>
      <c r="AA112" s="81"/>
      <c r="AB112" s="81"/>
      <c r="AC112" s="81"/>
      <c r="AD112" s="81"/>
      <c r="AE112" s="81"/>
      <c r="AF112" s="190"/>
      <c r="AG112" s="190"/>
      <c r="AH112" s="190"/>
      <c r="AI112" s="190"/>
      <c r="AJ112" s="202"/>
      <c r="AK112" s="160"/>
    </row>
    <row r="113" spans="1:45" s="87" customFormat="1" ht="12.75" customHeight="1" x14ac:dyDescent="0.2">
      <c r="A113" s="488">
        <f>VLOOKUP(B113,Sheet1!$AQ$4:$AR$25,2,FALSE)</f>
        <v>0</v>
      </c>
      <c r="B113" s="93" t="str">
        <f t="shared" si="31"/>
        <v>Brighton &amp; Hove</v>
      </c>
      <c r="C113" s="85"/>
      <c r="D113" s="162">
        <f>IF(AND(ISNUMBER(D11),ISNUMBER('Section 47 Enquiries'!D11)),D11/'Section 47 Enquiries'!D11,NA())</f>
        <v>0.4759405074365704</v>
      </c>
      <c r="E113" s="162">
        <f>IF(AND(ISNUMBER(E11),ISNUMBER('Section 47 Enquiries'!E11)),E11/'Section 47 Enquiries'!E11,NA())</f>
        <v>0.54577056778679023</v>
      </c>
      <c r="F113" s="162">
        <f>IF(AND(ISNUMBER(F11),ISNUMBER('Section 47 Enquiries'!F11)),F11/'Section 47 Enquiries'!F11,NA())</f>
        <v>0.54721274175199086</v>
      </c>
      <c r="G113" s="162">
        <f>IF(AND(ISNUMBER(G11),ISNUMBER('Section 47 Enquiries'!G11)),G11/'Section 47 Enquiries'!G11,NA())</f>
        <v>0.50257069408740362</v>
      </c>
      <c r="H113" s="164">
        <f>IF(AND(ISNUMBER(H11),ISNUMBER('Section 47 Enquiries'!H11)),H11/'Section 47 Enquiries'!H11,NA())</f>
        <v>0.55213270142180093</v>
      </c>
      <c r="I113" s="96"/>
      <c r="J113" s="96"/>
      <c r="K113" s="166"/>
      <c r="L113" s="166"/>
      <c r="M113" s="166"/>
      <c r="N113" s="166"/>
      <c r="O113" s="166"/>
      <c r="P113" s="166"/>
      <c r="Q113" s="166"/>
      <c r="R113" s="167"/>
      <c r="S113" s="159"/>
      <c r="T113" s="159"/>
      <c r="U113" s="166"/>
      <c r="V113" s="122"/>
      <c r="W113" s="139"/>
      <c r="X113" s="152"/>
      <c r="Y113" s="188"/>
      <c r="Z113" s="188"/>
      <c r="AA113" s="81"/>
      <c r="AB113" s="81"/>
      <c r="AC113" s="81"/>
      <c r="AD113" s="81"/>
      <c r="AE113" s="81"/>
      <c r="AF113" s="190"/>
      <c r="AG113" s="190"/>
      <c r="AH113" s="190"/>
      <c r="AI113" s="190"/>
      <c r="AJ113" s="202"/>
      <c r="AK113" s="160"/>
    </row>
    <row r="114" spans="1:45" s="87" customFormat="1" ht="12.75" customHeight="1" x14ac:dyDescent="0.2">
      <c r="A114" s="488">
        <f>VLOOKUP(B114,Sheet1!$AQ$4:$AR$25,2,FALSE)</f>
        <v>0</v>
      </c>
      <c r="B114" s="93" t="str">
        <f t="shared" si="31"/>
        <v>Buckinghamshire</v>
      </c>
      <c r="C114" s="85"/>
      <c r="D114" s="162">
        <f>IF(AND(ISNUMBER(D12),ISNUMBER('Section 47 Enquiries'!D12)),D12/'Section 47 Enquiries'!D12,NA())</f>
        <v>0.3892931392931393</v>
      </c>
      <c r="E114" s="162">
        <f>IF(AND(ISNUMBER(E12),ISNUMBER('Section 47 Enquiries'!E12)),E12/'Section 47 Enquiries'!E12,NA())</f>
        <v>0.33618012422360249</v>
      </c>
      <c r="F114" s="162">
        <f>IF(AND(ISNUMBER(F12),ISNUMBER('Section 47 Enquiries'!F12)),F12/'Section 47 Enquiries'!F12,NA())</f>
        <v>0.34870550161812297</v>
      </c>
      <c r="G114" s="162">
        <f>IF(AND(ISNUMBER(G12),ISNUMBER('Section 47 Enquiries'!G12)),G12/'Section 47 Enquiries'!G12,NA())</f>
        <v>0.36660533578656856</v>
      </c>
      <c r="H114" s="164">
        <f>IF(AND(ISNUMBER(H12),ISNUMBER('Section 47 Enquiries'!H12)),H12/'Section 47 Enquiries'!H12,NA())</f>
        <v>0.35501242750621376</v>
      </c>
      <c r="I114" s="96"/>
      <c r="J114" s="96"/>
      <c r="K114" s="166"/>
      <c r="L114" s="166"/>
      <c r="M114" s="166"/>
      <c r="N114" s="166"/>
      <c r="O114" s="166"/>
      <c r="P114" s="166"/>
      <c r="Q114" s="166"/>
      <c r="R114" s="167"/>
      <c r="S114" s="159"/>
      <c r="T114" s="159"/>
      <c r="U114" s="166"/>
      <c r="V114" s="122"/>
      <c r="W114" s="139"/>
      <c r="X114" s="152"/>
      <c r="Y114" s="188"/>
      <c r="Z114" s="188"/>
      <c r="AA114" s="81"/>
      <c r="AB114" s="81"/>
      <c r="AC114" s="81"/>
      <c r="AD114" s="81"/>
      <c r="AE114" s="81"/>
      <c r="AF114" s="190"/>
      <c r="AG114" s="190"/>
      <c r="AH114" s="190"/>
      <c r="AI114" s="190"/>
      <c r="AJ114" s="202"/>
      <c r="AK114" s="160"/>
    </row>
    <row r="115" spans="1:45" s="87" customFormat="1" ht="12.75" customHeight="1" x14ac:dyDescent="0.2">
      <c r="A115" s="488">
        <f>VLOOKUP(B115,Sheet1!$AQ$4:$AR$25,2,FALSE)</f>
        <v>0</v>
      </c>
      <c r="B115" s="93" t="str">
        <f t="shared" si="31"/>
        <v>East Sussex</v>
      </c>
      <c r="C115" s="85"/>
      <c r="D115" s="162">
        <f>IF(AND(ISNUMBER(D13),ISNUMBER('Section 47 Enquiries'!D13)),D13/'Section 47 Enquiries'!D13,NA())</f>
        <v>0.55645161290322576</v>
      </c>
      <c r="E115" s="162">
        <f>IF(AND(ISNUMBER(E13),ISNUMBER('Section 47 Enquiries'!E13)),E13/'Section 47 Enquiries'!E13,NA())</f>
        <v>0.55634427684117127</v>
      </c>
      <c r="F115" s="162">
        <f>IF(AND(ISNUMBER(F13),ISNUMBER('Section 47 Enquiries'!F13)),F13/'Section 47 Enquiries'!F13,NA())</f>
        <v>0.53298350824587704</v>
      </c>
      <c r="G115" s="162">
        <f>IF(AND(ISNUMBER(G13),ISNUMBER('Section 47 Enquiries'!G13)),G13/'Section 47 Enquiries'!G13,NA())</f>
        <v>0.53950338600451464</v>
      </c>
      <c r="H115" s="164">
        <f>IF(AND(ISNUMBER(H13),ISNUMBER('Section 47 Enquiries'!H13)),H13/'Section 47 Enquiries'!H13,NA())</f>
        <v>0.5161532682193839</v>
      </c>
      <c r="I115" s="96"/>
      <c r="J115" s="96"/>
      <c r="K115" s="166"/>
      <c r="L115" s="166"/>
      <c r="M115" s="166"/>
      <c r="N115" s="166"/>
      <c r="O115" s="166"/>
      <c r="P115" s="166"/>
      <c r="Q115" s="166"/>
      <c r="R115" s="167"/>
      <c r="S115" s="159"/>
      <c r="T115" s="159"/>
      <c r="U115" s="166"/>
      <c r="V115" s="122"/>
      <c r="W115" s="139"/>
      <c r="X115" s="152"/>
      <c r="Y115" s="188"/>
      <c r="Z115" s="188"/>
      <c r="AA115" s="81"/>
      <c r="AB115" s="81"/>
      <c r="AC115" s="81"/>
      <c r="AD115" s="81"/>
      <c r="AE115" s="81"/>
      <c r="AF115" s="190"/>
      <c r="AG115" s="190"/>
      <c r="AH115" s="190"/>
      <c r="AI115" s="190"/>
      <c r="AJ115" s="202"/>
      <c r="AK115" s="160"/>
    </row>
    <row r="116" spans="1:45" s="87" customFormat="1" ht="12.75" customHeight="1" x14ac:dyDescent="0.2">
      <c r="A116" s="488">
        <f>VLOOKUP(B116,Sheet1!$AQ$4:$AR$25,2,FALSE)</f>
        <v>0</v>
      </c>
      <c r="B116" s="93" t="str">
        <f t="shared" si="31"/>
        <v>Hampshire</v>
      </c>
      <c r="C116" s="85"/>
      <c r="D116" s="162">
        <f>IF(AND(ISNUMBER(D14),ISNUMBER('Section 47 Enquiries'!D14)),D14/'Section 47 Enquiries'!D14,NA())</f>
        <v>0.45432807269249165</v>
      </c>
      <c r="E116" s="162">
        <f>IF(AND(ISNUMBER(E14),ISNUMBER('Section 47 Enquiries'!E14)),E14/'Section 47 Enquiries'!E14,NA())</f>
        <v>0.44383756827356924</v>
      </c>
      <c r="F116" s="162">
        <f>IF(AND(ISNUMBER(F14),ISNUMBER('Section 47 Enquiries'!F14)),F14/'Section 47 Enquiries'!F14,NA())</f>
        <v>0.46409989594172735</v>
      </c>
      <c r="G116" s="162">
        <f>IF(AND(ISNUMBER(G14),ISNUMBER('Section 47 Enquiries'!G14)),G14/'Section 47 Enquiries'!G14,NA())</f>
        <v>0.40815381051656241</v>
      </c>
      <c r="H116" s="164">
        <f>IF(AND(ISNUMBER(H14),ISNUMBER('Section 47 Enquiries'!H14)),H14/'Section 47 Enquiries'!H14,NA())</f>
        <v>0.31479642502482624</v>
      </c>
      <c r="I116" s="96"/>
      <c r="J116" s="96"/>
      <c r="K116" s="166"/>
      <c r="L116" s="166"/>
      <c r="M116" s="166"/>
      <c r="N116" s="166"/>
      <c r="O116" s="166"/>
      <c r="P116" s="166"/>
      <c r="Q116" s="166"/>
      <c r="R116" s="167"/>
      <c r="S116" s="159"/>
      <c r="T116" s="159"/>
      <c r="U116" s="166"/>
      <c r="V116" s="122"/>
      <c r="W116" s="139"/>
      <c r="X116" s="152"/>
      <c r="Y116" s="188"/>
      <c r="Z116" s="188"/>
      <c r="AA116" s="81"/>
      <c r="AB116" s="81"/>
      <c r="AC116" s="81"/>
      <c r="AD116" s="81"/>
      <c r="AE116" s="81"/>
      <c r="AF116" s="190"/>
      <c r="AG116" s="190"/>
      <c r="AH116" s="190"/>
      <c r="AI116" s="190"/>
      <c r="AJ116" s="202"/>
      <c r="AK116" s="160"/>
    </row>
    <row r="117" spans="1:45" s="87" customFormat="1" ht="12.75" customHeight="1" x14ac:dyDescent="0.2">
      <c r="A117" s="488">
        <f>VLOOKUP(B117,Sheet1!$AQ$4:$AR$25,2,FALSE)</f>
        <v>0</v>
      </c>
      <c r="B117" s="93" t="str">
        <f t="shared" si="31"/>
        <v>Isle of Wight</v>
      </c>
      <c r="C117" s="85"/>
      <c r="D117" s="162">
        <f>IF(AND(ISNUMBER(D15),ISNUMBER('Section 47 Enquiries'!D15)),D15/'Section 47 Enquiries'!D15,NA())</f>
        <v>0.55473372781065089</v>
      </c>
      <c r="E117" s="162">
        <f>IF(AND(ISNUMBER(E15),ISNUMBER('Section 47 Enquiries'!E15)),E15/'Section 47 Enquiries'!E15,NA())</f>
        <v>0.52459016393442626</v>
      </c>
      <c r="F117" s="162">
        <f>IF(AND(ISNUMBER(F15),ISNUMBER('Section 47 Enquiries'!F15)),F15/'Section 47 Enquiries'!F15,NA())</f>
        <v>0.48653500897666069</v>
      </c>
      <c r="G117" s="162">
        <f>IF(AND(ISNUMBER(G15),ISNUMBER('Section 47 Enquiries'!G15)),G15/'Section 47 Enquiries'!G15,NA())</f>
        <v>0.46107784431137727</v>
      </c>
      <c r="H117" s="164">
        <f>IF(AND(ISNUMBER(H15),ISNUMBER('Section 47 Enquiries'!H15)),H15/'Section 47 Enquiries'!H15,NA())</f>
        <v>0.24024960998439937</v>
      </c>
      <c r="I117" s="96"/>
      <c r="J117" s="96"/>
      <c r="K117" s="166"/>
      <c r="L117" s="166"/>
      <c r="M117" s="166"/>
      <c r="N117" s="166"/>
      <c r="O117" s="166"/>
      <c r="P117" s="166"/>
      <c r="Q117" s="166"/>
      <c r="R117" s="167"/>
      <c r="S117" s="159"/>
      <c r="T117" s="159"/>
      <c r="U117" s="166"/>
      <c r="V117" s="122"/>
      <c r="W117" s="139"/>
      <c r="X117" s="152"/>
      <c r="Y117" s="188"/>
      <c r="Z117" s="188"/>
      <c r="AA117" s="81"/>
      <c r="AB117" s="81"/>
      <c r="AC117" s="81"/>
      <c r="AD117" s="81"/>
      <c r="AE117" s="81"/>
      <c r="AF117" s="190"/>
      <c r="AG117" s="190"/>
      <c r="AH117" s="190"/>
      <c r="AI117" s="190"/>
      <c r="AJ117" s="202"/>
      <c r="AK117" s="160"/>
      <c r="AS117" s="87" t="s">
        <v>102</v>
      </c>
    </row>
    <row r="118" spans="1:45" s="87" customFormat="1" ht="12.75" customHeight="1" x14ac:dyDescent="0.2">
      <c r="A118" s="488">
        <f>VLOOKUP(B118,Sheet1!$AQ$4:$AR$25,2,FALSE)</f>
        <v>0</v>
      </c>
      <c r="B118" s="93" t="str">
        <f t="shared" si="31"/>
        <v>Kent</v>
      </c>
      <c r="C118" s="85"/>
      <c r="D118" s="162">
        <f>IF(AND(ISNUMBER(D16),ISNUMBER('Section 47 Enquiries'!D16)),D16/'Section 47 Enquiries'!D16,NA())</f>
        <v>0.3254201680672269</v>
      </c>
      <c r="E118" s="162">
        <f>IF(AND(ISNUMBER(E16),ISNUMBER('Section 47 Enquiries'!E16)),E16/'Section 47 Enquiries'!E16,NA())</f>
        <v>0.30533415082771304</v>
      </c>
      <c r="F118" s="162">
        <f>IF(AND(ISNUMBER(F16),ISNUMBER('Section 47 Enquiries'!F16)),F16/'Section 47 Enquiries'!F16,NA())</f>
        <v>0.28151461894871388</v>
      </c>
      <c r="G118" s="162">
        <f>IF(AND(ISNUMBER(G16),ISNUMBER('Section 47 Enquiries'!G16)),G16/'Section 47 Enquiries'!G16,NA())</f>
        <v>0.26151288445552784</v>
      </c>
      <c r="H118" s="164">
        <f>IF(AND(ISNUMBER(H16),ISNUMBER('Section 47 Enquiries'!H16)),H16/'Section 47 Enquiries'!H16,NA())</f>
        <v>0.25778651345630482</v>
      </c>
      <c r="I118" s="96"/>
      <c r="J118" s="96"/>
      <c r="K118" s="166"/>
      <c r="L118" s="166"/>
      <c r="M118" s="166"/>
      <c r="N118" s="166"/>
      <c r="O118" s="166"/>
      <c r="P118" s="166"/>
      <c r="Q118" s="166"/>
      <c r="R118" s="167"/>
      <c r="S118" s="159"/>
      <c r="T118" s="159"/>
      <c r="U118" s="166"/>
      <c r="V118" s="122"/>
      <c r="W118" s="139"/>
      <c r="X118" s="152"/>
      <c r="Y118" s="188"/>
      <c r="Z118" s="188"/>
      <c r="AA118" s="81"/>
      <c r="AB118" s="81"/>
      <c r="AC118" s="81"/>
      <c r="AD118" s="81"/>
      <c r="AE118" s="81"/>
      <c r="AF118" s="190"/>
      <c r="AG118" s="190"/>
      <c r="AH118" s="190"/>
      <c r="AI118" s="190"/>
      <c r="AJ118" s="202"/>
      <c r="AK118" s="160"/>
    </row>
    <row r="119" spans="1:45" s="87" customFormat="1" ht="12.75" customHeight="1" x14ac:dyDescent="0.2">
      <c r="A119" s="488">
        <f>VLOOKUP(B119,Sheet1!$AQ$4:$AR$25,2,FALSE)</f>
        <v>0</v>
      </c>
      <c r="B119" s="93" t="str">
        <f t="shared" si="31"/>
        <v>Medway</v>
      </c>
      <c r="C119" s="85"/>
      <c r="D119" s="162">
        <f>IF(AND(ISNUMBER(D17),ISNUMBER('Section 47 Enquiries'!D17)),D17/'Section 47 Enquiries'!D17,NA())</f>
        <v>0.37216431637032493</v>
      </c>
      <c r="E119" s="162">
        <f>IF(AND(ISNUMBER(E17),ISNUMBER('Section 47 Enquiries'!E17)),E17/'Section 47 Enquiries'!E17,NA())</f>
        <v>0.32742537313432835</v>
      </c>
      <c r="F119" s="162">
        <f>IF(AND(ISNUMBER(F17),ISNUMBER('Section 47 Enquiries'!F17)),F17/'Section 47 Enquiries'!F17,NA())</f>
        <v>0.34123624047417445</v>
      </c>
      <c r="G119" s="162">
        <f>IF(AND(ISNUMBER(G17),ISNUMBER('Section 47 Enquiries'!G17)),G17/'Section 47 Enquiries'!G17,NA())</f>
        <v>0.36713055003313455</v>
      </c>
      <c r="H119" s="164">
        <f>IF(AND(ISNUMBER(H17),ISNUMBER('Section 47 Enquiries'!H17)),H17/'Section 47 Enquiries'!H17,NA())</f>
        <v>0.37619853355893967</v>
      </c>
      <c r="I119" s="96"/>
      <c r="J119" s="96"/>
      <c r="K119" s="166"/>
      <c r="L119" s="166"/>
      <c r="M119" s="166"/>
      <c r="N119" s="166"/>
      <c r="O119" s="166"/>
      <c r="P119" s="166"/>
      <c r="Q119" s="166"/>
      <c r="R119" s="167"/>
      <c r="S119" s="159"/>
      <c r="T119" s="159"/>
      <c r="U119" s="166"/>
      <c r="V119" s="122"/>
      <c r="W119" s="139"/>
      <c r="X119" s="152"/>
      <c r="Y119" s="188"/>
      <c r="Z119" s="188"/>
      <c r="AA119" s="81"/>
      <c r="AB119" s="81"/>
      <c r="AC119" s="81"/>
      <c r="AD119" s="81"/>
      <c r="AE119" s="81"/>
      <c r="AF119" s="190"/>
      <c r="AG119" s="190"/>
      <c r="AH119" s="190"/>
      <c r="AI119" s="190"/>
      <c r="AJ119" s="202"/>
      <c r="AK119" s="160"/>
    </row>
    <row r="120" spans="1:45" s="87" customFormat="1" ht="12.75" customHeight="1" x14ac:dyDescent="0.2">
      <c r="A120" s="488">
        <f>VLOOKUP(B120,Sheet1!$AQ$4:$AR$25,2,FALSE)</f>
        <v>0</v>
      </c>
      <c r="B120" s="93" t="str">
        <f t="shared" si="31"/>
        <v>Milton Keynes</v>
      </c>
      <c r="C120" s="85"/>
      <c r="D120" s="162">
        <f>IF(AND(ISNUMBER(D18),ISNUMBER('Section 47 Enquiries'!D18)),D18/'Section 47 Enquiries'!D18,NA())</f>
        <v>0.210896309314587</v>
      </c>
      <c r="E120" s="162">
        <f>IF(AND(ISNUMBER(E18),ISNUMBER('Section 47 Enquiries'!E18)),E18/'Section 47 Enquiries'!E18,NA())</f>
        <v>0.18943298969072164</v>
      </c>
      <c r="F120" s="162">
        <f>IF(AND(ISNUMBER(F18),ISNUMBER('Section 47 Enquiries'!F18)),F18/'Section 47 Enquiries'!F18,NA())</f>
        <v>0.31362007168458783</v>
      </c>
      <c r="G120" s="162">
        <f>IF(AND(ISNUMBER(G18),ISNUMBER('Section 47 Enquiries'!G18)),G18/'Section 47 Enquiries'!G18,NA())</f>
        <v>0.36815920398009949</v>
      </c>
      <c r="H120" s="164">
        <f>IF(AND(ISNUMBER(H18),ISNUMBER('Section 47 Enquiries'!H18)),H18/'Section 47 Enquiries'!H18,NA())</f>
        <v>0.32190942472460221</v>
      </c>
      <c r="I120" s="96"/>
      <c r="J120" s="96"/>
      <c r="K120" s="166"/>
      <c r="L120" s="166"/>
      <c r="M120" s="166"/>
      <c r="N120" s="166"/>
      <c r="O120" s="166"/>
      <c r="P120" s="166"/>
      <c r="Q120" s="166"/>
      <c r="R120" s="167"/>
      <c r="S120" s="159"/>
      <c r="T120" s="159"/>
      <c r="U120" s="166"/>
      <c r="V120" s="122"/>
      <c r="W120" s="139"/>
      <c r="X120" s="152"/>
      <c r="Y120" s="188"/>
      <c r="Z120" s="188"/>
      <c r="AA120" s="81"/>
      <c r="AB120" s="81"/>
      <c r="AC120" s="81"/>
      <c r="AD120" s="81"/>
      <c r="AE120" s="81"/>
      <c r="AF120" s="190"/>
      <c r="AG120" s="190"/>
      <c r="AH120" s="190"/>
      <c r="AI120" s="190"/>
      <c r="AJ120" s="202"/>
      <c r="AK120" s="160"/>
    </row>
    <row r="121" spans="1:45" s="87" customFormat="1" ht="12.75" customHeight="1" x14ac:dyDescent="0.2">
      <c r="A121" s="488">
        <f>VLOOKUP(B121,Sheet1!$AQ$4:$AR$25,2,FALSE)</f>
        <v>0</v>
      </c>
      <c r="B121" s="93" t="str">
        <f t="shared" si="31"/>
        <v>Oxfordshire</v>
      </c>
      <c r="C121" s="85"/>
      <c r="D121" s="162">
        <f>IF(AND(ISNUMBER(D19),ISNUMBER('Section 47 Enquiries'!D19)),D19/'Section 47 Enquiries'!D19,NA())</f>
        <v>0.41738197424892703</v>
      </c>
      <c r="E121" s="162">
        <f>IF(AND(ISNUMBER(E19),ISNUMBER('Section 47 Enquiries'!E19)),E19/'Section 47 Enquiries'!E19,NA())</f>
        <v>0.47767393561786087</v>
      </c>
      <c r="F121" s="162">
        <f>IF(AND(ISNUMBER(F19),ISNUMBER('Section 47 Enquiries'!F19)),F19/'Section 47 Enquiries'!F19,NA())</f>
        <v>0.48642659279778394</v>
      </c>
      <c r="G121" s="162">
        <f>IF(AND(ISNUMBER(G19),ISNUMBER('Section 47 Enquiries'!G19)),G19/'Section 47 Enquiries'!G19,NA())</f>
        <v>0.45114789108382275</v>
      </c>
      <c r="H121" s="164">
        <f>IF(AND(ISNUMBER(H19),ISNUMBER('Section 47 Enquiries'!H19)),H19/'Section 47 Enquiries'!H19,NA())</f>
        <v>0.45459317585301839</v>
      </c>
      <c r="I121" s="96"/>
      <c r="J121" s="96"/>
      <c r="K121" s="166"/>
      <c r="L121" s="166"/>
      <c r="M121" s="166"/>
      <c r="N121" s="166"/>
      <c r="O121" s="166"/>
      <c r="P121" s="166"/>
      <c r="Q121" s="166"/>
      <c r="R121" s="167"/>
      <c r="S121" s="159"/>
      <c r="T121" s="159"/>
      <c r="U121" s="166"/>
      <c r="V121" s="122"/>
      <c r="W121" s="139"/>
      <c r="X121" s="152"/>
      <c r="Y121" s="188"/>
      <c r="Z121" s="188"/>
      <c r="AA121" s="81"/>
      <c r="AB121" s="81"/>
      <c r="AC121" s="81"/>
      <c r="AD121" s="81"/>
      <c r="AE121" s="81"/>
      <c r="AF121" s="190"/>
      <c r="AG121" s="190"/>
      <c r="AH121" s="190"/>
      <c r="AI121" s="190"/>
      <c r="AJ121" s="202"/>
      <c r="AK121" s="160"/>
    </row>
    <row r="122" spans="1:45" s="87" customFormat="1" ht="12.75" customHeight="1" x14ac:dyDescent="0.2">
      <c r="A122" s="488">
        <f>VLOOKUP(B122,Sheet1!$AQ$4:$AR$25,2,FALSE)</f>
        <v>0</v>
      </c>
      <c r="B122" s="93" t="str">
        <f t="shared" si="31"/>
        <v>Portsmouth</v>
      </c>
      <c r="C122" s="85"/>
      <c r="D122" s="162">
        <f>IF(AND(ISNUMBER(D20),ISNUMBER('Section 47 Enquiries'!D20)),D20/'Section 47 Enquiries'!D20,NA())</f>
        <v>0.29268292682926828</v>
      </c>
      <c r="E122" s="162">
        <f>IF(AND(ISNUMBER(E20),ISNUMBER('Section 47 Enquiries'!E20)),E20/'Section 47 Enquiries'!E20,NA())</f>
        <v>0.24112903225806451</v>
      </c>
      <c r="F122" s="162">
        <f>IF(AND(ISNUMBER(F20),ISNUMBER('Section 47 Enquiries'!F20)),F20/'Section 47 Enquiries'!F20,NA())</f>
        <v>0.30146341463414633</v>
      </c>
      <c r="G122" s="162">
        <f>IF(AND(ISNUMBER(G20),ISNUMBER('Section 47 Enquiries'!G20)),G20/'Section 47 Enquiries'!G20,NA())</f>
        <v>0.22086824067022087</v>
      </c>
      <c r="H122" s="164">
        <f>IF(AND(ISNUMBER(H20),ISNUMBER('Section 47 Enquiries'!H20)),H20/'Section 47 Enquiries'!H20,NA())</f>
        <v>0.26120556414219476</v>
      </c>
      <c r="I122" s="96"/>
      <c r="J122" s="96"/>
      <c r="K122" s="166"/>
      <c r="L122" s="166"/>
      <c r="M122" s="166"/>
      <c r="N122" s="166"/>
      <c r="O122" s="166"/>
      <c r="P122" s="166"/>
      <c r="Q122" s="166"/>
      <c r="R122" s="167"/>
      <c r="S122" s="159"/>
      <c r="T122" s="159"/>
      <c r="U122" s="166"/>
      <c r="V122" s="122"/>
      <c r="W122" s="139"/>
      <c r="X122" s="152"/>
      <c r="Y122" s="188"/>
      <c r="Z122" s="188"/>
      <c r="AA122" s="81"/>
      <c r="AB122" s="81"/>
      <c r="AC122" s="81"/>
      <c r="AD122" s="81"/>
      <c r="AE122" s="81"/>
      <c r="AF122" s="190"/>
      <c r="AG122" s="190"/>
      <c r="AH122" s="190"/>
      <c r="AI122" s="190"/>
      <c r="AJ122" s="202"/>
      <c r="AK122" s="160"/>
    </row>
    <row r="123" spans="1:45" s="87" customFormat="1" ht="12.75" customHeight="1" x14ac:dyDescent="0.2">
      <c r="A123" s="488">
        <f>VLOOKUP(B123,Sheet1!$AQ$4:$AR$25,2,FALSE)</f>
        <v>0</v>
      </c>
      <c r="B123" s="93" t="str">
        <f t="shared" si="31"/>
        <v>Reading</v>
      </c>
      <c r="C123" s="85"/>
      <c r="D123" s="162">
        <f>IF(AND(ISNUMBER(D21),ISNUMBER('Section 47 Enquiries'!D21)),D21/'Section 47 Enquiries'!D21,NA())</f>
        <v>0.44193216855087358</v>
      </c>
      <c r="E123" s="162">
        <f>IF(AND(ISNUMBER(E21),ISNUMBER('Section 47 Enquiries'!E21)),E21/'Section 47 Enquiries'!E21,NA())</f>
        <v>0.48440366972477067</v>
      </c>
      <c r="F123" s="629">
        <f>IF(AND(ISNUMBER(F21),ISNUMBER('Section 47 Enquiries'!F21)),F21/'Section 47 Enquiries'!F21,NA())</f>
        <v>0.49404761904761907</v>
      </c>
      <c r="G123" s="629">
        <f>IF(AND(ISNUMBER(G21),ISNUMBER('Section 47 Enquiries'!G21)),G21/'Section 47 Enquiries'!G21,NA())</f>
        <v>0.41125121241513096</v>
      </c>
      <c r="H123" s="164">
        <f>IF(AND(ISNUMBER(H21),ISNUMBER('Section 47 Enquiries'!H21)),H21/'Section 47 Enquiries'!H21,NA())</f>
        <v>0.37109826589595374</v>
      </c>
      <c r="I123" s="96"/>
      <c r="J123" s="96"/>
      <c r="K123" s="166"/>
      <c r="L123" s="166"/>
      <c r="M123" s="166"/>
      <c r="N123" s="166"/>
      <c r="O123" s="166"/>
      <c r="P123" s="166"/>
      <c r="Q123" s="166"/>
      <c r="R123" s="167"/>
      <c r="S123" s="159"/>
      <c r="T123" s="159"/>
      <c r="U123" s="166"/>
      <c r="V123" s="122"/>
      <c r="W123" s="139"/>
      <c r="X123" s="152"/>
      <c r="Y123" s="188"/>
      <c r="Z123" s="188"/>
      <c r="AA123" s="81"/>
      <c r="AB123" s="81"/>
      <c r="AC123" s="81"/>
      <c r="AD123" s="81"/>
      <c r="AE123" s="81"/>
      <c r="AF123" s="190"/>
      <c r="AG123" s="190"/>
      <c r="AH123" s="190"/>
      <c r="AI123" s="190"/>
      <c r="AJ123" s="202"/>
      <c r="AK123" s="160"/>
    </row>
    <row r="124" spans="1:45" s="87" customFormat="1" ht="12.75" customHeight="1" x14ac:dyDescent="0.2">
      <c r="A124" s="488">
        <f>VLOOKUP(B124,Sheet1!$AQ$4:$AR$25,2,FALSE)</f>
        <v>0</v>
      </c>
      <c r="B124" s="93" t="str">
        <f t="shared" si="31"/>
        <v>Slough</v>
      </c>
      <c r="C124" s="85"/>
      <c r="D124" s="162">
        <f>IF(AND(ISNUMBER(D22),ISNUMBER('Section 47 Enquiries'!D22)),D22/'Section 47 Enquiries'!D22,NA())</f>
        <v>0.39</v>
      </c>
      <c r="E124" s="162">
        <f>IF(AND(ISNUMBER(E22),ISNUMBER('Section 47 Enquiries'!E22)),E22/'Section 47 Enquiries'!E22,NA())</f>
        <v>0.38584474885844749</v>
      </c>
      <c r="F124" s="162">
        <f>IF(AND(ISNUMBER(F22),ISNUMBER('Section 47 Enquiries'!F22)),F22/'Section 47 Enquiries'!F22,NA())</f>
        <v>0.38700564971751411</v>
      </c>
      <c r="G124" s="162">
        <f>IF(AND(ISNUMBER(G22),ISNUMBER('Section 47 Enquiries'!G22)),G22/'Section 47 Enquiries'!G22,NA())</f>
        <v>0.32236842105263158</v>
      </c>
      <c r="H124" s="164">
        <f>IF(AND(ISNUMBER(H22),ISNUMBER('Section 47 Enquiries'!H22)),H22/'Section 47 Enquiries'!H22,NA())</f>
        <v>0.29961389961389961</v>
      </c>
      <c r="I124" s="96"/>
      <c r="J124" s="96"/>
      <c r="K124" s="166"/>
      <c r="L124" s="166"/>
      <c r="M124" s="166"/>
      <c r="N124" s="166"/>
      <c r="O124" s="166"/>
      <c r="P124" s="166"/>
      <c r="Q124" s="166"/>
      <c r="R124" s="167"/>
      <c r="S124" s="159"/>
      <c r="T124" s="159"/>
      <c r="U124" s="166"/>
      <c r="V124" s="122"/>
      <c r="W124" s="139"/>
      <c r="X124" s="152"/>
      <c r="Y124" s="188"/>
      <c r="Z124" s="188"/>
      <c r="AA124" s="81"/>
      <c r="AB124" s="81"/>
      <c r="AC124" s="81"/>
      <c r="AD124" s="81"/>
      <c r="AE124" s="81"/>
      <c r="AF124" s="190"/>
      <c r="AG124" s="190"/>
      <c r="AH124" s="190"/>
      <c r="AI124" s="190"/>
      <c r="AJ124" s="202"/>
      <c r="AK124" s="160"/>
    </row>
    <row r="125" spans="1:45" s="87" customFormat="1" ht="12.75" customHeight="1" x14ac:dyDescent="0.2">
      <c r="A125" s="488">
        <f>VLOOKUP(B125,Sheet1!$AQ$4:$AR$25,2,FALSE)</f>
        <v>0</v>
      </c>
      <c r="B125" s="93" t="str">
        <f t="shared" si="31"/>
        <v>Somerset</v>
      </c>
      <c r="C125" s="85"/>
      <c r="D125" s="162">
        <f>IF(AND(ISNUMBER(D23),ISNUMBER('Section 47 Enquiries'!D23)),D23/'Section 47 Enquiries'!D23,NA())</f>
        <v>0.36854279105628374</v>
      </c>
      <c r="E125" s="162">
        <f>IF(AND(ISNUMBER(E23),ISNUMBER('Section 47 Enquiries'!E23)),E23/'Section 47 Enquiries'!E23,NA())</f>
        <v>0.41915028535193405</v>
      </c>
      <c r="F125" s="162">
        <f>IF(AND(ISNUMBER(F23),ISNUMBER('Section 47 Enquiries'!F23)),F23/'Section 47 Enquiries'!F23,NA())</f>
        <v>0.3832570307390451</v>
      </c>
      <c r="G125" s="162">
        <f>IF(AND(ISNUMBER(G23),ISNUMBER('Section 47 Enquiries'!G23)),G23/'Section 47 Enquiries'!G23,NA())</f>
        <v>0.42178542178542178</v>
      </c>
      <c r="H125" s="164">
        <f>IF(AND(ISNUMBER(H23),ISNUMBER('Section 47 Enquiries'!H23)),H23/'Section 47 Enquiries'!H23,NA())</f>
        <v>0.32719393282773562</v>
      </c>
      <c r="I125" s="96"/>
      <c r="J125" s="96"/>
      <c r="K125" s="166"/>
      <c r="L125" s="166"/>
      <c r="M125" s="166"/>
      <c r="N125" s="166"/>
      <c r="O125" s="166"/>
      <c r="P125" s="166"/>
      <c r="Q125" s="166"/>
      <c r="R125" s="167"/>
      <c r="S125" s="159"/>
      <c r="T125" s="159"/>
      <c r="U125" s="166"/>
      <c r="V125" s="122"/>
      <c r="W125" s="139"/>
      <c r="X125" s="152"/>
      <c r="Y125" s="188"/>
      <c r="Z125" s="188"/>
      <c r="AA125" s="81"/>
      <c r="AB125" s="81"/>
      <c r="AC125" s="81"/>
      <c r="AD125" s="81"/>
      <c r="AE125" s="81"/>
      <c r="AF125" s="190"/>
      <c r="AG125" s="190"/>
      <c r="AH125" s="190"/>
      <c r="AI125" s="190"/>
      <c r="AJ125" s="202"/>
      <c r="AK125" s="160"/>
    </row>
    <row r="126" spans="1:45" s="87" customFormat="1" ht="12.75" customHeight="1" x14ac:dyDescent="0.2">
      <c r="A126" s="488">
        <f>VLOOKUP(B126,Sheet1!$AQ$4:$AR$25,2,FALSE)</f>
        <v>0</v>
      </c>
      <c r="B126" s="93" t="str">
        <f t="shared" si="31"/>
        <v>Southampton</v>
      </c>
      <c r="C126" s="85"/>
      <c r="D126" s="162">
        <f>IF(AND(ISNUMBER(D24),ISNUMBER('Section 47 Enquiries'!D24)),D24/'Section 47 Enquiries'!D24,NA())</f>
        <v>0.29396186440677968</v>
      </c>
      <c r="E126" s="162">
        <f>IF(AND(ISNUMBER(E24),ISNUMBER('Section 47 Enquiries'!E24)),E24/'Section 47 Enquiries'!E24,NA())</f>
        <v>0.34245562130177515</v>
      </c>
      <c r="F126" s="162">
        <f>IF(AND(ISNUMBER(F24),ISNUMBER('Section 47 Enquiries'!F24)),F24/'Section 47 Enquiries'!F24,NA())</f>
        <v>0.30378250591016548</v>
      </c>
      <c r="G126" s="162">
        <f>IF(AND(ISNUMBER(G24),ISNUMBER('Section 47 Enquiries'!G24)),G24/'Section 47 Enquiries'!G24,NA())</f>
        <v>0.27962638645650906</v>
      </c>
      <c r="H126" s="164">
        <f>IF(AND(ISNUMBER(H24),ISNUMBER('Section 47 Enquiries'!H24)),H24/'Section 47 Enquiries'!H24,NA())</f>
        <v>0.33223062381852553</v>
      </c>
      <c r="I126" s="96"/>
      <c r="J126" s="96"/>
      <c r="K126" s="166"/>
      <c r="L126" s="166"/>
      <c r="M126" s="166"/>
      <c r="N126" s="166"/>
      <c r="O126" s="166"/>
      <c r="P126" s="166"/>
      <c r="Q126" s="166"/>
      <c r="R126" s="167"/>
      <c r="S126" s="159"/>
      <c r="T126" s="159"/>
      <c r="U126" s="166"/>
      <c r="V126" s="122"/>
      <c r="W126" s="139"/>
      <c r="X126" s="152"/>
      <c r="Y126" s="188"/>
      <c r="Z126" s="188"/>
      <c r="AA126" s="81"/>
      <c r="AB126" s="81"/>
      <c r="AC126" s="81"/>
      <c r="AD126" s="81"/>
      <c r="AE126" s="81"/>
      <c r="AF126" s="190"/>
      <c r="AG126" s="190"/>
      <c r="AH126" s="190"/>
      <c r="AI126" s="190"/>
      <c r="AJ126" s="202"/>
      <c r="AK126" s="160"/>
    </row>
    <row r="127" spans="1:45" s="87" customFormat="1" ht="12.75" customHeight="1" x14ac:dyDescent="0.2">
      <c r="A127" s="488">
        <f>VLOOKUP(B127,Sheet1!$AQ$4:$AR$25,2,FALSE)</f>
        <v>0</v>
      </c>
      <c r="B127" s="93" t="str">
        <f t="shared" si="31"/>
        <v>Surrey</v>
      </c>
      <c r="C127" s="85"/>
      <c r="D127" s="162">
        <f>IF(AND(ISNUMBER(D25),ISNUMBER('Section 47 Enquiries'!D25)),D25/'Section 47 Enquiries'!D25,NA())</f>
        <v>0.27177545110269546</v>
      </c>
      <c r="E127" s="162">
        <f>IF(AND(ISNUMBER(E25),ISNUMBER('Section 47 Enquiries'!E25)),E25/'Section 47 Enquiries'!E25,NA())</f>
        <v>0.316776007497657</v>
      </c>
      <c r="F127" s="162">
        <f>IF(AND(ISNUMBER(F25),ISNUMBER('Section 47 Enquiries'!F25)),F25/'Section 47 Enquiries'!F25,NA())</f>
        <v>0.35654261704681872</v>
      </c>
      <c r="G127" s="162">
        <f>IF(AND(ISNUMBER(G25),ISNUMBER('Section 47 Enquiries'!G25)),G25/'Section 47 Enquiries'!G25,NA())</f>
        <v>0.36409760811790287</v>
      </c>
      <c r="H127" s="164">
        <f>IF(AND(ISNUMBER(H25),ISNUMBER('Section 47 Enquiries'!H25)),H25/'Section 47 Enquiries'!H25,NA())</f>
        <v>0.3220466516177577</v>
      </c>
      <c r="I127" s="96"/>
      <c r="J127" s="96"/>
      <c r="K127" s="166"/>
      <c r="L127" s="166"/>
      <c r="M127" s="166"/>
      <c r="N127" s="166"/>
      <c r="O127" s="166"/>
      <c r="P127" s="166"/>
      <c r="Q127" s="166"/>
      <c r="R127" s="167"/>
      <c r="S127" s="159"/>
      <c r="T127" s="159"/>
      <c r="U127" s="166"/>
      <c r="V127" s="122"/>
      <c r="W127" s="139"/>
      <c r="X127" s="152"/>
      <c r="Y127" s="188"/>
      <c r="Z127" s="188"/>
      <c r="AA127" s="81"/>
      <c r="AB127" s="81"/>
      <c r="AC127" s="81"/>
      <c r="AD127" s="81"/>
      <c r="AE127" s="81"/>
      <c r="AF127" s="190"/>
      <c r="AG127" s="190"/>
      <c r="AH127" s="190"/>
      <c r="AI127" s="190"/>
      <c r="AJ127" s="202"/>
      <c r="AK127" s="160"/>
    </row>
    <row r="128" spans="1:45" s="87" customFormat="1" ht="12.75" customHeight="1" x14ac:dyDescent="0.2">
      <c r="A128" s="488">
        <f>VLOOKUP(B128,Sheet1!$AQ$4:$AR$25,2,FALSE)</f>
        <v>0</v>
      </c>
      <c r="B128" s="93" t="str">
        <f t="shared" si="31"/>
        <v>Swindon</v>
      </c>
      <c r="C128" s="85"/>
      <c r="D128" s="162">
        <f>IF(AND(ISNUMBER(D26),ISNUMBER('Section 47 Enquiries'!D26)),D26/'Section 47 Enquiries'!D26,NA())</f>
        <v>0.4516971279373368</v>
      </c>
      <c r="E128" s="162">
        <f>IF(AND(ISNUMBER(E26),ISNUMBER('Section 47 Enquiries'!E26)),E26/'Section 47 Enquiries'!E26,NA())</f>
        <v>0.42156862745098039</v>
      </c>
      <c r="F128" s="162">
        <f>IF(AND(ISNUMBER(F26),ISNUMBER('Section 47 Enquiries'!F26)),F26/'Section 47 Enquiries'!F26,NA())</f>
        <v>0.56607495069033531</v>
      </c>
      <c r="G128" s="162">
        <f>IF(AND(ISNUMBER(G26),ISNUMBER('Section 47 Enquiries'!G26)),G26/'Section 47 Enquiries'!G26,NA())</f>
        <v>0.4678638941398866</v>
      </c>
      <c r="H128" s="164">
        <f>IF(AND(ISNUMBER(H26),ISNUMBER('Section 47 Enquiries'!H26)),H26/'Section 47 Enquiries'!H26,NA())</f>
        <v>0.26526717557251911</v>
      </c>
      <c r="I128" s="96"/>
      <c r="J128" s="96"/>
      <c r="K128" s="166"/>
      <c r="L128" s="166"/>
      <c r="M128" s="166"/>
      <c r="N128" s="166"/>
      <c r="O128" s="166"/>
      <c r="P128" s="166"/>
      <c r="Q128" s="166"/>
      <c r="R128" s="167"/>
      <c r="S128" s="159"/>
      <c r="T128" s="159"/>
      <c r="U128" s="166"/>
      <c r="V128" s="122"/>
      <c r="W128" s="139"/>
      <c r="X128" s="152"/>
      <c r="Y128" s="188"/>
      <c r="Z128" s="188"/>
      <c r="AA128" s="81"/>
      <c r="AB128" s="81"/>
      <c r="AC128" s="81"/>
      <c r="AD128" s="81"/>
      <c r="AE128" s="81"/>
      <c r="AF128" s="190"/>
      <c r="AG128" s="190"/>
      <c r="AH128" s="190"/>
      <c r="AI128" s="190"/>
      <c r="AJ128" s="202"/>
      <c r="AK128" s="160"/>
    </row>
    <row r="129" spans="1:46" s="87" customFormat="1" ht="12.75" customHeight="1" x14ac:dyDescent="0.2">
      <c r="A129" s="488">
        <f>VLOOKUP(B129,Sheet1!$AQ$4:$AR$25,2,FALSE)</f>
        <v>0</v>
      </c>
      <c r="B129" s="93" t="str">
        <f t="shared" si="31"/>
        <v>Torbay</v>
      </c>
      <c r="C129" s="85"/>
      <c r="D129" s="162">
        <f>IF(AND(ISNUMBER(D27),ISNUMBER('Section 47 Enquiries'!D27)),D27/'Section 47 Enquiries'!D27,NA())</f>
        <v>0.41191381495564006</v>
      </c>
      <c r="E129" s="162">
        <f>IF(AND(ISNUMBER(E27),ISNUMBER('Section 47 Enquiries'!E27)),E27/'Section 47 Enquiries'!E27,NA())</f>
        <v>0.47631578947368419</v>
      </c>
      <c r="F129" s="162">
        <f>IF(AND(ISNUMBER(F27),ISNUMBER('Section 47 Enquiries'!F27)),F27/'Section 47 Enquiries'!F27,NA())</f>
        <v>0.52312138728323698</v>
      </c>
      <c r="G129" s="162">
        <f>IF(AND(ISNUMBER(G27),ISNUMBER('Section 47 Enquiries'!G27)),G27/'Section 47 Enquiries'!G27,NA())</f>
        <v>0.39561855670103091</v>
      </c>
      <c r="H129" s="164">
        <f>IF(AND(ISNUMBER(H27),ISNUMBER('Section 47 Enquiries'!H27)),H27/'Section 47 Enquiries'!H27,NA())</f>
        <v>0.38537794299876083</v>
      </c>
      <c r="I129" s="96"/>
      <c r="J129" s="96"/>
      <c r="K129" s="166"/>
      <c r="L129" s="166"/>
      <c r="M129" s="166"/>
      <c r="N129" s="166"/>
      <c r="O129" s="166"/>
      <c r="P129" s="166"/>
      <c r="Q129" s="166"/>
      <c r="R129" s="167"/>
      <c r="S129" s="159"/>
      <c r="T129" s="159"/>
      <c r="U129" s="166"/>
      <c r="V129" s="122"/>
      <c r="W129" s="139"/>
      <c r="X129" s="152"/>
      <c r="Y129" s="188"/>
      <c r="Z129" s="188"/>
      <c r="AA129" s="81"/>
      <c r="AB129" s="81"/>
      <c r="AC129" s="81"/>
      <c r="AD129" s="81"/>
      <c r="AE129" s="81"/>
      <c r="AF129" s="190"/>
      <c r="AG129" s="190"/>
      <c r="AH129" s="190"/>
      <c r="AI129" s="190"/>
      <c r="AJ129" s="202"/>
      <c r="AK129" s="160"/>
    </row>
    <row r="130" spans="1:46" s="87" customFormat="1" ht="12.75" customHeight="1" x14ac:dyDescent="0.2">
      <c r="A130" s="488">
        <f>VLOOKUP(B130,Sheet1!$AQ$4:$AR$25,2,FALSE)</f>
        <v>0</v>
      </c>
      <c r="B130" s="93" t="str">
        <f t="shared" si="31"/>
        <v>West Berkshire</v>
      </c>
      <c r="C130" s="85"/>
      <c r="D130" s="162">
        <f>IF(AND(ISNUMBER(D28),ISNUMBER('Section 47 Enquiries'!D28)),D28/'Section 47 Enquiries'!D28,NA())</f>
        <v>0.37267080745341613</v>
      </c>
      <c r="E130" s="162">
        <f>IF(AND(ISNUMBER(E28),ISNUMBER('Section 47 Enquiries'!E28)),E28/'Section 47 Enquiries'!E28,NA())</f>
        <v>0.44846292947558769</v>
      </c>
      <c r="F130" s="162">
        <f>IF(AND(ISNUMBER(F28),ISNUMBER('Section 47 Enquiries'!F28)),F28/'Section 47 Enquiries'!F28,NA())</f>
        <v>0.44283413848631242</v>
      </c>
      <c r="G130" s="162">
        <f>IF(AND(ISNUMBER(G28),ISNUMBER('Section 47 Enquiries'!G28)),G28/'Section 47 Enquiries'!G28,NA())</f>
        <v>0.46582733812949639</v>
      </c>
      <c r="H130" s="164">
        <f>IF(AND(ISNUMBER(H28),ISNUMBER('Section 47 Enquiries'!H28)),H28/'Section 47 Enquiries'!H28,NA())</f>
        <v>0.41392649903288203</v>
      </c>
      <c r="I130" s="96"/>
      <c r="J130" s="96"/>
      <c r="K130" s="166"/>
      <c r="L130" s="166"/>
      <c r="M130" s="166"/>
      <c r="N130" s="166"/>
      <c r="O130" s="166"/>
      <c r="P130" s="166"/>
      <c r="Q130" s="166"/>
      <c r="R130" s="167"/>
      <c r="S130" s="159"/>
      <c r="T130" s="159"/>
      <c r="U130" s="166"/>
      <c r="V130" s="122"/>
      <c r="W130" s="139"/>
      <c r="X130" s="152"/>
      <c r="Y130" s="188"/>
      <c r="Z130" s="188"/>
      <c r="AA130" s="81"/>
      <c r="AB130" s="81"/>
      <c r="AC130" s="81"/>
      <c r="AD130" s="81"/>
      <c r="AE130" s="81"/>
      <c r="AF130" s="202"/>
      <c r="AG130" s="190"/>
      <c r="AH130" s="190"/>
      <c r="AI130" s="190"/>
      <c r="AJ130" s="202"/>
      <c r="AK130" s="160"/>
    </row>
    <row r="131" spans="1:46" s="87" customFormat="1" ht="12.75" customHeight="1" x14ac:dyDescent="0.2">
      <c r="A131" s="488">
        <f>VLOOKUP(B131,Sheet1!$AQ$4:$AR$25,2,FALSE)</f>
        <v>0</v>
      </c>
      <c r="B131" s="93" t="str">
        <f t="shared" si="31"/>
        <v>West Sussex</v>
      </c>
      <c r="C131" s="85"/>
      <c r="D131" s="162">
        <f>IF(AND(ISNUMBER(D29),ISNUMBER('Section 47 Enquiries'!D29)),D29/'Section 47 Enquiries'!D29,NA())</f>
        <v>0.37174515235457062</v>
      </c>
      <c r="E131" s="162">
        <f>IF(AND(ISNUMBER(E29),ISNUMBER('Section 47 Enquiries'!E29)),E29/'Section 47 Enquiries'!E29,NA())</f>
        <v>0.31350852927616413</v>
      </c>
      <c r="F131" s="162">
        <f>IF(AND(ISNUMBER(F29),ISNUMBER('Section 47 Enquiries'!F29)),F29/'Section 47 Enquiries'!F29,NA())</f>
        <v>0.3593073593073593</v>
      </c>
      <c r="G131" s="162">
        <f>IF(AND(ISNUMBER(G29),ISNUMBER('Section 47 Enquiries'!G29)),G29/'Section 47 Enquiries'!G29,NA())</f>
        <v>0.30200414651002072</v>
      </c>
      <c r="H131" s="164">
        <f>IF(AND(ISNUMBER(H29),ISNUMBER('Section 47 Enquiries'!H29)),H29/'Section 47 Enquiries'!H29,NA())</f>
        <v>0.43506493506493504</v>
      </c>
      <c r="I131" s="96"/>
      <c r="J131" s="96"/>
      <c r="K131" s="166"/>
      <c r="L131" s="166"/>
      <c r="M131" s="166"/>
      <c r="N131" s="166"/>
      <c r="O131" s="166"/>
      <c r="P131" s="166"/>
      <c r="Q131" s="166"/>
      <c r="R131" s="167"/>
      <c r="S131" s="159"/>
      <c r="T131" s="159"/>
      <c r="U131" s="166"/>
      <c r="V131" s="122"/>
      <c r="W131" s="139"/>
      <c r="X131" s="152"/>
      <c r="Y131" s="188"/>
      <c r="Z131" s="188"/>
      <c r="AA131" s="81"/>
      <c r="AB131" s="81"/>
      <c r="AC131" s="81"/>
      <c r="AD131" s="81"/>
      <c r="AE131" s="81"/>
      <c r="AF131" s="202"/>
      <c r="AG131" s="190"/>
      <c r="AH131" s="190"/>
      <c r="AI131" s="190"/>
      <c r="AJ131" s="202"/>
      <c r="AK131" s="160"/>
    </row>
    <row r="132" spans="1:46" s="87" customFormat="1" ht="12.75" customHeight="1" x14ac:dyDescent="0.2">
      <c r="A132" s="488">
        <f>VLOOKUP(B132,Sheet1!$AQ$4:$AR$25,2,FALSE)</f>
        <v>0</v>
      </c>
      <c r="B132" s="93" t="str">
        <f t="shared" si="31"/>
        <v>Windsor &amp; Maidenhead</v>
      </c>
      <c r="C132" s="85"/>
      <c r="D132" s="162">
        <f>IF(AND(ISNUMBER(D30),ISNUMBER('Section 47 Enquiries'!D30)),D30/'Section 47 Enquiries'!D30,NA())</f>
        <v>0.45766590389016021</v>
      </c>
      <c r="E132" s="162">
        <f>IF(AND(ISNUMBER(E30),ISNUMBER('Section 47 Enquiries'!E30)),E30/'Section 47 Enquiries'!E30,NA())</f>
        <v>0.42450765864332601</v>
      </c>
      <c r="F132" s="162">
        <f>IF(AND(ISNUMBER(F30),ISNUMBER('Section 47 Enquiries'!F30)),F30/'Section 47 Enquiries'!F30,NA())</f>
        <v>0.3914285714285714</v>
      </c>
      <c r="G132" s="162">
        <f>IF(AND(ISNUMBER(G30),ISNUMBER('Section 47 Enquiries'!G30)),G30/'Section 47 Enquiries'!G30,NA())</f>
        <v>0.23180076628352492</v>
      </c>
      <c r="H132" s="164">
        <f>IF(AND(ISNUMBER(H30),ISNUMBER('Section 47 Enquiries'!H30)),H30/'Section 47 Enquiries'!H30,NA())</f>
        <v>0.43383584589614738</v>
      </c>
      <c r="I132" s="96"/>
      <c r="J132" s="96"/>
      <c r="K132" s="166"/>
      <c r="L132" s="166"/>
      <c r="M132" s="166"/>
      <c r="N132" s="166"/>
      <c r="O132" s="166"/>
      <c r="P132" s="166"/>
      <c r="Q132" s="166"/>
      <c r="R132" s="167"/>
      <c r="S132" s="159"/>
      <c r="T132" s="159"/>
      <c r="U132" s="166"/>
      <c r="V132" s="122"/>
      <c r="W132" s="139"/>
      <c r="X132" s="152"/>
      <c r="Y132" s="188"/>
      <c r="Z132" s="188"/>
      <c r="AA132" s="81"/>
      <c r="AB132" s="81"/>
      <c r="AC132" s="81"/>
      <c r="AD132" s="81"/>
      <c r="AE132" s="81"/>
      <c r="AF132" s="202"/>
      <c r="AG132" s="202"/>
      <c r="AH132" s="202"/>
      <c r="AI132" s="190"/>
      <c r="AJ132" s="202"/>
      <c r="AK132" s="160"/>
    </row>
    <row r="133" spans="1:46" s="87" customFormat="1" ht="12.75" customHeight="1" x14ac:dyDescent="0.2">
      <c r="A133" s="488">
        <f>VLOOKUP(B133,Sheet1!$AQ$4:$AR$25,2,FALSE)</f>
        <v>0</v>
      </c>
      <c r="B133" s="93" t="str">
        <f t="shared" si="31"/>
        <v>Wokingham</v>
      </c>
      <c r="C133" s="85"/>
      <c r="D133" s="162">
        <f>IF(AND(ISNUMBER(D31),ISNUMBER('Section 47 Enquiries'!D31)),D31/'Section 47 Enquiries'!D31,NA())</f>
        <v>0.41907514450867051</v>
      </c>
      <c r="E133" s="162">
        <f>IF(AND(ISNUMBER(E31),ISNUMBER('Section 47 Enquiries'!E31)),E31/'Section 47 Enquiries'!E31,NA())</f>
        <v>0.33840304182509506</v>
      </c>
      <c r="F133" s="162">
        <f>IF(AND(ISNUMBER(F31),ISNUMBER('Section 47 Enquiries'!F31)),F31/'Section 47 Enquiries'!F31,NA())</f>
        <v>0.38428874734607221</v>
      </c>
      <c r="G133" s="162">
        <f>IF(AND(ISNUMBER(G31),ISNUMBER('Section 47 Enquiries'!G31)),G31/'Section 47 Enquiries'!G31,NA())</f>
        <v>0.39083969465648855</v>
      </c>
      <c r="H133" s="164">
        <f>IF(AND(ISNUMBER(H31),ISNUMBER('Section 47 Enquiries'!H31)),H31/'Section 47 Enquiries'!H31,NA())</f>
        <v>0.31692307692307692</v>
      </c>
      <c r="I133" s="96"/>
      <c r="J133" s="96"/>
      <c r="K133" s="166"/>
      <c r="L133" s="166"/>
      <c r="M133" s="166"/>
      <c r="N133" s="166"/>
      <c r="O133" s="166"/>
      <c r="P133" s="166"/>
      <c r="Q133" s="166"/>
      <c r="R133" s="167"/>
      <c r="S133" s="159"/>
      <c r="T133" s="159"/>
      <c r="U133" s="166"/>
      <c r="V133" s="122"/>
      <c r="W133" s="139"/>
      <c r="X133" s="152"/>
      <c r="Y133" s="188"/>
      <c r="Z133" s="188"/>
      <c r="AA133" s="81"/>
      <c r="AB133" s="81"/>
      <c r="AC133" s="81"/>
      <c r="AD133" s="81"/>
      <c r="AE133" s="81"/>
      <c r="AF133" s="202"/>
      <c r="AG133" s="202"/>
      <c r="AH133" s="202"/>
      <c r="AI133" s="190"/>
      <c r="AJ133" s="202"/>
      <c r="AK133" s="160"/>
    </row>
    <row r="134" spans="1:46" s="87" customFormat="1" ht="12.75" customHeight="1" x14ac:dyDescent="0.2">
      <c r="A134" s="121"/>
      <c r="B134" s="129" t="str">
        <f t="shared" si="31"/>
        <v>South East</v>
      </c>
      <c r="C134" s="85"/>
      <c r="D134" s="163">
        <f>IF(AND(ISNUMBER(D32),ISNUMBER('Section 47 Enquiries'!D32)),D32/'Section 47 Enquiries'!D32,NA())</f>
        <v>0.37238903394255873</v>
      </c>
      <c r="E134" s="163">
        <f>IF(AND(ISNUMBER(E32),ISNUMBER('Section 47 Enquiries'!E32)),E32/'Section 47 Enquiries'!E32,NA())</f>
        <v>0.37280986372485397</v>
      </c>
      <c r="F134" s="163">
        <f>IF(AND(ISNUMBER(F32),ISNUMBER('Section 47 Enquiries'!F32)),F32/'Section 47 Enquiries'!F32,NA())</f>
        <v>0.37746913580246916</v>
      </c>
      <c r="G134" s="163">
        <f>IF(AND(ISNUMBER(G32),ISNUMBER('Section 47 Enquiries'!G32)),G32/'Section 47 Enquiries'!G32,NA())</f>
        <v>0.35322054021964977</v>
      </c>
      <c r="H134" s="165">
        <f>IF(AND(ISNUMBER(H32),ISNUMBER('Section 47 Enquiries'!H32)),H32/'Section 47 Enquiries'!H32,NA())</f>
        <v>0.34401588201928529</v>
      </c>
      <c r="I134" s="96"/>
      <c r="J134" s="96"/>
      <c r="K134" s="168"/>
      <c r="L134" s="168"/>
      <c r="M134" s="168"/>
      <c r="N134" s="168"/>
      <c r="O134" s="168"/>
      <c r="P134" s="168"/>
      <c r="Q134" s="168"/>
      <c r="R134" s="169"/>
      <c r="S134" s="159"/>
      <c r="T134" s="159"/>
      <c r="U134" s="170"/>
      <c r="V134" s="122"/>
      <c r="W134" s="139"/>
      <c r="X134" s="152"/>
      <c r="Y134" s="188"/>
      <c r="Z134" s="188"/>
      <c r="AA134" s="81"/>
      <c r="AB134" s="81"/>
      <c r="AC134" s="81"/>
      <c r="AD134" s="81"/>
      <c r="AE134" s="81"/>
      <c r="AF134" s="202"/>
      <c r="AG134" s="202"/>
      <c r="AH134" s="202"/>
      <c r="AI134" s="190"/>
      <c r="AJ134" s="202"/>
      <c r="AK134" s="160"/>
    </row>
    <row r="135" spans="1:46" s="87" customFormat="1" ht="12.75" x14ac:dyDescent="0.2">
      <c r="A135" s="121"/>
      <c r="B135" s="329" t="str">
        <f t="shared" si="31"/>
        <v>England</v>
      </c>
      <c r="C135" s="85"/>
      <c r="D135" s="351">
        <f>IF(AND(ISNUMBER(D33),ISNUMBER('Section 47 Enquiries'!D33)),D33/'Section 47 Enquiries'!D33,NA())</f>
        <v>0.42399442799930348</v>
      </c>
      <c r="E135" s="351">
        <f>IF(AND(ISNUMBER(E33),ISNUMBER('Section 47 Enquiries'!E33)),E33/'Section 47 Enquiries'!E33,NA())</f>
        <v>0.41482879482340251</v>
      </c>
      <c r="F135" s="351">
        <f>IF(AND(ISNUMBER(F33),ISNUMBER('Section 47 Enquiries'!F33)),F33/'Section 47 Enquiries'!F33,NA())</f>
        <v>0.40118128123580193</v>
      </c>
      <c r="G135" s="351">
        <f>IF(AND(ISNUMBER(G33),ISNUMBER('Section 47 Enquiries'!G33)),G33/'Section 47 Enquiries'!G33,NA())</f>
        <v>0.38494805388477404</v>
      </c>
      <c r="H135" s="352">
        <f>IF(AND(ISNUMBER(H33),ISNUMBER('Section 47 Enquiries'!H33)),H33/'Section 47 Enquiries'!H33,NA())</f>
        <v>0.38542288557213933</v>
      </c>
      <c r="I135" s="96"/>
      <c r="J135" s="96"/>
      <c r="K135" s="168"/>
      <c r="L135" s="168"/>
      <c r="M135" s="168"/>
      <c r="N135" s="168"/>
      <c r="O135" s="168"/>
      <c r="P135" s="168"/>
      <c r="Q135" s="168"/>
      <c r="R135" s="169"/>
      <c r="S135" s="159"/>
      <c r="T135" s="159"/>
      <c r="U135" s="170"/>
      <c r="V135" s="122"/>
      <c r="W135" s="139"/>
      <c r="X135" s="152"/>
      <c r="Y135" s="188"/>
      <c r="Z135" s="188"/>
      <c r="AA135" s="81"/>
      <c r="AB135" s="81"/>
      <c r="AC135" s="81"/>
      <c r="AD135" s="81"/>
      <c r="AE135" s="81"/>
      <c r="AF135" s="202"/>
      <c r="AG135" s="202"/>
      <c r="AH135" s="202"/>
      <c r="AI135" s="190"/>
      <c r="AJ135" s="202"/>
      <c r="AK135" s="160"/>
    </row>
    <row r="136" spans="1:46" s="87" customFormat="1" ht="7.5" customHeight="1" x14ac:dyDescent="0.2">
      <c r="A136" s="292"/>
      <c r="B136" s="96"/>
      <c r="C136" s="96"/>
      <c r="D136" s="96"/>
      <c r="E136" s="96"/>
      <c r="F136" s="96"/>
      <c r="G136" s="96"/>
      <c r="H136" s="96"/>
      <c r="I136" s="96"/>
      <c r="J136" s="96"/>
      <c r="K136" s="168"/>
      <c r="L136" s="168"/>
      <c r="M136" s="168"/>
      <c r="N136" s="168"/>
      <c r="O136" s="168"/>
      <c r="P136" s="168"/>
      <c r="Q136" s="168"/>
      <c r="R136" s="169"/>
      <c r="S136" s="159"/>
      <c r="T136" s="159"/>
      <c r="U136" s="170"/>
      <c r="V136" s="122"/>
      <c r="W136" s="139"/>
      <c r="X136" s="152"/>
      <c r="Y136" s="188"/>
      <c r="Z136" s="188"/>
      <c r="AA136" s="81"/>
      <c r="AB136" s="81"/>
      <c r="AC136" s="81"/>
      <c r="AD136" s="81"/>
      <c r="AE136" s="81"/>
      <c r="AF136" s="202"/>
      <c r="AG136" s="202"/>
      <c r="AH136" s="202"/>
      <c r="AI136" s="190"/>
      <c r="AJ136" s="202"/>
      <c r="AK136" s="160"/>
    </row>
    <row r="137" spans="1:46" s="81" customFormat="1" ht="36" customHeight="1" x14ac:dyDescent="0.2">
      <c r="A137" s="217"/>
      <c r="B137" s="369"/>
      <c r="C137" s="369"/>
      <c r="D137" s="369"/>
      <c r="E137" s="369"/>
      <c r="F137" s="369"/>
      <c r="G137" s="369"/>
      <c r="H137" s="369"/>
      <c r="I137" s="369"/>
      <c r="J137" s="172"/>
      <c r="K137" s="172"/>
      <c r="L137" s="172"/>
      <c r="M137" s="172"/>
      <c r="N137" s="172"/>
      <c r="O137" s="172"/>
      <c r="P137" s="172"/>
      <c r="Q137" s="172"/>
      <c r="R137" s="136"/>
      <c r="S137" s="172"/>
      <c r="T137" s="172"/>
      <c r="U137" s="172"/>
      <c r="V137" s="117"/>
      <c r="W137" s="137"/>
      <c r="X137" s="150"/>
      <c r="AD137" s="197"/>
      <c r="AE137" s="199"/>
      <c r="AF137" s="184"/>
      <c r="AG137" s="184"/>
      <c r="AH137" s="184"/>
      <c r="AJ137" s="184"/>
      <c r="AK137" s="161"/>
    </row>
    <row r="138" spans="1:46" s="81" customFormat="1" ht="44.25" customHeight="1" x14ac:dyDescent="0.2">
      <c r="A138" s="217"/>
      <c r="B138" s="369"/>
      <c r="C138" s="369"/>
      <c r="D138" s="369"/>
      <c r="E138" s="369"/>
      <c r="F138" s="369"/>
      <c r="G138" s="369"/>
      <c r="H138" s="369"/>
      <c r="I138" s="369"/>
      <c r="J138" s="172"/>
      <c r="K138" s="172"/>
      <c r="L138" s="172"/>
      <c r="M138" s="172"/>
      <c r="N138" s="172"/>
      <c r="O138" s="172"/>
      <c r="P138" s="172"/>
      <c r="Q138" s="172"/>
      <c r="R138" s="136"/>
      <c r="S138" s="172"/>
      <c r="T138" s="172"/>
      <c r="U138" s="172"/>
      <c r="V138" s="117"/>
      <c r="W138" s="137"/>
      <c r="X138" s="150"/>
      <c r="Z138" s="190"/>
      <c r="AE138" s="199"/>
      <c r="AF138" s="184"/>
      <c r="AG138" s="184"/>
      <c r="AH138" s="184"/>
      <c r="AJ138" s="184"/>
      <c r="AK138" s="161"/>
    </row>
    <row r="139" spans="1:46" s="81" customFormat="1" ht="36" customHeight="1" x14ac:dyDescent="0.2">
      <c r="A139" s="217"/>
      <c r="B139" s="369"/>
      <c r="C139" s="369"/>
      <c r="D139" s="369"/>
      <c r="E139" s="369"/>
      <c r="F139" s="369"/>
      <c r="G139" s="369"/>
      <c r="H139" s="369"/>
      <c r="I139" s="369"/>
      <c r="J139" s="172"/>
      <c r="K139" s="172"/>
      <c r="L139" s="172"/>
      <c r="M139" s="172"/>
      <c r="N139" s="172"/>
      <c r="O139" s="172"/>
      <c r="P139" s="172"/>
      <c r="Q139" s="172"/>
      <c r="R139" s="136"/>
      <c r="S139" s="172"/>
      <c r="T139" s="172"/>
      <c r="U139" s="172"/>
      <c r="V139" s="117"/>
      <c r="W139" s="137"/>
      <c r="X139" s="150"/>
      <c r="Z139" s="190"/>
      <c r="AE139" s="199"/>
      <c r="AF139" s="184"/>
      <c r="AG139" s="184"/>
      <c r="AH139" s="184"/>
      <c r="AJ139" s="184"/>
      <c r="AK139" s="161"/>
    </row>
    <row r="140" spans="1:46" s="81" customFormat="1" ht="7.5" customHeight="1" x14ac:dyDescent="0.2">
      <c r="A140" s="118"/>
      <c r="B140" s="17"/>
      <c r="C140" s="17"/>
      <c r="D140" s="16"/>
      <c r="E140" s="16"/>
      <c r="F140" s="16"/>
      <c r="G140" s="16"/>
      <c r="H140" s="16"/>
      <c r="I140" s="16"/>
      <c r="J140" s="12"/>
      <c r="K140" s="18"/>
      <c r="L140" s="18"/>
      <c r="M140" s="18"/>
      <c r="N140" s="18"/>
      <c r="O140" s="18"/>
      <c r="P140" s="18"/>
      <c r="Q140" s="18"/>
      <c r="R140" s="18"/>
      <c r="S140" s="18"/>
      <c r="T140" s="18"/>
      <c r="U140" s="19"/>
      <c r="V140" s="117"/>
      <c r="W140" s="137"/>
      <c r="X140" s="150"/>
      <c r="Z140" s="190"/>
      <c r="AJ140" s="184"/>
      <c r="AK140" s="157"/>
      <c r="AL140" s="74"/>
      <c r="AM140" s="74"/>
      <c r="AN140" s="74"/>
      <c r="AO140" s="74"/>
      <c r="AP140" s="74"/>
      <c r="AQ140" s="74"/>
      <c r="AR140" s="74"/>
    </row>
    <row r="141" spans="1:46" s="81" customFormat="1" ht="15" customHeight="1" x14ac:dyDescent="0.2">
      <c r="A141" s="1716"/>
      <c r="B141" s="1760"/>
      <c r="C141" s="1760"/>
      <c r="D141" s="1760"/>
      <c r="E141" s="1760"/>
      <c r="F141" s="1760"/>
      <c r="G141" s="1760"/>
      <c r="H141" s="1760"/>
      <c r="I141" s="1760"/>
      <c r="J141" s="1760"/>
      <c r="K141" s="1760"/>
      <c r="L141" s="1760"/>
      <c r="M141" s="1760"/>
      <c r="N141" s="1760"/>
      <c r="O141" s="1760"/>
      <c r="P141" s="1760"/>
      <c r="Q141" s="1760"/>
      <c r="R141" s="1760"/>
      <c r="S141" s="1760"/>
      <c r="T141" s="1760"/>
      <c r="U141" s="1760"/>
      <c r="V141" s="1761"/>
      <c r="W141" s="137"/>
      <c r="X141" s="150"/>
      <c r="AK141" s="161"/>
      <c r="AT141" s="74"/>
    </row>
    <row r="142" spans="1:46" s="81" customFormat="1" ht="11.25" customHeight="1" x14ac:dyDescent="0.2">
      <c r="A142" s="1765" t="str">
        <f>Home!$A$39</f>
        <v xml:space="preserve"> </v>
      </c>
      <c r="B142" s="1766"/>
      <c r="C142" s="1766"/>
      <c r="D142" s="1766"/>
      <c r="E142" s="1766"/>
      <c r="F142" s="1766"/>
      <c r="G142" s="1766"/>
      <c r="H142" s="1766"/>
      <c r="I142" s="1767"/>
      <c r="J142" s="1766"/>
      <c r="K142" s="1766"/>
      <c r="L142" s="1766"/>
      <c r="M142" s="1766"/>
      <c r="N142" s="1766"/>
      <c r="O142" s="1766"/>
      <c r="P142" s="1768"/>
      <c r="Q142" s="1766"/>
      <c r="R142" s="1766"/>
      <c r="S142" s="1766"/>
      <c r="T142" s="1767"/>
      <c r="U142" s="1766"/>
      <c r="V142" s="1769"/>
      <c r="W142" s="137"/>
      <c r="X142" s="150"/>
      <c r="AJ142" s="184"/>
      <c r="AK142" s="160"/>
      <c r="AL142" s="87"/>
      <c r="AT142" s="74"/>
    </row>
    <row r="143" spans="1:46" ht="11.25" customHeight="1" x14ac:dyDescent="0.2">
      <c r="A143" s="112"/>
      <c r="B143" s="113"/>
      <c r="C143" s="113"/>
      <c r="D143" s="113"/>
      <c r="E143" s="113"/>
      <c r="F143" s="113"/>
      <c r="G143" s="113"/>
      <c r="H143" s="113"/>
      <c r="I143" s="113"/>
      <c r="J143" s="114"/>
      <c r="K143" s="113"/>
      <c r="L143" s="113"/>
      <c r="M143" s="113"/>
      <c r="N143" s="113"/>
      <c r="O143" s="113"/>
      <c r="P143" s="113"/>
      <c r="Q143" s="113"/>
      <c r="R143" s="113"/>
      <c r="S143" s="113"/>
      <c r="T143" s="113"/>
      <c r="U143" s="113"/>
      <c r="V143" s="115"/>
      <c r="W143" s="137"/>
      <c r="X143" s="150"/>
      <c r="Y143" s="198" t="s">
        <v>139</v>
      </c>
      <c r="Z143" s="196"/>
      <c r="AA143" s="188"/>
      <c r="AJ143" s="184"/>
      <c r="AK143" s="157"/>
    </row>
    <row r="144" spans="1:46" s="76" customFormat="1" ht="15" customHeight="1" x14ac:dyDescent="0.2">
      <c r="A144" s="119"/>
      <c r="B144" s="1916" t="s">
        <v>691</v>
      </c>
      <c r="C144" s="1916"/>
      <c r="D144" s="1916"/>
      <c r="E144" s="1916"/>
      <c r="F144" s="1916"/>
      <c r="G144" s="1916"/>
      <c r="H144" s="1916"/>
      <c r="I144" s="1916"/>
      <c r="J144" s="70"/>
      <c r="K144" s="70"/>
      <c r="L144" s="70"/>
      <c r="M144" s="70"/>
      <c r="N144" s="359"/>
      <c r="O144" s="70"/>
      <c r="P144" s="70"/>
      <c r="Q144" s="70"/>
      <c r="R144" s="70"/>
      <c r="S144" s="70"/>
      <c r="T144" s="70"/>
      <c r="U144" s="70"/>
      <c r="V144" s="120"/>
      <c r="W144" s="138"/>
      <c r="X144" s="151"/>
      <c r="AE144" s="188"/>
      <c r="AF144" s="188"/>
      <c r="AG144" s="188"/>
      <c r="AH144" s="188"/>
      <c r="AI144" s="188"/>
      <c r="AJ144" s="188"/>
      <c r="AK144" s="158"/>
    </row>
    <row r="145" spans="1:45" ht="15" customHeight="1" x14ac:dyDescent="0.2">
      <c r="A145" s="118"/>
      <c r="B145" s="1916"/>
      <c r="C145" s="1916"/>
      <c r="D145" s="1916"/>
      <c r="E145" s="1916"/>
      <c r="F145" s="1916"/>
      <c r="G145" s="1916"/>
      <c r="H145" s="1916"/>
      <c r="I145" s="1916"/>
      <c r="J145" s="70"/>
      <c r="K145" s="70"/>
      <c r="L145" s="70"/>
      <c r="M145" s="70"/>
      <c r="N145" s="359"/>
      <c r="O145" s="70"/>
      <c r="P145" s="70"/>
      <c r="Q145" s="70"/>
      <c r="R145" s="10"/>
      <c r="S145" s="70"/>
      <c r="T145" s="70"/>
      <c r="U145" s="70"/>
      <c r="V145" s="117"/>
      <c r="W145" s="137"/>
      <c r="X145" s="150"/>
      <c r="Y145" s="192"/>
      <c r="Z145" s="428" t="e">
        <f>D147</f>
        <v>#N/A</v>
      </c>
      <c r="AA145" s="428" t="e">
        <f>E147</f>
        <v>#N/A</v>
      </c>
      <c r="AB145" s="428" t="e">
        <f>F147</f>
        <v>#N/A</v>
      </c>
      <c r="AC145" s="428" t="e">
        <f>G147</f>
        <v>#N/A</v>
      </c>
      <c r="AD145" s="428" t="e">
        <f>H147</f>
        <v>#N/A</v>
      </c>
      <c r="AJ145" s="184"/>
      <c r="AK145" s="157"/>
    </row>
    <row r="146" spans="1:45" ht="13.5" customHeight="1" x14ac:dyDescent="0.25">
      <c r="A146" s="278"/>
      <c r="B146" s="1771" t="s">
        <v>205</v>
      </c>
      <c r="C146" s="907"/>
      <c r="D146" s="789" t="str">
        <f>Sheet1!$D$27</f>
        <v>2015-16</v>
      </c>
      <c r="E146" s="790" t="str">
        <f>Sheet1!$E$27</f>
        <v>2016-17</v>
      </c>
      <c r="F146" s="790" t="str">
        <f>Sheet1!$F$27</f>
        <v>2017-18</v>
      </c>
      <c r="G146" s="790" t="str">
        <f>Sheet1!$G$27</f>
        <v>2018-19</v>
      </c>
      <c r="H146" s="791" t="str">
        <f>Sheet1!$H$27</f>
        <v>2019-20</v>
      </c>
      <c r="I146" s="916"/>
      <c r="J146" s="70"/>
      <c r="K146" s="70"/>
      <c r="L146" s="70"/>
      <c r="M146" s="70"/>
      <c r="N146" s="903"/>
      <c r="O146" s="70"/>
      <c r="P146" s="70"/>
      <c r="Q146" s="70"/>
      <c r="R146" s="10"/>
      <c r="S146" s="70"/>
      <c r="T146" s="70"/>
      <c r="U146" s="70"/>
      <c r="V146" s="117"/>
      <c r="W146" s="137"/>
      <c r="X146" s="150"/>
      <c r="Y146" s="427" t="str">
        <f t="shared" ref="Y146:Y169" si="32">B10</f>
        <v>Bracknell Forest</v>
      </c>
      <c r="Z146" s="100">
        <f>IF(Year1_Bracknell_Forest Year1_CP_Conference_within15days="","",Year1_Bracknell_Forest Year1_CP_Conference_within15days)</f>
        <v>105</v>
      </c>
      <c r="AA146" s="100">
        <f>IF(Year2_Bracknell_Forest Year2_CP_Conference_within15days="","",Year2_Bracknell_Forest Year2_CP_Conference_within15days)</f>
        <v>193</v>
      </c>
      <c r="AB146" s="100">
        <f>IF(Year3_Bracknell_Forest Year3_CP_Conference_within15days="","",Year3_Bracknell_Forest Year3_CP_Conference_within15days)</f>
        <v>194</v>
      </c>
      <c r="AC146" s="100">
        <f>IF(Year4_Bracknell_Forest Year4_CP_Conference_within15days="","",Year4_Bracknell_Forest Year4_CP_Conference_within15days)</f>
        <v>199</v>
      </c>
      <c r="AD146" s="589">
        <f>IF(Year5_Bracknell_Forest Year5_CP_Conference_within15days="","",Year5_Bracknell_Forest Year5_CP_Conference_within15days)</f>
        <v>199</v>
      </c>
      <c r="AJ146" s="184"/>
      <c r="AK146" s="157"/>
    </row>
    <row r="147" spans="1:45" s="87" customFormat="1" ht="13.5" customHeight="1" x14ac:dyDescent="0.2">
      <c r="A147" s="121"/>
      <c r="B147" s="1772"/>
      <c r="C147" s="85"/>
      <c r="D147" s="792" t="e">
        <f>Sheet1!$D$28</f>
        <v>#N/A</v>
      </c>
      <c r="E147" s="792" t="e">
        <f>Sheet1!$E$28</f>
        <v>#N/A</v>
      </c>
      <c r="F147" s="792" t="e">
        <f>Sheet1!$F$28</f>
        <v>#N/A</v>
      </c>
      <c r="G147" s="792" t="e">
        <f>Sheet1!$G$28</f>
        <v>#N/A</v>
      </c>
      <c r="H147" s="793" t="e">
        <f>Sheet1!$H$28</f>
        <v>#N/A</v>
      </c>
      <c r="I147" s="96"/>
      <c r="J147" s="96"/>
      <c r="K147" s="61"/>
      <c r="L147" s="61"/>
      <c r="M147" s="61"/>
      <c r="N147" s="61"/>
      <c r="O147" s="61"/>
      <c r="P147" s="61"/>
      <c r="Q147" s="365"/>
      <c r="R147" s="365"/>
      <c r="S147" s="159"/>
      <c r="T147" s="159"/>
      <c r="U147" s="366"/>
      <c r="V147" s="122"/>
      <c r="W147" s="139"/>
      <c r="X147" s="152"/>
      <c r="Y147" s="427" t="str">
        <f t="shared" si="32"/>
        <v>Brighton &amp; Hove</v>
      </c>
      <c r="Z147" s="100">
        <f>IF(Year1_Brighton_Hove Year1_CP_Conference_within15days="","",Year1_Brighton_Hove Year1_CP_Conference_within15days)</f>
        <v>346</v>
      </c>
      <c r="AA147" s="100">
        <f>IF(Year2_Brighton_Hove Year2_CP_Conference_within15days="","",Year2_Brighton_Hove Year2_CP_Conference_within15days)</f>
        <v>311</v>
      </c>
      <c r="AB147" s="100">
        <f>IF(Year3_Brighton_Hove Year3_CP_Conference_within15days="","",Year3_Brighton_Hove Year3_CP_Conference_within15days)</f>
        <v>420</v>
      </c>
      <c r="AC147" s="100">
        <f>IF(Year4_Brighton_Hove Year4_CP_Conference_within15days="","",Year4_Brighton_Hove Year4_CP_Conference_within15days)</f>
        <v>324</v>
      </c>
      <c r="AD147" s="589">
        <f>IF(Year5_Brighton_Hove Year5_CP_Conference_within15days="","",Year5_Brighton_Hove Year5_CP_Conference_within15days)</f>
        <v>418</v>
      </c>
      <c r="AE147" s="199"/>
      <c r="AF147" s="190"/>
      <c r="AG147" s="190"/>
      <c r="AH147" s="190"/>
      <c r="AI147" s="190"/>
      <c r="AJ147" s="202"/>
      <c r="AK147" s="160"/>
    </row>
    <row r="148" spans="1:45" s="87" customFormat="1" ht="12.75" customHeight="1" x14ac:dyDescent="0.2">
      <c r="A148" s="488">
        <f>VLOOKUP(B148,Sheet1!$AQ$4:$AR$25,2,FALSE)</f>
        <v>0</v>
      </c>
      <c r="B148" s="93" t="str">
        <f t="shared" ref="B148:B171" si="33">B10</f>
        <v>Bracknell Forest</v>
      </c>
      <c r="C148" s="85"/>
      <c r="D148" s="162">
        <f>IF(AND(ISNUMBER(D10),ISNUMBER(Z146)),Z146/D10,NA())</f>
        <v>0.66455696202531644</v>
      </c>
      <c r="E148" s="162">
        <f t="shared" ref="E148:H148" si="34">IF(AND(ISNUMBER(E10),ISNUMBER(AA146)),AA146/E10,NA())</f>
        <v>0.73946360153256707</v>
      </c>
      <c r="F148" s="162">
        <f t="shared" si="34"/>
        <v>0.82553191489361699</v>
      </c>
      <c r="G148" s="162">
        <f t="shared" si="34"/>
        <v>0.7865612648221344</v>
      </c>
      <c r="H148" s="164">
        <f t="shared" si="34"/>
        <v>0.77431906614785995</v>
      </c>
      <c r="I148" s="96"/>
      <c r="J148" s="96"/>
      <c r="K148" s="166"/>
      <c r="L148" s="166"/>
      <c r="M148" s="166"/>
      <c r="N148" s="166"/>
      <c r="O148" s="166"/>
      <c r="P148" s="166"/>
      <c r="Q148" s="166"/>
      <c r="R148" s="167"/>
      <c r="S148" s="159"/>
      <c r="T148" s="159"/>
      <c r="U148" s="166"/>
      <c r="V148" s="122"/>
      <c r="W148" s="139"/>
      <c r="X148" s="152"/>
      <c r="Y148" s="427" t="str">
        <f t="shared" si="32"/>
        <v>Buckinghamshire</v>
      </c>
      <c r="Z148" s="100">
        <f>IF(Year1_Buckinghamshire Year1_CP_Conference_within15days="","",Year1_Buckinghamshire Year1_CP_Conference_within15days)</f>
        <v>516</v>
      </c>
      <c r="AA148" s="100">
        <f>IF(Year2_Buckinghamshire Year2_CP_Conference_within15days="","",Year2_Buckinghamshire Year2_CP_Conference_within15days)</f>
        <v>603</v>
      </c>
      <c r="AB148" s="100">
        <f>IF(Year3_Buckinghamshire Year3_CP_Conference_within15days="","",Year3_Buckinghamshire Year3_CP_Conference_within15days)</f>
        <v>631</v>
      </c>
      <c r="AC148" s="100">
        <f>IF(Year4_Buckinghamshire Year4_CP_Conference_within15days="","",Year4_Buckinghamshire Year4_CP_Conference_within15days)</f>
        <v>586</v>
      </c>
      <c r="AD148" s="589">
        <f>IF(Year5_Buckinghamshire Year5_CP_Conference_within15days="","",Year5_Buckinghamshire Year5_CP_Conference_within15days)</f>
        <v>646</v>
      </c>
      <c r="AE148" s="199"/>
      <c r="AF148" s="190"/>
      <c r="AG148" s="190"/>
      <c r="AH148" s="190"/>
      <c r="AI148" s="190"/>
      <c r="AJ148" s="202"/>
      <c r="AK148" s="160"/>
    </row>
    <row r="149" spans="1:45" s="87" customFormat="1" ht="12.75" customHeight="1" x14ac:dyDescent="0.2">
      <c r="A149" s="488">
        <f>VLOOKUP(B149,Sheet1!$AQ$4:$AR$25,2,FALSE)</f>
        <v>0</v>
      </c>
      <c r="B149" s="93" t="str">
        <f t="shared" si="33"/>
        <v>Brighton &amp; Hove</v>
      </c>
      <c r="C149" s="85"/>
      <c r="D149" s="162">
        <f t="shared" ref="D149:D171" si="35">IF(AND(ISNUMBER(D11),ISNUMBER(Z147)),Z147/D11,NA())</f>
        <v>0.63602941176470584</v>
      </c>
      <c r="E149" s="162">
        <f t="shared" ref="E149:E171" si="36">IF(AND(ISNUMBER(E11),ISNUMBER(AA147)),AA147/E11,NA())</f>
        <v>0.66029723991507427</v>
      </c>
      <c r="F149" s="162">
        <f t="shared" ref="F149:F171" si="37">IF(AND(ISNUMBER(F11),ISNUMBER(AB147)),AB147/F11,NA())</f>
        <v>0.87318087318087323</v>
      </c>
      <c r="G149" s="162">
        <f t="shared" ref="G149:G171" si="38">IF(AND(ISNUMBER(G11),ISNUMBER(AC147)),AC147/G11,NA())</f>
        <v>0.82864450127877243</v>
      </c>
      <c r="H149" s="164">
        <f t="shared" ref="H149:H171" si="39">IF(AND(ISNUMBER(H11),ISNUMBER(AD147)),AD147/H11,NA())</f>
        <v>0.89699570815450647</v>
      </c>
      <c r="I149" s="96"/>
      <c r="J149" s="96"/>
      <c r="K149" s="166"/>
      <c r="L149" s="166"/>
      <c r="M149" s="166"/>
      <c r="N149" s="166"/>
      <c r="O149" s="166"/>
      <c r="P149" s="166"/>
      <c r="Q149" s="166"/>
      <c r="R149" s="167"/>
      <c r="S149" s="159"/>
      <c r="T149" s="159"/>
      <c r="U149" s="166"/>
      <c r="V149" s="122"/>
      <c r="W149" s="139"/>
      <c r="X149" s="152"/>
      <c r="Y149" s="427" t="str">
        <f t="shared" si="32"/>
        <v>East Sussex</v>
      </c>
      <c r="Z149" s="100">
        <f>IF(Year1_East_Sussex Year1_CP_Conference_within15days="","",Year1_East_Sussex Year1_CP_Conference_within15days)</f>
        <v>292</v>
      </c>
      <c r="AA149" s="100">
        <f>IF(Year2_East_Sussex Year2_CP_Conference_within15days="","",Year2_East_Sussex Year2_CP_Conference_within15days)</f>
        <v>375</v>
      </c>
      <c r="AB149" s="100">
        <f>IF(Year3_East_Sussex Year3_CP_Conference_within15days="","",Year3_East_Sussex Year3_CP_Conference_within15days)</f>
        <v>410</v>
      </c>
      <c r="AC149" s="100">
        <f>IF(Year4_East_Sussex Year4_CP_Conference_within15days="","",Year4_East_Sussex Year4_CP_Conference_within15days)</f>
        <v>539</v>
      </c>
      <c r="AD149" s="589">
        <f>IF(Year5_East_Sussex Year5_CP_Conference_within15days="","",Year5_East_Sussex Year5_CP_Conference_within15days)</f>
        <v>559</v>
      </c>
      <c r="AE149" s="199"/>
      <c r="AF149" s="190"/>
      <c r="AG149" s="190"/>
      <c r="AH149" s="190"/>
      <c r="AI149" s="190"/>
      <c r="AJ149" s="202"/>
      <c r="AK149" s="160"/>
    </row>
    <row r="150" spans="1:45" s="87" customFormat="1" ht="12.75" customHeight="1" x14ac:dyDescent="0.2">
      <c r="A150" s="488">
        <f>VLOOKUP(B150,Sheet1!$AQ$4:$AR$25,2,FALSE)</f>
        <v>0</v>
      </c>
      <c r="B150" s="93" t="str">
        <f t="shared" si="33"/>
        <v>Buckinghamshire</v>
      </c>
      <c r="C150" s="85"/>
      <c r="D150" s="162">
        <f t="shared" si="35"/>
        <v>0.68891855807743663</v>
      </c>
      <c r="E150" s="162">
        <f t="shared" si="36"/>
        <v>0.69630484988452657</v>
      </c>
      <c r="F150" s="162">
        <f t="shared" si="37"/>
        <v>0.73201856148491884</v>
      </c>
      <c r="G150" s="162">
        <f t="shared" si="38"/>
        <v>0.73525721455457971</v>
      </c>
      <c r="H150" s="164">
        <f t="shared" si="39"/>
        <v>0.7537922987164527</v>
      </c>
      <c r="I150" s="96"/>
      <c r="J150" s="96"/>
      <c r="K150" s="166"/>
      <c r="L150" s="166"/>
      <c r="M150" s="166"/>
      <c r="N150" s="166"/>
      <c r="O150" s="166"/>
      <c r="P150" s="166"/>
      <c r="Q150" s="166"/>
      <c r="R150" s="167"/>
      <c r="S150" s="159"/>
      <c r="T150" s="159"/>
      <c r="U150" s="166"/>
      <c r="V150" s="122"/>
      <c r="W150" s="139"/>
      <c r="X150" s="152"/>
      <c r="Y150" s="427" t="str">
        <f t="shared" si="32"/>
        <v>Hampshire</v>
      </c>
      <c r="Z150" s="100">
        <f>IF(Year1_Hampshire Year1_CP_Conference_within15days="","",Year1_Hampshire Year1_CP_Conference_within15days)</f>
        <v>1346</v>
      </c>
      <c r="AA150" s="100">
        <f>IF(Year2_Hampshire Year2_CP_Conference_within15days="","",Year2_Hampshire Year2_CP_Conference_within15days)</f>
        <v>1435</v>
      </c>
      <c r="AB150" s="603">
        <f>IF(Year3_Hampshire Year3_CP_Conference_within15days="","",Year3_Hampshire Year3_CP_Conference_within15days)</f>
        <v>1375</v>
      </c>
      <c r="AC150" s="603">
        <f>IF(Year4_Hampshire Year4_CP_Conference_within15days="","",Year4_Hampshire Year4_CP_Conference_within15days)</f>
        <v>1327</v>
      </c>
      <c r="AD150" s="589">
        <f>IF(Year5_Hampshire Year5_CP_Conference_within15days="","",Year5_Hampshire Year5_CP_Conference_within15days)</f>
        <v>1222</v>
      </c>
      <c r="AE150" s="199"/>
      <c r="AF150" s="190"/>
      <c r="AG150" s="190"/>
      <c r="AH150" s="190"/>
      <c r="AI150" s="190"/>
      <c r="AJ150" s="202"/>
      <c r="AK150" s="160"/>
    </row>
    <row r="151" spans="1:45" s="87" customFormat="1" ht="12.75" customHeight="1" x14ac:dyDescent="0.2">
      <c r="A151" s="488">
        <f>VLOOKUP(B151,Sheet1!$AQ$4:$AR$25,2,FALSE)</f>
        <v>0</v>
      </c>
      <c r="B151" s="93" t="str">
        <f t="shared" si="33"/>
        <v>East Sussex</v>
      </c>
      <c r="C151" s="85"/>
      <c r="D151" s="162">
        <f t="shared" si="35"/>
        <v>0.6045548654244306</v>
      </c>
      <c r="E151" s="162">
        <f t="shared" si="36"/>
        <v>0.59808612440191389</v>
      </c>
      <c r="F151" s="162">
        <f t="shared" si="37"/>
        <v>0.57665260196905765</v>
      </c>
      <c r="G151" s="162">
        <f t="shared" si="38"/>
        <v>0.75174337517433754</v>
      </c>
      <c r="H151" s="164">
        <f t="shared" si="39"/>
        <v>0.81368267831149932</v>
      </c>
      <c r="I151" s="96"/>
      <c r="J151" s="96"/>
      <c r="K151" s="166"/>
      <c r="L151" s="166"/>
      <c r="M151" s="166"/>
      <c r="N151" s="166"/>
      <c r="O151" s="166"/>
      <c r="P151" s="166"/>
      <c r="Q151" s="166"/>
      <c r="R151" s="167"/>
      <c r="S151" s="159"/>
      <c r="T151" s="159"/>
      <c r="U151" s="166"/>
      <c r="V151" s="122"/>
      <c r="W151" s="139"/>
      <c r="X151" s="152"/>
      <c r="Y151" s="427" t="str">
        <f t="shared" si="32"/>
        <v>Isle of Wight</v>
      </c>
      <c r="Z151" s="100">
        <f>IF(Year1_Isle_of_Wight Year1_CP_Conference_within15days="","",Year1_Isle_of_Wight Year1_CP_Conference_within15days)</f>
        <v>214</v>
      </c>
      <c r="AA151" s="100">
        <f>IF(Year2_Isle_of_Wight Year2_CP_Conference_within15days="","",Year2_Isle_of_Wight Year2_CP_Conference_within15days)</f>
        <v>218</v>
      </c>
      <c r="AB151" s="100">
        <f>IF(Year3_Isle_of_Wight Year3_CP_Conference_within15days="","",Year3_Isle_of_Wight Year3_CP_Conference_within15days)</f>
        <v>230</v>
      </c>
      <c r="AC151" s="100">
        <f>IF(Year4_Isle_of_Wight Year4_CP_Conference_within15days="","",Year4_Isle_of_Wight Year4_CP_Conference_within15days)</f>
        <v>187</v>
      </c>
      <c r="AD151" s="589">
        <f>IF(Year5_Isle_of_Wight Year5_CP_Conference_within15days="","",Year5_Isle_of_Wight Year5_CP_Conference_within15days)</f>
        <v>128</v>
      </c>
      <c r="AE151" s="199"/>
      <c r="AF151" s="190"/>
      <c r="AG151" s="190"/>
      <c r="AH151" s="190"/>
      <c r="AI151" s="190"/>
      <c r="AJ151" s="202"/>
      <c r="AK151" s="160"/>
    </row>
    <row r="152" spans="1:45" s="87" customFormat="1" ht="12.75" customHeight="1" x14ac:dyDescent="0.2">
      <c r="A152" s="488">
        <f>VLOOKUP(B152,Sheet1!$AQ$4:$AR$25,2,FALSE)</f>
        <v>0</v>
      </c>
      <c r="B152" s="93" t="str">
        <f t="shared" si="33"/>
        <v>Hampshire</v>
      </c>
      <c r="C152" s="85"/>
      <c r="D152" s="162">
        <f t="shared" si="35"/>
        <v>0.70842105263157895</v>
      </c>
      <c r="E152" s="162">
        <f t="shared" si="36"/>
        <v>0.76779026217228463</v>
      </c>
      <c r="F152" s="162">
        <f t="shared" si="37"/>
        <v>0.77073991031390132</v>
      </c>
      <c r="G152" s="162">
        <f t="shared" si="38"/>
        <v>0.7531214528944381</v>
      </c>
      <c r="H152" s="164">
        <f t="shared" si="39"/>
        <v>0.77097791798107251</v>
      </c>
      <c r="I152" s="96"/>
      <c r="J152" s="96"/>
      <c r="K152" s="166"/>
      <c r="L152" s="166"/>
      <c r="M152" s="166"/>
      <c r="N152" s="166"/>
      <c r="O152" s="166"/>
      <c r="P152" s="166"/>
      <c r="Q152" s="166"/>
      <c r="R152" s="167"/>
      <c r="S152" s="159"/>
      <c r="T152" s="159"/>
      <c r="U152" s="166"/>
      <c r="V152" s="122"/>
      <c r="W152" s="139"/>
      <c r="X152" s="152"/>
      <c r="Y152" s="427" t="str">
        <f t="shared" si="32"/>
        <v>Kent</v>
      </c>
      <c r="Z152" s="100">
        <f>IF(Year1_Kent Year1_CP_Conference_within15days="","",Year1_Kent Year1_CP_Conference_within15days)</f>
        <v>1285</v>
      </c>
      <c r="AA152" s="100">
        <f>IF(Year2_Kent Year2_CP_Conference_within15days="","",Year2_Kent Year2_CP_Conference_within15days)</f>
        <v>1260</v>
      </c>
      <c r="AB152" s="100">
        <f>IF(Year3_Kent Year3_CP_Conference_within15days="","",Year3_Kent Year3_CP_Conference_within15days)</f>
        <v>1320</v>
      </c>
      <c r="AC152" s="100">
        <f>IF(Year4_Kent Year4_CP_Conference_within15days="","",Year4_Kent Year4_CP_Conference_within15days)</f>
        <v>1377</v>
      </c>
      <c r="AD152" s="589">
        <f>IF(Year5_Kent Year5_CP_Conference_within15days="","",Year5_Kent Year5_CP_Conference_within15days)</f>
        <v>1479</v>
      </c>
      <c r="AE152" s="199"/>
      <c r="AF152" s="190"/>
      <c r="AG152" s="190"/>
      <c r="AH152" s="190"/>
      <c r="AI152" s="190"/>
      <c r="AJ152" s="202"/>
      <c r="AK152" s="160"/>
    </row>
    <row r="153" spans="1:45" s="87" customFormat="1" ht="12.75" customHeight="1" x14ac:dyDescent="0.2">
      <c r="A153" s="488">
        <f>VLOOKUP(B153,Sheet1!$AQ$4:$AR$25,2,FALSE)</f>
        <v>0</v>
      </c>
      <c r="B153" s="93" t="str">
        <f t="shared" si="33"/>
        <v>Isle of Wight</v>
      </c>
      <c r="C153" s="85"/>
      <c r="D153" s="162">
        <f t="shared" si="35"/>
        <v>0.57066666666666666</v>
      </c>
      <c r="E153" s="162">
        <f t="shared" si="36"/>
        <v>0.75694444444444442</v>
      </c>
      <c r="F153" s="162">
        <f t="shared" si="37"/>
        <v>0.8487084870848709</v>
      </c>
      <c r="G153" s="162">
        <f t="shared" si="38"/>
        <v>0.80952380952380953</v>
      </c>
      <c r="H153" s="164">
        <f t="shared" si="39"/>
        <v>0.83116883116883122</v>
      </c>
      <c r="I153" s="96"/>
      <c r="J153" s="96"/>
      <c r="K153" s="166"/>
      <c r="L153" s="166"/>
      <c r="M153" s="166"/>
      <c r="N153" s="166"/>
      <c r="O153" s="166"/>
      <c r="P153" s="166"/>
      <c r="Q153" s="166"/>
      <c r="R153" s="167"/>
      <c r="S153" s="159"/>
      <c r="T153" s="159"/>
      <c r="U153" s="166"/>
      <c r="V153" s="122"/>
      <c r="W153" s="139"/>
      <c r="X153" s="152"/>
      <c r="Y153" s="427" t="str">
        <f t="shared" si="32"/>
        <v>Medway</v>
      </c>
      <c r="Z153" s="100">
        <f>IF(Year1_Medway Year1_CP_Conference_within15days="","",Year1_Medway Year1_CP_Conference_within15days)</f>
        <v>539</v>
      </c>
      <c r="AA153" s="100">
        <f>IF(Year2_Medway Year2_CP_Conference_within15days="","",Year2_Medway Year2_CP_Conference_within15days)</f>
        <v>310</v>
      </c>
      <c r="AB153" s="100">
        <f>IF(Year3_Medway Year3_CP_Conference_within15days="","",Year3_Medway Year3_CP_Conference_within15days)</f>
        <v>353</v>
      </c>
      <c r="AC153" s="100">
        <f>IF(Year4_Medway Year4_CP_Conference_within15days="","",Year4_Medway Year4_CP_Conference_within15days)</f>
        <v>415</v>
      </c>
      <c r="AD153" s="589">
        <f>IF(Year5_Medway Year5_CP_Conference_within15days="","",Year5_Medway Year5_CP_Conference_within15days)</f>
        <v>493</v>
      </c>
      <c r="AE153" s="199"/>
      <c r="AF153" s="190"/>
      <c r="AG153" s="190"/>
      <c r="AH153" s="190"/>
      <c r="AI153" s="190"/>
      <c r="AJ153" s="202"/>
      <c r="AK153" s="160"/>
      <c r="AS153" s="87" t="s">
        <v>102</v>
      </c>
    </row>
    <row r="154" spans="1:45" s="87" customFormat="1" ht="12.75" customHeight="1" x14ac:dyDescent="0.2">
      <c r="A154" s="488">
        <f>VLOOKUP(B154,Sheet1!$AQ$4:$AR$25,2,FALSE)</f>
        <v>0</v>
      </c>
      <c r="B154" s="93" t="str">
        <f t="shared" si="33"/>
        <v>Kent</v>
      </c>
      <c r="C154" s="85"/>
      <c r="D154" s="162">
        <f t="shared" si="35"/>
        <v>0.82956746287927696</v>
      </c>
      <c r="E154" s="162">
        <f t="shared" si="36"/>
        <v>0.84337349397590367</v>
      </c>
      <c r="F154" s="162">
        <f t="shared" si="37"/>
        <v>0.74914869466515321</v>
      </c>
      <c r="G154" s="162">
        <f t="shared" si="38"/>
        <v>0.87539732994278452</v>
      </c>
      <c r="H154" s="164">
        <f t="shared" si="39"/>
        <v>0.86744868035190614</v>
      </c>
      <c r="I154" s="96"/>
      <c r="J154" s="96"/>
      <c r="K154" s="166"/>
      <c r="L154" s="166"/>
      <c r="M154" s="166"/>
      <c r="N154" s="166"/>
      <c r="O154" s="166"/>
      <c r="P154" s="166"/>
      <c r="Q154" s="166"/>
      <c r="R154" s="167"/>
      <c r="S154" s="159"/>
      <c r="T154" s="159"/>
      <c r="U154" s="166"/>
      <c r="V154" s="122"/>
      <c r="W154" s="139"/>
      <c r="X154" s="152"/>
      <c r="Y154" s="427" t="str">
        <f t="shared" si="32"/>
        <v>Milton Keynes</v>
      </c>
      <c r="Z154" s="100">
        <f>IF(Year1_Milton_Keynes Year1_CP_Conference_within15days="","",Year1_Milton_Keynes Year1_CP_Conference_within15days)</f>
        <v>112</v>
      </c>
      <c r="AA154" s="100">
        <f>IF(Year2_Milton_Keynes Year2_CP_Conference_within15days="","",Year2_Milton_Keynes Year2_CP_Conference_within15days)</f>
        <v>128</v>
      </c>
      <c r="AB154" s="100">
        <f>IF(Year3_Milton_Keynes Year3_CP_Conference_within15days="","",Year3_Milton_Keynes Year3_CP_Conference_within15days)</f>
        <v>166</v>
      </c>
      <c r="AC154" s="100">
        <f>IF(Year4_Milton_Keynes Year4_CP_Conference_within15days="","",Year4_Milton_Keynes Year4_CP_Conference_within15days)</f>
        <v>194</v>
      </c>
      <c r="AD154" s="589">
        <f>IF(Year5_Milton_Keynes Year5_CP_Conference_within15days="","",Year5_Milton_Keynes Year5_CP_Conference_within15days)</f>
        <v>239</v>
      </c>
      <c r="AE154" s="199"/>
      <c r="AF154" s="190"/>
      <c r="AG154" s="190"/>
      <c r="AH154" s="190"/>
      <c r="AI154" s="190"/>
      <c r="AJ154" s="202"/>
      <c r="AK154" s="160"/>
    </row>
    <row r="155" spans="1:45" s="87" customFormat="1" ht="12.75" customHeight="1" x14ac:dyDescent="0.2">
      <c r="A155" s="488">
        <f>VLOOKUP(B155,Sheet1!$AQ$4:$AR$25,2,FALSE)</f>
        <v>0</v>
      </c>
      <c r="B155" s="93" t="str">
        <f t="shared" si="33"/>
        <v>Medway</v>
      </c>
      <c r="C155" s="85"/>
      <c r="D155" s="162">
        <f t="shared" si="35"/>
        <v>0.88797364085667219</v>
      </c>
      <c r="E155" s="162">
        <f t="shared" si="36"/>
        <v>0.88319088319088324</v>
      </c>
      <c r="F155" s="162">
        <f t="shared" si="37"/>
        <v>0.87593052109181146</v>
      </c>
      <c r="G155" s="162">
        <f t="shared" si="38"/>
        <v>0.74909747292418771</v>
      </c>
      <c r="H155" s="164">
        <f t="shared" si="39"/>
        <v>0.73913043478260865</v>
      </c>
      <c r="I155" s="96"/>
      <c r="J155" s="96"/>
      <c r="K155" s="166"/>
      <c r="L155" s="166"/>
      <c r="M155" s="166"/>
      <c r="N155" s="166"/>
      <c r="O155" s="166"/>
      <c r="P155" s="166"/>
      <c r="Q155" s="166"/>
      <c r="R155" s="167"/>
      <c r="S155" s="159"/>
      <c r="T155" s="159"/>
      <c r="U155" s="166"/>
      <c r="V155" s="122"/>
      <c r="W155" s="139"/>
      <c r="X155" s="152"/>
      <c r="Y155" s="427" t="str">
        <f t="shared" si="32"/>
        <v>Oxfordshire</v>
      </c>
      <c r="Z155" s="100">
        <f>IF(Year1_Oxfordshire Year1_CP_Conference_within15days="","",Year1_Oxfordshire Year1_CP_Conference_within15days)</f>
        <v>637</v>
      </c>
      <c r="AA155" s="100">
        <f>IF(Year2_Oxfordshire Year2_CP_Conference_within15days="","",Year2_Oxfordshire Year2_CP_Conference_within15days)</f>
        <v>822</v>
      </c>
      <c r="AB155" s="100">
        <f>IF(Year3_Oxfordshire Year3_CP_Conference_within15days="","",Year3_Oxfordshire Year3_CP_Conference_within15days)</f>
        <v>781</v>
      </c>
      <c r="AC155" s="100">
        <f>IF(Year4_Oxfordshire Year4_CP_Conference_within15days="","",Year4_Oxfordshire Year4_CP_Conference_within15days)</f>
        <v>690</v>
      </c>
      <c r="AD155" s="589">
        <f>IF(Year5_Oxfordshire Year5_CP_Conference_within15days="","",Year5_Oxfordshire Year5_CP_Conference_within15days)</f>
        <v>676</v>
      </c>
      <c r="AE155" s="199"/>
      <c r="AF155" s="190"/>
      <c r="AG155" s="190"/>
      <c r="AH155" s="190"/>
      <c r="AI155" s="190"/>
      <c r="AJ155" s="202"/>
      <c r="AK155" s="160"/>
    </row>
    <row r="156" spans="1:45" s="87" customFormat="1" ht="12.75" customHeight="1" x14ac:dyDescent="0.2">
      <c r="A156" s="488">
        <f>VLOOKUP(B156,Sheet1!$AQ$4:$AR$25,2,FALSE)</f>
        <v>0</v>
      </c>
      <c r="B156" s="93" t="str">
        <f t="shared" si="33"/>
        <v>Milton Keynes</v>
      </c>
      <c r="C156" s="85"/>
      <c r="D156" s="162">
        <f t="shared" si="35"/>
        <v>0.93333333333333335</v>
      </c>
      <c r="E156" s="162">
        <f t="shared" si="36"/>
        <v>0.87074829931972786</v>
      </c>
      <c r="F156" s="162">
        <f t="shared" si="37"/>
        <v>0.94857142857142862</v>
      </c>
      <c r="G156" s="162">
        <f t="shared" si="38"/>
        <v>0.87387387387387383</v>
      </c>
      <c r="H156" s="164">
        <f t="shared" si="39"/>
        <v>0.90874524714828897</v>
      </c>
      <c r="I156" s="96"/>
      <c r="J156" s="96"/>
      <c r="K156" s="166"/>
      <c r="L156" s="166"/>
      <c r="M156" s="166"/>
      <c r="N156" s="166"/>
      <c r="O156" s="166"/>
      <c r="P156" s="166"/>
      <c r="Q156" s="166"/>
      <c r="R156" s="167"/>
      <c r="S156" s="159"/>
      <c r="T156" s="159"/>
      <c r="U156" s="166"/>
      <c r="V156" s="122"/>
      <c r="W156" s="139"/>
      <c r="X156" s="152"/>
      <c r="Y156" s="427" t="str">
        <f t="shared" si="32"/>
        <v>Portsmouth</v>
      </c>
      <c r="Z156" s="100">
        <f>IF(Year1_Portsmouth Year1_CP_Conference_within15days="","",Year1_Portsmouth Year1_CP_Conference_within15days)</f>
        <v>226</v>
      </c>
      <c r="AA156" s="100">
        <f>IF(Year2_Portsmouth Year2_CP_Conference_within15days="","",Year2_Portsmouth Year2_CP_Conference_within15days)</f>
        <v>232</v>
      </c>
      <c r="AB156" s="100">
        <f>IF(Year3_Portsmouth Year3_CP_Conference_within15days="","",Year3_Portsmouth Year3_CP_Conference_within15days)</f>
        <v>222</v>
      </c>
      <c r="AC156" s="100">
        <f>IF(Year4_Portsmouth Year4_CP_Conference_within15days="","",Year4_Portsmouth Year4_CP_Conference_within15days)</f>
        <v>237</v>
      </c>
      <c r="AD156" s="589">
        <f>IF(Year5_Portsmouth Year5_CP_Conference_within15days="","",Year5_Portsmouth Year5_CP_Conference_within15days)</f>
        <v>291</v>
      </c>
      <c r="AE156" s="199"/>
      <c r="AF156" s="190"/>
      <c r="AG156" s="190"/>
      <c r="AH156" s="190"/>
      <c r="AI156" s="190"/>
      <c r="AJ156" s="202"/>
      <c r="AK156" s="160"/>
    </row>
    <row r="157" spans="1:45" s="87" customFormat="1" ht="12.75" customHeight="1" x14ac:dyDescent="0.2">
      <c r="A157" s="488">
        <f>VLOOKUP(B157,Sheet1!$AQ$4:$AR$25,2,FALSE)</f>
        <v>0</v>
      </c>
      <c r="B157" s="93" t="str">
        <f t="shared" si="33"/>
        <v>Oxfordshire</v>
      </c>
      <c r="C157" s="85"/>
      <c r="D157" s="162">
        <f t="shared" si="35"/>
        <v>0.81876606683804631</v>
      </c>
      <c r="E157" s="162">
        <f t="shared" si="36"/>
        <v>0.89347826086956517</v>
      </c>
      <c r="F157" s="162">
        <f t="shared" si="37"/>
        <v>0.88952164009111623</v>
      </c>
      <c r="G157" s="162">
        <f t="shared" si="38"/>
        <v>0.81656804733727806</v>
      </c>
      <c r="H157" s="164">
        <f t="shared" si="39"/>
        <v>0.78060046189376442</v>
      </c>
      <c r="I157" s="96"/>
      <c r="J157" s="96"/>
      <c r="K157" s="166"/>
      <c r="L157" s="166"/>
      <c r="M157" s="166"/>
      <c r="N157" s="166"/>
      <c r="O157" s="166"/>
      <c r="P157" s="166"/>
      <c r="Q157" s="166"/>
      <c r="R157" s="167"/>
      <c r="S157" s="159"/>
      <c r="T157" s="159"/>
      <c r="U157" s="166"/>
      <c r="V157" s="122"/>
      <c r="W157" s="139"/>
      <c r="X157" s="152"/>
      <c r="Y157" s="427" t="str">
        <f t="shared" si="32"/>
        <v>Reading</v>
      </c>
      <c r="Z157" s="100">
        <f>IF(Year1_Reading Year1_CP_Conference_within15days="","",Year1_Reading Year1_CP_Conference_within15days)</f>
        <v>290</v>
      </c>
      <c r="AA157" s="100">
        <f>IF(Year2_Reading Year2_CP_Conference_within15days="","",Year2_Reading Year2_CP_Conference_within15days)</f>
        <v>447</v>
      </c>
      <c r="AB157" s="100">
        <f>IF(Year3_Reading Year3_CP_Conference_within15days="","",Year3_Reading Year3_CP_Conference_within15days)</f>
        <v>313</v>
      </c>
      <c r="AC157" s="100">
        <f>IF(Year4_Reading Year4_CP_Conference_within15days="","",Year4_Reading Year4_CP_Conference_within15days)</f>
        <v>256</v>
      </c>
      <c r="AD157" s="589">
        <f>IF(Year5_Reading Year5_CP_Conference_within15days="","",Year5_Reading Year5_CP_Conference_within15days)</f>
        <v>252</v>
      </c>
      <c r="AE157" s="199"/>
      <c r="AF157" s="190"/>
      <c r="AG157" s="190"/>
      <c r="AH157" s="190"/>
      <c r="AI157" s="190"/>
      <c r="AJ157" s="202"/>
      <c r="AK157" s="160"/>
    </row>
    <row r="158" spans="1:45" s="87" customFormat="1" ht="12.75" customHeight="1" x14ac:dyDescent="0.2">
      <c r="A158" s="488">
        <f>VLOOKUP(B158,Sheet1!$AQ$4:$AR$25,2,FALSE)</f>
        <v>0</v>
      </c>
      <c r="B158" s="93" t="str">
        <f t="shared" si="33"/>
        <v>Portsmouth</v>
      </c>
      <c r="C158" s="85"/>
      <c r="D158" s="162">
        <f t="shared" si="35"/>
        <v>0.67261904761904767</v>
      </c>
      <c r="E158" s="162">
        <f t="shared" si="36"/>
        <v>0.77591973244147161</v>
      </c>
      <c r="F158" s="162">
        <f t="shared" si="37"/>
        <v>0.71844660194174759</v>
      </c>
      <c r="G158" s="162">
        <f t="shared" si="38"/>
        <v>0.8172413793103448</v>
      </c>
      <c r="H158" s="164">
        <f t="shared" si="39"/>
        <v>0.86094674556213013</v>
      </c>
      <c r="I158" s="96"/>
      <c r="J158" s="96"/>
      <c r="K158" s="166"/>
      <c r="L158" s="166"/>
      <c r="M158" s="166"/>
      <c r="N158" s="166"/>
      <c r="O158" s="166"/>
      <c r="P158" s="166"/>
      <c r="Q158" s="166"/>
      <c r="R158" s="167"/>
      <c r="S158" s="159"/>
      <c r="T158" s="159"/>
      <c r="U158" s="166"/>
      <c r="V158" s="122"/>
      <c r="W158" s="139"/>
      <c r="X158" s="152"/>
      <c r="Y158" s="427" t="str">
        <f t="shared" si="32"/>
        <v>Slough</v>
      </c>
      <c r="Z158" s="100">
        <f>IF(Year1_Slough Year1_CP_Conference_within15days="","",Year1_Slough Year1_CP_Conference_within15days)</f>
        <v>286</v>
      </c>
      <c r="AA158" s="100">
        <f>IF(Year2_Slough Year2_CP_Conference_within15days="","",Year2_Slough Year2_CP_Conference_within15days)</f>
        <v>276</v>
      </c>
      <c r="AB158" s="100">
        <f>IF(Year3_Slough Year3_CP_Conference_within15days="","",Year3_Slough Year3_CP_Conference_within15days)</f>
        <v>207</v>
      </c>
      <c r="AC158" s="100">
        <f>IF(Year4_Slough Year4_CP_Conference_within15days="","",Year4_Slough Year4_CP_Conference_within15days)</f>
        <v>236</v>
      </c>
      <c r="AD158" s="589">
        <f>IF(Year5_Slough Year5_CP_Conference_within15days="","",Year5_Slough Year5_CP_Conference_within15days)</f>
        <v>156</v>
      </c>
      <c r="AE158" s="199"/>
      <c r="AF158" s="190"/>
      <c r="AG158" s="190"/>
      <c r="AH158" s="190"/>
      <c r="AI158" s="190"/>
      <c r="AJ158" s="202"/>
      <c r="AK158" s="160"/>
    </row>
    <row r="159" spans="1:45" s="87" customFormat="1" ht="12.75" customHeight="1" x14ac:dyDescent="0.2">
      <c r="A159" s="488">
        <f>VLOOKUP(B159,Sheet1!$AQ$4:$AR$25,2,FALSE)</f>
        <v>0</v>
      </c>
      <c r="B159" s="93" t="str">
        <f t="shared" si="33"/>
        <v>Reading</v>
      </c>
      <c r="C159" s="85"/>
      <c r="D159" s="162">
        <f t="shared" si="35"/>
        <v>0.67441860465116277</v>
      </c>
      <c r="E159" s="162">
        <f t="shared" si="36"/>
        <v>0.84659090909090906</v>
      </c>
      <c r="F159" s="162">
        <f t="shared" si="37"/>
        <v>0.75421686746987948</v>
      </c>
      <c r="G159" s="162">
        <f t="shared" si="38"/>
        <v>0.60377358490566035</v>
      </c>
      <c r="H159" s="164">
        <f t="shared" si="39"/>
        <v>0.78504672897196259</v>
      </c>
      <c r="I159" s="96"/>
      <c r="J159" s="96"/>
      <c r="K159" s="166"/>
      <c r="L159" s="166"/>
      <c r="M159" s="166"/>
      <c r="N159" s="166"/>
      <c r="O159" s="166"/>
      <c r="P159" s="166"/>
      <c r="Q159" s="166"/>
      <c r="R159" s="167"/>
      <c r="S159" s="159"/>
      <c r="T159" s="159"/>
      <c r="U159" s="166"/>
      <c r="V159" s="122"/>
      <c r="W159" s="139"/>
      <c r="X159" s="152"/>
      <c r="Y159" s="427" t="str">
        <f t="shared" si="32"/>
        <v>Somerset</v>
      </c>
      <c r="Z159" s="100">
        <f>IF(Year1_Somerset Year1_CP_Conference_within15days="","",Year1_Somerset Year1_CP_Conference_within15days)</f>
        <v>461</v>
      </c>
      <c r="AA159" s="100">
        <f>IF(Year2_Somerset Year2_CP_Conference_within15days="","",Year2_Somerset Year2_CP_Conference_within15days)</f>
        <v>622</v>
      </c>
      <c r="AB159" s="100">
        <f>IF(Year3_Somerset Year3_CP_Conference_within15days="","",Year3_Somerset Year3_CP_Conference_within15days)</f>
        <v>547</v>
      </c>
      <c r="AC159" s="100">
        <f>IF(Year4_Somerset Year4_CP_Conference_within15days="","",Year4_Somerset Year4_CP_Conference_within15days)</f>
        <v>476</v>
      </c>
      <c r="AD159" s="589">
        <f>IF(Year5_Somerset Year5_CP_Conference_within15days="","",Year5_Somerset Year5_CP_Conference_within15days)</f>
        <v>274</v>
      </c>
      <c r="AE159" s="199"/>
      <c r="AF159" s="190"/>
      <c r="AG159" s="190"/>
      <c r="AH159" s="190"/>
      <c r="AI159" s="190"/>
      <c r="AJ159" s="202"/>
      <c r="AK159" s="160"/>
    </row>
    <row r="160" spans="1:45" s="87" customFormat="1" ht="12.75" customHeight="1" x14ac:dyDescent="0.2">
      <c r="A160" s="488">
        <f>VLOOKUP(B160,Sheet1!$AQ$4:$AR$25,2,FALSE)</f>
        <v>0</v>
      </c>
      <c r="B160" s="93" t="str">
        <f t="shared" si="33"/>
        <v>Slough</v>
      </c>
      <c r="C160" s="85"/>
      <c r="D160" s="162">
        <f t="shared" si="35"/>
        <v>0.81481481481481477</v>
      </c>
      <c r="E160" s="162">
        <f t="shared" si="36"/>
        <v>0.81656804733727806</v>
      </c>
      <c r="F160" s="162">
        <f t="shared" si="37"/>
        <v>0.75547445255474455</v>
      </c>
      <c r="G160" s="162">
        <f t="shared" si="38"/>
        <v>0.68804664723032072</v>
      </c>
      <c r="H160" s="164">
        <f t="shared" si="39"/>
        <v>0.40206185567010311</v>
      </c>
      <c r="I160" s="96"/>
      <c r="J160" s="96"/>
      <c r="K160" s="166"/>
      <c r="L160" s="166"/>
      <c r="M160" s="166"/>
      <c r="N160" s="166"/>
      <c r="O160" s="166"/>
      <c r="P160" s="166"/>
      <c r="Q160" s="166"/>
      <c r="R160" s="167"/>
      <c r="S160" s="159"/>
      <c r="T160" s="159"/>
      <c r="U160" s="166"/>
      <c r="V160" s="122"/>
      <c r="W160" s="139"/>
      <c r="X160" s="152"/>
      <c r="Y160" s="427" t="str">
        <f t="shared" si="32"/>
        <v>Southampton</v>
      </c>
      <c r="Z160" s="100">
        <f>IF(Year1_Southampton Year1_CP_Conference_within15days="","",Year1_Southampton Year1_CP_Conference_within15days)</f>
        <v>343</v>
      </c>
      <c r="AA160" s="100">
        <f>IF(Year2_Southampton Year2_CP_Conference_within15days="","",Year2_Southampton Year2_CP_Conference_within15days)</f>
        <v>315</v>
      </c>
      <c r="AB160" s="100">
        <f>IF(Year3_Southampton Year3_CP_Conference_within15days="","",Year3_Southampton Year3_CP_Conference_within15days)</f>
        <v>380</v>
      </c>
      <c r="AC160" s="100">
        <f>IF(Year4_Southampton Year4_CP_Conference_within15days="","",Year4_Southampton Year4_CP_Conference_within15days)</f>
        <v>341</v>
      </c>
      <c r="AD160" s="589">
        <f>IF(Year5_Southampton Year5_CP_Conference_within15days="","",Year5_Southampton Year5_CP_Conference_within15days)</f>
        <v>390</v>
      </c>
      <c r="AE160" s="199"/>
      <c r="AF160" s="190"/>
      <c r="AG160" s="190"/>
      <c r="AH160" s="190"/>
      <c r="AI160" s="190"/>
      <c r="AJ160" s="202"/>
      <c r="AK160" s="160"/>
    </row>
    <row r="161" spans="1:44" s="87" customFormat="1" ht="12.75" customHeight="1" x14ac:dyDescent="0.2">
      <c r="A161" s="488">
        <f>VLOOKUP(B161,Sheet1!$AQ$4:$AR$25,2,FALSE)</f>
        <v>0</v>
      </c>
      <c r="B161" s="93" t="str">
        <f t="shared" si="33"/>
        <v>Somerset</v>
      </c>
      <c r="C161" s="85"/>
      <c r="D161" s="162">
        <f t="shared" si="35"/>
        <v>0.96443514644351469</v>
      </c>
      <c r="E161" s="162">
        <f t="shared" si="36"/>
        <v>0.94099848714069589</v>
      </c>
      <c r="F161" s="162">
        <f t="shared" si="37"/>
        <v>0.93344709897610922</v>
      </c>
      <c r="G161" s="162">
        <f t="shared" si="38"/>
        <v>0.92427184466019419</v>
      </c>
      <c r="H161" s="164">
        <f t="shared" si="39"/>
        <v>0.9072847682119205</v>
      </c>
      <c r="I161" s="96"/>
      <c r="J161" s="96"/>
      <c r="K161" s="166"/>
      <c r="L161" s="166"/>
      <c r="M161" s="166"/>
      <c r="N161" s="166"/>
      <c r="O161" s="166"/>
      <c r="P161" s="166"/>
      <c r="Q161" s="166"/>
      <c r="R161" s="167"/>
      <c r="S161" s="159"/>
      <c r="T161" s="159"/>
      <c r="U161" s="166"/>
      <c r="V161" s="122"/>
      <c r="W161" s="139"/>
      <c r="X161" s="152"/>
      <c r="Y161" s="427" t="str">
        <f t="shared" si="32"/>
        <v>Surrey</v>
      </c>
      <c r="Z161" s="100">
        <f>IF(Year1_Surrey Year1_CP_Conference_within15days="","",Year1_Surrey Year1_CP_Conference_within15days)</f>
        <v>810</v>
      </c>
      <c r="AA161" s="100">
        <f>IF(Year2_Surrey Year2_CP_Conference_within15days="","",Year2_Surrey Year2_CP_Conference_within15days)</f>
        <v>925</v>
      </c>
      <c r="AB161" s="100">
        <f>IF(Year3_Surrey Year3_CP_Conference_within15days="","",Year3_Surrey Year3_CP_Conference_within15days)</f>
        <v>764</v>
      </c>
      <c r="AC161" s="100">
        <f>IF(Year4_Surrey Year4_CP_Conference_within15days="","",Year4_Surrey Year4_CP_Conference_within15days)</f>
        <v>1174</v>
      </c>
      <c r="AD161" s="589">
        <f>IF(Year5_Surrey Year5_CP_Conference_within15days="","",Year5_Surrey Year5_CP_Conference_within15days)</f>
        <v>704</v>
      </c>
      <c r="AE161" s="199"/>
      <c r="AF161" s="190"/>
      <c r="AG161" s="190"/>
      <c r="AH161" s="190"/>
      <c r="AI161" s="190"/>
      <c r="AJ161" s="202"/>
      <c r="AK161" s="160"/>
    </row>
    <row r="162" spans="1:44" s="87" customFormat="1" ht="12.75" customHeight="1" x14ac:dyDescent="0.2">
      <c r="A162" s="488">
        <f>VLOOKUP(B162,Sheet1!$AQ$4:$AR$25,2,FALSE)</f>
        <v>0</v>
      </c>
      <c r="B162" s="93" t="str">
        <f t="shared" si="33"/>
        <v>Southampton</v>
      </c>
      <c r="C162" s="85"/>
      <c r="D162" s="162">
        <f t="shared" si="35"/>
        <v>0.61801801801801803</v>
      </c>
      <c r="E162" s="162">
        <f t="shared" si="36"/>
        <v>0.68034557235421167</v>
      </c>
      <c r="F162" s="162">
        <f t="shared" si="37"/>
        <v>0.73929961089494167</v>
      </c>
      <c r="G162" s="162">
        <f t="shared" si="38"/>
        <v>0.71189979123173275</v>
      </c>
      <c r="H162" s="164">
        <f t="shared" si="39"/>
        <v>0.55476529160739685</v>
      </c>
      <c r="I162" s="96"/>
      <c r="J162" s="96"/>
      <c r="K162" s="166"/>
      <c r="L162" s="166"/>
      <c r="M162" s="166"/>
      <c r="N162" s="166"/>
      <c r="O162" s="166"/>
      <c r="P162" s="166"/>
      <c r="Q162" s="166"/>
      <c r="R162" s="167"/>
      <c r="S162" s="159"/>
      <c r="T162" s="159"/>
      <c r="U162" s="166"/>
      <c r="V162" s="122"/>
      <c r="W162" s="139"/>
      <c r="X162" s="152"/>
      <c r="Y162" s="427" t="str">
        <f t="shared" si="32"/>
        <v>Swindon</v>
      </c>
      <c r="Z162" s="100">
        <f>IF(Year1_Swindon Year1_CP_Conference_within15days="","",Year1_Swindon Year1_CP_Conference_within15days)</f>
        <v>270</v>
      </c>
      <c r="AA162" s="100">
        <f>IF(Year2_Swindon Year2_CP_Conference_within15days="","",Year2_Swindon Year2_CP_Conference_within15days)</f>
        <v>253</v>
      </c>
      <c r="AB162" s="100">
        <f>IF(Year3_Swindon Year3_CP_Conference_within15days="","",Year3_Swindon Year3_CP_Conference_within15days)</f>
        <v>486</v>
      </c>
      <c r="AC162" s="100">
        <f>IF(Year4_Swindon Year4_CP_Conference_within15days="","",Year4_Swindon Year4_CP_Conference_within15days)</f>
        <v>339</v>
      </c>
      <c r="AD162" s="589">
        <f>IF(Year5_Swindon Year5_CP_Conference_within15days="","",Year5_Swindon Year5_CP_Conference_within15days)</f>
        <v>260</v>
      </c>
      <c r="AE162" s="199"/>
      <c r="AF162" s="190"/>
      <c r="AG162" s="190"/>
      <c r="AH162" s="190"/>
      <c r="AI162" s="190"/>
      <c r="AJ162" s="202"/>
      <c r="AK162" s="160"/>
    </row>
    <row r="163" spans="1:44" s="87" customFormat="1" ht="12.75" customHeight="1" x14ac:dyDescent="0.2">
      <c r="A163" s="488">
        <f>VLOOKUP(B163,Sheet1!$AQ$4:$AR$25,2,FALSE)</f>
        <v>0</v>
      </c>
      <c r="B163" s="93" t="str">
        <f t="shared" si="33"/>
        <v>Surrey</v>
      </c>
      <c r="C163" s="85"/>
      <c r="D163" s="162">
        <f t="shared" si="35"/>
        <v>0.66393442622950816</v>
      </c>
      <c r="E163" s="162">
        <f t="shared" si="36"/>
        <v>0.68417159763313606</v>
      </c>
      <c r="F163" s="162">
        <f t="shared" si="37"/>
        <v>0.51447811447811442</v>
      </c>
      <c r="G163" s="162">
        <f t="shared" si="38"/>
        <v>0.77903118779031189</v>
      </c>
      <c r="H163" s="164">
        <f t="shared" si="39"/>
        <v>0.82242990654205606</v>
      </c>
      <c r="I163" s="96"/>
      <c r="J163" s="96"/>
      <c r="K163" s="166"/>
      <c r="L163" s="166"/>
      <c r="M163" s="166"/>
      <c r="N163" s="166"/>
      <c r="O163" s="166"/>
      <c r="P163" s="166"/>
      <c r="Q163" s="166"/>
      <c r="R163" s="167"/>
      <c r="S163" s="159"/>
      <c r="T163" s="159"/>
      <c r="U163" s="166"/>
      <c r="V163" s="122"/>
      <c r="W163" s="139"/>
      <c r="X163" s="152"/>
      <c r="Y163" s="427" t="str">
        <f t="shared" si="32"/>
        <v>Torbay</v>
      </c>
      <c r="Z163" s="100">
        <f>IF(Year1_Torbay Year1_CP_Conference_within15days="","",Year1_Torbay Year1_CP_Conference_within15days)</f>
        <v>262</v>
      </c>
      <c r="AA163" s="100">
        <f>IF(Year2_Torbay Year2_CP_Conference_within15days="","",Year2_Torbay Year2_CP_Conference_within15days)</f>
        <v>326</v>
      </c>
      <c r="AB163" s="100">
        <f>IF(Year3_Torbay Year3_CP_Conference_within15days="","",Year3_Torbay Year3_CP_Conference_within15days)</f>
        <v>242</v>
      </c>
      <c r="AC163" s="100">
        <f>IF(Year4_Torbay Year4_CP_Conference_within15days="","",Year4_Torbay Year4_CP_Conference_within15days)</f>
        <v>225</v>
      </c>
      <c r="AD163" s="589">
        <f>IF(Year5_Torbay Year5_CP_Conference_within15days="","",Year5_Torbay Year5_CP_Conference_within15days)</f>
        <v>221</v>
      </c>
      <c r="AE163" s="199"/>
      <c r="AF163" s="190"/>
      <c r="AG163" s="190"/>
      <c r="AH163" s="190"/>
      <c r="AI163" s="190"/>
      <c r="AJ163" s="202"/>
      <c r="AK163" s="160"/>
    </row>
    <row r="164" spans="1:44" s="87" customFormat="1" ht="12.75" customHeight="1" x14ac:dyDescent="0.2">
      <c r="A164" s="488">
        <f>VLOOKUP(B164,Sheet1!$AQ$4:$AR$25,2,FALSE)</f>
        <v>0</v>
      </c>
      <c r="B164" s="93" t="str">
        <f t="shared" si="33"/>
        <v>Swindon</v>
      </c>
      <c r="C164" s="85"/>
      <c r="D164" s="162">
        <f t="shared" si="35"/>
        <v>0.78034682080924855</v>
      </c>
      <c r="E164" s="162">
        <f t="shared" si="36"/>
        <v>0.65374677002583981</v>
      </c>
      <c r="F164" s="162">
        <f t="shared" si="37"/>
        <v>0.84668989547038331</v>
      </c>
      <c r="G164" s="162">
        <f t="shared" si="38"/>
        <v>0.68484848484848482</v>
      </c>
      <c r="H164" s="164">
        <f t="shared" si="39"/>
        <v>0.93525179856115104</v>
      </c>
      <c r="I164" s="96"/>
      <c r="J164" s="96"/>
      <c r="K164" s="166"/>
      <c r="L164" s="166"/>
      <c r="M164" s="166"/>
      <c r="N164" s="166"/>
      <c r="O164" s="166"/>
      <c r="P164" s="166"/>
      <c r="Q164" s="166"/>
      <c r="R164" s="167"/>
      <c r="S164" s="159"/>
      <c r="T164" s="159"/>
      <c r="U164" s="166"/>
      <c r="V164" s="122"/>
      <c r="W164" s="139"/>
      <c r="X164" s="152"/>
      <c r="Y164" s="427" t="str">
        <f t="shared" si="32"/>
        <v>West Berkshire</v>
      </c>
      <c r="Z164" s="100">
        <f>IF(Year1_West_Berkshire Year1_CP_Conference_within15days="","",Year1_West_Berkshire Year1_CP_Conference_within15days)</f>
        <v>226</v>
      </c>
      <c r="AA164" s="100">
        <f>IF(Year2_West_Berkshire Year2_CP_Conference_within15days="","",Year2_West_Berkshire Year2_CP_Conference_within15days)</f>
        <v>240</v>
      </c>
      <c r="AB164" s="100">
        <f>IF(Year3_West_Berkshire Year3_CP_Conference_within15days="","",Year3_West_Berkshire Year3_CP_Conference_within15days)</f>
        <v>265</v>
      </c>
      <c r="AC164" s="100">
        <f>IF(Year4_West_Berkshire Year4_CP_Conference_within15days="","",Year4_West_Berkshire Year4_CP_Conference_within15days)</f>
        <v>249</v>
      </c>
      <c r="AD164" s="589">
        <f>IF(Year5_West_Berkshire Year5_CP_Conference_within15days="","",Year5_West_Berkshire Year5_CP_Conference_within15days)</f>
        <v>181</v>
      </c>
      <c r="AE164" s="199"/>
      <c r="AF164" s="190"/>
      <c r="AG164" s="190"/>
      <c r="AH164" s="190"/>
      <c r="AI164" s="190"/>
      <c r="AJ164" s="202"/>
      <c r="AK164" s="160"/>
    </row>
    <row r="165" spans="1:44" s="87" customFormat="1" ht="12.75" customHeight="1" x14ac:dyDescent="0.2">
      <c r="A165" s="488">
        <f>VLOOKUP(B165,Sheet1!$AQ$4:$AR$25,2,FALSE)</f>
        <v>0</v>
      </c>
      <c r="B165" s="93" t="str">
        <f t="shared" si="33"/>
        <v>Torbay</v>
      </c>
      <c r="C165" s="85"/>
      <c r="D165" s="162">
        <f t="shared" si="35"/>
        <v>0.80615384615384611</v>
      </c>
      <c r="E165" s="162">
        <f t="shared" si="36"/>
        <v>0.90055248618784534</v>
      </c>
      <c r="F165" s="162">
        <f t="shared" si="37"/>
        <v>0.66850828729281764</v>
      </c>
      <c r="G165" s="162">
        <f t="shared" si="38"/>
        <v>0.73289902280130292</v>
      </c>
      <c r="H165" s="164">
        <f t="shared" si="39"/>
        <v>0.71061093247588425</v>
      </c>
      <c r="I165" s="96"/>
      <c r="J165" s="96"/>
      <c r="K165" s="166"/>
      <c r="L165" s="166"/>
      <c r="M165" s="166"/>
      <c r="N165" s="166"/>
      <c r="O165" s="166"/>
      <c r="P165" s="166"/>
      <c r="Q165" s="166"/>
      <c r="R165" s="167"/>
      <c r="S165" s="159"/>
      <c r="T165" s="159"/>
      <c r="U165" s="166"/>
      <c r="V165" s="122"/>
      <c r="W165" s="139"/>
      <c r="X165" s="152"/>
      <c r="Y165" s="427" t="str">
        <f t="shared" si="32"/>
        <v>West Sussex</v>
      </c>
      <c r="Z165" s="100">
        <f>IF(Year1_West_Sussex Year1_CP_Conference_within15days="","",Year1_West_Sussex Year1_CP_Conference_within15days)</f>
        <v>355</v>
      </c>
      <c r="AA165" s="100">
        <f>IF(Year2_West_Sussex Year2_CP_Conference_within15days="","",Year2_West_Sussex Year2_CP_Conference_within15days)</f>
        <v>291</v>
      </c>
      <c r="AB165" s="100">
        <f>IF(Year3_West_Sussex Year3_CP_Conference_within15days="","",Year3_West_Sussex Year3_CP_Conference_within15days)</f>
        <v>918</v>
      </c>
      <c r="AC165" s="100">
        <f>IF(Year4_West_Sussex Year4_CP_Conference_within15days="","",Year4_West_Sussex Year4_CP_Conference_within15days)</f>
        <v>607</v>
      </c>
      <c r="AD165" s="589">
        <f>IF(Year5_West_Sussex Year5_CP_Conference_within15days="","",Year5_West_Sussex Year5_CP_Conference_within15days)</f>
        <v>817</v>
      </c>
      <c r="AE165" s="199"/>
      <c r="AF165" s="190"/>
      <c r="AG165" s="190"/>
      <c r="AH165" s="190"/>
      <c r="AI165" s="190"/>
      <c r="AJ165" s="202"/>
      <c r="AK165" s="160"/>
    </row>
    <row r="166" spans="1:44" s="87" customFormat="1" ht="12.75" customHeight="1" x14ac:dyDescent="0.2">
      <c r="A166" s="488">
        <f>VLOOKUP(B166,Sheet1!$AQ$4:$AR$25,2,FALSE)</f>
        <v>0</v>
      </c>
      <c r="B166" s="93" t="str">
        <f t="shared" si="33"/>
        <v>West Berkshire</v>
      </c>
      <c r="C166" s="85"/>
      <c r="D166" s="162">
        <f t="shared" si="35"/>
        <v>0.94166666666666665</v>
      </c>
      <c r="E166" s="162">
        <f t="shared" si="36"/>
        <v>0.967741935483871</v>
      </c>
      <c r="F166" s="162">
        <f t="shared" si="37"/>
        <v>0.96363636363636362</v>
      </c>
      <c r="G166" s="162">
        <f t="shared" si="38"/>
        <v>0.96138996138996136</v>
      </c>
      <c r="H166" s="164">
        <f t="shared" si="39"/>
        <v>0.84579439252336452</v>
      </c>
      <c r="I166" s="96"/>
      <c r="J166" s="96"/>
      <c r="K166" s="166"/>
      <c r="L166" s="166"/>
      <c r="M166" s="166"/>
      <c r="N166" s="166"/>
      <c r="O166" s="166"/>
      <c r="P166" s="166"/>
      <c r="Q166" s="166"/>
      <c r="R166" s="167"/>
      <c r="S166" s="159"/>
      <c r="T166" s="159"/>
      <c r="U166" s="166"/>
      <c r="V166" s="122"/>
      <c r="W166" s="139"/>
      <c r="X166" s="152"/>
      <c r="Y166" s="427" t="str">
        <f t="shared" si="32"/>
        <v>Windsor &amp; Maidenhead</v>
      </c>
      <c r="Z166" s="100">
        <f>IF(Year1_Windsor_Maidenhead Year1_CP_Conference_within15days="","",Year1_Windsor_Maidenhead Year1_CP_Conference_within15days)</f>
        <v>172</v>
      </c>
      <c r="AA166" s="100">
        <f>IF(Year2_Windsor_Maidenhead Year2_CP_Conference_within15days="","",Year2_Windsor_Maidenhead Year2_CP_Conference_within15days)</f>
        <v>161</v>
      </c>
      <c r="AB166" s="100">
        <f>IF(Year3_Windsor_Maidenhead Year3_CP_Conference_within15days="","",Year3_Windsor_Maidenhead Year3_CP_Conference_within15days)</f>
        <v>73</v>
      </c>
      <c r="AC166" s="100">
        <f>IF(Year4_Windsor_Maidenhead Year4_CP_Conference_within15days="","",Year4_Windsor_Maidenhead Year4_CP_Conference_within15days)</f>
        <v>78</v>
      </c>
      <c r="AD166" s="589">
        <f>IF(Year5_Windsor_Maidenhead Year5_CP_Conference_within15days="","",Year5_Windsor_Maidenhead Year5_CP_Conference_within15days)</f>
        <v>150</v>
      </c>
      <c r="AE166" s="199"/>
      <c r="AF166" s="202"/>
      <c r="AG166" s="190"/>
      <c r="AH166" s="190"/>
      <c r="AI166" s="190"/>
      <c r="AJ166" s="202"/>
      <c r="AK166" s="160"/>
    </row>
    <row r="167" spans="1:44" s="87" customFormat="1" ht="12.75" customHeight="1" x14ac:dyDescent="0.2">
      <c r="A167" s="488">
        <f>VLOOKUP(B167,Sheet1!$AQ$4:$AR$25,2,FALSE)</f>
        <v>0</v>
      </c>
      <c r="B167" s="93" t="str">
        <f t="shared" si="33"/>
        <v>West Sussex</v>
      </c>
      <c r="C167" s="85"/>
      <c r="D167" s="162">
        <f t="shared" si="35"/>
        <v>0.52906110283159469</v>
      </c>
      <c r="E167" s="162">
        <f t="shared" si="36"/>
        <v>0.42794117647058821</v>
      </c>
      <c r="F167" s="162">
        <f t="shared" si="37"/>
        <v>0.85078776645041709</v>
      </c>
      <c r="G167" s="162">
        <f t="shared" si="38"/>
        <v>0.69450800915331812</v>
      </c>
      <c r="H167" s="164">
        <f t="shared" si="39"/>
        <v>0.60970149253731343</v>
      </c>
      <c r="I167" s="96"/>
      <c r="J167" s="96"/>
      <c r="K167" s="166"/>
      <c r="L167" s="166"/>
      <c r="M167" s="166"/>
      <c r="N167" s="166"/>
      <c r="O167" s="166"/>
      <c r="P167" s="166"/>
      <c r="Q167" s="166"/>
      <c r="R167" s="167"/>
      <c r="S167" s="159"/>
      <c r="T167" s="159"/>
      <c r="U167" s="166"/>
      <c r="V167" s="122"/>
      <c r="W167" s="139"/>
      <c r="X167" s="152"/>
      <c r="Y167" s="427" t="str">
        <f t="shared" si="32"/>
        <v>Wokingham</v>
      </c>
      <c r="Z167" s="100">
        <f>IF(Year1_Wokingham Year1_CP_Conference_within15days="","",Year1_Wokingham Year1_CP_Conference_within15days)</f>
        <v>140</v>
      </c>
      <c r="AA167" s="100">
        <f>IF(Year2_Wokingham Year2_CP_Conference_within15days="","",Year2_Wokingham Year2_CP_Conference_within15days)</f>
        <v>71</v>
      </c>
      <c r="AB167" s="100">
        <f>IF(Year3_Wokingham Year3_CP_Conference_within15days="","",Year3_Wokingham Year3_CP_Conference_within15days)</f>
        <v>149</v>
      </c>
      <c r="AC167" s="100">
        <f>IF(Year4_Wokingham Year4_CP_Conference_within15days="","",Year4_Wokingham Year4_CP_Conference_within15days)</f>
        <v>168</v>
      </c>
      <c r="AD167" s="589">
        <f>IF(Year5_Wokingham Year5_CP_Conference_within15days="","",Year5_Wokingham Year5_CP_Conference_within15days)</f>
        <v>180</v>
      </c>
      <c r="AE167" s="199"/>
      <c r="AF167" s="202"/>
      <c r="AG167" s="190"/>
      <c r="AH167" s="190"/>
      <c r="AI167" s="190"/>
      <c r="AJ167" s="202"/>
      <c r="AK167" s="160"/>
    </row>
    <row r="168" spans="1:44" s="87" customFormat="1" ht="12.75" customHeight="1" x14ac:dyDescent="0.2">
      <c r="A168" s="488">
        <f>VLOOKUP(B168,Sheet1!$AQ$4:$AR$25,2,FALSE)</f>
        <v>0</v>
      </c>
      <c r="B168" s="93" t="str">
        <f t="shared" si="33"/>
        <v>Windsor &amp; Maidenhead</v>
      </c>
      <c r="C168" s="85"/>
      <c r="D168" s="162">
        <f t="shared" si="35"/>
        <v>0.86</v>
      </c>
      <c r="E168" s="162">
        <f t="shared" si="36"/>
        <v>0.82989690721649489</v>
      </c>
      <c r="F168" s="162">
        <f t="shared" si="37"/>
        <v>0.53284671532846717</v>
      </c>
      <c r="G168" s="162">
        <f t="shared" si="38"/>
        <v>0.64462809917355368</v>
      </c>
      <c r="H168" s="164">
        <f t="shared" si="39"/>
        <v>0.5791505791505791</v>
      </c>
      <c r="I168" s="96"/>
      <c r="J168" s="96"/>
      <c r="K168" s="166"/>
      <c r="L168" s="166"/>
      <c r="M168" s="166"/>
      <c r="N168" s="166"/>
      <c r="O168" s="166"/>
      <c r="P168" s="166"/>
      <c r="Q168" s="166"/>
      <c r="R168" s="167"/>
      <c r="S168" s="159"/>
      <c r="T168" s="159"/>
      <c r="U168" s="166"/>
      <c r="V168" s="122"/>
      <c r="W168" s="139"/>
      <c r="X168" s="152"/>
      <c r="Y168" s="427" t="str">
        <f t="shared" si="32"/>
        <v>South East</v>
      </c>
      <c r="Z168" s="100">
        <f>IF(Year1_SouthEast Year1_CP_Conference_within15days="","",Year1_SouthEast Year1_CP_Conference_within15days)</f>
        <v>8240</v>
      </c>
      <c r="AA168" s="100">
        <f>IF(Year2_SouthEast Year2_CP_Conference_within15days="","",Year2_SouthEast Year2_CP_Conference_within15days)</f>
        <v>8620</v>
      </c>
      <c r="AB168" s="100">
        <f>IF(Year3_SouthEast Year3_CP_Conference_within15days="","",Year3_SouthEast Year3_CP_Conference_within15days)</f>
        <v>9170</v>
      </c>
      <c r="AC168" s="100">
        <f>IF(Year4_SouthEast Year4_CP_Conference_within15days="","",Year4_SouthEast Year4_CP_Conference_within15days)</f>
        <v>9190</v>
      </c>
      <c r="AD168" s="589">
        <f>IF(Year5_SouthEast Year5_CP_Conference_within15days="","",Year5_SouthEast Year5_CP_Conference_within15days)</f>
        <v>9210</v>
      </c>
      <c r="AE168" s="199"/>
      <c r="AF168" s="202"/>
      <c r="AG168" s="202"/>
      <c r="AH168" s="202"/>
      <c r="AI168" s="190"/>
      <c r="AJ168" s="202"/>
      <c r="AK168" s="160"/>
    </row>
    <row r="169" spans="1:44" s="87" customFormat="1" ht="12.75" customHeight="1" x14ac:dyDescent="0.2">
      <c r="A169" s="488">
        <f>VLOOKUP(B169,Sheet1!$AQ$4:$AR$25,2,FALSE)</f>
        <v>0</v>
      </c>
      <c r="B169" s="93" t="str">
        <f t="shared" si="33"/>
        <v>Wokingham</v>
      </c>
      <c r="C169" s="85"/>
      <c r="D169" s="162">
        <f t="shared" si="35"/>
        <v>0.96551724137931039</v>
      </c>
      <c r="E169" s="162">
        <f t="shared" si="36"/>
        <v>0.797752808988764</v>
      </c>
      <c r="F169" s="162">
        <f t="shared" si="37"/>
        <v>0.82320441988950277</v>
      </c>
      <c r="G169" s="162">
        <f t="shared" si="38"/>
        <v>0.65625</v>
      </c>
      <c r="H169" s="164">
        <f t="shared" si="39"/>
        <v>0.87378640776699024</v>
      </c>
      <c r="I169" s="96"/>
      <c r="J169" s="96"/>
      <c r="K169" s="166"/>
      <c r="L169" s="166"/>
      <c r="M169" s="166"/>
      <c r="N169" s="166"/>
      <c r="O169" s="166"/>
      <c r="P169" s="166"/>
      <c r="Q169" s="166"/>
      <c r="R169" s="167"/>
      <c r="S169" s="159"/>
      <c r="T169" s="159"/>
      <c r="U169" s="166"/>
      <c r="V169" s="122"/>
      <c r="W169" s="139"/>
      <c r="X169" s="152"/>
      <c r="Y169" s="427" t="str">
        <f t="shared" si="32"/>
        <v>England</v>
      </c>
      <c r="Z169" s="626">
        <f>IF(Year1_England Year1_CP_Conference_within15days="","",Year1_England Year1_CP_Conference_within15days)</f>
        <v>56000</v>
      </c>
      <c r="AA169" s="626">
        <f>IF(Year2_England Year2_CP_Conference_within15days="","",Year2_England Year2_CP_Conference_within15days)</f>
        <v>59410</v>
      </c>
      <c r="AB169" s="626">
        <f>IF(Year3_England Year3_CP_Conference_within15days="","",Year3_England Year3_CP_Conference_within15days)</f>
        <v>61150</v>
      </c>
      <c r="AC169" s="626">
        <f>IF(Year4_England Year4_CP_Conference_within15days="","",Year4_England Year4_CP_Conference_within15days)</f>
        <v>60950</v>
      </c>
      <c r="AD169" s="627">
        <f>IF(Year5_England Year5_CP_Conference_within15days="","",Year5_England Year5_CP_Conference_within15days)</f>
        <v>60160</v>
      </c>
      <c r="AE169" s="199"/>
      <c r="AF169" s="202"/>
      <c r="AG169" s="202"/>
      <c r="AH169" s="202"/>
      <c r="AI169" s="190"/>
      <c r="AJ169" s="202"/>
      <c r="AK169" s="160"/>
    </row>
    <row r="170" spans="1:44" s="87" customFormat="1" ht="12.75" customHeight="1" x14ac:dyDescent="0.2">
      <c r="A170" s="121"/>
      <c r="B170" s="129" t="str">
        <f t="shared" si="33"/>
        <v>South East</v>
      </c>
      <c r="C170" s="85"/>
      <c r="D170" s="163">
        <f t="shared" si="35"/>
        <v>0.72217353198948286</v>
      </c>
      <c r="E170" s="163">
        <f t="shared" si="36"/>
        <v>0.75021758050478682</v>
      </c>
      <c r="F170" s="163">
        <f t="shared" si="37"/>
        <v>0.74979558462796403</v>
      </c>
      <c r="G170" s="163">
        <f t="shared" si="38"/>
        <v>0.77226890756302524</v>
      </c>
      <c r="H170" s="165">
        <f t="shared" si="39"/>
        <v>0.75927452596867273</v>
      </c>
      <c r="I170" s="96"/>
      <c r="J170" s="96"/>
      <c r="K170" s="168"/>
      <c r="L170" s="168"/>
      <c r="M170" s="168"/>
      <c r="N170" s="168"/>
      <c r="O170" s="168"/>
      <c r="P170" s="168"/>
      <c r="Q170" s="168"/>
      <c r="R170" s="169"/>
      <c r="S170" s="159"/>
      <c r="T170" s="159"/>
      <c r="U170" s="170"/>
      <c r="V170" s="122"/>
      <c r="W170" s="139"/>
      <c r="X170" s="152"/>
      <c r="Y170" s="349"/>
      <c r="Z170" s="350"/>
      <c r="AA170" s="196"/>
      <c r="AB170" s="196"/>
      <c r="AC170" s="197"/>
      <c r="AD170" s="197"/>
      <c r="AE170" s="199"/>
      <c r="AF170" s="202"/>
      <c r="AG170" s="202"/>
      <c r="AH170" s="202"/>
      <c r="AI170" s="190"/>
      <c r="AJ170" s="202"/>
      <c r="AK170" s="160"/>
    </row>
    <row r="171" spans="1:44" s="87" customFormat="1" ht="12.75" x14ac:dyDescent="0.2">
      <c r="A171" s="121"/>
      <c r="B171" s="329" t="str">
        <f t="shared" si="33"/>
        <v>England</v>
      </c>
      <c r="C171" s="85"/>
      <c r="D171" s="351">
        <f t="shared" si="35"/>
        <v>0.76659822039698833</v>
      </c>
      <c r="E171" s="351">
        <f t="shared" si="36"/>
        <v>0.77226049655531004</v>
      </c>
      <c r="F171" s="351">
        <f t="shared" si="37"/>
        <v>0.76947275701522588</v>
      </c>
      <c r="G171" s="351">
        <f t="shared" si="38"/>
        <v>0.7870609504132231</v>
      </c>
      <c r="H171" s="352">
        <f t="shared" si="39"/>
        <v>0.77655866787143413</v>
      </c>
      <c r="I171" s="96"/>
      <c r="J171" s="96"/>
      <c r="K171" s="168"/>
      <c r="L171" s="168"/>
      <c r="M171" s="168"/>
      <c r="N171" s="168"/>
      <c r="O171" s="168"/>
      <c r="P171" s="168"/>
      <c r="Q171" s="168"/>
      <c r="R171" s="169"/>
      <c r="S171" s="159"/>
      <c r="T171" s="159"/>
      <c r="U171" s="170"/>
      <c r="V171" s="122"/>
      <c r="W171" s="139"/>
      <c r="X171" s="152"/>
      <c r="Y171" s="81"/>
      <c r="Z171" s="81"/>
      <c r="AA171" s="196"/>
      <c r="AB171" s="196"/>
      <c r="AC171" s="197"/>
      <c r="AD171" s="197"/>
      <c r="AE171" s="199"/>
      <c r="AF171" s="202"/>
      <c r="AG171" s="202"/>
      <c r="AH171" s="202"/>
      <c r="AI171" s="190"/>
      <c r="AJ171" s="202"/>
      <c r="AK171" s="160"/>
    </row>
    <row r="172" spans="1:44" s="87" customFormat="1" ht="7.5" customHeight="1" x14ac:dyDescent="0.2">
      <c r="A172" s="292"/>
      <c r="B172" s="96"/>
      <c r="C172" s="96"/>
      <c r="D172" s="96"/>
      <c r="E172" s="96"/>
      <c r="F172" s="96"/>
      <c r="G172" s="96"/>
      <c r="H172" s="96"/>
      <c r="I172" s="96"/>
      <c r="J172" s="96"/>
      <c r="K172" s="168"/>
      <c r="L172" s="168"/>
      <c r="M172" s="168"/>
      <c r="N172" s="168"/>
      <c r="O172" s="168"/>
      <c r="P172" s="168"/>
      <c r="Q172" s="168"/>
      <c r="R172" s="169"/>
      <c r="S172" s="159"/>
      <c r="T172" s="159"/>
      <c r="U172" s="170"/>
      <c r="V172" s="122"/>
      <c r="W172" s="139"/>
      <c r="X172" s="152"/>
      <c r="Y172" s="81"/>
      <c r="Z172" s="81"/>
      <c r="AA172" s="196"/>
      <c r="AB172" s="196"/>
      <c r="AC172" s="197"/>
      <c r="AD172" s="197"/>
      <c r="AE172" s="199"/>
      <c r="AF172" s="202"/>
      <c r="AG172" s="202"/>
      <c r="AH172" s="202"/>
      <c r="AI172" s="190"/>
      <c r="AJ172" s="202"/>
      <c r="AK172" s="160"/>
    </row>
    <row r="173" spans="1:44" s="81" customFormat="1" ht="37.5" customHeight="1" x14ac:dyDescent="0.2">
      <c r="A173" s="217"/>
      <c r="B173" s="369"/>
      <c r="C173" s="369"/>
      <c r="D173" s="369"/>
      <c r="E173" s="369"/>
      <c r="F173" s="369"/>
      <c r="G173" s="369"/>
      <c r="H173" s="369"/>
      <c r="I173" s="369"/>
      <c r="J173" s="172"/>
      <c r="K173" s="172"/>
      <c r="L173" s="172"/>
      <c r="M173" s="172"/>
      <c r="N173" s="172"/>
      <c r="O173" s="172"/>
      <c r="P173" s="172"/>
      <c r="Q173" s="172"/>
      <c r="R173" s="136"/>
      <c r="S173" s="172"/>
      <c r="T173" s="172"/>
      <c r="U173" s="172"/>
      <c r="V173" s="117"/>
      <c r="W173" s="137"/>
      <c r="X173" s="150"/>
      <c r="AD173" s="197"/>
      <c r="AE173" s="199"/>
      <c r="AF173" s="184"/>
      <c r="AG173" s="184"/>
      <c r="AH173" s="184"/>
      <c r="AJ173" s="184"/>
      <c r="AK173" s="161"/>
    </row>
    <row r="174" spans="1:44" s="81" customFormat="1" ht="39" customHeight="1" x14ac:dyDescent="0.2">
      <c r="A174" s="217"/>
      <c r="B174" s="369"/>
      <c r="C174" s="369"/>
      <c r="D174" s="369"/>
      <c r="E174" s="369"/>
      <c r="F174" s="369"/>
      <c r="G174" s="369"/>
      <c r="H174" s="369"/>
      <c r="I174" s="369"/>
      <c r="J174" s="172"/>
      <c r="K174" s="172"/>
      <c r="L174" s="172"/>
      <c r="M174" s="172"/>
      <c r="N174" s="172"/>
      <c r="O174" s="172"/>
      <c r="P174" s="172"/>
      <c r="Q174" s="172"/>
      <c r="R174" s="136"/>
      <c r="S174" s="172"/>
      <c r="T174" s="172"/>
      <c r="U174" s="172"/>
      <c r="V174" s="117"/>
      <c r="W174" s="137"/>
      <c r="X174" s="150"/>
      <c r="Z174" s="190"/>
      <c r="AE174" s="199"/>
      <c r="AF174" s="184"/>
      <c r="AG174" s="184"/>
      <c r="AH174" s="184"/>
      <c r="AJ174" s="184"/>
      <c r="AK174" s="161"/>
    </row>
    <row r="175" spans="1:44" s="81" customFormat="1" ht="39" customHeight="1" x14ac:dyDescent="0.2">
      <c r="A175" s="217"/>
      <c r="B175" s="369"/>
      <c r="C175" s="369"/>
      <c r="D175" s="369"/>
      <c r="E175" s="369"/>
      <c r="F175" s="369"/>
      <c r="G175" s="369"/>
      <c r="H175" s="369"/>
      <c r="I175" s="369"/>
      <c r="J175" s="172"/>
      <c r="K175" s="172"/>
      <c r="L175" s="172"/>
      <c r="M175" s="172"/>
      <c r="N175" s="172"/>
      <c r="O175" s="172"/>
      <c r="P175" s="172"/>
      <c r="Q175" s="172"/>
      <c r="R175" s="136"/>
      <c r="S175" s="172"/>
      <c r="T175" s="172"/>
      <c r="U175" s="172"/>
      <c r="V175" s="117"/>
      <c r="W175" s="137"/>
      <c r="X175" s="150"/>
      <c r="Z175" s="190"/>
      <c r="AE175" s="199"/>
      <c r="AF175" s="184"/>
      <c r="AG175" s="184"/>
      <c r="AH175" s="184"/>
      <c r="AJ175" s="184"/>
      <c r="AK175" s="161"/>
    </row>
    <row r="176" spans="1:44" s="81" customFormat="1" ht="7.5" customHeight="1" x14ac:dyDescent="0.2">
      <c r="A176" s="118"/>
      <c r="B176" s="17"/>
      <c r="C176" s="17"/>
      <c r="D176" s="16"/>
      <c r="E176" s="16"/>
      <c r="F176" s="16"/>
      <c r="G176" s="16"/>
      <c r="H176" s="16"/>
      <c r="I176" s="16"/>
      <c r="J176" s="12"/>
      <c r="K176" s="18"/>
      <c r="L176" s="18"/>
      <c r="M176" s="18"/>
      <c r="N176" s="18"/>
      <c r="O176" s="18"/>
      <c r="P176" s="18"/>
      <c r="Q176" s="18"/>
      <c r="R176" s="18"/>
      <c r="S176" s="18"/>
      <c r="T176" s="18"/>
      <c r="U176" s="19"/>
      <c r="V176" s="117"/>
      <c r="W176" s="137"/>
      <c r="X176" s="150"/>
      <c r="Z176" s="190"/>
      <c r="AJ176" s="184"/>
      <c r="AK176" s="157"/>
      <c r="AL176" s="74"/>
      <c r="AM176" s="74"/>
      <c r="AN176" s="74"/>
      <c r="AO176" s="74"/>
      <c r="AP176" s="74"/>
      <c r="AQ176" s="74"/>
      <c r="AR176" s="74"/>
    </row>
    <row r="177" spans="1:66" s="81" customFormat="1" ht="15" customHeight="1" x14ac:dyDescent="0.2">
      <c r="A177" s="1716"/>
      <c r="B177" s="1760"/>
      <c r="C177" s="1760"/>
      <c r="D177" s="1760"/>
      <c r="E177" s="1760"/>
      <c r="F177" s="1760"/>
      <c r="G177" s="1760"/>
      <c r="H177" s="1760"/>
      <c r="I177" s="1760"/>
      <c r="J177" s="1760"/>
      <c r="K177" s="1760"/>
      <c r="L177" s="1760"/>
      <c r="M177" s="1760"/>
      <c r="N177" s="1760"/>
      <c r="O177" s="1760"/>
      <c r="P177" s="1760"/>
      <c r="Q177" s="1760"/>
      <c r="R177" s="1760"/>
      <c r="S177" s="1760"/>
      <c r="T177" s="1760"/>
      <c r="U177" s="1760"/>
      <c r="V177" s="1761"/>
      <c r="W177" s="137"/>
      <c r="X177" s="150"/>
      <c r="AK177" s="161"/>
      <c r="AT177" s="74"/>
    </row>
    <row r="178" spans="1:66" s="81" customFormat="1" ht="11.25" customHeight="1" x14ac:dyDescent="0.2">
      <c r="A178" s="1765" t="str">
        <f>Home!$A$39</f>
        <v xml:space="preserve"> </v>
      </c>
      <c r="B178" s="1766"/>
      <c r="C178" s="1766"/>
      <c r="D178" s="1766"/>
      <c r="E178" s="1766"/>
      <c r="F178" s="1766"/>
      <c r="G178" s="1766"/>
      <c r="H178" s="1766"/>
      <c r="I178" s="1767"/>
      <c r="J178" s="1766"/>
      <c r="K178" s="1766"/>
      <c r="L178" s="1766"/>
      <c r="M178" s="1766"/>
      <c r="N178" s="1766"/>
      <c r="O178" s="1766"/>
      <c r="P178" s="1768"/>
      <c r="Q178" s="1766"/>
      <c r="R178" s="1766"/>
      <c r="S178" s="1766"/>
      <c r="T178" s="1767"/>
      <c r="U178" s="1766"/>
      <c r="V178" s="1769"/>
      <c r="W178" s="137"/>
      <c r="X178" s="150"/>
      <c r="AJ178" s="184"/>
      <c r="AK178" s="160"/>
      <c r="AL178" s="87"/>
      <c r="AT178" s="74"/>
    </row>
    <row r="179" spans="1:66" ht="11.25" customHeight="1" x14ac:dyDescent="0.2">
      <c r="A179" s="142"/>
      <c r="B179" s="9"/>
      <c r="C179" s="9"/>
      <c r="D179" s="9"/>
      <c r="E179" s="9"/>
      <c r="F179" s="58"/>
      <c r="G179" s="58"/>
      <c r="H179" s="58"/>
      <c r="I179" s="58"/>
      <c r="J179" s="114"/>
      <c r="K179" s="113"/>
      <c r="L179" s="113"/>
      <c r="M179" s="113"/>
      <c r="N179" s="113"/>
      <c r="O179" s="113"/>
      <c r="P179" s="113"/>
      <c r="Q179" s="113"/>
      <c r="R179" s="113"/>
      <c r="S179" s="113"/>
      <c r="T179" s="113"/>
      <c r="U179" s="113"/>
      <c r="V179" s="113"/>
      <c r="W179" s="137"/>
      <c r="X179" s="150"/>
      <c r="AJ179" s="81"/>
      <c r="AK179" s="160"/>
      <c r="AL179" s="87"/>
      <c r="AM179" s="81"/>
      <c r="AN179" s="81"/>
      <c r="AO179" s="81"/>
      <c r="AP179" s="81"/>
      <c r="AQ179" s="81"/>
      <c r="AR179" s="81"/>
      <c r="AS179" s="81"/>
      <c r="AU179" s="81"/>
      <c r="AV179" s="81"/>
      <c r="AW179" s="81"/>
      <c r="AX179" s="81"/>
      <c r="AY179" s="81"/>
      <c r="AZ179" s="81"/>
      <c r="BA179" s="81"/>
      <c r="BB179" s="81"/>
      <c r="BC179" s="81"/>
      <c r="BD179" s="81"/>
      <c r="BE179" s="81"/>
      <c r="BF179" s="81"/>
      <c r="BG179" s="81"/>
      <c r="BH179" s="81"/>
      <c r="BI179" s="81"/>
      <c r="BJ179" s="81"/>
      <c r="BK179" s="81"/>
      <c r="BL179" s="81"/>
      <c r="BM179" s="81"/>
      <c r="BN179" s="81"/>
    </row>
    <row r="180" spans="1:66" ht="11.25" customHeight="1" x14ac:dyDescent="0.2">
      <c r="A180" s="142"/>
      <c r="B180" s="1685" t="s">
        <v>82</v>
      </c>
      <c r="C180" s="1685"/>
      <c r="D180" s="1685"/>
      <c r="E180" s="1685"/>
      <c r="F180" s="1685"/>
      <c r="G180" s="1685"/>
      <c r="H180" s="1685"/>
      <c r="I180" s="1685"/>
      <c r="J180" s="12"/>
      <c r="K180" s="9"/>
      <c r="L180" s="9"/>
      <c r="M180" s="9"/>
      <c r="N180" s="9"/>
      <c r="O180" s="9"/>
      <c r="P180" s="9"/>
      <c r="Q180" s="9"/>
      <c r="R180" s="9"/>
      <c r="S180" s="9"/>
      <c r="T180" s="9"/>
      <c r="U180" s="9"/>
      <c r="V180" s="9"/>
      <c r="W180" s="137"/>
      <c r="X180" s="150"/>
      <c r="AJ180" s="81"/>
      <c r="AK180" s="160"/>
      <c r="AL180" s="87"/>
      <c r="AM180" s="81"/>
      <c r="AN180" s="81"/>
      <c r="AO180" s="81"/>
      <c r="AP180" s="81"/>
      <c r="AQ180" s="81"/>
      <c r="AR180" s="81"/>
      <c r="AS180" s="81"/>
      <c r="AU180" s="81"/>
      <c r="AV180" s="81"/>
      <c r="AW180" s="81"/>
      <c r="AX180" s="81"/>
      <c r="AY180" s="81"/>
      <c r="AZ180" s="81"/>
      <c r="BA180" s="81"/>
      <c r="BB180" s="81"/>
      <c r="BC180" s="81"/>
      <c r="BD180" s="81"/>
    </row>
    <row r="181" spans="1:66" ht="11.25" customHeight="1" x14ac:dyDescent="0.2">
      <c r="A181" s="142"/>
      <c r="B181" s="1685"/>
      <c r="C181" s="1685"/>
      <c r="D181" s="1685"/>
      <c r="E181" s="1685"/>
      <c r="F181" s="1685"/>
      <c r="G181" s="1685"/>
      <c r="H181" s="1685"/>
      <c r="I181" s="1685"/>
      <c r="J181" s="12"/>
      <c r="K181" s="9"/>
      <c r="L181" s="9"/>
      <c r="M181" s="9"/>
      <c r="N181" s="9"/>
      <c r="O181" s="9"/>
      <c r="P181" s="9"/>
      <c r="Q181" s="9"/>
      <c r="R181" s="9"/>
      <c r="S181" s="9"/>
      <c r="T181" s="9"/>
      <c r="U181" s="9"/>
      <c r="V181" s="9"/>
      <c r="W181" s="137"/>
      <c r="X181" s="150"/>
      <c r="AJ181" s="81"/>
      <c r="AK181" s="160"/>
      <c r="AL181" s="87"/>
      <c r="AM181" s="81"/>
      <c r="AN181" s="81"/>
      <c r="AO181" s="81"/>
      <c r="AP181" s="81"/>
      <c r="AQ181" s="81"/>
      <c r="AR181" s="81"/>
      <c r="AS181" s="81"/>
      <c r="AU181" s="81"/>
      <c r="AV181" s="81"/>
      <c r="AW181" s="81"/>
      <c r="AX181" s="81"/>
      <c r="AY181" s="81"/>
      <c r="AZ181" s="81"/>
      <c r="BA181" s="81"/>
      <c r="BB181" s="81"/>
      <c r="BC181" s="81"/>
      <c r="BD181" s="81"/>
    </row>
    <row r="182" spans="1:66" ht="11.25" customHeight="1" x14ac:dyDescent="0.2">
      <c r="A182" s="142"/>
      <c r="B182" s="1680" t="s">
        <v>800</v>
      </c>
      <c r="C182" s="1680"/>
      <c r="D182" s="1680"/>
      <c r="E182" s="1680"/>
      <c r="F182" s="1680"/>
      <c r="G182" s="1680"/>
      <c r="H182" s="1680"/>
      <c r="I182" s="1680"/>
      <c r="J182" s="12"/>
      <c r="K182" s="9"/>
      <c r="L182" s="9"/>
      <c r="M182" s="9"/>
      <c r="N182" s="9"/>
      <c r="O182" s="9"/>
      <c r="P182" s="9"/>
      <c r="Q182" s="9"/>
      <c r="R182" s="9"/>
      <c r="S182" s="9"/>
      <c r="T182" s="9"/>
      <c r="U182" s="9"/>
      <c r="V182" s="9"/>
      <c r="W182" s="137"/>
      <c r="X182" s="150"/>
      <c r="AJ182" s="81"/>
      <c r="AK182" s="160"/>
      <c r="AL182" s="87"/>
      <c r="AM182" s="81"/>
      <c r="AN182" s="81"/>
      <c r="AO182" s="81"/>
      <c r="AP182" s="81"/>
      <c r="AQ182" s="81"/>
      <c r="AR182" s="81"/>
      <c r="AS182" s="81"/>
      <c r="AU182" s="81"/>
      <c r="AV182" s="81"/>
      <c r="AW182" s="81"/>
      <c r="AX182" s="81"/>
      <c r="AY182" s="81"/>
      <c r="AZ182" s="81"/>
      <c r="BA182" s="81"/>
      <c r="BB182" s="81"/>
      <c r="BC182" s="81"/>
      <c r="BD182" s="81"/>
    </row>
    <row r="183" spans="1:66" ht="11.25" customHeight="1" x14ac:dyDescent="0.2">
      <c r="A183" s="142"/>
      <c r="B183" s="1680"/>
      <c r="C183" s="1680"/>
      <c r="D183" s="1680"/>
      <c r="E183" s="1680"/>
      <c r="F183" s="1680"/>
      <c r="G183" s="1680"/>
      <c r="H183" s="1680"/>
      <c r="I183" s="1680"/>
      <c r="J183" s="12"/>
      <c r="K183" s="9"/>
      <c r="L183" s="9"/>
      <c r="M183" s="9"/>
      <c r="N183" s="9"/>
      <c r="O183" s="9"/>
      <c r="P183" s="9"/>
      <c r="Q183" s="9"/>
      <c r="R183" s="9"/>
      <c r="S183" s="9"/>
      <c r="T183" s="9"/>
      <c r="U183" s="9"/>
      <c r="V183" s="9"/>
      <c r="W183" s="137"/>
      <c r="X183" s="150"/>
      <c r="AJ183" s="81"/>
      <c r="AK183" s="160"/>
      <c r="AL183" s="87"/>
      <c r="AM183" s="81"/>
      <c r="AN183" s="81"/>
      <c r="AO183" s="81"/>
      <c r="AP183" s="81"/>
      <c r="AQ183" s="81"/>
      <c r="AR183" s="81"/>
      <c r="AS183" s="81"/>
      <c r="AU183" s="81"/>
      <c r="AV183" s="81"/>
      <c r="AW183" s="81"/>
      <c r="AX183" s="81"/>
      <c r="AY183" s="81"/>
      <c r="AZ183" s="81"/>
      <c r="BA183" s="81"/>
      <c r="BB183" s="81"/>
      <c r="BC183" s="81"/>
      <c r="BD183" s="81"/>
    </row>
    <row r="184" spans="1:66" s="76" customFormat="1" ht="11.25" hidden="1" customHeight="1" x14ac:dyDescent="0.2">
      <c r="A184" s="142"/>
      <c r="B184" s="1680" t="s">
        <v>81</v>
      </c>
      <c r="C184" s="1680"/>
      <c r="D184" s="1680"/>
      <c r="E184" s="1680"/>
      <c r="F184" s="1680"/>
      <c r="G184" s="1680"/>
      <c r="H184" s="1680"/>
      <c r="I184" s="1680"/>
      <c r="J184" s="14"/>
      <c r="K184" s="14"/>
      <c r="L184" s="14"/>
      <c r="M184" s="14"/>
      <c r="N184" s="14"/>
      <c r="O184" s="14"/>
      <c r="P184" s="14"/>
      <c r="Q184" s="14"/>
      <c r="R184" s="14"/>
      <c r="S184" s="14"/>
      <c r="T184" s="14"/>
      <c r="U184" s="14"/>
      <c r="V184" s="14"/>
      <c r="W184" s="140"/>
      <c r="X184" s="154"/>
      <c r="Y184" s="81"/>
      <c r="Z184" s="81"/>
      <c r="AA184" s="81"/>
      <c r="AB184" s="81"/>
      <c r="AC184" s="81"/>
      <c r="AD184" s="81"/>
      <c r="AE184" s="81"/>
      <c r="AF184" s="81"/>
      <c r="AG184" s="81"/>
      <c r="AH184" s="81"/>
      <c r="AI184" s="81"/>
      <c r="AJ184" s="81"/>
      <c r="AK184" s="160"/>
      <c r="AL184" s="87"/>
      <c r="AM184" s="81"/>
      <c r="AN184" s="81"/>
      <c r="AO184" s="81"/>
      <c r="AP184" s="81"/>
      <c r="AQ184" s="81"/>
      <c r="AR184" s="81"/>
      <c r="AS184" s="81"/>
      <c r="AT184" s="74"/>
      <c r="AU184" s="81"/>
      <c r="AV184" s="81"/>
      <c r="AW184" s="81"/>
      <c r="AX184" s="81"/>
      <c r="AY184" s="81"/>
      <c r="AZ184" s="81"/>
      <c r="BA184" s="81"/>
      <c r="BB184" s="81"/>
      <c r="BC184" s="81"/>
      <c r="BD184" s="81"/>
    </row>
    <row r="185" spans="1:66" ht="11.25" hidden="1" customHeight="1" x14ac:dyDescent="0.2">
      <c r="A185" s="142"/>
      <c r="B185" s="1680"/>
      <c r="C185" s="1680"/>
      <c r="D185" s="1680"/>
      <c r="E185" s="1680"/>
      <c r="F185" s="1680"/>
      <c r="G185" s="1680"/>
      <c r="H185" s="1680"/>
      <c r="I185" s="1680"/>
      <c r="J185" s="12"/>
      <c r="K185" s="9"/>
      <c r="L185" s="9"/>
      <c r="M185" s="9"/>
      <c r="N185" s="9"/>
      <c r="O185" s="9"/>
      <c r="P185" s="9"/>
      <c r="Q185" s="9"/>
      <c r="R185" s="9"/>
      <c r="S185" s="9"/>
      <c r="T185" s="9"/>
      <c r="U185" s="9"/>
      <c r="V185" s="9"/>
      <c r="W185" s="137"/>
      <c r="X185" s="150"/>
      <c r="AJ185" s="81"/>
      <c r="AK185" s="160"/>
      <c r="AL185" s="87"/>
      <c r="AM185" s="81"/>
      <c r="AN185" s="81"/>
      <c r="AO185" s="81"/>
      <c r="AP185" s="81"/>
      <c r="AQ185" s="81"/>
      <c r="AR185" s="81"/>
      <c r="AS185" s="81"/>
      <c r="AU185" s="81"/>
      <c r="AV185" s="81"/>
      <c r="AW185" s="81"/>
      <c r="AX185" s="81"/>
      <c r="AY185" s="81"/>
      <c r="AZ185" s="81"/>
      <c r="BA185" s="81"/>
      <c r="BB185" s="81"/>
      <c r="BC185" s="81"/>
      <c r="BD185" s="81"/>
    </row>
    <row r="186" spans="1:66" ht="11.25" customHeight="1" x14ac:dyDescent="0.2">
      <c r="A186" s="142"/>
      <c r="B186" s="1680" t="s">
        <v>78</v>
      </c>
      <c r="C186" s="1680"/>
      <c r="D186" s="1680"/>
      <c r="E186" s="1680"/>
      <c r="F186" s="1680"/>
      <c r="G186" s="1680"/>
      <c r="H186" s="1680"/>
      <c r="I186" s="1680"/>
      <c r="J186" s="12"/>
      <c r="K186" s="9"/>
      <c r="L186" s="9"/>
      <c r="M186" s="9"/>
      <c r="N186" s="9"/>
      <c r="O186" s="9"/>
      <c r="P186" s="9"/>
      <c r="Q186" s="9"/>
      <c r="R186" s="9"/>
      <c r="S186" s="9"/>
      <c r="T186" s="9"/>
      <c r="U186" s="9"/>
      <c r="V186" s="9"/>
      <c r="W186" s="137"/>
      <c r="X186" s="150"/>
      <c r="AJ186" s="81"/>
      <c r="AK186" s="160"/>
      <c r="AL186" s="87"/>
      <c r="AM186" s="81"/>
      <c r="AN186" s="81"/>
      <c r="AO186" s="81"/>
      <c r="AP186" s="81"/>
      <c r="AQ186" s="81"/>
      <c r="AR186" s="81"/>
      <c r="AS186" s="81"/>
      <c r="AU186" s="81"/>
      <c r="AV186" s="81"/>
      <c r="AW186" s="81"/>
      <c r="AX186" s="81"/>
      <c r="AY186" s="81"/>
      <c r="AZ186" s="81"/>
      <c r="BA186" s="81"/>
      <c r="BB186" s="81"/>
      <c r="BC186" s="81"/>
      <c r="BD186" s="81"/>
    </row>
    <row r="187" spans="1:66" ht="11.25" customHeight="1" x14ac:dyDescent="0.2">
      <c r="A187" s="142"/>
      <c r="B187" s="1680"/>
      <c r="C187" s="1680"/>
      <c r="D187" s="1680"/>
      <c r="E187" s="1680"/>
      <c r="F187" s="1680"/>
      <c r="G187" s="1680"/>
      <c r="H187" s="1680"/>
      <c r="I187" s="1680"/>
      <c r="J187" s="12"/>
      <c r="K187" s="9"/>
      <c r="L187" s="9"/>
      <c r="M187" s="9"/>
      <c r="N187" s="9"/>
      <c r="O187" s="9"/>
      <c r="P187" s="9"/>
      <c r="Q187" s="9"/>
      <c r="R187" s="9"/>
      <c r="S187" s="9"/>
      <c r="T187" s="9"/>
      <c r="U187" s="9"/>
      <c r="V187" s="9"/>
      <c r="W187" s="137"/>
      <c r="X187" s="150"/>
      <c r="AJ187" s="81"/>
      <c r="AK187" s="160"/>
      <c r="AL187" s="87"/>
      <c r="AM187" s="81"/>
      <c r="AN187" s="81"/>
      <c r="AO187" s="81"/>
      <c r="AP187" s="81"/>
      <c r="AQ187" s="81"/>
      <c r="AR187" s="81"/>
      <c r="AS187" s="81"/>
      <c r="AU187" s="81"/>
      <c r="AV187" s="81"/>
      <c r="AW187" s="81"/>
      <c r="AX187" s="81"/>
      <c r="AY187" s="81"/>
      <c r="AZ187" s="81"/>
      <c r="BA187" s="81"/>
      <c r="BB187" s="81"/>
      <c r="BC187" s="81"/>
      <c r="BD187" s="81"/>
    </row>
    <row r="188" spans="1:66" ht="11.25" customHeight="1" x14ac:dyDescent="0.2">
      <c r="A188" s="142"/>
      <c r="B188" s="1680" t="s">
        <v>17</v>
      </c>
      <c r="C188" s="1680"/>
      <c r="D188" s="1680"/>
      <c r="E188" s="1680"/>
      <c r="F188" s="1680"/>
      <c r="G188" s="1680"/>
      <c r="H188" s="1680"/>
      <c r="I188" s="1680"/>
      <c r="J188" s="12"/>
      <c r="K188" s="9"/>
      <c r="L188" s="9"/>
      <c r="M188" s="9"/>
      <c r="N188" s="9"/>
      <c r="O188" s="9"/>
      <c r="P188" s="9"/>
      <c r="Q188" s="9"/>
      <c r="R188" s="9"/>
      <c r="S188" s="9"/>
      <c r="T188" s="9"/>
      <c r="U188" s="9"/>
      <c r="V188" s="11"/>
      <c r="W188" s="252"/>
      <c r="X188" s="150"/>
      <c r="AA188" s="74"/>
      <c r="AB188" s="74"/>
      <c r="AJ188" s="81"/>
      <c r="AK188" s="160"/>
      <c r="AL188" s="87"/>
      <c r="AM188" s="81"/>
      <c r="AN188" s="81"/>
      <c r="AO188" s="81"/>
      <c r="AP188" s="81"/>
      <c r="AQ188" s="81"/>
      <c r="AR188" s="81"/>
      <c r="AS188" s="81"/>
      <c r="AU188" s="81"/>
      <c r="AV188" s="81"/>
      <c r="AW188" s="81"/>
      <c r="AX188" s="81"/>
      <c r="AY188" s="81"/>
      <c r="AZ188" s="81"/>
      <c r="BA188" s="81"/>
      <c r="BB188" s="81"/>
      <c r="BC188" s="81"/>
      <c r="BD188" s="81"/>
    </row>
    <row r="189" spans="1:66" ht="11.25" customHeight="1" x14ac:dyDescent="0.2">
      <c r="A189" s="142"/>
      <c r="B189" s="1680"/>
      <c r="C189" s="1680"/>
      <c r="D189" s="1680"/>
      <c r="E189" s="1680"/>
      <c r="F189" s="1680"/>
      <c r="G189" s="1680"/>
      <c r="H189" s="1680"/>
      <c r="I189" s="1680"/>
      <c r="J189" s="12"/>
      <c r="K189" s="9"/>
      <c r="L189" s="9"/>
      <c r="M189" s="9"/>
      <c r="N189" s="9"/>
      <c r="O189" s="9"/>
      <c r="P189" s="9"/>
      <c r="Q189" s="9"/>
      <c r="R189" s="9"/>
      <c r="S189" s="9"/>
      <c r="T189" s="9"/>
      <c r="U189" s="9"/>
      <c r="V189" s="11"/>
      <c r="W189" s="252"/>
      <c r="X189" s="150"/>
      <c r="AA189" s="74"/>
      <c r="AB189" s="74"/>
      <c r="AJ189" s="81"/>
      <c r="AK189" s="160"/>
      <c r="AL189" s="87"/>
      <c r="AM189" s="81"/>
      <c r="AN189" s="81"/>
      <c r="AO189" s="81"/>
      <c r="AP189" s="81"/>
      <c r="AQ189" s="81"/>
      <c r="AR189" s="81"/>
      <c r="AS189" s="81"/>
      <c r="AU189" s="81"/>
      <c r="AV189" s="81"/>
      <c r="AW189" s="81"/>
      <c r="AX189" s="81"/>
      <c r="AY189" s="81"/>
      <c r="AZ189" s="81"/>
      <c r="BA189" s="81"/>
      <c r="BB189" s="81"/>
      <c r="BC189" s="81"/>
      <c r="BD189" s="81"/>
    </row>
    <row r="190" spans="1:66" ht="11.25" customHeight="1" x14ac:dyDescent="0.2">
      <c r="A190" s="142"/>
      <c r="B190" s="1680" t="s">
        <v>80</v>
      </c>
      <c r="C190" s="1680"/>
      <c r="D190" s="1680"/>
      <c r="E190" s="1680"/>
      <c r="F190" s="1680"/>
      <c r="G190" s="1680"/>
      <c r="H190" s="1680"/>
      <c r="I190" s="1680"/>
      <c r="J190" s="12"/>
      <c r="K190" s="9"/>
      <c r="L190" s="9"/>
      <c r="M190" s="9"/>
      <c r="N190" s="9"/>
      <c r="O190" s="9"/>
      <c r="P190" s="9"/>
      <c r="Q190" s="9"/>
      <c r="R190" s="9"/>
      <c r="S190" s="9"/>
      <c r="T190" s="9"/>
      <c r="U190" s="9"/>
      <c r="V190" s="11"/>
      <c r="W190" s="252"/>
      <c r="X190" s="150"/>
      <c r="AA190" s="74"/>
      <c r="AB190" s="74"/>
      <c r="AJ190" s="81"/>
      <c r="AK190" s="160"/>
      <c r="AL190" s="87"/>
      <c r="AM190" s="81"/>
      <c r="AN190" s="81"/>
      <c r="AO190" s="81"/>
      <c r="AP190" s="81"/>
      <c r="AQ190" s="81"/>
      <c r="AR190" s="81"/>
      <c r="AS190" s="81"/>
      <c r="AU190" s="81"/>
      <c r="AV190" s="81"/>
      <c r="AW190" s="81"/>
      <c r="AX190" s="81"/>
      <c r="AY190" s="81"/>
      <c r="AZ190" s="81"/>
      <c r="BA190" s="81"/>
      <c r="BB190" s="81"/>
      <c r="BC190" s="81"/>
      <c r="BD190" s="81"/>
    </row>
    <row r="191" spans="1:66" ht="11.25" customHeight="1" x14ac:dyDescent="0.2">
      <c r="A191" s="142"/>
      <c r="B191" s="1680"/>
      <c r="C191" s="1680"/>
      <c r="D191" s="1680"/>
      <c r="E191" s="1680"/>
      <c r="F191" s="1680"/>
      <c r="G191" s="1680"/>
      <c r="H191" s="1680"/>
      <c r="I191" s="1680"/>
      <c r="J191" s="12"/>
      <c r="K191" s="9"/>
      <c r="L191" s="9"/>
      <c r="M191" s="9"/>
      <c r="N191" s="9"/>
      <c r="O191" s="9"/>
      <c r="P191" s="9"/>
      <c r="Q191" s="9"/>
      <c r="R191" s="9"/>
      <c r="S191" s="9"/>
      <c r="T191" s="9"/>
      <c r="U191" s="9"/>
      <c r="V191" s="11"/>
      <c r="W191" s="252"/>
      <c r="X191" s="150"/>
      <c r="AA191" s="74"/>
      <c r="AB191" s="74"/>
      <c r="AJ191" s="81"/>
      <c r="AK191" s="160"/>
      <c r="AL191" s="87"/>
      <c r="AM191" s="81"/>
      <c r="AN191" s="81"/>
      <c r="AO191" s="81"/>
      <c r="AP191" s="81"/>
      <c r="AQ191" s="81"/>
      <c r="AR191" s="81"/>
      <c r="AS191" s="81"/>
      <c r="AU191" s="81"/>
      <c r="AV191" s="81"/>
      <c r="AW191" s="81"/>
      <c r="AX191" s="81"/>
      <c r="AY191" s="81"/>
      <c r="AZ191" s="81"/>
      <c r="BA191" s="81"/>
      <c r="BB191" s="81"/>
      <c r="BC191" s="81"/>
      <c r="BD191" s="81"/>
    </row>
    <row r="192" spans="1:66" ht="11.25" customHeight="1" x14ac:dyDescent="0.2">
      <c r="A192" s="142"/>
      <c r="B192" s="1680" t="s">
        <v>69</v>
      </c>
      <c r="C192" s="1680"/>
      <c r="D192" s="1680"/>
      <c r="E192" s="1680"/>
      <c r="F192" s="1680"/>
      <c r="G192" s="1680"/>
      <c r="H192" s="1680"/>
      <c r="I192" s="1680"/>
      <c r="J192" s="12"/>
      <c r="K192" s="9"/>
      <c r="L192" s="9"/>
      <c r="M192" s="9"/>
      <c r="N192" s="9"/>
      <c r="O192" s="9"/>
      <c r="P192" s="9"/>
      <c r="Q192" s="9"/>
      <c r="R192" s="9"/>
      <c r="S192" s="9"/>
      <c r="T192" s="9"/>
      <c r="U192" s="9"/>
      <c r="V192" s="11"/>
      <c r="W192" s="252"/>
      <c r="X192" s="150"/>
      <c r="AA192" s="74"/>
      <c r="AB192" s="74"/>
      <c r="AJ192" s="81"/>
      <c r="AK192" s="160"/>
      <c r="AL192" s="87"/>
      <c r="AM192" s="81"/>
      <c r="AN192" s="81"/>
      <c r="AO192" s="81"/>
      <c r="AP192" s="81"/>
      <c r="AQ192" s="81"/>
      <c r="AR192" s="81"/>
      <c r="AS192" s="81"/>
      <c r="AU192" s="81"/>
      <c r="AV192" s="81"/>
      <c r="AW192" s="81"/>
      <c r="AX192" s="81"/>
      <c r="AY192" s="81"/>
      <c r="AZ192" s="81"/>
      <c r="BA192" s="81"/>
      <c r="BB192" s="81"/>
      <c r="BC192" s="81"/>
      <c r="BD192" s="81"/>
    </row>
    <row r="193" spans="1:56" ht="11.25" customHeight="1" x14ac:dyDescent="0.2">
      <c r="A193" s="142"/>
      <c r="B193" s="1680"/>
      <c r="C193" s="1680"/>
      <c r="D193" s="1680"/>
      <c r="E193" s="1680"/>
      <c r="F193" s="1680"/>
      <c r="G193" s="1680"/>
      <c r="H193" s="1680"/>
      <c r="I193" s="1680"/>
      <c r="J193" s="12"/>
      <c r="K193" s="9"/>
      <c r="L193" s="9"/>
      <c r="M193" s="9"/>
      <c r="N193" s="9"/>
      <c r="O193" s="9"/>
      <c r="P193" s="9"/>
      <c r="Q193" s="9"/>
      <c r="R193" s="9"/>
      <c r="S193" s="9"/>
      <c r="T193" s="9"/>
      <c r="U193" s="9"/>
      <c r="V193" s="11"/>
      <c r="W193" s="252"/>
      <c r="X193" s="150"/>
      <c r="AA193" s="74"/>
      <c r="AB193" s="74"/>
      <c r="AJ193" s="81"/>
      <c r="AK193" s="160"/>
      <c r="AL193" s="87"/>
      <c r="AM193" s="81"/>
      <c r="AN193" s="81"/>
      <c r="AO193" s="81"/>
      <c r="AP193" s="81"/>
      <c r="AQ193" s="81"/>
      <c r="AR193" s="81"/>
      <c r="AS193" s="81"/>
      <c r="AU193" s="81"/>
      <c r="AV193" s="81"/>
      <c r="AW193" s="81"/>
      <c r="AX193" s="81"/>
      <c r="AY193" s="81"/>
      <c r="AZ193" s="81"/>
      <c r="BA193" s="81"/>
      <c r="BB193" s="81"/>
      <c r="BC193" s="81"/>
      <c r="BD193" s="81"/>
    </row>
    <row r="194" spans="1:56" ht="11.25" customHeight="1" x14ac:dyDescent="0.2">
      <c r="A194" s="142"/>
      <c r="B194" s="1680" t="s">
        <v>24</v>
      </c>
      <c r="C194" s="1680"/>
      <c r="D194" s="1680"/>
      <c r="E194" s="1680"/>
      <c r="F194" s="1680"/>
      <c r="G194" s="1680"/>
      <c r="H194" s="1680"/>
      <c r="I194" s="1680"/>
      <c r="J194" s="12"/>
      <c r="K194" s="9"/>
      <c r="L194" s="9"/>
      <c r="M194" s="9"/>
      <c r="N194" s="9"/>
      <c r="O194" s="9"/>
      <c r="P194" s="9"/>
      <c r="Q194" s="9"/>
      <c r="R194" s="9"/>
      <c r="S194" s="9"/>
      <c r="T194" s="9"/>
      <c r="U194" s="9"/>
      <c r="V194" s="9"/>
      <c r="W194" s="137"/>
      <c r="X194" s="150"/>
      <c r="AJ194" s="81"/>
      <c r="AK194" s="160"/>
      <c r="AL194" s="87"/>
      <c r="AM194" s="81"/>
      <c r="AN194" s="81"/>
      <c r="AO194" s="81"/>
      <c r="AP194" s="81"/>
      <c r="AQ194" s="81"/>
      <c r="AR194" s="81"/>
      <c r="AS194" s="81"/>
      <c r="AU194" s="81"/>
      <c r="AV194" s="81"/>
      <c r="AW194" s="81"/>
      <c r="AX194" s="81"/>
      <c r="AY194" s="81"/>
      <c r="AZ194" s="81"/>
      <c r="BA194" s="81"/>
      <c r="BB194" s="81"/>
      <c r="BC194" s="81"/>
      <c r="BD194" s="81"/>
    </row>
    <row r="195" spans="1:56" ht="11.25" customHeight="1" x14ac:dyDescent="0.2">
      <c r="A195" s="142"/>
      <c r="B195" s="1680"/>
      <c r="C195" s="1680"/>
      <c r="D195" s="1680"/>
      <c r="E195" s="1680"/>
      <c r="F195" s="1680"/>
      <c r="G195" s="1680"/>
      <c r="H195" s="1680"/>
      <c r="I195" s="1680"/>
      <c r="J195" s="12"/>
      <c r="K195" s="9"/>
      <c r="L195" s="9"/>
      <c r="M195" s="9"/>
      <c r="N195" s="9"/>
      <c r="O195" s="9"/>
      <c r="P195" s="9"/>
      <c r="Q195" s="9"/>
      <c r="R195" s="9"/>
      <c r="S195" s="9"/>
      <c r="T195" s="9"/>
      <c r="U195" s="9"/>
      <c r="V195" s="9"/>
      <c r="W195" s="137"/>
      <c r="X195" s="150"/>
      <c r="AJ195" s="81"/>
      <c r="AK195" s="160"/>
      <c r="AL195" s="87"/>
      <c r="AM195" s="81"/>
      <c r="AN195" s="81"/>
      <c r="AO195" s="81"/>
      <c r="AP195" s="81"/>
      <c r="AQ195" s="81"/>
      <c r="AR195" s="81"/>
      <c r="AS195" s="81"/>
      <c r="AU195" s="81"/>
      <c r="AV195" s="81"/>
      <c r="AW195" s="81"/>
      <c r="AX195" s="81"/>
      <c r="AY195" s="81"/>
      <c r="AZ195" s="81"/>
      <c r="BA195" s="81"/>
      <c r="BB195" s="81"/>
      <c r="BC195" s="81"/>
      <c r="BD195" s="81"/>
    </row>
    <row r="196" spans="1:56" ht="11.25" customHeight="1" x14ac:dyDescent="0.2">
      <c r="A196" s="142"/>
      <c r="B196" s="1680" t="s">
        <v>22</v>
      </c>
      <c r="C196" s="1680"/>
      <c r="D196" s="1680"/>
      <c r="E196" s="1680"/>
      <c r="F196" s="1680"/>
      <c r="G196" s="1680"/>
      <c r="H196" s="1680"/>
      <c r="I196" s="1680"/>
      <c r="J196" s="12"/>
      <c r="K196" s="9"/>
      <c r="L196" s="9"/>
      <c r="M196" s="9"/>
      <c r="N196" s="9"/>
      <c r="O196" s="9"/>
      <c r="P196" s="9"/>
      <c r="Q196" s="9"/>
      <c r="R196" s="9"/>
      <c r="S196" s="9"/>
      <c r="T196" s="9"/>
      <c r="U196" s="9"/>
      <c r="V196" s="9"/>
      <c r="W196" s="137"/>
      <c r="X196" s="150"/>
      <c r="AJ196" s="81"/>
      <c r="AK196" s="160"/>
      <c r="AL196" s="87"/>
      <c r="AM196" s="81"/>
      <c r="AN196" s="81"/>
      <c r="AO196" s="81"/>
      <c r="AP196" s="81"/>
      <c r="AQ196" s="81"/>
      <c r="AR196" s="81"/>
      <c r="AS196" s="81"/>
      <c r="AU196" s="81"/>
      <c r="AV196" s="81"/>
      <c r="AW196" s="81"/>
      <c r="AX196" s="81"/>
      <c r="AY196" s="81"/>
      <c r="AZ196" s="81"/>
      <c r="BA196" s="81"/>
      <c r="BB196" s="81"/>
      <c r="BC196" s="81"/>
      <c r="BD196" s="81"/>
    </row>
    <row r="197" spans="1:56" ht="11.25" customHeight="1" x14ac:dyDescent="0.2">
      <c r="A197" s="142"/>
      <c r="B197" s="1680"/>
      <c r="C197" s="1680"/>
      <c r="D197" s="1680"/>
      <c r="E197" s="1680"/>
      <c r="F197" s="1680"/>
      <c r="G197" s="1680"/>
      <c r="H197" s="1680"/>
      <c r="I197" s="1680"/>
      <c r="J197" s="12"/>
      <c r="K197" s="9"/>
      <c r="L197" s="9"/>
      <c r="M197" s="9"/>
      <c r="N197" s="9"/>
      <c r="O197" s="9"/>
      <c r="P197" s="9"/>
      <c r="Q197" s="9"/>
      <c r="R197" s="9"/>
      <c r="S197" s="9"/>
      <c r="T197" s="9"/>
      <c r="U197" s="9"/>
      <c r="V197" s="9"/>
      <c r="W197" s="137"/>
      <c r="X197" s="150"/>
      <c r="AJ197" s="81"/>
      <c r="AK197" s="160"/>
      <c r="AL197" s="87"/>
      <c r="AM197" s="81"/>
      <c r="AN197" s="81"/>
      <c r="AO197" s="81"/>
      <c r="AP197" s="81"/>
      <c r="AQ197" s="81"/>
      <c r="AR197" s="81"/>
      <c r="AS197" s="81"/>
      <c r="AU197" s="81"/>
      <c r="AV197" s="81"/>
      <c r="AW197" s="81"/>
      <c r="AX197" s="81"/>
      <c r="AY197" s="81"/>
      <c r="AZ197" s="81"/>
      <c r="BA197" s="81"/>
      <c r="BB197" s="81"/>
      <c r="BC197" s="81"/>
      <c r="BD197" s="81"/>
    </row>
    <row r="198" spans="1:56" ht="11.25" customHeight="1" x14ac:dyDescent="0.2">
      <c r="A198" s="142"/>
      <c r="B198" s="1680" t="s">
        <v>25</v>
      </c>
      <c r="C198" s="1680"/>
      <c r="D198" s="1680"/>
      <c r="E198" s="1680"/>
      <c r="F198" s="1680"/>
      <c r="G198" s="1680"/>
      <c r="H198" s="1680"/>
      <c r="I198" s="1680"/>
      <c r="J198" s="12"/>
      <c r="K198" s="9"/>
      <c r="L198" s="9"/>
      <c r="M198" s="9"/>
      <c r="N198" s="9"/>
      <c r="O198" s="9"/>
      <c r="P198" s="9"/>
      <c r="Q198" s="9"/>
      <c r="R198" s="9"/>
      <c r="S198" s="9"/>
      <c r="T198" s="9"/>
      <c r="U198" s="9"/>
      <c r="V198" s="9"/>
      <c r="W198" s="137"/>
      <c r="X198" s="150"/>
      <c r="AJ198" s="81"/>
      <c r="AK198" s="160"/>
      <c r="AL198" s="87"/>
      <c r="AM198" s="81"/>
      <c r="AN198" s="81"/>
      <c r="AO198" s="81"/>
      <c r="AP198" s="81"/>
      <c r="AQ198" s="81"/>
      <c r="AR198" s="81"/>
      <c r="AS198" s="81"/>
      <c r="AU198" s="81"/>
      <c r="AV198" s="81"/>
      <c r="AW198" s="81"/>
      <c r="AX198" s="81"/>
      <c r="AY198" s="81"/>
      <c r="AZ198" s="81"/>
      <c r="BA198" s="81"/>
      <c r="BB198" s="81"/>
      <c r="BC198" s="81"/>
      <c r="BD198" s="81"/>
    </row>
    <row r="199" spans="1:56" ht="11.25" customHeight="1" x14ac:dyDescent="0.2">
      <c r="A199" s="142"/>
      <c r="B199" s="1680"/>
      <c r="C199" s="1680"/>
      <c r="D199" s="1680"/>
      <c r="E199" s="1680"/>
      <c r="F199" s="1680"/>
      <c r="G199" s="1680"/>
      <c r="H199" s="1680"/>
      <c r="I199" s="1680"/>
      <c r="J199" s="12"/>
      <c r="K199" s="9"/>
      <c r="L199" s="9"/>
      <c r="M199" s="9"/>
      <c r="N199" s="9"/>
      <c r="O199" s="9"/>
      <c r="P199" s="9"/>
      <c r="Q199" s="9"/>
      <c r="R199" s="9"/>
      <c r="S199" s="9"/>
      <c r="T199" s="9"/>
      <c r="U199" s="9"/>
      <c r="V199" s="9"/>
      <c r="W199" s="137"/>
      <c r="X199" s="150"/>
      <c r="AJ199" s="81"/>
      <c r="AK199" s="160"/>
      <c r="AL199" s="87"/>
      <c r="AM199" s="81"/>
      <c r="AN199" s="81"/>
      <c r="AO199" s="81"/>
      <c r="AP199" s="81"/>
      <c r="AQ199" s="81"/>
      <c r="AR199" s="81"/>
      <c r="AS199" s="81"/>
      <c r="AU199" s="81"/>
      <c r="AV199" s="81"/>
      <c r="AW199" s="81"/>
      <c r="AX199" s="81"/>
      <c r="AY199" s="81"/>
      <c r="AZ199" s="81"/>
      <c r="BA199" s="81"/>
      <c r="BB199" s="81"/>
      <c r="BC199" s="81"/>
      <c r="BD199" s="81"/>
    </row>
    <row r="200" spans="1:56" ht="11.25" customHeight="1" x14ac:dyDescent="0.2">
      <c r="A200" s="142"/>
      <c r="B200" s="1680" t="s">
        <v>18</v>
      </c>
      <c r="C200" s="1680"/>
      <c r="D200" s="1680"/>
      <c r="E200" s="1680"/>
      <c r="F200" s="1680"/>
      <c r="G200" s="1680"/>
      <c r="H200" s="1680"/>
      <c r="I200" s="1680"/>
      <c r="J200" s="12"/>
      <c r="K200" s="9"/>
      <c r="L200" s="9"/>
      <c r="M200" s="9"/>
      <c r="N200" s="9"/>
      <c r="O200" s="9"/>
      <c r="P200" s="9"/>
      <c r="Q200" s="9"/>
      <c r="R200" s="9"/>
      <c r="S200" s="9"/>
      <c r="T200" s="9"/>
      <c r="U200" s="9"/>
      <c r="V200" s="9"/>
      <c r="W200" s="137"/>
      <c r="X200" s="150"/>
      <c r="AJ200" s="81"/>
      <c r="AK200" s="160"/>
      <c r="AL200" s="87"/>
      <c r="AM200" s="81"/>
      <c r="AN200" s="81"/>
      <c r="AO200" s="81"/>
      <c r="AP200" s="81"/>
      <c r="AQ200" s="81"/>
      <c r="AR200" s="81"/>
      <c r="AS200" s="81"/>
      <c r="AU200" s="81"/>
      <c r="AV200" s="81"/>
      <c r="AW200" s="81"/>
      <c r="AX200" s="81"/>
      <c r="AY200" s="81"/>
      <c r="AZ200" s="81"/>
      <c r="BA200" s="81"/>
      <c r="BB200" s="81"/>
      <c r="BC200" s="81"/>
      <c r="BD200" s="81"/>
    </row>
    <row r="201" spans="1:56" ht="11.25" customHeight="1" x14ac:dyDescent="0.2">
      <c r="A201" s="142"/>
      <c r="B201" s="1680"/>
      <c r="C201" s="1680"/>
      <c r="D201" s="1680"/>
      <c r="E201" s="1680"/>
      <c r="F201" s="1680"/>
      <c r="G201" s="1680"/>
      <c r="H201" s="1680"/>
      <c r="I201" s="1680"/>
      <c r="J201" s="12"/>
      <c r="K201" s="9"/>
      <c r="L201" s="9"/>
      <c r="M201" s="9"/>
      <c r="N201" s="9"/>
      <c r="O201" s="9"/>
      <c r="P201" s="9"/>
      <c r="Q201" s="9"/>
      <c r="R201" s="9"/>
      <c r="S201" s="9"/>
      <c r="T201" s="9"/>
      <c r="U201" s="9"/>
      <c r="V201" s="9"/>
      <c r="W201" s="137"/>
      <c r="X201" s="150"/>
      <c r="AJ201" s="81"/>
      <c r="AK201" s="160"/>
      <c r="AL201" s="87"/>
      <c r="AM201" s="81"/>
      <c r="AN201" s="81"/>
      <c r="AO201" s="81"/>
      <c r="AP201" s="81"/>
      <c r="AQ201" s="81"/>
      <c r="AR201" s="81"/>
      <c r="AS201" s="81"/>
      <c r="AU201" s="81"/>
      <c r="AV201" s="81"/>
      <c r="AW201" s="81"/>
      <c r="AX201" s="81"/>
      <c r="AY201" s="81"/>
      <c r="AZ201" s="81"/>
      <c r="BA201" s="81"/>
      <c r="BB201" s="81"/>
      <c r="BC201" s="81"/>
      <c r="BD201" s="81"/>
    </row>
    <row r="202" spans="1:56" ht="11.25" customHeight="1" x14ac:dyDescent="0.2">
      <c r="A202" s="142"/>
      <c r="B202" s="1680" t="s">
        <v>19</v>
      </c>
      <c r="C202" s="1680"/>
      <c r="D202" s="1680"/>
      <c r="E202" s="1680"/>
      <c r="F202" s="1680"/>
      <c r="G202" s="1680"/>
      <c r="H202" s="1680"/>
      <c r="I202" s="1680"/>
      <c r="J202" s="12"/>
      <c r="K202" s="9"/>
      <c r="L202" s="9"/>
      <c r="M202" s="9"/>
      <c r="N202" s="9"/>
      <c r="O202" s="9"/>
      <c r="P202" s="9"/>
      <c r="Q202" s="9"/>
      <c r="R202" s="9"/>
      <c r="S202" s="9"/>
      <c r="T202" s="9"/>
      <c r="U202" s="9"/>
      <c r="V202" s="9"/>
      <c r="W202" s="137"/>
      <c r="X202" s="150"/>
      <c r="AJ202" s="81"/>
      <c r="AK202" s="160"/>
      <c r="AL202" s="87"/>
      <c r="AM202" s="81"/>
      <c r="AN202" s="81"/>
      <c r="AO202" s="81"/>
      <c r="AP202" s="81"/>
      <c r="AQ202" s="81"/>
      <c r="AR202" s="81"/>
      <c r="AS202" s="81"/>
      <c r="AU202" s="81"/>
      <c r="AV202" s="81"/>
      <c r="AW202" s="81"/>
      <c r="AX202" s="81"/>
      <c r="AY202" s="81"/>
      <c r="AZ202" s="81"/>
      <c r="BA202" s="81"/>
      <c r="BB202" s="81"/>
      <c r="BC202" s="81"/>
      <c r="BD202" s="81"/>
    </row>
    <row r="203" spans="1:56" ht="11.25" customHeight="1" x14ac:dyDescent="0.2">
      <c r="A203" s="142"/>
      <c r="B203" s="1680"/>
      <c r="C203" s="1680"/>
      <c r="D203" s="1680"/>
      <c r="E203" s="1680"/>
      <c r="F203" s="1680"/>
      <c r="G203" s="1680"/>
      <c r="H203" s="1680"/>
      <c r="I203" s="1680"/>
      <c r="J203" s="12"/>
      <c r="K203" s="9"/>
      <c r="L203" s="9"/>
      <c r="M203" s="9"/>
      <c r="N203" s="9"/>
      <c r="O203" s="9"/>
      <c r="P203" s="9"/>
      <c r="Q203" s="9"/>
      <c r="R203" s="9"/>
      <c r="S203" s="9"/>
      <c r="T203" s="9"/>
      <c r="U203" s="9"/>
      <c r="V203" s="9"/>
      <c r="W203" s="137"/>
      <c r="X203" s="150"/>
      <c r="AJ203" s="81"/>
      <c r="AK203" s="160"/>
      <c r="AL203" s="87"/>
      <c r="AM203" s="81"/>
      <c r="AN203" s="81"/>
      <c r="AO203" s="81"/>
      <c r="AP203" s="81"/>
      <c r="AQ203" s="81"/>
      <c r="AR203" s="81"/>
      <c r="AS203" s="81"/>
      <c r="AU203" s="81"/>
      <c r="AV203" s="81"/>
      <c r="AW203" s="81"/>
      <c r="AX203" s="81"/>
      <c r="AY203" s="81"/>
      <c r="AZ203" s="81"/>
      <c r="BA203" s="81"/>
      <c r="BB203" s="81"/>
      <c r="BC203" s="81"/>
      <c r="BD203" s="81"/>
    </row>
    <row r="204" spans="1:56" ht="11.25" customHeight="1" x14ac:dyDescent="0.2">
      <c r="A204" s="142"/>
      <c r="B204" s="1680" t="s">
        <v>20</v>
      </c>
      <c r="C204" s="1680"/>
      <c r="D204" s="1680"/>
      <c r="E204" s="1680"/>
      <c r="F204" s="1680"/>
      <c r="G204" s="1680"/>
      <c r="H204" s="1680"/>
      <c r="I204" s="1680"/>
      <c r="J204" s="12"/>
      <c r="K204" s="9"/>
      <c r="L204" s="9"/>
      <c r="M204" s="9"/>
      <c r="N204" s="9"/>
      <c r="O204" s="9"/>
      <c r="P204" s="9"/>
      <c r="Q204" s="9"/>
      <c r="R204" s="9"/>
      <c r="S204" s="9"/>
      <c r="T204" s="9"/>
      <c r="U204" s="9"/>
      <c r="V204" s="9"/>
      <c r="W204" s="137"/>
      <c r="X204" s="150"/>
      <c r="AJ204" s="81"/>
      <c r="AK204" s="160"/>
      <c r="AL204" s="87"/>
      <c r="AM204" s="81"/>
      <c r="AN204" s="81"/>
      <c r="AO204" s="81"/>
      <c r="AP204" s="81"/>
      <c r="AQ204" s="81"/>
      <c r="AR204" s="81"/>
      <c r="AS204" s="81"/>
      <c r="AU204" s="81"/>
      <c r="AV204" s="81"/>
      <c r="AW204" s="81"/>
      <c r="AX204" s="81"/>
      <c r="AY204" s="81"/>
      <c r="AZ204" s="81"/>
      <c r="BA204" s="81"/>
      <c r="BB204" s="81"/>
      <c r="BC204" s="81"/>
      <c r="BD204" s="81"/>
    </row>
    <row r="205" spans="1:56" ht="11.25" customHeight="1" x14ac:dyDescent="0.2">
      <c r="A205" s="142"/>
      <c r="B205" s="1680"/>
      <c r="C205" s="1680"/>
      <c r="D205" s="1680"/>
      <c r="E205" s="1680"/>
      <c r="F205" s="1680"/>
      <c r="G205" s="1680"/>
      <c r="H205" s="1680"/>
      <c r="I205" s="1680"/>
      <c r="J205" s="12"/>
      <c r="K205" s="9"/>
      <c r="L205" s="9"/>
      <c r="M205" s="9"/>
      <c r="N205" s="9"/>
      <c r="O205" s="9"/>
      <c r="P205" s="9"/>
      <c r="Q205" s="9"/>
      <c r="R205" s="9"/>
      <c r="S205" s="9"/>
      <c r="T205" s="9"/>
      <c r="U205" s="9"/>
      <c r="V205" s="9"/>
      <c r="W205" s="137"/>
      <c r="X205" s="150"/>
      <c r="AJ205" s="81"/>
      <c r="AK205" s="160"/>
      <c r="AL205" s="87"/>
      <c r="AM205" s="81"/>
      <c r="AN205" s="81"/>
      <c r="AO205" s="81"/>
      <c r="AP205" s="81"/>
      <c r="AQ205" s="81"/>
      <c r="AR205" s="81"/>
      <c r="AS205" s="81"/>
      <c r="AU205" s="81"/>
      <c r="AV205" s="81"/>
      <c r="AW205" s="81"/>
      <c r="AX205" s="81"/>
      <c r="AY205" s="81"/>
      <c r="AZ205" s="81"/>
      <c r="BA205" s="81"/>
      <c r="BB205" s="81"/>
      <c r="BC205" s="81"/>
      <c r="BD205" s="81"/>
    </row>
    <row r="206" spans="1:56" ht="11.25" customHeight="1" x14ac:dyDescent="0.2">
      <c r="A206" s="142"/>
      <c r="B206" s="1680" t="s">
        <v>26</v>
      </c>
      <c r="C206" s="1680"/>
      <c r="D206" s="1680"/>
      <c r="E206" s="1680"/>
      <c r="F206" s="1680"/>
      <c r="G206" s="1680"/>
      <c r="H206" s="1680"/>
      <c r="I206" s="1680"/>
      <c r="J206" s="12"/>
      <c r="K206" s="9"/>
      <c r="L206" s="9"/>
      <c r="M206" s="9"/>
      <c r="N206" s="9"/>
      <c r="O206" s="9"/>
      <c r="P206" s="9"/>
      <c r="Q206" s="9"/>
      <c r="R206" s="9"/>
      <c r="S206" s="9"/>
      <c r="T206" s="9"/>
      <c r="U206" s="9"/>
      <c r="V206" s="9"/>
      <c r="W206" s="137"/>
      <c r="X206" s="150"/>
      <c r="AJ206" s="81"/>
      <c r="AK206" s="160"/>
      <c r="AL206" s="87"/>
      <c r="AM206" s="81"/>
      <c r="AN206" s="81"/>
      <c r="AO206" s="81"/>
      <c r="AP206" s="81"/>
      <c r="AQ206" s="81"/>
      <c r="AR206" s="81"/>
      <c r="AS206" s="81"/>
      <c r="AU206" s="81"/>
      <c r="AV206" s="81"/>
      <c r="AW206" s="81"/>
      <c r="AX206" s="81"/>
      <c r="AY206" s="81"/>
      <c r="AZ206" s="81"/>
      <c r="BA206" s="81"/>
      <c r="BB206" s="81"/>
      <c r="BC206" s="81"/>
      <c r="BD206" s="81"/>
    </row>
    <row r="207" spans="1:56" ht="11.25" customHeight="1" x14ac:dyDescent="0.2">
      <c r="A207" s="142"/>
      <c r="B207" s="1680"/>
      <c r="C207" s="1680"/>
      <c r="D207" s="1680"/>
      <c r="E207" s="1680"/>
      <c r="F207" s="1680"/>
      <c r="G207" s="1680"/>
      <c r="H207" s="1680"/>
      <c r="I207" s="1680"/>
      <c r="J207" s="12"/>
      <c r="K207" s="9"/>
      <c r="L207" s="9"/>
      <c r="M207" s="9"/>
      <c r="N207" s="9"/>
      <c r="O207" s="9"/>
      <c r="P207" s="9"/>
      <c r="Q207" s="9"/>
      <c r="R207" s="9"/>
      <c r="S207" s="9"/>
      <c r="T207" s="9"/>
      <c r="U207" s="9"/>
      <c r="V207" s="9"/>
      <c r="W207" s="137"/>
      <c r="X207" s="150"/>
      <c r="AJ207" s="81"/>
      <c r="AK207" s="160"/>
      <c r="AL207" s="87"/>
      <c r="AM207" s="81"/>
      <c r="AN207" s="81"/>
      <c r="AO207" s="81"/>
      <c r="AP207" s="81"/>
      <c r="AQ207" s="81"/>
      <c r="AR207" s="81"/>
      <c r="AS207" s="81"/>
      <c r="AU207" s="81"/>
      <c r="AV207" s="81"/>
      <c r="AW207" s="81"/>
      <c r="AX207" s="81"/>
      <c r="AY207" s="81"/>
      <c r="AZ207" s="81"/>
      <c r="BA207" s="81"/>
      <c r="BB207" s="81"/>
      <c r="BC207" s="81"/>
      <c r="BD207" s="81"/>
    </row>
    <row r="208" spans="1:56" ht="11.25" customHeight="1" x14ac:dyDescent="0.2">
      <c r="A208" s="142"/>
      <c r="B208" s="1680" t="s">
        <v>21</v>
      </c>
      <c r="C208" s="1680"/>
      <c r="D208" s="1680"/>
      <c r="E208" s="1680"/>
      <c r="F208" s="1680"/>
      <c r="G208" s="1680"/>
      <c r="H208" s="1680"/>
      <c r="I208" s="1680"/>
      <c r="J208" s="12"/>
      <c r="K208" s="9"/>
      <c r="L208" s="9"/>
      <c r="M208" s="9"/>
      <c r="N208" s="9"/>
      <c r="O208" s="9"/>
      <c r="P208" s="9"/>
      <c r="Q208" s="9"/>
      <c r="R208" s="9"/>
      <c r="S208" s="9"/>
      <c r="T208" s="9"/>
      <c r="U208" s="9"/>
      <c r="V208" s="9"/>
      <c r="W208" s="137"/>
      <c r="X208" s="150"/>
      <c r="AJ208" s="81"/>
      <c r="AK208" s="160"/>
      <c r="AL208" s="87"/>
      <c r="AM208" s="81"/>
      <c r="AN208" s="81"/>
      <c r="AO208" s="81"/>
      <c r="AP208" s="81"/>
      <c r="AQ208" s="81"/>
      <c r="AR208" s="81"/>
      <c r="AS208" s="81"/>
      <c r="AU208" s="81"/>
      <c r="AV208" s="81"/>
      <c r="AW208" s="81"/>
      <c r="AX208" s="81"/>
      <c r="AY208" s="81"/>
      <c r="AZ208" s="81"/>
      <c r="BA208" s="81"/>
      <c r="BB208" s="81"/>
      <c r="BC208" s="81"/>
      <c r="BD208" s="81"/>
    </row>
    <row r="209" spans="1:58" ht="11.25" customHeight="1" x14ac:dyDescent="0.2">
      <c r="A209" s="142"/>
      <c r="B209" s="1680"/>
      <c r="C209" s="1680"/>
      <c r="D209" s="1680"/>
      <c r="E209" s="1680"/>
      <c r="F209" s="1680"/>
      <c r="G209" s="1680"/>
      <c r="H209" s="1680"/>
      <c r="I209" s="1680"/>
      <c r="J209" s="12"/>
      <c r="K209" s="9"/>
      <c r="L209" s="9"/>
      <c r="M209" s="9"/>
      <c r="N209" s="9"/>
      <c r="O209" s="9"/>
      <c r="P209" s="9"/>
      <c r="Q209" s="9"/>
      <c r="R209" s="9"/>
      <c r="S209" s="9"/>
      <c r="T209" s="9"/>
      <c r="U209" s="9"/>
      <c r="V209" s="9"/>
      <c r="W209" s="137"/>
      <c r="X209" s="150"/>
      <c r="AJ209" s="81"/>
      <c r="AK209" s="160"/>
      <c r="AL209" s="87"/>
      <c r="AM209" s="81"/>
      <c r="AN209" s="81"/>
      <c r="AO209" s="81"/>
      <c r="AP209" s="81"/>
      <c r="AQ209" s="81"/>
      <c r="AR209" s="81"/>
      <c r="AS209" s="81"/>
      <c r="AU209" s="81"/>
      <c r="AV209" s="81"/>
      <c r="AW209" s="81"/>
      <c r="AX209" s="81"/>
      <c r="AY209" s="81"/>
      <c r="AZ209" s="81"/>
      <c r="BA209" s="81"/>
      <c r="BB209" s="81"/>
      <c r="BC209" s="81"/>
      <c r="BD209" s="81"/>
    </row>
    <row r="210" spans="1:58" ht="11.25" customHeight="1" x14ac:dyDescent="0.2">
      <c r="A210" s="142"/>
      <c r="B210" s="1680" t="s">
        <v>905</v>
      </c>
      <c r="C210" s="1680"/>
      <c r="D210" s="1680"/>
      <c r="E210" s="1680"/>
      <c r="F210" s="1680"/>
      <c r="G210" s="1680"/>
      <c r="H210" s="1680"/>
      <c r="I210" s="1680"/>
      <c r="J210" s="12"/>
      <c r="K210" s="9"/>
      <c r="L210" s="9"/>
      <c r="M210" s="9"/>
      <c r="N210" s="9"/>
      <c r="O210" s="9"/>
      <c r="P210" s="9"/>
      <c r="Q210" s="9"/>
      <c r="R210" s="9"/>
      <c r="S210" s="9"/>
      <c r="T210" s="9"/>
      <c r="U210" s="9"/>
      <c r="V210" s="9"/>
      <c r="W210" s="137"/>
      <c r="X210" s="150"/>
      <c r="AJ210" s="81"/>
      <c r="AK210" s="160"/>
      <c r="AL210" s="87"/>
      <c r="AM210" s="81"/>
      <c r="AN210" s="81"/>
      <c r="AO210" s="81"/>
      <c r="AP210" s="81"/>
      <c r="AQ210" s="81"/>
      <c r="AR210" s="81"/>
      <c r="AS210" s="81"/>
      <c r="AU210" s="81"/>
      <c r="AV210" s="81"/>
      <c r="AW210" s="81"/>
      <c r="AX210" s="81"/>
      <c r="AY210" s="81"/>
      <c r="AZ210" s="81"/>
      <c r="BA210" s="81"/>
      <c r="BB210" s="81"/>
      <c r="BC210" s="81"/>
      <c r="BD210" s="81"/>
    </row>
    <row r="211" spans="1:58" ht="11.25" customHeight="1" x14ac:dyDescent="0.2">
      <c r="A211" s="142"/>
      <c r="B211" s="1680"/>
      <c r="C211" s="1680"/>
      <c r="D211" s="1680"/>
      <c r="E211" s="1680"/>
      <c r="F211" s="1680"/>
      <c r="G211" s="1680"/>
      <c r="H211" s="1680"/>
      <c r="I211" s="1680"/>
      <c r="J211" s="12"/>
      <c r="K211" s="9"/>
      <c r="L211" s="9"/>
      <c r="M211" s="9"/>
      <c r="N211" s="9"/>
      <c r="O211" s="9"/>
      <c r="P211" s="9"/>
      <c r="Q211" s="9"/>
      <c r="R211" s="9"/>
      <c r="S211" s="9"/>
      <c r="T211" s="9"/>
      <c r="U211" s="9"/>
      <c r="V211" s="9"/>
      <c r="W211" s="137"/>
      <c r="X211" s="150"/>
      <c r="AJ211" s="81"/>
      <c r="AK211" s="160"/>
      <c r="AL211" s="87"/>
      <c r="AM211" s="81"/>
      <c r="AN211" s="81"/>
      <c r="AO211" s="81"/>
      <c r="AP211" s="81"/>
      <c r="AQ211" s="81"/>
      <c r="AR211" s="81"/>
      <c r="AS211" s="81"/>
      <c r="AU211" s="81"/>
      <c r="AV211" s="81"/>
      <c r="AW211" s="81"/>
      <c r="AX211" s="81"/>
      <c r="AY211" s="81"/>
      <c r="AZ211" s="81"/>
      <c r="BA211" s="81"/>
      <c r="BB211" s="81"/>
      <c r="BC211" s="81"/>
      <c r="BD211" s="81"/>
    </row>
    <row r="212" spans="1:58" ht="11.25" customHeight="1" x14ac:dyDescent="0.2">
      <c r="A212" s="142"/>
      <c r="B212" s="1680" t="s">
        <v>32</v>
      </c>
      <c r="C212" s="1680"/>
      <c r="D212" s="1680"/>
      <c r="E212" s="1680"/>
      <c r="F212" s="1680"/>
      <c r="G212" s="1680"/>
      <c r="H212" s="1680"/>
      <c r="I212" s="1680"/>
      <c r="J212" s="12"/>
      <c r="K212" s="9"/>
      <c r="L212" s="9"/>
      <c r="M212" s="9"/>
      <c r="N212" s="9"/>
      <c r="O212" s="9"/>
      <c r="P212" s="9"/>
      <c r="Q212" s="9"/>
      <c r="R212" s="9"/>
      <c r="S212" s="9"/>
      <c r="T212" s="9"/>
      <c r="U212" s="9"/>
      <c r="V212" s="9"/>
      <c r="W212" s="137"/>
      <c r="X212" s="150"/>
      <c r="AJ212" s="81"/>
      <c r="AK212" s="160"/>
      <c r="AL212" s="87"/>
      <c r="AM212" s="81"/>
      <c r="AN212" s="81"/>
      <c r="AO212" s="81"/>
      <c r="AP212" s="81"/>
      <c r="AQ212" s="81"/>
      <c r="AR212" s="81"/>
      <c r="AS212" s="81"/>
      <c r="AU212" s="81"/>
      <c r="AV212" s="81"/>
      <c r="AW212" s="81"/>
      <c r="AX212" s="81"/>
      <c r="AY212" s="81"/>
      <c r="AZ212" s="81"/>
      <c r="BA212" s="81"/>
      <c r="BB212" s="81"/>
      <c r="BC212" s="81"/>
      <c r="BD212" s="81"/>
    </row>
    <row r="213" spans="1:58" ht="11.25" customHeight="1" x14ac:dyDescent="0.2">
      <c r="A213" s="142"/>
      <c r="B213" s="1680"/>
      <c r="C213" s="1680"/>
      <c r="D213" s="1680"/>
      <c r="E213" s="1680"/>
      <c r="F213" s="1680"/>
      <c r="G213" s="1680"/>
      <c r="H213" s="1680"/>
      <c r="I213" s="1680"/>
      <c r="J213" s="12"/>
      <c r="K213" s="9"/>
      <c r="L213" s="9"/>
      <c r="M213" s="9"/>
      <c r="N213" s="9"/>
      <c r="O213" s="9"/>
      <c r="P213" s="9"/>
      <c r="Q213" s="9"/>
      <c r="R213" s="9"/>
      <c r="S213" s="9"/>
      <c r="T213" s="9"/>
      <c r="U213" s="9"/>
      <c r="V213" s="9"/>
      <c r="W213" s="137"/>
      <c r="X213" s="150"/>
      <c r="AJ213" s="81"/>
      <c r="AK213" s="160"/>
      <c r="AL213" s="87"/>
      <c r="AM213" s="81"/>
      <c r="AN213" s="81"/>
      <c r="AO213" s="81"/>
      <c r="AP213" s="81"/>
      <c r="AQ213" s="81"/>
      <c r="AR213" s="81"/>
      <c r="AS213" s="81"/>
      <c r="AU213" s="81"/>
      <c r="AV213" s="81"/>
      <c r="AW213" s="81"/>
      <c r="AX213" s="81"/>
      <c r="AY213" s="81"/>
      <c r="AZ213" s="81"/>
      <c r="BA213" s="81"/>
      <c r="BB213" s="81"/>
      <c r="BC213" s="81"/>
      <c r="BD213" s="81"/>
    </row>
    <row r="214" spans="1:58" ht="11.25" customHeight="1" x14ac:dyDescent="0.2">
      <c r="A214" s="142"/>
      <c r="B214" s="1680" t="s">
        <v>666</v>
      </c>
      <c r="C214" s="1680"/>
      <c r="D214" s="1680"/>
      <c r="E214" s="1680"/>
      <c r="F214" s="1680"/>
      <c r="G214" s="1680"/>
      <c r="H214" s="1680"/>
      <c r="I214" s="1680"/>
      <c r="J214" s="12"/>
      <c r="K214" s="9"/>
      <c r="L214" s="9"/>
      <c r="M214" s="9"/>
      <c r="N214" s="9"/>
      <c r="O214" s="9"/>
      <c r="P214" s="9"/>
      <c r="Q214" s="9"/>
      <c r="R214" s="9"/>
      <c r="S214" s="9"/>
      <c r="T214" s="9"/>
      <c r="U214" s="9"/>
      <c r="V214" s="9"/>
      <c r="W214" s="137"/>
      <c r="X214" s="150"/>
      <c r="AJ214" s="81"/>
      <c r="AK214" s="160"/>
      <c r="AL214" s="87"/>
      <c r="AM214" s="81"/>
      <c r="AN214" s="81"/>
      <c r="AO214" s="81"/>
      <c r="AP214" s="81"/>
      <c r="AQ214" s="81"/>
      <c r="AR214" s="81"/>
      <c r="AS214" s="81"/>
      <c r="AU214" s="81"/>
      <c r="AV214" s="81"/>
      <c r="AW214" s="81"/>
      <c r="AX214" s="81"/>
      <c r="AY214" s="81"/>
      <c r="AZ214" s="81"/>
      <c r="BA214" s="81"/>
      <c r="BB214" s="81"/>
      <c r="BC214" s="81"/>
      <c r="BD214" s="81"/>
    </row>
    <row r="215" spans="1:58" ht="11.25" customHeight="1" x14ac:dyDescent="0.2">
      <c r="A215" s="142"/>
      <c r="B215" s="1680"/>
      <c r="C215" s="1680"/>
      <c r="D215" s="1680"/>
      <c r="E215" s="1680"/>
      <c r="F215" s="1680"/>
      <c r="G215" s="1680"/>
      <c r="H215" s="1680"/>
      <c r="I215" s="1680"/>
      <c r="J215" s="12"/>
      <c r="K215" s="9"/>
      <c r="L215" s="9"/>
      <c r="M215" s="9"/>
      <c r="N215" s="9"/>
      <c r="O215" s="9"/>
      <c r="P215" s="9"/>
      <c r="Q215" s="9"/>
      <c r="R215" s="9"/>
      <c r="S215" s="9"/>
      <c r="T215" s="9"/>
      <c r="U215" s="9"/>
      <c r="V215" s="9"/>
      <c r="W215" s="137"/>
      <c r="X215" s="150"/>
      <c r="AJ215" s="81"/>
      <c r="AK215" s="160"/>
      <c r="AL215" s="87"/>
      <c r="AM215" s="81"/>
      <c r="AN215" s="81"/>
      <c r="AO215" s="81"/>
      <c r="AP215" s="81"/>
      <c r="AQ215" s="81"/>
      <c r="AR215" s="81"/>
      <c r="AS215" s="81"/>
      <c r="AU215" s="81"/>
      <c r="AV215" s="81"/>
      <c r="AW215" s="81"/>
      <c r="AX215" s="81"/>
      <c r="AY215" s="81"/>
      <c r="AZ215" s="81"/>
      <c r="BA215" s="81"/>
      <c r="BB215" s="81"/>
      <c r="BC215" s="81"/>
      <c r="BD215" s="81"/>
    </row>
    <row r="216" spans="1:58" ht="11.25" customHeight="1" x14ac:dyDescent="0.2">
      <c r="A216" s="142"/>
      <c r="B216" s="1680" t="s">
        <v>906</v>
      </c>
      <c r="C216" s="1680"/>
      <c r="D216" s="1680"/>
      <c r="E216" s="1680"/>
      <c r="F216" s="1680"/>
      <c r="G216" s="1680"/>
      <c r="H216" s="1680"/>
      <c r="I216" s="1680"/>
      <c r="J216" s="12"/>
      <c r="K216" s="9"/>
      <c r="L216" s="9"/>
      <c r="M216" s="9"/>
      <c r="N216" s="9"/>
      <c r="O216" s="9"/>
      <c r="P216" s="9"/>
      <c r="Q216" s="9"/>
      <c r="R216" s="9"/>
      <c r="S216" s="9"/>
      <c r="T216" s="9"/>
      <c r="U216" s="9"/>
      <c r="V216" s="9"/>
      <c r="W216" s="137"/>
      <c r="X216" s="150"/>
      <c r="AJ216" s="81"/>
      <c r="AK216" s="160"/>
      <c r="AL216" s="87"/>
      <c r="AM216" s="81"/>
      <c r="AN216" s="81"/>
      <c r="AO216" s="81"/>
      <c r="AP216" s="81"/>
      <c r="AQ216" s="81"/>
      <c r="AR216" s="81"/>
      <c r="AS216" s="81"/>
      <c r="AU216" s="81"/>
      <c r="AV216" s="81"/>
      <c r="AW216" s="81"/>
      <c r="AX216" s="81"/>
      <c r="AY216" s="81"/>
      <c r="AZ216" s="81"/>
      <c r="BA216" s="81"/>
      <c r="BB216" s="81"/>
      <c r="BC216" s="81"/>
      <c r="BD216" s="81"/>
    </row>
    <row r="217" spans="1:58" ht="11.25" customHeight="1" x14ac:dyDescent="0.2">
      <c r="A217" s="142"/>
      <c r="B217" s="1680"/>
      <c r="C217" s="1680"/>
      <c r="D217" s="1680"/>
      <c r="E217" s="1680"/>
      <c r="F217" s="1680"/>
      <c r="G217" s="1680"/>
      <c r="H217" s="1680"/>
      <c r="I217" s="1680"/>
      <c r="J217" s="12"/>
      <c r="K217" s="9"/>
      <c r="L217" s="9"/>
      <c r="M217" s="9"/>
      <c r="N217" s="9"/>
      <c r="O217" s="9"/>
      <c r="P217" s="9"/>
      <c r="Q217" s="9"/>
      <c r="R217" s="9"/>
      <c r="S217" s="9"/>
      <c r="T217" s="9"/>
      <c r="U217" s="9"/>
      <c r="V217" s="9"/>
      <c r="W217" s="137"/>
      <c r="X217" s="150"/>
      <c r="AJ217" s="81"/>
      <c r="AK217" s="160"/>
      <c r="AL217" s="87"/>
      <c r="AM217" s="81"/>
      <c r="AN217" s="81"/>
      <c r="AO217" s="81"/>
      <c r="AP217" s="81"/>
      <c r="AQ217" s="81"/>
      <c r="AR217" s="81"/>
      <c r="AS217" s="81"/>
      <c r="AU217" s="81"/>
      <c r="AV217" s="81"/>
      <c r="AW217" s="81"/>
      <c r="AX217" s="81"/>
      <c r="AY217" s="81"/>
      <c r="AZ217" s="81"/>
      <c r="BA217" s="81"/>
      <c r="BB217" s="81"/>
      <c r="BC217" s="81"/>
      <c r="BD217" s="81"/>
    </row>
    <row r="218" spans="1:58" ht="11.25" customHeight="1" x14ac:dyDescent="0.2">
      <c r="A218" s="142"/>
      <c r="B218" s="1680" t="s">
        <v>672</v>
      </c>
      <c r="C218" s="1680"/>
      <c r="D218" s="1680"/>
      <c r="E218" s="1680"/>
      <c r="F218" s="1680"/>
      <c r="G218" s="1680"/>
      <c r="H218" s="1680"/>
      <c r="I218" s="1680"/>
      <c r="J218" s="12"/>
      <c r="K218" s="9"/>
      <c r="L218" s="9"/>
      <c r="M218" s="9"/>
      <c r="N218" s="9"/>
      <c r="O218" s="9"/>
      <c r="P218" s="9"/>
      <c r="Q218" s="9"/>
      <c r="R218" s="9"/>
      <c r="S218" s="9"/>
      <c r="T218" s="9"/>
      <c r="U218" s="9"/>
      <c r="V218" s="9"/>
      <c r="W218" s="137"/>
      <c r="X218" s="150"/>
      <c r="AJ218" s="81"/>
      <c r="AK218" s="160"/>
      <c r="AL218" s="87"/>
      <c r="AM218" s="81"/>
      <c r="AN218" s="81"/>
      <c r="AO218" s="81"/>
      <c r="AP218" s="81"/>
      <c r="AQ218" s="81"/>
      <c r="AR218" s="81"/>
      <c r="AS218" s="81"/>
      <c r="AU218" s="81"/>
      <c r="AV218" s="81"/>
      <c r="AW218" s="81"/>
      <c r="AX218" s="81"/>
      <c r="AY218" s="81"/>
      <c r="AZ218" s="81"/>
      <c r="BA218" s="81"/>
      <c r="BB218" s="81"/>
      <c r="BC218" s="81"/>
      <c r="BD218" s="81"/>
    </row>
    <row r="219" spans="1:58" s="80" customFormat="1" ht="11.25" customHeight="1" x14ac:dyDescent="0.2">
      <c r="A219" s="142"/>
      <c r="B219" s="1680"/>
      <c r="C219" s="1680"/>
      <c r="D219" s="1680"/>
      <c r="E219" s="1680"/>
      <c r="F219" s="1680"/>
      <c r="G219" s="1680"/>
      <c r="H219" s="1680"/>
      <c r="I219" s="1680"/>
      <c r="J219" s="12"/>
      <c r="K219" s="9"/>
      <c r="L219" s="9"/>
      <c r="M219" s="9"/>
      <c r="N219" s="9"/>
      <c r="O219" s="9"/>
      <c r="P219" s="9"/>
      <c r="Q219" s="9"/>
      <c r="R219" s="9"/>
      <c r="S219" s="9"/>
      <c r="T219" s="9"/>
      <c r="U219" s="9"/>
      <c r="V219" s="9"/>
      <c r="W219" s="137"/>
      <c r="X219" s="150"/>
      <c r="Y219" s="81"/>
      <c r="Z219" s="81"/>
      <c r="AA219" s="81"/>
      <c r="AB219" s="81"/>
      <c r="AC219" s="81"/>
      <c r="AD219" s="81"/>
      <c r="AE219" s="81"/>
      <c r="AF219" s="81"/>
      <c r="AG219" s="81"/>
      <c r="AH219" s="81"/>
      <c r="AI219" s="81"/>
      <c r="AJ219" s="81"/>
      <c r="AK219" s="160"/>
      <c r="AL219" s="87"/>
      <c r="AM219" s="81"/>
      <c r="AN219" s="81"/>
      <c r="AO219" s="81"/>
      <c r="AP219" s="81"/>
      <c r="AQ219" s="81"/>
      <c r="AR219" s="81"/>
      <c r="AS219" s="81"/>
      <c r="AT219" s="74"/>
      <c r="AU219" s="81"/>
      <c r="AV219" s="81"/>
      <c r="AW219" s="81"/>
      <c r="AX219" s="81"/>
      <c r="AY219" s="81"/>
      <c r="AZ219" s="81"/>
      <c r="BA219" s="81"/>
      <c r="BB219" s="81"/>
      <c r="BC219" s="81"/>
      <c r="BD219" s="81"/>
      <c r="BE219" s="74"/>
      <c r="BF219" s="74"/>
    </row>
    <row r="220" spans="1:58" ht="11.25" customHeight="1" x14ac:dyDescent="0.2">
      <c r="A220" s="1273"/>
      <c r="B220" s="1274"/>
      <c r="C220" s="1275"/>
      <c r="D220" s="1275"/>
      <c r="E220" s="1275"/>
      <c r="F220" s="1275"/>
      <c r="G220" s="1275"/>
      <c r="H220" s="1275"/>
      <c r="I220" s="1275"/>
      <c r="J220" s="1276"/>
      <c r="K220" s="201"/>
      <c r="L220" s="201"/>
      <c r="M220" s="201"/>
      <c r="N220" s="201"/>
      <c r="O220" s="201"/>
      <c r="P220" s="201"/>
      <c r="Q220" s="201"/>
      <c r="R220" s="201"/>
      <c r="S220" s="201"/>
      <c r="T220" s="201"/>
      <c r="U220" s="201"/>
      <c r="V220" s="201"/>
      <c r="W220" s="1277"/>
      <c r="X220" s="1271"/>
      <c r="Y220" s="200"/>
      <c r="Z220" s="200"/>
      <c r="AA220" s="200"/>
      <c r="AB220" s="200"/>
      <c r="AC220" s="200"/>
      <c r="AD220" s="200"/>
      <c r="AE220" s="200"/>
      <c r="AF220" s="200"/>
      <c r="AG220" s="200"/>
      <c r="AH220" s="200"/>
      <c r="AI220" s="200"/>
      <c r="AJ220" s="200"/>
      <c r="AK220" s="1614"/>
      <c r="AL220" s="1278"/>
      <c r="AM220" s="200"/>
      <c r="AN220" s="200"/>
      <c r="AO220" s="201"/>
      <c r="AP220" s="201"/>
      <c r="AQ220" s="201"/>
      <c r="AR220" s="251"/>
    </row>
    <row r="221" spans="1:58" ht="11.25" customHeight="1" x14ac:dyDescent="0.2">
      <c r="AJ221" s="81"/>
      <c r="AK221" s="81"/>
      <c r="AL221" s="81"/>
      <c r="AM221" s="81"/>
      <c r="AN221" s="81"/>
      <c r="AO221" s="81"/>
      <c r="AR221" s="184"/>
    </row>
    <row r="222" spans="1:58" ht="11.25" customHeight="1" x14ac:dyDescent="0.2">
      <c r="AJ222" s="81"/>
      <c r="AK222" s="81"/>
      <c r="AL222" s="81"/>
      <c r="AM222" s="81"/>
      <c r="AN222" s="81"/>
      <c r="AO222" s="81"/>
      <c r="AR222" s="184"/>
    </row>
    <row r="223" spans="1:58" ht="11.25" customHeight="1" x14ac:dyDescent="0.2">
      <c r="AJ223" s="81"/>
      <c r="AK223" s="81"/>
      <c r="AL223" s="81"/>
      <c r="AM223" s="81"/>
      <c r="AN223" s="81"/>
      <c r="AO223" s="81"/>
      <c r="AR223" s="184"/>
    </row>
    <row r="224" spans="1:58" ht="11.25" customHeight="1" x14ac:dyDescent="0.2">
      <c r="AJ224" s="81"/>
      <c r="AK224" s="81"/>
      <c r="AL224" s="81"/>
      <c r="AM224" s="81"/>
      <c r="AN224" s="81"/>
      <c r="AO224" s="81"/>
      <c r="AR224" s="184"/>
    </row>
    <row r="225" spans="36:44" ht="11.25" customHeight="1" x14ac:dyDescent="0.2">
      <c r="AJ225" s="81"/>
      <c r="AK225" s="81"/>
      <c r="AL225" s="81"/>
      <c r="AM225" s="81"/>
      <c r="AN225" s="81"/>
      <c r="AO225" s="81"/>
      <c r="AR225" s="184"/>
    </row>
    <row r="226" spans="36:44" ht="11.25" customHeight="1" x14ac:dyDescent="0.2">
      <c r="AJ226" s="81"/>
      <c r="AK226" s="81"/>
      <c r="AL226" s="81"/>
      <c r="AM226" s="81"/>
      <c r="AN226" s="81"/>
      <c r="AO226" s="81"/>
      <c r="AR226" s="184"/>
    </row>
    <row r="227" spans="36:44" ht="11.25" customHeight="1" x14ac:dyDescent="0.2">
      <c r="AJ227" s="81"/>
      <c r="AK227" s="81"/>
      <c r="AL227" s="81"/>
      <c r="AM227" s="81"/>
      <c r="AN227" s="81"/>
      <c r="AO227" s="81"/>
      <c r="AR227" s="184"/>
    </row>
    <row r="228" spans="36:44" ht="11.25" customHeight="1" x14ac:dyDescent="0.2">
      <c r="AJ228" s="81"/>
      <c r="AK228" s="81"/>
      <c r="AL228" s="81"/>
      <c r="AM228" s="81"/>
      <c r="AN228" s="81"/>
      <c r="AO228" s="81"/>
      <c r="AR228" s="184"/>
    </row>
    <row r="229" spans="36:44" ht="11.25" customHeight="1" x14ac:dyDescent="0.2">
      <c r="AJ229" s="81"/>
      <c r="AK229" s="81"/>
      <c r="AL229" s="81"/>
      <c r="AM229" s="81"/>
      <c r="AN229" s="81"/>
      <c r="AO229" s="81"/>
      <c r="AR229" s="184"/>
    </row>
    <row r="230" spans="36:44" ht="11.25" customHeight="1" x14ac:dyDescent="0.2">
      <c r="AJ230" s="81"/>
      <c r="AK230" s="81"/>
      <c r="AL230" s="81"/>
      <c r="AM230" s="81"/>
      <c r="AN230" s="81"/>
      <c r="AO230" s="81"/>
      <c r="AR230" s="184"/>
    </row>
    <row r="231" spans="36:44" ht="11.25" customHeight="1" x14ac:dyDescent="0.2">
      <c r="AJ231" s="81"/>
      <c r="AK231" s="81"/>
      <c r="AL231" s="81"/>
      <c r="AM231" s="81"/>
      <c r="AN231" s="81"/>
      <c r="AO231" s="81"/>
      <c r="AR231" s="184"/>
    </row>
    <row r="232" spans="36:44" ht="11.25" customHeight="1" x14ac:dyDescent="0.2">
      <c r="AJ232" s="81"/>
      <c r="AK232" s="81"/>
      <c r="AL232" s="81"/>
      <c r="AM232" s="81"/>
      <c r="AN232" s="81"/>
      <c r="AO232" s="81"/>
      <c r="AR232" s="184"/>
    </row>
    <row r="233" spans="36:44" ht="11.25" customHeight="1" x14ac:dyDescent="0.2">
      <c r="AJ233" s="81"/>
      <c r="AK233" s="81"/>
      <c r="AL233" s="81"/>
      <c r="AM233" s="81"/>
      <c r="AN233" s="81"/>
      <c r="AO233" s="81"/>
      <c r="AR233" s="184"/>
    </row>
    <row r="234" spans="36:44" ht="11.25" customHeight="1" x14ac:dyDescent="0.2">
      <c r="AJ234" s="81"/>
      <c r="AK234" s="81"/>
      <c r="AL234" s="81"/>
      <c r="AM234" s="81"/>
      <c r="AN234" s="81"/>
      <c r="AO234" s="81"/>
      <c r="AR234" s="184"/>
    </row>
    <row r="235" spans="36:44" ht="11.25" customHeight="1" x14ac:dyDescent="0.2">
      <c r="AJ235" s="81"/>
      <c r="AK235" s="81"/>
      <c r="AL235" s="81"/>
      <c r="AM235" s="81"/>
      <c r="AN235" s="81"/>
      <c r="AO235" s="81"/>
      <c r="AR235" s="184"/>
    </row>
    <row r="236" spans="36:44" ht="11.25" customHeight="1" x14ac:dyDescent="0.2">
      <c r="AJ236" s="81"/>
      <c r="AK236" s="81"/>
      <c r="AL236" s="81"/>
      <c r="AM236" s="81"/>
      <c r="AN236" s="81"/>
      <c r="AO236" s="81"/>
      <c r="AR236" s="184"/>
    </row>
    <row r="237" spans="36:44" ht="11.25" customHeight="1" x14ac:dyDescent="0.2">
      <c r="AJ237" s="81"/>
      <c r="AK237" s="81"/>
      <c r="AL237" s="81"/>
      <c r="AM237" s="81"/>
      <c r="AN237" s="81"/>
      <c r="AO237" s="81"/>
      <c r="AR237" s="184"/>
    </row>
    <row r="238" spans="36:44" ht="11.25" customHeight="1" x14ac:dyDescent="0.2">
      <c r="AJ238" s="81"/>
      <c r="AK238" s="81"/>
      <c r="AL238" s="81"/>
      <c r="AM238" s="81"/>
      <c r="AN238" s="81"/>
      <c r="AO238" s="81"/>
      <c r="AR238" s="184"/>
    </row>
    <row r="239" spans="36:44" ht="11.25" customHeight="1" x14ac:dyDescent="0.2">
      <c r="AJ239" s="81"/>
      <c r="AK239" s="81"/>
      <c r="AL239" s="81"/>
      <c r="AM239" s="81"/>
      <c r="AN239" s="81"/>
      <c r="AO239" s="81"/>
      <c r="AR239" s="184"/>
    </row>
    <row r="240" spans="36:44" ht="11.25" customHeight="1" x14ac:dyDescent="0.2">
      <c r="AJ240" s="81"/>
      <c r="AK240" s="81"/>
      <c r="AL240" s="81"/>
      <c r="AM240" s="81"/>
      <c r="AN240" s="81"/>
      <c r="AO240" s="81"/>
      <c r="AR240" s="184"/>
    </row>
    <row r="241" spans="36:44" ht="11.25" customHeight="1" x14ac:dyDescent="0.2">
      <c r="AJ241" s="81"/>
      <c r="AK241" s="81"/>
      <c r="AL241" s="81"/>
      <c r="AM241" s="81"/>
      <c r="AN241" s="81"/>
      <c r="AO241" s="81"/>
      <c r="AR241" s="184"/>
    </row>
    <row r="242" spans="36:44" ht="11.25" customHeight="1" x14ac:dyDescent="0.2">
      <c r="AJ242" s="81"/>
      <c r="AK242" s="81"/>
      <c r="AL242" s="81"/>
      <c r="AM242" s="81"/>
      <c r="AN242" s="81"/>
      <c r="AO242" s="81"/>
      <c r="AR242" s="184"/>
    </row>
    <row r="243" spans="36:44" ht="11.25" customHeight="1" x14ac:dyDescent="0.2">
      <c r="AJ243" s="81"/>
      <c r="AK243" s="81"/>
      <c r="AL243" s="81"/>
      <c r="AM243" s="81"/>
      <c r="AN243" s="81"/>
      <c r="AO243" s="81"/>
      <c r="AR243" s="184"/>
    </row>
    <row r="244" spans="36:44" ht="11.25" customHeight="1" x14ac:dyDescent="0.2">
      <c r="AJ244" s="81"/>
      <c r="AK244" s="81"/>
      <c r="AL244" s="81"/>
      <c r="AM244" s="81"/>
      <c r="AN244" s="81"/>
      <c r="AO244" s="81"/>
      <c r="AR244" s="184"/>
    </row>
    <row r="245" spans="36:44" ht="11.25" customHeight="1" x14ac:dyDescent="0.2">
      <c r="AJ245" s="81"/>
      <c r="AK245" s="81"/>
      <c r="AL245" s="81"/>
      <c r="AM245" s="81"/>
      <c r="AN245" s="81"/>
      <c r="AO245" s="81"/>
      <c r="AR245" s="184"/>
    </row>
    <row r="246" spans="36:44" ht="11.25" customHeight="1" x14ac:dyDescent="0.2">
      <c r="AJ246" s="81"/>
      <c r="AK246" s="81"/>
      <c r="AL246" s="81"/>
      <c r="AM246" s="81"/>
      <c r="AN246" s="81"/>
      <c r="AO246" s="81"/>
      <c r="AR246" s="184"/>
    </row>
    <row r="247" spans="36:44" ht="11.25" customHeight="1" x14ac:dyDescent="0.2">
      <c r="AJ247" s="81"/>
      <c r="AK247" s="81"/>
      <c r="AL247" s="81"/>
      <c r="AM247" s="81"/>
      <c r="AN247" s="81"/>
      <c r="AO247" s="81"/>
      <c r="AR247" s="184"/>
    </row>
    <row r="248" spans="36:44" ht="11.25" customHeight="1" x14ac:dyDescent="0.2">
      <c r="AJ248" s="81"/>
      <c r="AK248" s="81"/>
      <c r="AL248" s="81"/>
      <c r="AM248" s="81"/>
      <c r="AN248" s="81"/>
      <c r="AO248" s="81"/>
      <c r="AR248" s="184"/>
    </row>
    <row r="249" spans="36:44" ht="11.25" customHeight="1" x14ac:dyDescent="0.2">
      <c r="AJ249" s="81"/>
      <c r="AK249" s="81"/>
      <c r="AL249" s="81"/>
      <c r="AM249" s="81"/>
      <c r="AN249" s="81"/>
      <c r="AO249" s="81"/>
      <c r="AR249" s="184"/>
    </row>
    <row r="250" spans="36:44" ht="11.25" customHeight="1" x14ac:dyDescent="0.2">
      <c r="AJ250" s="81"/>
      <c r="AK250" s="81"/>
      <c r="AL250" s="81"/>
      <c r="AM250" s="81"/>
      <c r="AN250" s="81"/>
      <c r="AO250" s="81"/>
      <c r="AR250" s="184"/>
    </row>
    <row r="251" spans="36:44" ht="11.25" customHeight="1" x14ac:dyDescent="0.2">
      <c r="AJ251" s="81"/>
      <c r="AK251" s="81"/>
      <c r="AL251" s="81"/>
      <c r="AM251" s="81"/>
      <c r="AN251" s="81"/>
      <c r="AO251" s="81"/>
      <c r="AR251" s="184"/>
    </row>
    <row r="252" spans="36:44" ht="11.25" customHeight="1" x14ac:dyDescent="0.2">
      <c r="AJ252" s="81"/>
      <c r="AK252" s="81"/>
      <c r="AL252" s="81"/>
      <c r="AM252" s="81"/>
      <c r="AN252" s="81"/>
      <c r="AO252" s="81"/>
      <c r="AR252" s="184"/>
    </row>
    <row r="253" spans="36:44" ht="11.25" customHeight="1" x14ac:dyDescent="0.2">
      <c r="AJ253" s="81"/>
      <c r="AK253" s="81"/>
      <c r="AL253" s="81"/>
      <c r="AM253" s="81"/>
      <c r="AN253" s="81"/>
      <c r="AO253" s="81"/>
      <c r="AR253" s="184"/>
    </row>
    <row r="346" spans="38:38" ht="11.25" customHeight="1" x14ac:dyDescent="0.2">
      <c r="AL346" s="74" t="b">
        <v>1</v>
      </c>
    </row>
  </sheetData>
  <sheetProtection sheet="1" objects="1" scenarios="1"/>
  <mergeCells count="50">
    <mergeCell ref="B5:N6"/>
    <mergeCell ref="M64:P64"/>
    <mergeCell ref="M65:P65"/>
    <mergeCell ref="R65:U65"/>
    <mergeCell ref="A71:V71"/>
    <mergeCell ref="A105:V105"/>
    <mergeCell ref="A106:V106"/>
    <mergeCell ref="B110:B111"/>
    <mergeCell ref="A70:V70"/>
    <mergeCell ref="B188:I189"/>
    <mergeCell ref="B190:I191"/>
    <mergeCell ref="B192:I193"/>
    <mergeCell ref="B108:I109"/>
    <mergeCell ref="A141:V141"/>
    <mergeCell ref="A142:V142"/>
    <mergeCell ref="D7:H7"/>
    <mergeCell ref="I7:I9"/>
    <mergeCell ref="Q7:Q9"/>
    <mergeCell ref="B35:U35"/>
    <mergeCell ref="A37:V37"/>
    <mergeCell ref="K7:P7"/>
    <mergeCell ref="S7:U8"/>
    <mergeCell ref="O8:P8"/>
    <mergeCell ref="O9:P9"/>
    <mergeCell ref="B7:B9"/>
    <mergeCell ref="B194:I195"/>
    <mergeCell ref="B196:I197"/>
    <mergeCell ref="B198:I199"/>
    <mergeCell ref="B200:I201"/>
    <mergeCell ref="AA8:AA9"/>
    <mergeCell ref="R64:U64"/>
    <mergeCell ref="A38:V38"/>
    <mergeCell ref="Z8:Z9"/>
    <mergeCell ref="B144:I145"/>
    <mergeCell ref="A177:V177"/>
    <mergeCell ref="A178:V178"/>
    <mergeCell ref="B146:B147"/>
    <mergeCell ref="B180:I181"/>
    <mergeCell ref="B182:I183"/>
    <mergeCell ref="B184:I185"/>
    <mergeCell ref="B186:I187"/>
    <mergeCell ref="B212:I213"/>
    <mergeCell ref="B214:I215"/>
    <mergeCell ref="B216:I217"/>
    <mergeCell ref="B218:I219"/>
    <mergeCell ref="B202:I203"/>
    <mergeCell ref="B204:I205"/>
    <mergeCell ref="B206:I207"/>
    <mergeCell ref="B208:I209"/>
    <mergeCell ref="B210:I211"/>
  </mergeCells>
  <conditionalFormatting sqref="Z145:AD145">
    <cfRule type="cellIs" dxfId="666" priority="66" stopIfTrue="1" operator="equal">
      <formula>0</formula>
    </cfRule>
  </conditionalFormatting>
  <conditionalFormatting sqref="B10:B31 K10:O31 Q10:Q31 D10:I31 S10:U31 B51:C66 B148:B169 Z147:AD167 D148:H169 B112:B133 D112:H133 P10:P33">
    <cfRule type="expression" dxfId="665" priority="67">
      <formula>$B10=$Z$4</formula>
    </cfRule>
  </conditionalFormatting>
  <conditionalFormatting sqref="B32:B33 B170:B171 B134:B135">
    <cfRule type="expression" dxfId="664" priority="69" stopIfTrue="1">
      <formula>$B32=$Z$4</formula>
    </cfRule>
  </conditionalFormatting>
  <conditionalFormatting sqref="S10:S31">
    <cfRule type="expression" dxfId="663" priority="65">
      <formula>$B10=$Y$5</formula>
    </cfRule>
  </conditionalFormatting>
  <conditionalFormatting sqref="B112:B133 D112:H133 S10:S31">
    <cfRule type="containsErrors" dxfId="662" priority="61">
      <formula>ISERROR(B10)</formula>
    </cfRule>
  </conditionalFormatting>
  <conditionalFormatting sqref="A10:A31">
    <cfRule type="cellIs" dxfId="661" priority="58" operator="equal">
      <formula>0</formula>
    </cfRule>
  </conditionalFormatting>
  <conditionalFormatting sqref="A112:A133">
    <cfRule type="cellIs" dxfId="660" priority="57" operator="equal">
      <formula>0</formula>
    </cfRule>
  </conditionalFormatting>
  <conditionalFormatting sqref="A148:A169">
    <cfRule type="cellIs" dxfId="659" priority="56" operator="equal">
      <formula>0</formula>
    </cfRule>
  </conditionalFormatting>
  <conditionalFormatting sqref="A1:A37 A39:A70 A72:A105 A107:A141 A143:A177 A254:A1048576">
    <cfRule type="containsErrors" dxfId="658" priority="55">
      <formula>ISERROR(A1)</formula>
    </cfRule>
  </conditionalFormatting>
  <conditionalFormatting sqref="AG10:AH28">
    <cfRule type="containsErrors" dxfId="657" priority="54">
      <formula>ISERROR(AG10)</formula>
    </cfRule>
  </conditionalFormatting>
  <conditionalFormatting sqref="AG10:AH21 AH11:AH28">
    <cfRule type="expression" dxfId="656" priority="53">
      <formula>$B10=$X$4</formula>
    </cfRule>
  </conditionalFormatting>
  <conditionalFormatting sqref="Z146:AD146">
    <cfRule type="expression" dxfId="655" priority="49">
      <formula>$B145=$Z$4</formula>
    </cfRule>
    <cfRule type="containsErrors" dxfId="654" priority="50">
      <formula>ISERROR(Z146)</formula>
    </cfRule>
  </conditionalFormatting>
  <conditionalFormatting sqref="I10:I31">
    <cfRule type="containsErrors" dxfId="653" priority="70">
      <formula>ISERROR(I10)</formula>
    </cfRule>
  </conditionalFormatting>
  <conditionalFormatting sqref="A38">
    <cfRule type="cellIs" dxfId="652" priority="45" operator="equal">
      <formula>0</formula>
    </cfRule>
    <cfRule type="containsErrors" dxfId="651" priority="46">
      <formula>ISERROR(A38)</formula>
    </cfRule>
  </conditionalFormatting>
  <conditionalFormatting sqref="A71">
    <cfRule type="cellIs" dxfId="650" priority="43" operator="equal">
      <formula>0</formula>
    </cfRule>
    <cfRule type="containsErrors" dxfId="649" priority="44">
      <formula>ISERROR(A71)</formula>
    </cfRule>
  </conditionalFormatting>
  <conditionalFormatting sqref="A106">
    <cfRule type="cellIs" dxfId="648" priority="41" operator="equal">
      <formula>0</formula>
    </cfRule>
    <cfRule type="containsErrors" dxfId="647" priority="42">
      <formula>ISERROR(A106)</formula>
    </cfRule>
  </conditionalFormatting>
  <conditionalFormatting sqref="A142">
    <cfRule type="cellIs" dxfId="646" priority="39" operator="equal">
      <formula>0</formula>
    </cfRule>
    <cfRule type="containsErrors" dxfId="645" priority="40">
      <formula>ISERROR(A142)</formula>
    </cfRule>
  </conditionalFormatting>
  <conditionalFormatting sqref="A178">
    <cfRule type="cellIs" dxfId="644" priority="37" operator="equal">
      <formula>0</formula>
    </cfRule>
    <cfRule type="containsErrors" dxfId="643" priority="38">
      <formula>ISERROR(A178)</formula>
    </cfRule>
  </conditionalFormatting>
  <conditionalFormatting sqref="D8:H8">
    <cfRule type="containsErrors" dxfId="642" priority="34">
      <formula>ISERROR(D8)</formula>
    </cfRule>
  </conditionalFormatting>
  <conditionalFormatting sqref="D9:H9">
    <cfRule type="containsErrors" dxfId="641" priority="36">
      <formula>ISERROR(D9)</formula>
    </cfRule>
  </conditionalFormatting>
  <conditionalFormatting sqref="K8:O8">
    <cfRule type="containsErrors" dxfId="640" priority="33">
      <formula>ISERROR(K8)</formula>
    </cfRule>
  </conditionalFormatting>
  <conditionalFormatting sqref="K9:O9">
    <cfRule type="containsErrors" dxfId="639" priority="71">
      <formula>ISERROR(K9)</formula>
    </cfRule>
  </conditionalFormatting>
  <conditionalFormatting sqref="P32:P33">
    <cfRule type="containsErrors" dxfId="638" priority="30">
      <formula>ISERROR(P32)</formula>
    </cfRule>
  </conditionalFormatting>
  <conditionalFormatting sqref="P10:P33">
    <cfRule type="containsErrors" dxfId="637" priority="28">
      <formula>ISERROR(P10)</formula>
    </cfRule>
    <cfRule type="dataBar" priority="29">
      <dataBar showValue="0">
        <cfvo type="min"/>
        <cfvo type="max"/>
        <color theme="9"/>
      </dataBar>
      <extLst>
        <ext xmlns:x14="http://schemas.microsoft.com/office/spreadsheetml/2009/9/main" uri="{B025F937-C7B1-47D3-B67F-A62EFF666E3E}">
          <x14:id>{E244C23F-BE96-461F-ADF8-C0B7834A64D3}</x14:id>
        </ext>
      </extLst>
    </cfRule>
  </conditionalFormatting>
  <conditionalFormatting sqref="Y3">
    <cfRule type="containsErrors" dxfId="636" priority="25">
      <formula>ISERROR(Y3)</formula>
    </cfRule>
  </conditionalFormatting>
  <conditionalFormatting sqref="Y2">
    <cfRule type="containsErrors" dxfId="635" priority="24">
      <formula>ISERROR(Y2)</formula>
    </cfRule>
  </conditionalFormatting>
  <conditionalFormatting sqref="D110:H110">
    <cfRule type="containsErrors" dxfId="634" priority="18">
      <formula>ISERROR(D110)</formula>
    </cfRule>
  </conditionalFormatting>
  <conditionalFormatting sqref="D111:H111">
    <cfRule type="containsErrors" dxfId="633" priority="19">
      <formula>ISERROR(D111)</formula>
    </cfRule>
  </conditionalFormatting>
  <conditionalFormatting sqref="D146:H146">
    <cfRule type="containsErrors" dxfId="632" priority="16">
      <formula>ISERROR(D146)</formula>
    </cfRule>
  </conditionalFormatting>
  <conditionalFormatting sqref="D147:H147">
    <cfRule type="containsErrors" dxfId="631" priority="17">
      <formula>ISERROR(D147)</formula>
    </cfRule>
  </conditionalFormatting>
  <conditionalFormatting sqref="AB9:AF9">
    <cfRule type="cellIs" dxfId="630" priority="15" stopIfTrue="1" operator="equal">
      <formula>0</formula>
    </cfRule>
  </conditionalFormatting>
  <conditionalFormatting sqref="D171:H171 D135:H135">
    <cfRule type="containsErrors" dxfId="629" priority="14">
      <formula>ISERROR(D135)</formula>
    </cfRule>
  </conditionalFormatting>
  <conditionalFormatting sqref="D33:I33 K33:O33">
    <cfRule type="containsErrors" dxfId="628" priority="13">
      <formula>ISERROR(D33)</formula>
    </cfRule>
  </conditionalFormatting>
  <conditionalFormatting sqref="B10:B31 K10:O31 B51:C66 D10:H31 B148:B169 Z147:AD167 D148:H169">
    <cfRule type="containsErrors" dxfId="627" priority="68">
      <formula>ISERROR(B10)</formula>
    </cfRule>
  </conditionalFormatting>
  <conditionalFormatting sqref="Q10:Q31">
    <cfRule type="containsErrors" dxfId="626" priority="12">
      <formula>ISERROR(Q10)</formula>
    </cfRule>
  </conditionalFormatting>
  <conditionalFormatting sqref="T10:T31">
    <cfRule type="containsErrors" dxfId="625" priority="11">
      <formula>ISERROR(T10)</formula>
    </cfRule>
  </conditionalFormatting>
  <conditionalFormatting sqref="T32">
    <cfRule type="containsErrors" dxfId="624" priority="9">
      <formula>ISERROR(T32)</formula>
    </cfRule>
  </conditionalFormatting>
  <conditionalFormatting sqref="T33">
    <cfRule type="containsErrors" dxfId="623" priority="8">
      <formula>ISERROR(T33)</formula>
    </cfRule>
  </conditionalFormatting>
  <conditionalFormatting sqref="U10:U31">
    <cfRule type="containsErrors" dxfId="622" priority="7">
      <formula>ISERROR(U10)</formula>
    </cfRule>
  </conditionalFormatting>
  <conditionalFormatting sqref="U32">
    <cfRule type="containsErrors" dxfId="621" priority="5">
      <formula>ISERROR(U32)</formula>
    </cfRule>
  </conditionalFormatting>
  <conditionalFormatting sqref="U33">
    <cfRule type="containsErrors" dxfId="620" priority="4">
      <formula>ISERROR(U33)</formula>
    </cfRule>
  </conditionalFormatting>
  <conditionalFormatting sqref="Z3:AD3">
    <cfRule type="containsErrors" dxfId="619" priority="3">
      <formula>ISERROR(Z3)</formula>
    </cfRule>
  </conditionalFormatting>
  <conditionalFormatting sqref="Z2:AD2">
    <cfRule type="containsErrors" dxfId="618" priority="2">
      <formula>ISERROR(Z2)</formula>
    </cfRule>
  </conditionalFormatting>
  <conditionalFormatting sqref="A221:A253">
    <cfRule type="containsErrors" dxfId="617" priority="1">
      <formula>ISERROR(A221)</formula>
    </cfRule>
  </conditionalFormatting>
  <hyperlinks>
    <hyperlink ref="B184:H185" location="IDACI!A1" display="IDACI" xr:uid="{2A751305-9BD1-422F-9941-907EF53CC207}"/>
    <hyperlink ref="B208:I209" location="ROSGO!A1" display="Child Arrangement &amp; Special Guardianship Orders" xr:uid="{4BA19F9F-6331-4B10-AC74-E431D255CAB7}"/>
    <hyperlink ref="B188:G189" location="EH_Referrals!A1" display="Early Help Referrals" xr:uid="{3BC86318-BA34-46E7-8A9D-1D4AC9167B70}"/>
    <hyperlink ref="B208:E209" location="ROSGO!A1" display="Child Arrangement &amp; Special Guardianship Orders" xr:uid="{9E8E5557-AE93-426E-B699-17AC4066C23A}"/>
    <hyperlink ref="B188:E189" location="EH_Referrals!A1" display="Early Help Referrals" xr:uid="{ECD66BC3-217D-4456-8599-159BB378F5C0}"/>
    <hyperlink ref="B186:D187" location="IDACI!A1" display="IDACI" xr:uid="{2E59F963-9118-4D34-93CE-BFCCF9B0B3FF}"/>
    <hyperlink ref="B182:D183" location="Indicators!A1" display="Indicators" xr:uid="{8373F5E5-F295-4685-892D-1C5539E973E4}"/>
    <hyperlink ref="B210:D211" location="New_Ceased_LAC!A1" display="New/ Ceased Looked After Children" xr:uid="{E106A789-BC40-492A-A7B0-E72930310170}"/>
    <hyperlink ref="B214:D215" location="Care_Leavers!A1" display="Care Leavers" xr:uid="{492312ED-D305-4AB3-862A-47CB0E26008B}"/>
    <hyperlink ref="B218:D219" location="Offending!A1" display="Offending" xr:uid="{E70337B7-A989-4916-BD8F-CB5BBA197C5E}"/>
    <hyperlink ref="B216:D217" location="EHCP!A1" display="Education Health and Care Plans (EHCP)" xr:uid="{BF63C76D-6332-4462-8649-61C8BB3AA4EA}"/>
    <hyperlink ref="B184:B185" location="Coverage!A1" display="Participating LA's" xr:uid="{4713357D-70AB-47C8-BB17-CE55AEE0E715}"/>
    <hyperlink ref="B186:B187" location="IDACI!A1" display="IDACI" xr:uid="{896195E7-CB72-4A1C-89DF-EAC871D4105E}"/>
    <hyperlink ref="B212:B213" location="Adoption!A1" display="Adoption" xr:uid="{838F319A-713E-4B86-8394-9F27E5D8A7AE}"/>
    <hyperlink ref="B208:B209" location="'Looked After Children'!A1" display="Looked After Children" xr:uid="{78DF8D12-4699-4FA8-BA95-8183D3CEC010}"/>
    <hyperlink ref="B206:B207" location="'Court Applications'!A1" display="Court Applications" xr:uid="{88E9440C-8911-4218-9D66-BEECCBDA6A04}"/>
    <hyperlink ref="B204:B205" location="'Child Protection Plans'!A1" display="Child Protection Plans" xr:uid="{A7D2A556-4198-421D-8C56-C31BFF66E33B}"/>
    <hyperlink ref="B202:B203" location="'Initial CP Conferences'!A1" display="Initial Child Protection Conferences" xr:uid="{2D84BCD3-ED27-482A-A8CC-E9D2BE7C1020}"/>
    <hyperlink ref="B200:B201" location="'Section 47 Enquiries'!A1" display="Section 47 Enquiries" xr:uid="{9F499282-33FA-4AEB-B234-9ED42EEF42DF}"/>
    <hyperlink ref="B198:B199" location="'Children in Need'!A1" display="Children in Need" xr:uid="{449AAFD0-324D-4F4F-956D-1AF31D75BF4B}"/>
    <hyperlink ref="B196:B197" location="Assessments!A1" display="Assessments" xr:uid="{04DAB2C5-AD70-4ED3-8A93-3D51FEBE45F7}"/>
    <hyperlink ref="B194:B195" location="'Re-referrals'!A1" display="Re-referrals" xr:uid="{842BDB94-0872-4FEF-83EF-4DBFB19653A1}"/>
    <hyperlink ref="B192:B193" location="Referral_Source!A1" display="Referral Source" xr:uid="{8160E859-70BA-457D-9991-735EAC227D46}"/>
    <hyperlink ref="B190:B191" location="Referrals!A1" display="Referrals" xr:uid="{D11A5721-1361-4EE2-BF39-906D495F7917}"/>
    <hyperlink ref="B188:B189" location="Population!A1" display="Population" xr:uid="{E9BDEE98-4D09-4D59-B4DA-CF4A8591F3BC}"/>
    <hyperlink ref="B186:C187" location="IDACI!A1" display="IDACI" xr:uid="{5939FD01-60FB-4721-B928-B84589FAE051}"/>
    <hyperlink ref="B182:B183" location="Coverage!A1" display="Participating LA's" xr:uid="{A13414F7-ECB5-4315-B6B8-3B2093D49C17}"/>
    <hyperlink ref="B182:C183" location="Indicators!A1" display="Indicators" xr:uid="{41EA7C76-1057-4A42-A8E5-F95E6F91DD8E}"/>
    <hyperlink ref="B214:B215" location="'Looked After Children'!A1" display="Looked After Children" xr:uid="{27101A31-0B76-45C9-B354-7D8105DE12D1}"/>
    <hyperlink ref="B210:B211" location="'Court Applications'!A1" display="Court Applications" xr:uid="{057EABD0-2E14-4289-99E8-A6CE69B0C0D4}"/>
    <hyperlink ref="B210:C211" location="New_Ceased_LAC!A1" display="New/ Ceased Looked After Children" xr:uid="{93411D4D-C2EC-4B72-8314-7E90B12B2C4E}"/>
    <hyperlink ref="B214:C215" location="Care_Leavers!A1" display="Care Leavers" xr:uid="{DAE0EB83-DAE8-463D-95C2-93F3AF7A3AA6}"/>
    <hyperlink ref="B217:B219" location="Adoption!A1" display="Adoption" xr:uid="{16BA8448-9D8C-472D-9E43-BB7509456327}"/>
    <hyperlink ref="B218:B219" location="'Looked After Children'!A1" display="Looked After Children" xr:uid="{3D249728-109C-4210-B888-DB4D9B91ABED}"/>
    <hyperlink ref="B218:C219" location="Offending!A1" display="Offending" xr:uid="{4C805F8A-B171-4830-BF41-7A215D11FABC}"/>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8" max="18" man="1"/>
    <brk id="71" max="20" man="1"/>
    <brk id="106" max="20" man="1"/>
    <brk id="142" max="20" man="1"/>
  </rowBreaks>
  <ignoredErrors>
    <ignoredError sqref="A148:A169 A112:A133 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macro="[0]!CheckBox1_Click" altText="">
                <anchor>
                  <from>
                    <xdr:col>23</xdr:col>
                    <xdr:colOff>76200</xdr:colOff>
                    <xdr:row>39</xdr:row>
                    <xdr:rowOff>38100</xdr:rowOff>
                  </from>
                  <to>
                    <xdr:col>36</xdr:col>
                    <xdr:colOff>47625</xdr:colOff>
                    <xdr:row>41</xdr:row>
                    <xdr:rowOff>19050</xdr:rowOff>
                  </to>
                </anchor>
              </controlPr>
            </control>
          </mc:Choice>
        </mc:AlternateContent>
        <mc:AlternateContent xmlns:mc="http://schemas.openxmlformats.org/markup-compatibility/2006">
          <mc:Choice Requires="x14">
            <control shapeId="98306" r:id="rId5" name="Check Box 2">
              <controlPr defaultSize="0" autoFill="0" autoLine="0" autoPict="0" macro="[0]!CheckBox1_Click" altText="">
                <anchor>
                  <from>
                    <xdr:col>23</xdr:col>
                    <xdr:colOff>76200</xdr:colOff>
                    <xdr:row>40</xdr:row>
                    <xdr:rowOff>161925</xdr:rowOff>
                  </from>
                  <to>
                    <xdr:col>36</xdr:col>
                    <xdr:colOff>47625</xdr:colOff>
                    <xdr:row>42</xdr:row>
                    <xdr:rowOff>19050</xdr:rowOff>
                  </to>
                </anchor>
              </controlPr>
            </control>
          </mc:Choice>
        </mc:AlternateContent>
        <mc:AlternateContent xmlns:mc="http://schemas.openxmlformats.org/markup-compatibility/2006">
          <mc:Choice Requires="x14">
            <control shapeId="98307" r:id="rId6" name="Check Box 3">
              <controlPr defaultSize="0" autoFill="0" autoLine="0" autoPict="0" macro="[0]!CheckBox1_Click" altText="">
                <anchor>
                  <from>
                    <xdr:col>23</xdr:col>
                    <xdr:colOff>76200</xdr:colOff>
                    <xdr:row>41</xdr:row>
                    <xdr:rowOff>161925</xdr:rowOff>
                  </from>
                  <to>
                    <xdr:col>36</xdr:col>
                    <xdr:colOff>47625</xdr:colOff>
                    <xdr:row>43</xdr:row>
                    <xdr:rowOff>19050</xdr:rowOff>
                  </to>
                </anchor>
              </controlPr>
            </control>
          </mc:Choice>
        </mc:AlternateContent>
        <mc:AlternateContent xmlns:mc="http://schemas.openxmlformats.org/markup-compatibility/2006">
          <mc:Choice Requires="x14">
            <control shapeId="98308" r:id="rId7" name="Check Box 4">
              <controlPr defaultSize="0" autoFill="0" autoLine="0" autoPict="0" macro="[0]!CheckBox1_Click" altText="">
                <anchor>
                  <from>
                    <xdr:col>23</xdr:col>
                    <xdr:colOff>76200</xdr:colOff>
                    <xdr:row>42</xdr:row>
                    <xdr:rowOff>161925</xdr:rowOff>
                  </from>
                  <to>
                    <xdr:col>36</xdr:col>
                    <xdr:colOff>47625</xdr:colOff>
                    <xdr:row>44</xdr:row>
                    <xdr:rowOff>19050</xdr:rowOff>
                  </to>
                </anchor>
              </controlPr>
            </control>
          </mc:Choice>
        </mc:AlternateContent>
        <mc:AlternateContent xmlns:mc="http://schemas.openxmlformats.org/markup-compatibility/2006">
          <mc:Choice Requires="x14">
            <control shapeId="98309" r:id="rId8" name="Check Box 5">
              <controlPr defaultSize="0" autoFill="0" autoLine="0" autoPict="0" macro="[0]!CheckBox1_Click" altText="">
                <anchor>
                  <from>
                    <xdr:col>23</xdr:col>
                    <xdr:colOff>76200</xdr:colOff>
                    <xdr:row>43</xdr:row>
                    <xdr:rowOff>161925</xdr:rowOff>
                  </from>
                  <to>
                    <xdr:col>36</xdr:col>
                    <xdr:colOff>47625</xdr:colOff>
                    <xdr:row>45</xdr:row>
                    <xdr:rowOff>19050</xdr:rowOff>
                  </to>
                </anchor>
              </controlPr>
            </control>
          </mc:Choice>
        </mc:AlternateContent>
        <mc:AlternateContent xmlns:mc="http://schemas.openxmlformats.org/markup-compatibility/2006">
          <mc:Choice Requires="x14">
            <control shapeId="98310" r:id="rId9" name="Check Box 6">
              <controlPr defaultSize="0" autoFill="0" autoLine="0" autoPict="0" macro="[0]!CheckBox1_Click" altText="">
                <anchor>
                  <from>
                    <xdr:col>23</xdr:col>
                    <xdr:colOff>76200</xdr:colOff>
                    <xdr:row>44</xdr:row>
                    <xdr:rowOff>161925</xdr:rowOff>
                  </from>
                  <to>
                    <xdr:col>36</xdr:col>
                    <xdr:colOff>47625</xdr:colOff>
                    <xdr:row>46</xdr:row>
                    <xdr:rowOff>19050</xdr:rowOff>
                  </to>
                </anchor>
              </controlPr>
            </control>
          </mc:Choice>
        </mc:AlternateContent>
        <mc:AlternateContent xmlns:mc="http://schemas.openxmlformats.org/markup-compatibility/2006">
          <mc:Choice Requires="x14">
            <control shapeId="98311" r:id="rId10" name="Check Box 7">
              <controlPr defaultSize="0" autoFill="0" autoLine="0" autoPict="0" macro="[0]!CheckBox1_Click" altText="">
                <anchor>
                  <from>
                    <xdr:col>23</xdr:col>
                    <xdr:colOff>76200</xdr:colOff>
                    <xdr:row>45</xdr:row>
                    <xdr:rowOff>161925</xdr:rowOff>
                  </from>
                  <to>
                    <xdr:col>36</xdr:col>
                    <xdr:colOff>47625</xdr:colOff>
                    <xdr:row>47</xdr:row>
                    <xdr:rowOff>19050</xdr:rowOff>
                  </to>
                </anchor>
              </controlPr>
            </control>
          </mc:Choice>
        </mc:AlternateContent>
        <mc:AlternateContent xmlns:mc="http://schemas.openxmlformats.org/markup-compatibility/2006">
          <mc:Choice Requires="x14">
            <control shapeId="98312" r:id="rId11" name="Check Box 8">
              <controlPr defaultSize="0" autoFill="0" autoLine="0" autoPict="0" macro="[0]!CheckBox1_Click" altText="">
                <anchor>
                  <from>
                    <xdr:col>23</xdr:col>
                    <xdr:colOff>76200</xdr:colOff>
                    <xdr:row>46</xdr:row>
                    <xdr:rowOff>161925</xdr:rowOff>
                  </from>
                  <to>
                    <xdr:col>36</xdr:col>
                    <xdr:colOff>47625</xdr:colOff>
                    <xdr:row>48</xdr:row>
                    <xdr:rowOff>19050</xdr:rowOff>
                  </to>
                </anchor>
              </controlPr>
            </control>
          </mc:Choice>
        </mc:AlternateContent>
        <mc:AlternateContent xmlns:mc="http://schemas.openxmlformats.org/markup-compatibility/2006">
          <mc:Choice Requires="x14">
            <control shapeId="98313" r:id="rId12" name="Check Box 9">
              <controlPr defaultSize="0" autoFill="0" autoLine="0" autoPict="0" macro="[0]!CheckBox1_Click" altText="">
                <anchor>
                  <from>
                    <xdr:col>23</xdr:col>
                    <xdr:colOff>76200</xdr:colOff>
                    <xdr:row>47</xdr:row>
                    <xdr:rowOff>161925</xdr:rowOff>
                  </from>
                  <to>
                    <xdr:col>36</xdr:col>
                    <xdr:colOff>47625</xdr:colOff>
                    <xdr:row>49</xdr:row>
                    <xdr:rowOff>19050</xdr:rowOff>
                  </to>
                </anchor>
              </controlPr>
            </control>
          </mc:Choice>
        </mc:AlternateContent>
        <mc:AlternateContent xmlns:mc="http://schemas.openxmlformats.org/markup-compatibility/2006">
          <mc:Choice Requires="x14">
            <control shapeId="98314" r:id="rId13" name="Check Box 10">
              <controlPr defaultSize="0" autoFill="0" autoLine="0" autoPict="0" macro="[0]!CheckBox1_Click" altText="">
                <anchor>
                  <from>
                    <xdr:col>23</xdr:col>
                    <xdr:colOff>76200</xdr:colOff>
                    <xdr:row>48</xdr:row>
                    <xdr:rowOff>161925</xdr:rowOff>
                  </from>
                  <to>
                    <xdr:col>36</xdr:col>
                    <xdr:colOff>47625</xdr:colOff>
                    <xdr:row>50</xdr:row>
                    <xdr:rowOff>19050</xdr:rowOff>
                  </to>
                </anchor>
              </controlPr>
            </control>
          </mc:Choice>
        </mc:AlternateContent>
        <mc:AlternateContent xmlns:mc="http://schemas.openxmlformats.org/markup-compatibility/2006">
          <mc:Choice Requires="x14">
            <control shapeId="98315" r:id="rId14" name="Check Box 11">
              <controlPr defaultSize="0" autoFill="0" autoLine="0" autoPict="0" macro="[0]!CheckBox1_Click" altText="">
                <anchor>
                  <from>
                    <xdr:col>23</xdr:col>
                    <xdr:colOff>76200</xdr:colOff>
                    <xdr:row>49</xdr:row>
                    <xdr:rowOff>161925</xdr:rowOff>
                  </from>
                  <to>
                    <xdr:col>36</xdr:col>
                    <xdr:colOff>47625</xdr:colOff>
                    <xdr:row>51</xdr:row>
                    <xdr:rowOff>19050</xdr:rowOff>
                  </to>
                </anchor>
              </controlPr>
            </control>
          </mc:Choice>
        </mc:AlternateContent>
        <mc:AlternateContent xmlns:mc="http://schemas.openxmlformats.org/markup-compatibility/2006">
          <mc:Choice Requires="x14">
            <control shapeId="98316" r:id="rId15" name="Check Box 12">
              <controlPr defaultSize="0" autoFill="0" autoLine="0" autoPict="0" macro="[0]!CheckBox1_Click" altText="">
                <anchor>
                  <from>
                    <xdr:col>23</xdr:col>
                    <xdr:colOff>76200</xdr:colOff>
                    <xdr:row>50</xdr:row>
                    <xdr:rowOff>161925</xdr:rowOff>
                  </from>
                  <to>
                    <xdr:col>36</xdr:col>
                    <xdr:colOff>47625</xdr:colOff>
                    <xdr:row>52</xdr:row>
                    <xdr:rowOff>19050</xdr:rowOff>
                  </to>
                </anchor>
              </controlPr>
            </control>
          </mc:Choice>
        </mc:AlternateContent>
        <mc:AlternateContent xmlns:mc="http://schemas.openxmlformats.org/markup-compatibility/2006">
          <mc:Choice Requires="x14">
            <control shapeId="98317" r:id="rId16" name="Check Box 13">
              <controlPr defaultSize="0" autoFill="0" autoLine="0" autoPict="0" macro="[0]!CheckBox1_Click" altText="">
                <anchor>
                  <from>
                    <xdr:col>23</xdr:col>
                    <xdr:colOff>76200</xdr:colOff>
                    <xdr:row>51</xdr:row>
                    <xdr:rowOff>161925</xdr:rowOff>
                  </from>
                  <to>
                    <xdr:col>36</xdr:col>
                    <xdr:colOff>47625</xdr:colOff>
                    <xdr:row>53</xdr:row>
                    <xdr:rowOff>19050</xdr:rowOff>
                  </to>
                </anchor>
              </controlPr>
            </control>
          </mc:Choice>
        </mc:AlternateContent>
        <mc:AlternateContent xmlns:mc="http://schemas.openxmlformats.org/markup-compatibility/2006">
          <mc:Choice Requires="x14">
            <control shapeId="98318" r:id="rId17" name="Check Box 14">
              <controlPr defaultSize="0" autoFill="0" autoLine="0" autoPict="0" macro="[0]!CheckBox1_Click" altText="">
                <anchor>
                  <from>
                    <xdr:col>23</xdr:col>
                    <xdr:colOff>76200</xdr:colOff>
                    <xdr:row>52</xdr:row>
                    <xdr:rowOff>161925</xdr:rowOff>
                  </from>
                  <to>
                    <xdr:col>36</xdr:col>
                    <xdr:colOff>47625</xdr:colOff>
                    <xdr:row>54</xdr:row>
                    <xdr:rowOff>19050</xdr:rowOff>
                  </to>
                </anchor>
              </controlPr>
            </control>
          </mc:Choice>
        </mc:AlternateContent>
        <mc:AlternateContent xmlns:mc="http://schemas.openxmlformats.org/markup-compatibility/2006">
          <mc:Choice Requires="x14">
            <control shapeId="98319" r:id="rId18" name="Check Box 15">
              <controlPr defaultSize="0" autoFill="0" autoLine="0" autoPict="0" macro="[0]!CheckBox1_Click" altText="">
                <anchor>
                  <from>
                    <xdr:col>23</xdr:col>
                    <xdr:colOff>76200</xdr:colOff>
                    <xdr:row>53</xdr:row>
                    <xdr:rowOff>161925</xdr:rowOff>
                  </from>
                  <to>
                    <xdr:col>36</xdr:col>
                    <xdr:colOff>47625</xdr:colOff>
                    <xdr:row>55</xdr:row>
                    <xdr:rowOff>19050</xdr:rowOff>
                  </to>
                </anchor>
              </controlPr>
            </control>
          </mc:Choice>
        </mc:AlternateContent>
        <mc:AlternateContent xmlns:mc="http://schemas.openxmlformats.org/markup-compatibility/2006">
          <mc:Choice Requires="x14">
            <control shapeId="98320" r:id="rId19" name="Check Box 16">
              <controlPr defaultSize="0" autoFill="0" autoLine="0" autoPict="0" macro="[0]!CheckBox1_Click" altText="">
                <anchor>
                  <from>
                    <xdr:col>23</xdr:col>
                    <xdr:colOff>76200</xdr:colOff>
                    <xdr:row>54</xdr:row>
                    <xdr:rowOff>161925</xdr:rowOff>
                  </from>
                  <to>
                    <xdr:col>36</xdr:col>
                    <xdr:colOff>47625</xdr:colOff>
                    <xdr:row>56</xdr:row>
                    <xdr:rowOff>19050</xdr:rowOff>
                  </to>
                </anchor>
              </controlPr>
            </control>
          </mc:Choice>
        </mc:AlternateContent>
        <mc:AlternateContent xmlns:mc="http://schemas.openxmlformats.org/markup-compatibility/2006">
          <mc:Choice Requires="x14">
            <control shapeId="98321" r:id="rId20" name="Check Box 17">
              <controlPr defaultSize="0" autoFill="0" autoLine="0" autoPict="0" macro="[0]!CheckBox1_Click" altText="">
                <anchor>
                  <from>
                    <xdr:col>23</xdr:col>
                    <xdr:colOff>76200</xdr:colOff>
                    <xdr:row>57</xdr:row>
                    <xdr:rowOff>161925</xdr:rowOff>
                  </from>
                  <to>
                    <xdr:col>36</xdr:col>
                    <xdr:colOff>47625</xdr:colOff>
                    <xdr:row>59</xdr:row>
                    <xdr:rowOff>19050</xdr:rowOff>
                  </to>
                </anchor>
              </controlPr>
            </control>
          </mc:Choice>
        </mc:AlternateContent>
        <mc:AlternateContent xmlns:mc="http://schemas.openxmlformats.org/markup-compatibility/2006">
          <mc:Choice Requires="x14">
            <control shapeId="98322" r:id="rId21" name="Check Box 18">
              <controlPr defaultSize="0" autoFill="0" autoLine="0" autoPict="0" macro="[0]!CheckBox1_Click" altText="">
                <anchor>
                  <from>
                    <xdr:col>23</xdr:col>
                    <xdr:colOff>76200</xdr:colOff>
                    <xdr:row>58</xdr:row>
                    <xdr:rowOff>161925</xdr:rowOff>
                  </from>
                  <to>
                    <xdr:col>36</xdr:col>
                    <xdr:colOff>47625</xdr:colOff>
                    <xdr:row>60</xdr:row>
                    <xdr:rowOff>19050</xdr:rowOff>
                  </to>
                </anchor>
              </controlPr>
            </control>
          </mc:Choice>
        </mc:AlternateContent>
        <mc:AlternateContent xmlns:mc="http://schemas.openxmlformats.org/markup-compatibility/2006">
          <mc:Choice Requires="x14">
            <control shapeId="98323" r:id="rId22" name="Check Box 19">
              <controlPr defaultSize="0" autoFill="0" autoLine="0" autoPict="0" macro="[0]!CheckBox1_Click" altText="">
                <anchor>
                  <from>
                    <xdr:col>23</xdr:col>
                    <xdr:colOff>76200</xdr:colOff>
                    <xdr:row>59</xdr:row>
                    <xdr:rowOff>161925</xdr:rowOff>
                  </from>
                  <to>
                    <xdr:col>36</xdr:col>
                    <xdr:colOff>47625</xdr:colOff>
                    <xdr:row>61</xdr:row>
                    <xdr:rowOff>19050</xdr:rowOff>
                  </to>
                </anchor>
              </controlPr>
            </control>
          </mc:Choice>
        </mc:AlternateContent>
        <mc:AlternateContent xmlns:mc="http://schemas.openxmlformats.org/markup-compatibility/2006">
          <mc:Choice Requires="x14">
            <control shapeId="98324" r:id="rId23" name="Check Box 20">
              <controlPr defaultSize="0" autoFill="0" autoLine="0" autoPict="0" macro="[0]!CheckBox1_Click" altText="">
                <anchor>
                  <from>
                    <xdr:col>23</xdr:col>
                    <xdr:colOff>76200</xdr:colOff>
                    <xdr:row>60</xdr:row>
                    <xdr:rowOff>161925</xdr:rowOff>
                  </from>
                  <to>
                    <xdr:col>36</xdr:col>
                    <xdr:colOff>47625</xdr:colOff>
                    <xdr:row>62</xdr:row>
                    <xdr:rowOff>19050</xdr:rowOff>
                  </to>
                </anchor>
              </controlPr>
            </control>
          </mc:Choice>
        </mc:AlternateContent>
        <mc:AlternateContent xmlns:mc="http://schemas.openxmlformats.org/markup-compatibility/2006">
          <mc:Choice Requires="x14">
            <control shapeId="98325" r:id="rId24" name="Check Box 21">
              <controlPr defaultSize="0" autoFill="0" autoLine="0" autoPict="0" macro="[0]!CheckBox1_Click" altText="">
                <anchor>
                  <from>
                    <xdr:col>23</xdr:col>
                    <xdr:colOff>76200</xdr:colOff>
                    <xdr:row>61</xdr:row>
                    <xdr:rowOff>161925</xdr:rowOff>
                  </from>
                  <to>
                    <xdr:col>36</xdr:col>
                    <xdr:colOff>47625</xdr:colOff>
                    <xdr:row>63</xdr:row>
                    <xdr:rowOff>19050</xdr:rowOff>
                  </to>
                </anchor>
              </controlPr>
            </control>
          </mc:Choice>
        </mc:AlternateContent>
        <mc:AlternateContent xmlns:mc="http://schemas.openxmlformats.org/markup-compatibility/2006">
          <mc:Choice Requires="x14">
            <control shapeId="98326" r:id="rId25" name="Check Box 22">
              <controlPr defaultSize="0" autoFill="0" autoLine="0" autoPict="0" macro="[0]!CheckBox1_Click" altText="">
                <anchor>
                  <from>
                    <xdr:col>23</xdr:col>
                    <xdr:colOff>76200</xdr:colOff>
                    <xdr:row>55</xdr:row>
                    <xdr:rowOff>161925</xdr:rowOff>
                  </from>
                  <to>
                    <xdr:col>36</xdr:col>
                    <xdr:colOff>47625</xdr:colOff>
                    <xdr:row>57</xdr:row>
                    <xdr:rowOff>19050</xdr:rowOff>
                  </to>
                </anchor>
              </controlPr>
            </control>
          </mc:Choice>
        </mc:AlternateContent>
        <mc:AlternateContent xmlns:mc="http://schemas.openxmlformats.org/markup-compatibility/2006">
          <mc:Choice Requires="x14">
            <control shapeId="98327" r:id="rId26" name="Check Box 23">
              <controlPr defaultSize="0" autoFill="0" autoLine="0" autoPict="0" macro="[0]!CheckBox1_Click" altText="">
                <anchor>
                  <from>
                    <xdr:col>23</xdr:col>
                    <xdr:colOff>76200</xdr:colOff>
                    <xdr:row>56</xdr:row>
                    <xdr:rowOff>161925</xdr:rowOff>
                  </from>
                  <to>
                    <xdr:col>36</xdr:col>
                    <xdr:colOff>47625</xdr:colOff>
                    <xdr:row>58</xdr:row>
                    <xdr:rowOff>19050</xdr:rowOff>
                  </to>
                </anchor>
              </controlPr>
            </control>
          </mc:Choice>
        </mc:AlternateContent>
        <mc:AlternateContent xmlns:mc="http://schemas.openxmlformats.org/markup-compatibility/2006">
          <mc:Choice Requires="x14">
            <control shapeId="98328" r:id="rId27" name="Check Box 24">
              <controlPr defaultSize="0" autoFill="0" autoLine="0" autoPict="0" macro="[0]!CheckBox1_Click" altText="">
                <anchor>
                  <from>
                    <xdr:col>23</xdr:col>
                    <xdr:colOff>76200</xdr:colOff>
                    <xdr:row>62</xdr:row>
                    <xdr:rowOff>161925</xdr:rowOff>
                  </from>
                  <to>
                    <xdr:col>36</xdr:col>
                    <xdr:colOff>47625</xdr:colOff>
                    <xdr:row>64</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E244C23F-BE96-461F-ADF8-C0B7834A64D3}">
            <x14:dataBar minLength="0" maxLength="100" gradient="0" negativeBarColorSameAsPositive="1">
              <x14:cfvo type="autoMin"/>
              <x14:cfvo type="autoMax"/>
              <x14:axisColor rgb="FF000000"/>
            </x14:dataBar>
          </x14:cfRule>
          <xm:sqref>P10:P33</xm:sqref>
        </x14:conditionalFormatting>
      </x14:conditionalFormatting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6">
    <tabColor rgb="FFFFC000"/>
  </sheetPr>
  <dimension ref="A1:CB455"/>
  <sheetViews>
    <sheetView showRowColHeaders="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8" width="6.85546875" style="74" customWidth="1"/>
    <col min="9" max="9" width="7.42578125" style="74" customWidth="1"/>
    <col min="10" max="10" width="1.42578125" style="88" customWidth="1"/>
    <col min="11" max="15" width="6.85546875" style="74" customWidth="1"/>
    <col min="16" max="16" width="7.140625" style="74" customWidth="1"/>
    <col min="17" max="17" width="7.42578125" style="74" customWidth="1"/>
    <col min="18" max="18" width="1.42578125" style="74" customWidth="1"/>
    <col min="19" max="19" width="5.7109375" style="74" customWidth="1"/>
    <col min="20" max="20" width="8.28515625" style="74" customWidth="1"/>
    <col min="21" max="21" width="7.7109375" style="74" customWidth="1"/>
    <col min="22" max="22" width="2.140625" style="74" customWidth="1"/>
    <col min="23" max="23" width="6.42578125" style="80" customWidth="1"/>
    <col min="24" max="24" width="4.85546875" style="80" customWidth="1"/>
    <col min="25" max="25" width="17.85546875" style="81" hidden="1" customWidth="1"/>
    <col min="26" max="30" width="11.42578125" style="81" hidden="1" customWidth="1"/>
    <col min="31" max="31" width="17" style="81" hidden="1" customWidth="1"/>
    <col min="32" max="32" width="8.5703125" style="81" hidden="1" customWidth="1"/>
    <col min="33" max="33" width="14.42578125" style="81" hidden="1" customWidth="1"/>
    <col min="34" max="35" width="6.5703125" style="81" hidden="1" customWidth="1"/>
    <col min="36" max="36" width="6.5703125" style="74" hidden="1" customWidth="1"/>
    <col min="37" max="37" width="31.5703125" style="74" customWidth="1"/>
    <col min="38" max="38" width="17" style="74" hidden="1" customWidth="1"/>
    <col min="39" max="43" width="13.5703125" style="74" hidden="1" customWidth="1"/>
    <col min="44" max="76" width="9.140625" style="74" hidden="1" customWidth="1"/>
    <col min="77" max="79" width="0" style="74" hidden="1" customWidth="1"/>
    <col min="80" max="16384" width="9.140625" style="74"/>
  </cols>
  <sheetData>
    <row r="1" spans="1:51" ht="18.75" customHeight="1" thickBot="1" x14ac:dyDescent="0.25">
      <c r="A1" s="112"/>
      <c r="B1" s="113"/>
      <c r="C1" s="113"/>
      <c r="D1" s="113"/>
      <c r="E1" s="113"/>
      <c r="F1" s="113"/>
      <c r="G1" s="113"/>
      <c r="H1" s="113"/>
      <c r="I1" s="113"/>
      <c r="J1" s="114"/>
      <c r="K1" s="113"/>
      <c r="L1" s="113"/>
      <c r="M1" s="113"/>
      <c r="N1" s="113"/>
      <c r="O1" s="113"/>
      <c r="P1" s="113"/>
      <c r="Q1" s="113"/>
      <c r="R1" s="113"/>
      <c r="S1" s="113"/>
      <c r="T1" s="113"/>
      <c r="U1" s="113"/>
      <c r="V1" s="115"/>
      <c r="W1" s="275"/>
      <c r="X1" s="155"/>
      <c r="Y1" s="180"/>
      <c r="Z1" s="939" t="str">
        <f>IF(Sheet1!$C$3="Annual"," at 31st March"," at last day in quarter")</f>
        <v xml:space="preserve"> at 31st March</v>
      </c>
      <c r="AA1" s="180"/>
      <c r="AB1" s="180"/>
      <c r="AC1" s="180"/>
      <c r="AD1" s="180"/>
      <c r="AE1" s="180"/>
      <c r="AF1" s="180"/>
      <c r="AG1" s="180"/>
      <c r="AH1" s="180"/>
      <c r="AI1" s="180"/>
      <c r="AJ1" s="181"/>
      <c r="AK1" s="156"/>
    </row>
    <row r="2" spans="1:51" ht="18.75" customHeight="1" x14ac:dyDescent="0.2">
      <c r="A2" s="118"/>
      <c r="B2" s="128" t="s">
        <v>20</v>
      </c>
      <c r="C2" s="9"/>
      <c r="D2" s="9"/>
      <c r="E2" s="9"/>
      <c r="F2" s="9"/>
      <c r="G2" s="9"/>
      <c r="H2" s="9"/>
      <c r="I2" s="9"/>
      <c r="J2" s="12"/>
      <c r="K2" s="9"/>
      <c r="L2" s="9"/>
      <c r="M2" s="9"/>
      <c r="N2" s="9"/>
      <c r="O2" s="9"/>
      <c r="P2" s="9"/>
      <c r="Q2" s="9"/>
      <c r="R2" s="9"/>
      <c r="S2" s="9"/>
      <c r="T2" s="9"/>
      <c r="U2" s="9"/>
      <c r="V2" s="117"/>
      <c r="W2" s="161"/>
      <c r="X2" s="150"/>
      <c r="Y2" s="1020">
        <v>1</v>
      </c>
      <c r="Z2" s="800" t="str">
        <f>IF(Sheet1!$C$3="Annual","",Sheet1!$D$28)</f>
        <v/>
      </c>
      <c r="AA2" s="801" t="str">
        <f>IF(Sheet1!$C$3="Annual","",Sheet1!$E$28)</f>
        <v/>
      </c>
      <c r="AB2" s="801" t="str">
        <f>IF(Sheet1!$C$3="Annual","",Sheet1!$F$28)</f>
        <v/>
      </c>
      <c r="AC2" s="801" t="str">
        <f>IF(Sheet1!$C$3="Annual","",Sheet1!$G$28)</f>
        <v/>
      </c>
      <c r="AD2" s="802" t="str">
        <f>IF(Sheet1!$C$3="Annual","",Sheet1!$H$28)</f>
        <v/>
      </c>
      <c r="AJ2" s="184"/>
      <c r="AK2" s="157"/>
    </row>
    <row r="3" spans="1:51" ht="18.75" customHeight="1" thickBot="1" x14ac:dyDescent="0.25">
      <c r="A3" s="124"/>
      <c r="B3" s="125"/>
      <c r="C3" s="125"/>
      <c r="D3" s="125"/>
      <c r="E3" s="125"/>
      <c r="F3" s="125"/>
      <c r="G3" s="125"/>
      <c r="H3" s="125"/>
      <c r="I3" s="267"/>
      <c r="J3" s="126"/>
      <c r="K3" s="125"/>
      <c r="L3" s="125"/>
      <c r="M3" s="125"/>
      <c r="N3" s="125"/>
      <c r="O3" s="125"/>
      <c r="P3" s="553"/>
      <c r="Q3" s="125"/>
      <c r="R3" s="125"/>
      <c r="S3" s="125"/>
      <c r="T3" s="267"/>
      <c r="U3" s="125"/>
      <c r="V3" s="127"/>
      <c r="W3" s="161"/>
      <c r="X3" s="150"/>
      <c r="Y3" s="803"/>
      <c r="Z3" s="803" t="str">
        <f>Sheet1!$D$27</f>
        <v>2015-16</v>
      </c>
      <c r="AA3" s="804" t="str">
        <f>Sheet1!$E$27</f>
        <v>2016-17</v>
      </c>
      <c r="AB3" s="804" t="str">
        <f>Sheet1!$F$27</f>
        <v>2017-18</v>
      </c>
      <c r="AC3" s="804" t="str">
        <f>Sheet1!$G$27</f>
        <v>2018-19</v>
      </c>
      <c r="AD3" s="805" t="str">
        <f>Sheet1!$H$27</f>
        <v>2019-20</v>
      </c>
      <c r="AJ3" s="184"/>
      <c r="AK3" s="157"/>
    </row>
    <row r="4" spans="1:51" ht="11.25" customHeight="1" x14ac:dyDescent="0.2">
      <c r="A4" s="112"/>
      <c r="B4" s="113"/>
      <c r="C4" s="113"/>
      <c r="D4" s="113"/>
      <c r="E4" s="113"/>
      <c r="F4" s="113"/>
      <c r="G4" s="113"/>
      <c r="H4" s="113"/>
      <c r="I4" s="113"/>
      <c r="J4" s="114"/>
      <c r="K4" s="113"/>
      <c r="L4" s="113"/>
      <c r="M4" s="113"/>
      <c r="N4" s="113"/>
      <c r="O4" s="113"/>
      <c r="P4" s="113"/>
      <c r="Q4" s="113"/>
      <c r="R4" s="113"/>
      <c r="S4" s="113"/>
      <c r="T4" s="113"/>
      <c r="U4" s="113"/>
      <c r="V4" s="115"/>
      <c r="W4" s="137"/>
      <c r="X4" s="150"/>
      <c r="Y4" s="186"/>
      <c r="Z4" s="186" t="str">
        <f>Home!$D$10</f>
        <v>(none)</v>
      </c>
      <c r="AA4" s="42" t="str">
        <f>"Selected LA- "&amp;Z4</f>
        <v>Selected LA- (none)</v>
      </c>
      <c r="AJ4" s="184"/>
      <c r="AK4" s="157"/>
    </row>
    <row r="5" spans="1:51" s="76" customFormat="1" ht="15" customHeight="1" x14ac:dyDescent="0.2">
      <c r="A5" s="119"/>
      <c r="B5" s="1808" t="str">
        <f>"Children subject to Child Protection Plan"&amp;Z1</f>
        <v>Children subject to Child Protection Plan at 31st March</v>
      </c>
      <c r="C5" s="1642"/>
      <c r="D5" s="1642"/>
      <c r="E5" s="1642"/>
      <c r="F5" s="1642"/>
      <c r="G5" s="1642"/>
      <c r="H5" s="1642"/>
      <c r="I5" s="1642"/>
      <c r="J5" s="1642"/>
      <c r="K5" s="1642"/>
      <c r="L5" s="1642"/>
      <c r="M5" s="1642"/>
      <c r="N5" s="1642"/>
      <c r="O5" s="920"/>
      <c r="P5" s="920"/>
      <c r="Q5" s="920"/>
      <c r="R5" s="920"/>
      <c r="S5" s="920"/>
      <c r="T5" s="920"/>
      <c r="U5" s="920"/>
      <c r="V5" s="120"/>
      <c r="W5" s="138"/>
      <c r="X5" s="151"/>
      <c r="Y5" s="188"/>
      <c r="Z5" s="188"/>
      <c r="AA5" s="188"/>
      <c r="AB5" s="188"/>
      <c r="AC5" s="188"/>
      <c r="AD5" s="188"/>
      <c r="AE5" s="188"/>
      <c r="AF5" s="188"/>
      <c r="AG5" s="188"/>
      <c r="AH5" s="188"/>
      <c r="AI5" s="188"/>
      <c r="AJ5" s="188"/>
      <c r="AK5" s="158"/>
      <c r="AL5" s="188" t="str">
        <f>CONCATENATE($I$7,"in Number of "&amp;$B2)</f>
        <v>Average Annual Change in Number of Child Protection Plans</v>
      </c>
      <c r="AQ5" s="74"/>
      <c r="AR5" s="74"/>
      <c r="AS5" s="74"/>
      <c r="AT5" s="74"/>
      <c r="AU5" s="74"/>
      <c r="AV5" s="74"/>
      <c r="AW5" s="74"/>
      <c r="AX5" s="74"/>
      <c r="AY5" s="74"/>
    </row>
    <row r="6" spans="1:51" ht="13.5" customHeight="1" x14ac:dyDescent="0.2">
      <c r="A6" s="118"/>
      <c r="B6" s="1642"/>
      <c r="C6" s="1642"/>
      <c r="D6" s="1642"/>
      <c r="E6" s="1642"/>
      <c r="F6" s="1642"/>
      <c r="G6" s="1642"/>
      <c r="H6" s="1642"/>
      <c r="I6" s="1642"/>
      <c r="J6" s="1642"/>
      <c r="K6" s="1642"/>
      <c r="L6" s="1642"/>
      <c r="M6" s="1642"/>
      <c r="N6" s="1642"/>
      <c r="O6" s="920"/>
      <c r="P6" s="920"/>
      <c r="Q6" s="920"/>
      <c r="R6" s="920"/>
      <c r="S6" s="920"/>
      <c r="T6" s="920"/>
      <c r="U6" s="920"/>
      <c r="V6" s="117"/>
      <c r="W6" s="137"/>
      <c r="X6" s="150"/>
      <c r="Z6" s="190"/>
      <c r="AJ6" s="184"/>
      <c r="AK6" s="157"/>
    </row>
    <row r="7" spans="1:51" s="87" customFormat="1" ht="12.75" customHeight="1" x14ac:dyDescent="0.2">
      <c r="A7" s="121"/>
      <c r="B7" s="1789" t="s">
        <v>205</v>
      </c>
      <c r="C7" s="85"/>
      <c r="D7" s="1851" t="s">
        <v>88</v>
      </c>
      <c r="E7" s="1911"/>
      <c r="F7" s="1911"/>
      <c r="G7" s="1911"/>
      <c r="H7" s="1912"/>
      <c r="I7" s="1811" t="str">
        <f>"Average "&amp;Sheet1!C3&amp;" Change "</f>
        <v xml:space="preserve">Average Annual Change </v>
      </c>
      <c r="J7" s="96"/>
      <c r="K7" s="1913" t="s">
        <v>89</v>
      </c>
      <c r="L7" s="1914"/>
      <c r="M7" s="1914"/>
      <c r="N7" s="1914"/>
      <c r="O7" s="1914"/>
      <c r="P7" s="1915"/>
      <c r="Q7" s="1744" t="str">
        <f>IF(ISNA(O9),"SE Rank "&amp;O8,"SE Rank "&amp;O9)</f>
        <v>SE Rank 2019-20</v>
      </c>
      <c r="R7" s="70"/>
      <c r="S7" s="1817" t="str">
        <f>"Distance from Expected "&amp;Sheet1!$B$8</f>
        <v>Distance from Expected 2020</v>
      </c>
      <c r="T7" s="1818"/>
      <c r="U7" s="1819"/>
      <c r="V7" s="122"/>
      <c r="W7" s="139"/>
      <c r="X7" s="152"/>
      <c r="Y7" s="202"/>
      <c r="Z7" s="202"/>
      <c r="AB7" s="203" t="s">
        <v>79</v>
      </c>
      <c r="AC7" s="190"/>
      <c r="AD7" s="190"/>
      <c r="AE7" s="199"/>
      <c r="AF7" s="199"/>
      <c r="AG7" s="204" t="s">
        <v>94</v>
      </c>
      <c r="AH7" s="190"/>
      <c r="AI7" s="190"/>
      <c r="AJ7" s="202"/>
      <c r="AK7" s="160"/>
      <c r="AL7" s="575"/>
      <c r="AM7" s="575"/>
      <c r="AN7" s="575"/>
      <c r="AO7" s="575"/>
      <c r="AP7" s="575"/>
      <c r="AQ7" s="74"/>
      <c r="AR7" s="74"/>
      <c r="AS7" s="74"/>
      <c r="AT7" s="74"/>
      <c r="AU7" s="74"/>
      <c r="AV7" s="74"/>
      <c r="AW7" s="74"/>
      <c r="AX7" s="74"/>
      <c r="AY7" s="74"/>
    </row>
    <row r="8" spans="1:51" s="87" customFormat="1" ht="12.75" customHeight="1" x14ac:dyDescent="0.2">
      <c r="A8" s="292"/>
      <c r="B8" s="1789"/>
      <c r="C8" s="85"/>
      <c r="D8" s="789" t="str">
        <f>Sheet1!$D$27</f>
        <v>2015-16</v>
      </c>
      <c r="E8" s="790" t="str">
        <f>Sheet1!$E$27</f>
        <v>2016-17</v>
      </c>
      <c r="F8" s="790" t="str">
        <f>Sheet1!$F$27</f>
        <v>2017-18</v>
      </c>
      <c r="G8" s="790" t="str">
        <f>Sheet1!$G$27</f>
        <v>2018-19</v>
      </c>
      <c r="H8" s="791" t="str">
        <f>Sheet1!$H$27</f>
        <v>2019-20</v>
      </c>
      <c r="I8" s="1812"/>
      <c r="J8" s="96"/>
      <c r="K8" s="820" t="str">
        <f>Sheet1!$D$27</f>
        <v>2015-16</v>
      </c>
      <c r="L8" s="821" t="str">
        <f>Sheet1!$E$27</f>
        <v>2016-17</v>
      </c>
      <c r="M8" s="821" t="str">
        <f>Sheet1!$F$27</f>
        <v>2017-18</v>
      </c>
      <c r="N8" s="821" t="str">
        <f>Sheet1!$G$27</f>
        <v>2018-19</v>
      </c>
      <c r="O8" s="1741" t="str">
        <f>Sheet1!$H$27</f>
        <v>2019-20</v>
      </c>
      <c r="P8" s="1780"/>
      <c r="Q8" s="1816"/>
      <c r="R8" s="70"/>
      <c r="S8" s="1820"/>
      <c r="T8" s="1821"/>
      <c r="U8" s="1822"/>
      <c r="V8" s="122"/>
      <c r="W8" s="139"/>
      <c r="X8" s="152"/>
      <c r="Y8" s="202"/>
      <c r="Z8" s="1735" t="s">
        <v>76</v>
      </c>
      <c r="AA8" s="1735" t="s">
        <v>77</v>
      </c>
      <c r="AB8" s="758" t="str">
        <f>Sheet1!$D$27</f>
        <v>2015-16</v>
      </c>
      <c r="AC8" s="758" t="str">
        <f>Sheet1!$E$27</f>
        <v>2016-17</v>
      </c>
      <c r="AD8" s="758" t="str">
        <f>Sheet1!$F$27</f>
        <v>2017-18</v>
      </c>
      <c r="AE8" s="758" t="str">
        <f>Sheet1!$G$27</f>
        <v>2018-19</v>
      </c>
      <c r="AF8" s="758" t="str">
        <f>Sheet1!$H$27</f>
        <v>2019-20</v>
      </c>
      <c r="AG8" s="204"/>
      <c r="AH8" s="190"/>
      <c r="AI8" s="190"/>
      <c r="AJ8" s="202"/>
      <c r="AK8" s="160"/>
      <c r="AL8" s="908"/>
      <c r="AM8" s="908"/>
      <c r="AN8" s="908"/>
      <c r="AO8" s="908"/>
      <c r="AP8" s="908"/>
      <c r="AQ8" s="74"/>
      <c r="AR8" s="74"/>
      <c r="AS8" s="74"/>
      <c r="AT8" s="74"/>
      <c r="AU8" s="74"/>
      <c r="AV8" s="74"/>
      <c r="AW8" s="74"/>
      <c r="AX8" s="74"/>
      <c r="AY8" s="74"/>
    </row>
    <row r="9" spans="1:51" s="87" customFormat="1" ht="12.75" customHeight="1" x14ac:dyDescent="0.2">
      <c r="A9" s="121"/>
      <c r="B9" s="1790"/>
      <c r="C9" s="85"/>
      <c r="D9" s="792" t="e">
        <f>Sheet1!$D$28</f>
        <v>#N/A</v>
      </c>
      <c r="E9" s="792" t="e">
        <f>Sheet1!$E$28</f>
        <v>#N/A</v>
      </c>
      <c r="F9" s="792" t="e">
        <f>Sheet1!$F$28</f>
        <v>#N/A</v>
      </c>
      <c r="G9" s="792" t="e">
        <f>Sheet1!$G$28</f>
        <v>#N/A</v>
      </c>
      <c r="H9" s="793" t="e">
        <f>Sheet1!$H$28</f>
        <v>#N/A</v>
      </c>
      <c r="I9" s="1813"/>
      <c r="J9" s="96"/>
      <c r="K9" s="792" t="e">
        <f>Sheet1!$D$28</f>
        <v>#N/A</v>
      </c>
      <c r="L9" s="792" t="e">
        <f>Sheet1!$E$28</f>
        <v>#N/A</v>
      </c>
      <c r="M9" s="792" t="e">
        <f>Sheet1!$F$28</f>
        <v>#N/A</v>
      </c>
      <c r="N9" s="792" t="e">
        <f>Sheet1!$G$28</f>
        <v>#N/A</v>
      </c>
      <c r="O9" s="1739" t="e">
        <f>Sheet1!$H$28</f>
        <v>#N/A</v>
      </c>
      <c r="P9" s="1781"/>
      <c r="Q9" s="1745"/>
      <c r="R9" s="70"/>
      <c r="S9" s="904" t="s">
        <v>78</v>
      </c>
      <c r="T9" s="856" t="s">
        <v>128</v>
      </c>
      <c r="U9" s="857" t="s">
        <v>129</v>
      </c>
      <c r="V9" s="122"/>
      <c r="W9" s="139"/>
      <c r="X9" s="152"/>
      <c r="Y9" s="202"/>
      <c r="Z9" s="1736"/>
      <c r="AA9" s="1736"/>
      <c r="AB9" s="758" t="e">
        <f>Sheet1!$D$28</f>
        <v>#N/A</v>
      </c>
      <c r="AC9" s="758" t="e">
        <f>Sheet1!$E$28</f>
        <v>#N/A</v>
      </c>
      <c r="AD9" s="758" t="e">
        <f>Sheet1!$F$28</f>
        <v>#N/A</v>
      </c>
      <c r="AE9" s="758" t="e">
        <f>Sheet1!$G$28</f>
        <v>#N/A</v>
      </c>
      <c r="AF9" s="758" t="e">
        <f>Sheet1!$H$28</f>
        <v>#N/A</v>
      </c>
      <c r="AG9" s="190"/>
      <c r="AH9" s="190">
        <f>COLUMNS($B$4:O$4)</f>
        <v>14</v>
      </c>
      <c r="AI9" s="190"/>
      <c r="AJ9" s="202"/>
      <c r="AK9" s="160"/>
      <c r="AL9" s="911" t="s">
        <v>676</v>
      </c>
      <c r="AM9" s="911" t="s">
        <v>677</v>
      </c>
      <c r="AN9" s="911" t="s">
        <v>678</v>
      </c>
      <c r="AO9" s="911" t="s">
        <v>679</v>
      </c>
      <c r="AP9" s="911" t="s">
        <v>680</v>
      </c>
      <c r="AQ9" s="74"/>
      <c r="AR9" s="74"/>
      <c r="AS9" s="74"/>
      <c r="AT9" s="74"/>
      <c r="AU9" s="74"/>
      <c r="AV9" s="74"/>
      <c r="AW9" s="74"/>
      <c r="AX9" s="74"/>
      <c r="AY9" s="74"/>
    </row>
    <row r="10" spans="1:51" s="87" customFormat="1" ht="13.5" customHeight="1" x14ac:dyDescent="0.2">
      <c r="A10" s="488">
        <f>VLOOKUP(B10,Sheet1!$AQ$4:$AR$25,2,FALSE)</f>
        <v>0</v>
      </c>
      <c r="B10" s="93" t="str">
        <f>Sheet1!$K$4</f>
        <v>Bracknell Forest</v>
      </c>
      <c r="C10" s="85"/>
      <c r="D10" s="94">
        <f>IF(Year1_Bracknell_Forest Year1_CP_Plans="","",Year1_Bracknell_Forest Year1_CP_Plans)</f>
        <v>115</v>
      </c>
      <c r="E10" s="94">
        <f>IF(Year2_Bracknell_Forest Year2_CP_Plans="","",Year2_Bracknell_Forest Year2_CP_Plans)</f>
        <v>176</v>
      </c>
      <c r="F10" s="94">
        <f>IF(Year3_Bracknell_Forest Year3_CP_Plans="","",Year3_Bracknell_Forest Year3_CP_Plans)</f>
        <v>105</v>
      </c>
      <c r="G10" s="94">
        <f>IF(Year4_Bracknell_Forest Year4_CP_Plans="","",Year4_Bracknell_Forest Year4_CP_Plans)</f>
        <v>130</v>
      </c>
      <c r="H10" s="95">
        <f>IF(Year5_Bracknell_Forest Year5_CP_Plans="","",Year5_Bracknell_Forest Year5_CP_Plans)</f>
        <v>122</v>
      </c>
      <c r="I10" s="344">
        <f>AP10</f>
        <v>7.5895617064095339E-2</v>
      </c>
      <c r="J10" s="96"/>
      <c r="K10" s="97">
        <f>IF(ISNUMBER(D10),D10/Population!D10*10000,NA())</f>
        <v>40.780141843971627</v>
      </c>
      <c r="L10" s="97">
        <f>IF(ISNUMBER(E10),E10/Population!E10*10000,NA())</f>
        <v>62.411347517730498</v>
      </c>
      <c r="M10" s="97">
        <f>IF(ISNUMBER(F10),F10/Population!F10*10000,NA())</f>
        <v>37.366548042704629</v>
      </c>
      <c r="N10" s="97">
        <f>IF(ISNUMBER(G10),G10/Population!G10*10000,NA())</f>
        <v>45.936395759717314</v>
      </c>
      <c r="O10" s="98">
        <f>IF(ISNUMBER(H10),H10/Population!H10*10000,NA())</f>
        <v>42.95774647887324</v>
      </c>
      <c r="P10" s="99">
        <f>IF(ISNUMBER(O10),O10,"")</f>
        <v>42.95774647887324</v>
      </c>
      <c r="Q10" s="934">
        <f>IF(ISNA(VLOOKUP(B10,$AG$10:$AI$28,3,FALSE)),"--",IF(ISNUMBER(H10),VLOOKUP(B10,$AG$10:$AI$28,3,FALSE),NA()))</f>
        <v>9</v>
      </c>
      <c r="R10" s="70"/>
      <c r="S10" s="340">
        <f>IDACI!C9</f>
        <v>8.9</v>
      </c>
      <c r="T10" s="341">
        <f t="shared" ref="T10:T33" si="0">(S10*$Z$44)+$AA$44</f>
        <v>28.070112502027225</v>
      </c>
      <c r="U10" s="342">
        <f>O10-T10</f>
        <v>14.887633976846015</v>
      </c>
      <c r="V10" s="122"/>
      <c r="W10" s="139"/>
      <c r="X10" s="152"/>
      <c r="Y10" s="72" t="str">
        <f t="shared" ref="Y10:Y33" si="1">B10</f>
        <v>Bracknell Forest</v>
      </c>
      <c r="Z10" s="44">
        <f>IF(ISNUMBER(H10),IDACI!D9,0)</f>
        <v>24849</v>
      </c>
      <c r="AA10" s="44">
        <f>IF(ISNUMBER(H10),IDACI!E9,0)</f>
        <v>2211.5610000000001</v>
      </c>
      <c r="AB10" s="205">
        <f>IF(ISNUMBER(D10),Population!D10,"")</f>
        <v>28200</v>
      </c>
      <c r="AC10" s="205">
        <f>IF(ISNUMBER(E10),Population!E10,"")</f>
        <v>28200</v>
      </c>
      <c r="AD10" s="205">
        <f>IF(ISNUMBER(F10),Population!F10,"")</f>
        <v>28100</v>
      </c>
      <c r="AE10" s="205">
        <f>IF(ISNUMBER(G10),Population!G10,"")</f>
        <v>28300</v>
      </c>
      <c r="AF10" s="205">
        <f>IF(ISNUMBER(H10),Population!H10,"")</f>
        <v>28400</v>
      </c>
      <c r="AG10" s="93" t="str">
        <f>B10</f>
        <v>Bracknell Forest</v>
      </c>
      <c r="AH10" s="231">
        <f>IFERROR(VLOOKUP(AG10,$B$10:$O$31,$AH$9,FALSE),"")</f>
        <v>42.95774647887324</v>
      </c>
      <c r="AI10" s="206">
        <f>RANK(AH10,$AH$10:$AH$28,1)</f>
        <v>9</v>
      </c>
      <c r="AJ10" s="202"/>
      <c r="AK10" s="160"/>
      <c r="AL10" s="853">
        <f>IF(ISERROR((E10-D10)/D10),"x",(E10-D10)/D10)</f>
        <v>0.5304347826086957</v>
      </c>
      <c r="AM10" s="853">
        <f>IF(ISERROR((F10-E10)/E10),"x",(F10-E10)/E10)</f>
        <v>-0.40340909090909088</v>
      </c>
      <c r="AN10" s="853">
        <f>IF(ISERROR((G10-F10)/F10),"x",(G10-F10)/F10)</f>
        <v>0.23809523809523808</v>
      </c>
      <c r="AO10" s="853">
        <f>IF(ISERROR((H10-G10)/G10),"x",(H10-G10)/G10)</f>
        <v>-6.1538461538461542E-2</v>
      </c>
      <c r="AP10" s="853">
        <f>AVERAGE(AL10:AO10)</f>
        <v>7.5895617064095339E-2</v>
      </c>
      <c r="AQ10" s="74"/>
      <c r="AR10" s="74"/>
      <c r="AS10" s="74"/>
      <c r="AT10" s="74"/>
      <c r="AU10" s="74"/>
      <c r="AV10" s="74"/>
      <c r="AW10" s="74"/>
      <c r="AX10" s="74"/>
      <c r="AY10" s="74"/>
    </row>
    <row r="11" spans="1:51" s="87" customFormat="1" ht="13.5" customHeight="1" x14ac:dyDescent="0.2">
      <c r="A11" s="488">
        <f>VLOOKUP(B11,Sheet1!$AQ$4:$AR$25,2,FALSE)</f>
        <v>0</v>
      </c>
      <c r="B11" s="93" t="str">
        <f>Sheet1!$K$5</f>
        <v>Brighton &amp; Hove</v>
      </c>
      <c r="C11" s="85"/>
      <c r="D11" s="94">
        <f>IF(Year1_Brighton_Hove Year1_CP_Plans="","",Year1_Brighton_Hove Year1_CP_Plans)</f>
        <v>392</v>
      </c>
      <c r="E11" s="94">
        <f>IF(Year2_Brighton_Hove Year2_CP_Plans="","",Year2_Brighton_Hove Year2_CP_Plans)</f>
        <v>367</v>
      </c>
      <c r="F11" s="94">
        <f>IF(Year3_Brighton_Hove Year3_CP_Plans="","",Year3_Brighton_Hove Year3_CP_Plans)</f>
        <v>395</v>
      </c>
      <c r="G11" s="94">
        <f>IF(Year4_Brighton_Hove Year4_CP_Plans="","",Year4_Brighton_Hove Year4_CP_Plans)</f>
        <v>316</v>
      </c>
      <c r="H11" s="95">
        <f>IF(Year5_Brighton_Hove Year5_CP_Plans="","",Year5_Brighton_Hove Year5_CP_Plans)</f>
        <v>335</v>
      </c>
      <c r="I11" s="344">
        <f t="shared" ref="I11:I33" si="2">AP11</f>
        <v>-3.1838662499111325E-2</v>
      </c>
      <c r="J11" s="96"/>
      <c r="K11" s="97">
        <f>IF(ISNUMBER(D11),D11/Population!D11*10000,NA())</f>
        <v>76.5625</v>
      </c>
      <c r="L11" s="97">
        <f>IF(ISNUMBER(E11),E11/Population!E11*10000,NA())</f>
        <v>71.539961013645225</v>
      </c>
      <c r="M11" s="97">
        <f>IF(ISNUMBER(F11),F11/Population!F11*10000,NA())</f>
        <v>77.450980392156865</v>
      </c>
      <c r="N11" s="97">
        <f>IF(ISNUMBER(G11),G11/Population!G11*10000,NA())</f>
        <v>61.960784313725483</v>
      </c>
      <c r="O11" s="98">
        <f>IF(ISNUMBER(H11),H11/Population!H11*10000,NA())</f>
        <v>66.600397614314119</v>
      </c>
      <c r="P11" s="99">
        <f t="shared" ref="P11:P33" si="3">IF(ISNUMBER(O11),O11,"")</f>
        <v>66.600397614314119</v>
      </c>
      <c r="Q11" s="934">
        <f t="shared" ref="Q11:Q33" si="4">IF(ISNA(VLOOKUP(B11,$AG$10:$AI$28,3,FALSE)),"--",IF(ISNUMBER(H11),VLOOKUP(B11,$AG$10:$AI$28,3,FALSE),NA()))</f>
        <v>16</v>
      </c>
      <c r="R11" s="70"/>
      <c r="S11" s="340">
        <f>IDACI!C10</f>
        <v>15.299999999999999</v>
      </c>
      <c r="T11" s="341">
        <f t="shared" si="0"/>
        <v>41.340385399042795</v>
      </c>
      <c r="U11" s="342">
        <f t="shared" ref="U11:U33" si="5">O11-T11</f>
        <v>25.260012215271324</v>
      </c>
      <c r="V11" s="122"/>
      <c r="W11" s="139"/>
      <c r="X11" s="152"/>
      <c r="Y11" s="72" t="str">
        <f t="shared" si="1"/>
        <v>Brighton &amp; Hove</v>
      </c>
      <c r="Z11" s="44">
        <f>IF(ISNUMBER(H11),IDACI!D10,0)</f>
        <v>45576</v>
      </c>
      <c r="AA11" s="44">
        <f>IF(ISNUMBER(H11),IDACI!E10,0)</f>
        <v>6973.1279999999997</v>
      </c>
      <c r="AB11" s="205">
        <f>IF(ISNUMBER(D11),Population!D11,"")</f>
        <v>51200</v>
      </c>
      <c r="AC11" s="205">
        <f>IF(ISNUMBER(E11),Population!E11,"")</f>
        <v>51300</v>
      </c>
      <c r="AD11" s="205">
        <f>IF(ISNUMBER(F11),Population!F11,"")</f>
        <v>51000</v>
      </c>
      <c r="AE11" s="205">
        <f>IF(ISNUMBER(G11),Population!G11,"")</f>
        <v>51000</v>
      </c>
      <c r="AF11" s="205">
        <f>IF(ISNUMBER(H11),Population!H11,"")</f>
        <v>50300</v>
      </c>
      <c r="AG11" s="93" t="s">
        <v>31</v>
      </c>
      <c r="AH11" s="231">
        <f t="shared" ref="AH11:AH28" si="6">IFERROR(VLOOKUP(AG11,$B$10:$O$31,$AH$9,FALSE),"")</f>
        <v>66.600397614314119</v>
      </c>
      <c r="AI11" s="206">
        <f t="shared" ref="AI11:AI28" si="7">RANK(AH11,$AH$10:$AH$28,1)</f>
        <v>16</v>
      </c>
      <c r="AJ11" s="202"/>
      <c r="AK11" s="160"/>
      <c r="AL11" s="853">
        <f t="shared" ref="AL11:AO33" si="8">IF(ISERROR((E11-D11)/D11),"x",(E11-D11)/D11)</f>
        <v>-6.3775510204081634E-2</v>
      </c>
      <c r="AM11" s="853">
        <f t="shared" si="8"/>
        <v>7.6294277929155316E-2</v>
      </c>
      <c r="AN11" s="853">
        <f t="shared" si="8"/>
        <v>-0.2</v>
      </c>
      <c r="AO11" s="853">
        <f t="shared" si="8"/>
        <v>6.0126582278481014E-2</v>
      </c>
      <c r="AP11" s="853">
        <f t="shared" ref="AP11:AP32" si="9">AVERAGE(AL11:AO11)</f>
        <v>-3.1838662499111325E-2</v>
      </c>
      <c r="AQ11" s="74"/>
      <c r="AR11" s="74"/>
      <c r="AS11" s="74"/>
      <c r="AT11" s="74"/>
      <c r="AU11" s="74"/>
      <c r="AV11" s="74"/>
      <c r="AW11" s="74"/>
      <c r="AX11" s="74"/>
      <c r="AY11" s="74"/>
    </row>
    <row r="12" spans="1:51" s="87" customFormat="1" ht="13.5" customHeight="1" x14ac:dyDescent="0.2">
      <c r="A12" s="488">
        <f>VLOOKUP(B12,Sheet1!$AQ$4:$AR$25,2,FALSE)</f>
        <v>0</v>
      </c>
      <c r="B12" s="93" t="str">
        <f>Sheet1!$K$6</f>
        <v>Buckinghamshire</v>
      </c>
      <c r="C12" s="85"/>
      <c r="D12" s="94">
        <f>IF(Year1_Buckinghamshire Year1_CP_Plans="","",Year1_Buckinghamshire Year1_CP_Plans)</f>
        <v>454</v>
      </c>
      <c r="E12" s="94">
        <f>IF(Year2_Buckinghamshire Year2_CP_Plans="","",Year2_Buckinghamshire Year2_CP_Plans)</f>
        <v>553</v>
      </c>
      <c r="F12" s="94">
        <f>IF(Year3_Buckinghamshire Year3_CP_Plans="","",Year3_Buckinghamshire Year3_CP_Plans)</f>
        <v>638</v>
      </c>
      <c r="G12" s="94">
        <f>IF(Year4_Buckinghamshire Year4_CP_Plans="","",Year4_Buckinghamshire Year4_CP_Plans)</f>
        <v>562</v>
      </c>
      <c r="H12" s="95">
        <f>IF(Year5_Buckinghamshire Year5_CP_Plans="","",Year5_Buckinghamshire Year5_CP_Plans)</f>
        <v>575</v>
      </c>
      <c r="I12" s="344">
        <f t="shared" si="2"/>
        <v>6.8944535498653356E-2</v>
      </c>
      <c r="J12" s="96"/>
      <c r="K12" s="97">
        <f>IF(ISNUMBER(D12),D12/Population!D12*10000,NA())</f>
        <v>37.645107794361529</v>
      </c>
      <c r="L12" s="97">
        <f>IF(ISNUMBER(E12),E12/Population!E12*10000,NA())</f>
        <v>45.253682487725044</v>
      </c>
      <c r="M12" s="97">
        <f>IF(ISNUMBER(F12),F12/Population!F12*10000,NA())</f>
        <v>51.827782290820473</v>
      </c>
      <c r="N12" s="97">
        <f>IF(ISNUMBER(G12),G12/Population!G12*10000,NA())</f>
        <v>45.213193885760255</v>
      </c>
      <c r="O12" s="98">
        <f>IF(ISNUMBER(H12),H12/Population!H12*10000,NA())</f>
        <v>45.743834526650758</v>
      </c>
      <c r="P12" s="99">
        <f t="shared" si="3"/>
        <v>45.743834526650758</v>
      </c>
      <c r="Q12" s="934">
        <f t="shared" si="4"/>
        <v>10</v>
      </c>
      <c r="R12" s="70"/>
      <c r="S12" s="340">
        <f>IDACI!C11</f>
        <v>8.5</v>
      </c>
      <c r="T12" s="341">
        <f t="shared" si="0"/>
        <v>27.240720445963753</v>
      </c>
      <c r="U12" s="342">
        <f t="shared" si="5"/>
        <v>18.503114080687006</v>
      </c>
      <c r="V12" s="122"/>
      <c r="W12" s="139"/>
      <c r="X12" s="152"/>
      <c r="Y12" s="72" t="str">
        <f t="shared" si="1"/>
        <v>Buckinghamshire</v>
      </c>
      <c r="Z12" s="44">
        <f>IF(ISNUMBER(H12),IDACI!D11,0)</f>
        <v>107385</v>
      </c>
      <c r="AA12" s="44">
        <f>IF(ISNUMBER(H12),IDACI!E11,0)</f>
        <v>9127.7250000000004</v>
      </c>
      <c r="AB12" s="205">
        <f>IF(ISNUMBER(D12),Population!D12,"")</f>
        <v>120600</v>
      </c>
      <c r="AC12" s="205">
        <f>IF(ISNUMBER(E12),Population!E12,"")</f>
        <v>122200</v>
      </c>
      <c r="AD12" s="205">
        <f>IF(ISNUMBER(F12),Population!F12,"")</f>
        <v>123100</v>
      </c>
      <c r="AE12" s="205">
        <f>IF(ISNUMBER(G12),Population!G12,"")</f>
        <v>124300</v>
      </c>
      <c r="AF12" s="205">
        <f>IF(ISNUMBER(H12),Population!H12,"")</f>
        <v>125700</v>
      </c>
      <c r="AG12" s="93" t="s">
        <v>8</v>
      </c>
      <c r="AH12" s="231">
        <f t="shared" si="6"/>
        <v>45.743834526650758</v>
      </c>
      <c r="AI12" s="206">
        <f t="shared" si="7"/>
        <v>10</v>
      </c>
      <c r="AJ12" s="202"/>
      <c r="AK12" s="160"/>
      <c r="AL12" s="853">
        <f t="shared" si="8"/>
        <v>0.21806167400881057</v>
      </c>
      <c r="AM12" s="853">
        <f t="shared" si="8"/>
        <v>0.15370705244122965</v>
      </c>
      <c r="AN12" s="853">
        <f t="shared" si="8"/>
        <v>-0.11912225705329153</v>
      </c>
      <c r="AO12" s="853">
        <f t="shared" si="8"/>
        <v>2.3131672597864767E-2</v>
      </c>
      <c r="AP12" s="853">
        <f t="shared" si="9"/>
        <v>6.8944535498653356E-2</v>
      </c>
      <c r="AQ12" s="74"/>
      <c r="AR12" s="74"/>
      <c r="AS12" s="74"/>
      <c r="AT12" s="74"/>
      <c r="AU12" s="74"/>
      <c r="AV12" s="74"/>
      <c r="AW12" s="74"/>
      <c r="AX12" s="74"/>
      <c r="AY12" s="74"/>
    </row>
    <row r="13" spans="1:51" s="87" customFormat="1" ht="13.5" customHeight="1" x14ac:dyDescent="0.2">
      <c r="A13" s="488">
        <f>VLOOKUP(B13,Sheet1!$AQ$4:$AR$25,2,FALSE)</f>
        <v>0</v>
      </c>
      <c r="B13" s="93" t="str">
        <f>Sheet1!$K$7</f>
        <v>East Sussex</v>
      </c>
      <c r="C13" s="85"/>
      <c r="D13" s="94">
        <f>IF(Year1_East_Sussex Year1_CP_Plans="","",Year1_East_Sussex Year1_CP_Plans)</f>
        <v>456</v>
      </c>
      <c r="E13" s="100">
        <f>IF(Year2_East_Sussex Year2_CP_Plans="","",Year2_East_Sussex Year2_CP_Plans)</f>
        <v>475</v>
      </c>
      <c r="F13" s="94">
        <f>IF(Year3_East_Sussex Year3_CP_Plans="","",Year3_East_Sussex Year3_CP_Plans)</f>
        <v>560</v>
      </c>
      <c r="G13" s="94">
        <f>IF(Year4_East_Sussex Year4_CP_Plans="","",Year4_East_Sussex Year4_CP_Plans)</f>
        <v>569</v>
      </c>
      <c r="H13" s="95">
        <f>IF(Year5_East_Sussex Year5_CP_Plans="","",Year5_East_Sussex Year5_CP_Plans)</f>
        <v>536</v>
      </c>
      <c r="I13" s="344">
        <f t="shared" si="2"/>
        <v>4.467224464940911E-2</v>
      </c>
      <c r="J13" s="96"/>
      <c r="K13" s="97">
        <f>IF(ISNUMBER(D13),D13/Population!D13*10000,NA())</f>
        <v>43.059490084985839</v>
      </c>
      <c r="L13" s="97">
        <f>IF(ISNUMBER(E13),E13/Population!E13*10000,NA())</f>
        <v>44.853635505193573</v>
      </c>
      <c r="M13" s="97">
        <f>IF(ISNUMBER(F13),F13/Population!F13*10000,NA())</f>
        <v>52.830188679245289</v>
      </c>
      <c r="N13" s="97">
        <f>IF(ISNUMBER(G13),G13/Population!G13*10000,NA())</f>
        <v>53.477443609022558</v>
      </c>
      <c r="O13" s="98">
        <f>IF(ISNUMBER(H13),H13/Population!H13*10000,NA())</f>
        <v>50.423330197554094</v>
      </c>
      <c r="P13" s="99">
        <f t="shared" si="3"/>
        <v>50.423330197554094</v>
      </c>
      <c r="Q13" s="934">
        <f t="shared" si="4"/>
        <v>13</v>
      </c>
      <c r="R13" s="70"/>
      <c r="S13" s="340">
        <f>IDACI!C12</f>
        <v>16.100000000000001</v>
      </c>
      <c r="T13" s="341">
        <f t="shared" si="0"/>
        <v>42.999169511169747</v>
      </c>
      <c r="U13" s="342">
        <f t="shared" si="5"/>
        <v>7.4241606863843472</v>
      </c>
      <c r="V13" s="122"/>
      <c r="W13" s="139"/>
      <c r="X13" s="152"/>
      <c r="Y13" s="72" t="str">
        <f t="shared" si="1"/>
        <v>East Sussex</v>
      </c>
      <c r="Z13" s="44">
        <f>IF(ISNUMBER(H13),IDACI!D12,0)</f>
        <v>93130</v>
      </c>
      <c r="AA13" s="44">
        <f>IF(ISNUMBER(H13),IDACI!E12,0)</f>
        <v>14993.93</v>
      </c>
      <c r="AB13" s="205">
        <f>IF(ISNUMBER(D13),Population!D13,"")</f>
        <v>105900</v>
      </c>
      <c r="AC13" s="205">
        <f>IF(ISNUMBER(E13),Population!E13,"")</f>
        <v>105900</v>
      </c>
      <c r="AD13" s="205">
        <f>IF(ISNUMBER(F13),Population!F13,"")</f>
        <v>106000</v>
      </c>
      <c r="AE13" s="205">
        <f>IF(ISNUMBER(G13),Population!G13,"")</f>
        <v>106400</v>
      </c>
      <c r="AF13" s="205">
        <f>IF(ISNUMBER(H13),Population!H13,"")</f>
        <v>106300</v>
      </c>
      <c r="AG13" s="93" t="s">
        <v>4</v>
      </c>
      <c r="AH13" s="231">
        <f t="shared" si="6"/>
        <v>50.423330197554094</v>
      </c>
      <c r="AI13" s="206">
        <f t="shared" si="7"/>
        <v>13</v>
      </c>
      <c r="AJ13" s="202"/>
      <c r="AK13" s="160"/>
      <c r="AL13" s="853">
        <f t="shared" si="8"/>
        <v>4.1666666666666664E-2</v>
      </c>
      <c r="AM13" s="853">
        <f t="shared" si="8"/>
        <v>0.17894736842105263</v>
      </c>
      <c r="AN13" s="853">
        <f t="shared" si="8"/>
        <v>1.607142857142857E-2</v>
      </c>
      <c r="AO13" s="853">
        <f t="shared" si="8"/>
        <v>-5.7996485061511421E-2</v>
      </c>
      <c r="AP13" s="853">
        <f t="shared" si="9"/>
        <v>4.467224464940911E-2</v>
      </c>
      <c r="AQ13" s="74"/>
      <c r="AR13" s="74"/>
      <c r="AS13" s="74"/>
      <c r="AT13" s="74"/>
      <c r="AU13" s="74"/>
      <c r="AV13" s="74"/>
      <c r="AW13" s="74"/>
      <c r="AX13" s="74"/>
      <c r="AY13" s="74"/>
    </row>
    <row r="14" spans="1:51" s="87" customFormat="1" ht="13.5" customHeight="1" x14ac:dyDescent="0.2">
      <c r="A14" s="488">
        <f>VLOOKUP(B14,Sheet1!$AQ$4:$AR$25,2,FALSE)</f>
        <v>0</v>
      </c>
      <c r="B14" s="93" t="str">
        <f>Sheet1!$K$8</f>
        <v>Hampshire</v>
      </c>
      <c r="C14" s="85"/>
      <c r="D14" s="94">
        <f>IF(Year1_Hampshire Year1_CP_Plans="","",Year1_Hampshire Year1_CP_Plans)</f>
        <v>1441</v>
      </c>
      <c r="E14" s="94">
        <f>IF(Year2_Hampshire Year2_CP_Plans="","",Year2_Hampshire Year2_CP_Plans)</f>
        <v>1263</v>
      </c>
      <c r="F14" s="101">
        <f>IF(Year3_Hampshire Year3_CP_Plans="","",Year3_Hampshire Year3_CP_Plans)</f>
        <v>1294</v>
      </c>
      <c r="G14" s="101">
        <f>IF(Year4_Hampshire Year4_CP_Plans="","",Year4_Hampshire Year4_CP_Plans)</f>
        <v>1097</v>
      </c>
      <c r="H14" s="95">
        <f>IF(Year5_Hampshire Year5_CP_Plans="","",Year5_Hampshire Year5_CP_Plans)</f>
        <v>938</v>
      </c>
      <c r="I14" s="344">
        <f t="shared" si="2"/>
        <v>-9.9040613798822619E-2</v>
      </c>
      <c r="J14" s="96"/>
      <c r="K14" s="97">
        <f>IF(ISNUMBER(D14),D14/Population!D14*10000,NA())</f>
        <v>51.117417523944667</v>
      </c>
      <c r="L14" s="97">
        <f>IF(ISNUMBER(E14),E14/Population!E14*10000,NA())</f>
        <v>44.660537482319661</v>
      </c>
      <c r="M14" s="97">
        <f>IF(ISNUMBER(F14),F14/Population!F14*10000,NA())</f>
        <v>45.675961877867984</v>
      </c>
      <c r="N14" s="97">
        <f>IF(ISNUMBER(G14),G14/Population!G14*10000,NA())</f>
        <v>38.62676056338028</v>
      </c>
      <c r="O14" s="98">
        <f>IF(ISNUMBER(H14),H14/Population!H14*10000,NA())</f>
        <v>32.993316918747801</v>
      </c>
      <c r="P14" s="99">
        <f t="shared" si="3"/>
        <v>32.993316918747801</v>
      </c>
      <c r="Q14" s="934">
        <f t="shared" si="4"/>
        <v>4</v>
      </c>
      <c r="R14" s="70"/>
      <c r="S14" s="340">
        <f>IDACI!C13</f>
        <v>10.100000000000001</v>
      </c>
      <c r="T14" s="341">
        <f t="shared" si="0"/>
        <v>30.558288670217646</v>
      </c>
      <c r="U14" s="342">
        <f t="shared" si="5"/>
        <v>2.4350282485301555</v>
      </c>
      <c r="V14" s="122"/>
      <c r="W14" s="139"/>
      <c r="X14" s="152"/>
      <c r="Y14" s="72" t="str">
        <f t="shared" si="1"/>
        <v>Hampshire</v>
      </c>
      <c r="Z14" s="44">
        <f>IF(ISNUMBER(H14),IDACI!D13,0)</f>
        <v>249483</v>
      </c>
      <c r="AA14" s="44">
        <f>IF(ISNUMBER(H14),IDACI!E13,0)</f>
        <v>25197.783000000007</v>
      </c>
      <c r="AB14" s="205">
        <f>IF(ISNUMBER(D14),Population!D14,"")</f>
        <v>281900</v>
      </c>
      <c r="AC14" s="205">
        <f>IF(ISNUMBER(E14),Population!E14,"")</f>
        <v>282800</v>
      </c>
      <c r="AD14" s="205">
        <f>IF(ISNUMBER(F14),Population!F14,"")</f>
        <v>283300</v>
      </c>
      <c r="AE14" s="205">
        <f>IF(ISNUMBER(G14),Population!G14,"")</f>
        <v>284000</v>
      </c>
      <c r="AF14" s="205">
        <f>IF(ISNUMBER(H14),Population!H14,"")</f>
        <v>284300</v>
      </c>
      <c r="AG14" s="93" t="s">
        <v>6</v>
      </c>
      <c r="AH14" s="231">
        <f t="shared" si="6"/>
        <v>32.993316918747801</v>
      </c>
      <c r="AI14" s="206">
        <f t="shared" si="7"/>
        <v>4</v>
      </c>
      <c r="AJ14" s="202"/>
      <c r="AK14" s="160"/>
      <c r="AL14" s="853">
        <f t="shared" si="8"/>
        <v>-0.12352532963219987</v>
      </c>
      <c r="AM14" s="853">
        <f t="shared" si="8"/>
        <v>2.4544734758511481E-2</v>
      </c>
      <c r="AN14" s="853">
        <f t="shared" si="8"/>
        <v>-0.15224111282843894</v>
      </c>
      <c r="AO14" s="853">
        <f t="shared" si="8"/>
        <v>-0.14494074749316319</v>
      </c>
      <c r="AP14" s="853">
        <f t="shared" si="9"/>
        <v>-9.9040613798822619E-2</v>
      </c>
      <c r="AQ14" s="74"/>
      <c r="AR14" s="74"/>
      <c r="AS14" s="74"/>
      <c r="AT14" s="74"/>
      <c r="AU14" s="74"/>
      <c r="AV14" s="74"/>
      <c r="AW14" s="74"/>
      <c r="AX14" s="74"/>
      <c r="AY14" s="74"/>
    </row>
    <row r="15" spans="1:51" s="87" customFormat="1" ht="13.5" customHeight="1" x14ac:dyDescent="0.2">
      <c r="A15" s="488">
        <f>VLOOKUP(B15,Sheet1!$AQ$4:$AR$25,2,FALSE)</f>
        <v>0</v>
      </c>
      <c r="B15" s="93" t="str">
        <f>Sheet1!$K$9</f>
        <v>Isle of Wight</v>
      </c>
      <c r="C15" s="85"/>
      <c r="D15" s="94">
        <f>IF(Year1_Isle_of_Wight Year1_CP_Plans="","",Year1_Isle_of_Wight Year1_CP_Plans)</f>
        <v>214</v>
      </c>
      <c r="E15" s="94">
        <f>IF(Year2_Isle_of_Wight Year2_CP_Plans="","",Year2_Isle_of_Wight Year2_CP_Plans)</f>
        <v>199</v>
      </c>
      <c r="F15" s="94">
        <f>IF(Year3_Isle_of_Wight Year3_CP_Plans="","",Year3_Isle_of_Wight Year3_CP_Plans)</f>
        <v>193</v>
      </c>
      <c r="G15" s="94">
        <f>IF(Year4_Isle_of_Wight Year4_CP_Plans="","",Year4_Isle_of_Wight Year4_CP_Plans)</f>
        <v>165</v>
      </c>
      <c r="H15" s="95">
        <f>IF(Year5_Isle_of_Wight Year5_CP_Plans="","",Year5_Isle_of_Wight Year5_CP_Plans)</f>
        <v>126</v>
      </c>
      <c r="I15" s="344">
        <f t="shared" si="2"/>
        <v>-0.12042139207091493</v>
      </c>
      <c r="J15" s="96"/>
      <c r="K15" s="97">
        <f>IF(ISNUMBER(D15),D15/Population!D15*10000,NA())</f>
        <v>84.584980237154156</v>
      </c>
      <c r="L15" s="97">
        <f>IF(ISNUMBER(E15),E15/Population!E15*10000,NA())</f>
        <v>78.968253968253975</v>
      </c>
      <c r="M15" s="97">
        <f>IF(ISNUMBER(F15),F15/Population!F15*10000,NA())</f>
        <v>76.892430278884461</v>
      </c>
      <c r="N15" s="97">
        <f>IF(ISNUMBER(G15),G15/Population!G15*10000,NA())</f>
        <v>66.265060240963848</v>
      </c>
      <c r="O15" s="98">
        <f>IF(ISNUMBER(H15),H15/Population!H15*10000,NA())</f>
        <v>51.012145748987855</v>
      </c>
      <c r="P15" s="99">
        <f t="shared" si="3"/>
        <v>51.012145748987855</v>
      </c>
      <c r="Q15" s="934">
        <f t="shared" si="4"/>
        <v>14</v>
      </c>
      <c r="R15" s="70"/>
      <c r="S15" s="340">
        <f>IDACI!C14</f>
        <v>18</v>
      </c>
      <c r="T15" s="341">
        <f t="shared" si="0"/>
        <v>46.938781777471242</v>
      </c>
      <c r="U15" s="342">
        <f t="shared" si="5"/>
        <v>4.0733639715166134</v>
      </c>
      <c r="V15" s="122"/>
      <c r="W15" s="139"/>
      <c r="X15" s="152"/>
      <c r="Y15" s="72" t="str">
        <f t="shared" si="1"/>
        <v>Isle of Wight</v>
      </c>
      <c r="Z15" s="44">
        <f>IF(ISNUMBER(H15),IDACI!D14,0)</f>
        <v>22123</v>
      </c>
      <c r="AA15" s="44">
        <f>IF(ISNUMBER(H15),IDACI!E14,0)</f>
        <v>3982.14</v>
      </c>
      <c r="AB15" s="205">
        <f>IF(ISNUMBER(D15),Population!D15,"")</f>
        <v>25300</v>
      </c>
      <c r="AC15" s="205">
        <f>IF(ISNUMBER(E15),Population!E15,"")</f>
        <v>25200</v>
      </c>
      <c r="AD15" s="205">
        <f>IF(ISNUMBER(F15),Population!F15,"")</f>
        <v>25100</v>
      </c>
      <c r="AE15" s="205">
        <f>IF(ISNUMBER(G15),Population!G15,"")</f>
        <v>24900</v>
      </c>
      <c r="AF15" s="205">
        <f>IF(ISNUMBER(H15),Population!H15,"")</f>
        <v>24700</v>
      </c>
      <c r="AG15" s="93" t="s">
        <v>1</v>
      </c>
      <c r="AH15" s="231">
        <f t="shared" si="6"/>
        <v>51.012145748987855</v>
      </c>
      <c r="AI15" s="206">
        <f t="shared" si="7"/>
        <v>14</v>
      </c>
      <c r="AJ15" s="202"/>
      <c r="AK15" s="160"/>
      <c r="AL15" s="853">
        <f t="shared" si="8"/>
        <v>-7.0093457943925228E-2</v>
      </c>
      <c r="AM15" s="853">
        <f t="shared" si="8"/>
        <v>-3.015075376884422E-2</v>
      </c>
      <c r="AN15" s="853">
        <f t="shared" si="8"/>
        <v>-0.14507772020725387</v>
      </c>
      <c r="AO15" s="853">
        <f t="shared" si="8"/>
        <v>-0.23636363636363636</v>
      </c>
      <c r="AP15" s="853">
        <f t="shared" si="9"/>
        <v>-0.12042139207091493</v>
      </c>
      <c r="AQ15" s="74"/>
      <c r="AR15" s="74"/>
      <c r="AS15" s="74"/>
      <c r="AT15" s="74"/>
      <c r="AU15" s="74"/>
      <c r="AV15" s="74"/>
      <c r="AW15" s="74"/>
      <c r="AX15" s="74"/>
      <c r="AY15" s="74"/>
    </row>
    <row r="16" spans="1:51" s="87" customFormat="1" ht="13.5" customHeight="1" x14ac:dyDescent="0.2">
      <c r="A16" s="488">
        <f>VLOOKUP(B16,Sheet1!$AQ$4:$AR$25,2,FALSE)</f>
        <v>0</v>
      </c>
      <c r="B16" s="93" t="str">
        <f>Sheet1!$K$10</f>
        <v>Kent</v>
      </c>
      <c r="C16" s="85"/>
      <c r="D16" s="94">
        <f>IF(Year1_Kent Year1_CP_Plans="","",Year1_Kent Year1_CP_Plans)</f>
        <v>1049</v>
      </c>
      <c r="E16" s="94">
        <f>IF(Year2_Kent Year2_CP_Plans="","",Year2_Kent Year2_CP_Plans)</f>
        <v>1185</v>
      </c>
      <c r="F16" s="94">
        <f>IF(Year3_Kent Year3_CP_Plans="","",Year3_Kent Year3_CP_Plans)</f>
        <v>1462</v>
      </c>
      <c r="G16" s="94">
        <f>IF(Year4_Kent Year4_CP_Plans="","",Year4_Kent Year4_CP_Plans)</f>
        <v>1303</v>
      </c>
      <c r="H16" s="95">
        <f>IF(Year5_Kent Year5_CP_Plans="","",Year5_Kent Year5_CP_Plans)</f>
        <v>1332</v>
      </c>
      <c r="I16" s="344">
        <f t="shared" si="2"/>
        <v>6.9225939743006115E-2</v>
      </c>
      <c r="J16" s="96"/>
      <c r="K16" s="97">
        <f>IF(ISNUMBER(D16),D16/Population!D16*10000,NA())</f>
        <v>31.74939467312349</v>
      </c>
      <c r="L16" s="97">
        <f>IF(ISNUMBER(E16),E16/Population!E16*10000,NA())</f>
        <v>35.585585585585584</v>
      </c>
      <c r="M16" s="97">
        <f>IF(ISNUMBER(F16),F16/Population!F16*10000,NA())</f>
        <v>43.498958643260934</v>
      </c>
      <c r="N16" s="97">
        <f>IF(ISNUMBER(G16),G16/Population!G16*10000,NA())</f>
        <v>38.312261099676569</v>
      </c>
      <c r="O16" s="98">
        <f>IF(ISNUMBER(H16),H16/Population!H16*10000,NA())</f>
        <v>38.7434554973822</v>
      </c>
      <c r="P16" s="99">
        <f t="shared" si="3"/>
        <v>38.7434554973822</v>
      </c>
      <c r="Q16" s="934">
        <f t="shared" si="4"/>
        <v>8</v>
      </c>
      <c r="R16" s="70"/>
      <c r="S16" s="340">
        <f>IDACI!C15</f>
        <v>15.8</v>
      </c>
      <c r="T16" s="341">
        <f t="shared" si="0"/>
        <v>42.377125469122142</v>
      </c>
      <c r="U16" s="342">
        <f t="shared" si="5"/>
        <v>-3.6336699717399412</v>
      </c>
      <c r="V16" s="122"/>
      <c r="W16" s="139"/>
      <c r="X16" s="152"/>
      <c r="Y16" s="72" t="str">
        <f t="shared" si="1"/>
        <v>Kent</v>
      </c>
      <c r="Z16" s="44">
        <f>IF(ISNUMBER(H16),IDACI!D15,0)</f>
        <v>291866</v>
      </c>
      <c r="AA16" s="44">
        <f>IF(ISNUMBER(H16),IDACI!E15,0)</f>
        <v>46114.828000000001</v>
      </c>
      <c r="AB16" s="205">
        <f>IF(ISNUMBER(D16),Population!D16,"")</f>
        <v>330400</v>
      </c>
      <c r="AC16" s="205">
        <f>IF(ISNUMBER(E16),Population!E16,"")</f>
        <v>333000</v>
      </c>
      <c r="AD16" s="205">
        <f>IF(ISNUMBER(F16),Population!F16,"")</f>
        <v>336100</v>
      </c>
      <c r="AE16" s="205">
        <f>IF(ISNUMBER(G16),Population!G16,"")</f>
        <v>340100</v>
      </c>
      <c r="AF16" s="205">
        <f>IF(ISNUMBER(H16),Population!H16,"")</f>
        <v>343800</v>
      </c>
      <c r="AG16" s="93" t="s">
        <v>9</v>
      </c>
      <c r="AH16" s="231">
        <f t="shared" si="6"/>
        <v>38.7434554973822</v>
      </c>
      <c r="AI16" s="206">
        <f t="shared" si="7"/>
        <v>8</v>
      </c>
      <c r="AJ16" s="202"/>
      <c r="AK16" s="160"/>
      <c r="AL16" s="853">
        <f t="shared" si="8"/>
        <v>0.12964728312678742</v>
      </c>
      <c r="AM16" s="853">
        <f t="shared" si="8"/>
        <v>0.23375527426160336</v>
      </c>
      <c r="AN16" s="853">
        <f t="shared" si="8"/>
        <v>-0.10875512995896033</v>
      </c>
      <c r="AO16" s="853">
        <f t="shared" si="8"/>
        <v>2.2256331542594012E-2</v>
      </c>
      <c r="AP16" s="853">
        <f t="shared" si="9"/>
        <v>6.9225939743006115E-2</v>
      </c>
      <c r="AQ16" s="74"/>
      <c r="AR16" s="74"/>
      <c r="AS16" s="74"/>
      <c r="AT16" s="74"/>
      <c r="AU16" s="74"/>
      <c r="AV16" s="74"/>
      <c r="AW16" s="74"/>
      <c r="AX16" s="74"/>
      <c r="AY16" s="74"/>
    </row>
    <row r="17" spans="1:51" s="87" customFormat="1" ht="13.5" customHeight="1" x14ac:dyDescent="0.2">
      <c r="A17" s="488">
        <f>VLOOKUP(B17,Sheet1!$AQ$4:$AR$25,2,FALSE)</f>
        <v>0</v>
      </c>
      <c r="B17" s="93" t="str">
        <f>Sheet1!$K$11</f>
        <v>Medway</v>
      </c>
      <c r="C17" s="85"/>
      <c r="D17" s="94">
        <f>IF(Year1_Medway Year1_CP_Plans="","",Year1_Medway Year1_CP_Plans)</f>
        <v>539</v>
      </c>
      <c r="E17" s="301">
        <f>IF(Year2_Medway Year2_CP_Plans="","",Year2_Medway Year2_CP_Plans)</f>
        <v>313</v>
      </c>
      <c r="F17" s="301">
        <f>IF(Year3_Medway Year3_CP_Plans="","",Year3_Medway Year3_CP_Plans)</f>
        <v>344</v>
      </c>
      <c r="G17" s="301">
        <f>IF(Year4_Medway Year4_CP_Plans="","",Year4_Medway Year4_CP_Plans)</f>
        <v>355</v>
      </c>
      <c r="H17" s="302">
        <f>IF(Year5_Medway Year5_CP_Plans="","",Year5_Medway Year5_CP_Plans)</f>
        <v>463</v>
      </c>
      <c r="I17" s="344">
        <f t="shared" si="2"/>
        <v>3.9871597803715769E-3</v>
      </c>
      <c r="J17" s="96"/>
      <c r="K17" s="97">
        <f>IF(ISNUMBER(D17),D17/Population!D17*10000,NA())</f>
        <v>85.284810126582272</v>
      </c>
      <c r="L17" s="97">
        <f>IF(ISNUMBER(E17),E17/Population!E17*10000,NA())</f>
        <v>49.136577708006286</v>
      </c>
      <c r="M17" s="97">
        <f>IF(ISNUMBER(F17),F17/Population!F17*10000,NA())</f>
        <v>53.834115805946794</v>
      </c>
      <c r="N17" s="97">
        <f>IF(ISNUMBER(G17),G17/Population!G17*10000,NA())</f>
        <v>55.12422360248447</v>
      </c>
      <c r="O17" s="98">
        <f>IF(ISNUMBER(H17),H17/Population!H17*10000,NA())</f>
        <v>71.230769230769226</v>
      </c>
      <c r="P17" s="99">
        <f t="shared" si="3"/>
        <v>71.230769230769226</v>
      </c>
      <c r="Q17" s="934">
        <f t="shared" si="4"/>
        <v>18</v>
      </c>
      <c r="R17" s="70"/>
      <c r="S17" s="340">
        <f>IDACI!C16</f>
        <v>18.899999999999999</v>
      </c>
      <c r="T17" s="341">
        <f t="shared" si="0"/>
        <v>48.804913903614057</v>
      </c>
      <c r="U17" s="342">
        <f t="shared" si="5"/>
        <v>22.425855327155169</v>
      </c>
      <c r="V17" s="122"/>
      <c r="W17" s="139"/>
      <c r="X17" s="152"/>
      <c r="Y17" s="72" t="str">
        <f t="shared" si="1"/>
        <v>Medway</v>
      </c>
      <c r="Z17" s="44">
        <f>IF(ISNUMBER(H17),IDACI!D16,0)</f>
        <v>55993</v>
      </c>
      <c r="AA17" s="44">
        <f>IF(ISNUMBER(H17),IDACI!E16,0)</f>
        <v>10582.676999999998</v>
      </c>
      <c r="AB17" s="205">
        <f>IF(ISNUMBER(D17),Population!D17,"")</f>
        <v>63200</v>
      </c>
      <c r="AC17" s="205">
        <f>IF(ISNUMBER(E17),Population!E17,"")</f>
        <v>63700</v>
      </c>
      <c r="AD17" s="205">
        <f>IF(ISNUMBER(F17),Population!F17,"")</f>
        <v>63900</v>
      </c>
      <c r="AE17" s="205">
        <f>IF(ISNUMBER(G17),Population!G17,"")</f>
        <v>64400</v>
      </c>
      <c r="AF17" s="205">
        <f>IF(ISNUMBER(H17),Population!H17,"")</f>
        <v>65000</v>
      </c>
      <c r="AG17" s="93" t="s">
        <v>2</v>
      </c>
      <c r="AH17" s="231">
        <f t="shared" si="6"/>
        <v>71.230769230769226</v>
      </c>
      <c r="AI17" s="206">
        <f t="shared" si="7"/>
        <v>18</v>
      </c>
      <c r="AJ17" s="202"/>
      <c r="AK17" s="160"/>
      <c r="AL17" s="853">
        <f t="shared" si="8"/>
        <v>-0.41929499072356213</v>
      </c>
      <c r="AM17" s="853">
        <f t="shared" si="8"/>
        <v>9.9041533546325874E-2</v>
      </c>
      <c r="AN17" s="853">
        <f t="shared" si="8"/>
        <v>3.1976744186046513E-2</v>
      </c>
      <c r="AO17" s="853">
        <f t="shared" si="8"/>
        <v>0.30422535211267604</v>
      </c>
      <c r="AP17" s="853">
        <f t="shared" si="9"/>
        <v>3.9871597803715769E-3</v>
      </c>
      <c r="AQ17" s="74"/>
      <c r="AR17" s="74"/>
      <c r="AS17" s="74"/>
      <c r="AT17" s="74"/>
      <c r="AU17" s="74"/>
      <c r="AV17" s="74"/>
      <c r="AW17" s="74"/>
      <c r="AX17" s="74"/>
      <c r="AY17" s="74"/>
    </row>
    <row r="18" spans="1:51" s="87" customFormat="1" ht="13.5" customHeight="1" x14ac:dyDescent="0.2">
      <c r="A18" s="488">
        <f>VLOOKUP(B18,Sheet1!$AQ$4:$AR$25,2,FALSE)</f>
        <v>0</v>
      </c>
      <c r="B18" s="93" t="str">
        <f>Sheet1!$K$12</f>
        <v>Milton Keynes</v>
      </c>
      <c r="C18" s="85"/>
      <c r="D18" s="94">
        <f>IF(Year1_Milton_Keynes Year1_CP_Plans="","",Year1_Milton_Keynes Year1_CP_Plans)</f>
        <v>92</v>
      </c>
      <c r="E18" s="94">
        <f>IF(Year2_Milton_Keynes Year2_CP_Plans="","",Year2_Milton_Keynes Year2_CP_Plans)</f>
        <v>90</v>
      </c>
      <c r="F18" s="94">
        <f>IF(Year3_Milton_Keynes Year3_CP_Plans="","",Year3_Milton_Keynes Year3_CP_Plans)</f>
        <v>104</v>
      </c>
      <c r="G18" s="94">
        <f>IF(Year4_Milton_Keynes Year4_CP_Plans="","",Year4_Milton_Keynes Year4_CP_Plans)</f>
        <v>136</v>
      </c>
      <c r="H18" s="95">
        <f>IF(Year5_Milton_Keynes Year5_CP_Plans="","",Year5_Milton_Keynes Year5_CP_Plans)</f>
        <v>132</v>
      </c>
      <c r="I18" s="344">
        <f t="shared" si="2"/>
        <v>0.10302424202679958</v>
      </c>
      <c r="J18" s="96"/>
      <c r="K18" s="97">
        <f>IF(ISNUMBER(D18),D18/Population!D18*10000,NA())</f>
        <v>13.918305597579424</v>
      </c>
      <c r="L18" s="97">
        <f>IF(ISNUMBER(E18),E18/Population!E18*10000,NA())</f>
        <v>13.412816691505217</v>
      </c>
      <c r="M18" s="97">
        <f>IF(ISNUMBER(F18),F18/Population!F18*10000,NA())</f>
        <v>15.384615384615385</v>
      </c>
      <c r="N18" s="97">
        <f>IF(ISNUMBER(G18),G18/Population!G18*10000,NA())</f>
        <v>19.912152269399709</v>
      </c>
      <c r="O18" s="98">
        <f>IF(ISNUMBER(H18),H18/Population!H18*10000,NA())</f>
        <v>19.186046511627907</v>
      </c>
      <c r="P18" s="99">
        <f t="shared" si="3"/>
        <v>19.186046511627907</v>
      </c>
      <c r="Q18" s="934">
        <f t="shared" si="4"/>
        <v>1</v>
      </c>
      <c r="R18" s="70"/>
      <c r="S18" s="340">
        <f>IDACI!C17</f>
        <v>15</v>
      </c>
      <c r="T18" s="341">
        <f t="shared" si="0"/>
        <v>40.718341356995197</v>
      </c>
      <c r="U18" s="342">
        <f t="shared" si="5"/>
        <v>-21.532294845367289</v>
      </c>
      <c r="V18" s="122"/>
      <c r="W18" s="139"/>
      <c r="X18" s="152"/>
      <c r="Y18" s="72" t="str">
        <f t="shared" si="1"/>
        <v>Milton Keynes</v>
      </c>
      <c r="Z18" s="44">
        <f>IF(ISNUMBER(H18),IDACI!D17,0)</f>
        <v>59903</v>
      </c>
      <c r="AA18" s="44">
        <f>IF(ISNUMBER(H18),IDACI!E17,0)</f>
        <v>8985.4499999999989</v>
      </c>
      <c r="AB18" s="205">
        <f>IF(ISNUMBER(D18),Population!D18,"")</f>
        <v>66100</v>
      </c>
      <c r="AC18" s="205">
        <f>IF(ISNUMBER(E18),Population!E18,"")</f>
        <v>67100</v>
      </c>
      <c r="AD18" s="205">
        <f>IF(ISNUMBER(F18),Population!F18,"")</f>
        <v>67600</v>
      </c>
      <c r="AE18" s="205">
        <f>IF(ISNUMBER(G18),Population!G18,"")</f>
        <v>68300</v>
      </c>
      <c r="AF18" s="205">
        <f>IF(ISNUMBER(H18),Population!H18,"")</f>
        <v>68800</v>
      </c>
      <c r="AG18" s="93" t="s">
        <v>10</v>
      </c>
      <c r="AH18" s="231">
        <f t="shared" si="6"/>
        <v>19.186046511627907</v>
      </c>
      <c r="AI18" s="206">
        <f t="shared" si="7"/>
        <v>1</v>
      </c>
      <c r="AJ18" s="202"/>
      <c r="AK18" s="160"/>
      <c r="AL18" s="853">
        <f t="shared" si="8"/>
        <v>-2.1739130434782608E-2</v>
      </c>
      <c r="AM18" s="853">
        <f t="shared" si="8"/>
        <v>0.15555555555555556</v>
      </c>
      <c r="AN18" s="853">
        <f t="shared" si="8"/>
        <v>0.30769230769230771</v>
      </c>
      <c r="AO18" s="853">
        <f t="shared" si="8"/>
        <v>-2.9411764705882353E-2</v>
      </c>
      <c r="AP18" s="853">
        <f t="shared" si="9"/>
        <v>0.10302424202679958</v>
      </c>
      <c r="AQ18" s="74"/>
      <c r="AR18" s="74"/>
      <c r="AS18" s="74"/>
      <c r="AT18" s="74"/>
      <c r="AU18" s="74"/>
      <c r="AV18" s="74"/>
      <c r="AW18" s="74"/>
      <c r="AX18" s="74"/>
      <c r="AY18" s="74"/>
    </row>
    <row r="19" spans="1:51" s="87" customFormat="1" ht="13.5" customHeight="1" x14ac:dyDescent="0.2">
      <c r="A19" s="488">
        <f>VLOOKUP(B19,Sheet1!$AQ$4:$AR$25,2,FALSE)</f>
        <v>0</v>
      </c>
      <c r="B19" s="93" t="str">
        <f>Sheet1!$K$13</f>
        <v>Oxfordshire</v>
      </c>
      <c r="C19" s="85"/>
      <c r="D19" s="94">
        <f>IF(Year1_Oxfordshire Year1_CP_Plans="","",Year1_Oxfordshire Year1_CP_Plans)</f>
        <v>571</v>
      </c>
      <c r="E19" s="94">
        <f>IF(Year2_Oxfordshire Year2_CP_Plans="","",Year2_Oxfordshire Year2_CP_Plans)</f>
        <v>609</v>
      </c>
      <c r="F19" s="94">
        <f>IF(Year3_Oxfordshire Year3_CP_Plans="","",Year3_Oxfordshire Year3_CP_Plans)</f>
        <v>687</v>
      </c>
      <c r="G19" s="94">
        <f>IF(Year4_Oxfordshire Year4_CP_Plans="","",Year4_Oxfordshire Year4_CP_Plans)</f>
        <v>592</v>
      </c>
      <c r="H19" s="95">
        <f>IF(Year5_Oxfordshire Year5_CP_Plans="","",Year5_Oxfordshire Year5_CP_Plans)</f>
        <v>543</v>
      </c>
      <c r="I19" s="344">
        <f t="shared" si="2"/>
        <v>-6.6059818231596311E-3</v>
      </c>
      <c r="J19" s="96"/>
      <c r="K19" s="97">
        <f>IF(ISNUMBER(D19),D19/Population!D19*10000,NA())</f>
        <v>40.267983074753175</v>
      </c>
      <c r="L19" s="97">
        <f>IF(ISNUMBER(E19),E19/Population!E19*10000,NA())</f>
        <v>42.617214835549333</v>
      </c>
      <c r="M19" s="97">
        <f>IF(ISNUMBER(F19),F19/Population!F19*10000,NA())</f>
        <v>47.90794979079498</v>
      </c>
      <c r="N19" s="97">
        <f>IF(ISNUMBER(G19),G19/Population!G19*10000,NA())</f>
        <v>40.88397790055248</v>
      </c>
      <c r="O19" s="98">
        <f>IF(ISNUMBER(H19),H19/Population!H19*10000,NA())</f>
        <v>37.166324435318273</v>
      </c>
      <c r="P19" s="99">
        <f t="shared" si="3"/>
        <v>37.166324435318273</v>
      </c>
      <c r="Q19" s="934">
        <f t="shared" si="4"/>
        <v>6</v>
      </c>
      <c r="R19" s="70"/>
      <c r="S19" s="340">
        <f>IDACI!C18</f>
        <v>10.100000000000001</v>
      </c>
      <c r="T19" s="341">
        <f t="shared" si="0"/>
        <v>30.558288670217646</v>
      </c>
      <c r="U19" s="342">
        <f t="shared" si="5"/>
        <v>6.6080357651006274</v>
      </c>
      <c r="V19" s="122"/>
      <c r="W19" s="139"/>
      <c r="X19" s="152"/>
      <c r="Y19" s="72" t="str">
        <f t="shared" si="1"/>
        <v>Oxfordshire</v>
      </c>
      <c r="Z19" s="44">
        <f>IF(ISNUMBER(H19),IDACI!D18,0)</f>
        <v>126119</v>
      </c>
      <c r="AA19" s="44">
        <f>IF(ISNUMBER(H19),IDACI!E18,0)</f>
        <v>12738.019000000002</v>
      </c>
      <c r="AB19" s="205">
        <f>IF(ISNUMBER(D19),Population!D19,"")</f>
        <v>141800</v>
      </c>
      <c r="AC19" s="205">
        <f>IF(ISNUMBER(E19),Population!E19,"")</f>
        <v>142900</v>
      </c>
      <c r="AD19" s="205">
        <f>IF(ISNUMBER(F19),Population!F19,"")</f>
        <v>143400</v>
      </c>
      <c r="AE19" s="205">
        <f>IF(ISNUMBER(G19),Population!G19,"")</f>
        <v>144800</v>
      </c>
      <c r="AF19" s="205">
        <f>IF(ISNUMBER(H19),Population!H19,"")</f>
        <v>146100</v>
      </c>
      <c r="AG19" s="93" t="s">
        <v>11</v>
      </c>
      <c r="AH19" s="231">
        <f t="shared" si="6"/>
        <v>37.166324435318273</v>
      </c>
      <c r="AI19" s="206">
        <f t="shared" si="7"/>
        <v>6</v>
      </c>
      <c r="AJ19" s="202"/>
      <c r="AK19" s="160"/>
      <c r="AL19" s="853">
        <f t="shared" si="8"/>
        <v>6.6549912434325745E-2</v>
      </c>
      <c r="AM19" s="853">
        <f t="shared" si="8"/>
        <v>0.12807881773399016</v>
      </c>
      <c r="AN19" s="853">
        <f t="shared" si="8"/>
        <v>-0.13828238719068414</v>
      </c>
      <c r="AO19" s="853">
        <f t="shared" si="8"/>
        <v>-8.2770270270270271E-2</v>
      </c>
      <c r="AP19" s="853">
        <f t="shared" si="9"/>
        <v>-6.6059818231596311E-3</v>
      </c>
      <c r="AQ19" s="74"/>
      <c r="AR19" s="74"/>
      <c r="AS19" s="74"/>
      <c r="AT19" s="74"/>
      <c r="AU19" s="74"/>
      <c r="AV19" s="74"/>
      <c r="AW19" s="74"/>
      <c r="AX19" s="74"/>
      <c r="AY19" s="74"/>
    </row>
    <row r="20" spans="1:51" s="87" customFormat="1" ht="13.5" customHeight="1" x14ac:dyDescent="0.2">
      <c r="A20" s="488">
        <f>VLOOKUP(B20,Sheet1!$AQ$4:$AR$25,2,FALSE)</f>
        <v>0</v>
      </c>
      <c r="B20" s="93" t="str">
        <f>Sheet1!$K$14</f>
        <v>Portsmouth</v>
      </c>
      <c r="C20" s="85"/>
      <c r="D20" s="94">
        <f>IF(Year1_Portsmouth Year1_CP_Plans="","",Year1_Portsmouth Year1_CP_Plans)</f>
        <v>275</v>
      </c>
      <c r="E20" s="94">
        <f>IF(Year2_Portsmouth Year2_CP_Plans="","",Year2_Portsmouth Year2_CP_Plans)</f>
        <v>242</v>
      </c>
      <c r="F20" s="94">
        <f>IF(Year3_Portsmouth Year3_CP_Plans="","",Year3_Portsmouth Year3_CP_Plans)</f>
        <v>286</v>
      </c>
      <c r="G20" s="94">
        <f>IF(Year4_Portsmouth Year4_CP_Plans="","",Year4_Portsmouth Year4_CP_Plans)</f>
        <v>195</v>
      </c>
      <c r="H20" s="95">
        <f>IF(Year5_Portsmouth Year5_CP_Plans="","",Year5_Portsmouth Year5_CP_Plans)</f>
        <v>203</v>
      </c>
      <c r="I20" s="344">
        <f t="shared" si="2"/>
        <v>-5.3834498834498833E-2</v>
      </c>
      <c r="J20" s="96"/>
      <c r="K20" s="97">
        <f>IF(ISNUMBER(D20),D20/Population!D20*10000,NA())</f>
        <v>62.785388127853878</v>
      </c>
      <c r="L20" s="97">
        <f>IF(ISNUMBER(E20),E20/Population!E20*10000,NA())</f>
        <v>55</v>
      </c>
      <c r="M20" s="97">
        <f>IF(ISNUMBER(F20),F20/Population!F20*10000,NA())</f>
        <v>64.705882352941174</v>
      </c>
      <c r="N20" s="97">
        <f>IF(ISNUMBER(G20),G20/Population!G20*10000,NA())</f>
        <v>44.31818181818182</v>
      </c>
      <c r="O20" s="98">
        <f>IF(ISNUMBER(H20),H20/Population!H20*10000,NA())</f>
        <v>46.347031963470322</v>
      </c>
      <c r="P20" s="99">
        <f t="shared" si="3"/>
        <v>46.347031963470322</v>
      </c>
      <c r="Q20" s="934">
        <f t="shared" si="4"/>
        <v>12</v>
      </c>
      <c r="R20" s="70"/>
      <c r="S20" s="340">
        <f>IDACI!C19</f>
        <v>20.200000000000003</v>
      </c>
      <c r="T20" s="341">
        <f t="shared" si="0"/>
        <v>51.500438085820349</v>
      </c>
      <c r="U20" s="342">
        <f t="shared" si="5"/>
        <v>-5.1534061223500274</v>
      </c>
      <c r="V20" s="122"/>
      <c r="W20" s="139"/>
      <c r="X20" s="152"/>
      <c r="Y20" s="72" t="str">
        <f t="shared" si="1"/>
        <v>Portsmouth</v>
      </c>
      <c r="Z20" s="44">
        <f>IF(ISNUMBER(H20),IDACI!D19,0)</f>
        <v>39325</v>
      </c>
      <c r="AA20" s="44">
        <f>IF(ISNUMBER(H20),IDACI!E19,0)</f>
        <v>7943.6500000000015</v>
      </c>
      <c r="AB20" s="205">
        <f>IF(ISNUMBER(D20),Population!D20,"")</f>
        <v>43800</v>
      </c>
      <c r="AC20" s="205">
        <f>IF(ISNUMBER(E20),Population!E20,"")</f>
        <v>44000</v>
      </c>
      <c r="AD20" s="205">
        <f>IF(ISNUMBER(F20),Population!F20,"")</f>
        <v>44200</v>
      </c>
      <c r="AE20" s="205">
        <f>IF(ISNUMBER(G20),Population!G20,"")</f>
        <v>44000</v>
      </c>
      <c r="AF20" s="205">
        <f>IF(ISNUMBER(H20),Population!H20,"")</f>
        <v>43800</v>
      </c>
      <c r="AG20" s="93" t="s">
        <v>12</v>
      </c>
      <c r="AH20" s="231">
        <f t="shared" si="6"/>
        <v>46.347031963470322</v>
      </c>
      <c r="AI20" s="206">
        <f t="shared" si="7"/>
        <v>12</v>
      </c>
      <c r="AJ20" s="202"/>
      <c r="AK20" s="160"/>
      <c r="AL20" s="853">
        <f t="shared" si="8"/>
        <v>-0.12</v>
      </c>
      <c r="AM20" s="853">
        <f t="shared" si="8"/>
        <v>0.18181818181818182</v>
      </c>
      <c r="AN20" s="853">
        <f t="shared" si="8"/>
        <v>-0.31818181818181818</v>
      </c>
      <c r="AO20" s="853">
        <f t="shared" si="8"/>
        <v>4.1025641025641026E-2</v>
      </c>
      <c r="AP20" s="853">
        <f t="shared" si="9"/>
        <v>-5.3834498834498833E-2</v>
      </c>
      <c r="AQ20" s="74"/>
      <c r="AR20" s="74"/>
      <c r="AS20" s="74"/>
      <c r="AT20" s="74"/>
      <c r="AU20" s="74"/>
      <c r="AV20" s="74"/>
      <c r="AW20" s="74"/>
      <c r="AX20" s="74"/>
      <c r="AY20" s="74"/>
    </row>
    <row r="21" spans="1:51" s="87" customFormat="1" ht="13.5" customHeight="1" x14ac:dyDescent="0.2">
      <c r="A21" s="488">
        <f>VLOOKUP(B21,Sheet1!$AQ$4:$AR$25,2,FALSE)</f>
        <v>0</v>
      </c>
      <c r="B21" s="93" t="str">
        <f>Sheet1!$K$15</f>
        <v>Reading</v>
      </c>
      <c r="C21" s="85"/>
      <c r="D21" s="94">
        <f>IF(Year1_Reading Year1_CP_Plans="","",Year1_Reading Year1_CP_Plans)</f>
        <v>252</v>
      </c>
      <c r="E21" s="94">
        <f>IF(Year2_Reading Year2_CP_Plans="","",Year2_Reading Year2_CP_Plans)</f>
        <v>349</v>
      </c>
      <c r="F21" s="94">
        <f>IF(Year3_Reading Year3_CP_Plans="","",Year3_Reading Year3_CP_Plans)</f>
        <v>290</v>
      </c>
      <c r="G21" s="94">
        <f>IF(Year4_Reading Year4_CP_Plans="","",Year4_Reading Year4_CP_Plans)</f>
        <v>255</v>
      </c>
      <c r="H21" s="95">
        <f>IF(Year5_Reading Year5_CP_Plans="","",Year5_Reading Year5_CP_Plans)</f>
        <v>224</v>
      </c>
      <c r="I21" s="344">
        <f t="shared" si="2"/>
        <v>-6.5980222408760572E-3</v>
      </c>
      <c r="J21" s="96"/>
      <c r="K21" s="97">
        <f>IF(ISNUMBER(D21),D21/Population!D21*10000,NA())</f>
        <v>69.230769230769226</v>
      </c>
      <c r="L21" s="97">
        <f>IF(ISNUMBER(E21),E21/Population!E21*10000,NA())</f>
        <v>95.355191256830608</v>
      </c>
      <c r="M21" s="97">
        <f>IF(ISNUMBER(F21),F21/Population!F21*10000,NA())</f>
        <v>78.167115902964966</v>
      </c>
      <c r="N21" s="97">
        <f>IF(ISNUMBER(G21),G21/Population!G21*10000,NA())</f>
        <v>68.733153638814017</v>
      </c>
      <c r="O21" s="98">
        <f>IF(ISNUMBER(H21),H21/Population!H21*10000,NA())</f>
        <v>60.54054054054054</v>
      </c>
      <c r="P21" s="99">
        <f t="shared" si="3"/>
        <v>60.54054054054054</v>
      </c>
      <c r="Q21" s="934">
        <f t="shared" si="4"/>
        <v>15</v>
      </c>
      <c r="R21" s="70"/>
      <c r="S21" s="340">
        <f>IDACI!C20</f>
        <v>16</v>
      </c>
      <c r="T21" s="341">
        <f t="shared" si="0"/>
        <v>42.791821497153876</v>
      </c>
      <c r="U21" s="342">
        <f t="shared" si="5"/>
        <v>17.748719043386664</v>
      </c>
      <c r="V21" s="122"/>
      <c r="W21" s="139"/>
      <c r="X21" s="152"/>
      <c r="Y21" s="72" t="str">
        <f t="shared" si="1"/>
        <v>Reading</v>
      </c>
      <c r="Z21" s="44">
        <f>IF(ISNUMBER(H21),IDACI!D20,0)</f>
        <v>33203</v>
      </c>
      <c r="AA21" s="44">
        <f>IF(ISNUMBER(H21),IDACI!E20,0)</f>
        <v>5312.4800000000005</v>
      </c>
      <c r="AB21" s="205">
        <f>IF(ISNUMBER(D21),Population!D21,"")</f>
        <v>36400</v>
      </c>
      <c r="AC21" s="205">
        <f>IF(ISNUMBER(E21),Population!E21,"")</f>
        <v>36600</v>
      </c>
      <c r="AD21" s="205">
        <f>IF(ISNUMBER(F21),Population!F21,"")</f>
        <v>37100</v>
      </c>
      <c r="AE21" s="205">
        <f>IF(ISNUMBER(G21),Population!G21,"")</f>
        <v>37100</v>
      </c>
      <c r="AF21" s="205">
        <f>IF(ISNUMBER(H21),Population!H21,"")</f>
        <v>37000</v>
      </c>
      <c r="AG21" s="93" t="s">
        <v>3</v>
      </c>
      <c r="AH21" s="231">
        <f t="shared" si="6"/>
        <v>60.54054054054054</v>
      </c>
      <c r="AI21" s="206">
        <f t="shared" si="7"/>
        <v>15</v>
      </c>
      <c r="AJ21" s="202"/>
      <c r="AK21" s="160"/>
      <c r="AL21" s="853">
        <f t="shared" si="8"/>
        <v>0.38492063492063494</v>
      </c>
      <c r="AM21" s="853">
        <f t="shared" si="8"/>
        <v>-0.16905444126074498</v>
      </c>
      <c r="AN21" s="853">
        <f t="shared" si="8"/>
        <v>-0.1206896551724138</v>
      </c>
      <c r="AO21" s="853">
        <f t="shared" si="8"/>
        <v>-0.12156862745098039</v>
      </c>
      <c r="AP21" s="853">
        <f t="shared" si="9"/>
        <v>-6.5980222408760572E-3</v>
      </c>
      <c r="AQ21" s="74"/>
      <c r="AR21" s="74"/>
      <c r="AS21" s="74"/>
      <c r="AT21" s="74"/>
      <c r="AU21" s="74"/>
      <c r="AV21" s="74"/>
      <c r="AW21" s="74"/>
      <c r="AX21" s="74"/>
      <c r="AY21" s="74"/>
    </row>
    <row r="22" spans="1:51" s="87" customFormat="1" ht="13.5" customHeight="1" x14ac:dyDescent="0.2">
      <c r="A22" s="488">
        <f>VLOOKUP(B22,Sheet1!$AQ$4:$AR$25,2,FALSE)</f>
        <v>0</v>
      </c>
      <c r="B22" s="93" t="str">
        <f>Sheet1!$K$16</f>
        <v>Slough</v>
      </c>
      <c r="C22" s="85"/>
      <c r="D22" s="94">
        <f>IF(Year1_Slough Year1_CP_Plans="","",Year1_Slough Year1_CP_Plans)</f>
        <v>230</v>
      </c>
      <c r="E22" s="94">
        <f>IF(Year2_Slough Year2_CP_Plans="","",Year2_Slough Year2_CP_Plans)</f>
        <v>153</v>
      </c>
      <c r="F22" s="94">
        <f>IF(Year3_Slough Year3_CP_Plans="","",Year3_Slough Year3_CP_Plans)</f>
        <v>161</v>
      </c>
      <c r="G22" s="94">
        <f>IF(Year4_Slough Year4_CP_Plans="","",Year4_Slough Year4_CP_Plans)</f>
        <v>218</v>
      </c>
      <c r="H22" s="95">
        <f>IF(Year5_Slough Year5_CP_Plans="","",Year5_Slough Year5_CP_Plans)</f>
        <v>301</v>
      </c>
      <c r="I22" s="344">
        <f t="shared" si="2"/>
        <v>0.11306904625964199</v>
      </c>
      <c r="J22" s="96"/>
      <c r="K22" s="97">
        <f>IF(ISNUMBER(D22),D22/Population!D22*10000,NA())</f>
        <v>56.650246305418719</v>
      </c>
      <c r="L22" s="97">
        <f>IF(ISNUMBER(E22),E22/Population!E22*10000,NA())</f>
        <v>36.956521739130437</v>
      </c>
      <c r="M22" s="97">
        <f>IF(ISNUMBER(F22),F22/Population!F22*10000,NA())</f>
        <v>38.15165876777251</v>
      </c>
      <c r="N22" s="97">
        <f>IF(ISNUMBER(G22),G22/Population!G22*10000,NA())</f>
        <v>51.053864168618269</v>
      </c>
      <c r="O22" s="98">
        <f>IF(ISNUMBER(H22),H22/Population!H22*10000,NA())</f>
        <v>69.837587006960561</v>
      </c>
      <c r="P22" s="99">
        <f t="shared" si="3"/>
        <v>69.837587006960561</v>
      </c>
      <c r="Q22" s="934">
        <f t="shared" si="4"/>
        <v>17</v>
      </c>
      <c r="R22" s="70"/>
      <c r="S22" s="340">
        <f>IDACI!C21</f>
        <v>14.7</v>
      </c>
      <c r="T22" s="341">
        <f t="shared" si="0"/>
        <v>40.096297314947591</v>
      </c>
      <c r="U22" s="342">
        <f t="shared" si="5"/>
        <v>29.74128969201297</v>
      </c>
      <c r="V22" s="122"/>
      <c r="W22" s="139"/>
      <c r="X22" s="152"/>
      <c r="Y22" s="72" t="str">
        <f t="shared" si="1"/>
        <v>Slough</v>
      </c>
      <c r="Z22" s="44">
        <f>IF(ISNUMBER(H22),IDACI!D21,0)</f>
        <v>37031</v>
      </c>
      <c r="AA22" s="44">
        <f>IF(ISNUMBER(H22),IDACI!E21,0)</f>
        <v>5443.5569999999998</v>
      </c>
      <c r="AB22" s="205">
        <f>IF(ISNUMBER(D22),Population!D22,"")</f>
        <v>40600</v>
      </c>
      <c r="AC22" s="205">
        <f>IF(ISNUMBER(E22),Population!E22,"")</f>
        <v>41400</v>
      </c>
      <c r="AD22" s="205">
        <f>IF(ISNUMBER(F22),Population!F22,"")</f>
        <v>42200</v>
      </c>
      <c r="AE22" s="205">
        <f>IF(ISNUMBER(G22),Population!G22,"")</f>
        <v>42700</v>
      </c>
      <c r="AF22" s="205">
        <f>IF(ISNUMBER(H22),Population!H22,"")</f>
        <v>43100</v>
      </c>
      <c r="AG22" s="93" t="s">
        <v>13</v>
      </c>
      <c r="AH22" s="231">
        <f t="shared" si="6"/>
        <v>69.837587006960561</v>
      </c>
      <c r="AI22" s="206">
        <f t="shared" si="7"/>
        <v>17</v>
      </c>
      <c r="AJ22" s="202"/>
      <c r="AK22" s="160"/>
      <c r="AL22" s="853">
        <f t="shared" si="8"/>
        <v>-0.33478260869565218</v>
      </c>
      <c r="AM22" s="853">
        <f t="shared" si="8"/>
        <v>5.2287581699346407E-2</v>
      </c>
      <c r="AN22" s="853">
        <f t="shared" si="8"/>
        <v>0.35403726708074534</v>
      </c>
      <c r="AO22" s="853">
        <f t="shared" si="8"/>
        <v>0.38073394495412843</v>
      </c>
      <c r="AP22" s="853">
        <f t="shared" si="9"/>
        <v>0.11306904625964199</v>
      </c>
      <c r="AQ22" s="74"/>
      <c r="AR22" s="74"/>
      <c r="AS22" s="74"/>
      <c r="AT22" s="74"/>
      <c r="AU22" s="74"/>
      <c r="AV22" s="74"/>
      <c r="AW22" s="74"/>
      <c r="AX22" s="74"/>
      <c r="AY22" s="74"/>
    </row>
    <row r="23" spans="1:51" s="87" customFormat="1" ht="13.5" customHeight="1" x14ac:dyDescent="0.2">
      <c r="A23" s="488">
        <f>VLOOKUP(B23,Sheet1!$AQ$4:$AR$25,2,FALSE)</f>
        <v>0</v>
      </c>
      <c r="B23" s="93" t="str">
        <f>Sheet1!$K$17</f>
        <v>Somerset</v>
      </c>
      <c r="C23" s="85"/>
      <c r="D23" s="94">
        <f>IF(Year1_Somerset Year1_CP_Plans="","",Year1_Somerset Year1_CP_Plans)</f>
        <v>280</v>
      </c>
      <c r="E23" s="94">
        <f>IF(Year2_Somerset Year2_CP_Plans="","",Year2_Somerset Year2_CP_Plans)</f>
        <v>413</v>
      </c>
      <c r="F23" s="94">
        <f>IF(Year3_Somerset Year3_CP_Plans="","",Year3_Somerset Year3_CP_Plans)</f>
        <v>428</v>
      </c>
      <c r="G23" s="94">
        <f>IF(Year4_Somerset Year4_CP_Plans="","",Year4_Somerset Year4_CP_Plans)</f>
        <v>402</v>
      </c>
      <c r="H23" s="95">
        <f>IF(Year5_Somerset Year5_CP_Plans="","",Year5_Somerset Year5_CP_Plans)</f>
        <v>278</v>
      </c>
      <c r="I23" s="344">
        <f t="shared" si="2"/>
        <v>3.5528559399152781E-2</v>
      </c>
      <c r="J23" s="96"/>
      <c r="K23" s="97">
        <f>IF(ISNUMBER(D23),D23/Population!D23*10000,NA())</f>
        <v>25.641025641025642</v>
      </c>
      <c r="L23" s="97">
        <f>IF(ISNUMBER(E23),E23/Population!E23*10000,NA())</f>
        <v>37.648131267092069</v>
      </c>
      <c r="M23" s="97">
        <f>IF(ISNUMBER(F23),F23/Population!F23*10000,NA())</f>
        <v>38.873751135331517</v>
      </c>
      <c r="N23" s="97">
        <f>IF(ISNUMBER(G23),G23/Population!G23*10000,NA())</f>
        <v>36.314363143631439</v>
      </c>
      <c r="O23" s="98">
        <f>IF(ISNUMBER(H23),H23/Population!H23*10000,NA())</f>
        <v>25</v>
      </c>
      <c r="P23" s="99">
        <f t="shared" si="3"/>
        <v>25</v>
      </c>
      <c r="Q23" s="370" t="str">
        <f t="shared" si="4"/>
        <v>--</v>
      </c>
      <c r="R23" s="70"/>
      <c r="S23" s="340">
        <f>IDACI!C22</f>
        <v>13.600000000000001</v>
      </c>
      <c r="T23" s="341">
        <f t="shared" si="0"/>
        <v>37.815469160773034</v>
      </c>
      <c r="U23" s="342">
        <f t="shared" si="5"/>
        <v>-12.815469160773034</v>
      </c>
      <c r="V23" s="122"/>
      <c r="W23" s="139"/>
      <c r="X23" s="152"/>
      <c r="Y23" s="72" t="str">
        <f t="shared" si="1"/>
        <v>Somerset</v>
      </c>
      <c r="Z23" s="44">
        <f>IF(ISNUMBER(H23),IDACI!D22,0)</f>
        <v>95875</v>
      </c>
      <c r="AA23" s="44">
        <f>IF(ISNUMBER(H23),IDACI!E22,0)</f>
        <v>13039.000000000002</v>
      </c>
      <c r="AB23" s="205">
        <f>IF(ISNUMBER(D23),Population!D23,"")</f>
        <v>109200</v>
      </c>
      <c r="AC23" s="205">
        <f>IF(ISNUMBER(E23),Population!E23,"")</f>
        <v>109700</v>
      </c>
      <c r="AD23" s="205">
        <f>IF(ISNUMBER(F23),Population!F23,"")</f>
        <v>110100</v>
      </c>
      <c r="AE23" s="205">
        <f>IF(ISNUMBER(G23),Population!G23,"")</f>
        <v>110700</v>
      </c>
      <c r="AF23" s="205">
        <f>IF(ISNUMBER(H23),Population!H23,"")</f>
        <v>111200</v>
      </c>
      <c r="AG23" s="93" t="s">
        <v>14</v>
      </c>
      <c r="AH23" s="231">
        <f t="shared" si="6"/>
        <v>77.192982456140356</v>
      </c>
      <c r="AI23" s="206">
        <f t="shared" si="7"/>
        <v>19</v>
      </c>
      <c r="AJ23" s="202"/>
      <c r="AK23" s="160"/>
      <c r="AL23" s="853">
        <f t="shared" si="8"/>
        <v>0.47499999999999998</v>
      </c>
      <c r="AM23" s="853">
        <f t="shared" si="8"/>
        <v>3.6319612590799029E-2</v>
      </c>
      <c r="AN23" s="853">
        <f t="shared" si="8"/>
        <v>-6.0747663551401869E-2</v>
      </c>
      <c r="AO23" s="853">
        <f t="shared" si="8"/>
        <v>-0.30845771144278605</v>
      </c>
      <c r="AP23" s="853">
        <f t="shared" si="9"/>
        <v>3.5528559399152781E-2</v>
      </c>
      <c r="AQ23" s="74"/>
      <c r="AR23" s="74"/>
      <c r="AS23" s="74"/>
      <c r="AT23" s="74"/>
      <c r="AU23" s="74"/>
      <c r="AV23" s="74"/>
      <c r="AW23" s="74"/>
      <c r="AX23" s="74"/>
      <c r="AY23" s="74"/>
    </row>
    <row r="24" spans="1:51" s="87" customFormat="1" ht="13.5" customHeight="1" x14ac:dyDescent="0.2">
      <c r="A24" s="488">
        <f>VLOOKUP(B24,Sheet1!$AQ$4:$AR$25,2,FALSE)</f>
        <v>0</v>
      </c>
      <c r="B24" s="93" t="str">
        <f>Sheet1!$K$18</f>
        <v>Southampton</v>
      </c>
      <c r="C24" s="85"/>
      <c r="D24" s="94">
        <f>IF(Year1_Southampton Year1_CP_Plans="","",Year1_Southampton Year1_CP_Plans)</f>
        <v>333</v>
      </c>
      <c r="E24" s="94">
        <f>IF(Year2_Southampton Year2_CP_Plans="","",Year2_Southampton Year2_CP_Plans)</f>
        <v>276</v>
      </c>
      <c r="F24" s="94">
        <f>IF(Year3_Southampton Year3_CP_Plans="","",Year3_Southampton Year3_CP_Plans)</f>
        <v>324</v>
      </c>
      <c r="G24" s="94">
        <f>IF(Year4_Southampton Year4_CP_Plans="","",Year4_Southampton Year4_CP_Plans)</f>
        <v>305</v>
      </c>
      <c r="H24" s="95">
        <f>IF(Year5_Southampton Year5_CP_Plans="","",Year5_Southampton Year5_CP_Plans)</f>
        <v>396</v>
      </c>
      <c r="I24" s="344">
        <f t="shared" si="2"/>
        <v>6.0615138184038159E-2</v>
      </c>
      <c r="J24" s="96"/>
      <c r="K24" s="97">
        <f>IF(ISNUMBER(D24),D24/Population!D24*10000,NA())</f>
        <v>67.682926829268297</v>
      </c>
      <c r="L24" s="97">
        <f>IF(ISNUMBER(E24),E24/Population!E24*10000,NA())</f>
        <v>55.31062124248497</v>
      </c>
      <c r="M24" s="97">
        <f>IF(ISNUMBER(F24),F24/Population!F24*10000,NA())</f>
        <v>64.413518886679924</v>
      </c>
      <c r="N24" s="97">
        <f>IF(ISNUMBER(G24),G24/Population!G24*10000,NA())</f>
        <v>60.039370078740156</v>
      </c>
      <c r="O24" s="98">
        <f>IF(ISNUMBER(H24),H24/Population!H24*10000,NA())</f>
        <v>77.192982456140356</v>
      </c>
      <c r="P24" s="99">
        <f t="shared" si="3"/>
        <v>77.192982456140356</v>
      </c>
      <c r="Q24" s="934">
        <f t="shared" si="4"/>
        <v>19</v>
      </c>
      <c r="R24" s="70"/>
      <c r="S24" s="340">
        <f>IDACI!C23</f>
        <v>20.5</v>
      </c>
      <c r="T24" s="341">
        <f t="shared" si="0"/>
        <v>52.122482127867954</v>
      </c>
      <c r="U24" s="342">
        <f t="shared" si="5"/>
        <v>25.070500328272402</v>
      </c>
      <c r="V24" s="122"/>
      <c r="W24" s="139"/>
      <c r="X24" s="152"/>
      <c r="Y24" s="72" t="str">
        <f t="shared" si="1"/>
        <v>Southampton</v>
      </c>
      <c r="Z24" s="44">
        <f>IF(ISNUMBER(H24),IDACI!D23,0)</f>
        <v>44295</v>
      </c>
      <c r="AA24" s="44">
        <f>IF(ISNUMBER(H24),IDACI!E23,0)</f>
        <v>9080.4750000000004</v>
      </c>
      <c r="AB24" s="205">
        <f>IF(ISNUMBER(D24),Population!D24,"")</f>
        <v>49200</v>
      </c>
      <c r="AC24" s="205">
        <f>IF(ISNUMBER(E24),Population!E24,"")</f>
        <v>49900</v>
      </c>
      <c r="AD24" s="205">
        <f>IF(ISNUMBER(F24),Population!F24,"")</f>
        <v>50300</v>
      </c>
      <c r="AE24" s="205">
        <f>IF(ISNUMBER(G24),Population!G24,"")</f>
        <v>50800</v>
      </c>
      <c r="AF24" s="205">
        <f>IF(ISNUMBER(H24),Population!H24,"")</f>
        <v>51300</v>
      </c>
      <c r="AG24" s="93" t="s">
        <v>7</v>
      </c>
      <c r="AH24" s="231">
        <f t="shared" si="6"/>
        <v>25.966641394996209</v>
      </c>
      <c r="AI24" s="206">
        <f t="shared" si="7"/>
        <v>2</v>
      </c>
      <c r="AJ24" s="202"/>
      <c r="AK24" s="160"/>
      <c r="AL24" s="853">
        <f t="shared" si="8"/>
        <v>-0.17117117117117117</v>
      </c>
      <c r="AM24" s="853">
        <f t="shared" si="8"/>
        <v>0.17391304347826086</v>
      </c>
      <c r="AN24" s="853">
        <f t="shared" si="8"/>
        <v>-5.8641975308641972E-2</v>
      </c>
      <c r="AO24" s="853">
        <f t="shared" si="8"/>
        <v>0.29836065573770493</v>
      </c>
      <c r="AP24" s="853">
        <f t="shared" si="9"/>
        <v>6.0615138184038159E-2</v>
      </c>
      <c r="AQ24" s="74"/>
      <c r="AR24" s="74"/>
      <c r="AS24" s="74"/>
      <c r="AT24" s="74"/>
      <c r="AU24" s="74"/>
      <c r="AV24" s="74"/>
      <c r="AW24" s="74"/>
      <c r="AX24" s="74"/>
      <c r="AY24" s="74"/>
    </row>
    <row r="25" spans="1:51" s="87" customFormat="1" ht="13.5" customHeight="1" x14ac:dyDescent="0.2">
      <c r="A25" s="488">
        <f>VLOOKUP(B25,Sheet1!$AQ$4:$AR$25,2,FALSE)</f>
        <v>0</v>
      </c>
      <c r="B25" s="93" t="str">
        <f>Sheet1!$K$19</f>
        <v>Surrey</v>
      </c>
      <c r="C25" s="85"/>
      <c r="D25" s="94">
        <f>IF(Year1_Surrey Year1_CP_Plans="","",Year1_Surrey Year1_CP_Plans)</f>
        <v>881</v>
      </c>
      <c r="E25" s="94">
        <f>IF(Year2_Surrey Year2_CP_Plans="","",Year2_Surrey Year2_CP_Plans)</f>
        <v>843</v>
      </c>
      <c r="F25" s="94">
        <f>IF(Year3_Surrey Year3_CP_Plans="","",Year3_Surrey Year3_CP_Plans)</f>
        <v>996</v>
      </c>
      <c r="G25" s="94">
        <f>IF(Year4_Surrey Year4_CP_Plans="","",Year4_Surrey Year4_CP_Plans)</f>
        <v>959</v>
      </c>
      <c r="H25" s="95">
        <f>IF(Year5_Surrey Year5_CP_Plans="","",Year5_Surrey Year5_CP_Plans)</f>
        <v>685</v>
      </c>
      <c r="I25" s="344">
        <f t="shared" si="2"/>
        <v>-4.612525545058091E-2</v>
      </c>
      <c r="J25" s="96"/>
      <c r="K25" s="97">
        <f>IF(ISNUMBER(D25),D25/Population!D25*10000,NA())</f>
        <v>34.360374414976597</v>
      </c>
      <c r="L25" s="97">
        <f>IF(ISNUMBER(E25),E25/Population!E25*10000,NA())</f>
        <v>32.548262548262549</v>
      </c>
      <c r="M25" s="97">
        <f>IF(ISNUMBER(F25),F25/Population!F25*10000,NA())</f>
        <v>38.26354206684595</v>
      </c>
      <c r="N25" s="97">
        <f>IF(ISNUMBER(G25),G25/Population!G25*10000,NA())</f>
        <v>36.617029400534555</v>
      </c>
      <c r="O25" s="98">
        <f>IF(ISNUMBER(H25),H25/Population!H25*10000,NA())</f>
        <v>25.966641394996209</v>
      </c>
      <c r="P25" s="99">
        <f t="shared" si="3"/>
        <v>25.966641394996209</v>
      </c>
      <c r="Q25" s="934">
        <f t="shared" si="4"/>
        <v>2</v>
      </c>
      <c r="R25" s="70"/>
      <c r="S25" s="340">
        <f>IDACI!C24</f>
        <v>8.3000000000000007</v>
      </c>
      <c r="T25" s="341">
        <f t="shared" si="0"/>
        <v>26.826024417932015</v>
      </c>
      <c r="U25" s="342">
        <f t="shared" si="5"/>
        <v>-0.85938302293580549</v>
      </c>
      <c r="V25" s="122"/>
      <c r="W25" s="139"/>
      <c r="X25" s="152"/>
      <c r="Y25" s="72" t="str">
        <f t="shared" si="1"/>
        <v>Surrey</v>
      </c>
      <c r="Z25" s="44">
        <f>IF(ISNUMBER(H25),IDACI!D24,0)</f>
        <v>228466</v>
      </c>
      <c r="AA25" s="44">
        <f>IF(ISNUMBER(H25),IDACI!E24,0)</f>
        <v>18962.678</v>
      </c>
      <c r="AB25" s="205">
        <f>IF(ISNUMBER(D25),Population!D25,"")</f>
        <v>256400</v>
      </c>
      <c r="AC25" s="205">
        <f>IF(ISNUMBER(E25),Population!E25,"")</f>
        <v>259000</v>
      </c>
      <c r="AD25" s="205">
        <f>IF(ISNUMBER(F25),Population!F25,"")</f>
        <v>260300</v>
      </c>
      <c r="AE25" s="205">
        <f>IF(ISNUMBER(G25),Population!G25,"")</f>
        <v>261900</v>
      </c>
      <c r="AF25" s="205">
        <f>IF(ISNUMBER(H25),Population!H25,"")</f>
        <v>263800</v>
      </c>
      <c r="AG25" s="93" t="s">
        <v>15</v>
      </c>
      <c r="AH25" s="231">
        <f t="shared" si="6"/>
        <v>29.775280898876403</v>
      </c>
      <c r="AI25" s="206">
        <f t="shared" si="7"/>
        <v>3</v>
      </c>
      <c r="AJ25" s="202"/>
      <c r="AK25" s="160"/>
      <c r="AL25" s="853">
        <f t="shared" si="8"/>
        <v>-4.3132803632236094E-2</v>
      </c>
      <c r="AM25" s="853">
        <f t="shared" si="8"/>
        <v>0.18149466192170818</v>
      </c>
      <c r="AN25" s="853">
        <f t="shared" si="8"/>
        <v>-3.7148594377510037E-2</v>
      </c>
      <c r="AO25" s="853">
        <f t="shared" si="8"/>
        <v>-0.2857142857142857</v>
      </c>
      <c r="AP25" s="853">
        <f t="shared" si="9"/>
        <v>-4.612525545058091E-2</v>
      </c>
      <c r="AQ25" s="74"/>
      <c r="AR25" s="74"/>
      <c r="AS25" s="74"/>
      <c r="AT25" s="74"/>
      <c r="AU25" s="74"/>
      <c r="AV25" s="74"/>
      <c r="AW25" s="74"/>
      <c r="AX25" s="74"/>
      <c r="AY25" s="74"/>
    </row>
    <row r="26" spans="1:51" s="87" customFormat="1" ht="13.5" customHeight="1" x14ac:dyDescent="0.2">
      <c r="A26" s="488">
        <f>VLOOKUP(B26,Sheet1!$AQ$4:$AR$25,2,FALSE)</f>
        <v>0</v>
      </c>
      <c r="B26" s="93" t="str">
        <f>Sheet1!$K$20</f>
        <v>Swindon</v>
      </c>
      <c r="C26" s="85"/>
      <c r="D26" s="94">
        <f>IF(Year1_Swindon Year1_CP_Plans="","",Year1_Swindon Year1_CP_Plans)</f>
        <v>238</v>
      </c>
      <c r="E26" s="94">
        <f>IF(Year2_Swindon Year2_CP_Plans="","",Year2_Swindon Year2_CP_Plans)</f>
        <v>244</v>
      </c>
      <c r="F26" s="94">
        <f>IF(Year3_Swindon Year3_CP_Plans="","",Year3_Swindon Year3_CP_Plans)</f>
        <v>362</v>
      </c>
      <c r="G26" s="94">
        <f>IF(Year4_Swindon Year4_CP_Plans="","",Year4_Swindon Year4_CP_Plans)</f>
        <v>333</v>
      </c>
      <c r="H26" s="95">
        <f>IF(Year5_Swindon Year5_CP_Plans="","",Year5_Swindon Year5_CP_Plans)</f>
        <v>169</v>
      </c>
      <c r="I26" s="344">
        <f t="shared" si="2"/>
        <v>-1.5946587079849736E-2</v>
      </c>
      <c r="J26" s="96"/>
      <c r="K26" s="97">
        <f>IF(ISNUMBER(D26),D26/Population!D26*10000,NA())</f>
        <v>48.571428571428569</v>
      </c>
      <c r="L26" s="97">
        <f>IF(ISNUMBER(E26),E26/Population!E26*10000,NA())</f>
        <v>49.292929292929294</v>
      </c>
      <c r="M26" s="97">
        <f>IF(ISNUMBER(F26),F26/Population!F26*10000,NA())</f>
        <v>72.545090180360717</v>
      </c>
      <c r="N26" s="97">
        <f>IF(ISNUMBER(G26),G26/Population!G26*10000,NA())</f>
        <v>66.334661354581669</v>
      </c>
      <c r="O26" s="98">
        <f>IF(ISNUMBER(H26),H26/Population!H26*10000,NA())</f>
        <v>33.531746031746032</v>
      </c>
      <c r="P26" s="99">
        <f t="shared" si="3"/>
        <v>33.531746031746032</v>
      </c>
      <c r="Q26" s="370" t="str">
        <f t="shared" si="4"/>
        <v>--</v>
      </c>
      <c r="R26" s="70"/>
      <c r="S26" s="340">
        <f>IDACI!C25</f>
        <v>14.899999999999999</v>
      </c>
      <c r="T26" s="341">
        <f t="shared" si="0"/>
        <v>40.510993342979319</v>
      </c>
      <c r="U26" s="342">
        <f t="shared" si="5"/>
        <v>-6.9792473112332871</v>
      </c>
      <c r="V26" s="122"/>
      <c r="W26" s="139"/>
      <c r="X26" s="152"/>
      <c r="Y26" s="72" t="str">
        <f t="shared" si="1"/>
        <v>Swindon</v>
      </c>
      <c r="Z26" s="44">
        <f>IF(ISNUMBER(H26),IDACI!D25,0)</f>
        <v>43899</v>
      </c>
      <c r="AA26" s="44">
        <f>IF(ISNUMBER(H26),IDACI!E25,0)</f>
        <v>6540.951</v>
      </c>
      <c r="AB26" s="205">
        <f>IF(ISNUMBER(D26),Population!D26,"")</f>
        <v>49000</v>
      </c>
      <c r="AC26" s="205">
        <f>IF(ISNUMBER(E26),Population!E26,"")</f>
        <v>49500</v>
      </c>
      <c r="AD26" s="205">
        <f>IF(ISNUMBER(F26),Population!F26,"")</f>
        <v>49900</v>
      </c>
      <c r="AE26" s="205">
        <f>IF(ISNUMBER(G26),Population!G26,"")</f>
        <v>50200</v>
      </c>
      <c r="AF26" s="205">
        <f>IF(ISNUMBER(H26),Population!H26,"")</f>
        <v>50400</v>
      </c>
      <c r="AG26" s="93" t="s">
        <v>5</v>
      </c>
      <c r="AH26" s="231">
        <f t="shared" si="6"/>
        <v>46.337308347529813</v>
      </c>
      <c r="AI26" s="206">
        <f t="shared" si="7"/>
        <v>11</v>
      </c>
      <c r="AJ26" s="202"/>
      <c r="AK26" s="160"/>
      <c r="AL26" s="853">
        <f t="shared" si="8"/>
        <v>2.5210084033613446E-2</v>
      </c>
      <c r="AM26" s="853">
        <f t="shared" si="8"/>
        <v>0.48360655737704916</v>
      </c>
      <c r="AN26" s="853">
        <f t="shared" si="8"/>
        <v>-8.0110497237569064E-2</v>
      </c>
      <c r="AO26" s="853">
        <f t="shared" si="8"/>
        <v>-0.4924924924924925</v>
      </c>
      <c r="AP26" s="853">
        <f t="shared" si="9"/>
        <v>-1.5946587079849736E-2</v>
      </c>
      <c r="AQ26" s="74"/>
      <c r="AR26" s="74"/>
      <c r="AS26" s="74"/>
      <c r="AT26" s="74"/>
      <c r="AU26" s="74"/>
      <c r="AV26" s="74"/>
      <c r="AW26" s="74"/>
      <c r="AX26" s="74"/>
      <c r="AY26" s="74"/>
    </row>
    <row r="27" spans="1:51" s="87" customFormat="1" ht="13.5" customHeight="1" x14ac:dyDescent="0.2">
      <c r="A27" s="488">
        <f>VLOOKUP(B27,Sheet1!$AQ$4:$AR$25,2,FALSE)</f>
        <v>0</v>
      </c>
      <c r="B27" s="93" t="str">
        <f>Sheet1!$K$21</f>
        <v>Torbay</v>
      </c>
      <c r="C27" s="85"/>
      <c r="D27" s="94">
        <f>IF(Year1_Torbay Year1_CP_Plans="","",Year1_Torbay Year1_CP_Plans)</f>
        <v>130</v>
      </c>
      <c r="E27" s="94">
        <f>IF(Year2_Torbay Year2_CP_Plans="","",Year2_Torbay Year2_CP_Plans)</f>
        <v>212</v>
      </c>
      <c r="F27" s="94">
        <f>IF(Year3_Torbay Year3_CP_Plans="","",Year3_Torbay Year3_CP_Plans)</f>
        <v>141</v>
      </c>
      <c r="G27" s="94">
        <f>IF(Year4_Torbay Year4_CP_Plans="","",Year4_Torbay Year4_CP_Plans)</f>
        <v>179</v>
      </c>
      <c r="H27" s="95">
        <f>IF(Year5_Torbay Year5_CP_Plans="","",Year5_Torbay Year5_CP_Plans)</f>
        <v>192</v>
      </c>
      <c r="I27" s="344">
        <f t="shared" si="2"/>
        <v>0.15949820370379636</v>
      </c>
      <c r="J27" s="96"/>
      <c r="K27" s="97">
        <f>IF(ISNUMBER(D27),D27/Population!D27*10000,NA())</f>
        <v>51.587301587301589</v>
      </c>
      <c r="L27" s="97">
        <f>IF(ISNUMBER(E27),E27/Population!E27*10000,NA())</f>
        <v>83.464566929133852</v>
      </c>
      <c r="M27" s="97">
        <f>IF(ISNUMBER(F27),F27/Population!F27*10000,NA())</f>
        <v>55.511811023622045</v>
      </c>
      <c r="N27" s="97">
        <f>IF(ISNUMBER(G27),G27/Population!G27*10000,NA())</f>
        <v>70.472440944881896</v>
      </c>
      <c r="O27" s="98">
        <f>IF(ISNUMBER(H27),H27/Population!H27*10000,NA())</f>
        <v>75</v>
      </c>
      <c r="P27" s="99">
        <f t="shared" si="3"/>
        <v>75</v>
      </c>
      <c r="Q27" s="370" t="str">
        <f t="shared" si="4"/>
        <v>--</v>
      </c>
      <c r="R27" s="70"/>
      <c r="S27" s="340">
        <f>IDACI!C26</f>
        <v>21.9</v>
      </c>
      <c r="T27" s="341">
        <f t="shared" si="0"/>
        <v>55.025354324090102</v>
      </c>
      <c r="U27" s="342">
        <f t="shared" si="5"/>
        <v>19.974645675909898</v>
      </c>
      <c r="V27" s="122"/>
      <c r="W27" s="139"/>
      <c r="X27" s="152"/>
      <c r="Y27" s="72" t="str">
        <f t="shared" si="1"/>
        <v>Torbay</v>
      </c>
      <c r="Z27" s="44">
        <f>IF(ISNUMBER(H27),IDACI!D26,0)</f>
        <v>22257</v>
      </c>
      <c r="AA27" s="44">
        <f>IF(ISNUMBER(H27),IDACI!E26,0)</f>
        <v>4874.2829999999994</v>
      </c>
      <c r="AB27" s="205">
        <f>IF(ISNUMBER(D27),Population!D27,"")</f>
        <v>25200</v>
      </c>
      <c r="AC27" s="205">
        <f>IF(ISNUMBER(E27),Population!E27,"")</f>
        <v>25400</v>
      </c>
      <c r="AD27" s="205">
        <f>IF(ISNUMBER(F27),Population!F27,"")</f>
        <v>25400</v>
      </c>
      <c r="AE27" s="205">
        <f>IF(ISNUMBER(G27),Population!G27,"")</f>
        <v>25400</v>
      </c>
      <c r="AF27" s="205">
        <f>IF(ISNUMBER(H27),Population!H27,"")</f>
        <v>25600</v>
      </c>
      <c r="AG27" s="93" t="s">
        <v>30</v>
      </c>
      <c r="AH27" s="231">
        <f t="shared" si="6"/>
        <v>37.752161383285298</v>
      </c>
      <c r="AI27" s="206">
        <f t="shared" si="7"/>
        <v>7</v>
      </c>
      <c r="AJ27" s="202"/>
      <c r="AK27" s="160"/>
      <c r="AL27" s="853">
        <f t="shared" si="8"/>
        <v>0.63076923076923075</v>
      </c>
      <c r="AM27" s="853">
        <f t="shared" si="8"/>
        <v>-0.33490566037735847</v>
      </c>
      <c r="AN27" s="853">
        <f t="shared" si="8"/>
        <v>0.26950354609929078</v>
      </c>
      <c r="AO27" s="853">
        <f t="shared" si="8"/>
        <v>7.2625698324022353E-2</v>
      </c>
      <c r="AP27" s="853">
        <f t="shared" si="9"/>
        <v>0.15949820370379636</v>
      </c>
      <c r="AQ27" s="74"/>
      <c r="AR27" s="74"/>
      <c r="AS27" s="74"/>
      <c r="AT27" s="74"/>
      <c r="AU27" s="74"/>
      <c r="AV27" s="74"/>
      <c r="AW27" s="74"/>
      <c r="AX27" s="74"/>
      <c r="AY27" s="74"/>
    </row>
    <row r="28" spans="1:51" s="87" customFormat="1" ht="13.5" customHeight="1" x14ac:dyDescent="0.2">
      <c r="A28" s="488">
        <f>VLOOKUP(B28,Sheet1!$AQ$4:$AR$25,2,FALSE)</f>
        <v>0</v>
      </c>
      <c r="B28" s="93" t="str">
        <f>Sheet1!$K$22</f>
        <v>West Berkshire</v>
      </c>
      <c r="C28" s="85"/>
      <c r="D28" s="94">
        <f>IF(Year1_West_Berkshire Year1_CP_Plans="","",Year1_West_Berkshire Year1_CP_Plans)</f>
        <v>145</v>
      </c>
      <c r="E28" s="100">
        <f>IF(Year2_West_Berkshire Year2_CP_Plans="","",Year2_West_Berkshire Year2_CP_Plans)</f>
        <v>155</v>
      </c>
      <c r="F28" s="94">
        <f>IF(Year3_West_Berkshire Year3_CP_Plans="","",Year3_West_Berkshire Year3_CP_Plans)</f>
        <v>168</v>
      </c>
      <c r="G28" s="94">
        <f>IF(Year4_West_Berkshire Year4_CP_Plans="","",Year4_West_Berkshire Year4_CP_Plans)</f>
        <v>118</v>
      </c>
      <c r="H28" s="95">
        <f>IF(Year5_West_Berkshire Year5_CP_Plans="","",Year5_West_Berkshire Year5_CP_Plans)</f>
        <v>106</v>
      </c>
      <c r="I28" s="344">
        <f t="shared" si="2"/>
        <v>-6.1619369472492524E-2</v>
      </c>
      <c r="J28" s="96"/>
      <c r="K28" s="97">
        <f>IF(ISNUMBER(D28),D28/Population!D28*10000,NA())</f>
        <v>40.616246498599445</v>
      </c>
      <c r="L28" s="97">
        <f>IF(ISNUMBER(E28),E28/Population!E28*10000,NA())</f>
        <v>43.175487465181064</v>
      </c>
      <c r="M28" s="97">
        <f>IF(ISNUMBER(F28),F28/Population!F28*10000,NA())</f>
        <v>46.927374301675975</v>
      </c>
      <c r="N28" s="97">
        <f>IF(ISNUMBER(G28),G28/Population!G28*10000,NA())</f>
        <v>33.146067415730336</v>
      </c>
      <c r="O28" s="98">
        <f>IF(ISNUMBER(H28),H28/Population!H28*10000,NA())</f>
        <v>29.775280898876403</v>
      </c>
      <c r="P28" s="99">
        <f t="shared" si="3"/>
        <v>29.775280898876403</v>
      </c>
      <c r="Q28" s="934">
        <f t="shared" si="4"/>
        <v>3</v>
      </c>
      <c r="R28" s="70"/>
      <c r="S28" s="340">
        <f>IDACI!C27</f>
        <v>8.6999999999999993</v>
      </c>
      <c r="T28" s="341">
        <f t="shared" si="0"/>
        <v>27.655416473995487</v>
      </c>
      <c r="U28" s="342">
        <f t="shared" si="5"/>
        <v>2.119864424880916</v>
      </c>
      <c r="V28" s="122"/>
      <c r="W28" s="139"/>
      <c r="X28" s="152"/>
      <c r="Y28" s="72" t="str">
        <f t="shared" si="1"/>
        <v>West Berkshire</v>
      </c>
      <c r="Z28" s="44">
        <f>IF(ISNUMBER(H28),IDACI!D27,0)</f>
        <v>31625</v>
      </c>
      <c r="AA28" s="44">
        <f>IF(ISNUMBER(H28),IDACI!E27,0)</f>
        <v>2751.375</v>
      </c>
      <c r="AB28" s="205">
        <f>IF(ISNUMBER(D28),Population!D28,"")</f>
        <v>35700</v>
      </c>
      <c r="AC28" s="205">
        <f>IF(ISNUMBER(E28),Population!E28,"")</f>
        <v>35900</v>
      </c>
      <c r="AD28" s="205">
        <f>IF(ISNUMBER(F28),Population!F28,"")</f>
        <v>35800</v>
      </c>
      <c r="AE28" s="205">
        <f>IF(ISNUMBER(G28),Population!G28,"")</f>
        <v>35600</v>
      </c>
      <c r="AF28" s="205">
        <f>IF(ISNUMBER(H28),Population!H28,"")</f>
        <v>35600</v>
      </c>
      <c r="AG28" s="93" t="s">
        <v>16</v>
      </c>
      <c r="AH28" s="231">
        <f t="shared" si="6"/>
        <v>35.148514851485146</v>
      </c>
      <c r="AI28" s="206">
        <f t="shared" si="7"/>
        <v>5</v>
      </c>
      <c r="AJ28" s="202"/>
      <c r="AK28" s="160"/>
      <c r="AL28" s="853">
        <f t="shared" si="8"/>
        <v>6.8965517241379309E-2</v>
      </c>
      <c r="AM28" s="853">
        <f t="shared" si="8"/>
        <v>8.387096774193549E-2</v>
      </c>
      <c r="AN28" s="853">
        <f t="shared" si="8"/>
        <v>-0.29761904761904762</v>
      </c>
      <c r="AO28" s="853">
        <f t="shared" si="8"/>
        <v>-0.10169491525423729</v>
      </c>
      <c r="AP28" s="853">
        <f t="shared" si="9"/>
        <v>-6.1619369472492524E-2</v>
      </c>
      <c r="AQ28" s="74"/>
      <c r="AR28" s="74"/>
      <c r="AS28" s="74"/>
      <c r="AT28" s="74"/>
      <c r="AU28" s="74"/>
      <c r="AV28" s="74"/>
      <c r="AW28" s="74"/>
      <c r="AX28" s="74"/>
      <c r="AY28" s="74"/>
    </row>
    <row r="29" spans="1:51" s="87" customFormat="1" ht="13.5" customHeight="1" x14ac:dyDescent="0.2">
      <c r="A29" s="488">
        <f>VLOOKUP(B29,Sheet1!$AQ$4:$AR$25,2,FALSE)</f>
        <v>0</v>
      </c>
      <c r="B29" s="93" t="str">
        <f>Sheet1!$K$23</f>
        <v>West Sussex</v>
      </c>
      <c r="C29" s="85"/>
      <c r="D29" s="94">
        <f>IF(Year1_West_Sussex Year1_CP_Plans="","",Year1_West_Sussex Year1_CP_Plans)</f>
        <v>417</v>
      </c>
      <c r="E29" s="100">
        <f>IF(Year2_West_Sussex Year2_CP_Plans="","",Year2_West_Sussex Year2_CP_Plans)</f>
        <v>549</v>
      </c>
      <c r="F29" s="94">
        <f>IF(Year3_West_Sussex Year3_CP_Plans="","",Year3_West_Sussex Year3_CP_Plans)</f>
        <v>775</v>
      </c>
      <c r="G29" s="94">
        <f>IF(Year4_West_Sussex Year4_CP_Plans="","",Year4_West_Sussex Year4_CP_Plans)</f>
        <v>621</v>
      </c>
      <c r="H29" s="95">
        <f>IF(Year5_West_Sussex Year5_CP_Plans="","",Year5_West_Sussex Year5_CP_Plans)</f>
        <v>816</v>
      </c>
      <c r="I29" s="344">
        <f t="shared" si="2"/>
        <v>0.21087607655121621</v>
      </c>
      <c r="J29" s="96"/>
      <c r="K29" s="97">
        <f>IF(ISNUMBER(D29),D29/Population!D29*10000,NA())</f>
        <v>24.471830985915492</v>
      </c>
      <c r="L29" s="97">
        <f>IF(ISNUMBER(E29),E29/Population!E29*10000,NA())</f>
        <v>31.955762514551804</v>
      </c>
      <c r="M29" s="97">
        <f>IF(ISNUMBER(F29),F29/Population!F29*10000,NA())</f>
        <v>44.720138488170804</v>
      </c>
      <c r="N29" s="97">
        <f>IF(ISNUMBER(G29),G29/Population!G29*10000,NA())</f>
        <v>35.546651402404123</v>
      </c>
      <c r="O29" s="98">
        <f>IF(ISNUMBER(H29),H29/Population!H29*10000,NA())</f>
        <v>46.337308347529813</v>
      </c>
      <c r="P29" s="99">
        <f t="shared" si="3"/>
        <v>46.337308347529813</v>
      </c>
      <c r="Q29" s="934">
        <f t="shared" si="4"/>
        <v>11</v>
      </c>
      <c r="R29" s="70"/>
      <c r="S29" s="340">
        <f>IDACI!C28</f>
        <v>11</v>
      </c>
      <c r="T29" s="341">
        <f t="shared" si="0"/>
        <v>32.424420796360458</v>
      </c>
      <c r="U29" s="342">
        <f t="shared" si="5"/>
        <v>13.912887551169355</v>
      </c>
      <c r="V29" s="122"/>
      <c r="W29" s="139"/>
      <c r="X29" s="152"/>
      <c r="Y29" s="72" t="str">
        <f t="shared" si="1"/>
        <v>West Sussex</v>
      </c>
      <c r="Z29" s="44">
        <f>IF(ISNUMBER(H29),IDACI!D28,0)</f>
        <v>151487</v>
      </c>
      <c r="AA29" s="44">
        <f>IF(ISNUMBER(H29),IDACI!E28,0)</f>
        <v>16663.57</v>
      </c>
      <c r="AB29" s="205">
        <f>IF(ISNUMBER(D29),Population!D29,"")</f>
        <v>170400</v>
      </c>
      <c r="AC29" s="205">
        <f>IF(ISNUMBER(E29),Population!E29,"")</f>
        <v>171800</v>
      </c>
      <c r="AD29" s="205">
        <f>IF(ISNUMBER(F29),Population!F29,"")</f>
        <v>173300</v>
      </c>
      <c r="AE29" s="205">
        <f>IF(ISNUMBER(G29),Population!G29,"")</f>
        <v>174700</v>
      </c>
      <c r="AF29" s="205">
        <f>IF(ISNUMBER(H29),Population!H29,"")</f>
        <v>176100</v>
      </c>
      <c r="AG29" s="202"/>
      <c r="AH29" s="202"/>
      <c r="AI29" s="190"/>
      <c r="AJ29" s="202"/>
      <c r="AK29" s="160"/>
      <c r="AL29" s="853">
        <f t="shared" si="8"/>
        <v>0.31654676258992803</v>
      </c>
      <c r="AM29" s="853">
        <f t="shared" si="8"/>
        <v>0.4116575591985428</v>
      </c>
      <c r="AN29" s="853">
        <f t="shared" si="8"/>
        <v>-0.19870967741935483</v>
      </c>
      <c r="AO29" s="853">
        <f t="shared" si="8"/>
        <v>0.3140096618357488</v>
      </c>
      <c r="AP29" s="853">
        <f t="shared" si="9"/>
        <v>0.21087607655121621</v>
      </c>
      <c r="AQ29" s="74"/>
      <c r="AR29" s="74"/>
      <c r="AS29" s="74"/>
      <c r="AT29" s="74"/>
      <c r="AU29" s="74"/>
      <c r="AV29" s="74"/>
      <c r="AW29" s="74"/>
      <c r="AX29" s="74"/>
      <c r="AY29" s="74"/>
    </row>
    <row r="30" spans="1:51" s="87" customFormat="1" ht="13.5" customHeight="1" x14ac:dyDescent="0.2">
      <c r="A30" s="488">
        <f>VLOOKUP(B30,Sheet1!$AQ$4:$AR$25,2,FALSE)</f>
        <v>0</v>
      </c>
      <c r="B30" s="93" t="str">
        <f>Sheet1!$K$24</f>
        <v>Windsor &amp; Maidenhead</v>
      </c>
      <c r="C30" s="85"/>
      <c r="D30" s="100">
        <f>IF(Year1_Windsor_Maidenhead Year1_CP_Plans="","",Year1_Windsor_Maidenhead Year1_CP_Plans)</f>
        <v>145</v>
      </c>
      <c r="E30" s="94">
        <f>IF(Year2_Windsor_Maidenhead Year2_CP_Plans="","",Year2_Windsor_Maidenhead Year2_CP_Plans)</f>
        <v>141</v>
      </c>
      <c r="F30" s="94">
        <f>IF(Year3_Windsor_Maidenhead Year3_CP_Plans="","",Year3_Windsor_Maidenhead Year3_CP_Plans)</f>
        <v>74</v>
      </c>
      <c r="G30" s="94">
        <f>IF(Year4_Windsor_Maidenhead Year4_CP_Plans="","",Year4_Windsor_Maidenhead Year4_CP_Plans)</f>
        <v>90</v>
      </c>
      <c r="H30" s="95">
        <f>IF(Year5_Windsor_Maidenhead Year5_CP_Plans="","",Year5_Windsor_Maidenhead Year5_CP_Plans)</f>
        <v>131</v>
      </c>
      <c r="I30" s="344">
        <f t="shared" si="2"/>
        <v>4.225206497767027E-2</v>
      </c>
      <c r="J30" s="96"/>
      <c r="K30" s="97">
        <f>IF(ISNUMBER(D30),D30/Population!D30*10000,NA())</f>
        <v>43.026706231454007</v>
      </c>
      <c r="L30" s="97">
        <f>IF(ISNUMBER(E30),E30/Population!E30*10000,NA())</f>
        <v>41.228070175438596</v>
      </c>
      <c r="M30" s="97">
        <f>IF(ISNUMBER(F30),F30/Population!F30*10000,NA())</f>
        <v>21.511627906976742</v>
      </c>
      <c r="N30" s="97">
        <f>IF(ISNUMBER(G30),G30/Population!G30*10000,NA())</f>
        <v>26.01156069364162</v>
      </c>
      <c r="O30" s="98">
        <f>IF(ISNUMBER(H30),H30/Population!H30*10000,NA())</f>
        <v>37.752161383285298</v>
      </c>
      <c r="P30" s="99">
        <f t="shared" si="3"/>
        <v>37.752161383285298</v>
      </c>
      <c r="Q30" s="934">
        <f t="shared" si="4"/>
        <v>7</v>
      </c>
      <c r="R30" s="70"/>
      <c r="S30" s="340">
        <f>IDACI!C29</f>
        <v>6.7</v>
      </c>
      <c r="T30" s="341">
        <f t="shared" si="0"/>
        <v>23.508456193678121</v>
      </c>
      <c r="U30" s="342">
        <f t="shared" si="5"/>
        <v>14.243705189607176</v>
      </c>
      <c r="V30" s="122"/>
      <c r="W30" s="139"/>
      <c r="X30" s="152"/>
      <c r="Y30" s="72" t="str">
        <f t="shared" si="1"/>
        <v>Windsor &amp; Maidenhead</v>
      </c>
      <c r="Z30" s="44">
        <f>IF(ISNUMBER(H30),IDACI!D29,0)</f>
        <v>29792</v>
      </c>
      <c r="AA30" s="44">
        <f>IF(ISNUMBER(H30),IDACI!E29,0)</f>
        <v>1996.0640000000001</v>
      </c>
      <c r="AB30" s="205">
        <f>IF(ISNUMBER(D30),Population!D30,"")</f>
        <v>33700</v>
      </c>
      <c r="AC30" s="205">
        <f>IF(ISNUMBER(E30),Population!E30,"")</f>
        <v>34200</v>
      </c>
      <c r="AD30" s="205">
        <f>IF(ISNUMBER(F30),Population!F30,"")</f>
        <v>34400</v>
      </c>
      <c r="AE30" s="205">
        <f>IF(ISNUMBER(G30),Population!G30,"")</f>
        <v>34600</v>
      </c>
      <c r="AF30" s="205">
        <f>IF(ISNUMBER(H30),Population!H30,"")</f>
        <v>34700</v>
      </c>
      <c r="AG30" s="202"/>
      <c r="AH30" s="202"/>
      <c r="AI30" s="190"/>
      <c r="AJ30" s="202"/>
      <c r="AK30" s="160"/>
      <c r="AL30" s="853">
        <f t="shared" si="8"/>
        <v>-2.7586206896551724E-2</v>
      </c>
      <c r="AM30" s="853">
        <f t="shared" si="8"/>
        <v>-0.47517730496453903</v>
      </c>
      <c r="AN30" s="853">
        <f t="shared" si="8"/>
        <v>0.21621621621621623</v>
      </c>
      <c r="AO30" s="853">
        <f t="shared" si="8"/>
        <v>0.45555555555555555</v>
      </c>
      <c r="AP30" s="853">
        <f t="shared" si="9"/>
        <v>4.225206497767027E-2</v>
      </c>
      <c r="AQ30" s="74"/>
      <c r="AR30" s="74"/>
      <c r="AS30" s="74"/>
      <c r="AT30" s="74"/>
      <c r="AU30" s="74"/>
      <c r="AV30" s="74"/>
      <c r="AW30" s="74"/>
      <c r="AX30" s="74"/>
      <c r="AY30" s="74"/>
    </row>
    <row r="31" spans="1:51" s="87" customFormat="1" ht="13.5" customHeight="1" x14ac:dyDescent="0.2">
      <c r="A31" s="488">
        <f>VLOOKUP(B31,Sheet1!$AQ$4:$AR$25,2,FALSE)</f>
        <v>0</v>
      </c>
      <c r="B31" s="93" t="str">
        <f>Sheet1!$K$25</f>
        <v>Wokingham</v>
      </c>
      <c r="C31" s="85"/>
      <c r="D31" s="100">
        <f>IF(Year1_Wokingham Year1_CP_Plans="","",Year1_Wokingham Year1_CP_Plans)</f>
        <v>65</v>
      </c>
      <c r="E31" s="94">
        <f>IF(Year2_Wokingham Year2_CP_Plans="","",Year2_Wokingham Year2_CP_Plans)</f>
        <v>46</v>
      </c>
      <c r="F31" s="94">
        <f>IF(Year3_Wokingham Year3_CP_Plans="","",Year3_Wokingham Year3_CP_Plans)</f>
        <v>126</v>
      </c>
      <c r="G31" s="94">
        <f>IF(Year4_Wokingham Year4_CP_Plans="","",Year4_Wokingham Year4_CP_Plans)</f>
        <v>127</v>
      </c>
      <c r="H31" s="95">
        <f>IF(Year5_Wokingham Year5_CP_Plans="","",Year5_Wokingham Year5_CP_Plans)</f>
        <v>142</v>
      </c>
      <c r="I31" s="344">
        <f t="shared" si="2"/>
        <v>0.39321737165797416</v>
      </c>
      <c r="J31" s="96"/>
      <c r="K31" s="97">
        <f>IF(ISNUMBER(D31),D31/Population!D31*10000,NA())</f>
        <v>17.426273458445039</v>
      </c>
      <c r="L31" s="97">
        <f>IF(ISNUMBER(E31),E31/Population!E31*10000,NA())</f>
        <v>12.105263157894738</v>
      </c>
      <c r="M31" s="97">
        <f>IF(ISNUMBER(F31),F31/Population!F31*10000,NA())</f>
        <v>32.558139534883722</v>
      </c>
      <c r="N31" s="97">
        <f>IF(ISNUMBER(G31),G31/Population!G31*10000,NA())</f>
        <v>32.151898734177216</v>
      </c>
      <c r="O31" s="98">
        <f>IF(ISNUMBER(H31),H31/Population!H31*10000,NA())</f>
        <v>35.148514851485146</v>
      </c>
      <c r="P31" s="99">
        <f t="shared" si="3"/>
        <v>35.148514851485146</v>
      </c>
      <c r="Q31" s="934">
        <f t="shared" si="4"/>
        <v>5</v>
      </c>
      <c r="R31" s="70"/>
      <c r="S31" s="340">
        <f>IDACI!C30</f>
        <v>5.6000000000000005</v>
      </c>
      <c r="T31" s="341">
        <f t="shared" si="0"/>
        <v>21.227628039503571</v>
      </c>
      <c r="U31" s="342">
        <f t="shared" si="5"/>
        <v>13.920886811981575</v>
      </c>
      <c r="V31" s="122"/>
      <c r="W31" s="139"/>
      <c r="X31" s="152"/>
      <c r="Y31" s="72" t="str">
        <f t="shared" si="1"/>
        <v>Wokingham</v>
      </c>
      <c r="Z31" s="44">
        <f>IF(ISNUMBER(H31),IDACI!D30,0)</f>
        <v>33327</v>
      </c>
      <c r="AA31" s="44">
        <f>IF(ISNUMBER(H31),IDACI!E30,0)</f>
        <v>1866.3120000000004</v>
      </c>
      <c r="AB31" s="205">
        <f>IF(ISNUMBER(D31),Population!D31,"")</f>
        <v>37300</v>
      </c>
      <c r="AC31" s="205">
        <f>IF(ISNUMBER(E31),Population!E31,"")</f>
        <v>38000</v>
      </c>
      <c r="AD31" s="205">
        <f>IF(ISNUMBER(F31),Population!F31,"")</f>
        <v>38700</v>
      </c>
      <c r="AE31" s="205">
        <f>IF(ISNUMBER(G31),Population!G31,"")</f>
        <v>39500</v>
      </c>
      <c r="AF31" s="205">
        <f>IF(ISNUMBER(H31),Population!H31,"")</f>
        <v>40400</v>
      </c>
      <c r="AG31" s="202"/>
      <c r="AH31" s="202"/>
      <c r="AI31" s="190"/>
      <c r="AJ31" s="202"/>
      <c r="AK31" s="160"/>
      <c r="AL31" s="853">
        <f t="shared" si="8"/>
        <v>-0.29230769230769232</v>
      </c>
      <c r="AM31" s="853">
        <f t="shared" si="8"/>
        <v>1.7391304347826086</v>
      </c>
      <c r="AN31" s="853">
        <f t="shared" si="8"/>
        <v>7.9365079365079361E-3</v>
      </c>
      <c r="AO31" s="853">
        <f t="shared" si="8"/>
        <v>0.11811023622047244</v>
      </c>
      <c r="AP31" s="853">
        <f t="shared" si="9"/>
        <v>0.39321737165797416</v>
      </c>
      <c r="AQ31" s="74"/>
      <c r="AR31" s="74"/>
      <c r="AS31" s="74"/>
      <c r="AT31" s="74"/>
      <c r="AU31" s="74"/>
      <c r="AV31" s="74"/>
      <c r="AW31" s="74"/>
      <c r="AX31" s="74"/>
      <c r="AY31" s="74"/>
    </row>
    <row r="32" spans="1:51" s="87" customFormat="1" ht="13.5" customHeight="1" x14ac:dyDescent="0.2">
      <c r="A32" s="121"/>
      <c r="B32" s="129" t="str">
        <f>Sheet1!$K$26</f>
        <v>South East</v>
      </c>
      <c r="C32" s="85"/>
      <c r="D32" s="130">
        <f>IF(Year1_SouthEast Year1_CP_Plans="","",Year1_SouthEast Year1_CP_Plans)</f>
        <v>8070</v>
      </c>
      <c r="E32" s="130">
        <f>IF(Year2_SouthEast Year2_CP_Plans="","",Year2_SouthEast Year2_CP_Plans)</f>
        <v>7980</v>
      </c>
      <c r="F32" s="130">
        <f>IF(Year3_SouthEast Year3_CP_Plans="","",Year3_SouthEast Year3_CP_Plans)</f>
        <v>8980</v>
      </c>
      <c r="G32" s="130">
        <f>IF(Year4_SouthEast Year4_CP_Plans="","",Year4_SouthEast Year4_CP_Plans)</f>
        <v>8110</v>
      </c>
      <c r="H32" s="131">
        <f>IF(Year5_SouthEast Year5_CP_Plans="","",Year5_SouthEast Year5_CP_Plans)</f>
        <v>8110</v>
      </c>
      <c r="I32" s="357">
        <f t="shared" si="2"/>
        <v>-2.2167935272731074E-3</v>
      </c>
      <c r="J32" s="96"/>
      <c r="K32" s="132">
        <f>IF(ISNUMBER(D32),D32/AB32*10000,NA())</f>
        <v>42.072884625410566</v>
      </c>
      <c r="L32" s="132">
        <f>IF(ISNUMBER(E32),E32/AC32*10000,NA())</f>
        <v>41.280844239822052</v>
      </c>
      <c r="M32" s="132">
        <f>IF(ISNUMBER(F32),F32/AD32*10000,NA())</f>
        <v>46.195791964607231</v>
      </c>
      <c r="N32" s="132">
        <f>IF(ISNUMBER(G32),G32/AE32*10000,NA())</f>
        <v>41.432512516603659</v>
      </c>
      <c r="O32" s="133">
        <f>IF(ISNUMBER(H32),H32/AF32*10000,NA())</f>
        <v>41.184237253707089</v>
      </c>
      <c r="P32" s="99">
        <f t="shared" si="3"/>
        <v>41.184237253707089</v>
      </c>
      <c r="Q32" s="336" t="str">
        <f t="shared" si="4"/>
        <v>--</v>
      </c>
      <c r="R32" s="70"/>
      <c r="S32" s="338">
        <f>AA32/Z32*100</f>
        <v>12.371268250968637</v>
      </c>
      <c r="T32" s="338">
        <f t="shared" si="0"/>
        <v>35.267718281574062</v>
      </c>
      <c r="U32" s="343">
        <f t="shared" si="5"/>
        <v>5.9165189721330265</v>
      </c>
      <c r="V32" s="122"/>
      <c r="W32" s="139"/>
      <c r="X32" s="152"/>
      <c r="Y32" s="72" t="str">
        <f t="shared" si="1"/>
        <v>South East</v>
      </c>
      <c r="Z32" s="44">
        <f>SUM(Z24:Z25,Z10:Z22,Z28:Z31)</f>
        <v>1704978</v>
      </c>
      <c r="AA32" s="44">
        <f>SUM(AA24:AA25,AA10:AA22,AA28:AA31)</f>
        <v>210927.40200000003</v>
      </c>
      <c r="AB32" s="205">
        <f>SUM(AB10:AB22,AB24:AB25,AB28:AB31)</f>
        <v>1918100</v>
      </c>
      <c r="AC32" s="205">
        <f t="shared" ref="AC32:AF32" si="10">SUM(AC10:AC22,AC24:AC25,AC28:AC31)</f>
        <v>1933100</v>
      </c>
      <c r="AD32" s="205">
        <f t="shared" si="10"/>
        <v>1943900</v>
      </c>
      <c r="AE32" s="205">
        <f t="shared" si="10"/>
        <v>1957400</v>
      </c>
      <c r="AF32" s="205">
        <f t="shared" si="10"/>
        <v>1969200</v>
      </c>
      <c r="AG32" s="202"/>
      <c r="AH32" s="202"/>
      <c r="AI32" s="190"/>
      <c r="AJ32" s="202"/>
      <c r="AK32" s="160"/>
      <c r="AL32" s="1025">
        <f>IF(ISERROR((L32-K32)/K32),"x",(L32-K32)/K32)</f>
        <v>-1.8825435732308906E-2</v>
      </c>
      <c r="AM32" s="1025">
        <f t="shared" ref="AM32:AO32" si="11">IF(ISERROR((M32-L32)/L32),"x",(M32-L32)/L32)</f>
        <v>0.11906122113762191</v>
      </c>
      <c r="AN32" s="1025">
        <f t="shared" si="11"/>
        <v>-0.10311067838501276</v>
      </c>
      <c r="AO32" s="1025">
        <f t="shared" si="11"/>
        <v>-5.992281129392674E-3</v>
      </c>
      <c r="AP32" s="853">
        <f t="shared" si="9"/>
        <v>-2.2167935272731074E-3</v>
      </c>
      <c r="AQ32" s="74"/>
      <c r="AR32" s="74"/>
      <c r="AS32" s="74"/>
      <c r="AT32" s="74"/>
      <c r="AU32" s="74"/>
      <c r="AV32" s="74"/>
      <c r="AW32" s="74"/>
      <c r="AX32" s="74"/>
      <c r="AY32" s="74"/>
    </row>
    <row r="33" spans="1:75" s="87" customFormat="1" ht="12.75" x14ac:dyDescent="0.2">
      <c r="A33" s="292"/>
      <c r="B33" s="329" t="str">
        <f>Sheet1!$K$27</f>
        <v>England</v>
      </c>
      <c r="C33" s="85"/>
      <c r="D33" s="330">
        <f>IF(Year1_England Year1_CP_Plans="","",Year1_England Year1_CP_Plans)</f>
        <v>50310</v>
      </c>
      <c r="E33" s="330">
        <f>IF(Year2_England Year2_CP_Plans="","",Year2_England Year2_CP_Plans)</f>
        <v>51080</v>
      </c>
      <c r="F33" s="330">
        <f>IF(Year3_England Year3_CP_Plans="","",Year3_England Year3_CP_Plans)</f>
        <v>53790</v>
      </c>
      <c r="G33" s="330">
        <f>IF(Year4_England Year4_CP_Plans="","",Year4_England Year4_CP_Plans)</f>
        <v>52260</v>
      </c>
      <c r="H33" s="331">
        <f>IF(Year5_England Year5_CP_Plans="","",Year5_England Year5_CP_Plans)</f>
        <v>51510</v>
      </c>
      <c r="I33" s="358">
        <f t="shared" si="2"/>
        <v>6.3909680517830157E-3</v>
      </c>
      <c r="J33" s="96"/>
      <c r="K33" s="332">
        <f>IF(ISNUMBER(D33),D33/Population!D33*10000,NA())</f>
        <v>43.081375932316604</v>
      </c>
      <c r="L33" s="332">
        <f>IF(ISNUMBER(E33),E33/Population!E33*10000,NA())</f>
        <v>43.342129602131465</v>
      </c>
      <c r="M33" s="332">
        <f>IF(ISNUMBER(F33),F33/Population!F33*10000,NA())</f>
        <v>45.327378444425719</v>
      </c>
      <c r="N33" s="332">
        <f>IF(ISNUMBER(G33),G33/Population!G33*10000,NA())</f>
        <v>43.715389891757148</v>
      </c>
      <c r="O33" s="333">
        <f>IF(ISNUMBER(H33),H33/Population!H33*10000,NA())</f>
        <v>42.840746531820749</v>
      </c>
      <c r="P33" s="1559">
        <f t="shared" si="3"/>
        <v>42.840746531820749</v>
      </c>
      <c r="Q33" s="337" t="str">
        <f t="shared" si="4"/>
        <v>--</v>
      </c>
      <c r="R33" s="70"/>
      <c r="S33" s="339">
        <f>IDACI!C32</f>
        <v>17.084413405029373</v>
      </c>
      <c r="T33" s="339">
        <f t="shared" si="0"/>
        <v>45.040331156204132</v>
      </c>
      <c r="U33" s="624">
        <f t="shared" si="5"/>
        <v>-2.1995846243833839</v>
      </c>
      <c r="V33" s="122"/>
      <c r="W33" s="139"/>
      <c r="X33" s="152"/>
      <c r="Y33" s="72" t="str">
        <f t="shared" si="1"/>
        <v>England</v>
      </c>
      <c r="Z33" s="44">
        <f>IF(H33&gt;0,IDACI!D32,0)</f>
        <v>10405050</v>
      </c>
      <c r="AA33" s="44">
        <f>IF(H33&gt;0,IDACI!E32,0)</f>
        <v>1777641.7570000088</v>
      </c>
      <c r="AB33" s="205">
        <f>IF(ISNUMBER(D33),Population!D33,"")</f>
        <v>11677900</v>
      </c>
      <c r="AC33" s="205">
        <f>IF(ISNUMBER(E33),Population!E33,"")</f>
        <v>11785300</v>
      </c>
      <c r="AD33" s="205">
        <f>IF(ISNUMBER(F33),Population!F33,"")</f>
        <v>11867000</v>
      </c>
      <c r="AE33" s="205">
        <f>IF(ISNUMBER(G33),Population!G33,"")</f>
        <v>11954600</v>
      </c>
      <c r="AF33" s="205">
        <f>IF(ISNUMBER(H33),Population!H33,"")</f>
        <v>12023600</v>
      </c>
      <c r="AG33" s="202"/>
      <c r="AH33" s="202"/>
      <c r="AI33" s="190"/>
      <c r="AJ33" s="202"/>
      <c r="AK33" s="160"/>
      <c r="AL33" s="853">
        <f t="shared" si="8"/>
        <v>1.5305108328364143E-2</v>
      </c>
      <c r="AM33" s="853">
        <f t="shared" si="8"/>
        <v>5.3054032889584962E-2</v>
      </c>
      <c r="AN33" s="853">
        <f t="shared" si="8"/>
        <v>-2.8443948689347461E-2</v>
      </c>
      <c r="AO33" s="853">
        <f t="shared" si="8"/>
        <v>-1.4351320321469576E-2</v>
      </c>
      <c r="AP33" s="853">
        <f>AVERAGE(AL33:AO33)</f>
        <v>6.3909680517830157E-3</v>
      </c>
      <c r="AQ33" s="74"/>
      <c r="AR33" s="74"/>
      <c r="AS33" s="74"/>
      <c r="AT33" s="74"/>
      <c r="AU33" s="74"/>
      <c r="AV33" s="74"/>
      <c r="AW33" s="74"/>
      <c r="AX33" s="74"/>
      <c r="AY33" s="74"/>
    </row>
    <row r="34" spans="1:75" s="81" customFormat="1" ht="13.5" customHeight="1" x14ac:dyDescent="0.2">
      <c r="A34" s="118"/>
      <c r="B34" s="123" t="s">
        <v>90</v>
      </c>
      <c r="C34" s="63"/>
      <c r="D34" s="63"/>
      <c r="E34" s="63"/>
      <c r="F34" s="63"/>
      <c r="G34" s="63"/>
      <c r="H34" s="63"/>
      <c r="I34" s="63"/>
      <c r="J34" s="63"/>
      <c r="K34" s="63"/>
      <c r="L34" s="63"/>
      <c r="M34" s="63"/>
      <c r="N34" s="63"/>
      <c r="O34" s="63"/>
      <c r="P34" s="63"/>
      <c r="Q34" s="136" t="s">
        <v>108</v>
      </c>
      <c r="S34" s="63"/>
      <c r="T34" s="63"/>
      <c r="U34" s="63"/>
      <c r="V34" s="117"/>
      <c r="W34" s="137"/>
      <c r="X34" s="150"/>
      <c r="Y34" s="80"/>
      <c r="Z34" s="184"/>
      <c r="AA34" s="184"/>
      <c r="AB34" s="184"/>
      <c r="AC34" s="184"/>
      <c r="AD34" s="184"/>
      <c r="AE34" s="184"/>
      <c r="AF34" s="184"/>
      <c r="AG34" s="184"/>
      <c r="AH34" s="184"/>
      <c r="AJ34" s="184"/>
      <c r="AK34" s="161"/>
      <c r="AQ34" s="74"/>
      <c r="AR34" s="74"/>
      <c r="AS34" s="74"/>
      <c r="AT34" s="74"/>
      <c r="AU34" s="74"/>
      <c r="AV34" s="74"/>
      <c r="AW34" s="74"/>
      <c r="AX34" s="74"/>
      <c r="AY34" s="74"/>
    </row>
    <row r="35" spans="1:75" s="81" customFormat="1" ht="27" customHeight="1" x14ac:dyDescent="0.2">
      <c r="A35" s="118"/>
      <c r="B35" s="1762"/>
      <c r="C35" s="1825"/>
      <c r="D35" s="1825"/>
      <c r="E35" s="1825"/>
      <c r="F35" s="1825"/>
      <c r="G35" s="1825"/>
      <c r="H35" s="1825"/>
      <c r="I35" s="1825"/>
      <c r="J35" s="1825"/>
      <c r="K35" s="1825"/>
      <c r="L35" s="1825"/>
      <c r="M35" s="1825"/>
      <c r="N35" s="1825"/>
      <c r="O35" s="1825"/>
      <c r="P35" s="1825"/>
      <c r="Q35" s="1825"/>
      <c r="R35" s="1825"/>
      <c r="S35" s="1825"/>
      <c r="T35" s="1825"/>
      <c r="U35" s="1826"/>
      <c r="V35" s="117"/>
      <c r="W35" s="137"/>
      <c r="X35" s="150"/>
      <c r="Y35" s="80"/>
      <c r="Z35" s="184"/>
      <c r="AA35" s="184"/>
      <c r="AB35" s="184"/>
      <c r="AC35" s="184"/>
      <c r="AD35" s="184"/>
      <c r="AE35" s="184"/>
      <c r="AF35" s="184"/>
      <c r="AG35" s="184"/>
      <c r="AH35" s="184"/>
      <c r="AJ35" s="184"/>
      <c r="AK35" s="157"/>
      <c r="AL35" s="74"/>
      <c r="AM35" s="74"/>
      <c r="AN35" s="74"/>
      <c r="AO35" s="74"/>
      <c r="AP35" s="74"/>
      <c r="AQ35" s="74"/>
      <c r="AR35" s="74"/>
    </row>
    <row r="36" spans="1:75" s="81" customFormat="1" ht="7.5" customHeight="1" x14ac:dyDescent="0.2">
      <c r="A36" s="118"/>
      <c r="B36" s="17"/>
      <c r="C36" s="17"/>
      <c r="D36" s="16"/>
      <c r="E36" s="16"/>
      <c r="F36" s="16"/>
      <c r="G36" s="16"/>
      <c r="H36" s="16"/>
      <c r="I36" s="16"/>
      <c r="J36" s="12"/>
      <c r="K36" s="18"/>
      <c r="L36" s="18"/>
      <c r="M36" s="18"/>
      <c r="N36" s="18"/>
      <c r="O36" s="18"/>
      <c r="P36" s="18"/>
      <c r="Q36" s="18"/>
      <c r="R36" s="18"/>
      <c r="S36" s="18"/>
      <c r="T36" s="18"/>
      <c r="U36" s="19"/>
      <c r="V36" s="117"/>
      <c r="W36" s="137"/>
      <c r="X36" s="150"/>
      <c r="Z36" s="190"/>
      <c r="AJ36" s="184"/>
      <c r="AK36" s="157"/>
      <c r="AL36" s="74"/>
      <c r="AM36" s="74"/>
      <c r="AN36" s="74"/>
      <c r="AO36" s="74"/>
      <c r="AP36" s="74"/>
      <c r="AQ36" s="74"/>
      <c r="AR36" s="74"/>
    </row>
    <row r="37" spans="1:75" s="81" customFormat="1" ht="15" customHeight="1" x14ac:dyDescent="0.2">
      <c r="A37" s="1716"/>
      <c r="B37" s="1760"/>
      <c r="C37" s="1760"/>
      <c r="D37" s="1760"/>
      <c r="E37" s="1760"/>
      <c r="F37" s="1760"/>
      <c r="G37" s="1760"/>
      <c r="H37" s="1760"/>
      <c r="I37" s="1760"/>
      <c r="J37" s="1760"/>
      <c r="K37" s="1760"/>
      <c r="L37" s="1760"/>
      <c r="M37" s="1760"/>
      <c r="N37" s="1760"/>
      <c r="O37" s="1760"/>
      <c r="P37" s="1760"/>
      <c r="Q37" s="1760"/>
      <c r="R37" s="1760"/>
      <c r="S37" s="1760"/>
      <c r="T37" s="1760"/>
      <c r="U37" s="1760"/>
      <c r="V37" s="1761"/>
      <c r="W37" s="137"/>
      <c r="X37" s="150"/>
      <c r="AK37" s="161"/>
      <c r="AM37" s="81">
        <f>COLUMNS($B$4:K$4)</f>
        <v>10</v>
      </c>
      <c r="AN37" s="81">
        <f>COLUMNS($B$4:L$4)</f>
        <v>11</v>
      </c>
      <c r="AO37" s="81">
        <f>COLUMNS($B$4:M$4)</f>
        <v>12</v>
      </c>
      <c r="AP37" s="81">
        <f>COLUMNS($B$4:N$4)</f>
        <v>13</v>
      </c>
      <c r="AQ37" s="81">
        <f>COLUMNS($B$4:O$4)</f>
        <v>14</v>
      </c>
      <c r="AR37" s="81">
        <f>COLUMNS($B$4:S$4)</f>
        <v>18</v>
      </c>
      <c r="AS37" s="81">
        <f>COLUMNS($B$4:D$4)</f>
        <v>3</v>
      </c>
      <c r="AT37" s="81">
        <f>COLUMNS($B$4:E$4)</f>
        <v>4</v>
      </c>
      <c r="AU37" s="81">
        <f>COLUMNS($B$4:F$4)</f>
        <v>5</v>
      </c>
      <c r="AV37" s="81">
        <f>COLUMNS($B$4:G$4)</f>
        <v>6</v>
      </c>
      <c r="AW37" s="81">
        <f>COLUMNS($B$4:H$4)</f>
        <v>7</v>
      </c>
      <c r="AX37" s="81">
        <f>COLUMNS($B$4:D$4)</f>
        <v>3</v>
      </c>
      <c r="AY37" s="81">
        <f>COLUMNS($B$4:E$4)</f>
        <v>4</v>
      </c>
      <c r="AZ37" s="81">
        <f>COLUMNS($B$4:F$4)</f>
        <v>5</v>
      </c>
      <c r="BA37" s="81">
        <f>COLUMNS($B$4:G$4)</f>
        <v>6</v>
      </c>
      <c r="BB37" s="81">
        <f>COLUMNS($B$4:H$4)</f>
        <v>7</v>
      </c>
      <c r="BC37" s="81">
        <f>COLUMNS($B$4:$D$4)</f>
        <v>3</v>
      </c>
      <c r="BD37" s="81">
        <f>COLUMNS($B$4:E$4)</f>
        <v>4</v>
      </c>
      <c r="BE37" s="81">
        <f>COLUMNS($B$4:F$4)</f>
        <v>5</v>
      </c>
      <c r="BF37" s="81">
        <f>COLUMNS($B$4:G$4)</f>
        <v>6</v>
      </c>
      <c r="BG37" s="81">
        <f>COLUMNS($B$4:H$4)</f>
        <v>7</v>
      </c>
      <c r="BH37" s="81">
        <f>COLUMNS($B$4:D$4)</f>
        <v>3</v>
      </c>
      <c r="BI37" s="81">
        <f>COLUMNS($B$4:E$4)</f>
        <v>4</v>
      </c>
      <c r="BJ37" s="81">
        <f>COLUMNS($B$4:F$4)</f>
        <v>5</v>
      </c>
      <c r="BK37" s="81">
        <f>COLUMNS($B$4:G$4)</f>
        <v>6</v>
      </c>
      <c r="BL37" s="81">
        <f>COLUMNS($B$4:H$4)</f>
        <v>7</v>
      </c>
      <c r="BM37" s="81">
        <f>COLUMNS($B$4:D$4)</f>
        <v>3</v>
      </c>
      <c r="BN37" s="81">
        <f>COLUMNS($B$4:E$4)</f>
        <v>4</v>
      </c>
      <c r="BO37" s="81">
        <f>COLUMNS($B$4:F$4)</f>
        <v>5</v>
      </c>
      <c r="BP37" s="81">
        <f>COLUMNS($B$4:G$4)</f>
        <v>6</v>
      </c>
      <c r="BQ37" s="81">
        <f>COLUMNS($B$4:H$4)</f>
        <v>7</v>
      </c>
      <c r="BR37" s="1920" t="str">
        <f>Z4</f>
        <v>(none)</v>
      </c>
      <c r="BS37" s="81">
        <f>COLUMNS($B$4:D$4)</f>
        <v>3</v>
      </c>
      <c r="BT37" s="81">
        <f>COLUMNS($B$4:E$4)</f>
        <v>4</v>
      </c>
      <c r="BU37" s="81">
        <f>COLUMNS($B$4:F$4)</f>
        <v>5</v>
      </c>
      <c r="BV37" s="81">
        <f>COLUMNS($B$4:G$4)</f>
        <v>6</v>
      </c>
      <c r="BW37" s="81">
        <f>COLUMNS($B$4:H$4)</f>
        <v>7</v>
      </c>
    </row>
    <row r="38" spans="1:75" s="81" customFormat="1" ht="11.1" customHeight="1" x14ac:dyDescent="0.2">
      <c r="A38" s="1765" t="str">
        <f>Home!$A$39</f>
        <v xml:space="preserve"> </v>
      </c>
      <c r="B38" s="1766"/>
      <c r="C38" s="1766"/>
      <c r="D38" s="1766"/>
      <c r="E38" s="1766"/>
      <c r="F38" s="1766"/>
      <c r="G38" s="1766"/>
      <c r="H38" s="1766"/>
      <c r="I38" s="1767"/>
      <c r="J38" s="1766"/>
      <c r="K38" s="1766"/>
      <c r="L38" s="1766"/>
      <c r="M38" s="1766"/>
      <c r="N38" s="1766"/>
      <c r="O38" s="1766"/>
      <c r="P38" s="1768"/>
      <c r="Q38" s="1766"/>
      <c r="R38" s="1766"/>
      <c r="S38" s="1766"/>
      <c r="T38" s="1767"/>
      <c r="U38" s="1766"/>
      <c r="V38" s="1769"/>
      <c r="W38" s="137"/>
      <c r="X38" s="150"/>
      <c r="AJ38" s="184"/>
      <c r="AK38" s="160"/>
      <c r="AL38" s="87"/>
      <c r="AM38" s="367" t="s">
        <v>89</v>
      </c>
      <c r="AN38" s="368"/>
      <c r="AO38" s="368"/>
      <c r="AP38" s="368"/>
      <c r="AQ38" s="368"/>
      <c r="AR38" s="444" t="s">
        <v>1213</v>
      </c>
      <c r="AS38" s="1917" t="s">
        <v>698</v>
      </c>
      <c r="AT38" s="1918"/>
      <c r="AU38" s="1918"/>
      <c r="AV38" s="1918"/>
      <c r="AW38" s="1919"/>
      <c r="AX38" s="1917" t="s">
        <v>699</v>
      </c>
      <c r="AY38" s="1918"/>
      <c r="AZ38" s="1918"/>
      <c r="BA38" s="1918"/>
      <c r="BB38" s="1919"/>
      <c r="BC38" s="1917" t="s">
        <v>697</v>
      </c>
      <c r="BD38" s="1918"/>
      <c r="BE38" s="1918"/>
      <c r="BF38" s="1918"/>
      <c r="BG38" s="1919"/>
      <c r="BH38" s="1917" t="s">
        <v>141</v>
      </c>
      <c r="BI38" s="1918"/>
      <c r="BJ38" s="1918"/>
      <c r="BK38" s="1918"/>
      <c r="BL38" s="1919"/>
      <c r="BM38" s="1917" t="s">
        <v>190</v>
      </c>
      <c r="BN38" s="1918"/>
      <c r="BO38" s="1918"/>
      <c r="BP38" s="1918"/>
      <c r="BQ38" s="1919"/>
      <c r="BR38" s="1920"/>
      <c r="BS38" s="1917" t="s">
        <v>142</v>
      </c>
      <c r="BT38" s="1918"/>
      <c r="BU38" s="1918"/>
      <c r="BV38" s="1918"/>
      <c r="BW38" s="1919"/>
    </row>
    <row r="39" spans="1:75" s="81" customFormat="1" ht="11.25" customHeight="1" x14ac:dyDescent="0.2">
      <c r="A39" s="112"/>
      <c r="B39" s="113"/>
      <c r="C39" s="113"/>
      <c r="D39" s="113"/>
      <c r="E39" s="113"/>
      <c r="F39" s="113"/>
      <c r="G39" s="113"/>
      <c r="H39" s="113"/>
      <c r="I39" s="113"/>
      <c r="J39" s="114"/>
      <c r="K39" s="113"/>
      <c r="L39" s="113"/>
      <c r="M39" s="113"/>
      <c r="N39" s="113"/>
      <c r="O39" s="113"/>
      <c r="P39" s="113"/>
      <c r="Q39" s="113"/>
      <c r="R39" s="113"/>
      <c r="S39" s="113"/>
      <c r="T39" s="113"/>
      <c r="U39" s="113"/>
      <c r="V39" s="115"/>
      <c r="W39" s="137"/>
      <c r="X39" s="149" t="s">
        <v>101</v>
      </c>
      <c r="AB39" s="197"/>
      <c r="AC39" s="197"/>
      <c r="AJ39" s="184"/>
      <c r="AK39" s="160"/>
      <c r="AL39" s="87"/>
      <c r="AM39" s="367" t="str">
        <f>IF(Sheet1!$C$3="Annual","",Sheet1!AQ49)</f>
        <v/>
      </c>
      <c r="AN39" s="367" t="str">
        <f>IF(Sheet1!$C$3="Annual","",Sheet1!AR49)</f>
        <v/>
      </c>
      <c r="AO39" s="367" t="str">
        <f>IF(Sheet1!$C$3="Annual","",Sheet1!AS49)</f>
        <v/>
      </c>
      <c r="AP39" s="367" t="str">
        <f>IF(Sheet1!$C$3="Annual","",Sheet1!AT49)</f>
        <v/>
      </c>
      <c r="AQ39" s="367" t="str">
        <f>IF(Sheet1!$C$3="Annual","",Sheet1!AU49)</f>
        <v/>
      </c>
      <c r="AR39" s="445" t="str">
        <f>IF(Sheet1!$C$3="Annual","",Sheet1!AV49)</f>
        <v/>
      </c>
      <c r="AS39" s="446" t="str">
        <f>IF(Sheet1!$C$3="Annual","",Sheet1!AW49)</f>
        <v/>
      </c>
      <c r="AT39" s="922" t="str">
        <f>IF(Sheet1!$C$3="Annual","",Sheet1!AX49)</f>
        <v/>
      </c>
      <c r="AU39" s="922" t="str">
        <f>IF(Sheet1!$C$3="Annual","",Sheet1!AY49)</f>
        <v/>
      </c>
      <c r="AV39" s="922" t="str">
        <f>IF(Sheet1!$C$3="Annual","",Sheet1!AZ49)</f>
        <v/>
      </c>
      <c r="AW39" s="310"/>
      <c r="AX39" s="925" t="str">
        <f>IF(Sheet1!$C$3="Annual","",Sheet1!BB49)</f>
        <v/>
      </c>
      <c r="AY39" s="922" t="str">
        <f>IF(Sheet1!$C$3="Annual","",Sheet1!BC49)</f>
        <v/>
      </c>
      <c r="AZ39" s="922" t="str">
        <f>IF(Sheet1!$C$3="Annual","",Sheet1!BD49)</f>
        <v/>
      </c>
      <c r="BA39" s="922" t="str">
        <f>IF(Sheet1!$C$3="Annual","",Sheet1!BE49)</f>
        <v/>
      </c>
      <c r="BB39" s="310" t="str">
        <f>IF(Sheet1!$C$3="Annual","",Sheet1!BF49)</f>
        <v/>
      </c>
      <c r="BC39" s="446" t="str">
        <f>IF(Sheet1!$C$3="Annual","",Sheet1!BG49)</f>
        <v/>
      </c>
      <c r="BD39" s="423" t="str">
        <f>IF(Sheet1!$C$3="Annual","",Sheet1!BH49)</f>
        <v/>
      </c>
      <c r="BE39" s="423" t="str">
        <f>IF(Sheet1!$C$3="Annual","",Sheet1!BI49)</f>
        <v/>
      </c>
      <c r="BF39" s="423" t="str">
        <f>IF(Sheet1!$C$3="Annual","",Sheet1!BJ49)</f>
        <v/>
      </c>
      <c r="BG39" s="310" t="str">
        <f>IF(Sheet1!$C$3="Annual","",Sheet1!BK49)</f>
        <v/>
      </c>
      <c r="BH39" s="446" t="str">
        <f>IF(Sheet1!$C$3="Annual","",Sheet1!BL49)</f>
        <v/>
      </c>
      <c r="BI39" s="423" t="str">
        <f>IF(Sheet1!$C$3="Annual","",Sheet1!BM49)</f>
        <v/>
      </c>
      <c r="BJ39" s="423" t="str">
        <f>IF(Sheet1!$C$3="Annual","",Sheet1!BN49)</f>
        <v/>
      </c>
      <c r="BK39" s="423" t="str">
        <f>IF(Sheet1!$C$3="Annual","",Sheet1!BO49)</f>
        <v/>
      </c>
      <c r="BL39" s="310" t="str">
        <f>IF(Sheet1!$C$3="Annual","",Sheet1!BP49)</f>
        <v/>
      </c>
      <c r="BM39" s="446" t="str">
        <f>IF(Sheet1!$C$3="Annual","",Sheet1!BQ49)</f>
        <v/>
      </c>
      <c r="BN39" s="423" t="str">
        <f>IF(Sheet1!$C$3="Annual","",Sheet1!BR49)</f>
        <v/>
      </c>
      <c r="BO39" s="423" t="str">
        <f>IF(Sheet1!$C$3="Annual","",Sheet1!BS49)</f>
        <v/>
      </c>
      <c r="BP39" s="423" t="str">
        <f>IF(Sheet1!$C$3="Annual","",Sheet1!BT49)</f>
        <v/>
      </c>
      <c r="BQ39" s="310" t="str">
        <f>IF(Sheet1!$C$3="Annual","",Sheet1!BU49)</f>
        <v/>
      </c>
      <c r="BR39" s="1920"/>
      <c r="BS39" s="446" t="str">
        <f>IF(Sheet1!$C$3="Annual","",Sheet1!BW49)</f>
        <v/>
      </c>
      <c r="BT39" s="423" t="str">
        <f>IF(Sheet1!$C$3="Annual","",Sheet1!BX49)</f>
        <v/>
      </c>
      <c r="BU39" s="423" t="str">
        <f>IF(Sheet1!$C$3="Annual","",Sheet1!BY49)</f>
        <v/>
      </c>
      <c r="BV39" s="423" t="str">
        <f>IF(Sheet1!$C$3="Annual","",Sheet1!BZ49)</f>
        <v/>
      </c>
      <c r="BW39" s="310" t="str">
        <f>IF(Sheet1!$C$3="Annual","",Sheet1!CA49)</f>
        <v/>
      </c>
    </row>
    <row r="40" spans="1:75" s="81" customFormat="1" ht="3.75" customHeight="1" x14ac:dyDescent="0.25">
      <c r="A40" s="116"/>
      <c r="B40" s="9"/>
      <c r="C40" s="9"/>
      <c r="D40" s="9"/>
      <c r="E40" s="9"/>
      <c r="F40" s="9"/>
      <c r="G40" s="9"/>
      <c r="H40" s="9"/>
      <c r="I40" s="9"/>
      <c r="J40" s="12"/>
      <c r="K40" s="9"/>
      <c r="L40" s="9"/>
      <c r="M40" s="9"/>
      <c r="N40" s="9"/>
      <c r="O40" s="9"/>
      <c r="P40" s="9"/>
      <c r="Q40" s="9"/>
      <c r="R40" s="9"/>
      <c r="S40" s="9"/>
      <c r="T40" s="9"/>
      <c r="U40" s="9"/>
      <c r="V40" s="117"/>
      <c r="W40" s="137"/>
      <c r="X40" s="294"/>
      <c r="AD40" s="1320" t="s">
        <v>977</v>
      </c>
      <c r="AK40" s="160"/>
      <c r="AL40" s="87"/>
      <c r="AM40" s="367" t="str">
        <f>Sheet1!$D$27</f>
        <v>2015-16</v>
      </c>
      <c r="AN40" s="367" t="str">
        <f>Sheet1!$E$27</f>
        <v>2016-17</v>
      </c>
      <c r="AO40" s="367" t="str">
        <f>Sheet1!$F$27</f>
        <v>2017-18</v>
      </c>
      <c r="AP40" s="367" t="str">
        <f>Sheet1!$G$27</f>
        <v>2018-19</v>
      </c>
      <c r="AQ40" s="367" t="str">
        <f>Sheet1!$H$27</f>
        <v>2019-20</v>
      </c>
      <c r="AR40" s="445" t="str">
        <f>Sheet1!$D$27</f>
        <v>2015-16</v>
      </c>
      <c r="AS40" s="446" t="str">
        <f>Sheet1!$E$27</f>
        <v>2016-17</v>
      </c>
      <c r="AT40" s="922" t="str">
        <f>Sheet1!$F$27</f>
        <v>2017-18</v>
      </c>
      <c r="AU40" s="922" t="str">
        <f>Sheet1!$G$27</f>
        <v>2018-19</v>
      </c>
      <c r="AV40" s="922" t="str">
        <f>Sheet1!$H$27</f>
        <v>2019-20</v>
      </c>
      <c r="AW40" s="310" t="e">
        <f>E9</f>
        <v>#N/A</v>
      </c>
      <c r="AX40" s="925" t="str">
        <f>Sheet1!$D$27</f>
        <v>2015-16</v>
      </c>
      <c r="AY40" s="922" t="str">
        <f>Sheet1!$E$27</f>
        <v>2016-17</v>
      </c>
      <c r="AZ40" s="922" t="str">
        <f>Sheet1!$F$27</f>
        <v>2017-18</v>
      </c>
      <c r="BA40" s="922" t="str">
        <f>Sheet1!$G$27</f>
        <v>2018-19</v>
      </c>
      <c r="BB40" s="310" t="str">
        <f>Sheet1!$H$27</f>
        <v>2019-20</v>
      </c>
      <c r="BC40" s="446" t="str">
        <f>Sheet1!$D$27</f>
        <v>2015-16</v>
      </c>
      <c r="BD40" s="423" t="str">
        <f>Sheet1!$E$27</f>
        <v>2016-17</v>
      </c>
      <c r="BE40" s="423" t="str">
        <f>Sheet1!$F$27</f>
        <v>2017-18</v>
      </c>
      <c r="BF40" s="423" t="str">
        <f>Sheet1!$G$27</f>
        <v>2018-19</v>
      </c>
      <c r="BG40" s="310" t="str">
        <f>Sheet1!$H$27</f>
        <v>2019-20</v>
      </c>
      <c r="BH40" s="446" t="str">
        <f>Sheet1!$D$27</f>
        <v>2015-16</v>
      </c>
      <c r="BI40" s="423" t="str">
        <f>Sheet1!$E$27</f>
        <v>2016-17</v>
      </c>
      <c r="BJ40" s="423" t="str">
        <f>Sheet1!$F$27</f>
        <v>2017-18</v>
      </c>
      <c r="BK40" s="423" t="str">
        <f>Sheet1!$G$27</f>
        <v>2018-19</v>
      </c>
      <c r="BL40" s="310" t="str">
        <f>Sheet1!$H$27</f>
        <v>2019-20</v>
      </c>
      <c r="BM40" s="446" t="str">
        <f>Sheet1!$D$27</f>
        <v>2015-16</v>
      </c>
      <c r="BN40" s="423" t="str">
        <f>Sheet1!$E$27</f>
        <v>2016-17</v>
      </c>
      <c r="BO40" s="423" t="str">
        <f>Sheet1!$F$27</f>
        <v>2017-18</v>
      </c>
      <c r="BP40" s="423" t="str">
        <f>Sheet1!$G$27</f>
        <v>2018-19</v>
      </c>
      <c r="BQ40" s="310" t="str">
        <f>Sheet1!$H$27</f>
        <v>2019-20</v>
      </c>
      <c r="BR40" s="1921"/>
      <c r="BS40" s="446" t="str">
        <f>Sheet1!$D$27</f>
        <v>2015-16</v>
      </c>
      <c r="BT40" s="423" t="str">
        <f>Sheet1!$E$27</f>
        <v>2016-17</v>
      </c>
      <c r="BU40" s="423" t="str">
        <f>Sheet1!$F$27</f>
        <v>2017-18</v>
      </c>
      <c r="BV40" s="423" t="str">
        <f>Sheet1!$G$27</f>
        <v>2018-19</v>
      </c>
      <c r="BW40" s="310" t="str">
        <f>Sheet1!$H$27</f>
        <v>2019-20</v>
      </c>
    </row>
    <row r="41" spans="1:75" s="81" customFormat="1" ht="14.25" customHeight="1" x14ac:dyDescent="0.2">
      <c r="A41" s="118"/>
      <c r="B41" s="9"/>
      <c r="C41" s="9"/>
      <c r="D41" s="9"/>
      <c r="E41" s="9"/>
      <c r="F41" s="9"/>
      <c r="G41" s="9"/>
      <c r="H41" s="9"/>
      <c r="I41" s="9"/>
      <c r="J41" s="12"/>
      <c r="K41" s="9"/>
      <c r="L41" s="9"/>
      <c r="M41" s="9"/>
      <c r="N41" s="9"/>
      <c r="O41" s="9"/>
      <c r="P41" s="9"/>
      <c r="Q41" s="9"/>
      <c r="R41" s="9"/>
      <c r="S41" s="9"/>
      <c r="T41" s="9"/>
      <c r="U41" s="9"/>
      <c r="V41" s="117"/>
      <c r="W41" s="137"/>
      <c r="X41" s="294"/>
      <c r="Y41" s="43" t="s">
        <v>72</v>
      </c>
      <c r="Z41" s="43" t="s">
        <v>70</v>
      </c>
      <c r="AA41" s="43" t="s">
        <v>71</v>
      </c>
      <c r="AB41" s="1194">
        <v>5</v>
      </c>
      <c r="AC41" s="216">
        <f>(AB41*Z42)+AA42</f>
        <v>29.324258201733365</v>
      </c>
      <c r="AD41" s="206">
        <f>ROUND(ChartLabels!$AA13,3)</f>
        <v>0.38500000000000001</v>
      </c>
      <c r="AJ41" s="585" t="b">
        <v>1</v>
      </c>
      <c r="AK41" s="160" t="s">
        <v>0</v>
      </c>
      <c r="AL41" s="87" t="str">
        <f t="shared" ref="AL41:AL64" si="12">IF(AJ41=TRUE,B10,"")</f>
        <v>Bracknell Forest</v>
      </c>
      <c r="AM41" s="146">
        <f t="shared" ref="AM41:AQ50" si="13">VLOOKUP($AL41,$B$10:$O$33,AM$37,FALSE)</f>
        <v>40.780141843971627</v>
      </c>
      <c r="AN41" s="146">
        <f t="shared" si="13"/>
        <v>62.411347517730498</v>
      </c>
      <c r="AO41" s="146">
        <f t="shared" si="13"/>
        <v>37.366548042704629</v>
      </c>
      <c r="AP41" s="146">
        <f t="shared" si="13"/>
        <v>45.936395759717314</v>
      </c>
      <c r="AQ41" s="146">
        <f t="shared" si="13"/>
        <v>42.95774647887324</v>
      </c>
      <c r="AR41" s="147">
        <f>VLOOKUP(AL41,$B$10:$U$33,$AR$37,FALSE)</f>
        <v>8.9</v>
      </c>
      <c r="AS41" s="447" t="e">
        <f t="shared" ref="AS41:AW50" si="14">VLOOKUP($AL41,$B$112:$H$135,AS$37,FALSE)</f>
        <v>#N/A</v>
      </c>
      <c r="AT41" s="348" t="e">
        <f t="shared" si="14"/>
        <v>#N/A</v>
      </c>
      <c r="AU41" s="348" t="e">
        <f t="shared" si="14"/>
        <v>#N/A</v>
      </c>
      <c r="AV41" s="348">
        <f t="shared" si="14"/>
        <v>0</v>
      </c>
      <c r="AW41" s="448" t="e">
        <f t="shared" si="14"/>
        <v>#N/A</v>
      </c>
      <c r="AX41" s="447" t="e">
        <f t="shared" ref="AX41:BB50" si="15">VLOOKUP($AL41,$B$148:$H$171,AX$37,FALSE)</f>
        <v>#N/A</v>
      </c>
      <c r="AY41" s="348" t="e">
        <f t="shared" si="15"/>
        <v>#N/A</v>
      </c>
      <c r="AZ41" s="348" t="e">
        <f t="shared" si="15"/>
        <v>#N/A</v>
      </c>
      <c r="BA41" s="348" t="e">
        <f t="shared" si="15"/>
        <v>#N/A</v>
      </c>
      <c r="BB41" s="348" t="e">
        <f t="shared" si="15"/>
        <v>#N/A</v>
      </c>
      <c r="BC41" s="447">
        <f t="shared" ref="BC41:BG50" si="16">VLOOKUP($AL41,$B$220:$H$243,BC$37,FALSE)</f>
        <v>0.12162162162162163</v>
      </c>
      <c r="BD41" s="348">
        <f t="shared" si="16"/>
        <v>8.9171974522292988E-2</v>
      </c>
      <c r="BE41" s="348">
        <f t="shared" si="16"/>
        <v>0</v>
      </c>
      <c r="BF41" s="348" t="e">
        <f t="shared" si="16"/>
        <v>#N/A</v>
      </c>
      <c r="BG41" s="448">
        <f t="shared" si="16"/>
        <v>0</v>
      </c>
      <c r="BH41" s="447">
        <f t="shared" ref="BH41:BL50" si="17">VLOOKUP($AL41,$B$256:$H$279,BH$37,FALSE)</f>
        <v>0.24822695035460993</v>
      </c>
      <c r="BI41" s="348">
        <f t="shared" si="17"/>
        <v>0.26146788990825687</v>
      </c>
      <c r="BJ41" s="348">
        <f t="shared" si="17"/>
        <v>0.17751479289940827</v>
      </c>
      <c r="BK41" s="348">
        <f t="shared" si="17"/>
        <v>0.23529411764705882</v>
      </c>
      <c r="BL41" s="448">
        <f t="shared" si="17"/>
        <v>0.2391304347826087</v>
      </c>
      <c r="BM41" s="447" t="e">
        <f>VLOOKUP($AL41,#REF!,BM$37,FALSE)</f>
        <v>#REF!</v>
      </c>
      <c r="BN41" s="348" t="e">
        <f>VLOOKUP($AL41,#REF!,BN$37,FALSE)</f>
        <v>#REF!</v>
      </c>
      <c r="BO41" s="348" t="e">
        <f>VLOOKUP($AL41,#REF!,BO$37,FALSE)</f>
        <v>#REF!</v>
      </c>
      <c r="BP41" s="348" t="e">
        <f>VLOOKUP($AL41,#REF!,BP$37,FALSE)</f>
        <v>#REF!</v>
      </c>
      <c r="BQ41" s="448" t="e">
        <f>VLOOKUP($AL41,#REF!,BQ$37,FALSE)</f>
        <v>#REF!</v>
      </c>
      <c r="BR41" s="348" t="b">
        <f>IF($AL41=$Z$4,BR$37)</f>
        <v>0</v>
      </c>
      <c r="BS41" s="447">
        <f t="shared" ref="BS41:BW50" si="18">VLOOKUP($AL41,$B$184:$H$207,BS$37,FALSE)</f>
        <v>0.98484848484848486</v>
      </c>
      <c r="BT41" s="348">
        <f t="shared" si="18"/>
        <v>0.97727272727272729</v>
      </c>
      <c r="BU41" s="348">
        <f t="shared" si="18"/>
        <v>0.98461538461538467</v>
      </c>
      <c r="BV41" s="348">
        <f t="shared" si="18"/>
        <v>0.97101449275362317</v>
      </c>
      <c r="BW41" s="448">
        <f t="shared" si="18"/>
        <v>0.98412698412698407</v>
      </c>
    </row>
    <row r="42" spans="1:75" s="81" customFormat="1" ht="14.25" customHeight="1" x14ac:dyDescent="0.2">
      <c r="A42" s="118"/>
      <c r="B42" s="9"/>
      <c r="C42" s="9"/>
      <c r="D42" s="9"/>
      <c r="E42" s="9"/>
      <c r="F42" s="9"/>
      <c r="G42" s="9"/>
      <c r="H42" s="9"/>
      <c r="I42" s="9"/>
      <c r="J42" s="12"/>
      <c r="K42" s="9"/>
      <c r="L42" s="9"/>
      <c r="M42" s="9"/>
      <c r="N42" s="9"/>
      <c r="O42" s="9"/>
      <c r="P42" s="9"/>
      <c r="Q42" s="9"/>
      <c r="R42" s="9"/>
      <c r="S42" s="9"/>
      <c r="T42" s="9"/>
      <c r="U42" s="9"/>
      <c r="V42" s="117"/>
      <c r="W42" s="137"/>
      <c r="X42" s="294"/>
      <c r="Y42" s="212" t="str">
        <f>"Y= "&amp;Z42&amp;"x + "&amp;AA42</f>
        <v>Y= 2.13686121362827x + 18.639952133592</v>
      </c>
      <c r="Z42" s="743">
        <f>ChartLabels!$Y13</f>
        <v>2.1368612136282694</v>
      </c>
      <c r="AA42" s="743">
        <f>ChartLabels!$Z13</f>
        <v>18.639952133592018</v>
      </c>
      <c r="AB42" s="215">
        <v>35</v>
      </c>
      <c r="AC42" s="216">
        <f>(AB42*Z42)+AA42</f>
        <v>93.430094610581449</v>
      </c>
      <c r="AD42" s="1319" t="str">
        <f>AD40&amp;" = "&amp;AD41</f>
        <v>r² = 0.385</v>
      </c>
      <c r="AJ42" s="585" t="b">
        <v>1</v>
      </c>
      <c r="AK42" s="160" t="s">
        <v>31</v>
      </c>
      <c r="AL42" s="87" t="str">
        <f t="shared" si="12"/>
        <v>Brighton &amp; Hove</v>
      </c>
      <c r="AM42" s="146">
        <f t="shared" si="13"/>
        <v>76.5625</v>
      </c>
      <c r="AN42" s="146">
        <f t="shared" si="13"/>
        <v>71.539961013645225</v>
      </c>
      <c r="AO42" s="146">
        <f t="shared" si="13"/>
        <v>77.450980392156865</v>
      </c>
      <c r="AP42" s="146">
        <f t="shared" si="13"/>
        <v>61.960784313725483</v>
      </c>
      <c r="AQ42" s="146">
        <f t="shared" si="13"/>
        <v>66.600397614314119</v>
      </c>
      <c r="AR42" s="147">
        <f t="shared" ref="AR42:AR64" si="19">VLOOKUP(AL42,$B$10:$U$33,$AR$37,FALSE)</f>
        <v>15.299999999999999</v>
      </c>
      <c r="AS42" s="447" t="e">
        <f t="shared" si="14"/>
        <v>#N/A</v>
      </c>
      <c r="AT42" s="348" t="e">
        <f t="shared" si="14"/>
        <v>#N/A</v>
      </c>
      <c r="AU42" s="348" t="e">
        <f t="shared" si="14"/>
        <v>#N/A</v>
      </c>
      <c r="AV42" s="348">
        <f t="shared" si="14"/>
        <v>3.7974683544303799E-2</v>
      </c>
      <c r="AW42" s="448">
        <f t="shared" si="14"/>
        <v>3.2835820895522387E-2</v>
      </c>
      <c r="AX42" s="348" t="e">
        <f t="shared" si="15"/>
        <v>#N/A</v>
      </c>
      <c r="AY42" s="348" t="e">
        <f t="shared" si="15"/>
        <v>#N/A</v>
      </c>
      <c r="AZ42" s="348" t="e">
        <f t="shared" si="15"/>
        <v>#N/A</v>
      </c>
      <c r="BA42" s="348" t="e">
        <f t="shared" si="15"/>
        <v>#N/A</v>
      </c>
      <c r="BB42" s="348" t="e">
        <f t="shared" si="15"/>
        <v>#N/A</v>
      </c>
      <c r="BC42" s="447">
        <f t="shared" si="16"/>
        <v>7.6704545454545456E-2</v>
      </c>
      <c r="BD42" s="348">
        <f t="shared" si="16"/>
        <v>3.2407407407407406E-2</v>
      </c>
      <c r="BE42" s="348">
        <f t="shared" si="16"/>
        <v>7.575757575757576E-2</v>
      </c>
      <c r="BF42" s="348">
        <f t="shared" si="16"/>
        <v>5.1980198019801978E-2</v>
      </c>
      <c r="BG42" s="448">
        <f t="shared" si="16"/>
        <v>4.3010752688172046E-2</v>
      </c>
      <c r="BH42" s="447">
        <f t="shared" si="17"/>
        <v>0.25517241379310346</v>
      </c>
      <c r="BI42" s="348">
        <f t="shared" si="17"/>
        <v>0.21897810218978103</v>
      </c>
      <c r="BJ42" s="348">
        <f t="shared" si="17"/>
        <v>0.23820754716981132</v>
      </c>
      <c r="BK42" s="348">
        <f t="shared" si="17"/>
        <v>0.27692307692307694</v>
      </c>
      <c r="BL42" s="448">
        <f t="shared" si="17"/>
        <v>0.26785714285714285</v>
      </c>
      <c r="BM42" s="447" t="e">
        <f>VLOOKUP($AL42,#REF!,BM$37,FALSE)</f>
        <v>#REF!</v>
      </c>
      <c r="BN42" s="348" t="e">
        <f>VLOOKUP($AL42,#REF!,BN$37,FALSE)</f>
        <v>#REF!</v>
      </c>
      <c r="BO42" s="348" t="e">
        <f>VLOOKUP($AL42,#REF!,BO$37,FALSE)</f>
        <v>#REF!</v>
      </c>
      <c r="BP42" s="348" t="e">
        <f>VLOOKUP($AL42,#REF!,BP$37,FALSE)</f>
        <v>#REF!</v>
      </c>
      <c r="BQ42" s="448" t="e">
        <f>VLOOKUP($AL42,#REF!,BQ$37,FALSE)</f>
        <v>#REF!</v>
      </c>
      <c r="BR42" s="348" t="b">
        <f t="shared" ref="BR42:BR65" si="20">IF($AL42=$Z$4,BQ42)</f>
        <v>0</v>
      </c>
      <c r="BS42" s="447">
        <f t="shared" si="18"/>
        <v>0.98006644518272423</v>
      </c>
      <c r="BT42" s="348">
        <f t="shared" si="18"/>
        <v>0.72834645669291342</v>
      </c>
      <c r="BU42" s="348">
        <f t="shared" si="18"/>
        <v>0.99293286219081267</v>
      </c>
      <c r="BV42" s="348">
        <f t="shared" si="18"/>
        <v>0.96356275303643724</v>
      </c>
      <c r="BW42" s="448">
        <f t="shared" si="18"/>
        <v>0.9719626168224299</v>
      </c>
    </row>
    <row r="43" spans="1:75" ht="14.25" customHeight="1" x14ac:dyDescent="0.2">
      <c r="A43" s="118"/>
      <c r="B43" s="9"/>
      <c r="C43" s="9"/>
      <c r="D43" s="9"/>
      <c r="E43" s="9"/>
      <c r="F43" s="9"/>
      <c r="G43" s="9"/>
      <c r="H43" s="9"/>
      <c r="I43" s="9"/>
      <c r="J43" s="12"/>
      <c r="K43" s="9"/>
      <c r="L43" s="9"/>
      <c r="M43" s="9"/>
      <c r="N43" s="9"/>
      <c r="O43" s="9"/>
      <c r="P43" s="9"/>
      <c r="Q43" s="9"/>
      <c r="R43" s="9"/>
      <c r="S43" s="9"/>
      <c r="T43" s="9"/>
      <c r="U43" s="9"/>
      <c r="V43" s="117"/>
      <c r="W43" s="137"/>
      <c r="X43" s="294"/>
      <c r="Y43" s="43" t="str">
        <f>"National Trend "&amp;Sheet1!$B$8</f>
        <v>National Trend 2020</v>
      </c>
      <c r="Z43" s="209" t="s">
        <v>70</v>
      </c>
      <c r="AA43" s="43" t="s">
        <v>71</v>
      </c>
      <c r="AB43" s="1194">
        <v>5</v>
      </c>
      <c r="AC43" s="211">
        <f>((AB43*Z44)+AA44)/$Y$2</f>
        <v>19.983539955408361</v>
      </c>
      <c r="AD43" s="1319" t="str">
        <f>$AD$40&amp;" = "&amp;AD44</f>
        <v>r² = 0.341</v>
      </c>
      <c r="AJ43" s="585" t="b">
        <v>1</v>
      </c>
      <c r="AK43" s="160" t="s">
        <v>8</v>
      </c>
      <c r="AL43" s="87" t="str">
        <f t="shared" si="12"/>
        <v>Buckinghamshire</v>
      </c>
      <c r="AM43" s="146">
        <f t="shared" si="13"/>
        <v>37.645107794361529</v>
      </c>
      <c r="AN43" s="146">
        <f t="shared" si="13"/>
        <v>45.253682487725044</v>
      </c>
      <c r="AO43" s="146">
        <f t="shared" si="13"/>
        <v>51.827782290820473</v>
      </c>
      <c r="AP43" s="146">
        <f t="shared" si="13"/>
        <v>45.213193885760255</v>
      </c>
      <c r="AQ43" s="146">
        <f t="shared" si="13"/>
        <v>45.743834526650758</v>
      </c>
      <c r="AR43" s="147">
        <f t="shared" si="19"/>
        <v>8.5</v>
      </c>
      <c r="AS43" s="447" t="e">
        <f t="shared" si="14"/>
        <v>#N/A</v>
      </c>
      <c r="AT43" s="348" t="e">
        <f t="shared" si="14"/>
        <v>#N/A</v>
      </c>
      <c r="AU43" s="348" t="e">
        <f t="shared" si="14"/>
        <v>#N/A</v>
      </c>
      <c r="AV43" s="348">
        <f t="shared" si="14"/>
        <v>2.491103202846975E-2</v>
      </c>
      <c r="AW43" s="448">
        <f t="shared" si="14"/>
        <v>2.9565217391304348E-2</v>
      </c>
      <c r="AX43" s="952" t="e">
        <f t="shared" si="15"/>
        <v>#N/A</v>
      </c>
      <c r="AY43" s="952" t="e">
        <f t="shared" si="15"/>
        <v>#N/A</v>
      </c>
      <c r="AZ43" s="952" t="e">
        <f t="shared" si="15"/>
        <v>#N/A</v>
      </c>
      <c r="BA43" s="952" t="e">
        <f t="shared" si="15"/>
        <v>#N/A</v>
      </c>
      <c r="BB43" s="952" t="e">
        <f t="shared" si="15"/>
        <v>#N/A</v>
      </c>
      <c r="BC43" s="447">
        <f t="shared" si="16"/>
        <v>3.5490605427974949E-2</v>
      </c>
      <c r="BD43" s="348">
        <f t="shared" si="16"/>
        <v>2.3961661341853034E-2</v>
      </c>
      <c r="BE43" s="348">
        <f t="shared" si="16"/>
        <v>3.1645569620253167E-2</v>
      </c>
      <c r="BF43" s="348">
        <f t="shared" si="16"/>
        <v>3.1088082901554404E-2</v>
      </c>
      <c r="BG43" s="448">
        <f t="shared" si="16"/>
        <v>4.0221914008321778E-2</v>
      </c>
      <c r="BH43" s="447">
        <f t="shared" si="17"/>
        <v>0.19281045751633988</v>
      </c>
      <c r="BI43" s="348">
        <f t="shared" si="17"/>
        <v>0.14344827586206896</v>
      </c>
      <c r="BJ43" s="348">
        <f t="shared" si="17"/>
        <v>0.18784530386740331</v>
      </c>
      <c r="BK43" s="348">
        <f t="shared" si="17"/>
        <v>0.20114942528735633</v>
      </c>
      <c r="BL43" s="448">
        <f t="shared" si="17"/>
        <v>0.24523160762942781</v>
      </c>
      <c r="BM43" s="447" t="e">
        <f>VLOOKUP($AL43,#REF!,BM$37,FALSE)</f>
        <v>#REF!</v>
      </c>
      <c r="BN43" s="348" t="e">
        <f>VLOOKUP($AL43,#REF!,BN$37,FALSE)</f>
        <v>#REF!</v>
      </c>
      <c r="BO43" s="348" t="e">
        <f>VLOOKUP($AL43,#REF!,BO$37,FALSE)</f>
        <v>#REF!</v>
      </c>
      <c r="BP43" s="348" t="e">
        <f>VLOOKUP($AL43,#REF!,BP$37,FALSE)</f>
        <v>#REF!</v>
      </c>
      <c r="BQ43" s="448" t="e">
        <f>VLOOKUP($AL43,#REF!,BQ$37,FALSE)</f>
        <v>#REF!</v>
      </c>
      <c r="BR43" s="348" t="b">
        <f t="shared" si="20"/>
        <v>0</v>
      </c>
      <c r="BS43" s="447">
        <f t="shared" si="18"/>
        <v>0.9285714285714286</v>
      </c>
      <c r="BT43" s="348">
        <f t="shared" si="18"/>
        <v>0.84571428571428575</v>
      </c>
      <c r="BU43" s="348">
        <f t="shared" si="18"/>
        <v>0.87885010266940455</v>
      </c>
      <c r="BV43" s="348">
        <f t="shared" si="18"/>
        <v>0.8542199488491049</v>
      </c>
      <c r="BW43" s="448">
        <f t="shared" si="18"/>
        <v>0.97222222222222221</v>
      </c>
    </row>
    <row r="44" spans="1:75" ht="14.25" customHeight="1" x14ac:dyDescent="0.2">
      <c r="A44" s="118"/>
      <c r="B44" s="9"/>
      <c r="C44" s="9"/>
      <c r="D44" s="9"/>
      <c r="E44" s="9"/>
      <c r="F44" s="9"/>
      <c r="G44" s="9"/>
      <c r="H44" s="9"/>
      <c r="I44" s="9"/>
      <c r="J44" s="12"/>
      <c r="K44" s="13"/>
      <c r="L44" s="13"/>
      <c r="M44" s="13"/>
      <c r="N44" s="13"/>
      <c r="O44" s="14"/>
      <c r="P44" s="14"/>
      <c r="Q44" s="14"/>
      <c r="R44" s="14"/>
      <c r="S44" s="14"/>
      <c r="T44" s="14"/>
      <c r="U44" s="14"/>
      <c r="V44" s="117"/>
      <c r="W44" s="137"/>
      <c r="X44" s="294"/>
      <c r="Y44" s="72" t="str">
        <f>"Y= "&amp;Z44&amp;"x + "&amp;AA44</f>
        <v>Y= 2.07348014015868x + 9.61613925461494</v>
      </c>
      <c r="Z44" s="743">
        <f>Sheet1!$D$11</f>
        <v>2.0734801401586833</v>
      </c>
      <c r="AA44" s="743">
        <f>Sheet1!$D$12</f>
        <v>9.6161392546149429</v>
      </c>
      <c r="AB44" s="215">
        <v>35</v>
      </c>
      <c r="AC44" s="216">
        <f>((AB44*Z44)+AA44)/$Y$2</f>
        <v>82.187944160168854</v>
      </c>
      <c r="AD44" s="1195">
        <f>ROUND(Sheet1!$D$13,3)</f>
        <v>0.34100000000000003</v>
      </c>
      <c r="AJ44" s="585" t="b">
        <v>1</v>
      </c>
      <c r="AK44" s="160" t="s">
        <v>4</v>
      </c>
      <c r="AL44" s="87" t="str">
        <f t="shared" si="12"/>
        <v>East Sussex</v>
      </c>
      <c r="AM44" s="146">
        <f t="shared" si="13"/>
        <v>43.059490084985839</v>
      </c>
      <c r="AN44" s="146">
        <f t="shared" si="13"/>
        <v>44.853635505193573</v>
      </c>
      <c r="AO44" s="146">
        <f t="shared" si="13"/>
        <v>52.830188679245289</v>
      </c>
      <c r="AP44" s="146">
        <f t="shared" si="13"/>
        <v>53.477443609022558</v>
      </c>
      <c r="AQ44" s="146">
        <f t="shared" si="13"/>
        <v>50.423330197554094</v>
      </c>
      <c r="AR44" s="147">
        <f t="shared" si="19"/>
        <v>16.100000000000001</v>
      </c>
      <c r="AS44" s="447" t="e">
        <f t="shared" si="14"/>
        <v>#N/A</v>
      </c>
      <c r="AT44" s="348" t="e">
        <f t="shared" si="14"/>
        <v>#N/A</v>
      </c>
      <c r="AU44" s="348" t="e">
        <f t="shared" si="14"/>
        <v>#N/A</v>
      </c>
      <c r="AV44" s="348">
        <f t="shared" si="14"/>
        <v>4.3936731107205626E-2</v>
      </c>
      <c r="AW44" s="448">
        <f t="shared" si="14"/>
        <v>3.9179104477611942E-2</v>
      </c>
      <c r="AX44" s="952" t="e">
        <f t="shared" si="15"/>
        <v>#N/A</v>
      </c>
      <c r="AY44" s="952" t="e">
        <f t="shared" si="15"/>
        <v>#N/A</v>
      </c>
      <c r="AZ44" s="952" t="e">
        <f t="shared" si="15"/>
        <v>#N/A</v>
      </c>
      <c r="BA44" s="952" t="e">
        <f t="shared" si="15"/>
        <v>#N/A</v>
      </c>
      <c r="BB44" s="952" t="e">
        <f t="shared" si="15"/>
        <v>#N/A</v>
      </c>
      <c r="BC44" s="447">
        <f t="shared" si="16"/>
        <v>7.4626865671641784E-2</v>
      </c>
      <c r="BD44" s="348">
        <f t="shared" si="16"/>
        <v>8.8709677419354843E-2</v>
      </c>
      <c r="BE44" s="348">
        <f t="shared" si="16"/>
        <v>9.0740740740740747E-2</v>
      </c>
      <c r="BF44" s="348">
        <f t="shared" si="16"/>
        <v>7.2580645161290328E-2</v>
      </c>
      <c r="BG44" s="448">
        <f t="shared" si="16"/>
        <v>8.5346215780998394E-2</v>
      </c>
      <c r="BH44" s="447">
        <f t="shared" si="17"/>
        <v>0.24943820224719102</v>
      </c>
      <c r="BI44" s="348">
        <f t="shared" si="17"/>
        <v>0.28298279158699807</v>
      </c>
      <c r="BJ44" s="348">
        <f t="shared" si="17"/>
        <v>0.25</v>
      </c>
      <c r="BK44" s="348">
        <f t="shared" si="17"/>
        <v>0.21870047543581617</v>
      </c>
      <c r="BL44" s="448">
        <f t="shared" si="17"/>
        <v>0.25042301184433163</v>
      </c>
      <c r="BM44" s="447" t="e">
        <f>VLOOKUP($AL44,#REF!,BM$37,FALSE)</f>
        <v>#REF!</v>
      </c>
      <c r="BN44" s="348" t="e">
        <f>VLOOKUP($AL44,#REF!,BN$37,FALSE)</f>
        <v>#REF!</v>
      </c>
      <c r="BO44" s="348" t="e">
        <f>VLOOKUP($AL44,#REF!,BO$37,FALSE)</f>
        <v>#REF!</v>
      </c>
      <c r="BP44" s="348" t="e">
        <f>VLOOKUP($AL44,#REF!,BP$37,FALSE)</f>
        <v>#REF!</v>
      </c>
      <c r="BQ44" s="448" t="e">
        <f>VLOOKUP($AL44,#REF!,BQ$37,FALSE)</f>
        <v>#REF!</v>
      </c>
      <c r="BR44" s="348" t="b">
        <f t="shared" si="20"/>
        <v>0</v>
      </c>
      <c r="BS44" s="447">
        <f t="shared" si="18"/>
        <v>0.97667638483965014</v>
      </c>
      <c r="BT44" s="348">
        <f t="shared" si="18"/>
        <v>0.92121212121212126</v>
      </c>
      <c r="BU44" s="348">
        <f t="shared" si="18"/>
        <v>0.90600522193211486</v>
      </c>
      <c r="BV44" s="348">
        <f t="shared" si="18"/>
        <v>0.95100222717149219</v>
      </c>
      <c r="BW44" s="448">
        <f t="shared" si="18"/>
        <v>0.92650918635170598</v>
      </c>
    </row>
    <row r="45" spans="1:75" s="76" customFormat="1" ht="14.25" customHeight="1" x14ac:dyDescent="0.2">
      <c r="A45" s="119"/>
      <c r="B45" s="226"/>
      <c r="C45" s="226"/>
      <c r="D45" s="227"/>
      <c r="E45" s="227"/>
      <c r="F45" s="227"/>
      <c r="G45" s="227"/>
      <c r="H45" s="227"/>
      <c r="I45" s="227"/>
      <c r="J45" s="15"/>
      <c r="K45" s="9"/>
      <c r="L45" s="9"/>
      <c r="M45" s="9"/>
      <c r="N45" s="9"/>
      <c r="O45" s="9"/>
      <c r="P45" s="9"/>
      <c r="Q45" s="9"/>
      <c r="R45" s="9"/>
      <c r="S45" s="9"/>
      <c r="T45" s="9"/>
      <c r="U45" s="9"/>
      <c r="V45" s="120"/>
      <c r="W45" s="138"/>
      <c r="X45" s="295"/>
      <c r="AD45" s="81"/>
      <c r="AE45" s="81"/>
      <c r="AF45" s="81"/>
      <c r="AG45" s="81"/>
      <c r="AH45" s="81"/>
      <c r="AI45" s="81"/>
      <c r="AJ45" s="585" t="b">
        <v>1</v>
      </c>
      <c r="AK45" s="160" t="s">
        <v>6</v>
      </c>
      <c r="AL45" s="87" t="str">
        <f t="shared" si="12"/>
        <v>Hampshire</v>
      </c>
      <c r="AM45" s="146">
        <f t="shared" si="13"/>
        <v>51.117417523944667</v>
      </c>
      <c r="AN45" s="146">
        <f t="shared" si="13"/>
        <v>44.660537482319661</v>
      </c>
      <c r="AO45" s="146">
        <f t="shared" si="13"/>
        <v>45.675961877867984</v>
      </c>
      <c r="AP45" s="146">
        <f t="shared" si="13"/>
        <v>38.62676056338028</v>
      </c>
      <c r="AQ45" s="146">
        <f t="shared" si="13"/>
        <v>32.993316918747801</v>
      </c>
      <c r="AR45" s="147">
        <f t="shared" si="19"/>
        <v>10.100000000000001</v>
      </c>
      <c r="AS45" s="447" t="e">
        <f t="shared" si="14"/>
        <v>#N/A</v>
      </c>
      <c r="AT45" s="348" t="e">
        <f t="shared" si="14"/>
        <v>#N/A</v>
      </c>
      <c r="AU45" s="348" t="e">
        <f t="shared" si="14"/>
        <v>#N/A</v>
      </c>
      <c r="AV45" s="348">
        <f t="shared" si="14"/>
        <v>3.1905195989061073E-2</v>
      </c>
      <c r="AW45" s="448">
        <f t="shared" si="14"/>
        <v>1.5991471215351813E-2</v>
      </c>
      <c r="AX45" s="953" t="e">
        <f t="shared" si="15"/>
        <v>#N/A</v>
      </c>
      <c r="AY45" s="953" t="e">
        <f t="shared" si="15"/>
        <v>#N/A</v>
      </c>
      <c r="AZ45" s="953" t="e">
        <f t="shared" si="15"/>
        <v>#N/A</v>
      </c>
      <c r="BA45" s="953" t="e">
        <f t="shared" si="15"/>
        <v>#N/A</v>
      </c>
      <c r="BB45" s="953" t="e">
        <f t="shared" si="15"/>
        <v>#N/A</v>
      </c>
      <c r="BC45" s="447">
        <f t="shared" si="16"/>
        <v>4.1009463722397478E-2</v>
      </c>
      <c r="BD45" s="348">
        <f t="shared" si="16"/>
        <v>4.8891415577032402E-2</v>
      </c>
      <c r="BE45" s="348">
        <f t="shared" si="16"/>
        <v>7.1952031978680886E-2</v>
      </c>
      <c r="BF45" s="348">
        <f t="shared" si="16"/>
        <v>4.3738765727980827E-2</v>
      </c>
      <c r="BG45" s="448">
        <f t="shared" si="16"/>
        <v>3.9307128580946038E-2</v>
      </c>
      <c r="BH45" s="447">
        <f t="shared" si="17"/>
        <v>0.20095693779904306</v>
      </c>
      <c r="BI45" s="348">
        <f t="shared" si="17"/>
        <v>0.24273072060682679</v>
      </c>
      <c r="BJ45" s="348">
        <f t="shared" si="17"/>
        <v>0.23046875</v>
      </c>
      <c r="BK45" s="348">
        <f t="shared" si="17"/>
        <v>0.21476964769647697</v>
      </c>
      <c r="BL45" s="448">
        <f t="shared" si="17"/>
        <v>0.23901712583767684</v>
      </c>
      <c r="BM45" s="447" t="e">
        <f>VLOOKUP($AL45,#REF!,BM$37,FALSE)</f>
        <v>#REF!</v>
      </c>
      <c r="BN45" s="348" t="e">
        <f>VLOOKUP($AL45,#REF!,BN$37,FALSE)</f>
        <v>#REF!</v>
      </c>
      <c r="BO45" s="348" t="e">
        <f>VLOOKUP($AL45,#REF!,BO$37,FALSE)</f>
        <v>#REF!</v>
      </c>
      <c r="BP45" s="348" t="e">
        <f>VLOOKUP($AL45,#REF!,BP$37,FALSE)</f>
        <v>#REF!</v>
      </c>
      <c r="BQ45" s="448" t="e">
        <f>VLOOKUP($AL45,#REF!,BQ$37,FALSE)</f>
        <v>#REF!</v>
      </c>
      <c r="BR45" s="348" t="b">
        <f t="shared" si="20"/>
        <v>0</v>
      </c>
      <c r="BS45" s="447">
        <f t="shared" si="18"/>
        <v>0.88361683079677711</v>
      </c>
      <c r="BT45" s="348">
        <f t="shared" si="18"/>
        <v>0.87581699346405228</v>
      </c>
      <c r="BU45" s="348">
        <f t="shared" si="18"/>
        <v>0.80021030494216616</v>
      </c>
      <c r="BV45" s="348">
        <f t="shared" si="18"/>
        <v>0.83475091130012147</v>
      </c>
      <c r="BW45" s="448">
        <f t="shared" si="18"/>
        <v>0.80879864636209808</v>
      </c>
    </row>
    <row r="46" spans="1:75" ht="14.25" customHeight="1" x14ac:dyDescent="0.2">
      <c r="A46" s="118"/>
      <c r="B46" s="227"/>
      <c r="C46" s="227"/>
      <c r="D46" s="227"/>
      <c r="E46" s="227"/>
      <c r="F46" s="227"/>
      <c r="G46" s="227"/>
      <c r="H46" s="227"/>
      <c r="I46" s="227"/>
      <c r="J46" s="12"/>
      <c r="K46" s="14"/>
      <c r="L46" s="14"/>
      <c r="M46" s="14"/>
      <c r="N46" s="14"/>
      <c r="O46" s="9"/>
      <c r="P46" s="9"/>
      <c r="Q46" s="9"/>
      <c r="R46" s="9"/>
      <c r="S46" s="9"/>
      <c r="T46" s="9"/>
      <c r="U46" s="9"/>
      <c r="V46" s="117"/>
      <c r="W46" s="137"/>
      <c r="X46" s="294"/>
      <c r="AJ46" s="585" t="b">
        <v>1</v>
      </c>
      <c r="AK46" s="160" t="s">
        <v>1</v>
      </c>
      <c r="AL46" s="87" t="str">
        <f t="shared" si="12"/>
        <v>Isle of Wight</v>
      </c>
      <c r="AM46" s="146">
        <f t="shared" si="13"/>
        <v>84.584980237154156</v>
      </c>
      <c r="AN46" s="146">
        <f t="shared" si="13"/>
        <v>78.968253968253975</v>
      </c>
      <c r="AO46" s="146">
        <f t="shared" si="13"/>
        <v>76.892430278884461</v>
      </c>
      <c r="AP46" s="146">
        <f t="shared" si="13"/>
        <v>66.265060240963848</v>
      </c>
      <c r="AQ46" s="146">
        <f t="shared" si="13"/>
        <v>51.012145748987855</v>
      </c>
      <c r="AR46" s="147">
        <f t="shared" si="19"/>
        <v>18</v>
      </c>
      <c r="AS46" s="447" t="e">
        <f t="shared" si="14"/>
        <v>#N/A</v>
      </c>
      <c r="AT46" s="348" t="e">
        <f t="shared" si="14"/>
        <v>#N/A</v>
      </c>
      <c r="AU46" s="348" t="e">
        <f t="shared" si="14"/>
        <v>#N/A</v>
      </c>
      <c r="AV46" s="348" t="e">
        <f t="shared" si="14"/>
        <v>#N/A</v>
      </c>
      <c r="AW46" s="448" t="e">
        <f t="shared" si="14"/>
        <v>#N/A</v>
      </c>
      <c r="AX46" s="952" t="e">
        <f t="shared" si="15"/>
        <v>#N/A</v>
      </c>
      <c r="AY46" s="952" t="e">
        <f t="shared" si="15"/>
        <v>#N/A</v>
      </c>
      <c r="AZ46" s="952" t="e">
        <f t="shared" si="15"/>
        <v>#N/A</v>
      </c>
      <c r="BA46" s="952" t="e">
        <f t="shared" si="15"/>
        <v>#N/A</v>
      </c>
      <c r="BB46" s="952" t="e">
        <f t="shared" si="15"/>
        <v>#N/A</v>
      </c>
      <c r="BC46" s="447">
        <f t="shared" si="16"/>
        <v>4.5180722891566265E-2</v>
      </c>
      <c r="BD46" s="348">
        <f t="shared" si="16"/>
        <v>3.6885245901639344E-2</v>
      </c>
      <c r="BE46" s="348">
        <f t="shared" si="16"/>
        <v>5.7777777777777775E-2</v>
      </c>
      <c r="BF46" s="348">
        <f t="shared" si="16"/>
        <v>5.2401746724890827E-2</v>
      </c>
      <c r="BG46" s="448" t="e">
        <f t="shared" si="16"/>
        <v>#N/A</v>
      </c>
      <c r="BH46" s="447">
        <f t="shared" si="17"/>
        <v>0.14726027397260275</v>
      </c>
      <c r="BI46" s="348">
        <f t="shared" si="17"/>
        <v>0.20779220779220781</v>
      </c>
      <c r="BJ46" s="348">
        <f t="shared" si="17"/>
        <v>0.23287671232876711</v>
      </c>
      <c r="BK46" s="348">
        <f t="shared" si="17"/>
        <v>0.21782178217821782</v>
      </c>
      <c r="BL46" s="448">
        <f t="shared" si="17"/>
        <v>0.17687074829931973</v>
      </c>
      <c r="BM46" s="447" t="e">
        <f>VLOOKUP($AL46,#REF!,BM$37,FALSE)</f>
        <v>#REF!</v>
      </c>
      <c r="BN46" s="348" t="e">
        <f>VLOOKUP($AL46,#REF!,BN$37,FALSE)</f>
        <v>#REF!</v>
      </c>
      <c r="BO46" s="348" t="e">
        <f>VLOOKUP($AL46,#REF!,BO$37,FALSE)</f>
        <v>#REF!</v>
      </c>
      <c r="BP46" s="348" t="e">
        <f>VLOOKUP($AL46,#REF!,BP$37,FALSE)</f>
        <v>#REF!</v>
      </c>
      <c r="BQ46" s="448" t="e">
        <f>VLOOKUP($AL46,#REF!,BQ$37,FALSE)</f>
        <v>#REF!</v>
      </c>
      <c r="BR46" s="348" t="b">
        <f t="shared" si="20"/>
        <v>0</v>
      </c>
      <c r="BS46" s="447">
        <f t="shared" si="18"/>
        <v>0.97241379310344822</v>
      </c>
      <c r="BT46" s="348">
        <f t="shared" si="18"/>
        <v>0.875</v>
      </c>
      <c r="BU46" s="348">
        <f t="shared" si="18"/>
        <v>0.95394736842105265</v>
      </c>
      <c r="BV46" s="348">
        <f t="shared" si="18"/>
        <v>0.99199999999999999</v>
      </c>
      <c r="BW46" s="448">
        <f t="shared" si="18"/>
        <v>0.92682926829268297</v>
      </c>
    </row>
    <row r="47" spans="1:75" ht="14.25" customHeight="1" x14ac:dyDescent="0.2">
      <c r="A47" s="118"/>
      <c r="B47" s="227"/>
      <c r="C47" s="227"/>
      <c r="D47" s="227"/>
      <c r="E47" s="227"/>
      <c r="F47" s="227"/>
      <c r="G47" s="227"/>
      <c r="H47" s="227"/>
      <c r="I47" s="227"/>
      <c r="J47" s="12"/>
      <c r="K47" s="14"/>
      <c r="L47" s="14"/>
      <c r="M47" s="14"/>
      <c r="N47" s="14"/>
      <c r="O47" s="9"/>
      <c r="P47" s="9"/>
      <c r="Q47" s="9"/>
      <c r="R47" s="9"/>
      <c r="S47" s="9"/>
      <c r="T47" s="9"/>
      <c r="U47" s="9"/>
      <c r="V47" s="117"/>
      <c r="W47" s="137"/>
      <c r="X47" s="294"/>
      <c r="AD47" s="207"/>
      <c r="AJ47" s="585" t="b">
        <v>1</v>
      </c>
      <c r="AK47" s="160" t="s">
        <v>9</v>
      </c>
      <c r="AL47" s="87" t="str">
        <f t="shared" si="12"/>
        <v>Kent</v>
      </c>
      <c r="AM47" s="146">
        <f t="shared" si="13"/>
        <v>31.74939467312349</v>
      </c>
      <c r="AN47" s="146">
        <f t="shared" si="13"/>
        <v>35.585585585585584</v>
      </c>
      <c r="AO47" s="146">
        <f t="shared" si="13"/>
        <v>43.498958643260934</v>
      </c>
      <c r="AP47" s="146">
        <f t="shared" si="13"/>
        <v>38.312261099676569</v>
      </c>
      <c r="AQ47" s="146">
        <f t="shared" si="13"/>
        <v>38.7434554973822</v>
      </c>
      <c r="AR47" s="147">
        <f t="shared" si="19"/>
        <v>15.8</v>
      </c>
      <c r="AS47" s="447" t="e">
        <f t="shared" si="14"/>
        <v>#N/A</v>
      </c>
      <c r="AT47" s="348" t="e">
        <f t="shared" si="14"/>
        <v>#N/A</v>
      </c>
      <c r="AU47" s="348" t="e">
        <f t="shared" si="14"/>
        <v>#N/A</v>
      </c>
      <c r="AV47" s="348">
        <f t="shared" si="14"/>
        <v>2.6093630084420567E-2</v>
      </c>
      <c r="AW47" s="448">
        <f t="shared" si="14"/>
        <v>2.6276276276276277E-2</v>
      </c>
      <c r="AX47" s="952" t="e">
        <f t="shared" si="15"/>
        <v>#N/A</v>
      </c>
      <c r="AY47" s="952" t="e">
        <f t="shared" si="15"/>
        <v>#N/A</v>
      </c>
      <c r="AZ47" s="952" t="e">
        <f t="shared" si="15"/>
        <v>#N/A</v>
      </c>
      <c r="BA47" s="952" t="e">
        <f t="shared" si="15"/>
        <v>#N/A</v>
      </c>
      <c r="BB47" s="952" t="e">
        <f t="shared" si="15"/>
        <v>#N/A</v>
      </c>
      <c r="BC47" s="447">
        <f t="shared" si="16"/>
        <v>2.911978821972204E-2</v>
      </c>
      <c r="BD47" s="348">
        <f t="shared" si="16"/>
        <v>3.7800687285223365E-2</v>
      </c>
      <c r="BE47" s="348">
        <f t="shared" si="16"/>
        <v>4.1309431021044424E-2</v>
      </c>
      <c r="BF47" s="348">
        <f t="shared" si="16"/>
        <v>5.7124518613607192E-2</v>
      </c>
      <c r="BG47" s="448">
        <f t="shared" si="16"/>
        <v>5.7200538358008077E-2</v>
      </c>
      <c r="BH47" s="447">
        <f t="shared" si="17"/>
        <v>0.20090978013646701</v>
      </c>
      <c r="BI47" s="348">
        <f t="shared" si="17"/>
        <v>0.19384615384615383</v>
      </c>
      <c r="BJ47" s="348">
        <f t="shared" si="17"/>
        <v>0.20397690827453496</v>
      </c>
      <c r="BK47" s="348">
        <f t="shared" si="17"/>
        <v>0.19088319088319089</v>
      </c>
      <c r="BL47" s="448">
        <f t="shared" si="17"/>
        <v>0.22631578947368422</v>
      </c>
      <c r="BM47" s="447" t="e">
        <f>VLOOKUP($AL47,#REF!,BM$37,FALSE)</f>
        <v>#REF!</v>
      </c>
      <c r="BN47" s="348" t="e">
        <f>VLOOKUP($AL47,#REF!,BN$37,FALSE)</f>
        <v>#REF!</v>
      </c>
      <c r="BO47" s="348" t="e">
        <f>VLOOKUP($AL47,#REF!,BO$37,FALSE)</f>
        <v>#REF!</v>
      </c>
      <c r="BP47" s="348" t="e">
        <f>VLOOKUP($AL47,#REF!,BP$37,FALSE)</f>
        <v>#REF!</v>
      </c>
      <c r="BQ47" s="448" t="e">
        <f>VLOOKUP($AL47,#REF!,BQ$37,FALSE)</f>
        <v>#REF!</v>
      </c>
      <c r="BR47" s="348" t="b">
        <f t="shared" si="20"/>
        <v>0</v>
      </c>
      <c r="BS47" s="447">
        <f t="shared" si="18"/>
        <v>1</v>
      </c>
      <c r="BT47" s="348">
        <f t="shared" si="18"/>
        <v>1</v>
      </c>
      <c r="BU47" s="348">
        <f t="shared" si="18"/>
        <v>0.99653078924544669</v>
      </c>
      <c r="BV47" s="348">
        <f t="shared" si="18"/>
        <v>0.99891540130151846</v>
      </c>
      <c r="BW47" s="448">
        <f t="shared" si="18"/>
        <v>1</v>
      </c>
    </row>
    <row r="48" spans="1:75" ht="14.25" customHeight="1" x14ac:dyDescent="0.2">
      <c r="A48" s="118"/>
      <c r="B48" s="58"/>
      <c r="C48" s="58"/>
      <c r="D48" s="58"/>
      <c r="E48" s="58"/>
      <c r="F48" s="58"/>
      <c r="G48" s="58"/>
      <c r="H48" s="58"/>
      <c r="I48" s="58"/>
      <c r="J48" s="12"/>
      <c r="K48" s="14"/>
      <c r="L48" s="14"/>
      <c r="M48" s="14"/>
      <c r="N48" s="14"/>
      <c r="O48" s="9"/>
      <c r="P48" s="9"/>
      <c r="Q48" s="9"/>
      <c r="R48" s="9"/>
      <c r="S48" s="9"/>
      <c r="T48" s="9"/>
      <c r="U48" s="9"/>
      <c r="V48" s="117"/>
      <c r="W48" s="137"/>
      <c r="X48" s="294"/>
      <c r="AD48" s="184"/>
      <c r="AJ48" s="585" t="b">
        <v>1</v>
      </c>
      <c r="AK48" s="160" t="s">
        <v>2</v>
      </c>
      <c r="AL48" s="87" t="str">
        <f t="shared" si="12"/>
        <v>Medway</v>
      </c>
      <c r="AM48" s="146">
        <f t="shared" si="13"/>
        <v>85.284810126582272</v>
      </c>
      <c r="AN48" s="146">
        <f t="shared" si="13"/>
        <v>49.136577708006286</v>
      </c>
      <c r="AO48" s="146">
        <f t="shared" si="13"/>
        <v>53.834115805946794</v>
      </c>
      <c r="AP48" s="146">
        <f t="shared" si="13"/>
        <v>55.12422360248447</v>
      </c>
      <c r="AQ48" s="146">
        <f t="shared" si="13"/>
        <v>71.230769230769226</v>
      </c>
      <c r="AR48" s="147">
        <f t="shared" si="19"/>
        <v>18.899999999999999</v>
      </c>
      <c r="AS48" s="447" t="e">
        <f t="shared" si="14"/>
        <v>#N/A</v>
      </c>
      <c r="AT48" s="348" t="e">
        <f t="shared" si="14"/>
        <v>#N/A</v>
      </c>
      <c r="AU48" s="348" t="e">
        <f t="shared" si="14"/>
        <v>#N/A</v>
      </c>
      <c r="AV48" s="348">
        <f t="shared" si="14"/>
        <v>3.3802816901408447E-2</v>
      </c>
      <c r="AW48" s="448">
        <f t="shared" si="14"/>
        <v>1.9438444924406047E-2</v>
      </c>
      <c r="AX48" s="952" t="e">
        <f t="shared" si="15"/>
        <v>#N/A</v>
      </c>
      <c r="AY48" s="952" t="e">
        <f t="shared" si="15"/>
        <v>#N/A</v>
      </c>
      <c r="AZ48" s="952" t="e">
        <f t="shared" si="15"/>
        <v>#N/A</v>
      </c>
      <c r="BA48" s="952" t="e">
        <f t="shared" si="15"/>
        <v>#N/A</v>
      </c>
      <c r="BB48" s="952" t="e">
        <f t="shared" si="15"/>
        <v>#N/A</v>
      </c>
      <c r="BC48" s="447">
        <f t="shared" si="16"/>
        <v>4.4715447154471545E-2</v>
      </c>
      <c r="BD48" s="348">
        <f t="shared" si="16"/>
        <v>5.9782608695652176E-2</v>
      </c>
      <c r="BE48" s="348">
        <f t="shared" si="16"/>
        <v>5.089820359281437E-2</v>
      </c>
      <c r="BF48" s="348">
        <f t="shared" si="16"/>
        <v>7.2052401746724892E-2</v>
      </c>
      <c r="BG48" s="448">
        <f t="shared" si="16"/>
        <v>4.6315789473684213E-2</v>
      </c>
      <c r="BH48" s="447">
        <f t="shared" si="17"/>
        <v>0.18165467625899281</v>
      </c>
      <c r="BI48" s="348">
        <f t="shared" si="17"/>
        <v>0.2073170731707317</v>
      </c>
      <c r="BJ48" s="348">
        <f t="shared" si="17"/>
        <v>0.22465753424657534</v>
      </c>
      <c r="BK48" s="348">
        <f t="shared" si="17"/>
        <v>0.17484008528784648</v>
      </c>
      <c r="BL48" s="448">
        <f t="shared" si="17"/>
        <v>0.21783876500857632</v>
      </c>
      <c r="BM48" s="447" t="e">
        <f>VLOOKUP($AL48,#REF!,BM$37,FALSE)</f>
        <v>#REF!</v>
      </c>
      <c r="BN48" s="348" t="e">
        <f>VLOOKUP($AL48,#REF!,BN$37,FALSE)</f>
        <v>#REF!</v>
      </c>
      <c r="BO48" s="348" t="e">
        <f>VLOOKUP($AL48,#REF!,BO$37,FALSE)</f>
        <v>#REF!</v>
      </c>
      <c r="BP48" s="348" t="e">
        <f>VLOOKUP($AL48,#REF!,BP$37,FALSE)</f>
        <v>#REF!</v>
      </c>
      <c r="BQ48" s="448" t="e">
        <f>VLOOKUP($AL48,#REF!,BQ$37,FALSE)</f>
        <v>#REF!</v>
      </c>
      <c r="BR48" s="348" t="b">
        <f t="shared" si="20"/>
        <v>0</v>
      </c>
      <c r="BS48" s="447">
        <f t="shared" si="18"/>
        <v>0.98987341772151893</v>
      </c>
      <c r="BT48" s="348">
        <f t="shared" si="18"/>
        <v>0.97844827586206895</v>
      </c>
      <c r="BU48" s="348">
        <f t="shared" si="18"/>
        <v>0.9507575757575758</v>
      </c>
      <c r="BV48" s="348">
        <f t="shared" si="18"/>
        <v>0.99170124481327804</v>
      </c>
      <c r="BW48" s="448">
        <f t="shared" si="18"/>
        <v>1</v>
      </c>
    </row>
    <row r="49" spans="1:75" ht="14.25" customHeight="1" x14ac:dyDescent="0.2">
      <c r="A49" s="118"/>
      <c r="B49" s="58"/>
      <c r="C49" s="58"/>
      <c r="D49" s="69"/>
      <c r="E49" s="70"/>
      <c r="F49" s="69"/>
      <c r="G49" s="70"/>
      <c r="H49" s="70"/>
      <c r="I49" s="70"/>
      <c r="J49" s="12"/>
      <c r="K49" s="14"/>
      <c r="L49" s="14"/>
      <c r="M49" s="14"/>
      <c r="N49" s="14"/>
      <c r="O49" s="9"/>
      <c r="P49" s="9"/>
      <c r="Q49" s="9"/>
      <c r="R49" s="9"/>
      <c r="S49" s="9"/>
      <c r="T49" s="9"/>
      <c r="U49" s="9"/>
      <c r="V49" s="117"/>
      <c r="W49" s="137"/>
      <c r="X49" s="294"/>
      <c r="AJ49" s="585" t="b">
        <v>1</v>
      </c>
      <c r="AK49" s="160" t="s">
        <v>10</v>
      </c>
      <c r="AL49" s="87" t="str">
        <f t="shared" si="12"/>
        <v>Milton Keynes</v>
      </c>
      <c r="AM49" s="146">
        <f t="shared" si="13"/>
        <v>13.918305597579424</v>
      </c>
      <c r="AN49" s="146">
        <f t="shared" si="13"/>
        <v>13.412816691505217</v>
      </c>
      <c r="AO49" s="146">
        <f t="shared" si="13"/>
        <v>15.384615384615385</v>
      </c>
      <c r="AP49" s="146">
        <f t="shared" si="13"/>
        <v>19.912152269399709</v>
      </c>
      <c r="AQ49" s="146">
        <f t="shared" si="13"/>
        <v>19.186046511627907</v>
      </c>
      <c r="AR49" s="147">
        <f t="shared" si="19"/>
        <v>15</v>
      </c>
      <c r="AS49" s="447" t="e">
        <f t="shared" si="14"/>
        <v>#N/A</v>
      </c>
      <c r="AT49" s="348" t="e">
        <f t="shared" si="14"/>
        <v>#N/A</v>
      </c>
      <c r="AU49" s="348" t="e">
        <f t="shared" si="14"/>
        <v>#N/A</v>
      </c>
      <c r="AV49" s="348" t="e">
        <f t="shared" si="14"/>
        <v>#N/A</v>
      </c>
      <c r="AW49" s="448" t="e">
        <f t="shared" si="14"/>
        <v>#N/A</v>
      </c>
      <c r="AX49" s="952" t="e">
        <f t="shared" si="15"/>
        <v>#N/A</v>
      </c>
      <c r="AY49" s="952" t="e">
        <f t="shared" si="15"/>
        <v>#N/A</v>
      </c>
      <c r="AZ49" s="952" t="e">
        <f t="shared" si="15"/>
        <v>#N/A</v>
      </c>
      <c r="BA49" s="952" t="e">
        <f t="shared" si="15"/>
        <v>#N/A</v>
      </c>
      <c r="BB49" s="952" t="e">
        <f t="shared" si="15"/>
        <v>#N/A</v>
      </c>
      <c r="BC49" s="447" t="e">
        <f t="shared" si="16"/>
        <v>#N/A</v>
      </c>
      <c r="BD49" s="348">
        <f t="shared" si="16"/>
        <v>0</v>
      </c>
      <c r="BE49" s="348">
        <f t="shared" si="16"/>
        <v>0</v>
      </c>
      <c r="BF49" s="348" t="e">
        <f t="shared" si="16"/>
        <v>#N/A</v>
      </c>
      <c r="BG49" s="448" t="e">
        <f t="shared" si="16"/>
        <v>#N/A</v>
      </c>
      <c r="BH49" s="447" t="e">
        <f t="shared" si="17"/>
        <v>#N/A</v>
      </c>
      <c r="BI49" s="348">
        <f t="shared" si="17"/>
        <v>8.6956521739130432E-2</v>
      </c>
      <c r="BJ49" s="348">
        <f t="shared" si="17"/>
        <v>8.0246913580246909E-2</v>
      </c>
      <c r="BK49" s="348">
        <f t="shared" si="17"/>
        <v>0.13861386138613863</v>
      </c>
      <c r="BL49" s="448">
        <f t="shared" si="17"/>
        <v>0.11160714285714286</v>
      </c>
      <c r="BM49" s="447" t="e">
        <f>VLOOKUP($AL49,#REF!,BM$37,FALSE)</f>
        <v>#REF!</v>
      </c>
      <c r="BN49" s="348" t="e">
        <f>VLOOKUP($AL49,#REF!,BN$37,FALSE)</f>
        <v>#REF!</v>
      </c>
      <c r="BO49" s="348" t="e">
        <f>VLOOKUP($AL49,#REF!,BO$37,FALSE)</f>
        <v>#REF!</v>
      </c>
      <c r="BP49" s="348" t="e">
        <f>VLOOKUP($AL49,#REF!,BP$37,FALSE)</f>
        <v>#REF!</v>
      </c>
      <c r="BQ49" s="448" t="e">
        <f>VLOOKUP($AL49,#REF!,BQ$37,FALSE)</f>
        <v>#REF!</v>
      </c>
      <c r="BR49" s="348" t="b">
        <f t="shared" si="20"/>
        <v>0</v>
      </c>
      <c r="BS49" s="447">
        <f t="shared" si="18"/>
        <v>0.95652173913043481</v>
      </c>
      <c r="BT49" s="348">
        <f t="shared" si="18"/>
        <v>1</v>
      </c>
      <c r="BU49" s="348">
        <f t="shared" si="18"/>
        <v>0.98529411764705888</v>
      </c>
      <c r="BV49" s="348">
        <f t="shared" si="18"/>
        <v>0.96511627906976749</v>
      </c>
      <c r="BW49" s="448">
        <f t="shared" si="18"/>
        <v>0.93548387096774188</v>
      </c>
    </row>
    <row r="50" spans="1:75" ht="14.25" customHeight="1" x14ac:dyDescent="0.2">
      <c r="A50" s="118"/>
      <c r="B50" s="58"/>
      <c r="C50" s="58"/>
      <c r="D50" s="61"/>
      <c r="E50" s="61"/>
      <c r="F50" s="61"/>
      <c r="G50" s="61"/>
      <c r="H50" s="61"/>
      <c r="I50" s="61"/>
      <c r="J50" s="12"/>
      <c r="K50" s="14"/>
      <c r="L50" s="14"/>
      <c r="M50" s="14"/>
      <c r="N50" s="14"/>
      <c r="O50" s="9"/>
      <c r="P50" s="9"/>
      <c r="Q50" s="9"/>
      <c r="R50" s="9"/>
      <c r="S50" s="9"/>
      <c r="T50" s="9"/>
      <c r="U50" s="9"/>
      <c r="V50" s="117"/>
      <c r="W50" s="137"/>
      <c r="X50" s="294"/>
      <c r="AJ50" s="585" t="b">
        <v>1</v>
      </c>
      <c r="AK50" s="160" t="s">
        <v>11</v>
      </c>
      <c r="AL50" s="87" t="str">
        <f t="shared" si="12"/>
        <v>Oxfordshire</v>
      </c>
      <c r="AM50" s="146">
        <f t="shared" si="13"/>
        <v>40.267983074753175</v>
      </c>
      <c r="AN50" s="146">
        <f t="shared" si="13"/>
        <v>42.617214835549333</v>
      </c>
      <c r="AO50" s="146">
        <f t="shared" si="13"/>
        <v>47.90794979079498</v>
      </c>
      <c r="AP50" s="146">
        <f t="shared" si="13"/>
        <v>40.88397790055248</v>
      </c>
      <c r="AQ50" s="146">
        <f t="shared" si="13"/>
        <v>37.166324435318273</v>
      </c>
      <c r="AR50" s="147">
        <f t="shared" si="19"/>
        <v>10.100000000000001</v>
      </c>
      <c r="AS50" s="447" t="e">
        <f t="shared" si="14"/>
        <v>#N/A</v>
      </c>
      <c r="AT50" s="348" t="e">
        <f t="shared" si="14"/>
        <v>#N/A</v>
      </c>
      <c r="AU50" s="348" t="e">
        <f t="shared" si="14"/>
        <v>#N/A</v>
      </c>
      <c r="AV50" s="348">
        <f t="shared" si="14"/>
        <v>6.25E-2</v>
      </c>
      <c r="AW50" s="448">
        <f t="shared" si="14"/>
        <v>3.4990791896869246E-2</v>
      </c>
      <c r="AX50" s="952" t="e">
        <f t="shared" si="15"/>
        <v>#N/A</v>
      </c>
      <c r="AY50" s="952" t="e">
        <f t="shared" si="15"/>
        <v>#N/A</v>
      </c>
      <c r="AZ50" s="952" t="e">
        <f t="shared" si="15"/>
        <v>#N/A</v>
      </c>
      <c r="BA50" s="952" t="e">
        <f t="shared" si="15"/>
        <v>#N/A</v>
      </c>
      <c r="BB50" s="952" t="e">
        <f t="shared" si="15"/>
        <v>#N/A</v>
      </c>
      <c r="BC50" s="447">
        <f t="shared" si="16"/>
        <v>4.9645390070921988E-2</v>
      </c>
      <c r="BD50" s="348">
        <f t="shared" si="16"/>
        <v>4.4619422572178477E-2</v>
      </c>
      <c r="BE50" s="348">
        <f t="shared" si="16"/>
        <v>4.0935672514619881E-2</v>
      </c>
      <c r="BF50" s="348">
        <f t="shared" si="16"/>
        <v>6.7938021454112041E-2</v>
      </c>
      <c r="BG50" s="448">
        <f t="shared" si="16"/>
        <v>6.6914498141263934E-2</v>
      </c>
      <c r="BH50" s="447">
        <f t="shared" si="17"/>
        <v>0.2132768361581921</v>
      </c>
      <c r="BI50" s="348">
        <f t="shared" si="17"/>
        <v>0.18375</v>
      </c>
      <c r="BJ50" s="348">
        <f t="shared" si="17"/>
        <v>0.23415265200517466</v>
      </c>
      <c r="BK50" s="348">
        <f t="shared" si="17"/>
        <v>0.21908602150537634</v>
      </c>
      <c r="BL50" s="448">
        <f t="shared" si="17"/>
        <v>0.24765729585006693</v>
      </c>
      <c r="BM50" s="447" t="e">
        <f>VLOOKUP($AL50,#REF!,BM$37,FALSE)</f>
        <v>#REF!</v>
      </c>
      <c r="BN50" s="348" t="e">
        <f>VLOOKUP($AL50,#REF!,BN$37,FALSE)</f>
        <v>#REF!</v>
      </c>
      <c r="BO50" s="348" t="e">
        <f>VLOOKUP($AL50,#REF!,BO$37,FALSE)</f>
        <v>#REF!</v>
      </c>
      <c r="BP50" s="348" t="e">
        <f>VLOOKUP($AL50,#REF!,BP$37,FALSE)</f>
        <v>#REF!</v>
      </c>
      <c r="BQ50" s="448" t="e">
        <f>VLOOKUP($AL50,#REF!,BQ$37,FALSE)</f>
        <v>#REF!</v>
      </c>
      <c r="BR50" s="348" t="b">
        <f t="shared" si="20"/>
        <v>0</v>
      </c>
      <c r="BS50" s="447">
        <f t="shared" si="18"/>
        <v>0.95674300254452926</v>
      </c>
      <c r="BT50" s="348">
        <f t="shared" si="18"/>
        <v>0.97136038186157514</v>
      </c>
      <c r="BU50" s="348">
        <f t="shared" si="18"/>
        <v>0.93724696356275305</v>
      </c>
      <c r="BV50" s="348">
        <f t="shared" si="18"/>
        <v>0.92009685230024219</v>
      </c>
      <c r="BW50" s="448">
        <f t="shared" si="18"/>
        <v>0.75409836065573765</v>
      </c>
    </row>
    <row r="51" spans="1:75" ht="14.25" customHeight="1" x14ac:dyDescent="0.2">
      <c r="A51" s="118"/>
      <c r="B51" s="363"/>
      <c r="C51" s="363"/>
      <c r="D51" s="58"/>
      <c r="E51" s="58"/>
      <c r="F51" s="58"/>
      <c r="G51" s="58"/>
      <c r="H51" s="58"/>
      <c r="I51" s="58"/>
      <c r="J51" s="12"/>
      <c r="K51" s="14"/>
      <c r="L51" s="14"/>
      <c r="M51" s="14"/>
      <c r="N51" s="14"/>
      <c r="O51" s="9"/>
      <c r="P51" s="9"/>
      <c r="Q51" s="9"/>
      <c r="R51" s="9"/>
      <c r="S51" s="9"/>
      <c r="T51" s="9"/>
      <c r="U51" s="9"/>
      <c r="V51" s="117"/>
      <c r="W51" s="137"/>
      <c r="X51" s="294"/>
      <c r="AJ51" s="585" t="b">
        <v>1</v>
      </c>
      <c r="AK51" s="160" t="s">
        <v>12</v>
      </c>
      <c r="AL51" s="87" t="str">
        <f t="shared" si="12"/>
        <v>Portsmouth</v>
      </c>
      <c r="AM51" s="146">
        <f t="shared" ref="AM51:AQ64" si="21">VLOOKUP($AL51,$B$10:$O$33,AM$37,FALSE)</f>
        <v>62.785388127853878</v>
      </c>
      <c r="AN51" s="146">
        <f t="shared" si="21"/>
        <v>55</v>
      </c>
      <c r="AO51" s="146">
        <f t="shared" si="21"/>
        <v>64.705882352941174</v>
      </c>
      <c r="AP51" s="146">
        <f t="shared" si="21"/>
        <v>44.31818181818182</v>
      </c>
      <c r="AQ51" s="146">
        <f t="shared" si="21"/>
        <v>46.347031963470322</v>
      </c>
      <c r="AR51" s="147">
        <f t="shared" si="19"/>
        <v>20.200000000000003</v>
      </c>
      <c r="AS51" s="447" t="e">
        <f t="shared" ref="AS51:AW64" si="22">VLOOKUP($AL51,$B$112:$H$135,AS$37,FALSE)</f>
        <v>#N/A</v>
      </c>
      <c r="AT51" s="348" t="e">
        <f t="shared" si="22"/>
        <v>#N/A</v>
      </c>
      <c r="AU51" s="348" t="e">
        <f t="shared" si="22"/>
        <v>#N/A</v>
      </c>
      <c r="AV51" s="348" t="e">
        <f t="shared" si="22"/>
        <v>#N/A</v>
      </c>
      <c r="AW51" s="448">
        <f t="shared" si="22"/>
        <v>3.4482758620689655E-2</v>
      </c>
      <c r="AX51" s="952" t="e">
        <f t="shared" ref="AX51:BB64" si="23">VLOOKUP($AL51,$B$148:$H$171,AX$37,FALSE)</f>
        <v>#N/A</v>
      </c>
      <c r="AY51" s="952" t="e">
        <f t="shared" si="23"/>
        <v>#N/A</v>
      </c>
      <c r="AZ51" s="952" t="e">
        <f t="shared" si="23"/>
        <v>#N/A</v>
      </c>
      <c r="BA51" s="952" t="e">
        <f t="shared" si="23"/>
        <v>#N/A</v>
      </c>
      <c r="BB51" s="952" t="e">
        <f t="shared" si="23"/>
        <v>#N/A</v>
      </c>
      <c r="BC51" s="447" t="e">
        <f t="shared" ref="BC51:BG64" si="24">VLOOKUP($AL51,$B$220:$H$243,BC$37,FALSE)</f>
        <v>#N/A</v>
      </c>
      <c r="BD51" s="348">
        <f t="shared" si="24"/>
        <v>3.9473684210526314E-2</v>
      </c>
      <c r="BE51" s="348">
        <f t="shared" si="24"/>
        <v>5.8091286307053944E-2</v>
      </c>
      <c r="BF51" s="348">
        <f t="shared" si="24"/>
        <v>5.8139534883720929E-2</v>
      </c>
      <c r="BG51" s="448">
        <f t="shared" si="24"/>
        <v>2.4054982817869417E-2</v>
      </c>
      <c r="BH51" s="447">
        <f t="shared" ref="BH51:BL64" si="25">VLOOKUP($AL51,$B$256:$H$279,BH$37,FALSE)</f>
        <v>0.20202020202020202</v>
      </c>
      <c r="BI51" s="348">
        <f t="shared" si="25"/>
        <v>0.2029520295202952</v>
      </c>
      <c r="BJ51" s="348">
        <f t="shared" si="25"/>
        <v>0.25964912280701752</v>
      </c>
      <c r="BK51" s="348">
        <f t="shared" si="25"/>
        <v>0.19762845849802371</v>
      </c>
      <c r="BL51" s="448">
        <f t="shared" si="25"/>
        <v>0.19732441471571907</v>
      </c>
      <c r="BM51" s="447" t="e">
        <f>VLOOKUP($AL51,#REF!,BM$37,FALSE)</f>
        <v>#REF!</v>
      </c>
      <c r="BN51" s="348" t="e">
        <f>VLOOKUP($AL51,#REF!,BN$37,FALSE)</f>
        <v>#REF!</v>
      </c>
      <c r="BO51" s="348" t="e">
        <f>VLOOKUP($AL51,#REF!,BO$37,FALSE)</f>
        <v>#REF!</v>
      </c>
      <c r="BP51" s="348" t="e">
        <f>VLOOKUP($AL51,#REF!,BP$37,FALSE)</f>
        <v>#REF!</v>
      </c>
      <c r="BQ51" s="448" t="e">
        <f>VLOOKUP($AL51,#REF!,BQ$37,FALSE)</f>
        <v>#REF!</v>
      </c>
      <c r="BR51" s="348" t="b">
        <f t="shared" si="20"/>
        <v>0</v>
      </c>
      <c r="BS51" s="447">
        <f t="shared" ref="BS51:BW64" si="26">VLOOKUP($AL51,$B$184:$H$207,BS$37,FALSE)</f>
        <v>0.93577981651376152</v>
      </c>
      <c r="BT51" s="348">
        <f t="shared" si="26"/>
        <v>0.99425287356321834</v>
      </c>
      <c r="BU51" s="348">
        <f t="shared" si="26"/>
        <v>1</v>
      </c>
      <c r="BV51" s="348">
        <f t="shared" si="26"/>
        <v>1</v>
      </c>
      <c r="BW51" s="448">
        <f t="shared" si="26"/>
        <v>1</v>
      </c>
    </row>
    <row r="52" spans="1:75" ht="14.25" customHeight="1" x14ac:dyDescent="0.2">
      <c r="A52" s="118"/>
      <c r="B52" s="363"/>
      <c r="C52" s="363"/>
      <c r="D52" s="58"/>
      <c r="E52" s="58"/>
      <c r="F52" s="58"/>
      <c r="G52" s="58"/>
      <c r="H52" s="58"/>
      <c r="I52" s="58"/>
      <c r="J52" s="12"/>
      <c r="K52" s="14"/>
      <c r="L52" s="14"/>
      <c r="M52" s="14"/>
      <c r="N52" s="14"/>
      <c r="O52" s="9"/>
      <c r="P52" s="9"/>
      <c r="Q52" s="9"/>
      <c r="R52" s="9"/>
      <c r="S52" s="9"/>
      <c r="T52" s="9"/>
      <c r="U52" s="9"/>
      <c r="V52" s="117"/>
      <c r="W52" s="137"/>
      <c r="X52" s="294"/>
      <c r="AJ52" s="585" t="b">
        <v>1</v>
      </c>
      <c r="AK52" s="160" t="s">
        <v>3</v>
      </c>
      <c r="AL52" s="87" t="str">
        <f t="shared" si="12"/>
        <v>Reading</v>
      </c>
      <c r="AM52" s="146">
        <f t="shared" si="21"/>
        <v>69.230769230769226</v>
      </c>
      <c r="AN52" s="146">
        <f t="shared" si="21"/>
        <v>95.355191256830608</v>
      </c>
      <c r="AO52" s="146">
        <f t="shared" si="21"/>
        <v>78.167115902964966</v>
      </c>
      <c r="AP52" s="146">
        <f t="shared" si="21"/>
        <v>68.733153638814017</v>
      </c>
      <c r="AQ52" s="146">
        <f t="shared" si="21"/>
        <v>60.54054054054054</v>
      </c>
      <c r="AR52" s="147">
        <f t="shared" si="19"/>
        <v>16</v>
      </c>
      <c r="AS52" s="447" t="e">
        <f t="shared" si="22"/>
        <v>#N/A</v>
      </c>
      <c r="AT52" s="348" t="e">
        <f t="shared" si="22"/>
        <v>#N/A</v>
      </c>
      <c r="AU52" s="348" t="e">
        <f t="shared" si="22"/>
        <v>#N/A</v>
      </c>
      <c r="AV52" s="348">
        <f t="shared" si="22"/>
        <v>3.9215686274509803E-2</v>
      </c>
      <c r="AW52" s="448">
        <f t="shared" si="22"/>
        <v>4.0178571428571432E-2</v>
      </c>
      <c r="AX52" s="952" t="e">
        <f t="shared" si="23"/>
        <v>#N/A</v>
      </c>
      <c r="AY52" s="952" t="e">
        <f t="shared" si="23"/>
        <v>#N/A</v>
      </c>
      <c r="AZ52" s="952" t="e">
        <f t="shared" si="23"/>
        <v>#N/A</v>
      </c>
      <c r="BA52" s="952" t="e">
        <f t="shared" si="23"/>
        <v>#N/A</v>
      </c>
      <c r="BB52" s="952" t="e">
        <f t="shared" si="23"/>
        <v>#N/A</v>
      </c>
      <c r="BC52" s="447">
        <f t="shared" si="24"/>
        <v>3.1358885017421602E-2</v>
      </c>
      <c r="BD52" s="348">
        <f t="shared" si="24"/>
        <v>2.6229508196721311E-2</v>
      </c>
      <c r="BE52" s="348">
        <f t="shared" si="24"/>
        <v>3.6764705882352942E-2</v>
      </c>
      <c r="BF52" s="348">
        <f t="shared" si="24"/>
        <v>3.7735849056603772E-2</v>
      </c>
      <c r="BG52" s="448">
        <f t="shared" si="24"/>
        <v>5.4151624548736461E-2</v>
      </c>
      <c r="BH52" s="447">
        <f t="shared" si="25"/>
        <v>0.21791044776119403</v>
      </c>
      <c r="BI52" s="348">
        <f t="shared" si="25"/>
        <v>0.28878281622911695</v>
      </c>
      <c r="BJ52" s="348">
        <f t="shared" si="25"/>
        <v>0.17714285714285713</v>
      </c>
      <c r="BK52" s="348">
        <f t="shared" si="25"/>
        <v>0.28700906344410876</v>
      </c>
      <c r="BL52" s="448">
        <f t="shared" si="25"/>
        <v>0.25</v>
      </c>
      <c r="BM52" s="447" t="e">
        <f>VLOOKUP($AL52,#REF!,BM$37,FALSE)</f>
        <v>#REF!</v>
      </c>
      <c r="BN52" s="348" t="e">
        <f>VLOOKUP($AL52,#REF!,BN$37,FALSE)</f>
        <v>#REF!</v>
      </c>
      <c r="BO52" s="348" t="e">
        <f>VLOOKUP($AL52,#REF!,BO$37,FALSE)</f>
        <v>#REF!</v>
      </c>
      <c r="BP52" s="348" t="e">
        <f>VLOOKUP($AL52,#REF!,BP$37,FALSE)</f>
        <v>#REF!</v>
      </c>
      <c r="BQ52" s="448" t="e">
        <f>VLOOKUP($AL52,#REF!,BQ$37,FALSE)</f>
        <v>#REF!</v>
      </c>
      <c r="BR52" s="348" t="b">
        <f t="shared" si="20"/>
        <v>0</v>
      </c>
      <c r="BS52" s="447">
        <f t="shared" si="26"/>
        <v>0.78523489932885904</v>
      </c>
      <c r="BT52" s="348">
        <f t="shared" si="26"/>
        <v>3.3898305084745763E-2</v>
      </c>
      <c r="BU52" s="348">
        <f t="shared" si="26"/>
        <v>0.7142857142857143</v>
      </c>
      <c r="BV52" s="348">
        <f t="shared" si="26"/>
        <v>0.77714285714285714</v>
      </c>
      <c r="BW52" s="448">
        <f t="shared" si="26"/>
        <v>0.69064748201438853</v>
      </c>
    </row>
    <row r="53" spans="1:75" ht="14.25" customHeight="1" x14ac:dyDescent="0.2">
      <c r="A53" s="118"/>
      <c r="B53" s="363"/>
      <c r="C53" s="363"/>
      <c r="D53" s="58"/>
      <c r="E53" s="58"/>
      <c r="F53" s="58"/>
      <c r="G53" s="58"/>
      <c r="H53" s="58"/>
      <c r="I53" s="58"/>
      <c r="J53" s="12"/>
      <c r="K53" s="14"/>
      <c r="L53" s="14"/>
      <c r="M53" s="14"/>
      <c r="N53" s="14"/>
      <c r="O53" s="9"/>
      <c r="P53" s="9"/>
      <c r="Q53" s="9"/>
      <c r="R53" s="9"/>
      <c r="S53" s="9"/>
      <c r="T53" s="9"/>
      <c r="U53" s="9"/>
      <c r="V53" s="117"/>
      <c r="W53" s="137"/>
      <c r="X53" s="294"/>
      <c r="AJ53" s="585" t="b">
        <v>1</v>
      </c>
      <c r="AK53" s="160" t="s">
        <v>13</v>
      </c>
      <c r="AL53" s="87" t="str">
        <f t="shared" si="12"/>
        <v>Slough</v>
      </c>
      <c r="AM53" s="146">
        <f t="shared" si="21"/>
        <v>56.650246305418719</v>
      </c>
      <c r="AN53" s="146">
        <f t="shared" si="21"/>
        <v>36.956521739130437</v>
      </c>
      <c r="AO53" s="146">
        <f t="shared" si="21"/>
        <v>38.15165876777251</v>
      </c>
      <c r="AP53" s="146">
        <f t="shared" si="21"/>
        <v>51.053864168618269</v>
      </c>
      <c r="AQ53" s="146">
        <f t="shared" si="21"/>
        <v>69.837587006960561</v>
      </c>
      <c r="AR53" s="147">
        <f t="shared" si="19"/>
        <v>14.7</v>
      </c>
      <c r="AS53" s="447" t="e">
        <f t="shared" si="22"/>
        <v>#N/A</v>
      </c>
      <c r="AT53" s="348" t="e">
        <f t="shared" si="22"/>
        <v>#N/A</v>
      </c>
      <c r="AU53" s="348" t="e">
        <f t="shared" si="22"/>
        <v>#N/A</v>
      </c>
      <c r="AV53" s="348" t="e">
        <f t="shared" si="22"/>
        <v>#N/A</v>
      </c>
      <c r="AW53" s="448" t="e">
        <f t="shared" si="22"/>
        <v>#N/A</v>
      </c>
      <c r="AX53" s="952" t="e">
        <f t="shared" si="23"/>
        <v>#N/A</v>
      </c>
      <c r="AY53" s="952" t="e">
        <f t="shared" si="23"/>
        <v>#N/A</v>
      </c>
      <c r="AZ53" s="952" t="e">
        <f t="shared" si="23"/>
        <v>#N/A</v>
      </c>
      <c r="BA53" s="952" t="e">
        <f t="shared" si="23"/>
        <v>#N/A</v>
      </c>
      <c r="BB53" s="952" t="e">
        <f t="shared" si="23"/>
        <v>#N/A</v>
      </c>
      <c r="BC53" s="447" t="e">
        <f t="shared" si="24"/>
        <v>#N/A</v>
      </c>
      <c r="BD53" s="348" t="e">
        <f t="shared" si="24"/>
        <v>#N/A</v>
      </c>
      <c r="BE53" s="348" t="e">
        <f t="shared" si="24"/>
        <v>#N/A</v>
      </c>
      <c r="BF53" s="348" t="e">
        <f t="shared" si="24"/>
        <v>#N/A</v>
      </c>
      <c r="BG53" s="448">
        <f t="shared" si="24"/>
        <v>5.128205128205128E-2</v>
      </c>
      <c r="BH53" s="447">
        <f t="shared" si="25"/>
        <v>0.16772151898734178</v>
      </c>
      <c r="BI53" s="348">
        <f t="shared" si="25"/>
        <v>0.22602739726027396</v>
      </c>
      <c r="BJ53" s="348">
        <f t="shared" si="25"/>
        <v>0.23333333333333334</v>
      </c>
      <c r="BK53" s="348">
        <f t="shared" si="25"/>
        <v>0.20532319391634982</v>
      </c>
      <c r="BL53" s="448">
        <f t="shared" si="25"/>
        <v>0.18296529968454259</v>
      </c>
      <c r="BM53" s="447" t="e">
        <f>VLOOKUP($AL53,#REF!,BM$37,FALSE)</f>
        <v>#REF!</v>
      </c>
      <c r="BN53" s="348" t="e">
        <f>VLOOKUP($AL53,#REF!,BN$37,FALSE)</f>
        <v>#REF!</v>
      </c>
      <c r="BO53" s="348" t="e">
        <f>VLOOKUP($AL53,#REF!,BO$37,FALSE)</f>
        <v>#REF!</v>
      </c>
      <c r="BP53" s="348" t="e">
        <f>VLOOKUP($AL53,#REF!,BP$37,FALSE)</f>
        <v>#REF!</v>
      </c>
      <c r="BQ53" s="448" t="e">
        <f>VLOOKUP($AL53,#REF!,BQ$37,FALSE)</f>
        <v>#REF!</v>
      </c>
      <c r="BR53" s="348" t="b">
        <f t="shared" si="20"/>
        <v>0</v>
      </c>
      <c r="BS53" s="447">
        <f t="shared" si="26"/>
        <v>0.96062992125984248</v>
      </c>
      <c r="BT53" s="348">
        <f t="shared" si="26"/>
        <v>0.9642857142857143</v>
      </c>
      <c r="BU53" s="348">
        <f t="shared" si="26"/>
        <v>0.39175257731958762</v>
      </c>
      <c r="BV53" s="348">
        <f t="shared" si="26"/>
        <v>0.900709219858156</v>
      </c>
      <c r="BW53" s="448">
        <f t="shared" si="26"/>
        <v>0.70108695652173914</v>
      </c>
    </row>
    <row r="54" spans="1:75" ht="14.25" customHeight="1" x14ac:dyDescent="0.2">
      <c r="A54" s="118"/>
      <c r="B54" s="363"/>
      <c r="C54" s="363"/>
      <c r="D54" s="58"/>
      <c r="E54" s="58"/>
      <c r="F54" s="58"/>
      <c r="G54" s="58"/>
      <c r="H54" s="58"/>
      <c r="I54" s="58"/>
      <c r="J54" s="12"/>
      <c r="K54" s="14"/>
      <c r="L54" s="14"/>
      <c r="M54" s="14"/>
      <c r="N54" s="14"/>
      <c r="O54" s="9"/>
      <c r="P54" s="9"/>
      <c r="Q54" s="9"/>
      <c r="R54" s="9"/>
      <c r="S54" s="9"/>
      <c r="T54" s="9"/>
      <c r="U54" s="9"/>
      <c r="V54" s="117"/>
      <c r="W54" s="137"/>
      <c r="X54" s="294"/>
      <c r="AJ54" s="585" t="b">
        <v>1</v>
      </c>
      <c r="AK54" s="160" t="s">
        <v>95</v>
      </c>
      <c r="AL54" s="87" t="str">
        <f t="shared" si="12"/>
        <v>Somerset</v>
      </c>
      <c r="AM54" s="146">
        <f t="shared" si="21"/>
        <v>25.641025641025642</v>
      </c>
      <c r="AN54" s="146">
        <f t="shared" si="21"/>
        <v>37.648131267092069</v>
      </c>
      <c r="AO54" s="146">
        <f t="shared" si="21"/>
        <v>38.873751135331517</v>
      </c>
      <c r="AP54" s="146">
        <f t="shared" si="21"/>
        <v>36.314363143631439</v>
      </c>
      <c r="AQ54" s="146">
        <f t="shared" si="21"/>
        <v>25</v>
      </c>
      <c r="AR54" s="147">
        <f t="shared" si="19"/>
        <v>13.600000000000001</v>
      </c>
      <c r="AS54" s="447" t="e">
        <f t="shared" si="22"/>
        <v>#N/A</v>
      </c>
      <c r="AT54" s="348" t="e">
        <f t="shared" si="22"/>
        <v>#N/A</v>
      </c>
      <c r="AU54" s="348" t="e">
        <f t="shared" si="22"/>
        <v>#N/A</v>
      </c>
      <c r="AV54" s="348">
        <f t="shared" si="22"/>
        <v>1.9900497512437811E-2</v>
      </c>
      <c r="AW54" s="448" t="e">
        <f t="shared" si="22"/>
        <v>#N/A</v>
      </c>
      <c r="AX54" s="952" t="e">
        <f t="shared" si="23"/>
        <v>#N/A</v>
      </c>
      <c r="AY54" s="952" t="e">
        <f t="shared" si="23"/>
        <v>#N/A</v>
      </c>
      <c r="AZ54" s="952" t="e">
        <f t="shared" si="23"/>
        <v>#N/A</v>
      </c>
      <c r="BA54" s="952" t="e">
        <f t="shared" si="23"/>
        <v>#N/A</v>
      </c>
      <c r="BB54" s="952" t="e">
        <f t="shared" si="23"/>
        <v>#N/A</v>
      </c>
      <c r="BC54" s="447">
        <f t="shared" si="24"/>
        <v>4.7473200612557429E-2</v>
      </c>
      <c r="BD54" s="348">
        <f t="shared" si="24"/>
        <v>0.02</v>
      </c>
      <c r="BE54" s="348">
        <f t="shared" si="24"/>
        <v>1.1857707509881422E-2</v>
      </c>
      <c r="BF54" s="348">
        <f t="shared" si="24"/>
        <v>4.1257367387033402E-2</v>
      </c>
      <c r="BG54" s="448">
        <f t="shared" si="24"/>
        <v>4.8223350253807105E-2</v>
      </c>
      <c r="BH54" s="447">
        <f t="shared" si="25"/>
        <v>0.25304136253041365</v>
      </c>
      <c r="BI54" s="348">
        <f t="shared" si="25"/>
        <v>0.1934931506849315</v>
      </c>
      <c r="BJ54" s="348">
        <f t="shared" si="25"/>
        <v>0.21132075471698114</v>
      </c>
      <c r="BK54" s="348">
        <f t="shared" si="25"/>
        <v>0.20289855072463769</v>
      </c>
      <c r="BL54" s="448">
        <f t="shared" si="25"/>
        <v>0.27037037037037037</v>
      </c>
      <c r="BM54" s="447" t="e">
        <f>VLOOKUP($AL54,#REF!,BM$37,FALSE)</f>
        <v>#REF!</v>
      </c>
      <c r="BN54" s="348" t="e">
        <f>VLOOKUP($AL54,#REF!,BN$37,FALSE)</f>
        <v>#REF!</v>
      </c>
      <c r="BO54" s="348" t="e">
        <f>VLOOKUP($AL54,#REF!,BO$37,FALSE)</f>
        <v>#REF!</v>
      </c>
      <c r="BP54" s="348" t="e">
        <f>VLOOKUP($AL54,#REF!,BP$37,FALSE)</f>
        <v>#REF!</v>
      </c>
      <c r="BQ54" s="448" t="e">
        <f>VLOOKUP($AL54,#REF!,BQ$37,FALSE)</f>
        <v>#REF!</v>
      </c>
      <c r="BR54" s="348" t="b">
        <f t="shared" si="20"/>
        <v>0</v>
      </c>
      <c r="BS54" s="447">
        <f t="shared" si="26"/>
        <v>0.9732620320855615</v>
      </c>
      <c r="BT54" s="348">
        <f t="shared" si="26"/>
        <v>0.95528455284552849</v>
      </c>
      <c r="BU54" s="348">
        <f t="shared" si="26"/>
        <v>0.96065573770491808</v>
      </c>
      <c r="BV54" s="348">
        <f t="shared" si="26"/>
        <v>0.90073529411764708</v>
      </c>
      <c r="BW54" s="448">
        <f t="shared" si="26"/>
        <v>0.9061032863849765</v>
      </c>
    </row>
    <row r="55" spans="1:75" ht="14.25" customHeight="1" x14ac:dyDescent="0.2">
      <c r="A55" s="118"/>
      <c r="B55" s="363"/>
      <c r="C55" s="363"/>
      <c r="D55" s="58"/>
      <c r="E55" s="58"/>
      <c r="F55" s="58"/>
      <c r="G55" s="58"/>
      <c r="H55" s="58"/>
      <c r="I55" s="58"/>
      <c r="J55" s="12"/>
      <c r="K55" s="14"/>
      <c r="L55" s="14"/>
      <c r="M55" s="14"/>
      <c r="N55" s="14"/>
      <c r="O55" s="9"/>
      <c r="P55" s="9"/>
      <c r="Q55" s="9"/>
      <c r="R55" s="9"/>
      <c r="S55" s="9"/>
      <c r="T55" s="9"/>
      <c r="U55" s="9"/>
      <c r="V55" s="117"/>
      <c r="W55" s="137"/>
      <c r="X55" s="294"/>
      <c r="AJ55" s="585" t="b">
        <v>1</v>
      </c>
      <c r="AK55" s="160" t="s">
        <v>14</v>
      </c>
      <c r="AL55" s="87" t="str">
        <f t="shared" si="12"/>
        <v>Southampton</v>
      </c>
      <c r="AM55" s="146">
        <f t="shared" si="21"/>
        <v>67.682926829268297</v>
      </c>
      <c r="AN55" s="146">
        <f t="shared" si="21"/>
        <v>55.31062124248497</v>
      </c>
      <c r="AO55" s="146">
        <f t="shared" si="21"/>
        <v>64.413518886679924</v>
      </c>
      <c r="AP55" s="146">
        <f t="shared" si="21"/>
        <v>60.039370078740156</v>
      </c>
      <c r="AQ55" s="146">
        <f t="shared" si="21"/>
        <v>77.192982456140356</v>
      </c>
      <c r="AR55" s="147">
        <f t="shared" si="19"/>
        <v>20.5</v>
      </c>
      <c r="AS55" s="447" t="e">
        <f t="shared" si="22"/>
        <v>#N/A</v>
      </c>
      <c r="AT55" s="348" t="e">
        <f t="shared" si="22"/>
        <v>#N/A</v>
      </c>
      <c r="AU55" s="348" t="e">
        <f t="shared" si="22"/>
        <v>#N/A</v>
      </c>
      <c r="AV55" s="348" t="e">
        <f t="shared" si="22"/>
        <v>#N/A</v>
      </c>
      <c r="AW55" s="448">
        <f t="shared" si="22"/>
        <v>1.7676767676767676E-2</v>
      </c>
      <c r="AX55" s="952" t="e">
        <f t="shared" si="23"/>
        <v>#N/A</v>
      </c>
      <c r="AY55" s="952" t="e">
        <f t="shared" si="23"/>
        <v>#N/A</v>
      </c>
      <c r="AZ55" s="952" t="e">
        <f t="shared" si="23"/>
        <v>#N/A</v>
      </c>
      <c r="BA55" s="952" t="e">
        <f t="shared" si="23"/>
        <v>#N/A</v>
      </c>
      <c r="BB55" s="952" t="e">
        <f t="shared" si="23"/>
        <v>#N/A</v>
      </c>
      <c r="BC55" s="447">
        <f t="shared" si="24"/>
        <v>1.0849909584086799E-2</v>
      </c>
      <c r="BD55" s="348">
        <f t="shared" si="24"/>
        <v>4.2452830188679243E-2</v>
      </c>
      <c r="BE55" s="348">
        <f t="shared" si="24"/>
        <v>3.0612244897959183E-2</v>
      </c>
      <c r="BF55" s="348">
        <f t="shared" si="24"/>
        <v>1.7199017199017199E-2</v>
      </c>
      <c r="BG55" s="448">
        <f t="shared" si="24"/>
        <v>2.9748283752860413E-2</v>
      </c>
      <c r="BH55" s="447">
        <f t="shared" si="25"/>
        <v>0.29591836734693877</v>
      </c>
      <c r="BI55" s="348">
        <f t="shared" si="25"/>
        <v>0.28496042216358841</v>
      </c>
      <c r="BJ55" s="348">
        <f t="shared" si="25"/>
        <v>0.30626450116009279</v>
      </c>
      <c r="BK55" s="348">
        <f t="shared" si="25"/>
        <v>0.20104438642297651</v>
      </c>
      <c r="BL55" s="448">
        <f t="shared" si="25"/>
        <v>0.24377224199288255</v>
      </c>
      <c r="BM55" s="447" t="e">
        <f>VLOOKUP($AL55,#REF!,BM$37,FALSE)</f>
        <v>#REF!</v>
      </c>
      <c r="BN55" s="348" t="e">
        <f>VLOOKUP($AL55,#REF!,BN$37,FALSE)</f>
        <v>#REF!</v>
      </c>
      <c r="BO55" s="348" t="e">
        <f>VLOOKUP($AL55,#REF!,BO$37,FALSE)</f>
        <v>#REF!</v>
      </c>
      <c r="BP55" s="348" t="e">
        <f>VLOOKUP($AL55,#REF!,BP$37,FALSE)</f>
        <v>#REF!</v>
      </c>
      <c r="BQ55" s="448" t="e">
        <f>VLOOKUP($AL55,#REF!,BQ$37,FALSE)</f>
        <v>#REF!</v>
      </c>
      <c r="BR55" s="348" t="b">
        <f t="shared" si="20"/>
        <v>0</v>
      </c>
      <c r="BS55" s="447">
        <f t="shared" si="26"/>
        <v>0.72</v>
      </c>
      <c r="BT55" s="348">
        <f t="shared" si="26"/>
        <v>0.75</v>
      </c>
      <c r="BU55" s="348">
        <f t="shared" si="26"/>
        <v>0.72033898305084743</v>
      </c>
      <c r="BV55" s="348">
        <f t="shared" si="26"/>
        <v>0.61809045226130654</v>
      </c>
      <c r="BW55" s="448">
        <f t="shared" si="26"/>
        <v>0.65048543689320393</v>
      </c>
    </row>
    <row r="56" spans="1:75" ht="14.25" customHeight="1" x14ac:dyDescent="0.2">
      <c r="A56" s="118"/>
      <c r="B56" s="363"/>
      <c r="C56" s="363"/>
      <c r="D56" s="58"/>
      <c r="E56" s="58"/>
      <c r="F56" s="58"/>
      <c r="G56" s="58"/>
      <c r="H56" s="58"/>
      <c r="I56" s="58"/>
      <c r="J56" s="12"/>
      <c r="K56" s="14"/>
      <c r="L56" s="14"/>
      <c r="M56" s="14"/>
      <c r="N56" s="14"/>
      <c r="O56" s="9"/>
      <c r="P56" s="9"/>
      <c r="Q56" s="9"/>
      <c r="R56" s="9"/>
      <c r="S56" s="9"/>
      <c r="T56" s="9"/>
      <c r="U56" s="9"/>
      <c r="V56" s="117"/>
      <c r="W56" s="137"/>
      <c r="X56" s="294"/>
      <c r="AJ56" s="585" t="b">
        <v>1</v>
      </c>
      <c r="AK56" s="160" t="s">
        <v>7</v>
      </c>
      <c r="AL56" s="87" t="str">
        <f t="shared" si="12"/>
        <v>Surrey</v>
      </c>
      <c r="AM56" s="146">
        <f t="shared" si="21"/>
        <v>34.360374414976597</v>
      </c>
      <c r="AN56" s="146">
        <f t="shared" si="21"/>
        <v>32.548262548262549</v>
      </c>
      <c r="AO56" s="146">
        <f t="shared" si="21"/>
        <v>38.26354206684595</v>
      </c>
      <c r="AP56" s="146">
        <f t="shared" si="21"/>
        <v>36.617029400534555</v>
      </c>
      <c r="AQ56" s="146">
        <f t="shared" si="21"/>
        <v>25.966641394996209</v>
      </c>
      <c r="AR56" s="147">
        <f t="shared" si="19"/>
        <v>8.3000000000000007</v>
      </c>
      <c r="AS56" s="447" t="e">
        <f t="shared" si="22"/>
        <v>#N/A</v>
      </c>
      <c r="AT56" s="348" t="e">
        <f t="shared" si="22"/>
        <v>#N/A</v>
      </c>
      <c r="AU56" s="348" t="e">
        <f t="shared" si="22"/>
        <v>#N/A</v>
      </c>
      <c r="AV56" s="348">
        <f t="shared" si="22"/>
        <v>1.6684045881126174E-2</v>
      </c>
      <c r="AW56" s="448">
        <f t="shared" si="22"/>
        <v>2.9197080291970802E-2</v>
      </c>
      <c r="AX56" s="952" t="e">
        <f t="shared" si="23"/>
        <v>#N/A</v>
      </c>
      <c r="AY56" s="952" t="e">
        <f t="shared" si="23"/>
        <v>#N/A</v>
      </c>
      <c r="AZ56" s="952" t="e">
        <f t="shared" si="23"/>
        <v>#N/A</v>
      </c>
      <c r="BA56" s="952" t="e">
        <f t="shared" si="23"/>
        <v>#N/A</v>
      </c>
      <c r="BB56" s="952" t="e">
        <f t="shared" si="23"/>
        <v>#N/A</v>
      </c>
      <c r="BC56" s="447">
        <f t="shared" si="24"/>
        <v>9.8654708520179366E-2</v>
      </c>
      <c r="BD56" s="348">
        <f t="shared" si="24"/>
        <v>5.5762081784386616E-2</v>
      </c>
      <c r="BE56" s="348">
        <f t="shared" si="24"/>
        <v>6.0544904137235116E-2</v>
      </c>
      <c r="BF56" s="348">
        <f t="shared" si="24"/>
        <v>4.5183290707587385E-2</v>
      </c>
      <c r="BG56" s="448">
        <f t="shared" si="24"/>
        <v>6.9214876033057857E-2</v>
      </c>
      <c r="BH56" s="447">
        <f t="shared" si="25"/>
        <v>0.23084577114427859</v>
      </c>
      <c r="BI56" s="348">
        <f t="shared" si="25"/>
        <v>0.22447013487475914</v>
      </c>
      <c r="BJ56" s="348">
        <f t="shared" si="25"/>
        <v>0.24413553431798435</v>
      </c>
      <c r="BK56" s="348">
        <f t="shared" si="25"/>
        <v>0.21919014084507044</v>
      </c>
      <c r="BL56" s="448">
        <f t="shared" si="25"/>
        <v>0.26398852223816355</v>
      </c>
      <c r="BM56" s="447" t="e">
        <f>VLOOKUP($AL56,#REF!,BM$37,FALSE)</f>
        <v>#REF!</v>
      </c>
      <c r="BN56" s="348" t="e">
        <f>VLOOKUP($AL56,#REF!,BN$37,FALSE)</f>
        <v>#REF!</v>
      </c>
      <c r="BO56" s="348" t="e">
        <f>VLOOKUP($AL56,#REF!,BO$37,FALSE)</f>
        <v>#REF!</v>
      </c>
      <c r="BP56" s="348" t="e">
        <f>VLOOKUP($AL56,#REF!,BP$37,FALSE)</f>
        <v>#REF!</v>
      </c>
      <c r="BQ56" s="448" t="e">
        <f>VLOOKUP($AL56,#REF!,BQ$37,FALSE)</f>
        <v>#REF!</v>
      </c>
      <c r="BR56" s="348" t="b">
        <f t="shared" si="20"/>
        <v>0</v>
      </c>
      <c r="BS56" s="447">
        <f t="shared" si="26"/>
        <v>0.97249190938511332</v>
      </c>
      <c r="BT56" s="348">
        <f t="shared" si="26"/>
        <v>0.97734627831715215</v>
      </c>
      <c r="BU56" s="348">
        <f t="shared" si="26"/>
        <v>0.95</v>
      </c>
      <c r="BV56" s="348">
        <f t="shared" si="26"/>
        <v>0.88761174968071521</v>
      </c>
      <c r="BW56" s="448">
        <f t="shared" si="26"/>
        <v>0.93176972281449888</v>
      </c>
    </row>
    <row r="57" spans="1:75" ht="14.25" customHeight="1" x14ac:dyDescent="0.2">
      <c r="A57" s="278"/>
      <c r="B57" s="363"/>
      <c r="C57" s="363"/>
      <c r="D57" s="58"/>
      <c r="E57" s="58"/>
      <c r="F57" s="58"/>
      <c r="G57" s="58"/>
      <c r="H57" s="58"/>
      <c r="I57" s="58"/>
      <c r="J57" s="12"/>
      <c r="K57" s="14"/>
      <c r="L57" s="14"/>
      <c r="M57" s="14"/>
      <c r="N57" s="14"/>
      <c r="O57" s="9"/>
      <c r="P57" s="9"/>
      <c r="Q57" s="9"/>
      <c r="R57" s="9"/>
      <c r="S57" s="9"/>
      <c r="T57" s="9"/>
      <c r="U57" s="9"/>
      <c r="V57" s="117"/>
      <c r="W57" s="137"/>
      <c r="X57" s="294"/>
      <c r="AJ57" s="585" t="b">
        <v>1</v>
      </c>
      <c r="AK57" s="160" t="s">
        <v>113</v>
      </c>
      <c r="AL57" s="87" t="str">
        <f t="shared" si="12"/>
        <v>Swindon</v>
      </c>
      <c r="AM57" s="146">
        <f t="shared" si="21"/>
        <v>48.571428571428569</v>
      </c>
      <c r="AN57" s="146">
        <f t="shared" si="21"/>
        <v>49.292929292929294</v>
      </c>
      <c r="AO57" s="146">
        <f t="shared" si="21"/>
        <v>72.545090180360717</v>
      </c>
      <c r="AP57" s="146">
        <f t="shared" si="21"/>
        <v>66.334661354581669</v>
      </c>
      <c r="AQ57" s="146">
        <f t="shared" si="21"/>
        <v>33.531746031746032</v>
      </c>
      <c r="AR57" s="147">
        <f t="shared" si="19"/>
        <v>14.899999999999999</v>
      </c>
      <c r="AS57" s="447" t="e">
        <f t="shared" si="22"/>
        <v>#N/A</v>
      </c>
      <c r="AT57" s="348" t="e">
        <f t="shared" si="22"/>
        <v>#N/A</v>
      </c>
      <c r="AU57" s="348" t="e">
        <f t="shared" si="22"/>
        <v>#N/A</v>
      </c>
      <c r="AV57" s="348">
        <f t="shared" si="22"/>
        <v>1.8018018018018018E-2</v>
      </c>
      <c r="AW57" s="448" t="e">
        <f t="shared" si="22"/>
        <v>#N/A</v>
      </c>
      <c r="AX57" s="952" t="e">
        <f t="shared" si="23"/>
        <v>#N/A</v>
      </c>
      <c r="AY57" s="952" t="e">
        <f t="shared" si="23"/>
        <v>#N/A</v>
      </c>
      <c r="AZ57" s="952" t="e">
        <f t="shared" si="23"/>
        <v>#N/A</v>
      </c>
      <c r="BA57" s="952" t="e">
        <f t="shared" si="23"/>
        <v>#N/A</v>
      </c>
      <c r="BB57" s="952" t="e">
        <f t="shared" si="23"/>
        <v>#N/A</v>
      </c>
      <c r="BC57" s="447">
        <f t="shared" si="24"/>
        <v>3.125E-2</v>
      </c>
      <c r="BD57" s="348">
        <f t="shared" si="24"/>
        <v>3.5598705501618123E-2</v>
      </c>
      <c r="BE57" s="348">
        <f t="shared" si="24"/>
        <v>1.5706806282722512E-2</v>
      </c>
      <c r="BF57" s="348">
        <f t="shared" si="24"/>
        <v>4.2410714285714288E-2</v>
      </c>
      <c r="BG57" s="448">
        <f t="shared" si="24"/>
        <v>6.4516129032258063E-2</v>
      </c>
      <c r="BH57" s="447">
        <f t="shared" si="25"/>
        <v>0.19031141868512111</v>
      </c>
      <c r="BI57" s="348">
        <f t="shared" si="25"/>
        <v>0.20170454545454544</v>
      </c>
      <c r="BJ57" s="348">
        <f t="shared" si="25"/>
        <v>0.19755600814663951</v>
      </c>
      <c r="BK57" s="348">
        <f t="shared" si="25"/>
        <v>0.12142857142857143</v>
      </c>
      <c r="BL57" s="448">
        <f t="shared" si="25"/>
        <v>0.12875536480686695</v>
      </c>
      <c r="BM57" s="447" t="e">
        <f>VLOOKUP($AL57,#REF!,BM$37,FALSE)</f>
        <v>#REF!</v>
      </c>
      <c r="BN57" s="348" t="e">
        <f>VLOOKUP($AL57,#REF!,BN$37,FALSE)</f>
        <v>#REF!</v>
      </c>
      <c r="BO57" s="348" t="e">
        <f>VLOOKUP($AL57,#REF!,BO$37,FALSE)</f>
        <v>#REF!</v>
      </c>
      <c r="BP57" s="348" t="e">
        <f>VLOOKUP($AL57,#REF!,BP$37,FALSE)</f>
        <v>#REF!</v>
      </c>
      <c r="BQ57" s="448" t="e">
        <f>VLOOKUP($AL57,#REF!,BQ$37,FALSE)</f>
        <v>#REF!</v>
      </c>
      <c r="BR57" s="348" t="b">
        <f t="shared" si="20"/>
        <v>0</v>
      </c>
      <c r="BS57" s="447">
        <f t="shared" si="26"/>
        <v>0.94374999999999998</v>
      </c>
      <c r="BT57" s="348">
        <f t="shared" si="26"/>
        <v>0.91719745222929938</v>
      </c>
      <c r="BU57" s="348">
        <f t="shared" si="26"/>
        <v>0.98473282442748089</v>
      </c>
      <c r="BV57" s="348">
        <f t="shared" si="26"/>
        <v>0.93207547169811322</v>
      </c>
      <c r="BW57" s="448">
        <f t="shared" si="26"/>
        <v>0.98165137614678899</v>
      </c>
    </row>
    <row r="58" spans="1:75" ht="14.25" customHeight="1" x14ac:dyDescent="0.2">
      <c r="A58" s="278"/>
      <c r="B58" s="363"/>
      <c r="C58" s="363"/>
      <c r="D58" s="58"/>
      <c r="E58" s="58"/>
      <c r="F58" s="58"/>
      <c r="G58" s="58"/>
      <c r="H58" s="58"/>
      <c r="I58" s="58"/>
      <c r="J58" s="12"/>
      <c r="K58" s="14"/>
      <c r="L58" s="14"/>
      <c r="M58" s="14"/>
      <c r="N58" s="14"/>
      <c r="O58" s="9"/>
      <c r="P58" s="9"/>
      <c r="Q58" s="9"/>
      <c r="R58" s="9"/>
      <c r="S58" s="9"/>
      <c r="T58" s="9"/>
      <c r="U58" s="9"/>
      <c r="V58" s="117"/>
      <c r="W58" s="137"/>
      <c r="X58" s="294"/>
      <c r="AJ58" s="585" t="b">
        <v>1</v>
      </c>
      <c r="AK58" s="160" t="s">
        <v>114</v>
      </c>
      <c r="AL58" s="87" t="str">
        <f t="shared" si="12"/>
        <v>Torbay</v>
      </c>
      <c r="AM58" s="146">
        <f t="shared" si="21"/>
        <v>51.587301587301589</v>
      </c>
      <c r="AN58" s="146">
        <f t="shared" si="21"/>
        <v>83.464566929133852</v>
      </c>
      <c r="AO58" s="146">
        <f t="shared" si="21"/>
        <v>55.511811023622045</v>
      </c>
      <c r="AP58" s="146">
        <f t="shared" si="21"/>
        <v>70.472440944881896</v>
      </c>
      <c r="AQ58" s="146">
        <f t="shared" si="21"/>
        <v>75</v>
      </c>
      <c r="AR58" s="147">
        <f t="shared" si="19"/>
        <v>21.9</v>
      </c>
      <c r="AS58" s="447" t="e">
        <f t="shared" si="22"/>
        <v>#N/A</v>
      </c>
      <c r="AT58" s="348" t="e">
        <f t="shared" si="22"/>
        <v>#N/A</v>
      </c>
      <c r="AU58" s="348" t="e">
        <f t="shared" si="22"/>
        <v>#N/A</v>
      </c>
      <c r="AV58" s="348">
        <f t="shared" si="22"/>
        <v>0</v>
      </c>
      <c r="AW58" s="448" t="e">
        <f t="shared" si="22"/>
        <v>#N/A</v>
      </c>
      <c r="AX58" s="952" t="e">
        <f t="shared" si="23"/>
        <v>#N/A</v>
      </c>
      <c r="AY58" s="952" t="e">
        <f t="shared" si="23"/>
        <v>#N/A</v>
      </c>
      <c r="AZ58" s="952" t="e">
        <f t="shared" si="23"/>
        <v>#N/A</v>
      </c>
      <c r="BA58" s="952" t="e">
        <f t="shared" si="23"/>
        <v>#N/A</v>
      </c>
      <c r="BB58" s="952" t="e">
        <f t="shared" si="23"/>
        <v>#N/A</v>
      </c>
      <c r="BC58" s="447" t="e">
        <f t="shared" si="24"/>
        <v>#N/A</v>
      </c>
      <c r="BD58" s="348" t="e">
        <f t="shared" si="24"/>
        <v>#N/A</v>
      </c>
      <c r="BE58" s="348">
        <f t="shared" si="24"/>
        <v>3.2967032967032968E-2</v>
      </c>
      <c r="BF58" s="348" t="e">
        <f t="shared" si="24"/>
        <v>#N/A</v>
      </c>
      <c r="BG58" s="448">
        <f t="shared" si="24"/>
        <v>0</v>
      </c>
      <c r="BH58" s="447">
        <f t="shared" si="25"/>
        <v>0.23134328358208955</v>
      </c>
      <c r="BI58" s="348">
        <f t="shared" si="25"/>
        <v>0.21212121212121213</v>
      </c>
      <c r="BJ58" s="348">
        <f t="shared" si="25"/>
        <v>0.26896551724137929</v>
      </c>
      <c r="BK58" s="348">
        <f t="shared" si="25"/>
        <v>0.3155737704918033</v>
      </c>
      <c r="BL58" s="448">
        <f t="shared" si="25"/>
        <v>0.2837370242214533</v>
      </c>
      <c r="BM58" s="447" t="e">
        <f>VLOOKUP($AL58,#REF!,BM$37,FALSE)</f>
        <v>#REF!</v>
      </c>
      <c r="BN58" s="348" t="e">
        <f>VLOOKUP($AL58,#REF!,BN$37,FALSE)</f>
        <v>#REF!</v>
      </c>
      <c r="BO58" s="348" t="e">
        <f>VLOOKUP($AL58,#REF!,BO$37,FALSE)</f>
        <v>#REF!</v>
      </c>
      <c r="BP58" s="348" t="e">
        <f>VLOOKUP($AL58,#REF!,BP$37,FALSE)</f>
        <v>#REF!</v>
      </c>
      <c r="BQ58" s="448" t="e">
        <f>VLOOKUP($AL58,#REF!,BQ$37,FALSE)</f>
        <v>#REF!</v>
      </c>
      <c r="BR58" s="348" t="b">
        <f t="shared" si="20"/>
        <v>0</v>
      </c>
      <c r="BS58" s="447">
        <f t="shared" si="26"/>
        <v>0.90566037735849059</v>
      </c>
      <c r="BT58" s="348">
        <f t="shared" si="26"/>
        <v>0.80916030534351147</v>
      </c>
      <c r="BU58" s="348">
        <f t="shared" si="26"/>
        <v>0.74117647058823533</v>
      </c>
      <c r="BV58" s="348">
        <f t="shared" si="26"/>
        <v>0.83620689655172409</v>
      </c>
      <c r="BW58" s="448">
        <f t="shared" si="26"/>
        <v>0.69724770642201839</v>
      </c>
    </row>
    <row r="59" spans="1:75" ht="14.25" customHeight="1" x14ac:dyDescent="0.2">
      <c r="A59" s="118"/>
      <c r="B59" s="363"/>
      <c r="C59" s="363"/>
      <c r="D59" s="58"/>
      <c r="E59" s="58"/>
      <c r="F59" s="58"/>
      <c r="G59" s="58"/>
      <c r="H59" s="58"/>
      <c r="I59" s="58"/>
      <c r="J59" s="12"/>
      <c r="K59" s="14"/>
      <c r="L59" s="14"/>
      <c r="M59" s="14"/>
      <c r="N59" s="14"/>
      <c r="O59" s="9"/>
      <c r="P59" s="9"/>
      <c r="Q59" s="9"/>
      <c r="R59" s="9"/>
      <c r="S59" s="9"/>
      <c r="T59" s="9"/>
      <c r="U59" s="9"/>
      <c r="V59" s="117"/>
      <c r="W59" s="137"/>
      <c r="X59" s="294"/>
      <c r="AJ59" s="585" t="b">
        <v>1</v>
      </c>
      <c r="AK59" s="160" t="s">
        <v>15</v>
      </c>
      <c r="AL59" s="87" t="str">
        <f t="shared" si="12"/>
        <v>West Berkshire</v>
      </c>
      <c r="AM59" s="146">
        <f t="shared" si="21"/>
        <v>40.616246498599445</v>
      </c>
      <c r="AN59" s="146">
        <f t="shared" si="21"/>
        <v>43.175487465181064</v>
      </c>
      <c r="AO59" s="146">
        <f t="shared" si="21"/>
        <v>46.927374301675975</v>
      </c>
      <c r="AP59" s="146">
        <f t="shared" si="21"/>
        <v>33.146067415730336</v>
      </c>
      <c r="AQ59" s="146">
        <f t="shared" si="21"/>
        <v>29.775280898876403</v>
      </c>
      <c r="AR59" s="147">
        <f t="shared" si="19"/>
        <v>8.6999999999999993</v>
      </c>
      <c r="AS59" s="447" t="e">
        <f t="shared" si="22"/>
        <v>#N/A</v>
      </c>
      <c r="AT59" s="348" t="e">
        <f t="shared" si="22"/>
        <v>#N/A</v>
      </c>
      <c r="AU59" s="348" t="e">
        <f t="shared" si="22"/>
        <v>#N/A</v>
      </c>
      <c r="AV59" s="348">
        <f t="shared" si="22"/>
        <v>0</v>
      </c>
      <c r="AW59" s="448" t="e">
        <f t="shared" si="22"/>
        <v>#N/A</v>
      </c>
      <c r="AX59" s="952" t="e">
        <f t="shared" si="23"/>
        <v>#N/A</v>
      </c>
      <c r="AY59" s="952" t="e">
        <f t="shared" si="23"/>
        <v>#N/A</v>
      </c>
      <c r="AZ59" s="952" t="e">
        <f t="shared" si="23"/>
        <v>#N/A</v>
      </c>
      <c r="BA59" s="952" t="e">
        <f t="shared" si="23"/>
        <v>#N/A</v>
      </c>
      <c r="BB59" s="952" t="e">
        <f t="shared" si="23"/>
        <v>#N/A</v>
      </c>
      <c r="BC59" s="447" t="e">
        <f t="shared" si="24"/>
        <v>#N/A</v>
      </c>
      <c r="BD59" s="348" t="e">
        <f t="shared" si="24"/>
        <v>#N/A</v>
      </c>
      <c r="BE59" s="348">
        <f t="shared" si="24"/>
        <v>2.2222222222222223E-2</v>
      </c>
      <c r="BF59" s="348" t="e">
        <f t="shared" si="24"/>
        <v>#N/A</v>
      </c>
      <c r="BG59" s="448" t="e">
        <f t="shared" si="24"/>
        <v>#N/A</v>
      </c>
      <c r="BH59" s="447">
        <f t="shared" si="25"/>
        <v>0.10784313725490197</v>
      </c>
      <c r="BI59" s="348">
        <f t="shared" si="25"/>
        <v>0.22748815165876776</v>
      </c>
      <c r="BJ59" s="348">
        <f t="shared" si="25"/>
        <v>0.18181818181818182</v>
      </c>
      <c r="BK59" s="348">
        <f t="shared" si="25"/>
        <v>0.24752475247524752</v>
      </c>
      <c r="BL59" s="448">
        <f t="shared" si="25"/>
        <v>0.21764705882352942</v>
      </c>
      <c r="BM59" s="447" t="e">
        <f>VLOOKUP($AL59,#REF!,BM$37,FALSE)</f>
        <v>#REF!</v>
      </c>
      <c r="BN59" s="348" t="e">
        <f>VLOOKUP($AL59,#REF!,BN$37,FALSE)</f>
        <v>#REF!</v>
      </c>
      <c r="BO59" s="348" t="e">
        <f>VLOOKUP($AL59,#REF!,BO$37,FALSE)</f>
        <v>#REF!</v>
      </c>
      <c r="BP59" s="348" t="e">
        <f>VLOOKUP($AL59,#REF!,BP$37,FALSE)</f>
        <v>#REF!</v>
      </c>
      <c r="BQ59" s="448" t="e">
        <f>VLOOKUP($AL59,#REF!,BQ$37,FALSE)</f>
        <v>#REF!</v>
      </c>
      <c r="BR59" s="348" t="b">
        <f t="shared" si="20"/>
        <v>0</v>
      </c>
      <c r="BS59" s="447">
        <f t="shared" si="26"/>
        <v>0.98936170212765961</v>
      </c>
      <c r="BT59" s="348">
        <f t="shared" si="26"/>
        <v>0.98780487804878048</v>
      </c>
      <c r="BU59" s="348">
        <f t="shared" si="26"/>
        <v>1</v>
      </c>
      <c r="BV59" s="348">
        <f t="shared" si="26"/>
        <v>0.98684210526315785</v>
      </c>
      <c r="BW59" s="448">
        <f t="shared" si="26"/>
        <v>1</v>
      </c>
    </row>
    <row r="60" spans="1:75" ht="14.25" customHeight="1" x14ac:dyDescent="0.2">
      <c r="A60" s="118"/>
      <c r="B60" s="363"/>
      <c r="C60" s="363"/>
      <c r="D60" s="58"/>
      <c r="E60" s="58"/>
      <c r="F60" s="58"/>
      <c r="G60" s="58"/>
      <c r="H60" s="58"/>
      <c r="I60" s="58"/>
      <c r="J60" s="12"/>
      <c r="K60" s="14"/>
      <c r="L60" s="14"/>
      <c r="M60" s="14"/>
      <c r="N60" s="14"/>
      <c r="O60" s="9"/>
      <c r="P60" s="9"/>
      <c r="Q60" s="9"/>
      <c r="R60" s="9"/>
      <c r="S60" s="9"/>
      <c r="T60" s="9"/>
      <c r="U60" s="9"/>
      <c r="V60" s="117"/>
      <c r="W60" s="137"/>
      <c r="X60" s="294"/>
      <c r="AJ60" s="585" t="b">
        <v>1</v>
      </c>
      <c r="AK60" s="160" t="s">
        <v>5</v>
      </c>
      <c r="AL60" s="87" t="str">
        <f t="shared" si="12"/>
        <v>West Sussex</v>
      </c>
      <c r="AM60" s="146">
        <f t="shared" si="21"/>
        <v>24.471830985915492</v>
      </c>
      <c r="AN60" s="146">
        <f t="shared" si="21"/>
        <v>31.955762514551804</v>
      </c>
      <c r="AO60" s="146">
        <f t="shared" si="21"/>
        <v>44.720138488170804</v>
      </c>
      <c r="AP60" s="146">
        <f t="shared" si="21"/>
        <v>35.546651402404123</v>
      </c>
      <c r="AQ60" s="146">
        <f t="shared" si="21"/>
        <v>46.337308347529813</v>
      </c>
      <c r="AR60" s="147">
        <f t="shared" si="19"/>
        <v>11</v>
      </c>
      <c r="AS60" s="447" t="e">
        <f t="shared" si="22"/>
        <v>#N/A</v>
      </c>
      <c r="AT60" s="348" t="e">
        <f t="shared" si="22"/>
        <v>#N/A</v>
      </c>
      <c r="AU60" s="348" t="e">
        <f t="shared" si="22"/>
        <v>#N/A</v>
      </c>
      <c r="AV60" s="348">
        <f t="shared" si="22"/>
        <v>3.0595813204508857E-2</v>
      </c>
      <c r="AW60" s="448">
        <f t="shared" si="22"/>
        <v>9.8039215686274508E-3</v>
      </c>
      <c r="AX60" s="952" t="e">
        <f t="shared" si="23"/>
        <v>#N/A</v>
      </c>
      <c r="AY60" s="952" t="e">
        <f t="shared" si="23"/>
        <v>#N/A</v>
      </c>
      <c r="AZ60" s="952" t="e">
        <f t="shared" si="23"/>
        <v>#N/A</v>
      </c>
      <c r="BA60" s="952" t="e">
        <f t="shared" si="23"/>
        <v>#N/A</v>
      </c>
      <c r="BB60" s="952" t="e">
        <f t="shared" si="23"/>
        <v>#N/A</v>
      </c>
      <c r="BC60" s="447">
        <f t="shared" si="24"/>
        <v>3.5294117647058823E-2</v>
      </c>
      <c r="BD60" s="348">
        <f t="shared" si="24"/>
        <v>6.6162570888468802E-2</v>
      </c>
      <c r="BE60" s="348">
        <f t="shared" si="24"/>
        <v>3.5135135135135137E-2</v>
      </c>
      <c r="BF60" s="348">
        <f t="shared" si="24"/>
        <v>3.2596041909196738E-2</v>
      </c>
      <c r="BG60" s="448">
        <f t="shared" si="24"/>
        <v>5.8016877637130801E-2</v>
      </c>
      <c r="BH60" s="447">
        <f t="shared" si="25"/>
        <v>0.22794117647058823</v>
      </c>
      <c r="BI60" s="348">
        <f t="shared" si="25"/>
        <v>0.22748815165876776</v>
      </c>
      <c r="BJ60" s="348">
        <f t="shared" si="25"/>
        <v>0.2437759336099585</v>
      </c>
      <c r="BK60" s="348">
        <f t="shared" si="25"/>
        <v>0.22481572481572482</v>
      </c>
      <c r="BL60" s="448">
        <f t="shared" si="25"/>
        <v>0.2648888888888889</v>
      </c>
      <c r="BM60" s="447" t="e">
        <f>VLOOKUP($AL60,#REF!,BM$37,FALSE)</f>
        <v>#REF!</v>
      </c>
      <c r="BN60" s="348" t="e">
        <f>VLOOKUP($AL60,#REF!,BN$37,FALSE)</f>
        <v>#REF!</v>
      </c>
      <c r="BO60" s="348" t="e">
        <f>VLOOKUP($AL60,#REF!,BO$37,FALSE)</f>
        <v>#REF!</v>
      </c>
      <c r="BP60" s="348" t="e">
        <f>VLOOKUP($AL60,#REF!,BP$37,FALSE)</f>
        <v>#REF!</v>
      </c>
      <c r="BQ60" s="448" t="e">
        <f>VLOOKUP($AL60,#REF!,BQ$37,FALSE)</f>
        <v>#REF!</v>
      </c>
      <c r="BR60" s="348" t="b">
        <f t="shared" si="20"/>
        <v>0</v>
      </c>
      <c r="BS60" s="447">
        <f t="shared" si="26"/>
        <v>0.92086330935251803</v>
      </c>
      <c r="BT60" s="348">
        <f t="shared" si="26"/>
        <v>0.83377308707124009</v>
      </c>
      <c r="BU60" s="348">
        <f t="shared" si="26"/>
        <v>0.88682432432432434</v>
      </c>
      <c r="BV60" s="348">
        <f t="shared" si="26"/>
        <v>0.88167053364269143</v>
      </c>
      <c r="BW60" s="448">
        <f t="shared" si="26"/>
        <v>0.86443661971830987</v>
      </c>
    </row>
    <row r="61" spans="1:75" s="81" customFormat="1" ht="14.25" customHeight="1" x14ac:dyDescent="0.2">
      <c r="A61" s="118"/>
      <c r="B61" s="363"/>
      <c r="C61" s="363"/>
      <c r="D61" s="58"/>
      <c r="E61" s="58"/>
      <c r="F61" s="58"/>
      <c r="G61" s="58"/>
      <c r="H61" s="58"/>
      <c r="I61" s="58"/>
      <c r="J61" s="12"/>
      <c r="K61" s="14"/>
      <c r="L61" s="14"/>
      <c r="M61" s="14"/>
      <c r="N61" s="14"/>
      <c r="O61" s="9"/>
      <c r="P61" s="9"/>
      <c r="Q61" s="9"/>
      <c r="R61" s="9"/>
      <c r="S61" s="9"/>
      <c r="T61" s="9"/>
      <c r="U61" s="9"/>
      <c r="V61" s="117"/>
      <c r="W61" s="137"/>
      <c r="X61" s="294"/>
      <c r="AJ61" s="585" t="b">
        <v>1</v>
      </c>
      <c r="AK61" s="160" t="s">
        <v>30</v>
      </c>
      <c r="AL61" s="87" t="str">
        <f t="shared" si="12"/>
        <v>Windsor &amp; Maidenhead</v>
      </c>
      <c r="AM61" s="146">
        <f t="shared" si="21"/>
        <v>43.026706231454007</v>
      </c>
      <c r="AN61" s="146">
        <f t="shared" si="21"/>
        <v>41.228070175438596</v>
      </c>
      <c r="AO61" s="146">
        <f t="shared" si="21"/>
        <v>21.511627906976742</v>
      </c>
      <c r="AP61" s="146">
        <f t="shared" si="21"/>
        <v>26.01156069364162</v>
      </c>
      <c r="AQ61" s="146">
        <f t="shared" si="21"/>
        <v>37.752161383285298</v>
      </c>
      <c r="AR61" s="147">
        <f t="shared" si="19"/>
        <v>6.7</v>
      </c>
      <c r="AS61" s="447" t="e">
        <f t="shared" si="22"/>
        <v>#N/A</v>
      </c>
      <c r="AT61" s="348" t="e">
        <f t="shared" si="22"/>
        <v>#N/A</v>
      </c>
      <c r="AU61" s="348" t="e">
        <f t="shared" si="22"/>
        <v>#N/A</v>
      </c>
      <c r="AV61" s="348" t="e">
        <f t="shared" si="22"/>
        <v>#N/A</v>
      </c>
      <c r="AW61" s="448" t="e">
        <f t="shared" si="22"/>
        <v>#N/A</v>
      </c>
      <c r="AX61" s="348" t="e">
        <f t="shared" si="23"/>
        <v>#N/A</v>
      </c>
      <c r="AY61" s="348" t="e">
        <f t="shared" si="23"/>
        <v>#N/A</v>
      </c>
      <c r="AZ61" s="348" t="e">
        <f t="shared" si="23"/>
        <v>#N/A</v>
      </c>
      <c r="BA61" s="348" t="e">
        <f t="shared" si="23"/>
        <v>#N/A</v>
      </c>
      <c r="BB61" s="348" t="e">
        <f t="shared" si="23"/>
        <v>#N/A</v>
      </c>
      <c r="BC61" s="447">
        <f t="shared" si="24"/>
        <v>0</v>
      </c>
      <c r="BD61" s="348" t="e">
        <f t="shared" si="24"/>
        <v>#N/A</v>
      </c>
      <c r="BE61" s="348" t="e">
        <f t="shared" si="24"/>
        <v>#N/A</v>
      </c>
      <c r="BF61" s="348" t="e">
        <f t="shared" si="24"/>
        <v>#N/A</v>
      </c>
      <c r="BG61" s="448">
        <f t="shared" si="24"/>
        <v>4.6511627906976744E-2</v>
      </c>
      <c r="BH61" s="447">
        <f t="shared" si="25"/>
        <v>0.13714285714285715</v>
      </c>
      <c r="BI61" s="348">
        <f t="shared" si="25"/>
        <v>0.30813953488372092</v>
      </c>
      <c r="BJ61" s="348">
        <f t="shared" si="25"/>
        <v>0.20634920634920634</v>
      </c>
      <c r="BK61" s="348">
        <f t="shared" si="25"/>
        <v>0.11956521739130435</v>
      </c>
      <c r="BL61" s="448">
        <f t="shared" si="25"/>
        <v>0.15023474178403756</v>
      </c>
      <c r="BM61" s="447" t="e">
        <f>VLOOKUP($AL61,#REF!,BM$37,FALSE)</f>
        <v>#REF!</v>
      </c>
      <c r="BN61" s="348" t="e">
        <f>VLOOKUP($AL61,#REF!,BN$37,FALSE)</f>
        <v>#REF!</v>
      </c>
      <c r="BO61" s="348" t="e">
        <f>VLOOKUP($AL61,#REF!,BO$37,FALSE)</f>
        <v>#REF!</v>
      </c>
      <c r="BP61" s="348" t="e">
        <f>VLOOKUP($AL61,#REF!,BP$37,FALSE)</f>
        <v>#REF!</v>
      </c>
      <c r="BQ61" s="448" t="e">
        <f>VLOOKUP($AL61,#REF!,BQ$37,FALSE)</f>
        <v>#REF!</v>
      </c>
      <c r="BR61" s="348" t="b">
        <f t="shared" si="20"/>
        <v>0</v>
      </c>
      <c r="BS61" s="447">
        <f t="shared" si="26"/>
        <v>1</v>
      </c>
      <c r="BT61" s="348">
        <f t="shared" si="26"/>
        <v>0.96907216494845361</v>
      </c>
      <c r="BU61" s="348">
        <f t="shared" si="26"/>
        <v>0.8</v>
      </c>
      <c r="BV61" s="348">
        <f t="shared" si="26"/>
        <v>0.95</v>
      </c>
      <c r="BW61" s="448">
        <f t="shared" si="26"/>
        <v>0.81176470588235294</v>
      </c>
    </row>
    <row r="62" spans="1:75" s="81" customFormat="1" ht="14.25" customHeight="1" x14ac:dyDescent="0.2">
      <c r="A62" s="118"/>
      <c r="B62" s="363"/>
      <c r="C62" s="363"/>
      <c r="D62" s="58"/>
      <c r="E62" s="58"/>
      <c r="F62" s="58"/>
      <c r="G62" s="58"/>
      <c r="H62" s="58"/>
      <c r="I62" s="58"/>
      <c r="J62" s="12"/>
      <c r="K62" s="14"/>
      <c r="L62" s="14"/>
      <c r="M62" s="14"/>
      <c r="N62" s="14"/>
      <c r="O62" s="9"/>
      <c r="P62" s="9"/>
      <c r="Q62" s="9"/>
      <c r="R62" s="9"/>
      <c r="S62" s="9"/>
      <c r="T62" s="9"/>
      <c r="U62" s="9"/>
      <c r="V62" s="117"/>
      <c r="W62" s="137"/>
      <c r="X62" s="294"/>
      <c r="AJ62" s="585" t="b">
        <v>1</v>
      </c>
      <c r="AK62" s="160" t="s">
        <v>16</v>
      </c>
      <c r="AL62" s="87" t="str">
        <f t="shared" si="12"/>
        <v>Wokingham</v>
      </c>
      <c r="AM62" s="146">
        <f t="shared" si="21"/>
        <v>17.426273458445039</v>
      </c>
      <c r="AN62" s="146">
        <f t="shared" si="21"/>
        <v>12.105263157894738</v>
      </c>
      <c r="AO62" s="146">
        <f t="shared" si="21"/>
        <v>32.558139534883722</v>
      </c>
      <c r="AP62" s="146">
        <f t="shared" si="21"/>
        <v>32.151898734177216</v>
      </c>
      <c r="AQ62" s="146">
        <f t="shared" si="21"/>
        <v>35.148514851485146</v>
      </c>
      <c r="AR62" s="147">
        <f t="shared" si="19"/>
        <v>5.6000000000000005</v>
      </c>
      <c r="AS62" s="447" t="e">
        <f t="shared" si="22"/>
        <v>#N/A</v>
      </c>
      <c r="AT62" s="348" t="e">
        <f t="shared" si="22"/>
        <v>#N/A</v>
      </c>
      <c r="AU62" s="348" t="e">
        <f t="shared" si="22"/>
        <v>#N/A</v>
      </c>
      <c r="AV62" s="348">
        <f t="shared" si="22"/>
        <v>0</v>
      </c>
      <c r="AW62" s="448">
        <f t="shared" si="22"/>
        <v>0</v>
      </c>
      <c r="AX62" s="348" t="e">
        <f t="shared" si="23"/>
        <v>#N/A</v>
      </c>
      <c r="AY62" s="348" t="e">
        <f t="shared" si="23"/>
        <v>#N/A</v>
      </c>
      <c r="AZ62" s="348" t="e">
        <f t="shared" si="23"/>
        <v>#N/A</v>
      </c>
      <c r="BA62" s="348" t="e">
        <f t="shared" si="23"/>
        <v>#N/A</v>
      </c>
      <c r="BB62" s="348" t="e">
        <f t="shared" si="23"/>
        <v>#N/A</v>
      </c>
      <c r="BC62" s="447" t="e">
        <f t="shared" si="24"/>
        <v>#N/A</v>
      </c>
      <c r="BD62" s="348">
        <f t="shared" si="24"/>
        <v>0</v>
      </c>
      <c r="BE62" s="348">
        <f t="shared" si="24"/>
        <v>0</v>
      </c>
      <c r="BF62" s="348">
        <f t="shared" si="24"/>
        <v>4.1025641025641026E-2</v>
      </c>
      <c r="BG62" s="448" t="e">
        <f t="shared" si="24"/>
        <v>#N/A</v>
      </c>
      <c r="BH62" s="447">
        <f t="shared" si="25"/>
        <v>0.14912280701754385</v>
      </c>
      <c r="BI62" s="348">
        <f t="shared" si="25"/>
        <v>0.32558139534883723</v>
      </c>
      <c r="BJ62" s="348">
        <f t="shared" si="25"/>
        <v>0.24</v>
      </c>
      <c r="BK62" s="348">
        <f t="shared" si="25"/>
        <v>0.14795918367346939</v>
      </c>
      <c r="BL62" s="448">
        <f t="shared" si="25"/>
        <v>0.20224719101123595</v>
      </c>
      <c r="BM62" s="447" t="e">
        <f>VLOOKUP($AL62,#REF!,BM$37,FALSE)</f>
        <v>#REF!</v>
      </c>
      <c r="BN62" s="348" t="e">
        <f>VLOOKUP($AL62,#REF!,BN$37,FALSE)</f>
        <v>#REF!</v>
      </c>
      <c r="BO62" s="348" t="e">
        <f>VLOOKUP($AL62,#REF!,BO$37,FALSE)</f>
        <v>#REF!</v>
      </c>
      <c r="BP62" s="348" t="e">
        <f>VLOOKUP($AL62,#REF!,BP$37,FALSE)</f>
        <v>#REF!</v>
      </c>
      <c r="BQ62" s="448" t="e">
        <f>VLOOKUP($AL62,#REF!,BQ$37,FALSE)</f>
        <v>#REF!</v>
      </c>
      <c r="BR62" s="348" t="b">
        <f t="shared" si="20"/>
        <v>0</v>
      </c>
      <c r="BS62" s="447">
        <f t="shared" si="26"/>
        <v>0.94736842105263153</v>
      </c>
      <c r="BT62" s="348">
        <f t="shared" si="26"/>
        <v>0.96551724137931039</v>
      </c>
      <c r="BU62" s="348">
        <f t="shared" si="26"/>
        <v>1</v>
      </c>
      <c r="BV62" s="348">
        <f t="shared" si="26"/>
        <v>0.94117647058823528</v>
      </c>
      <c r="BW62" s="448">
        <f t="shared" si="26"/>
        <v>1</v>
      </c>
    </row>
    <row r="63" spans="1:75" s="81" customFormat="1" ht="14.25" customHeight="1" x14ac:dyDescent="0.2">
      <c r="A63" s="118"/>
      <c r="B63" s="363"/>
      <c r="C63" s="363"/>
      <c r="D63" s="58"/>
      <c r="E63" s="58"/>
      <c r="F63" s="58"/>
      <c r="G63" s="58"/>
      <c r="H63" s="58"/>
      <c r="I63" s="58"/>
      <c r="J63" s="12"/>
      <c r="K63" s="14"/>
      <c r="L63" s="14"/>
      <c r="M63" s="14"/>
      <c r="N63" s="14"/>
      <c r="O63" s="9"/>
      <c r="P63" s="9"/>
      <c r="Q63" s="9"/>
      <c r="R63" s="9"/>
      <c r="S63" s="9"/>
      <c r="T63" s="9"/>
      <c r="U63" s="9"/>
      <c r="V63" s="117"/>
      <c r="W63" s="137"/>
      <c r="X63" s="294"/>
      <c r="AJ63" s="585" t="b">
        <v>1</v>
      </c>
      <c r="AK63" s="160" t="s">
        <v>74</v>
      </c>
      <c r="AL63" s="87" t="str">
        <f t="shared" si="12"/>
        <v>South East</v>
      </c>
      <c r="AM63" s="146">
        <f t="shared" si="21"/>
        <v>42.072884625410566</v>
      </c>
      <c r="AN63" s="146">
        <f t="shared" si="21"/>
        <v>41.280844239822052</v>
      </c>
      <c r="AO63" s="146">
        <f t="shared" si="21"/>
        <v>46.195791964607231</v>
      </c>
      <c r="AP63" s="146">
        <f t="shared" si="21"/>
        <v>41.432512516603659</v>
      </c>
      <c r="AQ63" s="146">
        <f t="shared" si="21"/>
        <v>41.184237253707089</v>
      </c>
      <c r="AR63" s="147">
        <f t="shared" si="19"/>
        <v>12.371268250968637</v>
      </c>
      <c r="AS63" s="447" t="e">
        <f t="shared" si="22"/>
        <v>#N/A</v>
      </c>
      <c r="AT63" s="348" t="e">
        <f t="shared" si="22"/>
        <v>#N/A</v>
      </c>
      <c r="AU63" s="348" t="e">
        <f t="shared" si="22"/>
        <v>#N/A</v>
      </c>
      <c r="AV63" s="348">
        <f t="shared" si="22"/>
        <v>2.8360049321824909E-2</v>
      </c>
      <c r="AW63" s="448">
        <f t="shared" si="22"/>
        <v>2.4660912453760789E-2</v>
      </c>
      <c r="AX63" s="348" t="e">
        <f t="shared" si="23"/>
        <v>#N/A</v>
      </c>
      <c r="AY63" s="348" t="e">
        <f t="shared" si="23"/>
        <v>#N/A</v>
      </c>
      <c r="AZ63" s="348" t="e">
        <f t="shared" si="23"/>
        <v>#N/A</v>
      </c>
      <c r="BA63" s="348" t="e">
        <f t="shared" si="23"/>
        <v>#N/A</v>
      </c>
      <c r="BB63" s="348" t="e">
        <f t="shared" si="23"/>
        <v>#N/A</v>
      </c>
      <c r="BC63" s="447">
        <f t="shared" si="24"/>
        <v>4.5643153526970952E-2</v>
      </c>
      <c r="BD63" s="348">
        <f t="shared" si="24"/>
        <v>4.4806517311608958E-2</v>
      </c>
      <c r="BE63" s="348">
        <f t="shared" si="24"/>
        <v>4.8574445617740235E-2</v>
      </c>
      <c r="BF63" s="348">
        <f t="shared" si="24"/>
        <v>4.6425255338904362E-2</v>
      </c>
      <c r="BG63" s="448">
        <f t="shared" si="24"/>
        <v>5.0632911392405063E-2</v>
      </c>
      <c r="BH63" s="447">
        <f t="shared" si="25"/>
        <v>0.20675537359263049</v>
      </c>
      <c r="BI63" s="348">
        <f t="shared" si="25"/>
        <v>0.2223360655737705</v>
      </c>
      <c r="BJ63" s="348">
        <f t="shared" si="25"/>
        <v>0.22592945662535749</v>
      </c>
      <c r="BK63" s="348">
        <f t="shared" si="25"/>
        <v>0.21078921078921078</v>
      </c>
      <c r="BL63" s="448">
        <f t="shared" si="25"/>
        <v>0.23443579766536965</v>
      </c>
      <c r="BM63" s="447" t="e">
        <f>VLOOKUP($AL63,#REF!,BM$37,FALSE)</f>
        <v>#REF!</v>
      </c>
      <c r="BN63" s="348" t="e">
        <f>VLOOKUP($AL63,#REF!,BN$37,FALSE)</f>
        <v>#REF!</v>
      </c>
      <c r="BO63" s="348" t="e">
        <f>VLOOKUP($AL63,#REF!,BO$37,FALSE)</f>
        <v>#REF!</v>
      </c>
      <c r="BP63" s="348" t="e">
        <f>VLOOKUP($AL63,#REF!,BP$37,FALSE)</f>
        <v>#REF!</v>
      </c>
      <c r="BQ63" s="448" t="e">
        <f>VLOOKUP($AL63,#REF!,BQ$37,FALSE)</f>
        <v>#REF!</v>
      </c>
      <c r="BR63" s="348" t="b">
        <f t="shared" si="20"/>
        <v>0</v>
      </c>
      <c r="BS63" s="447">
        <f t="shared" si="26"/>
        <v>0.93772241992882566</v>
      </c>
      <c r="BT63" s="348">
        <f t="shared" si="26"/>
        <v>0.88193202146690519</v>
      </c>
      <c r="BU63" s="348">
        <f t="shared" si="26"/>
        <v>0.9007633587786259</v>
      </c>
      <c r="BV63" s="348">
        <f t="shared" si="26"/>
        <v>0.9078498293515358</v>
      </c>
      <c r="BW63" s="448">
        <f t="shared" si="26"/>
        <v>0.89557522123893807</v>
      </c>
    </row>
    <row r="64" spans="1:75" s="81" customFormat="1" ht="14.25" customHeight="1" x14ac:dyDescent="0.2">
      <c r="A64" s="118"/>
      <c r="B64" s="363"/>
      <c r="C64" s="363"/>
      <c r="D64" s="58"/>
      <c r="E64" s="58"/>
      <c r="F64" s="58"/>
      <c r="G64" s="58"/>
      <c r="H64" s="58"/>
      <c r="I64" s="58"/>
      <c r="J64" s="12"/>
      <c r="K64" s="9"/>
      <c r="L64" s="110"/>
      <c r="M64" s="1823" t="s">
        <v>72</v>
      </c>
      <c r="N64" s="1790"/>
      <c r="O64" s="1790"/>
      <c r="P64" s="1824"/>
      <c r="Q64" s="928"/>
      <c r="R64" s="1802" t="s">
        <v>100</v>
      </c>
      <c r="S64" s="1803"/>
      <c r="T64" s="1803"/>
      <c r="U64" s="1804"/>
      <c r="V64" s="117"/>
      <c r="W64" s="137"/>
      <c r="X64" s="294"/>
      <c r="AJ64" s="585" t="b">
        <v>1</v>
      </c>
      <c r="AK64" s="160" t="s">
        <v>127</v>
      </c>
      <c r="AL64" s="87" t="str">
        <f t="shared" si="12"/>
        <v>England</v>
      </c>
      <c r="AM64" s="146">
        <f t="shared" si="21"/>
        <v>43.081375932316604</v>
      </c>
      <c r="AN64" s="146">
        <f t="shared" si="21"/>
        <v>43.342129602131465</v>
      </c>
      <c r="AO64" s="146">
        <f t="shared" si="21"/>
        <v>45.327378444425719</v>
      </c>
      <c r="AP64" s="146">
        <f t="shared" si="21"/>
        <v>43.715389891757148</v>
      </c>
      <c r="AQ64" s="146">
        <f t="shared" si="21"/>
        <v>42.840746531820749</v>
      </c>
      <c r="AR64" s="147">
        <f t="shared" si="19"/>
        <v>17.084413405029373</v>
      </c>
      <c r="AS64" s="447" t="e">
        <f t="shared" si="22"/>
        <v>#N/A</v>
      </c>
      <c r="AT64" s="348" t="e">
        <f t="shared" si="22"/>
        <v>#N/A</v>
      </c>
      <c r="AU64" s="348" t="e">
        <f t="shared" si="22"/>
        <v>#N/A</v>
      </c>
      <c r="AV64" s="348">
        <f t="shared" si="22"/>
        <v>2.1431305013394564E-2</v>
      </c>
      <c r="AW64" s="448">
        <f t="shared" si="22"/>
        <v>2.1355076684139003E-2</v>
      </c>
      <c r="AX64" s="348" t="e">
        <f t="shared" si="23"/>
        <v>#N/A</v>
      </c>
      <c r="AY64" s="348" t="e">
        <f t="shared" si="23"/>
        <v>#N/A</v>
      </c>
      <c r="AZ64" s="348" t="e">
        <f t="shared" si="23"/>
        <v>#N/A</v>
      </c>
      <c r="BA64" s="348" t="e">
        <f t="shared" si="23"/>
        <v>#N/A</v>
      </c>
      <c r="BB64" s="348" t="e">
        <f t="shared" si="23"/>
        <v>#N/A</v>
      </c>
      <c r="BC64" s="447">
        <f t="shared" si="24"/>
        <v>3.8406374501992031E-2</v>
      </c>
      <c r="BD64" s="348">
        <f t="shared" si="24"/>
        <v>3.4087435035157446E-2</v>
      </c>
      <c r="BE64" s="348">
        <f t="shared" si="24"/>
        <v>3.4132281553398057E-2</v>
      </c>
      <c r="BF64" s="348">
        <f t="shared" si="24"/>
        <v>3.3426594021499043E-2</v>
      </c>
      <c r="BG64" s="448">
        <f t="shared" si="24"/>
        <v>3.5836941914289981E-2</v>
      </c>
      <c r="BH64" s="447">
        <f t="shared" si="25"/>
        <v>0.17927657558047702</v>
      </c>
      <c r="BI64" s="348">
        <f t="shared" si="25"/>
        <v>0.18702002710435175</v>
      </c>
      <c r="BJ64" s="348">
        <f t="shared" si="25"/>
        <v>0.20212301875817945</v>
      </c>
      <c r="BK64" s="348">
        <f t="shared" si="25"/>
        <v>0.20785842831433712</v>
      </c>
      <c r="BL64" s="448">
        <f t="shared" si="25"/>
        <v>0.21904188008436276</v>
      </c>
      <c r="BM64" s="447" t="e">
        <f>VLOOKUP($AL64,#REF!,BM$37,FALSE)</f>
        <v>#REF!</v>
      </c>
      <c r="BN64" s="348" t="e">
        <f>VLOOKUP($AL64,#REF!,BN$37,FALSE)</f>
        <v>#REF!</v>
      </c>
      <c r="BO64" s="348" t="e">
        <f>VLOOKUP($AL64,#REF!,BO$37,FALSE)</f>
        <v>#REF!</v>
      </c>
      <c r="BP64" s="348" t="e">
        <f>VLOOKUP($AL64,#REF!,BP$37,FALSE)</f>
        <v>#REF!</v>
      </c>
      <c r="BQ64" s="448" t="e">
        <f>VLOOKUP($AL64,#REF!,BQ$37,FALSE)</f>
        <v>#REF!</v>
      </c>
      <c r="BR64" s="348" t="b">
        <f t="shared" si="20"/>
        <v>0</v>
      </c>
      <c r="BS64" s="447">
        <f t="shared" si="26"/>
        <v>0.93724696356275305</v>
      </c>
      <c r="BT64" s="348">
        <f t="shared" si="26"/>
        <v>0.92191075514874143</v>
      </c>
      <c r="BU64" s="348">
        <f t="shared" si="26"/>
        <v>0.90516782099094295</v>
      </c>
      <c r="BV64" s="348">
        <f t="shared" si="26"/>
        <v>0.91762721394433511</v>
      </c>
      <c r="BW64" s="448">
        <f t="shared" si="26"/>
        <v>0.91481481481481486</v>
      </c>
    </row>
    <row r="65" spans="1:75" s="81" customFormat="1" ht="14.25" customHeight="1" thickBot="1" x14ac:dyDescent="0.25">
      <c r="A65" s="118"/>
      <c r="B65" s="363"/>
      <c r="C65" s="363"/>
      <c r="D65" s="58"/>
      <c r="E65" s="58"/>
      <c r="F65" s="58"/>
      <c r="G65" s="58"/>
      <c r="H65" s="58"/>
      <c r="I65" s="58"/>
      <c r="J65" s="12"/>
      <c r="K65" s="9"/>
      <c r="L65" s="111"/>
      <c r="M65" s="1802" t="str">
        <f>AA4</f>
        <v>Selected LA- (none)</v>
      </c>
      <c r="N65" s="1803"/>
      <c r="O65" s="1803"/>
      <c r="P65" s="1803"/>
      <c r="Q65" s="110"/>
      <c r="R65" s="1806" t="s">
        <v>187</v>
      </c>
      <c r="S65" s="1806"/>
      <c r="T65" s="1806"/>
      <c r="U65" s="1807"/>
      <c r="V65" s="117"/>
      <c r="W65" s="137"/>
      <c r="X65" s="150"/>
      <c r="AK65" s="161"/>
      <c r="AL65" s="74" t="str">
        <f>AA4</f>
        <v>Selected LA- (none)</v>
      </c>
      <c r="AM65" s="148" t="e">
        <f>VLOOKUP($Z4,$B$10:$O$32,AM$37,FALSE)</f>
        <v>#N/A</v>
      </c>
      <c r="AN65" s="148" t="e">
        <f>VLOOKUP($Z4,$B$10:$O$32,AN$37,FALSE)</f>
        <v>#N/A</v>
      </c>
      <c r="AO65" s="148" t="e">
        <f>VLOOKUP($Z4,$B$10:$O$32,AO$37,FALSE)</f>
        <v>#N/A</v>
      </c>
      <c r="AP65" s="148" t="e">
        <f>VLOOKUP($Z4,$B$10:$O$32,AP$37,FALSE)</f>
        <v>#N/A</v>
      </c>
      <c r="AQ65" s="148" t="e">
        <f>VLOOKUP($Z4,$B$10:$O$32,AQ$37,FALSE)</f>
        <v>#N/A</v>
      </c>
      <c r="AR65" s="147" t="e">
        <f>VLOOKUP(Z4,$B$10:$U$33,$AR$37,FALSE)</f>
        <v>#N/A</v>
      </c>
      <c r="AS65" s="447" t="e">
        <f>VLOOKUP($Z4,$B$112:$H$135,AS$37,FALSE)</f>
        <v>#N/A</v>
      </c>
      <c r="AT65" s="348" t="e">
        <f t="shared" ref="AT65:AW65" si="27">VLOOKUP($Z4,$B$112:$H$135,AT$37,FALSE)</f>
        <v>#N/A</v>
      </c>
      <c r="AU65" s="348" t="e">
        <f t="shared" si="27"/>
        <v>#N/A</v>
      </c>
      <c r="AV65" s="348" t="e">
        <f t="shared" si="27"/>
        <v>#N/A</v>
      </c>
      <c r="AW65" s="448" t="e">
        <f t="shared" si="27"/>
        <v>#N/A</v>
      </c>
      <c r="AX65" s="348" t="e">
        <f>VLOOKUP($Z4,$B$148:$H$171,AX$37,FALSE)</f>
        <v>#N/A</v>
      </c>
      <c r="AY65" s="348" t="e">
        <f t="shared" ref="AY65:BB65" si="28">VLOOKUP($Z4,$B$148:$H$171,AY$37,FALSE)</f>
        <v>#N/A</v>
      </c>
      <c r="AZ65" s="348" t="e">
        <f t="shared" si="28"/>
        <v>#N/A</v>
      </c>
      <c r="BA65" s="348" t="e">
        <f t="shared" si="28"/>
        <v>#N/A</v>
      </c>
      <c r="BB65" s="348" t="e">
        <f t="shared" si="28"/>
        <v>#N/A</v>
      </c>
      <c r="BC65" s="449" t="e">
        <f>VLOOKUP($Z$4,$B$220:$H$243,BC$37,FALSE)</f>
        <v>#N/A</v>
      </c>
      <c r="BD65" s="450" t="e">
        <f>VLOOKUP($Z$4,$B$220:$H$243,BD$37,FALSE)</f>
        <v>#N/A</v>
      </c>
      <c r="BE65" s="450" t="e">
        <f>VLOOKUP($Z$4,$B$220:$H$243,BE$37,FALSE)</f>
        <v>#N/A</v>
      </c>
      <c r="BF65" s="450" t="e">
        <f>VLOOKUP($Z$4,$B$220:$H$243,BF$37,FALSE)</f>
        <v>#N/A</v>
      </c>
      <c r="BG65" s="451" t="e">
        <f>VLOOKUP($Z$4,$B$220:$H$243,BG$37,FALSE)</f>
        <v>#N/A</v>
      </c>
      <c r="BH65" s="449" t="e">
        <f>VLOOKUP($Z$4,$B$256:$H$279,BH$37,FALSE)</f>
        <v>#N/A</v>
      </c>
      <c r="BI65" s="450" t="e">
        <f>VLOOKUP($Z$4,$B$256:$H$279,BI$37,FALSE)</f>
        <v>#N/A</v>
      </c>
      <c r="BJ65" s="450" t="e">
        <f>VLOOKUP($Z$4,$B$256:$H$279,BJ$37,FALSE)</f>
        <v>#N/A</v>
      </c>
      <c r="BK65" s="450" t="e">
        <f>VLOOKUP($Z$4,$B$256:$H$279,BK$37,FALSE)</f>
        <v>#N/A</v>
      </c>
      <c r="BL65" s="451" t="e">
        <f>VLOOKUP($Z$4,$B$256:$H$279,BL$37,FALSE)</f>
        <v>#N/A</v>
      </c>
      <c r="BM65" s="452" t="e">
        <f>VLOOKUP($Z$4,#REF!,BM$37,FALSE)</f>
        <v>#REF!</v>
      </c>
      <c r="BN65" s="453" t="e">
        <f>VLOOKUP($Z$4,#REF!,BN$37,FALSE)</f>
        <v>#REF!</v>
      </c>
      <c r="BO65" s="453" t="e">
        <f>VLOOKUP($Z$4,#REF!,BO$37,FALSE)</f>
        <v>#REF!</v>
      </c>
      <c r="BP65" s="453" t="e">
        <f>VLOOKUP($Z$4,#REF!,BP$37,FALSE)</f>
        <v>#REF!</v>
      </c>
      <c r="BQ65" s="454" t="e">
        <f>VLOOKUP($Z$4,#REF!,BQ$37,FALSE)</f>
        <v>#REF!</v>
      </c>
      <c r="BR65" s="348" t="b">
        <f t="shared" si="20"/>
        <v>0</v>
      </c>
      <c r="BS65" s="449" t="e">
        <f>VLOOKUP($Z$4,$B$184:$H$207,BS$37,FALSE)</f>
        <v>#N/A</v>
      </c>
      <c r="BT65" s="450" t="e">
        <f>VLOOKUP($Z$4,$B$184:$H$207,BT$37,FALSE)</f>
        <v>#N/A</v>
      </c>
      <c r="BU65" s="450" t="e">
        <f>VLOOKUP($Z$4,$B$184:$H$207,BU$37,FALSE)</f>
        <v>#N/A</v>
      </c>
      <c r="BV65" s="450" t="e">
        <f>VLOOKUP($Z$4,$B$184:$H$207,BV$37,FALSE)</f>
        <v>#N/A</v>
      </c>
      <c r="BW65" s="451" t="e">
        <f>VLOOKUP($Z$4,$B$184:$H$207,BW$37,FALSE)</f>
        <v>#N/A</v>
      </c>
    </row>
    <row r="66" spans="1:75" s="81" customFormat="1" ht="39.950000000000003" customHeight="1" x14ac:dyDescent="0.2">
      <c r="A66" s="118"/>
      <c r="B66" s="363"/>
      <c r="C66" s="363"/>
      <c r="D66" s="58"/>
      <c r="E66" s="58"/>
      <c r="F66" s="58"/>
      <c r="G66" s="58"/>
      <c r="H66" s="58"/>
      <c r="I66" s="58"/>
      <c r="J66" s="12"/>
      <c r="K66" s="9"/>
      <c r="L66" s="9"/>
      <c r="M66" s="9"/>
      <c r="N66" s="9"/>
      <c r="O66" s="9"/>
      <c r="P66" s="9"/>
      <c r="Q66" s="9"/>
      <c r="R66" s="9"/>
      <c r="S66" s="9"/>
      <c r="T66" s="9"/>
      <c r="U66" s="9"/>
      <c r="V66" s="117"/>
      <c r="W66" s="137"/>
      <c r="X66" s="150"/>
      <c r="AK66" s="161"/>
    </row>
    <row r="67" spans="1:75" s="87" customFormat="1" ht="39" customHeight="1" x14ac:dyDescent="0.2">
      <c r="A67" s="121"/>
      <c r="B67" s="109"/>
      <c r="C67" s="109"/>
      <c r="D67" s="109"/>
      <c r="E67" s="109"/>
      <c r="F67" s="109"/>
      <c r="G67" s="109"/>
      <c r="H67" s="109"/>
      <c r="I67" s="109"/>
      <c r="J67" s="96"/>
      <c r="K67" s="85"/>
      <c r="L67" s="85"/>
      <c r="M67" s="85"/>
      <c r="N67" s="85"/>
      <c r="O67" s="85"/>
      <c r="P67" s="85"/>
      <c r="Q67" s="85"/>
      <c r="R67" s="85"/>
      <c r="S67" s="85"/>
      <c r="T67" s="85"/>
      <c r="U67" s="85"/>
      <c r="V67" s="122"/>
      <c r="W67" s="139"/>
      <c r="X67" s="152"/>
      <c r="AE67" s="190"/>
      <c r="AF67" s="190"/>
      <c r="AG67" s="190"/>
      <c r="AH67" s="190"/>
      <c r="AI67" s="190"/>
      <c r="AJ67" s="202"/>
      <c r="AK67" s="160"/>
    </row>
    <row r="68" spans="1:75" s="87" customFormat="1" ht="48" customHeight="1" x14ac:dyDescent="0.2">
      <c r="A68" s="121"/>
      <c r="B68" s="109"/>
      <c r="C68" s="109"/>
      <c r="D68" s="109"/>
      <c r="E68" s="109"/>
      <c r="F68" s="109"/>
      <c r="G68" s="109"/>
      <c r="H68" s="109"/>
      <c r="I68" s="109"/>
      <c r="J68" s="96"/>
      <c r="K68" s="85"/>
      <c r="L68" s="85"/>
      <c r="M68" s="85"/>
      <c r="N68" s="85"/>
      <c r="O68" s="85"/>
      <c r="P68" s="85"/>
      <c r="Q68" s="85"/>
      <c r="R68" s="85"/>
      <c r="S68" s="85"/>
      <c r="T68" s="85"/>
      <c r="U68" s="85"/>
      <c r="V68" s="122"/>
      <c r="W68" s="139"/>
      <c r="X68" s="152"/>
      <c r="AE68" s="190"/>
      <c r="AF68" s="190"/>
      <c r="AG68" s="190"/>
      <c r="AH68" s="190"/>
      <c r="AI68" s="190"/>
      <c r="AJ68" s="202"/>
      <c r="AK68" s="160"/>
    </row>
    <row r="69" spans="1:75" ht="7.5" customHeight="1" x14ac:dyDescent="0.2">
      <c r="A69" s="118"/>
      <c r="B69" s="17"/>
      <c r="C69" s="17"/>
      <c r="D69" s="16"/>
      <c r="E69" s="16"/>
      <c r="F69" s="16"/>
      <c r="G69" s="16"/>
      <c r="H69" s="16"/>
      <c r="I69" s="16"/>
      <c r="J69" s="12"/>
      <c r="K69" s="18"/>
      <c r="L69" s="18"/>
      <c r="M69" s="18"/>
      <c r="N69" s="18"/>
      <c r="O69" s="18"/>
      <c r="P69" s="18"/>
      <c r="Q69" s="18"/>
      <c r="R69" s="18"/>
      <c r="S69" s="18"/>
      <c r="T69" s="18"/>
      <c r="U69" s="19"/>
      <c r="V69" s="117"/>
      <c r="W69" s="137"/>
      <c r="X69" s="150"/>
      <c r="Y69" s="87"/>
      <c r="Z69" s="87"/>
      <c r="AA69" s="87"/>
      <c r="AB69" s="87"/>
      <c r="AC69" s="87"/>
      <c r="AD69" s="87"/>
      <c r="AJ69" s="184"/>
      <c r="AK69" s="157"/>
    </row>
    <row r="70" spans="1:75" ht="15" customHeight="1" x14ac:dyDescent="0.2">
      <c r="A70" s="1716"/>
      <c r="B70" s="1760"/>
      <c r="C70" s="1760"/>
      <c r="D70" s="1760"/>
      <c r="E70" s="1760"/>
      <c r="F70" s="1760"/>
      <c r="G70" s="1760"/>
      <c r="H70" s="1760"/>
      <c r="I70" s="1760"/>
      <c r="J70" s="1760"/>
      <c r="K70" s="1760"/>
      <c r="L70" s="1760"/>
      <c r="M70" s="1760"/>
      <c r="N70" s="1760"/>
      <c r="O70" s="1760"/>
      <c r="P70" s="1760"/>
      <c r="Q70" s="1760"/>
      <c r="R70" s="1760"/>
      <c r="S70" s="1760"/>
      <c r="T70" s="1760"/>
      <c r="U70" s="1760"/>
      <c r="V70" s="1761"/>
      <c r="W70" s="137"/>
      <c r="X70" s="150"/>
      <c r="Y70" s="87"/>
      <c r="Z70" s="87"/>
      <c r="AA70" s="87"/>
      <c r="AB70" s="87"/>
      <c r="AC70" s="87"/>
      <c r="AD70" s="87"/>
      <c r="AJ70" s="184"/>
      <c r="AK70" s="157"/>
    </row>
    <row r="71" spans="1:75" ht="11.1" customHeight="1" x14ac:dyDescent="0.2">
      <c r="A71" s="1765" t="str">
        <f>Home!$A$39</f>
        <v xml:space="preserve"> </v>
      </c>
      <c r="B71" s="1766"/>
      <c r="C71" s="1766"/>
      <c r="D71" s="1766"/>
      <c r="E71" s="1766"/>
      <c r="F71" s="1766"/>
      <c r="G71" s="1766"/>
      <c r="H71" s="1766"/>
      <c r="I71" s="1767"/>
      <c r="J71" s="1766"/>
      <c r="K71" s="1766"/>
      <c r="L71" s="1766"/>
      <c r="M71" s="1766"/>
      <c r="N71" s="1766"/>
      <c r="O71" s="1766"/>
      <c r="P71" s="1768"/>
      <c r="Q71" s="1766"/>
      <c r="R71" s="1766"/>
      <c r="S71" s="1766"/>
      <c r="T71" s="1767"/>
      <c r="U71" s="1766"/>
      <c r="V71" s="1769"/>
      <c r="W71" s="137"/>
      <c r="X71" s="150"/>
      <c r="Y71" s="87"/>
      <c r="Z71" s="87"/>
      <c r="AA71" s="87"/>
      <c r="AB71" s="87"/>
      <c r="AC71" s="87"/>
      <c r="AD71" s="87"/>
      <c r="AJ71" s="184"/>
      <c r="AK71" s="157"/>
    </row>
    <row r="72" spans="1:75" ht="11.25" customHeight="1" x14ac:dyDescent="0.2">
      <c r="A72" s="112"/>
      <c r="B72" s="113"/>
      <c r="C72" s="113"/>
      <c r="D72" s="113"/>
      <c r="E72" s="113"/>
      <c r="F72" s="113"/>
      <c r="G72" s="113"/>
      <c r="H72" s="113"/>
      <c r="I72" s="113"/>
      <c r="J72" s="114"/>
      <c r="K72" s="113"/>
      <c r="L72" s="113"/>
      <c r="M72" s="113"/>
      <c r="N72" s="113"/>
      <c r="O72" s="113"/>
      <c r="P72" s="113"/>
      <c r="Q72" s="113"/>
      <c r="R72" s="113"/>
      <c r="S72" s="113"/>
      <c r="T72" s="113"/>
      <c r="U72" s="113"/>
      <c r="V72" s="115"/>
      <c r="W72" s="137"/>
      <c r="X72" s="150"/>
      <c r="Y72" s="87"/>
      <c r="Z72" s="87"/>
      <c r="AA72" s="87"/>
      <c r="AB72" s="87"/>
      <c r="AC72" s="87"/>
      <c r="AD72" s="87"/>
      <c r="AJ72" s="184"/>
      <c r="AK72" s="157"/>
    </row>
    <row r="73" spans="1:75" s="76" customFormat="1" ht="15" customHeight="1" x14ac:dyDescent="0.2">
      <c r="A73" s="119"/>
      <c r="B73" s="59"/>
      <c r="C73" s="362"/>
      <c r="D73" s="362"/>
      <c r="E73" s="362"/>
      <c r="F73" s="362"/>
      <c r="G73" s="362"/>
      <c r="H73" s="362"/>
      <c r="I73" s="362"/>
      <c r="J73" s="70"/>
      <c r="K73" s="70"/>
      <c r="L73" s="70"/>
      <c r="M73" s="70"/>
      <c r="N73" s="359"/>
      <c r="O73" s="70"/>
      <c r="P73" s="70"/>
      <c r="Q73" s="70"/>
      <c r="R73" s="70"/>
      <c r="S73" s="70"/>
      <c r="T73" s="70"/>
      <c r="U73" s="70"/>
      <c r="V73" s="120"/>
      <c r="W73" s="138"/>
      <c r="X73" s="151"/>
      <c r="Y73" s="188"/>
      <c r="Z73" s="188"/>
      <c r="AA73" s="188"/>
      <c r="AB73" s="188"/>
      <c r="AC73" s="188"/>
      <c r="AD73" s="188"/>
      <c r="AE73" s="188"/>
      <c r="AF73" s="188"/>
      <c r="AG73" s="188"/>
      <c r="AH73" s="188"/>
      <c r="AI73" s="188"/>
      <c r="AJ73" s="188"/>
      <c r="AK73" s="158"/>
    </row>
    <row r="74" spans="1:75" ht="13.5" customHeight="1" x14ac:dyDescent="0.2">
      <c r="A74" s="118"/>
      <c r="B74" s="362"/>
      <c r="C74" s="362"/>
      <c r="D74" s="362"/>
      <c r="E74" s="362"/>
      <c r="F74" s="362"/>
      <c r="G74" s="362"/>
      <c r="H74" s="362"/>
      <c r="I74" s="362"/>
      <c r="J74" s="70"/>
      <c r="K74" s="70"/>
      <c r="L74" s="70"/>
      <c r="M74" s="70"/>
      <c r="N74" s="359"/>
      <c r="O74" s="70"/>
      <c r="P74" s="70"/>
      <c r="Q74" s="70"/>
      <c r="R74" s="10"/>
      <c r="S74" s="70"/>
      <c r="T74" s="70"/>
      <c r="U74" s="70"/>
      <c r="V74" s="117"/>
      <c r="W74" s="137"/>
      <c r="X74" s="150"/>
      <c r="Y74" s="188"/>
      <c r="Z74" s="188"/>
      <c r="AA74" s="196"/>
      <c r="AB74" s="196"/>
      <c r="AC74" s="197"/>
      <c r="AD74" s="197"/>
      <c r="AJ74" s="184"/>
      <c r="AK74" s="157"/>
    </row>
    <row r="75" spans="1:75" s="87" customFormat="1" ht="12" customHeight="1" x14ac:dyDescent="0.2">
      <c r="A75" s="121"/>
      <c r="B75" s="362"/>
      <c r="C75" s="362"/>
      <c r="D75" s="362"/>
      <c r="E75" s="362"/>
      <c r="F75" s="362"/>
      <c r="G75" s="362"/>
      <c r="H75" s="362"/>
      <c r="I75" s="96"/>
      <c r="J75" s="96"/>
      <c r="K75" s="61"/>
      <c r="L75" s="61"/>
      <c r="M75" s="61"/>
      <c r="N75" s="61"/>
      <c r="O75" s="61"/>
      <c r="P75" s="61"/>
      <c r="Q75" s="365"/>
      <c r="R75" s="365"/>
      <c r="S75" s="159"/>
      <c r="T75" s="159"/>
      <c r="U75" s="366"/>
      <c r="V75" s="122"/>
      <c r="W75" s="139"/>
      <c r="X75" s="152"/>
      <c r="Y75" s="188"/>
      <c r="Z75" s="188"/>
      <c r="AA75" s="196"/>
      <c r="AB75" s="196"/>
      <c r="AC75" s="197"/>
      <c r="AD75" s="197"/>
      <c r="AE75" s="199"/>
      <c r="AF75" s="190"/>
      <c r="AG75" s="190"/>
      <c r="AH75" s="190"/>
      <c r="AI75" s="190"/>
      <c r="AJ75" s="202"/>
      <c r="AK75" s="160"/>
    </row>
    <row r="76" spans="1:75" s="87" customFormat="1" ht="24" customHeight="1" x14ac:dyDescent="0.2">
      <c r="A76" s="121"/>
      <c r="B76" s="362"/>
      <c r="C76" s="362"/>
      <c r="D76" s="362"/>
      <c r="E76" s="362"/>
      <c r="F76" s="362"/>
      <c r="G76" s="362"/>
      <c r="H76" s="362"/>
      <c r="I76" s="96"/>
      <c r="J76" s="96"/>
      <c r="K76" s="166"/>
      <c r="L76" s="166"/>
      <c r="M76" s="166"/>
      <c r="N76" s="166"/>
      <c r="O76" s="166"/>
      <c r="P76" s="166"/>
      <c r="Q76" s="166"/>
      <c r="R76" s="167"/>
      <c r="S76" s="159"/>
      <c r="T76" s="159"/>
      <c r="U76" s="166"/>
      <c r="V76" s="122"/>
      <c r="W76" s="139"/>
      <c r="X76" s="152"/>
      <c r="Y76" s="575"/>
      <c r="Z76" s="354" t="s">
        <v>130</v>
      </c>
      <c r="AA76" s="354" t="s">
        <v>131</v>
      </c>
      <c r="AB76" s="196"/>
      <c r="AC76" s="197"/>
      <c r="AD76" s="197"/>
      <c r="AE76" s="199"/>
      <c r="AF76" s="190"/>
      <c r="AG76" s="190"/>
      <c r="AH76" s="190"/>
      <c r="AI76" s="190"/>
      <c r="AJ76" s="202"/>
      <c r="AK76" s="160"/>
    </row>
    <row r="77" spans="1:75" s="87" customFormat="1" ht="12.75" customHeight="1" x14ac:dyDescent="0.2">
      <c r="A77" s="121"/>
      <c r="B77" s="362"/>
      <c r="C77" s="362"/>
      <c r="D77" s="362"/>
      <c r="E77" s="362"/>
      <c r="F77" s="362"/>
      <c r="G77" s="362"/>
      <c r="H77" s="362"/>
      <c r="I77" s="96"/>
      <c r="J77" s="96"/>
      <c r="K77" s="166"/>
      <c r="L77" s="166"/>
      <c r="M77" s="166"/>
      <c r="N77" s="166"/>
      <c r="O77" s="166"/>
      <c r="P77" s="166"/>
      <c r="Q77" s="166"/>
      <c r="R77" s="167"/>
      <c r="S77" s="159"/>
      <c r="T77" s="159"/>
      <c r="U77" s="166"/>
      <c r="V77" s="122"/>
      <c r="W77" s="139"/>
      <c r="X77" s="152"/>
      <c r="Y77" s="576" t="str">
        <f>B10</f>
        <v>Bracknell Forest</v>
      </c>
      <c r="Z77" s="356" t="e">
        <f>IF(Y77=$Z$4,I10,#N/A)</f>
        <v>#N/A</v>
      </c>
      <c r="AA77" s="356" t="e">
        <f>IF(Y77=$Z$4,U10,#N/A)</f>
        <v>#N/A</v>
      </c>
      <c r="AB77" s="196"/>
      <c r="AC77" s="197"/>
      <c r="AD77" s="197"/>
      <c r="AE77" s="199"/>
      <c r="AF77" s="190"/>
      <c r="AG77" s="190"/>
      <c r="AH77" s="190"/>
      <c r="AI77" s="190"/>
      <c r="AJ77" s="202"/>
      <c r="AK77" s="160"/>
    </row>
    <row r="78" spans="1:75" s="87" customFormat="1" ht="12.75" customHeight="1" x14ac:dyDescent="0.2">
      <c r="A78" s="121"/>
      <c r="B78" s="362"/>
      <c r="C78" s="362"/>
      <c r="D78" s="362"/>
      <c r="E78" s="362"/>
      <c r="F78" s="362"/>
      <c r="G78" s="362"/>
      <c r="H78" s="362"/>
      <c r="I78" s="96"/>
      <c r="J78" s="96"/>
      <c r="K78" s="166"/>
      <c r="L78" s="166"/>
      <c r="M78" s="166"/>
      <c r="N78" s="166"/>
      <c r="O78" s="166"/>
      <c r="P78" s="166"/>
      <c r="Q78" s="166"/>
      <c r="R78" s="167"/>
      <c r="S78" s="159"/>
      <c r="T78" s="159"/>
      <c r="U78" s="166"/>
      <c r="V78" s="122"/>
      <c r="W78" s="139"/>
      <c r="X78" s="152"/>
      <c r="Y78" s="576" t="str">
        <f t="shared" ref="Y78:Y98" si="29">B11</f>
        <v>Brighton &amp; Hove</v>
      </c>
      <c r="Z78" s="356" t="e">
        <f t="shared" ref="Z78:Z100" si="30">IF(Y78=$Z$4,I11,#N/A)</f>
        <v>#N/A</v>
      </c>
      <c r="AA78" s="356" t="e">
        <f t="shared" ref="AA78:AA100" si="31">IF(Y78=$Z$4,U11,#N/A)</f>
        <v>#N/A</v>
      </c>
      <c r="AB78" s="196"/>
      <c r="AC78" s="197"/>
      <c r="AD78" s="197"/>
      <c r="AE78" s="199"/>
      <c r="AF78" s="190"/>
      <c r="AG78" s="190"/>
      <c r="AH78" s="190"/>
      <c r="AI78" s="190"/>
      <c r="AJ78" s="202"/>
      <c r="AK78" s="160"/>
    </row>
    <row r="79" spans="1:75" s="87" customFormat="1" ht="12.75" customHeight="1" x14ac:dyDescent="0.2">
      <c r="A79" s="121"/>
      <c r="B79" s="362"/>
      <c r="C79" s="362"/>
      <c r="D79" s="362"/>
      <c r="E79" s="362"/>
      <c r="F79" s="362"/>
      <c r="G79" s="362"/>
      <c r="H79" s="362"/>
      <c r="I79" s="96"/>
      <c r="J79" s="96"/>
      <c r="K79" s="166"/>
      <c r="L79" s="166"/>
      <c r="M79" s="166"/>
      <c r="N79" s="166"/>
      <c r="O79" s="166"/>
      <c r="P79" s="166"/>
      <c r="Q79" s="166"/>
      <c r="R79" s="167"/>
      <c r="S79" s="159"/>
      <c r="T79" s="159"/>
      <c r="U79" s="166"/>
      <c r="V79" s="122"/>
      <c r="W79" s="139"/>
      <c r="X79" s="152"/>
      <c r="Y79" s="576" t="str">
        <f t="shared" si="29"/>
        <v>Buckinghamshire</v>
      </c>
      <c r="Z79" s="356" t="e">
        <f t="shared" si="30"/>
        <v>#N/A</v>
      </c>
      <c r="AA79" s="356" t="e">
        <f t="shared" si="31"/>
        <v>#N/A</v>
      </c>
      <c r="AB79" s="196"/>
      <c r="AC79" s="197"/>
      <c r="AD79" s="197"/>
      <c r="AE79" s="199"/>
      <c r="AF79" s="190"/>
      <c r="AG79" s="190"/>
      <c r="AH79" s="190"/>
      <c r="AI79" s="190"/>
      <c r="AJ79" s="202"/>
      <c r="AK79" s="160"/>
    </row>
    <row r="80" spans="1:75" s="87" customFormat="1" ht="12.75" customHeight="1" x14ac:dyDescent="0.2">
      <c r="A80" s="121"/>
      <c r="B80" s="362"/>
      <c r="C80" s="362"/>
      <c r="D80" s="362"/>
      <c r="E80" s="362"/>
      <c r="F80" s="362"/>
      <c r="G80" s="362"/>
      <c r="H80" s="362"/>
      <c r="I80" s="96"/>
      <c r="J80" s="96"/>
      <c r="K80" s="166"/>
      <c r="L80" s="166"/>
      <c r="M80" s="166"/>
      <c r="N80" s="166"/>
      <c r="O80" s="166"/>
      <c r="P80" s="166"/>
      <c r="Q80" s="166"/>
      <c r="R80" s="167"/>
      <c r="S80" s="159"/>
      <c r="T80" s="159"/>
      <c r="U80" s="166"/>
      <c r="V80" s="122"/>
      <c r="W80" s="139"/>
      <c r="X80" s="152"/>
      <c r="Y80" s="576" t="str">
        <f t="shared" si="29"/>
        <v>East Sussex</v>
      </c>
      <c r="Z80" s="356" t="e">
        <f t="shared" si="30"/>
        <v>#N/A</v>
      </c>
      <c r="AA80" s="356" t="e">
        <f t="shared" si="31"/>
        <v>#N/A</v>
      </c>
      <c r="AB80" s="196"/>
      <c r="AC80" s="197"/>
      <c r="AD80" s="197"/>
      <c r="AE80" s="199"/>
      <c r="AF80" s="190"/>
      <c r="AG80" s="190"/>
      <c r="AH80" s="190"/>
      <c r="AI80" s="190"/>
      <c r="AJ80" s="202"/>
      <c r="AK80" s="160"/>
    </row>
    <row r="81" spans="1:45" s="87" customFormat="1" ht="12.75" customHeight="1" x14ac:dyDescent="0.2">
      <c r="A81" s="121"/>
      <c r="B81" s="362"/>
      <c r="C81" s="362"/>
      <c r="D81" s="362"/>
      <c r="E81" s="362"/>
      <c r="F81" s="362"/>
      <c r="G81" s="362"/>
      <c r="H81" s="362"/>
      <c r="I81" s="96"/>
      <c r="J81" s="96"/>
      <c r="K81" s="166"/>
      <c r="L81" s="166"/>
      <c r="M81" s="166"/>
      <c r="N81" s="166"/>
      <c r="O81" s="166"/>
      <c r="P81" s="166"/>
      <c r="Q81" s="166"/>
      <c r="R81" s="167"/>
      <c r="S81" s="159"/>
      <c r="T81" s="159"/>
      <c r="U81" s="166"/>
      <c r="V81" s="122"/>
      <c r="W81" s="139"/>
      <c r="X81" s="152"/>
      <c r="Y81" s="576" t="str">
        <f t="shared" si="29"/>
        <v>Hampshire</v>
      </c>
      <c r="Z81" s="356" t="e">
        <f t="shared" si="30"/>
        <v>#N/A</v>
      </c>
      <c r="AA81" s="356" t="e">
        <f t="shared" si="31"/>
        <v>#N/A</v>
      </c>
      <c r="AB81" s="196"/>
      <c r="AC81" s="197"/>
      <c r="AD81" s="197"/>
      <c r="AE81" s="199"/>
      <c r="AF81" s="190"/>
      <c r="AG81" s="190"/>
      <c r="AH81" s="190"/>
      <c r="AI81" s="190"/>
      <c r="AJ81" s="202"/>
      <c r="AK81" s="160"/>
      <c r="AS81" s="87" t="s">
        <v>102</v>
      </c>
    </row>
    <row r="82" spans="1:45" s="87" customFormat="1" ht="12.75" customHeight="1" x14ac:dyDescent="0.2">
      <c r="A82" s="121"/>
      <c r="B82" s="362"/>
      <c r="C82" s="362"/>
      <c r="D82" s="362"/>
      <c r="E82" s="362"/>
      <c r="F82" s="362"/>
      <c r="G82" s="362"/>
      <c r="H82" s="362"/>
      <c r="I82" s="96"/>
      <c r="J82" s="96"/>
      <c r="K82" s="166"/>
      <c r="L82" s="166"/>
      <c r="M82" s="166"/>
      <c r="N82" s="166"/>
      <c r="O82" s="166"/>
      <c r="P82" s="166"/>
      <c r="Q82" s="166"/>
      <c r="R82" s="167"/>
      <c r="S82" s="159"/>
      <c r="T82" s="159"/>
      <c r="U82" s="166"/>
      <c r="V82" s="122"/>
      <c r="W82" s="139"/>
      <c r="X82" s="152"/>
      <c r="Y82" s="576" t="str">
        <f t="shared" si="29"/>
        <v>Isle of Wight</v>
      </c>
      <c r="Z82" s="356" t="e">
        <f t="shared" si="30"/>
        <v>#N/A</v>
      </c>
      <c r="AA82" s="356" t="e">
        <f t="shared" si="31"/>
        <v>#N/A</v>
      </c>
      <c r="AB82" s="196"/>
      <c r="AC82" s="197"/>
      <c r="AD82" s="197"/>
      <c r="AE82" s="199"/>
      <c r="AF82" s="190"/>
      <c r="AG82" s="190"/>
      <c r="AH82" s="190"/>
      <c r="AI82" s="190"/>
      <c r="AJ82" s="202"/>
      <c r="AK82" s="160"/>
    </row>
    <row r="83" spans="1:45" s="87" customFormat="1" ht="12.75" customHeight="1" x14ac:dyDescent="0.2">
      <c r="A83" s="121"/>
      <c r="B83" s="362"/>
      <c r="C83" s="362"/>
      <c r="D83" s="362"/>
      <c r="E83" s="362"/>
      <c r="F83" s="362"/>
      <c r="G83" s="362"/>
      <c r="H83" s="362"/>
      <c r="I83" s="96"/>
      <c r="J83" s="96"/>
      <c r="K83" s="166"/>
      <c r="L83" s="166"/>
      <c r="M83" s="166"/>
      <c r="N83" s="166"/>
      <c r="O83" s="166"/>
      <c r="P83" s="166"/>
      <c r="Q83" s="166"/>
      <c r="R83" s="167"/>
      <c r="S83" s="159"/>
      <c r="T83" s="159"/>
      <c r="U83" s="166"/>
      <c r="V83" s="122"/>
      <c r="W83" s="139"/>
      <c r="X83" s="152"/>
      <c r="Y83" s="576" t="str">
        <f t="shared" si="29"/>
        <v>Kent</v>
      </c>
      <c r="Z83" s="356" t="e">
        <f t="shared" si="30"/>
        <v>#N/A</v>
      </c>
      <c r="AA83" s="356" t="e">
        <f t="shared" si="31"/>
        <v>#N/A</v>
      </c>
      <c r="AB83" s="196"/>
      <c r="AC83" s="197"/>
      <c r="AD83" s="197"/>
      <c r="AE83" s="199"/>
      <c r="AF83" s="190"/>
      <c r="AG83" s="190"/>
      <c r="AH83" s="190"/>
      <c r="AI83" s="190"/>
      <c r="AJ83" s="202"/>
      <c r="AK83" s="160"/>
    </row>
    <row r="84" spans="1:45" s="87" customFormat="1" ht="12.75" customHeight="1" x14ac:dyDescent="0.2">
      <c r="A84" s="121"/>
      <c r="B84" s="362"/>
      <c r="C84" s="362"/>
      <c r="D84" s="362"/>
      <c r="E84" s="362"/>
      <c r="F84" s="362"/>
      <c r="G84" s="362"/>
      <c r="H84" s="362"/>
      <c r="I84" s="96"/>
      <c r="J84" s="96"/>
      <c r="K84" s="166"/>
      <c r="L84" s="166"/>
      <c r="M84" s="166"/>
      <c r="N84" s="166"/>
      <c r="O84" s="166"/>
      <c r="P84" s="166"/>
      <c r="Q84" s="166"/>
      <c r="R84" s="167"/>
      <c r="S84" s="159"/>
      <c r="T84" s="159"/>
      <c r="U84" s="166"/>
      <c r="V84" s="122"/>
      <c r="W84" s="139"/>
      <c r="X84" s="152"/>
      <c r="Y84" s="576" t="str">
        <f t="shared" si="29"/>
        <v>Medway</v>
      </c>
      <c r="Z84" s="356" t="e">
        <f t="shared" si="30"/>
        <v>#N/A</v>
      </c>
      <c r="AA84" s="356" t="e">
        <f t="shared" si="31"/>
        <v>#N/A</v>
      </c>
      <c r="AB84" s="196"/>
      <c r="AC84" s="197"/>
      <c r="AD84" s="197"/>
      <c r="AE84" s="199"/>
      <c r="AF84" s="190"/>
      <c r="AG84" s="190"/>
      <c r="AH84" s="190"/>
      <c r="AI84" s="190"/>
      <c r="AJ84" s="202"/>
      <c r="AK84" s="160"/>
    </row>
    <row r="85" spans="1:45" s="87" customFormat="1" ht="12.75" customHeight="1" x14ac:dyDescent="0.2">
      <c r="A85" s="121"/>
      <c r="B85" s="362"/>
      <c r="C85" s="362"/>
      <c r="D85" s="362"/>
      <c r="E85" s="362"/>
      <c r="F85" s="362"/>
      <c r="G85" s="362"/>
      <c r="H85" s="362"/>
      <c r="I85" s="96"/>
      <c r="J85" s="96"/>
      <c r="K85" s="166"/>
      <c r="L85" s="166"/>
      <c r="M85" s="166"/>
      <c r="N85" s="166"/>
      <c r="O85" s="166"/>
      <c r="P85" s="166"/>
      <c r="Q85" s="166"/>
      <c r="R85" s="167"/>
      <c r="S85" s="159"/>
      <c r="T85" s="159"/>
      <c r="U85" s="166"/>
      <c r="V85" s="122"/>
      <c r="W85" s="139"/>
      <c r="X85" s="152"/>
      <c r="Y85" s="576" t="str">
        <f t="shared" si="29"/>
        <v>Milton Keynes</v>
      </c>
      <c r="Z85" s="356" t="e">
        <f t="shared" si="30"/>
        <v>#N/A</v>
      </c>
      <c r="AA85" s="356" t="e">
        <f t="shared" si="31"/>
        <v>#N/A</v>
      </c>
      <c r="AB85" s="196"/>
      <c r="AC85" s="197"/>
      <c r="AD85" s="197"/>
      <c r="AE85" s="199"/>
      <c r="AF85" s="190"/>
      <c r="AG85" s="190"/>
      <c r="AH85" s="190"/>
      <c r="AI85" s="190"/>
      <c r="AJ85" s="202"/>
      <c r="AK85" s="160"/>
    </row>
    <row r="86" spans="1:45" s="87" customFormat="1" ht="12.75" customHeight="1" x14ac:dyDescent="0.2">
      <c r="A86" s="121"/>
      <c r="B86" s="362"/>
      <c r="C86" s="362"/>
      <c r="D86" s="362"/>
      <c r="E86" s="362"/>
      <c r="F86" s="362"/>
      <c r="G86" s="362"/>
      <c r="H86" s="362"/>
      <c r="I86" s="96"/>
      <c r="J86" s="96"/>
      <c r="K86" s="166"/>
      <c r="L86" s="166"/>
      <c r="M86" s="166"/>
      <c r="N86" s="166"/>
      <c r="O86" s="166"/>
      <c r="P86" s="166"/>
      <c r="Q86" s="166"/>
      <c r="R86" s="167"/>
      <c r="S86" s="159"/>
      <c r="T86" s="159"/>
      <c r="U86" s="166"/>
      <c r="V86" s="122"/>
      <c r="W86" s="139"/>
      <c r="X86" s="152"/>
      <c r="Y86" s="576" t="str">
        <f t="shared" si="29"/>
        <v>Oxfordshire</v>
      </c>
      <c r="Z86" s="356" t="e">
        <f t="shared" si="30"/>
        <v>#N/A</v>
      </c>
      <c r="AA86" s="356" t="e">
        <f t="shared" si="31"/>
        <v>#N/A</v>
      </c>
      <c r="AB86" s="196"/>
      <c r="AC86" s="197"/>
      <c r="AD86" s="197"/>
      <c r="AE86" s="199"/>
      <c r="AF86" s="190"/>
      <c r="AG86" s="190"/>
      <c r="AH86" s="190"/>
      <c r="AI86" s="190"/>
      <c r="AJ86" s="202"/>
      <c r="AK86" s="160"/>
    </row>
    <row r="87" spans="1:45" s="87" customFormat="1" ht="12.75" customHeight="1" x14ac:dyDescent="0.2">
      <c r="A87" s="121"/>
      <c r="B87" s="362"/>
      <c r="C87" s="362"/>
      <c r="D87" s="362"/>
      <c r="E87" s="362"/>
      <c r="F87" s="362"/>
      <c r="G87" s="362"/>
      <c r="H87" s="362"/>
      <c r="I87" s="96"/>
      <c r="J87" s="96"/>
      <c r="K87" s="166"/>
      <c r="L87" s="166"/>
      <c r="M87" s="166"/>
      <c r="N87" s="166"/>
      <c r="O87" s="166"/>
      <c r="P87" s="166"/>
      <c r="Q87" s="166"/>
      <c r="R87" s="167"/>
      <c r="S87" s="159"/>
      <c r="T87" s="159"/>
      <c r="U87" s="166"/>
      <c r="V87" s="122"/>
      <c r="W87" s="139"/>
      <c r="X87" s="152"/>
      <c r="Y87" s="576" t="str">
        <f t="shared" si="29"/>
        <v>Portsmouth</v>
      </c>
      <c r="Z87" s="356" t="e">
        <f t="shared" si="30"/>
        <v>#N/A</v>
      </c>
      <c r="AA87" s="356" t="e">
        <f t="shared" si="31"/>
        <v>#N/A</v>
      </c>
      <c r="AB87" s="196"/>
      <c r="AC87" s="197"/>
      <c r="AD87" s="197"/>
      <c r="AE87" s="199"/>
      <c r="AF87" s="190"/>
      <c r="AG87" s="190"/>
      <c r="AH87" s="190"/>
      <c r="AI87" s="190"/>
      <c r="AJ87" s="202"/>
      <c r="AK87" s="160"/>
    </row>
    <row r="88" spans="1:45" s="87" customFormat="1" ht="12.75" customHeight="1" x14ac:dyDescent="0.2">
      <c r="A88" s="121"/>
      <c r="B88" s="362"/>
      <c r="C88" s="362"/>
      <c r="D88" s="362"/>
      <c r="E88" s="362"/>
      <c r="F88" s="362"/>
      <c r="G88" s="362"/>
      <c r="H88" s="362"/>
      <c r="I88" s="96"/>
      <c r="J88" s="96"/>
      <c r="K88" s="166"/>
      <c r="L88" s="166"/>
      <c r="M88" s="166"/>
      <c r="N88" s="166"/>
      <c r="O88" s="166"/>
      <c r="P88" s="166"/>
      <c r="Q88" s="166"/>
      <c r="R88" s="167"/>
      <c r="S88" s="159"/>
      <c r="T88" s="159"/>
      <c r="U88" s="166"/>
      <c r="V88" s="122"/>
      <c r="W88" s="139"/>
      <c r="X88" s="152"/>
      <c r="Y88" s="576" t="str">
        <f t="shared" si="29"/>
        <v>Reading</v>
      </c>
      <c r="Z88" s="356" t="e">
        <f t="shared" si="30"/>
        <v>#N/A</v>
      </c>
      <c r="AA88" s="356" t="e">
        <f t="shared" si="31"/>
        <v>#N/A</v>
      </c>
      <c r="AB88" s="196"/>
      <c r="AC88" s="197"/>
      <c r="AD88" s="197"/>
      <c r="AE88" s="199"/>
      <c r="AF88" s="190"/>
      <c r="AG88" s="190"/>
      <c r="AH88" s="190"/>
      <c r="AI88" s="190"/>
      <c r="AJ88" s="202"/>
      <c r="AK88" s="160"/>
    </row>
    <row r="89" spans="1:45" s="87" customFormat="1" ht="12.75" customHeight="1" x14ac:dyDescent="0.2">
      <c r="A89" s="121"/>
      <c r="B89" s="362"/>
      <c r="C89" s="362"/>
      <c r="D89" s="362"/>
      <c r="E89" s="362"/>
      <c r="F89" s="362"/>
      <c r="G89" s="362"/>
      <c r="H89" s="362"/>
      <c r="I89" s="96"/>
      <c r="J89" s="96"/>
      <c r="K89" s="166"/>
      <c r="L89" s="166"/>
      <c r="M89" s="166"/>
      <c r="N89" s="166"/>
      <c r="O89" s="166"/>
      <c r="P89" s="166"/>
      <c r="Q89" s="166"/>
      <c r="R89" s="167"/>
      <c r="S89" s="159"/>
      <c r="T89" s="159"/>
      <c r="U89" s="166"/>
      <c r="V89" s="122"/>
      <c r="W89" s="139"/>
      <c r="X89" s="152"/>
      <c r="Y89" s="576" t="str">
        <f t="shared" si="29"/>
        <v>Slough</v>
      </c>
      <c r="Z89" s="356" t="e">
        <f t="shared" si="30"/>
        <v>#N/A</v>
      </c>
      <c r="AA89" s="356" t="e">
        <f t="shared" si="31"/>
        <v>#N/A</v>
      </c>
      <c r="AB89" s="196"/>
      <c r="AC89" s="197"/>
      <c r="AD89" s="197"/>
      <c r="AE89" s="199"/>
      <c r="AF89" s="190"/>
      <c r="AG89" s="190"/>
      <c r="AH89" s="190"/>
      <c r="AI89" s="190"/>
      <c r="AJ89" s="202"/>
      <c r="AK89" s="160"/>
    </row>
    <row r="90" spans="1:45" s="87" customFormat="1" ht="12.75" customHeight="1" x14ac:dyDescent="0.2">
      <c r="A90" s="121"/>
      <c r="B90" s="362"/>
      <c r="C90" s="362"/>
      <c r="D90" s="362"/>
      <c r="E90" s="362"/>
      <c r="F90" s="362"/>
      <c r="G90" s="362"/>
      <c r="H90" s="362"/>
      <c r="I90" s="96"/>
      <c r="J90" s="96"/>
      <c r="K90" s="166"/>
      <c r="L90" s="166"/>
      <c r="M90" s="166"/>
      <c r="N90" s="166"/>
      <c r="O90" s="166"/>
      <c r="P90" s="166"/>
      <c r="Q90" s="166"/>
      <c r="R90" s="167"/>
      <c r="S90" s="159"/>
      <c r="T90" s="159"/>
      <c r="U90" s="166"/>
      <c r="V90" s="122"/>
      <c r="W90" s="139"/>
      <c r="X90" s="152"/>
      <c r="Y90" s="576" t="str">
        <f t="shared" si="29"/>
        <v>Somerset</v>
      </c>
      <c r="Z90" s="356" t="e">
        <f t="shared" si="30"/>
        <v>#N/A</v>
      </c>
      <c r="AA90" s="356" t="e">
        <f t="shared" si="31"/>
        <v>#N/A</v>
      </c>
      <c r="AB90" s="196"/>
      <c r="AC90" s="197"/>
      <c r="AD90" s="197"/>
      <c r="AE90" s="199"/>
      <c r="AF90" s="190"/>
      <c r="AG90" s="190"/>
      <c r="AH90" s="190"/>
      <c r="AI90" s="190"/>
      <c r="AJ90" s="202"/>
      <c r="AK90" s="160"/>
    </row>
    <row r="91" spans="1:45" s="87" customFormat="1" ht="12.75" customHeight="1" x14ac:dyDescent="0.2">
      <c r="A91" s="121"/>
      <c r="B91" s="362"/>
      <c r="C91" s="362"/>
      <c r="D91" s="362"/>
      <c r="E91" s="362"/>
      <c r="F91" s="362"/>
      <c r="G91" s="362"/>
      <c r="H91" s="362"/>
      <c r="I91" s="96"/>
      <c r="J91" s="96"/>
      <c r="K91" s="166"/>
      <c r="L91" s="166"/>
      <c r="M91" s="166"/>
      <c r="N91" s="166"/>
      <c r="O91" s="166"/>
      <c r="P91" s="166"/>
      <c r="Q91" s="166"/>
      <c r="R91" s="167"/>
      <c r="S91" s="159"/>
      <c r="T91" s="159"/>
      <c r="U91" s="166"/>
      <c r="V91" s="122"/>
      <c r="W91" s="139"/>
      <c r="X91" s="152"/>
      <c r="Y91" s="576" t="str">
        <f t="shared" si="29"/>
        <v>Southampton</v>
      </c>
      <c r="Z91" s="356" t="e">
        <f t="shared" si="30"/>
        <v>#N/A</v>
      </c>
      <c r="AA91" s="356" t="e">
        <f t="shared" si="31"/>
        <v>#N/A</v>
      </c>
      <c r="AB91" s="196"/>
      <c r="AC91" s="197"/>
      <c r="AD91" s="197"/>
      <c r="AE91" s="199"/>
      <c r="AF91" s="190"/>
      <c r="AG91" s="190"/>
      <c r="AH91" s="190"/>
      <c r="AI91" s="190"/>
      <c r="AJ91" s="202"/>
      <c r="AK91" s="160"/>
    </row>
    <row r="92" spans="1:45" s="87" customFormat="1" ht="12.75" customHeight="1" x14ac:dyDescent="0.2">
      <c r="A92" s="292"/>
      <c r="B92" s="362"/>
      <c r="C92" s="362"/>
      <c r="D92" s="362"/>
      <c r="E92" s="362"/>
      <c r="F92" s="362"/>
      <c r="G92" s="362"/>
      <c r="H92" s="362"/>
      <c r="I92" s="96"/>
      <c r="J92" s="96"/>
      <c r="K92" s="166"/>
      <c r="L92" s="166"/>
      <c r="M92" s="166"/>
      <c r="N92" s="166"/>
      <c r="O92" s="166"/>
      <c r="P92" s="166"/>
      <c r="Q92" s="166"/>
      <c r="R92" s="167"/>
      <c r="S92" s="159"/>
      <c r="T92" s="159"/>
      <c r="U92" s="166"/>
      <c r="V92" s="122"/>
      <c r="W92" s="139"/>
      <c r="X92" s="152"/>
      <c r="Y92" s="576" t="str">
        <f t="shared" si="29"/>
        <v>Surrey</v>
      </c>
      <c r="Z92" s="356" t="e">
        <f t="shared" si="30"/>
        <v>#N/A</v>
      </c>
      <c r="AA92" s="356" t="e">
        <f t="shared" si="31"/>
        <v>#N/A</v>
      </c>
      <c r="AB92" s="196"/>
      <c r="AC92" s="197"/>
      <c r="AD92" s="197"/>
      <c r="AE92" s="199"/>
      <c r="AF92" s="190"/>
      <c r="AG92" s="190"/>
      <c r="AH92" s="190"/>
      <c r="AI92" s="190"/>
      <c r="AJ92" s="202"/>
      <c r="AK92" s="160"/>
    </row>
    <row r="93" spans="1:45" s="87" customFormat="1" ht="12.75" customHeight="1" x14ac:dyDescent="0.2">
      <c r="A93" s="292"/>
      <c r="B93" s="362"/>
      <c r="C93" s="362"/>
      <c r="D93" s="362"/>
      <c r="E93" s="362"/>
      <c r="F93" s="362"/>
      <c r="G93" s="362"/>
      <c r="H93" s="362"/>
      <c r="I93" s="96"/>
      <c r="J93" s="96"/>
      <c r="K93" s="166"/>
      <c r="L93" s="166"/>
      <c r="M93" s="166"/>
      <c r="N93" s="166"/>
      <c r="O93" s="166"/>
      <c r="P93" s="166"/>
      <c r="Q93" s="166"/>
      <c r="R93" s="167"/>
      <c r="S93" s="159"/>
      <c r="T93" s="159"/>
      <c r="U93" s="166"/>
      <c r="V93" s="122"/>
      <c r="W93" s="139"/>
      <c r="X93" s="152"/>
      <c r="Y93" s="576" t="str">
        <f t="shared" si="29"/>
        <v>Swindon</v>
      </c>
      <c r="Z93" s="356" t="e">
        <f t="shared" si="30"/>
        <v>#N/A</v>
      </c>
      <c r="AA93" s="356" t="e">
        <f t="shared" si="31"/>
        <v>#N/A</v>
      </c>
      <c r="AB93" s="196"/>
      <c r="AC93" s="197"/>
      <c r="AD93" s="197"/>
      <c r="AE93" s="199"/>
      <c r="AF93" s="190"/>
      <c r="AG93" s="190"/>
      <c r="AH93" s="190"/>
      <c r="AI93" s="190"/>
      <c r="AJ93" s="202"/>
      <c r="AK93" s="160"/>
    </row>
    <row r="94" spans="1:45" s="87" customFormat="1" ht="12.75" customHeight="1" x14ac:dyDescent="0.2">
      <c r="A94" s="121"/>
      <c r="B94" s="362"/>
      <c r="C94" s="362"/>
      <c r="D94" s="362"/>
      <c r="E94" s="362"/>
      <c r="F94" s="362"/>
      <c r="G94" s="362"/>
      <c r="H94" s="362"/>
      <c r="I94" s="96"/>
      <c r="J94" s="96"/>
      <c r="K94" s="166"/>
      <c r="L94" s="166"/>
      <c r="M94" s="166"/>
      <c r="N94" s="166"/>
      <c r="O94" s="166"/>
      <c r="P94" s="166"/>
      <c r="Q94" s="166"/>
      <c r="R94" s="167"/>
      <c r="S94" s="159"/>
      <c r="T94" s="159"/>
      <c r="U94" s="166"/>
      <c r="V94" s="122"/>
      <c r="W94" s="139"/>
      <c r="X94" s="152"/>
      <c r="Y94" s="576" t="str">
        <f t="shared" si="29"/>
        <v>Torbay</v>
      </c>
      <c r="Z94" s="356" t="e">
        <f t="shared" si="30"/>
        <v>#N/A</v>
      </c>
      <c r="AA94" s="356" t="e">
        <f t="shared" si="31"/>
        <v>#N/A</v>
      </c>
      <c r="AB94" s="196"/>
      <c r="AC94" s="197"/>
      <c r="AD94" s="197"/>
      <c r="AE94" s="199"/>
      <c r="AF94" s="202"/>
      <c r="AG94" s="190"/>
      <c r="AH94" s="190"/>
      <c r="AI94" s="190"/>
      <c r="AJ94" s="202"/>
      <c r="AK94" s="160"/>
    </row>
    <row r="95" spans="1:45" s="87" customFormat="1" ht="12.75" customHeight="1" x14ac:dyDescent="0.2">
      <c r="A95" s="121"/>
      <c r="B95" s="362"/>
      <c r="C95" s="362"/>
      <c r="D95" s="362"/>
      <c r="E95" s="362"/>
      <c r="F95" s="362"/>
      <c r="G95" s="362"/>
      <c r="H95" s="362"/>
      <c r="I95" s="96"/>
      <c r="J95" s="96"/>
      <c r="K95" s="166"/>
      <c r="L95" s="166"/>
      <c r="M95" s="166"/>
      <c r="N95" s="166"/>
      <c r="O95" s="166"/>
      <c r="P95" s="166"/>
      <c r="Q95" s="166"/>
      <c r="R95" s="167"/>
      <c r="S95" s="159"/>
      <c r="T95" s="159"/>
      <c r="U95" s="166"/>
      <c r="V95" s="122"/>
      <c r="W95" s="139"/>
      <c r="X95" s="152"/>
      <c r="Y95" s="576" t="str">
        <f t="shared" si="29"/>
        <v>West Berkshire</v>
      </c>
      <c r="Z95" s="356" t="e">
        <f t="shared" si="30"/>
        <v>#N/A</v>
      </c>
      <c r="AA95" s="356" t="e">
        <f t="shared" si="31"/>
        <v>#N/A</v>
      </c>
      <c r="AB95" s="196"/>
      <c r="AC95" s="197"/>
      <c r="AD95" s="197"/>
      <c r="AE95" s="199"/>
      <c r="AF95" s="202"/>
      <c r="AG95" s="190"/>
      <c r="AH95" s="190"/>
      <c r="AI95" s="190"/>
      <c r="AJ95" s="202"/>
      <c r="AK95" s="160"/>
    </row>
    <row r="96" spans="1:45" s="87" customFormat="1" ht="12.75" customHeight="1" x14ac:dyDescent="0.2">
      <c r="A96" s="121"/>
      <c r="B96" s="362"/>
      <c r="C96" s="362"/>
      <c r="D96" s="362"/>
      <c r="E96" s="362"/>
      <c r="F96" s="362"/>
      <c r="G96" s="362"/>
      <c r="H96" s="362"/>
      <c r="I96" s="96"/>
      <c r="J96" s="96"/>
      <c r="K96" s="166"/>
      <c r="L96" s="166"/>
      <c r="M96" s="166"/>
      <c r="N96" s="166"/>
      <c r="O96" s="166"/>
      <c r="P96" s="166"/>
      <c r="Q96" s="166"/>
      <c r="R96" s="167"/>
      <c r="S96" s="159"/>
      <c r="T96" s="159"/>
      <c r="U96" s="166"/>
      <c r="V96" s="122"/>
      <c r="W96" s="139"/>
      <c r="X96" s="152"/>
      <c r="Y96" s="576" t="str">
        <f t="shared" si="29"/>
        <v>West Sussex</v>
      </c>
      <c r="Z96" s="356" t="e">
        <f t="shared" si="30"/>
        <v>#N/A</v>
      </c>
      <c r="AA96" s="356" t="e">
        <f t="shared" si="31"/>
        <v>#N/A</v>
      </c>
      <c r="AB96" s="196"/>
      <c r="AC96" s="197"/>
      <c r="AD96" s="197"/>
      <c r="AE96" s="199"/>
      <c r="AF96" s="202"/>
      <c r="AG96" s="202"/>
      <c r="AH96" s="202"/>
      <c r="AI96" s="190"/>
      <c r="AJ96" s="202"/>
      <c r="AK96" s="160"/>
    </row>
    <row r="97" spans="1:46" s="87" customFormat="1" ht="12.75" customHeight="1" x14ac:dyDescent="0.2">
      <c r="A97" s="121"/>
      <c r="B97" s="362"/>
      <c r="C97" s="362"/>
      <c r="D97" s="362"/>
      <c r="E97" s="362"/>
      <c r="F97" s="362"/>
      <c r="G97" s="362"/>
      <c r="H97" s="362"/>
      <c r="I97" s="96"/>
      <c r="J97" s="96"/>
      <c r="K97" s="166"/>
      <c r="L97" s="166"/>
      <c r="M97" s="166"/>
      <c r="N97" s="166"/>
      <c r="O97" s="166"/>
      <c r="P97" s="166"/>
      <c r="Q97" s="166"/>
      <c r="R97" s="167"/>
      <c r="S97" s="159"/>
      <c r="T97" s="159"/>
      <c r="U97" s="166"/>
      <c r="V97" s="122"/>
      <c r="W97" s="139"/>
      <c r="X97" s="152"/>
      <c r="Y97" s="576" t="str">
        <f t="shared" si="29"/>
        <v>Windsor &amp; Maidenhead</v>
      </c>
      <c r="Z97" s="356" t="e">
        <f t="shared" si="30"/>
        <v>#N/A</v>
      </c>
      <c r="AA97" s="356" t="e">
        <f t="shared" si="31"/>
        <v>#N/A</v>
      </c>
      <c r="AB97" s="196"/>
      <c r="AC97" s="197"/>
      <c r="AD97" s="197"/>
      <c r="AE97" s="199"/>
      <c r="AF97" s="202"/>
      <c r="AG97" s="202"/>
      <c r="AH97" s="202"/>
      <c r="AI97" s="190"/>
      <c r="AJ97" s="202"/>
      <c r="AK97" s="160"/>
    </row>
    <row r="98" spans="1:46" s="87" customFormat="1" ht="12.75" customHeight="1" x14ac:dyDescent="0.2">
      <c r="A98" s="121"/>
      <c r="B98" s="362"/>
      <c r="C98" s="362"/>
      <c r="D98" s="362"/>
      <c r="E98" s="362"/>
      <c r="F98" s="362"/>
      <c r="G98" s="362"/>
      <c r="H98" s="362"/>
      <c r="I98" s="96"/>
      <c r="J98" s="96"/>
      <c r="K98" s="168"/>
      <c r="L98" s="168"/>
      <c r="M98" s="168"/>
      <c r="N98" s="168"/>
      <c r="O98" s="168"/>
      <c r="P98" s="168"/>
      <c r="Q98" s="168"/>
      <c r="R98" s="169"/>
      <c r="S98" s="159"/>
      <c r="T98" s="159"/>
      <c r="U98" s="170"/>
      <c r="V98" s="122"/>
      <c r="W98" s="139"/>
      <c r="X98" s="152"/>
      <c r="Y98" s="576" t="str">
        <f t="shared" si="29"/>
        <v>Wokingham</v>
      </c>
      <c r="Z98" s="356" t="e">
        <f t="shared" si="30"/>
        <v>#N/A</v>
      </c>
      <c r="AA98" s="356" t="e">
        <f t="shared" si="31"/>
        <v>#N/A</v>
      </c>
      <c r="AB98" s="196"/>
      <c r="AC98" s="197"/>
      <c r="AD98" s="197"/>
      <c r="AE98" s="199"/>
      <c r="AF98" s="202"/>
      <c r="AG98" s="202"/>
      <c r="AH98" s="202"/>
      <c r="AI98" s="190"/>
      <c r="AJ98" s="202"/>
      <c r="AK98" s="160"/>
    </row>
    <row r="99" spans="1:46" s="87" customFormat="1" ht="12.75" customHeight="1" x14ac:dyDescent="0.2">
      <c r="A99" s="121"/>
      <c r="B99" s="362"/>
      <c r="C99" s="362"/>
      <c r="D99" s="362"/>
      <c r="E99" s="362"/>
      <c r="F99" s="362"/>
      <c r="G99" s="362"/>
      <c r="H99" s="362"/>
      <c r="I99" s="96"/>
      <c r="J99" s="96"/>
      <c r="K99" s="168"/>
      <c r="L99" s="168"/>
      <c r="M99" s="168"/>
      <c r="N99" s="168"/>
      <c r="O99" s="168"/>
      <c r="P99" s="168"/>
      <c r="Q99" s="168"/>
      <c r="R99" s="169"/>
      <c r="S99" s="159"/>
      <c r="T99" s="159"/>
      <c r="U99" s="170"/>
      <c r="V99" s="122"/>
      <c r="W99" s="139"/>
      <c r="X99" s="152"/>
      <c r="Y99" s="576" t="str">
        <f>B32</f>
        <v>South East</v>
      </c>
      <c r="Z99" s="356" t="e">
        <f t="shared" si="30"/>
        <v>#N/A</v>
      </c>
      <c r="AA99" s="356" t="e">
        <f t="shared" si="31"/>
        <v>#N/A</v>
      </c>
      <c r="AB99" s="196"/>
      <c r="AC99" s="197"/>
      <c r="AD99" s="197"/>
      <c r="AE99" s="199"/>
      <c r="AF99" s="202"/>
      <c r="AG99" s="202"/>
      <c r="AH99" s="202"/>
      <c r="AI99" s="190"/>
      <c r="AJ99" s="202"/>
      <c r="AK99" s="160"/>
    </row>
    <row r="100" spans="1:46" s="87" customFormat="1" ht="11.1" customHeight="1" x14ac:dyDescent="0.2">
      <c r="A100" s="292"/>
      <c r="B100" s="362"/>
      <c r="C100" s="362"/>
      <c r="D100" s="362"/>
      <c r="E100" s="362"/>
      <c r="F100" s="362"/>
      <c r="G100" s="362"/>
      <c r="H100" s="362"/>
      <c r="I100" s="96"/>
      <c r="J100" s="96"/>
      <c r="K100" s="168"/>
      <c r="L100" s="168"/>
      <c r="M100" s="168"/>
      <c r="N100" s="168"/>
      <c r="O100" s="168"/>
      <c r="P100" s="168"/>
      <c r="Q100" s="168"/>
      <c r="R100" s="169"/>
      <c r="S100" s="159"/>
      <c r="T100" s="159"/>
      <c r="U100" s="170"/>
      <c r="V100" s="122"/>
      <c r="W100" s="139"/>
      <c r="X100" s="152"/>
      <c r="Y100" s="576" t="str">
        <f>B33</f>
        <v>England</v>
      </c>
      <c r="Z100" s="356" t="e">
        <f t="shared" si="30"/>
        <v>#N/A</v>
      </c>
      <c r="AA100" s="356" t="e">
        <f t="shared" si="31"/>
        <v>#N/A</v>
      </c>
      <c r="AB100" s="196"/>
      <c r="AC100" s="197"/>
      <c r="AD100" s="197"/>
      <c r="AE100" s="199"/>
      <c r="AF100" s="202"/>
      <c r="AG100" s="202"/>
      <c r="AH100" s="202"/>
      <c r="AI100" s="190"/>
      <c r="AJ100" s="202"/>
      <c r="AK100" s="160"/>
    </row>
    <row r="101" spans="1:46" s="81" customFormat="1" ht="35.450000000000003" customHeight="1" x14ac:dyDescent="0.2">
      <c r="A101" s="217"/>
      <c r="B101" s="362"/>
      <c r="C101" s="362"/>
      <c r="D101" s="362"/>
      <c r="E101" s="362"/>
      <c r="F101" s="362"/>
      <c r="G101" s="362"/>
      <c r="H101" s="362"/>
      <c r="I101" s="369"/>
      <c r="J101" s="172"/>
      <c r="K101" s="172"/>
      <c r="L101" s="172"/>
      <c r="M101" s="172"/>
      <c r="N101" s="172"/>
      <c r="O101" s="172"/>
      <c r="P101" s="172"/>
      <c r="Q101" s="172"/>
      <c r="R101" s="136"/>
      <c r="S101" s="172"/>
      <c r="T101" s="172"/>
      <c r="U101" s="172"/>
      <c r="V101" s="117"/>
      <c r="W101" s="137"/>
      <c r="X101" s="150"/>
      <c r="AD101" s="197"/>
      <c r="AE101" s="199"/>
      <c r="AF101" s="184"/>
      <c r="AG101" s="184"/>
      <c r="AH101" s="184"/>
      <c r="AJ101" s="184"/>
      <c r="AK101" s="161"/>
    </row>
    <row r="102" spans="1:46" s="81" customFormat="1" ht="36.6" customHeight="1" x14ac:dyDescent="0.2">
      <c r="A102" s="217"/>
      <c r="B102" s="362"/>
      <c r="C102" s="362"/>
      <c r="D102" s="362"/>
      <c r="E102" s="362"/>
      <c r="F102" s="362"/>
      <c r="G102" s="362"/>
      <c r="H102" s="362"/>
      <c r="I102" s="369"/>
      <c r="J102" s="172"/>
      <c r="K102" s="172"/>
      <c r="L102" s="172"/>
      <c r="M102" s="172"/>
      <c r="N102" s="172"/>
      <c r="O102" s="172"/>
      <c r="P102" s="172"/>
      <c r="Q102" s="172"/>
      <c r="R102" s="136"/>
      <c r="S102" s="172"/>
      <c r="T102" s="172"/>
      <c r="U102" s="172"/>
      <c r="V102" s="117"/>
      <c r="W102" s="137"/>
      <c r="X102" s="150"/>
      <c r="Z102" s="190"/>
      <c r="AE102" s="199"/>
      <c r="AF102" s="184"/>
      <c r="AG102" s="184"/>
      <c r="AH102" s="184"/>
      <c r="AJ102" s="184"/>
      <c r="AK102" s="161"/>
    </row>
    <row r="103" spans="1:46" s="81" customFormat="1" ht="45.75" customHeight="1" x14ac:dyDescent="0.2">
      <c r="A103" s="217"/>
      <c r="B103" s="369"/>
      <c r="C103" s="369"/>
      <c r="D103" s="369"/>
      <c r="E103" s="369"/>
      <c r="F103" s="369"/>
      <c r="G103" s="369"/>
      <c r="H103" s="369"/>
      <c r="I103" s="369"/>
      <c r="J103" s="172"/>
      <c r="K103" s="172"/>
      <c r="L103" s="172"/>
      <c r="M103" s="172"/>
      <c r="N103" s="172"/>
      <c r="O103" s="172"/>
      <c r="P103" s="172"/>
      <c r="Q103" s="172"/>
      <c r="R103" s="136"/>
      <c r="S103" s="172"/>
      <c r="T103" s="172"/>
      <c r="U103" s="172"/>
      <c r="V103" s="117"/>
      <c r="W103" s="137"/>
      <c r="X103" s="150"/>
      <c r="Z103" s="190"/>
      <c r="AE103" s="199"/>
      <c r="AF103" s="184"/>
      <c r="AG103" s="184"/>
      <c r="AH103" s="184"/>
      <c r="AJ103" s="184"/>
      <c r="AK103" s="161"/>
    </row>
    <row r="104" spans="1:46" s="81" customFormat="1" ht="7.5" customHeight="1" x14ac:dyDescent="0.2">
      <c r="A104" s="118"/>
      <c r="B104" s="17"/>
      <c r="C104" s="17"/>
      <c r="D104" s="16"/>
      <c r="E104" s="16"/>
      <c r="F104" s="16"/>
      <c r="G104" s="16"/>
      <c r="H104" s="16"/>
      <c r="I104" s="16"/>
      <c r="J104" s="12"/>
      <c r="K104" s="18"/>
      <c r="L104" s="18"/>
      <c r="M104" s="18"/>
      <c r="N104" s="18"/>
      <c r="O104" s="18"/>
      <c r="P104" s="18"/>
      <c r="Q104" s="18"/>
      <c r="R104" s="18"/>
      <c r="S104" s="18"/>
      <c r="T104" s="18"/>
      <c r="U104" s="19"/>
      <c r="V104" s="117"/>
      <c r="W104" s="137"/>
      <c r="X104" s="150"/>
      <c r="Z104" s="190"/>
      <c r="AJ104" s="184"/>
      <c r="AK104" s="157"/>
      <c r="AL104" s="74"/>
      <c r="AM104" s="74"/>
      <c r="AN104" s="74"/>
      <c r="AO104" s="74"/>
      <c r="AP104" s="74"/>
      <c r="AQ104" s="74"/>
      <c r="AR104" s="74"/>
    </row>
    <row r="105" spans="1:46" s="81" customFormat="1" ht="15" customHeight="1" x14ac:dyDescent="0.2">
      <c r="A105" s="1716"/>
      <c r="B105" s="1760"/>
      <c r="C105" s="1760"/>
      <c r="D105" s="1760"/>
      <c r="E105" s="1760"/>
      <c r="F105" s="1760"/>
      <c r="G105" s="1760"/>
      <c r="H105" s="1760"/>
      <c r="I105" s="1760"/>
      <c r="J105" s="1760"/>
      <c r="K105" s="1760"/>
      <c r="L105" s="1760"/>
      <c r="M105" s="1760"/>
      <c r="N105" s="1760"/>
      <c r="O105" s="1760"/>
      <c r="P105" s="1760"/>
      <c r="Q105" s="1760"/>
      <c r="R105" s="1760"/>
      <c r="S105" s="1760"/>
      <c r="T105" s="1760"/>
      <c r="U105" s="1760"/>
      <c r="V105" s="1761"/>
      <c r="W105" s="137"/>
      <c r="X105" s="150"/>
      <c r="Y105" s="188"/>
      <c r="Z105" s="188"/>
      <c r="AK105" s="161"/>
      <c r="AT105" s="74"/>
    </row>
    <row r="106" spans="1:46" s="81" customFormat="1" ht="11.1" customHeight="1" x14ac:dyDescent="0.2">
      <c r="A106" s="1765" t="str">
        <f>Home!$A$39</f>
        <v xml:space="preserve"> </v>
      </c>
      <c r="B106" s="1766"/>
      <c r="C106" s="1766"/>
      <c r="D106" s="1766"/>
      <c r="E106" s="1766"/>
      <c r="F106" s="1766"/>
      <c r="G106" s="1766"/>
      <c r="H106" s="1766"/>
      <c r="I106" s="1767"/>
      <c r="J106" s="1766"/>
      <c r="K106" s="1766"/>
      <c r="L106" s="1766"/>
      <c r="M106" s="1766"/>
      <c r="N106" s="1766"/>
      <c r="O106" s="1766"/>
      <c r="P106" s="1768"/>
      <c r="Q106" s="1766"/>
      <c r="R106" s="1766"/>
      <c r="S106" s="1766"/>
      <c r="T106" s="1767"/>
      <c r="U106" s="1766"/>
      <c r="V106" s="1769"/>
      <c r="W106" s="137"/>
      <c r="X106" s="150"/>
      <c r="Y106" s="188"/>
      <c r="Z106" s="188"/>
      <c r="AJ106" s="184"/>
      <c r="AK106" s="160"/>
      <c r="AL106" s="87"/>
      <c r="AT106" s="74"/>
    </row>
    <row r="107" spans="1:46" ht="11.25" customHeight="1" x14ac:dyDescent="0.2">
      <c r="A107" s="440"/>
      <c r="B107" s="218"/>
      <c r="C107" s="218"/>
      <c r="D107" s="218"/>
      <c r="E107" s="218"/>
      <c r="F107" s="218"/>
      <c r="G107" s="218"/>
      <c r="H107" s="218"/>
      <c r="I107" s="218"/>
      <c r="J107" s="114"/>
      <c r="K107" s="113"/>
      <c r="L107" s="113"/>
      <c r="M107" s="113"/>
      <c r="N107" s="113"/>
      <c r="O107" s="113"/>
      <c r="P107" s="113"/>
      <c r="Q107" s="113"/>
      <c r="R107" s="113"/>
      <c r="S107" s="113"/>
      <c r="T107" s="113"/>
      <c r="U107" s="113"/>
      <c r="V107" s="115"/>
      <c r="W107" s="137"/>
      <c r="X107" s="150"/>
      <c r="Y107" s="198"/>
      <c r="Z107" s="196"/>
      <c r="AA107" s="188"/>
      <c r="AJ107" s="184"/>
      <c r="AK107" s="157"/>
    </row>
    <row r="108" spans="1:46" s="76" customFormat="1" ht="15" customHeight="1" x14ac:dyDescent="0.2">
      <c r="A108" s="949"/>
      <c r="B108" s="1922" t="s">
        <v>665</v>
      </c>
      <c r="C108" s="1922"/>
      <c r="D108" s="1922"/>
      <c r="E108" s="1922"/>
      <c r="F108" s="1922"/>
      <c r="G108" s="1922"/>
      <c r="H108" s="1922"/>
      <c r="I108" s="1922"/>
      <c r="J108" s="70"/>
      <c r="K108" s="70"/>
      <c r="L108" s="70"/>
      <c r="M108" s="70"/>
      <c r="N108" s="825"/>
      <c r="O108" s="70"/>
      <c r="P108" s="70"/>
      <c r="Q108" s="70"/>
      <c r="R108" s="70"/>
      <c r="S108" s="70"/>
      <c r="T108" s="70"/>
      <c r="U108" s="70"/>
      <c r="V108" s="120"/>
      <c r="W108" s="138"/>
      <c r="X108" s="151"/>
      <c r="Y108" s="381" t="s">
        <v>692</v>
      </c>
      <c r="Z108" s="382"/>
      <c r="AA108" s="383"/>
      <c r="AB108" s="383"/>
      <c r="AC108" s="383"/>
      <c r="AD108" s="596"/>
      <c r="AE108" s="81"/>
      <c r="AF108" s="81"/>
      <c r="AG108" s="81"/>
      <c r="AH108" s="81"/>
      <c r="AI108" s="81"/>
      <c r="AJ108" s="184"/>
      <c r="AK108" s="157"/>
      <c r="AL108" s="74"/>
    </row>
    <row r="109" spans="1:46" ht="15" customHeight="1" x14ac:dyDescent="0.2">
      <c r="A109" s="950"/>
      <c r="B109" s="1922"/>
      <c r="C109" s="1922"/>
      <c r="D109" s="1922"/>
      <c r="E109" s="1922"/>
      <c r="F109" s="1922"/>
      <c r="G109" s="1922"/>
      <c r="H109" s="1922"/>
      <c r="I109" s="1922"/>
      <c r="J109" s="70"/>
      <c r="K109" s="70"/>
      <c r="L109" s="70"/>
      <c r="M109" s="70"/>
      <c r="N109" s="825"/>
      <c r="O109" s="70"/>
      <c r="P109" s="70"/>
      <c r="Q109" s="70"/>
      <c r="R109" s="10"/>
      <c r="S109" s="70"/>
      <c r="T109" s="70"/>
      <c r="U109" s="70"/>
      <c r="V109" s="117"/>
      <c r="W109" s="137"/>
      <c r="X109" s="150"/>
      <c r="Y109" s="383"/>
      <c r="Z109" s="382"/>
      <c r="AA109" s="383"/>
      <c r="AB109" s="383"/>
      <c r="AC109" s="383"/>
      <c r="AD109" s="596"/>
      <c r="AJ109" s="184"/>
      <c r="AK109" s="157"/>
    </row>
    <row r="110" spans="1:46" ht="13.5" customHeight="1" x14ac:dyDescent="0.2">
      <c r="A110" s="740"/>
      <c r="B110" s="1771" t="s">
        <v>205</v>
      </c>
      <c r="C110" s="921"/>
      <c r="D110" s="789" t="str">
        <f>Sheet1!$D$27</f>
        <v>2015-16</v>
      </c>
      <c r="E110" s="790" t="str">
        <f>Sheet1!$E$27</f>
        <v>2016-17</v>
      </c>
      <c r="F110" s="790" t="str">
        <f>Sheet1!$F$27</f>
        <v>2017-18</v>
      </c>
      <c r="G110" s="790" t="str">
        <f>Sheet1!$G$27</f>
        <v>2018-19</v>
      </c>
      <c r="H110" s="791" t="str">
        <f>Sheet1!$H$27</f>
        <v>2019-20</v>
      </c>
      <c r="I110" s="927"/>
      <c r="J110" s="70"/>
      <c r="K110" s="70"/>
      <c r="L110" s="70"/>
      <c r="M110" s="70"/>
      <c r="N110" s="918"/>
      <c r="O110" s="70"/>
      <c r="P110" s="70"/>
      <c r="Q110" s="70"/>
      <c r="R110" s="10"/>
      <c r="S110" s="70"/>
      <c r="T110" s="70"/>
      <c r="U110" s="70"/>
      <c r="V110" s="117"/>
      <c r="W110" s="137"/>
      <c r="X110" s="150"/>
      <c r="Y110" s="383"/>
      <c r="Z110" s="382"/>
      <c r="AA110" s="383"/>
      <c r="AB110" s="383"/>
      <c r="AC110" s="383"/>
      <c r="AD110" s="596"/>
      <c r="AJ110" s="184"/>
      <c r="AK110" s="157"/>
    </row>
    <row r="111" spans="1:46" s="87" customFormat="1" ht="13.5" customHeight="1" x14ac:dyDescent="0.2">
      <c r="A111" s="121"/>
      <c r="B111" s="1772"/>
      <c r="C111" s="85"/>
      <c r="D111" s="792" t="e">
        <f>Sheet1!$D$28</f>
        <v>#N/A</v>
      </c>
      <c r="E111" s="792" t="e">
        <f>Sheet1!$E$28</f>
        <v>#N/A</v>
      </c>
      <c r="F111" s="792" t="e">
        <f>Sheet1!$F$28</f>
        <v>#N/A</v>
      </c>
      <c r="G111" s="792" t="e">
        <f>Sheet1!$G$28</f>
        <v>#N/A</v>
      </c>
      <c r="H111" s="793" t="e">
        <f>Sheet1!$H$28</f>
        <v>#N/A</v>
      </c>
      <c r="I111" s="96"/>
      <c r="J111" s="96"/>
      <c r="K111" s="61"/>
      <c r="L111" s="61"/>
      <c r="M111" s="61"/>
      <c r="N111" s="61"/>
      <c r="O111" s="61"/>
      <c r="P111" s="61"/>
      <c r="Q111" s="828"/>
      <c r="R111" s="828"/>
      <c r="S111" s="159"/>
      <c r="T111" s="159"/>
      <c r="U111" s="829"/>
      <c r="V111" s="122"/>
      <c r="W111" s="139"/>
      <c r="X111" s="152"/>
      <c r="Y111" s="577"/>
      <c r="Z111" s="581" t="e">
        <f>D111</f>
        <v>#N/A</v>
      </c>
      <c r="AA111" s="489" t="e">
        <f t="shared" ref="AA111" si="32">E111</f>
        <v>#N/A</v>
      </c>
      <c r="AB111" s="489" t="e">
        <f t="shared" ref="AB111" si="33">F111</f>
        <v>#N/A</v>
      </c>
      <c r="AC111" s="489" t="e">
        <f t="shared" ref="AC111" si="34">G111</f>
        <v>#N/A</v>
      </c>
      <c r="AD111" s="578" t="e">
        <f t="shared" ref="AD111" si="35">H111</f>
        <v>#N/A</v>
      </c>
      <c r="AE111" s="81"/>
      <c r="AF111" s="81"/>
      <c r="AG111" s="81"/>
      <c r="AH111" s="81"/>
      <c r="AI111" s="81"/>
      <c r="AJ111" s="184"/>
      <c r="AK111" s="157"/>
      <c r="AL111" s="74"/>
    </row>
    <row r="112" spans="1:46" s="87" customFormat="1" ht="12.75" customHeight="1" x14ac:dyDescent="0.2">
      <c r="A112" s="488">
        <f>VLOOKUP(B112,Sheet1!$AQ$4:$AR$25,2,FALSE)</f>
        <v>0</v>
      </c>
      <c r="B112" s="93" t="str">
        <f t="shared" ref="B112:B135" si="36">B184</f>
        <v>Bracknell Forest</v>
      </c>
      <c r="C112" s="85"/>
      <c r="D112" s="162" t="e">
        <f t="shared" ref="D112:D135" si="37">IF(AND(ISNUMBER(D10),ISNUMBER(Z112)),Z112/D10,NA())</f>
        <v>#N/A</v>
      </c>
      <c r="E112" s="162" t="e">
        <f t="shared" ref="E112:H112" si="38">IF(AND(ISNUMBER(E10),ISNUMBER(AA112)),AA112/E10,NA())</f>
        <v>#N/A</v>
      </c>
      <c r="F112" s="162" t="e">
        <f t="shared" si="38"/>
        <v>#N/A</v>
      </c>
      <c r="G112" s="162">
        <f t="shared" si="38"/>
        <v>0</v>
      </c>
      <c r="H112" s="164" t="e">
        <f t="shared" si="38"/>
        <v>#N/A</v>
      </c>
      <c r="I112" s="96"/>
      <c r="J112" s="96"/>
      <c r="K112" s="166"/>
      <c r="L112" s="166"/>
      <c r="M112" s="166"/>
      <c r="N112" s="166"/>
      <c r="O112" s="166"/>
      <c r="P112" s="166"/>
      <c r="Q112" s="166"/>
      <c r="R112" s="167"/>
      <c r="S112" s="159"/>
      <c r="T112" s="159"/>
      <c r="U112" s="166"/>
      <c r="V112" s="122"/>
      <c r="W112" s="139"/>
      <c r="X112" s="152"/>
      <c r="Y112" s="577" t="str">
        <f>B112</f>
        <v>Bracknell Forest</v>
      </c>
      <c r="Z112" s="581" t="str">
        <f>IF(Year1_Bracknell_Forest Year1_CP_Plans_2years="","",Year1_Bracknell_Forest Year1_CP_Plans_2years)</f>
        <v/>
      </c>
      <c r="AA112" s="372" t="str">
        <f>IF(Year2_Bracknell_Forest Year2_CP_Plans_2years="","",Year2_Bracknell_Forest Year2_CP_Plans_2years)</f>
        <v/>
      </c>
      <c r="AB112" s="372" t="str">
        <f>IF(Year3_Bracknell_Forest Year3_CP_Plans_2years="","",Year3_Bracknell_Forest Year3_CP_Plans_2years)</f>
        <v/>
      </c>
      <c r="AC112" s="372">
        <f>IF(Year4_Bracknell_Forest Year4_CP_Plans_2years="","",Year4_Bracknell_Forest Year4_CP_Plans_2years)</f>
        <v>0</v>
      </c>
      <c r="AD112" s="577" t="str">
        <f>IF(Year5_Bracknell_Forest Year5_CP_Plans_2years="","",Year5_Bracknell_Forest Year5_CP_Plans_2years)</f>
        <v>c</v>
      </c>
      <c r="AE112" s="81"/>
      <c r="AF112" s="81"/>
      <c r="AG112" s="81"/>
      <c r="AH112" s="81"/>
      <c r="AI112" s="81"/>
      <c r="AJ112" s="184"/>
      <c r="AK112" s="157"/>
      <c r="AL112" s="74"/>
    </row>
    <row r="113" spans="1:45" s="87" customFormat="1" ht="12.75" customHeight="1" x14ac:dyDescent="0.2">
      <c r="A113" s="488">
        <f>VLOOKUP(B113,Sheet1!$AQ$4:$AR$25,2,FALSE)</f>
        <v>0</v>
      </c>
      <c r="B113" s="93" t="str">
        <f t="shared" si="36"/>
        <v>Brighton &amp; Hove</v>
      </c>
      <c r="C113" s="85"/>
      <c r="D113" s="162" t="e">
        <f t="shared" si="37"/>
        <v>#N/A</v>
      </c>
      <c r="E113" s="162" t="e">
        <f t="shared" ref="E113:E135" si="39">IF(AND(ISNUMBER(E11),ISNUMBER(AA113)),AA113/E11,NA())</f>
        <v>#N/A</v>
      </c>
      <c r="F113" s="162" t="e">
        <f t="shared" ref="F113:F135" si="40">IF(AND(ISNUMBER(F11),ISNUMBER(AB113)),AB113/F11,NA())</f>
        <v>#N/A</v>
      </c>
      <c r="G113" s="162">
        <f t="shared" ref="G113:G135" si="41">IF(AND(ISNUMBER(G11),ISNUMBER(AC113)),AC113/G11,NA())</f>
        <v>3.7974683544303799E-2</v>
      </c>
      <c r="H113" s="164">
        <f t="shared" ref="H113:H135" si="42">IF(AND(ISNUMBER(H11),ISNUMBER(AD113)),AD113/H11,NA())</f>
        <v>3.2835820895522387E-2</v>
      </c>
      <c r="I113" s="96"/>
      <c r="J113" s="96"/>
      <c r="K113" s="166"/>
      <c r="L113" s="166"/>
      <c r="M113" s="166"/>
      <c r="N113" s="166"/>
      <c r="O113" s="166"/>
      <c r="P113" s="166"/>
      <c r="Q113" s="166"/>
      <c r="R113" s="167"/>
      <c r="S113" s="159"/>
      <c r="T113" s="159"/>
      <c r="U113" s="166"/>
      <c r="V113" s="122"/>
      <c r="W113" s="139"/>
      <c r="X113" s="152"/>
      <c r="Y113" s="577" t="str">
        <f t="shared" ref="Y113:Y135" si="43">B113</f>
        <v>Brighton &amp; Hove</v>
      </c>
      <c r="Z113" s="581" t="str">
        <f>IF(Year1_Brighton_Hove Year1_CP_Plans_2years="","",Year1_Brighton_Hove Year1_CP_Plans_2years)</f>
        <v/>
      </c>
      <c r="AA113" s="372" t="str">
        <f>IF(Year2_Brighton_Hove Year2_CP_Plans_2years="","",Year2_Brighton_Hove Year2_CP_Plans_2years)</f>
        <v/>
      </c>
      <c r="AB113" s="372" t="str">
        <f>IF(Year3_Brighton_Hove Year3_CP_Plans_2years="","",Year3_Brighton_Hove Year3_CP_Plans_2years)</f>
        <v/>
      </c>
      <c r="AC113" s="372">
        <f>IF(Year4_Brighton_Hove Year4_CP_Plans_2years="","",Year4_Brighton_Hove Year4_CP_Plans_2years)</f>
        <v>12</v>
      </c>
      <c r="AD113" s="577">
        <f>IF(Year5_Brighton_Hove Year5_CP_Plans_2years="","",Year5_Brighton_Hove Year5_CP_Plans_2years)</f>
        <v>11</v>
      </c>
      <c r="AE113" s="81"/>
      <c r="AF113" s="81"/>
      <c r="AG113" s="81"/>
      <c r="AH113" s="81"/>
      <c r="AI113" s="81"/>
      <c r="AJ113" s="184"/>
      <c r="AK113" s="157"/>
      <c r="AL113" s="74"/>
    </row>
    <row r="114" spans="1:45" s="87" customFormat="1" ht="12.75" customHeight="1" x14ac:dyDescent="0.2">
      <c r="A114" s="488">
        <f>VLOOKUP(B114,Sheet1!$AQ$4:$AR$25,2,FALSE)</f>
        <v>0</v>
      </c>
      <c r="B114" s="93" t="str">
        <f t="shared" si="36"/>
        <v>Buckinghamshire</v>
      </c>
      <c r="C114" s="85"/>
      <c r="D114" s="162" t="e">
        <f t="shared" si="37"/>
        <v>#N/A</v>
      </c>
      <c r="E114" s="162" t="e">
        <f t="shared" si="39"/>
        <v>#N/A</v>
      </c>
      <c r="F114" s="162" t="e">
        <f t="shared" si="40"/>
        <v>#N/A</v>
      </c>
      <c r="G114" s="162">
        <f t="shared" si="41"/>
        <v>2.491103202846975E-2</v>
      </c>
      <c r="H114" s="164">
        <f t="shared" si="42"/>
        <v>2.9565217391304348E-2</v>
      </c>
      <c r="I114" s="96"/>
      <c r="J114" s="96"/>
      <c r="K114" s="166"/>
      <c r="L114" s="166"/>
      <c r="M114" s="166"/>
      <c r="N114" s="166"/>
      <c r="O114" s="166"/>
      <c r="P114" s="166"/>
      <c r="Q114" s="166"/>
      <c r="R114" s="167"/>
      <c r="S114" s="159"/>
      <c r="T114" s="159"/>
      <c r="U114" s="166"/>
      <c r="V114" s="122"/>
      <c r="W114" s="139"/>
      <c r="X114" s="152"/>
      <c r="Y114" s="577" t="str">
        <f t="shared" si="43"/>
        <v>Buckinghamshire</v>
      </c>
      <c r="Z114" s="581" t="str">
        <f>IF(Year1_Buckinghamshire Year1_CP_Plans_2years="","",Year1_Buckinghamshire Year1_CP_Plans_2years)</f>
        <v/>
      </c>
      <c r="AA114" s="372" t="str">
        <f>IF(Year2_Buckinghamshire Year2_CP_Plans_2years="","",Year2_Buckinghamshire Year2_CP_Plans_2years)</f>
        <v/>
      </c>
      <c r="AB114" s="372" t="str">
        <f>IF(Year3_Buckinghamshire Year3_CP_Plans_2years="","",Year3_Buckinghamshire Year3_CP_Plans_2years)</f>
        <v/>
      </c>
      <c r="AC114" s="372">
        <f>IF(Year4_Buckinghamshire Year4_CP_Plans_2years="","",Year4_Buckinghamshire Year4_CP_Plans_2years)</f>
        <v>14</v>
      </c>
      <c r="AD114" s="577">
        <f>IF(Year5_Buckinghamshire Year5_CP_Plans_2years="","",Year5_Buckinghamshire Year5_CP_Plans_2years)</f>
        <v>17</v>
      </c>
      <c r="AE114" s="81"/>
      <c r="AF114" s="81"/>
      <c r="AG114" s="81"/>
      <c r="AH114" s="81"/>
      <c r="AI114" s="81"/>
      <c r="AJ114" s="184"/>
      <c r="AK114" s="157"/>
      <c r="AL114" s="74"/>
    </row>
    <row r="115" spans="1:45" s="87" customFormat="1" ht="12.75" customHeight="1" x14ac:dyDescent="0.2">
      <c r="A115" s="488">
        <f>VLOOKUP(B115,Sheet1!$AQ$4:$AR$25,2,FALSE)</f>
        <v>0</v>
      </c>
      <c r="B115" s="93" t="str">
        <f t="shared" si="36"/>
        <v>East Sussex</v>
      </c>
      <c r="C115" s="85"/>
      <c r="D115" s="162" t="e">
        <f t="shared" si="37"/>
        <v>#N/A</v>
      </c>
      <c r="E115" s="162" t="e">
        <f t="shared" si="39"/>
        <v>#N/A</v>
      </c>
      <c r="F115" s="162" t="e">
        <f t="shared" si="40"/>
        <v>#N/A</v>
      </c>
      <c r="G115" s="162">
        <f t="shared" si="41"/>
        <v>4.3936731107205626E-2</v>
      </c>
      <c r="H115" s="164">
        <f t="shared" si="42"/>
        <v>3.9179104477611942E-2</v>
      </c>
      <c r="I115" s="96"/>
      <c r="J115" s="96"/>
      <c r="K115" s="166"/>
      <c r="L115" s="166"/>
      <c r="M115" s="166"/>
      <c r="N115" s="166"/>
      <c r="O115" s="166"/>
      <c r="P115" s="166"/>
      <c r="Q115" s="166"/>
      <c r="R115" s="167"/>
      <c r="S115" s="159"/>
      <c r="T115" s="159"/>
      <c r="U115" s="166"/>
      <c r="V115" s="122"/>
      <c r="W115" s="139"/>
      <c r="X115" s="152"/>
      <c r="Y115" s="577" t="str">
        <f t="shared" si="43"/>
        <v>East Sussex</v>
      </c>
      <c r="Z115" s="581" t="str">
        <f>IF(Year1_East_Sussex Year1_CP_Plans_2years="","",Year1_East_Sussex Year1_CP_Plans_2years)</f>
        <v/>
      </c>
      <c r="AA115" s="372" t="str">
        <f>IF(Year2_East_Sussex Year2_CP_Plans_2years="","",Year2_East_Sussex Year2_CP_Plans_2years)</f>
        <v/>
      </c>
      <c r="AB115" s="372" t="str">
        <f>IF(Year3_East_Sussex Year3_CP_Plans_2years="","",Year3_East_Sussex Year3_CP_Plans_2years)</f>
        <v/>
      </c>
      <c r="AC115" s="372">
        <f>IF(Year4_East_Sussex Year4_CP_Plans_2years="","",Year4_East_Sussex Year4_CP_Plans_2years)</f>
        <v>25</v>
      </c>
      <c r="AD115" s="577">
        <f>IF(Year5_East_Sussex Year5_CP_Plans_2years="","",Year5_East_Sussex Year5_CP_Plans_2years)</f>
        <v>21</v>
      </c>
      <c r="AE115" s="81"/>
      <c r="AF115" s="81"/>
      <c r="AG115" s="81"/>
      <c r="AH115" s="81"/>
      <c r="AI115" s="81"/>
      <c r="AJ115" s="184"/>
      <c r="AK115" s="157"/>
      <c r="AL115" s="74"/>
    </row>
    <row r="116" spans="1:45" s="87" customFormat="1" ht="12.75" customHeight="1" x14ac:dyDescent="0.2">
      <c r="A116" s="488">
        <f>VLOOKUP(B116,Sheet1!$AQ$4:$AR$25,2,FALSE)</f>
        <v>0</v>
      </c>
      <c r="B116" s="93" t="str">
        <f t="shared" si="36"/>
        <v>Hampshire</v>
      </c>
      <c r="C116" s="85"/>
      <c r="D116" s="162" t="e">
        <f t="shared" si="37"/>
        <v>#N/A</v>
      </c>
      <c r="E116" s="162" t="e">
        <f t="shared" si="39"/>
        <v>#N/A</v>
      </c>
      <c r="F116" s="162" t="e">
        <f t="shared" si="40"/>
        <v>#N/A</v>
      </c>
      <c r="G116" s="162">
        <f t="shared" si="41"/>
        <v>3.1905195989061073E-2</v>
      </c>
      <c r="H116" s="164">
        <f t="shared" si="42"/>
        <v>1.5991471215351813E-2</v>
      </c>
      <c r="I116" s="96"/>
      <c r="J116" s="96"/>
      <c r="K116" s="166"/>
      <c r="L116" s="166"/>
      <c r="M116" s="166"/>
      <c r="N116" s="166"/>
      <c r="O116" s="166"/>
      <c r="P116" s="166"/>
      <c r="Q116" s="166"/>
      <c r="R116" s="167"/>
      <c r="S116" s="159"/>
      <c r="T116" s="159"/>
      <c r="U116" s="166"/>
      <c r="V116" s="122"/>
      <c r="W116" s="139"/>
      <c r="X116" s="152"/>
      <c r="Y116" s="577" t="str">
        <f t="shared" si="43"/>
        <v>Hampshire</v>
      </c>
      <c r="Z116" s="581" t="str">
        <f>IF(Year1_Hampshire Year1_CP_Plans_2years="","",Year1_Hampshire Year1_CP_Plans_2years)</f>
        <v/>
      </c>
      <c r="AA116" s="372" t="str">
        <f>IF(Year2_Hampshire Year2_CP_Plans_2years="","",Year2_Hampshire Year2_CP_Plans_2years)</f>
        <v/>
      </c>
      <c r="AB116" s="372" t="str">
        <f>IF(Year3_Hampshire Year3_CP_Plans_2years="","",Year3_Hampshire Year3_CP_Plans_2years)</f>
        <v/>
      </c>
      <c r="AC116" s="372">
        <f>IF(Year4_Hampshire Year4_CP_Plans_2years="","",Year4_Hampshire Year4_CP_Plans_2years)</f>
        <v>35</v>
      </c>
      <c r="AD116" s="577">
        <f>IF(Year5_Hampshire Year5_CP_Plans_2years="","",Year5_Hampshire Year5_CP_Plans_2years)</f>
        <v>15</v>
      </c>
      <c r="AE116" s="81"/>
      <c r="AF116" s="81"/>
      <c r="AG116" s="81"/>
      <c r="AH116" s="81"/>
      <c r="AI116" s="81"/>
      <c r="AJ116" s="184"/>
      <c r="AK116" s="157"/>
      <c r="AL116" s="74"/>
    </row>
    <row r="117" spans="1:45" s="87" customFormat="1" ht="12.75" customHeight="1" x14ac:dyDescent="0.2">
      <c r="A117" s="488">
        <f>VLOOKUP(B117,Sheet1!$AQ$4:$AR$25,2,FALSE)</f>
        <v>0</v>
      </c>
      <c r="B117" s="93" t="str">
        <f t="shared" si="36"/>
        <v>Isle of Wight</v>
      </c>
      <c r="C117" s="85"/>
      <c r="D117" s="162" t="e">
        <f t="shared" si="37"/>
        <v>#N/A</v>
      </c>
      <c r="E117" s="162" t="e">
        <f t="shared" si="39"/>
        <v>#N/A</v>
      </c>
      <c r="F117" s="162" t="e">
        <f t="shared" si="40"/>
        <v>#N/A</v>
      </c>
      <c r="G117" s="162" t="e">
        <f t="shared" si="41"/>
        <v>#N/A</v>
      </c>
      <c r="H117" s="164" t="e">
        <f t="shared" si="42"/>
        <v>#N/A</v>
      </c>
      <c r="I117" s="96"/>
      <c r="J117" s="96"/>
      <c r="K117" s="166"/>
      <c r="L117" s="166"/>
      <c r="M117" s="166"/>
      <c r="N117" s="166"/>
      <c r="O117" s="166"/>
      <c r="P117" s="166"/>
      <c r="Q117" s="166"/>
      <c r="R117" s="167"/>
      <c r="S117" s="159"/>
      <c r="T117" s="159"/>
      <c r="U117" s="166"/>
      <c r="V117" s="122"/>
      <c r="W117" s="139"/>
      <c r="X117" s="152"/>
      <c r="Y117" s="577" t="str">
        <f t="shared" si="43"/>
        <v>Isle of Wight</v>
      </c>
      <c r="Z117" s="581" t="str">
        <f>IF(Year1_Isle_of_Wight Year1_CP_Plans_2years="","",Year1_Isle_of_Wight Year1_CP_Plans_2years)</f>
        <v/>
      </c>
      <c r="AA117" s="372" t="str">
        <f>IF(Year2_Isle_of_Wight Year2_CP_Plans_2years="","",Year2_Isle_of_Wight Year2_CP_Plans_2years)</f>
        <v/>
      </c>
      <c r="AB117" s="372" t="str">
        <f>IF(Year3_Isle_of_Wight Year3_CP_Plans_2years="","",Year3_Isle_of_Wight Year3_CP_Plans_2years)</f>
        <v/>
      </c>
      <c r="AC117" s="372" t="str">
        <f>IF(Year4_Isle_of_Wight Year4_CP_Plans_2years="","",Year4_Isle_of_Wight Year4_CP_Plans_2years)</f>
        <v>x</v>
      </c>
      <c r="AD117" s="577" t="str">
        <f>IF(Year5_Isle_of_Wight Year5_CP_Plans_2years="","",Year5_Isle_of_Wight Year5_CP_Plans_2years)</f>
        <v>c</v>
      </c>
      <c r="AE117" s="81"/>
      <c r="AF117" s="81"/>
      <c r="AG117" s="81"/>
      <c r="AH117" s="81"/>
      <c r="AI117" s="81"/>
      <c r="AJ117" s="184"/>
      <c r="AK117" s="157"/>
      <c r="AL117" s="74"/>
      <c r="AS117" s="87" t="s">
        <v>102</v>
      </c>
    </row>
    <row r="118" spans="1:45" s="87" customFormat="1" ht="12.75" customHeight="1" x14ac:dyDescent="0.2">
      <c r="A118" s="488">
        <f>VLOOKUP(B118,Sheet1!$AQ$4:$AR$25,2,FALSE)</f>
        <v>0</v>
      </c>
      <c r="B118" s="93" t="str">
        <f t="shared" si="36"/>
        <v>Kent</v>
      </c>
      <c r="C118" s="85"/>
      <c r="D118" s="162" t="e">
        <f t="shared" si="37"/>
        <v>#N/A</v>
      </c>
      <c r="E118" s="162" t="e">
        <f t="shared" si="39"/>
        <v>#N/A</v>
      </c>
      <c r="F118" s="162" t="e">
        <f t="shared" si="40"/>
        <v>#N/A</v>
      </c>
      <c r="G118" s="162">
        <f t="shared" si="41"/>
        <v>2.6093630084420567E-2</v>
      </c>
      <c r="H118" s="164">
        <f t="shared" si="42"/>
        <v>2.6276276276276277E-2</v>
      </c>
      <c r="I118" s="96"/>
      <c r="J118" s="96"/>
      <c r="K118" s="166"/>
      <c r="L118" s="166"/>
      <c r="M118" s="166"/>
      <c r="N118" s="166"/>
      <c r="O118" s="166"/>
      <c r="P118" s="166"/>
      <c r="Q118" s="166"/>
      <c r="R118" s="167"/>
      <c r="S118" s="159"/>
      <c r="T118" s="159"/>
      <c r="U118" s="166"/>
      <c r="V118" s="122"/>
      <c r="W118" s="139"/>
      <c r="X118" s="152"/>
      <c r="Y118" s="577" t="str">
        <f t="shared" si="43"/>
        <v>Kent</v>
      </c>
      <c r="Z118" s="581" t="str">
        <f>IF(Year1_Kent Year1_CP_Plans_2years="","",Year1_Kent Year1_CP_Plans_2years)</f>
        <v/>
      </c>
      <c r="AA118" s="372" t="str">
        <f>IF(Year2_Kent Year2_CP_Plans_2years="","",Year2_Kent Year2_CP_Plans_2years)</f>
        <v/>
      </c>
      <c r="AB118" s="372" t="str">
        <f>IF(Year3_Kent Year3_CP_Plans_2years="","",Year3_Kent Year3_CP_Plans_2years)</f>
        <v/>
      </c>
      <c r="AC118" s="372">
        <f>IF(Year4_Kent Year4_CP_Plans_2years="","",Year4_Kent Year4_CP_Plans_2years)</f>
        <v>34</v>
      </c>
      <c r="AD118" s="577">
        <f>IF(Year5_Kent Year5_CP_Plans_2years="","",Year5_Kent Year5_CP_Plans_2years)</f>
        <v>35</v>
      </c>
      <c r="AE118" s="81"/>
      <c r="AF118" s="81"/>
      <c r="AG118" s="81"/>
      <c r="AH118" s="81"/>
      <c r="AI118" s="81"/>
      <c r="AJ118" s="184"/>
      <c r="AK118" s="157"/>
      <c r="AL118" s="74"/>
    </row>
    <row r="119" spans="1:45" s="87" customFormat="1" ht="12.75" customHeight="1" x14ac:dyDescent="0.2">
      <c r="A119" s="488">
        <f>VLOOKUP(B119,Sheet1!$AQ$4:$AR$25,2,FALSE)</f>
        <v>0</v>
      </c>
      <c r="B119" s="93" t="str">
        <f t="shared" si="36"/>
        <v>Medway</v>
      </c>
      <c r="C119" s="85"/>
      <c r="D119" s="162" t="e">
        <f t="shared" si="37"/>
        <v>#N/A</v>
      </c>
      <c r="E119" s="162" t="e">
        <f t="shared" si="39"/>
        <v>#N/A</v>
      </c>
      <c r="F119" s="162" t="e">
        <f t="shared" si="40"/>
        <v>#N/A</v>
      </c>
      <c r="G119" s="162">
        <f t="shared" si="41"/>
        <v>3.3802816901408447E-2</v>
      </c>
      <c r="H119" s="164">
        <f t="shared" si="42"/>
        <v>1.9438444924406047E-2</v>
      </c>
      <c r="I119" s="96"/>
      <c r="J119" s="96"/>
      <c r="K119" s="166"/>
      <c r="L119" s="166"/>
      <c r="M119" s="166"/>
      <c r="N119" s="166"/>
      <c r="O119" s="166"/>
      <c r="P119" s="166"/>
      <c r="Q119" s="166"/>
      <c r="R119" s="167"/>
      <c r="S119" s="159"/>
      <c r="T119" s="159"/>
      <c r="U119" s="166"/>
      <c r="V119" s="122"/>
      <c r="W119" s="139"/>
      <c r="X119" s="152"/>
      <c r="Y119" s="577" t="str">
        <f t="shared" si="43"/>
        <v>Medway</v>
      </c>
      <c r="Z119" s="581" t="str">
        <f>IF(Year1_Medway Year1_CP_Plans_2years="","",Year1_Medway Year1_CP_Plans_2years)</f>
        <v/>
      </c>
      <c r="AA119" s="372" t="str">
        <f>IF(Year2_Medway Year2_CP_Plans_2years="","",Year2_Medway Year2_CP_Plans_2years)</f>
        <v/>
      </c>
      <c r="AB119" s="372" t="str">
        <f>IF(Year3_Medway Year3_CP_Plans_2years="","",Year3_Medway Year3_CP_Plans_2years)</f>
        <v/>
      </c>
      <c r="AC119" s="372">
        <f>IF(Year4_Medway Year4_CP_Plans_2years="","",Year4_Medway Year4_CP_Plans_2years)</f>
        <v>12</v>
      </c>
      <c r="AD119" s="577">
        <f>IF(Year5_Medway Year5_CP_Plans_2years="","",Year5_Medway Year5_CP_Plans_2years)</f>
        <v>9</v>
      </c>
      <c r="AE119" s="81"/>
      <c r="AF119" s="81"/>
      <c r="AG119" s="81"/>
      <c r="AH119" s="81"/>
      <c r="AI119" s="81"/>
      <c r="AJ119" s="184"/>
      <c r="AK119" s="157"/>
      <c r="AL119" s="74"/>
    </row>
    <row r="120" spans="1:45" s="87" customFormat="1" ht="12.75" customHeight="1" x14ac:dyDescent="0.2">
      <c r="A120" s="488">
        <f>VLOOKUP(B120,Sheet1!$AQ$4:$AR$25,2,FALSE)</f>
        <v>0</v>
      </c>
      <c r="B120" s="93" t="str">
        <f t="shared" si="36"/>
        <v>Milton Keynes</v>
      </c>
      <c r="C120" s="85"/>
      <c r="D120" s="162" t="e">
        <f t="shared" si="37"/>
        <v>#N/A</v>
      </c>
      <c r="E120" s="162" t="e">
        <f t="shared" si="39"/>
        <v>#N/A</v>
      </c>
      <c r="F120" s="162" t="e">
        <f t="shared" si="40"/>
        <v>#N/A</v>
      </c>
      <c r="G120" s="162" t="e">
        <f t="shared" si="41"/>
        <v>#N/A</v>
      </c>
      <c r="H120" s="164" t="e">
        <f t="shared" si="42"/>
        <v>#N/A</v>
      </c>
      <c r="I120" s="96"/>
      <c r="J120" s="96"/>
      <c r="K120" s="166"/>
      <c r="L120" s="166"/>
      <c r="M120" s="166"/>
      <c r="N120" s="166"/>
      <c r="O120" s="166"/>
      <c r="P120" s="166"/>
      <c r="Q120" s="166"/>
      <c r="R120" s="167"/>
      <c r="S120" s="159"/>
      <c r="T120" s="159"/>
      <c r="U120" s="166"/>
      <c r="V120" s="122"/>
      <c r="W120" s="139"/>
      <c r="X120" s="152"/>
      <c r="Y120" s="577" t="str">
        <f t="shared" si="43"/>
        <v>Milton Keynes</v>
      </c>
      <c r="Z120" s="581" t="str">
        <f>IF(Year1_Milton_Keynes Year1_CP_Plans_2years="","",Year1_Milton_Keynes Year1_CP_Plans_2years)</f>
        <v/>
      </c>
      <c r="AA120" s="372" t="str">
        <f>IF(Year2_Milton_Keynes Year2_CP_Plans_2years="","",Year2_Milton_Keynes Year2_CP_Plans_2years)</f>
        <v/>
      </c>
      <c r="AB120" s="372" t="str">
        <f>IF(Year3_Milton_Keynes Year3_CP_Plans_2years="","",Year3_Milton_Keynes Year3_CP_Plans_2years)</f>
        <v/>
      </c>
      <c r="AC120" s="372" t="str">
        <f>IF(Year4_Milton_Keynes Year4_CP_Plans_2years="","",Year4_Milton_Keynes Year4_CP_Plans_2years)</f>
        <v>x</v>
      </c>
      <c r="AD120" s="577" t="str">
        <f>IF(Year5_Milton_Keynes Year5_CP_Plans_2years="","",Year5_Milton_Keynes Year5_CP_Plans_2years)</f>
        <v>c</v>
      </c>
      <c r="AE120" s="81"/>
      <c r="AF120" s="81"/>
      <c r="AG120" s="81"/>
      <c r="AH120" s="81"/>
      <c r="AI120" s="81"/>
      <c r="AJ120" s="184"/>
      <c r="AK120" s="157"/>
      <c r="AL120" s="74"/>
    </row>
    <row r="121" spans="1:45" s="87" customFormat="1" ht="12.75" customHeight="1" x14ac:dyDescent="0.2">
      <c r="A121" s="488">
        <f>VLOOKUP(B121,Sheet1!$AQ$4:$AR$25,2,FALSE)</f>
        <v>0</v>
      </c>
      <c r="B121" s="93" t="str">
        <f t="shared" si="36"/>
        <v>Oxfordshire</v>
      </c>
      <c r="C121" s="85"/>
      <c r="D121" s="162" t="e">
        <f t="shared" si="37"/>
        <v>#N/A</v>
      </c>
      <c r="E121" s="162" t="e">
        <f t="shared" si="39"/>
        <v>#N/A</v>
      </c>
      <c r="F121" s="162" t="e">
        <f t="shared" si="40"/>
        <v>#N/A</v>
      </c>
      <c r="G121" s="162">
        <f t="shared" si="41"/>
        <v>6.25E-2</v>
      </c>
      <c r="H121" s="164">
        <f t="shared" si="42"/>
        <v>3.4990791896869246E-2</v>
      </c>
      <c r="I121" s="96"/>
      <c r="J121" s="96"/>
      <c r="K121" s="166"/>
      <c r="L121" s="166"/>
      <c r="M121" s="166"/>
      <c r="N121" s="166"/>
      <c r="O121" s="166"/>
      <c r="P121" s="166"/>
      <c r="Q121" s="166"/>
      <c r="R121" s="167"/>
      <c r="S121" s="159"/>
      <c r="T121" s="159"/>
      <c r="U121" s="166"/>
      <c r="V121" s="122"/>
      <c r="W121" s="139"/>
      <c r="X121" s="152"/>
      <c r="Y121" s="577" t="str">
        <f t="shared" si="43"/>
        <v>Oxfordshire</v>
      </c>
      <c r="Z121" s="581" t="str">
        <f>IF(Year1_Oxfordshire Year1_CP_Plans_2years="","",Year1_Oxfordshire Year1_CP_Plans_2years)</f>
        <v/>
      </c>
      <c r="AA121" s="372" t="str">
        <f>IF(Year2_Oxfordshire Year2_CP_Plans_2years="","",Year2_Oxfordshire Year2_CP_Plans_2years)</f>
        <v/>
      </c>
      <c r="AB121" s="372" t="str">
        <f>IF(Year3_Oxfordshire Year3_CP_Plans_2years="","",Year3_Oxfordshire Year3_CP_Plans_2years)</f>
        <v/>
      </c>
      <c r="AC121" s="372">
        <f>IF(Year4_Oxfordshire Year4_CP_Plans_2years="","",Year4_Oxfordshire Year4_CP_Plans_2years)</f>
        <v>37</v>
      </c>
      <c r="AD121" s="577">
        <f>IF(Year5_Oxfordshire Year5_CP_Plans_2years="","",Year5_Oxfordshire Year5_CP_Plans_2years)</f>
        <v>19</v>
      </c>
      <c r="AE121" s="81"/>
      <c r="AF121" s="81"/>
      <c r="AG121" s="81"/>
      <c r="AH121" s="81"/>
      <c r="AI121" s="81"/>
      <c r="AJ121" s="184"/>
      <c r="AK121" s="157"/>
      <c r="AL121" s="74"/>
    </row>
    <row r="122" spans="1:45" s="87" customFormat="1" ht="12.75" customHeight="1" x14ac:dyDescent="0.2">
      <c r="A122" s="488">
        <f>VLOOKUP(B122,Sheet1!$AQ$4:$AR$25,2,FALSE)</f>
        <v>0</v>
      </c>
      <c r="B122" s="93" t="str">
        <f t="shared" si="36"/>
        <v>Portsmouth</v>
      </c>
      <c r="C122" s="85"/>
      <c r="D122" s="162" t="e">
        <f t="shared" si="37"/>
        <v>#N/A</v>
      </c>
      <c r="E122" s="162" t="e">
        <f t="shared" si="39"/>
        <v>#N/A</v>
      </c>
      <c r="F122" s="162" t="e">
        <f t="shared" si="40"/>
        <v>#N/A</v>
      </c>
      <c r="G122" s="162" t="e">
        <f t="shared" si="41"/>
        <v>#N/A</v>
      </c>
      <c r="H122" s="164">
        <f t="shared" si="42"/>
        <v>3.4482758620689655E-2</v>
      </c>
      <c r="I122" s="96"/>
      <c r="J122" s="96"/>
      <c r="K122" s="166"/>
      <c r="L122" s="166"/>
      <c r="M122" s="166"/>
      <c r="N122" s="166"/>
      <c r="O122" s="166"/>
      <c r="P122" s="166"/>
      <c r="Q122" s="166"/>
      <c r="R122" s="167"/>
      <c r="S122" s="159"/>
      <c r="T122" s="159"/>
      <c r="U122" s="166"/>
      <c r="V122" s="122"/>
      <c r="W122" s="139"/>
      <c r="X122" s="152"/>
      <c r="Y122" s="577" t="str">
        <f t="shared" si="43"/>
        <v>Portsmouth</v>
      </c>
      <c r="Z122" s="581" t="str">
        <f>IF(Year1_Portsmouth Year1_CP_Plans_2years="","",Year1_Portsmouth Year1_CP_Plans_2years)</f>
        <v/>
      </c>
      <c r="AA122" s="372" t="str">
        <f>IF(Year2_Portsmouth Year2_CP_Plans_2years="","",Year2_Portsmouth Year2_CP_Plans_2years)</f>
        <v/>
      </c>
      <c r="AB122" s="372" t="str">
        <f>IF(Year3_Portsmouth Year3_CP_Plans_2years="","",Year3_Portsmouth Year3_CP_Plans_2years)</f>
        <v/>
      </c>
      <c r="AC122" s="372" t="str">
        <f>IF(Year4_Portsmouth Year4_CP_Plans_2years="","",Year4_Portsmouth Year4_CP_Plans_2years)</f>
        <v>x</v>
      </c>
      <c r="AD122" s="577">
        <f>IF(Year5_Portsmouth Year5_CP_Plans_2years="","",Year5_Portsmouth Year5_CP_Plans_2years)</f>
        <v>7</v>
      </c>
      <c r="AE122" s="81"/>
      <c r="AF122" s="81"/>
      <c r="AG122" s="81"/>
      <c r="AH122" s="81"/>
      <c r="AI122" s="81"/>
      <c r="AJ122" s="184"/>
      <c r="AK122" s="157"/>
      <c r="AL122" s="74"/>
    </row>
    <row r="123" spans="1:45" s="87" customFormat="1" ht="12.75" customHeight="1" x14ac:dyDescent="0.2">
      <c r="A123" s="488">
        <f>VLOOKUP(B123,Sheet1!$AQ$4:$AR$25,2,FALSE)</f>
        <v>0</v>
      </c>
      <c r="B123" s="93" t="str">
        <f t="shared" si="36"/>
        <v>Reading</v>
      </c>
      <c r="C123" s="85"/>
      <c r="D123" s="162" t="e">
        <f t="shared" si="37"/>
        <v>#N/A</v>
      </c>
      <c r="E123" s="162" t="e">
        <f t="shared" si="39"/>
        <v>#N/A</v>
      </c>
      <c r="F123" s="162" t="e">
        <f t="shared" si="40"/>
        <v>#N/A</v>
      </c>
      <c r="G123" s="162">
        <f t="shared" si="41"/>
        <v>3.9215686274509803E-2</v>
      </c>
      <c r="H123" s="164">
        <f t="shared" si="42"/>
        <v>4.0178571428571432E-2</v>
      </c>
      <c r="I123" s="96"/>
      <c r="J123" s="96"/>
      <c r="K123" s="166"/>
      <c r="L123" s="166"/>
      <c r="M123" s="166"/>
      <c r="N123" s="166"/>
      <c r="O123" s="166"/>
      <c r="P123" s="166"/>
      <c r="Q123" s="166"/>
      <c r="R123" s="167"/>
      <c r="S123" s="159"/>
      <c r="T123" s="159"/>
      <c r="U123" s="166"/>
      <c r="V123" s="122"/>
      <c r="W123" s="139"/>
      <c r="X123" s="152"/>
      <c r="Y123" s="577" t="str">
        <f t="shared" si="43"/>
        <v>Reading</v>
      </c>
      <c r="Z123" s="581" t="str">
        <f>IF(Year1_Reading Year1_CP_Plans_2years="","",Year1_Reading Year1_CP_Plans_2years)</f>
        <v/>
      </c>
      <c r="AA123" s="372" t="str">
        <f>IF(Year2_Reading Year2_CP_Plans_2years="","",Year2_Reading Year2_CP_Plans_2years)</f>
        <v/>
      </c>
      <c r="AB123" s="372" t="str">
        <f>IF(Year3_Reading Year3_CP_Plans_2years="","",Year3_Reading Year3_CP_Plans_2years)</f>
        <v/>
      </c>
      <c r="AC123" s="372">
        <f>IF(Year4_Reading Year4_CP_Plans_2years="","",Year4_Reading Year4_CP_Plans_2years)</f>
        <v>10</v>
      </c>
      <c r="AD123" s="577">
        <f>IF(Year5_Reading Year5_CP_Plans_2years="","",Year5_Reading Year5_CP_Plans_2years)</f>
        <v>9</v>
      </c>
      <c r="AE123" s="81"/>
      <c r="AF123" s="81"/>
      <c r="AG123" s="81"/>
      <c r="AH123" s="81"/>
      <c r="AI123" s="81"/>
      <c r="AJ123" s="184"/>
      <c r="AK123" s="157"/>
      <c r="AL123" s="74"/>
    </row>
    <row r="124" spans="1:45" s="87" customFormat="1" ht="12.75" customHeight="1" x14ac:dyDescent="0.2">
      <c r="A124" s="488">
        <f>VLOOKUP(B124,Sheet1!$AQ$4:$AR$25,2,FALSE)</f>
        <v>0</v>
      </c>
      <c r="B124" s="93" t="str">
        <f t="shared" si="36"/>
        <v>Slough</v>
      </c>
      <c r="C124" s="85"/>
      <c r="D124" s="162" t="e">
        <f t="shared" si="37"/>
        <v>#N/A</v>
      </c>
      <c r="E124" s="162" t="e">
        <f t="shared" si="39"/>
        <v>#N/A</v>
      </c>
      <c r="F124" s="162" t="e">
        <f t="shared" si="40"/>
        <v>#N/A</v>
      </c>
      <c r="G124" s="162" t="e">
        <f t="shared" si="41"/>
        <v>#N/A</v>
      </c>
      <c r="H124" s="164" t="e">
        <f t="shared" si="42"/>
        <v>#N/A</v>
      </c>
      <c r="I124" s="96"/>
      <c r="J124" s="96"/>
      <c r="K124" s="166"/>
      <c r="L124" s="166"/>
      <c r="M124" s="166"/>
      <c r="N124" s="166"/>
      <c r="O124" s="166"/>
      <c r="P124" s="166"/>
      <c r="Q124" s="166"/>
      <c r="R124" s="167"/>
      <c r="S124" s="159"/>
      <c r="T124" s="159"/>
      <c r="U124" s="166"/>
      <c r="V124" s="122"/>
      <c r="W124" s="139"/>
      <c r="X124" s="152"/>
      <c r="Y124" s="577" t="str">
        <f t="shared" si="43"/>
        <v>Slough</v>
      </c>
      <c r="Z124" s="581" t="str">
        <f>IF(Year1_Slough Year1_CP_Plans_2years="","",Year1_Slough Year1_CP_Plans_2years)</f>
        <v/>
      </c>
      <c r="AA124" s="372" t="str">
        <f>IF(Year2_Slough Year2_CP_Plans_2years="","",Year2_Slough Year2_CP_Plans_2years)</f>
        <v/>
      </c>
      <c r="AB124" s="372" t="str">
        <f>IF(Year3_Slough Year3_CP_Plans_2years="","",Year3_Slough Year3_CP_Plans_2years)</f>
        <v/>
      </c>
      <c r="AC124" s="372" t="str">
        <f>IF(Year4_Slough Year4_CP_Plans_2years="","",Year4_Slough Year4_CP_Plans_2years)</f>
        <v>x</v>
      </c>
      <c r="AD124" s="577" t="str">
        <f>IF(Year5_Slough Year5_CP_Plans_2years="","",Year5_Slough Year5_CP_Plans_2years)</f>
        <v>c</v>
      </c>
      <c r="AE124" s="81"/>
      <c r="AF124" s="81"/>
      <c r="AG124" s="81"/>
      <c r="AH124" s="81"/>
      <c r="AI124" s="81"/>
      <c r="AJ124" s="184"/>
      <c r="AK124" s="157"/>
      <c r="AL124" s="74"/>
    </row>
    <row r="125" spans="1:45" s="87" customFormat="1" ht="12.75" customHeight="1" x14ac:dyDescent="0.2">
      <c r="A125" s="488">
        <f>VLOOKUP(B125,Sheet1!$AQ$4:$AR$25,2,FALSE)</f>
        <v>0</v>
      </c>
      <c r="B125" s="93" t="str">
        <f t="shared" si="36"/>
        <v>Somerset</v>
      </c>
      <c r="C125" s="85"/>
      <c r="D125" s="162" t="e">
        <f t="shared" si="37"/>
        <v>#N/A</v>
      </c>
      <c r="E125" s="162" t="e">
        <f t="shared" si="39"/>
        <v>#N/A</v>
      </c>
      <c r="F125" s="162" t="e">
        <f t="shared" si="40"/>
        <v>#N/A</v>
      </c>
      <c r="G125" s="162">
        <f t="shared" si="41"/>
        <v>1.9900497512437811E-2</v>
      </c>
      <c r="H125" s="164" t="e">
        <f t="shared" si="42"/>
        <v>#N/A</v>
      </c>
      <c r="I125" s="96"/>
      <c r="J125" s="96"/>
      <c r="K125" s="166"/>
      <c r="L125" s="166"/>
      <c r="M125" s="166"/>
      <c r="N125" s="166"/>
      <c r="O125" s="166"/>
      <c r="P125" s="166"/>
      <c r="Q125" s="166"/>
      <c r="R125" s="167"/>
      <c r="S125" s="159"/>
      <c r="T125" s="159"/>
      <c r="U125" s="166"/>
      <c r="V125" s="122"/>
      <c r="W125" s="139"/>
      <c r="X125" s="152"/>
      <c r="Y125" s="577" t="str">
        <f t="shared" si="43"/>
        <v>Somerset</v>
      </c>
      <c r="Z125" s="581" t="str">
        <f>IF(Year1_Somerset Year1_CP_Plans_2years="","",Year1_Somerset Year1_CP_Plans_2years)</f>
        <v/>
      </c>
      <c r="AA125" s="372" t="str">
        <f>IF(Year2_Somerset Year2_CP_Plans_2years="","",Year2_Somerset Year2_CP_Plans_2years)</f>
        <v/>
      </c>
      <c r="AB125" s="372" t="str">
        <f>IF(Year3_Somerset Year3_CP_Plans_2years="","",Year3_Somerset Year3_CP_Plans_2years)</f>
        <v/>
      </c>
      <c r="AC125" s="372">
        <f>IF(Year4_Somerset Year4_CP_Plans_2years="","",Year4_Somerset Year4_CP_Plans_2years)</f>
        <v>8</v>
      </c>
      <c r="AD125" s="577" t="str">
        <f>IF(Year5_Somerset Year5_CP_Plans_2years="","",Year5_Somerset Year5_CP_Plans_2years)</f>
        <v>c</v>
      </c>
      <c r="AE125" s="81"/>
      <c r="AF125" s="81"/>
      <c r="AG125" s="81"/>
      <c r="AH125" s="81"/>
      <c r="AI125" s="81"/>
      <c r="AJ125" s="184"/>
      <c r="AK125" s="157"/>
      <c r="AL125" s="74"/>
    </row>
    <row r="126" spans="1:45" s="87" customFormat="1" ht="12.75" customHeight="1" x14ac:dyDescent="0.2">
      <c r="A126" s="488">
        <f>VLOOKUP(B126,Sheet1!$AQ$4:$AR$25,2,FALSE)</f>
        <v>0</v>
      </c>
      <c r="B126" s="93" t="str">
        <f t="shared" si="36"/>
        <v>Southampton</v>
      </c>
      <c r="C126" s="85"/>
      <c r="D126" s="162" t="e">
        <f t="shared" si="37"/>
        <v>#N/A</v>
      </c>
      <c r="E126" s="162" t="e">
        <f t="shared" si="39"/>
        <v>#N/A</v>
      </c>
      <c r="F126" s="162" t="e">
        <f t="shared" si="40"/>
        <v>#N/A</v>
      </c>
      <c r="G126" s="162" t="e">
        <f t="shared" si="41"/>
        <v>#N/A</v>
      </c>
      <c r="H126" s="164">
        <f t="shared" si="42"/>
        <v>1.7676767676767676E-2</v>
      </c>
      <c r="I126" s="96"/>
      <c r="J126" s="96"/>
      <c r="K126" s="166"/>
      <c r="L126" s="166"/>
      <c r="M126" s="166"/>
      <c r="N126" s="166"/>
      <c r="O126" s="166"/>
      <c r="P126" s="166"/>
      <c r="Q126" s="166"/>
      <c r="R126" s="167"/>
      <c r="S126" s="159"/>
      <c r="T126" s="159"/>
      <c r="U126" s="166"/>
      <c r="V126" s="122"/>
      <c r="W126" s="139"/>
      <c r="X126" s="152"/>
      <c r="Y126" s="577" t="str">
        <f t="shared" si="43"/>
        <v>Southampton</v>
      </c>
      <c r="Z126" s="581" t="str">
        <f>IF(Year1_Southampton Year1_CP_Plans_2years="","",Year1_Southampton Year1_CP_Plans_2years)</f>
        <v/>
      </c>
      <c r="AA126" s="372" t="str">
        <f>IF(Year2_Southampton Year2_CP_Plans_2years="","",Year2_Southampton Year2_CP_Plans_2years)</f>
        <v/>
      </c>
      <c r="AB126" s="372" t="str">
        <f>IF(Year3_Southampton Year3_CP_Plans_2years="","",Year3_Southampton Year3_CP_Plans_2years)</f>
        <v/>
      </c>
      <c r="AC126" s="372" t="str">
        <f>IF(Year4_Southampton Year4_CP_Plans_2years="","",Year4_Southampton Year4_CP_Plans_2years)</f>
        <v>x</v>
      </c>
      <c r="AD126" s="577">
        <f>IF(Year5_Southampton Year5_CP_Plans_2years="","",Year5_Southampton Year5_CP_Plans_2years)</f>
        <v>7</v>
      </c>
      <c r="AE126" s="81"/>
      <c r="AF126" s="81"/>
      <c r="AG126" s="81"/>
      <c r="AH126" s="81"/>
      <c r="AI126" s="81"/>
      <c r="AJ126" s="184"/>
      <c r="AK126" s="157"/>
      <c r="AL126" s="74"/>
    </row>
    <row r="127" spans="1:45" s="87" customFormat="1" ht="12.75" customHeight="1" x14ac:dyDescent="0.2">
      <c r="A127" s="488">
        <f>VLOOKUP(B127,Sheet1!$AQ$4:$AR$25,2,FALSE)</f>
        <v>0</v>
      </c>
      <c r="B127" s="93" t="str">
        <f t="shared" si="36"/>
        <v>Surrey</v>
      </c>
      <c r="C127" s="85"/>
      <c r="D127" s="162" t="e">
        <f t="shared" si="37"/>
        <v>#N/A</v>
      </c>
      <c r="E127" s="162" t="e">
        <f t="shared" si="39"/>
        <v>#N/A</v>
      </c>
      <c r="F127" s="162" t="e">
        <f t="shared" si="40"/>
        <v>#N/A</v>
      </c>
      <c r="G127" s="162">
        <f t="shared" si="41"/>
        <v>1.6684045881126174E-2</v>
      </c>
      <c r="H127" s="164">
        <f t="shared" si="42"/>
        <v>2.9197080291970802E-2</v>
      </c>
      <c r="I127" s="96"/>
      <c r="J127" s="96"/>
      <c r="K127" s="166"/>
      <c r="L127" s="166"/>
      <c r="M127" s="166"/>
      <c r="N127" s="166"/>
      <c r="O127" s="166"/>
      <c r="P127" s="166"/>
      <c r="Q127" s="166"/>
      <c r="R127" s="167"/>
      <c r="S127" s="159"/>
      <c r="T127" s="159"/>
      <c r="U127" s="166"/>
      <c r="V127" s="122"/>
      <c r="W127" s="139"/>
      <c r="X127" s="152"/>
      <c r="Y127" s="577" t="str">
        <f t="shared" si="43"/>
        <v>Surrey</v>
      </c>
      <c r="Z127" s="581" t="str">
        <f>IF(Year1_Surrey Year1_CP_Plans_2years="","",Year1_Surrey Year1_CP_Plans_2years)</f>
        <v/>
      </c>
      <c r="AA127" s="372" t="str">
        <f>IF(Year2_Surrey Year2_CP_Plans_2years="","",Year2_Surrey Year2_CP_Plans_2years)</f>
        <v/>
      </c>
      <c r="AB127" s="372" t="str">
        <f>IF(Year3_Surrey Year3_CP_Plans_2years="","",Year3_Surrey Year3_CP_Plans_2years)</f>
        <v/>
      </c>
      <c r="AC127" s="372">
        <f>IF(Year4_Surrey Year4_CP_Plans_2years="","",Year4_Surrey Year4_CP_Plans_2years)</f>
        <v>16</v>
      </c>
      <c r="AD127" s="577">
        <f>IF(Year5_Surrey Year5_CP_Plans_2years="","",Year5_Surrey Year5_CP_Plans_2years)</f>
        <v>20</v>
      </c>
      <c r="AE127" s="81"/>
      <c r="AF127" s="81"/>
      <c r="AG127" s="81"/>
      <c r="AH127" s="81"/>
      <c r="AI127" s="81"/>
      <c r="AJ127" s="184"/>
      <c r="AK127" s="157"/>
      <c r="AL127" s="74"/>
    </row>
    <row r="128" spans="1:45" s="87" customFormat="1" ht="12.75" customHeight="1" x14ac:dyDescent="0.2">
      <c r="A128" s="488">
        <f>VLOOKUP(B128,Sheet1!$AQ$4:$AR$25,2,FALSE)</f>
        <v>0</v>
      </c>
      <c r="B128" s="93" t="str">
        <f t="shared" si="36"/>
        <v>Swindon</v>
      </c>
      <c r="C128" s="85"/>
      <c r="D128" s="162" t="e">
        <f t="shared" si="37"/>
        <v>#N/A</v>
      </c>
      <c r="E128" s="162" t="e">
        <f t="shared" si="39"/>
        <v>#N/A</v>
      </c>
      <c r="F128" s="162" t="e">
        <f t="shared" si="40"/>
        <v>#N/A</v>
      </c>
      <c r="G128" s="162">
        <f t="shared" si="41"/>
        <v>1.8018018018018018E-2</v>
      </c>
      <c r="H128" s="164" t="e">
        <f t="shared" si="42"/>
        <v>#N/A</v>
      </c>
      <c r="I128" s="96"/>
      <c r="J128" s="96"/>
      <c r="K128" s="166"/>
      <c r="L128" s="166"/>
      <c r="M128" s="166"/>
      <c r="N128" s="166"/>
      <c r="O128" s="166"/>
      <c r="P128" s="166"/>
      <c r="Q128" s="166"/>
      <c r="R128" s="167"/>
      <c r="S128" s="159"/>
      <c r="T128" s="159"/>
      <c r="U128" s="166"/>
      <c r="V128" s="122"/>
      <c r="W128" s="139"/>
      <c r="X128" s="152"/>
      <c r="Y128" s="577" t="str">
        <f t="shared" si="43"/>
        <v>Swindon</v>
      </c>
      <c r="Z128" s="581" t="str">
        <f>IF(Year1_Swindon Year1_CP_Plans_2years="","",Year1_Swindon Year1_CP_Plans_2years)</f>
        <v/>
      </c>
      <c r="AA128" s="372" t="str">
        <f>IF(Year2_Swindon Year2_CP_Plans_2years="","",Year2_Swindon Year2_CP_Plans_2years)</f>
        <v/>
      </c>
      <c r="AB128" s="372" t="str">
        <f>IF(Year3_Swindon Year3_CP_Plans_2years="","",Year3_Swindon Year3_CP_Plans_2years)</f>
        <v/>
      </c>
      <c r="AC128" s="372">
        <f>IF(Year4_Swindon Year4_CP_Plans_2years="","",Year4_Swindon Year4_CP_Plans_2years)</f>
        <v>6</v>
      </c>
      <c r="AD128" s="577" t="str">
        <f>IF(Year5_Swindon Year5_CP_Plans_2years="","",Year5_Swindon Year5_CP_Plans_2years)</f>
        <v>c</v>
      </c>
      <c r="AE128" s="81"/>
      <c r="AF128" s="81"/>
      <c r="AG128" s="81"/>
      <c r="AH128" s="81"/>
      <c r="AI128" s="81"/>
      <c r="AJ128" s="184"/>
      <c r="AK128" s="157"/>
      <c r="AL128" s="74"/>
    </row>
    <row r="129" spans="1:46" s="87" customFormat="1" ht="12.75" customHeight="1" x14ac:dyDescent="0.2">
      <c r="A129" s="488">
        <f>VLOOKUP(B129,Sheet1!$AQ$4:$AR$25,2,FALSE)</f>
        <v>0</v>
      </c>
      <c r="B129" s="93" t="str">
        <f t="shared" si="36"/>
        <v>Torbay</v>
      </c>
      <c r="C129" s="85"/>
      <c r="D129" s="162" t="e">
        <f t="shared" si="37"/>
        <v>#N/A</v>
      </c>
      <c r="E129" s="162" t="e">
        <f t="shared" si="39"/>
        <v>#N/A</v>
      </c>
      <c r="F129" s="162" t="e">
        <f t="shared" si="40"/>
        <v>#N/A</v>
      </c>
      <c r="G129" s="162">
        <f t="shared" si="41"/>
        <v>0</v>
      </c>
      <c r="H129" s="164" t="e">
        <f t="shared" si="42"/>
        <v>#N/A</v>
      </c>
      <c r="I129" s="96"/>
      <c r="J129" s="96"/>
      <c r="K129" s="166"/>
      <c r="L129" s="166"/>
      <c r="M129" s="166"/>
      <c r="N129" s="166"/>
      <c r="O129" s="166"/>
      <c r="P129" s="166"/>
      <c r="Q129" s="166"/>
      <c r="R129" s="167"/>
      <c r="S129" s="159"/>
      <c r="T129" s="159"/>
      <c r="U129" s="166"/>
      <c r="V129" s="122"/>
      <c r="W129" s="139"/>
      <c r="X129" s="152"/>
      <c r="Y129" s="577" t="str">
        <f t="shared" si="43"/>
        <v>Torbay</v>
      </c>
      <c r="Z129" s="581" t="str">
        <f>IF(Year1_Torbay Year1_CP_Plans_2years="","",Year1_Torbay Year1_CP_Plans_2years)</f>
        <v/>
      </c>
      <c r="AA129" s="372" t="str">
        <f>IF(Year2_Torbay Year2_CP_Plans_2years="","",Year2_Torbay Year2_CP_Plans_2years)</f>
        <v/>
      </c>
      <c r="AB129" s="372" t="str">
        <f>IF(Year3_Torbay Year3_CP_Plans_2years="","",Year3_Torbay Year3_CP_Plans_2years)</f>
        <v/>
      </c>
      <c r="AC129" s="372">
        <f>IF(Year4_Torbay Year4_CP_Plans_2years="","",Year4_Torbay Year4_CP_Plans_2years)</f>
        <v>0</v>
      </c>
      <c r="AD129" s="577" t="str">
        <f>IF(Year5_Torbay Year5_CP_Plans_2years="","",Year5_Torbay Year5_CP_Plans_2years)</f>
        <v>c</v>
      </c>
      <c r="AE129" s="81"/>
      <c r="AF129" s="81"/>
      <c r="AG129" s="81"/>
      <c r="AH129" s="81"/>
      <c r="AI129" s="81"/>
      <c r="AJ129" s="184"/>
      <c r="AK129" s="157"/>
      <c r="AL129" s="74"/>
    </row>
    <row r="130" spans="1:46" s="87" customFormat="1" ht="12.75" customHeight="1" x14ac:dyDescent="0.2">
      <c r="A130" s="488">
        <f>VLOOKUP(B130,Sheet1!$AQ$4:$AR$25,2,FALSE)</f>
        <v>0</v>
      </c>
      <c r="B130" s="93" t="str">
        <f t="shared" si="36"/>
        <v>West Berkshire</v>
      </c>
      <c r="C130" s="85"/>
      <c r="D130" s="162" t="e">
        <f t="shared" si="37"/>
        <v>#N/A</v>
      </c>
      <c r="E130" s="162" t="e">
        <f t="shared" si="39"/>
        <v>#N/A</v>
      </c>
      <c r="F130" s="162" t="e">
        <f t="shared" si="40"/>
        <v>#N/A</v>
      </c>
      <c r="G130" s="162">
        <f t="shared" si="41"/>
        <v>0</v>
      </c>
      <c r="H130" s="164" t="e">
        <f t="shared" si="42"/>
        <v>#N/A</v>
      </c>
      <c r="I130" s="96"/>
      <c r="J130" s="96"/>
      <c r="K130" s="166"/>
      <c r="L130" s="166"/>
      <c r="M130" s="166"/>
      <c r="N130" s="166"/>
      <c r="O130" s="166"/>
      <c r="P130" s="166"/>
      <c r="Q130" s="166"/>
      <c r="R130" s="167"/>
      <c r="S130" s="159"/>
      <c r="T130" s="159"/>
      <c r="U130" s="166"/>
      <c r="V130" s="122"/>
      <c r="W130" s="139"/>
      <c r="X130" s="152"/>
      <c r="Y130" s="577" t="str">
        <f t="shared" si="43"/>
        <v>West Berkshire</v>
      </c>
      <c r="Z130" s="581" t="str">
        <f>IF(Year1_West_Berkshire Year1_CP_Plans_2years="","",Year1_West_Berkshire Year1_CP_Plans_2years)</f>
        <v/>
      </c>
      <c r="AA130" s="372" t="str">
        <f>IF(Year2_West_Berkshire Year2_CP_Plans_2years="","",Year2_West_Berkshire Year2_CP_Plans_2years)</f>
        <v/>
      </c>
      <c r="AB130" s="372" t="str">
        <f>IF(Year3_West_Berkshire Year3_CP_Plans_2years="","",Year3_West_Berkshire Year3_CP_Plans_2years)</f>
        <v/>
      </c>
      <c r="AC130" s="372">
        <f>IF(Year4_West_Berkshire Year4_CP_Plans_2years="","",Year4_West_Berkshire Year4_CP_Plans_2years)</f>
        <v>0</v>
      </c>
      <c r="AD130" s="582" t="str">
        <f>IF(Year5_West_Berkshire Year5_CP_Plans_2years="","",Year5_West_Berkshire Year5_CP_Plans_2years)</f>
        <v>c</v>
      </c>
      <c r="AE130" s="81"/>
      <c r="AF130" s="81"/>
      <c r="AG130" s="81"/>
      <c r="AH130" s="81"/>
      <c r="AI130" s="81"/>
      <c r="AJ130" s="184"/>
      <c r="AK130" s="157"/>
      <c r="AL130" s="74"/>
    </row>
    <row r="131" spans="1:46" s="87" customFormat="1" ht="12.75" customHeight="1" x14ac:dyDescent="0.2">
      <c r="A131" s="488">
        <f>VLOOKUP(B131,Sheet1!$AQ$4:$AR$25,2,FALSE)</f>
        <v>0</v>
      </c>
      <c r="B131" s="93" t="str">
        <f t="shared" si="36"/>
        <v>West Sussex</v>
      </c>
      <c r="C131" s="85"/>
      <c r="D131" s="162" t="e">
        <f t="shared" si="37"/>
        <v>#N/A</v>
      </c>
      <c r="E131" s="162" t="e">
        <f t="shared" si="39"/>
        <v>#N/A</v>
      </c>
      <c r="F131" s="162" t="e">
        <f t="shared" si="40"/>
        <v>#N/A</v>
      </c>
      <c r="G131" s="162">
        <f t="shared" si="41"/>
        <v>3.0595813204508857E-2</v>
      </c>
      <c r="H131" s="164">
        <f t="shared" si="42"/>
        <v>9.8039215686274508E-3</v>
      </c>
      <c r="I131" s="96"/>
      <c r="J131" s="96"/>
      <c r="K131" s="166"/>
      <c r="L131" s="166"/>
      <c r="M131" s="166"/>
      <c r="N131" s="166"/>
      <c r="O131" s="166"/>
      <c r="P131" s="166"/>
      <c r="Q131" s="166"/>
      <c r="R131" s="167"/>
      <c r="S131" s="159"/>
      <c r="T131" s="159"/>
      <c r="U131" s="166"/>
      <c r="V131" s="122"/>
      <c r="W131" s="139"/>
      <c r="X131" s="152"/>
      <c r="Y131" s="577" t="str">
        <f t="shared" si="43"/>
        <v>West Sussex</v>
      </c>
      <c r="Z131" s="581" t="str">
        <f>IF(Year1_West_Sussex Year1_CP_Plans_2years="","",Year1_West_Sussex Year1_CP_Plans_2years)</f>
        <v/>
      </c>
      <c r="AA131" s="372" t="str">
        <f>IF(Year2_West_Sussex Year2_CP_Plans_2years="","",Year2_West_Sussex Year2_CP_Plans_2years)</f>
        <v/>
      </c>
      <c r="AB131" s="372" t="str">
        <f>IF(Year3_West_Sussex Year3_CP_Plans_2years="","",Year3_West_Sussex Year3_CP_Plans_2years)</f>
        <v/>
      </c>
      <c r="AC131" s="372">
        <f>IF(Year4_West_Sussex Year4_CP_Plans_2years="","",Year4_West_Sussex Year4_CP_Plans_2years)</f>
        <v>19</v>
      </c>
      <c r="AD131" s="582">
        <f>IF(Year5_West_Sussex Year5_CP_Plans_2years="","",Year5_West_Sussex Year5_CP_Plans_2years)</f>
        <v>8</v>
      </c>
      <c r="AE131" s="81"/>
      <c r="AF131" s="81"/>
      <c r="AG131" s="81"/>
      <c r="AH131" s="81"/>
      <c r="AI131" s="81"/>
      <c r="AJ131" s="184"/>
      <c r="AK131" s="157"/>
      <c r="AL131" s="74"/>
    </row>
    <row r="132" spans="1:46" s="87" customFormat="1" ht="12.75" customHeight="1" x14ac:dyDescent="0.2">
      <c r="A132" s="488">
        <f>VLOOKUP(B132,Sheet1!$AQ$4:$AR$25,2,FALSE)</f>
        <v>0</v>
      </c>
      <c r="B132" s="93" t="str">
        <f t="shared" si="36"/>
        <v>Windsor &amp; Maidenhead</v>
      </c>
      <c r="C132" s="85"/>
      <c r="D132" s="162" t="e">
        <f t="shared" si="37"/>
        <v>#N/A</v>
      </c>
      <c r="E132" s="162" t="e">
        <f t="shared" si="39"/>
        <v>#N/A</v>
      </c>
      <c r="F132" s="162" t="e">
        <f t="shared" si="40"/>
        <v>#N/A</v>
      </c>
      <c r="G132" s="162" t="e">
        <f t="shared" si="41"/>
        <v>#N/A</v>
      </c>
      <c r="H132" s="164" t="e">
        <f t="shared" si="42"/>
        <v>#N/A</v>
      </c>
      <c r="I132" s="96"/>
      <c r="J132" s="96"/>
      <c r="K132" s="166"/>
      <c r="L132" s="166"/>
      <c r="M132" s="166"/>
      <c r="N132" s="166"/>
      <c r="O132" s="166"/>
      <c r="P132" s="166"/>
      <c r="Q132" s="166"/>
      <c r="R132" s="167"/>
      <c r="S132" s="159"/>
      <c r="T132" s="159"/>
      <c r="U132" s="166"/>
      <c r="V132" s="122"/>
      <c r="W132" s="139"/>
      <c r="X132" s="152"/>
      <c r="Y132" s="577" t="str">
        <f t="shared" si="43"/>
        <v>Windsor &amp; Maidenhead</v>
      </c>
      <c r="Z132" s="581" t="str">
        <f>IF(Year1_Windsor_Maidenhead Year1_CP_Plans_2years="","",Year1_Windsor_Maidenhead Year1_CP_Plans_2years)</f>
        <v/>
      </c>
      <c r="AA132" s="372" t="str">
        <f>IF(Year2_Windsor_Maidenhead Year2_CP_Plans_2years="","",Year2_Windsor_Maidenhead Year2_CP_Plans_2years)</f>
        <v/>
      </c>
      <c r="AB132" s="372" t="str">
        <f>IF(Year3_Windsor_Maidenhead Year3_CP_Plans_2years="","",Year3_Windsor_Maidenhead Year3_CP_Plans_2years)</f>
        <v/>
      </c>
      <c r="AC132" s="372" t="str">
        <f>IF(Year4_Windsor_Maidenhead Year4_CP_Plans_2years="","",Year4_Windsor_Maidenhead Year4_CP_Plans_2years)</f>
        <v>x</v>
      </c>
      <c r="AD132" s="582" t="str">
        <f>IF(Year5_Windsor_Maidenhead Year5_CP_Plans_2years="","",Year5_Windsor_Maidenhead Year5_CP_Plans_2years)</f>
        <v>c</v>
      </c>
      <c r="AE132" s="81"/>
      <c r="AF132" s="81"/>
      <c r="AG132" s="81"/>
      <c r="AH132" s="81"/>
      <c r="AI132" s="81"/>
      <c r="AJ132" s="184"/>
      <c r="AK132" s="157"/>
      <c r="AL132" s="74"/>
    </row>
    <row r="133" spans="1:46" s="87" customFormat="1" ht="12.75" customHeight="1" x14ac:dyDescent="0.2">
      <c r="A133" s="488">
        <f>VLOOKUP(B133,Sheet1!$AQ$4:$AR$25,2,FALSE)</f>
        <v>0</v>
      </c>
      <c r="B133" s="93" t="str">
        <f t="shared" si="36"/>
        <v>Wokingham</v>
      </c>
      <c r="C133" s="85"/>
      <c r="D133" s="162" t="e">
        <f t="shared" si="37"/>
        <v>#N/A</v>
      </c>
      <c r="E133" s="162" t="e">
        <f t="shared" si="39"/>
        <v>#N/A</v>
      </c>
      <c r="F133" s="162" t="e">
        <f t="shared" si="40"/>
        <v>#N/A</v>
      </c>
      <c r="G133" s="162">
        <f t="shared" si="41"/>
        <v>0</v>
      </c>
      <c r="H133" s="164">
        <f t="shared" si="42"/>
        <v>0</v>
      </c>
      <c r="I133" s="96"/>
      <c r="J133" s="96"/>
      <c r="K133" s="166"/>
      <c r="L133" s="166"/>
      <c r="M133" s="166"/>
      <c r="N133" s="166"/>
      <c r="O133" s="166"/>
      <c r="P133" s="166"/>
      <c r="Q133" s="166"/>
      <c r="R133" s="167"/>
      <c r="S133" s="159"/>
      <c r="T133" s="159"/>
      <c r="U133" s="166"/>
      <c r="V133" s="122"/>
      <c r="W133" s="139"/>
      <c r="X133" s="152"/>
      <c r="Y133" s="577" t="str">
        <f t="shared" si="43"/>
        <v>Wokingham</v>
      </c>
      <c r="Z133" s="581" t="str">
        <f>IF(Year1_Wokingham Year1_CP_Plans_2years="","",Year1_Wokingham Year1_CP_Plans_2years)</f>
        <v/>
      </c>
      <c r="AA133" s="372" t="str">
        <f>IF(Year2_Wokingham Year2_CP_Plans_2years="","",Year2_Wokingham Year2_CP_Plans_2years)</f>
        <v/>
      </c>
      <c r="AB133" s="372" t="str">
        <f>IF(Year3_Wokingham Year3_CP_Plans_2years="","",Year3_Wokingham Year3_CP_Plans_2years)</f>
        <v/>
      </c>
      <c r="AC133" s="372">
        <f>IF(Year4_Wokingham Year4_CP_Plans_2years="","",Year4_Wokingham Year4_CP_Plans_2years)</f>
        <v>0</v>
      </c>
      <c r="AD133" s="582">
        <f>IF(Year5_Wokingham Year5_CP_Plans_2years="","",Year5_Wokingham Year5_CP_Plans_2years)</f>
        <v>0</v>
      </c>
      <c r="AE133" s="81"/>
      <c r="AF133" s="81"/>
      <c r="AG133" s="81"/>
      <c r="AH133" s="81"/>
      <c r="AI133" s="81"/>
      <c r="AJ133" s="184"/>
      <c r="AK133" s="157"/>
      <c r="AL133" s="74"/>
    </row>
    <row r="134" spans="1:46" s="87" customFormat="1" ht="12.75" customHeight="1" x14ac:dyDescent="0.2">
      <c r="A134" s="121"/>
      <c r="B134" s="129" t="str">
        <f t="shared" si="36"/>
        <v>South East</v>
      </c>
      <c r="C134" s="85"/>
      <c r="D134" s="2014" t="e">
        <f t="shared" si="37"/>
        <v>#N/A</v>
      </c>
      <c r="E134" s="2014" t="e">
        <f t="shared" si="39"/>
        <v>#N/A</v>
      </c>
      <c r="F134" s="2014" t="e">
        <f t="shared" si="40"/>
        <v>#N/A</v>
      </c>
      <c r="G134" s="163">
        <f t="shared" si="41"/>
        <v>2.8360049321824909E-2</v>
      </c>
      <c r="H134" s="165">
        <f t="shared" si="42"/>
        <v>2.4660912453760789E-2</v>
      </c>
      <c r="I134" s="96"/>
      <c r="J134" s="96"/>
      <c r="K134" s="168"/>
      <c r="L134" s="168"/>
      <c r="M134" s="168"/>
      <c r="N134" s="168"/>
      <c r="O134" s="168"/>
      <c r="P134" s="168"/>
      <c r="Q134" s="168"/>
      <c r="R134" s="169"/>
      <c r="S134" s="159"/>
      <c r="T134" s="159"/>
      <c r="U134" s="170"/>
      <c r="V134" s="122"/>
      <c r="W134" s="139"/>
      <c r="X134" s="152"/>
      <c r="Y134" s="577" t="str">
        <f t="shared" si="43"/>
        <v>South East</v>
      </c>
      <c r="Z134" s="384" t="str">
        <f>IF(Year1_SouthEast Year1_CP_Plans_2years="","",Year1_SouthEast Year1_CP_Plans_2years)</f>
        <v/>
      </c>
      <c r="AA134" s="372" t="str">
        <f>IF(Year2_SouthEast Year2_CP_Plans_2years="","",Year2_SouthEast Year2_CP_Plans_2years)</f>
        <v/>
      </c>
      <c r="AB134" s="372" t="str">
        <f>IF(Year3_SouthEast Year3_CP_Plans_2years="","",Year3_SouthEast Year3_CP_Plans_2years)</f>
        <v/>
      </c>
      <c r="AC134" s="372">
        <f>IF(Year4_SouthEast Year4_CP_Plans_2years="","",Year4_SouthEast Year4_CP_Plans_2years)</f>
        <v>230</v>
      </c>
      <c r="AD134" s="577">
        <f>IF(Year5_SouthEast Year5_CP_Plans_2years="","",Year5_SouthEast Year5_CP_Plans_2years)</f>
        <v>200</v>
      </c>
      <c r="AE134" s="81"/>
      <c r="AF134" s="81"/>
      <c r="AG134" s="81"/>
      <c r="AH134" s="81"/>
      <c r="AI134" s="81"/>
      <c r="AJ134" s="184"/>
      <c r="AK134" s="157"/>
      <c r="AL134" s="74"/>
    </row>
    <row r="135" spans="1:46" s="87" customFormat="1" ht="12.75" x14ac:dyDescent="0.2">
      <c r="A135" s="121"/>
      <c r="B135" s="329" t="str">
        <f t="shared" si="36"/>
        <v>England</v>
      </c>
      <c r="C135" s="85"/>
      <c r="D135" s="351" t="e">
        <f t="shared" si="37"/>
        <v>#N/A</v>
      </c>
      <c r="E135" s="351" t="e">
        <f t="shared" si="39"/>
        <v>#N/A</v>
      </c>
      <c r="F135" s="351" t="e">
        <f t="shared" si="40"/>
        <v>#N/A</v>
      </c>
      <c r="G135" s="351">
        <f t="shared" si="41"/>
        <v>2.1431305013394564E-2</v>
      </c>
      <c r="H135" s="352">
        <f t="shared" si="42"/>
        <v>2.1355076684139003E-2</v>
      </c>
      <c r="I135" s="96"/>
      <c r="J135" s="96"/>
      <c r="K135" s="168"/>
      <c r="L135" s="168"/>
      <c r="M135" s="168"/>
      <c r="N135" s="168"/>
      <c r="O135" s="168"/>
      <c r="P135" s="168"/>
      <c r="Q135" s="168"/>
      <c r="R135" s="169"/>
      <c r="S135" s="159"/>
      <c r="T135" s="159"/>
      <c r="U135" s="170"/>
      <c r="V135" s="122"/>
      <c r="W135" s="139"/>
      <c r="X135" s="152"/>
      <c r="Y135" s="577" t="str">
        <f t="shared" si="43"/>
        <v>England</v>
      </c>
      <c r="Z135" s="606" t="str">
        <f>IF(Year1_England Year1_CP_Plans_2years="","",Year1_England Year1_CP_Plans_2years)</f>
        <v/>
      </c>
      <c r="AA135" s="607" t="str">
        <f>IF(Year2_England Year2_CP_Plans_2years="","",Year2_England Year2_CP_Plans_2years)</f>
        <v/>
      </c>
      <c r="AB135" s="372" t="str">
        <f>IF(Year3_England Year3_CP_Plans_2years="","",Year3_England Year3_CP_Plans_2years)</f>
        <v/>
      </c>
      <c r="AC135" s="372">
        <f>IF(Year4_England Year4_CP_Plans_2years="","",Year4_England Year4_CP_Plans_2years)</f>
        <v>1120</v>
      </c>
      <c r="AD135" s="582">
        <f>IF(Year5_England Year5_CP_Plans_2years="","",Year5_England Year5_CP_Plans_2years)</f>
        <v>1100</v>
      </c>
      <c r="AE135" s="81"/>
      <c r="AF135" s="81"/>
      <c r="AG135" s="81"/>
      <c r="AH135" s="81"/>
      <c r="AI135" s="81"/>
      <c r="AJ135" s="184"/>
      <c r="AK135" s="157"/>
      <c r="AL135" s="74"/>
    </row>
    <row r="136" spans="1:46" s="87" customFormat="1" ht="7.5" customHeight="1" x14ac:dyDescent="0.2">
      <c r="A136" s="292"/>
      <c r="B136" s="96"/>
      <c r="C136" s="96"/>
      <c r="D136" s="96"/>
      <c r="E136" s="96"/>
      <c r="F136" s="96"/>
      <c r="G136" s="96"/>
      <c r="H136" s="96"/>
      <c r="I136" s="96"/>
      <c r="J136" s="96"/>
      <c r="K136" s="168"/>
      <c r="L136" s="168"/>
      <c r="M136" s="168"/>
      <c r="N136" s="168"/>
      <c r="O136" s="168"/>
      <c r="P136" s="168"/>
      <c r="Q136" s="168"/>
      <c r="R136" s="169"/>
      <c r="S136" s="159"/>
      <c r="T136" s="159"/>
      <c r="U136" s="170"/>
      <c r="V136" s="122"/>
      <c r="W136" s="139"/>
      <c r="X136" s="152"/>
      <c r="Y136" s="81"/>
      <c r="Z136" s="81"/>
      <c r="AA136" s="196"/>
      <c r="AB136" s="196"/>
      <c r="AC136" s="197"/>
      <c r="AD136" s="197"/>
      <c r="AE136" s="81"/>
      <c r="AF136" s="81"/>
      <c r="AG136" s="81"/>
      <c r="AH136" s="81"/>
      <c r="AI136" s="81"/>
      <c r="AJ136" s="184"/>
      <c r="AK136" s="157"/>
      <c r="AL136" s="74"/>
    </row>
    <row r="137" spans="1:46" s="81" customFormat="1" ht="28.5" customHeight="1" x14ac:dyDescent="0.2">
      <c r="A137" s="217"/>
      <c r="B137" s="392"/>
      <c r="C137" s="392"/>
      <c r="D137" s="392"/>
      <c r="E137" s="392"/>
      <c r="F137" s="392"/>
      <c r="G137" s="392"/>
      <c r="H137" s="392"/>
      <c r="I137" s="392"/>
      <c r="J137" s="172"/>
      <c r="K137" s="172"/>
      <c r="L137" s="172"/>
      <c r="M137" s="172"/>
      <c r="N137" s="172"/>
      <c r="O137" s="172"/>
      <c r="P137" s="172"/>
      <c r="Q137" s="172"/>
      <c r="R137" s="136"/>
      <c r="S137" s="172"/>
      <c r="T137" s="172"/>
      <c r="U137" s="172"/>
      <c r="V137" s="117"/>
      <c r="W137" s="137"/>
      <c r="X137" s="150"/>
      <c r="AD137" s="197"/>
      <c r="AE137" s="199"/>
      <c r="AF137" s="184"/>
      <c r="AG137" s="184"/>
      <c r="AH137" s="184"/>
      <c r="AJ137" s="184"/>
      <c r="AK137" s="157"/>
      <c r="AL137" s="74"/>
    </row>
    <row r="138" spans="1:46" s="81" customFormat="1" ht="39" customHeight="1" x14ac:dyDescent="0.2">
      <c r="A138" s="217"/>
      <c r="B138" s="392"/>
      <c r="C138" s="392"/>
      <c r="D138" s="392"/>
      <c r="E138" s="392"/>
      <c r="F138" s="392"/>
      <c r="G138" s="392"/>
      <c r="H138" s="392"/>
      <c r="I138" s="392"/>
      <c r="J138" s="172"/>
      <c r="K138" s="172"/>
      <c r="L138" s="172"/>
      <c r="M138" s="172"/>
      <c r="N138" s="172"/>
      <c r="O138" s="172"/>
      <c r="P138" s="172"/>
      <c r="Q138" s="172"/>
      <c r="R138" s="136"/>
      <c r="S138" s="172"/>
      <c r="T138" s="172"/>
      <c r="U138" s="172"/>
      <c r="V138" s="117"/>
      <c r="W138" s="137"/>
      <c r="X138" s="150"/>
      <c r="Z138" s="190"/>
      <c r="AE138" s="199"/>
      <c r="AF138" s="184"/>
      <c r="AG138" s="184"/>
      <c r="AH138" s="184"/>
      <c r="AJ138" s="184"/>
      <c r="AK138" s="157"/>
      <c r="AL138" s="74"/>
    </row>
    <row r="139" spans="1:46" s="81" customFormat="1" ht="48.75" customHeight="1" x14ac:dyDescent="0.2">
      <c r="A139" s="217"/>
      <c r="B139" s="392"/>
      <c r="C139" s="392"/>
      <c r="D139" s="392"/>
      <c r="E139" s="392"/>
      <c r="F139" s="392"/>
      <c r="G139" s="392"/>
      <c r="H139" s="392"/>
      <c r="I139" s="392"/>
      <c r="J139" s="172"/>
      <c r="K139" s="172"/>
      <c r="L139" s="172"/>
      <c r="M139" s="172"/>
      <c r="N139" s="172"/>
      <c r="O139" s="172"/>
      <c r="P139" s="172"/>
      <c r="Q139" s="172"/>
      <c r="R139" s="136"/>
      <c r="S139" s="172"/>
      <c r="T139" s="172"/>
      <c r="U139" s="172"/>
      <c r="V139" s="117"/>
      <c r="W139" s="137"/>
      <c r="X139" s="150"/>
      <c r="Y139" s="223"/>
      <c r="Z139" s="190"/>
      <c r="AE139" s="199"/>
      <c r="AF139" s="184"/>
      <c r="AG139" s="184"/>
      <c r="AH139" s="184"/>
      <c r="AJ139" s="184"/>
      <c r="AK139" s="157"/>
      <c r="AL139" s="74"/>
    </row>
    <row r="140" spans="1:46" s="81" customFormat="1" ht="7.5" customHeight="1" x14ac:dyDescent="0.2">
      <c r="A140" s="118"/>
      <c r="B140" s="17"/>
      <c r="C140" s="17"/>
      <c r="D140" s="16"/>
      <c r="E140" s="16"/>
      <c r="F140" s="16"/>
      <c r="G140" s="16"/>
      <c r="H140" s="16"/>
      <c r="I140" s="16"/>
      <c r="J140" s="12"/>
      <c r="K140" s="18"/>
      <c r="L140" s="18"/>
      <c r="M140" s="18"/>
      <c r="N140" s="18"/>
      <c r="O140" s="18"/>
      <c r="P140" s="18"/>
      <c r="Q140" s="18"/>
      <c r="R140" s="18"/>
      <c r="S140" s="18"/>
      <c r="T140" s="18"/>
      <c r="U140" s="19"/>
      <c r="V140" s="117"/>
      <c r="W140" s="137"/>
      <c r="X140" s="150"/>
      <c r="Z140" s="190"/>
      <c r="AJ140" s="184"/>
      <c r="AK140" s="157"/>
      <c r="AL140" s="74"/>
      <c r="AM140" s="74"/>
      <c r="AN140" s="74"/>
      <c r="AO140" s="74"/>
      <c r="AP140" s="74"/>
      <c r="AQ140" s="74"/>
      <c r="AR140" s="74"/>
    </row>
    <row r="141" spans="1:46" s="81" customFormat="1" ht="15" customHeight="1" x14ac:dyDescent="0.2">
      <c r="A141" s="1716"/>
      <c r="B141" s="1760"/>
      <c r="C141" s="1760"/>
      <c r="D141" s="1760"/>
      <c r="E141" s="1760"/>
      <c r="F141" s="1760"/>
      <c r="G141" s="1760"/>
      <c r="H141" s="1760"/>
      <c r="I141" s="1760"/>
      <c r="J141" s="1760"/>
      <c r="K141" s="1760"/>
      <c r="L141" s="1760"/>
      <c r="M141" s="1760"/>
      <c r="N141" s="1760"/>
      <c r="O141" s="1760"/>
      <c r="P141" s="1760"/>
      <c r="Q141" s="1760"/>
      <c r="R141" s="1760"/>
      <c r="S141" s="1760"/>
      <c r="T141" s="1760"/>
      <c r="U141" s="1760"/>
      <c r="V141" s="1761"/>
      <c r="W141" s="137"/>
      <c r="X141" s="150"/>
      <c r="AK141" s="157"/>
      <c r="AL141" s="74"/>
      <c r="AT141" s="74"/>
    </row>
    <row r="142" spans="1:46" s="81" customFormat="1" ht="11.1" customHeight="1" x14ac:dyDescent="0.2">
      <c r="A142" s="1765" t="str">
        <f>Home!$A$39</f>
        <v xml:space="preserve"> </v>
      </c>
      <c r="B142" s="1766"/>
      <c r="C142" s="1766"/>
      <c r="D142" s="1766"/>
      <c r="E142" s="1766"/>
      <c r="F142" s="1766"/>
      <c r="G142" s="1766"/>
      <c r="H142" s="1766"/>
      <c r="I142" s="1767"/>
      <c r="J142" s="1766"/>
      <c r="K142" s="1766"/>
      <c r="L142" s="1766"/>
      <c r="M142" s="1766"/>
      <c r="N142" s="1766"/>
      <c r="O142" s="1766"/>
      <c r="P142" s="1768"/>
      <c r="Q142" s="1766"/>
      <c r="R142" s="1766"/>
      <c r="S142" s="1766"/>
      <c r="T142" s="1767"/>
      <c r="U142" s="1766"/>
      <c r="V142" s="1769"/>
      <c r="W142" s="137"/>
      <c r="X142" s="150"/>
      <c r="AJ142" s="184"/>
      <c r="AK142" s="157"/>
      <c r="AL142" s="74"/>
      <c r="AT142" s="74"/>
    </row>
    <row r="143" spans="1:46" ht="11.25" hidden="1" customHeight="1" x14ac:dyDescent="0.2">
      <c r="A143" s="440"/>
      <c r="B143" s="218"/>
      <c r="C143" s="218"/>
      <c r="D143" s="218"/>
      <c r="E143" s="218"/>
      <c r="F143" s="218"/>
      <c r="G143" s="218"/>
      <c r="H143" s="218"/>
      <c r="I143" s="218"/>
      <c r="J143" s="114"/>
      <c r="K143" s="113"/>
      <c r="L143" s="113"/>
      <c r="M143" s="113"/>
      <c r="N143" s="113"/>
      <c r="O143" s="113"/>
      <c r="P143" s="113"/>
      <c r="Q143" s="113"/>
      <c r="R143" s="113"/>
      <c r="S143" s="113"/>
      <c r="T143" s="113"/>
      <c r="U143" s="113"/>
      <c r="V143" s="115"/>
      <c r="W143" s="137"/>
      <c r="X143" s="150"/>
      <c r="Y143" s="198"/>
      <c r="Z143" s="196"/>
      <c r="AA143" s="188"/>
      <c r="AJ143" s="184"/>
      <c r="AK143" s="157"/>
    </row>
    <row r="144" spans="1:46" s="76" customFormat="1" ht="15" hidden="1" customHeight="1" x14ac:dyDescent="0.2">
      <c r="A144" s="949"/>
      <c r="B144" s="1922" t="s">
        <v>924</v>
      </c>
      <c r="C144" s="1922"/>
      <c r="D144" s="1922"/>
      <c r="E144" s="1922"/>
      <c r="F144" s="1922"/>
      <c r="G144" s="1922"/>
      <c r="H144" s="1922"/>
      <c r="I144" s="1922"/>
      <c r="J144" s="70"/>
      <c r="K144" s="70"/>
      <c r="L144" s="70"/>
      <c r="M144" s="70"/>
      <c r="N144" s="825"/>
      <c r="O144" s="70"/>
      <c r="P144" s="70"/>
      <c r="Q144" s="70"/>
      <c r="R144" s="70"/>
      <c r="S144" s="70"/>
      <c r="T144" s="70"/>
      <c r="U144" s="70"/>
      <c r="V144" s="120"/>
      <c r="W144" s="138"/>
      <c r="X144" s="151"/>
      <c r="Y144" s="951" t="s">
        <v>700</v>
      </c>
      <c r="Z144" s="382"/>
      <c r="AA144" s="383"/>
      <c r="AB144" s="383"/>
      <c r="AC144" s="383"/>
      <c r="AD144" s="596"/>
      <c r="AE144" s="596"/>
      <c r="AF144" s="381" t="s">
        <v>701</v>
      </c>
      <c r="AG144" s="382"/>
      <c r="AH144" s="383"/>
      <c r="AI144" s="383"/>
      <c r="AJ144" s="383"/>
      <c r="AK144" s="157"/>
      <c r="AL144" s="74"/>
    </row>
    <row r="145" spans="1:45" ht="15" hidden="1" customHeight="1" x14ac:dyDescent="0.2">
      <c r="A145" s="950"/>
      <c r="B145" s="1922"/>
      <c r="C145" s="1922"/>
      <c r="D145" s="1922"/>
      <c r="E145" s="1922"/>
      <c r="F145" s="1922"/>
      <c r="G145" s="1922"/>
      <c r="H145" s="1922"/>
      <c r="I145" s="1922"/>
      <c r="J145" s="70"/>
      <c r="K145" s="70"/>
      <c r="L145" s="70"/>
      <c r="M145" s="70"/>
      <c r="N145" s="825"/>
      <c r="O145" s="70"/>
      <c r="P145" s="70"/>
      <c r="Q145" s="70"/>
      <c r="R145" s="10"/>
      <c r="S145" s="70"/>
      <c r="T145" s="70"/>
      <c r="U145" s="70"/>
      <c r="V145" s="117"/>
      <c r="W145" s="137"/>
      <c r="X145" s="150"/>
      <c r="Y145" s="383"/>
      <c r="Z145" s="382"/>
      <c r="AA145" s="383"/>
      <c r="AB145" s="383"/>
      <c r="AC145" s="383"/>
      <c r="AD145" s="596"/>
      <c r="AE145" s="596"/>
      <c r="AF145" s="383"/>
      <c r="AG145" s="382"/>
      <c r="AH145" s="383"/>
      <c r="AI145" s="383"/>
      <c r="AJ145" s="383"/>
      <c r="AK145" s="157"/>
    </row>
    <row r="146" spans="1:45" ht="13.5" hidden="1" customHeight="1" x14ac:dyDescent="0.2">
      <c r="A146" s="740"/>
      <c r="B146" s="1771" t="s">
        <v>205</v>
      </c>
      <c r="C146" s="921"/>
      <c r="D146" s="789" t="str">
        <f>Sheet1!$D$27</f>
        <v>2015-16</v>
      </c>
      <c r="E146" s="790" t="str">
        <f>Sheet1!$E$27</f>
        <v>2016-17</v>
      </c>
      <c r="F146" s="790" t="str">
        <f>Sheet1!$F$27</f>
        <v>2017-18</v>
      </c>
      <c r="G146" s="790" t="str">
        <f>Sheet1!$G$27</f>
        <v>2018-19</v>
      </c>
      <c r="H146" s="791" t="str">
        <f>Sheet1!$H$27</f>
        <v>2019-20</v>
      </c>
      <c r="I146" s="927"/>
      <c r="J146" s="70"/>
      <c r="K146" s="70"/>
      <c r="L146" s="70"/>
      <c r="M146" s="70"/>
      <c r="N146" s="918"/>
      <c r="O146" s="70"/>
      <c r="P146" s="70"/>
      <c r="Q146" s="70"/>
      <c r="R146" s="10"/>
      <c r="S146" s="70"/>
      <c r="T146" s="70"/>
      <c r="U146" s="70"/>
      <c r="V146" s="117"/>
      <c r="W146" s="137"/>
      <c r="X146" s="150"/>
      <c r="Y146" s="383"/>
      <c r="Z146" s="382"/>
      <c r="AA146" s="383"/>
      <c r="AB146" s="383"/>
      <c r="AC146" s="383"/>
      <c r="AD146" s="596"/>
      <c r="AE146" s="596"/>
      <c r="AF146" s="383"/>
      <c r="AG146" s="382"/>
      <c r="AH146" s="383"/>
      <c r="AI146" s="383"/>
      <c r="AJ146" s="383"/>
      <c r="AK146" s="157"/>
    </row>
    <row r="147" spans="1:45" s="87" customFormat="1" ht="13.5" hidden="1" customHeight="1" x14ac:dyDescent="0.2">
      <c r="A147" s="121"/>
      <c r="B147" s="1772"/>
      <c r="C147" s="85"/>
      <c r="D147" s="792" t="e">
        <f>Sheet1!$D$28</f>
        <v>#N/A</v>
      </c>
      <c r="E147" s="792" t="e">
        <f>Sheet1!$E$28</f>
        <v>#N/A</v>
      </c>
      <c r="F147" s="792" t="e">
        <f>Sheet1!$F$28</f>
        <v>#N/A</v>
      </c>
      <c r="G147" s="792" t="e">
        <f>Sheet1!$G$28</f>
        <v>#N/A</v>
      </c>
      <c r="H147" s="793" t="e">
        <f>Sheet1!$H$28</f>
        <v>#N/A</v>
      </c>
      <c r="I147" s="96"/>
      <c r="J147" s="96"/>
      <c r="K147" s="61"/>
      <c r="L147" s="61"/>
      <c r="M147" s="61"/>
      <c r="N147" s="61"/>
      <c r="O147" s="61"/>
      <c r="P147" s="61"/>
      <c r="Q147" s="828"/>
      <c r="R147" s="828"/>
      <c r="S147" s="159"/>
      <c r="T147" s="159"/>
      <c r="U147" s="829"/>
      <c r="V147" s="122"/>
      <c r="W147" s="139"/>
      <c r="X147" s="152"/>
      <c r="Y147" s="577"/>
      <c r="Z147" s="581" t="e">
        <f>D147</f>
        <v>#N/A</v>
      </c>
      <c r="AA147" s="489" t="e">
        <f t="shared" ref="AA147" si="44">E147</f>
        <v>#N/A</v>
      </c>
      <c r="AB147" s="489" t="e">
        <f t="shared" ref="AB147" si="45">F147</f>
        <v>#N/A</v>
      </c>
      <c r="AC147" s="489" t="e">
        <f t="shared" ref="AC147" si="46">G147</f>
        <v>#N/A</v>
      </c>
      <c r="AD147" s="578" t="e">
        <f t="shared" ref="AD147" si="47">H147</f>
        <v>#N/A</v>
      </c>
      <c r="AE147" s="384"/>
      <c r="AF147" s="489" t="e">
        <f>Z147</f>
        <v>#N/A</v>
      </c>
      <c r="AG147" s="489" t="e">
        <f t="shared" ref="AG147" si="48">AA147</f>
        <v>#N/A</v>
      </c>
      <c r="AH147" s="489" t="e">
        <f t="shared" ref="AH147" si="49">AB147</f>
        <v>#N/A</v>
      </c>
      <c r="AI147" s="489" t="e">
        <f t="shared" ref="AI147" si="50">AC147</f>
        <v>#N/A</v>
      </c>
      <c r="AJ147" s="489" t="e">
        <f t="shared" ref="AJ147" si="51">AD147</f>
        <v>#N/A</v>
      </c>
      <c r="AK147" s="157"/>
      <c r="AL147" s="74"/>
    </row>
    <row r="148" spans="1:45" s="87" customFormat="1" ht="12.75" hidden="1" customHeight="1" x14ac:dyDescent="0.2">
      <c r="A148" s="488">
        <f>VLOOKUP(B148,Sheet1!$AQ$4:$AR$25,2,FALSE)</f>
        <v>0</v>
      </c>
      <c r="B148" s="93" t="str">
        <f t="shared" ref="B148:B171" si="52">B220</f>
        <v>Bracknell Forest</v>
      </c>
      <c r="C148" s="85"/>
      <c r="D148" s="162" t="e">
        <f>IF(AND(ISNUMBER(AF148),ISNUMBER(Z148)),AF148/Z148,NA())</f>
        <v>#N/A</v>
      </c>
      <c r="E148" s="162" t="e">
        <f t="shared" ref="E148:E171" si="53">IF(AND(ISNUMBER(AG148),ISNUMBER(AA148)),AG148/AA148,NA())</f>
        <v>#N/A</v>
      </c>
      <c r="F148" s="162" t="e">
        <f t="shared" ref="F148:F171" si="54">IF(AND(ISNUMBER(AH148),ISNUMBER(AB148)),AH148/AB148,NA())</f>
        <v>#N/A</v>
      </c>
      <c r="G148" s="162" t="e">
        <f t="shared" ref="G148:G171" si="55">IF(AND(ISNUMBER(AI148),ISNUMBER(AC148)),AI148/AC148,NA())</f>
        <v>#N/A</v>
      </c>
      <c r="H148" s="164" t="e">
        <f t="shared" ref="H148:H171" si="56">IF(AND(ISNUMBER(AJ148),ISNUMBER(AD148)),AJ148/AD148,NA())</f>
        <v>#N/A</v>
      </c>
      <c r="I148" s="96"/>
      <c r="J148" s="96"/>
      <c r="K148" s="166"/>
      <c r="L148" s="166"/>
      <c r="M148" s="166"/>
      <c r="N148" s="166"/>
      <c r="O148" s="166"/>
      <c r="P148" s="166"/>
      <c r="Q148" s="166"/>
      <c r="R148" s="167"/>
      <c r="S148" s="159"/>
      <c r="T148" s="159"/>
      <c r="U148" s="166"/>
      <c r="V148" s="122"/>
      <c r="W148" s="139"/>
      <c r="X148" s="152"/>
      <c r="Y148" s="577" t="str">
        <f>B148</f>
        <v>Bracknell Forest</v>
      </c>
      <c r="Z148" s="581">
        <f>IF(ISNUMBER(AF148),D10,0)</f>
        <v>0</v>
      </c>
      <c r="AA148" s="581">
        <f t="shared" ref="AA148:AD148" si="57">IF(ISNUMBER(AG148),E10,0)</f>
        <v>0</v>
      </c>
      <c r="AB148" s="581">
        <f t="shared" si="57"/>
        <v>0</v>
      </c>
      <c r="AC148" s="581">
        <f t="shared" si="57"/>
        <v>0</v>
      </c>
      <c r="AD148" s="581">
        <f t="shared" si="57"/>
        <v>0</v>
      </c>
      <c r="AE148" s="384" t="str">
        <f>Y148</f>
        <v>Bracknell Forest</v>
      </c>
      <c r="AF148" s="489" t="str">
        <f>IF(Year1_Bracknell_Forest Year1_CP_Plans_Seen_in_Timescales="","",Year1_Bracknell_Forest Year1_CP_Plans_Seen_in_Timescales)</f>
        <v/>
      </c>
      <c r="AG148" s="372" t="str">
        <f>IF(Year2_Bracknell_Forest Year2_CP_Plans_Seen_in_Timescales="","",Year2_Bracknell_Forest Year2_CP_Plans_Seen_in_Timescales)</f>
        <v/>
      </c>
      <c r="AH148" s="372" t="str">
        <f>IF(Year3_Bracknell_Forest Year3_CP_Plans_Seen_in_Timescales="","",Year3_Bracknell_Forest Year3_CP_Plans_Seen_in_Timescales)</f>
        <v/>
      </c>
      <c r="AI148" s="372" t="str">
        <f>IF(Year4_Bracknell_Forest Year4_CP_Plans_Seen_in_Timescales="","",Year4_Bracknell_Forest Year4_CP_Plans_Seen_in_Timescales)</f>
        <v/>
      </c>
      <c r="AJ148" s="372" t="str">
        <f>IF(Year5_Bracknell_Forest Year5_CP_Plans_Seen_in_Timescales="","",Year5_Bracknell_Forest Year5_CP_Plans_Seen_in_Timescales)</f>
        <v/>
      </c>
      <c r="AK148" s="157"/>
      <c r="AL148" s="74"/>
    </row>
    <row r="149" spans="1:45" s="87" customFormat="1" ht="12.75" hidden="1" customHeight="1" x14ac:dyDescent="0.2">
      <c r="A149" s="488">
        <f>VLOOKUP(B149,Sheet1!$AQ$4:$AR$25,2,FALSE)</f>
        <v>0</v>
      </c>
      <c r="B149" s="93" t="str">
        <f t="shared" si="52"/>
        <v>Brighton &amp; Hove</v>
      </c>
      <c r="C149" s="85"/>
      <c r="D149" s="162" t="e">
        <f t="shared" ref="D149:D171" si="58">IF(AND(ISNUMBER(AF149),ISNUMBER(Z149)),AF149/Z149,NA())</f>
        <v>#N/A</v>
      </c>
      <c r="E149" s="162" t="e">
        <f t="shared" si="53"/>
        <v>#N/A</v>
      </c>
      <c r="F149" s="162" t="e">
        <f t="shared" si="54"/>
        <v>#N/A</v>
      </c>
      <c r="G149" s="162" t="e">
        <f t="shared" si="55"/>
        <v>#N/A</v>
      </c>
      <c r="H149" s="164" t="e">
        <f t="shared" si="56"/>
        <v>#N/A</v>
      </c>
      <c r="I149" s="96"/>
      <c r="J149" s="96"/>
      <c r="K149" s="166"/>
      <c r="L149" s="166"/>
      <c r="M149" s="166"/>
      <c r="N149" s="166"/>
      <c r="O149" s="166"/>
      <c r="P149" s="166"/>
      <c r="Q149" s="166"/>
      <c r="R149" s="167"/>
      <c r="S149" s="159"/>
      <c r="T149" s="159"/>
      <c r="U149" s="166"/>
      <c r="V149" s="122"/>
      <c r="W149" s="139"/>
      <c r="X149" s="152"/>
      <c r="Y149" s="577" t="str">
        <f t="shared" ref="Y149:Y171" si="59">B149</f>
        <v>Brighton &amp; Hove</v>
      </c>
      <c r="Z149" s="581">
        <f t="shared" ref="Z149:Z169" si="60">IF(ISNUMBER(AF149),D11,0)</f>
        <v>0</v>
      </c>
      <c r="AA149" s="581">
        <f t="shared" ref="AA149:AA169" si="61">IF(ISNUMBER(AG149),E11,0)</f>
        <v>0</v>
      </c>
      <c r="AB149" s="581">
        <f t="shared" ref="AB149:AB169" si="62">IF(ISNUMBER(AH149),F11,0)</f>
        <v>0</v>
      </c>
      <c r="AC149" s="581">
        <f t="shared" ref="AC149:AC169" si="63">IF(ISNUMBER(AI149),G11,0)</f>
        <v>0</v>
      </c>
      <c r="AD149" s="581">
        <f t="shared" ref="AD149:AD169" si="64">IF(ISNUMBER(AJ149),H11,0)</f>
        <v>0</v>
      </c>
      <c r="AE149" s="384" t="str">
        <f t="shared" ref="AE149:AE171" si="65">Y149</f>
        <v>Brighton &amp; Hove</v>
      </c>
      <c r="AF149" s="489" t="str">
        <f>IF(Year1_Brighton_Hove Year1_CP_Plans_Seen_in_Timescales="","",Year1_Brighton_Hove Year1_CP_Plans_Seen_in_Timescales)</f>
        <v/>
      </c>
      <c r="AG149" s="372" t="str">
        <f>IF(Year2_Brighton_Hove Year2_CP_Plans_Seen_in_Timescales="","",Year2_Brighton_Hove Year2_CP_Plans_Seen_in_Timescales)</f>
        <v/>
      </c>
      <c r="AH149" s="372" t="str">
        <f>IF(Year3_Brighton_Hove Year3_CP_Plans_Seen_in_Timescales="","",Year3_Brighton_Hove Year3_CP_Plans_Seen_in_Timescales)</f>
        <v/>
      </c>
      <c r="AI149" s="372" t="str">
        <f>IF(Year4_Brighton_Hove Year4_CP_Plans_Seen_in_Timescales="","",Year4_Brighton_Hove Year4_CP_Plans_Seen_in_Timescales)</f>
        <v/>
      </c>
      <c r="AJ149" s="372" t="str">
        <f>IF(Year5_Brighton_Hove Year5_CP_Plans_Seen_in_Timescales="","",Year5_Brighton_Hove Year5_CP_Plans_Seen_in_Timescales)</f>
        <v/>
      </c>
      <c r="AK149" s="157"/>
      <c r="AL149" s="74"/>
    </row>
    <row r="150" spans="1:45" s="87" customFormat="1" ht="12.75" hidden="1" customHeight="1" x14ac:dyDescent="0.2">
      <c r="A150" s="488">
        <f>VLOOKUP(B150,Sheet1!$AQ$4:$AR$25,2,FALSE)</f>
        <v>0</v>
      </c>
      <c r="B150" s="93" t="str">
        <f t="shared" si="52"/>
        <v>Buckinghamshire</v>
      </c>
      <c r="C150" s="85"/>
      <c r="D150" s="162" t="e">
        <f t="shared" si="58"/>
        <v>#N/A</v>
      </c>
      <c r="E150" s="162" t="e">
        <f t="shared" si="53"/>
        <v>#N/A</v>
      </c>
      <c r="F150" s="162" t="e">
        <f t="shared" si="54"/>
        <v>#N/A</v>
      </c>
      <c r="G150" s="162" t="e">
        <f t="shared" si="55"/>
        <v>#N/A</v>
      </c>
      <c r="H150" s="164" t="e">
        <f t="shared" si="56"/>
        <v>#N/A</v>
      </c>
      <c r="I150" s="96"/>
      <c r="J150" s="96"/>
      <c r="K150" s="166"/>
      <c r="L150" s="166"/>
      <c r="M150" s="166"/>
      <c r="N150" s="166"/>
      <c r="O150" s="166"/>
      <c r="P150" s="166"/>
      <c r="Q150" s="166"/>
      <c r="R150" s="167"/>
      <c r="S150" s="159"/>
      <c r="T150" s="159"/>
      <c r="U150" s="166"/>
      <c r="V150" s="122"/>
      <c r="W150" s="139"/>
      <c r="X150" s="152"/>
      <c r="Y150" s="577" t="str">
        <f t="shared" si="59"/>
        <v>Buckinghamshire</v>
      </c>
      <c r="Z150" s="581">
        <f t="shared" si="60"/>
        <v>0</v>
      </c>
      <c r="AA150" s="581">
        <f t="shared" si="61"/>
        <v>0</v>
      </c>
      <c r="AB150" s="581">
        <f t="shared" si="62"/>
        <v>0</v>
      </c>
      <c r="AC150" s="581">
        <f t="shared" si="63"/>
        <v>0</v>
      </c>
      <c r="AD150" s="581">
        <f t="shared" si="64"/>
        <v>0</v>
      </c>
      <c r="AE150" s="384" t="str">
        <f t="shared" si="65"/>
        <v>Buckinghamshire</v>
      </c>
      <c r="AF150" s="489" t="str">
        <f>IF(Year1_Buckinghamshire Year1_CP_Plans_Seen_in_Timescales="","",Year1_Buckinghamshire Year1_CP_Plans_Seen_in_Timescales)</f>
        <v/>
      </c>
      <c r="AG150" s="372" t="str">
        <f>IF(Year2_Buckinghamshire Year2_CP_Plans_Seen_in_Timescales="","",Year2_Buckinghamshire Year2_CP_Plans_Seen_in_Timescales)</f>
        <v/>
      </c>
      <c r="AH150" s="372" t="str">
        <f>IF(Year3_Buckinghamshire Year3_CP_Plans_Seen_in_Timescales="","",Year3_Buckinghamshire Year3_CP_Plans_Seen_in_Timescales)</f>
        <v/>
      </c>
      <c r="AI150" s="372" t="str">
        <f>IF(Year4_Buckinghamshire Year4_CP_Plans_Seen_in_Timescales="","",Year4_Buckinghamshire Year4_CP_Plans_Seen_in_Timescales)</f>
        <v/>
      </c>
      <c r="AJ150" s="372" t="str">
        <f>IF(Year5_Buckinghamshire Year5_CP_Plans_Seen_in_Timescales="","",Year5_Buckinghamshire Year5_CP_Plans_Seen_in_Timescales)</f>
        <v/>
      </c>
      <c r="AK150" s="157"/>
      <c r="AL150" s="74"/>
    </row>
    <row r="151" spans="1:45" s="87" customFormat="1" ht="12.75" hidden="1" customHeight="1" x14ac:dyDescent="0.2">
      <c r="A151" s="488">
        <f>VLOOKUP(B151,Sheet1!$AQ$4:$AR$25,2,FALSE)</f>
        <v>0</v>
      </c>
      <c r="B151" s="93" t="str">
        <f t="shared" si="52"/>
        <v>East Sussex</v>
      </c>
      <c r="C151" s="85"/>
      <c r="D151" s="162" t="e">
        <f t="shared" si="58"/>
        <v>#N/A</v>
      </c>
      <c r="E151" s="162" t="e">
        <f t="shared" si="53"/>
        <v>#N/A</v>
      </c>
      <c r="F151" s="162" t="e">
        <f t="shared" si="54"/>
        <v>#N/A</v>
      </c>
      <c r="G151" s="162" t="e">
        <f t="shared" si="55"/>
        <v>#N/A</v>
      </c>
      <c r="H151" s="164" t="e">
        <f t="shared" si="56"/>
        <v>#N/A</v>
      </c>
      <c r="I151" s="96"/>
      <c r="J151" s="96"/>
      <c r="K151" s="166"/>
      <c r="L151" s="166"/>
      <c r="M151" s="166"/>
      <c r="N151" s="166"/>
      <c r="O151" s="166"/>
      <c r="P151" s="166"/>
      <c r="Q151" s="166"/>
      <c r="R151" s="167"/>
      <c r="S151" s="159"/>
      <c r="T151" s="159"/>
      <c r="U151" s="166"/>
      <c r="V151" s="122"/>
      <c r="W151" s="139"/>
      <c r="X151" s="152"/>
      <c r="Y151" s="577" t="str">
        <f t="shared" si="59"/>
        <v>East Sussex</v>
      </c>
      <c r="Z151" s="581">
        <f t="shared" si="60"/>
        <v>0</v>
      </c>
      <c r="AA151" s="581">
        <f t="shared" si="61"/>
        <v>0</v>
      </c>
      <c r="AB151" s="581">
        <f t="shared" si="62"/>
        <v>0</v>
      </c>
      <c r="AC151" s="581">
        <f t="shared" si="63"/>
        <v>0</v>
      </c>
      <c r="AD151" s="581">
        <f t="shared" si="64"/>
        <v>0</v>
      </c>
      <c r="AE151" s="384" t="str">
        <f t="shared" si="65"/>
        <v>East Sussex</v>
      </c>
      <c r="AF151" s="489" t="str">
        <f>IF(Year1_East_Sussex Year1_CP_Plans_Seen_in_Timescales="","",Year1_East_Sussex Year1_CP_Plans_Seen_in_Timescales)</f>
        <v/>
      </c>
      <c r="AG151" s="372" t="str">
        <f>IF(Year2_East_Sussex Year2_CP_Plans_Seen_in_Timescales="","",Year2_East_Sussex Year2_CP_Plans_Seen_in_Timescales)</f>
        <v/>
      </c>
      <c r="AH151" s="372" t="str">
        <f>IF(Year3_East_Sussex Year3_CP_Plans_Seen_in_Timescales="","",Year3_East_Sussex Year3_CP_Plans_Seen_in_Timescales)</f>
        <v/>
      </c>
      <c r="AI151" s="372" t="str">
        <f>IF(Year4_East_Sussex Year4_CP_Plans_Seen_in_Timescales="","",Year4_East_Sussex Year4_CP_Plans_Seen_in_Timescales)</f>
        <v/>
      </c>
      <c r="AJ151" s="372" t="str">
        <f>IF(Year5_East_Sussex Year5_CP_Plans_Seen_in_Timescales="","",Year5_East_Sussex Year5_CP_Plans_Seen_in_Timescales)</f>
        <v/>
      </c>
      <c r="AK151" s="157"/>
      <c r="AL151" s="74"/>
    </row>
    <row r="152" spans="1:45" s="87" customFormat="1" ht="12.75" hidden="1" customHeight="1" x14ac:dyDescent="0.2">
      <c r="A152" s="488">
        <f>VLOOKUP(B152,Sheet1!$AQ$4:$AR$25,2,FALSE)</f>
        <v>0</v>
      </c>
      <c r="B152" s="93" t="str">
        <f t="shared" si="52"/>
        <v>Hampshire</v>
      </c>
      <c r="C152" s="85"/>
      <c r="D152" s="162" t="e">
        <f t="shared" si="58"/>
        <v>#N/A</v>
      </c>
      <c r="E152" s="162" t="e">
        <f t="shared" si="53"/>
        <v>#N/A</v>
      </c>
      <c r="F152" s="162" t="e">
        <f t="shared" si="54"/>
        <v>#N/A</v>
      </c>
      <c r="G152" s="162" t="e">
        <f t="shared" si="55"/>
        <v>#N/A</v>
      </c>
      <c r="H152" s="164" t="e">
        <f t="shared" si="56"/>
        <v>#N/A</v>
      </c>
      <c r="I152" s="96"/>
      <c r="J152" s="96"/>
      <c r="K152" s="166"/>
      <c r="L152" s="166"/>
      <c r="M152" s="166"/>
      <c r="N152" s="166"/>
      <c r="O152" s="166"/>
      <c r="P152" s="166"/>
      <c r="Q152" s="166"/>
      <c r="R152" s="167"/>
      <c r="S152" s="159"/>
      <c r="T152" s="159"/>
      <c r="U152" s="166"/>
      <c r="V152" s="122"/>
      <c r="W152" s="139"/>
      <c r="X152" s="152"/>
      <c r="Y152" s="577" t="str">
        <f t="shared" si="59"/>
        <v>Hampshire</v>
      </c>
      <c r="Z152" s="581">
        <f t="shared" si="60"/>
        <v>0</v>
      </c>
      <c r="AA152" s="581">
        <f t="shared" si="61"/>
        <v>0</v>
      </c>
      <c r="AB152" s="581">
        <f t="shared" si="62"/>
        <v>0</v>
      </c>
      <c r="AC152" s="581">
        <f t="shared" si="63"/>
        <v>0</v>
      </c>
      <c r="AD152" s="581">
        <f t="shared" si="64"/>
        <v>0</v>
      </c>
      <c r="AE152" s="384" t="str">
        <f t="shared" si="65"/>
        <v>Hampshire</v>
      </c>
      <c r="AF152" s="489" t="str">
        <f>IF(Year1_Hampshire Year1_CP_Plans_Seen_in_Timescales="","",Year1_Hampshire Year1_CP_Plans_Seen_in_Timescales)</f>
        <v/>
      </c>
      <c r="AG152" s="372" t="str">
        <f>IF(Year2_Hampshire Year2_CP_Plans_Seen_in_Timescales="","",Year2_Hampshire Year2_CP_Plans_Seen_in_Timescales)</f>
        <v/>
      </c>
      <c r="AH152" s="372" t="str">
        <f>IF(Year3_Hampshire Year3_CP_Plans_Seen_in_Timescales="","",Year3_Hampshire Year3_CP_Plans_Seen_in_Timescales)</f>
        <v/>
      </c>
      <c r="AI152" s="372" t="str">
        <f>IF(Year4_Hampshire Year4_CP_Plans_Seen_in_Timescales="","",Year4_Hampshire Year4_CP_Plans_Seen_in_Timescales)</f>
        <v/>
      </c>
      <c r="AJ152" s="372" t="str">
        <f>IF(Year5_Hampshire Year5_CP_Plans_Seen_in_Timescales="","",Year5_Hampshire Year5_CP_Plans_Seen_in_Timescales)</f>
        <v/>
      </c>
      <c r="AK152" s="157"/>
      <c r="AL152" s="74"/>
    </row>
    <row r="153" spans="1:45" s="87" customFormat="1" ht="12.75" hidden="1" customHeight="1" x14ac:dyDescent="0.2">
      <c r="A153" s="488">
        <f>VLOOKUP(B153,Sheet1!$AQ$4:$AR$25,2,FALSE)</f>
        <v>0</v>
      </c>
      <c r="B153" s="93" t="str">
        <f t="shared" si="52"/>
        <v>Isle of Wight</v>
      </c>
      <c r="C153" s="85"/>
      <c r="D153" s="162" t="e">
        <f t="shared" si="58"/>
        <v>#N/A</v>
      </c>
      <c r="E153" s="162" t="e">
        <f t="shared" si="53"/>
        <v>#N/A</v>
      </c>
      <c r="F153" s="162" t="e">
        <f t="shared" si="54"/>
        <v>#N/A</v>
      </c>
      <c r="G153" s="162" t="e">
        <f t="shared" si="55"/>
        <v>#N/A</v>
      </c>
      <c r="H153" s="164" t="e">
        <f t="shared" si="56"/>
        <v>#N/A</v>
      </c>
      <c r="I153" s="96"/>
      <c r="J153" s="96"/>
      <c r="K153" s="166"/>
      <c r="L153" s="166"/>
      <c r="M153" s="166"/>
      <c r="N153" s="166"/>
      <c r="O153" s="166"/>
      <c r="P153" s="166"/>
      <c r="Q153" s="166"/>
      <c r="R153" s="167"/>
      <c r="S153" s="159"/>
      <c r="T153" s="159"/>
      <c r="U153" s="166"/>
      <c r="V153" s="122"/>
      <c r="W153" s="139"/>
      <c r="X153" s="152"/>
      <c r="Y153" s="577" t="str">
        <f t="shared" si="59"/>
        <v>Isle of Wight</v>
      </c>
      <c r="Z153" s="581">
        <f t="shared" si="60"/>
        <v>0</v>
      </c>
      <c r="AA153" s="581">
        <f t="shared" si="61"/>
        <v>0</v>
      </c>
      <c r="AB153" s="581">
        <f t="shared" si="62"/>
        <v>0</v>
      </c>
      <c r="AC153" s="581">
        <f t="shared" si="63"/>
        <v>0</v>
      </c>
      <c r="AD153" s="581">
        <f t="shared" si="64"/>
        <v>0</v>
      </c>
      <c r="AE153" s="384" t="str">
        <f t="shared" si="65"/>
        <v>Isle of Wight</v>
      </c>
      <c r="AF153" s="489" t="str">
        <f>IF(Year1_Isle_of_Wight Year1_CP_Plans_Seen_in_Timescales="","",Year1_Isle_of_Wight Year1_CP_Plans_Seen_in_Timescales)</f>
        <v/>
      </c>
      <c r="AG153" s="372" t="str">
        <f>IF(Year2_Isle_of_Wight Year2_CP_Plans_Seen_in_Timescales="","",Year2_Isle_of_Wight Year2_CP_Plans_Seen_in_Timescales)</f>
        <v/>
      </c>
      <c r="AH153" s="372" t="str">
        <f>IF(Year3_Isle_of_Wight Year3_CP_Plans_Seen_in_Timescales="","",Year3_Isle_of_Wight Year3_CP_Plans_Seen_in_Timescales)</f>
        <v/>
      </c>
      <c r="AI153" s="372" t="str">
        <f>IF(Year4_Isle_of_Wight Year4_CP_Plans_Seen_in_Timescales="","",Year4_Isle_of_Wight Year4_CP_Plans_Seen_in_Timescales)</f>
        <v/>
      </c>
      <c r="AJ153" s="372" t="str">
        <f>IF(Year5_Isle_of_Wight Year5_CP_Plans_Seen_in_Timescales="","",Year5_Isle_of_Wight Year5_CP_Plans_Seen_in_Timescales)</f>
        <v/>
      </c>
      <c r="AK153" s="157"/>
      <c r="AL153" s="74"/>
      <c r="AS153" s="87" t="s">
        <v>102</v>
      </c>
    </row>
    <row r="154" spans="1:45" s="87" customFormat="1" ht="12.75" hidden="1" customHeight="1" x14ac:dyDescent="0.2">
      <c r="A154" s="488">
        <f>VLOOKUP(B154,Sheet1!$AQ$4:$AR$25,2,FALSE)</f>
        <v>0</v>
      </c>
      <c r="B154" s="93" t="str">
        <f t="shared" si="52"/>
        <v>Kent</v>
      </c>
      <c r="C154" s="85"/>
      <c r="D154" s="162" t="e">
        <f t="shared" si="58"/>
        <v>#N/A</v>
      </c>
      <c r="E154" s="162" t="e">
        <f t="shared" si="53"/>
        <v>#N/A</v>
      </c>
      <c r="F154" s="162" t="e">
        <f t="shared" si="54"/>
        <v>#N/A</v>
      </c>
      <c r="G154" s="162" t="e">
        <f t="shared" si="55"/>
        <v>#N/A</v>
      </c>
      <c r="H154" s="164" t="e">
        <f t="shared" si="56"/>
        <v>#N/A</v>
      </c>
      <c r="I154" s="96"/>
      <c r="J154" s="96"/>
      <c r="K154" s="166"/>
      <c r="L154" s="166"/>
      <c r="M154" s="166"/>
      <c r="N154" s="166"/>
      <c r="O154" s="166"/>
      <c r="P154" s="166"/>
      <c r="Q154" s="166"/>
      <c r="R154" s="167"/>
      <c r="S154" s="159"/>
      <c r="T154" s="159"/>
      <c r="U154" s="166"/>
      <c r="V154" s="122"/>
      <c r="W154" s="139"/>
      <c r="X154" s="152"/>
      <c r="Y154" s="577" t="str">
        <f t="shared" si="59"/>
        <v>Kent</v>
      </c>
      <c r="Z154" s="581">
        <f t="shared" si="60"/>
        <v>0</v>
      </c>
      <c r="AA154" s="581">
        <f t="shared" si="61"/>
        <v>0</v>
      </c>
      <c r="AB154" s="581">
        <f t="shared" si="62"/>
        <v>0</v>
      </c>
      <c r="AC154" s="581">
        <f t="shared" si="63"/>
        <v>0</v>
      </c>
      <c r="AD154" s="581">
        <f t="shared" si="64"/>
        <v>0</v>
      </c>
      <c r="AE154" s="384" t="str">
        <f t="shared" si="65"/>
        <v>Kent</v>
      </c>
      <c r="AF154" s="489" t="str">
        <f>IF(Year1_Kent Year1_CP_Plans_Seen_in_Timescales="","",Year1_Kent Year1_CP_Plans_Seen_in_Timescales)</f>
        <v/>
      </c>
      <c r="AG154" s="372" t="str">
        <f>IF(Year2_Kent Year2_CP_Plans_Seen_in_Timescales="","",Year2_Kent Year2_CP_Plans_Seen_in_Timescales)</f>
        <v/>
      </c>
      <c r="AH154" s="372" t="str">
        <f>IF(Year3_Kent Year3_CP_Plans_Seen_in_Timescales="","",Year3_Kent Year3_CP_Plans_Seen_in_Timescales)</f>
        <v/>
      </c>
      <c r="AI154" s="372" t="str">
        <f>IF(Year4_Kent Year4_CP_Plans_Seen_in_Timescales="","",Year4_Kent Year4_CP_Plans_Seen_in_Timescales)</f>
        <v/>
      </c>
      <c r="AJ154" s="372" t="str">
        <f>IF(Year5_Kent Year5_CP_Plans_Seen_in_Timescales="","",Year5_Kent Year5_CP_Plans_Seen_in_Timescales)</f>
        <v/>
      </c>
      <c r="AK154" s="157"/>
      <c r="AL154" s="74"/>
    </row>
    <row r="155" spans="1:45" s="87" customFormat="1" ht="12.75" hidden="1" customHeight="1" x14ac:dyDescent="0.2">
      <c r="A155" s="488">
        <f>VLOOKUP(B155,Sheet1!$AQ$4:$AR$25,2,FALSE)</f>
        <v>0</v>
      </c>
      <c r="B155" s="93" t="str">
        <f t="shared" si="52"/>
        <v>Medway</v>
      </c>
      <c r="C155" s="85"/>
      <c r="D155" s="162" t="e">
        <f t="shared" si="58"/>
        <v>#N/A</v>
      </c>
      <c r="E155" s="162" t="e">
        <f t="shared" si="53"/>
        <v>#N/A</v>
      </c>
      <c r="F155" s="162" t="e">
        <f t="shared" si="54"/>
        <v>#N/A</v>
      </c>
      <c r="G155" s="162" t="e">
        <f t="shared" si="55"/>
        <v>#N/A</v>
      </c>
      <c r="H155" s="164" t="e">
        <f t="shared" si="56"/>
        <v>#N/A</v>
      </c>
      <c r="I155" s="96"/>
      <c r="J155" s="96"/>
      <c r="K155" s="166"/>
      <c r="L155" s="166"/>
      <c r="M155" s="166"/>
      <c r="N155" s="166"/>
      <c r="O155" s="166"/>
      <c r="P155" s="166"/>
      <c r="Q155" s="166"/>
      <c r="R155" s="167"/>
      <c r="S155" s="159"/>
      <c r="T155" s="159"/>
      <c r="U155" s="166"/>
      <c r="V155" s="122"/>
      <c r="W155" s="139"/>
      <c r="X155" s="152"/>
      <c r="Y155" s="577" t="str">
        <f t="shared" si="59"/>
        <v>Medway</v>
      </c>
      <c r="Z155" s="581">
        <f t="shared" si="60"/>
        <v>0</v>
      </c>
      <c r="AA155" s="581">
        <f t="shared" si="61"/>
        <v>0</v>
      </c>
      <c r="AB155" s="581">
        <f t="shared" si="62"/>
        <v>0</v>
      </c>
      <c r="AC155" s="581">
        <f t="shared" si="63"/>
        <v>0</v>
      </c>
      <c r="AD155" s="581">
        <f t="shared" si="64"/>
        <v>0</v>
      </c>
      <c r="AE155" s="384" t="str">
        <f t="shared" si="65"/>
        <v>Medway</v>
      </c>
      <c r="AF155" s="489" t="str">
        <f>IF(Year1_Medway Year1_CP_Plans_Seen_in_Timescales="","",Year1_Medway Year1_CP_Plans_Seen_in_Timescales)</f>
        <v/>
      </c>
      <c r="AG155" s="372" t="str">
        <f>IF(Year2_Medway Year2_CP_Plans_Seen_in_Timescales="","",Year2_Medway Year2_CP_Plans_Seen_in_Timescales)</f>
        <v/>
      </c>
      <c r="AH155" s="372" t="str">
        <f>IF(Year3_Medway Year3_CP_Plans_Seen_in_Timescales="","",Year3_Medway Year3_CP_Plans_Seen_in_Timescales)</f>
        <v/>
      </c>
      <c r="AI155" s="372" t="str">
        <f>IF(Year4_Medway Year4_CP_Plans_Seen_in_Timescales="","",Year4_Medway Year4_CP_Plans_Seen_in_Timescales)</f>
        <v/>
      </c>
      <c r="AJ155" s="372" t="str">
        <f>IF(Year5_Medway Year5_CP_Plans_Seen_in_Timescales="","",Year5_Medway Year5_CP_Plans_Seen_in_Timescales)</f>
        <v/>
      </c>
      <c r="AK155" s="157"/>
      <c r="AL155" s="74"/>
    </row>
    <row r="156" spans="1:45" s="87" customFormat="1" ht="12.75" hidden="1" customHeight="1" x14ac:dyDescent="0.2">
      <c r="A156" s="488">
        <f>VLOOKUP(B156,Sheet1!$AQ$4:$AR$25,2,FALSE)</f>
        <v>0</v>
      </c>
      <c r="B156" s="93" t="str">
        <f t="shared" si="52"/>
        <v>Milton Keynes</v>
      </c>
      <c r="C156" s="85"/>
      <c r="D156" s="162" t="e">
        <f t="shared" si="58"/>
        <v>#N/A</v>
      </c>
      <c r="E156" s="162" t="e">
        <f t="shared" si="53"/>
        <v>#N/A</v>
      </c>
      <c r="F156" s="162" t="e">
        <f t="shared" si="54"/>
        <v>#N/A</v>
      </c>
      <c r="G156" s="162" t="e">
        <f t="shared" si="55"/>
        <v>#N/A</v>
      </c>
      <c r="H156" s="164" t="e">
        <f t="shared" si="56"/>
        <v>#N/A</v>
      </c>
      <c r="I156" s="96"/>
      <c r="J156" s="96"/>
      <c r="K156" s="166"/>
      <c r="L156" s="166"/>
      <c r="M156" s="166"/>
      <c r="N156" s="166"/>
      <c r="O156" s="166"/>
      <c r="P156" s="166"/>
      <c r="Q156" s="166"/>
      <c r="R156" s="167"/>
      <c r="S156" s="159"/>
      <c r="T156" s="159"/>
      <c r="U156" s="166"/>
      <c r="V156" s="122"/>
      <c r="W156" s="139"/>
      <c r="X156" s="152"/>
      <c r="Y156" s="577" t="str">
        <f t="shared" si="59"/>
        <v>Milton Keynes</v>
      </c>
      <c r="Z156" s="581">
        <f t="shared" si="60"/>
        <v>0</v>
      </c>
      <c r="AA156" s="581">
        <f t="shared" si="61"/>
        <v>0</v>
      </c>
      <c r="AB156" s="581">
        <f t="shared" si="62"/>
        <v>0</v>
      </c>
      <c r="AC156" s="581">
        <f t="shared" si="63"/>
        <v>0</v>
      </c>
      <c r="AD156" s="581">
        <f t="shared" si="64"/>
        <v>0</v>
      </c>
      <c r="AE156" s="384" t="str">
        <f t="shared" si="65"/>
        <v>Milton Keynes</v>
      </c>
      <c r="AF156" s="489" t="str">
        <f>IF(Year1_Milton_Keynes Year1_CP_Plans_Seen_in_Timescales="","",Year1_Milton_Keynes Year1_CP_Plans_Seen_in_Timescales)</f>
        <v/>
      </c>
      <c r="AG156" s="372" t="str">
        <f>IF(Year2_Milton_Keynes Year2_CP_Plans_Seen_in_Timescales="","",Year2_Milton_Keynes Year2_CP_Plans_Seen_in_Timescales)</f>
        <v/>
      </c>
      <c r="AH156" s="372" t="str">
        <f>IF(Year3_Milton_Keynes Year3_CP_Plans_Seen_in_Timescales="","",Year3_Milton_Keynes Year3_CP_Plans_Seen_in_Timescales)</f>
        <v/>
      </c>
      <c r="AI156" s="372" t="str">
        <f>IF(Year4_Milton_Keynes Year4_CP_Plans_Seen_in_Timescales="","",Year4_Milton_Keynes Year4_CP_Plans_Seen_in_Timescales)</f>
        <v/>
      </c>
      <c r="AJ156" s="372" t="str">
        <f>IF(Year5_Milton_Keynes Year5_CP_Plans_Seen_in_Timescales="","",Year5_Milton_Keynes Year5_CP_Plans_Seen_in_Timescales)</f>
        <v/>
      </c>
      <c r="AK156" s="157"/>
      <c r="AL156" s="74"/>
    </row>
    <row r="157" spans="1:45" s="87" customFormat="1" ht="12.75" hidden="1" customHeight="1" x14ac:dyDescent="0.2">
      <c r="A157" s="488">
        <f>VLOOKUP(B157,Sheet1!$AQ$4:$AR$25,2,FALSE)</f>
        <v>0</v>
      </c>
      <c r="B157" s="93" t="str">
        <f t="shared" si="52"/>
        <v>Oxfordshire</v>
      </c>
      <c r="C157" s="85"/>
      <c r="D157" s="162" t="e">
        <f t="shared" si="58"/>
        <v>#N/A</v>
      </c>
      <c r="E157" s="162" t="e">
        <f t="shared" si="53"/>
        <v>#N/A</v>
      </c>
      <c r="F157" s="162" t="e">
        <f t="shared" si="54"/>
        <v>#N/A</v>
      </c>
      <c r="G157" s="162" t="e">
        <f t="shared" si="55"/>
        <v>#N/A</v>
      </c>
      <c r="H157" s="164" t="e">
        <f t="shared" si="56"/>
        <v>#N/A</v>
      </c>
      <c r="I157" s="96"/>
      <c r="J157" s="96"/>
      <c r="K157" s="166"/>
      <c r="L157" s="166"/>
      <c r="M157" s="166"/>
      <c r="N157" s="166"/>
      <c r="O157" s="166"/>
      <c r="P157" s="166"/>
      <c r="Q157" s="166"/>
      <c r="R157" s="167"/>
      <c r="S157" s="159"/>
      <c r="T157" s="159"/>
      <c r="U157" s="166"/>
      <c r="V157" s="122"/>
      <c r="W157" s="139"/>
      <c r="X157" s="152"/>
      <c r="Y157" s="577" t="str">
        <f t="shared" si="59"/>
        <v>Oxfordshire</v>
      </c>
      <c r="Z157" s="581">
        <f t="shared" si="60"/>
        <v>0</v>
      </c>
      <c r="AA157" s="581">
        <f t="shared" si="61"/>
        <v>0</v>
      </c>
      <c r="AB157" s="581">
        <f t="shared" si="62"/>
        <v>0</v>
      </c>
      <c r="AC157" s="581">
        <f t="shared" si="63"/>
        <v>0</v>
      </c>
      <c r="AD157" s="581">
        <f t="shared" si="64"/>
        <v>0</v>
      </c>
      <c r="AE157" s="384" t="str">
        <f t="shared" si="65"/>
        <v>Oxfordshire</v>
      </c>
      <c r="AF157" s="489" t="str">
        <f>IF(Year1_Oxfordshire Year1_CP_Plans_Seen_in_Timescales="","",Year1_Oxfordshire Year1_CP_Plans_Seen_in_Timescales)</f>
        <v/>
      </c>
      <c r="AG157" s="372" t="str">
        <f>IF(Year2_Oxfordshire Year2_CP_Plans_Seen_in_Timescales="","",Year2_Oxfordshire Year2_CP_Plans_Seen_in_Timescales)</f>
        <v/>
      </c>
      <c r="AH157" s="372" t="str">
        <f>IF(Year3_Oxfordshire Year3_CP_Plans_Seen_in_Timescales="","",Year3_Oxfordshire Year3_CP_Plans_Seen_in_Timescales)</f>
        <v/>
      </c>
      <c r="AI157" s="372" t="str">
        <f>IF(Year4_Oxfordshire Year4_CP_Plans_Seen_in_Timescales="","",Year4_Oxfordshire Year4_CP_Plans_Seen_in_Timescales)</f>
        <v/>
      </c>
      <c r="AJ157" s="372" t="str">
        <f>IF(Year5_Oxfordshire Year5_CP_Plans_Seen_in_Timescales="","",Year5_Oxfordshire Year5_CP_Plans_Seen_in_Timescales)</f>
        <v/>
      </c>
      <c r="AK157" s="157"/>
      <c r="AL157" s="74"/>
    </row>
    <row r="158" spans="1:45" s="87" customFormat="1" ht="12.75" hidden="1" customHeight="1" x14ac:dyDescent="0.2">
      <c r="A158" s="488">
        <f>VLOOKUP(B158,Sheet1!$AQ$4:$AR$25,2,FALSE)</f>
        <v>0</v>
      </c>
      <c r="B158" s="93" t="str">
        <f t="shared" si="52"/>
        <v>Portsmouth</v>
      </c>
      <c r="C158" s="85"/>
      <c r="D158" s="162" t="e">
        <f t="shared" si="58"/>
        <v>#N/A</v>
      </c>
      <c r="E158" s="162" t="e">
        <f t="shared" si="53"/>
        <v>#N/A</v>
      </c>
      <c r="F158" s="162" t="e">
        <f t="shared" si="54"/>
        <v>#N/A</v>
      </c>
      <c r="G158" s="162" t="e">
        <f t="shared" si="55"/>
        <v>#N/A</v>
      </c>
      <c r="H158" s="164" t="e">
        <f t="shared" si="56"/>
        <v>#N/A</v>
      </c>
      <c r="I158" s="96"/>
      <c r="J158" s="96"/>
      <c r="K158" s="166"/>
      <c r="L158" s="166"/>
      <c r="M158" s="166"/>
      <c r="N158" s="166"/>
      <c r="O158" s="166"/>
      <c r="P158" s="166"/>
      <c r="Q158" s="166"/>
      <c r="R158" s="167"/>
      <c r="S158" s="159"/>
      <c r="T158" s="159"/>
      <c r="U158" s="166"/>
      <c r="V158" s="122"/>
      <c r="W158" s="139"/>
      <c r="X158" s="152"/>
      <c r="Y158" s="577" t="str">
        <f t="shared" si="59"/>
        <v>Portsmouth</v>
      </c>
      <c r="Z158" s="581">
        <f t="shared" si="60"/>
        <v>0</v>
      </c>
      <c r="AA158" s="581">
        <f t="shared" si="61"/>
        <v>0</v>
      </c>
      <c r="AB158" s="581">
        <f t="shared" si="62"/>
        <v>0</v>
      </c>
      <c r="AC158" s="581">
        <f t="shared" si="63"/>
        <v>0</v>
      </c>
      <c r="AD158" s="581">
        <f t="shared" si="64"/>
        <v>0</v>
      </c>
      <c r="AE158" s="384" t="str">
        <f t="shared" si="65"/>
        <v>Portsmouth</v>
      </c>
      <c r="AF158" s="489" t="str">
        <f>IF(Year1_Portsmouth Year1_CP_Plans_Seen_in_Timescales="","",Year1_Portsmouth Year1_CP_Plans_Seen_in_Timescales)</f>
        <v/>
      </c>
      <c r="AG158" s="372" t="str">
        <f>IF(Year2_Portsmouth Year2_CP_Plans_Seen_in_Timescales="","",Year2_Portsmouth Year2_CP_Plans_Seen_in_Timescales)</f>
        <v/>
      </c>
      <c r="AH158" s="372" t="str">
        <f>IF(Year3_Portsmouth Year3_CP_Plans_Seen_in_Timescales="","",Year3_Portsmouth Year3_CP_Plans_Seen_in_Timescales)</f>
        <v/>
      </c>
      <c r="AI158" s="372" t="str">
        <f>IF(Year4_Portsmouth Year4_CP_Plans_Seen_in_Timescales="","",Year4_Portsmouth Year4_CP_Plans_Seen_in_Timescales)</f>
        <v/>
      </c>
      <c r="AJ158" s="372" t="str">
        <f>IF(Year5_Portsmouth Year5_CP_Plans_Seen_in_Timescales="","",Year5_Portsmouth Year5_CP_Plans_Seen_in_Timescales)</f>
        <v/>
      </c>
      <c r="AK158" s="157"/>
      <c r="AL158" s="74"/>
    </row>
    <row r="159" spans="1:45" s="87" customFormat="1" ht="12.75" hidden="1" customHeight="1" x14ac:dyDescent="0.2">
      <c r="A159" s="488">
        <f>VLOOKUP(B159,Sheet1!$AQ$4:$AR$25,2,FALSE)</f>
        <v>0</v>
      </c>
      <c r="B159" s="93" t="str">
        <f t="shared" si="52"/>
        <v>Reading</v>
      </c>
      <c r="C159" s="85"/>
      <c r="D159" s="162" t="e">
        <f t="shared" si="58"/>
        <v>#N/A</v>
      </c>
      <c r="E159" s="162" t="e">
        <f t="shared" si="53"/>
        <v>#N/A</v>
      </c>
      <c r="F159" s="162" t="e">
        <f t="shared" si="54"/>
        <v>#N/A</v>
      </c>
      <c r="G159" s="162" t="e">
        <f t="shared" si="55"/>
        <v>#N/A</v>
      </c>
      <c r="H159" s="164" t="e">
        <f t="shared" si="56"/>
        <v>#N/A</v>
      </c>
      <c r="I159" s="96"/>
      <c r="J159" s="96"/>
      <c r="K159" s="166"/>
      <c r="L159" s="166"/>
      <c r="M159" s="166"/>
      <c r="N159" s="166"/>
      <c r="O159" s="166"/>
      <c r="P159" s="166"/>
      <c r="Q159" s="166"/>
      <c r="R159" s="167"/>
      <c r="S159" s="159"/>
      <c r="T159" s="159"/>
      <c r="U159" s="166"/>
      <c r="V159" s="122"/>
      <c r="W159" s="139"/>
      <c r="X159" s="152"/>
      <c r="Y159" s="577" t="str">
        <f t="shared" si="59"/>
        <v>Reading</v>
      </c>
      <c r="Z159" s="581">
        <f t="shared" si="60"/>
        <v>0</v>
      </c>
      <c r="AA159" s="581">
        <f t="shared" si="61"/>
        <v>0</v>
      </c>
      <c r="AB159" s="581">
        <f t="shared" si="62"/>
        <v>0</v>
      </c>
      <c r="AC159" s="581">
        <f t="shared" si="63"/>
        <v>0</v>
      </c>
      <c r="AD159" s="581">
        <f t="shared" si="64"/>
        <v>0</v>
      </c>
      <c r="AE159" s="384" t="str">
        <f t="shared" si="65"/>
        <v>Reading</v>
      </c>
      <c r="AF159" s="489" t="str">
        <f>IF(Year1_Reading Year1_CP_Plans_Seen_in_Timescales="","",Year1_Reading Year1_CP_Plans_Seen_in_Timescales)</f>
        <v/>
      </c>
      <c r="AG159" s="372" t="str">
        <f>IF(Year2_Reading Year2_CP_Plans_Seen_in_Timescales="","",Year2_Reading Year2_CP_Plans_Seen_in_Timescales)</f>
        <v/>
      </c>
      <c r="AH159" s="372" t="str">
        <f>IF(Year3_Reading Year3_CP_Plans_Seen_in_Timescales="","",Year3_Reading Year3_CP_Plans_Seen_in_Timescales)</f>
        <v/>
      </c>
      <c r="AI159" s="372" t="str">
        <f>IF(Year4_Reading Year4_CP_Plans_Seen_in_Timescales="","",Year4_Reading Year4_CP_Plans_Seen_in_Timescales)</f>
        <v/>
      </c>
      <c r="AJ159" s="372" t="str">
        <f>IF(Year5_Reading Year5_CP_Plans_Seen_in_Timescales="","",Year5_Reading Year5_CP_Plans_Seen_in_Timescales)</f>
        <v/>
      </c>
      <c r="AK159" s="157"/>
      <c r="AL159" s="74"/>
    </row>
    <row r="160" spans="1:45" s="87" customFormat="1" ht="12.75" hidden="1" customHeight="1" x14ac:dyDescent="0.2">
      <c r="A160" s="488">
        <f>VLOOKUP(B160,Sheet1!$AQ$4:$AR$25,2,FALSE)</f>
        <v>0</v>
      </c>
      <c r="B160" s="93" t="str">
        <f t="shared" si="52"/>
        <v>Slough</v>
      </c>
      <c r="C160" s="85"/>
      <c r="D160" s="162" t="e">
        <f t="shared" si="58"/>
        <v>#N/A</v>
      </c>
      <c r="E160" s="162" t="e">
        <f t="shared" si="53"/>
        <v>#N/A</v>
      </c>
      <c r="F160" s="162" t="e">
        <f t="shared" si="54"/>
        <v>#N/A</v>
      </c>
      <c r="G160" s="162" t="e">
        <f t="shared" si="55"/>
        <v>#N/A</v>
      </c>
      <c r="H160" s="164" t="e">
        <f t="shared" si="56"/>
        <v>#N/A</v>
      </c>
      <c r="I160" s="96"/>
      <c r="J160" s="96"/>
      <c r="K160" s="166"/>
      <c r="L160" s="166"/>
      <c r="M160" s="166"/>
      <c r="N160" s="166"/>
      <c r="O160" s="166"/>
      <c r="P160" s="166"/>
      <c r="Q160" s="166"/>
      <c r="R160" s="167"/>
      <c r="S160" s="159"/>
      <c r="T160" s="159"/>
      <c r="U160" s="166"/>
      <c r="V160" s="122"/>
      <c r="W160" s="139"/>
      <c r="X160" s="152"/>
      <c r="Y160" s="577" t="str">
        <f t="shared" si="59"/>
        <v>Slough</v>
      </c>
      <c r="Z160" s="581">
        <f t="shared" si="60"/>
        <v>0</v>
      </c>
      <c r="AA160" s="581">
        <f t="shared" si="61"/>
        <v>0</v>
      </c>
      <c r="AB160" s="581">
        <f t="shared" si="62"/>
        <v>0</v>
      </c>
      <c r="AC160" s="581">
        <f t="shared" si="63"/>
        <v>0</v>
      </c>
      <c r="AD160" s="581">
        <f t="shared" si="64"/>
        <v>0</v>
      </c>
      <c r="AE160" s="384" t="str">
        <f t="shared" si="65"/>
        <v>Slough</v>
      </c>
      <c r="AF160" s="489" t="str">
        <f>IF(Year1_Slough Year1_CP_Plans_Seen_in_Timescales="","",Year1_Slough Year1_CP_Plans_Seen_in_Timescales)</f>
        <v/>
      </c>
      <c r="AG160" s="372" t="str">
        <f>IF(Year2_Slough Year2_CP_Plans_Seen_in_Timescales="","",Year2_Slough Year2_CP_Plans_Seen_in_Timescales)</f>
        <v/>
      </c>
      <c r="AH160" s="372" t="str">
        <f>IF(Year3_Slough Year3_CP_Plans_Seen_in_Timescales="","",Year3_Slough Year3_CP_Plans_Seen_in_Timescales)</f>
        <v/>
      </c>
      <c r="AI160" s="372" t="str">
        <f>IF(Year4_Slough Year4_CP_Plans_Seen_in_Timescales="","",Year4_Slough Year4_CP_Plans_Seen_in_Timescales)</f>
        <v/>
      </c>
      <c r="AJ160" s="372" t="str">
        <f>IF(Year5_Slough Year5_CP_Plans_Seen_in_Timescales="","",Year5_Slough Year5_CP_Plans_Seen_in_Timescales)</f>
        <v/>
      </c>
      <c r="AK160" s="157"/>
      <c r="AL160" s="74"/>
    </row>
    <row r="161" spans="1:44" s="87" customFormat="1" ht="12.75" hidden="1" customHeight="1" x14ac:dyDescent="0.2">
      <c r="A161" s="488">
        <f>VLOOKUP(B161,Sheet1!$AQ$4:$AR$25,2,FALSE)</f>
        <v>0</v>
      </c>
      <c r="B161" s="93" t="str">
        <f t="shared" si="52"/>
        <v>Somerset</v>
      </c>
      <c r="C161" s="85"/>
      <c r="D161" s="162" t="e">
        <f t="shared" si="58"/>
        <v>#N/A</v>
      </c>
      <c r="E161" s="162" t="e">
        <f t="shared" si="53"/>
        <v>#N/A</v>
      </c>
      <c r="F161" s="162" t="e">
        <f t="shared" si="54"/>
        <v>#N/A</v>
      </c>
      <c r="G161" s="162" t="e">
        <f t="shared" si="55"/>
        <v>#N/A</v>
      </c>
      <c r="H161" s="164" t="e">
        <f t="shared" si="56"/>
        <v>#N/A</v>
      </c>
      <c r="I161" s="96"/>
      <c r="J161" s="96"/>
      <c r="K161" s="166"/>
      <c r="L161" s="166"/>
      <c r="M161" s="166"/>
      <c r="N161" s="166"/>
      <c r="O161" s="166"/>
      <c r="P161" s="166"/>
      <c r="Q161" s="166"/>
      <c r="R161" s="167"/>
      <c r="S161" s="159"/>
      <c r="T161" s="159"/>
      <c r="U161" s="166"/>
      <c r="V161" s="122"/>
      <c r="W161" s="139"/>
      <c r="X161" s="152"/>
      <c r="Y161" s="577" t="str">
        <f t="shared" si="59"/>
        <v>Somerset</v>
      </c>
      <c r="Z161" s="581">
        <f t="shared" si="60"/>
        <v>0</v>
      </c>
      <c r="AA161" s="581">
        <f t="shared" si="61"/>
        <v>0</v>
      </c>
      <c r="AB161" s="581">
        <f t="shared" si="62"/>
        <v>0</v>
      </c>
      <c r="AC161" s="581">
        <f t="shared" si="63"/>
        <v>0</v>
      </c>
      <c r="AD161" s="581">
        <f t="shared" si="64"/>
        <v>0</v>
      </c>
      <c r="AE161" s="384" t="str">
        <f t="shared" si="65"/>
        <v>Somerset</v>
      </c>
      <c r="AF161" s="489" t="str">
        <f>IF(Year1_Somerset Year1_CP_Plans_Seen_in_Timescales="","",Year1_Somerset Year1_CP_Plans_Seen_in_Timescales)</f>
        <v/>
      </c>
      <c r="AG161" s="372" t="str">
        <f>IF(Year2_Somerset Year2_CP_Plans_Seen_in_Timescales="","",Year2_Somerset Year2_CP_Plans_Seen_in_Timescales)</f>
        <v/>
      </c>
      <c r="AH161" s="372" t="str">
        <f>IF(Year3_Somerset Year3_CP_Plans_Seen_in_Timescales="","",Year3_Somerset Year3_CP_Plans_Seen_in_Timescales)</f>
        <v/>
      </c>
      <c r="AI161" s="372" t="str">
        <f>IF(Year4_Somerset Year4_CP_Plans_Seen_in_Timescales="","",Year4_Somerset Year4_CP_Plans_Seen_in_Timescales)</f>
        <v/>
      </c>
      <c r="AJ161" s="372" t="str">
        <f>IF(Year5_Somerset Year5_CP_Plans_Seen_in_Timescales="","",Year5_Somerset Year5_CP_Plans_Seen_in_Timescales)</f>
        <v/>
      </c>
      <c r="AK161" s="157"/>
      <c r="AL161" s="74"/>
    </row>
    <row r="162" spans="1:44" s="87" customFormat="1" ht="12.75" hidden="1" customHeight="1" x14ac:dyDescent="0.2">
      <c r="A162" s="488">
        <f>VLOOKUP(B162,Sheet1!$AQ$4:$AR$25,2,FALSE)</f>
        <v>0</v>
      </c>
      <c r="B162" s="93" t="str">
        <f t="shared" si="52"/>
        <v>Southampton</v>
      </c>
      <c r="C162" s="85"/>
      <c r="D162" s="162" t="e">
        <f t="shared" si="58"/>
        <v>#N/A</v>
      </c>
      <c r="E162" s="162" t="e">
        <f t="shared" si="53"/>
        <v>#N/A</v>
      </c>
      <c r="F162" s="162" t="e">
        <f t="shared" si="54"/>
        <v>#N/A</v>
      </c>
      <c r="G162" s="162" t="e">
        <f t="shared" si="55"/>
        <v>#N/A</v>
      </c>
      <c r="H162" s="164" t="e">
        <f t="shared" si="56"/>
        <v>#N/A</v>
      </c>
      <c r="I162" s="96"/>
      <c r="J162" s="96"/>
      <c r="K162" s="166"/>
      <c r="L162" s="166"/>
      <c r="M162" s="166"/>
      <c r="N162" s="166"/>
      <c r="O162" s="166"/>
      <c r="P162" s="166"/>
      <c r="Q162" s="166"/>
      <c r="R162" s="167"/>
      <c r="S162" s="159"/>
      <c r="T162" s="159"/>
      <c r="U162" s="166"/>
      <c r="V162" s="122"/>
      <c r="W162" s="139"/>
      <c r="X162" s="152"/>
      <c r="Y162" s="577" t="str">
        <f t="shared" si="59"/>
        <v>Southampton</v>
      </c>
      <c r="Z162" s="581">
        <f t="shared" si="60"/>
        <v>0</v>
      </c>
      <c r="AA162" s="581">
        <f t="shared" si="61"/>
        <v>0</v>
      </c>
      <c r="AB162" s="581">
        <f t="shared" si="62"/>
        <v>0</v>
      </c>
      <c r="AC162" s="581">
        <f t="shared" si="63"/>
        <v>0</v>
      </c>
      <c r="AD162" s="581">
        <f t="shared" si="64"/>
        <v>0</v>
      </c>
      <c r="AE162" s="384" t="str">
        <f t="shared" si="65"/>
        <v>Southampton</v>
      </c>
      <c r="AF162" s="489" t="str">
        <f>IF(Year1_Southampton Year1_CP_Plans_Seen_in_Timescales="","",Year1_Southampton Year1_CP_Plans_Seen_in_Timescales)</f>
        <v/>
      </c>
      <c r="AG162" s="372" t="str">
        <f>IF(Year2_Southampton Year2_CP_Plans_Seen_in_Timescales="","",Year2_Southampton Year2_CP_Plans_Seen_in_Timescales)</f>
        <v/>
      </c>
      <c r="AH162" s="372" t="str">
        <f>IF(Year3_Southampton Year3_CP_Plans_Seen_in_Timescales="","",Year3_Southampton Year3_CP_Plans_Seen_in_Timescales)</f>
        <v/>
      </c>
      <c r="AI162" s="372" t="str">
        <f>IF(Year4_Southampton Year4_CP_Plans_Seen_in_Timescales="","",Year4_Southampton Year4_CP_Plans_Seen_in_Timescales)</f>
        <v/>
      </c>
      <c r="AJ162" s="372" t="str">
        <f>IF(Year5_Southampton Year5_CP_Plans_Seen_in_Timescales="","",Year5_Southampton Year5_CP_Plans_Seen_in_Timescales)</f>
        <v/>
      </c>
      <c r="AK162" s="157"/>
      <c r="AL162" s="74"/>
    </row>
    <row r="163" spans="1:44" s="87" customFormat="1" ht="12.75" hidden="1" customHeight="1" x14ac:dyDescent="0.2">
      <c r="A163" s="488">
        <f>VLOOKUP(B163,Sheet1!$AQ$4:$AR$25,2,FALSE)</f>
        <v>0</v>
      </c>
      <c r="B163" s="93" t="str">
        <f t="shared" si="52"/>
        <v>Surrey</v>
      </c>
      <c r="C163" s="85"/>
      <c r="D163" s="162" t="e">
        <f t="shared" si="58"/>
        <v>#N/A</v>
      </c>
      <c r="E163" s="162" t="e">
        <f t="shared" si="53"/>
        <v>#N/A</v>
      </c>
      <c r="F163" s="162" t="e">
        <f t="shared" si="54"/>
        <v>#N/A</v>
      </c>
      <c r="G163" s="162" t="e">
        <f t="shared" si="55"/>
        <v>#N/A</v>
      </c>
      <c r="H163" s="164" t="e">
        <f t="shared" si="56"/>
        <v>#N/A</v>
      </c>
      <c r="I163" s="96"/>
      <c r="J163" s="96"/>
      <c r="K163" s="166"/>
      <c r="L163" s="166"/>
      <c r="M163" s="166"/>
      <c r="N163" s="166"/>
      <c r="O163" s="166"/>
      <c r="P163" s="166"/>
      <c r="Q163" s="166"/>
      <c r="R163" s="167"/>
      <c r="S163" s="159"/>
      <c r="T163" s="159"/>
      <c r="U163" s="166"/>
      <c r="V163" s="122"/>
      <c r="W163" s="139"/>
      <c r="X163" s="152"/>
      <c r="Y163" s="577" t="str">
        <f t="shared" si="59"/>
        <v>Surrey</v>
      </c>
      <c r="Z163" s="581">
        <f t="shared" si="60"/>
        <v>0</v>
      </c>
      <c r="AA163" s="581">
        <f t="shared" si="61"/>
        <v>0</v>
      </c>
      <c r="AB163" s="581">
        <f t="shared" si="62"/>
        <v>0</v>
      </c>
      <c r="AC163" s="581">
        <f t="shared" si="63"/>
        <v>0</v>
      </c>
      <c r="AD163" s="581">
        <f t="shared" si="64"/>
        <v>0</v>
      </c>
      <c r="AE163" s="384" t="str">
        <f t="shared" si="65"/>
        <v>Surrey</v>
      </c>
      <c r="AF163" s="489" t="str">
        <f>IF(Year1_Surrey Year1_CP_Plans_Seen_in_Timescales="","",Year1_Surrey Year1_CP_Plans_Seen_in_Timescales)</f>
        <v/>
      </c>
      <c r="AG163" s="372" t="str">
        <f>IF(Year2_Surrey Year2_CP_Plans_Seen_in_Timescales="","",Year2_Surrey Year2_CP_Plans_Seen_in_Timescales)</f>
        <v/>
      </c>
      <c r="AH163" s="372" t="str">
        <f>IF(Year3_Surrey Year3_CP_Plans_Seen_in_Timescales="","",Year3_Surrey Year3_CP_Plans_Seen_in_Timescales)</f>
        <v/>
      </c>
      <c r="AI163" s="372" t="str">
        <f>IF(Year4_Surrey Year4_CP_Plans_Seen_in_Timescales="","",Year4_Surrey Year4_CP_Plans_Seen_in_Timescales)</f>
        <v/>
      </c>
      <c r="AJ163" s="372" t="str">
        <f>IF(Year5_Surrey Year5_CP_Plans_Seen_in_Timescales="","",Year5_Surrey Year5_CP_Plans_Seen_in_Timescales)</f>
        <v/>
      </c>
      <c r="AK163" s="157"/>
      <c r="AL163" s="74"/>
    </row>
    <row r="164" spans="1:44" s="87" customFormat="1" ht="12.75" hidden="1" customHeight="1" x14ac:dyDescent="0.2">
      <c r="A164" s="488">
        <f>VLOOKUP(B164,Sheet1!$AQ$4:$AR$25,2,FALSE)</f>
        <v>0</v>
      </c>
      <c r="B164" s="93" t="str">
        <f t="shared" si="52"/>
        <v>Swindon</v>
      </c>
      <c r="C164" s="85"/>
      <c r="D164" s="162" t="e">
        <f t="shared" si="58"/>
        <v>#N/A</v>
      </c>
      <c r="E164" s="162" t="e">
        <f t="shared" si="53"/>
        <v>#N/A</v>
      </c>
      <c r="F164" s="162" t="e">
        <f t="shared" si="54"/>
        <v>#N/A</v>
      </c>
      <c r="G164" s="162" t="e">
        <f t="shared" si="55"/>
        <v>#N/A</v>
      </c>
      <c r="H164" s="164" t="e">
        <f t="shared" si="56"/>
        <v>#N/A</v>
      </c>
      <c r="I164" s="96"/>
      <c r="J164" s="96"/>
      <c r="K164" s="166"/>
      <c r="L164" s="166"/>
      <c r="M164" s="166"/>
      <c r="N164" s="166"/>
      <c r="O164" s="166"/>
      <c r="P164" s="166"/>
      <c r="Q164" s="166"/>
      <c r="R164" s="167"/>
      <c r="S164" s="159"/>
      <c r="T164" s="159"/>
      <c r="U164" s="166"/>
      <c r="V164" s="122"/>
      <c r="W164" s="139"/>
      <c r="X164" s="152"/>
      <c r="Y164" s="577" t="str">
        <f t="shared" si="59"/>
        <v>Swindon</v>
      </c>
      <c r="Z164" s="581">
        <f t="shared" si="60"/>
        <v>0</v>
      </c>
      <c r="AA164" s="581">
        <f t="shared" si="61"/>
        <v>0</v>
      </c>
      <c r="AB164" s="581">
        <f t="shared" si="62"/>
        <v>0</v>
      </c>
      <c r="AC164" s="581">
        <f t="shared" si="63"/>
        <v>0</v>
      </c>
      <c r="AD164" s="581">
        <f t="shared" si="64"/>
        <v>0</v>
      </c>
      <c r="AE164" s="384" t="str">
        <f t="shared" si="65"/>
        <v>Swindon</v>
      </c>
      <c r="AF164" s="489" t="str">
        <f>IF(Year1_Swindon Year1_CP_Plans_Seen_in_Timescales="","",Year1_Swindon Year1_CP_Plans_Seen_in_Timescales)</f>
        <v/>
      </c>
      <c r="AG164" s="372" t="str">
        <f>IF(Year2_Swindon Year2_CP_Plans_Seen_in_Timescales="","",Year2_Swindon Year2_CP_Plans_Seen_in_Timescales)</f>
        <v/>
      </c>
      <c r="AH164" s="372" t="str">
        <f>IF(Year3_Swindon Year3_CP_Plans_Seen_in_Timescales="","",Year3_Swindon Year3_CP_Plans_Seen_in_Timescales)</f>
        <v/>
      </c>
      <c r="AI164" s="372" t="str">
        <f>IF(Year4_Swindon Year4_CP_Plans_Seen_in_Timescales="","",Year4_Swindon Year4_CP_Plans_Seen_in_Timescales)</f>
        <v/>
      </c>
      <c r="AJ164" s="372" t="str">
        <f>IF(Year5_Swindon Year5_CP_Plans_Seen_in_Timescales="","",Year5_Swindon Year5_CP_Plans_Seen_in_Timescales)</f>
        <v/>
      </c>
      <c r="AK164" s="157"/>
      <c r="AL164" s="74"/>
    </row>
    <row r="165" spans="1:44" s="87" customFormat="1" ht="12.75" hidden="1" customHeight="1" x14ac:dyDescent="0.2">
      <c r="A165" s="488">
        <f>VLOOKUP(B165,Sheet1!$AQ$4:$AR$25,2,FALSE)</f>
        <v>0</v>
      </c>
      <c r="B165" s="93" t="str">
        <f t="shared" si="52"/>
        <v>Torbay</v>
      </c>
      <c r="C165" s="85"/>
      <c r="D165" s="162" t="e">
        <f t="shared" si="58"/>
        <v>#N/A</v>
      </c>
      <c r="E165" s="162" t="e">
        <f t="shared" si="53"/>
        <v>#N/A</v>
      </c>
      <c r="F165" s="162" t="e">
        <f t="shared" si="54"/>
        <v>#N/A</v>
      </c>
      <c r="G165" s="162" t="e">
        <f t="shared" si="55"/>
        <v>#N/A</v>
      </c>
      <c r="H165" s="164" t="e">
        <f t="shared" si="56"/>
        <v>#N/A</v>
      </c>
      <c r="I165" s="96"/>
      <c r="J165" s="96"/>
      <c r="K165" s="166"/>
      <c r="L165" s="166"/>
      <c r="M165" s="166"/>
      <c r="N165" s="166"/>
      <c r="O165" s="166"/>
      <c r="P165" s="166"/>
      <c r="Q165" s="166"/>
      <c r="R165" s="167"/>
      <c r="S165" s="159"/>
      <c r="T165" s="159"/>
      <c r="U165" s="166"/>
      <c r="V165" s="122"/>
      <c r="W165" s="139"/>
      <c r="X165" s="152"/>
      <c r="Y165" s="577" t="str">
        <f t="shared" si="59"/>
        <v>Torbay</v>
      </c>
      <c r="Z165" s="581">
        <f t="shared" si="60"/>
        <v>0</v>
      </c>
      <c r="AA165" s="581">
        <f t="shared" si="61"/>
        <v>0</v>
      </c>
      <c r="AB165" s="581">
        <f t="shared" si="62"/>
        <v>0</v>
      </c>
      <c r="AC165" s="581">
        <f t="shared" si="63"/>
        <v>0</v>
      </c>
      <c r="AD165" s="581">
        <f t="shared" si="64"/>
        <v>0</v>
      </c>
      <c r="AE165" s="384" t="str">
        <f t="shared" si="65"/>
        <v>Torbay</v>
      </c>
      <c r="AF165" s="489" t="str">
        <f>IF(Year1_Torbay Year1_CP_Plans_Seen_in_Timescales="","",Year1_Torbay Year1_CP_Plans_Seen_in_Timescales)</f>
        <v/>
      </c>
      <c r="AG165" s="372" t="str">
        <f>IF(Year2_Torbay Year2_CP_Plans_Seen_in_Timescales="","",Year2_Torbay Year2_CP_Plans_Seen_in_Timescales)</f>
        <v/>
      </c>
      <c r="AH165" s="372" t="str">
        <f>IF(Year3_Torbay Year3_CP_Plans_Seen_in_Timescales="","",Year3_Torbay Year3_CP_Plans_Seen_in_Timescales)</f>
        <v/>
      </c>
      <c r="AI165" s="372" t="str">
        <f>IF(Year4_Torbay Year4_CP_Plans_Seen_in_Timescales="","",Year4_Torbay Year4_CP_Plans_Seen_in_Timescales)</f>
        <v/>
      </c>
      <c r="AJ165" s="372" t="str">
        <f>IF(Year5_Torbay Year5_CP_Plans_Seen_in_Timescales="","",Year5_Torbay Year5_CP_Plans_Seen_in_Timescales)</f>
        <v/>
      </c>
      <c r="AK165" s="157"/>
      <c r="AL165" s="74"/>
    </row>
    <row r="166" spans="1:44" s="87" customFormat="1" ht="12.75" hidden="1" customHeight="1" x14ac:dyDescent="0.2">
      <c r="A166" s="488">
        <f>VLOOKUP(B166,Sheet1!$AQ$4:$AR$25,2,FALSE)</f>
        <v>0</v>
      </c>
      <c r="B166" s="93" t="str">
        <f t="shared" si="52"/>
        <v>West Berkshire</v>
      </c>
      <c r="C166" s="85"/>
      <c r="D166" s="162" t="e">
        <f t="shared" si="58"/>
        <v>#N/A</v>
      </c>
      <c r="E166" s="162" t="e">
        <f t="shared" si="53"/>
        <v>#N/A</v>
      </c>
      <c r="F166" s="162" t="e">
        <f t="shared" si="54"/>
        <v>#N/A</v>
      </c>
      <c r="G166" s="162" t="e">
        <f t="shared" si="55"/>
        <v>#N/A</v>
      </c>
      <c r="H166" s="164" t="e">
        <f t="shared" si="56"/>
        <v>#N/A</v>
      </c>
      <c r="I166" s="96"/>
      <c r="J166" s="96"/>
      <c r="K166" s="166"/>
      <c r="L166" s="166"/>
      <c r="M166" s="166"/>
      <c r="N166" s="166"/>
      <c r="O166" s="166"/>
      <c r="P166" s="166"/>
      <c r="Q166" s="166"/>
      <c r="R166" s="167"/>
      <c r="S166" s="159"/>
      <c r="T166" s="159"/>
      <c r="U166" s="166"/>
      <c r="V166" s="122"/>
      <c r="W166" s="139"/>
      <c r="X166" s="152"/>
      <c r="Y166" s="577" t="str">
        <f t="shared" si="59"/>
        <v>West Berkshire</v>
      </c>
      <c r="Z166" s="581">
        <f t="shared" si="60"/>
        <v>0</v>
      </c>
      <c r="AA166" s="581">
        <f t="shared" si="61"/>
        <v>0</v>
      </c>
      <c r="AB166" s="581">
        <f t="shared" si="62"/>
        <v>0</v>
      </c>
      <c r="AC166" s="581">
        <f t="shared" si="63"/>
        <v>0</v>
      </c>
      <c r="AD166" s="581">
        <f t="shared" si="64"/>
        <v>0</v>
      </c>
      <c r="AE166" s="384" t="str">
        <f t="shared" si="65"/>
        <v>West Berkshire</v>
      </c>
      <c r="AF166" s="489" t="str">
        <f>IF(Year1_West_Berkshire Year1_CP_Plans_Seen_in_Timescales="","",Year1_West_Berkshire Year1_CP_Plans_Seen_in_Timescales)</f>
        <v/>
      </c>
      <c r="AG166" s="372" t="str">
        <f>IF(Year2_West_Berkshire Year2_CP_Plans_Seen_in_Timescales="","",Year2_West_Berkshire Year2_CP_Plans_Seen_in_Timescales)</f>
        <v/>
      </c>
      <c r="AH166" s="372" t="str">
        <f>IF(Year3_West_Berkshire Year3_CP_Plans_Seen_in_Timescales="","",Year3_West_Berkshire Year3_CP_Plans_Seen_in_Timescales)</f>
        <v/>
      </c>
      <c r="AI166" s="372" t="str">
        <f>IF(Year4_West_Berkshire Year4_CP_Plans_Seen_in_Timescales="","",Year4_West_Berkshire Year4_CP_Plans_Seen_in_Timescales)</f>
        <v/>
      </c>
      <c r="AJ166" s="580" t="str">
        <f>IF(Year5_West_Berkshire Year5_CP_Plans_Seen_in_Timescales="","",Year5_West_Berkshire Year5_CP_Plans_Seen_in_Timescales)</f>
        <v/>
      </c>
      <c r="AK166" s="157"/>
      <c r="AL166" s="74"/>
    </row>
    <row r="167" spans="1:44" s="87" customFormat="1" ht="12.75" hidden="1" customHeight="1" x14ac:dyDescent="0.2">
      <c r="A167" s="488">
        <f>VLOOKUP(B167,Sheet1!$AQ$4:$AR$25,2,FALSE)</f>
        <v>0</v>
      </c>
      <c r="B167" s="93" t="str">
        <f t="shared" si="52"/>
        <v>West Sussex</v>
      </c>
      <c r="C167" s="85"/>
      <c r="D167" s="162" t="e">
        <f t="shared" si="58"/>
        <v>#N/A</v>
      </c>
      <c r="E167" s="162" t="e">
        <f t="shared" si="53"/>
        <v>#N/A</v>
      </c>
      <c r="F167" s="162" t="e">
        <f t="shared" si="54"/>
        <v>#N/A</v>
      </c>
      <c r="G167" s="162" t="e">
        <f t="shared" si="55"/>
        <v>#N/A</v>
      </c>
      <c r="H167" s="164" t="e">
        <f t="shared" si="56"/>
        <v>#N/A</v>
      </c>
      <c r="I167" s="96"/>
      <c r="J167" s="96"/>
      <c r="K167" s="166"/>
      <c r="L167" s="166"/>
      <c r="M167" s="166"/>
      <c r="N167" s="166"/>
      <c r="O167" s="166"/>
      <c r="P167" s="166"/>
      <c r="Q167" s="166"/>
      <c r="R167" s="167"/>
      <c r="S167" s="159"/>
      <c r="T167" s="159"/>
      <c r="U167" s="166"/>
      <c r="V167" s="122"/>
      <c r="W167" s="139"/>
      <c r="X167" s="152"/>
      <c r="Y167" s="577" t="str">
        <f t="shared" si="59"/>
        <v>West Sussex</v>
      </c>
      <c r="Z167" s="581">
        <f t="shared" si="60"/>
        <v>0</v>
      </c>
      <c r="AA167" s="581">
        <f t="shared" si="61"/>
        <v>0</v>
      </c>
      <c r="AB167" s="581">
        <f t="shared" si="62"/>
        <v>0</v>
      </c>
      <c r="AC167" s="581">
        <f t="shared" si="63"/>
        <v>0</v>
      </c>
      <c r="AD167" s="581">
        <f t="shared" si="64"/>
        <v>0</v>
      </c>
      <c r="AE167" s="384" t="str">
        <f t="shared" si="65"/>
        <v>West Sussex</v>
      </c>
      <c r="AF167" s="489" t="str">
        <f>IF(Year1_West_Sussex Year1_CP_Plans_Seen_in_Timescales="","",Year1_West_Sussex Year1_CP_Plans_Seen_in_Timescales)</f>
        <v/>
      </c>
      <c r="AG167" s="372" t="str">
        <f>IF(Year2_West_Sussex Year2_CP_Plans_Seen_in_Timescales="","",Year2_West_Sussex Year2_CP_Plans_Seen_in_Timescales)</f>
        <v/>
      </c>
      <c r="AH167" s="372" t="str">
        <f>IF(Year3_West_Sussex Year3_CP_Plans_Seen_in_Timescales="","",Year3_West_Sussex Year3_CP_Plans_Seen_in_Timescales)</f>
        <v/>
      </c>
      <c r="AI167" s="372" t="str">
        <f>IF(Year4_West_Sussex Year4_CP_Plans_Seen_in_Timescales="","",Year4_West_Sussex Year4_CP_Plans_Seen_in_Timescales)</f>
        <v/>
      </c>
      <c r="AJ167" s="580" t="str">
        <f>IF(Year5_West_Sussex Year5_CP_Plans_Seen_in_Timescales="","",Year5_West_Sussex Year5_CP_Plans_Seen_in_Timescales)</f>
        <v/>
      </c>
      <c r="AK167" s="157"/>
      <c r="AL167" s="74"/>
    </row>
    <row r="168" spans="1:44" s="87" customFormat="1" ht="12.75" hidden="1" customHeight="1" x14ac:dyDescent="0.2">
      <c r="A168" s="488">
        <f>VLOOKUP(B168,Sheet1!$AQ$4:$AR$25,2,FALSE)</f>
        <v>0</v>
      </c>
      <c r="B168" s="93" t="str">
        <f t="shared" si="52"/>
        <v>Windsor &amp; Maidenhead</v>
      </c>
      <c r="C168" s="85"/>
      <c r="D168" s="162" t="e">
        <f t="shared" si="58"/>
        <v>#N/A</v>
      </c>
      <c r="E168" s="162" t="e">
        <f t="shared" si="53"/>
        <v>#N/A</v>
      </c>
      <c r="F168" s="162" t="e">
        <f t="shared" si="54"/>
        <v>#N/A</v>
      </c>
      <c r="G168" s="162" t="e">
        <f t="shared" si="55"/>
        <v>#N/A</v>
      </c>
      <c r="H168" s="164" t="e">
        <f t="shared" si="56"/>
        <v>#N/A</v>
      </c>
      <c r="I168" s="96"/>
      <c r="J168" s="96"/>
      <c r="K168" s="166"/>
      <c r="L168" s="166"/>
      <c r="M168" s="166"/>
      <c r="N168" s="166"/>
      <c r="O168" s="166"/>
      <c r="P168" s="166"/>
      <c r="Q168" s="166"/>
      <c r="R168" s="167"/>
      <c r="S168" s="159"/>
      <c r="T168" s="159"/>
      <c r="U168" s="166"/>
      <c r="V168" s="122"/>
      <c r="W168" s="139"/>
      <c r="X168" s="152"/>
      <c r="Y168" s="577" t="str">
        <f t="shared" si="59"/>
        <v>Windsor &amp; Maidenhead</v>
      </c>
      <c r="Z168" s="581">
        <f t="shared" si="60"/>
        <v>0</v>
      </c>
      <c r="AA168" s="581">
        <f t="shared" si="61"/>
        <v>0</v>
      </c>
      <c r="AB168" s="581">
        <f t="shared" si="62"/>
        <v>0</v>
      </c>
      <c r="AC168" s="581">
        <f t="shared" si="63"/>
        <v>0</v>
      </c>
      <c r="AD168" s="581">
        <f t="shared" si="64"/>
        <v>0</v>
      </c>
      <c r="AE168" s="384" t="str">
        <f t="shared" si="65"/>
        <v>Windsor &amp; Maidenhead</v>
      </c>
      <c r="AF168" s="489" t="str">
        <f>IF(Year1_Windsor_Maidenhead Year1_CP_Plans_Seen_in_Timescales="","",Year1_Windsor_Maidenhead Year1_CP_Plans_Seen_in_Timescales)</f>
        <v/>
      </c>
      <c r="AG168" s="372" t="str">
        <f>IF(Year2_Windsor_Maidenhead Year2_CP_Plans_Seen_in_Timescales="","",Year2_Windsor_Maidenhead Year2_CP_Plans_Seen_in_Timescales)</f>
        <v/>
      </c>
      <c r="AH168" s="372" t="str">
        <f>IF(Year3_Windsor_Maidenhead Year3_CP_Plans_Seen_in_Timescales="","",Year3_Windsor_Maidenhead Year3_CP_Plans_Seen_in_Timescales)</f>
        <v/>
      </c>
      <c r="AI168" s="372" t="str">
        <f>IF(Year4_Windsor_Maidenhead Year4_CP_Plans_Seen_in_Timescales="","",Year4_Windsor_Maidenhead Year4_CP_Plans_Seen_in_Timescales)</f>
        <v/>
      </c>
      <c r="AJ168" s="580" t="str">
        <f>IF(Year5_Windsor_Maidenhead Year5_CP_Plans_Seen_in_Timescales="","",Year5_Windsor_Maidenhead Year5_CP_Plans_Seen_in_Timescales)</f>
        <v/>
      </c>
      <c r="AK168" s="157"/>
      <c r="AL168" s="74"/>
    </row>
    <row r="169" spans="1:44" s="87" customFormat="1" ht="12.75" hidden="1" customHeight="1" x14ac:dyDescent="0.2">
      <c r="A169" s="488">
        <f>VLOOKUP(B169,Sheet1!$AQ$4:$AR$25,2,FALSE)</f>
        <v>0</v>
      </c>
      <c r="B169" s="93" t="str">
        <f t="shared" si="52"/>
        <v>Wokingham</v>
      </c>
      <c r="C169" s="85"/>
      <c r="D169" s="162" t="e">
        <f t="shared" si="58"/>
        <v>#N/A</v>
      </c>
      <c r="E169" s="162" t="e">
        <f t="shared" si="53"/>
        <v>#N/A</v>
      </c>
      <c r="F169" s="162" t="e">
        <f t="shared" si="54"/>
        <v>#N/A</v>
      </c>
      <c r="G169" s="162" t="e">
        <f t="shared" si="55"/>
        <v>#N/A</v>
      </c>
      <c r="H169" s="164" t="e">
        <f t="shared" si="56"/>
        <v>#N/A</v>
      </c>
      <c r="I169" s="96"/>
      <c r="J169" s="96"/>
      <c r="K169" s="166"/>
      <c r="L169" s="166"/>
      <c r="M169" s="166"/>
      <c r="N169" s="166"/>
      <c r="O169" s="166"/>
      <c r="P169" s="166"/>
      <c r="Q169" s="166"/>
      <c r="R169" s="167"/>
      <c r="S169" s="159"/>
      <c r="T169" s="159"/>
      <c r="U169" s="166"/>
      <c r="V169" s="122"/>
      <c r="W169" s="139"/>
      <c r="X169" s="152"/>
      <c r="Y169" s="577" t="str">
        <f t="shared" si="59"/>
        <v>Wokingham</v>
      </c>
      <c r="Z169" s="581">
        <f t="shared" si="60"/>
        <v>0</v>
      </c>
      <c r="AA169" s="581">
        <f t="shared" si="61"/>
        <v>0</v>
      </c>
      <c r="AB169" s="581">
        <f t="shared" si="62"/>
        <v>0</v>
      </c>
      <c r="AC169" s="581">
        <f t="shared" si="63"/>
        <v>0</v>
      </c>
      <c r="AD169" s="581">
        <f t="shared" si="64"/>
        <v>0</v>
      </c>
      <c r="AE169" s="384" t="str">
        <f t="shared" si="65"/>
        <v>Wokingham</v>
      </c>
      <c r="AF169" s="489" t="str">
        <f>IF(Year1_Wokingham Year1_CP_Plans_Seen_in_Timescales="","",Year1_Wokingham Year1_CP_Plans_Seen_in_Timescales)</f>
        <v/>
      </c>
      <c r="AG169" s="372" t="str">
        <f>IF(Year2_Wokingham Year2_CP_Plans_Seen_in_Timescales="","",Year2_Wokingham Year2_CP_Plans_Seen_in_Timescales)</f>
        <v/>
      </c>
      <c r="AH169" s="372" t="str">
        <f>IF(Year3_Wokingham Year3_CP_Plans_Seen_in_Timescales="","",Year3_Wokingham Year3_CP_Plans_Seen_in_Timescales)</f>
        <v/>
      </c>
      <c r="AI169" s="372" t="str">
        <f>IF(Year4_Wokingham Year4_CP_Plans_Seen_in_Timescales="","",Year4_Wokingham Year4_CP_Plans_Seen_in_Timescales)</f>
        <v/>
      </c>
      <c r="AJ169" s="580" t="str">
        <f>IF(Year5_Wokingham Year5_CP_Plans_Seen_in_Timescales="","",Year5_Wokingham Year5_CP_Plans_Seen_in_Timescales)</f>
        <v/>
      </c>
      <c r="AK169" s="157"/>
      <c r="AL169" s="74"/>
    </row>
    <row r="170" spans="1:44" s="87" customFormat="1" ht="12.75" hidden="1" customHeight="1" x14ac:dyDescent="0.2">
      <c r="A170" s="121"/>
      <c r="B170" s="129" t="str">
        <f t="shared" si="52"/>
        <v>South East</v>
      </c>
      <c r="C170" s="85"/>
      <c r="D170" s="163" t="e">
        <f t="shared" si="58"/>
        <v>#N/A</v>
      </c>
      <c r="E170" s="163" t="e">
        <f t="shared" si="53"/>
        <v>#N/A</v>
      </c>
      <c r="F170" s="163" t="e">
        <f t="shared" si="54"/>
        <v>#N/A</v>
      </c>
      <c r="G170" s="163" t="e">
        <f t="shared" si="55"/>
        <v>#N/A</v>
      </c>
      <c r="H170" s="165" t="e">
        <f t="shared" si="56"/>
        <v>#N/A</v>
      </c>
      <c r="I170" s="96"/>
      <c r="J170" s="96"/>
      <c r="K170" s="168"/>
      <c r="L170" s="168"/>
      <c r="M170" s="168"/>
      <c r="N170" s="168"/>
      <c r="O170" s="168"/>
      <c r="P170" s="168"/>
      <c r="Q170" s="168"/>
      <c r="R170" s="169"/>
      <c r="S170" s="159"/>
      <c r="T170" s="159"/>
      <c r="U170" s="170"/>
      <c r="V170" s="122"/>
      <c r="W170" s="139"/>
      <c r="X170" s="152"/>
      <c r="Y170" s="577" t="str">
        <f t="shared" si="59"/>
        <v>South East</v>
      </c>
      <c r="Z170" s="205">
        <f>SUM(Z148:Z160,Z162:Z163,Z166:Z169)</f>
        <v>0</v>
      </c>
      <c r="AA170" s="205">
        <f t="shared" ref="AA170" si="66">SUM(AA148:AA160,AA162:AA163,AA166:AA169)</f>
        <v>0</v>
      </c>
      <c r="AB170" s="205">
        <f t="shared" ref="AB170" si="67">SUM(AB148:AB160,AB162:AB163,AB166:AB169)</f>
        <v>0</v>
      </c>
      <c r="AC170" s="205">
        <f t="shared" ref="AC170" si="68">SUM(AC148:AC160,AC162:AC163,AC166:AC169)</f>
        <v>0</v>
      </c>
      <c r="AD170" s="205">
        <f t="shared" ref="AD170" si="69">SUM(AD148:AD160,AD162:AD163,AD166:AD169)</f>
        <v>0</v>
      </c>
      <c r="AE170" s="384" t="str">
        <f t="shared" si="65"/>
        <v>South East</v>
      </c>
      <c r="AF170" s="372" t="str">
        <f>IF(Year1_SouthEast Year1_CP_Plans_Seen_in_Timescales="","",Year1_SouthEast Year1_CP_Plans_Seen_in_Timescales)</f>
        <v/>
      </c>
      <c r="AG170" s="372" t="str">
        <f>IF(Year2_SouthEast Year2_CP_Plans_Seen_in_Timescales="","",Year2_SouthEast Year2_CP_Plans_Seen_in_Timescales)</f>
        <v/>
      </c>
      <c r="AH170" s="372" t="str">
        <f>IF(Year3_SouthEast Year3_CP_Plans_Seen_in_Timescales="","",Year3_SouthEast Year3_CP_Plans_Seen_in_Timescales)</f>
        <v/>
      </c>
      <c r="AI170" s="372" t="str">
        <f>IF(Year4_SouthEast Year4_CP_Plans_Seen_in_Timescales="","",Year4_SouthEast Year4_CP_Plans_Seen_in_Timescales)</f>
        <v/>
      </c>
      <c r="AJ170" s="372" t="str">
        <f>IF(Year5_SouthEast Year5_CP_Plans_Seen_in_Timescales="","",Year5_SouthEast Year5_CP_Plans_Seen_in_Timescales)</f>
        <v/>
      </c>
      <c r="AK170" s="157"/>
      <c r="AL170" s="74"/>
    </row>
    <row r="171" spans="1:44" s="87" customFormat="1" ht="12.75" hidden="1" customHeight="1" x14ac:dyDescent="0.2">
      <c r="A171" s="121"/>
      <c r="B171" s="329" t="str">
        <f t="shared" si="52"/>
        <v>England</v>
      </c>
      <c r="C171" s="85"/>
      <c r="D171" s="351" t="e">
        <f t="shared" si="58"/>
        <v>#N/A</v>
      </c>
      <c r="E171" s="351" t="e">
        <f t="shared" si="53"/>
        <v>#N/A</v>
      </c>
      <c r="F171" s="351" t="e">
        <f t="shared" si="54"/>
        <v>#N/A</v>
      </c>
      <c r="G171" s="351" t="e">
        <f t="shared" si="55"/>
        <v>#N/A</v>
      </c>
      <c r="H171" s="352" t="e">
        <f t="shared" si="56"/>
        <v>#N/A</v>
      </c>
      <c r="I171" s="96"/>
      <c r="J171" s="96"/>
      <c r="K171" s="168"/>
      <c r="L171" s="168"/>
      <c r="M171" s="168"/>
      <c r="N171" s="168"/>
      <c r="O171" s="168"/>
      <c r="P171" s="168"/>
      <c r="Q171" s="168"/>
      <c r="R171" s="169"/>
      <c r="S171" s="159"/>
      <c r="T171" s="159"/>
      <c r="U171" s="170"/>
      <c r="V171" s="122"/>
      <c r="W171" s="139"/>
      <c r="X171" s="152"/>
      <c r="Y171" s="577" t="str">
        <f t="shared" si="59"/>
        <v>England</v>
      </c>
      <c r="Z171" s="606">
        <f>IF(Year1_England Year1_CP_Plans="","",Year1_England Year1_CP_Plans)</f>
        <v>50310</v>
      </c>
      <c r="AA171" s="607">
        <f>IF(Year2_England Year2_CP_Plans="","",Year2_England Year2_CP_Plans)</f>
        <v>51080</v>
      </c>
      <c r="AB171" s="372">
        <f>IF(Year3_England Year3_CP_Plans="","",Year3_England Year3_CP_Plans)</f>
        <v>53790</v>
      </c>
      <c r="AC171" s="372">
        <f>IF(Year4_England Year4_CP_Plans="","",Year4_England Year4_CP_Plans)</f>
        <v>52260</v>
      </c>
      <c r="AD171" s="582">
        <f>IF(Year5_England Year5_CP_Plans="","",Year5_England Year5_CP_Plans)</f>
        <v>51510</v>
      </c>
      <c r="AE171" s="384" t="str">
        <f t="shared" si="65"/>
        <v>England</v>
      </c>
      <c r="AF171" s="607" t="str">
        <f>IF(Year1_England Year1_CP_Plans_Seen_in_Timescales="","",Year1_England Year1_CP_Plans_Seen_in_Timescales)</f>
        <v/>
      </c>
      <c r="AG171" s="607" t="str">
        <f>IF(Year2_England Year2_CP_Plans_Seen_in_Timescales="","",Year2_England Year2_CP_Plans_Seen_in_Timescales)</f>
        <v/>
      </c>
      <c r="AH171" s="372" t="str">
        <f>IF(Year3_England Year3_CP_Plans_Seen_in_Timescales="","",Year3_England Year3_CP_Plans_Seen_in_Timescales)</f>
        <v/>
      </c>
      <c r="AI171" s="372" t="str">
        <f>IF(Year4_England Year4_CP_Plans_Seen_in_Timescales="","",Year4_England Year4_CP_Plans_Seen_in_Timescales)</f>
        <v/>
      </c>
      <c r="AJ171" s="580" t="str">
        <f>IF(Year5_England Year5_CP_Plans_Seen_in_Timescales="","",Year5_England Year5_CP_Plans_Seen_in_Timescales)</f>
        <v/>
      </c>
      <c r="AK171" s="157"/>
      <c r="AL171" s="74"/>
    </row>
    <row r="172" spans="1:44" s="87" customFormat="1" ht="7.5" hidden="1" customHeight="1" x14ac:dyDescent="0.2">
      <c r="A172" s="292"/>
      <c r="B172" s="96"/>
      <c r="C172" s="96"/>
      <c r="D172" s="96"/>
      <c r="E172" s="96"/>
      <c r="F172" s="96"/>
      <c r="G172" s="96"/>
      <c r="H172" s="96"/>
      <c r="I172" s="96"/>
      <c r="J172" s="96"/>
      <c r="K172" s="168"/>
      <c r="L172" s="168"/>
      <c r="M172" s="168"/>
      <c r="N172" s="168"/>
      <c r="O172" s="168"/>
      <c r="P172" s="168"/>
      <c r="Q172" s="168"/>
      <c r="R172" s="169"/>
      <c r="S172" s="159"/>
      <c r="T172" s="159"/>
      <c r="U172" s="170"/>
      <c r="V172" s="122"/>
      <c r="W172" s="139"/>
      <c r="X172" s="152"/>
      <c r="Y172" s="81"/>
      <c r="Z172" s="81"/>
      <c r="AA172" s="196"/>
      <c r="AB172" s="196"/>
      <c r="AC172" s="197"/>
      <c r="AD172" s="197"/>
      <c r="AE172" s="197"/>
      <c r="AF172" s="197"/>
      <c r="AG172" s="197"/>
      <c r="AH172" s="197"/>
      <c r="AI172" s="197"/>
      <c r="AJ172" s="197"/>
      <c r="AK172" s="157"/>
      <c r="AL172" s="74"/>
    </row>
    <row r="173" spans="1:44" s="81" customFormat="1" ht="39.6" hidden="1" customHeight="1" x14ac:dyDescent="0.2">
      <c r="A173" s="217"/>
      <c r="B173" s="392"/>
      <c r="C173" s="392"/>
      <c r="D173" s="392"/>
      <c r="E173" s="392"/>
      <c r="F173" s="392"/>
      <c r="G173" s="392"/>
      <c r="H173" s="392"/>
      <c r="I173" s="392"/>
      <c r="J173" s="172"/>
      <c r="K173" s="172"/>
      <c r="L173" s="172"/>
      <c r="M173" s="172"/>
      <c r="N173" s="172"/>
      <c r="O173" s="172"/>
      <c r="P173" s="172"/>
      <c r="Q173" s="172"/>
      <c r="R173" s="136"/>
      <c r="S173" s="172"/>
      <c r="T173" s="172"/>
      <c r="U173" s="172"/>
      <c r="V173" s="117"/>
      <c r="W173" s="137"/>
      <c r="X173" s="150"/>
      <c r="AD173" s="197"/>
      <c r="AE173" s="199"/>
      <c r="AF173" s="184"/>
      <c r="AG173" s="184"/>
      <c r="AH173" s="184"/>
      <c r="AJ173" s="184"/>
      <c r="AK173" s="157"/>
      <c r="AL173" s="74"/>
    </row>
    <row r="174" spans="1:44" s="81" customFormat="1" ht="39.6" hidden="1" customHeight="1" x14ac:dyDescent="0.2">
      <c r="A174" s="217"/>
      <c r="B174" s="392"/>
      <c r="C174" s="392"/>
      <c r="D174" s="392"/>
      <c r="E174" s="392"/>
      <c r="F174" s="392"/>
      <c r="G174" s="392"/>
      <c r="H174" s="392"/>
      <c r="I174" s="392"/>
      <c r="J174" s="172"/>
      <c r="K174" s="172"/>
      <c r="L174" s="172"/>
      <c r="M174" s="172"/>
      <c r="N174" s="172"/>
      <c r="O174" s="172"/>
      <c r="P174" s="172"/>
      <c r="Q174" s="172"/>
      <c r="R174" s="136"/>
      <c r="S174" s="172"/>
      <c r="T174" s="172"/>
      <c r="U174" s="172"/>
      <c r="V174" s="117"/>
      <c r="W174" s="137"/>
      <c r="X174" s="150"/>
      <c r="Z174" s="190"/>
      <c r="AE174" s="199"/>
      <c r="AF174" s="184"/>
      <c r="AG174" s="184"/>
      <c r="AH174" s="184"/>
      <c r="AJ174" s="184"/>
      <c r="AK174" s="157"/>
      <c r="AL174" s="74"/>
    </row>
    <row r="175" spans="1:44" s="81" customFormat="1" ht="49.5" hidden="1" customHeight="1" x14ac:dyDescent="0.2">
      <c r="A175" s="217"/>
      <c r="B175" s="392"/>
      <c r="C175" s="392"/>
      <c r="D175" s="392"/>
      <c r="E175" s="392"/>
      <c r="F175" s="392"/>
      <c r="G175" s="392"/>
      <c r="H175" s="392"/>
      <c r="I175" s="392"/>
      <c r="J175" s="172"/>
      <c r="K175" s="172"/>
      <c r="L175" s="172"/>
      <c r="M175" s="172"/>
      <c r="N175" s="172"/>
      <c r="O175" s="172"/>
      <c r="P175" s="172"/>
      <c r="Q175" s="172"/>
      <c r="R175" s="136"/>
      <c r="S175" s="172"/>
      <c r="T175" s="172"/>
      <c r="U175" s="172"/>
      <c r="V175" s="117"/>
      <c r="W175" s="137"/>
      <c r="X175" s="150"/>
      <c r="Z175" s="190"/>
      <c r="AE175" s="199"/>
      <c r="AF175" s="184"/>
      <c r="AG175" s="184"/>
      <c r="AH175" s="184"/>
      <c r="AJ175" s="184"/>
      <c r="AK175" s="157"/>
      <c r="AL175" s="74"/>
    </row>
    <row r="176" spans="1:44" s="81" customFormat="1" ht="7.5" hidden="1" customHeight="1" x14ac:dyDescent="0.2">
      <c r="A176" s="118"/>
      <c r="B176" s="17"/>
      <c r="C176" s="17"/>
      <c r="D176" s="16"/>
      <c r="E176" s="16"/>
      <c r="F176" s="16"/>
      <c r="G176" s="16"/>
      <c r="H176" s="16"/>
      <c r="I176" s="16"/>
      <c r="J176" s="12"/>
      <c r="K176" s="18"/>
      <c r="L176" s="18"/>
      <c r="M176" s="18"/>
      <c r="N176" s="18"/>
      <c r="O176" s="18"/>
      <c r="P176" s="18"/>
      <c r="Q176" s="18"/>
      <c r="R176" s="18"/>
      <c r="S176" s="18"/>
      <c r="T176" s="18"/>
      <c r="U176" s="19"/>
      <c r="V176" s="117"/>
      <c r="W176" s="137"/>
      <c r="X176" s="150"/>
      <c r="Z176" s="190"/>
      <c r="AJ176" s="184"/>
      <c r="AK176" s="157"/>
      <c r="AL176" s="74"/>
      <c r="AM176" s="74"/>
      <c r="AN176" s="74"/>
      <c r="AO176" s="74"/>
      <c r="AP176" s="74"/>
      <c r="AQ176" s="74"/>
      <c r="AR176" s="74"/>
    </row>
    <row r="177" spans="1:46" s="81" customFormat="1" ht="15" hidden="1" customHeight="1" x14ac:dyDescent="0.2">
      <c r="A177" s="1716"/>
      <c r="B177" s="1760"/>
      <c r="C177" s="1760"/>
      <c r="D177" s="1760"/>
      <c r="E177" s="1760"/>
      <c r="F177" s="1760"/>
      <c r="G177" s="1760"/>
      <c r="H177" s="1760"/>
      <c r="I177" s="1760"/>
      <c r="J177" s="1760"/>
      <c r="K177" s="1760"/>
      <c r="L177" s="1760"/>
      <c r="M177" s="1760"/>
      <c r="N177" s="1760"/>
      <c r="O177" s="1760"/>
      <c r="P177" s="1760"/>
      <c r="Q177" s="1760"/>
      <c r="R177" s="1760"/>
      <c r="S177" s="1760"/>
      <c r="T177" s="1760"/>
      <c r="U177" s="1760"/>
      <c r="V177" s="1761"/>
      <c r="W177" s="137"/>
      <c r="X177" s="150"/>
      <c r="AK177" s="157"/>
      <c r="AL177" s="74"/>
      <c r="AT177" s="74"/>
    </row>
    <row r="178" spans="1:46" s="81" customFormat="1" ht="11.45" hidden="1" customHeight="1" x14ac:dyDescent="0.2">
      <c r="A178" s="1765" t="str">
        <f>Home!$A$39</f>
        <v xml:space="preserve"> </v>
      </c>
      <c r="B178" s="1766"/>
      <c r="C178" s="1766"/>
      <c r="D178" s="1766"/>
      <c r="E178" s="1766"/>
      <c r="F178" s="1766"/>
      <c r="G178" s="1766"/>
      <c r="H178" s="1766"/>
      <c r="I178" s="1767"/>
      <c r="J178" s="1766"/>
      <c r="K178" s="1766"/>
      <c r="L178" s="1766"/>
      <c r="M178" s="1766"/>
      <c r="N178" s="1766"/>
      <c r="O178" s="1766"/>
      <c r="P178" s="1768"/>
      <c r="Q178" s="1766"/>
      <c r="R178" s="1766"/>
      <c r="S178" s="1766"/>
      <c r="T178" s="1767"/>
      <c r="U178" s="1766"/>
      <c r="V178" s="1769"/>
      <c r="W178" s="137"/>
      <c r="X178" s="150"/>
      <c r="AJ178" s="184"/>
      <c r="AK178" s="157"/>
      <c r="AL178" s="74"/>
      <c r="AT178" s="74"/>
    </row>
    <row r="179" spans="1:46" ht="11.25" customHeight="1" x14ac:dyDescent="0.2">
      <c r="A179" s="112"/>
      <c r="B179" s="113"/>
      <c r="C179" s="113"/>
      <c r="D179" s="113"/>
      <c r="E179" s="113"/>
      <c r="F179" s="113"/>
      <c r="G179" s="113"/>
      <c r="H179" s="113"/>
      <c r="I179" s="113"/>
      <c r="J179" s="114"/>
      <c r="K179" s="113"/>
      <c r="L179" s="113"/>
      <c r="M179" s="113"/>
      <c r="N179" s="113"/>
      <c r="O179" s="113"/>
      <c r="P179" s="113"/>
      <c r="Q179" s="113"/>
      <c r="R179" s="113"/>
      <c r="S179" s="113"/>
      <c r="T179" s="113"/>
      <c r="U179" s="113"/>
      <c r="V179" s="115"/>
      <c r="W179" s="137"/>
      <c r="X179" s="150"/>
      <c r="Y179" s="198"/>
      <c r="Z179" s="196"/>
      <c r="AA179" s="188"/>
      <c r="AJ179" s="184"/>
      <c r="AK179" s="157"/>
    </row>
    <row r="180" spans="1:46" s="76" customFormat="1" ht="15" customHeight="1" x14ac:dyDescent="0.2">
      <c r="A180" s="119"/>
      <c r="B180" s="1922" t="s">
        <v>925</v>
      </c>
      <c r="C180" s="1922"/>
      <c r="D180" s="1922"/>
      <c r="E180" s="1922"/>
      <c r="F180" s="1922"/>
      <c r="G180" s="1922"/>
      <c r="H180" s="1922"/>
      <c r="I180" s="1922"/>
      <c r="J180" s="70"/>
      <c r="K180" s="70"/>
      <c r="L180" s="70"/>
      <c r="M180" s="70"/>
      <c r="N180" s="359"/>
      <c r="O180" s="70"/>
      <c r="P180" s="70"/>
      <c r="Q180" s="70"/>
      <c r="R180" s="70"/>
      <c r="S180" s="70"/>
      <c r="T180" s="70"/>
      <c r="U180" s="70"/>
      <c r="V180" s="120"/>
      <c r="W180" s="138"/>
      <c r="X180" s="151"/>
      <c r="Y180" s="381" t="s">
        <v>143</v>
      </c>
      <c r="Z180" s="382"/>
      <c r="AA180" s="383"/>
      <c r="AB180" s="383"/>
      <c r="AC180" s="383"/>
      <c r="AD180" s="596"/>
      <c r="AE180" s="596"/>
      <c r="AF180" s="381" t="s">
        <v>144</v>
      </c>
      <c r="AG180" s="382"/>
      <c r="AH180" s="383"/>
      <c r="AI180" s="383"/>
      <c r="AJ180" s="383"/>
      <c r="AK180" s="157"/>
      <c r="AL180" s="74"/>
    </row>
    <row r="181" spans="1:46" ht="15" customHeight="1" x14ac:dyDescent="0.2">
      <c r="A181" s="118"/>
      <c r="B181" s="1922"/>
      <c r="C181" s="1922"/>
      <c r="D181" s="1922"/>
      <c r="E181" s="1922"/>
      <c r="F181" s="1922"/>
      <c r="G181" s="1922"/>
      <c r="H181" s="1922"/>
      <c r="I181" s="1922"/>
      <c r="J181" s="70"/>
      <c r="K181" s="70"/>
      <c r="L181" s="70"/>
      <c r="M181" s="70"/>
      <c r="N181" s="359"/>
      <c r="O181" s="70"/>
      <c r="P181" s="70"/>
      <c r="Q181" s="70"/>
      <c r="R181" s="10"/>
      <c r="S181" s="70"/>
      <c r="T181" s="70"/>
      <c r="U181" s="70"/>
      <c r="V181" s="117"/>
      <c r="W181" s="137"/>
      <c r="X181" s="150"/>
      <c r="Y181" s="383"/>
      <c r="Z181" s="382"/>
      <c r="AA181" s="383"/>
      <c r="AB181" s="383"/>
      <c r="AC181" s="383"/>
      <c r="AD181" s="596"/>
      <c r="AE181" s="596"/>
      <c r="AF181" s="383"/>
      <c r="AG181" s="382"/>
      <c r="AH181" s="383"/>
      <c r="AI181" s="383"/>
      <c r="AJ181" s="383"/>
      <c r="AK181" s="157"/>
    </row>
    <row r="182" spans="1:46" ht="13.5" customHeight="1" x14ac:dyDescent="0.2">
      <c r="A182" s="278"/>
      <c r="B182" s="1771" t="s">
        <v>205</v>
      </c>
      <c r="C182" s="921"/>
      <c r="D182" s="789" t="str">
        <f>Sheet1!$D$27</f>
        <v>2015-16</v>
      </c>
      <c r="E182" s="790" t="str">
        <f>Sheet1!$E$27</f>
        <v>2016-17</v>
      </c>
      <c r="F182" s="790" t="str">
        <f>Sheet1!$F$27</f>
        <v>2017-18</v>
      </c>
      <c r="G182" s="790" t="str">
        <f>Sheet1!$G$27</f>
        <v>2018-19</v>
      </c>
      <c r="H182" s="791" t="str">
        <f>Sheet1!$H$27</f>
        <v>2019-20</v>
      </c>
      <c r="I182" s="927"/>
      <c r="J182" s="70"/>
      <c r="K182" s="70"/>
      <c r="L182" s="70"/>
      <c r="M182" s="70"/>
      <c r="N182" s="918"/>
      <c r="O182" s="70"/>
      <c r="P182" s="70"/>
      <c r="Q182" s="70"/>
      <c r="R182" s="10"/>
      <c r="S182" s="70"/>
      <c r="T182" s="70"/>
      <c r="U182" s="70"/>
      <c r="V182" s="117"/>
      <c r="W182" s="137"/>
      <c r="X182" s="150"/>
      <c r="Y182" s="383"/>
      <c r="Z182" s="382"/>
      <c r="AA182" s="383"/>
      <c r="AB182" s="383"/>
      <c r="AC182" s="383"/>
      <c r="AD182" s="596"/>
      <c r="AE182" s="596"/>
      <c r="AF182" s="383"/>
      <c r="AG182" s="382"/>
      <c r="AH182" s="383"/>
      <c r="AI182" s="383"/>
      <c r="AJ182" s="383"/>
      <c r="AK182" s="157"/>
    </row>
    <row r="183" spans="1:46" s="87" customFormat="1" ht="13.5" customHeight="1" x14ac:dyDescent="0.2">
      <c r="A183" s="121"/>
      <c r="B183" s="1772"/>
      <c r="C183" s="85"/>
      <c r="D183" s="792" t="e">
        <f>Sheet1!$D$28</f>
        <v>#N/A</v>
      </c>
      <c r="E183" s="792" t="e">
        <f>Sheet1!$E$28</f>
        <v>#N/A</v>
      </c>
      <c r="F183" s="792" t="e">
        <f>Sheet1!$F$28</f>
        <v>#N/A</v>
      </c>
      <c r="G183" s="792" t="e">
        <f>Sheet1!$G$28</f>
        <v>#N/A</v>
      </c>
      <c r="H183" s="793" t="e">
        <f>Sheet1!$H$28</f>
        <v>#N/A</v>
      </c>
      <c r="I183" s="96"/>
      <c r="J183" s="96"/>
      <c r="K183" s="61"/>
      <c r="L183" s="61"/>
      <c r="M183" s="61"/>
      <c r="N183" s="61"/>
      <c r="O183" s="61"/>
      <c r="P183" s="61"/>
      <c r="Q183" s="365"/>
      <c r="R183" s="365"/>
      <c r="S183" s="159"/>
      <c r="T183" s="159"/>
      <c r="U183" s="366"/>
      <c r="V183" s="122"/>
      <c r="W183" s="139"/>
      <c r="X183" s="152"/>
      <c r="Y183" s="577"/>
      <c r="Z183" s="581" t="e">
        <f>D183</f>
        <v>#N/A</v>
      </c>
      <c r="AA183" s="489" t="e">
        <f>E183</f>
        <v>#N/A</v>
      </c>
      <c r="AB183" s="489" t="e">
        <f>F183</f>
        <v>#N/A</v>
      </c>
      <c r="AC183" s="489" t="e">
        <f>G183</f>
        <v>#N/A</v>
      </c>
      <c r="AD183" s="578" t="e">
        <f>H183</f>
        <v>#N/A</v>
      </c>
      <c r="AE183" s="384"/>
      <c r="AF183" s="489" t="e">
        <f>Z183</f>
        <v>#N/A</v>
      </c>
      <c r="AG183" s="489" t="e">
        <f t="shared" ref="AG183:AJ183" si="70">AA183</f>
        <v>#N/A</v>
      </c>
      <c r="AH183" s="489" t="e">
        <f t="shared" si="70"/>
        <v>#N/A</v>
      </c>
      <c r="AI183" s="489" t="e">
        <f t="shared" si="70"/>
        <v>#N/A</v>
      </c>
      <c r="AJ183" s="489" t="e">
        <f t="shared" si="70"/>
        <v>#N/A</v>
      </c>
      <c r="AK183" s="157"/>
      <c r="AL183" s="74"/>
    </row>
    <row r="184" spans="1:46" s="87" customFormat="1" ht="12.75" customHeight="1" x14ac:dyDescent="0.2">
      <c r="A184" s="488">
        <f>VLOOKUP(B184,Sheet1!$AQ$4:$AR$25,2,FALSE)</f>
        <v>0</v>
      </c>
      <c r="B184" s="93" t="str">
        <f t="shared" ref="B184:B207" si="71">B256</f>
        <v>Bracknell Forest</v>
      </c>
      <c r="C184" s="85"/>
      <c r="D184" s="162">
        <f>IF(AND(ISNUMBER(AF184),ISNUMBER(Z184)),AF184/Z184,NA())</f>
        <v>0.98484848484848486</v>
      </c>
      <c r="E184" s="162">
        <f t="shared" ref="E184" si="72">IF(AND(ISNUMBER(AG184),ISNUMBER(AA184)),AG184/AA184,NA())</f>
        <v>0.97727272727272729</v>
      </c>
      <c r="F184" s="162">
        <f t="shared" ref="F184" si="73">IF(AND(ISNUMBER(AH184),ISNUMBER(AB184)),AH184/AB184,NA())</f>
        <v>0.98461538461538467</v>
      </c>
      <c r="G184" s="162">
        <f t="shared" ref="G184" si="74">IF(AND(ISNUMBER(AI184),ISNUMBER(AC184)),AI184/AC184,NA())</f>
        <v>0.97101449275362317</v>
      </c>
      <c r="H184" s="164">
        <f t="shared" ref="H184" si="75">IF(AND(ISNUMBER(AJ184),ISNUMBER(AD184)),AJ184/AD184,NA())</f>
        <v>0.98412698412698407</v>
      </c>
      <c r="I184" s="96"/>
      <c r="J184" s="96"/>
      <c r="K184" s="166"/>
      <c r="L184" s="166"/>
      <c r="M184" s="166"/>
      <c r="N184" s="166"/>
      <c r="O184" s="166"/>
      <c r="P184" s="166"/>
      <c r="Q184" s="166"/>
      <c r="R184" s="167"/>
      <c r="S184" s="159"/>
      <c r="T184" s="159"/>
      <c r="U184" s="166"/>
      <c r="V184" s="122"/>
      <c r="W184" s="139"/>
      <c r="X184" s="152"/>
      <c r="Y184" s="577" t="str">
        <f>B184</f>
        <v>Bracknell Forest</v>
      </c>
      <c r="Z184" s="581">
        <f>IF(Year1_Bracknell_Forest Year1_CP_Plans_3months="","",Year1_Bracknell_Forest Year1_CP_Plans_3months)</f>
        <v>66</v>
      </c>
      <c r="AA184" s="372">
        <f>IF(Year2_Bracknell_Forest Year2_CP_Plans_3months="","",Year2_Bracknell_Forest Year2_CP_Plans_3months)</f>
        <v>132</v>
      </c>
      <c r="AB184" s="372">
        <f>IF(Year3_Bracknell_Forest Year3_CP_Plans_3months="","",Year3_Bracknell_Forest Year3_CP_Plans_3months)</f>
        <v>65</v>
      </c>
      <c r="AC184" s="372">
        <f>IF(Year4_Bracknell_Forest Year4_CP_Plans_3months="","",Year4_Bracknell_Forest Year4_CP_Plans_3months)</f>
        <v>69</v>
      </c>
      <c r="AD184" s="577">
        <f>IF(Year5_Bracknell_Forest Year5_CP_Plans_3months="","",Year5_Bracknell_Forest Year5_CP_Plans_3months)</f>
        <v>63</v>
      </c>
      <c r="AE184" s="384" t="str">
        <f>Y184</f>
        <v>Bracknell Forest</v>
      </c>
      <c r="AF184" s="489">
        <f>IF(Year1_Bracknell_Forest Year1_CP_Plans_3months_timescales="","",Year1_Bracknell_Forest Year1_CP_Plans_3months_timescales)</f>
        <v>65</v>
      </c>
      <c r="AG184" s="372">
        <f>IF(Year2_Bracknell_Forest Year2_CP_Plans_3months_timescales="","",Year2_Bracknell_Forest Year2_CP_Plans_3months_timescales)</f>
        <v>129</v>
      </c>
      <c r="AH184" s="372">
        <f>IF(Year3_Bracknell_Forest Year3_CP_Plans_3months_timescales="","",Year3_Bracknell_Forest Year3_CP_Plans_3months_timescales)</f>
        <v>64</v>
      </c>
      <c r="AI184" s="372">
        <f>IF(Year4_Bracknell_Forest Year4_CP_Plans_3months_timescales="","",Year4_Bracknell_Forest Year4_CP_Plans_3months_timescales)</f>
        <v>67</v>
      </c>
      <c r="AJ184" s="372">
        <f>IF(Year5_Bracknell_Forest Year5_CP_Plans_3months_timescales="","",Year5_Bracknell_Forest Year5_CP_Plans_3months_timescales)</f>
        <v>62</v>
      </c>
      <c r="AK184" s="157"/>
      <c r="AL184" s="74"/>
    </row>
    <row r="185" spans="1:46" s="87" customFormat="1" ht="12.75" customHeight="1" x14ac:dyDescent="0.2">
      <c r="A185" s="488">
        <f>VLOOKUP(B185,Sheet1!$AQ$4:$AR$25,2,FALSE)</f>
        <v>0</v>
      </c>
      <c r="B185" s="93" t="str">
        <f t="shared" si="71"/>
        <v>Brighton &amp; Hove</v>
      </c>
      <c r="C185" s="85"/>
      <c r="D185" s="162">
        <f t="shared" ref="D185:D207" si="76">IF(AND(ISNUMBER(AF185),ISNUMBER(Z185)),AF185/Z185,NA())</f>
        <v>0.98006644518272423</v>
      </c>
      <c r="E185" s="162">
        <f t="shared" ref="E185:E207" si="77">IF(AND(ISNUMBER(AG185),ISNUMBER(AA185)),AG185/AA185,NA())</f>
        <v>0.72834645669291342</v>
      </c>
      <c r="F185" s="162">
        <f t="shared" ref="F185:F207" si="78">IF(AND(ISNUMBER(AH185),ISNUMBER(AB185)),AH185/AB185,NA())</f>
        <v>0.99293286219081267</v>
      </c>
      <c r="G185" s="162">
        <f t="shared" ref="G185:G207" si="79">IF(AND(ISNUMBER(AI185),ISNUMBER(AC185)),AI185/AC185,NA())</f>
        <v>0.96356275303643724</v>
      </c>
      <c r="H185" s="164">
        <f t="shared" ref="H185:H207" si="80">IF(AND(ISNUMBER(AJ185),ISNUMBER(AD185)),AJ185/AD185,NA())</f>
        <v>0.9719626168224299</v>
      </c>
      <c r="I185" s="96"/>
      <c r="J185" s="96"/>
      <c r="K185" s="166"/>
      <c r="L185" s="166"/>
      <c r="M185" s="166"/>
      <c r="N185" s="166"/>
      <c r="O185" s="166"/>
      <c r="P185" s="166"/>
      <c r="Q185" s="166"/>
      <c r="R185" s="167"/>
      <c r="S185" s="159"/>
      <c r="T185" s="159"/>
      <c r="U185" s="166"/>
      <c r="V185" s="122"/>
      <c r="W185" s="139"/>
      <c r="X185" s="152"/>
      <c r="Y185" s="577" t="str">
        <f t="shared" ref="Y185:Y207" si="81">B185</f>
        <v>Brighton &amp; Hove</v>
      </c>
      <c r="Z185" s="581">
        <f>IF(Year1_Brighton_Hove Year1_CP_Plans_3months="","",Year1_Brighton_Hove Year1_CP_Plans_3months)</f>
        <v>301</v>
      </c>
      <c r="AA185" s="372">
        <f>IF(Year2_Brighton_Hove Year2_CP_Plans_3months="","",Year2_Brighton_Hove Year2_CP_Plans_3months)</f>
        <v>254</v>
      </c>
      <c r="AB185" s="372">
        <f>IF(Year3_Brighton_Hove Year3_CP_Plans_3months="","",Year3_Brighton_Hove Year3_CP_Plans_3months)</f>
        <v>283</v>
      </c>
      <c r="AC185" s="372">
        <f>IF(Year4_Brighton_Hove Year4_CP_Plans_3months="","",Year4_Brighton_Hove Year4_CP_Plans_3months)</f>
        <v>247</v>
      </c>
      <c r="AD185" s="577">
        <f>IF(Year5_Brighton_Hove Year5_CP_Plans_3months="","",Year5_Brighton_Hove Year5_CP_Plans_3months)</f>
        <v>214</v>
      </c>
      <c r="AE185" s="384" t="str">
        <f t="shared" ref="AE185:AE207" si="82">Y185</f>
        <v>Brighton &amp; Hove</v>
      </c>
      <c r="AF185" s="489">
        <f>IF(Year1_Brighton_Hove Year1_CP_Plans_3months_timescales="","",Year1_Brighton_Hove Year1_CP_Plans_3months_timescales)</f>
        <v>295</v>
      </c>
      <c r="AG185" s="372">
        <f>IF(Year2_Brighton_Hove Year2_CP_Plans_3months_timescales="","",Year2_Brighton_Hove Year2_CP_Plans_3months_timescales)</f>
        <v>185</v>
      </c>
      <c r="AH185" s="372">
        <f>IF(Year3_Brighton_Hove Year3_CP_Plans_3months_timescales="","",Year3_Brighton_Hove Year3_CP_Plans_3months_timescales)</f>
        <v>281</v>
      </c>
      <c r="AI185" s="372">
        <f>IF(Year4_Brighton_Hove Year4_CP_Plans_3months_timescales="","",Year4_Brighton_Hove Year4_CP_Plans_3months_timescales)</f>
        <v>238</v>
      </c>
      <c r="AJ185" s="372">
        <f>IF(Year5_Brighton_Hove Year5_CP_Plans_3months_timescales="","",Year5_Brighton_Hove Year5_CP_Plans_3months_timescales)</f>
        <v>208</v>
      </c>
      <c r="AK185" s="157"/>
      <c r="AL185" s="74"/>
    </row>
    <row r="186" spans="1:46" s="87" customFormat="1" ht="12.75" customHeight="1" x14ac:dyDescent="0.2">
      <c r="A186" s="488">
        <f>VLOOKUP(B186,Sheet1!$AQ$4:$AR$25,2,FALSE)</f>
        <v>0</v>
      </c>
      <c r="B186" s="93" t="str">
        <f t="shared" si="71"/>
        <v>Buckinghamshire</v>
      </c>
      <c r="C186" s="85"/>
      <c r="D186" s="162">
        <f t="shared" si="76"/>
        <v>0.9285714285714286</v>
      </c>
      <c r="E186" s="162">
        <f t="shared" si="77"/>
        <v>0.84571428571428575</v>
      </c>
      <c r="F186" s="162">
        <f t="shared" si="78"/>
        <v>0.87885010266940455</v>
      </c>
      <c r="G186" s="162">
        <f t="shared" si="79"/>
        <v>0.8542199488491049</v>
      </c>
      <c r="H186" s="164">
        <f t="shared" si="80"/>
        <v>0.97222222222222221</v>
      </c>
      <c r="I186" s="96"/>
      <c r="J186" s="96"/>
      <c r="K186" s="166"/>
      <c r="L186" s="166"/>
      <c r="M186" s="166"/>
      <c r="N186" s="166"/>
      <c r="O186" s="166"/>
      <c r="P186" s="166"/>
      <c r="Q186" s="166"/>
      <c r="R186" s="167"/>
      <c r="S186" s="159"/>
      <c r="T186" s="159"/>
      <c r="U186" s="166"/>
      <c r="V186" s="122"/>
      <c r="W186" s="139"/>
      <c r="X186" s="152"/>
      <c r="Y186" s="577" t="str">
        <f t="shared" si="81"/>
        <v>Buckinghamshire</v>
      </c>
      <c r="Z186" s="581">
        <f>IF(Year1_Buckinghamshire Year1_CP_Plans_3months="","",Year1_Buckinghamshire Year1_CP_Plans_3months)</f>
        <v>294</v>
      </c>
      <c r="AA186" s="372">
        <f>IF(Year2_Buckinghamshire Year2_CP_Plans_3months="","",Year2_Buckinghamshire Year2_CP_Plans_3months)</f>
        <v>350</v>
      </c>
      <c r="AB186" s="372">
        <f>IF(Year3_Buckinghamshire Year3_CP_Plans_3months="","",Year3_Buckinghamshire Year3_CP_Plans_3months)</f>
        <v>487</v>
      </c>
      <c r="AC186" s="372">
        <f>IF(Year4_Buckinghamshire Year4_CP_Plans_3months="","",Year4_Buckinghamshire Year4_CP_Plans_3months)</f>
        <v>391</v>
      </c>
      <c r="AD186" s="577">
        <f>IF(Year5_Buckinghamshire Year5_CP_Plans_3months="","",Year5_Buckinghamshire Year5_CP_Plans_3months)</f>
        <v>468</v>
      </c>
      <c r="AE186" s="384" t="str">
        <f t="shared" si="82"/>
        <v>Buckinghamshire</v>
      </c>
      <c r="AF186" s="489">
        <f>IF(Year1_Buckinghamshire Year1_CP_Plans_3months_timescales="","",Year1_Buckinghamshire Year1_CP_Plans_3months_timescales)</f>
        <v>273</v>
      </c>
      <c r="AG186" s="372">
        <f>IF(Year2_Buckinghamshire Year2_CP_Plans_3months_timescales="","",Year2_Buckinghamshire Year2_CP_Plans_3months_timescales)</f>
        <v>296</v>
      </c>
      <c r="AH186" s="372">
        <f>IF(Year3_Buckinghamshire Year3_CP_Plans_3months_timescales="","",Year3_Buckinghamshire Year3_CP_Plans_3months_timescales)</f>
        <v>428</v>
      </c>
      <c r="AI186" s="372">
        <f>IF(Year4_Buckinghamshire Year4_CP_Plans_3months_timescales="","",Year4_Buckinghamshire Year4_CP_Plans_3months_timescales)</f>
        <v>334</v>
      </c>
      <c r="AJ186" s="372">
        <f>IF(Year5_Buckinghamshire Year5_CP_Plans_3months_timescales="","",Year5_Buckinghamshire Year5_CP_Plans_3months_timescales)</f>
        <v>455</v>
      </c>
      <c r="AK186" s="157"/>
      <c r="AL186" s="74"/>
    </row>
    <row r="187" spans="1:46" s="87" customFormat="1" ht="12.75" customHeight="1" x14ac:dyDescent="0.2">
      <c r="A187" s="488">
        <f>VLOOKUP(B187,Sheet1!$AQ$4:$AR$25,2,FALSE)</f>
        <v>0</v>
      </c>
      <c r="B187" s="93" t="str">
        <f t="shared" si="71"/>
        <v>East Sussex</v>
      </c>
      <c r="C187" s="85"/>
      <c r="D187" s="162">
        <f t="shared" si="76"/>
        <v>0.97667638483965014</v>
      </c>
      <c r="E187" s="162">
        <f t="shared" si="77"/>
        <v>0.92121212121212126</v>
      </c>
      <c r="F187" s="162">
        <f t="shared" si="78"/>
        <v>0.90600522193211486</v>
      </c>
      <c r="G187" s="162">
        <f t="shared" si="79"/>
        <v>0.95100222717149219</v>
      </c>
      <c r="H187" s="164">
        <f t="shared" si="80"/>
        <v>0.92650918635170598</v>
      </c>
      <c r="I187" s="96"/>
      <c r="J187" s="96"/>
      <c r="K187" s="166"/>
      <c r="L187" s="166"/>
      <c r="M187" s="166"/>
      <c r="N187" s="166"/>
      <c r="O187" s="166"/>
      <c r="P187" s="166"/>
      <c r="Q187" s="166"/>
      <c r="R187" s="167"/>
      <c r="S187" s="159"/>
      <c r="T187" s="159"/>
      <c r="U187" s="166"/>
      <c r="V187" s="122"/>
      <c r="W187" s="139"/>
      <c r="X187" s="152"/>
      <c r="Y187" s="577" t="str">
        <f t="shared" si="81"/>
        <v>East Sussex</v>
      </c>
      <c r="Z187" s="581">
        <f>IF(Year1_East_Sussex Year1_CP_Plans_3months="","",Year1_East_Sussex Year1_CP_Plans_3months)</f>
        <v>343</v>
      </c>
      <c r="AA187" s="372">
        <f>IF(Year2_East_Sussex Year2_CP_Plans_3months="","",Year2_East_Sussex Year2_CP_Plans_3months)</f>
        <v>330</v>
      </c>
      <c r="AB187" s="372">
        <f>IF(Year3_East_Sussex Year3_CP_Plans_3months="","",Year3_East_Sussex Year3_CP_Plans_3months)</f>
        <v>383</v>
      </c>
      <c r="AC187" s="372">
        <f>IF(Year4_East_Sussex Year4_CP_Plans_3months="","",Year4_East_Sussex Year4_CP_Plans_3months)</f>
        <v>449</v>
      </c>
      <c r="AD187" s="577">
        <f>IF(Year5_East_Sussex Year5_CP_Plans_3months="","",Year5_East_Sussex Year5_CP_Plans_3months)</f>
        <v>381</v>
      </c>
      <c r="AE187" s="384" t="str">
        <f t="shared" si="82"/>
        <v>East Sussex</v>
      </c>
      <c r="AF187" s="489">
        <f>IF(Year1_East_Sussex Year1_CP_Plans_3months_timescales="","",Year1_East_Sussex Year1_CP_Plans_3months_timescales)</f>
        <v>335</v>
      </c>
      <c r="AG187" s="372">
        <f>IF(Year2_East_Sussex Year2_CP_Plans_3months_timescales="","",Year2_East_Sussex Year2_CP_Plans_3months_timescales)</f>
        <v>304</v>
      </c>
      <c r="AH187" s="372">
        <f>IF(Year3_East_Sussex Year3_CP_Plans_3months_timescales="","",Year3_East_Sussex Year3_CP_Plans_3months_timescales)</f>
        <v>347</v>
      </c>
      <c r="AI187" s="372">
        <f>IF(Year4_East_Sussex Year4_CP_Plans_3months_timescales="","",Year4_East_Sussex Year4_CP_Plans_3months_timescales)</f>
        <v>427</v>
      </c>
      <c r="AJ187" s="372">
        <f>IF(Year5_East_Sussex Year5_CP_Plans_3months_timescales="","",Year5_East_Sussex Year5_CP_Plans_3months_timescales)</f>
        <v>353</v>
      </c>
      <c r="AK187" s="157"/>
      <c r="AL187" s="74"/>
    </row>
    <row r="188" spans="1:46" s="87" customFormat="1" ht="12.75" customHeight="1" x14ac:dyDescent="0.2">
      <c r="A188" s="488">
        <f>VLOOKUP(B188,Sheet1!$AQ$4:$AR$25,2,FALSE)</f>
        <v>0</v>
      </c>
      <c r="B188" s="93" t="str">
        <f t="shared" si="71"/>
        <v>Hampshire</v>
      </c>
      <c r="C188" s="85"/>
      <c r="D188" s="162">
        <f t="shared" si="76"/>
        <v>0.88361683079677711</v>
      </c>
      <c r="E188" s="162">
        <f t="shared" si="77"/>
        <v>0.87581699346405228</v>
      </c>
      <c r="F188" s="162">
        <f t="shared" si="78"/>
        <v>0.80021030494216616</v>
      </c>
      <c r="G188" s="162">
        <f t="shared" si="79"/>
        <v>0.83475091130012147</v>
      </c>
      <c r="H188" s="164">
        <f t="shared" si="80"/>
        <v>0.80879864636209808</v>
      </c>
      <c r="I188" s="96"/>
      <c r="J188" s="96"/>
      <c r="K188" s="166"/>
      <c r="L188" s="166"/>
      <c r="M188" s="166"/>
      <c r="N188" s="166"/>
      <c r="O188" s="166"/>
      <c r="P188" s="166"/>
      <c r="Q188" s="166"/>
      <c r="R188" s="167"/>
      <c r="S188" s="159"/>
      <c r="T188" s="159"/>
      <c r="U188" s="166"/>
      <c r="V188" s="122"/>
      <c r="W188" s="139"/>
      <c r="X188" s="152"/>
      <c r="Y188" s="577" t="str">
        <f t="shared" si="81"/>
        <v>Hampshire</v>
      </c>
      <c r="Z188" s="581">
        <f>IF(Year1_Hampshire Year1_CP_Plans_3months="","",Year1_Hampshire Year1_CP_Plans_3months)</f>
        <v>1117</v>
      </c>
      <c r="AA188" s="372">
        <f>IF(Year2_Hampshire Year2_CP_Plans_3months="","",Year2_Hampshire Year2_CP_Plans_3months)</f>
        <v>918</v>
      </c>
      <c r="AB188" s="372">
        <f>IF(Year3_Hampshire Year3_CP_Plans_3months="","",Year3_Hampshire Year3_CP_Plans_3months)</f>
        <v>951</v>
      </c>
      <c r="AC188" s="372">
        <f>IF(Year4_Hampshire Year4_CP_Plans_3months="","",Year4_Hampshire Year4_CP_Plans_3months)</f>
        <v>823</v>
      </c>
      <c r="AD188" s="577">
        <f>IF(Year5_Hampshire Year5_CP_Plans_3months="","",Year5_Hampshire Year5_CP_Plans_3months)</f>
        <v>591</v>
      </c>
      <c r="AE188" s="384" t="str">
        <f t="shared" si="82"/>
        <v>Hampshire</v>
      </c>
      <c r="AF188" s="489">
        <f>IF(Year1_Hampshire Year1_CP_Plans_3months_timescales="","",Year1_Hampshire Year1_CP_Plans_3months_timescales)</f>
        <v>987</v>
      </c>
      <c r="AG188" s="372">
        <f>IF(Year2_Hampshire Year2_CP_Plans_3months_timescales="","",Year2_Hampshire Year2_CP_Plans_3months_timescales)</f>
        <v>804</v>
      </c>
      <c r="AH188" s="372">
        <f>IF(Year3_Hampshire Year3_CP_Plans_3months_timescales="","",Year3_Hampshire Year3_CP_Plans_3months_timescales)</f>
        <v>761</v>
      </c>
      <c r="AI188" s="372">
        <f>IF(Year4_Hampshire Year4_CP_Plans_3months_timescales="","",Year4_Hampshire Year4_CP_Plans_3months_timescales)</f>
        <v>687</v>
      </c>
      <c r="AJ188" s="372">
        <f>IF(Year5_Hampshire Year5_CP_Plans_3months_timescales="","",Year5_Hampshire Year5_CP_Plans_3months_timescales)</f>
        <v>478</v>
      </c>
      <c r="AK188" s="157"/>
      <c r="AL188" s="74"/>
    </row>
    <row r="189" spans="1:46" s="87" customFormat="1" ht="12.75" customHeight="1" x14ac:dyDescent="0.2">
      <c r="A189" s="488">
        <f>VLOOKUP(B189,Sheet1!$AQ$4:$AR$25,2,FALSE)</f>
        <v>0</v>
      </c>
      <c r="B189" s="93" t="str">
        <f t="shared" si="71"/>
        <v>Isle of Wight</v>
      </c>
      <c r="C189" s="85"/>
      <c r="D189" s="162">
        <f t="shared" si="76"/>
        <v>0.97241379310344822</v>
      </c>
      <c r="E189" s="162">
        <f t="shared" si="77"/>
        <v>0.875</v>
      </c>
      <c r="F189" s="162">
        <f t="shared" si="78"/>
        <v>0.95394736842105265</v>
      </c>
      <c r="G189" s="162">
        <f t="shared" si="79"/>
        <v>0.99199999999999999</v>
      </c>
      <c r="H189" s="164">
        <f t="shared" si="80"/>
        <v>0.92682926829268297</v>
      </c>
      <c r="I189" s="96"/>
      <c r="J189" s="96"/>
      <c r="K189" s="166"/>
      <c r="L189" s="166"/>
      <c r="M189" s="166"/>
      <c r="N189" s="166"/>
      <c r="O189" s="166"/>
      <c r="P189" s="166"/>
      <c r="Q189" s="166"/>
      <c r="R189" s="167"/>
      <c r="S189" s="159"/>
      <c r="T189" s="159"/>
      <c r="U189" s="166"/>
      <c r="V189" s="122"/>
      <c r="W189" s="139"/>
      <c r="X189" s="152"/>
      <c r="Y189" s="577" t="str">
        <f t="shared" si="81"/>
        <v>Isle of Wight</v>
      </c>
      <c r="Z189" s="581">
        <f>IF(Year1_Isle_of_Wight Year1_CP_Plans_3months="","",Year1_Isle_of_Wight Year1_CP_Plans_3months)</f>
        <v>145</v>
      </c>
      <c r="AA189" s="372">
        <f>IF(Year2_Isle_of_Wight Year2_CP_Plans_3months="","",Year2_Isle_of_Wight Year2_CP_Plans_3months)</f>
        <v>128</v>
      </c>
      <c r="AB189" s="372">
        <f>IF(Year3_Isle_of_Wight Year3_CP_Plans_3months="","",Year3_Isle_of_Wight Year3_CP_Plans_3months)</f>
        <v>152</v>
      </c>
      <c r="AC189" s="372">
        <f>IF(Year4_Isle_of_Wight Year4_CP_Plans_3months="","",Year4_Isle_of_Wight Year4_CP_Plans_3months)</f>
        <v>125</v>
      </c>
      <c r="AD189" s="577">
        <f>IF(Year5_Isle_of_Wight Year5_CP_Plans_3months="","",Year5_Isle_of_Wight Year5_CP_Plans_3months)</f>
        <v>82</v>
      </c>
      <c r="AE189" s="384" t="str">
        <f t="shared" si="82"/>
        <v>Isle of Wight</v>
      </c>
      <c r="AF189" s="489">
        <f>IF(Year1_Isle_of_Wight Year1_CP_Plans_3months_timescales="","",Year1_Isle_of_Wight Year1_CP_Plans_3months_timescales)</f>
        <v>141</v>
      </c>
      <c r="AG189" s="372">
        <f>IF(Year2_Isle_of_Wight Year2_CP_Plans_3months_timescales="","",Year2_Isle_of_Wight Year2_CP_Plans_3months_timescales)</f>
        <v>112</v>
      </c>
      <c r="AH189" s="372">
        <f>IF(Year3_Isle_of_Wight Year3_CP_Plans_3months_timescales="","",Year3_Isle_of_Wight Year3_CP_Plans_3months_timescales)</f>
        <v>145</v>
      </c>
      <c r="AI189" s="372">
        <f>IF(Year4_Isle_of_Wight Year4_CP_Plans_3months_timescales="","",Year4_Isle_of_Wight Year4_CP_Plans_3months_timescales)</f>
        <v>124</v>
      </c>
      <c r="AJ189" s="372">
        <f>IF(Year5_Isle_of_Wight Year5_CP_Plans_3months_timescales="","",Year5_Isle_of_Wight Year5_CP_Plans_3months_timescales)</f>
        <v>76</v>
      </c>
      <c r="AK189" s="157"/>
      <c r="AL189" s="74"/>
      <c r="AS189" s="87" t="s">
        <v>102</v>
      </c>
    </row>
    <row r="190" spans="1:46" s="87" customFormat="1" ht="12.75" customHeight="1" x14ac:dyDescent="0.2">
      <c r="A190" s="488">
        <f>VLOOKUP(B190,Sheet1!$AQ$4:$AR$25,2,FALSE)</f>
        <v>0</v>
      </c>
      <c r="B190" s="93" t="str">
        <f t="shared" si="71"/>
        <v>Kent</v>
      </c>
      <c r="C190" s="85"/>
      <c r="D190" s="162">
        <f t="shared" si="76"/>
        <v>1</v>
      </c>
      <c r="E190" s="162">
        <f t="shared" si="77"/>
        <v>1</v>
      </c>
      <c r="F190" s="162">
        <f t="shared" si="78"/>
        <v>0.99653078924544669</v>
      </c>
      <c r="G190" s="162">
        <f t="shared" si="79"/>
        <v>0.99891540130151846</v>
      </c>
      <c r="H190" s="164">
        <f t="shared" si="80"/>
        <v>1</v>
      </c>
      <c r="I190" s="96"/>
      <c r="J190" s="96"/>
      <c r="K190" s="166"/>
      <c r="L190" s="166"/>
      <c r="M190" s="166"/>
      <c r="N190" s="166"/>
      <c r="O190" s="166"/>
      <c r="P190" s="166"/>
      <c r="Q190" s="166"/>
      <c r="R190" s="167"/>
      <c r="S190" s="159"/>
      <c r="T190" s="159"/>
      <c r="U190" s="166"/>
      <c r="V190" s="122"/>
      <c r="W190" s="139"/>
      <c r="X190" s="152"/>
      <c r="Y190" s="577" t="str">
        <f t="shared" si="81"/>
        <v>Kent</v>
      </c>
      <c r="Z190" s="581">
        <f>IF(Year1_Kent Year1_CP_Plans_3months="","",Year1_Kent Year1_CP_Plans_3months)</f>
        <v>710</v>
      </c>
      <c r="AA190" s="372">
        <f>IF(Year2_Kent Year2_CP_Plans_3months="","",Year2_Kent Year2_CP_Plans_3months)</f>
        <v>863</v>
      </c>
      <c r="AB190" s="372">
        <f>IF(Year3_Kent Year3_CP_Plans_3months="","",Year3_Kent Year3_CP_Plans_3months)</f>
        <v>1153</v>
      </c>
      <c r="AC190" s="372">
        <f>IF(Year4_Kent Year4_CP_Plans_3months="","",Year4_Kent Year4_CP_Plans_3months)</f>
        <v>922</v>
      </c>
      <c r="AD190" s="577">
        <f>IF(Year5_Kent Year5_CP_Plans_3months="","",Year5_Kent Year5_CP_Plans_3months)</f>
        <v>1041</v>
      </c>
      <c r="AE190" s="384" t="str">
        <f t="shared" si="82"/>
        <v>Kent</v>
      </c>
      <c r="AF190" s="489">
        <f>IF(Year1_Kent Year1_CP_Plans_3months_timescales="","",Year1_Kent Year1_CP_Plans_3months_timescales)</f>
        <v>710</v>
      </c>
      <c r="AG190" s="372">
        <f>IF(Year2_Kent Year2_CP_Plans_3months_timescales="","",Year2_Kent Year2_CP_Plans_3months_timescales)</f>
        <v>863</v>
      </c>
      <c r="AH190" s="372">
        <f>IF(Year3_Kent Year3_CP_Plans_3months_timescales="","",Year3_Kent Year3_CP_Plans_3months_timescales)</f>
        <v>1149</v>
      </c>
      <c r="AI190" s="372">
        <f>IF(Year4_Kent Year4_CP_Plans_3months_timescales="","",Year4_Kent Year4_CP_Plans_3months_timescales)</f>
        <v>921</v>
      </c>
      <c r="AJ190" s="372">
        <f>IF(Year5_Kent Year5_CP_Plans_3months_timescales="","",Year5_Kent Year5_CP_Plans_3months_timescales)</f>
        <v>1041</v>
      </c>
      <c r="AK190" s="157"/>
      <c r="AL190" s="74"/>
    </row>
    <row r="191" spans="1:46" s="87" customFormat="1" ht="12.75" customHeight="1" x14ac:dyDescent="0.2">
      <c r="A191" s="488">
        <f>VLOOKUP(B191,Sheet1!$AQ$4:$AR$25,2,FALSE)</f>
        <v>0</v>
      </c>
      <c r="B191" s="93" t="str">
        <f t="shared" si="71"/>
        <v>Medway</v>
      </c>
      <c r="C191" s="85"/>
      <c r="D191" s="162">
        <f t="shared" si="76"/>
        <v>0.98987341772151893</v>
      </c>
      <c r="E191" s="162">
        <f t="shared" si="77"/>
        <v>0.97844827586206895</v>
      </c>
      <c r="F191" s="162">
        <f t="shared" si="78"/>
        <v>0.9507575757575758</v>
      </c>
      <c r="G191" s="162">
        <f t="shared" si="79"/>
        <v>0.99170124481327804</v>
      </c>
      <c r="H191" s="164">
        <f t="shared" si="80"/>
        <v>1</v>
      </c>
      <c r="I191" s="96"/>
      <c r="J191" s="96"/>
      <c r="K191" s="166"/>
      <c r="L191" s="166"/>
      <c r="M191" s="166"/>
      <c r="N191" s="166"/>
      <c r="O191" s="166"/>
      <c r="P191" s="166"/>
      <c r="Q191" s="166"/>
      <c r="R191" s="167"/>
      <c r="S191" s="159"/>
      <c r="T191" s="159"/>
      <c r="U191" s="166"/>
      <c r="V191" s="122"/>
      <c r="W191" s="139"/>
      <c r="X191" s="152"/>
      <c r="Y191" s="577" t="str">
        <f t="shared" si="81"/>
        <v>Medway</v>
      </c>
      <c r="Z191" s="581">
        <f>IF(Year1_Medway Year1_CP_Plans_3months="","",Year1_Medway Year1_CP_Plans_3months)</f>
        <v>395</v>
      </c>
      <c r="AA191" s="372">
        <f>IF(Year2_Medway Year2_CP_Plans_3months="","",Year2_Medway Year2_CP_Plans_3months)</f>
        <v>232</v>
      </c>
      <c r="AB191" s="372">
        <f>IF(Year3_Medway Year3_CP_Plans_3months="","",Year3_Medway Year3_CP_Plans_3months)</f>
        <v>264</v>
      </c>
      <c r="AC191" s="372">
        <f>IF(Year4_Medway Year4_CP_Plans_3months="","",Year4_Medway Year4_CP_Plans_3months)</f>
        <v>241</v>
      </c>
      <c r="AD191" s="577">
        <f>IF(Year5_Medway Year5_CP_Plans_3months="","",Year5_Medway Year5_CP_Plans_3months)</f>
        <v>310</v>
      </c>
      <c r="AE191" s="384" t="str">
        <f t="shared" si="82"/>
        <v>Medway</v>
      </c>
      <c r="AF191" s="489">
        <f>IF(Year1_Medway Year1_CP_Plans_3months_timescales="","",Year1_Medway Year1_CP_Plans_3months_timescales)</f>
        <v>391</v>
      </c>
      <c r="AG191" s="372">
        <f>IF(Year2_Medway Year2_CP_Plans_3months_timescales="","",Year2_Medway Year2_CP_Plans_3months_timescales)</f>
        <v>227</v>
      </c>
      <c r="AH191" s="372">
        <f>IF(Year3_Medway Year3_CP_Plans_3months_timescales="","",Year3_Medway Year3_CP_Plans_3months_timescales)</f>
        <v>251</v>
      </c>
      <c r="AI191" s="372">
        <f>IF(Year4_Medway Year4_CP_Plans_3months_timescales="","",Year4_Medway Year4_CP_Plans_3months_timescales)</f>
        <v>239</v>
      </c>
      <c r="AJ191" s="372">
        <f>IF(Year5_Medway Year5_CP_Plans_3months_timescales="","",Year5_Medway Year5_CP_Plans_3months_timescales)</f>
        <v>310</v>
      </c>
      <c r="AK191" s="157"/>
      <c r="AL191" s="74"/>
    </row>
    <row r="192" spans="1:46" s="87" customFormat="1" ht="12.75" customHeight="1" x14ac:dyDescent="0.2">
      <c r="A192" s="488">
        <f>VLOOKUP(B192,Sheet1!$AQ$4:$AR$25,2,FALSE)</f>
        <v>0</v>
      </c>
      <c r="B192" s="93" t="str">
        <f t="shared" si="71"/>
        <v>Milton Keynes</v>
      </c>
      <c r="C192" s="85"/>
      <c r="D192" s="162">
        <f t="shared" si="76"/>
        <v>0.95652173913043481</v>
      </c>
      <c r="E192" s="162">
        <f t="shared" si="77"/>
        <v>1</v>
      </c>
      <c r="F192" s="162">
        <f t="shared" si="78"/>
        <v>0.98529411764705888</v>
      </c>
      <c r="G192" s="162">
        <f t="shared" si="79"/>
        <v>0.96511627906976749</v>
      </c>
      <c r="H192" s="164">
        <f t="shared" si="80"/>
        <v>0.93548387096774188</v>
      </c>
      <c r="I192" s="96"/>
      <c r="J192" s="96"/>
      <c r="K192" s="166"/>
      <c r="L192" s="166"/>
      <c r="M192" s="166"/>
      <c r="N192" s="166"/>
      <c r="O192" s="166"/>
      <c r="P192" s="166"/>
      <c r="Q192" s="166"/>
      <c r="R192" s="167"/>
      <c r="S192" s="159"/>
      <c r="T192" s="159"/>
      <c r="U192" s="166"/>
      <c r="V192" s="122"/>
      <c r="W192" s="139"/>
      <c r="X192" s="152"/>
      <c r="Y192" s="577" t="str">
        <f t="shared" si="81"/>
        <v>Milton Keynes</v>
      </c>
      <c r="Z192" s="581">
        <f>IF(Year1_Milton_Keynes Year1_CP_Plans_3months="","",Year1_Milton_Keynes Year1_CP_Plans_3months)</f>
        <v>46</v>
      </c>
      <c r="AA192" s="372">
        <f>IF(Year2_Milton_Keynes Year2_CP_Plans_3months="","",Year2_Milton_Keynes Year2_CP_Plans_3months)</f>
        <v>49</v>
      </c>
      <c r="AB192" s="372">
        <f>IF(Year3_Milton_Keynes Year3_CP_Plans_3months="","",Year3_Milton_Keynes Year3_CP_Plans_3months)</f>
        <v>68</v>
      </c>
      <c r="AC192" s="372">
        <f>IF(Year4_Milton_Keynes Year4_CP_Plans_3months="","",Year4_Milton_Keynes Year4_CP_Plans_3months)</f>
        <v>86</v>
      </c>
      <c r="AD192" s="577">
        <f>IF(Year5_Milton_Keynes Year5_CP_Plans_3months="","",Year5_Milton_Keynes Year5_CP_Plans_3months)</f>
        <v>93</v>
      </c>
      <c r="AE192" s="384" t="str">
        <f t="shared" si="82"/>
        <v>Milton Keynes</v>
      </c>
      <c r="AF192" s="489">
        <f>IF(Year1_Milton_Keynes Year1_CP_Plans_3months_timescales="","",Year1_Milton_Keynes Year1_CP_Plans_3months_timescales)</f>
        <v>44</v>
      </c>
      <c r="AG192" s="372">
        <f>IF(Year2_Milton_Keynes Year2_CP_Plans_3months_timescales="","",Year2_Milton_Keynes Year2_CP_Plans_3months_timescales)</f>
        <v>49</v>
      </c>
      <c r="AH192" s="372">
        <f>IF(Year3_Milton_Keynes Year3_CP_Plans_3months_timescales="","",Year3_Milton_Keynes Year3_CP_Plans_3months_timescales)</f>
        <v>67</v>
      </c>
      <c r="AI192" s="372">
        <f>IF(Year4_Milton_Keynes Year4_CP_Plans_3months_timescales="","",Year4_Milton_Keynes Year4_CP_Plans_3months_timescales)</f>
        <v>83</v>
      </c>
      <c r="AJ192" s="372">
        <f>IF(Year5_Milton_Keynes Year5_CP_Plans_3months_timescales="","",Year5_Milton_Keynes Year5_CP_Plans_3months_timescales)</f>
        <v>87</v>
      </c>
      <c r="AK192" s="157"/>
      <c r="AL192" s="74"/>
    </row>
    <row r="193" spans="1:38" s="87" customFormat="1" ht="12.75" customHeight="1" x14ac:dyDescent="0.2">
      <c r="A193" s="488">
        <f>VLOOKUP(B193,Sheet1!$AQ$4:$AR$25,2,FALSE)</f>
        <v>0</v>
      </c>
      <c r="B193" s="93" t="str">
        <f t="shared" si="71"/>
        <v>Oxfordshire</v>
      </c>
      <c r="C193" s="85"/>
      <c r="D193" s="162">
        <f t="shared" si="76"/>
        <v>0.95674300254452926</v>
      </c>
      <c r="E193" s="162">
        <f t="shared" si="77"/>
        <v>0.97136038186157514</v>
      </c>
      <c r="F193" s="162">
        <f t="shared" si="78"/>
        <v>0.93724696356275305</v>
      </c>
      <c r="G193" s="162">
        <f t="shared" si="79"/>
        <v>0.92009685230024219</v>
      </c>
      <c r="H193" s="164">
        <f t="shared" si="80"/>
        <v>0.75409836065573765</v>
      </c>
      <c r="I193" s="96"/>
      <c r="J193" s="96"/>
      <c r="K193" s="166"/>
      <c r="L193" s="166"/>
      <c r="M193" s="166"/>
      <c r="N193" s="166"/>
      <c r="O193" s="166"/>
      <c r="P193" s="166"/>
      <c r="Q193" s="166"/>
      <c r="R193" s="167"/>
      <c r="S193" s="159"/>
      <c r="T193" s="159"/>
      <c r="U193" s="166"/>
      <c r="V193" s="122"/>
      <c r="W193" s="139"/>
      <c r="X193" s="152"/>
      <c r="Y193" s="577" t="str">
        <f t="shared" si="81"/>
        <v>Oxfordshire</v>
      </c>
      <c r="Z193" s="581">
        <f>IF(Year1_Oxfordshire Year1_CP_Plans_3months="","",Year1_Oxfordshire Year1_CP_Plans_3months)</f>
        <v>393</v>
      </c>
      <c r="AA193" s="372">
        <f>IF(Year2_Oxfordshire Year2_CP_Plans_3months="","",Year2_Oxfordshire Year2_CP_Plans_3months)</f>
        <v>419</v>
      </c>
      <c r="AB193" s="372">
        <f>IF(Year3_Oxfordshire Year3_CP_Plans_3months="","",Year3_Oxfordshire Year3_CP_Plans_3months)</f>
        <v>494</v>
      </c>
      <c r="AC193" s="372">
        <f>IF(Year4_Oxfordshire Year4_CP_Plans_3months="","",Year4_Oxfordshire Year4_CP_Plans_3months)</f>
        <v>413</v>
      </c>
      <c r="AD193" s="577">
        <f>IF(Year5_Oxfordshire Year5_CP_Plans_3months="","",Year5_Oxfordshire Year5_CP_Plans_3months)</f>
        <v>366</v>
      </c>
      <c r="AE193" s="384" t="str">
        <f t="shared" si="82"/>
        <v>Oxfordshire</v>
      </c>
      <c r="AF193" s="489">
        <f>IF(Year1_Oxfordshire Year1_CP_Plans_3months_timescales="","",Year1_Oxfordshire Year1_CP_Plans_3months_timescales)</f>
        <v>376</v>
      </c>
      <c r="AG193" s="372">
        <f>IF(Year2_Oxfordshire Year2_CP_Plans_3months_timescales="","",Year2_Oxfordshire Year2_CP_Plans_3months_timescales)</f>
        <v>407</v>
      </c>
      <c r="AH193" s="372">
        <f>IF(Year3_Oxfordshire Year3_CP_Plans_3months_timescales="","",Year3_Oxfordshire Year3_CP_Plans_3months_timescales)</f>
        <v>463</v>
      </c>
      <c r="AI193" s="372">
        <f>IF(Year4_Oxfordshire Year4_CP_Plans_3months_timescales="","",Year4_Oxfordshire Year4_CP_Plans_3months_timescales)</f>
        <v>380</v>
      </c>
      <c r="AJ193" s="372">
        <f>IF(Year5_Oxfordshire Year5_CP_Plans_3months_timescales="","",Year5_Oxfordshire Year5_CP_Plans_3months_timescales)</f>
        <v>276</v>
      </c>
      <c r="AK193" s="157"/>
      <c r="AL193" s="74"/>
    </row>
    <row r="194" spans="1:38" s="87" customFormat="1" ht="12.75" customHeight="1" x14ac:dyDescent="0.2">
      <c r="A194" s="488">
        <f>VLOOKUP(B194,Sheet1!$AQ$4:$AR$25,2,FALSE)</f>
        <v>0</v>
      </c>
      <c r="B194" s="93" t="str">
        <f t="shared" si="71"/>
        <v>Portsmouth</v>
      </c>
      <c r="C194" s="85"/>
      <c r="D194" s="162">
        <f t="shared" si="76"/>
        <v>0.93577981651376152</v>
      </c>
      <c r="E194" s="162">
        <f t="shared" si="77"/>
        <v>0.99425287356321834</v>
      </c>
      <c r="F194" s="162">
        <f t="shared" si="78"/>
        <v>1</v>
      </c>
      <c r="G194" s="162">
        <f t="shared" si="79"/>
        <v>1</v>
      </c>
      <c r="H194" s="164">
        <f t="shared" si="80"/>
        <v>1</v>
      </c>
      <c r="I194" s="96"/>
      <c r="J194" s="96"/>
      <c r="K194" s="166"/>
      <c r="L194" s="166"/>
      <c r="M194" s="166"/>
      <c r="N194" s="166"/>
      <c r="O194" s="166"/>
      <c r="P194" s="166"/>
      <c r="Q194" s="166"/>
      <c r="R194" s="167"/>
      <c r="S194" s="159"/>
      <c r="T194" s="159"/>
      <c r="U194" s="166"/>
      <c r="V194" s="122"/>
      <c r="W194" s="139"/>
      <c r="X194" s="152"/>
      <c r="Y194" s="577" t="str">
        <f t="shared" si="81"/>
        <v>Portsmouth</v>
      </c>
      <c r="Z194" s="581">
        <f>IF(Year1_Portsmouth Year1_CP_Plans_3months="","",Year1_Portsmouth Year1_CP_Plans_3months)</f>
        <v>218</v>
      </c>
      <c r="AA194" s="372">
        <f>IF(Year2_Portsmouth Year2_CP_Plans_3months="","",Year2_Portsmouth Year2_CP_Plans_3months)</f>
        <v>174</v>
      </c>
      <c r="AB194" s="372">
        <f>IF(Year3_Portsmouth Year3_CP_Plans_3months="","",Year3_Portsmouth Year3_CP_Plans_3months)</f>
        <v>217</v>
      </c>
      <c r="AC194" s="372">
        <f>IF(Year4_Portsmouth Year4_CP_Plans_3months="","",Year4_Portsmouth Year4_CP_Plans_3months)</f>
        <v>143</v>
      </c>
      <c r="AD194" s="577">
        <f>IF(Year5_Portsmouth Year5_CP_Plans_3months="","",Year5_Portsmouth Year5_CP_Plans_3months)</f>
        <v>129</v>
      </c>
      <c r="AE194" s="384" t="str">
        <f t="shared" si="82"/>
        <v>Portsmouth</v>
      </c>
      <c r="AF194" s="489">
        <f>IF(Year1_Portsmouth Year1_CP_Plans_3months_timescales="","",Year1_Portsmouth Year1_CP_Plans_3months_timescales)</f>
        <v>204</v>
      </c>
      <c r="AG194" s="372">
        <f>IF(Year2_Portsmouth Year2_CP_Plans_3months_timescales="","",Year2_Portsmouth Year2_CP_Plans_3months_timescales)</f>
        <v>173</v>
      </c>
      <c r="AH194" s="372">
        <f>IF(Year3_Portsmouth Year3_CP_Plans_3months_timescales="","",Year3_Portsmouth Year3_CP_Plans_3months_timescales)</f>
        <v>217</v>
      </c>
      <c r="AI194" s="372">
        <f>IF(Year4_Portsmouth Year4_CP_Plans_3months_timescales="","",Year4_Portsmouth Year4_CP_Plans_3months_timescales)</f>
        <v>143</v>
      </c>
      <c r="AJ194" s="372">
        <f>IF(Year5_Portsmouth Year5_CP_Plans_3months_timescales="","",Year5_Portsmouth Year5_CP_Plans_3months_timescales)</f>
        <v>129</v>
      </c>
      <c r="AK194" s="157"/>
      <c r="AL194" s="74"/>
    </row>
    <row r="195" spans="1:38" s="87" customFormat="1" ht="12.75" customHeight="1" x14ac:dyDescent="0.2">
      <c r="A195" s="488">
        <f>VLOOKUP(B195,Sheet1!$AQ$4:$AR$25,2,FALSE)</f>
        <v>0</v>
      </c>
      <c r="B195" s="93" t="str">
        <f t="shared" si="71"/>
        <v>Reading</v>
      </c>
      <c r="C195" s="85"/>
      <c r="D195" s="162">
        <f t="shared" si="76"/>
        <v>0.78523489932885904</v>
      </c>
      <c r="E195" s="162">
        <f t="shared" si="77"/>
        <v>3.3898305084745763E-2</v>
      </c>
      <c r="F195" s="162">
        <f t="shared" si="78"/>
        <v>0.7142857142857143</v>
      </c>
      <c r="G195" s="162">
        <f t="shared" si="79"/>
        <v>0.77714285714285714</v>
      </c>
      <c r="H195" s="164">
        <f t="shared" si="80"/>
        <v>0.69064748201438853</v>
      </c>
      <c r="I195" s="96"/>
      <c r="J195" s="96"/>
      <c r="K195" s="166"/>
      <c r="L195" s="166"/>
      <c r="M195" s="166"/>
      <c r="N195" s="166"/>
      <c r="O195" s="166"/>
      <c r="P195" s="166"/>
      <c r="Q195" s="166"/>
      <c r="R195" s="167"/>
      <c r="S195" s="159"/>
      <c r="T195" s="159"/>
      <c r="U195" s="166"/>
      <c r="V195" s="122"/>
      <c r="W195" s="139"/>
      <c r="X195" s="152"/>
      <c r="Y195" s="577" t="str">
        <f t="shared" si="81"/>
        <v>Reading</v>
      </c>
      <c r="Z195" s="581">
        <f>IF(Year1_Reading Year1_CP_Plans_3months="","",Year1_Reading Year1_CP_Plans_3months)</f>
        <v>149</v>
      </c>
      <c r="AA195" s="372">
        <f>IF(Year2_Reading Year2_CP_Plans_3months="","",Year2_Reading Year2_CP_Plans_3months)</f>
        <v>236</v>
      </c>
      <c r="AB195" s="372">
        <f>IF(Year3_Reading Year3_CP_Plans_3months="","",Year3_Reading Year3_CP_Plans_3months)</f>
        <v>217</v>
      </c>
      <c r="AC195" s="372">
        <f>IF(Year4_Reading Year4_CP_Plans_3months="","",Year4_Reading Year4_CP_Plans_3months)</f>
        <v>175</v>
      </c>
      <c r="AD195" s="577">
        <f>IF(Year5_Reading Year5_CP_Plans_3months="","",Year5_Reading Year5_CP_Plans_3months)</f>
        <v>139</v>
      </c>
      <c r="AE195" s="384" t="str">
        <f t="shared" si="82"/>
        <v>Reading</v>
      </c>
      <c r="AF195" s="489">
        <f>IF(Year1_Reading Year1_CP_Plans_3months_timescales="","",Year1_Reading Year1_CP_Plans_3months_timescales)</f>
        <v>117</v>
      </c>
      <c r="AG195" s="372">
        <f>IF(Year2_Reading Year2_CP_Plans_3months_timescales="","",Year2_Reading Year2_CP_Plans_3months_timescales)</f>
        <v>8</v>
      </c>
      <c r="AH195" s="372">
        <f>IF(Year3_Reading Year3_CP_Plans_3months_timescales="","",Year3_Reading Year3_CP_Plans_3months_timescales)</f>
        <v>155</v>
      </c>
      <c r="AI195" s="372">
        <f>IF(Year4_Reading Year4_CP_Plans_3months_timescales="","",Year4_Reading Year4_CP_Plans_3months_timescales)</f>
        <v>136</v>
      </c>
      <c r="AJ195" s="372">
        <f>IF(Year5_Reading Year5_CP_Plans_3months_timescales="","",Year5_Reading Year5_CP_Plans_3months_timescales)</f>
        <v>96</v>
      </c>
      <c r="AK195" s="157"/>
      <c r="AL195" s="74"/>
    </row>
    <row r="196" spans="1:38" s="87" customFormat="1" ht="12.75" customHeight="1" x14ac:dyDescent="0.2">
      <c r="A196" s="488">
        <f>VLOOKUP(B196,Sheet1!$AQ$4:$AR$25,2,FALSE)</f>
        <v>0</v>
      </c>
      <c r="B196" s="93" t="str">
        <f t="shared" si="71"/>
        <v>Slough</v>
      </c>
      <c r="C196" s="85"/>
      <c r="D196" s="162">
        <f t="shared" si="76"/>
        <v>0.96062992125984248</v>
      </c>
      <c r="E196" s="162">
        <f t="shared" si="77"/>
        <v>0.9642857142857143</v>
      </c>
      <c r="F196" s="162">
        <f t="shared" si="78"/>
        <v>0.39175257731958762</v>
      </c>
      <c r="G196" s="162">
        <f t="shared" si="79"/>
        <v>0.900709219858156</v>
      </c>
      <c r="H196" s="164">
        <f t="shared" si="80"/>
        <v>0.70108695652173914</v>
      </c>
      <c r="I196" s="96"/>
      <c r="J196" s="96"/>
      <c r="K196" s="166"/>
      <c r="L196" s="166"/>
      <c r="M196" s="166"/>
      <c r="N196" s="166"/>
      <c r="O196" s="166"/>
      <c r="P196" s="166"/>
      <c r="Q196" s="166"/>
      <c r="R196" s="167"/>
      <c r="S196" s="159"/>
      <c r="T196" s="159"/>
      <c r="U196" s="166"/>
      <c r="V196" s="122"/>
      <c r="W196" s="139"/>
      <c r="X196" s="152"/>
      <c r="Y196" s="577" t="str">
        <f t="shared" si="81"/>
        <v>Slough</v>
      </c>
      <c r="Z196" s="581">
        <f>IF(Year1_Slough Year1_CP_Plans_3months="","",Year1_Slough Year1_CP_Plans_3months)</f>
        <v>127</v>
      </c>
      <c r="AA196" s="372">
        <f>IF(Year2_Slough Year2_CP_Plans_3months="","",Year2_Slough Year2_CP_Plans_3months)</f>
        <v>112</v>
      </c>
      <c r="AB196" s="372">
        <f>IF(Year3_Slough Year3_CP_Plans_3months="","",Year3_Slough Year3_CP_Plans_3months)</f>
        <v>97</v>
      </c>
      <c r="AC196" s="372">
        <f>IF(Year4_Slough Year4_CP_Plans_3months="","",Year4_Slough Year4_CP_Plans_3months)</f>
        <v>141</v>
      </c>
      <c r="AD196" s="577">
        <f>IF(Year5_Slough Year5_CP_Plans_3months="","",Year5_Slough Year5_CP_Plans_3months)</f>
        <v>184</v>
      </c>
      <c r="AE196" s="384" t="str">
        <f t="shared" si="82"/>
        <v>Slough</v>
      </c>
      <c r="AF196" s="489">
        <f>IF(Year1_Slough Year1_CP_Plans_3months_timescales="","",Year1_Slough Year1_CP_Plans_3months_timescales)</f>
        <v>122</v>
      </c>
      <c r="AG196" s="372">
        <f>IF(Year2_Slough Year2_CP_Plans_3months_timescales="","",Year2_Slough Year2_CP_Plans_3months_timescales)</f>
        <v>108</v>
      </c>
      <c r="AH196" s="372">
        <f>IF(Year3_Slough Year3_CP_Plans_3months_timescales="","",Year3_Slough Year3_CP_Plans_3months_timescales)</f>
        <v>38</v>
      </c>
      <c r="AI196" s="372">
        <f>IF(Year4_Slough Year4_CP_Plans_3months_timescales="","",Year4_Slough Year4_CP_Plans_3months_timescales)</f>
        <v>127</v>
      </c>
      <c r="AJ196" s="372">
        <f>IF(Year5_Slough Year5_CP_Plans_3months_timescales="","",Year5_Slough Year5_CP_Plans_3months_timescales)</f>
        <v>129</v>
      </c>
      <c r="AK196" s="157"/>
      <c r="AL196" s="74"/>
    </row>
    <row r="197" spans="1:38" s="87" customFormat="1" ht="12.75" customHeight="1" x14ac:dyDescent="0.2">
      <c r="A197" s="488">
        <f>VLOOKUP(B197,Sheet1!$AQ$4:$AR$25,2,FALSE)</f>
        <v>0</v>
      </c>
      <c r="B197" s="93" t="str">
        <f t="shared" si="71"/>
        <v>Somerset</v>
      </c>
      <c r="C197" s="85"/>
      <c r="D197" s="162">
        <f t="shared" si="76"/>
        <v>0.9732620320855615</v>
      </c>
      <c r="E197" s="162">
        <f t="shared" si="77"/>
        <v>0.95528455284552849</v>
      </c>
      <c r="F197" s="162">
        <f t="shared" si="78"/>
        <v>0.96065573770491808</v>
      </c>
      <c r="G197" s="162">
        <f t="shared" si="79"/>
        <v>0.90073529411764708</v>
      </c>
      <c r="H197" s="164">
        <f t="shared" si="80"/>
        <v>0.9061032863849765</v>
      </c>
      <c r="I197" s="96"/>
      <c r="J197" s="96"/>
      <c r="K197" s="166"/>
      <c r="L197" s="166"/>
      <c r="M197" s="166"/>
      <c r="N197" s="166"/>
      <c r="O197" s="166"/>
      <c r="P197" s="166"/>
      <c r="Q197" s="166"/>
      <c r="R197" s="167"/>
      <c r="S197" s="159"/>
      <c r="T197" s="159"/>
      <c r="U197" s="166"/>
      <c r="V197" s="122"/>
      <c r="W197" s="139"/>
      <c r="X197" s="152"/>
      <c r="Y197" s="577" t="str">
        <f t="shared" si="81"/>
        <v>Somerset</v>
      </c>
      <c r="Z197" s="581">
        <f>IF(Year1_Somerset Year1_CP_Plans_3months="","",Year1_Somerset Year1_CP_Plans_3months)</f>
        <v>187</v>
      </c>
      <c r="AA197" s="372">
        <f>IF(Year2_Somerset Year2_CP_Plans_3months="","",Year2_Somerset Year2_CP_Plans_3months)</f>
        <v>246</v>
      </c>
      <c r="AB197" s="372">
        <f>IF(Year3_Somerset Year3_CP_Plans_3months="","",Year3_Somerset Year3_CP_Plans_3months)</f>
        <v>305</v>
      </c>
      <c r="AC197" s="372">
        <f>IF(Year4_Somerset Year4_CP_Plans_3months="","",Year4_Somerset Year4_CP_Plans_3months)</f>
        <v>272</v>
      </c>
      <c r="AD197" s="577">
        <f>IF(Year5_Somerset Year5_CP_Plans_3months="","",Year5_Somerset Year5_CP_Plans_3months)</f>
        <v>213</v>
      </c>
      <c r="AE197" s="384" t="str">
        <f t="shared" si="82"/>
        <v>Somerset</v>
      </c>
      <c r="AF197" s="489">
        <f>IF(Year1_Somerset Year1_CP_Plans_3months_timescales="","",Year1_Somerset Year1_CP_Plans_3months_timescales)</f>
        <v>182</v>
      </c>
      <c r="AG197" s="372">
        <f>IF(Year2_Somerset Year2_CP_Plans_3months_timescales="","",Year2_Somerset Year2_CP_Plans_3months_timescales)</f>
        <v>235</v>
      </c>
      <c r="AH197" s="372">
        <f>IF(Year3_Somerset Year3_CP_Plans_3months_timescales="","",Year3_Somerset Year3_CP_Plans_3months_timescales)</f>
        <v>293</v>
      </c>
      <c r="AI197" s="372">
        <f>IF(Year4_Somerset Year4_CP_Plans_3months_timescales="","",Year4_Somerset Year4_CP_Plans_3months_timescales)</f>
        <v>245</v>
      </c>
      <c r="AJ197" s="372">
        <f>IF(Year5_Somerset Year5_CP_Plans_3months_timescales="","",Year5_Somerset Year5_CP_Plans_3months_timescales)</f>
        <v>193</v>
      </c>
      <c r="AK197" s="157"/>
      <c r="AL197" s="74"/>
    </row>
    <row r="198" spans="1:38" s="87" customFormat="1" ht="12.75" customHeight="1" x14ac:dyDescent="0.2">
      <c r="A198" s="488">
        <f>VLOOKUP(B198,Sheet1!$AQ$4:$AR$25,2,FALSE)</f>
        <v>0</v>
      </c>
      <c r="B198" s="93" t="str">
        <f t="shared" si="71"/>
        <v>Southampton</v>
      </c>
      <c r="C198" s="85"/>
      <c r="D198" s="162">
        <f t="shared" si="76"/>
        <v>0.72</v>
      </c>
      <c r="E198" s="162">
        <f t="shared" si="77"/>
        <v>0.75</v>
      </c>
      <c r="F198" s="162">
        <f t="shared" si="78"/>
        <v>0.72033898305084743</v>
      </c>
      <c r="G198" s="162">
        <f t="shared" si="79"/>
        <v>0.61809045226130654</v>
      </c>
      <c r="H198" s="164">
        <f t="shared" si="80"/>
        <v>0.65048543689320393</v>
      </c>
      <c r="I198" s="96"/>
      <c r="J198" s="96"/>
      <c r="K198" s="166"/>
      <c r="L198" s="166"/>
      <c r="M198" s="166"/>
      <c r="N198" s="166"/>
      <c r="O198" s="166"/>
      <c r="P198" s="166"/>
      <c r="Q198" s="166"/>
      <c r="R198" s="167"/>
      <c r="S198" s="159"/>
      <c r="T198" s="159"/>
      <c r="U198" s="166"/>
      <c r="V198" s="122"/>
      <c r="W198" s="139"/>
      <c r="X198" s="152"/>
      <c r="Y198" s="577" t="str">
        <f t="shared" si="81"/>
        <v>Southampton</v>
      </c>
      <c r="Z198" s="581">
        <f>IF(Year1_Southampton Year1_CP_Plans_3months="","",Year1_Southampton Year1_CP_Plans_3months)</f>
        <v>200</v>
      </c>
      <c r="AA198" s="372">
        <f>IF(Year2_Southampton Year2_CP_Plans_3months="","",Year2_Southampton Year2_CP_Plans_3months)</f>
        <v>188</v>
      </c>
      <c r="AB198" s="372">
        <f>IF(Year3_Southampton Year3_CP_Plans_3months="","",Year3_Southampton Year3_CP_Plans_3months)</f>
        <v>236</v>
      </c>
      <c r="AC198" s="372">
        <f>IF(Year4_Southampton Year4_CP_Plans_3months="","",Year4_Southampton Year4_CP_Plans_3months)</f>
        <v>199</v>
      </c>
      <c r="AD198" s="577">
        <f>IF(Year5_Southampton Year5_CP_Plans_3months="","",Year5_Southampton Year5_CP_Plans_3months)</f>
        <v>309</v>
      </c>
      <c r="AE198" s="384" t="str">
        <f t="shared" si="82"/>
        <v>Southampton</v>
      </c>
      <c r="AF198" s="489">
        <f>IF(Year1_Southampton Year1_CP_Plans_3months_timescales="","",Year1_Southampton Year1_CP_Plans_3months_timescales)</f>
        <v>144</v>
      </c>
      <c r="AG198" s="372">
        <f>IF(Year2_Southampton Year2_CP_Plans_3months_timescales="","",Year2_Southampton Year2_CP_Plans_3months_timescales)</f>
        <v>141</v>
      </c>
      <c r="AH198" s="372">
        <f>IF(Year3_Southampton Year3_CP_Plans_3months_timescales="","",Year3_Southampton Year3_CP_Plans_3months_timescales)</f>
        <v>170</v>
      </c>
      <c r="AI198" s="372">
        <f>IF(Year4_Southampton Year4_CP_Plans_3months_timescales="","",Year4_Southampton Year4_CP_Plans_3months_timescales)</f>
        <v>123</v>
      </c>
      <c r="AJ198" s="372">
        <f>IF(Year5_Southampton Year5_CP_Plans_3months_timescales="","",Year5_Southampton Year5_CP_Plans_3months_timescales)</f>
        <v>201</v>
      </c>
      <c r="AK198" s="157"/>
      <c r="AL198" s="74"/>
    </row>
    <row r="199" spans="1:38" s="87" customFormat="1" ht="12.75" customHeight="1" x14ac:dyDescent="0.2">
      <c r="A199" s="488">
        <f>VLOOKUP(B199,Sheet1!$AQ$4:$AR$25,2,FALSE)</f>
        <v>0</v>
      </c>
      <c r="B199" s="93" t="str">
        <f t="shared" si="71"/>
        <v>Surrey</v>
      </c>
      <c r="C199" s="85"/>
      <c r="D199" s="162">
        <f t="shared" si="76"/>
        <v>0.97249190938511332</v>
      </c>
      <c r="E199" s="162">
        <f t="shared" si="77"/>
        <v>0.97734627831715215</v>
      </c>
      <c r="F199" s="162">
        <f t="shared" si="78"/>
        <v>0.95</v>
      </c>
      <c r="G199" s="162">
        <f t="shared" si="79"/>
        <v>0.88761174968071521</v>
      </c>
      <c r="H199" s="164">
        <f t="shared" si="80"/>
        <v>0.93176972281449888</v>
      </c>
      <c r="I199" s="96"/>
      <c r="J199" s="96"/>
      <c r="K199" s="166"/>
      <c r="L199" s="166"/>
      <c r="M199" s="166"/>
      <c r="N199" s="166"/>
      <c r="O199" s="166"/>
      <c r="P199" s="166"/>
      <c r="Q199" s="166"/>
      <c r="R199" s="167"/>
      <c r="S199" s="159"/>
      <c r="T199" s="159"/>
      <c r="U199" s="166"/>
      <c r="V199" s="122"/>
      <c r="W199" s="139"/>
      <c r="X199" s="152"/>
      <c r="Y199" s="577" t="str">
        <f t="shared" si="81"/>
        <v>Surrey</v>
      </c>
      <c r="Z199" s="581">
        <f>IF(Year1_Surrey Year1_CP_Plans_3months="","",Year1_Surrey Year1_CP_Plans_3months)</f>
        <v>618</v>
      </c>
      <c r="AA199" s="372">
        <f>IF(Year2_Surrey Year2_CP_Plans_3months="","",Year2_Surrey Year2_CP_Plans_3months)</f>
        <v>618</v>
      </c>
      <c r="AB199" s="372">
        <f>IF(Year3_Surrey Year3_CP_Plans_3months="","",Year3_Surrey Year3_CP_Plans_3months)</f>
        <v>660</v>
      </c>
      <c r="AC199" s="372">
        <f>IF(Year4_Surrey Year4_CP_Plans_3months="","",Year4_Surrey Year4_CP_Plans_3months)</f>
        <v>783</v>
      </c>
      <c r="AD199" s="577">
        <f>IF(Year5_Surrey Year5_CP_Plans_3months="","",Year5_Surrey Year5_CP_Plans_3months)</f>
        <v>469</v>
      </c>
      <c r="AE199" s="384" t="str">
        <f t="shared" si="82"/>
        <v>Surrey</v>
      </c>
      <c r="AF199" s="489">
        <f>IF(Year1_Surrey Year1_CP_Plans_3months_timescales="","",Year1_Surrey Year1_CP_Plans_3months_timescales)</f>
        <v>601</v>
      </c>
      <c r="AG199" s="372">
        <f>IF(Year2_Surrey Year2_CP_Plans_3months_timescales="","",Year2_Surrey Year2_CP_Plans_3months_timescales)</f>
        <v>604</v>
      </c>
      <c r="AH199" s="372">
        <f>IF(Year3_Surrey Year3_CP_Plans_3months_timescales="","",Year3_Surrey Year3_CP_Plans_3months_timescales)</f>
        <v>627</v>
      </c>
      <c r="AI199" s="372">
        <f>IF(Year4_Surrey Year4_CP_Plans_3months_timescales="","",Year4_Surrey Year4_CP_Plans_3months_timescales)</f>
        <v>695</v>
      </c>
      <c r="AJ199" s="372">
        <f>IF(Year5_Surrey Year5_CP_Plans_3months_timescales="","",Year5_Surrey Year5_CP_Plans_3months_timescales)</f>
        <v>437</v>
      </c>
      <c r="AK199" s="157"/>
      <c r="AL199" s="74"/>
    </row>
    <row r="200" spans="1:38" s="87" customFormat="1" ht="12.75" customHeight="1" x14ac:dyDescent="0.2">
      <c r="A200" s="488">
        <f>VLOOKUP(B200,Sheet1!$AQ$4:$AR$25,2,FALSE)</f>
        <v>0</v>
      </c>
      <c r="B200" s="93" t="str">
        <f t="shared" si="71"/>
        <v>Swindon</v>
      </c>
      <c r="C200" s="85"/>
      <c r="D200" s="162">
        <f t="shared" si="76"/>
        <v>0.94374999999999998</v>
      </c>
      <c r="E200" s="162">
        <f t="shared" si="77"/>
        <v>0.91719745222929938</v>
      </c>
      <c r="F200" s="162">
        <f t="shared" si="78"/>
        <v>0.98473282442748089</v>
      </c>
      <c r="G200" s="162">
        <f t="shared" si="79"/>
        <v>0.93207547169811322</v>
      </c>
      <c r="H200" s="164">
        <f t="shared" si="80"/>
        <v>0.98165137614678899</v>
      </c>
      <c r="I200" s="96"/>
      <c r="J200" s="96"/>
      <c r="K200" s="166"/>
      <c r="L200" s="166"/>
      <c r="M200" s="166"/>
      <c r="N200" s="166"/>
      <c r="O200" s="166"/>
      <c r="P200" s="166"/>
      <c r="Q200" s="166"/>
      <c r="R200" s="167"/>
      <c r="S200" s="159"/>
      <c r="T200" s="159"/>
      <c r="U200" s="166"/>
      <c r="V200" s="122"/>
      <c r="W200" s="139"/>
      <c r="X200" s="152"/>
      <c r="Y200" s="577" t="str">
        <f t="shared" si="81"/>
        <v>Swindon</v>
      </c>
      <c r="Z200" s="581">
        <f>IF(Year1_Swindon Year1_CP_Plans_3months="","",Year1_Swindon Year1_CP_Plans_3months)</f>
        <v>160</v>
      </c>
      <c r="AA200" s="372">
        <f>IF(Year2_Swindon Year2_CP_Plans_3months="","",Year2_Swindon Year2_CP_Plans_3months)</f>
        <v>157</v>
      </c>
      <c r="AB200" s="372">
        <f>IF(Year3_Swindon Year3_CP_Plans_3months="","",Year3_Swindon Year3_CP_Plans_3months)</f>
        <v>262</v>
      </c>
      <c r="AC200" s="372">
        <f>IF(Year4_Swindon Year4_CP_Plans_3months="","",Year4_Swindon Year4_CP_Plans_3months)</f>
        <v>265</v>
      </c>
      <c r="AD200" s="577">
        <f>IF(Year5_Swindon Year5_CP_Plans_3months="","",Year5_Swindon Year5_CP_Plans_3months)</f>
        <v>109</v>
      </c>
      <c r="AE200" s="384" t="str">
        <f t="shared" si="82"/>
        <v>Swindon</v>
      </c>
      <c r="AF200" s="489">
        <f>IF(Year1_Swindon Year1_CP_Plans_3months_timescales="","",Year1_Swindon Year1_CP_Plans_3months_timescales)</f>
        <v>151</v>
      </c>
      <c r="AG200" s="372">
        <f>IF(Year2_Swindon Year2_CP_Plans_3months_timescales="","",Year2_Swindon Year2_CP_Plans_3months_timescales)</f>
        <v>144</v>
      </c>
      <c r="AH200" s="372">
        <f>IF(Year3_Swindon Year3_CP_Plans_3months_timescales="","",Year3_Swindon Year3_CP_Plans_3months_timescales)</f>
        <v>258</v>
      </c>
      <c r="AI200" s="372">
        <f>IF(Year4_Swindon Year4_CP_Plans_3months_timescales="","",Year4_Swindon Year4_CP_Plans_3months_timescales)</f>
        <v>247</v>
      </c>
      <c r="AJ200" s="372">
        <f>IF(Year5_Swindon Year5_CP_Plans_3months_timescales="","",Year5_Swindon Year5_CP_Plans_3months_timescales)</f>
        <v>107</v>
      </c>
      <c r="AK200" s="157"/>
      <c r="AL200" s="74"/>
    </row>
    <row r="201" spans="1:38" s="87" customFormat="1" ht="12.75" customHeight="1" x14ac:dyDescent="0.2">
      <c r="A201" s="488">
        <f>VLOOKUP(B201,Sheet1!$AQ$4:$AR$25,2,FALSE)</f>
        <v>0</v>
      </c>
      <c r="B201" s="93" t="str">
        <f t="shared" si="71"/>
        <v>Torbay</v>
      </c>
      <c r="C201" s="85"/>
      <c r="D201" s="162">
        <f t="shared" si="76"/>
        <v>0.90566037735849059</v>
      </c>
      <c r="E201" s="162">
        <f t="shared" si="77"/>
        <v>0.80916030534351147</v>
      </c>
      <c r="F201" s="162">
        <f t="shared" si="78"/>
        <v>0.74117647058823533</v>
      </c>
      <c r="G201" s="162">
        <f t="shared" si="79"/>
        <v>0.83620689655172409</v>
      </c>
      <c r="H201" s="164">
        <f t="shared" si="80"/>
        <v>0.69724770642201839</v>
      </c>
      <c r="I201" s="96"/>
      <c r="J201" s="96"/>
      <c r="K201" s="166"/>
      <c r="L201" s="166"/>
      <c r="M201" s="166"/>
      <c r="N201" s="166"/>
      <c r="O201" s="166"/>
      <c r="P201" s="166"/>
      <c r="Q201" s="166"/>
      <c r="R201" s="167"/>
      <c r="S201" s="159"/>
      <c r="T201" s="159"/>
      <c r="U201" s="166"/>
      <c r="V201" s="122"/>
      <c r="W201" s="139"/>
      <c r="X201" s="152"/>
      <c r="Y201" s="577" t="str">
        <f t="shared" si="81"/>
        <v>Torbay</v>
      </c>
      <c r="Z201" s="581">
        <f>IF(Year1_Torbay Year1_CP_Plans_3months="","",Year1_Torbay Year1_CP_Plans_3months)</f>
        <v>106</v>
      </c>
      <c r="AA201" s="372">
        <f>IF(Year2_Torbay Year2_CP_Plans_3months="","",Year2_Torbay Year2_CP_Plans_3months)</f>
        <v>131</v>
      </c>
      <c r="AB201" s="372">
        <f>IF(Year3_Torbay Year3_CP_Plans_3months="","",Year3_Torbay Year3_CP_Plans_3months)</f>
        <v>85</v>
      </c>
      <c r="AC201" s="372">
        <f>IF(Year4_Torbay Year4_CP_Plans_3months="","",Year4_Torbay Year4_CP_Plans_3months)</f>
        <v>116</v>
      </c>
      <c r="AD201" s="577">
        <f>IF(Year5_Torbay Year5_CP_Plans_3months="","",Year5_Torbay Year5_CP_Plans_3months)</f>
        <v>109</v>
      </c>
      <c r="AE201" s="384" t="str">
        <f t="shared" si="82"/>
        <v>Torbay</v>
      </c>
      <c r="AF201" s="489">
        <f>IF(Year1_Torbay Year1_CP_Plans_3months_timescales="","",Year1_Torbay Year1_CP_Plans_3months_timescales)</f>
        <v>96</v>
      </c>
      <c r="AG201" s="372">
        <f>IF(Year2_Torbay Year2_CP_Plans_3months_timescales="","",Year2_Torbay Year2_CP_Plans_3months_timescales)</f>
        <v>106</v>
      </c>
      <c r="AH201" s="372">
        <f>IF(Year3_Torbay Year3_CP_Plans_3months_timescales="","",Year3_Torbay Year3_CP_Plans_3months_timescales)</f>
        <v>63</v>
      </c>
      <c r="AI201" s="372">
        <f>IF(Year4_Torbay Year4_CP_Plans_3months_timescales="","",Year4_Torbay Year4_CP_Plans_3months_timescales)</f>
        <v>97</v>
      </c>
      <c r="AJ201" s="372">
        <f>IF(Year5_Torbay Year5_CP_Plans_3months_timescales="","",Year5_Torbay Year5_CP_Plans_3months_timescales)</f>
        <v>76</v>
      </c>
      <c r="AK201" s="157"/>
      <c r="AL201" s="74"/>
    </row>
    <row r="202" spans="1:38" s="87" customFormat="1" ht="12.75" customHeight="1" x14ac:dyDescent="0.2">
      <c r="A202" s="488">
        <f>VLOOKUP(B202,Sheet1!$AQ$4:$AR$25,2,FALSE)</f>
        <v>0</v>
      </c>
      <c r="B202" s="93" t="str">
        <f t="shared" si="71"/>
        <v>West Berkshire</v>
      </c>
      <c r="C202" s="85"/>
      <c r="D202" s="162">
        <f t="shared" si="76"/>
        <v>0.98936170212765961</v>
      </c>
      <c r="E202" s="162">
        <f t="shared" si="77"/>
        <v>0.98780487804878048</v>
      </c>
      <c r="F202" s="162">
        <f t="shared" si="78"/>
        <v>1</v>
      </c>
      <c r="G202" s="162">
        <f t="shared" si="79"/>
        <v>0.98684210526315785</v>
      </c>
      <c r="H202" s="164">
        <f t="shared" si="80"/>
        <v>1</v>
      </c>
      <c r="I202" s="96"/>
      <c r="J202" s="96"/>
      <c r="K202" s="166"/>
      <c r="L202" s="166"/>
      <c r="M202" s="166"/>
      <c r="N202" s="166"/>
      <c r="O202" s="166"/>
      <c r="P202" s="166"/>
      <c r="Q202" s="166"/>
      <c r="R202" s="167"/>
      <c r="S202" s="159"/>
      <c r="T202" s="159"/>
      <c r="U202" s="166"/>
      <c r="V202" s="122"/>
      <c r="W202" s="139"/>
      <c r="X202" s="152"/>
      <c r="Y202" s="577" t="str">
        <f t="shared" si="81"/>
        <v>West Berkshire</v>
      </c>
      <c r="Z202" s="581">
        <f>IF(Year1_West_Berkshire Year1_CP_Plans_3months="","",Year1_West_Berkshire Year1_CP_Plans_3months)</f>
        <v>94</v>
      </c>
      <c r="AA202" s="372">
        <f>IF(Year2_West_Berkshire Year2_CP_Plans_3months="","",Year2_West_Berkshire Year2_CP_Plans_3months)</f>
        <v>82</v>
      </c>
      <c r="AB202" s="372">
        <f>IF(Year3_West_Berkshire Year3_CP_Plans_3months="","",Year3_West_Berkshire Year3_CP_Plans_3months)</f>
        <v>93</v>
      </c>
      <c r="AC202" s="372">
        <f>IF(Year4_West_Berkshire Year4_CP_Plans_3months="","",Year4_West_Berkshire Year4_CP_Plans_3months)</f>
        <v>76</v>
      </c>
      <c r="AD202" s="582">
        <f>IF(Year5_West_Berkshire Year5_CP_Plans_3months="","",Year5_West_Berkshire Year5_CP_Plans_3months)</f>
        <v>62</v>
      </c>
      <c r="AE202" s="384" t="str">
        <f t="shared" si="82"/>
        <v>West Berkshire</v>
      </c>
      <c r="AF202" s="489">
        <f>IF(Year1_West_Berkshire Year1_CP_Plans_3months_timescales="","",Year1_West_Berkshire Year1_CP_Plans_3months_timescales)</f>
        <v>93</v>
      </c>
      <c r="AG202" s="372">
        <f>IF(Year2_West_Berkshire Year2_CP_Plans_3months_timescales="","",Year2_West_Berkshire Year2_CP_Plans_3months_timescales)</f>
        <v>81</v>
      </c>
      <c r="AH202" s="372">
        <f>IF(Year3_West_Berkshire Year3_CP_Plans_3months_timescales="","",Year3_West_Berkshire Year3_CP_Plans_3months_timescales)</f>
        <v>93</v>
      </c>
      <c r="AI202" s="372">
        <f>IF(Year4_West_Berkshire Year4_CP_Plans_3months_timescales="","",Year4_West_Berkshire Year4_CP_Plans_3months_timescales)</f>
        <v>75</v>
      </c>
      <c r="AJ202" s="580">
        <f>IF(Year5_West_Berkshire Year5_CP_Plans_3months_timescales="","",Year5_West_Berkshire Year5_CP_Plans_3months_timescales)</f>
        <v>62</v>
      </c>
      <c r="AK202" s="157"/>
      <c r="AL202" s="74"/>
    </row>
    <row r="203" spans="1:38" s="87" customFormat="1" ht="12.75" customHeight="1" x14ac:dyDescent="0.2">
      <c r="A203" s="488">
        <f>VLOOKUP(B203,Sheet1!$AQ$4:$AR$25,2,FALSE)</f>
        <v>0</v>
      </c>
      <c r="B203" s="93" t="str">
        <f t="shared" si="71"/>
        <v>West Sussex</v>
      </c>
      <c r="C203" s="85"/>
      <c r="D203" s="162">
        <f t="shared" si="76"/>
        <v>0.92086330935251803</v>
      </c>
      <c r="E203" s="162">
        <f t="shared" si="77"/>
        <v>0.83377308707124009</v>
      </c>
      <c r="F203" s="162">
        <f t="shared" si="78"/>
        <v>0.88682432432432434</v>
      </c>
      <c r="G203" s="162">
        <f t="shared" si="79"/>
        <v>0.88167053364269143</v>
      </c>
      <c r="H203" s="164">
        <f t="shared" si="80"/>
        <v>0.86443661971830987</v>
      </c>
      <c r="I203" s="96"/>
      <c r="J203" s="96"/>
      <c r="K203" s="166"/>
      <c r="L203" s="166"/>
      <c r="M203" s="166"/>
      <c r="N203" s="166"/>
      <c r="O203" s="166"/>
      <c r="P203" s="166"/>
      <c r="Q203" s="166"/>
      <c r="R203" s="167"/>
      <c r="S203" s="159"/>
      <c r="T203" s="159"/>
      <c r="U203" s="166"/>
      <c r="V203" s="122"/>
      <c r="W203" s="139"/>
      <c r="X203" s="152"/>
      <c r="Y203" s="577" t="str">
        <f t="shared" si="81"/>
        <v>West Sussex</v>
      </c>
      <c r="Z203" s="581">
        <f>IF(Year1_West_Sussex Year1_CP_Plans_3months="","",Year1_West_Sussex Year1_CP_Plans_3months)</f>
        <v>278</v>
      </c>
      <c r="AA203" s="372">
        <f>IF(Year2_West_Sussex Year2_CP_Plans_3months="","",Year2_West_Sussex Year2_CP_Plans_3months)</f>
        <v>379</v>
      </c>
      <c r="AB203" s="372">
        <f>IF(Year3_West_Sussex Year3_CP_Plans_3months="","",Year3_West_Sussex Year3_CP_Plans_3months)</f>
        <v>592</v>
      </c>
      <c r="AC203" s="372">
        <f>IF(Year4_West_Sussex Year4_CP_Plans_3months="","",Year4_West_Sussex Year4_CP_Plans_3months)</f>
        <v>431</v>
      </c>
      <c r="AD203" s="582">
        <f>IF(Year5_West_Sussex Year5_CP_Plans_3months="","",Year5_West_Sussex Year5_CP_Plans_3months)</f>
        <v>568</v>
      </c>
      <c r="AE203" s="384" t="str">
        <f t="shared" si="82"/>
        <v>West Sussex</v>
      </c>
      <c r="AF203" s="489">
        <f>IF(Year1_West_Sussex Year1_CP_Plans_3months_timescales="","",Year1_West_Sussex Year1_CP_Plans_3months_timescales)</f>
        <v>256</v>
      </c>
      <c r="AG203" s="372">
        <f>IF(Year2_West_Sussex Year2_CP_Plans_3months_timescales="","",Year2_West_Sussex Year2_CP_Plans_3months_timescales)</f>
        <v>316</v>
      </c>
      <c r="AH203" s="372">
        <f>IF(Year3_West_Sussex Year3_CP_Plans_3months_timescales="","",Year3_West_Sussex Year3_CP_Plans_3months_timescales)</f>
        <v>525</v>
      </c>
      <c r="AI203" s="372">
        <f>IF(Year4_West_Sussex Year4_CP_Plans_3months_timescales="","",Year4_West_Sussex Year4_CP_Plans_3months_timescales)</f>
        <v>380</v>
      </c>
      <c r="AJ203" s="580">
        <f>IF(Year5_West_Sussex Year5_CP_Plans_3months_timescales="","",Year5_West_Sussex Year5_CP_Plans_3months_timescales)</f>
        <v>491</v>
      </c>
      <c r="AK203" s="157"/>
      <c r="AL203" s="74"/>
    </row>
    <row r="204" spans="1:38" s="87" customFormat="1" ht="12.75" customHeight="1" x14ac:dyDescent="0.2">
      <c r="A204" s="488">
        <f>VLOOKUP(B204,Sheet1!$AQ$4:$AR$25,2,FALSE)</f>
        <v>0</v>
      </c>
      <c r="B204" s="93" t="str">
        <f t="shared" si="71"/>
        <v>Windsor &amp; Maidenhead</v>
      </c>
      <c r="C204" s="85"/>
      <c r="D204" s="162">
        <f t="shared" si="76"/>
        <v>1</v>
      </c>
      <c r="E204" s="162">
        <f t="shared" si="77"/>
        <v>0.96907216494845361</v>
      </c>
      <c r="F204" s="162">
        <f t="shared" si="78"/>
        <v>0.8</v>
      </c>
      <c r="G204" s="162">
        <f t="shared" si="79"/>
        <v>0.95</v>
      </c>
      <c r="H204" s="164">
        <f t="shared" si="80"/>
        <v>0.81176470588235294</v>
      </c>
      <c r="I204" s="96"/>
      <c r="J204" s="96"/>
      <c r="K204" s="166"/>
      <c r="L204" s="166"/>
      <c r="M204" s="166"/>
      <c r="N204" s="166"/>
      <c r="O204" s="166"/>
      <c r="P204" s="166"/>
      <c r="Q204" s="166"/>
      <c r="R204" s="167"/>
      <c r="S204" s="159"/>
      <c r="T204" s="159"/>
      <c r="U204" s="166"/>
      <c r="V204" s="122"/>
      <c r="W204" s="139"/>
      <c r="X204" s="152"/>
      <c r="Y204" s="577" t="str">
        <f t="shared" si="81"/>
        <v>Windsor &amp; Maidenhead</v>
      </c>
      <c r="Z204" s="581">
        <f>IF(Year1_Windsor_Maidenhead Year1_CP_Plans_3months="","",Year1_Windsor_Maidenhead Year1_CP_Plans_3months)</f>
        <v>83</v>
      </c>
      <c r="AA204" s="372">
        <f>IF(Year2_Windsor_Maidenhead Year2_CP_Plans_3months="","",Year2_Windsor_Maidenhead Year2_CP_Plans_3months)</f>
        <v>97</v>
      </c>
      <c r="AB204" s="372">
        <f>IF(Year3_Windsor_Maidenhead Year3_CP_Plans_3months="","",Year3_Windsor_Maidenhead Year3_CP_Plans_3months)</f>
        <v>55</v>
      </c>
      <c r="AC204" s="372">
        <f>IF(Year4_Windsor_Maidenhead Year4_CP_Plans_3months="","",Year4_Windsor_Maidenhead Year4_CP_Plans_3months)</f>
        <v>60</v>
      </c>
      <c r="AD204" s="582">
        <f>IF(Year5_Windsor_Maidenhead Year5_CP_Plans_3months="","",Year5_Windsor_Maidenhead Year5_CP_Plans_3months)</f>
        <v>85</v>
      </c>
      <c r="AE204" s="384" t="str">
        <f t="shared" si="82"/>
        <v>Windsor &amp; Maidenhead</v>
      </c>
      <c r="AF204" s="489">
        <f>IF(Year1_Windsor_Maidenhead Year1_CP_Plans_3months_timescales="","",Year1_Windsor_Maidenhead Year1_CP_Plans_3months_timescales)</f>
        <v>83</v>
      </c>
      <c r="AG204" s="372">
        <f>IF(Year2_Windsor_Maidenhead Year2_CP_Plans_3months_timescales="","",Year2_Windsor_Maidenhead Year2_CP_Plans_3months_timescales)</f>
        <v>94</v>
      </c>
      <c r="AH204" s="372">
        <f>IF(Year3_Windsor_Maidenhead Year3_CP_Plans_3months_timescales="","",Year3_Windsor_Maidenhead Year3_CP_Plans_3months_timescales)</f>
        <v>44</v>
      </c>
      <c r="AI204" s="372">
        <f>IF(Year4_Windsor_Maidenhead Year4_CP_Plans_3months_timescales="","",Year4_Windsor_Maidenhead Year4_CP_Plans_3months_timescales)</f>
        <v>57</v>
      </c>
      <c r="AJ204" s="580">
        <f>IF(Year5_Windsor_Maidenhead Year5_CP_Plans_3months_timescales="","",Year5_Windsor_Maidenhead Year5_CP_Plans_3months_timescales)</f>
        <v>69</v>
      </c>
      <c r="AK204" s="157"/>
      <c r="AL204" s="74"/>
    </row>
    <row r="205" spans="1:38" s="87" customFormat="1" ht="12.75" customHeight="1" x14ac:dyDescent="0.2">
      <c r="A205" s="488">
        <f>VLOOKUP(B205,Sheet1!$AQ$4:$AR$25,2,FALSE)</f>
        <v>0</v>
      </c>
      <c r="B205" s="93" t="str">
        <f t="shared" si="71"/>
        <v>Wokingham</v>
      </c>
      <c r="C205" s="85"/>
      <c r="D205" s="162">
        <f t="shared" si="76"/>
        <v>0.94736842105263153</v>
      </c>
      <c r="E205" s="162">
        <f t="shared" si="77"/>
        <v>0.96551724137931039</v>
      </c>
      <c r="F205" s="162">
        <f t="shared" si="78"/>
        <v>1</v>
      </c>
      <c r="G205" s="162">
        <f t="shared" si="79"/>
        <v>0.94117647058823528</v>
      </c>
      <c r="H205" s="164">
        <f t="shared" si="80"/>
        <v>1</v>
      </c>
      <c r="I205" s="96"/>
      <c r="J205" s="96"/>
      <c r="K205" s="166"/>
      <c r="L205" s="166"/>
      <c r="M205" s="166"/>
      <c r="N205" s="166"/>
      <c r="O205" s="166"/>
      <c r="P205" s="166"/>
      <c r="Q205" s="166"/>
      <c r="R205" s="167"/>
      <c r="S205" s="159"/>
      <c r="T205" s="159"/>
      <c r="U205" s="166"/>
      <c r="V205" s="122"/>
      <c r="W205" s="139"/>
      <c r="X205" s="152"/>
      <c r="Y205" s="577" t="str">
        <f t="shared" si="81"/>
        <v>Wokingham</v>
      </c>
      <c r="Z205" s="581">
        <f>IF(Year1_Wokingham Year1_CP_Plans_3months="","",Year1_Wokingham Year1_CP_Plans_3months)</f>
        <v>38</v>
      </c>
      <c r="AA205" s="372">
        <f>IF(Year2_Wokingham Year2_CP_Plans_3months="","",Year2_Wokingham Year2_CP_Plans_3months)</f>
        <v>29</v>
      </c>
      <c r="AB205" s="372">
        <f>IF(Year3_Wokingham Year3_CP_Plans_3months="","",Year3_Wokingham Year3_CP_Plans_3months)</f>
        <v>78</v>
      </c>
      <c r="AC205" s="372">
        <f>IF(Year4_Wokingham Year4_CP_Plans_3months="","",Year4_Wokingham Year4_CP_Plans_3months)</f>
        <v>85</v>
      </c>
      <c r="AD205" s="582">
        <f>IF(Year5_Wokingham Year5_CP_Plans_3months="","",Year5_Wokingham Year5_CP_Plans_3months)</f>
        <v>100</v>
      </c>
      <c r="AE205" s="384" t="str">
        <f t="shared" si="82"/>
        <v>Wokingham</v>
      </c>
      <c r="AF205" s="489">
        <f>IF(Year1_Wokingham Year1_CP_Plans_3months_timescales="","",Year1_Wokingham Year1_CP_Plans_3months_timescales)</f>
        <v>36</v>
      </c>
      <c r="AG205" s="372">
        <f>IF(Year2_Wokingham Year2_CP_Plans_3months_timescales="","",Year2_Wokingham Year2_CP_Plans_3months_timescales)</f>
        <v>28</v>
      </c>
      <c r="AH205" s="372">
        <f>IF(Year3_Wokingham Year3_CP_Plans_3months_timescales="","",Year3_Wokingham Year3_CP_Plans_3months_timescales)</f>
        <v>78</v>
      </c>
      <c r="AI205" s="372">
        <f>IF(Year4_Wokingham Year4_CP_Plans_3months_timescales="","",Year4_Wokingham Year4_CP_Plans_3months_timescales)</f>
        <v>80</v>
      </c>
      <c r="AJ205" s="580">
        <f>IF(Year5_Wokingham Year5_CP_Plans_3months_timescales="","",Year5_Wokingham Year5_CP_Plans_3months_timescales)</f>
        <v>100</v>
      </c>
      <c r="AK205" s="157"/>
      <c r="AL205" s="74"/>
    </row>
    <row r="206" spans="1:38" s="87" customFormat="1" ht="12.75" customHeight="1" x14ac:dyDescent="0.2">
      <c r="A206" s="121"/>
      <c r="B206" s="129" t="str">
        <f t="shared" si="71"/>
        <v>South East</v>
      </c>
      <c r="C206" s="85"/>
      <c r="D206" s="163">
        <f t="shared" si="76"/>
        <v>0.93772241992882566</v>
      </c>
      <c r="E206" s="163">
        <f t="shared" si="77"/>
        <v>0.88193202146690519</v>
      </c>
      <c r="F206" s="163">
        <f t="shared" si="78"/>
        <v>0.9007633587786259</v>
      </c>
      <c r="G206" s="163">
        <f t="shared" si="79"/>
        <v>0.9078498293515358</v>
      </c>
      <c r="H206" s="165">
        <f t="shared" si="80"/>
        <v>0.89557522123893807</v>
      </c>
      <c r="I206" s="96"/>
      <c r="J206" s="96"/>
      <c r="K206" s="168"/>
      <c r="L206" s="168"/>
      <c r="M206" s="168"/>
      <c r="N206" s="168"/>
      <c r="O206" s="168"/>
      <c r="P206" s="168"/>
      <c r="Q206" s="168"/>
      <c r="R206" s="169"/>
      <c r="S206" s="159"/>
      <c r="T206" s="159"/>
      <c r="U206" s="170"/>
      <c r="V206" s="122"/>
      <c r="W206" s="139"/>
      <c r="X206" s="152"/>
      <c r="Y206" s="577" t="str">
        <f t="shared" si="81"/>
        <v>South East</v>
      </c>
      <c r="Z206" s="384">
        <f>IF(Year1_SouthEast Year1_CP_Plans_3months="","",Year1_SouthEast Year1_CP_Plans_3months)</f>
        <v>5620</v>
      </c>
      <c r="AA206" s="372">
        <f>IF(Year2_SouthEast Year2_CP_Plans_3months="","",Year2_SouthEast Year2_CP_Plans_3months)</f>
        <v>5590</v>
      </c>
      <c r="AB206" s="372">
        <f>IF(Year3_SouthEast Year3_CP_Plans_3months="","",Year3_SouthEast Year3_CP_Plans_3months)</f>
        <v>6550</v>
      </c>
      <c r="AC206" s="372">
        <f>IF(Year4_SouthEast Year4_CP_Plans_3months="","",Year4_SouthEast Year4_CP_Plans_3months)</f>
        <v>5860</v>
      </c>
      <c r="AD206" s="577">
        <f>IF(Year5_SouthEast Year5_CP_Plans_3months="","",Year5_SouthEast Year5_CP_Plans_3months)</f>
        <v>5650</v>
      </c>
      <c r="AE206" s="384" t="str">
        <f t="shared" si="82"/>
        <v>South East</v>
      </c>
      <c r="AF206" s="372">
        <f>IF(Year1_SouthEast Year1_CP_Plans_3months_timescales="","",Year1_SouthEast Year1_CP_Plans_3months_timescales)</f>
        <v>5270</v>
      </c>
      <c r="AG206" s="372">
        <f>IF(Year2_SouthEast Year2_CP_Plans_3months_timescales="","",Year2_SouthEast Year2_CP_Plans_3months_timescales)</f>
        <v>4930</v>
      </c>
      <c r="AH206" s="372">
        <f>IF(Year3_SouthEast Year3_CP_Plans_3months_timescales="","",Year3_SouthEast Year3_CP_Plans_3months_timescales)</f>
        <v>5900</v>
      </c>
      <c r="AI206" s="372">
        <f>IF(Year4_SouthEast Year4_CP_Plans_3months_timescales="","",Year4_SouthEast Year4_CP_Plans_3months_timescales)</f>
        <v>5320</v>
      </c>
      <c r="AJ206" s="372">
        <f>IF(Year5_SouthEast Year5_CP_Plans_3months_timescales="","",Year5_SouthEast Year5_CP_Plans_3months_timescales)</f>
        <v>5060</v>
      </c>
      <c r="AK206" s="157"/>
      <c r="AL206" s="74"/>
    </row>
    <row r="207" spans="1:38" s="87" customFormat="1" ht="12.75" x14ac:dyDescent="0.2">
      <c r="A207" s="121"/>
      <c r="B207" s="329" t="str">
        <f t="shared" si="71"/>
        <v>England</v>
      </c>
      <c r="C207" s="85"/>
      <c r="D207" s="351">
        <f t="shared" si="76"/>
        <v>0.93724696356275305</v>
      </c>
      <c r="E207" s="351">
        <f t="shared" si="77"/>
        <v>0.92191075514874143</v>
      </c>
      <c r="F207" s="351">
        <f t="shared" si="78"/>
        <v>0.90516782099094295</v>
      </c>
      <c r="G207" s="351">
        <f t="shared" si="79"/>
        <v>0.91762721394433511</v>
      </c>
      <c r="H207" s="352">
        <f t="shared" si="80"/>
        <v>0.91481481481481486</v>
      </c>
      <c r="I207" s="96"/>
      <c r="J207" s="96"/>
      <c r="K207" s="168"/>
      <c r="L207" s="168"/>
      <c r="M207" s="168"/>
      <c r="N207" s="168"/>
      <c r="O207" s="168"/>
      <c r="P207" s="168"/>
      <c r="Q207" s="168"/>
      <c r="R207" s="169"/>
      <c r="S207" s="159"/>
      <c r="T207" s="159"/>
      <c r="U207" s="170"/>
      <c r="V207" s="122"/>
      <c r="W207" s="139"/>
      <c r="X207" s="152"/>
      <c r="Y207" s="577" t="str">
        <f t="shared" si="81"/>
        <v>England</v>
      </c>
      <c r="Z207" s="606">
        <f>IF(Year1_England Year1_CP_Plans_3months="","",Year1_England Year1_CP_Plans_3months)</f>
        <v>34580</v>
      </c>
      <c r="AA207" s="607">
        <f>IF(Year2_England Year2_CP_Plans_3months="","",Year2_England Year2_CP_Plans_3months)</f>
        <v>34960</v>
      </c>
      <c r="AB207" s="372">
        <f>IF(Year3_England Year3_CP_Plans_3months="","",Year3_England Year3_CP_Plans_3months)</f>
        <v>37540</v>
      </c>
      <c r="AC207" s="372">
        <f>IF(Year4_England Year4_CP_Plans_3months="","",Year4_England Year4_CP_Plans_3months)</f>
        <v>35570</v>
      </c>
      <c r="AD207" s="582">
        <f>IF(Year5_England Year5_CP_Plans_3months="","",Year5_England Year5_CP_Plans_3months)</f>
        <v>35100</v>
      </c>
      <c r="AE207" s="384" t="str">
        <f t="shared" si="82"/>
        <v>England</v>
      </c>
      <c r="AF207" s="607">
        <f>IF(Year1_England Year1_CP_Plans_3months_timescales="","",Year1_England Year1_CP_Plans_3months_timescales)</f>
        <v>32410</v>
      </c>
      <c r="AG207" s="607">
        <f>IF(Year2_England Year2_CP_Plans_3months_timescales="","",Year2_England Year2_CP_Plans_3months_timescales)</f>
        <v>32230</v>
      </c>
      <c r="AH207" s="372">
        <f>IF(Year3_England Year3_CP_Plans_3months_timescales="","",Year3_England Year3_CP_Plans_3months_timescales)</f>
        <v>33980</v>
      </c>
      <c r="AI207" s="372">
        <f>IF(Year4_England Year4_CP_Plans_3months_timescales="","",Year4_England Year4_CP_Plans_3months_timescales)</f>
        <v>32640</v>
      </c>
      <c r="AJ207" s="580">
        <f>IF(Year5_England Year5_CP_Plans_3months_timescales="","",Year5_England Year5_CP_Plans_3months_timescales)</f>
        <v>32110</v>
      </c>
      <c r="AK207" s="157"/>
      <c r="AL207" s="74"/>
    </row>
    <row r="208" spans="1:38" s="87" customFormat="1" ht="7.5" customHeight="1" x14ac:dyDescent="0.2">
      <c r="A208" s="292"/>
      <c r="B208" s="96"/>
      <c r="C208" s="96"/>
      <c r="D208" s="96"/>
      <c r="E208" s="96"/>
      <c r="F208" s="96"/>
      <c r="G208" s="96"/>
      <c r="H208" s="96"/>
      <c r="I208" s="96"/>
      <c r="J208" s="96"/>
      <c r="K208" s="168"/>
      <c r="L208" s="168"/>
      <c r="M208" s="168"/>
      <c r="N208" s="168"/>
      <c r="O208" s="168"/>
      <c r="P208" s="168"/>
      <c r="Q208" s="168"/>
      <c r="R208" s="169"/>
      <c r="S208" s="159"/>
      <c r="T208" s="159"/>
      <c r="U208" s="170"/>
      <c r="V208" s="122"/>
      <c r="W208" s="139"/>
      <c r="X208" s="152"/>
      <c r="Y208" s="81"/>
      <c r="Z208" s="81"/>
      <c r="AA208" s="196"/>
      <c r="AB208" s="196"/>
      <c r="AC208" s="197"/>
      <c r="AD208" s="197"/>
      <c r="AE208" s="197"/>
      <c r="AF208" s="197"/>
      <c r="AG208" s="197"/>
      <c r="AH208" s="197"/>
      <c r="AI208" s="197"/>
      <c r="AJ208" s="197"/>
      <c r="AK208" s="157"/>
      <c r="AL208" s="74"/>
    </row>
    <row r="209" spans="1:46" s="81" customFormat="1" ht="40.5" customHeight="1" x14ac:dyDescent="0.2">
      <c r="A209" s="217"/>
      <c r="B209" s="369"/>
      <c r="C209" s="369"/>
      <c r="D209" s="369"/>
      <c r="E209" s="369"/>
      <c r="F209" s="369"/>
      <c r="G209" s="369"/>
      <c r="H209" s="369"/>
      <c r="I209" s="369"/>
      <c r="J209" s="172"/>
      <c r="K209" s="172"/>
      <c r="L209" s="172"/>
      <c r="M209" s="172"/>
      <c r="N209" s="172"/>
      <c r="O209" s="172"/>
      <c r="P209" s="172"/>
      <c r="Q209" s="172"/>
      <c r="R209" s="136"/>
      <c r="S209" s="172"/>
      <c r="T209" s="172"/>
      <c r="U209" s="172"/>
      <c r="V209" s="117"/>
      <c r="W209" s="137"/>
      <c r="X209" s="150"/>
      <c r="AD209" s="197"/>
      <c r="AE209" s="199"/>
      <c r="AF209" s="184"/>
      <c r="AG209" s="184"/>
      <c r="AH209" s="184"/>
      <c r="AJ209" s="184"/>
      <c r="AK209" s="157"/>
      <c r="AL209" s="74"/>
    </row>
    <row r="210" spans="1:46" s="81" customFormat="1" ht="39" customHeight="1" x14ac:dyDescent="0.2">
      <c r="A210" s="217"/>
      <c r="B210" s="369"/>
      <c r="C210" s="369"/>
      <c r="D210" s="369"/>
      <c r="E210" s="369"/>
      <c r="F210" s="369"/>
      <c r="G210" s="369"/>
      <c r="H210" s="369"/>
      <c r="I210" s="369"/>
      <c r="J210" s="172"/>
      <c r="K210" s="172"/>
      <c r="L210" s="172"/>
      <c r="M210" s="172"/>
      <c r="N210" s="172"/>
      <c r="O210" s="172"/>
      <c r="P210" s="172"/>
      <c r="Q210" s="172"/>
      <c r="R210" s="136"/>
      <c r="S210" s="172"/>
      <c r="T210" s="172"/>
      <c r="U210" s="172"/>
      <c r="V210" s="117"/>
      <c r="W210" s="137"/>
      <c r="X210" s="150"/>
      <c r="Z210" s="190"/>
      <c r="AE210" s="199"/>
      <c r="AF210" s="184"/>
      <c r="AG210" s="184"/>
      <c r="AH210" s="184"/>
      <c r="AJ210" s="184"/>
      <c r="AK210" s="157"/>
      <c r="AL210" s="74"/>
    </row>
    <row r="211" spans="1:46" s="81" customFormat="1" ht="36.75" customHeight="1" x14ac:dyDescent="0.2">
      <c r="A211" s="217"/>
      <c r="B211" s="369"/>
      <c r="C211" s="369"/>
      <c r="D211" s="369"/>
      <c r="E211" s="369"/>
      <c r="F211" s="369"/>
      <c r="G211" s="369"/>
      <c r="H211" s="369"/>
      <c r="I211" s="369"/>
      <c r="J211" s="172"/>
      <c r="K211" s="172"/>
      <c r="L211" s="172"/>
      <c r="M211" s="172"/>
      <c r="N211" s="172"/>
      <c r="O211" s="172"/>
      <c r="P211" s="172"/>
      <c r="Q211" s="172"/>
      <c r="R211" s="136"/>
      <c r="S211" s="172"/>
      <c r="T211" s="172"/>
      <c r="U211" s="172"/>
      <c r="V211" s="117"/>
      <c r="W211" s="137"/>
      <c r="X211" s="150"/>
      <c r="Z211" s="190"/>
      <c r="AE211" s="199"/>
      <c r="AF211" s="184"/>
      <c r="AG211" s="184"/>
      <c r="AH211" s="184"/>
      <c r="AJ211" s="184"/>
      <c r="AK211" s="157"/>
      <c r="AL211" s="74"/>
    </row>
    <row r="212" spans="1:46" s="81" customFormat="1" ht="7.5" customHeight="1" x14ac:dyDescent="0.2">
      <c r="A212" s="118"/>
      <c r="B212" s="17"/>
      <c r="C212" s="17"/>
      <c r="D212" s="16"/>
      <c r="E212" s="16"/>
      <c r="F212" s="16"/>
      <c r="G212" s="16"/>
      <c r="H212" s="16"/>
      <c r="I212" s="16"/>
      <c r="J212" s="12"/>
      <c r="K212" s="18"/>
      <c r="L212" s="18"/>
      <c r="M212" s="18"/>
      <c r="N212" s="18"/>
      <c r="O212" s="18"/>
      <c r="P212" s="18"/>
      <c r="Q212" s="18"/>
      <c r="R212" s="18"/>
      <c r="S212" s="18"/>
      <c r="T212" s="18"/>
      <c r="U212" s="19"/>
      <c r="V212" s="117"/>
      <c r="W212" s="137"/>
      <c r="X212" s="150"/>
      <c r="Z212" s="190"/>
      <c r="AJ212" s="184"/>
      <c r="AK212" s="157"/>
      <c r="AL212" s="74"/>
      <c r="AM212" s="74"/>
      <c r="AN212" s="74"/>
      <c r="AO212" s="74"/>
      <c r="AP212" s="74"/>
      <c r="AQ212" s="74"/>
      <c r="AR212" s="74"/>
    </row>
    <row r="213" spans="1:46" s="81" customFormat="1" ht="15" customHeight="1" x14ac:dyDescent="0.2">
      <c r="A213" s="1716"/>
      <c r="B213" s="1760"/>
      <c r="C213" s="1760"/>
      <c r="D213" s="1760"/>
      <c r="E213" s="1760"/>
      <c r="F213" s="1760"/>
      <c r="G213" s="1760"/>
      <c r="H213" s="1760"/>
      <c r="I213" s="1760"/>
      <c r="J213" s="1760"/>
      <c r="K213" s="1760"/>
      <c r="L213" s="1760"/>
      <c r="M213" s="1760"/>
      <c r="N213" s="1760"/>
      <c r="O213" s="1760"/>
      <c r="P213" s="1760"/>
      <c r="Q213" s="1760"/>
      <c r="R213" s="1760"/>
      <c r="S213" s="1760"/>
      <c r="T213" s="1760"/>
      <c r="U213" s="1760"/>
      <c r="V213" s="1761"/>
      <c r="W213" s="137"/>
      <c r="X213" s="150"/>
      <c r="AK213" s="157"/>
      <c r="AL213" s="74"/>
      <c r="AT213" s="74"/>
    </row>
    <row r="214" spans="1:46" s="81" customFormat="1" ht="11.1" customHeight="1" x14ac:dyDescent="0.2">
      <c r="A214" s="1765" t="str">
        <f>Home!$A$39</f>
        <v xml:space="preserve"> </v>
      </c>
      <c r="B214" s="1766"/>
      <c r="C214" s="1766"/>
      <c r="D214" s="1766"/>
      <c r="E214" s="1766"/>
      <c r="F214" s="1766"/>
      <c r="G214" s="1766"/>
      <c r="H214" s="1766"/>
      <c r="I214" s="1767"/>
      <c r="J214" s="1766"/>
      <c r="K214" s="1766"/>
      <c r="L214" s="1766"/>
      <c r="M214" s="1766"/>
      <c r="N214" s="1766"/>
      <c r="O214" s="1766"/>
      <c r="P214" s="1768"/>
      <c r="Q214" s="1766"/>
      <c r="R214" s="1766"/>
      <c r="S214" s="1766"/>
      <c r="T214" s="1767"/>
      <c r="U214" s="1766"/>
      <c r="V214" s="1769"/>
      <c r="W214" s="137"/>
      <c r="X214" s="150"/>
      <c r="AJ214" s="184"/>
      <c r="AK214" s="157"/>
      <c r="AL214" s="74"/>
      <c r="AT214" s="74"/>
    </row>
    <row r="215" spans="1:46" ht="11.25" customHeight="1" x14ac:dyDescent="0.2">
      <c r="A215" s="112"/>
      <c r="B215" s="113"/>
      <c r="C215" s="113"/>
      <c r="D215" s="113"/>
      <c r="E215" s="113"/>
      <c r="F215" s="113"/>
      <c r="G215" s="113"/>
      <c r="H215" s="113"/>
      <c r="I215" s="113"/>
      <c r="J215" s="114"/>
      <c r="K215" s="113"/>
      <c r="L215" s="113"/>
      <c r="M215" s="113"/>
      <c r="N215" s="113"/>
      <c r="O215" s="113"/>
      <c r="P215" s="113"/>
      <c r="Q215" s="113"/>
      <c r="R215" s="113"/>
      <c r="S215" s="113"/>
      <c r="T215" s="113"/>
      <c r="U215" s="113"/>
      <c r="V215" s="115"/>
      <c r="W215" s="137"/>
      <c r="X215" s="150"/>
      <c r="Y215" s="188"/>
      <c r="Z215" s="188"/>
      <c r="AJ215" s="184"/>
      <c r="AK215" s="157"/>
    </row>
    <row r="216" spans="1:46" s="76" customFormat="1" ht="14.45" customHeight="1" x14ac:dyDescent="0.2">
      <c r="A216" s="119"/>
      <c r="B216" s="1922" t="s">
        <v>926</v>
      </c>
      <c r="C216" s="1922"/>
      <c r="D216" s="1922"/>
      <c r="E216" s="1922"/>
      <c r="F216" s="1922"/>
      <c r="G216" s="1922"/>
      <c r="H216" s="1922"/>
      <c r="I216" s="1922"/>
      <c r="J216" s="70"/>
      <c r="K216" s="70"/>
      <c r="L216" s="70"/>
      <c r="M216" s="70"/>
      <c r="N216" s="359"/>
      <c r="O216" s="70"/>
      <c r="P216" s="70"/>
      <c r="Q216" s="70"/>
      <c r="R216" s="70"/>
      <c r="S216" s="70"/>
      <c r="T216" s="70"/>
      <c r="U216" s="70"/>
      <c r="V216" s="120"/>
      <c r="W216" s="138"/>
      <c r="X216" s="151"/>
      <c r="Y216" s="381" t="s">
        <v>147</v>
      </c>
      <c r="Z216" s="382"/>
      <c r="AA216" s="383"/>
      <c r="AB216" s="383"/>
      <c r="AC216" s="383"/>
      <c r="AD216" s="596"/>
      <c r="AE216" s="381" t="s">
        <v>148</v>
      </c>
      <c r="AF216" s="382"/>
      <c r="AG216" s="383"/>
      <c r="AH216" s="383"/>
      <c r="AI216" s="383"/>
      <c r="AJ216" s="596"/>
      <c r="AK216" s="158"/>
    </row>
    <row r="217" spans="1:46" ht="14.45" customHeight="1" x14ac:dyDescent="0.2">
      <c r="A217" s="118"/>
      <c r="B217" s="1922"/>
      <c r="C217" s="1922"/>
      <c r="D217" s="1922"/>
      <c r="E217" s="1922"/>
      <c r="F217" s="1922"/>
      <c r="G217" s="1922"/>
      <c r="H217" s="1922"/>
      <c r="I217" s="1922"/>
      <c r="J217" s="70"/>
      <c r="K217" s="70"/>
      <c r="L217" s="70"/>
      <c r="M217" s="70"/>
      <c r="N217" s="359"/>
      <c r="O217" s="70"/>
      <c r="P217" s="70"/>
      <c r="Q217" s="70"/>
      <c r="R217" s="10"/>
      <c r="S217" s="70"/>
      <c r="T217" s="70"/>
      <c r="U217" s="70"/>
      <c r="V217" s="117"/>
      <c r="W217" s="137"/>
      <c r="X217" s="150"/>
      <c r="Y217" s="383"/>
      <c r="Z217" s="382"/>
      <c r="AA217" s="383"/>
      <c r="AB217" s="383"/>
      <c r="AC217" s="383"/>
      <c r="AD217" s="596"/>
      <c r="AE217" s="383"/>
      <c r="AF217" s="382"/>
      <c r="AG217" s="383"/>
      <c r="AH217" s="383"/>
      <c r="AI217" s="383"/>
      <c r="AJ217" s="596"/>
      <c r="AK217" s="157"/>
    </row>
    <row r="218" spans="1:46" ht="13.5" customHeight="1" x14ac:dyDescent="0.2">
      <c r="A218" s="278"/>
      <c r="B218" s="1771" t="s">
        <v>205</v>
      </c>
      <c r="C218" s="921"/>
      <c r="D218" s="789" t="str">
        <f>Sheet1!$D$27</f>
        <v>2015-16</v>
      </c>
      <c r="E218" s="790" t="str">
        <f>Sheet1!$E$27</f>
        <v>2016-17</v>
      </c>
      <c r="F218" s="790" t="str">
        <f>Sheet1!$F$27</f>
        <v>2017-18</v>
      </c>
      <c r="G218" s="790" t="str">
        <f>Sheet1!$G$27</f>
        <v>2018-19</v>
      </c>
      <c r="H218" s="791" t="str">
        <f>Sheet1!$H$27</f>
        <v>2019-20</v>
      </c>
      <c r="I218" s="927"/>
      <c r="J218" s="70"/>
      <c r="K218" s="70"/>
      <c r="L218" s="70"/>
      <c r="M218" s="70"/>
      <c r="N218" s="918"/>
      <c r="O218" s="70"/>
      <c r="P218" s="70"/>
      <c r="Q218" s="70"/>
      <c r="R218" s="10"/>
      <c r="S218" s="70"/>
      <c r="T218" s="70"/>
      <c r="U218" s="70"/>
      <c r="V218" s="117"/>
      <c r="W218" s="137"/>
      <c r="X218" s="150"/>
      <c r="Y218" s="383"/>
      <c r="Z218" s="382"/>
      <c r="AA218" s="383"/>
      <c r="AB218" s="383"/>
      <c r="AC218" s="383"/>
      <c r="AD218" s="596"/>
      <c r="AE218" s="383"/>
      <c r="AF218" s="382"/>
      <c r="AG218" s="383"/>
      <c r="AH218" s="383"/>
      <c r="AI218" s="383"/>
      <c r="AJ218" s="596"/>
      <c r="AK218" s="157"/>
    </row>
    <row r="219" spans="1:46" s="87" customFormat="1" ht="13.5" customHeight="1" x14ac:dyDescent="0.2">
      <c r="A219" s="121"/>
      <c r="B219" s="1772"/>
      <c r="C219" s="85"/>
      <c r="D219" s="792" t="e">
        <f>Sheet1!$D$28</f>
        <v>#N/A</v>
      </c>
      <c r="E219" s="792" t="e">
        <f>Sheet1!$E$28</f>
        <v>#N/A</v>
      </c>
      <c r="F219" s="792" t="e">
        <f>Sheet1!$F$28</f>
        <v>#N/A</v>
      </c>
      <c r="G219" s="792" t="e">
        <f>Sheet1!$G$28</f>
        <v>#N/A</v>
      </c>
      <c r="H219" s="793" t="e">
        <f>Sheet1!$H$28</f>
        <v>#N/A</v>
      </c>
      <c r="I219" s="96"/>
      <c r="J219" s="96"/>
      <c r="K219" s="61"/>
      <c r="L219" s="61"/>
      <c r="M219" s="61"/>
      <c r="N219" s="61"/>
      <c r="O219" s="61"/>
      <c r="P219" s="61"/>
      <c r="Q219" s="365"/>
      <c r="R219" s="365"/>
      <c r="S219" s="159"/>
      <c r="T219" s="159"/>
      <c r="U219" s="366"/>
      <c r="V219" s="122"/>
      <c r="W219" s="139"/>
      <c r="X219" s="152"/>
      <c r="Y219" s="577"/>
      <c r="Z219" s="581" t="e">
        <f>D219</f>
        <v>#N/A</v>
      </c>
      <c r="AA219" s="489" t="e">
        <f>E219</f>
        <v>#N/A</v>
      </c>
      <c r="AB219" s="489" t="e">
        <f>F219</f>
        <v>#N/A</v>
      </c>
      <c r="AC219" s="489" t="e">
        <f>G219</f>
        <v>#N/A</v>
      </c>
      <c r="AD219" s="578" t="e">
        <f>H219</f>
        <v>#N/A</v>
      </c>
      <c r="AE219" s="384"/>
      <c r="AF219" s="489" t="e">
        <f>Z219</f>
        <v>#N/A</v>
      </c>
      <c r="AG219" s="489" t="e">
        <f t="shared" ref="AG219:AJ219" si="83">AA219</f>
        <v>#N/A</v>
      </c>
      <c r="AH219" s="489" t="e">
        <f t="shared" si="83"/>
        <v>#N/A</v>
      </c>
      <c r="AI219" s="489" t="e">
        <f t="shared" si="83"/>
        <v>#N/A</v>
      </c>
      <c r="AJ219" s="489" t="e">
        <f t="shared" si="83"/>
        <v>#N/A</v>
      </c>
      <c r="AK219" s="160"/>
    </row>
    <row r="220" spans="1:46" s="87" customFormat="1" ht="12.75" customHeight="1" x14ac:dyDescent="0.2">
      <c r="A220" s="488">
        <f>VLOOKUP(B220,Sheet1!$AQ$4:$AR$25,2,FALSE)</f>
        <v>0</v>
      </c>
      <c r="B220" s="93" t="str">
        <f t="shared" ref="B220:B243" si="84">B10</f>
        <v>Bracknell Forest</v>
      </c>
      <c r="C220" s="85"/>
      <c r="D220" s="162">
        <f>IF(AND(ISNUMBER(AF220),ISNUMBER(Z220)),AF220/Z220,NA())</f>
        <v>0.12162162162162163</v>
      </c>
      <c r="E220" s="162">
        <f t="shared" ref="E220:H220" si="85">IF(AND(ISNUMBER(AG220),ISNUMBER(AA220)),AG220/AA220,NA())</f>
        <v>8.9171974522292988E-2</v>
      </c>
      <c r="F220" s="162">
        <f t="shared" si="85"/>
        <v>0</v>
      </c>
      <c r="G220" s="162" t="e">
        <f t="shared" si="85"/>
        <v>#N/A</v>
      </c>
      <c r="H220" s="164">
        <f t="shared" si="85"/>
        <v>0</v>
      </c>
      <c r="I220" s="96"/>
      <c r="J220" s="96"/>
      <c r="K220" s="166"/>
      <c r="L220" s="166"/>
      <c r="M220" s="166"/>
      <c r="N220" s="166"/>
      <c r="O220" s="166"/>
      <c r="P220" s="166"/>
      <c r="Q220" s="166"/>
      <c r="R220" s="167"/>
      <c r="S220" s="159"/>
      <c r="T220" s="159"/>
      <c r="U220" s="166"/>
      <c r="V220" s="122"/>
      <c r="W220" s="139"/>
      <c r="X220" s="152"/>
      <c r="Y220" s="577" t="str">
        <f>B220</f>
        <v>Bracknell Forest</v>
      </c>
      <c r="Z220" s="581">
        <f>IF(Year1_Bracknell_Forest Year1_CP_Plans_ceased="","",Year1_Bracknell_Forest Year1_CP_Plans_ceased)</f>
        <v>148</v>
      </c>
      <c r="AA220" s="372">
        <f>IF(Year2_Bracknell_Forest Year2_CP_Plans_ceased="","",Year2_Bracknell_Forest Year2_CP_Plans_ceased)</f>
        <v>157</v>
      </c>
      <c r="AB220" s="372">
        <f>IF(Year3_Bracknell_Forest Year3_CP_Plans_ceased="","",Year3_Bracknell_Forest Year3_CP_Plans_ceased)</f>
        <v>235</v>
      </c>
      <c r="AC220" s="372">
        <f>IF(Year4_Bracknell_Forest Year4_CP_Plans_ceased="","",Year4_Bracknell_Forest Year4_CP_Plans_ceased)</f>
        <v>162</v>
      </c>
      <c r="AD220" s="1490">
        <f>IF(Year5_Bracknell_Forest Year5_CP_Plans_ceased="","",Year5_Bracknell_Forest Year5_CP_Plans_ceased)</f>
        <v>192</v>
      </c>
      <c r="AE220" s="384" t="str">
        <f>Y220</f>
        <v>Bracknell Forest</v>
      </c>
      <c r="AF220" s="489">
        <f>IF(Year1_Bracknell_Forest Year1_CP_Plans_ceased_2years="","",Year1_Bracknell_Forest Year1_CP_Plans_ceased_2years)</f>
        <v>18</v>
      </c>
      <c r="AG220" s="372">
        <f>IF(Year2_Bracknell_Forest Year2_CP_Plans_ceased_2years="","",Year2_Bracknell_Forest Year2_CP_Plans_ceased_2years)</f>
        <v>14</v>
      </c>
      <c r="AH220" s="372">
        <f>IF(Year3_Bracknell_Forest Year3_CP_Plans_ceased_2years="","",Year3_Bracknell_Forest Year3_CP_Plans_ceased_2years)</f>
        <v>0</v>
      </c>
      <c r="AI220" s="372" t="str">
        <f>IF(Year4_Bracknell_Forest Year4_CP_Plans_ceased_2years="","",Year4_Bracknell_Forest Year4_CP_Plans_ceased_2years)</f>
        <v>x</v>
      </c>
      <c r="AJ220" s="602">
        <f>IF(Year5_Bracknell_Forest Year5_CP_Plans_ceased_2years="","",Year5_Bracknell_Forest Year5_CP_Plans_ceased_2years)</f>
        <v>0</v>
      </c>
      <c r="AK220" s="160"/>
    </row>
    <row r="221" spans="1:46" s="87" customFormat="1" ht="12.75" customHeight="1" x14ac:dyDescent="0.2">
      <c r="A221" s="488">
        <f>VLOOKUP(B221,Sheet1!$AQ$4:$AR$25,2,FALSE)</f>
        <v>0</v>
      </c>
      <c r="B221" s="93" t="str">
        <f t="shared" si="84"/>
        <v>Brighton &amp; Hove</v>
      </c>
      <c r="C221" s="85"/>
      <c r="D221" s="162">
        <f>IF(AND(ISNUMBER(AF221),ISNUMBER(Z221)),AF221/Z221,NA())</f>
        <v>7.6704545454545456E-2</v>
      </c>
      <c r="E221" s="162">
        <f t="shared" ref="E221" si="86">IF(AND(ISNUMBER(AG221),ISNUMBER(AA221)),AG221/AA221,NA())</f>
        <v>3.2407407407407406E-2</v>
      </c>
      <c r="F221" s="162">
        <f t="shared" ref="F221" si="87">IF(AND(ISNUMBER(AH221),ISNUMBER(AB221)),AH221/AB221,NA())</f>
        <v>7.575757575757576E-2</v>
      </c>
      <c r="G221" s="162">
        <f t="shared" ref="G221" si="88">IF(AND(ISNUMBER(AI221),ISNUMBER(AC221)),AI221/AC221,NA())</f>
        <v>5.1980198019801978E-2</v>
      </c>
      <c r="H221" s="164">
        <f>IF(ISERROR(AJ221/AD221),NA(),AJ221/AD221)</f>
        <v>4.3010752688172046E-2</v>
      </c>
      <c r="I221" s="96"/>
      <c r="J221" s="96"/>
      <c r="K221" s="166"/>
      <c r="L221" s="166"/>
      <c r="M221" s="166"/>
      <c r="N221" s="166"/>
      <c r="O221" s="166"/>
      <c r="P221" s="166"/>
      <c r="Q221" s="166"/>
      <c r="R221" s="167"/>
      <c r="S221" s="159"/>
      <c r="T221" s="159"/>
      <c r="U221" s="166"/>
      <c r="V221" s="122"/>
      <c r="W221" s="139"/>
      <c r="X221" s="152"/>
      <c r="Y221" s="577" t="str">
        <f t="shared" ref="Y221:Y243" si="89">B221</f>
        <v>Brighton &amp; Hove</v>
      </c>
      <c r="Z221" s="581">
        <f>IF(Year1_Brighton_Hove Year1_CP_Plans_ceased="","",Year1_Brighton_Hove Year1_CP_Plans_ceased)</f>
        <v>352</v>
      </c>
      <c r="AA221" s="372">
        <f>IF(Year2_Brighton_Hove Year2_CP_Plans_ceased="","",Year2_Brighton_Hove Year2_CP_Plans_ceased)</f>
        <v>432</v>
      </c>
      <c r="AB221" s="372">
        <f>IF(Year3_Brighton_Hove Year3_CP_Plans_ceased="","",Year3_Brighton_Hove Year3_CP_Plans_ceased)</f>
        <v>396</v>
      </c>
      <c r="AC221" s="372">
        <f>IF(Year4_Brighton_Hove Year4_CP_Plans_ceased="","",Year4_Brighton_Hove Year4_CP_Plans_ceased)</f>
        <v>404</v>
      </c>
      <c r="AD221" s="1490">
        <f>IF(Year5_Brighton_Hove Year5_CP_Plans_ceased="","",Year5_Brighton_Hove Year5_CP_Plans_ceased)</f>
        <v>372</v>
      </c>
      <c r="AE221" s="384" t="str">
        <f t="shared" ref="AE221:AE243" si="90">Y221</f>
        <v>Brighton &amp; Hove</v>
      </c>
      <c r="AF221" s="489">
        <f>IF(Year1_Brighton_Hove Year1_CP_Plans_ceased_2years="","",Year1_Brighton_Hove Year1_CP_Plans_ceased_2years)</f>
        <v>27</v>
      </c>
      <c r="AG221" s="372">
        <f>IF(Year2_Brighton_Hove Year2_CP_Plans_ceased_2years="","",Year2_Brighton_Hove Year2_CP_Plans_ceased_2years)</f>
        <v>14</v>
      </c>
      <c r="AH221" s="372">
        <f>IF(Year3_Brighton_Hove Year3_CP_Plans_ceased_2years="","",Year3_Brighton_Hove Year3_CP_Plans_ceased_2years)</f>
        <v>30</v>
      </c>
      <c r="AI221" s="372">
        <f>IF(Year4_Brighton_Hove Year4_CP_Plans_ceased_2years="","",Year4_Brighton_Hove Year4_CP_Plans_ceased_2years)</f>
        <v>21</v>
      </c>
      <c r="AJ221" s="602">
        <f>IF(Year5_Brighton_Hove Year5_CP_Plans_ceased_2years="","",Year5_Brighton_Hove Year5_CP_Plans_ceased_2years)</f>
        <v>16</v>
      </c>
      <c r="AK221" s="160"/>
    </row>
    <row r="222" spans="1:46" s="87" customFormat="1" ht="12.75" customHeight="1" x14ac:dyDescent="0.2">
      <c r="A222" s="488">
        <f>VLOOKUP(B222,Sheet1!$AQ$4:$AR$25,2,FALSE)</f>
        <v>0</v>
      </c>
      <c r="B222" s="93" t="str">
        <f t="shared" si="84"/>
        <v>Buckinghamshire</v>
      </c>
      <c r="C222" s="85"/>
      <c r="D222" s="162">
        <f t="shared" ref="D222:D243" si="91">IF(AND(ISNUMBER(AF222),ISNUMBER(Z222)),AF222/Z222,NA())</f>
        <v>3.5490605427974949E-2</v>
      </c>
      <c r="E222" s="162">
        <f t="shared" ref="E222:E243" si="92">IF(AND(ISNUMBER(AG222),ISNUMBER(AA222)),AG222/AA222,NA())</f>
        <v>2.3961661341853034E-2</v>
      </c>
      <c r="F222" s="162">
        <f t="shared" ref="F222:F243" si="93">IF(AND(ISNUMBER(AH222),ISNUMBER(AB222)),AH222/AB222,NA())</f>
        <v>3.1645569620253167E-2</v>
      </c>
      <c r="G222" s="162">
        <f t="shared" ref="G222:G243" si="94">IF(AND(ISNUMBER(AI222),ISNUMBER(AC222)),AI222/AC222,NA())</f>
        <v>3.1088082901554404E-2</v>
      </c>
      <c r="H222" s="164">
        <f t="shared" ref="H222:H243" si="95">IF(AND(ISNUMBER(AJ222),ISNUMBER(AD222)),AJ222/AD222,NA())</f>
        <v>4.0221914008321778E-2</v>
      </c>
      <c r="I222" s="96"/>
      <c r="J222" s="96"/>
      <c r="K222" s="166"/>
      <c r="L222" s="166"/>
      <c r="M222" s="166"/>
      <c r="N222" s="166"/>
      <c r="O222" s="166"/>
      <c r="P222" s="166"/>
      <c r="Q222" s="166"/>
      <c r="R222" s="167"/>
      <c r="S222" s="159"/>
      <c r="T222" s="159"/>
      <c r="U222" s="166"/>
      <c r="V222" s="122"/>
      <c r="W222" s="139"/>
      <c r="X222" s="152"/>
      <c r="Y222" s="577" t="str">
        <f t="shared" si="89"/>
        <v>Buckinghamshire</v>
      </c>
      <c r="Z222" s="581">
        <f>IF(Year1_Buckinghamshire Year1_CP_Plans_ceased="","",Year1_Buckinghamshire Year1_CP_Plans_ceased)</f>
        <v>479</v>
      </c>
      <c r="AA222" s="372">
        <f>IF(Year2_Buckinghamshire Year2_CP_Plans_ceased="","",Year2_Buckinghamshire Year2_CP_Plans_ceased)</f>
        <v>626</v>
      </c>
      <c r="AB222" s="372">
        <f>IF(Year3_Buckinghamshire Year3_CP_Plans_ceased="","",Year3_Buckinghamshire Year3_CP_Plans_ceased)</f>
        <v>632</v>
      </c>
      <c r="AC222" s="372">
        <f>IF(Year4_Buckinghamshire Year4_CP_Plans_ceased="","",Year4_Buckinghamshire Year4_CP_Plans_ceased)</f>
        <v>772</v>
      </c>
      <c r="AD222" s="1490">
        <f>IF(Year5_Buckinghamshire Year5_CP_Plans_ceased="","",Year5_Buckinghamshire Year5_CP_Plans_ceased)</f>
        <v>721</v>
      </c>
      <c r="AE222" s="384" t="str">
        <f t="shared" si="90"/>
        <v>Buckinghamshire</v>
      </c>
      <c r="AF222" s="489">
        <f>IF(Year1_Buckinghamshire Year1_CP_Plans_ceased_2years="","",Year1_Buckinghamshire Year1_CP_Plans_ceased_2years)</f>
        <v>17</v>
      </c>
      <c r="AG222" s="372">
        <f>IF(Year2_Buckinghamshire Year2_CP_Plans_ceased_2years="","",Year2_Buckinghamshire Year2_CP_Plans_ceased_2years)</f>
        <v>15</v>
      </c>
      <c r="AH222" s="372">
        <f>IF(Year3_Buckinghamshire Year3_CP_Plans_ceased_2years="","",Year3_Buckinghamshire Year3_CP_Plans_ceased_2years)</f>
        <v>20</v>
      </c>
      <c r="AI222" s="372">
        <f>IF(Year4_Buckinghamshire Year4_CP_Plans_ceased_2years="","",Year4_Buckinghamshire Year4_CP_Plans_ceased_2years)</f>
        <v>24</v>
      </c>
      <c r="AJ222" s="602">
        <f>IF(Year5_Buckinghamshire Year5_CP_Plans_ceased_2years="","",Year5_Buckinghamshire Year5_CP_Plans_ceased_2years)</f>
        <v>29</v>
      </c>
      <c r="AK222" s="160"/>
    </row>
    <row r="223" spans="1:46" s="87" customFormat="1" ht="12.75" customHeight="1" x14ac:dyDescent="0.2">
      <c r="A223" s="488">
        <f>VLOOKUP(B223,Sheet1!$AQ$4:$AR$25,2,FALSE)</f>
        <v>0</v>
      </c>
      <c r="B223" s="93" t="str">
        <f t="shared" si="84"/>
        <v>East Sussex</v>
      </c>
      <c r="C223" s="85"/>
      <c r="D223" s="162">
        <f t="shared" si="91"/>
        <v>7.4626865671641784E-2</v>
      </c>
      <c r="E223" s="162">
        <f t="shared" si="92"/>
        <v>8.8709677419354843E-2</v>
      </c>
      <c r="F223" s="162">
        <f t="shared" si="93"/>
        <v>9.0740740740740747E-2</v>
      </c>
      <c r="G223" s="162">
        <f t="shared" si="94"/>
        <v>7.2580645161290328E-2</v>
      </c>
      <c r="H223" s="164">
        <f t="shared" si="95"/>
        <v>8.5346215780998394E-2</v>
      </c>
      <c r="I223" s="96"/>
      <c r="J223" s="96"/>
      <c r="K223" s="166"/>
      <c r="L223" s="166"/>
      <c r="M223" s="166"/>
      <c r="N223" s="166"/>
      <c r="O223" s="166"/>
      <c r="P223" s="166"/>
      <c r="Q223" s="166"/>
      <c r="R223" s="167"/>
      <c r="S223" s="159"/>
      <c r="T223" s="159"/>
      <c r="U223" s="166"/>
      <c r="V223" s="122"/>
      <c r="W223" s="139"/>
      <c r="X223" s="152"/>
      <c r="Y223" s="577" t="str">
        <f t="shared" si="89"/>
        <v>East Sussex</v>
      </c>
      <c r="Z223" s="581">
        <f>IF(Year1_East_Sussex Year1_CP_Plans_ceased="","",Year1_East_Sussex Year1_CP_Plans_ceased)</f>
        <v>469</v>
      </c>
      <c r="AA223" s="372">
        <f>IF(Year2_East_Sussex Year2_CP_Plans_ceased="","",Year2_East_Sussex Year2_CP_Plans_ceased)</f>
        <v>496</v>
      </c>
      <c r="AB223" s="372">
        <f>IF(Year3_East_Sussex Year3_CP_Plans_ceased="","",Year3_East_Sussex Year3_CP_Plans_ceased)</f>
        <v>540</v>
      </c>
      <c r="AC223" s="372">
        <f>IF(Year4_East_Sussex Year4_CP_Plans_ceased="","",Year4_East_Sussex Year4_CP_Plans_ceased)</f>
        <v>620</v>
      </c>
      <c r="AD223" s="1490">
        <f>IF(Year5_East_Sussex Year5_CP_Plans_ceased="","",Year5_East_Sussex Year5_CP_Plans_ceased)</f>
        <v>621</v>
      </c>
      <c r="AE223" s="384" t="str">
        <f t="shared" si="90"/>
        <v>East Sussex</v>
      </c>
      <c r="AF223" s="489">
        <f>IF(Year1_East_Sussex Year1_CP_Plans_ceased_2years="","",Year1_East_Sussex Year1_CP_Plans_ceased_2years)</f>
        <v>35</v>
      </c>
      <c r="AG223" s="372">
        <f>IF(Year2_East_Sussex Year2_CP_Plans_ceased_2years="","",Year2_East_Sussex Year2_CP_Plans_ceased_2years)</f>
        <v>44</v>
      </c>
      <c r="AH223" s="372">
        <f>IF(Year3_East_Sussex Year3_CP_Plans_ceased_2years="","",Year3_East_Sussex Year3_CP_Plans_ceased_2years)</f>
        <v>49</v>
      </c>
      <c r="AI223" s="372">
        <f>IF(Year4_East_Sussex Year4_CP_Plans_ceased_2years="","",Year4_East_Sussex Year4_CP_Plans_ceased_2years)</f>
        <v>45</v>
      </c>
      <c r="AJ223" s="602">
        <f>IF(Year5_East_Sussex Year5_CP_Plans_ceased_2years="","",Year5_East_Sussex Year5_CP_Plans_ceased_2years)</f>
        <v>53</v>
      </c>
      <c r="AK223" s="160"/>
    </row>
    <row r="224" spans="1:46" s="87" customFormat="1" ht="12.75" customHeight="1" x14ac:dyDescent="0.2">
      <c r="A224" s="488">
        <f>VLOOKUP(B224,Sheet1!$AQ$4:$AR$25,2,FALSE)</f>
        <v>0</v>
      </c>
      <c r="B224" s="93" t="str">
        <f t="shared" si="84"/>
        <v>Hampshire</v>
      </c>
      <c r="C224" s="85"/>
      <c r="D224" s="162">
        <f t="shared" si="91"/>
        <v>4.1009463722397478E-2</v>
      </c>
      <c r="E224" s="162">
        <f t="shared" si="92"/>
        <v>4.8891415577032402E-2</v>
      </c>
      <c r="F224" s="162">
        <f t="shared" si="93"/>
        <v>7.1952031978680886E-2</v>
      </c>
      <c r="G224" s="162">
        <f t="shared" si="94"/>
        <v>4.3738765727980827E-2</v>
      </c>
      <c r="H224" s="164">
        <f t="shared" si="95"/>
        <v>3.9307128580946038E-2</v>
      </c>
      <c r="I224" s="96"/>
      <c r="J224" s="96"/>
      <c r="K224" s="166"/>
      <c r="L224" s="166"/>
      <c r="M224" s="166"/>
      <c r="N224" s="166"/>
      <c r="O224" s="166"/>
      <c r="P224" s="166"/>
      <c r="Q224" s="166"/>
      <c r="R224" s="167"/>
      <c r="S224" s="159"/>
      <c r="T224" s="159"/>
      <c r="U224" s="166"/>
      <c r="V224" s="122"/>
      <c r="W224" s="139"/>
      <c r="X224" s="152"/>
      <c r="Y224" s="577" t="str">
        <f t="shared" si="89"/>
        <v>Hampshire</v>
      </c>
      <c r="Z224" s="581">
        <f>IF(Year1_Hampshire Year1_CP_Plans_ceased="","",Year1_Hampshire Year1_CP_Plans_ceased)</f>
        <v>1585</v>
      </c>
      <c r="AA224" s="372">
        <f>IF(Year2_Hampshire Year2_CP_Plans_ceased="","",Year2_Hampshire Year2_CP_Plans_ceased)</f>
        <v>1759</v>
      </c>
      <c r="AB224" s="372">
        <f>IF(Year3_Hampshire Year3_CP_Plans_ceased="","",Year3_Hampshire Year3_CP_Plans_ceased)</f>
        <v>1501</v>
      </c>
      <c r="AC224" s="372">
        <f>IF(Year4_Hampshire Year4_CP_Plans_ceased="","",Year4_Hampshire Year4_CP_Plans_ceased)</f>
        <v>1669</v>
      </c>
      <c r="AD224" s="1490">
        <f>IF(Year5_Hampshire Year5_CP_Plans_ceased="","",Year5_Hampshire Year5_CP_Plans_ceased)</f>
        <v>1501</v>
      </c>
      <c r="AE224" s="384" t="str">
        <f t="shared" si="90"/>
        <v>Hampshire</v>
      </c>
      <c r="AF224" s="489">
        <f>IF(Year1_Hampshire Year1_CP_Plans_ceased_2years="","",Year1_Hampshire Year1_CP_Plans_ceased_2years)</f>
        <v>65</v>
      </c>
      <c r="AG224" s="372">
        <f>IF(Year2_Hampshire Year2_CP_Plans_ceased_2years="","",Year2_Hampshire Year2_CP_Plans_ceased_2years)</f>
        <v>86</v>
      </c>
      <c r="AH224" s="372">
        <f>IF(Year3_Hampshire Year3_CP_Plans_ceased_2years="","",Year3_Hampshire Year3_CP_Plans_ceased_2years)</f>
        <v>108</v>
      </c>
      <c r="AI224" s="372">
        <f>IF(Year4_Hampshire Year4_CP_Plans_ceased_2years="","",Year4_Hampshire Year4_CP_Plans_ceased_2years)</f>
        <v>73</v>
      </c>
      <c r="AJ224" s="602">
        <f>IF(Year5_Hampshire Year5_CP_Plans_ceased_2years="","",Year5_Hampshire Year5_CP_Plans_ceased_2years)</f>
        <v>59</v>
      </c>
      <c r="AK224" s="160"/>
    </row>
    <row r="225" spans="1:45" s="87" customFormat="1" ht="12.75" customHeight="1" x14ac:dyDescent="0.2">
      <c r="A225" s="488">
        <f>VLOOKUP(B225,Sheet1!$AQ$4:$AR$25,2,FALSE)</f>
        <v>0</v>
      </c>
      <c r="B225" s="93" t="str">
        <f t="shared" si="84"/>
        <v>Isle of Wight</v>
      </c>
      <c r="C225" s="85"/>
      <c r="D225" s="162">
        <f t="shared" si="91"/>
        <v>4.5180722891566265E-2</v>
      </c>
      <c r="E225" s="162">
        <f t="shared" si="92"/>
        <v>3.6885245901639344E-2</v>
      </c>
      <c r="F225" s="162">
        <f t="shared" si="93"/>
        <v>5.7777777777777775E-2</v>
      </c>
      <c r="G225" s="162">
        <f t="shared" si="94"/>
        <v>5.2401746724890827E-2</v>
      </c>
      <c r="H225" s="164" t="e">
        <f t="shared" si="95"/>
        <v>#N/A</v>
      </c>
      <c r="I225" s="96"/>
      <c r="J225" s="96"/>
      <c r="K225" s="166"/>
      <c r="L225" s="166"/>
      <c r="M225" s="166"/>
      <c r="N225" s="166"/>
      <c r="O225" s="166"/>
      <c r="P225" s="166"/>
      <c r="Q225" s="166"/>
      <c r="R225" s="167"/>
      <c r="S225" s="159"/>
      <c r="T225" s="159"/>
      <c r="U225" s="166"/>
      <c r="V225" s="122"/>
      <c r="W225" s="139"/>
      <c r="X225" s="152"/>
      <c r="Y225" s="577" t="str">
        <f t="shared" si="89"/>
        <v>Isle of Wight</v>
      </c>
      <c r="Z225" s="581">
        <f>IF(Year1_Isle_of_Wight Year1_CP_Plans_ceased="","",Year1_Isle_of_Wight Year1_CP_Plans_ceased)</f>
        <v>332</v>
      </c>
      <c r="AA225" s="372">
        <f>IF(Year2_Isle_of_Wight Year2_CP_Plans_ceased="","",Year2_Isle_of_Wight Year2_CP_Plans_ceased)</f>
        <v>244</v>
      </c>
      <c r="AB225" s="372">
        <f>IF(Year3_Isle_of_Wight Year3_CP_Plans_ceased="","",Year3_Isle_of_Wight Year3_CP_Plans_ceased)</f>
        <v>225</v>
      </c>
      <c r="AC225" s="372">
        <f>IF(Year4_Isle_of_Wight Year4_CP_Plans_ceased="","",Year4_Isle_of_Wight Year4_CP_Plans_ceased)</f>
        <v>229</v>
      </c>
      <c r="AD225" s="1490">
        <f>IF(Year5_Isle_of_Wight Year5_CP_Plans_ceased="","",Year5_Isle_of_Wight Year5_CP_Plans_ceased)</f>
        <v>184</v>
      </c>
      <c r="AE225" s="384" t="str">
        <f t="shared" si="90"/>
        <v>Isle of Wight</v>
      </c>
      <c r="AF225" s="489">
        <f>IF(Year1_Isle_of_Wight Year1_CP_Plans_ceased_2years="","",Year1_Isle_of_Wight Year1_CP_Plans_ceased_2years)</f>
        <v>15</v>
      </c>
      <c r="AG225" s="372">
        <f>IF(Year2_Isle_of_Wight Year2_CP_Plans_ceased_2years="","",Year2_Isle_of_Wight Year2_CP_Plans_ceased_2years)</f>
        <v>9</v>
      </c>
      <c r="AH225" s="372">
        <f>IF(Year3_Isle_of_Wight Year3_CP_Plans_ceased_2years="","",Year3_Isle_of_Wight Year3_CP_Plans_ceased_2years)</f>
        <v>13</v>
      </c>
      <c r="AI225" s="372">
        <f>IF(Year4_Isle_of_Wight Year4_CP_Plans_ceased_2years="","",Year4_Isle_of_Wight Year4_CP_Plans_ceased_2years)</f>
        <v>12</v>
      </c>
      <c r="AJ225" s="602" t="str">
        <f>IF(Year5_Isle_of_Wight Year5_CP_Plans_ceased_2years="","",Year5_Isle_of_Wight Year5_CP_Plans_ceased_2years)</f>
        <v>c</v>
      </c>
      <c r="AK225" s="160"/>
      <c r="AS225" s="87" t="s">
        <v>102</v>
      </c>
    </row>
    <row r="226" spans="1:45" s="87" customFormat="1" ht="12.75" customHeight="1" x14ac:dyDescent="0.2">
      <c r="A226" s="488">
        <f>VLOOKUP(B226,Sheet1!$AQ$4:$AR$25,2,FALSE)</f>
        <v>0</v>
      </c>
      <c r="B226" s="93" t="str">
        <f t="shared" si="84"/>
        <v>Kent</v>
      </c>
      <c r="C226" s="85"/>
      <c r="D226" s="162">
        <f t="shared" si="91"/>
        <v>2.911978821972204E-2</v>
      </c>
      <c r="E226" s="162">
        <f t="shared" si="92"/>
        <v>3.7800687285223365E-2</v>
      </c>
      <c r="F226" s="162">
        <f t="shared" si="93"/>
        <v>4.1309431021044424E-2</v>
      </c>
      <c r="G226" s="162">
        <f t="shared" si="94"/>
        <v>5.7124518613607192E-2</v>
      </c>
      <c r="H226" s="164">
        <f t="shared" si="95"/>
        <v>5.7200538358008077E-2</v>
      </c>
      <c r="I226" s="96"/>
      <c r="J226" s="96"/>
      <c r="K226" s="166"/>
      <c r="L226" s="166"/>
      <c r="M226" s="166"/>
      <c r="N226" s="166"/>
      <c r="O226" s="166"/>
      <c r="P226" s="166"/>
      <c r="Q226" s="166"/>
      <c r="R226" s="167"/>
      <c r="S226" s="159"/>
      <c r="T226" s="159"/>
      <c r="U226" s="166"/>
      <c r="V226" s="122"/>
      <c r="W226" s="139"/>
      <c r="X226" s="152"/>
      <c r="Y226" s="577" t="str">
        <f t="shared" si="89"/>
        <v>Kent</v>
      </c>
      <c r="Z226" s="581">
        <f>IF(Year1_Kent Year1_CP_Plans_ceased="","",Year1_Kent Year1_CP_Plans_ceased)</f>
        <v>1511</v>
      </c>
      <c r="AA226" s="372">
        <f>IF(Year2_Kent Year2_CP_Plans_ceased="","",Year2_Kent Year2_CP_Plans_ceased)</f>
        <v>1164</v>
      </c>
      <c r="AB226" s="372">
        <f>IF(Year3_Kent Year3_CP_Plans_ceased="","",Year3_Kent Year3_CP_Plans_ceased)</f>
        <v>1283</v>
      </c>
      <c r="AC226" s="372">
        <f>IF(Year4_Kent Year4_CP_Plans_ceased="","",Year4_Kent Year4_CP_Plans_ceased)</f>
        <v>1558</v>
      </c>
      <c r="AD226" s="1490">
        <f>IF(Year5_Kent Year5_CP_Plans_ceased="","",Year5_Kent Year5_CP_Plans_ceased)</f>
        <v>1486</v>
      </c>
      <c r="AE226" s="384" t="str">
        <f t="shared" si="90"/>
        <v>Kent</v>
      </c>
      <c r="AF226" s="489">
        <f>IF(Year1_Kent Year1_CP_Plans_ceased_2years="","",Year1_Kent Year1_CP_Plans_ceased_2years)</f>
        <v>44</v>
      </c>
      <c r="AG226" s="372">
        <f>IF(Year2_Kent Year2_CP_Plans_ceased_2years="","",Year2_Kent Year2_CP_Plans_ceased_2years)</f>
        <v>44</v>
      </c>
      <c r="AH226" s="372">
        <f>IF(Year3_Kent Year3_CP_Plans_ceased_2years="","",Year3_Kent Year3_CP_Plans_ceased_2years)</f>
        <v>53</v>
      </c>
      <c r="AI226" s="372">
        <f>IF(Year4_Kent Year4_CP_Plans_ceased_2years="","",Year4_Kent Year4_CP_Plans_ceased_2years)</f>
        <v>89</v>
      </c>
      <c r="AJ226" s="602">
        <f>IF(Year5_Kent Year5_CP_Plans_ceased_2years="","",Year5_Kent Year5_CP_Plans_ceased_2years)</f>
        <v>85</v>
      </c>
      <c r="AK226" s="160"/>
    </row>
    <row r="227" spans="1:45" s="87" customFormat="1" ht="12.75" customHeight="1" x14ac:dyDescent="0.2">
      <c r="A227" s="488">
        <f>VLOOKUP(B227,Sheet1!$AQ$4:$AR$25,2,FALSE)</f>
        <v>0</v>
      </c>
      <c r="B227" s="93" t="str">
        <f t="shared" si="84"/>
        <v>Medway</v>
      </c>
      <c r="C227" s="85"/>
      <c r="D227" s="162">
        <f t="shared" si="91"/>
        <v>4.4715447154471545E-2</v>
      </c>
      <c r="E227" s="162">
        <f t="shared" si="92"/>
        <v>5.9782608695652176E-2</v>
      </c>
      <c r="F227" s="162">
        <f t="shared" si="93"/>
        <v>5.089820359281437E-2</v>
      </c>
      <c r="G227" s="162">
        <f t="shared" si="94"/>
        <v>7.2052401746724892E-2</v>
      </c>
      <c r="H227" s="164">
        <f t="shared" si="95"/>
        <v>4.6315789473684213E-2</v>
      </c>
      <c r="I227" s="96"/>
      <c r="J227" s="96"/>
      <c r="K227" s="166"/>
      <c r="L227" s="166"/>
      <c r="M227" s="166"/>
      <c r="N227" s="166"/>
      <c r="O227" s="166"/>
      <c r="P227" s="166"/>
      <c r="Q227" s="166"/>
      <c r="R227" s="167"/>
      <c r="S227" s="159"/>
      <c r="T227" s="159"/>
      <c r="U227" s="166"/>
      <c r="V227" s="122"/>
      <c r="W227" s="139"/>
      <c r="X227" s="152"/>
      <c r="Y227" s="577" t="str">
        <f t="shared" si="89"/>
        <v>Medway</v>
      </c>
      <c r="Z227" s="581">
        <f>IF(Year1_Medway Year1_CP_Plans_ceased="","",Year1_Medway Year1_CP_Plans_ceased)</f>
        <v>492</v>
      </c>
      <c r="AA227" s="372">
        <f>IF(Year2_Medway Year2_CP_Plans_ceased="","",Year2_Medway Year2_CP_Plans_ceased)</f>
        <v>552</v>
      </c>
      <c r="AB227" s="372">
        <f>IF(Year3_Medway Year3_CP_Plans_ceased="","",Year3_Medway Year3_CP_Plans_ceased)</f>
        <v>334</v>
      </c>
      <c r="AC227" s="372">
        <f>IF(Year4_Medway Year4_CP_Plans_ceased="","",Year4_Medway Year4_CP_Plans_ceased)</f>
        <v>458</v>
      </c>
      <c r="AD227" s="1490">
        <f>IF(Year5_Medway Year5_CP_Plans_ceased="","",Year5_Medway Year5_CP_Plans_ceased)</f>
        <v>475</v>
      </c>
      <c r="AE227" s="384" t="str">
        <f t="shared" si="90"/>
        <v>Medway</v>
      </c>
      <c r="AF227" s="489">
        <f>IF(Year1_Medway Year1_CP_Plans_ceased_2years="","",Year1_Medway Year1_CP_Plans_ceased_2years)</f>
        <v>22</v>
      </c>
      <c r="AG227" s="372">
        <f>IF(Year2_Medway Year2_CP_Plans_ceased_2years="","",Year2_Medway Year2_CP_Plans_ceased_2years)</f>
        <v>33</v>
      </c>
      <c r="AH227" s="372">
        <f>IF(Year3_Medway Year3_CP_Plans_ceased_2years="","",Year3_Medway Year3_CP_Plans_ceased_2years)</f>
        <v>17</v>
      </c>
      <c r="AI227" s="372">
        <f>IF(Year4_Medway Year4_CP_Plans_ceased_2years="","",Year4_Medway Year4_CP_Plans_ceased_2years)</f>
        <v>33</v>
      </c>
      <c r="AJ227" s="602">
        <f>IF(Year5_Medway Year5_CP_Plans_ceased_2years="","",Year5_Medway Year5_CP_Plans_ceased_2years)</f>
        <v>22</v>
      </c>
      <c r="AK227" s="160"/>
    </row>
    <row r="228" spans="1:45" s="87" customFormat="1" ht="12.75" customHeight="1" x14ac:dyDescent="0.2">
      <c r="A228" s="488">
        <f>VLOOKUP(B228,Sheet1!$AQ$4:$AR$25,2,FALSE)</f>
        <v>0</v>
      </c>
      <c r="B228" s="93" t="str">
        <f t="shared" si="84"/>
        <v>Milton Keynes</v>
      </c>
      <c r="C228" s="85"/>
      <c r="D228" s="162" t="e">
        <f t="shared" si="91"/>
        <v>#N/A</v>
      </c>
      <c r="E228" s="162">
        <f t="shared" si="92"/>
        <v>0</v>
      </c>
      <c r="F228" s="162">
        <f t="shared" si="93"/>
        <v>0</v>
      </c>
      <c r="G228" s="162" t="e">
        <f t="shared" si="94"/>
        <v>#N/A</v>
      </c>
      <c r="H228" s="164" t="e">
        <f t="shared" si="95"/>
        <v>#N/A</v>
      </c>
      <c r="I228" s="96"/>
      <c r="J228" s="96"/>
      <c r="K228" s="166"/>
      <c r="L228" s="166"/>
      <c r="M228" s="166"/>
      <c r="N228" s="166"/>
      <c r="O228" s="166"/>
      <c r="P228" s="166"/>
      <c r="Q228" s="166"/>
      <c r="R228" s="167"/>
      <c r="S228" s="159"/>
      <c r="T228" s="159"/>
      <c r="U228" s="166"/>
      <c r="V228" s="122"/>
      <c r="W228" s="139"/>
      <c r="X228" s="152"/>
      <c r="Y228" s="577" t="str">
        <f t="shared" si="89"/>
        <v>Milton Keynes</v>
      </c>
      <c r="Z228" s="581">
        <f>IF(Year1_Milton_Keynes Year1_CP_Plans_ceased="","",Year1_Milton_Keynes Year1_CP_Plans_ceased)</f>
        <v>74</v>
      </c>
      <c r="AA228" s="372">
        <f>IF(Year2_Milton_Keynes Year2_CP_Plans_ceased="","",Year2_Milton_Keynes Year2_CP_Plans_ceased)</f>
        <v>140</v>
      </c>
      <c r="AB228" s="372">
        <f>IF(Year3_Milton_Keynes Year3_CP_Plans_ceased="","",Year3_Milton_Keynes Year3_CP_Plans_ceased)</f>
        <v>148</v>
      </c>
      <c r="AC228" s="372">
        <f>IF(Year4_Milton_Keynes Year4_CP_Plans_ceased="","",Year4_Milton_Keynes Year4_CP_Plans_ceased)</f>
        <v>171</v>
      </c>
      <c r="AD228" s="1490">
        <f>IF(Year5_Milton_Keynes Year5_CP_Plans_ceased="","",Year5_Milton_Keynes Year5_CP_Plans_ceased)</f>
        <v>233</v>
      </c>
      <c r="AE228" s="384" t="str">
        <f t="shared" si="90"/>
        <v>Milton Keynes</v>
      </c>
      <c r="AF228" s="489" t="str">
        <f>IF(Year1_Milton_Keynes Year1_CP_Plans_ceased_2years="","",Year1_Milton_Keynes Year1_CP_Plans_ceased_2years)</f>
        <v>x</v>
      </c>
      <c r="AG228" s="372">
        <f>IF(Year2_Milton_Keynes Year2_CP_Plans_ceased_2years="","",Year2_Milton_Keynes Year2_CP_Plans_ceased_2years)</f>
        <v>0</v>
      </c>
      <c r="AH228" s="372">
        <f>IF(Year3_Milton_Keynes Year3_CP_Plans_ceased_2years="","",Year3_Milton_Keynes Year3_CP_Plans_ceased_2years)</f>
        <v>0</v>
      </c>
      <c r="AI228" s="372" t="str">
        <f>IF(Year4_Milton_Keynes Year4_CP_Plans_ceased_2years="","",Year4_Milton_Keynes Year4_CP_Plans_ceased_2years)</f>
        <v>x</v>
      </c>
      <c r="AJ228" s="602" t="str">
        <f>IF(Year5_Milton_Keynes Year5_CP_Plans_ceased_2years="","",Year5_Milton_Keynes Year5_CP_Plans_ceased_2years)</f>
        <v>c</v>
      </c>
      <c r="AK228" s="160"/>
    </row>
    <row r="229" spans="1:45" s="87" customFormat="1" ht="12.75" customHeight="1" x14ac:dyDescent="0.2">
      <c r="A229" s="488">
        <f>VLOOKUP(B229,Sheet1!$AQ$4:$AR$25,2,FALSE)</f>
        <v>0</v>
      </c>
      <c r="B229" s="93" t="str">
        <f t="shared" si="84"/>
        <v>Oxfordshire</v>
      </c>
      <c r="C229" s="85"/>
      <c r="D229" s="162">
        <f t="shared" si="91"/>
        <v>4.9645390070921988E-2</v>
      </c>
      <c r="E229" s="162">
        <f t="shared" si="92"/>
        <v>4.4619422572178477E-2</v>
      </c>
      <c r="F229" s="162">
        <f t="shared" si="93"/>
        <v>4.0935672514619881E-2</v>
      </c>
      <c r="G229" s="162">
        <f t="shared" si="94"/>
        <v>6.7938021454112041E-2</v>
      </c>
      <c r="H229" s="164">
        <f t="shared" si="95"/>
        <v>6.6914498141263934E-2</v>
      </c>
      <c r="I229" s="96"/>
      <c r="J229" s="96"/>
      <c r="K229" s="166"/>
      <c r="L229" s="166"/>
      <c r="M229" s="166"/>
      <c r="N229" s="166"/>
      <c r="O229" s="166"/>
      <c r="P229" s="166"/>
      <c r="Q229" s="166"/>
      <c r="R229" s="167"/>
      <c r="S229" s="159"/>
      <c r="T229" s="159"/>
      <c r="U229" s="166"/>
      <c r="V229" s="122"/>
      <c r="W229" s="139"/>
      <c r="X229" s="152"/>
      <c r="Y229" s="577" t="str">
        <f t="shared" si="89"/>
        <v>Oxfordshire</v>
      </c>
      <c r="Z229" s="581">
        <f>IF(Year1_Oxfordshire Year1_CP_Plans_ceased="","",Year1_Oxfordshire Year1_CP_Plans_ceased)</f>
        <v>705</v>
      </c>
      <c r="AA229" s="372">
        <f>IF(Year2_Oxfordshire Year2_CP_Plans_ceased="","",Year2_Oxfordshire Year2_CP_Plans_ceased)</f>
        <v>762</v>
      </c>
      <c r="AB229" s="372">
        <f>IF(Year3_Oxfordshire Year3_CP_Plans_ceased="","",Year3_Oxfordshire Year3_CP_Plans_ceased)</f>
        <v>684</v>
      </c>
      <c r="AC229" s="372">
        <f>IF(Year4_Oxfordshire Year4_CP_Plans_ceased="","",Year4_Oxfordshire Year4_CP_Plans_ceased)</f>
        <v>839</v>
      </c>
      <c r="AD229" s="1490">
        <f>IF(Year5_Oxfordshire Year5_CP_Plans_ceased="","",Year5_Oxfordshire Year5_CP_Plans_ceased)</f>
        <v>807</v>
      </c>
      <c r="AE229" s="384" t="str">
        <f t="shared" si="90"/>
        <v>Oxfordshire</v>
      </c>
      <c r="AF229" s="489">
        <f>IF(Year1_Oxfordshire Year1_CP_Plans_ceased_2years="","",Year1_Oxfordshire Year1_CP_Plans_ceased_2years)</f>
        <v>35</v>
      </c>
      <c r="AG229" s="372">
        <f>IF(Year2_Oxfordshire Year2_CP_Plans_ceased_2years="","",Year2_Oxfordshire Year2_CP_Plans_ceased_2years)</f>
        <v>34</v>
      </c>
      <c r="AH229" s="372">
        <f>IF(Year3_Oxfordshire Year3_CP_Plans_ceased_2years="","",Year3_Oxfordshire Year3_CP_Plans_ceased_2years)</f>
        <v>28</v>
      </c>
      <c r="AI229" s="372">
        <f>IF(Year4_Oxfordshire Year4_CP_Plans_ceased_2years="","",Year4_Oxfordshire Year4_CP_Plans_ceased_2years)</f>
        <v>57</v>
      </c>
      <c r="AJ229" s="602">
        <f>IF(Year5_Oxfordshire Year5_CP_Plans_ceased_2years="","",Year5_Oxfordshire Year5_CP_Plans_ceased_2years)</f>
        <v>54</v>
      </c>
      <c r="AK229" s="160"/>
    </row>
    <row r="230" spans="1:45" s="87" customFormat="1" ht="12.75" customHeight="1" x14ac:dyDescent="0.2">
      <c r="A230" s="488">
        <f>VLOOKUP(B230,Sheet1!$AQ$4:$AR$25,2,FALSE)</f>
        <v>0</v>
      </c>
      <c r="B230" s="93" t="str">
        <f t="shared" si="84"/>
        <v>Portsmouth</v>
      </c>
      <c r="C230" s="85"/>
      <c r="D230" s="162" t="e">
        <f t="shared" si="91"/>
        <v>#N/A</v>
      </c>
      <c r="E230" s="162">
        <f t="shared" si="92"/>
        <v>3.9473684210526314E-2</v>
      </c>
      <c r="F230" s="162">
        <f t="shared" si="93"/>
        <v>5.8091286307053944E-2</v>
      </c>
      <c r="G230" s="162">
        <f t="shared" si="94"/>
        <v>5.8139534883720929E-2</v>
      </c>
      <c r="H230" s="164">
        <f t="shared" si="95"/>
        <v>2.4054982817869417E-2</v>
      </c>
      <c r="I230" s="96"/>
      <c r="J230" s="96"/>
      <c r="K230" s="166"/>
      <c r="L230" s="166"/>
      <c r="M230" s="166"/>
      <c r="N230" s="166"/>
      <c r="O230" s="166"/>
      <c r="P230" s="166"/>
      <c r="Q230" s="166"/>
      <c r="R230" s="167"/>
      <c r="S230" s="159"/>
      <c r="T230" s="159"/>
      <c r="U230" s="166"/>
      <c r="V230" s="122"/>
      <c r="W230" s="139"/>
      <c r="X230" s="152"/>
      <c r="Y230" s="577" t="str">
        <f t="shared" si="89"/>
        <v>Portsmouth</v>
      </c>
      <c r="Z230" s="581">
        <f>IF(Year1_Portsmouth Year1_CP_Plans_ceased="","",Year1_Portsmouth Year1_CP_Plans_ceased)</f>
        <v>260</v>
      </c>
      <c r="AA230" s="372">
        <f>IF(Year2_Portsmouth Year2_CP_Plans_ceased="","",Year2_Portsmouth Year2_CP_Plans_ceased)</f>
        <v>304</v>
      </c>
      <c r="AB230" s="372">
        <f>IF(Year3_Portsmouth Year3_CP_Plans_ceased="","",Year3_Portsmouth Year3_CP_Plans_ceased)</f>
        <v>241</v>
      </c>
      <c r="AC230" s="372">
        <f>IF(Year4_Portsmouth Year4_CP_Plans_ceased="","",Year4_Portsmouth Year4_CP_Plans_ceased)</f>
        <v>344</v>
      </c>
      <c r="AD230" s="1490">
        <f>IF(Year5_Portsmouth Year5_CP_Plans_ceased="","",Year5_Portsmouth Year5_CP_Plans_ceased)</f>
        <v>291</v>
      </c>
      <c r="AE230" s="384" t="str">
        <f t="shared" si="90"/>
        <v>Portsmouth</v>
      </c>
      <c r="AF230" s="489" t="str">
        <f>IF(Year1_Portsmouth Year1_CP_Plans_ceased_2years="","",Year1_Portsmouth Year1_CP_Plans_ceased_2years)</f>
        <v>x</v>
      </c>
      <c r="AG230" s="372">
        <f>IF(Year2_Portsmouth Year2_CP_Plans_ceased_2years="","",Year2_Portsmouth Year2_CP_Plans_ceased_2years)</f>
        <v>12</v>
      </c>
      <c r="AH230" s="372">
        <f>IF(Year3_Portsmouth Year3_CP_Plans_ceased_2years="","",Year3_Portsmouth Year3_CP_Plans_ceased_2years)</f>
        <v>14</v>
      </c>
      <c r="AI230" s="372">
        <f>IF(Year4_Portsmouth Year4_CP_Plans_ceased_2years="","",Year4_Portsmouth Year4_CP_Plans_ceased_2years)</f>
        <v>20</v>
      </c>
      <c r="AJ230" s="602">
        <f>IF(Year5_Portsmouth Year5_CP_Plans_ceased_2years="","",Year5_Portsmouth Year5_CP_Plans_ceased_2years)</f>
        <v>7</v>
      </c>
      <c r="AK230" s="160"/>
    </row>
    <row r="231" spans="1:45" s="87" customFormat="1" ht="12.75" customHeight="1" x14ac:dyDescent="0.2">
      <c r="A231" s="488">
        <f>VLOOKUP(B231,Sheet1!$AQ$4:$AR$25,2,FALSE)</f>
        <v>0</v>
      </c>
      <c r="B231" s="93" t="str">
        <f t="shared" si="84"/>
        <v>Reading</v>
      </c>
      <c r="C231" s="85"/>
      <c r="D231" s="162">
        <f t="shared" si="91"/>
        <v>3.1358885017421602E-2</v>
      </c>
      <c r="E231" s="162">
        <f t="shared" si="92"/>
        <v>2.6229508196721311E-2</v>
      </c>
      <c r="F231" s="162">
        <f t="shared" si="93"/>
        <v>3.6764705882352942E-2</v>
      </c>
      <c r="G231" s="162">
        <f t="shared" si="94"/>
        <v>3.7735849056603772E-2</v>
      </c>
      <c r="H231" s="164">
        <f t="shared" si="95"/>
        <v>5.4151624548736461E-2</v>
      </c>
      <c r="I231" s="96"/>
      <c r="J231" s="96"/>
      <c r="K231" s="166"/>
      <c r="L231" s="166"/>
      <c r="M231" s="166"/>
      <c r="N231" s="166"/>
      <c r="O231" s="166"/>
      <c r="P231" s="166"/>
      <c r="Q231" s="166"/>
      <c r="R231" s="167"/>
      <c r="S231" s="159"/>
      <c r="T231" s="159"/>
      <c r="U231" s="166"/>
      <c r="V231" s="122"/>
      <c r="W231" s="139"/>
      <c r="X231" s="152"/>
      <c r="Y231" s="577" t="str">
        <f t="shared" si="89"/>
        <v>Reading</v>
      </c>
      <c r="Z231" s="581">
        <f>IF(Year1_Reading Year1_CP_Plans_ceased="","",Year1_Reading Year1_CP_Plans_ceased)</f>
        <v>287</v>
      </c>
      <c r="AA231" s="372">
        <f>IF(Year2_Reading Year2_CP_Plans_ceased="","",Year2_Reading Year2_CP_Plans_ceased)</f>
        <v>305</v>
      </c>
      <c r="AB231" s="372">
        <f>IF(Year3_Reading Year3_CP_Plans_ceased="","",Year3_Reading Year3_CP_Plans_ceased)</f>
        <v>408</v>
      </c>
      <c r="AC231" s="372">
        <f>IF(Year4_Reading Year4_CP_Plans_ceased="","",Year4_Reading Year4_CP_Plans_ceased)</f>
        <v>371</v>
      </c>
      <c r="AD231" s="1490">
        <f>IF(Year5_Reading Year5_CP_Plans_ceased="","",Year5_Reading Year5_CP_Plans_ceased)</f>
        <v>277</v>
      </c>
      <c r="AE231" s="384" t="str">
        <f t="shared" si="90"/>
        <v>Reading</v>
      </c>
      <c r="AF231" s="489">
        <f>IF(Year1_Reading Year1_CP_Plans_ceased_2years="","",Year1_Reading Year1_CP_Plans_ceased_2years)</f>
        <v>9</v>
      </c>
      <c r="AG231" s="372">
        <f>IF(Year2_Reading Year2_CP_Plans_ceased_2years="","",Year2_Reading Year2_CP_Plans_ceased_2years)</f>
        <v>8</v>
      </c>
      <c r="AH231" s="372">
        <f>IF(Year3_Reading Year3_CP_Plans_ceased_2years="","",Year3_Reading Year3_CP_Plans_ceased_2years)</f>
        <v>15</v>
      </c>
      <c r="AI231" s="372">
        <f>IF(Year4_Reading Year4_CP_Plans_ceased_2years="","",Year4_Reading Year4_CP_Plans_ceased_2years)</f>
        <v>14</v>
      </c>
      <c r="AJ231" s="602">
        <f>IF(Year5_Reading Year5_CP_Plans_ceased_2years="","",Year5_Reading Year5_CP_Plans_ceased_2years)</f>
        <v>15</v>
      </c>
      <c r="AK231" s="160"/>
    </row>
    <row r="232" spans="1:45" s="87" customFormat="1" ht="12.75" customHeight="1" x14ac:dyDescent="0.2">
      <c r="A232" s="488">
        <f>VLOOKUP(B232,Sheet1!$AQ$4:$AR$25,2,FALSE)</f>
        <v>0</v>
      </c>
      <c r="B232" s="93" t="str">
        <f t="shared" si="84"/>
        <v>Slough</v>
      </c>
      <c r="C232" s="85"/>
      <c r="D232" s="162" t="e">
        <f t="shared" si="91"/>
        <v>#N/A</v>
      </c>
      <c r="E232" s="162" t="e">
        <f t="shared" si="92"/>
        <v>#N/A</v>
      </c>
      <c r="F232" s="162" t="e">
        <f t="shared" si="93"/>
        <v>#N/A</v>
      </c>
      <c r="G232" s="162" t="e">
        <f t="shared" si="94"/>
        <v>#N/A</v>
      </c>
      <c r="H232" s="164">
        <f t="shared" si="95"/>
        <v>5.128205128205128E-2</v>
      </c>
      <c r="I232" s="96"/>
      <c r="J232" s="96"/>
      <c r="K232" s="166"/>
      <c r="L232" s="166"/>
      <c r="M232" s="166"/>
      <c r="N232" s="166"/>
      <c r="O232" s="166"/>
      <c r="P232" s="166"/>
      <c r="Q232" s="166"/>
      <c r="R232" s="167"/>
      <c r="S232" s="159"/>
      <c r="T232" s="159"/>
      <c r="U232" s="166"/>
      <c r="V232" s="122"/>
      <c r="W232" s="139"/>
      <c r="X232" s="152"/>
      <c r="Y232" s="577" t="str">
        <f t="shared" si="89"/>
        <v>Slough</v>
      </c>
      <c r="Z232" s="581">
        <f>IF(Year1_Slough Year1_CP_Plans_ceased="","",Year1_Slough Year1_CP_Plans_ceased)</f>
        <v>311</v>
      </c>
      <c r="AA232" s="372">
        <f>IF(Year2_Slough Year2_CP_Plans_ceased="","",Year2_Slough Year2_CP_Plans_ceased)</f>
        <v>365</v>
      </c>
      <c r="AB232" s="372">
        <f>IF(Year3_Slough Year3_CP_Plans_ceased="","",Year3_Slough Year3_CP_Plans_ceased)</f>
        <v>232</v>
      </c>
      <c r="AC232" s="372">
        <f>IF(Year4_Slough Year4_CP_Plans_ceased="","",Year4_Slough Year4_CP_Plans_ceased)</f>
        <v>210</v>
      </c>
      <c r="AD232" s="1490">
        <f>IF(Year5_Slough Year5_CP_Plans_ceased="","",Year5_Slough Year5_CP_Plans_ceased)</f>
        <v>234</v>
      </c>
      <c r="AE232" s="384" t="str">
        <f t="shared" si="90"/>
        <v>Slough</v>
      </c>
      <c r="AF232" s="489" t="str">
        <f>IF(Year1_Slough Year1_CP_Plans_ceased_2years="","",Year1_Slough Year1_CP_Plans_ceased_2years)</f>
        <v>x</v>
      </c>
      <c r="AG232" s="372" t="str">
        <f>IF(Year2_Slough Year2_CP_Plans_ceased_2years="","",Year2_Slough Year2_CP_Plans_ceased_2years)</f>
        <v>x</v>
      </c>
      <c r="AH232" s="372" t="str">
        <f>IF(Year3_Slough Year3_CP_Plans_ceased_2years="","",Year3_Slough Year3_CP_Plans_ceased_2years)</f>
        <v>x</v>
      </c>
      <c r="AI232" s="372" t="str">
        <f>IF(Year4_Slough Year4_CP_Plans_ceased_2years="","",Year4_Slough Year4_CP_Plans_ceased_2years)</f>
        <v>x</v>
      </c>
      <c r="AJ232" s="602">
        <f>IF(Year5_Slough Year5_CP_Plans_ceased_2years="","",Year5_Slough Year5_CP_Plans_ceased_2years)</f>
        <v>12</v>
      </c>
      <c r="AK232" s="160"/>
    </row>
    <row r="233" spans="1:45" s="87" customFormat="1" ht="12.75" customHeight="1" x14ac:dyDescent="0.2">
      <c r="A233" s="488">
        <f>VLOOKUP(B233,Sheet1!$AQ$4:$AR$25,2,FALSE)</f>
        <v>0</v>
      </c>
      <c r="B233" s="93" t="str">
        <f t="shared" si="84"/>
        <v>Somerset</v>
      </c>
      <c r="C233" s="85"/>
      <c r="D233" s="162">
        <f t="shared" si="91"/>
        <v>4.7473200612557429E-2</v>
      </c>
      <c r="E233" s="162">
        <f t="shared" si="92"/>
        <v>0.02</v>
      </c>
      <c r="F233" s="162">
        <f t="shared" si="93"/>
        <v>1.1857707509881422E-2</v>
      </c>
      <c r="G233" s="162">
        <f t="shared" si="94"/>
        <v>4.1257367387033402E-2</v>
      </c>
      <c r="H233" s="164">
        <f t="shared" si="95"/>
        <v>4.8223350253807105E-2</v>
      </c>
      <c r="I233" s="96"/>
      <c r="J233" s="96"/>
      <c r="K233" s="166"/>
      <c r="L233" s="166"/>
      <c r="M233" s="166"/>
      <c r="N233" s="166"/>
      <c r="O233" s="166"/>
      <c r="P233" s="166"/>
      <c r="Q233" s="166"/>
      <c r="R233" s="167"/>
      <c r="S233" s="159"/>
      <c r="T233" s="159"/>
      <c r="U233" s="166"/>
      <c r="V233" s="122"/>
      <c r="W233" s="139"/>
      <c r="X233" s="152"/>
      <c r="Y233" s="577" t="str">
        <f t="shared" si="89"/>
        <v>Somerset</v>
      </c>
      <c r="Z233" s="581">
        <f>IF(Year1_Somerset Year1_CP_Plans_ceased="","",Year1_Somerset Year1_CP_Plans_ceased)</f>
        <v>653</v>
      </c>
      <c r="AA233" s="372">
        <f>IF(Year2_Somerset Year2_CP_Plans_ceased="","",Year2_Somerset Year2_CP_Plans_ceased)</f>
        <v>450</v>
      </c>
      <c r="AB233" s="372">
        <f>IF(Year3_Somerset Year3_CP_Plans_ceased="","",Year3_Somerset Year3_CP_Plans_ceased)</f>
        <v>506</v>
      </c>
      <c r="AC233" s="372">
        <f>IF(Year4_Somerset Year4_CP_Plans_ceased="","",Year4_Somerset Year4_CP_Plans_ceased)</f>
        <v>509</v>
      </c>
      <c r="AD233" s="1490">
        <f>IF(Year5_Somerset Year5_CP_Plans_ceased="","",Year5_Somerset Year5_CP_Plans_ceased)</f>
        <v>394</v>
      </c>
      <c r="AE233" s="384" t="str">
        <f t="shared" si="90"/>
        <v>Somerset</v>
      </c>
      <c r="AF233" s="489">
        <f>IF(Year1_Somerset Year1_CP_Plans_ceased_2years="","",Year1_Somerset Year1_CP_Plans_ceased_2years)</f>
        <v>31</v>
      </c>
      <c r="AG233" s="372">
        <f>IF(Year2_Somerset Year2_CP_Plans_ceased_2years="","",Year2_Somerset Year2_CP_Plans_ceased_2years)</f>
        <v>9</v>
      </c>
      <c r="AH233" s="372">
        <f>IF(Year3_Somerset Year3_CP_Plans_ceased_2years="","",Year3_Somerset Year3_CP_Plans_ceased_2years)</f>
        <v>6</v>
      </c>
      <c r="AI233" s="372">
        <f>IF(Year4_Somerset Year4_CP_Plans_ceased_2years="","",Year4_Somerset Year4_CP_Plans_ceased_2years)</f>
        <v>21</v>
      </c>
      <c r="AJ233" s="602">
        <f>IF(Year5_Somerset Year5_CP_Plans_ceased_2years="","",Year5_Somerset Year5_CP_Plans_ceased_2years)</f>
        <v>19</v>
      </c>
      <c r="AK233" s="160"/>
    </row>
    <row r="234" spans="1:45" s="87" customFormat="1" ht="12.75" customHeight="1" x14ac:dyDescent="0.2">
      <c r="A234" s="488">
        <f>VLOOKUP(B234,Sheet1!$AQ$4:$AR$25,2,FALSE)</f>
        <v>0</v>
      </c>
      <c r="B234" s="93" t="str">
        <f t="shared" si="84"/>
        <v>Southampton</v>
      </c>
      <c r="C234" s="85"/>
      <c r="D234" s="162">
        <f t="shared" si="91"/>
        <v>1.0849909584086799E-2</v>
      </c>
      <c r="E234" s="162">
        <f t="shared" si="92"/>
        <v>4.2452830188679243E-2</v>
      </c>
      <c r="F234" s="162">
        <f t="shared" si="93"/>
        <v>3.0612244897959183E-2</v>
      </c>
      <c r="G234" s="162">
        <f t="shared" si="94"/>
        <v>1.7199017199017199E-2</v>
      </c>
      <c r="H234" s="164">
        <f t="shared" si="95"/>
        <v>2.9748283752860413E-2</v>
      </c>
      <c r="I234" s="96"/>
      <c r="J234" s="96"/>
      <c r="K234" s="166"/>
      <c r="L234" s="166"/>
      <c r="M234" s="166"/>
      <c r="N234" s="166"/>
      <c r="O234" s="166"/>
      <c r="P234" s="166"/>
      <c r="Q234" s="166"/>
      <c r="R234" s="167"/>
      <c r="S234" s="159"/>
      <c r="T234" s="159"/>
      <c r="U234" s="166"/>
      <c r="V234" s="122"/>
      <c r="W234" s="139"/>
      <c r="X234" s="152"/>
      <c r="Y234" s="577" t="str">
        <f t="shared" si="89"/>
        <v>Southampton</v>
      </c>
      <c r="Z234" s="581">
        <f>IF(Year1_Southampton Year1_CP_Plans_ceased="","",Year1_Southampton Year1_CP_Plans_ceased)</f>
        <v>553</v>
      </c>
      <c r="AA234" s="372">
        <f>IF(Year2_Southampton Year2_CP_Plans_ceased="","",Year2_Southampton Year2_CP_Plans_ceased)</f>
        <v>424</v>
      </c>
      <c r="AB234" s="372">
        <f>IF(Year3_Southampton Year3_CP_Plans_ceased="","",Year3_Southampton Year3_CP_Plans_ceased)</f>
        <v>392</v>
      </c>
      <c r="AC234" s="372">
        <f>IF(Year4_Southampton Year4_CP_Plans_ceased="","",Year4_Southampton Year4_CP_Plans_ceased)</f>
        <v>407</v>
      </c>
      <c r="AD234" s="1490">
        <f>IF(Year5_Southampton Year5_CP_Plans_ceased="","",Year5_Southampton Year5_CP_Plans_ceased)</f>
        <v>437</v>
      </c>
      <c r="AE234" s="384" t="str">
        <f t="shared" si="90"/>
        <v>Southampton</v>
      </c>
      <c r="AF234" s="489">
        <f>IF(Year1_Southampton Year1_CP_Plans_ceased_2years="","",Year1_Southampton Year1_CP_Plans_ceased_2years)</f>
        <v>6</v>
      </c>
      <c r="AG234" s="372">
        <f>IF(Year2_Southampton Year2_CP_Plans_ceased_2years="","",Year2_Southampton Year2_CP_Plans_ceased_2years)</f>
        <v>18</v>
      </c>
      <c r="AH234" s="372">
        <f>IF(Year3_Southampton Year3_CP_Plans_ceased_2years="","",Year3_Southampton Year3_CP_Plans_ceased_2years)</f>
        <v>12</v>
      </c>
      <c r="AI234" s="372">
        <f>IF(Year4_Southampton Year4_CP_Plans_ceased_2years="","",Year4_Southampton Year4_CP_Plans_ceased_2years)</f>
        <v>7</v>
      </c>
      <c r="AJ234" s="602">
        <f>IF(Year5_Southampton Year5_CP_Plans_ceased_2years="","",Year5_Southampton Year5_CP_Plans_ceased_2years)</f>
        <v>13</v>
      </c>
      <c r="AK234" s="160"/>
    </row>
    <row r="235" spans="1:45" s="87" customFormat="1" ht="12.75" customHeight="1" x14ac:dyDescent="0.2">
      <c r="A235" s="488">
        <f>VLOOKUP(B235,Sheet1!$AQ$4:$AR$25,2,FALSE)</f>
        <v>0</v>
      </c>
      <c r="B235" s="93" t="str">
        <f t="shared" si="84"/>
        <v>Surrey</v>
      </c>
      <c r="C235" s="85"/>
      <c r="D235" s="162">
        <f t="shared" si="91"/>
        <v>9.8654708520179366E-2</v>
      </c>
      <c r="E235" s="162">
        <f t="shared" si="92"/>
        <v>5.5762081784386616E-2</v>
      </c>
      <c r="F235" s="162">
        <f t="shared" si="93"/>
        <v>6.0544904137235116E-2</v>
      </c>
      <c r="G235" s="162">
        <f t="shared" si="94"/>
        <v>4.5183290707587385E-2</v>
      </c>
      <c r="H235" s="164">
        <f t="shared" si="95"/>
        <v>6.9214876033057857E-2</v>
      </c>
      <c r="I235" s="96"/>
      <c r="J235" s="96"/>
      <c r="K235" s="166"/>
      <c r="L235" s="166"/>
      <c r="M235" s="166"/>
      <c r="N235" s="166"/>
      <c r="O235" s="166"/>
      <c r="P235" s="166"/>
      <c r="Q235" s="166"/>
      <c r="R235" s="167"/>
      <c r="S235" s="159"/>
      <c r="T235" s="159"/>
      <c r="U235" s="166"/>
      <c r="V235" s="122"/>
      <c r="W235" s="139"/>
      <c r="X235" s="152"/>
      <c r="Y235" s="577" t="str">
        <f t="shared" si="89"/>
        <v>Surrey</v>
      </c>
      <c r="Z235" s="581">
        <f>IF(Year1_Surrey Year1_CP_Plans_ceased="","",Year1_Surrey Year1_CP_Plans_ceased)</f>
        <v>1115</v>
      </c>
      <c r="AA235" s="372">
        <f>IF(Year2_Surrey Year2_CP_Plans_ceased="","",Year2_Surrey Year2_CP_Plans_ceased)</f>
        <v>1076</v>
      </c>
      <c r="AB235" s="372">
        <f>IF(Year3_Surrey Year3_CP_Plans_ceased="","",Year3_Surrey Year3_CP_Plans_ceased)</f>
        <v>991</v>
      </c>
      <c r="AC235" s="372">
        <f>IF(Year4_Surrey Year4_CP_Plans_ceased="","",Year4_Surrey Year4_CP_Plans_ceased)</f>
        <v>1173</v>
      </c>
      <c r="AD235" s="1490">
        <f>IF(Year5_Surrey Year5_CP_Plans_ceased="","",Year5_Surrey Year5_CP_Plans_ceased)</f>
        <v>968</v>
      </c>
      <c r="AE235" s="384" t="str">
        <f t="shared" si="90"/>
        <v>Surrey</v>
      </c>
      <c r="AF235" s="489">
        <f>IF(Year1_Surrey Year1_CP_Plans_ceased_2years="","",Year1_Surrey Year1_CP_Plans_ceased_2years)</f>
        <v>110</v>
      </c>
      <c r="AG235" s="372">
        <f>IF(Year2_Surrey Year2_CP_Plans_ceased_2years="","",Year2_Surrey Year2_CP_Plans_ceased_2years)</f>
        <v>60</v>
      </c>
      <c r="AH235" s="372">
        <f>IF(Year3_Surrey Year3_CP_Plans_ceased_2years="","",Year3_Surrey Year3_CP_Plans_ceased_2years)</f>
        <v>60</v>
      </c>
      <c r="AI235" s="372">
        <f>IF(Year4_Surrey Year4_CP_Plans_ceased_2years="","",Year4_Surrey Year4_CP_Plans_ceased_2years)</f>
        <v>53</v>
      </c>
      <c r="AJ235" s="602">
        <f>IF(Year5_Surrey Year5_CP_Plans_ceased_2years="","",Year5_Surrey Year5_CP_Plans_ceased_2years)</f>
        <v>67</v>
      </c>
      <c r="AK235" s="160"/>
    </row>
    <row r="236" spans="1:45" s="87" customFormat="1" ht="12.75" customHeight="1" x14ac:dyDescent="0.2">
      <c r="A236" s="488">
        <f>VLOOKUP(B236,Sheet1!$AQ$4:$AR$25,2,FALSE)</f>
        <v>0</v>
      </c>
      <c r="B236" s="93" t="str">
        <f t="shared" si="84"/>
        <v>Swindon</v>
      </c>
      <c r="C236" s="85"/>
      <c r="D236" s="162">
        <f t="shared" si="91"/>
        <v>3.125E-2</v>
      </c>
      <c r="E236" s="162">
        <f t="shared" si="92"/>
        <v>3.5598705501618123E-2</v>
      </c>
      <c r="F236" s="162">
        <f t="shared" si="93"/>
        <v>1.5706806282722512E-2</v>
      </c>
      <c r="G236" s="162">
        <f t="shared" si="94"/>
        <v>4.2410714285714288E-2</v>
      </c>
      <c r="H236" s="164">
        <f t="shared" si="95"/>
        <v>6.4516129032258063E-2</v>
      </c>
      <c r="I236" s="96"/>
      <c r="J236" s="96"/>
      <c r="K236" s="166"/>
      <c r="L236" s="166"/>
      <c r="M236" s="166"/>
      <c r="N236" s="166"/>
      <c r="O236" s="166"/>
      <c r="P236" s="166"/>
      <c r="Q236" s="166"/>
      <c r="R236" s="167"/>
      <c r="S236" s="159"/>
      <c r="T236" s="159"/>
      <c r="U236" s="166"/>
      <c r="V236" s="122"/>
      <c r="W236" s="139"/>
      <c r="X236" s="152"/>
      <c r="Y236" s="577" t="str">
        <f t="shared" si="89"/>
        <v>Swindon</v>
      </c>
      <c r="Z236" s="581">
        <f>IF(Year1_Swindon Year1_CP_Plans_ceased="","",Year1_Swindon Year1_CP_Plans_ceased)</f>
        <v>256</v>
      </c>
      <c r="AA236" s="372">
        <f>IF(Year2_Swindon Year2_CP_Plans_ceased="","",Year2_Swindon Year2_CP_Plans_ceased)</f>
        <v>309</v>
      </c>
      <c r="AB236" s="372">
        <f>IF(Year3_Swindon Year3_CP_Plans_ceased="","",Year3_Swindon Year3_CP_Plans_ceased)</f>
        <v>382</v>
      </c>
      <c r="AC236" s="580">
        <f>IF(Year4_Swindon Year4_CP_Plans_ceased="","",Year4_Swindon Year4_CP_Plans_ceased)</f>
        <v>448</v>
      </c>
      <c r="AD236" s="1491">
        <f>IF(Year5_Swindon Year5_CP_Plans_ceased="","",Year5_Swindon Year5_CP_Plans_ceased)</f>
        <v>403</v>
      </c>
      <c r="AE236" s="384" t="str">
        <f t="shared" si="90"/>
        <v>Swindon</v>
      </c>
      <c r="AF236" s="489">
        <f>IF(Year1_Swindon Year1_CP_Plans_ceased_2years="","",Year1_Swindon Year1_CP_Plans_ceased_2years)</f>
        <v>8</v>
      </c>
      <c r="AG236" s="372">
        <f>IF(Year2_Swindon Year2_CP_Plans_ceased_2years="","",Year2_Swindon Year2_CP_Plans_ceased_2years)</f>
        <v>11</v>
      </c>
      <c r="AH236" s="372">
        <f>IF(Year3_Swindon Year3_CP_Plans_ceased_2years="","",Year3_Swindon Year3_CP_Plans_ceased_2years)</f>
        <v>6</v>
      </c>
      <c r="AI236" s="580">
        <f>IF(Year4_Swindon Year4_CP_Plans_ceased_2years="","",Year4_Swindon Year4_CP_Plans_ceased_2years)</f>
        <v>19</v>
      </c>
      <c r="AJ236" s="1493">
        <f>IF(Year5_Swindon Year5_CP_Plans_ceased_2years="","",Year5_Swindon Year5_CP_Plans_ceased_2years)</f>
        <v>26</v>
      </c>
      <c r="AK236" s="160"/>
    </row>
    <row r="237" spans="1:45" s="87" customFormat="1" ht="12.75" customHeight="1" x14ac:dyDescent="0.2">
      <c r="A237" s="488">
        <f>VLOOKUP(B237,Sheet1!$AQ$4:$AR$25,2,FALSE)</f>
        <v>0</v>
      </c>
      <c r="B237" s="93" t="str">
        <f t="shared" si="84"/>
        <v>Torbay</v>
      </c>
      <c r="C237" s="85"/>
      <c r="D237" s="162" t="e">
        <f t="shared" si="91"/>
        <v>#N/A</v>
      </c>
      <c r="E237" s="162" t="e">
        <f t="shared" si="92"/>
        <v>#N/A</v>
      </c>
      <c r="F237" s="162">
        <f t="shared" si="93"/>
        <v>3.2967032967032968E-2</v>
      </c>
      <c r="G237" s="162" t="e">
        <f t="shared" si="94"/>
        <v>#N/A</v>
      </c>
      <c r="H237" s="164">
        <f t="shared" si="95"/>
        <v>0</v>
      </c>
      <c r="I237" s="96"/>
      <c r="J237" s="96"/>
      <c r="K237" s="166"/>
      <c r="L237" s="166"/>
      <c r="M237" s="166"/>
      <c r="N237" s="166"/>
      <c r="O237" s="166"/>
      <c r="P237" s="166"/>
      <c r="Q237" s="166"/>
      <c r="R237" s="167"/>
      <c r="S237" s="159"/>
      <c r="T237" s="159"/>
      <c r="U237" s="166"/>
      <c r="V237" s="122"/>
      <c r="W237" s="139"/>
      <c r="X237" s="152"/>
      <c r="Y237" s="577" t="str">
        <f t="shared" si="89"/>
        <v>Torbay</v>
      </c>
      <c r="Z237" s="581">
        <f>IF(Year1_Torbay Year1_CP_Plans_ceased="","",Year1_Torbay Year1_CP_Plans_ceased)</f>
        <v>292</v>
      </c>
      <c r="AA237" s="372">
        <f>IF(Year2_Torbay Year2_CP_Plans_ceased="","",Year2_Torbay Year2_CP_Plans_ceased)</f>
        <v>217</v>
      </c>
      <c r="AB237" s="372">
        <f>IF(Year3_Torbay Year3_CP_Plans_ceased="","",Year3_Torbay Year3_CP_Plans_ceased)</f>
        <v>364</v>
      </c>
      <c r="AC237" s="580">
        <f>IF(Year4_Torbay Year4_CP_Plans_ceased="","",Year4_Torbay Year4_CP_Plans_ceased)</f>
        <v>211</v>
      </c>
      <c r="AD237" s="1492">
        <f>IF(Year5_Torbay Year5_CP_Plans_ceased="","",Year5_Torbay Year5_CP_Plans_ceased)</f>
        <v>280</v>
      </c>
      <c r="AE237" s="384" t="str">
        <f t="shared" si="90"/>
        <v>Torbay</v>
      </c>
      <c r="AF237" s="489" t="str">
        <f>IF(Year1_Torbay Year1_CP_Plans_ceased_2years="","",Year1_Torbay Year1_CP_Plans_ceased_2years)</f>
        <v>x</v>
      </c>
      <c r="AG237" s="372" t="str">
        <f>IF(Year2_Torbay Year2_CP_Plans_ceased_2years="","",Year2_Torbay Year2_CP_Plans_ceased_2years)</f>
        <v>x</v>
      </c>
      <c r="AH237" s="372">
        <f>IF(Year3_Torbay Year3_CP_Plans_ceased_2years="","",Year3_Torbay Year3_CP_Plans_ceased_2years)</f>
        <v>12</v>
      </c>
      <c r="AI237" s="580" t="str">
        <f>IF(Year4_Torbay Year4_CP_Plans_ceased_2years="","",Year4_Torbay Year4_CP_Plans_ceased_2years)</f>
        <v>x</v>
      </c>
      <c r="AJ237" s="1402">
        <f>IF(Year5_Torbay Year5_CP_Plans_ceased_2years="","",Year5_Torbay Year5_CP_Plans_ceased_2years)</f>
        <v>0</v>
      </c>
      <c r="AK237" s="160"/>
    </row>
    <row r="238" spans="1:45" s="87" customFormat="1" ht="12.75" customHeight="1" x14ac:dyDescent="0.2">
      <c r="A238" s="488">
        <f>VLOOKUP(B238,Sheet1!$AQ$4:$AR$25,2,FALSE)</f>
        <v>0</v>
      </c>
      <c r="B238" s="93" t="str">
        <f t="shared" si="84"/>
        <v>West Berkshire</v>
      </c>
      <c r="C238" s="85"/>
      <c r="D238" s="162" t="e">
        <f t="shared" si="91"/>
        <v>#N/A</v>
      </c>
      <c r="E238" s="162" t="e">
        <f t="shared" si="92"/>
        <v>#N/A</v>
      </c>
      <c r="F238" s="162">
        <f t="shared" si="93"/>
        <v>2.2222222222222223E-2</v>
      </c>
      <c r="G238" s="162" t="e">
        <f t="shared" si="94"/>
        <v>#N/A</v>
      </c>
      <c r="H238" s="164" t="e">
        <f t="shared" si="95"/>
        <v>#N/A</v>
      </c>
      <c r="I238" s="96"/>
      <c r="J238" s="96"/>
      <c r="K238" s="166"/>
      <c r="L238" s="166"/>
      <c r="M238" s="166"/>
      <c r="N238" s="166"/>
      <c r="O238" s="166"/>
      <c r="P238" s="166"/>
      <c r="Q238" s="166"/>
      <c r="R238" s="167"/>
      <c r="S238" s="159"/>
      <c r="T238" s="159"/>
      <c r="U238" s="166"/>
      <c r="V238" s="122"/>
      <c r="W238" s="139"/>
      <c r="X238" s="152"/>
      <c r="Y238" s="577" t="str">
        <f t="shared" si="89"/>
        <v>West Berkshire</v>
      </c>
      <c r="Z238" s="581">
        <f>IF(Year1_West_Berkshire Year1_CP_Plans_ceased="","",Year1_West_Berkshire Year1_CP_Plans_ceased)</f>
        <v>183</v>
      </c>
      <c r="AA238" s="372">
        <f>IF(Year2_West_Berkshire Year2_CP_Plans_ceased="","",Year2_West_Berkshire Year2_CP_Plans_ceased)</f>
        <v>200</v>
      </c>
      <c r="AB238" s="372">
        <f>IF(Year3_West_Berkshire Year3_CP_Plans_ceased="","",Year3_West_Berkshire Year3_CP_Plans_ceased)</f>
        <v>225</v>
      </c>
      <c r="AC238" s="372">
        <f>IF(Year4_West_Berkshire Year4_CP_Plans_ceased="","",Year4_West_Berkshire Year4_CP_Plans_ceased)</f>
        <v>251</v>
      </c>
      <c r="AD238" s="1490">
        <f>IF(Year5_West_Berkshire Year5_CP_Plans_ceased="","",Year5_West_Berkshire Year5_CP_Plans_ceased)</f>
        <v>182</v>
      </c>
      <c r="AE238" s="384" t="str">
        <f t="shared" si="90"/>
        <v>West Berkshire</v>
      </c>
      <c r="AF238" s="489" t="str">
        <f>IF(Year1_West_Berkshire Year1_CP_Plans_ceased_2years="","",Year1_West_Berkshire Year1_CP_Plans_ceased_2years)</f>
        <v>x</v>
      </c>
      <c r="AG238" s="372" t="str">
        <f>IF(Year2_West_Berkshire Year2_CP_Plans_ceased_2years="","",Year2_West_Berkshire Year2_CP_Plans_ceased_2years)</f>
        <v>x</v>
      </c>
      <c r="AH238" s="372">
        <f>IF(Year3_West_Berkshire Year3_CP_Plans_ceased_2years="","",Year3_West_Berkshire Year3_CP_Plans_ceased_2years)</f>
        <v>5</v>
      </c>
      <c r="AI238" s="372" t="str">
        <f>IF(Year4_West_Berkshire Year4_CP_Plans_ceased_2years="","",Year4_West_Berkshire Year4_CP_Plans_ceased_2years)</f>
        <v>x</v>
      </c>
      <c r="AJ238" s="602" t="str">
        <f>IF(Year5_West_Berkshire Year5_CP_Plans_ceased_2years="","",Year5_West_Berkshire Year5_CP_Plans_ceased_2years)</f>
        <v>c</v>
      </c>
      <c r="AK238" s="160"/>
    </row>
    <row r="239" spans="1:45" s="87" customFormat="1" ht="12.75" customHeight="1" x14ac:dyDescent="0.2">
      <c r="A239" s="488">
        <f>VLOOKUP(B239,Sheet1!$AQ$4:$AR$25,2,FALSE)</f>
        <v>0</v>
      </c>
      <c r="B239" s="93" t="str">
        <f t="shared" si="84"/>
        <v>West Sussex</v>
      </c>
      <c r="C239" s="85"/>
      <c r="D239" s="162">
        <f t="shared" si="91"/>
        <v>3.5294117647058823E-2</v>
      </c>
      <c r="E239" s="162">
        <f t="shared" si="92"/>
        <v>6.6162570888468802E-2</v>
      </c>
      <c r="F239" s="162">
        <f t="shared" si="93"/>
        <v>3.5135135135135137E-2</v>
      </c>
      <c r="G239" s="162">
        <f t="shared" si="94"/>
        <v>3.2596041909196738E-2</v>
      </c>
      <c r="H239" s="164">
        <f t="shared" si="95"/>
        <v>5.8016877637130801E-2</v>
      </c>
      <c r="I239" s="96"/>
      <c r="J239" s="96"/>
      <c r="K239" s="166"/>
      <c r="L239" s="166"/>
      <c r="M239" s="166"/>
      <c r="N239" s="166"/>
      <c r="O239" s="166"/>
      <c r="P239" s="166"/>
      <c r="Q239" s="166"/>
      <c r="R239" s="167"/>
      <c r="S239" s="159"/>
      <c r="T239" s="159"/>
      <c r="U239" s="166"/>
      <c r="V239" s="122"/>
      <c r="W239" s="139"/>
      <c r="X239" s="152"/>
      <c r="Y239" s="577" t="str">
        <f t="shared" si="89"/>
        <v>West Sussex</v>
      </c>
      <c r="Z239" s="581">
        <f>IF(Year1_West_Sussex Year1_CP_Plans_ceased="","",Year1_West_Sussex Year1_CP_Plans_ceased)</f>
        <v>595</v>
      </c>
      <c r="AA239" s="372">
        <f>IF(Year2_West_Sussex Year2_CP_Plans_ceased="","",Year2_West_Sussex Year2_CP_Plans_ceased)</f>
        <v>529</v>
      </c>
      <c r="AB239" s="372">
        <f>IF(Year3_West_Sussex Year3_CP_Plans_ceased="","",Year3_West_Sussex Year3_CP_Plans_ceased)</f>
        <v>740</v>
      </c>
      <c r="AC239" s="372">
        <f>IF(Year4_West_Sussex Year4_CP_Plans_ceased="","",Year4_West_Sussex Year4_CP_Plans_ceased)</f>
        <v>859</v>
      </c>
      <c r="AD239" s="1490">
        <f>IF(Year5_West_Sussex Year5_CP_Plans_ceased="","",Year5_West_Sussex Year5_CP_Plans_ceased)</f>
        <v>948</v>
      </c>
      <c r="AE239" s="384" t="str">
        <f t="shared" si="90"/>
        <v>West Sussex</v>
      </c>
      <c r="AF239" s="489">
        <f>IF(Year1_West_Sussex Year1_CP_Plans_ceased_2years="","",Year1_West_Sussex Year1_CP_Plans_ceased_2years)</f>
        <v>21</v>
      </c>
      <c r="AG239" s="372">
        <f>IF(Year2_West_Sussex Year2_CP_Plans_ceased_2years="","",Year2_West_Sussex Year2_CP_Plans_ceased_2years)</f>
        <v>35</v>
      </c>
      <c r="AH239" s="372">
        <f>IF(Year3_West_Sussex Year3_CP_Plans_ceased_2years="","",Year3_West_Sussex Year3_CP_Plans_ceased_2years)</f>
        <v>26</v>
      </c>
      <c r="AI239" s="372">
        <f>IF(Year4_West_Sussex Year4_CP_Plans_ceased_2years="","",Year4_West_Sussex Year4_CP_Plans_ceased_2years)</f>
        <v>28</v>
      </c>
      <c r="AJ239" s="602">
        <f>IF(Year5_West_Sussex Year5_CP_Plans_ceased_2years="","",Year5_West_Sussex Year5_CP_Plans_ceased_2years)</f>
        <v>55</v>
      </c>
      <c r="AK239" s="160"/>
    </row>
    <row r="240" spans="1:45" s="87" customFormat="1" ht="12.75" customHeight="1" x14ac:dyDescent="0.2">
      <c r="A240" s="488">
        <f>VLOOKUP(B240,Sheet1!$AQ$4:$AR$25,2,FALSE)</f>
        <v>0</v>
      </c>
      <c r="B240" s="93" t="str">
        <f t="shared" si="84"/>
        <v>Windsor &amp; Maidenhead</v>
      </c>
      <c r="C240" s="85"/>
      <c r="D240" s="162">
        <f t="shared" si="91"/>
        <v>0</v>
      </c>
      <c r="E240" s="162" t="e">
        <f t="shared" si="92"/>
        <v>#N/A</v>
      </c>
      <c r="F240" s="162" t="e">
        <f t="shared" si="93"/>
        <v>#N/A</v>
      </c>
      <c r="G240" s="162" t="e">
        <f t="shared" si="94"/>
        <v>#N/A</v>
      </c>
      <c r="H240" s="164">
        <f t="shared" si="95"/>
        <v>4.6511627906976744E-2</v>
      </c>
      <c r="I240" s="96"/>
      <c r="J240" s="96"/>
      <c r="K240" s="166"/>
      <c r="L240" s="166"/>
      <c r="M240" s="166"/>
      <c r="N240" s="166"/>
      <c r="O240" s="166"/>
      <c r="P240" s="166"/>
      <c r="Q240" s="166"/>
      <c r="R240" s="167"/>
      <c r="S240" s="159"/>
      <c r="T240" s="159"/>
      <c r="U240" s="166"/>
      <c r="V240" s="122"/>
      <c r="W240" s="139"/>
      <c r="X240" s="152"/>
      <c r="Y240" s="577" t="str">
        <f t="shared" si="89"/>
        <v>Windsor &amp; Maidenhead</v>
      </c>
      <c r="Z240" s="581">
        <f>IF(Year1_Windsor_Maidenhead Year1_CP_Plans_ceased="","",Year1_Windsor_Maidenhead Year1_CP_Plans_ceased)</f>
        <v>94</v>
      </c>
      <c r="AA240" s="372">
        <f>IF(Year2_Windsor_Maidenhead Year2_CP_Plans_ceased="","",Year2_Windsor_Maidenhead Year2_CP_Plans_ceased)</f>
        <v>176</v>
      </c>
      <c r="AB240" s="372">
        <f>IF(Year3_Windsor_Maidenhead Year3_CP_Plans_ceased="","",Year3_Windsor_Maidenhead Year3_CP_Plans_ceased)</f>
        <v>193</v>
      </c>
      <c r="AC240" s="372">
        <f>IF(Year4_Windsor_Maidenhead Year4_CP_Plans_ceased="","",Year4_Windsor_Maidenhead Year4_CP_Plans_ceased)</f>
        <v>76</v>
      </c>
      <c r="AD240" s="1490">
        <f>IF(Year5_Windsor_Maidenhead Year5_CP_Plans_ceased="","",Year5_Windsor_Maidenhead Year5_CP_Plans_ceased)</f>
        <v>172</v>
      </c>
      <c r="AE240" s="384" t="str">
        <f t="shared" si="90"/>
        <v>Windsor &amp; Maidenhead</v>
      </c>
      <c r="AF240" s="489">
        <f>IF(Year1_Windsor_Maidenhead Year1_CP_Plans_ceased_2years="","",Year1_Windsor_Maidenhead Year1_CP_Plans_ceased_2years)</f>
        <v>0</v>
      </c>
      <c r="AG240" s="372" t="str">
        <f>IF(Year2_Windsor_Maidenhead Year2_CP_Plans_ceased_2years="","",Year2_Windsor_Maidenhead Year2_CP_Plans_ceased_2years)</f>
        <v>x</v>
      </c>
      <c r="AH240" s="372" t="str">
        <f>IF(Year3_Windsor_Maidenhead Year3_CP_Plans_ceased_2years="","",Year3_Windsor_Maidenhead Year3_CP_Plans_ceased_2years)</f>
        <v>x</v>
      </c>
      <c r="AI240" s="372" t="str">
        <f>IF(Year4_Windsor_Maidenhead Year4_CP_Plans_ceased_2years="","",Year4_Windsor_Maidenhead Year4_CP_Plans_ceased_2years)</f>
        <v>x</v>
      </c>
      <c r="AJ240" s="602">
        <f>IF(Year5_Windsor_Maidenhead Year5_CP_Plans_ceased_2years="","",Year5_Windsor_Maidenhead Year5_CP_Plans_ceased_2years)</f>
        <v>8</v>
      </c>
      <c r="AK240" s="160"/>
    </row>
    <row r="241" spans="1:46" s="87" customFormat="1" ht="12.75" customHeight="1" x14ac:dyDescent="0.2">
      <c r="A241" s="488">
        <f>VLOOKUP(B241,Sheet1!$AQ$4:$AR$25,2,FALSE)</f>
        <v>0</v>
      </c>
      <c r="B241" s="93" t="str">
        <f t="shared" si="84"/>
        <v>Wokingham</v>
      </c>
      <c r="C241" s="85"/>
      <c r="D241" s="162" t="e">
        <f t="shared" si="91"/>
        <v>#N/A</v>
      </c>
      <c r="E241" s="162">
        <f t="shared" si="92"/>
        <v>0</v>
      </c>
      <c r="F241" s="162">
        <f t="shared" si="93"/>
        <v>0</v>
      </c>
      <c r="G241" s="162">
        <f t="shared" si="94"/>
        <v>4.1025641025641026E-2</v>
      </c>
      <c r="H241" s="164" t="e">
        <f t="shared" si="95"/>
        <v>#N/A</v>
      </c>
      <c r="I241" s="96"/>
      <c r="J241" s="96"/>
      <c r="K241" s="166"/>
      <c r="L241" s="166"/>
      <c r="M241" s="166"/>
      <c r="N241" s="166"/>
      <c r="O241" s="166"/>
      <c r="P241" s="166"/>
      <c r="Q241" s="166"/>
      <c r="R241" s="167"/>
      <c r="S241" s="159"/>
      <c r="T241" s="159"/>
      <c r="U241" s="166"/>
      <c r="V241" s="122"/>
      <c r="W241" s="139"/>
      <c r="X241" s="152"/>
      <c r="Y241" s="577" t="str">
        <f t="shared" si="89"/>
        <v>Wokingham</v>
      </c>
      <c r="Z241" s="581">
        <f>IF(Year1_Wokingham Year1_CP_Plans_ceased="","",Year1_Wokingham Year1_CP_Plans_ceased)</f>
        <v>97</v>
      </c>
      <c r="AA241" s="372">
        <f>IF(Year2_Wokingham Year2_CP_Plans_ceased="","",Year2_Wokingham Year2_CP_Plans_ceased)</f>
        <v>105</v>
      </c>
      <c r="AB241" s="372">
        <f>IF(Year3_Wokingham Year3_CP_Plans_ceased="","",Year3_Wokingham Year3_CP_Plans_ceased)</f>
        <v>70</v>
      </c>
      <c r="AC241" s="372">
        <f>IF(Year4_Wokingham Year4_CP_Plans_ceased="","",Year4_Wokingham Year4_CP_Plans_ceased)</f>
        <v>195</v>
      </c>
      <c r="AD241" s="1490">
        <f>IF(Year5_Wokingham Year5_CP_Plans_ceased="","",Year5_Wokingham Year5_CP_Plans_ceased)</f>
        <v>164</v>
      </c>
      <c r="AE241" s="384" t="str">
        <f t="shared" si="90"/>
        <v>Wokingham</v>
      </c>
      <c r="AF241" s="489" t="str">
        <f>IF(Year1_Wokingham Year1_CP_Plans_ceased_2years="","",Year1_Wokingham Year1_CP_Plans_ceased_2years)</f>
        <v>x</v>
      </c>
      <c r="AG241" s="372">
        <f>IF(Year2_Wokingham Year2_CP_Plans_ceased_2years="","",Year2_Wokingham Year2_CP_Plans_ceased_2years)</f>
        <v>0</v>
      </c>
      <c r="AH241" s="372">
        <f>IF(Year3_Wokingham Year3_CP_Plans_ceased_2years="","",Year3_Wokingham Year3_CP_Plans_ceased_2years)</f>
        <v>0</v>
      </c>
      <c r="AI241" s="372">
        <f>IF(Year4_Wokingham Year4_CP_Plans_ceased_2years="","",Year4_Wokingham Year4_CP_Plans_ceased_2years)</f>
        <v>8</v>
      </c>
      <c r="AJ241" s="602" t="str">
        <f>IF(Year5_Wokingham Year5_CP_Plans_ceased_2years="","",Year5_Wokingham Year5_CP_Plans_ceased_2years)</f>
        <v>c</v>
      </c>
      <c r="AK241" s="160"/>
    </row>
    <row r="242" spans="1:46" s="87" customFormat="1" ht="12.75" customHeight="1" x14ac:dyDescent="0.2">
      <c r="A242" s="121"/>
      <c r="B242" s="129" t="str">
        <f t="shared" si="84"/>
        <v>South East</v>
      </c>
      <c r="C242" s="85"/>
      <c r="D242" s="163">
        <f t="shared" si="91"/>
        <v>4.5643153526970952E-2</v>
      </c>
      <c r="E242" s="163">
        <f t="shared" si="92"/>
        <v>4.4806517311608958E-2</v>
      </c>
      <c r="F242" s="163">
        <f t="shared" si="93"/>
        <v>4.8574445617740235E-2</v>
      </c>
      <c r="G242" s="163">
        <f t="shared" si="94"/>
        <v>4.6425255338904362E-2</v>
      </c>
      <c r="H242" s="165">
        <f t="shared" si="95"/>
        <v>5.0632911392405063E-2</v>
      </c>
      <c r="I242" s="96"/>
      <c r="J242" s="96"/>
      <c r="K242" s="168"/>
      <c r="L242" s="168"/>
      <c r="M242" s="168"/>
      <c r="N242" s="168"/>
      <c r="O242" s="168"/>
      <c r="P242" s="168"/>
      <c r="Q242" s="168"/>
      <c r="R242" s="169"/>
      <c r="S242" s="159"/>
      <c r="T242" s="159"/>
      <c r="U242" s="170"/>
      <c r="V242" s="122"/>
      <c r="W242" s="139"/>
      <c r="X242" s="152"/>
      <c r="Y242" s="577" t="str">
        <f>B242</f>
        <v>South East</v>
      </c>
      <c r="Z242" s="606">
        <f>IF(Year1_SouthEast Year1_CP_Plans_ceased="","",Year1_SouthEast Year1_CP_Plans_ceased)</f>
        <v>9640</v>
      </c>
      <c r="AA242" s="607">
        <f>IF(Year2_SouthEast Year2_CP_Plans_ceased="","",Year2_SouthEast Year2_CP_Plans_ceased)</f>
        <v>9820</v>
      </c>
      <c r="AB242" s="607">
        <f>IF(Year3_SouthEast Year3_CP_Plans_ceased="","",Year3_SouthEast Year3_CP_Plans_ceased)</f>
        <v>9470</v>
      </c>
      <c r="AC242" s="372">
        <f>IF(Year4_SouthEast Year4_CP_Plans_ceased="","",Year4_SouthEast Year4_CP_Plans_ceased)</f>
        <v>10770</v>
      </c>
      <c r="AD242" s="1490">
        <f>IF(Year5_SouthEast Year5_CP_Plans_ceased="","",Year5_SouthEast Year5_CP_Plans_ceased)</f>
        <v>10270</v>
      </c>
      <c r="AE242" s="384" t="str">
        <f t="shared" si="90"/>
        <v>South East</v>
      </c>
      <c r="AF242" s="607">
        <f>IF(Year1_SouthEast Year1_CP_Plans_ceased_2years="","",Year1_SouthEast Year1_CP_Plans_ceased_2years)</f>
        <v>440</v>
      </c>
      <c r="AG242" s="607">
        <f>IF(Year2_SouthEast Year2_CP_Plans_ceased_2years="","",Year2_SouthEast Year2_CP_Plans_ceased_2years)</f>
        <v>440</v>
      </c>
      <c r="AH242" s="607">
        <f>IF(Year3_SouthEast Year3_CP_Plans_ceased_2years="","",Year3_SouthEast Year3_CP_Plans_ceased_2years)</f>
        <v>460</v>
      </c>
      <c r="AI242" s="372">
        <f>IF(Year4_SouthEast Year4_CP_Plans_ceased_2years="","",Year4_SouthEast Year4_CP_Plans_ceased_2years)</f>
        <v>500</v>
      </c>
      <c r="AJ242" s="602">
        <f>IF(Year5_SouthEast Year5_CP_Plans_ceased_2years="","",Year5_SouthEast Year5_CP_Plans_ceased_2years)</f>
        <v>520</v>
      </c>
      <c r="AK242" s="160"/>
    </row>
    <row r="243" spans="1:46" s="87" customFormat="1" ht="12.75" x14ac:dyDescent="0.2">
      <c r="A243" s="121"/>
      <c r="B243" s="329" t="str">
        <f t="shared" si="84"/>
        <v>England</v>
      </c>
      <c r="C243" s="85"/>
      <c r="D243" s="351">
        <f t="shared" si="91"/>
        <v>3.8406374501992031E-2</v>
      </c>
      <c r="E243" s="351">
        <f t="shared" si="92"/>
        <v>3.4087435035157446E-2</v>
      </c>
      <c r="F243" s="351">
        <f t="shared" si="93"/>
        <v>3.4132281553398057E-2</v>
      </c>
      <c r="G243" s="351">
        <f t="shared" si="94"/>
        <v>3.3426594021499043E-2</v>
      </c>
      <c r="H243" s="352">
        <f t="shared" si="95"/>
        <v>3.5836941914289981E-2</v>
      </c>
      <c r="I243" s="96"/>
      <c r="J243" s="96"/>
      <c r="K243" s="168"/>
      <c r="L243" s="168"/>
      <c r="M243" s="168"/>
      <c r="N243" s="168"/>
      <c r="O243" s="168"/>
      <c r="P243" s="168"/>
      <c r="Q243" s="168"/>
      <c r="R243" s="169"/>
      <c r="S243" s="159"/>
      <c r="T243" s="159"/>
      <c r="U243" s="170"/>
      <c r="V243" s="122"/>
      <c r="W243" s="139"/>
      <c r="X243" s="152"/>
      <c r="Y243" s="577" t="str">
        <f t="shared" si="89"/>
        <v>England</v>
      </c>
      <c r="Z243" s="606">
        <f>IF(Year1_England Year1_CP_Plans_ceased="","",Year1_England Year1_CP_Plans_ceased)</f>
        <v>62750</v>
      </c>
      <c r="AA243" s="607">
        <f>IF(Year2_England Year2_CP_Plans_ceased="","",Year2_England Year2_CP_Plans_ceased)</f>
        <v>65420</v>
      </c>
      <c r="AB243" s="607">
        <f>IF(Year3_England Year3_CP_Plans_ceased="","",Year3_England Year3_CP_Plans_ceased)</f>
        <v>65920</v>
      </c>
      <c r="AC243" s="372">
        <f>IF(Year4_England Year4_CP_Plans_ceased="","",Year4_England Year4_CP_Plans_ceased)</f>
        <v>67910</v>
      </c>
      <c r="AD243" s="577">
        <f>IF(Year5_England Year5_CP_Plans_ceased="","",Year5_England Year5_CP_Plans_ceased)</f>
        <v>66970</v>
      </c>
      <c r="AE243" s="384" t="str">
        <f t="shared" si="90"/>
        <v>England</v>
      </c>
      <c r="AF243" s="607">
        <f>IF(Year1_England Year1_CP_Plans_ceased_2years="","",Year1_England Year1_CP_Plans_ceased_2years)</f>
        <v>2410</v>
      </c>
      <c r="AG243" s="607">
        <f>IF(Year2_England Year2_CP_Plans_ceased_2years="","",Year2_England Year2_CP_Plans_ceased_2years)</f>
        <v>2230</v>
      </c>
      <c r="AH243" s="607">
        <f>IF(Year3_England Year3_CP_Plans_ceased_2years="","",Year3_England Year3_CP_Plans_ceased_2years)</f>
        <v>2250</v>
      </c>
      <c r="AI243" s="372">
        <f>IF(Year4_England Year4_CP_Plans_ceased_2years="","",Year4_England Year4_CP_Plans_ceased_2years)</f>
        <v>2270</v>
      </c>
      <c r="AJ243" s="372">
        <f>IF(Year5_England Year5_CP_Plans_ceased_2years="","",Year5_England Year5_CP_Plans_ceased_2years)</f>
        <v>2400</v>
      </c>
      <c r="AK243" s="160"/>
    </row>
    <row r="244" spans="1:46" s="87" customFormat="1" ht="7.5" customHeight="1" x14ac:dyDescent="0.2">
      <c r="A244" s="292"/>
      <c r="B244" s="96"/>
      <c r="C244" s="96"/>
      <c r="D244" s="96"/>
      <c r="E244" s="96"/>
      <c r="F244" s="96"/>
      <c r="G244" s="96"/>
      <c r="H244" s="96"/>
      <c r="I244" s="96"/>
      <c r="J244" s="96"/>
      <c r="K244" s="168"/>
      <c r="L244" s="168"/>
      <c r="M244" s="168"/>
      <c r="N244" s="168"/>
      <c r="O244" s="168"/>
      <c r="P244" s="168"/>
      <c r="Q244" s="168"/>
      <c r="R244" s="169"/>
      <c r="S244" s="159"/>
      <c r="T244" s="159"/>
      <c r="U244" s="170"/>
      <c r="V244" s="122"/>
      <c r="W244" s="139"/>
      <c r="X244" s="152"/>
      <c r="Y244" s="188"/>
      <c r="Z244" s="188"/>
      <c r="AA244" s="81"/>
      <c r="AB244" s="81"/>
      <c r="AC244" s="81"/>
      <c r="AD244" s="81"/>
      <c r="AE244" s="81"/>
      <c r="AF244" s="202"/>
      <c r="AG244" s="202"/>
      <c r="AH244" s="202"/>
      <c r="AI244" s="190"/>
      <c r="AJ244" s="202"/>
      <c r="AK244" s="160"/>
    </row>
    <row r="245" spans="1:46" s="81" customFormat="1" ht="41.1" customHeight="1" x14ac:dyDescent="0.2">
      <c r="A245" s="217"/>
      <c r="B245" s="369"/>
      <c r="C245" s="369"/>
      <c r="D245" s="369"/>
      <c r="E245" s="369"/>
      <c r="F245" s="369"/>
      <c r="G245" s="369"/>
      <c r="H245" s="369"/>
      <c r="I245" s="369"/>
      <c r="J245" s="172"/>
      <c r="K245" s="172"/>
      <c r="L245" s="172"/>
      <c r="M245" s="172"/>
      <c r="N245" s="172"/>
      <c r="O245" s="172"/>
      <c r="P245" s="172"/>
      <c r="Q245" s="172"/>
      <c r="R245" s="136"/>
      <c r="S245" s="172"/>
      <c r="T245" s="172"/>
      <c r="U245" s="172"/>
      <c r="V245" s="117"/>
      <c r="W245" s="137"/>
      <c r="X245" s="150"/>
      <c r="AD245" s="197"/>
      <c r="AE245" s="199"/>
      <c r="AF245" s="184"/>
      <c r="AG245" s="184"/>
      <c r="AH245" s="184"/>
      <c r="AJ245" s="184"/>
      <c r="AK245" s="161"/>
    </row>
    <row r="246" spans="1:46" s="81" customFormat="1" ht="38.1" customHeight="1" x14ac:dyDescent="0.2">
      <c r="A246" s="217"/>
      <c r="B246" s="369"/>
      <c r="C246" s="369"/>
      <c r="D246" s="369"/>
      <c r="E246" s="369"/>
      <c r="F246" s="369"/>
      <c r="G246" s="369"/>
      <c r="H246" s="369"/>
      <c r="I246" s="369"/>
      <c r="J246" s="172"/>
      <c r="K246" s="172"/>
      <c r="L246" s="172"/>
      <c r="M246" s="172"/>
      <c r="N246" s="172"/>
      <c r="O246" s="172"/>
      <c r="P246" s="172"/>
      <c r="Q246" s="172"/>
      <c r="R246" s="136"/>
      <c r="S246" s="172"/>
      <c r="T246" s="172"/>
      <c r="U246" s="172"/>
      <c r="V246" s="117"/>
      <c r="W246" s="137"/>
      <c r="X246" s="150"/>
      <c r="Z246" s="190"/>
      <c r="AE246" s="199"/>
      <c r="AF246" s="184"/>
      <c r="AG246" s="184"/>
      <c r="AH246" s="184"/>
      <c r="AJ246" s="184"/>
      <c r="AK246" s="161"/>
    </row>
    <row r="247" spans="1:46" s="81" customFormat="1" ht="37.5" customHeight="1" x14ac:dyDescent="0.2">
      <c r="A247" s="217"/>
      <c r="B247" s="369"/>
      <c r="C247" s="369"/>
      <c r="D247" s="369"/>
      <c r="E247" s="369"/>
      <c r="F247" s="369"/>
      <c r="G247" s="369"/>
      <c r="H247" s="369"/>
      <c r="I247" s="369"/>
      <c r="J247" s="172"/>
      <c r="K247" s="172"/>
      <c r="L247" s="172"/>
      <c r="M247" s="172"/>
      <c r="N247" s="172"/>
      <c r="O247" s="172"/>
      <c r="P247" s="172"/>
      <c r="Q247" s="172"/>
      <c r="R247" s="136"/>
      <c r="S247" s="172"/>
      <c r="T247" s="172"/>
      <c r="U247" s="172"/>
      <c r="V247" s="117"/>
      <c r="W247" s="137"/>
      <c r="X247" s="150"/>
      <c r="Z247" s="190"/>
      <c r="AE247" s="199"/>
      <c r="AF247" s="184"/>
      <c r="AG247" s="184"/>
      <c r="AH247" s="184"/>
      <c r="AJ247" s="184"/>
      <c r="AK247" s="161"/>
    </row>
    <row r="248" spans="1:46" s="81" customFormat="1" ht="7.5" customHeight="1" x14ac:dyDescent="0.2">
      <c r="A248" s="118"/>
      <c r="B248" s="17"/>
      <c r="C248" s="17"/>
      <c r="D248" s="16"/>
      <c r="E248" s="16"/>
      <c r="F248" s="16"/>
      <c r="G248" s="16"/>
      <c r="H248" s="16"/>
      <c r="I248" s="16"/>
      <c r="J248" s="12"/>
      <c r="K248" s="18"/>
      <c r="L248" s="18"/>
      <c r="M248" s="18"/>
      <c r="N248" s="18"/>
      <c r="O248" s="18"/>
      <c r="P248" s="18"/>
      <c r="Q248" s="18"/>
      <c r="R248" s="18"/>
      <c r="S248" s="18"/>
      <c r="T248" s="18"/>
      <c r="U248" s="19"/>
      <c r="V248" s="117"/>
      <c r="W248" s="137"/>
      <c r="X248" s="150"/>
      <c r="Z248" s="190"/>
      <c r="AJ248" s="184"/>
      <c r="AK248" s="157"/>
      <c r="AL248" s="74"/>
      <c r="AM248" s="74"/>
      <c r="AN248" s="74"/>
      <c r="AO248" s="74"/>
      <c r="AP248" s="74"/>
      <c r="AQ248" s="74"/>
      <c r="AR248" s="74"/>
    </row>
    <row r="249" spans="1:46" s="81" customFormat="1" ht="15" customHeight="1" x14ac:dyDescent="0.2">
      <c r="A249" s="1716"/>
      <c r="B249" s="1760"/>
      <c r="C249" s="1760"/>
      <c r="D249" s="1760"/>
      <c r="E249" s="1760"/>
      <c r="F249" s="1760"/>
      <c r="G249" s="1760"/>
      <c r="H249" s="1760"/>
      <c r="I249" s="1760"/>
      <c r="J249" s="1760"/>
      <c r="K249" s="1760"/>
      <c r="L249" s="1760"/>
      <c r="M249" s="1760"/>
      <c r="N249" s="1760"/>
      <c r="O249" s="1760"/>
      <c r="P249" s="1760"/>
      <c r="Q249" s="1760"/>
      <c r="R249" s="1760"/>
      <c r="S249" s="1760"/>
      <c r="T249" s="1760"/>
      <c r="U249" s="1760"/>
      <c r="V249" s="1761"/>
      <c r="W249" s="137"/>
      <c r="X249" s="150"/>
      <c r="AK249" s="161"/>
      <c r="AT249" s="74"/>
    </row>
    <row r="250" spans="1:46" s="81" customFormat="1" ht="11.45" customHeight="1" x14ac:dyDescent="0.2">
      <c r="A250" s="1765" t="str">
        <f>Home!$A$39</f>
        <v xml:space="preserve"> </v>
      </c>
      <c r="B250" s="1766"/>
      <c r="C250" s="1766"/>
      <c r="D250" s="1766"/>
      <c r="E250" s="1766"/>
      <c r="F250" s="1766"/>
      <c r="G250" s="1766"/>
      <c r="H250" s="1766"/>
      <c r="I250" s="1767"/>
      <c r="J250" s="1766"/>
      <c r="K250" s="1766"/>
      <c r="L250" s="1766"/>
      <c r="M250" s="1766"/>
      <c r="N250" s="1766"/>
      <c r="O250" s="1766"/>
      <c r="P250" s="1768"/>
      <c r="Q250" s="1766"/>
      <c r="R250" s="1766"/>
      <c r="S250" s="1766"/>
      <c r="T250" s="1767"/>
      <c r="U250" s="1766"/>
      <c r="V250" s="1769"/>
      <c r="W250" s="137"/>
      <c r="X250" s="150"/>
      <c r="AJ250" s="184"/>
      <c r="AK250" s="160"/>
      <c r="AL250" s="87"/>
      <c r="AT250" s="74"/>
    </row>
    <row r="251" spans="1:46" ht="11.25" customHeight="1" x14ac:dyDescent="0.2">
      <c r="A251" s="112"/>
      <c r="B251" s="113"/>
      <c r="C251" s="113"/>
      <c r="D251" s="113"/>
      <c r="E251" s="113"/>
      <c r="F251" s="113"/>
      <c r="G251" s="113"/>
      <c r="H251" s="113"/>
      <c r="I251" s="113"/>
      <c r="J251" s="114"/>
      <c r="K251" s="113"/>
      <c r="L251" s="113"/>
      <c r="M251" s="113"/>
      <c r="N251" s="113"/>
      <c r="O251" s="113"/>
      <c r="P251" s="113"/>
      <c r="Q251" s="113"/>
      <c r="R251" s="113"/>
      <c r="S251" s="113"/>
      <c r="T251" s="113"/>
      <c r="U251" s="113"/>
      <c r="V251" s="115"/>
      <c r="W251" s="137"/>
      <c r="X251" s="150"/>
      <c r="Y251" s="198"/>
      <c r="Z251" s="196"/>
      <c r="AA251" s="188"/>
      <c r="AJ251" s="184"/>
      <c r="AK251" s="161"/>
    </row>
    <row r="252" spans="1:46" s="76" customFormat="1" ht="15" customHeight="1" x14ac:dyDescent="0.2">
      <c r="A252" s="119"/>
      <c r="B252" s="1922" t="s">
        <v>639</v>
      </c>
      <c r="C252" s="1922"/>
      <c r="D252" s="1922"/>
      <c r="E252" s="1922"/>
      <c r="F252" s="1922"/>
      <c r="G252" s="1922"/>
      <c r="H252" s="1922"/>
      <c r="I252" s="1922"/>
      <c r="J252" s="70"/>
      <c r="K252" s="70"/>
      <c r="L252" s="70"/>
      <c r="M252" s="70"/>
      <c r="N252" s="359"/>
      <c r="O252" s="70"/>
      <c r="P252" s="70"/>
      <c r="Q252" s="70"/>
      <c r="R252" s="70"/>
      <c r="S252" s="70"/>
      <c r="T252" s="70"/>
      <c r="U252" s="70"/>
      <c r="V252" s="120"/>
      <c r="W252" s="138"/>
      <c r="X252" s="151"/>
      <c r="Y252" s="381" t="s">
        <v>145</v>
      </c>
      <c r="Z252" s="382"/>
      <c r="AA252" s="383"/>
      <c r="AB252" s="383"/>
      <c r="AC252" s="383"/>
      <c r="AD252" s="596"/>
      <c r="AE252" s="381" t="s">
        <v>146</v>
      </c>
      <c r="AF252" s="382"/>
      <c r="AG252" s="383"/>
      <c r="AH252" s="383"/>
      <c r="AI252" s="383"/>
      <c r="AJ252" s="596"/>
      <c r="AK252" s="160"/>
    </row>
    <row r="253" spans="1:46" ht="15" customHeight="1" x14ac:dyDescent="0.2">
      <c r="A253" s="118"/>
      <c r="B253" s="1922"/>
      <c r="C253" s="1922"/>
      <c r="D253" s="1922"/>
      <c r="E253" s="1922"/>
      <c r="F253" s="1922"/>
      <c r="G253" s="1922"/>
      <c r="H253" s="1922"/>
      <c r="I253" s="1922"/>
      <c r="J253" s="70"/>
      <c r="K253" s="70"/>
      <c r="L253" s="70"/>
      <c r="M253" s="70"/>
      <c r="N253" s="359"/>
      <c r="O253" s="70"/>
      <c r="P253" s="70"/>
      <c r="Q253" s="70"/>
      <c r="R253" s="10"/>
      <c r="S253" s="70"/>
      <c r="T253" s="70"/>
      <c r="U253" s="70"/>
      <c r="V253" s="117"/>
      <c r="W253" s="137"/>
      <c r="X253" s="150"/>
      <c r="Y253" s="383"/>
      <c r="Z253" s="382"/>
      <c r="AA253" s="383"/>
      <c r="AB253" s="383"/>
      <c r="AC253" s="383"/>
      <c r="AD253" s="596"/>
      <c r="AE253" s="383"/>
      <c r="AF253" s="382"/>
      <c r="AG253" s="383"/>
      <c r="AH253" s="383"/>
      <c r="AI253" s="383"/>
      <c r="AJ253" s="596"/>
      <c r="AK253" s="161"/>
    </row>
    <row r="254" spans="1:46" ht="13.5" customHeight="1" x14ac:dyDescent="0.2">
      <c r="A254" s="278"/>
      <c r="B254" s="1771" t="s">
        <v>205</v>
      </c>
      <c r="C254" s="921"/>
      <c r="D254" s="789" t="str">
        <f>Sheet1!$D$27</f>
        <v>2015-16</v>
      </c>
      <c r="E254" s="790" t="str">
        <f>Sheet1!$E$27</f>
        <v>2016-17</v>
      </c>
      <c r="F254" s="790" t="str">
        <f>Sheet1!$F$27</f>
        <v>2017-18</v>
      </c>
      <c r="G254" s="790" t="str">
        <f>Sheet1!$G$27</f>
        <v>2018-19</v>
      </c>
      <c r="H254" s="791" t="str">
        <f>Sheet1!$H$27</f>
        <v>2019-20</v>
      </c>
      <c r="I254" s="927"/>
      <c r="J254" s="70"/>
      <c r="K254" s="70"/>
      <c r="L254" s="70"/>
      <c r="M254" s="70"/>
      <c r="N254" s="918"/>
      <c r="O254" s="70"/>
      <c r="P254" s="70"/>
      <c r="Q254" s="70"/>
      <c r="R254" s="10"/>
      <c r="S254" s="70"/>
      <c r="T254" s="70"/>
      <c r="U254" s="70"/>
      <c r="V254" s="117"/>
      <c r="W254" s="137"/>
      <c r="X254" s="150"/>
      <c r="Y254" s="383"/>
      <c r="Z254" s="382"/>
      <c r="AA254" s="383"/>
      <c r="AB254" s="383"/>
      <c r="AC254" s="383"/>
      <c r="AD254" s="596"/>
      <c r="AE254" s="383"/>
      <c r="AF254" s="382"/>
      <c r="AG254" s="383"/>
      <c r="AH254" s="383"/>
      <c r="AI254" s="383"/>
      <c r="AJ254" s="596"/>
      <c r="AK254" s="161"/>
    </row>
    <row r="255" spans="1:46" s="87" customFormat="1" ht="13.5" customHeight="1" x14ac:dyDescent="0.2">
      <c r="A255" s="121"/>
      <c r="B255" s="1772"/>
      <c r="C255" s="85"/>
      <c r="D255" s="792" t="e">
        <f>Sheet1!$D$28</f>
        <v>#N/A</v>
      </c>
      <c r="E255" s="792" t="e">
        <f>Sheet1!$E$28</f>
        <v>#N/A</v>
      </c>
      <c r="F255" s="792" t="e">
        <f>Sheet1!$F$28</f>
        <v>#N/A</v>
      </c>
      <c r="G255" s="792" t="e">
        <f>Sheet1!$G$28</f>
        <v>#N/A</v>
      </c>
      <c r="H255" s="793" t="e">
        <f>Sheet1!$H$28</f>
        <v>#N/A</v>
      </c>
      <c r="I255" s="96"/>
      <c r="J255" s="96"/>
      <c r="K255" s="61"/>
      <c r="L255" s="61"/>
      <c r="M255" s="61"/>
      <c r="N255" s="61"/>
      <c r="O255" s="61"/>
      <c r="P255" s="61"/>
      <c r="Q255" s="365"/>
      <c r="R255" s="365"/>
      <c r="S255" s="159"/>
      <c r="T255" s="159"/>
      <c r="U255" s="366"/>
      <c r="V255" s="122"/>
      <c r="W255" s="139"/>
      <c r="X255" s="152"/>
      <c r="Y255" s="744"/>
      <c r="Z255" s="745" t="e">
        <f>D255</f>
        <v>#N/A</v>
      </c>
      <c r="AA255" s="746" t="e">
        <f>E255</f>
        <v>#N/A</v>
      </c>
      <c r="AB255" s="746" t="e">
        <f>F255</f>
        <v>#N/A</v>
      </c>
      <c r="AC255" s="746" t="e">
        <f>G255</f>
        <v>#N/A</v>
      </c>
      <c r="AD255" s="747" t="e">
        <f>H255</f>
        <v>#N/A</v>
      </c>
      <c r="AE255" s="748"/>
      <c r="AF255" s="746" t="e">
        <f>Z255</f>
        <v>#N/A</v>
      </c>
      <c r="AG255" s="746" t="e">
        <f>AA255</f>
        <v>#N/A</v>
      </c>
      <c r="AH255" s="746" t="e">
        <f>AB255</f>
        <v>#N/A</v>
      </c>
      <c r="AI255" s="746" t="e">
        <f>AC255</f>
        <v>#N/A</v>
      </c>
      <c r="AJ255" s="746" t="e">
        <f>AD255</f>
        <v>#N/A</v>
      </c>
      <c r="AK255" s="160"/>
    </row>
    <row r="256" spans="1:46" s="87" customFormat="1" ht="12.75" customHeight="1" x14ac:dyDescent="0.2">
      <c r="A256" s="488">
        <f>VLOOKUP(B256,Sheet1!$AQ$4:$AR$25,2,FALSE)</f>
        <v>0</v>
      </c>
      <c r="B256" s="93" t="str">
        <f t="shared" ref="B256:B279" si="96">B10</f>
        <v>Bracknell Forest</v>
      </c>
      <c r="C256" s="85"/>
      <c r="D256" s="162">
        <f>IF(AND(ISNUMBER(AF256),ISNUMBER(Z256)),AF256/Z256,NA())</f>
        <v>0.24822695035460993</v>
      </c>
      <c r="E256" s="162">
        <f t="shared" ref="E256:E279" si="97">IF(AND(ISNUMBER(AG256),ISNUMBER(AA256)),AG256/AA256,NA())</f>
        <v>0.26146788990825687</v>
      </c>
      <c r="F256" s="162">
        <f t="shared" ref="F256:F279" si="98">IF(AND(ISNUMBER(AH256),ISNUMBER(AB256)),AH256/AB256,NA())</f>
        <v>0.17751479289940827</v>
      </c>
      <c r="G256" s="162">
        <f t="shared" ref="G256:G279" si="99">IF(AND(ISNUMBER(AI256),ISNUMBER(AC256)),AI256/AC256,NA())</f>
        <v>0.23529411764705882</v>
      </c>
      <c r="H256" s="164">
        <f t="shared" ref="H256:H279" si="100">IF(AND(ISNUMBER(AJ256),ISNUMBER(AD256)),AJ256/AD256,NA())</f>
        <v>0.2391304347826087</v>
      </c>
      <c r="I256" s="96"/>
      <c r="J256" s="96"/>
      <c r="K256" s="166"/>
      <c r="L256" s="166"/>
      <c r="M256" s="166"/>
      <c r="N256" s="166"/>
      <c r="O256" s="166"/>
      <c r="P256" s="166"/>
      <c r="Q256" s="166"/>
      <c r="R256" s="167"/>
      <c r="S256" s="159"/>
      <c r="T256" s="159"/>
      <c r="U256" s="166"/>
      <c r="V256" s="122"/>
      <c r="W256" s="139"/>
      <c r="X256" s="152"/>
      <c r="Y256" s="744" t="str">
        <f>B256</f>
        <v>Bracknell Forest</v>
      </c>
      <c r="Z256" s="745">
        <f>IF(Year1_Bracknell_Forest Year1_CP_Plans_became_subject="","",Year1_Bracknell_Forest Year1_CP_Plans_became_subject)</f>
        <v>141</v>
      </c>
      <c r="AA256" s="749">
        <f>IF(Year2_Bracknell_Forest Year2_CP_Plans_became_subject="","",Year2_Bracknell_Forest Year2_CP_Plans_became_subject)</f>
        <v>218</v>
      </c>
      <c r="AB256" s="749">
        <f>IF(Year3_Bracknell_Forest Year3_CP_Plans_became_subject="","",Year3_Bracknell_Forest Year3_CP_Plans_became_subject)</f>
        <v>169</v>
      </c>
      <c r="AC256" s="749">
        <f>IF(Year4_Bracknell_Forest Year4_CP_Plans_became_subject="","",Year4_Bracknell_Forest Year4_CP_Plans_became_subject)</f>
        <v>187</v>
      </c>
      <c r="AD256" s="1494">
        <f>IF(Year5_Bracknell_Forest Year5_CP_Plans_became_subject="","",Year5_Bracknell_Forest Year5_CP_Plans_became_subject)</f>
        <v>184</v>
      </c>
      <c r="AE256" s="748" t="str">
        <f>Y256</f>
        <v>Bracknell Forest</v>
      </c>
      <c r="AF256" s="746">
        <f>IF(Year1_Bracknell_Forest Year1_CP_Plans_became_subject_second="","",Year1_Bracknell_Forest Year1_CP_Plans_became_subject_second)</f>
        <v>35</v>
      </c>
      <c r="AG256" s="749">
        <f>IF(Year2_Bracknell_Forest Year2_CP_Plans_became_subject_second="","",Year2_Bracknell_Forest Year2_CP_Plans_became_subject_second)</f>
        <v>57</v>
      </c>
      <c r="AH256" s="749">
        <f>IF(Year3_Bracknell_Forest Year3_CP_Plans_became_subject_second="","",Year3_Bracknell_Forest Year3_CP_Plans_became_subject_second)</f>
        <v>30</v>
      </c>
      <c r="AI256" s="749">
        <f>IF(Year4_Bracknell_Forest Year4_CP_Plans_became_subject_second="","",Year4_Bracknell_Forest Year4_CP_Plans_became_subject_second)</f>
        <v>44</v>
      </c>
      <c r="AJ256" s="1495">
        <f>IF(Year5_Bracknell_Forest Year5_CP_Plans_became_subject_second="","",Year5_Bracknell_Forest Year5_CP_Plans_became_subject_second)</f>
        <v>44</v>
      </c>
      <c r="AK256" s="161"/>
    </row>
    <row r="257" spans="1:45" s="87" customFormat="1" ht="12.75" customHeight="1" x14ac:dyDescent="0.2">
      <c r="A257" s="488">
        <f>VLOOKUP(B257,Sheet1!$AQ$4:$AR$25,2,FALSE)</f>
        <v>0</v>
      </c>
      <c r="B257" s="93" t="str">
        <f t="shared" si="96"/>
        <v>Brighton &amp; Hove</v>
      </c>
      <c r="C257" s="85"/>
      <c r="D257" s="162">
        <f t="shared" ref="D257:D279" si="101">IF(AND(ISNUMBER(AF257),ISNUMBER(Z257)),AF257/Z257,NA())</f>
        <v>0.25517241379310346</v>
      </c>
      <c r="E257" s="162">
        <f t="shared" si="97"/>
        <v>0.21897810218978103</v>
      </c>
      <c r="F257" s="162">
        <f t="shared" si="98"/>
        <v>0.23820754716981132</v>
      </c>
      <c r="G257" s="162">
        <f>IF(AND(ISNUMBER(AI257),ISNUMBER(AC257)),AI257/AC257,NA())</f>
        <v>0.27692307692307694</v>
      </c>
      <c r="H257" s="164">
        <f>IF(ISERROR(AJ257/AD257),NA(),AJ257/AD257)</f>
        <v>0.26785714285714285</v>
      </c>
      <c r="I257" s="96"/>
      <c r="J257" s="96"/>
      <c r="K257" s="166"/>
      <c r="L257" s="166"/>
      <c r="M257" s="166"/>
      <c r="N257" s="166"/>
      <c r="O257" s="166"/>
      <c r="P257" s="166"/>
      <c r="Q257" s="166"/>
      <c r="R257" s="167"/>
      <c r="S257" s="159"/>
      <c r="T257" s="159"/>
      <c r="U257" s="166"/>
      <c r="V257" s="122"/>
      <c r="W257" s="139"/>
      <c r="X257" s="152"/>
      <c r="Y257" s="744" t="str">
        <f t="shared" ref="Y257:Y279" si="102">B257</f>
        <v>Brighton &amp; Hove</v>
      </c>
      <c r="Z257" s="745">
        <f>IF(Year1_Brighton_Hove Year1_CP_Plans_became_subject="","",Year1_Brighton_Hove Year1_CP_Plans_became_subject)</f>
        <v>435</v>
      </c>
      <c r="AA257" s="749">
        <f>IF(Year2_Brighton_Hove Year2_CP_Plans_became_subject="","",Year2_Brighton_Hove Year2_CP_Plans_became_subject)</f>
        <v>411</v>
      </c>
      <c r="AB257" s="749">
        <f>IF(Year3_Brighton_Hove Year3_CP_Plans_became_subject="","",Year3_Brighton_Hove Year3_CP_Plans_became_subject)</f>
        <v>424</v>
      </c>
      <c r="AC257" s="749">
        <f>IF(Year4_Brighton_Hove Year4_CP_Plans_became_subject="","",Year4_Brighton_Hove Year4_CP_Plans_became_subject)</f>
        <v>325</v>
      </c>
      <c r="AD257" s="1494">
        <f>IF(Year5_Brighton_Hove Year5_CP_Plans_became_subject="","",Year5_Brighton_Hove Year5_CP_Plans_became_subject)</f>
        <v>392</v>
      </c>
      <c r="AE257" s="748" t="str">
        <f t="shared" ref="AE257:AE279" si="103">Y257</f>
        <v>Brighton &amp; Hove</v>
      </c>
      <c r="AF257" s="746">
        <f>IF(Year1_Brighton_Hove Year1_CP_Plans_became_subject_second="","",Year1_Brighton_Hove Year1_CP_Plans_became_subject_second)</f>
        <v>111</v>
      </c>
      <c r="AG257" s="749">
        <f>IF(Year2_Brighton_Hove Year2_CP_Plans_became_subject_second="","",Year2_Brighton_Hove Year2_CP_Plans_became_subject_second)</f>
        <v>90</v>
      </c>
      <c r="AH257" s="749">
        <f>IF(Year3_Brighton_Hove Year3_CP_Plans_became_subject_second="","",Year3_Brighton_Hove Year3_CP_Plans_became_subject_second)</f>
        <v>101</v>
      </c>
      <c r="AI257" s="749">
        <f>IF(Year4_Brighton_Hove Year4_CP_Plans_became_subject_second="","",Year4_Brighton_Hove Year4_CP_Plans_became_subject_second)</f>
        <v>90</v>
      </c>
      <c r="AJ257" s="1495">
        <f>IF(Year5_Brighton_Hove Year5_CP_Plans_became_subject_second="","",Year5_Brighton_Hove Year5_CP_Plans_became_subject_second)</f>
        <v>105</v>
      </c>
      <c r="AK257" s="160"/>
    </row>
    <row r="258" spans="1:45" s="87" customFormat="1" ht="12.75" customHeight="1" x14ac:dyDescent="0.2">
      <c r="A258" s="488">
        <f>VLOOKUP(B258,Sheet1!$AQ$4:$AR$25,2,FALSE)</f>
        <v>0</v>
      </c>
      <c r="B258" s="93" t="str">
        <f t="shared" si="96"/>
        <v>Buckinghamshire</v>
      </c>
      <c r="C258" s="85"/>
      <c r="D258" s="162">
        <f t="shared" si="101"/>
        <v>0.19281045751633988</v>
      </c>
      <c r="E258" s="162">
        <f t="shared" si="97"/>
        <v>0.14344827586206896</v>
      </c>
      <c r="F258" s="162">
        <f t="shared" si="98"/>
        <v>0.18784530386740331</v>
      </c>
      <c r="G258" s="162">
        <f t="shared" si="99"/>
        <v>0.20114942528735633</v>
      </c>
      <c r="H258" s="164">
        <f t="shared" si="100"/>
        <v>0.24523160762942781</v>
      </c>
      <c r="I258" s="96"/>
      <c r="J258" s="96"/>
      <c r="K258" s="166"/>
      <c r="L258" s="166"/>
      <c r="M258" s="166"/>
      <c r="N258" s="166"/>
      <c r="O258" s="166"/>
      <c r="P258" s="166"/>
      <c r="Q258" s="166"/>
      <c r="R258" s="167"/>
      <c r="S258" s="159"/>
      <c r="T258" s="159"/>
      <c r="U258" s="166"/>
      <c r="V258" s="122"/>
      <c r="W258" s="139"/>
      <c r="X258" s="152"/>
      <c r="Y258" s="744" t="str">
        <f t="shared" si="102"/>
        <v>Buckinghamshire</v>
      </c>
      <c r="Z258" s="745">
        <f>IF(Year1_Buckinghamshire Year1_CP_Plans_became_subject="","",Year1_Buckinghamshire Year1_CP_Plans_became_subject)</f>
        <v>612</v>
      </c>
      <c r="AA258" s="749">
        <f>IF(Year2_Buckinghamshire Year2_CP_Plans_became_subject="","",Year2_Buckinghamshire Year2_CP_Plans_became_subject)</f>
        <v>725</v>
      </c>
      <c r="AB258" s="749">
        <f>IF(Year3_Buckinghamshire Year3_CP_Plans_became_subject="","",Year3_Buckinghamshire Year3_CP_Plans_became_subject)</f>
        <v>724</v>
      </c>
      <c r="AC258" s="749">
        <f>IF(Year4_Buckinghamshire Year4_CP_Plans_became_subject="","",Year4_Buckinghamshire Year4_CP_Plans_became_subject)</f>
        <v>696</v>
      </c>
      <c r="AD258" s="1494">
        <f>IF(Year5_Buckinghamshire Year5_CP_Plans_became_subject="","",Year5_Buckinghamshire Year5_CP_Plans_became_subject)</f>
        <v>734</v>
      </c>
      <c r="AE258" s="748" t="str">
        <f t="shared" si="103"/>
        <v>Buckinghamshire</v>
      </c>
      <c r="AF258" s="746">
        <f>IF(Year1_Buckinghamshire Year1_CP_Plans_became_subject_second="","",Year1_Buckinghamshire Year1_CP_Plans_became_subject_second)</f>
        <v>118</v>
      </c>
      <c r="AG258" s="749">
        <f>IF(Year2_Buckinghamshire Year2_CP_Plans_became_subject_second="","",Year2_Buckinghamshire Year2_CP_Plans_became_subject_second)</f>
        <v>104</v>
      </c>
      <c r="AH258" s="749">
        <f>IF(Year3_Buckinghamshire Year3_CP_Plans_became_subject_second="","",Year3_Buckinghamshire Year3_CP_Plans_became_subject_second)</f>
        <v>136</v>
      </c>
      <c r="AI258" s="749">
        <f>IF(Year4_Buckinghamshire Year4_CP_Plans_became_subject_second="","",Year4_Buckinghamshire Year4_CP_Plans_became_subject_second)</f>
        <v>140</v>
      </c>
      <c r="AJ258" s="1495">
        <f>IF(Year5_Buckinghamshire Year5_CP_Plans_became_subject_second="","",Year5_Buckinghamshire Year5_CP_Plans_became_subject_second)</f>
        <v>180</v>
      </c>
      <c r="AK258" s="161"/>
    </row>
    <row r="259" spans="1:45" s="87" customFormat="1" ht="12.75" customHeight="1" x14ac:dyDescent="0.2">
      <c r="A259" s="488">
        <f>VLOOKUP(B259,Sheet1!$AQ$4:$AR$25,2,FALSE)</f>
        <v>0</v>
      </c>
      <c r="B259" s="93" t="str">
        <f t="shared" si="96"/>
        <v>East Sussex</v>
      </c>
      <c r="C259" s="85"/>
      <c r="D259" s="162">
        <f t="shared" si="101"/>
        <v>0.24943820224719102</v>
      </c>
      <c r="E259" s="162">
        <f t="shared" si="97"/>
        <v>0.28298279158699807</v>
      </c>
      <c r="F259" s="162">
        <f t="shared" si="98"/>
        <v>0.25</v>
      </c>
      <c r="G259" s="162">
        <f t="shared" si="99"/>
        <v>0.21870047543581617</v>
      </c>
      <c r="H259" s="164">
        <f t="shared" si="100"/>
        <v>0.25042301184433163</v>
      </c>
      <c r="I259" s="96"/>
      <c r="J259" s="96"/>
      <c r="K259" s="166"/>
      <c r="L259" s="166"/>
      <c r="M259" s="166"/>
      <c r="N259" s="166"/>
      <c r="O259" s="166"/>
      <c r="P259" s="166"/>
      <c r="Q259" s="166"/>
      <c r="R259" s="167"/>
      <c r="S259" s="159"/>
      <c r="T259" s="159"/>
      <c r="U259" s="166"/>
      <c r="V259" s="122"/>
      <c r="W259" s="139"/>
      <c r="X259" s="152"/>
      <c r="Y259" s="744" t="str">
        <f t="shared" si="102"/>
        <v>East Sussex</v>
      </c>
      <c r="Z259" s="745">
        <f>IF(Year1_East_Sussex Year1_CP_Plans_became_subject="","",Year1_East_Sussex Year1_CP_Plans_became_subject)</f>
        <v>445</v>
      </c>
      <c r="AA259" s="749">
        <f>IF(Year2_East_Sussex Year2_CP_Plans_became_subject="","",Year2_East_Sussex Year2_CP_Plans_became_subject)</f>
        <v>523</v>
      </c>
      <c r="AB259" s="749">
        <f>IF(Year3_East_Sussex Year3_CP_Plans_became_subject="","",Year3_East_Sussex Year3_CP_Plans_became_subject)</f>
        <v>624</v>
      </c>
      <c r="AC259" s="749">
        <f>IF(Year4_East_Sussex Year4_CP_Plans_became_subject="","",Year4_East_Sussex Year4_CP_Plans_became_subject)</f>
        <v>631</v>
      </c>
      <c r="AD259" s="1494">
        <f>IF(Year5_East_Sussex Year5_CP_Plans_became_subject="","",Year5_East_Sussex Year5_CP_Plans_became_subject)</f>
        <v>591</v>
      </c>
      <c r="AE259" s="748" t="str">
        <f t="shared" si="103"/>
        <v>East Sussex</v>
      </c>
      <c r="AF259" s="746">
        <f>IF(Year1_East_Sussex Year1_CP_Plans_became_subject_second="","",Year1_East_Sussex Year1_CP_Plans_became_subject_second)</f>
        <v>111</v>
      </c>
      <c r="AG259" s="749">
        <f>IF(Year2_East_Sussex Year2_CP_Plans_became_subject_second="","",Year2_East_Sussex Year2_CP_Plans_became_subject_second)</f>
        <v>148</v>
      </c>
      <c r="AH259" s="749">
        <f>IF(Year3_East_Sussex Year3_CP_Plans_became_subject_second="","",Year3_East_Sussex Year3_CP_Plans_became_subject_second)</f>
        <v>156</v>
      </c>
      <c r="AI259" s="749">
        <f>IF(Year4_East_Sussex Year4_CP_Plans_became_subject_second="","",Year4_East_Sussex Year4_CP_Plans_became_subject_second)</f>
        <v>138</v>
      </c>
      <c r="AJ259" s="1495">
        <f>IF(Year5_East_Sussex Year5_CP_Plans_became_subject_second="","",Year5_East_Sussex Year5_CP_Plans_became_subject_second)</f>
        <v>148</v>
      </c>
      <c r="AK259" s="160"/>
    </row>
    <row r="260" spans="1:45" s="87" customFormat="1" ht="12.75" customHeight="1" x14ac:dyDescent="0.2">
      <c r="A260" s="488">
        <f>VLOOKUP(B260,Sheet1!$AQ$4:$AR$25,2,FALSE)</f>
        <v>0</v>
      </c>
      <c r="B260" s="93" t="str">
        <f t="shared" si="96"/>
        <v>Hampshire</v>
      </c>
      <c r="C260" s="85"/>
      <c r="D260" s="162">
        <f t="shared" si="101"/>
        <v>0.20095693779904306</v>
      </c>
      <c r="E260" s="162">
        <f t="shared" si="97"/>
        <v>0.24273072060682679</v>
      </c>
      <c r="F260" s="162">
        <f t="shared" si="98"/>
        <v>0.23046875</v>
      </c>
      <c r="G260" s="162">
        <f t="shared" si="99"/>
        <v>0.21476964769647697</v>
      </c>
      <c r="H260" s="164">
        <f t="shared" si="100"/>
        <v>0.23901712583767684</v>
      </c>
      <c r="I260" s="96"/>
      <c r="J260" s="96"/>
      <c r="K260" s="166"/>
      <c r="L260" s="166"/>
      <c r="M260" s="166"/>
      <c r="N260" s="166"/>
      <c r="O260" s="166"/>
      <c r="P260" s="166"/>
      <c r="Q260" s="166"/>
      <c r="R260" s="167"/>
      <c r="S260" s="159"/>
      <c r="T260" s="159"/>
      <c r="U260" s="166"/>
      <c r="V260" s="122"/>
      <c r="W260" s="139"/>
      <c r="X260" s="152"/>
      <c r="Y260" s="744" t="str">
        <f t="shared" si="102"/>
        <v>Hampshire</v>
      </c>
      <c r="Z260" s="745">
        <f>IF(Year1_Hampshire Year1_CP_Plans_became_subject="","",Year1_Hampshire Year1_CP_Plans_became_subject)</f>
        <v>1672</v>
      </c>
      <c r="AA260" s="749">
        <f>IF(Year2_Hampshire Year2_CP_Plans_became_subject="","",Year2_Hampshire Year2_CP_Plans_became_subject)</f>
        <v>1582</v>
      </c>
      <c r="AB260" s="749">
        <f>IF(Year3_Hampshire Year3_CP_Plans_became_subject="","",Year3_Hampshire Year3_CP_Plans_became_subject)</f>
        <v>1536</v>
      </c>
      <c r="AC260" s="749">
        <f>IF(Year4_Hampshire Year4_CP_Plans_became_subject="","",Year4_Hampshire Year4_CP_Plans_became_subject)</f>
        <v>1476</v>
      </c>
      <c r="AD260" s="1494">
        <f>IF(Year5_Hampshire Year5_CP_Plans_became_subject="","",Year5_Hampshire Year5_CP_Plans_became_subject)</f>
        <v>1343</v>
      </c>
      <c r="AE260" s="748" t="str">
        <f t="shared" si="103"/>
        <v>Hampshire</v>
      </c>
      <c r="AF260" s="746">
        <f>IF(Year1_Hampshire Year1_CP_Plans_became_subject_second="","",Year1_Hampshire Year1_CP_Plans_became_subject_second)</f>
        <v>336</v>
      </c>
      <c r="AG260" s="749">
        <f>IF(Year2_Hampshire Year2_CP_Plans_became_subject_second="","",Year2_Hampshire Year2_CP_Plans_became_subject_second)</f>
        <v>384</v>
      </c>
      <c r="AH260" s="749">
        <f>IF(Year3_Hampshire Year3_CP_Plans_became_subject_second="","",Year3_Hampshire Year3_CP_Plans_became_subject_second)</f>
        <v>354</v>
      </c>
      <c r="AI260" s="749">
        <f>IF(Year4_Hampshire Year4_CP_Plans_became_subject_second="","",Year4_Hampshire Year4_CP_Plans_became_subject_second)</f>
        <v>317</v>
      </c>
      <c r="AJ260" s="1495">
        <f>IF(Year5_Hampshire Year5_CP_Plans_became_subject_second="","",Year5_Hampshire Year5_CP_Plans_became_subject_second)</f>
        <v>321</v>
      </c>
      <c r="AK260" s="161"/>
    </row>
    <row r="261" spans="1:45" s="87" customFormat="1" ht="12.75" customHeight="1" x14ac:dyDescent="0.2">
      <c r="A261" s="488">
        <f>VLOOKUP(B261,Sheet1!$AQ$4:$AR$25,2,FALSE)</f>
        <v>0</v>
      </c>
      <c r="B261" s="93" t="str">
        <f t="shared" si="96"/>
        <v>Isle of Wight</v>
      </c>
      <c r="C261" s="85"/>
      <c r="D261" s="162">
        <f t="shared" si="101"/>
        <v>0.14726027397260275</v>
      </c>
      <c r="E261" s="162">
        <f t="shared" si="97"/>
        <v>0.20779220779220781</v>
      </c>
      <c r="F261" s="162">
        <f t="shared" si="98"/>
        <v>0.23287671232876711</v>
      </c>
      <c r="G261" s="162">
        <f t="shared" si="99"/>
        <v>0.21782178217821782</v>
      </c>
      <c r="H261" s="164">
        <f t="shared" si="100"/>
        <v>0.17687074829931973</v>
      </c>
      <c r="I261" s="96"/>
      <c r="J261" s="96"/>
      <c r="K261" s="166"/>
      <c r="L261" s="166"/>
      <c r="M261" s="166"/>
      <c r="N261" s="166"/>
      <c r="O261" s="166"/>
      <c r="P261" s="166"/>
      <c r="Q261" s="166"/>
      <c r="R261" s="167"/>
      <c r="S261" s="159"/>
      <c r="T261" s="159"/>
      <c r="U261" s="166"/>
      <c r="V261" s="122"/>
      <c r="W261" s="139"/>
      <c r="X261" s="152"/>
      <c r="Y261" s="744" t="str">
        <f t="shared" si="102"/>
        <v>Isle of Wight</v>
      </c>
      <c r="Z261" s="745">
        <f>IF(Year1_Isle_of_Wight Year1_CP_Plans_became_subject="","",Year1_Isle_of_Wight Year1_CP_Plans_became_subject)</f>
        <v>292</v>
      </c>
      <c r="AA261" s="749">
        <f>IF(Year2_Isle_of_Wight Year2_CP_Plans_became_subject="","",Year2_Isle_of_Wight Year2_CP_Plans_became_subject)</f>
        <v>231</v>
      </c>
      <c r="AB261" s="749">
        <f>IF(Year3_Isle_of_Wight Year3_CP_Plans_became_subject="","",Year3_Isle_of_Wight Year3_CP_Plans_became_subject)</f>
        <v>219</v>
      </c>
      <c r="AC261" s="749">
        <f>IF(Year4_Isle_of_Wight Year4_CP_Plans_became_subject="","",Year4_Isle_of_Wight Year4_CP_Plans_became_subject)</f>
        <v>202</v>
      </c>
      <c r="AD261" s="1494">
        <f>IF(Year5_Isle_of_Wight Year5_CP_Plans_became_subject="","",Year5_Isle_of_Wight Year5_CP_Plans_became_subject)</f>
        <v>147</v>
      </c>
      <c r="AE261" s="748" t="str">
        <f t="shared" si="103"/>
        <v>Isle of Wight</v>
      </c>
      <c r="AF261" s="746">
        <f>IF(Year1_Isle_of_Wight Year1_CP_Plans_became_subject_second="","",Year1_Isle_of_Wight Year1_CP_Plans_became_subject_second)</f>
        <v>43</v>
      </c>
      <c r="AG261" s="749">
        <f>IF(Year2_Isle_of_Wight Year2_CP_Plans_became_subject_second="","",Year2_Isle_of_Wight Year2_CP_Plans_became_subject_second)</f>
        <v>48</v>
      </c>
      <c r="AH261" s="749">
        <f>IF(Year3_Isle_of_Wight Year3_CP_Plans_became_subject_second="","",Year3_Isle_of_Wight Year3_CP_Plans_became_subject_second)</f>
        <v>51</v>
      </c>
      <c r="AI261" s="749">
        <f>IF(Year4_Isle_of_Wight Year4_CP_Plans_became_subject_second="","",Year4_Isle_of_Wight Year4_CP_Plans_became_subject_second)</f>
        <v>44</v>
      </c>
      <c r="AJ261" s="1495">
        <f>IF(Year5_Isle_of_Wight Year5_CP_Plans_became_subject_second="","",Year5_Isle_of_Wight Year5_CP_Plans_became_subject_second)</f>
        <v>26</v>
      </c>
      <c r="AK261" s="160"/>
      <c r="AS261" s="87" t="s">
        <v>102</v>
      </c>
    </row>
    <row r="262" spans="1:45" s="87" customFormat="1" ht="12.75" customHeight="1" x14ac:dyDescent="0.2">
      <c r="A262" s="488">
        <f>VLOOKUP(B262,Sheet1!$AQ$4:$AR$25,2,FALSE)</f>
        <v>0</v>
      </c>
      <c r="B262" s="93" t="str">
        <f t="shared" si="96"/>
        <v>Kent</v>
      </c>
      <c r="C262" s="85"/>
      <c r="D262" s="162">
        <f t="shared" si="101"/>
        <v>0.20090978013646701</v>
      </c>
      <c r="E262" s="162">
        <f t="shared" si="97"/>
        <v>0.19384615384615383</v>
      </c>
      <c r="F262" s="162">
        <f t="shared" si="98"/>
        <v>0.20397690827453496</v>
      </c>
      <c r="G262" s="162">
        <f t="shared" si="99"/>
        <v>0.19088319088319089</v>
      </c>
      <c r="H262" s="164">
        <f t="shared" si="100"/>
        <v>0.22631578947368422</v>
      </c>
      <c r="I262" s="96"/>
      <c r="J262" s="96"/>
      <c r="K262" s="166"/>
      <c r="L262" s="166"/>
      <c r="M262" s="166"/>
      <c r="N262" s="166"/>
      <c r="O262" s="166"/>
      <c r="P262" s="166"/>
      <c r="Q262" s="166"/>
      <c r="R262" s="167"/>
      <c r="S262" s="159"/>
      <c r="T262" s="159"/>
      <c r="U262" s="166"/>
      <c r="V262" s="122"/>
      <c r="W262" s="139"/>
      <c r="X262" s="152"/>
      <c r="Y262" s="744" t="str">
        <f t="shared" si="102"/>
        <v>Kent</v>
      </c>
      <c r="Z262" s="745">
        <f>IF(Year1_Kent Year1_CP_Plans_became_subject="","",Year1_Kent Year1_CP_Plans_became_subject)</f>
        <v>1319</v>
      </c>
      <c r="AA262" s="749">
        <f>IF(Year2_Kent Year2_CP_Plans_became_subject="","",Year2_Kent Year2_CP_Plans_became_subject)</f>
        <v>1300</v>
      </c>
      <c r="AB262" s="749">
        <f>IF(Year3_Kent Year3_CP_Plans_became_subject="","",Year3_Kent Year3_CP_Plans_became_subject)</f>
        <v>1559</v>
      </c>
      <c r="AC262" s="749">
        <f>IF(Year4_Kent Year4_CP_Plans_became_subject="","",Year4_Kent Year4_CP_Plans_became_subject)</f>
        <v>1404</v>
      </c>
      <c r="AD262" s="1494">
        <f>IF(Year5_Kent Year5_CP_Plans_became_subject="","",Year5_Kent Year5_CP_Plans_became_subject)</f>
        <v>1520</v>
      </c>
      <c r="AE262" s="748" t="str">
        <f t="shared" si="103"/>
        <v>Kent</v>
      </c>
      <c r="AF262" s="746">
        <f>IF(Year1_Kent Year1_CP_Plans_became_subject_second="","",Year1_Kent Year1_CP_Plans_became_subject_second)</f>
        <v>265</v>
      </c>
      <c r="AG262" s="749">
        <f>IF(Year2_Kent Year2_CP_Plans_became_subject_second="","",Year2_Kent Year2_CP_Plans_became_subject_second)</f>
        <v>252</v>
      </c>
      <c r="AH262" s="749">
        <f>IF(Year3_Kent Year3_CP_Plans_became_subject_second="","",Year3_Kent Year3_CP_Plans_became_subject_second)</f>
        <v>318</v>
      </c>
      <c r="AI262" s="749">
        <f>IF(Year4_Kent Year4_CP_Plans_became_subject_second="","",Year4_Kent Year4_CP_Plans_became_subject_second)</f>
        <v>268</v>
      </c>
      <c r="AJ262" s="1495">
        <f>IF(Year5_Kent Year5_CP_Plans_became_subject_second="","",Year5_Kent Year5_CP_Plans_became_subject_second)</f>
        <v>344</v>
      </c>
      <c r="AK262" s="161"/>
    </row>
    <row r="263" spans="1:45" s="87" customFormat="1" ht="12.75" customHeight="1" x14ac:dyDescent="0.2">
      <c r="A263" s="488">
        <f>VLOOKUP(B263,Sheet1!$AQ$4:$AR$25,2,FALSE)</f>
        <v>0</v>
      </c>
      <c r="B263" s="93" t="str">
        <f t="shared" si="96"/>
        <v>Medway</v>
      </c>
      <c r="C263" s="85"/>
      <c r="D263" s="162">
        <f t="shared" si="101"/>
        <v>0.18165467625899281</v>
      </c>
      <c r="E263" s="162">
        <f t="shared" si="97"/>
        <v>0.2073170731707317</v>
      </c>
      <c r="F263" s="162">
        <f t="shared" si="98"/>
        <v>0.22465753424657534</v>
      </c>
      <c r="G263" s="162">
        <f t="shared" si="99"/>
        <v>0.17484008528784648</v>
      </c>
      <c r="H263" s="164">
        <f t="shared" si="100"/>
        <v>0.21783876500857632</v>
      </c>
      <c r="I263" s="96"/>
      <c r="J263" s="96"/>
      <c r="K263" s="166"/>
      <c r="L263" s="166"/>
      <c r="M263" s="166"/>
      <c r="N263" s="166"/>
      <c r="O263" s="166"/>
      <c r="P263" s="166"/>
      <c r="Q263" s="166"/>
      <c r="R263" s="167"/>
      <c r="S263" s="159"/>
      <c r="T263" s="159"/>
      <c r="U263" s="166"/>
      <c r="V263" s="122"/>
      <c r="W263" s="139"/>
      <c r="X263" s="152"/>
      <c r="Y263" s="744" t="str">
        <f t="shared" si="102"/>
        <v>Medway</v>
      </c>
      <c r="Z263" s="745">
        <f>IF(Year1_Medway Year1_CP_Plans_became_subject="","",Year1_Medway Year1_CP_Plans_became_subject)</f>
        <v>556</v>
      </c>
      <c r="AA263" s="749">
        <f>IF(Year2_Medway Year2_CP_Plans_became_subject="","",Year2_Medway Year2_CP_Plans_became_subject)</f>
        <v>328</v>
      </c>
      <c r="AB263" s="749">
        <f>IF(Year3_Medway Year3_CP_Plans_became_subject="","",Year3_Medway Year3_CP_Plans_became_subject)</f>
        <v>365</v>
      </c>
      <c r="AC263" s="749">
        <f>IF(Year4_Medway Year4_CP_Plans_became_subject="","",Year4_Medway Year4_CP_Plans_became_subject)</f>
        <v>469</v>
      </c>
      <c r="AD263" s="1494">
        <f>IF(Year5_Medway Year5_CP_Plans_became_subject="","",Year5_Medway Year5_CP_Plans_became_subject)</f>
        <v>583</v>
      </c>
      <c r="AE263" s="748" t="str">
        <f t="shared" si="103"/>
        <v>Medway</v>
      </c>
      <c r="AF263" s="746">
        <f>IF(Year1_Medway Year1_CP_Plans_became_subject_second="","",Year1_Medway Year1_CP_Plans_became_subject_second)</f>
        <v>101</v>
      </c>
      <c r="AG263" s="749">
        <f>IF(Year2_Medway Year2_CP_Plans_became_subject_second="","",Year2_Medway Year2_CP_Plans_became_subject_second)</f>
        <v>68</v>
      </c>
      <c r="AH263" s="749">
        <f>IF(Year3_Medway Year3_CP_Plans_became_subject_second="","",Year3_Medway Year3_CP_Plans_became_subject_second)</f>
        <v>82</v>
      </c>
      <c r="AI263" s="749">
        <f>IF(Year4_Medway Year4_CP_Plans_became_subject_second="","",Year4_Medway Year4_CP_Plans_became_subject_second)</f>
        <v>82</v>
      </c>
      <c r="AJ263" s="1495">
        <f>IF(Year5_Medway Year5_CP_Plans_became_subject_second="","",Year5_Medway Year5_CP_Plans_became_subject_second)</f>
        <v>127</v>
      </c>
      <c r="AK263" s="160"/>
    </row>
    <row r="264" spans="1:45" s="87" customFormat="1" ht="12.75" customHeight="1" x14ac:dyDescent="0.2">
      <c r="A264" s="488">
        <f>VLOOKUP(B264,Sheet1!$AQ$4:$AR$25,2,FALSE)</f>
        <v>0</v>
      </c>
      <c r="B264" s="93" t="str">
        <f t="shared" si="96"/>
        <v>Milton Keynes</v>
      </c>
      <c r="C264" s="85"/>
      <c r="D264" s="162" t="e">
        <f t="shared" si="101"/>
        <v>#N/A</v>
      </c>
      <c r="E264" s="162">
        <f t="shared" si="97"/>
        <v>8.6956521739130432E-2</v>
      </c>
      <c r="F264" s="162">
        <f t="shared" si="98"/>
        <v>8.0246913580246909E-2</v>
      </c>
      <c r="G264" s="162">
        <f t="shared" si="99"/>
        <v>0.13861386138613863</v>
      </c>
      <c r="H264" s="164">
        <f t="shared" si="100"/>
        <v>0.11160714285714286</v>
      </c>
      <c r="I264" s="96"/>
      <c r="J264" s="96"/>
      <c r="K264" s="166"/>
      <c r="L264" s="166"/>
      <c r="M264" s="166"/>
      <c r="N264" s="166"/>
      <c r="O264" s="166"/>
      <c r="P264" s="166"/>
      <c r="Q264" s="166"/>
      <c r="R264" s="167"/>
      <c r="S264" s="159"/>
      <c r="T264" s="159"/>
      <c r="U264" s="166"/>
      <c r="V264" s="122"/>
      <c r="W264" s="139"/>
      <c r="X264" s="152"/>
      <c r="Y264" s="744" t="str">
        <f t="shared" si="102"/>
        <v>Milton Keynes</v>
      </c>
      <c r="Z264" s="745">
        <f>IF(Year1_Milton_Keynes Year1_CP_Plans_became_subject="","",Year1_Milton_Keynes Year1_CP_Plans_became_subject)</f>
        <v>109</v>
      </c>
      <c r="AA264" s="749">
        <f>IF(Year2_Milton_Keynes Year2_CP_Plans_became_subject="","",Year2_Milton_Keynes Year2_CP_Plans_became_subject)</f>
        <v>138</v>
      </c>
      <c r="AB264" s="749">
        <f>IF(Year3_Milton_Keynes Year3_CP_Plans_became_subject="","",Year3_Milton_Keynes Year3_CP_Plans_became_subject)</f>
        <v>162</v>
      </c>
      <c r="AC264" s="749">
        <f>IF(Year4_Milton_Keynes Year4_CP_Plans_became_subject="","",Year4_Milton_Keynes Year4_CP_Plans_became_subject)</f>
        <v>202</v>
      </c>
      <c r="AD264" s="1494">
        <f>IF(Year5_Milton_Keynes Year5_CP_Plans_became_subject="","",Year5_Milton_Keynes Year5_CP_Plans_became_subject)</f>
        <v>224</v>
      </c>
      <c r="AE264" s="748" t="str">
        <f t="shared" si="103"/>
        <v>Milton Keynes</v>
      </c>
      <c r="AF264" s="746" t="str">
        <f>IF(Year1_Milton_Keynes Year1_CP_Plans_became_subject_second="","",Year1_Milton_Keynes Year1_CP_Plans_became_subject_second)</f>
        <v>x</v>
      </c>
      <c r="AG264" s="749">
        <f>IF(Year2_Milton_Keynes Year2_CP_Plans_became_subject_second="","",Year2_Milton_Keynes Year2_CP_Plans_became_subject_second)</f>
        <v>12</v>
      </c>
      <c r="AH264" s="749">
        <f>IF(Year3_Milton_Keynes Year3_CP_Plans_became_subject_second="","",Year3_Milton_Keynes Year3_CP_Plans_became_subject_second)</f>
        <v>13</v>
      </c>
      <c r="AI264" s="749">
        <f>IF(Year4_Milton_Keynes Year4_CP_Plans_became_subject_second="","",Year4_Milton_Keynes Year4_CP_Plans_became_subject_second)</f>
        <v>28</v>
      </c>
      <c r="AJ264" s="1495">
        <f>IF(Year5_Milton_Keynes Year5_CP_Plans_became_subject_second="","",Year5_Milton_Keynes Year5_CP_Plans_became_subject_second)</f>
        <v>25</v>
      </c>
      <c r="AK264" s="161"/>
    </row>
    <row r="265" spans="1:45" s="87" customFormat="1" ht="12.75" customHeight="1" x14ac:dyDescent="0.2">
      <c r="A265" s="488">
        <f>VLOOKUP(B265,Sheet1!$AQ$4:$AR$25,2,FALSE)</f>
        <v>0</v>
      </c>
      <c r="B265" s="93" t="str">
        <f t="shared" si="96"/>
        <v>Oxfordshire</v>
      </c>
      <c r="C265" s="85"/>
      <c r="D265" s="162">
        <f t="shared" si="101"/>
        <v>0.2132768361581921</v>
      </c>
      <c r="E265" s="162">
        <f t="shared" si="97"/>
        <v>0.18375</v>
      </c>
      <c r="F265" s="162">
        <f t="shared" si="98"/>
        <v>0.23415265200517466</v>
      </c>
      <c r="G265" s="629">
        <f t="shared" si="99"/>
        <v>0.21908602150537634</v>
      </c>
      <c r="H265" s="164">
        <f t="shared" si="100"/>
        <v>0.24765729585006693</v>
      </c>
      <c r="I265" s="96"/>
      <c r="J265" s="96"/>
      <c r="K265" s="166"/>
      <c r="L265" s="166"/>
      <c r="M265" s="166"/>
      <c r="N265" s="166"/>
      <c r="O265" s="166"/>
      <c r="P265" s="166"/>
      <c r="Q265" s="166"/>
      <c r="R265" s="167"/>
      <c r="S265" s="159"/>
      <c r="T265" s="159"/>
      <c r="U265" s="166"/>
      <c r="V265" s="122"/>
      <c r="W265" s="139"/>
      <c r="X265" s="152"/>
      <c r="Y265" s="744" t="str">
        <f t="shared" si="102"/>
        <v>Oxfordshire</v>
      </c>
      <c r="Z265" s="745">
        <f>IF(Year1_Oxfordshire Year1_CP_Plans_became_subject="","",Year1_Oxfordshire Year1_CP_Plans_became_subject)</f>
        <v>708</v>
      </c>
      <c r="AA265" s="749">
        <f>IF(Year2_Oxfordshire Year2_CP_Plans_became_subject="","",Year2_Oxfordshire Year2_CP_Plans_became_subject)</f>
        <v>800</v>
      </c>
      <c r="AB265" s="749">
        <f>IF(Year3_Oxfordshire Year3_CP_Plans_became_subject="","",Year3_Oxfordshire Year3_CP_Plans_became_subject)</f>
        <v>773</v>
      </c>
      <c r="AC265" s="749">
        <f>IF(Year4_Oxfordshire Year4_CP_Plans_became_subject="","",Year4_Oxfordshire Year4_CP_Plans_became_subject)</f>
        <v>744</v>
      </c>
      <c r="AD265" s="1494">
        <f>IF(Year5_Oxfordshire Year5_CP_Plans_became_subject="","",Year5_Oxfordshire Year5_CP_Plans_became_subject)</f>
        <v>747</v>
      </c>
      <c r="AE265" s="748" t="str">
        <f t="shared" si="103"/>
        <v>Oxfordshire</v>
      </c>
      <c r="AF265" s="746">
        <f>IF(Year1_Oxfordshire Year1_CP_Plans_became_subject_second="","",Year1_Oxfordshire Year1_CP_Plans_became_subject_second)</f>
        <v>151</v>
      </c>
      <c r="AG265" s="749">
        <f>IF(Year2_Oxfordshire Year2_CP_Plans_became_subject_second="","",Year2_Oxfordshire Year2_CP_Plans_became_subject_second)</f>
        <v>147</v>
      </c>
      <c r="AH265" s="749">
        <f>IF(Year3_Oxfordshire Year3_CP_Plans_became_subject_second="","",Year3_Oxfordshire Year3_CP_Plans_became_subject_second)</f>
        <v>181</v>
      </c>
      <c r="AI265" s="749">
        <f>IF(Year4_Oxfordshire Year4_CP_Plans_became_subject_second="","",Year4_Oxfordshire Year4_CP_Plans_became_subject_second)</f>
        <v>163</v>
      </c>
      <c r="AJ265" s="1495">
        <f>IF(Year5_Oxfordshire Year5_CP_Plans_became_subject_second="","",Year5_Oxfordshire Year5_CP_Plans_became_subject_second)</f>
        <v>185</v>
      </c>
      <c r="AK265" s="160"/>
    </row>
    <row r="266" spans="1:45" s="87" customFormat="1" ht="12.75" customHeight="1" x14ac:dyDescent="0.2">
      <c r="A266" s="488">
        <f>VLOOKUP(B266,Sheet1!$AQ$4:$AR$25,2,FALSE)</f>
        <v>0</v>
      </c>
      <c r="B266" s="93" t="str">
        <f t="shared" si="96"/>
        <v>Portsmouth</v>
      </c>
      <c r="C266" s="85"/>
      <c r="D266" s="162">
        <f t="shared" si="101"/>
        <v>0.20202020202020202</v>
      </c>
      <c r="E266" s="162">
        <f t="shared" si="97"/>
        <v>0.2029520295202952</v>
      </c>
      <c r="F266" s="162">
        <f t="shared" si="98"/>
        <v>0.25964912280701752</v>
      </c>
      <c r="G266" s="162">
        <f t="shared" si="99"/>
        <v>0.19762845849802371</v>
      </c>
      <c r="H266" s="164">
        <f t="shared" si="100"/>
        <v>0.19732441471571907</v>
      </c>
      <c r="I266" s="96"/>
      <c r="J266" s="96"/>
      <c r="K266" s="166"/>
      <c r="L266" s="166"/>
      <c r="M266" s="166"/>
      <c r="N266" s="166"/>
      <c r="O266" s="166"/>
      <c r="P266" s="166"/>
      <c r="Q266" s="166"/>
      <c r="R266" s="167"/>
      <c r="S266" s="159"/>
      <c r="T266" s="159"/>
      <c r="U266" s="166"/>
      <c r="V266" s="122"/>
      <c r="W266" s="139"/>
      <c r="X266" s="152"/>
      <c r="Y266" s="744" t="str">
        <f t="shared" si="102"/>
        <v>Portsmouth</v>
      </c>
      <c r="Z266" s="745">
        <f>IF(Year1_Portsmouth Year1_CP_Plans_became_subject="","",Year1_Portsmouth Year1_CP_Plans_became_subject)</f>
        <v>297</v>
      </c>
      <c r="AA266" s="749">
        <f>IF(Year2_Portsmouth Year2_CP_Plans_became_subject="","",Year2_Portsmouth Year2_CP_Plans_became_subject)</f>
        <v>271</v>
      </c>
      <c r="AB266" s="749">
        <f>IF(Year3_Portsmouth Year3_CP_Plans_became_subject="","",Year3_Portsmouth Year3_CP_Plans_became_subject)</f>
        <v>285</v>
      </c>
      <c r="AC266" s="749">
        <f>IF(Year4_Portsmouth Year4_CP_Plans_became_subject="","",Year4_Portsmouth Year4_CP_Plans_became_subject)</f>
        <v>253</v>
      </c>
      <c r="AD266" s="1494">
        <f>IF(Year5_Portsmouth Year5_CP_Plans_became_subject="","",Year5_Portsmouth Year5_CP_Plans_became_subject)</f>
        <v>299</v>
      </c>
      <c r="AE266" s="748" t="str">
        <f t="shared" si="103"/>
        <v>Portsmouth</v>
      </c>
      <c r="AF266" s="746">
        <f>IF(Year1_Portsmouth Year1_CP_Plans_became_subject_second="","",Year1_Portsmouth Year1_CP_Plans_became_subject_second)</f>
        <v>60</v>
      </c>
      <c r="AG266" s="749">
        <f>IF(Year2_Portsmouth Year2_CP_Plans_became_subject_second="","",Year2_Portsmouth Year2_CP_Plans_became_subject_second)</f>
        <v>55</v>
      </c>
      <c r="AH266" s="749">
        <f>IF(Year3_Portsmouth Year3_CP_Plans_became_subject_second="","",Year3_Portsmouth Year3_CP_Plans_became_subject_second)</f>
        <v>74</v>
      </c>
      <c r="AI266" s="749">
        <f>IF(Year4_Portsmouth Year4_CP_Plans_became_subject_second="","",Year4_Portsmouth Year4_CP_Plans_became_subject_second)</f>
        <v>50</v>
      </c>
      <c r="AJ266" s="1495">
        <f>IF(Year5_Portsmouth Year5_CP_Plans_became_subject_second="","",Year5_Portsmouth Year5_CP_Plans_became_subject_second)</f>
        <v>59</v>
      </c>
      <c r="AK266" s="161"/>
    </row>
    <row r="267" spans="1:45" s="87" customFormat="1" ht="12.75" customHeight="1" x14ac:dyDescent="0.2">
      <c r="A267" s="488">
        <f>VLOOKUP(B267,Sheet1!$AQ$4:$AR$25,2,FALSE)</f>
        <v>0</v>
      </c>
      <c r="B267" s="93" t="str">
        <f t="shared" si="96"/>
        <v>Reading</v>
      </c>
      <c r="C267" s="85"/>
      <c r="D267" s="162">
        <f t="shared" si="101"/>
        <v>0.21791044776119403</v>
      </c>
      <c r="E267" s="162">
        <f t="shared" si="97"/>
        <v>0.28878281622911695</v>
      </c>
      <c r="F267" s="162">
        <f t="shared" si="98"/>
        <v>0.17714285714285713</v>
      </c>
      <c r="G267" s="162">
        <f t="shared" si="99"/>
        <v>0.28700906344410876</v>
      </c>
      <c r="H267" s="164">
        <f t="shared" si="100"/>
        <v>0.25</v>
      </c>
      <c r="I267" s="96"/>
      <c r="J267" s="96"/>
      <c r="K267" s="166"/>
      <c r="L267" s="166"/>
      <c r="M267" s="166"/>
      <c r="N267" s="166"/>
      <c r="O267" s="166"/>
      <c r="P267" s="166"/>
      <c r="Q267" s="166"/>
      <c r="R267" s="167"/>
      <c r="S267" s="159"/>
      <c r="T267" s="159"/>
      <c r="U267" s="166"/>
      <c r="V267" s="122"/>
      <c r="W267" s="139"/>
      <c r="X267" s="152"/>
      <c r="Y267" s="744" t="str">
        <f t="shared" si="102"/>
        <v>Reading</v>
      </c>
      <c r="Z267" s="745">
        <f>IF(Year1_Reading Year1_CP_Plans_became_subject="","",Year1_Reading Year1_CP_Plans_became_subject)</f>
        <v>335</v>
      </c>
      <c r="AA267" s="749">
        <f>IF(Year2_Reading Year2_CP_Plans_became_subject="","",Year2_Reading Year2_CP_Plans_became_subject)</f>
        <v>419</v>
      </c>
      <c r="AB267" s="749">
        <f>IF(Year3_Reading Year3_CP_Plans_became_subject="","",Year3_Reading Year3_CP_Plans_became_subject)</f>
        <v>350</v>
      </c>
      <c r="AC267" s="749">
        <f>IF(Year4_Reading Year4_CP_Plans_became_subject="","",Year4_Reading Year4_CP_Plans_became_subject)</f>
        <v>331</v>
      </c>
      <c r="AD267" s="1494">
        <f>IF(Year5_Reading Year5_CP_Plans_became_subject="","",Year5_Reading Year5_CP_Plans_became_subject)</f>
        <v>252</v>
      </c>
      <c r="AE267" s="748" t="str">
        <f t="shared" si="103"/>
        <v>Reading</v>
      </c>
      <c r="AF267" s="746">
        <f>IF(Year1_Reading Year1_CP_Plans_became_subject_second="","",Year1_Reading Year1_CP_Plans_became_subject_second)</f>
        <v>73</v>
      </c>
      <c r="AG267" s="749">
        <f>IF(Year2_Reading Year2_CP_Plans_became_subject_second="","",Year2_Reading Year2_CP_Plans_became_subject_second)</f>
        <v>121</v>
      </c>
      <c r="AH267" s="749">
        <f>IF(Year3_Reading Year3_CP_Plans_became_subject_second="","",Year3_Reading Year3_CP_Plans_became_subject_second)</f>
        <v>62</v>
      </c>
      <c r="AI267" s="749">
        <f>IF(Year4_Reading Year4_CP_Plans_became_subject_second="","",Year4_Reading Year4_CP_Plans_became_subject_second)</f>
        <v>95</v>
      </c>
      <c r="AJ267" s="1495">
        <f>IF(Year5_Reading Year5_CP_Plans_became_subject_second="","",Year5_Reading Year5_CP_Plans_became_subject_second)</f>
        <v>63</v>
      </c>
      <c r="AK267" s="160"/>
    </row>
    <row r="268" spans="1:45" s="87" customFormat="1" ht="12.75" customHeight="1" x14ac:dyDescent="0.2">
      <c r="A268" s="488">
        <f>VLOOKUP(B268,Sheet1!$AQ$4:$AR$25,2,FALSE)</f>
        <v>0</v>
      </c>
      <c r="B268" s="93" t="str">
        <f t="shared" si="96"/>
        <v>Slough</v>
      </c>
      <c r="C268" s="85"/>
      <c r="D268" s="162">
        <f t="shared" si="101"/>
        <v>0.16772151898734178</v>
      </c>
      <c r="E268" s="162">
        <f t="shared" si="97"/>
        <v>0.22602739726027396</v>
      </c>
      <c r="F268" s="162">
        <f t="shared" si="98"/>
        <v>0.23333333333333334</v>
      </c>
      <c r="G268" s="162">
        <f t="shared" si="99"/>
        <v>0.20532319391634982</v>
      </c>
      <c r="H268" s="164">
        <f t="shared" si="100"/>
        <v>0.18296529968454259</v>
      </c>
      <c r="I268" s="96"/>
      <c r="J268" s="96"/>
      <c r="K268" s="166"/>
      <c r="L268" s="166"/>
      <c r="M268" s="166"/>
      <c r="N268" s="166"/>
      <c r="O268" s="166"/>
      <c r="P268" s="166"/>
      <c r="Q268" s="166"/>
      <c r="R268" s="167"/>
      <c r="S268" s="159"/>
      <c r="T268" s="159"/>
      <c r="U268" s="166"/>
      <c r="V268" s="122"/>
      <c r="W268" s="139"/>
      <c r="X268" s="152"/>
      <c r="Y268" s="744" t="str">
        <f t="shared" si="102"/>
        <v>Slough</v>
      </c>
      <c r="Z268" s="745">
        <f>IF(Year1_Slough Year1_CP_Plans_became_subject="","",Year1_Slough Year1_CP_Plans_became_subject)</f>
        <v>316</v>
      </c>
      <c r="AA268" s="749">
        <f>IF(Year2_Slough Year2_CP_Plans_became_subject="","",Year2_Slough Year2_CP_Plans_became_subject)</f>
        <v>292</v>
      </c>
      <c r="AB268" s="749">
        <f>IF(Year3_Slough Year3_CP_Plans_became_subject="","",Year3_Slough Year3_CP_Plans_became_subject)</f>
        <v>240</v>
      </c>
      <c r="AC268" s="749">
        <f>IF(Year4_Slough Year4_CP_Plans_became_subject="","",Year4_Slough Year4_CP_Plans_became_subject)</f>
        <v>263</v>
      </c>
      <c r="AD268" s="1494">
        <f>IF(Year5_Slough Year5_CP_Plans_became_subject="","",Year5_Slough Year5_CP_Plans_became_subject)</f>
        <v>317</v>
      </c>
      <c r="AE268" s="748" t="str">
        <f t="shared" si="103"/>
        <v>Slough</v>
      </c>
      <c r="AF268" s="746">
        <f>IF(Year1_Slough Year1_CP_Plans_became_subject_second="","",Year1_Slough Year1_CP_Plans_became_subject_second)</f>
        <v>53</v>
      </c>
      <c r="AG268" s="749">
        <f>IF(Year2_Slough Year2_CP_Plans_became_subject_second="","",Year2_Slough Year2_CP_Plans_became_subject_second)</f>
        <v>66</v>
      </c>
      <c r="AH268" s="749">
        <f>IF(Year3_Slough Year3_CP_Plans_became_subject_second="","",Year3_Slough Year3_CP_Plans_became_subject_second)</f>
        <v>56</v>
      </c>
      <c r="AI268" s="749">
        <f>IF(Year4_Slough Year4_CP_Plans_became_subject_second="","",Year4_Slough Year4_CP_Plans_became_subject_second)</f>
        <v>54</v>
      </c>
      <c r="AJ268" s="1495">
        <f>IF(Year5_Slough Year5_CP_Plans_became_subject_second="","",Year5_Slough Year5_CP_Plans_became_subject_second)</f>
        <v>58</v>
      </c>
      <c r="AK268" s="161"/>
    </row>
    <row r="269" spans="1:45" s="87" customFormat="1" ht="12.75" customHeight="1" x14ac:dyDescent="0.2">
      <c r="A269" s="488">
        <f>VLOOKUP(B269,Sheet1!$AQ$4:$AR$25,2,FALSE)</f>
        <v>0</v>
      </c>
      <c r="B269" s="93" t="str">
        <f t="shared" si="96"/>
        <v>Somerset</v>
      </c>
      <c r="C269" s="85"/>
      <c r="D269" s="162">
        <f t="shared" si="101"/>
        <v>0.25304136253041365</v>
      </c>
      <c r="E269" s="162">
        <f t="shared" si="97"/>
        <v>0.1934931506849315</v>
      </c>
      <c r="F269" s="162">
        <f t="shared" si="98"/>
        <v>0.21132075471698114</v>
      </c>
      <c r="G269" s="162">
        <f t="shared" si="99"/>
        <v>0.20289855072463769</v>
      </c>
      <c r="H269" s="164">
        <f t="shared" si="100"/>
        <v>0.27037037037037037</v>
      </c>
      <c r="I269" s="96"/>
      <c r="J269" s="96"/>
      <c r="K269" s="166"/>
      <c r="L269" s="166"/>
      <c r="M269" s="166"/>
      <c r="N269" s="166"/>
      <c r="O269" s="166"/>
      <c r="P269" s="166"/>
      <c r="Q269" s="166"/>
      <c r="R269" s="167"/>
      <c r="S269" s="159"/>
      <c r="T269" s="159"/>
      <c r="U269" s="166"/>
      <c r="V269" s="122"/>
      <c r="W269" s="139"/>
      <c r="X269" s="152"/>
      <c r="Y269" s="744" t="str">
        <f t="shared" si="102"/>
        <v>Somerset</v>
      </c>
      <c r="Z269" s="745">
        <f>IF(Year1_Somerset Year1_CP_Plans_became_subject="","",Year1_Somerset Year1_CP_Plans_became_subject)</f>
        <v>411</v>
      </c>
      <c r="AA269" s="749">
        <f>IF(Year2_Somerset Year2_CP_Plans_became_subject="","",Year2_Somerset Year2_CP_Plans_became_subject)</f>
        <v>584</v>
      </c>
      <c r="AB269" s="749">
        <f>IF(Year3_Somerset Year3_CP_Plans_became_subject="","",Year3_Somerset Year3_CP_Plans_became_subject)</f>
        <v>530</v>
      </c>
      <c r="AC269" s="749">
        <f>IF(Year4_Somerset Year4_CP_Plans_became_subject="","",Year4_Somerset Year4_CP_Plans_became_subject)</f>
        <v>483</v>
      </c>
      <c r="AD269" s="1494">
        <f>IF(Year5_Somerset Year5_CP_Plans_became_subject="","",Year5_Somerset Year5_CP_Plans_became_subject)</f>
        <v>270</v>
      </c>
      <c r="AE269" s="748" t="str">
        <f t="shared" si="103"/>
        <v>Somerset</v>
      </c>
      <c r="AF269" s="746">
        <f>IF(Year1_Somerset Year1_CP_Plans_became_subject_second="","",Year1_Somerset Year1_CP_Plans_became_subject_second)</f>
        <v>104</v>
      </c>
      <c r="AG269" s="749">
        <f>IF(Year2_Somerset Year2_CP_Plans_became_subject_second="","",Year2_Somerset Year2_CP_Plans_became_subject_second)</f>
        <v>113</v>
      </c>
      <c r="AH269" s="749">
        <f>IF(Year3_Somerset Year3_CP_Plans_became_subject_second="","",Year3_Somerset Year3_CP_Plans_became_subject_second)</f>
        <v>112</v>
      </c>
      <c r="AI269" s="749">
        <f>IF(Year4_Somerset Year4_CP_Plans_became_subject_second="","",Year4_Somerset Year4_CP_Plans_became_subject_second)</f>
        <v>98</v>
      </c>
      <c r="AJ269" s="1495">
        <f>IF(Year5_Somerset Year5_CP_Plans_became_subject_second="","",Year5_Somerset Year5_CP_Plans_became_subject_second)</f>
        <v>73</v>
      </c>
      <c r="AK269" s="160"/>
    </row>
    <row r="270" spans="1:45" s="87" customFormat="1" ht="12.75" customHeight="1" x14ac:dyDescent="0.2">
      <c r="A270" s="488">
        <f>VLOOKUP(B270,Sheet1!$AQ$4:$AR$25,2,FALSE)</f>
        <v>0</v>
      </c>
      <c r="B270" s="93" t="str">
        <f t="shared" si="96"/>
        <v>Southampton</v>
      </c>
      <c r="C270" s="85"/>
      <c r="D270" s="162">
        <f t="shared" si="101"/>
        <v>0.29591836734693877</v>
      </c>
      <c r="E270" s="162">
        <f t="shared" si="97"/>
        <v>0.28496042216358841</v>
      </c>
      <c r="F270" s="162">
        <f t="shared" si="98"/>
        <v>0.30626450116009279</v>
      </c>
      <c r="G270" s="162">
        <f t="shared" si="99"/>
        <v>0.20104438642297651</v>
      </c>
      <c r="H270" s="164">
        <f t="shared" si="100"/>
        <v>0.24377224199288255</v>
      </c>
      <c r="I270" s="96"/>
      <c r="J270" s="96"/>
      <c r="K270" s="166"/>
      <c r="L270" s="166"/>
      <c r="M270" s="166"/>
      <c r="N270" s="166"/>
      <c r="O270" s="166"/>
      <c r="P270" s="166"/>
      <c r="Q270" s="166"/>
      <c r="R270" s="167"/>
      <c r="S270" s="159"/>
      <c r="T270" s="159"/>
      <c r="U270" s="166"/>
      <c r="V270" s="122"/>
      <c r="W270" s="139"/>
      <c r="X270" s="152"/>
      <c r="Y270" s="744" t="str">
        <f t="shared" si="102"/>
        <v>Southampton</v>
      </c>
      <c r="Z270" s="745">
        <f>IF(Year1_Southampton Year1_CP_Plans_became_subject="","",Year1_Southampton Year1_CP_Plans_became_subject)</f>
        <v>490</v>
      </c>
      <c r="AA270" s="749">
        <f>IF(Year2_Southampton Year2_CP_Plans_became_subject="","",Year2_Southampton Year2_CP_Plans_became_subject)</f>
        <v>379</v>
      </c>
      <c r="AB270" s="749">
        <f>IF(Year3_Southampton Year3_CP_Plans_became_subject="","",Year3_Southampton Year3_CP_Plans_became_subject)</f>
        <v>431</v>
      </c>
      <c r="AC270" s="749">
        <f>IF(Year4_Southampton Year4_CP_Plans_became_subject="","",Year4_Southampton Year4_CP_Plans_became_subject)</f>
        <v>383</v>
      </c>
      <c r="AD270" s="1494">
        <f>IF(Year5_Southampton Year5_CP_Plans_became_subject="","",Year5_Southampton Year5_CP_Plans_became_subject)</f>
        <v>562</v>
      </c>
      <c r="AE270" s="748" t="str">
        <f t="shared" si="103"/>
        <v>Southampton</v>
      </c>
      <c r="AF270" s="746">
        <f>IF(Year1_Southampton Year1_CP_Plans_became_subject_second="","",Year1_Southampton Year1_CP_Plans_became_subject_second)</f>
        <v>145</v>
      </c>
      <c r="AG270" s="749">
        <f>IF(Year2_Southampton Year2_CP_Plans_became_subject_second="","",Year2_Southampton Year2_CP_Plans_became_subject_second)</f>
        <v>108</v>
      </c>
      <c r="AH270" s="749">
        <f>IF(Year3_Southampton Year3_CP_Plans_became_subject_second="","",Year3_Southampton Year3_CP_Plans_became_subject_second)</f>
        <v>132</v>
      </c>
      <c r="AI270" s="749">
        <f>IF(Year4_Southampton Year4_CP_Plans_became_subject_second="","",Year4_Southampton Year4_CP_Plans_became_subject_second)</f>
        <v>77</v>
      </c>
      <c r="AJ270" s="1495">
        <f>IF(Year5_Southampton Year5_CP_Plans_became_subject_second="","",Year5_Southampton Year5_CP_Plans_became_subject_second)</f>
        <v>137</v>
      </c>
      <c r="AK270" s="161"/>
    </row>
    <row r="271" spans="1:45" s="87" customFormat="1" ht="12.75" customHeight="1" x14ac:dyDescent="0.2">
      <c r="A271" s="488">
        <f>VLOOKUP(B271,Sheet1!$AQ$4:$AR$25,2,FALSE)</f>
        <v>0</v>
      </c>
      <c r="B271" s="93" t="str">
        <f t="shared" si="96"/>
        <v>Surrey</v>
      </c>
      <c r="C271" s="85"/>
      <c r="D271" s="162">
        <f t="shared" si="101"/>
        <v>0.23084577114427859</v>
      </c>
      <c r="E271" s="162">
        <f t="shared" si="97"/>
        <v>0.22447013487475914</v>
      </c>
      <c r="F271" s="162">
        <f t="shared" si="98"/>
        <v>0.24413553431798435</v>
      </c>
      <c r="G271" s="162">
        <f t="shared" si="99"/>
        <v>0.21919014084507044</v>
      </c>
      <c r="H271" s="164">
        <f t="shared" si="100"/>
        <v>0.26398852223816355</v>
      </c>
      <c r="I271" s="96"/>
      <c r="J271" s="96"/>
      <c r="K271" s="166"/>
      <c r="L271" s="166"/>
      <c r="M271" s="166"/>
      <c r="N271" s="166"/>
      <c r="O271" s="166"/>
      <c r="P271" s="166"/>
      <c r="Q271" s="166"/>
      <c r="R271" s="167"/>
      <c r="S271" s="159"/>
      <c r="T271" s="159"/>
      <c r="U271" s="166"/>
      <c r="V271" s="122"/>
      <c r="W271" s="139"/>
      <c r="X271" s="152"/>
      <c r="Y271" s="744" t="str">
        <f t="shared" si="102"/>
        <v>Surrey</v>
      </c>
      <c r="Z271" s="745">
        <f>IF(Year1_Surrey Year1_CP_Plans_became_subject="","",Year1_Surrey Year1_CP_Plans_became_subject)</f>
        <v>1005</v>
      </c>
      <c r="AA271" s="749">
        <f>IF(Year2_Surrey Year2_CP_Plans_became_subject="","",Year2_Surrey Year2_CP_Plans_became_subject)</f>
        <v>1038</v>
      </c>
      <c r="AB271" s="749">
        <f>IF(Year3_Surrey Year3_CP_Plans_became_subject="","",Year3_Surrey Year3_CP_Plans_became_subject)</f>
        <v>1151</v>
      </c>
      <c r="AC271" s="749">
        <f>IF(Year4_Surrey Year4_CP_Plans_became_subject="","",Year4_Surrey Year4_CP_Plans_became_subject)</f>
        <v>1136</v>
      </c>
      <c r="AD271" s="1494">
        <f>IF(Year5_Surrey Year5_CP_Plans_became_subject="","",Year5_Surrey Year5_CP_Plans_became_subject)</f>
        <v>697</v>
      </c>
      <c r="AE271" s="748" t="str">
        <f t="shared" si="103"/>
        <v>Surrey</v>
      </c>
      <c r="AF271" s="746">
        <f>IF(Year1_Surrey Year1_CP_Plans_became_subject_second="","",Year1_Surrey Year1_CP_Plans_became_subject_second)</f>
        <v>232</v>
      </c>
      <c r="AG271" s="749">
        <f>IF(Year2_Surrey Year2_CP_Plans_became_subject_second="","",Year2_Surrey Year2_CP_Plans_became_subject_second)</f>
        <v>233</v>
      </c>
      <c r="AH271" s="749">
        <f>IF(Year3_Surrey Year3_CP_Plans_became_subject_second="","",Year3_Surrey Year3_CP_Plans_became_subject_second)</f>
        <v>281</v>
      </c>
      <c r="AI271" s="749">
        <f>IF(Year4_Surrey Year4_CP_Plans_became_subject_second="","",Year4_Surrey Year4_CP_Plans_became_subject_second)</f>
        <v>249</v>
      </c>
      <c r="AJ271" s="1495">
        <f>IF(Year5_Surrey Year5_CP_Plans_became_subject_second="","",Year5_Surrey Year5_CP_Plans_became_subject_second)</f>
        <v>184</v>
      </c>
      <c r="AK271" s="160"/>
    </row>
    <row r="272" spans="1:45" s="87" customFormat="1" ht="12.75" customHeight="1" x14ac:dyDescent="0.2">
      <c r="A272" s="488">
        <f>VLOOKUP(B272,Sheet1!$AQ$4:$AR$25,2,FALSE)</f>
        <v>0</v>
      </c>
      <c r="B272" s="93" t="str">
        <f t="shared" si="96"/>
        <v>Swindon</v>
      </c>
      <c r="C272" s="85"/>
      <c r="D272" s="162">
        <f t="shared" si="101"/>
        <v>0.19031141868512111</v>
      </c>
      <c r="E272" s="162">
        <f t="shared" si="97"/>
        <v>0.20170454545454544</v>
      </c>
      <c r="F272" s="162">
        <f t="shared" si="98"/>
        <v>0.19755600814663951</v>
      </c>
      <c r="G272" s="162">
        <f t="shared" si="99"/>
        <v>0.12142857142857143</v>
      </c>
      <c r="H272" s="164">
        <f t="shared" si="100"/>
        <v>0.12875536480686695</v>
      </c>
      <c r="I272" s="96"/>
      <c r="J272" s="96"/>
      <c r="K272" s="166"/>
      <c r="L272" s="166"/>
      <c r="M272" s="166"/>
      <c r="N272" s="166"/>
      <c r="O272" s="166"/>
      <c r="P272" s="166"/>
      <c r="Q272" s="166"/>
      <c r="R272" s="167"/>
      <c r="S272" s="159"/>
      <c r="T272" s="159"/>
      <c r="U272" s="166"/>
      <c r="V272" s="122"/>
      <c r="W272" s="139"/>
      <c r="X272" s="152"/>
      <c r="Y272" s="744" t="str">
        <f t="shared" si="102"/>
        <v>Swindon</v>
      </c>
      <c r="Z272" s="745">
        <f>IF(Year1_Swindon Year1_CP_Plans_became_subject="","",Year1_Swindon Year1_CP_Plans_became_subject)</f>
        <v>289</v>
      </c>
      <c r="AA272" s="749">
        <f>IF(Year2_Swindon Year2_CP_Plans_became_subject="","",Year2_Swindon Year2_CP_Plans_became_subject)</f>
        <v>352</v>
      </c>
      <c r="AB272" s="749">
        <f>IF(Year3_Swindon Year3_CP_Plans_became_subject="","",Year3_Swindon Year3_CP_Plans_became_subject)</f>
        <v>491</v>
      </c>
      <c r="AC272" s="749">
        <f>IF(Year4_Swindon Year4_CP_Plans_became_subject="","",Year4_Swindon Year4_CP_Plans_became_subject)</f>
        <v>420</v>
      </c>
      <c r="AD272" s="1494">
        <f>IF(Year5_Swindon Year5_CP_Plans_became_subject="","",Year5_Swindon Year5_CP_Plans_became_subject)</f>
        <v>233</v>
      </c>
      <c r="AE272" s="748" t="str">
        <f t="shared" si="103"/>
        <v>Swindon</v>
      </c>
      <c r="AF272" s="746">
        <f>IF(Year1_Swindon Year1_CP_Plans_became_subject_second="","",Year1_Swindon Year1_CP_Plans_became_subject_second)</f>
        <v>55</v>
      </c>
      <c r="AG272" s="749">
        <f>IF(Year2_Swindon Year2_CP_Plans_became_subject_second="","",Year2_Swindon Year2_CP_Plans_became_subject_second)</f>
        <v>71</v>
      </c>
      <c r="AH272" s="749">
        <f>IF(Year3_Swindon Year3_CP_Plans_became_subject_second="","",Year3_Swindon Year3_CP_Plans_became_subject_second)</f>
        <v>97</v>
      </c>
      <c r="AI272" s="749">
        <f>IF(Year4_Swindon Year4_CP_Plans_became_subject_second="","",Year4_Swindon Year4_CP_Plans_became_subject_second)</f>
        <v>51</v>
      </c>
      <c r="AJ272" s="1495">
        <f>IF(Year5_Swindon Year5_CP_Plans_became_subject_second="","",Year5_Swindon Year5_CP_Plans_became_subject_second)</f>
        <v>30</v>
      </c>
      <c r="AK272" s="161"/>
    </row>
    <row r="273" spans="1:80" s="87" customFormat="1" ht="12.75" customHeight="1" x14ac:dyDescent="0.2">
      <c r="A273" s="488">
        <f>VLOOKUP(B273,Sheet1!$AQ$4:$AR$25,2,FALSE)</f>
        <v>0</v>
      </c>
      <c r="B273" s="93" t="str">
        <f t="shared" si="96"/>
        <v>Torbay</v>
      </c>
      <c r="C273" s="85"/>
      <c r="D273" s="162">
        <f t="shared" si="101"/>
        <v>0.23134328358208955</v>
      </c>
      <c r="E273" s="162">
        <f t="shared" si="97"/>
        <v>0.21212121212121213</v>
      </c>
      <c r="F273" s="162">
        <f t="shared" si="98"/>
        <v>0.26896551724137929</v>
      </c>
      <c r="G273" s="162">
        <f t="shared" si="99"/>
        <v>0.3155737704918033</v>
      </c>
      <c r="H273" s="164">
        <f t="shared" si="100"/>
        <v>0.2837370242214533</v>
      </c>
      <c r="I273" s="96"/>
      <c r="J273" s="96"/>
      <c r="K273" s="166"/>
      <c r="L273" s="166"/>
      <c r="M273" s="166"/>
      <c r="N273" s="166"/>
      <c r="O273" s="166"/>
      <c r="P273" s="166"/>
      <c r="Q273" s="166"/>
      <c r="R273" s="167"/>
      <c r="S273" s="159"/>
      <c r="T273" s="159"/>
      <c r="U273" s="166"/>
      <c r="V273" s="122"/>
      <c r="W273" s="139"/>
      <c r="X273" s="152"/>
      <c r="Y273" s="744" t="str">
        <f t="shared" si="102"/>
        <v>Torbay</v>
      </c>
      <c r="Z273" s="745">
        <f>IF(Year1_Torbay Year1_CP_Plans_became_subject="","",Year1_Torbay Year1_CP_Plans_became_subject)</f>
        <v>268</v>
      </c>
      <c r="AA273" s="749">
        <f>IF(Year2_Torbay Year2_CP_Plans_became_subject="","",Year2_Torbay Year2_CP_Plans_became_subject)</f>
        <v>297</v>
      </c>
      <c r="AB273" s="749">
        <f>IF(Year3_Torbay Year3_CP_Plans_became_subject="","",Year3_Torbay Year3_CP_Plans_became_subject)</f>
        <v>290</v>
      </c>
      <c r="AC273" s="749">
        <f>IF(Year4_Torbay Year4_CP_Plans_became_subject="","",Year4_Torbay Year4_CP_Plans_became_subject)</f>
        <v>244</v>
      </c>
      <c r="AD273" s="1494">
        <f>IF(Year5_Torbay Year5_CP_Plans_became_subject="","",Year5_Torbay Year5_CP_Plans_became_subject)</f>
        <v>289</v>
      </c>
      <c r="AE273" s="748" t="str">
        <f t="shared" si="103"/>
        <v>Torbay</v>
      </c>
      <c r="AF273" s="746">
        <f>IF(Year1_Torbay Year1_CP_Plans_became_subject_second="","",Year1_Torbay Year1_CP_Plans_became_subject_second)</f>
        <v>62</v>
      </c>
      <c r="AG273" s="749">
        <f>IF(Year2_Torbay Year2_CP_Plans_became_subject_second="","",Year2_Torbay Year2_CP_Plans_became_subject_second)</f>
        <v>63</v>
      </c>
      <c r="AH273" s="749">
        <f>IF(Year3_Torbay Year3_CP_Plans_became_subject_second="","",Year3_Torbay Year3_CP_Plans_became_subject_second)</f>
        <v>78</v>
      </c>
      <c r="AI273" s="749">
        <f>IF(Year4_Torbay Year4_CP_Plans_became_subject_second="","",Year4_Torbay Year4_CP_Plans_became_subject_second)</f>
        <v>77</v>
      </c>
      <c r="AJ273" s="1495">
        <f>IF(Year5_Torbay Year5_CP_Plans_became_subject_second="","",Year5_Torbay Year5_CP_Plans_became_subject_second)</f>
        <v>82</v>
      </c>
      <c r="AK273" s="160"/>
    </row>
    <row r="274" spans="1:80" s="87" customFormat="1" ht="12.75" customHeight="1" x14ac:dyDescent="0.2">
      <c r="A274" s="488">
        <f>VLOOKUP(B274,Sheet1!$AQ$4:$AR$25,2,FALSE)</f>
        <v>0</v>
      </c>
      <c r="B274" s="93" t="str">
        <f t="shared" si="96"/>
        <v>West Berkshire</v>
      </c>
      <c r="C274" s="85"/>
      <c r="D274" s="162">
        <f t="shared" si="101"/>
        <v>0.10784313725490197</v>
      </c>
      <c r="E274" s="162">
        <f t="shared" si="97"/>
        <v>0.22748815165876776</v>
      </c>
      <c r="F274" s="162">
        <f t="shared" si="98"/>
        <v>0.18181818181818182</v>
      </c>
      <c r="G274" s="162">
        <f t="shared" si="99"/>
        <v>0.24752475247524752</v>
      </c>
      <c r="H274" s="164">
        <f t="shared" si="100"/>
        <v>0.21764705882352942</v>
      </c>
      <c r="I274" s="96"/>
      <c r="J274" s="96"/>
      <c r="K274" s="166"/>
      <c r="L274" s="166"/>
      <c r="M274" s="166"/>
      <c r="N274" s="166"/>
      <c r="O274" s="166"/>
      <c r="P274" s="166"/>
      <c r="Q274" s="166"/>
      <c r="R274" s="167"/>
      <c r="S274" s="159"/>
      <c r="T274" s="159"/>
      <c r="U274" s="166"/>
      <c r="V274" s="122"/>
      <c r="W274" s="139"/>
      <c r="X274" s="152"/>
      <c r="Y274" s="744" t="str">
        <f t="shared" si="102"/>
        <v>West Berkshire</v>
      </c>
      <c r="Z274" s="745">
        <f>IF(Year1_West_Berkshire Year1_CP_Plans_became_subject="","",Year1_West_Berkshire Year1_CP_Plans_became_subject)</f>
        <v>204</v>
      </c>
      <c r="AA274" s="749">
        <f>IF(Year2_West_Berkshire Year2_CP_Plans_became_subject="","",Year2_West_Berkshire Year2_CP_Plans_became_subject)</f>
        <v>211</v>
      </c>
      <c r="AB274" s="749">
        <f>IF(Year3_West_Berkshire Year3_CP_Plans_became_subject="","",Year3_West_Berkshire Year3_CP_Plans_became_subject)</f>
        <v>242</v>
      </c>
      <c r="AC274" s="749">
        <f>IF(Year4_West_Berkshire Year4_CP_Plans_became_subject="","",Year4_West_Berkshire Year4_CP_Plans_became_subject)</f>
        <v>202</v>
      </c>
      <c r="AD274" s="628">
        <f>IF(Year5_West_Berkshire Year5_CP_Plans_became_subject="","",Year5_West_Berkshire Year5_CP_Plans_became_subject)</f>
        <v>170</v>
      </c>
      <c r="AE274" s="748" t="str">
        <f t="shared" si="103"/>
        <v>West Berkshire</v>
      </c>
      <c r="AF274" s="746">
        <f>IF(Year1_West_Berkshire Year1_CP_Plans_became_subject_second="","",Year1_West_Berkshire Year1_CP_Plans_became_subject_second)</f>
        <v>22</v>
      </c>
      <c r="AG274" s="749">
        <f>IF(Year2_West_Berkshire Year2_CP_Plans_became_subject_second="","",Year2_West_Berkshire Year2_CP_Plans_became_subject_second)</f>
        <v>48</v>
      </c>
      <c r="AH274" s="749">
        <f>IF(Year3_West_Berkshire Year3_CP_Plans_became_subject_second="","",Year3_West_Berkshire Year3_CP_Plans_became_subject_second)</f>
        <v>44</v>
      </c>
      <c r="AI274" s="749">
        <f>IF(Year4_West_Berkshire Year4_CP_Plans_became_subject_second="","",Year4_West_Berkshire Year4_CP_Plans_became_subject_second)</f>
        <v>50</v>
      </c>
      <c r="AJ274" s="603">
        <f>IF(Year5_West_Berkshire Year5_CP_Plans_became_subject_second="","",Year5_West_Berkshire Year5_CP_Plans_became_subject_second)</f>
        <v>37</v>
      </c>
      <c r="AK274" s="161"/>
    </row>
    <row r="275" spans="1:80" s="87" customFormat="1" ht="12.75" customHeight="1" x14ac:dyDescent="0.2">
      <c r="A275" s="488">
        <f>VLOOKUP(B275,Sheet1!$AQ$4:$AR$25,2,FALSE)</f>
        <v>0</v>
      </c>
      <c r="B275" s="93" t="str">
        <f t="shared" si="96"/>
        <v>West Sussex</v>
      </c>
      <c r="C275" s="85"/>
      <c r="D275" s="162">
        <f t="shared" si="101"/>
        <v>0.22794117647058823</v>
      </c>
      <c r="E275" s="162">
        <f t="shared" si="97"/>
        <v>0.22748815165876776</v>
      </c>
      <c r="F275" s="162">
        <f t="shared" si="98"/>
        <v>0.2437759336099585</v>
      </c>
      <c r="G275" s="162">
        <f t="shared" si="99"/>
        <v>0.22481572481572482</v>
      </c>
      <c r="H275" s="164">
        <f t="shared" si="100"/>
        <v>0.2648888888888889</v>
      </c>
      <c r="I275" s="96"/>
      <c r="J275" s="96"/>
      <c r="K275" s="166"/>
      <c r="L275" s="166"/>
      <c r="M275" s="166"/>
      <c r="N275" s="166"/>
      <c r="O275" s="166"/>
      <c r="P275" s="166"/>
      <c r="Q275" s="166"/>
      <c r="R275" s="167"/>
      <c r="S275" s="159"/>
      <c r="T275" s="159"/>
      <c r="U275" s="166"/>
      <c r="V275" s="122"/>
      <c r="W275" s="139"/>
      <c r="X275" s="152"/>
      <c r="Y275" s="744" t="str">
        <f t="shared" si="102"/>
        <v>West Sussex</v>
      </c>
      <c r="Z275" s="745">
        <f>IF(Year1_West_Sussex Year1_CP_Plans_became_subject="","",Year1_West_Sussex Year1_CP_Plans_became_subject)</f>
        <v>544</v>
      </c>
      <c r="AA275" s="749">
        <f>IF(Year2_West_Sussex Year2_CP_Plans_became_subject="","",Year2_West_Sussex Year2_CP_Plans_became_subject)</f>
        <v>633</v>
      </c>
      <c r="AB275" s="749">
        <f>IF(Year3_West_Sussex Year3_CP_Plans_became_subject="","",Year3_West_Sussex Year3_CP_Plans_became_subject)</f>
        <v>964</v>
      </c>
      <c r="AC275" s="749">
        <f>IF(Year4_West_Sussex Year4_CP_Plans_became_subject="","",Year4_West_Sussex Year4_CP_Plans_became_subject)</f>
        <v>814</v>
      </c>
      <c r="AD275" s="628">
        <f>IF(Year5_West_Sussex Year5_CP_Plans_became_subject="","",Year5_West_Sussex Year5_CP_Plans_became_subject)</f>
        <v>1125</v>
      </c>
      <c r="AE275" s="748" t="str">
        <f t="shared" si="103"/>
        <v>West Sussex</v>
      </c>
      <c r="AF275" s="746">
        <f>IF(Year1_West_Sussex Year1_CP_Plans_became_subject_second="","",Year1_West_Sussex Year1_CP_Plans_became_subject_second)</f>
        <v>124</v>
      </c>
      <c r="AG275" s="749">
        <f>IF(Year2_West_Sussex Year2_CP_Plans_became_subject_second="","",Year2_West_Sussex Year2_CP_Plans_became_subject_second)</f>
        <v>144</v>
      </c>
      <c r="AH275" s="749">
        <f>IF(Year3_West_Sussex Year3_CP_Plans_became_subject_second="","",Year3_West_Sussex Year3_CP_Plans_became_subject_second)</f>
        <v>235</v>
      </c>
      <c r="AI275" s="749">
        <f>IF(Year4_West_Sussex Year4_CP_Plans_became_subject_second="","",Year4_West_Sussex Year4_CP_Plans_became_subject_second)</f>
        <v>183</v>
      </c>
      <c r="AJ275" s="603">
        <f>IF(Year5_West_Sussex Year5_CP_Plans_became_subject_second="","",Year5_West_Sussex Year5_CP_Plans_became_subject_second)</f>
        <v>298</v>
      </c>
      <c r="AK275" s="160"/>
    </row>
    <row r="276" spans="1:80" s="87" customFormat="1" ht="12.75" customHeight="1" x14ac:dyDescent="0.2">
      <c r="A276" s="488">
        <f>VLOOKUP(B276,Sheet1!$AQ$4:$AR$25,2,FALSE)</f>
        <v>0</v>
      </c>
      <c r="B276" s="93" t="str">
        <f t="shared" si="96"/>
        <v>Windsor &amp; Maidenhead</v>
      </c>
      <c r="C276" s="85"/>
      <c r="D276" s="162">
        <f t="shared" si="101"/>
        <v>0.13714285714285715</v>
      </c>
      <c r="E276" s="162">
        <f t="shared" si="97"/>
        <v>0.30813953488372092</v>
      </c>
      <c r="F276" s="162">
        <f t="shared" si="98"/>
        <v>0.20634920634920634</v>
      </c>
      <c r="G276" s="162">
        <f t="shared" si="99"/>
        <v>0.11956521739130435</v>
      </c>
      <c r="H276" s="164">
        <f t="shared" si="100"/>
        <v>0.15023474178403756</v>
      </c>
      <c r="I276" s="96"/>
      <c r="J276" s="96"/>
      <c r="K276" s="166"/>
      <c r="L276" s="166"/>
      <c r="M276" s="166"/>
      <c r="N276" s="166"/>
      <c r="O276" s="166"/>
      <c r="P276" s="166"/>
      <c r="Q276" s="166"/>
      <c r="R276" s="167"/>
      <c r="S276" s="159"/>
      <c r="T276" s="159"/>
      <c r="U276" s="166"/>
      <c r="V276" s="122"/>
      <c r="W276" s="139"/>
      <c r="X276" s="152"/>
      <c r="Y276" s="744" t="str">
        <f t="shared" si="102"/>
        <v>Windsor &amp; Maidenhead</v>
      </c>
      <c r="Z276" s="745">
        <f>IF(Year1_Windsor_Maidenhead Year1_CP_Plans_became_subject="","",Year1_Windsor_Maidenhead Year1_CP_Plans_became_subject)</f>
        <v>175</v>
      </c>
      <c r="AA276" s="749">
        <f>IF(Year2_Windsor_Maidenhead Year2_CP_Plans_became_subject="","",Year2_Windsor_Maidenhead Year2_CP_Plans_became_subject)</f>
        <v>172</v>
      </c>
      <c r="AB276" s="749">
        <f>IF(Year3_Windsor_Maidenhead Year3_CP_Plans_became_subject="","",Year3_Windsor_Maidenhead Year3_CP_Plans_became_subject)</f>
        <v>126</v>
      </c>
      <c r="AC276" s="749">
        <f>IF(Year4_Windsor_Maidenhead Year4_CP_Plans_became_subject="","",Year4_Windsor_Maidenhead Year4_CP_Plans_became_subject)</f>
        <v>92</v>
      </c>
      <c r="AD276" s="628">
        <f>IF(Year5_Windsor_Maidenhead Year5_CP_Plans_became_subject="","",Year5_Windsor_Maidenhead Year5_CP_Plans_became_subject)</f>
        <v>213</v>
      </c>
      <c r="AE276" s="748" t="str">
        <f t="shared" si="103"/>
        <v>Windsor &amp; Maidenhead</v>
      </c>
      <c r="AF276" s="746">
        <f>IF(Year1_Windsor_Maidenhead Year1_CP_Plans_became_subject_second="","",Year1_Windsor_Maidenhead Year1_CP_Plans_became_subject_second)</f>
        <v>24</v>
      </c>
      <c r="AG276" s="749">
        <f>IF(Year2_Windsor_Maidenhead Year2_CP_Plans_became_subject_second="","",Year2_Windsor_Maidenhead Year2_CP_Plans_became_subject_second)</f>
        <v>53</v>
      </c>
      <c r="AH276" s="749">
        <f>IF(Year3_Windsor_Maidenhead Year3_CP_Plans_became_subject_second="","",Year3_Windsor_Maidenhead Year3_CP_Plans_became_subject_second)</f>
        <v>26</v>
      </c>
      <c r="AI276" s="749">
        <f>IF(Year4_Windsor_Maidenhead Year4_CP_Plans_became_subject_second="","",Year4_Windsor_Maidenhead Year4_CP_Plans_became_subject_second)</f>
        <v>11</v>
      </c>
      <c r="AJ276" s="603">
        <f>IF(Year5_Windsor_Maidenhead Year5_CP_Plans_became_subject_second="","",Year5_Windsor_Maidenhead Year5_CP_Plans_became_subject_second)</f>
        <v>32</v>
      </c>
      <c r="AK276" s="161"/>
    </row>
    <row r="277" spans="1:80" s="87" customFormat="1" ht="12.75" customHeight="1" x14ac:dyDescent="0.2">
      <c r="A277" s="488">
        <f>VLOOKUP(B277,Sheet1!$AQ$4:$AR$25,2,FALSE)</f>
        <v>0</v>
      </c>
      <c r="B277" s="93" t="str">
        <f t="shared" si="96"/>
        <v>Wokingham</v>
      </c>
      <c r="C277" s="85"/>
      <c r="D277" s="162">
        <f t="shared" si="101"/>
        <v>0.14912280701754385</v>
      </c>
      <c r="E277" s="162">
        <f t="shared" si="97"/>
        <v>0.32558139534883723</v>
      </c>
      <c r="F277" s="162">
        <f t="shared" si="98"/>
        <v>0.24</v>
      </c>
      <c r="G277" s="162">
        <f t="shared" si="99"/>
        <v>0.14795918367346939</v>
      </c>
      <c r="H277" s="164">
        <f t="shared" si="100"/>
        <v>0.20224719101123595</v>
      </c>
      <c r="I277" s="96"/>
      <c r="J277" s="96"/>
      <c r="K277" s="166"/>
      <c r="L277" s="166"/>
      <c r="M277" s="166"/>
      <c r="N277" s="166"/>
      <c r="O277" s="166"/>
      <c r="P277" s="166"/>
      <c r="Q277" s="166"/>
      <c r="R277" s="167"/>
      <c r="S277" s="159"/>
      <c r="T277" s="159"/>
      <c r="U277" s="166"/>
      <c r="V277" s="122"/>
      <c r="W277" s="139"/>
      <c r="X277" s="152"/>
      <c r="Y277" s="744" t="str">
        <f t="shared" si="102"/>
        <v>Wokingham</v>
      </c>
      <c r="Z277" s="745">
        <f>IF(Year1_Wokingham Year1_CP_Plans_became_subject="","",Year1_Wokingham Year1_CP_Plans_became_subject)</f>
        <v>114</v>
      </c>
      <c r="AA277" s="749">
        <f>IF(Year2_Wokingham Year2_CP_Plans_became_subject="","",Year2_Wokingham Year2_CP_Plans_became_subject)</f>
        <v>86</v>
      </c>
      <c r="AB277" s="749">
        <f>IF(Year3_Wokingham Year3_CP_Plans_became_subject="","",Year3_Wokingham Year3_CP_Plans_became_subject)</f>
        <v>150</v>
      </c>
      <c r="AC277" s="749">
        <f>IF(Year4_Wokingham Year4_CP_Plans_became_subject="","",Year4_Wokingham Year4_CP_Plans_became_subject)</f>
        <v>196</v>
      </c>
      <c r="AD277" s="628">
        <f>IF(Year5_Wokingham Year5_CP_Plans_became_subject="","",Year5_Wokingham Year5_CP_Plans_became_subject)</f>
        <v>178</v>
      </c>
      <c r="AE277" s="748" t="str">
        <f t="shared" si="103"/>
        <v>Wokingham</v>
      </c>
      <c r="AF277" s="746">
        <f>IF(Year1_Wokingham Year1_CP_Plans_became_subject_second="","",Year1_Wokingham Year1_CP_Plans_became_subject_second)</f>
        <v>17</v>
      </c>
      <c r="AG277" s="749">
        <f>IF(Year2_Wokingham Year2_CP_Plans_became_subject_second="","",Year2_Wokingham Year2_CP_Plans_became_subject_second)</f>
        <v>28</v>
      </c>
      <c r="AH277" s="749">
        <f>IF(Year3_Wokingham Year3_CP_Plans_became_subject_second="","",Year3_Wokingham Year3_CP_Plans_became_subject_second)</f>
        <v>36</v>
      </c>
      <c r="AI277" s="749">
        <f>IF(Year4_Wokingham Year4_CP_Plans_became_subject_second="","",Year4_Wokingham Year4_CP_Plans_became_subject_second)</f>
        <v>29</v>
      </c>
      <c r="AJ277" s="603">
        <f>IF(Year5_Wokingham Year5_CP_Plans_became_subject_second="","",Year5_Wokingham Year5_CP_Plans_became_subject_second)</f>
        <v>36</v>
      </c>
      <c r="AK277" s="160"/>
    </row>
    <row r="278" spans="1:80" s="87" customFormat="1" ht="12.75" customHeight="1" x14ac:dyDescent="0.2">
      <c r="A278" s="121"/>
      <c r="B278" s="129" t="str">
        <f t="shared" si="96"/>
        <v>South East</v>
      </c>
      <c r="C278" s="85"/>
      <c r="D278" s="163">
        <f t="shared" si="101"/>
        <v>0.20675537359263049</v>
      </c>
      <c r="E278" s="163">
        <f t="shared" si="97"/>
        <v>0.2223360655737705</v>
      </c>
      <c r="F278" s="163">
        <f t="shared" si="98"/>
        <v>0.22592945662535749</v>
      </c>
      <c r="G278" s="163">
        <f t="shared" si="99"/>
        <v>0.21078921078921078</v>
      </c>
      <c r="H278" s="165">
        <f t="shared" si="100"/>
        <v>0.23443579766536965</v>
      </c>
      <c r="I278" s="96"/>
      <c r="J278" s="96"/>
      <c r="K278" s="168"/>
      <c r="L278" s="168"/>
      <c r="M278" s="168"/>
      <c r="N278" s="168"/>
      <c r="O278" s="168"/>
      <c r="P278" s="168"/>
      <c r="Q278" s="168"/>
      <c r="R278" s="169"/>
      <c r="S278" s="159"/>
      <c r="T278" s="159"/>
      <c r="U278" s="170"/>
      <c r="V278" s="122"/>
      <c r="W278" s="139"/>
      <c r="X278" s="152"/>
      <c r="Y278" s="744" t="str">
        <f t="shared" si="102"/>
        <v>South East</v>
      </c>
      <c r="Z278" s="748">
        <f>IF(Year1_SouthEast Year1_CP_Plans_became_subject="","",Year1_SouthEast Year1_CP_Plans_became_subject)</f>
        <v>9770</v>
      </c>
      <c r="AA278" s="749">
        <f>IF(Year2_SouthEast Year2_CP_Plans_became_subject="","",Year2_SouthEast Year2_CP_Plans_became_subject)</f>
        <v>9760</v>
      </c>
      <c r="AB278" s="749">
        <f>IF(Year3_SouthEast Year3_CP_Plans_became_subject="","",Year3_SouthEast Year3_CP_Plans_became_subject)</f>
        <v>10490</v>
      </c>
      <c r="AC278" s="749">
        <f>IF(Year4_SouthEast Year4_CP_Plans_became_subject="","",Year4_SouthEast Year4_CP_Plans_became_subject)</f>
        <v>10010</v>
      </c>
      <c r="AD278" s="1494">
        <f>IF(Year5_SouthEast Year5_CP_Plans_became_subject="","",Year5_SouthEast Year5_CP_Plans_became_subject)</f>
        <v>10280</v>
      </c>
      <c r="AE278" s="748" t="str">
        <f t="shared" si="103"/>
        <v>South East</v>
      </c>
      <c r="AF278" s="749">
        <f>IF(Year1_SouthEast Year1_CP_Plans_became_subject_second="","",Year1_SouthEast Year1_CP_Plans_became_subject_second)</f>
        <v>2020</v>
      </c>
      <c r="AG278" s="749">
        <f>IF(Year2_SouthEast Year2_CP_Plans_became_subject_second="","",Year2_SouthEast Year2_CP_Plans_became_subject_second)</f>
        <v>2170</v>
      </c>
      <c r="AH278" s="749">
        <f>IF(Year3_SouthEast Year3_CP_Plans_became_subject_second="","",Year3_SouthEast Year3_CP_Plans_became_subject_second)</f>
        <v>2370</v>
      </c>
      <c r="AI278" s="749">
        <f>IF(Year4_SouthEast Year4_CP_Plans_became_subject_second="","",Year4_SouthEast Year4_CP_Plans_became_subject_second)</f>
        <v>2110</v>
      </c>
      <c r="AJ278" s="1495">
        <f>IF(Year5_SouthEast Year5_CP_Plans_became_subject_second="","",Year5_SouthEast Year5_CP_Plans_became_subject_second)</f>
        <v>2410</v>
      </c>
      <c r="AK278" s="161"/>
    </row>
    <row r="279" spans="1:80" s="87" customFormat="1" ht="12.75" x14ac:dyDescent="0.2">
      <c r="A279" s="121"/>
      <c r="B279" s="329" t="str">
        <f t="shared" si="96"/>
        <v>England</v>
      </c>
      <c r="C279" s="85"/>
      <c r="D279" s="351">
        <f t="shared" si="101"/>
        <v>0.17927657558047702</v>
      </c>
      <c r="E279" s="351">
        <f t="shared" si="97"/>
        <v>0.18702002710435175</v>
      </c>
      <c r="F279" s="351">
        <f t="shared" si="98"/>
        <v>0.20212301875817945</v>
      </c>
      <c r="G279" s="351">
        <f t="shared" si="99"/>
        <v>0.20785842831433712</v>
      </c>
      <c r="H279" s="352">
        <f t="shared" si="100"/>
        <v>0.21904188008436276</v>
      </c>
      <c r="I279" s="96"/>
      <c r="J279" s="96"/>
      <c r="K279" s="168"/>
      <c r="L279" s="168"/>
      <c r="M279" s="168"/>
      <c r="N279" s="168"/>
      <c r="O279" s="168"/>
      <c r="P279" s="168"/>
      <c r="Q279" s="168"/>
      <c r="R279" s="169"/>
      <c r="S279" s="159"/>
      <c r="T279" s="159"/>
      <c r="U279" s="170"/>
      <c r="V279" s="122"/>
      <c r="W279" s="139"/>
      <c r="X279" s="152"/>
      <c r="Y279" s="744" t="str">
        <f t="shared" si="102"/>
        <v>England</v>
      </c>
      <c r="Z279" s="750">
        <f>IF(Year1_England Year1_CP_Plans_became_subject="","",Year1_England Year1_CP_Plans_became_subject)</f>
        <v>63310</v>
      </c>
      <c r="AA279" s="751">
        <f>IF(Year2_England Year2_CP_Plans_became_subject="","",Year2_England Year2_CP_Plans_became_subject)</f>
        <v>66410</v>
      </c>
      <c r="AB279" s="749">
        <f>IF(Year3_England Year3_CP_Plans_became_subject="","",Year3_England Year3_CP_Plans_became_subject)</f>
        <v>68770</v>
      </c>
      <c r="AC279" s="749">
        <f>IF(Year4_England Year4_CP_Plans_became_subject="","",Year4_England Year4_CP_Plans_became_subject)</f>
        <v>66680</v>
      </c>
      <c r="AD279" s="438">
        <f>IF(Year5_England Year5_CP_Plans_became_subject="","",Year5_England Year5_CP_Plans_became_subject)</f>
        <v>66380</v>
      </c>
      <c r="AE279" s="748" t="str">
        <f t="shared" si="103"/>
        <v>England</v>
      </c>
      <c r="AF279" s="751">
        <f>IF(Year1_England Year1_CP_Plans_became_subject_second="","",Year1_England Year1_CP_Plans_became_subject_second)</f>
        <v>11350</v>
      </c>
      <c r="AG279" s="751">
        <f>IF(Year2_England Year2_CP_Plans_became_subject_second="","",Year2_England Year2_CP_Plans_became_subject_second)</f>
        <v>12420</v>
      </c>
      <c r="AH279" s="749">
        <f>IF(Year3_England Year3_CP_Plans_became_subject_second="","",Year3_England Year3_CP_Plans_became_subject_second)</f>
        <v>13900</v>
      </c>
      <c r="AI279" s="749">
        <f>IF(Year4_England Year4_CP_Plans_became_subject_second="","",Year4_England Year4_CP_Plans_became_subject_second)</f>
        <v>13860</v>
      </c>
      <c r="AJ279" s="579">
        <f>IF(Year5_England Year5_CP_Plans_became_subject_second="","",Year5_England Year5_CP_Plans_became_subject_second)</f>
        <v>14540</v>
      </c>
      <c r="AK279" s="160"/>
    </row>
    <row r="280" spans="1:80" s="87" customFormat="1" ht="7.5" customHeight="1" x14ac:dyDescent="0.2">
      <c r="A280" s="292"/>
      <c r="B280" s="96"/>
      <c r="C280" s="96"/>
      <c r="D280" s="96"/>
      <c r="E280" s="96"/>
      <c r="F280" s="96"/>
      <c r="G280" s="96"/>
      <c r="H280" s="96"/>
      <c r="I280" s="96"/>
      <c r="J280" s="96"/>
      <c r="K280" s="168"/>
      <c r="L280" s="168"/>
      <c r="M280" s="168"/>
      <c r="N280" s="168"/>
      <c r="O280" s="168"/>
      <c r="P280" s="168"/>
      <c r="Q280" s="168"/>
      <c r="R280" s="169"/>
      <c r="S280" s="159"/>
      <c r="T280" s="159"/>
      <c r="U280" s="170"/>
      <c r="V280" s="122"/>
      <c r="W280" s="139"/>
      <c r="X280" s="152"/>
      <c r="Y280" s="81"/>
      <c r="Z280" s="81"/>
      <c r="AA280" s="196"/>
      <c r="AB280" s="196"/>
      <c r="AC280" s="197"/>
      <c r="AD280" s="197"/>
      <c r="AE280" s="199"/>
      <c r="AF280" s="202"/>
      <c r="AG280" s="202"/>
      <c r="AH280" s="202"/>
      <c r="AI280" s="190"/>
      <c r="AJ280" s="202"/>
      <c r="AK280" s="160"/>
    </row>
    <row r="281" spans="1:80" s="81" customFormat="1" ht="39.6" customHeight="1" x14ac:dyDescent="0.2">
      <c r="A281" s="217"/>
      <c r="B281" s="369"/>
      <c r="C281" s="369"/>
      <c r="D281" s="369"/>
      <c r="E281" s="369"/>
      <c r="F281" s="369"/>
      <c r="G281" s="369"/>
      <c r="H281" s="369"/>
      <c r="I281" s="369"/>
      <c r="J281" s="172"/>
      <c r="K281" s="172"/>
      <c r="L281" s="172"/>
      <c r="M281" s="172"/>
      <c r="N281" s="172"/>
      <c r="O281" s="172"/>
      <c r="P281" s="172"/>
      <c r="Q281" s="172"/>
      <c r="R281" s="136"/>
      <c r="S281" s="172"/>
      <c r="T281" s="172"/>
      <c r="U281" s="172"/>
      <c r="V281" s="117"/>
      <c r="W281" s="137"/>
      <c r="X281" s="150"/>
      <c r="AD281" s="197"/>
      <c r="AE281" s="199"/>
      <c r="AF281" s="184"/>
      <c r="AG281" s="184"/>
      <c r="AH281" s="184"/>
      <c r="AJ281" s="184"/>
      <c r="AK281" s="161"/>
    </row>
    <row r="282" spans="1:80" s="81" customFormat="1" ht="40.5" customHeight="1" x14ac:dyDescent="0.2">
      <c r="A282" s="217"/>
      <c r="B282" s="369"/>
      <c r="C282" s="369"/>
      <c r="D282" s="369"/>
      <c r="E282" s="369"/>
      <c r="F282" s="369"/>
      <c r="G282" s="369"/>
      <c r="H282" s="369"/>
      <c r="I282" s="369"/>
      <c r="J282" s="172"/>
      <c r="K282" s="172"/>
      <c r="L282" s="172"/>
      <c r="M282" s="172"/>
      <c r="N282" s="172"/>
      <c r="O282" s="172"/>
      <c r="P282" s="172"/>
      <c r="Q282" s="172"/>
      <c r="R282" s="136"/>
      <c r="S282" s="172"/>
      <c r="T282" s="172"/>
      <c r="U282" s="172"/>
      <c r="V282" s="117"/>
      <c r="W282" s="137"/>
      <c r="X282" s="150"/>
      <c r="Z282" s="190"/>
      <c r="AE282" s="199"/>
      <c r="AF282" s="184"/>
      <c r="AG282" s="184"/>
      <c r="AH282" s="184"/>
      <c r="AJ282" s="184"/>
      <c r="AK282" s="161"/>
    </row>
    <row r="283" spans="1:80" s="81" customFormat="1" ht="36" customHeight="1" x14ac:dyDescent="0.2">
      <c r="A283" s="217"/>
      <c r="B283" s="369"/>
      <c r="C283" s="369"/>
      <c r="D283" s="369"/>
      <c r="E283" s="369"/>
      <c r="F283" s="369"/>
      <c r="G283" s="369"/>
      <c r="H283" s="369"/>
      <c r="I283" s="369"/>
      <c r="J283" s="172"/>
      <c r="K283" s="172"/>
      <c r="L283" s="172"/>
      <c r="M283" s="172"/>
      <c r="N283" s="172"/>
      <c r="O283" s="172"/>
      <c r="P283" s="172"/>
      <c r="Q283" s="172"/>
      <c r="R283" s="136"/>
      <c r="S283" s="172"/>
      <c r="T283" s="172"/>
      <c r="U283" s="172"/>
      <c r="V283" s="117"/>
      <c r="W283" s="137"/>
      <c r="X283" s="150"/>
      <c r="Z283" s="190"/>
      <c r="AE283" s="199"/>
      <c r="AF283" s="184"/>
      <c r="AG283" s="184"/>
      <c r="AH283" s="184"/>
      <c r="AJ283" s="184"/>
      <c r="AK283" s="161"/>
    </row>
    <row r="284" spans="1:80" s="81" customFormat="1" ht="7.5" customHeight="1" x14ac:dyDescent="0.2">
      <c r="A284" s="118"/>
      <c r="B284" s="17"/>
      <c r="C284" s="17"/>
      <c r="D284" s="16"/>
      <c r="E284" s="16"/>
      <c r="F284" s="16"/>
      <c r="G284" s="16"/>
      <c r="H284" s="16"/>
      <c r="I284" s="16"/>
      <c r="J284" s="12"/>
      <c r="K284" s="18"/>
      <c r="L284" s="18"/>
      <c r="M284" s="18"/>
      <c r="N284" s="18"/>
      <c r="O284" s="18"/>
      <c r="P284" s="18"/>
      <c r="Q284" s="18"/>
      <c r="R284" s="18"/>
      <c r="S284" s="18"/>
      <c r="T284" s="18"/>
      <c r="U284" s="19"/>
      <c r="V284" s="117"/>
      <c r="W284" s="137"/>
      <c r="X284" s="150"/>
      <c r="Z284" s="190"/>
      <c r="AJ284" s="184"/>
      <c r="AK284" s="157"/>
      <c r="AL284" s="74"/>
      <c r="AM284" s="74"/>
      <c r="AN284" s="74"/>
      <c r="AO284" s="74"/>
      <c r="AP284" s="74"/>
      <c r="AQ284" s="74"/>
      <c r="AR284" s="74"/>
    </row>
    <row r="285" spans="1:80" s="81" customFormat="1" ht="15" customHeight="1" x14ac:dyDescent="0.2">
      <c r="A285" s="1716"/>
      <c r="B285" s="1760"/>
      <c r="C285" s="1760"/>
      <c r="D285" s="1760"/>
      <c r="E285" s="1760"/>
      <c r="F285" s="1760"/>
      <c r="G285" s="1760"/>
      <c r="H285" s="1760"/>
      <c r="I285" s="1760"/>
      <c r="J285" s="1760"/>
      <c r="K285" s="1760"/>
      <c r="L285" s="1760"/>
      <c r="M285" s="1760"/>
      <c r="N285" s="1760"/>
      <c r="O285" s="1760"/>
      <c r="P285" s="1760"/>
      <c r="Q285" s="1760"/>
      <c r="R285" s="1760"/>
      <c r="S285" s="1760"/>
      <c r="T285" s="1760"/>
      <c r="U285" s="1760"/>
      <c r="V285" s="1761"/>
      <c r="W285" s="137"/>
      <c r="X285" s="150"/>
      <c r="AK285" s="161"/>
      <c r="AT285" s="74"/>
    </row>
    <row r="286" spans="1:80" s="81" customFormat="1" ht="11.1" hidden="1" customHeight="1" x14ac:dyDescent="0.2">
      <c r="A286" s="1765" t="str">
        <f>Home!$A$39</f>
        <v xml:space="preserve"> </v>
      </c>
      <c r="B286" s="1766"/>
      <c r="C286" s="1766"/>
      <c r="D286" s="1766"/>
      <c r="E286" s="1766"/>
      <c r="F286" s="1766"/>
      <c r="G286" s="1766"/>
      <c r="H286" s="1766"/>
      <c r="I286" s="1767"/>
      <c r="J286" s="1766"/>
      <c r="K286" s="1766"/>
      <c r="L286" s="1766"/>
      <c r="M286" s="1766"/>
      <c r="N286" s="1766"/>
      <c r="O286" s="1766"/>
      <c r="P286" s="1768"/>
      <c r="Q286" s="1766"/>
      <c r="R286" s="1766"/>
      <c r="S286" s="1766"/>
      <c r="T286" s="1767"/>
      <c r="U286" s="1766"/>
      <c r="V286" s="1769"/>
      <c r="W286" s="137"/>
      <c r="X286" s="150"/>
      <c r="AJ286" s="184"/>
      <c r="AK286" s="160"/>
      <c r="AL286" s="87"/>
      <c r="AT286" s="74"/>
    </row>
    <row r="287" spans="1:80" s="81" customFormat="1" ht="11.1" customHeight="1" x14ac:dyDescent="0.2">
      <c r="A287" s="1765" t="str">
        <f>Home!$A$39</f>
        <v xml:space="preserve"> </v>
      </c>
      <c r="B287" s="1766"/>
      <c r="C287" s="1766"/>
      <c r="D287" s="1766"/>
      <c r="E287" s="1766"/>
      <c r="F287" s="1766"/>
      <c r="G287" s="1766"/>
      <c r="H287" s="1766"/>
      <c r="I287" s="1767"/>
      <c r="J287" s="1766"/>
      <c r="K287" s="1766"/>
      <c r="L287" s="1766"/>
      <c r="M287" s="1766"/>
      <c r="N287" s="1766"/>
      <c r="O287" s="1766"/>
      <c r="P287" s="1768"/>
      <c r="Q287" s="1766"/>
      <c r="R287" s="1766"/>
      <c r="S287" s="1766"/>
      <c r="T287" s="1767"/>
      <c r="U287" s="1766"/>
      <c r="V287" s="1769"/>
      <c r="W287" s="137"/>
      <c r="X287" s="150"/>
      <c r="AJ287" s="74"/>
      <c r="AK287" s="157"/>
      <c r="AL287" s="74"/>
      <c r="AT287" s="74"/>
    </row>
    <row r="288" spans="1:80" ht="11.25" customHeight="1" x14ac:dyDescent="0.2">
      <c r="A288" s="142"/>
      <c r="B288" s="9"/>
      <c r="C288" s="9"/>
      <c r="D288" s="9"/>
      <c r="E288" s="9"/>
      <c r="F288" s="58"/>
      <c r="G288" s="58"/>
      <c r="H288" s="58"/>
      <c r="I288" s="58"/>
      <c r="J288" s="114"/>
      <c r="K288" s="113"/>
      <c r="L288" s="113"/>
      <c r="M288" s="113"/>
      <c r="N288" s="113"/>
      <c r="O288" s="113"/>
      <c r="P288" s="113"/>
      <c r="Q288" s="113"/>
      <c r="R288" s="113"/>
      <c r="S288" s="113"/>
      <c r="T288" s="113"/>
      <c r="U288" s="113"/>
      <c r="V288" s="113"/>
      <c r="W288" s="137"/>
      <c r="X288" s="150"/>
      <c r="AJ288" s="81"/>
      <c r="AK288" s="157"/>
      <c r="AM288" s="81"/>
      <c r="AN288" s="81"/>
      <c r="AO288" s="81"/>
      <c r="AP288" s="81"/>
      <c r="AQ288" s="81"/>
      <c r="AR288" s="81"/>
      <c r="AS288" s="81"/>
      <c r="AU288" s="81"/>
      <c r="AV288" s="81"/>
      <c r="AW288" s="81"/>
      <c r="AX288" s="81"/>
      <c r="AY288" s="81"/>
      <c r="AZ288" s="81"/>
      <c r="BA288" s="81"/>
      <c r="BB288" s="81"/>
      <c r="BC288" s="81"/>
      <c r="BD288" s="81"/>
      <c r="BE288" s="81"/>
      <c r="BF288" s="81"/>
      <c r="BG288" s="81"/>
      <c r="BH288" s="81"/>
      <c r="BI288" s="81"/>
      <c r="BJ288" s="81"/>
      <c r="BK288" s="81"/>
      <c r="BL288" s="81"/>
      <c r="BM288" s="81"/>
      <c r="BN288" s="81"/>
      <c r="BO288" s="81"/>
      <c r="BP288" s="81"/>
      <c r="BQ288" s="81"/>
      <c r="BR288" s="81"/>
      <c r="BS288" s="81"/>
      <c r="BT288" s="81"/>
      <c r="BU288" s="81"/>
      <c r="BV288" s="81"/>
      <c r="BW288" s="81"/>
      <c r="BX288" s="81"/>
      <c r="BY288" s="81"/>
      <c r="BZ288" s="81"/>
      <c r="CA288" s="81"/>
      <c r="CB288" s="81"/>
    </row>
    <row r="289" spans="1:80" ht="11.25" customHeight="1" x14ac:dyDescent="0.2">
      <c r="A289" s="142"/>
      <c r="B289" s="1685" t="s">
        <v>82</v>
      </c>
      <c r="C289" s="1685"/>
      <c r="D289" s="1685"/>
      <c r="E289" s="1685"/>
      <c r="F289" s="1685"/>
      <c r="G289" s="1685"/>
      <c r="H289" s="1685"/>
      <c r="I289" s="1685"/>
      <c r="J289" s="12"/>
      <c r="K289" s="9"/>
      <c r="L289" s="9"/>
      <c r="M289" s="9"/>
      <c r="N289" s="9"/>
      <c r="O289" s="9"/>
      <c r="P289" s="9"/>
      <c r="Q289" s="9"/>
      <c r="R289" s="9"/>
      <c r="S289" s="9"/>
      <c r="T289" s="9"/>
      <c r="U289" s="9"/>
      <c r="V289" s="9"/>
      <c r="W289" s="137"/>
      <c r="X289" s="150"/>
      <c r="AJ289" s="81"/>
      <c r="AK289" s="157"/>
      <c r="AM289" s="81"/>
      <c r="AN289" s="81"/>
      <c r="AO289" s="81"/>
      <c r="AP289" s="81"/>
      <c r="AQ289" s="81"/>
      <c r="AR289" s="81"/>
      <c r="AS289" s="81"/>
      <c r="AU289" s="81"/>
      <c r="AV289" s="81"/>
      <c r="AW289" s="81"/>
      <c r="AX289" s="81"/>
      <c r="AY289" s="81"/>
      <c r="AZ289" s="81"/>
      <c r="BA289" s="81"/>
      <c r="BB289" s="81"/>
      <c r="BC289" s="81"/>
      <c r="BD289" s="81"/>
      <c r="BE289" s="81"/>
      <c r="BF289" s="81"/>
      <c r="BG289" s="81"/>
      <c r="BH289" s="81"/>
      <c r="BI289" s="81"/>
      <c r="BJ289" s="81"/>
      <c r="BK289" s="81"/>
      <c r="BL289" s="81"/>
      <c r="BM289" s="81"/>
      <c r="BN289" s="81"/>
      <c r="BO289" s="81"/>
      <c r="BP289" s="81"/>
      <c r="BQ289" s="81"/>
      <c r="BR289" s="81"/>
      <c r="BS289" s="81"/>
      <c r="BT289" s="81"/>
      <c r="BU289" s="81"/>
      <c r="BV289" s="81"/>
      <c r="BW289" s="81"/>
      <c r="BX289" s="81"/>
      <c r="BY289" s="81"/>
      <c r="BZ289" s="81"/>
      <c r="CA289" s="81"/>
      <c r="CB289" s="81"/>
    </row>
    <row r="290" spans="1:80" ht="11.25" customHeight="1" x14ac:dyDescent="0.2">
      <c r="A290" s="142"/>
      <c r="B290" s="1685"/>
      <c r="C290" s="1685"/>
      <c r="D290" s="1685"/>
      <c r="E290" s="1685"/>
      <c r="F290" s="1685"/>
      <c r="G290" s="1685"/>
      <c r="H290" s="1685"/>
      <c r="I290" s="1685"/>
      <c r="J290" s="12"/>
      <c r="K290" s="9"/>
      <c r="L290" s="9"/>
      <c r="M290" s="9"/>
      <c r="N290" s="9"/>
      <c r="O290" s="9"/>
      <c r="P290" s="9"/>
      <c r="Q290" s="9"/>
      <c r="R290" s="9"/>
      <c r="S290" s="9"/>
      <c r="T290" s="9"/>
      <c r="U290" s="9"/>
      <c r="V290" s="9"/>
      <c r="W290" s="137"/>
      <c r="X290" s="150"/>
      <c r="AJ290" s="81"/>
      <c r="AK290" s="157"/>
      <c r="AM290" s="81"/>
      <c r="AN290" s="81"/>
      <c r="AO290" s="81"/>
      <c r="AP290" s="81"/>
      <c r="AQ290" s="81"/>
      <c r="AR290" s="81"/>
      <c r="AS290" s="81"/>
      <c r="AU290" s="81"/>
      <c r="AV290" s="81"/>
      <c r="AW290" s="81"/>
      <c r="AX290" s="81"/>
      <c r="AY290" s="81"/>
      <c r="AZ290" s="81"/>
      <c r="BA290" s="81"/>
      <c r="BB290" s="81"/>
      <c r="BC290" s="81"/>
      <c r="BD290" s="81"/>
      <c r="BE290" s="81"/>
      <c r="BF290" s="81"/>
      <c r="BG290" s="81"/>
      <c r="BH290" s="81"/>
      <c r="BI290" s="81"/>
      <c r="BJ290" s="81"/>
      <c r="BK290" s="81"/>
      <c r="BL290" s="81"/>
      <c r="BM290" s="81"/>
      <c r="BN290" s="81"/>
      <c r="BO290" s="81"/>
      <c r="BP290" s="81"/>
      <c r="BQ290" s="81"/>
      <c r="BR290" s="81"/>
      <c r="BS290" s="81"/>
      <c r="BT290" s="81"/>
      <c r="BU290" s="81"/>
      <c r="BV290" s="81"/>
      <c r="BW290" s="81"/>
      <c r="BX290" s="81"/>
      <c r="BY290" s="81"/>
      <c r="BZ290" s="81"/>
      <c r="CA290" s="81"/>
      <c r="CB290" s="81"/>
    </row>
    <row r="291" spans="1:80" ht="11.25" customHeight="1" x14ac:dyDescent="0.2">
      <c r="A291" s="142"/>
      <c r="B291" s="1680" t="s">
        <v>800</v>
      </c>
      <c r="C291" s="1680"/>
      <c r="D291" s="1680"/>
      <c r="E291" s="1680"/>
      <c r="F291" s="1680"/>
      <c r="G291" s="1680"/>
      <c r="H291" s="1680"/>
      <c r="I291" s="1680"/>
      <c r="J291" s="12"/>
      <c r="K291" s="9"/>
      <c r="L291" s="9"/>
      <c r="M291" s="9"/>
      <c r="N291" s="9"/>
      <c r="O291" s="9"/>
      <c r="P291" s="9"/>
      <c r="Q291" s="9"/>
      <c r="R291" s="9"/>
      <c r="S291" s="9"/>
      <c r="T291" s="9"/>
      <c r="U291" s="9"/>
      <c r="V291" s="9"/>
      <c r="W291" s="137"/>
      <c r="X291" s="150"/>
      <c r="AJ291" s="81"/>
      <c r="AK291" s="157"/>
      <c r="AM291" s="81"/>
      <c r="AN291" s="81"/>
      <c r="AO291" s="81"/>
      <c r="AP291" s="81"/>
      <c r="AQ291" s="81"/>
      <c r="AR291" s="81"/>
      <c r="AS291" s="81"/>
      <c r="AU291" s="81"/>
      <c r="AV291" s="81"/>
      <c r="AW291" s="81"/>
      <c r="AX291" s="81"/>
      <c r="AY291" s="81"/>
      <c r="AZ291" s="81"/>
      <c r="BA291" s="81"/>
      <c r="BB291" s="81"/>
      <c r="BC291" s="81"/>
      <c r="BD291" s="81"/>
      <c r="BE291" s="81"/>
      <c r="BF291" s="81"/>
      <c r="BG291" s="81"/>
      <c r="BH291" s="81"/>
      <c r="BI291" s="81"/>
      <c r="BJ291" s="81"/>
      <c r="BK291" s="81"/>
      <c r="BL291" s="81"/>
      <c r="BM291" s="81"/>
      <c r="BN291" s="81"/>
      <c r="BO291" s="81"/>
      <c r="BP291" s="81"/>
      <c r="BQ291" s="81"/>
      <c r="BR291" s="81"/>
      <c r="BS291" s="81"/>
      <c r="BT291" s="81"/>
      <c r="BU291" s="81"/>
      <c r="BV291" s="81"/>
      <c r="BW291" s="81"/>
      <c r="BX291" s="81"/>
      <c r="BY291" s="81"/>
      <c r="BZ291" s="81"/>
      <c r="CA291" s="81"/>
      <c r="CB291" s="81"/>
    </row>
    <row r="292" spans="1:80" ht="11.25" customHeight="1" x14ac:dyDescent="0.2">
      <c r="A292" s="142"/>
      <c r="B292" s="1680"/>
      <c r="C292" s="1680"/>
      <c r="D292" s="1680"/>
      <c r="E292" s="1680"/>
      <c r="F292" s="1680"/>
      <c r="G292" s="1680"/>
      <c r="H292" s="1680"/>
      <c r="I292" s="1680"/>
      <c r="J292" s="12"/>
      <c r="K292" s="9"/>
      <c r="L292" s="9"/>
      <c r="M292" s="9"/>
      <c r="N292" s="9"/>
      <c r="O292" s="9"/>
      <c r="P292" s="9"/>
      <c r="Q292" s="9"/>
      <c r="R292" s="9"/>
      <c r="S292" s="9"/>
      <c r="T292" s="9"/>
      <c r="U292" s="9"/>
      <c r="V292" s="9"/>
      <c r="W292" s="137"/>
      <c r="X292" s="150"/>
      <c r="AJ292" s="81"/>
      <c r="AK292" s="157"/>
      <c r="AM292" s="81"/>
      <c r="AN292" s="81"/>
      <c r="AO292" s="81"/>
      <c r="AP292" s="81"/>
      <c r="AQ292" s="81"/>
      <c r="AR292" s="81"/>
      <c r="AS292" s="81"/>
      <c r="AU292" s="81"/>
      <c r="AV292" s="81"/>
      <c r="AW292" s="81"/>
      <c r="AX292" s="81"/>
      <c r="AY292" s="81"/>
      <c r="AZ292" s="81"/>
      <c r="BA292" s="81"/>
      <c r="BB292" s="81"/>
      <c r="BC292" s="81"/>
      <c r="BD292" s="81"/>
      <c r="BE292" s="81"/>
      <c r="BF292" s="81"/>
      <c r="BG292" s="81"/>
      <c r="BH292" s="81"/>
      <c r="BI292" s="81"/>
      <c r="BJ292" s="81"/>
      <c r="BK292" s="81"/>
      <c r="BL292" s="81"/>
      <c r="BM292" s="81"/>
      <c r="BN292" s="81"/>
      <c r="BO292" s="81"/>
      <c r="BP292" s="81"/>
      <c r="BQ292" s="81"/>
      <c r="BR292" s="81"/>
      <c r="BS292" s="81"/>
      <c r="BT292" s="81"/>
      <c r="BU292" s="81"/>
      <c r="BV292" s="81"/>
      <c r="BW292" s="81"/>
      <c r="BX292" s="81"/>
      <c r="BY292" s="81"/>
      <c r="BZ292" s="81"/>
      <c r="CA292" s="81"/>
      <c r="CB292" s="81"/>
    </row>
    <row r="293" spans="1:80" s="76" customFormat="1" ht="11.25" hidden="1" customHeight="1" x14ac:dyDescent="0.2">
      <c r="A293" s="142"/>
      <c r="B293" s="1680" t="s">
        <v>81</v>
      </c>
      <c r="C293" s="1680"/>
      <c r="D293" s="1680"/>
      <c r="E293" s="1680"/>
      <c r="F293" s="1680"/>
      <c r="G293" s="1680"/>
      <c r="H293" s="1680"/>
      <c r="I293" s="1680"/>
      <c r="J293" s="14"/>
      <c r="K293" s="14"/>
      <c r="L293" s="14"/>
      <c r="M293" s="14"/>
      <c r="N293" s="14"/>
      <c r="O293" s="14"/>
      <c r="P293" s="14"/>
      <c r="Q293" s="14"/>
      <c r="R293" s="14"/>
      <c r="S293" s="14"/>
      <c r="T293" s="14"/>
      <c r="U293" s="14"/>
      <c r="V293" s="14"/>
      <c r="W293" s="140"/>
      <c r="X293" s="154"/>
      <c r="Y293" s="81"/>
      <c r="Z293" s="81"/>
      <c r="AA293" s="81"/>
      <c r="AB293" s="81"/>
      <c r="AC293" s="81"/>
      <c r="AD293" s="81"/>
      <c r="AE293" s="81"/>
      <c r="AF293" s="81"/>
      <c r="AG293" s="81"/>
      <c r="AH293" s="81"/>
      <c r="AI293" s="81"/>
      <c r="AJ293" s="81"/>
      <c r="AK293" s="157"/>
      <c r="AL293" s="74"/>
      <c r="AM293" s="81"/>
      <c r="AN293" s="81"/>
      <c r="AO293" s="81"/>
      <c r="AP293" s="81"/>
      <c r="AQ293" s="81"/>
      <c r="AR293" s="81"/>
      <c r="AS293" s="81"/>
      <c r="AT293" s="74"/>
      <c r="AU293" s="81"/>
      <c r="AV293" s="81"/>
      <c r="AW293" s="81"/>
      <c r="AX293" s="81"/>
      <c r="AY293" s="81"/>
      <c r="AZ293" s="81"/>
      <c r="BA293" s="81"/>
      <c r="BB293" s="81"/>
      <c r="BC293" s="81"/>
      <c r="BD293" s="81"/>
      <c r="BE293" s="81"/>
      <c r="BF293" s="81"/>
      <c r="BG293" s="81"/>
      <c r="BH293" s="81"/>
      <c r="BI293" s="81"/>
      <c r="BJ293" s="81"/>
      <c r="BK293" s="81"/>
      <c r="BL293" s="81"/>
      <c r="BM293" s="81"/>
      <c r="BN293" s="81"/>
      <c r="BO293" s="81"/>
      <c r="BP293" s="81"/>
      <c r="BQ293" s="81"/>
      <c r="BR293" s="81"/>
      <c r="BS293" s="81"/>
      <c r="BT293" s="81"/>
      <c r="BU293" s="81"/>
      <c r="BV293" s="81"/>
      <c r="BW293" s="81"/>
      <c r="BX293" s="81"/>
      <c r="BY293" s="81"/>
      <c r="BZ293" s="81"/>
      <c r="CA293" s="81"/>
      <c r="CB293" s="81"/>
    </row>
    <row r="294" spans="1:80" ht="11.25" hidden="1" customHeight="1" x14ac:dyDescent="0.2">
      <c r="A294" s="142"/>
      <c r="B294" s="1680"/>
      <c r="C294" s="1680"/>
      <c r="D294" s="1680"/>
      <c r="E294" s="1680"/>
      <c r="F294" s="1680"/>
      <c r="G294" s="1680"/>
      <c r="H294" s="1680"/>
      <c r="I294" s="1680"/>
      <c r="J294" s="12"/>
      <c r="K294" s="9"/>
      <c r="L294" s="9"/>
      <c r="M294" s="9"/>
      <c r="N294" s="9"/>
      <c r="O294" s="9"/>
      <c r="P294" s="9"/>
      <c r="Q294" s="9"/>
      <c r="R294" s="9"/>
      <c r="S294" s="9"/>
      <c r="T294" s="9"/>
      <c r="U294" s="9"/>
      <c r="V294" s="9"/>
      <c r="W294" s="137"/>
      <c r="X294" s="150"/>
      <c r="AJ294" s="81"/>
      <c r="AK294" s="157"/>
      <c r="AM294" s="81"/>
      <c r="AN294" s="81"/>
      <c r="AO294" s="81"/>
      <c r="AP294" s="81"/>
      <c r="AQ294" s="81"/>
      <c r="AR294" s="81"/>
      <c r="AS294" s="81"/>
      <c r="AU294" s="81"/>
      <c r="AV294" s="81"/>
      <c r="AW294" s="81"/>
      <c r="AX294" s="81"/>
      <c r="AY294" s="81"/>
      <c r="AZ294" s="81"/>
      <c r="BA294" s="81"/>
      <c r="BB294" s="81"/>
      <c r="BC294" s="81"/>
      <c r="BD294" s="81"/>
      <c r="BE294" s="81"/>
      <c r="BF294" s="81"/>
      <c r="BG294" s="81"/>
      <c r="BH294" s="81"/>
      <c r="BI294" s="81"/>
      <c r="BJ294" s="81"/>
      <c r="BK294" s="81"/>
      <c r="BL294" s="81"/>
      <c r="BM294" s="81"/>
      <c r="BN294" s="81"/>
      <c r="BO294" s="81"/>
      <c r="BP294" s="81"/>
      <c r="BQ294" s="81"/>
      <c r="BR294" s="81"/>
      <c r="BS294" s="81"/>
      <c r="BT294" s="81"/>
      <c r="BU294" s="81"/>
      <c r="BV294" s="81"/>
      <c r="BW294" s="81"/>
      <c r="BX294" s="81"/>
      <c r="BY294" s="81"/>
      <c r="BZ294" s="81"/>
      <c r="CA294" s="81"/>
      <c r="CB294" s="81"/>
    </row>
    <row r="295" spans="1:80" ht="11.25" customHeight="1" x14ac:dyDescent="0.2">
      <c r="A295" s="142"/>
      <c r="B295" s="1680" t="s">
        <v>78</v>
      </c>
      <c r="C295" s="1680"/>
      <c r="D295" s="1680"/>
      <c r="E295" s="1680"/>
      <c r="F295" s="1680"/>
      <c r="G295" s="1680"/>
      <c r="H295" s="1680"/>
      <c r="I295" s="1680"/>
      <c r="J295" s="12"/>
      <c r="K295" s="9"/>
      <c r="L295" s="9"/>
      <c r="M295" s="9"/>
      <c r="N295" s="9"/>
      <c r="O295" s="9"/>
      <c r="P295" s="9"/>
      <c r="Q295" s="9"/>
      <c r="R295" s="9"/>
      <c r="S295" s="9"/>
      <c r="T295" s="9"/>
      <c r="U295" s="9"/>
      <c r="V295" s="9"/>
      <c r="W295" s="137"/>
      <c r="X295" s="150"/>
      <c r="AJ295" s="81"/>
      <c r="AK295" s="157"/>
      <c r="AM295" s="81"/>
      <c r="AN295" s="81"/>
      <c r="AO295" s="81"/>
      <c r="AP295" s="81"/>
      <c r="AQ295" s="81"/>
      <c r="AR295" s="81"/>
      <c r="AS295" s="81"/>
      <c r="AU295" s="81"/>
      <c r="AV295" s="81"/>
      <c r="AW295" s="81"/>
      <c r="AX295" s="81"/>
      <c r="AY295" s="81"/>
      <c r="AZ295" s="81"/>
      <c r="BA295" s="81"/>
      <c r="BB295" s="81"/>
      <c r="BC295" s="81"/>
      <c r="BD295" s="81"/>
      <c r="BE295" s="81"/>
      <c r="BF295" s="81"/>
      <c r="BG295" s="81"/>
      <c r="BH295" s="81"/>
      <c r="BI295" s="81"/>
      <c r="BJ295" s="81"/>
      <c r="BK295" s="81"/>
      <c r="BL295" s="81"/>
      <c r="BM295" s="81"/>
      <c r="BN295" s="81"/>
      <c r="BO295" s="81"/>
      <c r="BP295" s="81"/>
      <c r="BQ295" s="81"/>
      <c r="BR295" s="81"/>
      <c r="BS295" s="81"/>
      <c r="BT295" s="81"/>
      <c r="BU295" s="81"/>
      <c r="BV295" s="81"/>
      <c r="BW295" s="81"/>
      <c r="BX295" s="81"/>
      <c r="BY295" s="81"/>
      <c r="BZ295" s="81"/>
      <c r="CA295" s="81"/>
      <c r="CB295" s="81"/>
    </row>
    <row r="296" spans="1:80" ht="11.25" customHeight="1" x14ac:dyDescent="0.2">
      <c r="A296" s="142"/>
      <c r="B296" s="1680"/>
      <c r="C296" s="1680"/>
      <c r="D296" s="1680"/>
      <c r="E296" s="1680"/>
      <c r="F296" s="1680"/>
      <c r="G296" s="1680"/>
      <c r="H296" s="1680"/>
      <c r="I296" s="1680"/>
      <c r="J296" s="12"/>
      <c r="K296" s="9"/>
      <c r="L296" s="9"/>
      <c r="M296" s="9"/>
      <c r="N296" s="9"/>
      <c r="O296" s="9"/>
      <c r="P296" s="9"/>
      <c r="Q296" s="9"/>
      <c r="R296" s="9"/>
      <c r="S296" s="9"/>
      <c r="T296" s="9"/>
      <c r="U296" s="9"/>
      <c r="V296" s="9"/>
      <c r="W296" s="137"/>
      <c r="X296" s="150"/>
      <c r="AJ296" s="81"/>
      <c r="AK296" s="157"/>
      <c r="AM296" s="81"/>
      <c r="AN296" s="81"/>
      <c r="AO296" s="81"/>
      <c r="AP296" s="81"/>
      <c r="AQ296" s="81"/>
      <c r="AR296" s="81"/>
      <c r="AS296" s="81"/>
      <c r="AU296" s="81"/>
      <c r="AV296" s="81"/>
      <c r="AW296" s="81"/>
      <c r="AX296" s="81"/>
      <c r="AY296" s="81"/>
      <c r="AZ296" s="81"/>
      <c r="BA296" s="81"/>
      <c r="BB296" s="81"/>
      <c r="BC296" s="81"/>
      <c r="BD296" s="81"/>
      <c r="BE296" s="81"/>
      <c r="BF296" s="81"/>
      <c r="BG296" s="81"/>
      <c r="BH296" s="81"/>
      <c r="BI296" s="81"/>
      <c r="BJ296" s="81"/>
      <c r="BK296" s="81"/>
      <c r="BL296" s="81"/>
      <c r="BM296" s="81"/>
      <c r="BN296" s="81"/>
      <c r="BO296" s="81"/>
      <c r="BP296" s="81"/>
      <c r="BQ296" s="81"/>
      <c r="BR296" s="81"/>
      <c r="BS296" s="81"/>
      <c r="BT296" s="81"/>
      <c r="BU296" s="81"/>
      <c r="BV296" s="81"/>
      <c r="BW296" s="81"/>
      <c r="BX296" s="81"/>
      <c r="BY296" s="81"/>
      <c r="BZ296" s="81"/>
      <c r="CA296" s="81"/>
      <c r="CB296" s="81"/>
    </row>
    <row r="297" spans="1:80" ht="11.25" customHeight="1" x14ac:dyDescent="0.2">
      <c r="A297" s="142"/>
      <c r="B297" s="1680" t="s">
        <v>17</v>
      </c>
      <c r="C297" s="1680"/>
      <c r="D297" s="1680"/>
      <c r="E297" s="1680"/>
      <c r="F297" s="1680"/>
      <c r="G297" s="1680"/>
      <c r="H297" s="1680"/>
      <c r="I297" s="1680"/>
      <c r="J297" s="12"/>
      <c r="K297" s="9"/>
      <c r="L297" s="9"/>
      <c r="M297" s="9"/>
      <c r="N297" s="9"/>
      <c r="O297" s="9"/>
      <c r="P297" s="9"/>
      <c r="Q297" s="9"/>
      <c r="R297" s="9"/>
      <c r="S297" s="9"/>
      <c r="T297" s="9"/>
      <c r="U297" s="9"/>
      <c r="V297" s="11"/>
      <c r="W297" s="252"/>
      <c r="X297" s="150"/>
      <c r="AA297" s="74"/>
      <c r="AB297" s="74"/>
      <c r="AJ297" s="81"/>
      <c r="AK297" s="157"/>
      <c r="AM297" s="81"/>
      <c r="AN297" s="81"/>
      <c r="AO297" s="81"/>
      <c r="AP297" s="81"/>
      <c r="AQ297" s="81"/>
      <c r="AR297" s="81"/>
      <c r="AS297" s="81"/>
      <c r="AU297" s="81"/>
      <c r="AV297" s="81"/>
      <c r="AW297" s="81"/>
      <c r="AX297" s="81"/>
      <c r="AY297" s="81"/>
      <c r="AZ297" s="81"/>
      <c r="BA297" s="81"/>
      <c r="BB297" s="81"/>
      <c r="BC297" s="81"/>
      <c r="BD297" s="81"/>
      <c r="BE297" s="81"/>
      <c r="BF297" s="81"/>
      <c r="BG297" s="81"/>
      <c r="BH297" s="81"/>
      <c r="BI297" s="81"/>
      <c r="BJ297" s="81"/>
      <c r="BK297" s="81"/>
      <c r="BL297" s="81"/>
      <c r="BM297" s="81"/>
      <c r="BN297" s="81"/>
      <c r="BO297" s="81"/>
      <c r="BP297" s="81"/>
      <c r="BQ297" s="81"/>
      <c r="BR297" s="81"/>
      <c r="BS297" s="81"/>
      <c r="BT297" s="81"/>
      <c r="BU297" s="81"/>
      <c r="BV297" s="81"/>
      <c r="BW297" s="81"/>
      <c r="BX297" s="81"/>
      <c r="BY297" s="81"/>
      <c r="BZ297" s="81"/>
      <c r="CA297" s="81"/>
      <c r="CB297" s="81"/>
    </row>
    <row r="298" spans="1:80" ht="11.25" customHeight="1" x14ac:dyDescent="0.2">
      <c r="A298" s="142"/>
      <c r="B298" s="1680"/>
      <c r="C298" s="1680"/>
      <c r="D298" s="1680"/>
      <c r="E298" s="1680"/>
      <c r="F298" s="1680"/>
      <c r="G298" s="1680"/>
      <c r="H298" s="1680"/>
      <c r="I298" s="1680"/>
      <c r="J298" s="12"/>
      <c r="K298" s="9"/>
      <c r="L298" s="9"/>
      <c r="M298" s="9"/>
      <c r="N298" s="9"/>
      <c r="O298" s="9"/>
      <c r="P298" s="9"/>
      <c r="Q298" s="9"/>
      <c r="R298" s="9"/>
      <c r="S298" s="9"/>
      <c r="T298" s="9"/>
      <c r="U298" s="9"/>
      <c r="V298" s="11"/>
      <c r="W298" s="252"/>
      <c r="X298" s="150"/>
      <c r="AA298" s="74"/>
      <c r="AB298" s="74"/>
      <c r="AJ298" s="81"/>
      <c r="AK298" s="157"/>
      <c r="AM298" s="81"/>
      <c r="AN298" s="81"/>
      <c r="AO298" s="81"/>
      <c r="AP298" s="81"/>
      <c r="AQ298" s="81"/>
      <c r="AR298" s="81"/>
      <c r="AS298" s="81"/>
      <c r="AU298" s="81"/>
      <c r="AV298" s="81"/>
      <c r="AW298" s="81"/>
      <c r="AX298" s="81"/>
      <c r="AY298" s="81"/>
      <c r="AZ298" s="81"/>
      <c r="BA298" s="81"/>
      <c r="BB298" s="81"/>
      <c r="BC298" s="81"/>
      <c r="BD298" s="81"/>
      <c r="BE298" s="81"/>
      <c r="BF298" s="81"/>
      <c r="BG298" s="81"/>
      <c r="BH298" s="81"/>
      <c r="BI298" s="81"/>
      <c r="BJ298" s="81"/>
      <c r="BK298" s="81"/>
      <c r="BL298" s="81"/>
      <c r="BM298" s="81"/>
      <c r="BN298" s="81"/>
      <c r="BO298" s="81"/>
      <c r="BP298" s="81"/>
      <c r="BQ298" s="81"/>
      <c r="BR298" s="81"/>
      <c r="BS298" s="81"/>
      <c r="BT298" s="81"/>
      <c r="BU298" s="81"/>
      <c r="BV298" s="81"/>
      <c r="BW298" s="81"/>
      <c r="BX298" s="81"/>
      <c r="BY298" s="81"/>
      <c r="BZ298" s="81"/>
      <c r="CA298" s="81"/>
      <c r="CB298" s="81"/>
    </row>
    <row r="299" spans="1:80" ht="11.25" customHeight="1" x14ac:dyDescent="0.2">
      <c r="A299" s="142"/>
      <c r="B299" s="1680" t="s">
        <v>80</v>
      </c>
      <c r="C299" s="1680"/>
      <c r="D299" s="1680"/>
      <c r="E299" s="1680"/>
      <c r="F299" s="1680"/>
      <c r="G299" s="1680"/>
      <c r="H299" s="1680"/>
      <c r="I299" s="1680"/>
      <c r="J299" s="12"/>
      <c r="K299" s="9"/>
      <c r="L299" s="9"/>
      <c r="M299" s="9"/>
      <c r="N299" s="9"/>
      <c r="O299" s="9"/>
      <c r="P299" s="9"/>
      <c r="Q299" s="9"/>
      <c r="R299" s="9"/>
      <c r="S299" s="9"/>
      <c r="T299" s="9"/>
      <c r="U299" s="9"/>
      <c r="V299" s="11"/>
      <c r="W299" s="252"/>
      <c r="X299" s="150"/>
      <c r="AA299" s="74"/>
      <c r="AB299" s="74"/>
      <c r="AJ299" s="81"/>
      <c r="AK299" s="157"/>
      <c r="AM299" s="81"/>
      <c r="AN299" s="81"/>
      <c r="AO299" s="81"/>
      <c r="AP299" s="81"/>
      <c r="AQ299" s="81"/>
      <c r="AR299" s="81"/>
      <c r="AS299" s="81"/>
      <c r="AU299" s="81"/>
      <c r="AV299" s="81"/>
      <c r="AW299" s="81"/>
      <c r="AX299" s="81"/>
      <c r="AY299" s="81"/>
      <c r="AZ299" s="81"/>
      <c r="BA299" s="81"/>
      <c r="BB299" s="81"/>
      <c r="BC299" s="81"/>
      <c r="BD299" s="81"/>
      <c r="BE299" s="81"/>
      <c r="BF299" s="81"/>
      <c r="BG299" s="81"/>
      <c r="BH299" s="81"/>
      <c r="BI299" s="81"/>
      <c r="BJ299" s="81"/>
      <c r="BK299" s="81"/>
      <c r="BL299" s="81"/>
      <c r="BM299" s="81"/>
      <c r="BN299" s="81"/>
      <c r="BO299" s="81"/>
      <c r="BP299" s="81"/>
      <c r="BQ299" s="81"/>
      <c r="BR299" s="81"/>
      <c r="BS299" s="81"/>
      <c r="BT299" s="81"/>
      <c r="BU299" s="81"/>
      <c r="BV299" s="81"/>
      <c r="BW299" s="81"/>
      <c r="BX299" s="81"/>
      <c r="BY299" s="81"/>
      <c r="BZ299" s="81"/>
      <c r="CA299" s="81"/>
      <c r="CB299" s="81"/>
    </row>
    <row r="300" spans="1:80" ht="11.25" customHeight="1" x14ac:dyDescent="0.2">
      <c r="A300" s="142"/>
      <c r="B300" s="1680"/>
      <c r="C300" s="1680"/>
      <c r="D300" s="1680"/>
      <c r="E300" s="1680"/>
      <c r="F300" s="1680"/>
      <c r="G300" s="1680"/>
      <c r="H300" s="1680"/>
      <c r="I300" s="1680"/>
      <c r="J300" s="12"/>
      <c r="K300" s="9"/>
      <c r="L300" s="9"/>
      <c r="M300" s="9"/>
      <c r="N300" s="9"/>
      <c r="O300" s="9"/>
      <c r="P300" s="9"/>
      <c r="Q300" s="9"/>
      <c r="R300" s="9"/>
      <c r="S300" s="9"/>
      <c r="T300" s="9"/>
      <c r="U300" s="9"/>
      <c r="V300" s="11"/>
      <c r="W300" s="252"/>
      <c r="X300" s="150"/>
      <c r="AA300" s="74"/>
      <c r="AB300" s="74"/>
      <c r="AJ300" s="81"/>
      <c r="AK300" s="157"/>
      <c r="AM300" s="81"/>
      <c r="AN300" s="81"/>
      <c r="AO300" s="81"/>
      <c r="AP300" s="81"/>
      <c r="AQ300" s="81"/>
      <c r="AR300" s="81"/>
      <c r="AS300" s="81"/>
      <c r="AU300" s="81"/>
      <c r="AV300" s="81"/>
      <c r="AW300" s="81"/>
      <c r="AX300" s="81"/>
      <c r="AY300" s="81"/>
      <c r="AZ300" s="81"/>
      <c r="BA300" s="81"/>
      <c r="BB300" s="81"/>
      <c r="BC300" s="81"/>
      <c r="BD300" s="81"/>
      <c r="BE300" s="81"/>
      <c r="BF300" s="81"/>
      <c r="BG300" s="81"/>
      <c r="BH300" s="81"/>
      <c r="BI300" s="81"/>
      <c r="BJ300" s="81"/>
      <c r="BK300" s="81"/>
      <c r="BL300" s="81"/>
      <c r="BM300" s="81"/>
      <c r="BN300" s="81"/>
      <c r="BO300" s="81"/>
      <c r="BP300" s="81"/>
      <c r="BQ300" s="81"/>
      <c r="BR300" s="81"/>
      <c r="BS300" s="81"/>
      <c r="BT300" s="81"/>
      <c r="BU300" s="81"/>
      <c r="BV300" s="81"/>
      <c r="BW300" s="81"/>
      <c r="BX300" s="81"/>
      <c r="BY300" s="81"/>
      <c r="BZ300" s="81"/>
      <c r="CA300" s="81"/>
      <c r="CB300" s="81"/>
    </row>
    <row r="301" spans="1:80" ht="11.25" customHeight="1" x14ac:dyDescent="0.2">
      <c r="A301" s="142"/>
      <c r="B301" s="1680" t="s">
        <v>69</v>
      </c>
      <c r="C301" s="1680"/>
      <c r="D301" s="1680"/>
      <c r="E301" s="1680"/>
      <c r="F301" s="1680"/>
      <c r="G301" s="1680"/>
      <c r="H301" s="1680"/>
      <c r="I301" s="1680"/>
      <c r="J301" s="12"/>
      <c r="K301" s="9"/>
      <c r="L301" s="9"/>
      <c r="M301" s="9"/>
      <c r="N301" s="9"/>
      <c r="O301" s="9"/>
      <c r="P301" s="9"/>
      <c r="Q301" s="9"/>
      <c r="R301" s="9"/>
      <c r="S301" s="9"/>
      <c r="T301" s="9"/>
      <c r="U301" s="9"/>
      <c r="V301" s="11"/>
      <c r="W301" s="252"/>
      <c r="X301" s="150"/>
      <c r="AA301" s="74"/>
      <c r="AB301" s="74"/>
      <c r="AJ301" s="81"/>
      <c r="AK301" s="157"/>
      <c r="AM301" s="81"/>
      <c r="AN301" s="81"/>
      <c r="AO301" s="81"/>
      <c r="AP301" s="81"/>
      <c r="AQ301" s="81"/>
      <c r="AR301" s="81"/>
      <c r="AS301" s="81"/>
      <c r="AU301" s="81"/>
      <c r="AV301" s="81"/>
      <c r="AW301" s="81"/>
      <c r="AX301" s="81"/>
      <c r="AY301" s="81"/>
      <c r="AZ301" s="81"/>
      <c r="BA301" s="81"/>
      <c r="BB301" s="81"/>
      <c r="BC301" s="81"/>
      <c r="BD301" s="81"/>
      <c r="BE301" s="81"/>
      <c r="BF301" s="81"/>
      <c r="BG301" s="81"/>
      <c r="BH301" s="81"/>
      <c r="BI301" s="81"/>
      <c r="BJ301" s="81"/>
      <c r="BK301" s="81"/>
      <c r="BL301" s="81"/>
      <c r="BM301" s="81"/>
      <c r="BN301" s="81"/>
      <c r="BO301" s="81"/>
      <c r="BP301" s="81"/>
      <c r="BQ301" s="81"/>
      <c r="BR301" s="81"/>
      <c r="BS301" s="81"/>
      <c r="BT301" s="81"/>
      <c r="BU301" s="81"/>
      <c r="BV301" s="81"/>
      <c r="BW301" s="81"/>
      <c r="BX301" s="81"/>
      <c r="BY301" s="81"/>
      <c r="BZ301" s="81"/>
      <c r="CA301" s="81"/>
      <c r="CB301" s="81"/>
    </row>
    <row r="302" spans="1:80" ht="11.25" customHeight="1" x14ac:dyDescent="0.2">
      <c r="A302" s="142"/>
      <c r="B302" s="1680"/>
      <c r="C302" s="1680"/>
      <c r="D302" s="1680"/>
      <c r="E302" s="1680"/>
      <c r="F302" s="1680"/>
      <c r="G302" s="1680"/>
      <c r="H302" s="1680"/>
      <c r="I302" s="1680"/>
      <c r="J302" s="12"/>
      <c r="K302" s="9"/>
      <c r="L302" s="9"/>
      <c r="M302" s="9"/>
      <c r="N302" s="9"/>
      <c r="O302" s="9"/>
      <c r="P302" s="9"/>
      <c r="Q302" s="9"/>
      <c r="R302" s="9"/>
      <c r="S302" s="9"/>
      <c r="T302" s="9"/>
      <c r="U302" s="9"/>
      <c r="V302" s="11"/>
      <c r="W302" s="252"/>
      <c r="X302" s="150"/>
      <c r="AA302" s="74"/>
      <c r="AB302" s="74"/>
      <c r="AJ302" s="81"/>
      <c r="AK302" s="157"/>
      <c r="AM302" s="81"/>
      <c r="AN302" s="81"/>
      <c r="AO302" s="81"/>
      <c r="AP302" s="81"/>
      <c r="AQ302" s="81"/>
      <c r="AR302" s="81"/>
      <c r="AS302" s="81"/>
      <c r="AU302" s="81"/>
      <c r="AV302" s="81"/>
      <c r="AW302" s="81"/>
      <c r="AX302" s="81"/>
      <c r="AY302" s="81"/>
      <c r="AZ302" s="81"/>
      <c r="BA302" s="81"/>
      <c r="BB302" s="81"/>
      <c r="BC302" s="81"/>
      <c r="BD302" s="81"/>
      <c r="BE302" s="81"/>
      <c r="BF302" s="81"/>
      <c r="BG302" s="81"/>
      <c r="BH302" s="81"/>
      <c r="BI302" s="81"/>
      <c r="BJ302" s="81"/>
      <c r="BK302" s="81"/>
      <c r="BL302" s="81"/>
      <c r="BM302" s="81"/>
      <c r="BN302" s="81"/>
      <c r="BO302" s="81"/>
      <c r="BP302" s="81"/>
      <c r="BQ302" s="81"/>
      <c r="BR302" s="81"/>
      <c r="BS302" s="81"/>
      <c r="BT302" s="81"/>
      <c r="BU302" s="81"/>
      <c r="BV302" s="81"/>
      <c r="BW302" s="81"/>
      <c r="BX302" s="81"/>
      <c r="BY302" s="81"/>
      <c r="BZ302" s="81"/>
      <c r="CA302" s="81"/>
      <c r="CB302" s="81"/>
    </row>
    <row r="303" spans="1:80" ht="11.25" customHeight="1" x14ac:dyDescent="0.2">
      <c r="A303" s="142"/>
      <c r="B303" s="1680" t="s">
        <v>24</v>
      </c>
      <c r="C303" s="1680"/>
      <c r="D303" s="1680"/>
      <c r="E303" s="1680"/>
      <c r="F303" s="1680"/>
      <c r="G303" s="1680"/>
      <c r="H303" s="1680"/>
      <c r="I303" s="1680"/>
      <c r="J303" s="12"/>
      <c r="K303" s="9"/>
      <c r="L303" s="9"/>
      <c r="M303" s="9"/>
      <c r="N303" s="9"/>
      <c r="O303" s="9"/>
      <c r="P303" s="9"/>
      <c r="Q303" s="9"/>
      <c r="R303" s="9"/>
      <c r="S303" s="9"/>
      <c r="T303" s="9"/>
      <c r="U303" s="9"/>
      <c r="V303" s="9"/>
      <c r="W303" s="137"/>
      <c r="X303" s="150"/>
      <c r="AJ303" s="81"/>
      <c r="AK303" s="157"/>
      <c r="AM303" s="81"/>
      <c r="AN303" s="81"/>
      <c r="AO303" s="81"/>
      <c r="AP303" s="81"/>
      <c r="AQ303" s="81"/>
      <c r="AR303" s="81"/>
      <c r="AS303" s="81"/>
      <c r="AU303" s="81"/>
      <c r="AV303" s="81"/>
      <c r="AW303" s="81"/>
      <c r="AX303" s="81"/>
      <c r="AY303" s="81"/>
      <c r="AZ303" s="81"/>
      <c r="BA303" s="81"/>
      <c r="BB303" s="81"/>
      <c r="BC303" s="81"/>
      <c r="BD303" s="81"/>
      <c r="BE303" s="81"/>
      <c r="BF303" s="81"/>
      <c r="BG303" s="81"/>
      <c r="BH303" s="81"/>
      <c r="BI303" s="81"/>
      <c r="BJ303" s="81"/>
      <c r="BK303" s="81"/>
      <c r="BL303" s="81"/>
      <c r="BM303" s="81"/>
      <c r="BN303" s="81"/>
      <c r="BO303" s="81"/>
      <c r="BP303" s="81"/>
      <c r="BQ303" s="81"/>
      <c r="BR303" s="81"/>
      <c r="BS303" s="81"/>
      <c r="BT303" s="81"/>
      <c r="BU303" s="81"/>
      <c r="BV303" s="81"/>
      <c r="BW303" s="81"/>
      <c r="BX303" s="81"/>
      <c r="BY303" s="81"/>
      <c r="BZ303" s="81"/>
      <c r="CA303" s="81"/>
      <c r="CB303" s="81"/>
    </row>
    <row r="304" spans="1:80" ht="11.25" customHeight="1" x14ac:dyDescent="0.2">
      <c r="A304" s="142"/>
      <c r="B304" s="1680"/>
      <c r="C304" s="1680"/>
      <c r="D304" s="1680"/>
      <c r="E304" s="1680"/>
      <c r="F304" s="1680"/>
      <c r="G304" s="1680"/>
      <c r="H304" s="1680"/>
      <c r="I304" s="1680"/>
      <c r="J304" s="12"/>
      <c r="K304" s="9"/>
      <c r="L304" s="9"/>
      <c r="M304" s="9"/>
      <c r="N304" s="9"/>
      <c r="O304" s="9"/>
      <c r="P304" s="9"/>
      <c r="Q304" s="9"/>
      <c r="R304" s="9"/>
      <c r="S304" s="9"/>
      <c r="T304" s="9"/>
      <c r="U304" s="9"/>
      <c r="V304" s="9"/>
      <c r="W304" s="137"/>
      <c r="X304" s="150"/>
      <c r="AJ304" s="81"/>
      <c r="AK304" s="157"/>
      <c r="AM304" s="81"/>
      <c r="AN304" s="81"/>
      <c r="AO304" s="81"/>
      <c r="AP304" s="81"/>
      <c r="AQ304" s="81"/>
      <c r="AR304" s="81"/>
      <c r="AS304" s="81"/>
      <c r="AU304" s="81"/>
      <c r="AV304" s="81"/>
      <c r="AW304" s="81"/>
      <c r="AX304" s="81"/>
      <c r="AY304" s="81"/>
      <c r="AZ304" s="81"/>
      <c r="BA304" s="81"/>
      <c r="BB304" s="81"/>
      <c r="BC304" s="81"/>
      <c r="BD304" s="81"/>
      <c r="BE304" s="81"/>
      <c r="BF304" s="81"/>
      <c r="BG304" s="81"/>
      <c r="BH304" s="81"/>
      <c r="BI304" s="81"/>
      <c r="BJ304" s="81"/>
      <c r="BK304" s="81"/>
      <c r="BL304" s="81"/>
      <c r="BM304" s="81"/>
      <c r="BN304" s="81"/>
      <c r="BO304" s="81"/>
      <c r="BP304" s="81"/>
      <c r="BQ304" s="81"/>
      <c r="BR304" s="81"/>
      <c r="BS304" s="81"/>
      <c r="BT304" s="81"/>
      <c r="BU304" s="81"/>
      <c r="BV304" s="81"/>
      <c r="BW304" s="81"/>
      <c r="BX304" s="81"/>
      <c r="BY304" s="81"/>
      <c r="BZ304" s="81"/>
      <c r="CA304" s="81"/>
      <c r="CB304" s="81"/>
    </row>
    <row r="305" spans="1:80" ht="11.25" customHeight="1" x14ac:dyDescent="0.2">
      <c r="A305" s="142"/>
      <c r="B305" s="1680" t="s">
        <v>22</v>
      </c>
      <c r="C305" s="1680"/>
      <c r="D305" s="1680"/>
      <c r="E305" s="1680"/>
      <c r="F305" s="1680"/>
      <c r="G305" s="1680"/>
      <c r="H305" s="1680"/>
      <c r="I305" s="1680"/>
      <c r="J305" s="12"/>
      <c r="K305" s="9"/>
      <c r="L305" s="9"/>
      <c r="M305" s="9"/>
      <c r="N305" s="9"/>
      <c r="O305" s="9"/>
      <c r="P305" s="9"/>
      <c r="Q305" s="9"/>
      <c r="R305" s="9"/>
      <c r="S305" s="9"/>
      <c r="T305" s="9"/>
      <c r="U305" s="9"/>
      <c r="V305" s="9"/>
      <c r="W305" s="137"/>
      <c r="X305" s="150"/>
      <c r="AJ305" s="81"/>
      <c r="AK305" s="157"/>
      <c r="AM305" s="81"/>
      <c r="AN305" s="81"/>
      <c r="AO305" s="81"/>
      <c r="AP305" s="81"/>
      <c r="AQ305" s="81"/>
      <c r="AR305" s="81"/>
      <c r="AS305" s="81"/>
      <c r="AU305" s="81"/>
      <c r="AV305" s="81"/>
      <c r="AW305" s="81"/>
      <c r="AX305" s="81"/>
      <c r="AY305" s="81"/>
      <c r="AZ305" s="81"/>
      <c r="BA305" s="81"/>
      <c r="BB305" s="81"/>
      <c r="BC305" s="81"/>
      <c r="BD305" s="81"/>
      <c r="BE305" s="81"/>
      <c r="BF305" s="81"/>
      <c r="BG305" s="81"/>
      <c r="BH305" s="81"/>
      <c r="BI305" s="81"/>
      <c r="BJ305" s="81"/>
      <c r="BK305" s="81"/>
      <c r="BL305" s="81"/>
      <c r="BM305" s="81"/>
      <c r="BN305" s="81"/>
      <c r="BO305" s="81"/>
      <c r="BP305" s="81"/>
      <c r="BQ305" s="81"/>
      <c r="BR305" s="81"/>
      <c r="BS305" s="81"/>
      <c r="BT305" s="81"/>
      <c r="BU305" s="81"/>
      <c r="BV305" s="81"/>
      <c r="BW305" s="81"/>
      <c r="BX305" s="81"/>
      <c r="BY305" s="81"/>
      <c r="BZ305" s="81"/>
      <c r="CA305" s="81"/>
      <c r="CB305" s="81"/>
    </row>
    <row r="306" spans="1:80" ht="11.25" customHeight="1" x14ac:dyDescent="0.2">
      <c r="A306" s="142"/>
      <c r="B306" s="1680"/>
      <c r="C306" s="1680"/>
      <c r="D306" s="1680"/>
      <c r="E306" s="1680"/>
      <c r="F306" s="1680"/>
      <c r="G306" s="1680"/>
      <c r="H306" s="1680"/>
      <c r="I306" s="1680"/>
      <c r="J306" s="12"/>
      <c r="K306" s="9"/>
      <c r="L306" s="9"/>
      <c r="M306" s="9"/>
      <c r="N306" s="9"/>
      <c r="O306" s="9"/>
      <c r="P306" s="9"/>
      <c r="Q306" s="9"/>
      <c r="R306" s="9"/>
      <c r="S306" s="9"/>
      <c r="T306" s="9"/>
      <c r="U306" s="9"/>
      <c r="V306" s="9"/>
      <c r="W306" s="137"/>
      <c r="X306" s="150"/>
      <c r="AJ306" s="81"/>
      <c r="AK306" s="157"/>
      <c r="AM306" s="81"/>
      <c r="AN306" s="81"/>
      <c r="AO306" s="81"/>
      <c r="AP306" s="81"/>
      <c r="AQ306" s="81"/>
      <c r="AR306" s="81"/>
      <c r="AS306" s="81"/>
      <c r="AU306" s="81"/>
      <c r="AV306" s="81"/>
      <c r="AW306" s="81"/>
      <c r="AX306" s="81"/>
      <c r="AY306" s="81"/>
      <c r="AZ306" s="81"/>
      <c r="BA306" s="81"/>
      <c r="BB306" s="81"/>
      <c r="BC306" s="81"/>
      <c r="BD306" s="81"/>
      <c r="BE306" s="81"/>
      <c r="BF306" s="81"/>
      <c r="BG306" s="81"/>
      <c r="BH306" s="81"/>
      <c r="BI306" s="81"/>
      <c r="BJ306" s="81"/>
      <c r="BK306" s="81"/>
      <c r="BL306" s="81"/>
      <c r="BM306" s="81"/>
      <c r="BN306" s="81"/>
      <c r="BO306" s="81"/>
      <c r="BP306" s="81"/>
      <c r="BQ306" s="81"/>
      <c r="BR306" s="81"/>
      <c r="BS306" s="81"/>
      <c r="BT306" s="81"/>
      <c r="BU306" s="81"/>
      <c r="BV306" s="81"/>
      <c r="BW306" s="81"/>
      <c r="BX306" s="81"/>
      <c r="BY306" s="81"/>
      <c r="BZ306" s="81"/>
      <c r="CA306" s="81"/>
      <c r="CB306" s="81"/>
    </row>
    <row r="307" spans="1:80" ht="11.25" customHeight="1" x14ac:dyDescent="0.2">
      <c r="A307" s="142"/>
      <c r="B307" s="1680" t="s">
        <v>25</v>
      </c>
      <c r="C307" s="1680"/>
      <c r="D307" s="1680"/>
      <c r="E307" s="1680"/>
      <c r="F307" s="1680"/>
      <c r="G307" s="1680"/>
      <c r="H307" s="1680"/>
      <c r="I307" s="1680"/>
      <c r="J307" s="12"/>
      <c r="K307" s="9"/>
      <c r="L307" s="9"/>
      <c r="M307" s="9"/>
      <c r="N307" s="9"/>
      <c r="O307" s="9"/>
      <c r="P307" s="9"/>
      <c r="Q307" s="9"/>
      <c r="R307" s="9"/>
      <c r="S307" s="9"/>
      <c r="T307" s="9"/>
      <c r="U307" s="9"/>
      <c r="V307" s="9"/>
      <c r="W307" s="137"/>
      <c r="X307" s="150"/>
      <c r="AJ307" s="81"/>
      <c r="AK307" s="157"/>
      <c r="AM307" s="81"/>
      <c r="AN307" s="81"/>
      <c r="AO307" s="81"/>
      <c r="AP307" s="81"/>
      <c r="AQ307" s="81"/>
      <c r="AR307" s="81"/>
      <c r="AS307" s="81"/>
      <c r="AU307" s="81"/>
      <c r="AV307" s="81"/>
      <c r="AW307" s="81"/>
      <c r="AX307" s="81"/>
      <c r="AY307" s="81"/>
      <c r="AZ307" s="81"/>
      <c r="BA307" s="81"/>
      <c r="BB307" s="81"/>
      <c r="BC307" s="81"/>
      <c r="BD307" s="81"/>
      <c r="BE307" s="81"/>
      <c r="BF307" s="81"/>
      <c r="BG307" s="81"/>
      <c r="BH307" s="81"/>
      <c r="BI307" s="81"/>
      <c r="BJ307" s="81"/>
      <c r="BK307" s="81"/>
      <c r="BL307" s="81"/>
      <c r="BM307" s="81"/>
      <c r="BN307" s="81"/>
      <c r="BO307" s="81"/>
      <c r="BP307" s="81"/>
      <c r="BQ307" s="81"/>
      <c r="BR307" s="81"/>
      <c r="BS307" s="81"/>
      <c r="BT307" s="81"/>
      <c r="BU307" s="81"/>
      <c r="BV307" s="81"/>
      <c r="BW307" s="81"/>
      <c r="BX307" s="81"/>
      <c r="BY307" s="81"/>
      <c r="BZ307" s="81"/>
      <c r="CA307" s="81"/>
      <c r="CB307" s="81"/>
    </row>
    <row r="308" spans="1:80" ht="11.25" customHeight="1" x14ac:dyDescent="0.2">
      <c r="A308" s="142"/>
      <c r="B308" s="1680"/>
      <c r="C308" s="1680"/>
      <c r="D308" s="1680"/>
      <c r="E308" s="1680"/>
      <c r="F308" s="1680"/>
      <c r="G308" s="1680"/>
      <c r="H308" s="1680"/>
      <c r="I308" s="1680"/>
      <c r="J308" s="12"/>
      <c r="K308" s="9"/>
      <c r="L308" s="9"/>
      <c r="M308" s="9"/>
      <c r="N308" s="9"/>
      <c r="O308" s="9"/>
      <c r="P308" s="9"/>
      <c r="Q308" s="9"/>
      <c r="R308" s="9"/>
      <c r="S308" s="9"/>
      <c r="T308" s="9"/>
      <c r="U308" s="9"/>
      <c r="V308" s="9"/>
      <c r="W308" s="137"/>
      <c r="X308" s="150"/>
      <c r="AJ308" s="81"/>
      <c r="AK308" s="157"/>
      <c r="AM308" s="81"/>
      <c r="AN308" s="81"/>
      <c r="AO308" s="81"/>
      <c r="AP308" s="81"/>
      <c r="AQ308" s="81"/>
      <c r="AR308" s="81"/>
      <c r="AS308" s="81"/>
      <c r="AU308" s="81"/>
      <c r="AV308" s="81"/>
      <c r="AW308" s="81"/>
      <c r="AX308" s="81"/>
      <c r="AY308" s="81"/>
      <c r="AZ308" s="81"/>
      <c r="BA308" s="81"/>
      <c r="BB308" s="81"/>
      <c r="BC308" s="81"/>
      <c r="BD308" s="81"/>
      <c r="BE308" s="81"/>
      <c r="BF308" s="81"/>
      <c r="BG308" s="81"/>
      <c r="BH308" s="81"/>
      <c r="BI308" s="81"/>
      <c r="BJ308" s="81"/>
      <c r="BK308" s="81"/>
      <c r="BL308" s="81"/>
      <c r="BM308" s="81"/>
      <c r="BN308" s="81"/>
      <c r="BO308" s="81"/>
      <c r="BP308" s="81"/>
      <c r="BQ308" s="81"/>
      <c r="BR308" s="81"/>
      <c r="BS308" s="81"/>
      <c r="BT308" s="81"/>
      <c r="BU308" s="81"/>
      <c r="BV308" s="81"/>
      <c r="BW308" s="81"/>
      <c r="BX308" s="81"/>
      <c r="BY308" s="81"/>
      <c r="BZ308" s="81"/>
      <c r="CA308" s="81"/>
      <c r="CB308" s="81"/>
    </row>
    <row r="309" spans="1:80" ht="11.25" customHeight="1" x14ac:dyDescent="0.2">
      <c r="A309" s="142"/>
      <c r="B309" s="1680" t="s">
        <v>18</v>
      </c>
      <c r="C309" s="1680"/>
      <c r="D309" s="1680"/>
      <c r="E309" s="1680"/>
      <c r="F309" s="1680"/>
      <c r="G309" s="1680"/>
      <c r="H309" s="1680"/>
      <c r="I309" s="1680"/>
      <c r="J309" s="12"/>
      <c r="K309" s="9"/>
      <c r="L309" s="9"/>
      <c r="M309" s="9"/>
      <c r="N309" s="9"/>
      <c r="O309" s="9"/>
      <c r="P309" s="9"/>
      <c r="Q309" s="9"/>
      <c r="R309" s="9"/>
      <c r="S309" s="9"/>
      <c r="T309" s="9"/>
      <c r="U309" s="9"/>
      <c r="V309" s="9"/>
      <c r="W309" s="137"/>
      <c r="X309" s="150"/>
      <c r="AJ309" s="81"/>
      <c r="AK309" s="157"/>
      <c r="AM309" s="81"/>
      <c r="AN309" s="81"/>
      <c r="AO309" s="81"/>
      <c r="AP309" s="81"/>
      <c r="AQ309" s="81"/>
      <c r="AR309" s="81"/>
      <c r="AS309" s="81"/>
      <c r="AU309" s="81"/>
      <c r="AV309" s="81"/>
      <c r="AW309" s="81"/>
      <c r="AX309" s="81"/>
      <c r="AY309" s="81"/>
      <c r="AZ309" s="81"/>
      <c r="BA309" s="81"/>
      <c r="BB309" s="81"/>
      <c r="BC309" s="81"/>
      <c r="BD309" s="81"/>
      <c r="BE309" s="81"/>
      <c r="BF309" s="81"/>
      <c r="BG309" s="81"/>
      <c r="BH309" s="81"/>
      <c r="BI309" s="81"/>
      <c r="BJ309" s="81"/>
      <c r="BK309" s="81"/>
      <c r="BL309" s="81"/>
      <c r="BM309" s="81"/>
      <c r="BN309" s="81"/>
      <c r="BO309" s="81"/>
      <c r="BP309" s="81"/>
      <c r="BQ309" s="81"/>
      <c r="BR309" s="81"/>
      <c r="BS309" s="81"/>
      <c r="BT309" s="81"/>
      <c r="BU309" s="81"/>
      <c r="BV309" s="81"/>
      <c r="BW309" s="81"/>
      <c r="BX309" s="81"/>
      <c r="BY309" s="81"/>
      <c r="BZ309" s="81"/>
      <c r="CA309" s="81"/>
      <c r="CB309" s="81"/>
    </row>
    <row r="310" spans="1:80" ht="11.25" customHeight="1" x14ac:dyDescent="0.2">
      <c r="A310" s="142"/>
      <c r="B310" s="1680"/>
      <c r="C310" s="1680"/>
      <c r="D310" s="1680"/>
      <c r="E310" s="1680"/>
      <c r="F310" s="1680"/>
      <c r="G310" s="1680"/>
      <c r="H310" s="1680"/>
      <c r="I310" s="1680"/>
      <c r="J310" s="12"/>
      <c r="K310" s="9"/>
      <c r="L310" s="9"/>
      <c r="M310" s="9"/>
      <c r="N310" s="9"/>
      <c r="O310" s="9"/>
      <c r="P310" s="9"/>
      <c r="Q310" s="9"/>
      <c r="R310" s="9"/>
      <c r="S310" s="9"/>
      <c r="T310" s="9"/>
      <c r="U310" s="9"/>
      <c r="V310" s="9"/>
      <c r="W310" s="137"/>
      <c r="X310" s="150"/>
      <c r="AJ310" s="81"/>
      <c r="AK310" s="157"/>
      <c r="AM310" s="81"/>
      <c r="AN310" s="81"/>
      <c r="AO310" s="81"/>
      <c r="AP310" s="81"/>
      <c r="AQ310" s="81"/>
      <c r="AR310" s="81"/>
      <c r="AS310" s="81"/>
      <c r="AU310" s="81"/>
      <c r="AV310" s="81"/>
      <c r="AW310" s="81"/>
      <c r="AX310" s="81"/>
      <c r="AY310" s="81"/>
      <c r="AZ310" s="81"/>
      <c r="BA310" s="81"/>
      <c r="BB310" s="81"/>
      <c r="BC310" s="81"/>
      <c r="BD310" s="81"/>
      <c r="BE310" s="81"/>
      <c r="BF310" s="81"/>
      <c r="BG310" s="81"/>
      <c r="BH310" s="81"/>
      <c r="BI310" s="81"/>
      <c r="BJ310" s="81"/>
      <c r="BK310" s="81"/>
      <c r="BL310" s="81"/>
      <c r="BM310" s="81"/>
      <c r="BN310" s="81"/>
      <c r="BO310" s="81"/>
      <c r="BP310" s="81"/>
      <c r="BQ310" s="81"/>
      <c r="BR310" s="81"/>
      <c r="BS310" s="81"/>
      <c r="BT310" s="81"/>
      <c r="BU310" s="81"/>
      <c r="BV310" s="81"/>
      <c r="BW310" s="81"/>
      <c r="BX310" s="81"/>
      <c r="BY310" s="81"/>
      <c r="BZ310" s="81"/>
      <c r="CA310" s="81"/>
      <c r="CB310" s="81"/>
    </row>
    <row r="311" spans="1:80" ht="11.25" customHeight="1" x14ac:dyDescent="0.2">
      <c r="A311" s="142"/>
      <c r="B311" s="1680" t="s">
        <v>19</v>
      </c>
      <c r="C311" s="1680"/>
      <c r="D311" s="1680"/>
      <c r="E311" s="1680"/>
      <c r="F311" s="1680"/>
      <c r="G311" s="1680"/>
      <c r="H311" s="1680"/>
      <c r="I311" s="1680"/>
      <c r="J311" s="12"/>
      <c r="K311" s="9"/>
      <c r="L311" s="9"/>
      <c r="M311" s="9"/>
      <c r="N311" s="9"/>
      <c r="O311" s="9"/>
      <c r="P311" s="9"/>
      <c r="Q311" s="9"/>
      <c r="R311" s="9"/>
      <c r="S311" s="9"/>
      <c r="T311" s="9"/>
      <c r="U311" s="9"/>
      <c r="V311" s="9"/>
      <c r="W311" s="137"/>
      <c r="X311" s="150"/>
      <c r="AJ311" s="81"/>
      <c r="AK311" s="157"/>
      <c r="AM311" s="81"/>
      <c r="AN311" s="81"/>
      <c r="AO311" s="81"/>
      <c r="AP311" s="81"/>
      <c r="AQ311" s="81"/>
      <c r="AR311" s="81"/>
      <c r="AS311" s="81"/>
      <c r="AU311" s="81"/>
      <c r="AV311" s="81"/>
      <c r="AW311" s="81"/>
      <c r="AX311" s="81"/>
      <c r="AY311" s="81"/>
      <c r="AZ311" s="81"/>
      <c r="BA311" s="81"/>
      <c r="BB311" s="81"/>
      <c r="BC311" s="81"/>
      <c r="BD311" s="81"/>
      <c r="BE311" s="81"/>
      <c r="BF311" s="81"/>
      <c r="BG311" s="81"/>
      <c r="BH311" s="81"/>
      <c r="BI311" s="81"/>
      <c r="BJ311" s="81"/>
      <c r="BK311" s="81"/>
      <c r="BL311" s="81"/>
      <c r="BM311" s="81"/>
      <c r="BN311" s="81"/>
      <c r="BO311" s="81"/>
      <c r="BP311" s="81"/>
      <c r="BQ311" s="81"/>
      <c r="BR311" s="81"/>
      <c r="BS311" s="81"/>
      <c r="BT311" s="81"/>
      <c r="BU311" s="81"/>
      <c r="BV311" s="81"/>
      <c r="BW311" s="81"/>
      <c r="BX311" s="81"/>
      <c r="BY311" s="81"/>
      <c r="BZ311" s="81"/>
      <c r="CA311" s="81"/>
      <c r="CB311" s="81"/>
    </row>
    <row r="312" spans="1:80" ht="11.25" customHeight="1" x14ac:dyDescent="0.2">
      <c r="A312" s="142"/>
      <c r="B312" s="1680"/>
      <c r="C312" s="1680"/>
      <c r="D312" s="1680"/>
      <c r="E312" s="1680"/>
      <c r="F312" s="1680"/>
      <c r="G312" s="1680"/>
      <c r="H312" s="1680"/>
      <c r="I312" s="1680"/>
      <c r="J312" s="12"/>
      <c r="K312" s="9"/>
      <c r="L312" s="9"/>
      <c r="M312" s="9"/>
      <c r="N312" s="9"/>
      <c r="O312" s="9"/>
      <c r="P312" s="9"/>
      <c r="Q312" s="9"/>
      <c r="R312" s="9"/>
      <c r="S312" s="9"/>
      <c r="T312" s="9"/>
      <c r="U312" s="9"/>
      <c r="V312" s="9"/>
      <c r="W312" s="137"/>
      <c r="X312" s="150"/>
      <c r="AJ312" s="81"/>
      <c r="AK312" s="157"/>
      <c r="AM312" s="81"/>
      <c r="AN312" s="81"/>
      <c r="AO312" s="81"/>
      <c r="AP312" s="81"/>
      <c r="AQ312" s="81"/>
      <c r="AR312" s="81"/>
      <c r="AS312" s="81"/>
      <c r="AU312" s="81"/>
      <c r="AV312" s="81"/>
      <c r="AW312" s="81"/>
      <c r="AX312" s="81"/>
      <c r="AY312" s="81"/>
      <c r="AZ312" s="81"/>
      <c r="BA312" s="81"/>
      <c r="BB312" s="81"/>
      <c r="BC312" s="81"/>
      <c r="BD312" s="81"/>
      <c r="BE312" s="81"/>
      <c r="BF312" s="81"/>
      <c r="BG312" s="81"/>
      <c r="BH312" s="81"/>
      <c r="BI312" s="81"/>
      <c r="BJ312" s="81"/>
      <c r="BK312" s="81"/>
      <c r="BL312" s="81"/>
      <c r="BM312" s="81"/>
      <c r="BN312" s="81"/>
      <c r="BO312" s="81"/>
      <c r="BP312" s="81"/>
      <c r="BQ312" s="81"/>
      <c r="BR312" s="81"/>
      <c r="BS312" s="81"/>
      <c r="BT312" s="81"/>
      <c r="BU312" s="81"/>
      <c r="BV312" s="81"/>
      <c r="BW312" s="81"/>
      <c r="BX312" s="81"/>
      <c r="BY312" s="81"/>
      <c r="BZ312" s="81"/>
      <c r="CA312" s="81"/>
      <c r="CB312" s="81"/>
    </row>
    <row r="313" spans="1:80" ht="11.25" customHeight="1" x14ac:dyDescent="0.2">
      <c r="A313" s="142"/>
      <c r="B313" s="1680" t="s">
        <v>20</v>
      </c>
      <c r="C313" s="1680"/>
      <c r="D313" s="1680"/>
      <c r="E313" s="1680"/>
      <c r="F313" s="1680"/>
      <c r="G313" s="1680"/>
      <c r="H313" s="1680"/>
      <c r="I313" s="1680"/>
      <c r="J313" s="12"/>
      <c r="K313" s="9"/>
      <c r="L313" s="9"/>
      <c r="M313" s="9"/>
      <c r="N313" s="9"/>
      <c r="O313" s="9"/>
      <c r="P313" s="9"/>
      <c r="Q313" s="9"/>
      <c r="R313" s="9"/>
      <c r="S313" s="9"/>
      <c r="T313" s="9"/>
      <c r="U313" s="9"/>
      <c r="V313" s="9"/>
      <c r="W313" s="137"/>
      <c r="X313" s="150"/>
      <c r="AJ313" s="81"/>
      <c r="AK313" s="157"/>
      <c r="AM313" s="81"/>
      <c r="AN313" s="81"/>
      <c r="AO313" s="81"/>
      <c r="AP313" s="81"/>
      <c r="AQ313" s="81"/>
      <c r="AR313" s="81"/>
      <c r="AS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row>
    <row r="314" spans="1:80" ht="11.25" customHeight="1" x14ac:dyDescent="0.2">
      <c r="A314" s="142"/>
      <c r="B314" s="1680"/>
      <c r="C314" s="1680"/>
      <c r="D314" s="1680"/>
      <c r="E314" s="1680"/>
      <c r="F314" s="1680"/>
      <c r="G314" s="1680"/>
      <c r="H314" s="1680"/>
      <c r="I314" s="1680"/>
      <c r="J314" s="12"/>
      <c r="K314" s="9"/>
      <c r="L314" s="9"/>
      <c r="M314" s="9"/>
      <c r="N314" s="9"/>
      <c r="O314" s="9"/>
      <c r="P314" s="9"/>
      <c r="Q314" s="9"/>
      <c r="R314" s="9"/>
      <c r="S314" s="9"/>
      <c r="T314" s="9"/>
      <c r="U314" s="9"/>
      <c r="V314" s="9"/>
      <c r="W314" s="137"/>
      <c r="X314" s="150"/>
      <c r="AJ314" s="81"/>
      <c r="AK314" s="157"/>
      <c r="AM314" s="81"/>
      <c r="AN314" s="81"/>
      <c r="AO314" s="81"/>
      <c r="AP314" s="81"/>
      <c r="AQ314" s="81"/>
      <c r="AR314" s="81"/>
      <c r="AS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1"/>
      <c r="BR314" s="81"/>
      <c r="BS314" s="81"/>
      <c r="BT314" s="81"/>
      <c r="BU314" s="81"/>
      <c r="BV314" s="81"/>
      <c r="BW314" s="81"/>
      <c r="BX314" s="81"/>
      <c r="BY314" s="81"/>
      <c r="BZ314" s="81"/>
      <c r="CA314" s="81"/>
      <c r="CB314" s="81"/>
    </row>
    <row r="315" spans="1:80" ht="11.25" customHeight="1" x14ac:dyDescent="0.2">
      <c r="A315" s="142"/>
      <c r="B315" s="1680" t="s">
        <v>26</v>
      </c>
      <c r="C315" s="1680"/>
      <c r="D315" s="1680"/>
      <c r="E315" s="1680"/>
      <c r="F315" s="1680"/>
      <c r="G315" s="1680"/>
      <c r="H315" s="1680"/>
      <c r="I315" s="1680"/>
      <c r="J315" s="12"/>
      <c r="K315" s="9"/>
      <c r="L315" s="9"/>
      <c r="M315" s="9"/>
      <c r="N315" s="9"/>
      <c r="O315" s="9"/>
      <c r="P315" s="9"/>
      <c r="Q315" s="9"/>
      <c r="R315" s="9"/>
      <c r="S315" s="9"/>
      <c r="T315" s="9"/>
      <c r="U315" s="9"/>
      <c r="V315" s="9"/>
      <c r="W315" s="137"/>
      <c r="X315" s="150"/>
      <c r="AJ315" s="81"/>
      <c r="AK315" s="157"/>
      <c r="AM315" s="81"/>
      <c r="AN315" s="81"/>
      <c r="AO315" s="81"/>
      <c r="AP315" s="81"/>
      <c r="AQ315" s="81"/>
      <c r="AR315" s="81"/>
      <c r="AS315" s="81"/>
      <c r="AU315" s="81"/>
      <c r="AV315" s="81"/>
      <c r="AW315" s="81"/>
      <c r="AX315" s="81"/>
      <c r="AY315" s="81"/>
      <c r="AZ315" s="81"/>
      <c r="BA315" s="81"/>
      <c r="BB315" s="81"/>
      <c r="BC315" s="81"/>
      <c r="BD315" s="81"/>
      <c r="BE315" s="81"/>
      <c r="BF315" s="81"/>
      <c r="BG315" s="81"/>
      <c r="BH315" s="81"/>
      <c r="BI315" s="81"/>
      <c r="BJ315" s="81"/>
      <c r="BK315" s="81"/>
      <c r="BL315" s="81"/>
      <c r="BM315" s="81"/>
      <c r="BN315" s="81"/>
      <c r="BO315" s="81"/>
      <c r="BP315" s="81"/>
      <c r="BQ315" s="81"/>
      <c r="BR315" s="81"/>
      <c r="BS315" s="81"/>
      <c r="BT315" s="81"/>
      <c r="BU315" s="81"/>
      <c r="BV315" s="81"/>
      <c r="BW315" s="81"/>
      <c r="BX315" s="81"/>
      <c r="BY315" s="81"/>
      <c r="BZ315" s="81"/>
      <c r="CA315" s="81"/>
      <c r="CB315" s="81"/>
    </row>
    <row r="316" spans="1:80" ht="11.25" customHeight="1" x14ac:dyDescent="0.2">
      <c r="A316" s="142"/>
      <c r="B316" s="1680"/>
      <c r="C316" s="1680"/>
      <c r="D316" s="1680"/>
      <c r="E316" s="1680"/>
      <c r="F316" s="1680"/>
      <c r="G316" s="1680"/>
      <c r="H316" s="1680"/>
      <c r="I316" s="1680"/>
      <c r="J316" s="12"/>
      <c r="K316" s="9"/>
      <c r="L316" s="9"/>
      <c r="M316" s="9"/>
      <c r="N316" s="9"/>
      <c r="O316" s="9"/>
      <c r="P316" s="9"/>
      <c r="Q316" s="9"/>
      <c r="R316" s="9"/>
      <c r="S316" s="9"/>
      <c r="T316" s="9"/>
      <c r="U316" s="9"/>
      <c r="V316" s="9"/>
      <c r="W316" s="137"/>
      <c r="X316" s="150"/>
      <c r="AJ316" s="81"/>
      <c r="AK316" s="157"/>
      <c r="AM316" s="81"/>
      <c r="AN316" s="81"/>
      <c r="AO316" s="81"/>
      <c r="AP316" s="81"/>
      <c r="AQ316" s="81"/>
      <c r="AR316" s="81"/>
      <c r="AS316" s="81"/>
      <c r="AU316" s="81"/>
      <c r="AV316" s="81"/>
      <c r="AW316" s="81"/>
      <c r="AX316" s="81"/>
      <c r="AY316" s="81"/>
      <c r="AZ316" s="81"/>
      <c r="BA316" s="81"/>
      <c r="BB316" s="81"/>
      <c r="BC316" s="81"/>
      <c r="BD316" s="81"/>
      <c r="BE316" s="81"/>
      <c r="BF316" s="81"/>
      <c r="BG316" s="81"/>
      <c r="BH316" s="81"/>
      <c r="BI316" s="81"/>
      <c r="BJ316" s="81"/>
      <c r="BK316" s="81"/>
      <c r="BL316" s="81"/>
      <c r="BM316" s="81"/>
      <c r="BN316" s="81"/>
      <c r="BO316" s="81"/>
      <c r="BP316" s="81"/>
      <c r="BQ316" s="81"/>
      <c r="BR316" s="81"/>
      <c r="BS316" s="81"/>
      <c r="BT316" s="81"/>
      <c r="BU316" s="81"/>
      <c r="BV316" s="81"/>
      <c r="BW316" s="81"/>
      <c r="BX316" s="81"/>
      <c r="BY316" s="81"/>
      <c r="BZ316" s="81"/>
      <c r="CA316" s="81"/>
      <c r="CB316" s="81"/>
    </row>
    <row r="317" spans="1:80" ht="11.25" customHeight="1" x14ac:dyDescent="0.2">
      <c r="A317" s="142"/>
      <c r="B317" s="1680" t="s">
        <v>21</v>
      </c>
      <c r="C317" s="1680"/>
      <c r="D317" s="1680"/>
      <c r="E317" s="1680"/>
      <c r="F317" s="1680"/>
      <c r="G317" s="1680"/>
      <c r="H317" s="1680"/>
      <c r="I317" s="1680"/>
      <c r="J317" s="12"/>
      <c r="K317" s="9"/>
      <c r="L317" s="9"/>
      <c r="M317" s="9"/>
      <c r="N317" s="9"/>
      <c r="O317" s="9"/>
      <c r="P317" s="9"/>
      <c r="Q317" s="9"/>
      <c r="R317" s="9"/>
      <c r="S317" s="9"/>
      <c r="T317" s="9"/>
      <c r="U317" s="9"/>
      <c r="V317" s="9"/>
      <c r="W317" s="137"/>
      <c r="X317" s="150"/>
      <c r="AJ317" s="81"/>
      <c r="AK317" s="157"/>
      <c r="AM317" s="81"/>
      <c r="AN317" s="81"/>
      <c r="AO317" s="81"/>
      <c r="AP317" s="81"/>
      <c r="AQ317" s="81"/>
      <c r="AR317" s="81"/>
      <c r="AS317" s="81"/>
      <c r="AU317" s="81"/>
      <c r="AV317" s="81"/>
      <c r="AW317" s="81"/>
      <c r="AX317" s="81"/>
      <c r="AY317" s="81"/>
      <c r="AZ317" s="81"/>
      <c r="BA317" s="81"/>
      <c r="BB317" s="81"/>
      <c r="BC317" s="81"/>
      <c r="BD317" s="81"/>
      <c r="BE317" s="81"/>
      <c r="BF317" s="81"/>
      <c r="BG317" s="81"/>
      <c r="BH317" s="81"/>
      <c r="BI317" s="81"/>
      <c r="BJ317" s="81"/>
      <c r="BK317" s="81"/>
      <c r="BL317" s="81"/>
      <c r="BM317" s="81"/>
      <c r="BN317" s="81"/>
      <c r="BO317" s="81"/>
      <c r="BP317" s="81"/>
      <c r="BQ317" s="81"/>
      <c r="BR317" s="81"/>
      <c r="BS317" s="81"/>
      <c r="BT317" s="81"/>
      <c r="BU317" s="81"/>
      <c r="BV317" s="81"/>
      <c r="BW317" s="81"/>
      <c r="BX317" s="81"/>
      <c r="BY317" s="81"/>
      <c r="BZ317" s="81"/>
      <c r="CA317" s="81"/>
      <c r="CB317" s="81"/>
    </row>
    <row r="318" spans="1:80" ht="11.25" customHeight="1" x14ac:dyDescent="0.2">
      <c r="A318" s="142"/>
      <c r="B318" s="1680"/>
      <c r="C318" s="1680"/>
      <c r="D318" s="1680"/>
      <c r="E318" s="1680"/>
      <c r="F318" s="1680"/>
      <c r="G318" s="1680"/>
      <c r="H318" s="1680"/>
      <c r="I318" s="1680"/>
      <c r="J318" s="12"/>
      <c r="K318" s="9"/>
      <c r="L318" s="9"/>
      <c r="M318" s="9"/>
      <c r="N318" s="9"/>
      <c r="O318" s="9"/>
      <c r="P318" s="9"/>
      <c r="Q318" s="9"/>
      <c r="R318" s="9"/>
      <c r="S318" s="9"/>
      <c r="T318" s="9"/>
      <c r="U318" s="9"/>
      <c r="V318" s="9"/>
      <c r="W318" s="137"/>
      <c r="X318" s="150"/>
      <c r="AJ318" s="81"/>
      <c r="AK318" s="157"/>
      <c r="AM318" s="81"/>
      <c r="AN318" s="81"/>
      <c r="AO318" s="81"/>
      <c r="AP318" s="81"/>
      <c r="AQ318" s="81"/>
      <c r="AR318" s="81"/>
      <c r="AS318" s="81"/>
      <c r="AU318" s="81"/>
      <c r="AV318" s="81"/>
      <c r="AW318" s="81"/>
      <c r="AX318" s="81"/>
      <c r="AY318" s="81"/>
      <c r="AZ318" s="81"/>
      <c r="BA318" s="81"/>
      <c r="BB318" s="81"/>
      <c r="BC318" s="81"/>
      <c r="BD318" s="81"/>
      <c r="BE318" s="81"/>
      <c r="BF318" s="81"/>
      <c r="BG318" s="81"/>
      <c r="BH318" s="81"/>
      <c r="BI318" s="81"/>
      <c r="BJ318" s="81"/>
      <c r="BK318" s="81"/>
      <c r="BL318" s="81"/>
      <c r="BM318" s="81"/>
      <c r="BN318" s="81"/>
      <c r="BO318" s="81"/>
      <c r="BP318" s="81"/>
      <c r="BQ318" s="81"/>
      <c r="BR318" s="81"/>
      <c r="BS318" s="81"/>
      <c r="BT318" s="81"/>
      <c r="BU318" s="81"/>
      <c r="BV318" s="81"/>
      <c r="BW318" s="81"/>
      <c r="BX318" s="81"/>
      <c r="BY318" s="81"/>
      <c r="BZ318" s="81"/>
      <c r="CA318" s="81"/>
      <c r="CB318" s="81"/>
    </row>
    <row r="319" spans="1:80" ht="11.25" customHeight="1" x14ac:dyDescent="0.2">
      <c r="A319" s="142"/>
      <c r="B319" s="1680" t="s">
        <v>905</v>
      </c>
      <c r="C319" s="1680"/>
      <c r="D319" s="1680"/>
      <c r="E319" s="1680"/>
      <c r="F319" s="1680"/>
      <c r="G319" s="1680"/>
      <c r="H319" s="1680"/>
      <c r="I319" s="1680"/>
      <c r="J319" s="12"/>
      <c r="K319" s="9"/>
      <c r="L319" s="9"/>
      <c r="M319" s="9"/>
      <c r="N319" s="9"/>
      <c r="O319" s="9"/>
      <c r="P319" s="9"/>
      <c r="Q319" s="9"/>
      <c r="R319" s="9"/>
      <c r="S319" s="9"/>
      <c r="T319" s="9"/>
      <c r="U319" s="9"/>
      <c r="V319" s="9"/>
      <c r="W319" s="137"/>
      <c r="X319" s="150"/>
      <c r="AJ319" s="81"/>
      <c r="AK319" s="157"/>
      <c r="AM319" s="81"/>
      <c r="AN319" s="81"/>
      <c r="AO319" s="81"/>
      <c r="AP319" s="81"/>
      <c r="AQ319" s="81"/>
      <c r="AR319" s="81"/>
      <c r="AS319" s="81"/>
      <c r="AU319" s="81"/>
      <c r="AV319" s="81"/>
      <c r="AW319" s="81"/>
      <c r="AX319" s="81"/>
      <c r="AY319" s="81"/>
      <c r="AZ319" s="81"/>
      <c r="BA319" s="81"/>
      <c r="BB319" s="81"/>
      <c r="BC319" s="81"/>
      <c r="BD319" s="81"/>
      <c r="BE319" s="81"/>
      <c r="BF319" s="81"/>
      <c r="BG319" s="81"/>
      <c r="BH319" s="81"/>
      <c r="BI319" s="81"/>
      <c r="BJ319" s="81"/>
      <c r="BK319" s="81"/>
      <c r="BL319" s="81"/>
      <c r="BM319" s="81"/>
      <c r="BN319" s="81"/>
      <c r="BO319" s="81"/>
      <c r="BP319" s="81"/>
      <c r="BQ319" s="81"/>
      <c r="BR319" s="81"/>
      <c r="BS319" s="81"/>
      <c r="BT319" s="81"/>
      <c r="BU319" s="81"/>
      <c r="BV319" s="81"/>
      <c r="BW319" s="81"/>
      <c r="BX319" s="81"/>
      <c r="BY319" s="81"/>
      <c r="BZ319" s="81"/>
      <c r="CA319" s="81"/>
      <c r="CB319" s="81"/>
    </row>
    <row r="320" spans="1:80" ht="11.25" customHeight="1" x14ac:dyDescent="0.2">
      <c r="A320" s="142"/>
      <c r="B320" s="1680"/>
      <c r="C320" s="1680"/>
      <c r="D320" s="1680"/>
      <c r="E320" s="1680"/>
      <c r="F320" s="1680"/>
      <c r="G320" s="1680"/>
      <c r="H320" s="1680"/>
      <c r="I320" s="1680"/>
      <c r="J320" s="12"/>
      <c r="K320" s="9"/>
      <c r="L320" s="9"/>
      <c r="M320" s="9"/>
      <c r="N320" s="9"/>
      <c r="O320" s="9"/>
      <c r="P320" s="9"/>
      <c r="Q320" s="9"/>
      <c r="R320" s="9"/>
      <c r="S320" s="9"/>
      <c r="T320" s="9"/>
      <c r="U320" s="9"/>
      <c r="V320" s="9"/>
      <c r="W320" s="137"/>
      <c r="X320" s="150"/>
      <c r="AJ320" s="81"/>
      <c r="AK320" s="157"/>
      <c r="AM320" s="81"/>
      <c r="AN320" s="81"/>
      <c r="AO320" s="81"/>
      <c r="AP320" s="81"/>
      <c r="AQ320" s="81"/>
      <c r="AR320" s="81"/>
      <c r="AS320" s="81"/>
      <c r="AU320" s="81"/>
      <c r="AV320" s="81"/>
      <c r="AW320" s="81"/>
      <c r="AX320" s="81"/>
      <c r="AY320" s="81"/>
      <c r="AZ320" s="81"/>
      <c r="BA320" s="81"/>
      <c r="BB320" s="81"/>
      <c r="BC320" s="81"/>
      <c r="BD320" s="81"/>
      <c r="BE320" s="81"/>
      <c r="BF320" s="81"/>
      <c r="BG320" s="81"/>
      <c r="BH320" s="81"/>
      <c r="BI320" s="81"/>
      <c r="BJ320" s="81"/>
      <c r="BK320" s="81"/>
      <c r="BL320" s="81"/>
      <c r="BM320" s="81"/>
      <c r="BN320" s="81"/>
      <c r="BO320" s="81"/>
      <c r="BP320" s="81"/>
      <c r="BQ320" s="81"/>
      <c r="BR320" s="81"/>
      <c r="BS320" s="81"/>
      <c r="BT320" s="81"/>
      <c r="BU320" s="81"/>
      <c r="BV320" s="81"/>
      <c r="BW320" s="81"/>
      <c r="BX320" s="81"/>
      <c r="BY320" s="81"/>
      <c r="BZ320" s="81"/>
      <c r="CA320" s="81"/>
      <c r="CB320" s="81"/>
    </row>
    <row r="321" spans="1:80" ht="11.25" customHeight="1" x14ac:dyDescent="0.2">
      <c r="A321" s="142"/>
      <c r="B321" s="1680" t="s">
        <v>32</v>
      </c>
      <c r="C321" s="1680"/>
      <c r="D321" s="1680"/>
      <c r="E321" s="1680"/>
      <c r="F321" s="1680"/>
      <c r="G321" s="1680"/>
      <c r="H321" s="1680"/>
      <c r="I321" s="1680"/>
      <c r="J321" s="12"/>
      <c r="K321" s="9"/>
      <c r="L321" s="9"/>
      <c r="M321" s="9"/>
      <c r="N321" s="9"/>
      <c r="O321" s="9"/>
      <c r="P321" s="9"/>
      <c r="Q321" s="9"/>
      <c r="R321" s="9"/>
      <c r="S321" s="9"/>
      <c r="T321" s="9"/>
      <c r="U321" s="9"/>
      <c r="V321" s="9"/>
      <c r="W321" s="137"/>
      <c r="X321" s="150"/>
      <c r="AJ321" s="81"/>
      <c r="AK321" s="157"/>
      <c r="AM321" s="81"/>
      <c r="AN321" s="81"/>
      <c r="AO321" s="81"/>
      <c r="AP321" s="81"/>
      <c r="AQ321" s="81"/>
      <c r="AR321" s="81"/>
      <c r="AS321" s="81"/>
      <c r="AU321" s="81"/>
      <c r="AV321" s="81"/>
      <c r="AW321" s="81"/>
      <c r="AX321" s="81"/>
      <c r="AY321" s="81"/>
      <c r="AZ321" s="81"/>
      <c r="BA321" s="81"/>
      <c r="BB321" s="81"/>
      <c r="BC321" s="81"/>
      <c r="BD321" s="81"/>
      <c r="BE321" s="81"/>
      <c r="BF321" s="81"/>
      <c r="BG321" s="81"/>
      <c r="BH321" s="81"/>
      <c r="BI321" s="81"/>
      <c r="BJ321" s="81"/>
      <c r="BK321" s="81"/>
      <c r="BL321" s="81"/>
      <c r="BM321" s="81"/>
      <c r="BN321" s="81"/>
      <c r="BO321" s="81"/>
      <c r="BP321" s="81"/>
      <c r="BQ321" s="81"/>
      <c r="BR321" s="81"/>
      <c r="BS321" s="81"/>
      <c r="BT321" s="81"/>
      <c r="BU321" s="81"/>
      <c r="BV321" s="81"/>
      <c r="BW321" s="81"/>
      <c r="BX321" s="81"/>
      <c r="BY321" s="81"/>
      <c r="BZ321" s="81"/>
      <c r="CA321" s="81"/>
      <c r="CB321" s="81"/>
    </row>
    <row r="322" spans="1:80" ht="11.25" customHeight="1" x14ac:dyDescent="0.2">
      <c r="A322" s="142"/>
      <c r="B322" s="1680"/>
      <c r="C322" s="1680"/>
      <c r="D322" s="1680"/>
      <c r="E322" s="1680"/>
      <c r="F322" s="1680"/>
      <c r="G322" s="1680"/>
      <c r="H322" s="1680"/>
      <c r="I322" s="1680"/>
      <c r="J322" s="12"/>
      <c r="K322" s="9"/>
      <c r="L322" s="9"/>
      <c r="M322" s="9"/>
      <c r="N322" s="9"/>
      <c r="O322" s="9"/>
      <c r="P322" s="9"/>
      <c r="Q322" s="9"/>
      <c r="R322" s="9"/>
      <c r="S322" s="9"/>
      <c r="T322" s="9"/>
      <c r="U322" s="9"/>
      <c r="V322" s="9"/>
      <c r="W322" s="137"/>
      <c r="X322" s="150"/>
      <c r="AJ322" s="81"/>
      <c r="AK322" s="157"/>
      <c r="AM322" s="81"/>
      <c r="AN322" s="81"/>
      <c r="AO322" s="81"/>
      <c r="AP322" s="81"/>
      <c r="AQ322" s="81"/>
      <c r="AR322" s="81"/>
      <c r="AS322" s="81"/>
      <c r="AU322" s="81"/>
      <c r="AV322" s="81"/>
      <c r="AW322" s="81"/>
      <c r="AX322" s="81"/>
      <c r="AY322" s="81"/>
      <c r="AZ322" s="81"/>
      <c r="BA322" s="81"/>
      <c r="BB322" s="81"/>
      <c r="BC322" s="81"/>
      <c r="BD322" s="81"/>
      <c r="BE322" s="81"/>
      <c r="BF322" s="81"/>
      <c r="BG322" s="81"/>
      <c r="BH322" s="81"/>
      <c r="BI322" s="81"/>
      <c r="BJ322" s="81"/>
      <c r="BK322" s="81"/>
      <c r="BL322" s="81"/>
      <c r="BM322" s="81"/>
      <c r="BN322" s="81"/>
      <c r="BO322" s="81"/>
      <c r="BP322" s="81"/>
      <c r="BQ322" s="81"/>
      <c r="BR322" s="81"/>
      <c r="BS322" s="81"/>
      <c r="BT322" s="81"/>
      <c r="BU322" s="81"/>
      <c r="BV322" s="81"/>
      <c r="BW322" s="81"/>
      <c r="BX322" s="81"/>
      <c r="BY322" s="81"/>
      <c r="BZ322" s="81"/>
      <c r="CA322" s="81"/>
      <c r="CB322" s="81"/>
    </row>
    <row r="323" spans="1:80" ht="11.25" customHeight="1" x14ac:dyDescent="0.2">
      <c r="A323" s="142"/>
      <c r="B323" s="1680" t="s">
        <v>666</v>
      </c>
      <c r="C323" s="1680"/>
      <c r="D323" s="1680"/>
      <c r="E323" s="1680"/>
      <c r="F323" s="1680"/>
      <c r="G323" s="1680"/>
      <c r="H323" s="1680"/>
      <c r="I323" s="1680"/>
      <c r="J323" s="12"/>
      <c r="K323" s="9"/>
      <c r="L323" s="9"/>
      <c r="M323" s="9"/>
      <c r="N323" s="9"/>
      <c r="O323" s="9"/>
      <c r="P323" s="9"/>
      <c r="Q323" s="9"/>
      <c r="R323" s="9"/>
      <c r="S323" s="9"/>
      <c r="T323" s="9"/>
      <c r="U323" s="9"/>
      <c r="V323" s="9"/>
      <c r="W323" s="137"/>
      <c r="X323" s="150"/>
      <c r="AJ323" s="81"/>
      <c r="AK323" s="157"/>
      <c r="AM323" s="81"/>
      <c r="AN323" s="81"/>
      <c r="AO323" s="81"/>
      <c r="AP323" s="81"/>
      <c r="AQ323" s="81"/>
      <c r="AR323" s="81"/>
      <c r="AS323" s="81"/>
      <c r="AU323" s="81"/>
      <c r="AV323" s="81"/>
      <c r="AW323" s="81"/>
      <c r="AX323" s="81"/>
      <c r="AY323" s="81"/>
      <c r="AZ323" s="81"/>
      <c r="BA323" s="81"/>
      <c r="BB323" s="81"/>
      <c r="BC323" s="81"/>
      <c r="BD323" s="81"/>
      <c r="BE323" s="81"/>
      <c r="BF323" s="81"/>
      <c r="BG323" s="81"/>
      <c r="BH323" s="81"/>
      <c r="BI323" s="81"/>
      <c r="BJ323" s="81"/>
      <c r="BK323" s="81"/>
      <c r="BL323" s="81"/>
      <c r="BM323" s="81"/>
      <c r="BN323" s="81"/>
      <c r="BO323" s="81"/>
      <c r="BP323" s="81"/>
      <c r="BQ323" s="81"/>
      <c r="BR323" s="81"/>
      <c r="BS323" s="81"/>
      <c r="BT323" s="81"/>
      <c r="BU323" s="81"/>
      <c r="BV323" s="81"/>
      <c r="BW323" s="81"/>
      <c r="BX323" s="81"/>
      <c r="BY323" s="81"/>
      <c r="BZ323" s="81"/>
      <c r="CA323" s="81"/>
      <c r="CB323" s="81"/>
    </row>
    <row r="324" spans="1:80" ht="11.25" customHeight="1" x14ac:dyDescent="0.2">
      <c r="A324" s="142"/>
      <c r="B324" s="1680"/>
      <c r="C324" s="1680"/>
      <c r="D324" s="1680"/>
      <c r="E324" s="1680"/>
      <c r="F324" s="1680"/>
      <c r="G324" s="1680"/>
      <c r="H324" s="1680"/>
      <c r="I324" s="1680"/>
      <c r="J324" s="12"/>
      <c r="K324" s="9"/>
      <c r="L324" s="9"/>
      <c r="M324" s="9"/>
      <c r="N324" s="9"/>
      <c r="O324" s="9"/>
      <c r="P324" s="9"/>
      <c r="Q324" s="9"/>
      <c r="R324" s="9"/>
      <c r="S324" s="9"/>
      <c r="T324" s="9"/>
      <c r="U324" s="9"/>
      <c r="V324" s="9"/>
      <c r="W324" s="137"/>
      <c r="X324" s="150"/>
      <c r="AJ324" s="81"/>
      <c r="AK324" s="157"/>
      <c r="AM324" s="81"/>
      <c r="AN324" s="81"/>
      <c r="AO324" s="81"/>
      <c r="AP324" s="81"/>
      <c r="AQ324" s="81"/>
      <c r="AR324" s="81"/>
      <c r="AS324" s="81"/>
      <c r="AU324" s="81"/>
      <c r="AV324" s="81"/>
      <c r="AW324" s="81"/>
      <c r="AX324" s="81"/>
      <c r="AY324" s="81"/>
      <c r="AZ324" s="81"/>
      <c r="BA324" s="81"/>
      <c r="BB324" s="81"/>
      <c r="BC324" s="81"/>
      <c r="BD324" s="81"/>
      <c r="BE324" s="81"/>
      <c r="BF324" s="81"/>
      <c r="BG324" s="81"/>
      <c r="BH324" s="81"/>
      <c r="BI324" s="81"/>
      <c r="BJ324" s="81"/>
      <c r="BK324" s="81"/>
      <c r="BL324" s="81"/>
      <c r="BM324" s="81"/>
      <c r="BN324" s="81"/>
      <c r="BO324" s="81"/>
      <c r="BP324" s="81"/>
      <c r="BQ324" s="81"/>
      <c r="BR324" s="81"/>
      <c r="BS324" s="81"/>
      <c r="BT324" s="81"/>
      <c r="BU324" s="81"/>
      <c r="BV324" s="81"/>
      <c r="BW324" s="81"/>
      <c r="BX324" s="81"/>
      <c r="BY324" s="81"/>
      <c r="BZ324" s="81"/>
      <c r="CA324" s="81"/>
      <c r="CB324" s="81"/>
    </row>
    <row r="325" spans="1:80" ht="11.25" customHeight="1" x14ac:dyDescent="0.2">
      <c r="A325" s="142"/>
      <c r="B325" s="1680" t="s">
        <v>906</v>
      </c>
      <c r="C325" s="1680"/>
      <c r="D325" s="1680"/>
      <c r="E325" s="1680"/>
      <c r="F325" s="1680"/>
      <c r="G325" s="1680"/>
      <c r="H325" s="1680"/>
      <c r="I325" s="1680"/>
      <c r="J325" s="12"/>
      <c r="K325" s="9"/>
      <c r="L325" s="9"/>
      <c r="M325" s="9"/>
      <c r="N325" s="9"/>
      <c r="O325" s="9"/>
      <c r="P325" s="9"/>
      <c r="Q325" s="9"/>
      <c r="R325" s="9"/>
      <c r="S325" s="9"/>
      <c r="T325" s="9"/>
      <c r="U325" s="9"/>
      <c r="V325" s="9"/>
      <c r="W325" s="137"/>
      <c r="X325" s="150"/>
      <c r="AJ325" s="81"/>
      <c r="AK325" s="157"/>
      <c r="AM325" s="81"/>
      <c r="AN325" s="81"/>
      <c r="AO325" s="81"/>
      <c r="AP325" s="81"/>
      <c r="AQ325" s="81"/>
      <c r="AR325" s="81"/>
      <c r="AS325" s="81"/>
      <c r="AU325" s="81"/>
      <c r="AV325" s="81"/>
      <c r="AW325" s="81"/>
      <c r="AX325" s="81"/>
      <c r="AY325" s="81"/>
      <c r="AZ325" s="81"/>
      <c r="BA325" s="81"/>
      <c r="BB325" s="81"/>
      <c r="BC325" s="81"/>
      <c r="BD325" s="81"/>
      <c r="BE325" s="81"/>
      <c r="BF325" s="81"/>
      <c r="BG325" s="81"/>
      <c r="BH325" s="81"/>
      <c r="BI325" s="81"/>
      <c r="BJ325" s="81"/>
      <c r="BK325" s="81"/>
      <c r="BL325" s="81"/>
      <c r="BM325" s="81"/>
      <c r="BN325" s="81"/>
      <c r="BO325" s="81"/>
      <c r="BP325" s="81"/>
      <c r="BQ325" s="81"/>
      <c r="BR325" s="81"/>
      <c r="BS325" s="81"/>
      <c r="BT325" s="81"/>
      <c r="BU325" s="81"/>
      <c r="BV325" s="81"/>
      <c r="BW325" s="81"/>
      <c r="BX325" s="81"/>
      <c r="BY325" s="81"/>
      <c r="BZ325" s="81"/>
      <c r="CA325" s="81"/>
      <c r="CB325" s="81"/>
    </row>
    <row r="326" spans="1:80" ht="11.25" customHeight="1" x14ac:dyDescent="0.2">
      <c r="A326" s="142"/>
      <c r="B326" s="1680"/>
      <c r="C326" s="1680"/>
      <c r="D326" s="1680"/>
      <c r="E326" s="1680"/>
      <c r="F326" s="1680"/>
      <c r="G326" s="1680"/>
      <c r="H326" s="1680"/>
      <c r="I326" s="1680"/>
      <c r="J326" s="12"/>
      <c r="K326" s="9"/>
      <c r="L326" s="9"/>
      <c r="M326" s="9"/>
      <c r="N326" s="9"/>
      <c r="O326" s="9"/>
      <c r="P326" s="9"/>
      <c r="Q326" s="9"/>
      <c r="R326" s="9"/>
      <c r="S326" s="9"/>
      <c r="T326" s="9"/>
      <c r="U326" s="9"/>
      <c r="V326" s="9"/>
      <c r="W326" s="137"/>
      <c r="X326" s="150"/>
      <c r="AJ326" s="81"/>
      <c r="AK326" s="157"/>
      <c r="AM326" s="81"/>
      <c r="AN326" s="81"/>
      <c r="AO326" s="81"/>
      <c r="AP326" s="81"/>
      <c r="AQ326" s="81"/>
      <c r="AR326" s="81"/>
      <c r="AS326" s="81"/>
      <c r="AU326" s="81"/>
      <c r="AV326" s="81"/>
      <c r="AW326" s="81"/>
      <c r="AX326" s="81"/>
      <c r="AY326" s="81"/>
      <c r="AZ326" s="81"/>
      <c r="BA326" s="81"/>
      <c r="BB326" s="81"/>
      <c r="BC326" s="81"/>
      <c r="BD326" s="81"/>
      <c r="BE326" s="81"/>
      <c r="BF326" s="81"/>
      <c r="BG326" s="81"/>
      <c r="BH326" s="81"/>
      <c r="BI326" s="81"/>
      <c r="BJ326" s="81"/>
      <c r="BK326" s="81"/>
      <c r="BL326" s="81"/>
      <c r="BM326" s="81"/>
      <c r="BN326" s="81"/>
      <c r="BO326" s="81"/>
      <c r="BP326" s="81"/>
      <c r="BQ326" s="81"/>
      <c r="BR326" s="81"/>
      <c r="BS326" s="81"/>
      <c r="BT326" s="81"/>
      <c r="BU326" s="81"/>
      <c r="BV326" s="81"/>
      <c r="BW326" s="81"/>
      <c r="BX326" s="81"/>
      <c r="BY326" s="81"/>
      <c r="BZ326" s="81"/>
      <c r="CA326" s="81"/>
      <c r="CB326" s="81"/>
    </row>
    <row r="327" spans="1:80" ht="11.25" customHeight="1" x14ac:dyDescent="0.2">
      <c r="A327" s="142"/>
      <c r="B327" s="1680" t="s">
        <v>672</v>
      </c>
      <c r="C327" s="1680"/>
      <c r="D327" s="1680"/>
      <c r="E327" s="1680"/>
      <c r="F327" s="1680"/>
      <c r="G327" s="1680"/>
      <c r="H327" s="1680"/>
      <c r="I327" s="1680"/>
      <c r="J327" s="12"/>
      <c r="K327" s="9"/>
      <c r="L327" s="9"/>
      <c r="M327" s="9"/>
      <c r="N327" s="9"/>
      <c r="O327" s="9"/>
      <c r="P327" s="9"/>
      <c r="Q327" s="9"/>
      <c r="R327" s="9"/>
      <c r="S327" s="9"/>
      <c r="T327" s="9"/>
      <c r="U327" s="9"/>
      <c r="V327" s="9"/>
      <c r="W327" s="137"/>
      <c r="X327" s="150"/>
      <c r="AJ327" s="81"/>
      <c r="AK327" s="157"/>
      <c r="AM327" s="81"/>
      <c r="AN327" s="81"/>
      <c r="AO327" s="81"/>
      <c r="AP327" s="81"/>
      <c r="AQ327" s="81"/>
      <c r="AR327" s="81"/>
      <c r="AS327" s="81"/>
      <c r="AU327" s="81"/>
      <c r="AV327" s="81"/>
      <c r="AW327" s="81"/>
      <c r="AX327" s="81"/>
      <c r="AY327" s="81"/>
      <c r="AZ327" s="81"/>
      <c r="BA327" s="81"/>
      <c r="BB327" s="81"/>
      <c r="BC327" s="81"/>
      <c r="BD327" s="81"/>
      <c r="BE327" s="81"/>
      <c r="BF327" s="81"/>
      <c r="BG327" s="81"/>
      <c r="BH327" s="81"/>
      <c r="BI327" s="81"/>
      <c r="BJ327" s="81"/>
      <c r="BK327" s="81"/>
      <c r="BL327" s="81"/>
      <c r="BM327" s="81"/>
      <c r="BN327" s="81"/>
      <c r="BO327" s="81"/>
      <c r="BP327" s="81"/>
      <c r="BQ327" s="81"/>
      <c r="BR327" s="81"/>
      <c r="BS327" s="81"/>
      <c r="BT327" s="81"/>
      <c r="BU327" s="81"/>
      <c r="BV327" s="81"/>
      <c r="BW327" s="81"/>
      <c r="BX327" s="81"/>
      <c r="BY327" s="81"/>
      <c r="BZ327" s="81"/>
      <c r="CA327" s="81"/>
      <c r="CB327" s="81"/>
    </row>
    <row r="328" spans="1:80" s="80" customFormat="1" ht="11.25" customHeight="1" x14ac:dyDescent="0.2">
      <c r="A328" s="142"/>
      <c r="B328" s="1680"/>
      <c r="C328" s="1680"/>
      <c r="D328" s="1680"/>
      <c r="E328" s="1680"/>
      <c r="F328" s="1680"/>
      <c r="G328" s="1680"/>
      <c r="H328" s="1680"/>
      <c r="I328" s="1680"/>
      <c r="J328" s="12"/>
      <c r="K328" s="9"/>
      <c r="L328" s="9"/>
      <c r="M328" s="9"/>
      <c r="N328" s="9"/>
      <c r="O328" s="9"/>
      <c r="P328" s="9"/>
      <c r="Q328" s="9"/>
      <c r="R328" s="9"/>
      <c r="S328" s="9"/>
      <c r="T328" s="9"/>
      <c r="U328" s="9"/>
      <c r="V328" s="9"/>
      <c r="W328" s="137"/>
      <c r="X328" s="150"/>
      <c r="Y328" s="81"/>
      <c r="Z328" s="81"/>
      <c r="AA328" s="81"/>
      <c r="AB328" s="81"/>
      <c r="AC328" s="81"/>
      <c r="AD328" s="81"/>
      <c r="AE328" s="81"/>
      <c r="AF328" s="81"/>
      <c r="AG328" s="81"/>
      <c r="AH328" s="81"/>
      <c r="AI328" s="81"/>
      <c r="AJ328" s="81"/>
      <c r="AK328" s="157"/>
      <c r="AL328" s="74"/>
      <c r="AM328" s="81"/>
      <c r="AN328" s="81"/>
      <c r="AO328" s="81"/>
      <c r="AP328" s="81"/>
      <c r="AQ328" s="81"/>
      <c r="AR328" s="81"/>
      <c r="AS328" s="81"/>
      <c r="AT328" s="74"/>
      <c r="AU328" s="81"/>
      <c r="AV328" s="81"/>
      <c r="AW328" s="81"/>
      <c r="AX328" s="81"/>
      <c r="AY328" s="81"/>
      <c r="AZ328" s="81"/>
      <c r="BA328" s="81"/>
      <c r="BB328" s="81"/>
      <c r="BC328" s="81"/>
      <c r="BD328" s="81"/>
      <c r="BE328" s="81"/>
      <c r="BF328" s="81"/>
      <c r="BG328" s="81"/>
      <c r="BH328" s="81"/>
      <c r="BI328" s="81"/>
      <c r="BJ328" s="81"/>
      <c r="BK328" s="81"/>
      <c r="BL328" s="81"/>
      <c r="BM328" s="81"/>
      <c r="BN328" s="81"/>
      <c r="BO328" s="81"/>
      <c r="BP328" s="81"/>
      <c r="BQ328" s="81"/>
      <c r="BR328" s="81"/>
      <c r="BS328" s="81"/>
      <c r="BT328" s="81"/>
      <c r="BU328" s="81"/>
      <c r="BV328" s="81"/>
      <c r="BW328" s="81"/>
      <c r="BX328" s="81"/>
      <c r="BY328" s="81"/>
      <c r="BZ328" s="81"/>
      <c r="CA328" s="81"/>
      <c r="CB328" s="81"/>
    </row>
    <row r="329" spans="1:80" ht="11.25" customHeight="1" x14ac:dyDescent="0.2">
      <c r="A329" s="1273"/>
      <c r="B329" s="1274"/>
      <c r="C329" s="1275"/>
      <c r="D329" s="1275"/>
      <c r="E329" s="1275"/>
      <c r="F329" s="1275"/>
      <c r="G329" s="1275"/>
      <c r="H329" s="1275"/>
      <c r="I329" s="1275"/>
      <c r="J329" s="1276"/>
      <c r="K329" s="201"/>
      <c r="L329" s="201"/>
      <c r="M329" s="201"/>
      <c r="N329" s="201"/>
      <c r="O329" s="201"/>
      <c r="P329" s="201"/>
      <c r="Q329" s="201"/>
      <c r="R329" s="201"/>
      <c r="S329" s="201"/>
      <c r="T329" s="201"/>
      <c r="U329" s="201"/>
      <c r="V329" s="201"/>
      <c r="W329" s="1277"/>
      <c r="X329" s="1271"/>
      <c r="Y329" s="200"/>
      <c r="Z329" s="200"/>
      <c r="AA329" s="200"/>
      <c r="AB329" s="200"/>
      <c r="AC329" s="200"/>
      <c r="AD329" s="200"/>
      <c r="AE329" s="200"/>
      <c r="AF329" s="200"/>
      <c r="AG329" s="200"/>
      <c r="AH329" s="200"/>
      <c r="AI329" s="200"/>
      <c r="AJ329" s="200"/>
      <c r="AK329" s="2015"/>
      <c r="AM329" s="81"/>
      <c r="AN329" s="81"/>
      <c r="AO329" s="81"/>
      <c r="AP329" s="81"/>
      <c r="AQ329" s="81"/>
      <c r="AR329" s="81"/>
      <c r="AS329" s="81"/>
      <c r="AU329" s="81"/>
      <c r="AV329" s="81"/>
      <c r="AW329" s="81"/>
      <c r="AX329" s="81"/>
      <c r="AY329" s="81"/>
      <c r="AZ329" s="81"/>
      <c r="BA329" s="81"/>
      <c r="BB329" s="81"/>
      <c r="BC329" s="81"/>
      <c r="BD329" s="81"/>
      <c r="BE329" s="81"/>
      <c r="BF329" s="81"/>
      <c r="BG329" s="81"/>
      <c r="BH329" s="81"/>
      <c r="BI329" s="81"/>
      <c r="BJ329" s="81"/>
      <c r="BK329" s="81"/>
      <c r="BL329" s="81"/>
      <c r="BM329" s="81"/>
      <c r="BN329" s="81"/>
      <c r="BO329" s="81"/>
      <c r="BP329" s="81"/>
      <c r="BQ329" s="81"/>
      <c r="BR329" s="81"/>
      <c r="BS329" s="81"/>
      <c r="BT329" s="81"/>
      <c r="BU329" s="81"/>
      <c r="BV329" s="81"/>
      <c r="BW329" s="81"/>
      <c r="BX329" s="81"/>
      <c r="BY329" s="81"/>
      <c r="BZ329" s="81"/>
      <c r="CA329" s="81"/>
      <c r="CB329" s="81"/>
    </row>
    <row r="330" spans="1:80" ht="11.25" customHeight="1" x14ac:dyDescent="0.2">
      <c r="AJ330" s="81"/>
      <c r="AK330" s="81"/>
      <c r="AL330" s="81"/>
      <c r="AM330" s="81"/>
      <c r="AN330" s="81"/>
      <c r="AO330" s="81"/>
      <c r="AR330" s="184"/>
    </row>
    <row r="331" spans="1:80" ht="11.25" customHeight="1" x14ac:dyDescent="0.2">
      <c r="AJ331" s="81"/>
      <c r="AK331" s="81"/>
      <c r="AL331" s="81"/>
      <c r="AM331" s="81"/>
      <c r="AN331" s="81"/>
      <c r="AO331" s="81"/>
      <c r="AR331" s="184"/>
    </row>
    <row r="332" spans="1:80" ht="11.25" customHeight="1" x14ac:dyDescent="0.2">
      <c r="AJ332" s="81"/>
      <c r="AK332" s="81"/>
      <c r="AL332" s="81"/>
      <c r="AM332" s="81"/>
      <c r="AN332" s="81"/>
      <c r="AO332" s="81"/>
      <c r="AR332" s="184"/>
    </row>
    <row r="333" spans="1:80" ht="11.25" customHeight="1" x14ac:dyDescent="0.2">
      <c r="AJ333" s="81"/>
      <c r="AK333" s="81"/>
      <c r="AL333" s="81"/>
      <c r="AM333" s="81"/>
      <c r="AN333" s="81"/>
      <c r="AO333" s="81"/>
      <c r="AR333" s="184"/>
    </row>
    <row r="334" spans="1:80" ht="11.25" customHeight="1" x14ac:dyDescent="0.2">
      <c r="AJ334" s="81"/>
      <c r="AK334" s="81"/>
      <c r="AL334" s="81"/>
      <c r="AM334" s="81"/>
      <c r="AN334" s="81"/>
      <c r="AO334" s="81"/>
      <c r="AR334" s="184"/>
    </row>
    <row r="335" spans="1:80" ht="11.25" customHeight="1" x14ac:dyDescent="0.2">
      <c r="AJ335" s="81"/>
      <c r="AK335" s="81"/>
      <c r="AL335" s="81"/>
      <c r="AM335" s="81"/>
      <c r="AN335" s="81"/>
      <c r="AO335" s="81"/>
      <c r="AR335" s="184"/>
    </row>
    <row r="336" spans="1:80" ht="11.25" customHeight="1" x14ac:dyDescent="0.2">
      <c r="AJ336" s="81"/>
      <c r="AK336" s="81"/>
      <c r="AL336" s="81"/>
      <c r="AM336" s="81"/>
      <c r="AN336" s="81"/>
      <c r="AO336" s="81"/>
      <c r="AR336" s="184"/>
    </row>
    <row r="337" spans="36:44" ht="11.25" customHeight="1" x14ac:dyDescent="0.2">
      <c r="AJ337" s="81"/>
      <c r="AK337" s="81"/>
      <c r="AL337" s="81"/>
      <c r="AM337" s="81"/>
      <c r="AN337" s="81"/>
      <c r="AO337" s="81"/>
      <c r="AR337" s="184"/>
    </row>
    <row r="338" spans="36:44" ht="11.25" customHeight="1" x14ac:dyDescent="0.2">
      <c r="AJ338" s="81"/>
      <c r="AK338" s="81"/>
      <c r="AL338" s="81"/>
      <c r="AM338" s="81"/>
      <c r="AN338" s="81"/>
      <c r="AO338" s="81"/>
      <c r="AR338" s="184"/>
    </row>
    <row r="339" spans="36:44" ht="11.25" customHeight="1" x14ac:dyDescent="0.2">
      <c r="AJ339" s="81"/>
      <c r="AK339" s="81"/>
      <c r="AL339" s="81"/>
      <c r="AM339" s="81"/>
      <c r="AN339" s="81"/>
      <c r="AO339" s="81"/>
      <c r="AR339" s="184"/>
    </row>
    <row r="340" spans="36:44" ht="11.25" customHeight="1" x14ac:dyDescent="0.2">
      <c r="AJ340" s="81"/>
      <c r="AK340" s="81"/>
      <c r="AL340" s="81"/>
      <c r="AM340" s="81"/>
      <c r="AN340" s="81"/>
      <c r="AO340" s="81"/>
      <c r="AR340" s="184"/>
    </row>
    <row r="341" spans="36:44" ht="11.25" customHeight="1" x14ac:dyDescent="0.2">
      <c r="AJ341" s="81"/>
      <c r="AK341" s="81"/>
      <c r="AL341" s="81"/>
      <c r="AM341" s="81"/>
      <c r="AN341" s="81"/>
      <c r="AO341" s="81"/>
      <c r="AR341" s="184"/>
    </row>
    <row r="342" spans="36:44" ht="11.25" customHeight="1" x14ac:dyDescent="0.2">
      <c r="AJ342" s="81"/>
      <c r="AK342" s="81"/>
      <c r="AL342" s="81"/>
      <c r="AM342" s="81"/>
      <c r="AN342" s="81"/>
      <c r="AO342" s="81"/>
      <c r="AR342" s="184"/>
    </row>
    <row r="343" spans="36:44" ht="11.25" customHeight="1" x14ac:dyDescent="0.2">
      <c r="AJ343" s="81"/>
      <c r="AK343" s="81"/>
      <c r="AL343" s="81"/>
      <c r="AM343" s="81"/>
      <c r="AN343" s="81"/>
      <c r="AO343" s="81"/>
      <c r="AR343" s="184"/>
    </row>
    <row r="344" spans="36:44" ht="11.25" customHeight="1" x14ac:dyDescent="0.2">
      <c r="AJ344" s="81"/>
      <c r="AK344" s="81"/>
      <c r="AL344" s="81"/>
      <c r="AM344" s="81"/>
      <c r="AN344" s="81"/>
      <c r="AO344" s="81"/>
      <c r="AR344" s="184"/>
    </row>
    <row r="345" spans="36:44" ht="11.25" customHeight="1" x14ac:dyDescent="0.2">
      <c r="AJ345" s="81"/>
      <c r="AK345" s="81"/>
      <c r="AL345" s="81"/>
      <c r="AM345" s="81"/>
      <c r="AN345" s="81"/>
      <c r="AO345" s="81"/>
      <c r="AR345" s="184"/>
    </row>
    <row r="346" spans="36:44" ht="11.25" customHeight="1" x14ac:dyDescent="0.2">
      <c r="AJ346" s="81"/>
      <c r="AK346" s="81"/>
      <c r="AL346" s="81"/>
      <c r="AM346" s="81"/>
      <c r="AN346" s="81"/>
      <c r="AO346" s="81"/>
      <c r="AR346" s="184"/>
    </row>
    <row r="347" spans="36:44" ht="11.25" customHeight="1" x14ac:dyDescent="0.2">
      <c r="AJ347" s="81"/>
      <c r="AK347" s="81"/>
      <c r="AL347" s="81"/>
      <c r="AM347" s="81"/>
      <c r="AN347" s="81"/>
      <c r="AO347" s="81"/>
      <c r="AR347" s="184"/>
    </row>
    <row r="348" spans="36:44" ht="11.25" customHeight="1" x14ac:dyDescent="0.2">
      <c r="AJ348" s="81"/>
      <c r="AK348" s="81"/>
      <c r="AL348" s="81"/>
      <c r="AM348" s="81"/>
      <c r="AN348" s="81"/>
      <c r="AO348" s="81"/>
      <c r="AR348" s="184"/>
    </row>
    <row r="349" spans="36:44" ht="11.25" customHeight="1" x14ac:dyDescent="0.2">
      <c r="AJ349" s="81"/>
      <c r="AK349" s="81"/>
      <c r="AL349" s="81"/>
      <c r="AM349" s="81"/>
      <c r="AN349" s="81"/>
      <c r="AO349" s="81"/>
      <c r="AR349" s="184"/>
    </row>
    <row r="350" spans="36:44" ht="11.25" customHeight="1" x14ac:dyDescent="0.2">
      <c r="AJ350" s="81"/>
      <c r="AK350" s="81"/>
      <c r="AL350" s="81"/>
      <c r="AM350" s="81"/>
      <c r="AN350" s="81"/>
      <c r="AO350" s="81"/>
      <c r="AR350" s="184"/>
    </row>
    <row r="351" spans="36:44" ht="11.25" customHeight="1" x14ac:dyDescent="0.2">
      <c r="AJ351" s="81"/>
      <c r="AK351" s="81"/>
      <c r="AL351" s="81"/>
      <c r="AM351" s="81"/>
      <c r="AN351" s="81"/>
      <c r="AO351" s="81"/>
      <c r="AR351" s="184"/>
    </row>
    <row r="352" spans="36:44" ht="11.25" customHeight="1" x14ac:dyDescent="0.2">
      <c r="AJ352" s="81"/>
      <c r="AK352" s="81"/>
      <c r="AL352" s="81"/>
      <c r="AM352" s="81"/>
      <c r="AN352" s="81"/>
      <c r="AO352" s="81"/>
      <c r="AR352" s="184"/>
    </row>
    <row r="353" spans="36:44" ht="11.25" customHeight="1" x14ac:dyDescent="0.2">
      <c r="AJ353" s="81"/>
      <c r="AK353" s="81"/>
      <c r="AL353" s="81"/>
      <c r="AM353" s="81"/>
      <c r="AN353" s="81"/>
      <c r="AO353" s="81"/>
      <c r="AR353" s="184"/>
    </row>
    <row r="354" spans="36:44" ht="11.25" customHeight="1" x14ac:dyDescent="0.2">
      <c r="AJ354" s="81"/>
      <c r="AK354" s="81"/>
      <c r="AL354" s="81"/>
      <c r="AM354" s="81"/>
      <c r="AN354" s="81"/>
      <c r="AO354" s="81"/>
      <c r="AR354" s="184"/>
    </row>
    <row r="355" spans="36:44" ht="11.25" customHeight="1" x14ac:dyDescent="0.2">
      <c r="AJ355" s="81"/>
      <c r="AK355" s="81"/>
      <c r="AL355" s="81"/>
      <c r="AM355" s="81"/>
      <c r="AN355" s="81"/>
      <c r="AO355" s="81"/>
      <c r="AR355" s="184"/>
    </row>
    <row r="356" spans="36:44" ht="11.25" customHeight="1" x14ac:dyDescent="0.2">
      <c r="AJ356" s="81"/>
      <c r="AK356" s="81"/>
      <c r="AL356" s="81"/>
      <c r="AM356" s="81"/>
      <c r="AN356" s="81"/>
      <c r="AO356" s="81"/>
      <c r="AR356" s="184"/>
    </row>
    <row r="357" spans="36:44" ht="11.25" customHeight="1" x14ac:dyDescent="0.2">
      <c r="AJ357" s="81"/>
      <c r="AK357" s="81"/>
      <c r="AL357" s="81"/>
      <c r="AM357" s="81"/>
      <c r="AN357" s="81"/>
      <c r="AO357" s="81"/>
      <c r="AR357" s="184"/>
    </row>
    <row r="358" spans="36:44" ht="11.25" customHeight="1" x14ac:dyDescent="0.2">
      <c r="AJ358" s="81"/>
      <c r="AK358" s="81"/>
      <c r="AL358" s="81"/>
      <c r="AM358" s="81"/>
      <c r="AN358" s="81"/>
      <c r="AO358" s="81"/>
      <c r="AR358" s="184"/>
    </row>
    <row r="359" spans="36:44" ht="11.25" customHeight="1" x14ac:dyDescent="0.2">
      <c r="AJ359" s="81"/>
      <c r="AK359" s="81"/>
      <c r="AL359" s="81"/>
      <c r="AM359" s="81"/>
      <c r="AN359" s="81"/>
      <c r="AO359" s="81"/>
      <c r="AR359" s="184"/>
    </row>
    <row r="360" spans="36:44" ht="11.25" customHeight="1" x14ac:dyDescent="0.2">
      <c r="AJ360" s="81"/>
      <c r="AK360" s="81"/>
      <c r="AL360" s="81"/>
      <c r="AM360" s="81"/>
      <c r="AN360" s="81"/>
      <c r="AO360" s="81"/>
      <c r="AR360" s="184"/>
    </row>
    <row r="361" spans="36:44" ht="11.25" customHeight="1" x14ac:dyDescent="0.2">
      <c r="AJ361" s="81"/>
      <c r="AK361" s="81"/>
      <c r="AL361" s="81"/>
      <c r="AM361" s="81"/>
      <c r="AN361" s="81"/>
      <c r="AO361" s="81"/>
      <c r="AR361" s="184"/>
    </row>
    <row r="362" spans="36:44" ht="11.25" customHeight="1" x14ac:dyDescent="0.2">
      <c r="AJ362" s="81"/>
      <c r="AK362" s="81"/>
      <c r="AL362" s="81"/>
      <c r="AM362" s="81"/>
      <c r="AN362" s="81"/>
      <c r="AO362" s="81"/>
      <c r="AR362" s="184"/>
    </row>
    <row r="455" spans="38:38" ht="11.25" customHeight="1" x14ac:dyDescent="0.2">
      <c r="AL455" s="74" t="b">
        <v>1</v>
      </c>
    </row>
  </sheetData>
  <sheetProtection sheet="1" objects="1" scenarios="1"/>
  <mergeCells count="70">
    <mergeCell ref="B319:I320"/>
    <mergeCell ref="B321:I322"/>
    <mergeCell ref="B323:I324"/>
    <mergeCell ref="B325:I326"/>
    <mergeCell ref="B327:I328"/>
    <mergeCell ref="B289:I290"/>
    <mergeCell ref="B291:I292"/>
    <mergeCell ref="B313:I314"/>
    <mergeCell ref="B315:I316"/>
    <mergeCell ref="B317:I318"/>
    <mergeCell ref="A287:V287"/>
    <mergeCell ref="Z8:Z9"/>
    <mergeCell ref="A70:V70"/>
    <mergeCell ref="M64:P64"/>
    <mergeCell ref="M65:P65"/>
    <mergeCell ref="R65:U65"/>
    <mergeCell ref="A285:V285"/>
    <mergeCell ref="A286:V286"/>
    <mergeCell ref="B35:U35"/>
    <mergeCell ref="A37:V37"/>
    <mergeCell ref="A38:V38"/>
    <mergeCell ref="A250:V250"/>
    <mergeCell ref="B252:I253"/>
    <mergeCell ref="B254:B255"/>
    <mergeCell ref="R64:U64"/>
    <mergeCell ref="A71:V71"/>
    <mergeCell ref="A105:V105"/>
    <mergeCell ref="A106:V106"/>
    <mergeCell ref="A178:V178"/>
    <mergeCell ref="A249:V249"/>
    <mergeCell ref="B144:I145"/>
    <mergeCell ref="A177:V177"/>
    <mergeCell ref="B146:B147"/>
    <mergeCell ref="B182:B183"/>
    <mergeCell ref="B218:B219"/>
    <mergeCell ref="B180:I181"/>
    <mergeCell ref="A213:V213"/>
    <mergeCell ref="A214:V214"/>
    <mergeCell ref="B216:I217"/>
    <mergeCell ref="B5:N6"/>
    <mergeCell ref="AX38:BB38"/>
    <mergeCell ref="AS38:AW38"/>
    <mergeCell ref="A141:V141"/>
    <mergeCell ref="A142:V142"/>
    <mergeCell ref="B108:I109"/>
    <mergeCell ref="B110:B111"/>
    <mergeCell ref="K7:P7"/>
    <mergeCell ref="O8:P8"/>
    <mergeCell ref="D7:H7"/>
    <mergeCell ref="I7:I9"/>
    <mergeCell ref="Q7:Q9"/>
    <mergeCell ref="B7:B9"/>
    <mergeCell ref="O9:P9"/>
    <mergeCell ref="S7:U8"/>
    <mergeCell ref="AA8:AA9"/>
    <mergeCell ref="BS38:BW38"/>
    <mergeCell ref="BR37:BR40"/>
    <mergeCell ref="BM38:BQ38"/>
    <mergeCell ref="BH38:BL38"/>
    <mergeCell ref="BC38:BG38"/>
    <mergeCell ref="B293:I294"/>
    <mergeCell ref="B295:I296"/>
    <mergeCell ref="B297:I298"/>
    <mergeCell ref="B299:I300"/>
    <mergeCell ref="B301:I302"/>
    <mergeCell ref="B303:I304"/>
    <mergeCell ref="B305:I306"/>
    <mergeCell ref="B307:I308"/>
    <mergeCell ref="B309:I310"/>
    <mergeCell ref="B311:I312"/>
  </mergeCells>
  <conditionalFormatting sqref="B10:B31 K10:O31 D10:H31 Q10:Q31 B51:C66 B256:B277 D256:H277 B184:B205 B220:B241 B148:B169 B112:B133 D220:H241">
    <cfRule type="expression" dxfId="616" priority="97">
      <formula>$B10=$Z$4</formula>
    </cfRule>
    <cfRule type="containsErrors" dxfId="615" priority="98">
      <formula>ISERROR(B10)</formula>
    </cfRule>
  </conditionalFormatting>
  <conditionalFormatting sqref="I10:I31 P10:P32 S10:U31 D184:H205 D148:H169 D112:H133">
    <cfRule type="expression" dxfId="614" priority="82">
      <formula>$B10=$Z$4</formula>
    </cfRule>
  </conditionalFormatting>
  <conditionalFormatting sqref="D184:H205 S10:T31">
    <cfRule type="containsErrors" dxfId="613" priority="83">
      <formula>ISERROR(D10)</formula>
    </cfRule>
  </conditionalFormatting>
  <conditionalFormatting sqref="A10:A31">
    <cfRule type="cellIs" dxfId="612" priority="79" operator="equal">
      <formula>0</formula>
    </cfRule>
  </conditionalFormatting>
  <conditionalFormatting sqref="A220:A241">
    <cfRule type="cellIs" dxfId="611" priority="78" operator="equal">
      <formula>0</formula>
    </cfRule>
  </conditionalFormatting>
  <conditionalFormatting sqref="A256:A277">
    <cfRule type="cellIs" dxfId="610" priority="77" operator="equal">
      <formula>0</formula>
    </cfRule>
  </conditionalFormatting>
  <conditionalFormatting sqref="A184:A205">
    <cfRule type="cellIs" dxfId="609" priority="75" operator="equal">
      <formula>0</formula>
    </cfRule>
  </conditionalFormatting>
  <conditionalFormatting sqref="A1:A37 A39:A70 A72:A105 A215:A249 A251:A285 A179:A213 A363:A1048576">
    <cfRule type="containsErrors" dxfId="608" priority="74">
      <formula>ISERROR(A1)</formula>
    </cfRule>
  </conditionalFormatting>
  <conditionalFormatting sqref="AG10:AH28">
    <cfRule type="containsErrors" dxfId="607" priority="73">
      <formula>ISERROR(AG10)</formula>
    </cfRule>
  </conditionalFormatting>
  <conditionalFormatting sqref="AG10:AH21 AH11:AH28">
    <cfRule type="expression" dxfId="606" priority="72">
      <formula>$B10=$X$4</formula>
    </cfRule>
  </conditionalFormatting>
  <conditionalFormatting sqref="I10:I31">
    <cfRule type="containsErrors" dxfId="605" priority="71">
      <formula>ISERROR(I10)</formula>
    </cfRule>
  </conditionalFormatting>
  <conditionalFormatting sqref="A38">
    <cfRule type="cellIs" dxfId="604" priority="67" operator="equal">
      <formula>0</formula>
    </cfRule>
    <cfRule type="containsErrors" dxfId="603" priority="68">
      <formula>ISERROR(A38)</formula>
    </cfRule>
  </conditionalFormatting>
  <conditionalFormatting sqref="A71">
    <cfRule type="cellIs" dxfId="602" priority="65" operator="equal">
      <formula>0</formula>
    </cfRule>
    <cfRule type="containsErrors" dxfId="601" priority="66">
      <formula>ISERROR(A71)</formula>
    </cfRule>
  </conditionalFormatting>
  <conditionalFormatting sqref="A106">
    <cfRule type="cellIs" dxfId="600" priority="63" operator="equal">
      <formula>0</formula>
    </cfRule>
    <cfRule type="containsErrors" dxfId="599" priority="64">
      <formula>ISERROR(A106)</formula>
    </cfRule>
  </conditionalFormatting>
  <conditionalFormatting sqref="A250">
    <cfRule type="cellIs" dxfId="598" priority="61" operator="equal">
      <formula>0</formula>
    </cfRule>
    <cfRule type="containsErrors" dxfId="597" priority="62">
      <formula>ISERROR(A250)</formula>
    </cfRule>
  </conditionalFormatting>
  <conditionalFormatting sqref="A286">
    <cfRule type="cellIs" dxfId="596" priority="59" operator="equal">
      <formula>0</formula>
    </cfRule>
    <cfRule type="containsErrors" dxfId="595" priority="60">
      <formula>ISERROR(A286)</formula>
    </cfRule>
  </conditionalFormatting>
  <conditionalFormatting sqref="A287">
    <cfRule type="cellIs" dxfId="594" priority="57" operator="equal">
      <formula>0</formula>
    </cfRule>
    <cfRule type="containsErrors" dxfId="593" priority="58">
      <formula>ISERROR(A287)</formula>
    </cfRule>
  </conditionalFormatting>
  <conditionalFormatting sqref="A214">
    <cfRule type="cellIs" dxfId="592" priority="55" operator="equal">
      <formula>0</formula>
    </cfRule>
    <cfRule type="containsErrors" dxfId="591" priority="56">
      <formula>ISERROR(A214)</formula>
    </cfRule>
  </conditionalFormatting>
  <conditionalFormatting sqref="D148:H169">
    <cfRule type="containsErrors" dxfId="590" priority="52">
      <formula>ISERROR(D148)</formula>
    </cfRule>
  </conditionalFormatting>
  <conditionalFormatting sqref="A148:A169">
    <cfRule type="cellIs" dxfId="589" priority="50" operator="equal">
      <formula>0</formula>
    </cfRule>
  </conditionalFormatting>
  <conditionalFormatting sqref="A143:A177">
    <cfRule type="containsErrors" dxfId="588" priority="49">
      <formula>ISERROR(A143)</formula>
    </cfRule>
  </conditionalFormatting>
  <conditionalFormatting sqref="A178">
    <cfRule type="cellIs" dxfId="587" priority="47" operator="equal">
      <formula>0</formula>
    </cfRule>
    <cfRule type="containsErrors" dxfId="586" priority="48">
      <formula>ISERROR(A178)</formula>
    </cfRule>
  </conditionalFormatting>
  <conditionalFormatting sqref="D112:H133">
    <cfRule type="containsErrors" dxfId="585" priority="44">
      <formula>ISERROR(D112)</formula>
    </cfRule>
  </conditionalFormatting>
  <conditionalFormatting sqref="A112:A133">
    <cfRule type="cellIs" dxfId="584" priority="42" operator="equal">
      <formula>0</formula>
    </cfRule>
  </conditionalFormatting>
  <conditionalFormatting sqref="A107:A141">
    <cfRule type="containsErrors" dxfId="583" priority="41">
      <formula>ISERROR(A107)</formula>
    </cfRule>
  </conditionalFormatting>
  <conditionalFormatting sqref="A142">
    <cfRule type="cellIs" dxfId="582" priority="39" operator="equal">
      <formula>0</formula>
    </cfRule>
    <cfRule type="containsErrors" dxfId="581" priority="40">
      <formula>ISERROR(A142)</formula>
    </cfRule>
  </conditionalFormatting>
  <conditionalFormatting sqref="D8:H8">
    <cfRule type="containsErrors" dxfId="580" priority="36">
      <formula>ISERROR(D8)</formula>
    </cfRule>
  </conditionalFormatting>
  <conditionalFormatting sqref="D9:H9">
    <cfRule type="containsErrors" dxfId="579" priority="38">
      <formula>ISERROR(D9)</formula>
    </cfRule>
  </conditionalFormatting>
  <conditionalFormatting sqref="K8:O8">
    <cfRule type="containsErrors" dxfId="578" priority="35">
      <formula>ISERROR(K8)</formula>
    </cfRule>
  </conditionalFormatting>
  <conditionalFormatting sqref="K9:O9">
    <cfRule type="containsErrors" dxfId="577" priority="99">
      <formula>ISERROR(K9)</formula>
    </cfRule>
  </conditionalFormatting>
  <conditionalFormatting sqref="Y3">
    <cfRule type="containsErrors" dxfId="576" priority="32">
      <formula>ISERROR(Y3)</formula>
    </cfRule>
  </conditionalFormatting>
  <conditionalFormatting sqref="P33">
    <cfRule type="containsErrors" dxfId="575" priority="30">
      <formula>ISERROR(P33)</formula>
    </cfRule>
  </conditionalFormatting>
  <conditionalFormatting sqref="P32">
    <cfRule type="containsErrors" dxfId="574" priority="28">
      <formula>ISERROR(P32)</formula>
    </cfRule>
  </conditionalFormatting>
  <conditionalFormatting sqref="P10:P33">
    <cfRule type="containsErrors" dxfId="573" priority="26">
      <formula>ISERROR(P10)</formula>
    </cfRule>
  </conditionalFormatting>
  <conditionalFormatting sqref="U10:U31">
    <cfRule type="containsErrors" dxfId="572" priority="25">
      <formula>ISERROR(U10)</formula>
    </cfRule>
  </conditionalFormatting>
  <conditionalFormatting sqref="U32">
    <cfRule type="containsErrors" dxfId="571" priority="23">
      <formula>ISERROR(U32)</formula>
    </cfRule>
  </conditionalFormatting>
  <conditionalFormatting sqref="U33">
    <cfRule type="containsErrors" dxfId="570" priority="22">
      <formula>ISERROR(U33)</formula>
    </cfRule>
  </conditionalFormatting>
  <conditionalFormatting sqref="D110:H110">
    <cfRule type="containsErrors" dxfId="569" priority="20">
      <formula>ISERROR(D110)</formula>
    </cfRule>
  </conditionalFormatting>
  <conditionalFormatting sqref="D111:H111">
    <cfRule type="containsErrors" dxfId="568" priority="21">
      <formula>ISERROR(D111)</formula>
    </cfRule>
  </conditionalFormatting>
  <conditionalFormatting sqref="D146:H146">
    <cfRule type="containsErrors" dxfId="567" priority="18">
      <formula>ISERROR(D146)</formula>
    </cfRule>
  </conditionalFormatting>
  <conditionalFormatting sqref="D147:H147">
    <cfRule type="containsErrors" dxfId="566" priority="19">
      <formula>ISERROR(D147)</formula>
    </cfRule>
  </conditionalFormatting>
  <conditionalFormatting sqref="D218:H218">
    <cfRule type="containsErrors" dxfId="565" priority="14">
      <formula>ISERROR(D218)</formula>
    </cfRule>
  </conditionalFormatting>
  <conditionalFormatting sqref="D182:H182">
    <cfRule type="containsErrors" dxfId="564" priority="16">
      <formula>ISERROR(D182)</formula>
    </cfRule>
  </conditionalFormatting>
  <conditionalFormatting sqref="D183:H183">
    <cfRule type="containsErrors" dxfId="563" priority="17">
      <formula>ISERROR(D183)</formula>
    </cfRule>
  </conditionalFormatting>
  <conditionalFormatting sqref="D219:H219">
    <cfRule type="containsErrors" dxfId="562" priority="15">
      <formula>ISERROR(D219)</formula>
    </cfRule>
  </conditionalFormatting>
  <conditionalFormatting sqref="D254:H254">
    <cfRule type="containsErrors" dxfId="561" priority="12">
      <formula>ISERROR(D254)</formula>
    </cfRule>
  </conditionalFormatting>
  <conditionalFormatting sqref="D255:H255">
    <cfRule type="containsErrors" dxfId="560" priority="13">
      <formula>ISERROR(D255)</formula>
    </cfRule>
  </conditionalFormatting>
  <conditionalFormatting sqref="AB9:AF9">
    <cfRule type="cellIs" dxfId="559" priority="9" stopIfTrue="1" operator="equal">
      <formula>0</formula>
    </cfRule>
  </conditionalFormatting>
  <conditionalFormatting sqref="Y2">
    <cfRule type="containsErrors" dxfId="558" priority="8">
      <formula>ISERROR(Y2)</formula>
    </cfRule>
  </conditionalFormatting>
  <conditionalFormatting sqref="D33:I33 K33:P33 B135:H135 B171:H171 B207:H207 B243:H243 B279:H279">
    <cfRule type="containsErrors" dxfId="557" priority="7">
      <formula>ISERROR(B33)</formula>
    </cfRule>
  </conditionalFormatting>
  <conditionalFormatting sqref="Z3:AD3">
    <cfRule type="containsErrors" dxfId="556" priority="6">
      <formula>ISERROR(Z3)</formula>
    </cfRule>
  </conditionalFormatting>
  <conditionalFormatting sqref="Z2:AD2">
    <cfRule type="containsErrors" dxfId="555" priority="5">
      <formula>ISERROR(Z2)</formula>
    </cfRule>
  </conditionalFormatting>
  <conditionalFormatting sqref="Q10:Q31">
    <cfRule type="containsErrors" dxfId="554" priority="4">
      <formula>ISERROR(Q10)</formula>
    </cfRule>
  </conditionalFormatting>
  <conditionalFormatting sqref="P10:P33">
    <cfRule type="dataBar" priority="27">
      <dataBar showValue="0">
        <cfvo type="min"/>
        <cfvo type="max"/>
        <color theme="9"/>
      </dataBar>
      <extLst>
        <ext xmlns:x14="http://schemas.microsoft.com/office/spreadsheetml/2009/9/main" uri="{B025F937-C7B1-47D3-B67F-A62EFF666E3E}">
          <x14:id>{50CEE49D-8871-448E-8CDD-B879413DF560}</x14:id>
        </ext>
      </extLst>
    </cfRule>
  </conditionalFormatting>
  <conditionalFormatting sqref="A330:A362">
    <cfRule type="containsErrors" dxfId="553" priority="1">
      <formula>ISERROR(A330)</formula>
    </cfRule>
  </conditionalFormatting>
  <hyperlinks>
    <hyperlink ref="B293:H294" location="IDACI!A1" display="IDACI" xr:uid="{8D03EA9D-D844-43ED-B691-C875E589B9C5}"/>
    <hyperlink ref="B317:I318" location="ROSGO!A1" display="Child Arrangement &amp; Special Guardianship Orders" xr:uid="{6AF080CF-6799-473E-BA86-364663207CFD}"/>
    <hyperlink ref="B297:G298" location="EH_Referrals!A1" display="Early Help Referrals" xr:uid="{A5F5C81D-CF49-4B14-83B3-68559FE44941}"/>
    <hyperlink ref="B317:E318" location="ROSGO!A1" display="Child Arrangement &amp; Special Guardianship Orders" xr:uid="{701C0AB3-22A8-4FE9-B8E8-E0F30E65EAE4}"/>
    <hyperlink ref="B297:E298" location="EH_Referrals!A1" display="Early Help Referrals" xr:uid="{BD3A0F33-E6DE-498E-9146-8E67B1350A5D}"/>
    <hyperlink ref="B295:D296" location="IDACI!A1" display="IDACI" xr:uid="{A24DA8B0-EF14-45B7-95D3-B0AD3690CC41}"/>
    <hyperlink ref="B291:D292" location="Indicators!A1" display="Indicators" xr:uid="{98A26B70-F93D-4D3C-899E-25643D54F90D}"/>
    <hyperlink ref="B319:D320" location="New_Ceased_LAC!A1" display="New/ Ceased Looked After Children" xr:uid="{F913F878-65D0-432A-B43E-D07C99194F8F}"/>
    <hyperlink ref="B323:D324" location="Care_Leavers!A1" display="Care Leavers" xr:uid="{27FB8E61-CD9E-4BAE-A565-3B849FBE1C3D}"/>
    <hyperlink ref="B327:D328" location="Offending!A1" display="Offending" xr:uid="{7A3F25AD-4480-4BE0-8ECE-0F6FF2279953}"/>
    <hyperlink ref="B325:D326" location="EHCP!A1" display="Education Health and Care Plans (EHCP)" xr:uid="{6C8F91BF-2F79-45EC-9781-00CCA373867F}"/>
    <hyperlink ref="B293:B294" location="Coverage!A1" display="Participating LA's" xr:uid="{C068D960-E524-4CDE-A863-BB6240C411A2}"/>
    <hyperlink ref="B295:B296" location="IDACI!A1" display="IDACI" xr:uid="{5FC979D1-C242-4551-B5A8-A385AF14EAF6}"/>
    <hyperlink ref="B321:B322" location="Adoption!A1" display="Adoption" xr:uid="{BBD3F814-397F-4DBA-A092-ED84847CAF26}"/>
    <hyperlink ref="B317:B318" location="'Looked After Children'!A1" display="Looked After Children" xr:uid="{E13D4CAE-2BE9-4288-AFD1-D535926215D1}"/>
    <hyperlink ref="B315:B316" location="'Court Applications'!A1" display="Court Applications" xr:uid="{136174A8-C642-46ED-B3F9-4421E6AC9084}"/>
    <hyperlink ref="B313:B314" location="'Child Protection Plans'!A1" display="Child Protection Plans" xr:uid="{087044DC-2010-4BF0-B1C3-9FCB1660940D}"/>
    <hyperlink ref="B311:B312" location="'Initial CP Conferences'!A1" display="Initial Child Protection Conferences" xr:uid="{C31FC5E8-D54A-4876-A222-F5F24B9678A4}"/>
    <hyperlink ref="B309:B310" location="'Section 47 Enquiries'!A1" display="Section 47 Enquiries" xr:uid="{D09F7482-502E-46C4-A114-09950BA7575F}"/>
    <hyperlink ref="B307:B308" location="'Children in Need'!A1" display="Children in Need" xr:uid="{48B9E498-8D08-4ED0-AA6A-B9B30DD01E65}"/>
    <hyperlink ref="B305:B306" location="Assessments!A1" display="Assessments" xr:uid="{21397986-F844-4951-AA6C-A76FE455DC23}"/>
    <hyperlink ref="B303:B304" location="'Re-referrals'!A1" display="Re-referrals" xr:uid="{401CE67A-11B3-4236-8395-525711AE59F0}"/>
    <hyperlink ref="B301:B302" location="Referral_Source!A1" display="Referral Source" xr:uid="{60E4F9FB-757F-404A-B18F-8446E3A50EB0}"/>
    <hyperlink ref="B299:B300" location="Referrals!A1" display="Referrals" xr:uid="{4E528532-A415-47F8-9479-2E78C5174418}"/>
    <hyperlink ref="B297:B298" location="Population!A1" display="Population" xr:uid="{B1B7D30F-D67E-4C94-BE88-246E4E622544}"/>
    <hyperlink ref="B295:C296" location="IDACI!A1" display="IDACI" xr:uid="{91463C70-BD9E-4BF6-9CEE-21FDE59228EC}"/>
    <hyperlink ref="B291:B292" location="Coverage!A1" display="Participating LA's" xr:uid="{6C3BC896-2AB4-4452-8D9B-35A6E57A95CA}"/>
    <hyperlink ref="B291:C292" location="Indicators!A1" display="Indicators" xr:uid="{9CB757B1-E20D-4D07-8BCB-7CFF783C1423}"/>
    <hyperlink ref="B323:B324" location="'Looked After Children'!A1" display="Looked After Children" xr:uid="{0BF56004-E9E5-4488-B975-E99DD2D93AFF}"/>
    <hyperlink ref="B319:B320" location="'Court Applications'!A1" display="Court Applications" xr:uid="{E9D8367F-F522-4AD4-8250-69222C40DC3E}"/>
    <hyperlink ref="B319:C320" location="New_Ceased_LAC!A1" display="New/ Ceased Looked After Children" xr:uid="{FD086C89-5D69-42DB-BFE3-854D66312E9B}"/>
    <hyperlink ref="B323:C324" location="Care_Leavers!A1" display="Care Leavers" xr:uid="{F7CCEEA7-1B9C-47B7-A81B-864BADE97609}"/>
    <hyperlink ref="B326:B328" location="Adoption!A1" display="Adoption" xr:uid="{F9B0F066-70BF-4F89-95A9-6E4EAEF88FC6}"/>
    <hyperlink ref="B327:B328" location="'Looked After Children'!A1" display="Looked After Children" xr:uid="{2CA515D1-1A75-413F-A397-F3789A17B649}"/>
    <hyperlink ref="B327:C328" location="Offending!A1" display="Offending" xr:uid="{1CF4F6E6-8C60-4901-BF69-27A7DDA24191}"/>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5" manualBreakCount="5">
    <brk id="38" max="20" man="1"/>
    <brk id="71" max="20" man="1"/>
    <brk id="214" max="20" man="1"/>
    <brk id="250" max="20" man="1"/>
    <brk id="178" max="20" man="1"/>
  </rowBreaks>
  <ignoredErrors>
    <ignoredError sqref="A256:A277 A220:A241 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9329" r:id="rId4" name="Check Box 1">
              <controlPr defaultSize="0" autoFill="0" autoLine="0" autoPict="0" macro="[0]!CheckBox1_Click" altText="">
                <anchor>
                  <from>
                    <xdr:col>23</xdr:col>
                    <xdr:colOff>85725</xdr:colOff>
                    <xdr:row>39</xdr:row>
                    <xdr:rowOff>28575</xdr:rowOff>
                  </from>
                  <to>
                    <xdr:col>36</xdr:col>
                    <xdr:colOff>57150</xdr:colOff>
                    <xdr:row>41</xdr:row>
                    <xdr:rowOff>28575</xdr:rowOff>
                  </to>
                </anchor>
              </controlPr>
            </control>
          </mc:Choice>
        </mc:AlternateContent>
        <mc:AlternateContent xmlns:mc="http://schemas.openxmlformats.org/markup-compatibility/2006">
          <mc:Choice Requires="x14">
            <control shapeId="99330" r:id="rId5" name="Check Box 2">
              <controlPr defaultSize="0" autoFill="0" autoLine="0" autoPict="0" macro="[0]!CheckBox1_Click" altText="">
                <anchor>
                  <from>
                    <xdr:col>23</xdr:col>
                    <xdr:colOff>85725</xdr:colOff>
                    <xdr:row>40</xdr:row>
                    <xdr:rowOff>161925</xdr:rowOff>
                  </from>
                  <to>
                    <xdr:col>36</xdr:col>
                    <xdr:colOff>57150</xdr:colOff>
                    <xdr:row>42</xdr:row>
                    <xdr:rowOff>28575</xdr:rowOff>
                  </to>
                </anchor>
              </controlPr>
            </control>
          </mc:Choice>
        </mc:AlternateContent>
        <mc:AlternateContent xmlns:mc="http://schemas.openxmlformats.org/markup-compatibility/2006">
          <mc:Choice Requires="x14">
            <control shapeId="99331" r:id="rId6" name="Check Box 3">
              <controlPr defaultSize="0" autoFill="0" autoLine="0" autoPict="0" macro="[0]!CheckBox1_Click" altText="">
                <anchor>
                  <from>
                    <xdr:col>23</xdr:col>
                    <xdr:colOff>85725</xdr:colOff>
                    <xdr:row>41</xdr:row>
                    <xdr:rowOff>161925</xdr:rowOff>
                  </from>
                  <to>
                    <xdr:col>36</xdr:col>
                    <xdr:colOff>57150</xdr:colOff>
                    <xdr:row>43</xdr:row>
                    <xdr:rowOff>28575</xdr:rowOff>
                  </to>
                </anchor>
              </controlPr>
            </control>
          </mc:Choice>
        </mc:AlternateContent>
        <mc:AlternateContent xmlns:mc="http://schemas.openxmlformats.org/markup-compatibility/2006">
          <mc:Choice Requires="x14">
            <control shapeId="99332" r:id="rId7" name="Check Box 4">
              <controlPr defaultSize="0" autoFill="0" autoLine="0" autoPict="0" macro="[0]!CheckBox1_Click" altText="">
                <anchor>
                  <from>
                    <xdr:col>23</xdr:col>
                    <xdr:colOff>85725</xdr:colOff>
                    <xdr:row>42</xdr:row>
                    <xdr:rowOff>161925</xdr:rowOff>
                  </from>
                  <to>
                    <xdr:col>36</xdr:col>
                    <xdr:colOff>57150</xdr:colOff>
                    <xdr:row>44</xdr:row>
                    <xdr:rowOff>28575</xdr:rowOff>
                  </to>
                </anchor>
              </controlPr>
            </control>
          </mc:Choice>
        </mc:AlternateContent>
        <mc:AlternateContent xmlns:mc="http://schemas.openxmlformats.org/markup-compatibility/2006">
          <mc:Choice Requires="x14">
            <control shapeId="99333" r:id="rId8" name="Check Box 5">
              <controlPr defaultSize="0" autoFill="0" autoLine="0" autoPict="0" macro="[0]!CheckBox1_Click" altText="">
                <anchor>
                  <from>
                    <xdr:col>23</xdr:col>
                    <xdr:colOff>85725</xdr:colOff>
                    <xdr:row>43</xdr:row>
                    <xdr:rowOff>161925</xdr:rowOff>
                  </from>
                  <to>
                    <xdr:col>36</xdr:col>
                    <xdr:colOff>57150</xdr:colOff>
                    <xdr:row>45</xdr:row>
                    <xdr:rowOff>28575</xdr:rowOff>
                  </to>
                </anchor>
              </controlPr>
            </control>
          </mc:Choice>
        </mc:AlternateContent>
        <mc:AlternateContent xmlns:mc="http://schemas.openxmlformats.org/markup-compatibility/2006">
          <mc:Choice Requires="x14">
            <control shapeId="99334" r:id="rId9" name="Check Box 6">
              <controlPr defaultSize="0" autoFill="0" autoLine="0" autoPict="0" macro="[0]!CheckBox1_Click" altText="">
                <anchor>
                  <from>
                    <xdr:col>23</xdr:col>
                    <xdr:colOff>85725</xdr:colOff>
                    <xdr:row>44</xdr:row>
                    <xdr:rowOff>161925</xdr:rowOff>
                  </from>
                  <to>
                    <xdr:col>36</xdr:col>
                    <xdr:colOff>57150</xdr:colOff>
                    <xdr:row>46</xdr:row>
                    <xdr:rowOff>28575</xdr:rowOff>
                  </to>
                </anchor>
              </controlPr>
            </control>
          </mc:Choice>
        </mc:AlternateContent>
        <mc:AlternateContent xmlns:mc="http://schemas.openxmlformats.org/markup-compatibility/2006">
          <mc:Choice Requires="x14">
            <control shapeId="99335" r:id="rId10" name="Check Box 7">
              <controlPr defaultSize="0" autoFill="0" autoLine="0" autoPict="0" macro="[0]!CheckBox1_Click" altText="">
                <anchor>
                  <from>
                    <xdr:col>23</xdr:col>
                    <xdr:colOff>85725</xdr:colOff>
                    <xdr:row>45</xdr:row>
                    <xdr:rowOff>161925</xdr:rowOff>
                  </from>
                  <to>
                    <xdr:col>36</xdr:col>
                    <xdr:colOff>57150</xdr:colOff>
                    <xdr:row>47</xdr:row>
                    <xdr:rowOff>28575</xdr:rowOff>
                  </to>
                </anchor>
              </controlPr>
            </control>
          </mc:Choice>
        </mc:AlternateContent>
        <mc:AlternateContent xmlns:mc="http://schemas.openxmlformats.org/markup-compatibility/2006">
          <mc:Choice Requires="x14">
            <control shapeId="99336" r:id="rId11" name="Check Box 8">
              <controlPr defaultSize="0" autoFill="0" autoLine="0" autoPict="0" macro="[0]!CheckBox1_Click" altText="">
                <anchor>
                  <from>
                    <xdr:col>23</xdr:col>
                    <xdr:colOff>85725</xdr:colOff>
                    <xdr:row>46</xdr:row>
                    <xdr:rowOff>161925</xdr:rowOff>
                  </from>
                  <to>
                    <xdr:col>36</xdr:col>
                    <xdr:colOff>57150</xdr:colOff>
                    <xdr:row>48</xdr:row>
                    <xdr:rowOff>28575</xdr:rowOff>
                  </to>
                </anchor>
              </controlPr>
            </control>
          </mc:Choice>
        </mc:AlternateContent>
        <mc:AlternateContent xmlns:mc="http://schemas.openxmlformats.org/markup-compatibility/2006">
          <mc:Choice Requires="x14">
            <control shapeId="99337" r:id="rId12" name="Check Box 9">
              <controlPr defaultSize="0" autoFill="0" autoLine="0" autoPict="0" macro="[0]!CheckBox1_Click" altText="">
                <anchor>
                  <from>
                    <xdr:col>23</xdr:col>
                    <xdr:colOff>85725</xdr:colOff>
                    <xdr:row>47</xdr:row>
                    <xdr:rowOff>161925</xdr:rowOff>
                  </from>
                  <to>
                    <xdr:col>36</xdr:col>
                    <xdr:colOff>57150</xdr:colOff>
                    <xdr:row>49</xdr:row>
                    <xdr:rowOff>28575</xdr:rowOff>
                  </to>
                </anchor>
              </controlPr>
            </control>
          </mc:Choice>
        </mc:AlternateContent>
        <mc:AlternateContent xmlns:mc="http://schemas.openxmlformats.org/markup-compatibility/2006">
          <mc:Choice Requires="x14">
            <control shapeId="99338" r:id="rId13" name="Check Box 10">
              <controlPr defaultSize="0" autoFill="0" autoLine="0" autoPict="0" macro="[0]!CheckBox1_Click" altText="">
                <anchor>
                  <from>
                    <xdr:col>23</xdr:col>
                    <xdr:colOff>85725</xdr:colOff>
                    <xdr:row>48</xdr:row>
                    <xdr:rowOff>161925</xdr:rowOff>
                  </from>
                  <to>
                    <xdr:col>36</xdr:col>
                    <xdr:colOff>57150</xdr:colOff>
                    <xdr:row>50</xdr:row>
                    <xdr:rowOff>28575</xdr:rowOff>
                  </to>
                </anchor>
              </controlPr>
            </control>
          </mc:Choice>
        </mc:AlternateContent>
        <mc:AlternateContent xmlns:mc="http://schemas.openxmlformats.org/markup-compatibility/2006">
          <mc:Choice Requires="x14">
            <control shapeId="99339" r:id="rId14" name="Check Box 11">
              <controlPr defaultSize="0" autoFill="0" autoLine="0" autoPict="0" macro="[0]!CheckBox1_Click" altText="">
                <anchor>
                  <from>
                    <xdr:col>23</xdr:col>
                    <xdr:colOff>85725</xdr:colOff>
                    <xdr:row>49</xdr:row>
                    <xdr:rowOff>161925</xdr:rowOff>
                  </from>
                  <to>
                    <xdr:col>36</xdr:col>
                    <xdr:colOff>57150</xdr:colOff>
                    <xdr:row>51</xdr:row>
                    <xdr:rowOff>28575</xdr:rowOff>
                  </to>
                </anchor>
              </controlPr>
            </control>
          </mc:Choice>
        </mc:AlternateContent>
        <mc:AlternateContent xmlns:mc="http://schemas.openxmlformats.org/markup-compatibility/2006">
          <mc:Choice Requires="x14">
            <control shapeId="99340" r:id="rId15" name="Check Box 12">
              <controlPr defaultSize="0" autoFill="0" autoLine="0" autoPict="0" macro="[0]!CheckBox1_Click" altText="">
                <anchor>
                  <from>
                    <xdr:col>23</xdr:col>
                    <xdr:colOff>85725</xdr:colOff>
                    <xdr:row>50</xdr:row>
                    <xdr:rowOff>161925</xdr:rowOff>
                  </from>
                  <to>
                    <xdr:col>36</xdr:col>
                    <xdr:colOff>57150</xdr:colOff>
                    <xdr:row>52</xdr:row>
                    <xdr:rowOff>28575</xdr:rowOff>
                  </to>
                </anchor>
              </controlPr>
            </control>
          </mc:Choice>
        </mc:AlternateContent>
        <mc:AlternateContent xmlns:mc="http://schemas.openxmlformats.org/markup-compatibility/2006">
          <mc:Choice Requires="x14">
            <control shapeId="99341" r:id="rId16" name="Check Box 13">
              <controlPr defaultSize="0" autoFill="0" autoLine="0" autoPict="0" macro="[0]!CheckBox1_Click" altText="">
                <anchor>
                  <from>
                    <xdr:col>23</xdr:col>
                    <xdr:colOff>85725</xdr:colOff>
                    <xdr:row>51</xdr:row>
                    <xdr:rowOff>161925</xdr:rowOff>
                  </from>
                  <to>
                    <xdr:col>36</xdr:col>
                    <xdr:colOff>57150</xdr:colOff>
                    <xdr:row>53</xdr:row>
                    <xdr:rowOff>28575</xdr:rowOff>
                  </to>
                </anchor>
              </controlPr>
            </control>
          </mc:Choice>
        </mc:AlternateContent>
        <mc:AlternateContent xmlns:mc="http://schemas.openxmlformats.org/markup-compatibility/2006">
          <mc:Choice Requires="x14">
            <control shapeId="99342" r:id="rId17" name="Check Box 14">
              <controlPr defaultSize="0" autoFill="0" autoLine="0" autoPict="0" macro="[0]!CheckBox1_Click" altText="">
                <anchor>
                  <from>
                    <xdr:col>23</xdr:col>
                    <xdr:colOff>85725</xdr:colOff>
                    <xdr:row>52</xdr:row>
                    <xdr:rowOff>161925</xdr:rowOff>
                  </from>
                  <to>
                    <xdr:col>36</xdr:col>
                    <xdr:colOff>57150</xdr:colOff>
                    <xdr:row>54</xdr:row>
                    <xdr:rowOff>28575</xdr:rowOff>
                  </to>
                </anchor>
              </controlPr>
            </control>
          </mc:Choice>
        </mc:AlternateContent>
        <mc:AlternateContent xmlns:mc="http://schemas.openxmlformats.org/markup-compatibility/2006">
          <mc:Choice Requires="x14">
            <control shapeId="99343" r:id="rId18" name="Check Box 15">
              <controlPr defaultSize="0" autoFill="0" autoLine="0" autoPict="0" macro="[0]!CheckBox1_Click" altText="">
                <anchor>
                  <from>
                    <xdr:col>23</xdr:col>
                    <xdr:colOff>85725</xdr:colOff>
                    <xdr:row>53</xdr:row>
                    <xdr:rowOff>161925</xdr:rowOff>
                  </from>
                  <to>
                    <xdr:col>36</xdr:col>
                    <xdr:colOff>57150</xdr:colOff>
                    <xdr:row>55</xdr:row>
                    <xdr:rowOff>28575</xdr:rowOff>
                  </to>
                </anchor>
              </controlPr>
            </control>
          </mc:Choice>
        </mc:AlternateContent>
        <mc:AlternateContent xmlns:mc="http://schemas.openxmlformats.org/markup-compatibility/2006">
          <mc:Choice Requires="x14">
            <control shapeId="99344" r:id="rId19" name="Check Box 16">
              <controlPr defaultSize="0" autoFill="0" autoLine="0" autoPict="0" macro="[0]!CheckBox1_Click" altText="">
                <anchor>
                  <from>
                    <xdr:col>23</xdr:col>
                    <xdr:colOff>85725</xdr:colOff>
                    <xdr:row>54</xdr:row>
                    <xdr:rowOff>161925</xdr:rowOff>
                  </from>
                  <to>
                    <xdr:col>36</xdr:col>
                    <xdr:colOff>57150</xdr:colOff>
                    <xdr:row>56</xdr:row>
                    <xdr:rowOff>28575</xdr:rowOff>
                  </to>
                </anchor>
              </controlPr>
            </control>
          </mc:Choice>
        </mc:AlternateContent>
        <mc:AlternateContent xmlns:mc="http://schemas.openxmlformats.org/markup-compatibility/2006">
          <mc:Choice Requires="x14">
            <control shapeId="99345" r:id="rId20" name="Check Box 17">
              <controlPr defaultSize="0" autoFill="0" autoLine="0" autoPict="0" macro="[0]!CheckBox1_Click" altText="">
                <anchor>
                  <from>
                    <xdr:col>23</xdr:col>
                    <xdr:colOff>85725</xdr:colOff>
                    <xdr:row>57</xdr:row>
                    <xdr:rowOff>161925</xdr:rowOff>
                  </from>
                  <to>
                    <xdr:col>36</xdr:col>
                    <xdr:colOff>57150</xdr:colOff>
                    <xdr:row>59</xdr:row>
                    <xdr:rowOff>28575</xdr:rowOff>
                  </to>
                </anchor>
              </controlPr>
            </control>
          </mc:Choice>
        </mc:AlternateContent>
        <mc:AlternateContent xmlns:mc="http://schemas.openxmlformats.org/markup-compatibility/2006">
          <mc:Choice Requires="x14">
            <control shapeId="99346" r:id="rId21" name="Check Box 18">
              <controlPr defaultSize="0" autoFill="0" autoLine="0" autoPict="0" macro="[0]!CheckBox1_Click" altText="">
                <anchor>
                  <from>
                    <xdr:col>23</xdr:col>
                    <xdr:colOff>85725</xdr:colOff>
                    <xdr:row>58</xdr:row>
                    <xdr:rowOff>161925</xdr:rowOff>
                  </from>
                  <to>
                    <xdr:col>36</xdr:col>
                    <xdr:colOff>57150</xdr:colOff>
                    <xdr:row>60</xdr:row>
                    <xdr:rowOff>28575</xdr:rowOff>
                  </to>
                </anchor>
              </controlPr>
            </control>
          </mc:Choice>
        </mc:AlternateContent>
        <mc:AlternateContent xmlns:mc="http://schemas.openxmlformats.org/markup-compatibility/2006">
          <mc:Choice Requires="x14">
            <control shapeId="99347" r:id="rId22" name="Check Box 19">
              <controlPr defaultSize="0" autoFill="0" autoLine="0" autoPict="0" macro="[0]!CheckBox1_Click" altText="">
                <anchor>
                  <from>
                    <xdr:col>23</xdr:col>
                    <xdr:colOff>85725</xdr:colOff>
                    <xdr:row>59</xdr:row>
                    <xdr:rowOff>161925</xdr:rowOff>
                  </from>
                  <to>
                    <xdr:col>36</xdr:col>
                    <xdr:colOff>57150</xdr:colOff>
                    <xdr:row>61</xdr:row>
                    <xdr:rowOff>28575</xdr:rowOff>
                  </to>
                </anchor>
              </controlPr>
            </control>
          </mc:Choice>
        </mc:AlternateContent>
        <mc:AlternateContent xmlns:mc="http://schemas.openxmlformats.org/markup-compatibility/2006">
          <mc:Choice Requires="x14">
            <control shapeId="99348" r:id="rId23" name="Check Box 20">
              <controlPr defaultSize="0" autoFill="0" autoLine="0" autoPict="0" macro="[0]!CheckBox1_Click" altText="">
                <anchor>
                  <from>
                    <xdr:col>23</xdr:col>
                    <xdr:colOff>85725</xdr:colOff>
                    <xdr:row>60</xdr:row>
                    <xdr:rowOff>161925</xdr:rowOff>
                  </from>
                  <to>
                    <xdr:col>36</xdr:col>
                    <xdr:colOff>57150</xdr:colOff>
                    <xdr:row>62</xdr:row>
                    <xdr:rowOff>28575</xdr:rowOff>
                  </to>
                </anchor>
              </controlPr>
            </control>
          </mc:Choice>
        </mc:AlternateContent>
        <mc:AlternateContent xmlns:mc="http://schemas.openxmlformats.org/markup-compatibility/2006">
          <mc:Choice Requires="x14">
            <control shapeId="99349" r:id="rId24" name="Check Box 21">
              <controlPr defaultSize="0" autoFill="0" autoLine="0" autoPict="0" macro="[0]!CheckBox1_Click" altText="">
                <anchor>
                  <from>
                    <xdr:col>23</xdr:col>
                    <xdr:colOff>85725</xdr:colOff>
                    <xdr:row>61</xdr:row>
                    <xdr:rowOff>161925</xdr:rowOff>
                  </from>
                  <to>
                    <xdr:col>36</xdr:col>
                    <xdr:colOff>57150</xdr:colOff>
                    <xdr:row>63</xdr:row>
                    <xdr:rowOff>28575</xdr:rowOff>
                  </to>
                </anchor>
              </controlPr>
            </control>
          </mc:Choice>
        </mc:AlternateContent>
        <mc:AlternateContent xmlns:mc="http://schemas.openxmlformats.org/markup-compatibility/2006">
          <mc:Choice Requires="x14">
            <control shapeId="99350" r:id="rId25" name="Check Box 22">
              <controlPr defaultSize="0" autoFill="0" autoLine="0" autoPict="0" macro="[0]!CheckBox1_Click" altText="">
                <anchor>
                  <from>
                    <xdr:col>23</xdr:col>
                    <xdr:colOff>85725</xdr:colOff>
                    <xdr:row>55</xdr:row>
                    <xdr:rowOff>161925</xdr:rowOff>
                  </from>
                  <to>
                    <xdr:col>36</xdr:col>
                    <xdr:colOff>57150</xdr:colOff>
                    <xdr:row>57</xdr:row>
                    <xdr:rowOff>28575</xdr:rowOff>
                  </to>
                </anchor>
              </controlPr>
            </control>
          </mc:Choice>
        </mc:AlternateContent>
        <mc:AlternateContent xmlns:mc="http://schemas.openxmlformats.org/markup-compatibility/2006">
          <mc:Choice Requires="x14">
            <control shapeId="99351" r:id="rId26" name="Check Box 23">
              <controlPr defaultSize="0" autoFill="0" autoLine="0" autoPict="0" macro="[0]!CheckBox1_Click" altText="">
                <anchor>
                  <from>
                    <xdr:col>23</xdr:col>
                    <xdr:colOff>85725</xdr:colOff>
                    <xdr:row>56</xdr:row>
                    <xdr:rowOff>161925</xdr:rowOff>
                  </from>
                  <to>
                    <xdr:col>36</xdr:col>
                    <xdr:colOff>57150</xdr:colOff>
                    <xdr:row>58</xdr:row>
                    <xdr:rowOff>28575</xdr:rowOff>
                  </to>
                </anchor>
              </controlPr>
            </control>
          </mc:Choice>
        </mc:AlternateContent>
        <mc:AlternateContent xmlns:mc="http://schemas.openxmlformats.org/markup-compatibility/2006">
          <mc:Choice Requires="x14">
            <control shapeId="99352" r:id="rId27" name="Check Box 24">
              <controlPr defaultSize="0" autoFill="0" autoLine="0" autoPict="0" macro="[0]!CheckBox1_Click" altText="">
                <anchor>
                  <from>
                    <xdr:col>23</xdr:col>
                    <xdr:colOff>85725</xdr:colOff>
                    <xdr:row>62</xdr:row>
                    <xdr:rowOff>161925</xdr:rowOff>
                  </from>
                  <to>
                    <xdr:col>36</xdr:col>
                    <xdr:colOff>57150</xdr:colOff>
                    <xdr:row>64</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50CEE49D-8871-448E-8CDD-B879413DF560}">
            <x14:dataBar minLength="0" maxLength="100" gradient="0" negativeBarColorSameAsPositive="1">
              <x14:cfvo type="autoMin"/>
              <x14:cfvo type="autoMax"/>
              <x14:axisColor rgb="FF000000"/>
            </x14:dataBar>
          </x14:cfRule>
          <xm:sqref>P10:P33</xm:sqref>
        </x14:conditionalFormatting>
      </x14:conditionalFormatting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3">
    <tabColor rgb="FFFFC000"/>
  </sheetPr>
  <dimension ref="A1:BN380"/>
  <sheetViews>
    <sheetView showRowColHeaders="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8" width="6.85546875" style="74" customWidth="1"/>
    <col min="9" max="9" width="7.42578125" style="74" customWidth="1"/>
    <col min="10" max="10" width="1.42578125" style="88" customWidth="1"/>
    <col min="11" max="15" width="6.85546875" style="74" customWidth="1"/>
    <col min="16" max="16" width="7.140625" style="74" customWidth="1"/>
    <col min="17" max="17" width="7.42578125" style="74" customWidth="1"/>
    <col min="18" max="18" width="1.42578125" style="74" customWidth="1"/>
    <col min="19" max="19" width="5.7109375" style="74" customWidth="1"/>
    <col min="20" max="20" width="8.28515625" style="74" customWidth="1"/>
    <col min="21" max="21" width="7.7109375" style="74" customWidth="1"/>
    <col min="22" max="22" width="2.140625" style="74" customWidth="1"/>
    <col min="23" max="23" width="6.42578125" style="80" customWidth="1"/>
    <col min="24" max="24" width="4.85546875" style="80" customWidth="1"/>
    <col min="25" max="25" width="17.85546875" style="81" hidden="1" customWidth="1"/>
    <col min="26" max="26" width="19.42578125" style="81" hidden="1" customWidth="1"/>
    <col min="27" max="27" width="19.85546875" style="81" hidden="1" customWidth="1"/>
    <col min="28" max="29" width="16.5703125" style="81" hidden="1" customWidth="1"/>
    <col min="30" max="31" width="8.5703125" style="81" hidden="1" customWidth="1"/>
    <col min="32" max="32" width="7.85546875" style="81" hidden="1" customWidth="1"/>
    <col min="33" max="33" width="17" style="81" hidden="1" customWidth="1"/>
    <col min="34" max="34" width="5.5703125" style="81" hidden="1" customWidth="1"/>
    <col min="35" max="35" width="4.85546875" style="81" hidden="1" customWidth="1"/>
    <col min="36" max="36" width="5.5703125" style="74" hidden="1" customWidth="1"/>
    <col min="37" max="37" width="31.5703125" style="74" customWidth="1"/>
    <col min="38" max="38" width="17" style="74" hidden="1" customWidth="1"/>
    <col min="39" max="43" width="13.5703125" style="74" hidden="1" customWidth="1"/>
    <col min="44" max="51" width="9.140625" style="74" hidden="1" customWidth="1"/>
    <col min="52" max="53" width="9.140625" style="74" customWidth="1"/>
    <col min="54" max="16384" width="9.140625" style="74"/>
  </cols>
  <sheetData>
    <row r="1" spans="1:50" ht="18.75" customHeight="1" thickBot="1" x14ac:dyDescent="0.25">
      <c r="A1" s="112"/>
      <c r="B1" s="113"/>
      <c r="C1" s="113"/>
      <c r="D1" s="113"/>
      <c r="E1" s="113"/>
      <c r="F1" s="113"/>
      <c r="G1" s="113"/>
      <c r="H1" s="113"/>
      <c r="I1" s="113"/>
      <c r="J1" s="114"/>
      <c r="K1" s="113"/>
      <c r="L1" s="113"/>
      <c r="M1" s="113"/>
      <c r="N1" s="113"/>
      <c r="O1" s="113"/>
      <c r="P1" s="113"/>
      <c r="Q1" s="113"/>
      <c r="R1" s="113"/>
      <c r="S1" s="113"/>
      <c r="T1" s="113"/>
      <c r="U1" s="113"/>
      <c r="V1" s="115"/>
      <c r="W1" s="275"/>
      <c r="X1" s="155"/>
      <c r="Y1" s="180"/>
      <c r="Z1" s="939" t="str">
        <f>IF(Sheet1!$C$3="Annual"," the year ending 31st March"," the quarter")</f>
        <v xml:space="preserve"> the year ending 31st March</v>
      </c>
      <c r="AA1" s="180"/>
      <c r="AB1" s="180"/>
      <c r="AC1" s="180"/>
      <c r="AD1" s="180"/>
      <c r="AE1" s="180"/>
      <c r="AF1" s="180"/>
      <c r="AG1" s="180"/>
      <c r="AH1" s="180"/>
      <c r="AI1" s="180"/>
      <c r="AJ1" s="181"/>
      <c r="AK1" s="156"/>
    </row>
    <row r="2" spans="1:50" ht="18.75" customHeight="1" x14ac:dyDescent="0.2">
      <c r="A2" s="118"/>
      <c r="B2" s="128" t="s">
        <v>149</v>
      </c>
      <c r="C2" s="9"/>
      <c r="D2" s="9"/>
      <c r="E2" s="9"/>
      <c r="F2" s="9"/>
      <c r="G2" s="9"/>
      <c r="H2" s="9"/>
      <c r="I2" s="9"/>
      <c r="J2" s="12"/>
      <c r="K2" s="9"/>
      <c r="L2" s="9"/>
      <c r="M2" s="9"/>
      <c r="N2" s="9"/>
      <c r="O2" s="9"/>
      <c r="P2" s="9"/>
      <c r="Q2" s="9"/>
      <c r="R2" s="9"/>
      <c r="S2" s="9"/>
      <c r="T2" s="9"/>
      <c r="U2" s="9"/>
      <c r="V2" s="117"/>
      <c r="W2" s="161"/>
      <c r="X2" s="150"/>
      <c r="Y2" s="866">
        <f>IF(Sheet1!$C$3="Annual",1,4)</f>
        <v>1</v>
      </c>
      <c r="Z2" s="800" t="str">
        <f>IF(Sheet1!$C$3="Annual","",Sheet1!$D$28)</f>
        <v/>
      </c>
      <c r="AA2" s="801" t="str">
        <f>IF(Sheet1!$C$3="Annual","",Sheet1!$E$28)</f>
        <v/>
      </c>
      <c r="AB2" s="801" t="str">
        <f>IF(Sheet1!$C$3="Annual","",Sheet1!$F$28)</f>
        <v/>
      </c>
      <c r="AC2" s="801" t="str">
        <f>IF(Sheet1!$C$3="Annual","",Sheet1!$G$28)</f>
        <v/>
      </c>
      <c r="AD2" s="802" t="str">
        <f>IF(Sheet1!$C$3="Annual","",Sheet1!$H$28)</f>
        <v/>
      </c>
      <c r="AJ2" s="184"/>
      <c r="AK2" s="157"/>
    </row>
    <row r="3" spans="1:50" ht="18.75" customHeight="1" thickBot="1" x14ac:dyDescent="0.25">
      <c r="A3" s="124"/>
      <c r="B3" s="125"/>
      <c r="C3" s="125"/>
      <c r="D3" s="125"/>
      <c r="E3" s="125"/>
      <c r="F3" s="125"/>
      <c r="G3" s="125"/>
      <c r="H3" s="125"/>
      <c r="I3" s="267"/>
      <c r="J3" s="126"/>
      <c r="K3" s="125"/>
      <c r="L3" s="125"/>
      <c r="M3" s="125"/>
      <c r="N3" s="125"/>
      <c r="O3" s="125"/>
      <c r="P3" s="553"/>
      <c r="Q3" s="125"/>
      <c r="R3" s="125"/>
      <c r="S3" s="125"/>
      <c r="T3" s="267"/>
      <c r="U3" s="125"/>
      <c r="V3" s="127"/>
      <c r="W3" s="161"/>
      <c r="X3" s="150"/>
      <c r="Y3" s="803"/>
      <c r="Z3" s="803" t="str">
        <f>Sheet1!$D$27</f>
        <v>2015-16</v>
      </c>
      <c r="AA3" s="804" t="str">
        <f>Sheet1!$E$27</f>
        <v>2016-17</v>
      </c>
      <c r="AB3" s="804" t="str">
        <f>Sheet1!$F$27</f>
        <v>2017-18</v>
      </c>
      <c r="AC3" s="804" t="str">
        <f>Sheet1!$G$27</f>
        <v>2018-19</v>
      </c>
      <c r="AD3" s="805" t="str">
        <f>Sheet1!$H$27</f>
        <v>2019-20</v>
      </c>
      <c r="AJ3" s="184"/>
      <c r="AK3" s="157"/>
      <c r="AR3" s="74">
        <v>0</v>
      </c>
    </row>
    <row r="4" spans="1:50" ht="11.25" customHeight="1" x14ac:dyDescent="0.2">
      <c r="A4" s="112"/>
      <c r="B4" s="113"/>
      <c r="C4" s="113"/>
      <c r="D4" s="113"/>
      <c r="E4" s="113"/>
      <c r="F4" s="113"/>
      <c r="G4" s="113"/>
      <c r="H4" s="113"/>
      <c r="I4" s="113"/>
      <c r="J4" s="114"/>
      <c r="K4" s="113"/>
      <c r="L4" s="113"/>
      <c r="M4" s="113"/>
      <c r="N4" s="113"/>
      <c r="O4" s="113"/>
      <c r="P4" s="113"/>
      <c r="Q4" s="113"/>
      <c r="R4" s="113"/>
      <c r="S4" s="113"/>
      <c r="T4" s="113"/>
      <c r="U4" s="113"/>
      <c r="V4" s="115"/>
      <c r="W4" s="137"/>
      <c r="X4" s="150"/>
      <c r="Y4" s="188"/>
      <c r="Z4" s="186" t="str">
        <f>Home!$D$10</f>
        <v>(none)</v>
      </c>
      <c r="AA4" s="42" t="str">
        <f>"Selected LA- "&amp;Z4</f>
        <v>Selected LA- (none)</v>
      </c>
      <c r="AJ4" s="184"/>
      <c r="AK4" s="157"/>
    </row>
    <row r="5" spans="1:50" s="76" customFormat="1" ht="15" customHeight="1" x14ac:dyDescent="0.2">
      <c r="A5" s="119"/>
      <c r="B5" s="1808" t="str">
        <f>"Care Applications to Court during"&amp;Z1</f>
        <v>Care Applications to Court during the year ending 31st March</v>
      </c>
      <c r="C5" s="1642"/>
      <c r="D5" s="1642"/>
      <c r="E5" s="1642"/>
      <c r="F5" s="1642"/>
      <c r="G5" s="1642"/>
      <c r="H5" s="1642"/>
      <c r="I5" s="1642"/>
      <c r="J5" s="1642"/>
      <c r="K5" s="1642"/>
      <c r="L5" s="1642"/>
      <c r="M5" s="1642"/>
      <c r="N5" s="1642"/>
      <c r="O5" s="70"/>
      <c r="P5" s="70"/>
      <c r="Q5" s="70"/>
      <c r="R5" s="70"/>
      <c r="S5" s="70"/>
      <c r="T5" s="70"/>
      <c r="U5" s="70"/>
      <c r="V5" s="120"/>
      <c r="W5" s="138"/>
      <c r="X5" s="151"/>
      <c r="Y5" s="188"/>
      <c r="Z5" s="188"/>
      <c r="AA5" s="188"/>
      <c r="AB5" s="188"/>
      <c r="AC5" s="188"/>
      <c r="AD5" s="188"/>
      <c r="AE5" s="188"/>
      <c r="AF5" s="188"/>
      <c r="AG5" s="188"/>
      <c r="AH5" s="188"/>
      <c r="AI5" s="188"/>
      <c r="AJ5" s="188"/>
      <c r="AK5" s="158"/>
      <c r="AL5" s="188" t="str">
        <f>CONCATENATE($I$7,"in Number of "&amp;$B5)</f>
        <v>Average Annual Change in Number of Care Applications to Court during the year ending 31st March</v>
      </c>
      <c r="AR5" s="935" t="s">
        <v>682</v>
      </c>
    </row>
    <row r="6" spans="1:50" ht="13.5" customHeight="1" x14ac:dyDescent="0.2">
      <c r="A6" s="118"/>
      <c r="B6" s="1642"/>
      <c r="C6" s="1642"/>
      <c r="D6" s="1642"/>
      <c r="E6" s="1642"/>
      <c r="F6" s="1642"/>
      <c r="G6" s="1642"/>
      <c r="H6" s="1642"/>
      <c r="I6" s="1642"/>
      <c r="J6" s="1642"/>
      <c r="K6" s="1642"/>
      <c r="L6" s="1642"/>
      <c r="M6" s="1642"/>
      <c r="N6" s="1642"/>
      <c r="O6" s="70"/>
      <c r="P6" s="70"/>
      <c r="Q6" s="70"/>
      <c r="R6" s="70"/>
      <c r="S6" s="70"/>
      <c r="T6" s="70"/>
      <c r="U6" s="70"/>
      <c r="V6" s="117"/>
      <c r="W6" s="137"/>
      <c r="X6" s="150"/>
      <c r="Z6" s="190"/>
      <c r="AJ6" s="184"/>
      <c r="AK6" s="157"/>
    </row>
    <row r="7" spans="1:50" s="87" customFormat="1" ht="12.75" customHeight="1" x14ac:dyDescent="0.2">
      <c r="A7" s="121"/>
      <c r="B7" s="1789" t="s">
        <v>205</v>
      </c>
      <c r="C7" s="85"/>
      <c r="D7" s="1851" t="s">
        <v>88</v>
      </c>
      <c r="E7" s="1911"/>
      <c r="F7" s="1911"/>
      <c r="G7" s="1911"/>
      <c r="H7" s="1912"/>
      <c r="I7" s="1811" t="str">
        <f>"Average "&amp;Sheet1!C3&amp;" Change "</f>
        <v xml:space="preserve">Average Annual Change </v>
      </c>
      <c r="J7" s="96"/>
      <c r="K7" s="1913" t="s">
        <v>89</v>
      </c>
      <c r="L7" s="1914"/>
      <c r="M7" s="1914"/>
      <c r="N7" s="1914"/>
      <c r="O7" s="1914"/>
      <c r="P7" s="1914"/>
      <c r="Q7" s="1744" t="str">
        <f>IF(ISNA(O9),"SE Rank "&amp;O8,"SE Rank "&amp;O9)</f>
        <v>SE Rank 2019-20</v>
      </c>
      <c r="R7" s="70"/>
      <c r="S7" s="1817" t="str">
        <f>"Distance from Expected "&amp;Sheet1!$B$8</f>
        <v>Distance from Expected 2020</v>
      </c>
      <c r="T7" s="1818"/>
      <c r="U7" s="1819"/>
      <c r="V7" s="122"/>
      <c r="W7" s="139"/>
      <c r="X7" s="152"/>
      <c r="Y7" s="202"/>
      <c r="Z7" s="202"/>
      <c r="AB7" s="203" t="s">
        <v>79</v>
      </c>
      <c r="AC7" s="190"/>
      <c r="AD7" s="190"/>
      <c r="AE7" s="199"/>
      <c r="AF7" s="199"/>
      <c r="AG7" s="204" t="s">
        <v>94</v>
      </c>
      <c r="AH7" s="190"/>
      <c r="AI7" s="190"/>
      <c r="AJ7" s="202"/>
      <c r="AK7" s="160"/>
      <c r="AL7" s="575"/>
      <c r="AM7" s="575"/>
      <c r="AN7" s="575"/>
      <c r="AO7" s="575"/>
      <c r="AP7" s="575"/>
      <c r="AQ7" s="74"/>
    </row>
    <row r="8" spans="1:50" s="87" customFormat="1" ht="12.75" customHeight="1" x14ac:dyDescent="0.2">
      <c r="A8" s="292"/>
      <c r="B8" s="1789"/>
      <c r="C8" s="85"/>
      <c r="D8" s="789" t="str">
        <f>Sheet1!$D$27</f>
        <v>2015-16</v>
      </c>
      <c r="E8" s="790" t="str">
        <f>Sheet1!$E$27</f>
        <v>2016-17</v>
      </c>
      <c r="F8" s="790" t="str">
        <f>Sheet1!$F$27</f>
        <v>2017-18</v>
      </c>
      <c r="G8" s="790" t="str">
        <f>Sheet1!$G$27</f>
        <v>2018-19</v>
      </c>
      <c r="H8" s="791" t="str">
        <f>Sheet1!$H$27</f>
        <v>2019-20</v>
      </c>
      <c r="I8" s="1812"/>
      <c r="J8" s="96"/>
      <c r="K8" s="820" t="str">
        <f>Sheet1!$D$27</f>
        <v>2015-16</v>
      </c>
      <c r="L8" s="821" t="str">
        <f>Sheet1!$E$27</f>
        <v>2016-17</v>
      </c>
      <c r="M8" s="821" t="str">
        <f>Sheet1!$F$27</f>
        <v>2017-18</v>
      </c>
      <c r="N8" s="821" t="str">
        <f>Sheet1!$G$27</f>
        <v>2018-19</v>
      </c>
      <c r="O8" s="1741" t="str">
        <f>Sheet1!$H$27</f>
        <v>2019-20</v>
      </c>
      <c r="P8" s="1742"/>
      <c r="Q8" s="1816"/>
      <c r="R8" s="70"/>
      <c r="S8" s="1820"/>
      <c r="T8" s="1821"/>
      <c r="U8" s="1822"/>
      <c r="V8" s="122"/>
      <c r="W8" s="139"/>
      <c r="X8" s="152"/>
      <c r="Y8" s="202"/>
      <c r="Z8" s="1735" t="s">
        <v>76</v>
      </c>
      <c r="AA8" s="1735" t="s">
        <v>77</v>
      </c>
      <c r="AB8" s="758" t="str">
        <f>Sheet1!$D$27</f>
        <v>2015-16</v>
      </c>
      <c r="AC8" s="758" t="str">
        <f>Sheet1!$E$27</f>
        <v>2016-17</v>
      </c>
      <c r="AD8" s="758" t="str">
        <f>Sheet1!$F$27</f>
        <v>2017-18</v>
      </c>
      <c r="AE8" s="758" t="str">
        <f>Sheet1!$G$27</f>
        <v>2018-19</v>
      </c>
      <c r="AF8" s="758" t="str">
        <f>Sheet1!$H$27</f>
        <v>2019-20</v>
      </c>
      <c r="AG8" s="204"/>
      <c r="AH8" s="190"/>
      <c r="AI8" s="190"/>
      <c r="AJ8" s="202"/>
      <c r="AK8" s="160"/>
      <c r="AL8" s="922"/>
      <c r="AM8" s="922"/>
      <c r="AN8" s="922"/>
      <c r="AO8" s="922"/>
      <c r="AP8" s="922"/>
    </row>
    <row r="9" spans="1:50" s="87" customFormat="1" ht="12.75" customHeight="1" x14ac:dyDescent="0.2">
      <c r="A9" s="121"/>
      <c r="B9" s="1790"/>
      <c r="C9" s="85"/>
      <c r="D9" s="792" t="e">
        <f>Sheet1!$D$28</f>
        <v>#N/A</v>
      </c>
      <c r="E9" s="792" t="e">
        <f>Sheet1!$E$28</f>
        <v>#N/A</v>
      </c>
      <c r="F9" s="792" t="e">
        <f>Sheet1!$F$28</f>
        <v>#N/A</v>
      </c>
      <c r="G9" s="792" t="e">
        <f>Sheet1!$G$28</f>
        <v>#N/A</v>
      </c>
      <c r="H9" s="793" t="e">
        <f>Sheet1!$H$28</f>
        <v>#N/A</v>
      </c>
      <c r="I9" s="1813"/>
      <c r="J9" s="96"/>
      <c r="K9" s="792" t="e">
        <f>Sheet1!$D$28</f>
        <v>#N/A</v>
      </c>
      <c r="L9" s="792" t="e">
        <f>Sheet1!$E$28</f>
        <v>#N/A</v>
      </c>
      <c r="M9" s="792" t="e">
        <f>Sheet1!$F$28</f>
        <v>#N/A</v>
      </c>
      <c r="N9" s="792" t="e">
        <f>Sheet1!$G$28</f>
        <v>#N/A</v>
      </c>
      <c r="O9" s="1739" t="e">
        <f>Sheet1!$H$28</f>
        <v>#N/A</v>
      </c>
      <c r="P9" s="1827"/>
      <c r="Q9" s="1745"/>
      <c r="R9" s="70"/>
      <c r="S9" s="919" t="s">
        <v>78</v>
      </c>
      <c r="T9" s="856" t="s">
        <v>128</v>
      </c>
      <c r="U9" s="857" t="s">
        <v>129</v>
      </c>
      <c r="V9" s="122"/>
      <c r="W9" s="139"/>
      <c r="X9" s="152"/>
      <c r="Y9" s="202"/>
      <c r="Z9" s="1736"/>
      <c r="AA9" s="1736"/>
      <c r="AB9" s="758" t="e">
        <f>Sheet1!$D$28</f>
        <v>#N/A</v>
      </c>
      <c r="AC9" s="758" t="e">
        <f>Sheet1!$E$28</f>
        <v>#N/A</v>
      </c>
      <c r="AD9" s="758" t="e">
        <f>Sheet1!$F$28</f>
        <v>#N/A</v>
      </c>
      <c r="AE9" s="758" t="e">
        <f>Sheet1!$G$28</f>
        <v>#N/A</v>
      </c>
      <c r="AF9" s="758" t="e">
        <f>Sheet1!$H$28</f>
        <v>#N/A</v>
      </c>
      <c r="AG9" s="190"/>
      <c r="AH9" s="190">
        <f>COLUMNS($B$4:O$4)</f>
        <v>14</v>
      </c>
      <c r="AI9" s="190"/>
      <c r="AJ9" s="202"/>
      <c r="AK9" s="160"/>
      <c r="AL9" s="926" t="s">
        <v>676</v>
      </c>
      <c r="AM9" s="926" t="s">
        <v>677</v>
      </c>
      <c r="AN9" s="926" t="s">
        <v>678</v>
      </c>
      <c r="AO9" s="926" t="s">
        <v>679</v>
      </c>
      <c r="AP9" s="926" t="s">
        <v>680</v>
      </c>
      <c r="AR9" s="937" t="s">
        <v>683</v>
      </c>
      <c r="AS9" s="937" t="s">
        <v>684</v>
      </c>
      <c r="AT9" s="937" t="s">
        <v>685</v>
      </c>
      <c r="AU9" s="937" t="s">
        <v>686</v>
      </c>
      <c r="AV9" s="938" t="s">
        <v>687</v>
      </c>
      <c r="AW9" s="938" t="s">
        <v>688</v>
      </c>
      <c r="AX9" s="938" t="s">
        <v>689</v>
      </c>
    </row>
    <row r="10" spans="1:50" s="87" customFormat="1" ht="13.5" customHeight="1" x14ac:dyDescent="0.2">
      <c r="A10" s="488">
        <f>VLOOKUP(B10,Sheet1!$AQ$4:$AR$25,2,FALSE)</f>
        <v>0</v>
      </c>
      <c r="B10" s="93" t="str">
        <f>Sheet1!$K$4</f>
        <v>Bracknell Forest</v>
      </c>
      <c r="C10" s="85"/>
      <c r="D10" s="94">
        <f>IF(Year1_Bracknell_Forest Year1_Care_Applications="","",Year1_Bracknell_Forest Year1_Care_Applications)</f>
        <v>35</v>
      </c>
      <c r="E10" s="94">
        <f>IF(Year2_Bracknell_Forest Year2_Care_Applications="","",Year2_Bracknell_Forest Year2_Care_Applications)</f>
        <v>35</v>
      </c>
      <c r="F10" s="94">
        <f>IF(Year3_Bracknell_Forest Year3_Care_Applications="","",Year3_Bracknell_Forest Year3_Care_Applications)</f>
        <v>55</v>
      </c>
      <c r="G10" s="94">
        <f>IF(Year4_Bracknell_Forest Year4_Care_Applications="","",Year4_Bracknell_Forest Year4_Care_Applications)</f>
        <v>42</v>
      </c>
      <c r="H10" s="95">
        <f>IF(Year5_Bracknell_Forest Year5_Care_Applications="","",Year5_Bracknell_Forest Year5_Care_Applications)</f>
        <v>29</v>
      </c>
      <c r="I10" s="344">
        <f>AP10</f>
        <v>6.3852813852813828E-3</v>
      </c>
      <c r="J10" s="96"/>
      <c r="K10" s="97">
        <f>IF(ISNUMBER(D10),D10/Population!D10*10000,NA())</f>
        <v>12.411347517730498</v>
      </c>
      <c r="L10" s="97">
        <f>IF(ISNUMBER(E10),E10/Population!E10*10000,NA())</f>
        <v>12.411347517730498</v>
      </c>
      <c r="M10" s="97">
        <f>IF(ISNUMBER(F10),F10/Population!F10*10000,NA())</f>
        <v>19.572953736654803</v>
      </c>
      <c r="N10" s="97">
        <f>IF(ISNUMBER(G10),G10/Population!G10*10000,NA())</f>
        <v>14.840989399293287</v>
      </c>
      <c r="O10" s="98">
        <f>IF(ISNUMBER(H10),H10/Population!H10*10000,NA())</f>
        <v>10.211267605633804</v>
      </c>
      <c r="P10" s="99">
        <f>IF(ISNUMBER(O10),O10,"")</f>
        <v>10.211267605633804</v>
      </c>
      <c r="Q10" s="822">
        <f>IF(ISNA(VLOOKUP(B10,$AG$10:$AI$28,3,FALSE)),"--",IF(ISNUMBER(H10),VLOOKUP(B10,$AG$10:$AI$28,3,FALSE),NA()))</f>
        <v>11</v>
      </c>
      <c r="R10" s="70"/>
      <c r="S10" s="340">
        <f>IDACI!C9</f>
        <v>8.9</v>
      </c>
      <c r="T10" s="341">
        <f t="shared" ref="T10:T33" si="0">((S10*$Z$44)+$AA$44)/$Y$2</f>
        <v>6.3695449880876254</v>
      </c>
      <c r="U10" s="342">
        <f>O10-T10</f>
        <v>3.8417226175461785</v>
      </c>
      <c r="V10" s="122"/>
      <c r="W10" s="139"/>
      <c r="X10" s="152"/>
      <c r="Y10" s="72" t="str">
        <f>B10</f>
        <v>Bracknell Forest</v>
      </c>
      <c r="Z10" s="44">
        <f>IF(H10&gt;0,IDACI!D9,0)</f>
        <v>24849</v>
      </c>
      <c r="AA10" s="44">
        <f>IF(H10&gt;0,IDACI!E9,0)</f>
        <v>2211.5610000000001</v>
      </c>
      <c r="AB10" s="205">
        <f>IF(ISNUMBER(D10),Population!D10,"")</f>
        <v>28200</v>
      </c>
      <c r="AC10" s="205">
        <f>IF(ISNUMBER(E10),Population!E10,"")</f>
        <v>28200</v>
      </c>
      <c r="AD10" s="205">
        <f>IF(ISNUMBER(F10),Population!F10,"")</f>
        <v>28100</v>
      </c>
      <c r="AE10" s="205">
        <f>IF(ISNUMBER(G10),Population!G10,"")</f>
        <v>28300</v>
      </c>
      <c r="AF10" s="205">
        <f>IF(ISNUMBER(H10),Population!H10,"")</f>
        <v>28400</v>
      </c>
      <c r="AG10" s="93" t="str">
        <f>B10</f>
        <v>Bracknell Forest</v>
      </c>
      <c r="AH10" s="231">
        <f>IFERROR(VLOOKUP(AG10,$B$10:$O$31,$AH$9,FALSE),"")</f>
        <v>10.211267605633804</v>
      </c>
      <c r="AI10" s="206">
        <f>RANK(AH10,$AH$10:$AH$28,1)</f>
        <v>11</v>
      </c>
      <c r="AJ10" s="202"/>
      <c r="AK10" s="160"/>
      <c r="AL10" s="853">
        <f>IF(ISERROR((E10-D10)/D10),"x",(E10-D10)/D10)</f>
        <v>0</v>
      </c>
      <c r="AM10" s="853">
        <f>IF(ISERROR((F10-E10)/E10),"x",(F10-E10)/E10)</f>
        <v>0.5714285714285714</v>
      </c>
      <c r="AN10" s="853">
        <f>IF(ISERROR((G10-F10)/F10),"x",(G10-F10)/F10)</f>
        <v>-0.23636363636363636</v>
      </c>
      <c r="AO10" s="853">
        <f>IF(ISERROR((H10-G10)/G10),"x",(H10-G10)/G10)</f>
        <v>-0.30952380952380953</v>
      </c>
      <c r="AP10" s="853">
        <f>AVERAGE(AL10:AO10)</f>
        <v>6.3852813852813828E-3</v>
      </c>
      <c r="AR10" s="936">
        <f>IF(ISNUMBER(L10),L10,"")</f>
        <v>12.411347517730498</v>
      </c>
      <c r="AS10" s="936">
        <f t="shared" ref="AR10:AU25" si="1">IF(ISNUMBER(M10),M10,"")</f>
        <v>19.572953736654803</v>
      </c>
      <c r="AT10" s="936">
        <f t="shared" si="1"/>
        <v>14.840989399293287</v>
      </c>
      <c r="AU10" s="936">
        <f t="shared" si="1"/>
        <v>10.211267605633804</v>
      </c>
      <c r="AV10" s="936">
        <f t="shared" ref="AV10:AV22" si="2">SUM(AR10:AU10)</f>
        <v>57.036558259312386</v>
      </c>
      <c r="AW10" s="575">
        <f t="shared" ref="AW10:AW22" si="3">COUNTBLANK(AR10:AU10)</f>
        <v>0</v>
      </c>
      <c r="AX10" s="936">
        <f>AV10/(4-AW10)*4</f>
        <v>57.036558259312386</v>
      </c>
    </row>
    <row r="11" spans="1:50" s="87" customFormat="1" ht="13.5" customHeight="1" x14ac:dyDescent="0.2">
      <c r="A11" s="488">
        <f>VLOOKUP(B11,Sheet1!$AQ$4:$AR$25,2,FALSE)</f>
        <v>0</v>
      </c>
      <c r="B11" s="93" t="str">
        <f>Sheet1!$K$5</f>
        <v>Brighton &amp; Hove</v>
      </c>
      <c r="C11" s="85"/>
      <c r="D11" s="94">
        <f>IF(Year1_Brighton_Hove Year1_Care_Applications="","",Year1_Brighton_Hove Year1_Care_Applications)</f>
        <v>99</v>
      </c>
      <c r="E11" s="94">
        <f>IF(Year2_Brighton_Hove Year2_Care_Applications="","",Year2_Brighton_Hove Year2_Care_Applications)</f>
        <v>104</v>
      </c>
      <c r="F11" s="94">
        <f>IF(Year3_Brighton_Hove Year3_Care_Applications="","",Year3_Brighton_Hove Year3_Care_Applications)</f>
        <v>77</v>
      </c>
      <c r="G11" s="94">
        <f>IF(Year4_Brighton_Hove Year4_Care_Applications="","",Year4_Brighton_Hove Year4_Care_Applications)</f>
        <v>61</v>
      </c>
      <c r="H11" s="95">
        <f>IF(Year5_Brighton_Hove Year5_Care_Applications="","",Year5_Brighton_Hove Year5_Care_Applications)</f>
        <v>79</v>
      </c>
      <c r="I11" s="344">
        <f t="shared" ref="I11:I33" si="4">AP11</f>
        <v>-3.0455143672356799E-2</v>
      </c>
      <c r="J11" s="96"/>
      <c r="K11" s="97">
        <f>IF(ISNUMBER(D11),D11/Population!D11*10000,NA())</f>
        <v>19.3359375</v>
      </c>
      <c r="L11" s="97">
        <f>IF(ISNUMBER(E11),E11/Population!E11*10000,NA())</f>
        <v>20.2729044834308</v>
      </c>
      <c r="M11" s="97">
        <f>IF(ISNUMBER(F11),F11/Population!F11*10000,NA())</f>
        <v>15.098039215686274</v>
      </c>
      <c r="N11" s="97">
        <f>IF(ISNUMBER(G11),G11/Population!G11*10000,NA())</f>
        <v>11.96078431372549</v>
      </c>
      <c r="O11" s="98">
        <f>IF(ISNUMBER(H11),H11/Population!H11*10000,NA())</f>
        <v>15.705765407554672</v>
      </c>
      <c r="P11" s="99">
        <f t="shared" ref="P11:P33" si="5">IF(ISNUMBER(O11),O11,"")</f>
        <v>15.705765407554672</v>
      </c>
      <c r="Q11" s="822">
        <f t="shared" ref="Q11:Q33" si="6">IF(ISNA(VLOOKUP(B11,$AG$10:$AI$28,3,FALSE)),"--",IF(ISNUMBER(H11),VLOOKUP(B11,$AG$10:$AI$28,3,FALSE),NA()))</f>
        <v>18</v>
      </c>
      <c r="R11" s="70"/>
      <c r="S11" s="340">
        <f>IDACI!C10</f>
        <v>15.299999999999999</v>
      </c>
      <c r="T11" s="341">
        <f t="shared" si="0"/>
        <v>10.709472487382804</v>
      </c>
      <c r="U11" s="342">
        <f t="shared" ref="U11:U33" si="7">O11-T11</f>
        <v>4.996292920171868</v>
      </c>
      <c r="V11" s="122"/>
      <c r="W11" s="139"/>
      <c r="X11" s="152"/>
      <c r="Y11" s="72" t="str">
        <f t="shared" ref="Y11:Y33" si="8">B11</f>
        <v>Brighton &amp; Hove</v>
      </c>
      <c r="Z11" s="44">
        <f>IF(H11&gt;0,IDACI!D10,0)</f>
        <v>45576</v>
      </c>
      <c r="AA11" s="44">
        <f>IF(H11&gt;0,IDACI!E10,0)</f>
        <v>6973.1279999999997</v>
      </c>
      <c r="AB11" s="205">
        <f>IF(ISNUMBER(D11),Population!D11,"")</f>
        <v>51200</v>
      </c>
      <c r="AC11" s="205">
        <f>IF(ISNUMBER(E11),Population!E11,"")</f>
        <v>51300</v>
      </c>
      <c r="AD11" s="205">
        <f>IF(ISNUMBER(F11),Population!F11,"")</f>
        <v>51000</v>
      </c>
      <c r="AE11" s="205">
        <f>IF(ISNUMBER(G11),Population!G11,"")</f>
        <v>51000</v>
      </c>
      <c r="AF11" s="205">
        <f>IF(ISNUMBER(H11),Population!H11,"")</f>
        <v>50300</v>
      </c>
      <c r="AG11" s="93" t="s">
        <v>31</v>
      </c>
      <c r="AH11" s="231">
        <f t="shared" ref="AH11:AH28" si="9">IFERROR(VLOOKUP(AG11,$B$10:$O$31,$AH$9,FALSE),"")</f>
        <v>15.705765407554672</v>
      </c>
      <c r="AI11" s="206">
        <f t="shared" ref="AI11:AI28" si="10">RANK(AH11,$AH$10:$AH$28,1)</f>
        <v>18</v>
      </c>
      <c r="AJ11" s="202"/>
      <c r="AK11" s="160"/>
      <c r="AL11" s="853">
        <f t="shared" ref="AL11:AO33" si="11">IF(ISERROR((E11-D11)/D11),"x",(E11-D11)/D11)</f>
        <v>5.0505050505050504E-2</v>
      </c>
      <c r="AM11" s="853">
        <f t="shared" si="11"/>
        <v>-0.25961538461538464</v>
      </c>
      <c r="AN11" s="853">
        <f t="shared" si="11"/>
        <v>-0.20779220779220781</v>
      </c>
      <c r="AO11" s="853">
        <f t="shared" si="11"/>
        <v>0.29508196721311475</v>
      </c>
      <c r="AP11" s="853">
        <f t="shared" ref="AP11:AP32" si="12">AVERAGE(AL11:AO11)</f>
        <v>-3.0455143672356799E-2</v>
      </c>
      <c r="AR11" s="936">
        <f t="shared" si="1"/>
        <v>20.2729044834308</v>
      </c>
      <c r="AS11" s="936">
        <f t="shared" si="1"/>
        <v>15.098039215686274</v>
      </c>
      <c r="AT11" s="936">
        <f t="shared" si="1"/>
        <v>11.96078431372549</v>
      </c>
      <c r="AU11" s="936">
        <f t="shared" si="1"/>
        <v>15.705765407554672</v>
      </c>
      <c r="AV11" s="936">
        <f t="shared" si="2"/>
        <v>63.03749342039724</v>
      </c>
      <c r="AW11" s="575">
        <f t="shared" si="3"/>
        <v>0</v>
      </c>
      <c r="AX11" s="936">
        <f t="shared" ref="AX11:AX33" si="13">AV11/(4-AW11)*4</f>
        <v>63.03749342039724</v>
      </c>
    </row>
    <row r="12" spans="1:50" s="87" customFormat="1" ht="13.5" customHeight="1" x14ac:dyDescent="0.2">
      <c r="A12" s="488">
        <f>VLOOKUP(B12,Sheet1!$AQ$4:$AR$25,2,FALSE)</f>
        <v>0</v>
      </c>
      <c r="B12" s="93" t="str">
        <f>Sheet1!$K$6</f>
        <v>Buckinghamshire</v>
      </c>
      <c r="C12" s="85"/>
      <c r="D12" s="94">
        <f>IF(Year1_Buckinghamshire Year1_Care_Applications="","",Year1_Buckinghamshire Year1_Care_Applications)</f>
        <v>120</v>
      </c>
      <c r="E12" s="94">
        <f>IF(Year2_Buckinghamshire Year2_Care_Applications="","",Year2_Buckinghamshire Year2_Care_Applications)</f>
        <v>102</v>
      </c>
      <c r="F12" s="94">
        <f>IF(Year3_Buckinghamshire Year3_Care_Applications="","",Year3_Buckinghamshire Year3_Care_Applications)</f>
        <v>87</v>
      </c>
      <c r="G12" s="94">
        <f>IF(Year4_Buckinghamshire Year4_Care_Applications="","",Year4_Buckinghamshire Year4_Care_Applications)</f>
        <v>104</v>
      </c>
      <c r="H12" s="95">
        <f>IF(Year5_Buckinghamshire Year5_Care_Applications="","",Year5_Buckinghamshire Year5_Care_Applications)</f>
        <v>90</v>
      </c>
      <c r="I12" s="344">
        <f t="shared" si="4"/>
        <v>-5.9067977323555412E-2</v>
      </c>
      <c r="J12" s="96"/>
      <c r="K12" s="97">
        <f>IF(ISNUMBER(D12),D12/Population!D12*10000,NA())</f>
        <v>9.9502487562189046</v>
      </c>
      <c r="L12" s="97">
        <f>IF(ISNUMBER(E12),E12/Population!E12*10000,NA())</f>
        <v>8.3469721767594116</v>
      </c>
      <c r="M12" s="97">
        <f>IF(ISNUMBER(F12),F12/Population!F12*10000,NA())</f>
        <v>7.0674248578391552</v>
      </c>
      <c r="N12" s="97">
        <f>IF(ISNUMBER(G12),G12/Population!G12*10000,NA())</f>
        <v>8.3668543845534984</v>
      </c>
      <c r="O12" s="98">
        <f>IF(ISNUMBER(H12),H12/Population!H12*10000,NA())</f>
        <v>7.1599045346062056</v>
      </c>
      <c r="P12" s="99">
        <f t="shared" si="5"/>
        <v>7.1599045346062056</v>
      </c>
      <c r="Q12" s="822">
        <f t="shared" si="6"/>
        <v>5</v>
      </c>
      <c r="R12" s="70"/>
      <c r="S12" s="340">
        <f>IDACI!C11</f>
        <v>8.5</v>
      </c>
      <c r="T12" s="341">
        <f t="shared" si="0"/>
        <v>6.0982995193816762</v>
      </c>
      <c r="U12" s="342">
        <f t="shared" si="7"/>
        <v>1.0616050152245293</v>
      </c>
      <c r="V12" s="122"/>
      <c r="W12" s="139"/>
      <c r="X12" s="152"/>
      <c r="Y12" s="72" t="str">
        <f t="shared" si="8"/>
        <v>Buckinghamshire</v>
      </c>
      <c r="Z12" s="44">
        <f>IF(H12&gt;0,IDACI!D11,0)</f>
        <v>107385</v>
      </c>
      <c r="AA12" s="44">
        <f>IF(H12&gt;0,IDACI!E11,0)</f>
        <v>9127.7250000000004</v>
      </c>
      <c r="AB12" s="205">
        <f>IF(ISNUMBER(D12),Population!D12,"")</f>
        <v>120600</v>
      </c>
      <c r="AC12" s="205">
        <f>IF(ISNUMBER(E12),Population!E12,"")</f>
        <v>122200</v>
      </c>
      <c r="AD12" s="205">
        <f>IF(ISNUMBER(F12),Population!F12,"")</f>
        <v>123100</v>
      </c>
      <c r="AE12" s="205">
        <f>IF(ISNUMBER(G12),Population!G12,"")</f>
        <v>124300</v>
      </c>
      <c r="AF12" s="205">
        <f>IF(ISNUMBER(H12),Population!H12,"")</f>
        <v>125700</v>
      </c>
      <c r="AG12" s="93" t="s">
        <v>8</v>
      </c>
      <c r="AH12" s="231">
        <f t="shared" si="9"/>
        <v>7.1599045346062056</v>
      </c>
      <c r="AI12" s="206">
        <f t="shared" si="10"/>
        <v>5</v>
      </c>
      <c r="AJ12" s="202"/>
      <c r="AK12" s="160"/>
      <c r="AL12" s="853">
        <f t="shared" si="11"/>
        <v>-0.15</v>
      </c>
      <c r="AM12" s="853">
        <f t="shared" si="11"/>
        <v>-0.14705882352941177</v>
      </c>
      <c r="AN12" s="853">
        <f t="shared" si="11"/>
        <v>0.19540229885057472</v>
      </c>
      <c r="AO12" s="853">
        <f t="shared" si="11"/>
        <v>-0.13461538461538461</v>
      </c>
      <c r="AP12" s="853">
        <f t="shared" si="12"/>
        <v>-5.9067977323555412E-2</v>
      </c>
      <c r="AR12" s="936">
        <f t="shared" si="1"/>
        <v>8.3469721767594116</v>
      </c>
      <c r="AS12" s="936">
        <f t="shared" si="1"/>
        <v>7.0674248578391552</v>
      </c>
      <c r="AT12" s="936">
        <f t="shared" si="1"/>
        <v>8.3668543845534984</v>
      </c>
      <c r="AU12" s="936">
        <f t="shared" si="1"/>
        <v>7.1599045346062056</v>
      </c>
      <c r="AV12" s="936">
        <f t="shared" si="2"/>
        <v>30.941155953758269</v>
      </c>
      <c r="AW12" s="575">
        <f t="shared" si="3"/>
        <v>0</v>
      </c>
      <c r="AX12" s="936">
        <f t="shared" si="13"/>
        <v>30.941155953758269</v>
      </c>
    </row>
    <row r="13" spans="1:50" s="87" customFormat="1" ht="13.5" customHeight="1" x14ac:dyDescent="0.2">
      <c r="A13" s="488">
        <f>VLOOKUP(B13,Sheet1!$AQ$4:$AR$25,2,FALSE)</f>
        <v>0</v>
      </c>
      <c r="B13" s="93" t="str">
        <f>Sheet1!$K$7</f>
        <v>East Sussex</v>
      </c>
      <c r="C13" s="85"/>
      <c r="D13" s="94">
        <f>IF(Year1_East_Sussex Year1_Care_Applications="","",Year1_East_Sussex Year1_Care_Applications)</f>
        <v>82</v>
      </c>
      <c r="E13" s="100">
        <f>IF(Year2_East_Sussex Year2_Care_Applications="","",Year2_East_Sussex Year2_Care_Applications)</f>
        <v>99</v>
      </c>
      <c r="F13" s="94">
        <f>IF(Year3_East_Sussex Year3_Care_Applications="","",Year3_East_Sussex Year3_Care_Applications)</f>
        <v>90</v>
      </c>
      <c r="G13" s="94">
        <f>IF(Year4_East_Sussex Year4_Care_Applications="","",Year4_East_Sussex Year4_Care_Applications)</f>
        <v>82</v>
      </c>
      <c r="H13" s="95">
        <f>IF(Year5_East_Sussex Year5_Care_Applications="","",Year5_East_Sussex Year5_Care_Applications)</f>
        <v>69</v>
      </c>
      <c r="I13" s="344">
        <f t="shared" si="4"/>
        <v>-3.2754372998275438E-2</v>
      </c>
      <c r="J13" s="96"/>
      <c r="K13" s="97">
        <f>IF(ISNUMBER(D13),D13/Population!D13*10000,NA())</f>
        <v>7.7431539187913128</v>
      </c>
      <c r="L13" s="97">
        <f>IF(ISNUMBER(E13),E13/Population!E13*10000,NA())</f>
        <v>9.3484419263456093</v>
      </c>
      <c r="M13" s="97">
        <f>IF(ISNUMBER(F13),F13/Population!F13*10000,NA())</f>
        <v>8.4905660377358494</v>
      </c>
      <c r="N13" s="97">
        <f>IF(ISNUMBER(G13),G13/Population!G13*10000,NA())</f>
        <v>7.7067669172932334</v>
      </c>
      <c r="O13" s="98">
        <f>IF(ISNUMBER(H13),H13/Population!H13*10000,NA())</f>
        <v>6.4910630291627474</v>
      </c>
      <c r="P13" s="99">
        <f t="shared" si="5"/>
        <v>6.4910630291627474</v>
      </c>
      <c r="Q13" s="822">
        <f t="shared" si="6"/>
        <v>4</v>
      </c>
      <c r="R13" s="70"/>
      <c r="S13" s="340">
        <f>IDACI!C12</f>
        <v>16.100000000000001</v>
      </c>
      <c r="T13" s="341">
        <f t="shared" si="0"/>
        <v>11.251963424794702</v>
      </c>
      <c r="U13" s="342">
        <f t="shared" si="7"/>
        <v>-4.7609003956319551</v>
      </c>
      <c r="V13" s="122"/>
      <c r="W13" s="139"/>
      <c r="X13" s="152"/>
      <c r="Y13" s="72" t="str">
        <f t="shared" si="8"/>
        <v>East Sussex</v>
      </c>
      <c r="Z13" s="44">
        <f>IF(H13&gt;0,IDACI!D12,0)</f>
        <v>93130</v>
      </c>
      <c r="AA13" s="44">
        <f>IF(H13&gt;0,IDACI!E12,0)</f>
        <v>14993.93</v>
      </c>
      <c r="AB13" s="205">
        <f>IF(ISNUMBER(D13),Population!D13,"")</f>
        <v>105900</v>
      </c>
      <c r="AC13" s="205">
        <f>IF(ISNUMBER(E13),Population!E13,"")</f>
        <v>105900</v>
      </c>
      <c r="AD13" s="205">
        <f>IF(ISNUMBER(F13),Population!F13,"")</f>
        <v>106000</v>
      </c>
      <c r="AE13" s="205">
        <f>IF(ISNUMBER(G13),Population!G13,"")</f>
        <v>106400</v>
      </c>
      <c r="AF13" s="205">
        <f>IF(ISNUMBER(H13),Population!H13,"")</f>
        <v>106300</v>
      </c>
      <c r="AG13" s="93" t="s">
        <v>4</v>
      </c>
      <c r="AH13" s="231">
        <f t="shared" si="9"/>
        <v>6.4910630291627474</v>
      </c>
      <c r="AI13" s="206">
        <f t="shared" si="10"/>
        <v>4</v>
      </c>
      <c r="AJ13" s="202"/>
      <c r="AK13" s="160"/>
      <c r="AL13" s="853">
        <f t="shared" si="11"/>
        <v>0.2073170731707317</v>
      </c>
      <c r="AM13" s="853">
        <f t="shared" si="11"/>
        <v>-9.0909090909090912E-2</v>
      </c>
      <c r="AN13" s="853">
        <f t="shared" si="11"/>
        <v>-8.8888888888888892E-2</v>
      </c>
      <c r="AO13" s="853">
        <f t="shared" si="11"/>
        <v>-0.15853658536585366</v>
      </c>
      <c r="AP13" s="853">
        <f t="shared" si="12"/>
        <v>-3.2754372998275438E-2</v>
      </c>
      <c r="AR13" s="936">
        <f t="shared" si="1"/>
        <v>9.3484419263456093</v>
      </c>
      <c r="AS13" s="936">
        <f t="shared" si="1"/>
        <v>8.4905660377358494</v>
      </c>
      <c r="AT13" s="936">
        <f t="shared" si="1"/>
        <v>7.7067669172932334</v>
      </c>
      <c r="AU13" s="936">
        <f t="shared" si="1"/>
        <v>6.4910630291627474</v>
      </c>
      <c r="AV13" s="936">
        <f t="shared" si="2"/>
        <v>32.036837910537443</v>
      </c>
      <c r="AW13" s="575">
        <f t="shared" si="3"/>
        <v>0</v>
      </c>
      <c r="AX13" s="936">
        <f t="shared" si="13"/>
        <v>32.036837910537443</v>
      </c>
    </row>
    <row r="14" spans="1:50" s="87" customFormat="1" ht="13.5" customHeight="1" x14ac:dyDescent="0.2">
      <c r="A14" s="488">
        <f>VLOOKUP(B14,Sheet1!$AQ$4:$AR$25,2,FALSE)</f>
        <v>0</v>
      </c>
      <c r="B14" s="93" t="str">
        <f>Sheet1!$K$8</f>
        <v>Hampshire</v>
      </c>
      <c r="C14" s="85"/>
      <c r="D14" s="94">
        <f>IF(Year1_Hampshire Year1_Care_Applications="","",Year1_Hampshire Year1_Care_Applications)</f>
        <v>194</v>
      </c>
      <c r="E14" s="94">
        <f>IF(Year2_Hampshire Year2_Care_Applications="","",Year2_Hampshire Year2_Care_Applications)</f>
        <v>227</v>
      </c>
      <c r="F14" s="101">
        <f>IF(Year3_Hampshire Year3_Care_Applications="","",Year3_Hampshire Year3_Care_Applications)</f>
        <v>259</v>
      </c>
      <c r="G14" s="101">
        <f>IF(Year4_Hampshire Year4_Care_Applications="","",Year4_Hampshire Year4_Care_Applications)</f>
        <v>264</v>
      </c>
      <c r="H14" s="95">
        <f>IF(Year5_Hampshire Year5_Care_Applications="","",Year5_Hampshire Year5_Care_Applications)</f>
        <v>206</v>
      </c>
      <c r="I14" s="344">
        <f t="shared" si="4"/>
        <v>2.7670076346787385E-2</v>
      </c>
      <c r="J14" s="96"/>
      <c r="K14" s="97">
        <f>IF(ISNUMBER(D14),D14/Population!D14*10000,NA())</f>
        <v>6.8818730046115641</v>
      </c>
      <c r="L14" s="97">
        <f>IF(ISNUMBER(E14),E14/Population!E14*10000,NA())</f>
        <v>8.026874115983027</v>
      </c>
      <c r="M14" s="97">
        <f>IF(ISNUMBER(F14),F14/Population!F14*10000,NA())</f>
        <v>9.1422520296505478</v>
      </c>
      <c r="N14" s="97">
        <f>IF(ISNUMBER(G14),G14/Population!G14*10000,NA())</f>
        <v>9.295774647887324</v>
      </c>
      <c r="O14" s="98">
        <f>IF(ISNUMBER(H14),H14/Population!H14*10000,NA())</f>
        <v>7.2458670418571929</v>
      </c>
      <c r="P14" s="99">
        <f t="shared" si="5"/>
        <v>7.2458670418571929</v>
      </c>
      <c r="Q14" s="822">
        <f t="shared" si="6"/>
        <v>6</v>
      </c>
      <c r="R14" s="70"/>
      <c r="S14" s="340">
        <f>IDACI!C13</f>
        <v>10.100000000000001</v>
      </c>
      <c r="T14" s="341">
        <f t="shared" si="0"/>
        <v>7.1832813942054727</v>
      </c>
      <c r="U14" s="342">
        <f t="shared" si="7"/>
        <v>6.2585647651720144E-2</v>
      </c>
      <c r="V14" s="122"/>
      <c r="W14" s="139"/>
      <c r="X14" s="152"/>
      <c r="Y14" s="72" t="str">
        <f t="shared" si="8"/>
        <v>Hampshire</v>
      </c>
      <c r="Z14" s="44">
        <f>IF(H14&gt;0,IDACI!D13,0)</f>
        <v>249483</v>
      </c>
      <c r="AA14" s="44">
        <f>IF(H14&gt;0,IDACI!E13,0)</f>
        <v>25197.783000000007</v>
      </c>
      <c r="AB14" s="205">
        <f>IF(ISNUMBER(D14),Population!D14,"")</f>
        <v>281900</v>
      </c>
      <c r="AC14" s="205">
        <f>IF(ISNUMBER(E14),Population!E14,"")</f>
        <v>282800</v>
      </c>
      <c r="AD14" s="205">
        <f>IF(ISNUMBER(F14),Population!F14,"")</f>
        <v>283300</v>
      </c>
      <c r="AE14" s="205">
        <f>IF(ISNUMBER(G14),Population!G14,"")</f>
        <v>284000</v>
      </c>
      <c r="AF14" s="205">
        <f>IF(ISNUMBER(H14),Population!H14,"")</f>
        <v>284300</v>
      </c>
      <c r="AG14" s="93" t="s">
        <v>6</v>
      </c>
      <c r="AH14" s="231">
        <f t="shared" si="9"/>
        <v>7.2458670418571929</v>
      </c>
      <c r="AI14" s="206">
        <f t="shared" si="10"/>
        <v>6</v>
      </c>
      <c r="AJ14" s="202"/>
      <c r="AK14" s="160"/>
      <c r="AL14" s="853">
        <f t="shared" si="11"/>
        <v>0.17010309278350516</v>
      </c>
      <c r="AM14" s="853">
        <f t="shared" si="11"/>
        <v>0.14096916299559473</v>
      </c>
      <c r="AN14" s="853">
        <f t="shared" si="11"/>
        <v>1.9305019305019305E-2</v>
      </c>
      <c r="AO14" s="853">
        <f t="shared" si="11"/>
        <v>-0.2196969696969697</v>
      </c>
      <c r="AP14" s="853">
        <f t="shared" si="12"/>
        <v>2.7670076346787385E-2</v>
      </c>
      <c r="AR14" s="936">
        <f t="shared" si="1"/>
        <v>8.026874115983027</v>
      </c>
      <c r="AS14" s="936">
        <f t="shared" si="1"/>
        <v>9.1422520296505478</v>
      </c>
      <c r="AT14" s="936">
        <f t="shared" si="1"/>
        <v>9.295774647887324</v>
      </c>
      <c r="AU14" s="936">
        <f t="shared" si="1"/>
        <v>7.2458670418571929</v>
      </c>
      <c r="AV14" s="936">
        <f t="shared" si="2"/>
        <v>33.710767835378093</v>
      </c>
      <c r="AW14" s="575">
        <f t="shared" si="3"/>
        <v>0</v>
      </c>
      <c r="AX14" s="936">
        <f t="shared" si="13"/>
        <v>33.710767835378093</v>
      </c>
    </row>
    <row r="15" spans="1:50" s="87" customFormat="1" ht="13.5" customHeight="1" x14ac:dyDescent="0.2">
      <c r="A15" s="488">
        <f>VLOOKUP(B15,Sheet1!$AQ$4:$AR$25,2,FALSE)</f>
        <v>0</v>
      </c>
      <c r="B15" s="93" t="str">
        <f>Sheet1!$K$9</f>
        <v>Isle of Wight</v>
      </c>
      <c r="C15" s="85"/>
      <c r="D15" s="94">
        <f>IF(Year1_Isle_of_Wight Year1_Care_Applications="","",Year1_Isle_of_Wight Year1_Care_Applications)</f>
        <v>32</v>
      </c>
      <c r="E15" s="94">
        <f>IF(Year2_Isle_of_Wight Year2_Care_Applications="","",Year2_Isle_of_Wight Year2_Care_Applications)</f>
        <v>43</v>
      </c>
      <c r="F15" s="94">
        <f>IF(Year3_Isle_of_Wight Year3_Care_Applications="","",Year3_Isle_of_Wight Year3_Care_Applications)</f>
        <v>41</v>
      </c>
      <c r="G15" s="94">
        <f>IF(Year4_Isle_of_Wight Year4_Care_Applications="","",Year4_Isle_of_Wight Year4_Care_Applications)</f>
        <v>40</v>
      </c>
      <c r="H15" s="95">
        <f>IF(Year5_Isle_of_Wight Year5_Care_Applications="","",Year5_Isle_of_Wight Year5_Care_Applications)</f>
        <v>26</v>
      </c>
      <c r="I15" s="344">
        <f t="shared" si="4"/>
        <v>-1.9287967952353935E-2</v>
      </c>
      <c r="J15" s="96"/>
      <c r="K15" s="97">
        <f>IF(ISNUMBER(D15),D15/Population!D15*10000,NA())</f>
        <v>12.648221343873518</v>
      </c>
      <c r="L15" s="97">
        <f>IF(ISNUMBER(E15),E15/Population!E15*10000,NA())</f>
        <v>17.063492063492063</v>
      </c>
      <c r="M15" s="97">
        <f>IF(ISNUMBER(F15),F15/Population!F15*10000,NA())</f>
        <v>16.334661354581673</v>
      </c>
      <c r="N15" s="97">
        <f>IF(ISNUMBER(G15),G15/Population!G15*10000,NA())</f>
        <v>16.064257028112451</v>
      </c>
      <c r="O15" s="98">
        <f>IF(ISNUMBER(H15),H15/Population!H15*10000,NA())</f>
        <v>10.526315789473683</v>
      </c>
      <c r="P15" s="99">
        <f t="shared" si="5"/>
        <v>10.526315789473683</v>
      </c>
      <c r="Q15" s="822">
        <f t="shared" si="6"/>
        <v>12</v>
      </c>
      <c r="R15" s="70"/>
      <c r="S15" s="340">
        <f>IDACI!C14</f>
        <v>18</v>
      </c>
      <c r="T15" s="341">
        <f t="shared" si="0"/>
        <v>12.540379401147959</v>
      </c>
      <c r="U15" s="342">
        <f t="shared" si="7"/>
        <v>-2.0140636116742758</v>
      </c>
      <c r="V15" s="122"/>
      <c r="W15" s="139"/>
      <c r="X15" s="152"/>
      <c r="Y15" s="72" t="str">
        <f t="shared" si="8"/>
        <v>Isle of Wight</v>
      </c>
      <c r="Z15" s="44">
        <f>IF(H15&gt;0,IDACI!D14,0)</f>
        <v>22123</v>
      </c>
      <c r="AA15" s="44">
        <f>IF(H15&gt;0,IDACI!E14,0)</f>
        <v>3982.14</v>
      </c>
      <c r="AB15" s="205">
        <f>IF(ISNUMBER(D15),Population!D15,"")</f>
        <v>25300</v>
      </c>
      <c r="AC15" s="205">
        <f>IF(ISNUMBER(E15),Population!E15,"")</f>
        <v>25200</v>
      </c>
      <c r="AD15" s="205">
        <f>IF(ISNUMBER(F15),Population!F15,"")</f>
        <v>25100</v>
      </c>
      <c r="AE15" s="205">
        <f>IF(ISNUMBER(G15),Population!G15,"")</f>
        <v>24900</v>
      </c>
      <c r="AF15" s="205">
        <f>IF(ISNUMBER(H15),Population!H15,"")</f>
        <v>24700</v>
      </c>
      <c r="AG15" s="93" t="s">
        <v>1</v>
      </c>
      <c r="AH15" s="231">
        <f t="shared" si="9"/>
        <v>10.526315789473683</v>
      </c>
      <c r="AI15" s="206">
        <f t="shared" si="10"/>
        <v>12</v>
      </c>
      <c r="AJ15" s="202"/>
      <c r="AK15" s="160"/>
      <c r="AL15" s="853">
        <f t="shared" si="11"/>
        <v>0.34375</v>
      </c>
      <c r="AM15" s="853">
        <f t="shared" si="11"/>
        <v>-4.6511627906976744E-2</v>
      </c>
      <c r="AN15" s="853">
        <f t="shared" si="11"/>
        <v>-2.4390243902439025E-2</v>
      </c>
      <c r="AO15" s="853">
        <f t="shared" si="11"/>
        <v>-0.35</v>
      </c>
      <c r="AP15" s="853">
        <f t="shared" si="12"/>
        <v>-1.9287967952353935E-2</v>
      </c>
      <c r="AR15" s="936">
        <f t="shared" si="1"/>
        <v>17.063492063492063</v>
      </c>
      <c r="AS15" s="936">
        <f t="shared" si="1"/>
        <v>16.334661354581673</v>
      </c>
      <c r="AT15" s="936">
        <f t="shared" si="1"/>
        <v>16.064257028112451</v>
      </c>
      <c r="AU15" s="936">
        <f t="shared" si="1"/>
        <v>10.526315789473683</v>
      </c>
      <c r="AV15" s="936">
        <f t="shared" si="2"/>
        <v>59.988726235659868</v>
      </c>
      <c r="AW15" s="575">
        <f t="shared" si="3"/>
        <v>0</v>
      </c>
      <c r="AX15" s="936">
        <f t="shared" si="13"/>
        <v>59.988726235659868</v>
      </c>
    </row>
    <row r="16" spans="1:50" s="87" customFormat="1" ht="13.5" customHeight="1" x14ac:dyDescent="0.2">
      <c r="A16" s="488">
        <f>VLOOKUP(B16,Sheet1!$AQ$4:$AR$25,2,FALSE)</f>
        <v>0</v>
      </c>
      <c r="B16" s="93" t="str">
        <f>Sheet1!$K$10</f>
        <v>Kent</v>
      </c>
      <c r="C16" s="85"/>
      <c r="D16" s="94">
        <f>IF(Year1_Kent Year1_Care_Applications="","",Year1_Kent Year1_Care_Applications)</f>
        <v>260</v>
      </c>
      <c r="E16" s="94">
        <f>IF(Year2_Kent Year2_Care_Applications="","",Year2_Kent Year2_Care_Applications)</f>
        <v>305</v>
      </c>
      <c r="F16" s="94">
        <f>IF(Year3_Kent Year3_Care_Applications="","",Year3_Kent Year3_Care_Applications)</f>
        <v>296</v>
      </c>
      <c r="G16" s="94">
        <f>IF(Year4_Kent Year4_Care_Applications="","",Year4_Kent Year4_Care_Applications)</f>
        <v>240</v>
      </c>
      <c r="H16" s="95">
        <f>IF(Year5_Kent Year5_Care_Applications="","",Year5_Kent Year5_Care_Applications)</f>
        <v>270</v>
      </c>
      <c r="I16" s="344">
        <f t="shared" si="4"/>
        <v>1.9844884291605601E-2</v>
      </c>
      <c r="J16" s="96"/>
      <c r="K16" s="97">
        <f>IF(ISNUMBER(D16),D16/Population!D16*10000,NA())</f>
        <v>7.8692493946731235</v>
      </c>
      <c r="L16" s="97">
        <f>IF(ISNUMBER(E16),E16/Population!E16*10000,NA())</f>
        <v>9.1591591591591595</v>
      </c>
      <c r="M16" s="97">
        <f>IF(ISNUMBER(F16),F16/Population!F16*10000,NA())</f>
        <v>8.8069027075275219</v>
      </c>
      <c r="N16" s="97">
        <f>IF(ISNUMBER(G16),G16/Population!G16*10000,NA())</f>
        <v>7.0567480152896209</v>
      </c>
      <c r="O16" s="98">
        <f>IF(ISNUMBER(H16),H16/Population!H16*10000,NA())</f>
        <v>7.8534031413612571</v>
      </c>
      <c r="P16" s="99">
        <f t="shared" si="5"/>
        <v>7.8534031413612571</v>
      </c>
      <c r="Q16" s="822">
        <f t="shared" si="6"/>
        <v>7</v>
      </c>
      <c r="R16" s="70"/>
      <c r="S16" s="340">
        <f>IDACI!C15</f>
        <v>15.8</v>
      </c>
      <c r="T16" s="341">
        <f t="shared" si="0"/>
        <v>11.048529323265241</v>
      </c>
      <c r="U16" s="342">
        <f t="shared" si="7"/>
        <v>-3.1951261819039836</v>
      </c>
      <c r="V16" s="122"/>
      <c r="W16" s="139"/>
      <c r="X16" s="152"/>
      <c r="Y16" s="72" t="str">
        <f t="shared" si="8"/>
        <v>Kent</v>
      </c>
      <c r="Z16" s="44">
        <f>IF(H16&gt;0,IDACI!D15,0)</f>
        <v>291866</v>
      </c>
      <c r="AA16" s="44">
        <f>IF(H16&gt;0,IDACI!E15,0)</f>
        <v>46114.828000000001</v>
      </c>
      <c r="AB16" s="205">
        <f>IF(ISNUMBER(D16),Population!D16,"")</f>
        <v>330400</v>
      </c>
      <c r="AC16" s="205">
        <f>IF(ISNUMBER(E16),Population!E16,"")</f>
        <v>333000</v>
      </c>
      <c r="AD16" s="205">
        <f>IF(ISNUMBER(F16),Population!F16,"")</f>
        <v>336100</v>
      </c>
      <c r="AE16" s="205">
        <f>IF(ISNUMBER(G16),Population!G16,"")</f>
        <v>340100</v>
      </c>
      <c r="AF16" s="205">
        <f>IF(ISNUMBER(H16),Population!H16,"")</f>
        <v>343800</v>
      </c>
      <c r="AG16" s="93" t="s">
        <v>9</v>
      </c>
      <c r="AH16" s="231">
        <f t="shared" si="9"/>
        <v>7.8534031413612571</v>
      </c>
      <c r="AI16" s="206">
        <f t="shared" si="10"/>
        <v>7</v>
      </c>
      <c r="AJ16" s="202"/>
      <c r="AK16" s="160"/>
      <c r="AL16" s="853">
        <f t="shared" si="11"/>
        <v>0.17307692307692307</v>
      </c>
      <c r="AM16" s="853">
        <f t="shared" si="11"/>
        <v>-2.9508196721311476E-2</v>
      </c>
      <c r="AN16" s="853">
        <f t="shared" si="11"/>
        <v>-0.1891891891891892</v>
      </c>
      <c r="AO16" s="853">
        <f t="shared" si="11"/>
        <v>0.125</v>
      </c>
      <c r="AP16" s="853">
        <f t="shared" si="12"/>
        <v>1.9844884291605601E-2</v>
      </c>
      <c r="AR16" s="936">
        <f t="shared" si="1"/>
        <v>9.1591591591591595</v>
      </c>
      <c r="AS16" s="936">
        <f t="shared" si="1"/>
        <v>8.8069027075275219</v>
      </c>
      <c r="AT16" s="936">
        <f t="shared" si="1"/>
        <v>7.0567480152896209</v>
      </c>
      <c r="AU16" s="936">
        <f t="shared" si="1"/>
        <v>7.8534031413612571</v>
      </c>
      <c r="AV16" s="936">
        <f t="shared" si="2"/>
        <v>32.876213023337556</v>
      </c>
      <c r="AW16" s="575">
        <f t="shared" si="3"/>
        <v>0</v>
      </c>
      <c r="AX16" s="936">
        <f t="shared" si="13"/>
        <v>32.876213023337556</v>
      </c>
    </row>
    <row r="17" spans="1:50" s="87" customFormat="1" ht="13.5" customHeight="1" x14ac:dyDescent="0.2">
      <c r="A17" s="488">
        <f>VLOOKUP(B17,Sheet1!$AQ$4:$AR$25,2,FALSE)</f>
        <v>0</v>
      </c>
      <c r="B17" s="93" t="str">
        <f>Sheet1!$K$11</f>
        <v>Medway</v>
      </c>
      <c r="C17" s="85"/>
      <c r="D17" s="94">
        <f>IF(Year1_Medway Year1_Care_Applications="","",Year1_Medway Year1_Care_Applications)</f>
        <v>142</v>
      </c>
      <c r="E17" s="301">
        <f>IF(Year2_Medway Year2_Care_Applications="","",Year2_Medway Year2_Care_Applications)</f>
        <v>59</v>
      </c>
      <c r="F17" s="301">
        <f>IF(Year3_Medway Year3_Care_Applications="","",Year3_Medway Year3_Care_Applications)</f>
        <v>84</v>
      </c>
      <c r="G17" s="301">
        <f>IF(Year4_Medway Year4_Care_Applications="","",Year4_Medway Year4_Care_Applications)</f>
        <v>72</v>
      </c>
      <c r="H17" s="95">
        <f>IF(Year5_Medway Year5_Care_Applications="","",Year5_Medway Year5_Care_Applications)</f>
        <v>94</v>
      </c>
      <c r="I17" s="344">
        <f t="shared" si="4"/>
        <v>4.8004600105340522E-4</v>
      </c>
      <c r="J17" s="96"/>
      <c r="K17" s="97">
        <f>IF(ISNUMBER(D17),D17/Population!D17*10000,NA())</f>
        <v>22.468354430379748</v>
      </c>
      <c r="L17" s="97">
        <f>IF(ISNUMBER(E17),E17/Population!E17*10000,NA())</f>
        <v>9.2621664050235477</v>
      </c>
      <c r="M17" s="97">
        <f>IF(ISNUMBER(F17),F17/Population!F17*10000,NA())</f>
        <v>13.145539906103286</v>
      </c>
      <c r="N17" s="97">
        <f>IF(ISNUMBER(G17),G17/Population!G17*10000,NA())</f>
        <v>11.180124223602483</v>
      </c>
      <c r="O17" s="98">
        <f>IF(ISNUMBER(H17),H17/Population!H17*10000,NA())</f>
        <v>14.461538461538462</v>
      </c>
      <c r="P17" s="99">
        <f t="shared" si="5"/>
        <v>14.461538461538462</v>
      </c>
      <c r="Q17" s="822">
        <f t="shared" si="6"/>
        <v>17</v>
      </c>
      <c r="R17" s="70"/>
      <c r="S17" s="340">
        <f>IDACI!C16</f>
        <v>18.899999999999999</v>
      </c>
      <c r="T17" s="341">
        <f t="shared" si="0"/>
        <v>13.150681705736343</v>
      </c>
      <c r="U17" s="342">
        <f t="shared" si="7"/>
        <v>1.3108567558021189</v>
      </c>
      <c r="V17" s="122"/>
      <c r="W17" s="139"/>
      <c r="X17" s="152"/>
      <c r="Y17" s="72" t="str">
        <f t="shared" si="8"/>
        <v>Medway</v>
      </c>
      <c r="Z17" s="44">
        <f>IF(H17&gt;0,IDACI!D16,0)</f>
        <v>55993</v>
      </c>
      <c r="AA17" s="44">
        <f>IF(H17&gt;0,IDACI!E16,0)</f>
        <v>10582.676999999998</v>
      </c>
      <c r="AB17" s="205">
        <f>IF(ISNUMBER(D17),Population!D17,"")</f>
        <v>63200</v>
      </c>
      <c r="AC17" s="205">
        <f>IF(ISNUMBER(E17),Population!E17,"")</f>
        <v>63700</v>
      </c>
      <c r="AD17" s="205">
        <f>IF(ISNUMBER(F17),Population!F17,"")</f>
        <v>63900</v>
      </c>
      <c r="AE17" s="205">
        <f>IF(ISNUMBER(G17),Population!G17,"")</f>
        <v>64400</v>
      </c>
      <c r="AF17" s="205">
        <f>IF(ISNUMBER(H17),Population!H17,"")</f>
        <v>65000</v>
      </c>
      <c r="AG17" s="93" t="s">
        <v>2</v>
      </c>
      <c r="AH17" s="231">
        <f t="shared" si="9"/>
        <v>14.461538461538462</v>
      </c>
      <c r="AI17" s="206">
        <f t="shared" si="10"/>
        <v>17</v>
      </c>
      <c r="AJ17" s="202"/>
      <c r="AK17" s="160"/>
      <c r="AL17" s="853">
        <f t="shared" si="11"/>
        <v>-0.58450704225352113</v>
      </c>
      <c r="AM17" s="853">
        <f t="shared" si="11"/>
        <v>0.42372881355932202</v>
      </c>
      <c r="AN17" s="853">
        <f t="shared" si="11"/>
        <v>-0.14285714285714285</v>
      </c>
      <c r="AO17" s="853">
        <f t="shared" si="11"/>
        <v>0.30555555555555558</v>
      </c>
      <c r="AP17" s="853">
        <f t="shared" si="12"/>
        <v>4.8004600105340522E-4</v>
      </c>
      <c r="AR17" s="936">
        <f t="shared" si="1"/>
        <v>9.2621664050235477</v>
      </c>
      <c r="AS17" s="936">
        <f t="shared" si="1"/>
        <v>13.145539906103286</v>
      </c>
      <c r="AT17" s="936">
        <f t="shared" si="1"/>
        <v>11.180124223602483</v>
      </c>
      <c r="AU17" s="936">
        <f t="shared" si="1"/>
        <v>14.461538461538462</v>
      </c>
      <c r="AV17" s="936">
        <f t="shared" si="2"/>
        <v>48.049368996267781</v>
      </c>
      <c r="AW17" s="575">
        <f t="shared" si="3"/>
        <v>0</v>
      </c>
      <c r="AX17" s="936">
        <f t="shared" si="13"/>
        <v>48.049368996267781</v>
      </c>
    </row>
    <row r="18" spans="1:50" s="87" customFormat="1" ht="13.5" customHeight="1" x14ac:dyDescent="0.2">
      <c r="A18" s="488">
        <f>VLOOKUP(B18,Sheet1!$AQ$4:$AR$25,2,FALSE)</f>
        <v>0</v>
      </c>
      <c r="B18" s="93" t="str">
        <f>Sheet1!$K$12</f>
        <v>Milton Keynes</v>
      </c>
      <c r="C18" s="85"/>
      <c r="D18" s="94">
        <f>IF(Year1_Milton_Keynes Year1_Care_Applications="","",Year1_Milton_Keynes Year1_Care_Applications)</f>
        <v>61</v>
      </c>
      <c r="E18" s="94">
        <f>IF(Year2_Milton_Keynes Year2_Care_Applications="","",Year2_Milton_Keynes Year2_Care_Applications)</f>
        <v>82</v>
      </c>
      <c r="F18" s="94">
        <f>IF(Year3_Milton_Keynes Year3_Care_Applications="","",Year3_Milton_Keynes Year3_Care_Applications)</f>
        <v>59</v>
      </c>
      <c r="G18" s="94">
        <f>IF(Year4_Milton_Keynes Year4_Care_Applications="","",Year4_Milton_Keynes Year4_Care_Applications)</f>
        <v>71</v>
      </c>
      <c r="H18" s="95">
        <f>IF(Year5_Milton_Keynes Year5_Care_Applications="","",Year5_Milton_Keynes Year5_Care_Applications)</f>
        <v>70</v>
      </c>
      <c r="I18" s="344">
        <f t="shared" si="4"/>
        <v>6.3269953417534872E-2</v>
      </c>
      <c r="J18" s="96"/>
      <c r="K18" s="97">
        <f>IF(ISNUMBER(D18),D18/Population!D18*10000,NA())</f>
        <v>9.2284417549167923</v>
      </c>
      <c r="L18" s="97">
        <f>IF(ISNUMBER(E18),E18/Population!E18*10000,NA())</f>
        <v>12.220566318926975</v>
      </c>
      <c r="M18" s="97">
        <f>IF(ISNUMBER(F18),F18/Population!F18*10000,NA())</f>
        <v>8.7278106508875748</v>
      </c>
      <c r="N18" s="97">
        <f>IF(ISNUMBER(G18),G18/Population!G18*10000,NA())</f>
        <v>10.395314787701318</v>
      </c>
      <c r="O18" s="98">
        <f>IF(ISNUMBER(H18),H18/Population!H18*10000,NA())</f>
        <v>10.174418604651162</v>
      </c>
      <c r="P18" s="99">
        <f t="shared" si="5"/>
        <v>10.174418604651162</v>
      </c>
      <c r="Q18" s="822">
        <f t="shared" si="6"/>
        <v>10</v>
      </c>
      <c r="R18" s="70"/>
      <c r="S18" s="340">
        <f>IDACI!C17</f>
        <v>15</v>
      </c>
      <c r="T18" s="341">
        <f t="shared" si="0"/>
        <v>10.506038385853344</v>
      </c>
      <c r="U18" s="342">
        <f t="shared" si="7"/>
        <v>-0.33161978120218194</v>
      </c>
      <c r="V18" s="122"/>
      <c r="W18" s="139"/>
      <c r="X18" s="152"/>
      <c r="Y18" s="72" t="str">
        <f t="shared" si="8"/>
        <v>Milton Keynes</v>
      </c>
      <c r="Z18" s="44">
        <f>IF(H18&gt;0,IDACI!D17,0)</f>
        <v>59903</v>
      </c>
      <c r="AA18" s="44">
        <f>IF(H18&gt;0,IDACI!E17,0)</f>
        <v>8985.4499999999989</v>
      </c>
      <c r="AB18" s="205">
        <f>IF(ISNUMBER(D18),Population!D18,"")</f>
        <v>66100</v>
      </c>
      <c r="AC18" s="205">
        <f>IF(ISNUMBER(E18),Population!E18,"")</f>
        <v>67100</v>
      </c>
      <c r="AD18" s="205">
        <f>IF(ISNUMBER(F18),Population!F18,"")</f>
        <v>67600</v>
      </c>
      <c r="AE18" s="205">
        <f>IF(ISNUMBER(G18),Population!G18,"")</f>
        <v>68300</v>
      </c>
      <c r="AF18" s="205">
        <f>IF(ISNUMBER(H18),Population!H18,"")</f>
        <v>68800</v>
      </c>
      <c r="AG18" s="93" t="s">
        <v>10</v>
      </c>
      <c r="AH18" s="231">
        <f t="shared" si="9"/>
        <v>10.174418604651162</v>
      </c>
      <c r="AI18" s="206">
        <f t="shared" si="10"/>
        <v>10</v>
      </c>
      <c r="AJ18" s="202"/>
      <c r="AK18" s="160"/>
      <c r="AL18" s="853">
        <f t="shared" si="11"/>
        <v>0.34426229508196721</v>
      </c>
      <c r="AM18" s="853">
        <f t="shared" si="11"/>
        <v>-0.28048780487804881</v>
      </c>
      <c r="AN18" s="853">
        <f t="shared" si="11"/>
        <v>0.20338983050847459</v>
      </c>
      <c r="AO18" s="853">
        <f t="shared" si="11"/>
        <v>-1.4084507042253521E-2</v>
      </c>
      <c r="AP18" s="853">
        <f t="shared" si="12"/>
        <v>6.3269953417534872E-2</v>
      </c>
      <c r="AR18" s="936">
        <f t="shared" si="1"/>
        <v>12.220566318926975</v>
      </c>
      <c r="AS18" s="936">
        <f t="shared" si="1"/>
        <v>8.7278106508875748</v>
      </c>
      <c r="AT18" s="936">
        <f t="shared" si="1"/>
        <v>10.395314787701318</v>
      </c>
      <c r="AU18" s="936">
        <f t="shared" si="1"/>
        <v>10.174418604651162</v>
      </c>
      <c r="AV18" s="936">
        <f t="shared" si="2"/>
        <v>41.518110362167036</v>
      </c>
      <c r="AW18" s="575">
        <f t="shared" si="3"/>
        <v>0</v>
      </c>
      <c r="AX18" s="936">
        <f t="shared" si="13"/>
        <v>41.518110362167036</v>
      </c>
    </row>
    <row r="19" spans="1:50" s="87" customFormat="1" ht="13.5" customHeight="1" x14ac:dyDescent="0.2">
      <c r="A19" s="488">
        <f>VLOOKUP(B19,Sheet1!$AQ$4:$AR$25,2,FALSE)</f>
        <v>0</v>
      </c>
      <c r="B19" s="93" t="str">
        <f>Sheet1!$K$13</f>
        <v>Oxfordshire</v>
      </c>
      <c r="C19" s="85"/>
      <c r="D19" s="94">
        <f>IF(Year1_Oxfordshire Year1_Care_Applications="","",Year1_Oxfordshire Year1_Care_Applications)</f>
        <v>154</v>
      </c>
      <c r="E19" s="94">
        <f>IF(Year2_Oxfordshire Year2_Care_Applications="","",Year2_Oxfordshire Year2_Care_Applications)</f>
        <v>159</v>
      </c>
      <c r="F19" s="94">
        <f>IF(Year3_Oxfordshire Year3_Care_Applications="","",Year3_Oxfordshire Year3_Care_Applications)</f>
        <v>135</v>
      </c>
      <c r="G19" s="94">
        <f>IF(Year4_Oxfordshire Year4_Care_Applications="","",Year4_Oxfordshire Year4_Care_Applications)</f>
        <v>158</v>
      </c>
      <c r="H19" s="95">
        <f>IF(Year5_Oxfordshire Year5_Care_Applications="","",Year5_Oxfordshire Year5_Care_Applications)</f>
        <v>147</v>
      </c>
      <c r="I19" s="344">
        <f t="shared" si="4"/>
        <v>-4.431436638267304E-3</v>
      </c>
      <c r="J19" s="96"/>
      <c r="K19" s="97">
        <f>IF(ISNUMBER(D19),D19/Population!D19*10000,NA())</f>
        <v>10.860366713681241</v>
      </c>
      <c r="L19" s="97">
        <f>IF(ISNUMBER(E19),E19/Population!E19*10000,NA())</f>
        <v>11.126662001399581</v>
      </c>
      <c r="M19" s="97">
        <f>IF(ISNUMBER(F19),F19/Population!F19*10000,NA())</f>
        <v>9.4142259414225933</v>
      </c>
      <c r="N19" s="97">
        <f>IF(ISNUMBER(G19),G19/Population!G19*10000,NA())</f>
        <v>10.911602209944752</v>
      </c>
      <c r="O19" s="98">
        <f>IF(ISNUMBER(H19),H19/Population!H19*10000,NA())</f>
        <v>10.061601642710471</v>
      </c>
      <c r="P19" s="99">
        <f t="shared" si="5"/>
        <v>10.061601642710471</v>
      </c>
      <c r="Q19" s="822">
        <f t="shared" si="6"/>
        <v>9</v>
      </c>
      <c r="R19" s="70"/>
      <c r="S19" s="340">
        <f>IDACI!C18</f>
        <v>10.100000000000001</v>
      </c>
      <c r="T19" s="341">
        <f t="shared" si="0"/>
        <v>7.1832813942054727</v>
      </c>
      <c r="U19" s="342">
        <f t="shared" si="7"/>
        <v>2.8783202485049983</v>
      </c>
      <c r="V19" s="122"/>
      <c r="W19" s="139"/>
      <c r="X19" s="152"/>
      <c r="Y19" s="72" t="str">
        <f t="shared" si="8"/>
        <v>Oxfordshire</v>
      </c>
      <c r="Z19" s="44">
        <f>IF(H19&gt;0,IDACI!D18,0)</f>
        <v>126119</v>
      </c>
      <c r="AA19" s="44">
        <f>IF(H19&gt;0,IDACI!E18,0)</f>
        <v>12738.019000000002</v>
      </c>
      <c r="AB19" s="205">
        <f>IF(ISNUMBER(D19),Population!D19,"")</f>
        <v>141800</v>
      </c>
      <c r="AC19" s="205">
        <f>IF(ISNUMBER(E19),Population!E19,"")</f>
        <v>142900</v>
      </c>
      <c r="AD19" s="205">
        <f>IF(ISNUMBER(F19),Population!F19,"")</f>
        <v>143400</v>
      </c>
      <c r="AE19" s="205">
        <f>IF(ISNUMBER(G19),Population!G19,"")</f>
        <v>144800</v>
      </c>
      <c r="AF19" s="205">
        <f>IF(ISNUMBER(H19),Population!H19,"")</f>
        <v>146100</v>
      </c>
      <c r="AG19" s="93" t="s">
        <v>11</v>
      </c>
      <c r="AH19" s="231">
        <f t="shared" si="9"/>
        <v>10.061601642710471</v>
      </c>
      <c r="AI19" s="206">
        <f t="shared" si="10"/>
        <v>9</v>
      </c>
      <c r="AJ19" s="202"/>
      <c r="AK19" s="160"/>
      <c r="AL19" s="853">
        <f t="shared" si="11"/>
        <v>3.2467532467532464E-2</v>
      </c>
      <c r="AM19" s="853">
        <f t="shared" si="11"/>
        <v>-0.15094339622641509</v>
      </c>
      <c r="AN19" s="853">
        <f t="shared" si="11"/>
        <v>0.17037037037037037</v>
      </c>
      <c r="AO19" s="853">
        <f t="shared" si="11"/>
        <v>-6.9620253164556958E-2</v>
      </c>
      <c r="AP19" s="853">
        <f t="shared" si="12"/>
        <v>-4.431436638267304E-3</v>
      </c>
      <c r="AR19" s="936">
        <f t="shared" si="1"/>
        <v>11.126662001399581</v>
      </c>
      <c r="AS19" s="936">
        <f t="shared" si="1"/>
        <v>9.4142259414225933</v>
      </c>
      <c r="AT19" s="936">
        <f t="shared" si="1"/>
        <v>10.911602209944752</v>
      </c>
      <c r="AU19" s="936">
        <f t="shared" si="1"/>
        <v>10.061601642710471</v>
      </c>
      <c r="AV19" s="936">
        <f t="shared" si="2"/>
        <v>41.514091795477398</v>
      </c>
      <c r="AW19" s="575">
        <f t="shared" si="3"/>
        <v>0</v>
      </c>
      <c r="AX19" s="936">
        <f t="shared" si="13"/>
        <v>41.514091795477398</v>
      </c>
    </row>
    <row r="20" spans="1:50" s="87" customFormat="1" ht="13.5" customHeight="1" x14ac:dyDescent="0.2">
      <c r="A20" s="488">
        <f>VLOOKUP(B20,Sheet1!$AQ$4:$AR$25,2,FALSE)</f>
        <v>0</v>
      </c>
      <c r="B20" s="93" t="str">
        <f>Sheet1!$K$14</f>
        <v>Portsmouth</v>
      </c>
      <c r="C20" s="85"/>
      <c r="D20" s="94">
        <f>IF(Year1_Portsmouth Year1_Care_Applications="","",Year1_Portsmouth Year1_Care_Applications)</f>
        <v>45</v>
      </c>
      <c r="E20" s="94">
        <f>IF(Year2_Portsmouth Year2_Care_Applications="","",Year2_Portsmouth Year2_Care_Applications)</f>
        <v>48</v>
      </c>
      <c r="F20" s="94">
        <f>IF(Year3_Portsmouth Year3_Care_Applications="","",Year3_Portsmouth Year3_Care_Applications)</f>
        <v>73</v>
      </c>
      <c r="G20" s="94">
        <f>IF(Year4_Portsmouth Year4_Care_Applications="","",Year4_Portsmouth Year4_Care_Applications)</f>
        <v>68</v>
      </c>
      <c r="H20" s="95">
        <f>IF(Year5_Portsmouth Year5_Care_Applications="","",Year5_Portsmouth Year5_Care_Applications)</f>
        <v>62</v>
      </c>
      <c r="I20" s="344">
        <f t="shared" si="4"/>
        <v>0.10769288879935537</v>
      </c>
      <c r="J20" s="96"/>
      <c r="K20" s="97">
        <f>IF(ISNUMBER(D20),D20/Population!D20*10000,NA())</f>
        <v>10.273972602739725</v>
      </c>
      <c r="L20" s="97">
        <f>IF(ISNUMBER(E20),E20/Population!E20*10000,NA())</f>
        <v>10.90909090909091</v>
      </c>
      <c r="M20" s="97">
        <f>IF(ISNUMBER(F20),F20/Population!F20*10000,NA())</f>
        <v>16.5158371040724</v>
      </c>
      <c r="N20" s="97">
        <f>IF(ISNUMBER(G20),G20/Population!G20*10000,NA())</f>
        <v>15.454545454545453</v>
      </c>
      <c r="O20" s="98">
        <f>IF(ISNUMBER(H20),H20/Population!H20*10000,NA())</f>
        <v>14.155251141552512</v>
      </c>
      <c r="P20" s="99">
        <f t="shared" si="5"/>
        <v>14.155251141552512</v>
      </c>
      <c r="Q20" s="822">
        <f t="shared" si="6"/>
        <v>16</v>
      </c>
      <c r="R20" s="70"/>
      <c r="S20" s="340">
        <f>IDACI!C19</f>
        <v>20.200000000000003</v>
      </c>
      <c r="T20" s="341">
        <f t="shared" si="0"/>
        <v>14.032229479030679</v>
      </c>
      <c r="U20" s="342">
        <f t="shared" si="7"/>
        <v>0.12302166252183255</v>
      </c>
      <c r="V20" s="122"/>
      <c r="W20" s="139"/>
      <c r="X20" s="152"/>
      <c r="Y20" s="72" t="str">
        <f t="shared" si="8"/>
        <v>Portsmouth</v>
      </c>
      <c r="Z20" s="44">
        <f>IF(H20&gt;0,IDACI!D19,0)</f>
        <v>39325</v>
      </c>
      <c r="AA20" s="44">
        <f>IF(H20&gt;0,IDACI!E19,0)</f>
        <v>7943.6500000000015</v>
      </c>
      <c r="AB20" s="205">
        <f>IF(ISNUMBER(D20),Population!D20,"")</f>
        <v>43800</v>
      </c>
      <c r="AC20" s="205">
        <f>IF(ISNUMBER(E20),Population!E20,"")</f>
        <v>44000</v>
      </c>
      <c r="AD20" s="205">
        <f>IF(ISNUMBER(F20),Population!F20,"")</f>
        <v>44200</v>
      </c>
      <c r="AE20" s="205">
        <f>IF(ISNUMBER(G20),Population!G20,"")</f>
        <v>44000</v>
      </c>
      <c r="AF20" s="205">
        <f>IF(ISNUMBER(H20),Population!H20,"")</f>
        <v>43800</v>
      </c>
      <c r="AG20" s="93" t="s">
        <v>12</v>
      </c>
      <c r="AH20" s="231">
        <f t="shared" si="9"/>
        <v>14.155251141552512</v>
      </c>
      <c r="AI20" s="206">
        <f t="shared" si="10"/>
        <v>16</v>
      </c>
      <c r="AJ20" s="202"/>
      <c r="AK20" s="160"/>
      <c r="AL20" s="853">
        <f t="shared" si="11"/>
        <v>6.6666666666666666E-2</v>
      </c>
      <c r="AM20" s="853">
        <f t="shared" si="11"/>
        <v>0.52083333333333337</v>
      </c>
      <c r="AN20" s="853">
        <f t="shared" si="11"/>
        <v>-6.8493150684931503E-2</v>
      </c>
      <c r="AO20" s="853">
        <f t="shared" si="11"/>
        <v>-8.8235294117647065E-2</v>
      </c>
      <c r="AP20" s="853">
        <f t="shared" si="12"/>
        <v>0.10769288879935537</v>
      </c>
      <c r="AR20" s="936">
        <f t="shared" si="1"/>
        <v>10.90909090909091</v>
      </c>
      <c r="AS20" s="936">
        <f t="shared" si="1"/>
        <v>16.5158371040724</v>
      </c>
      <c r="AT20" s="936">
        <f t="shared" si="1"/>
        <v>15.454545454545453</v>
      </c>
      <c r="AU20" s="936">
        <f t="shared" si="1"/>
        <v>14.155251141552512</v>
      </c>
      <c r="AV20" s="936">
        <f t="shared" si="2"/>
        <v>57.034724609261275</v>
      </c>
      <c r="AW20" s="575">
        <f t="shared" si="3"/>
        <v>0</v>
      </c>
      <c r="AX20" s="936">
        <f t="shared" si="13"/>
        <v>57.034724609261275</v>
      </c>
    </row>
    <row r="21" spans="1:50" s="87" customFormat="1" ht="13.5" customHeight="1" x14ac:dyDescent="0.2">
      <c r="A21" s="488">
        <f>VLOOKUP(B21,Sheet1!$AQ$4:$AR$25,2,FALSE)</f>
        <v>0</v>
      </c>
      <c r="B21" s="93" t="str">
        <f>Sheet1!$K$15</f>
        <v>Reading</v>
      </c>
      <c r="C21" s="85"/>
      <c r="D21" s="94">
        <f>IF(Year1_Reading Year1_Care_Applications="","",Year1_Reading Year1_Care_Applications)</f>
        <v>67</v>
      </c>
      <c r="E21" s="94">
        <f>IF(Year2_Reading Year2_Care_Applications="","",Year2_Reading Year2_Care_Applications)</f>
        <v>78</v>
      </c>
      <c r="F21" s="94">
        <f>IF(Year3_Reading Year3_Care_Applications="","",Year3_Reading Year3_Care_Applications)</f>
        <v>63</v>
      </c>
      <c r="G21" s="94">
        <f>IF(Year4_Reading Year4_Care_Applications="","",Year4_Reading Year4_Care_Applications)</f>
        <v>73</v>
      </c>
      <c r="H21" s="95">
        <f>IF(Year5_Reading Year5_Care_Applications="","",Year5_Reading Year5_Care_Applications)</f>
        <v>50</v>
      </c>
      <c r="I21" s="344">
        <f t="shared" si="4"/>
        <v>-4.6116730562651642E-2</v>
      </c>
      <c r="J21" s="96"/>
      <c r="K21" s="97">
        <f>IF(ISNUMBER(D21),D21/Population!D21*10000,NA())</f>
        <v>18.406593406593409</v>
      </c>
      <c r="L21" s="97">
        <f>IF(ISNUMBER(E21),E21/Population!E21*10000,NA())</f>
        <v>21.311475409836067</v>
      </c>
      <c r="M21" s="97">
        <f>IF(ISNUMBER(F21),F21/Population!F21*10000,NA())</f>
        <v>16.981132075471699</v>
      </c>
      <c r="N21" s="97">
        <f>IF(ISNUMBER(G21),G21/Population!G21*10000,NA())</f>
        <v>19.676549865229113</v>
      </c>
      <c r="O21" s="98">
        <f>IF(ISNUMBER(H21),H21/Population!H21*10000,NA())</f>
        <v>13.513513513513514</v>
      </c>
      <c r="P21" s="99">
        <f t="shared" si="5"/>
        <v>13.513513513513514</v>
      </c>
      <c r="Q21" s="822">
        <f t="shared" si="6"/>
        <v>15</v>
      </c>
      <c r="R21" s="70"/>
      <c r="S21" s="340">
        <f>IDACI!C20</f>
        <v>16</v>
      </c>
      <c r="T21" s="341">
        <f t="shared" si="0"/>
        <v>11.184152057618215</v>
      </c>
      <c r="U21" s="342">
        <f t="shared" si="7"/>
        <v>2.3293614558952989</v>
      </c>
      <c r="V21" s="122"/>
      <c r="W21" s="139"/>
      <c r="X21" s="152"/>
      <c r="Y21" s="72" t="str">
        <f t="shared" si="8"/>
        <v>Reading</v>
      </c>
      <c r="Z21" s="44">
        <f>IF(H21&gt;0,IDACI!D20,0)</f>
        <v>33203</v>
      </c>
      <c r="AA21" s="44">
        <f>IF(H21&gt;0,IDACI!E20,0)</f>
        <v>5312.4800000000005</v>
      </c>
      <c r="AB21" s="205">
        <f>IF(ISNUMBER(D21),Population!D21,"")</f>
        <v>36400</v>
      </c>
      <c r="AC21" s="205">
        <f>IF(ISNUMBER(E21),Population!E21,"")</f>
        <v>36600</v>
      </c>
      <c r="AD21" s="205">
        <f>IF(ISNUMBER(F21),Population!F21,"")</f>
        <v>37100</v>
      </c>
      <c r="AE21" s="205">
        <f>IF(ISNUMBER(G21),Population!G21,"")</f>
        <v>37100</v>
      </c>
      <c r="AF21" s="205">
        <f>IF(ISNUMBER(H21),Population!H21,"")</f>
        <v>37000</v>
      </c>
      <c r="AG21" s="93" t="s">
        <v>3</v>
      </c>
      <c r="AH21" s="231">
        <f t="shared" si="9"/>
        <v>13.513513513513514</v>
      </c>
      <c r="AI21" s="206">
        <f t="shared" si="10"/>
        <v>15</v>
      </c>
      <c r="AJ21" s="202"/>
      <c r="AK21" s="160"/>
      <c r="AL21" s="853">
        <f t="shared" si="11"/>
        <v>0.16417910447761194</v>
      </c>
      <c r="AM21" s="853">
        <f t="shared" si="11"/>
        <v>-0.19230769230769232</v>
      </c>
      <c r="AN21" s="853">
        <f t="shared" si="11"/>
        <v>0.15873015873015872</v>
      </c>
      <c r="AO21" s="853">
        <f t="shared" si="11"/>
        <v>-0.31506849315068491</v>
      </c>
      <c r="AP21" s="853">
        <f t="shared" si="12"/>
        <v>-4.6116730562651642E-2</v>
      </c>
      <c r="AR21" s="936">
        <f t="shared" si="1"/>
        <v>21.311475409836067</v>
      </c>
      <c r="AS21" s="936">
        <f t="shared" si="1"/>
        <v>16.981132075471699</v>
      </c>
      <c r="AT21" s="936">
        <f t="shared" si="1"/>
        <v>19.676549865229113</v>
      </c>
      <c r="AU21" s="936">
        <f t="shared" si="1"/>
        <v>13.513513513513514</v>
      </c>
      <c r="AV21" s="936">
        <f t="shared" si="2"/>
        <v>71.482670864050391</v>
      </c>
      <c r="AW21" s="575">
        <f t="shared" si="3"/>
        <v>0</v>
      </c>
      <c r="AX21" s="936">
        <f t="shared" si="13"/>
        <v>71.482670864050391</v>
      </c>
    </row>
    <row r="22" spans="1:50" s="87" customFormat="1" ht="13.5" customHeight="1" x14ac:dyDescent="0.2">
      <c r="A22" s="488">
        <f>VLOOKUP(B22,Sheet1!$AQ$4:$AR$25,2,FALSE)</f>
        <v>0</v>
      </c>
      <c r="B22" s="93" t="str">
        <f>Sheet1!$K$16</f>
        <v>Slough</v>
      </c>
      <c r="C22" s="85"/>
      <c r="D22" s="94">
        <f>IF(Year1_Slough Year1_Care_Applications="","",Year1_Slough Year1_Care_Applications)</f>
        <v>57</v>
      </c>
      <c r="E22" s="94">
        <f>IF(Year2_Slough Year2_Care_Applications="","",Year2_Slough Year2_Care_Applications)</f>
        <v>52</v>
      </c>
      <c r="F22" s="94">
        <f>IF(Year3_Slough Year3_Care_Applications="","",Year3_Slough Year3_Care_Applications)</f>
        <v>57</v>
      </c>
      <c r="G22" s="94">
        <f>IF(Year4_Slough Year4_Care_Applications="","",Year4_Slough Year4_Care_Applications)</f>
        <v>54</v>
      </c>
      <c r="H22" s="95">
        <f>IF(Year5_Slough Year5_Care_Applications="","",Year5_Slough Year5_Care_Applications)</f>
        <v>50</v>
      </c>
      <c r="I22" s="344">
        <f t="shared" si="4"/>
        <v>-2.956777627830259E-2</v>
      </c>
      <c r="J22" s="96"/>
      <c r="K22" s="97">
        <f>IF(ISNUMBER(D22),D22/Population!D22*10000,NA())</f>
        <v>14.039408866995075</v>
      </c>
      <c r="L22" s="97">
        <f>IF(ISNUMBER(E22),E22/Population!E22*10000,NA())</f>
        <v>12.560386473429951</v>
      </c>
      <c r="M22" s="97">
        <f>IF(ISNUMBER(F22),F22/Population!F22*10000,NA())</f>
        <v>13.507109004739338</v>
      </c>
      <c r="N22" s="97">
        <f>IF(ISNUMBER(G22),G22/Population!G22*10000,NA())</f>
        <v>12.646370023419204</v>
      </c>
      <c r="O22" s="98">
        <f>IF(ISNUMBER(H22),H22/Population!H22*10000,NA())</f>
        <v>11.600928074245939</v>
      </c>
      <c r="P22" s="99">
        <f t="shared" si="5"/>
        <v>11.600928074245939</v>
      </c>
      <c r="Q22" s="822">
        <f t="shared" si="6"/>
        <v>14</v>
      </c>
      <c r="R22" s="70"/>
      <c r="S22" s="340">
        <f>IDACI!C21</f>
        <v>14.7</v>
      </c>
      <c r="T22" s="341">
        <f t="shared" si="0"/>
        <v>10.302604284323881</v>
      </c>
      <c r="U22" s="342">
        <f t="shared" si="7"/>
        <v>1.2983237899220583</v>
      </c>
      <c r="V22" s="122"/>
      <c r="W22" s="139"/>
      <c r="X22" s="152"/>
      <c r="Y22" s="72" t="str">
        <f t="shared" si="8"/>
        <v>Slough</v>
      </c>
      <c r="Z22" s="44">
        <f>IF(H22&gt;0,IDACI!D21,0)</f>
        <v>37031</v>
      </c>
      <c r="AA22" s="44">
        <f>IF(H22&gt;0,IDACI!E21,0)</f>
        <v>5443.5569999999998</v>
      </c>
      <c r="AB22" s="205">
        <f>IF(ISNUMBER(D22),Population!D22,"")</f>
        <v>40600</v>
      </c>
      <c r="AC22" s="205">
        <f>IF(ISNUMBER(E22),Population!E22,"")</f>
        <v>41400</v>
      </c>
      <c r="AD22" s="205">
        <f>IF(ISNUMBER(F22),Population!F22,"")</f>
        <v>42200</v>
      </c>
      <c r="AE22" s="205">
        <f>IF(ISNUMBER(G22),Population!G22,"")</f>
        <v>42700</v>
      </c>
      <c r="AF22" s="205">
        <f>IF(ISNUMBER(H22),Population!H22,"")</f>
        <v>43100</v>
      </c>
      <c r="AG22" s="93" t="s">
        <v>13</v>
      </c>
      <c r="AH22" s="231">
        <f t="shared" si="9"/>
        <v>11.600928074245939</v>
      </c>
      <c r="AI22" s="206">
        <f t="shared" si="10"/>
        <v>14</v>
      </c>
      <c r="AJ22" s="202"/>
      <c r="AK22" s="160"/>
      <c r="AL22" s="853">
        <f t="shared" si="11"/>
        <v>-8.771929824561403E-2</v>
      </c>
      <c r="AM22" s="853">
        <f t="shared" si="11"/>
        <v>9.6153846153846159E-2</v>
      </c>
      <c r="AN22" s="853">
        <f t="shared" si="11"/>
        <v>-5.2631578947368418E-2</v>
      </c>
      <c r="AO22" s="853">
        <f t="shared" si="11"/>
        <v>-7.407407407407407E-2</v>
      </c>
      <c r="AP22" s="853">
        <f t="shared" si="12"/>
        <v>-2.956777627830259E-2</v>
      </c>
      <c r="AR22" s="936">
        <f t="shared" si="1"/>
        <v>12.560386473429951</v>
      </c>
      <c r="AS22" s="936">
        <f t="shared" si="1"/>
        <v>13.507109004739338</v>
      </c>
      <c r="AT22" s="936">
        <f t="shared" si="1"/>
        <v>12.646370023419204</v>
      </c>
      <c r="AU22" s="936">
        <f t="shared" si="1"/>
        <v>11.600928074245939</v>
      </c>
      <c r="AV22" s="936">
        <f t="shared" si="2"/>
        <v>50.314793575834429</v>
      </c>
      <c r="AW22" s="575">
        <f t="shared" si="3"/>
        <v>0</v>
      </c>
      <c r="AX22" s="936">
        <f t="shared" si="13"/>
        <v>50.314793575834429</v>
      </c>
    </row>
    <row r="23" spans="1:50" s="87" customFormat="1" ht="13.5" customHeight="1" x14ac:dyDescent="0.2">
      <c r="A23" s="488">
        <f>VLOOKUP(B23,Sheet1!$AQ$4:$AR$25,2,FALSE)</f>
        <v>0</v>
      </c>
      <c r="B23" s="93" t="str">
        <f>Sheet1!$K$17</f>
        <v>Somerset</v>
      </c>
      <c r="C23" s="85"/>
      <c r="D23" s="94">
        <f>IF(Year1_Somerset Year1_Care_Applications="","",Year1_Somerset Year1_Care_Applications)</f>
        <v>149</v>
      </c>
      <c r="E23" s="94">
        <f>IF(Year2_Somerset Year2_Care_Applications="","",Year2_Somerset Year2_Care_Applications)</f>
        <v>146</v>
      </c>
      <c r="F23" s="94">
        <f>IF(Year3_Somerset Year3_Care_Applications="","",Year3_Somerset Year3_Care_Applications)</f>
        <v>132</v>
      </c>
      <c r="G23" s="94">
        <f>IF(Year4_Somerset Year4_Care_Applications="","",Year4_Somerset Year4_Care_Applications)</f>
        <v>118</v>
      </c>
      <c r="H23" s="95">
        <f>IF(Year5_Somerset Year5_Care_Applications="","",Year5_Somerset Year5_Care_Applications)</f>
        <v>114</v>
      </c>
      <c r="I23" s="344">
        <f t="shared" si="4"/>
        <v>-6.399588757304385E-2</v>
      </c>
      <c r="J23" s="96"/>
      <c r="K23" s="97">
        <f>IF(ISNUMBER(D23),D23/Population!D23*10000,NA())</f>
        <v>13.644688644688646</v>
      </c>
      <c r="L23" s="97">
        <f>IF(ISNUMBER(E23),E23/Population!E23*10000,NA())</f>
        <v>13.309024612579764</v>
      </c>
      <c r="M23" s="97">
        <f>IF(ISNUMBER(F23),F23/Population!F23*10000,NA())</f>
        <v>11.989100817438691</v>
      </c>
      <c r="N23" s="97">
        <f>IF(ISNUMBER(G23),G23/Population!G23*10000,NA())</f>
        <v>10.659439927732612</v>
      </c>
      <c r="O23" s="98">
        <f>IF(ISNUMBER(H23),H23/Population!H23*10000,NA())</f>
        <v>10.251798561151078</v>
      </c>
      <c r="P23" s="99">
        <f t="shared" si="5"/>
        <v>10.251798561151078</v>
      </c>
      <c r="Q23" s="807" t="str">
        <f t="shared" si="6"/>
        <v>--</v>
      </c>
      <c r="R23" s="70"/>
      <c r="S23" s="340">
        <f>IDACI!C22</f>
        <v>13.600000000000001</v>
      </c>
      <c r="T23" s="341">
        <f t="shared" si="0"/>
        <v>9.556679245382524</v>
      </c>
      <c r="U23" s="342">
        <f t="shared" si="7"/>
        <v>0.69511931576855446</v>
      </c>
      <c r="V23" s="122"/>
      <c r="W23" s="139"/>
      <c r="X23" s="152"/>
      <c r="Y23" s="72" t="str">
        <f t="shared" si="8"/>
        <v>Somerset</v>
      </c>
      <c r="Z23" s="44">
        <f>IF(H23&gt;0,IDACI!D22,0)</f>
        <v>95875</v>
      </c>
      <c r="AA23" s="44">
        <f>IF(H23&gt;0,IDACI!E22,0)</f>
        <v>13039.000000000002</v>
      </c>
      <c r="AB23" s="205">
        <f>IF(ISNUMBER(D23),Population!D23,"")</f>
        <v>109200</v>
      </c>
      <c r="AC23" s="205">
        <f>IF(ISNUMBER(E23),Population!E23,"")</f>
        <v>109700</v>
      </c>
      <c r="AD23" s="205">
        <f>IF(ISNUMBER(F23),Population!F23,"")</f>
        <v>110100</v>
      </c>
      <c r="AE23" s="205">
        <f>IF(ISNUMBER(G23),Population!G23,"")</f>
        <v>110700</v>
      </c>
      <c r="AF23" s="205">
        <f>IF(ISNUMBER(H23),Population!H23,"")</f>
        <v>111200</v>
      </c>
      <c r="AG23" s="93" t="s">
        <v>14</v>
      </c>
      <c r="AH23" s="231">
        <f t="shared" si="9"/>
        <v>19.688109161793374</v>
      </c>
      <c r="AI23" s="206">
        <f t="shared" si="10"/>
        <v>19</v>
      </c>
      <c r="AJ23" s="202"/>
      <c r="AK23" s="160"/>
      <c r="AL23" s="853">
        <f t="shared" si="11"/>
        <v>-2.0134228187919462E-2</v>
      </c>
      <c r="AM23" s="853">
        <f t="shared" si="11"/>
        <v>-9.5890410958904104E-2</v>
      </c>
      <c r="AN23" s="853">
        <f t="shared" si="11"/>
        <v>-0.10606060606060606</v>
      </c>
      <c r="AO23" s="853">
        <f t="shared" si="11"/>
        <v>-3.3898305084745763E-2</v>
      </c>
      <c r="AP23" s="853">
        <f t="shared" si="12"/>
        <v>-6.399588757304385E-2</v>
      </c>
      <c r="AR23" s="936">
        <f t="shared" si="1"/>
        <v>13.309024612579764</v>
      </c>
      <c r="AS23" s="936">
        <f t="shared" si="1"/>
        <v>11.989100817438691</v>
      </c>
      <c r="AT23" s="936">
        <f t="shared" si="1"/>
        <v>10.659439927732612</v>
      </c>
      <c r="AU23" s="936">
        <f>IF(ISNUMBER(O23),O23,"")</f>
        <v>10.251798561151078</v>
      </c>
      <c r="AV23" s="936">
        <f>SUM(AR23:AU23)</f>
        <v>46.209363918902142</v>
      </c>
      <c r="AW23" s="575">
        <f>COUNTBLANK(AR23:AU23)</f>
        <v>0</v>
      </c>
      <c r="AX23" s="936">
        <f>AV23/(4-AW23)*4</f>
        <v>46.209363918902142</v>
      </c>
    </row>
    <row r="24" spans="1:50" s="87" customFormat="1" ht="13.5" customHeight="1" x14ac:dyDescent="0.2">
      <c r="A24" s="488">
        <f>VLOOKUP(B24,Sheet1!$AQ$4:$AR$25,2,FALSE)</f>
        <v>0</v>
      </c>
      <c r="B24" s="93" t="str">
        <f>Sheet1!$K$18</f>
        <v>Southampton</v>
      </c>
      <c r="C24" s="85"/>
      <c r="D24" s="94">
        <f>IF(Year1_Southampton Year1_Care_Applications="","",Year1_Southampton Year1_Care_Applications)</f>
        <v>93</v>
      </c>
      <c r="E24" s="94">
        <f>IF(Year2_Southampton Year2_Care_Applications="","",Year2_Southampton Year2_Care_Applications)</f>
        <v>87</v>
      </c>
      <c r="F24" s="94">
        <f>IF(Year3_Southampton Year3_Care_Applications="","",Year3_Southampton Year3_Care_Applications)</f>
        <v>90</v>
      </c>
      <c r="G24" s="94">
        <f>IF(Year4_Southampton Year4_Care_Applications="","",Year4_Southampton Year4_Care_Applications)</f>
        <v>80</v>
      </c>
      <c r="H24" s="95">
        <f>IF(Year5_Southampton Year5_Care_Applications="","",Year5_Southampton Year5_Care_Applications)</f>
        <v>101</v>
      </c>
      <c r="I24" s="344">
        <f t="shared" si="4"/>
        <v>3.0338879619330128E-2</v>
      </c>
      <c r="J24" s="96"/>
      <c r="K24" s="97">
        <f>IF(ISNUMBER(D24),D24/Population!D24*10000,NA())</f>
        <v>18.902439024390244</v>
      </c>
      <c r="L24" s="97">
        <f>IF(ISNUMBER(E24),E24/Population!E24*10000,NA())</f>
        <v>17.434869739478959</v>
      </c>
      <c r="M24" s="97">
        <f>IF(ISNUMBER(F24),F24/Population!F24*10000,NA())</f>
        <v>17.892644135188867</v>
      </c>
      <c r="N24" s="97">
        <f>IF(ISNUMBER(G24),G24/Population!G24*10000,NA())</f>
        <v>15.748031496062993</v>
      </c>
      <c r="O24" s="98">
        <f>IF(ISNUMBER(H24),H24/Population!H24*10000,NA())</f>
        <v>19.688109161793374</v>
      </c>
      <c r="P24" s="99">
        <f t="shared" si="5"/>
        <v>19.688109161793374</v>
      </c>
      <c r="Q24" s="822">
        <f t="shared" si="6"/>
        <v>19</v>
      </c>
      <c r="R24" s="70"/>
      <c r="S24" s="340">
        <f>IDACI!C23</f>
        <v>20.5</v>
      </c>
      <c r="T24" s="341">
        <f t="shared" si="0"/>
        <v>14.235663580560137</v>
      </c>
      <c r="U24" s="342">
        <f t="shared" si="7"/>
        <v>5.4524455812332366</v>
      </c>
      <c r="V24" s="122"/>
      <c r="W24" s="139"/>
      <c r="X24" s="152"/>
      <c r="Y24" s="72" t="str">
        <f t="shared" si="8"/>
        <v>Southampton</v>
      </c>
      <c r="Z24" s="44">
        <f>IF(H24&gt;0,IDACI!D23,0)</f>
        <v>44295</v>
      </c>
      <c r="AA24" s="44">
        <f>IF(H24&gt;0,IDACI!E23,0)</f>
        <v>9080.4750000000004</v>
      </c>
      <c r="AB24" s="205">
        <f>IF(ISNUMBER(D24),Population!D24,"")</f>
        <v>49200</v>
      </c>
      <c r="AC24" s="205">
        <f>IF(ISNUMBER(E24),Population!E24,"")</f>
        <v>49900</v>
      </c>
      <c r="AD24" s="205">
        <f>IF(ISNUMBER(F24),Population!F24,"")</f>
        <v>50300</v>
      </c>
      <c r="AE24" s="205">
        <f>IF(ISNUMBER(G24),Population!G24,"")</f>
        <v>50800</v>
      </c>
      <c r="AF24" s="205">
        <f>IF(ISNUMBER(H24),Population!H24,"")</f>
        <v>51300</v>
      </c>
      <c r="AG24" s="93" t="s">
        <v>7</v>
      </c>
      <c r="AH24" s="231">
        <f t="shared" si="9"/>
        <v>5.6103108415466263</v>
      </c>
      <c r="AI24" s="206">
        <f t="shared" si="10"/>
        <v>1</v>
      </c>
      <c r="AJ24" s="202"/>
      <c r="AK24" s="160"/>
      <c r="AL24" s="853">
        <f t="shared" si="11"/>
        <v>-6.4516129032258063E-2</v>
      </c>
      <c r="AM24" s="853">
        <f t="shared" si="11"/>
        <v>3.4482758620689655E-2</v>
      </c>
      <c r="AN24" s="853">
        <f t="shared" si="11"/>
        <v>-0.1111111111111111</v>
      </c>
      <c r="AO24" s="853">
        <f t="shared" si="11"/>
        <v>0.26250000000000001</v>
      </c>
      <c r="AP24" s="853">
        <f t="shared" si="12"/>
        <v>3.0338879619330128E-2</v>
      </c>
      <c r="AR24" s="936">
        <f t="shared" si="1"/>
        <v>17.434869739478959</v>
      </c>
      <c r="AS24" s="936">
        <f t="shared" si="1"/>
        <v>17.892644135188867</v>
      </c>
      <c r="AT24" s="936">
        <f t="shared" si="1"/>
        <v>15.748031496062993</v>
      </c>
      <c r="AU24" s="936">
        <f t="shared" si="1"/>
        <v>19.688109161793374</v>
      </c>
      <c r="AV24" s="936">
        <f t="shared" ref="AV24:AV33" si="14">SUM(AR24:AU24)</f>
        <v>70.7636545325242</v>
      </c>
      <c r="AW24" s="575">
        <f t="shared" ref="AW24:AW33" si="15">COUNTBLANK(AR24:AU24)</f>
        <v>0</v>
      </c>
      <c r="AX24" s="936">
        <f t="shared" si="13"/>
        <v>70.7636545325242</v>
      </c>
    </row>
    <row r="25" spans="1:50" s="87" customFormat="1" ht="13.5" customHeight="1" x14ac:dyDescent="0.2">
      <c r="A25" s="488">
        <f>VLOOKUP(B25,Sheet1!$AQ$4:$AR$25,2,FALSE)</f>
        <v>0</v>
      </c>
      <c r="B25" s="93" t="str">
        <f>Sheet1!$K$19</f>
        <v>Surrey</v>
      </c>
      <c r="C25" s="85"/>
      <c r="D25" s="94">
        <f>IF(Year1_Surrey Year1_Care_Applications="","",Year1_Surrey Year1_Care_Applications)</f>
        <v>141</v>
      </c>
      <c r="E25" s="94">
        <f>IF(Year2_Surrey Year2_Care_Applications="","",Year2_Surrey Year2_Care_Applications)</f>
        <v>180</v>
      </c>
      <c r="F25" s="94">
        <f>IF(Year3_Surrey Year3_Care_Applications="","",Year3_Surrey Year3_Care_Applications)</f>
        <v>205</v>
      </c>
      <c r="G25" s="94">
        <f>IF(Year4_Surrey Year4_Care_Applications="","",Year4_Surrey Year4_Care_Applications)</f>
        <v>197</v>
      </c>
      <c r="H25" s="95">
        <f>IF(Year5_Surrey Year5_Care_Applications="","",Year5_Surrey Year5_Care_Applications)</f>
        <v>148</v>
      </c>
      <c r="I25" s="344">
        <f t="shared" si="4"/>
        <v>3.193231971470812E-2</v>
      </c>
      <c r="J25" s="96"/>
      <c r="K25" s="97">
        <f>IF(ISNUMBER(D25),D25/Population!D25*10000,NA())</f>
        <v>5.4992199687987515</v>
      </c>
      <c r="L25" s="97">
        <f>IF(ISNUMBER(E25),E25/Population!E25*10000,NA())</f>
        <v>6.9498069498069492</v>
      </c>
      <c r="M25" s="97">
        <f>IF(ISNUMBER(F25),F25/Population!F25*10000,NA())</f>
        <v>7.8755282366500197</v>
      </c>
      <c r="N25" s="97">
        <f>IF(ISNUMBER(G25),G25/Population!G25*10000,NA())</f>
        <v>7.5219549446353575</v>
      </c>
      <c r="O25" s="98">
        <f>IF(ISNUMBER(H25),H25/Population!H25*10000,NA())</f>
        <v>5.6103108415466263</v>
      </c>
      <c r="P25" s="99">
        <f t="shared" si="5"/>
        <v>5.6103108415466263</v>
      </c>
      <c r="Q25" s="822">
        <f t="shared" si="6"/>
        <v>1</v>
      </c>
      <c r="R25" s="70"/>
      <c r="S25" s="340">
        <f>IDACI!C24</f>
        <v>8.3000000000000007</v>
      </c>
      <c r="T25" s="341">
        <f t="shared" si="0"/>
        <v>5.9626767850287026</v>
      </c>
      <c r="U25" s="342">
        <f t="shared" si="7"/>
        <v>-0.35236594348207628</v>
      </c>
      <c r="V25" s="122"/>
      <c r="W25" s="139"/>
      <c r="X25" s="152"/>
      <c r="Y25" s="72" t="str">
        <f t="shared" si="8"/>
        <v>Surrey</v>
      </c>
      <c r="Z25" s="44">
        <f>IF(H25&gt;0,IDACI!D24,0)</f>
        <v>228466</v>
      </c>
      <c r="AA25" s="44">
        <f>IF(H25&gt;0,IDACI!E24,0)</f>
        <v>18962.678</v>
      </c>
      <c r="AB25" s="205">
        <f>IF(ISNUMBER(D25),Population!D25,"")</f>
        <v>256400</v>
      </c>
      <c r="AC25" s="205">
        <f>IF(ISNUMBER(E25),Population!E25,"")</f>
        <v>259000</v>
      </c>
      <c r="AD25" s="205">
        <f>IF(ISNUMBER(F25),Population!F25,"")</f>
        <v>260300</v>
      </c>
      <c r="AE25" s="205">
        <f>IF(ISNUMBER(G25),Population!G25,"")</f>
        <v>261900</v>
      </c>
      <c r="AF25" s="205">
        <f>IF(ISNUMBER(H25),Population!H25,"")</f>
        <v>263800</v>
      </c>
      <c r="AG25" s="93" t="s">
        <v>15</v>
      </c>
      <c r="AH25" s="231">
        <f t="shared" si="9"/>
        <v>6.179775280898876</v>
      </c>
      <c r="AI25" s="206">
        <f t="shared" si="10"/>
        <v>2</v>
      </c>
      <c r="AJ25" s="202"/>
      <c r="AK25" s="160"/>
      <c r="AL25" s="853">
        <f t="shared" si="11"/>
        <v>0.27659574468085107</v>
      </c>
      <c r="AM25" s="853">
        <f t="shared" si="11"/>
        <v>0.1388888888888889</v>
      </c>
      <c r="AN25" s="853">
        <f t="shared" si="11"/>
        <v>-3.9024390243902439E-2</v>
      </c>
      <c r="AO25" s="853">
        <f t="shared" si="11"/>
        <v>-0.24873096446700507</v>
      </c>
      <c r="AP25" s="853">
        <f t="shared" si="12"/>
        <v>3.193231971470812E-2</v>
      </c>
      <c r="AR25" s="936">
        <f t="shared" si="1"/>
        <v>6.9498069498069492</v>
      </c>
      <c r="AS25" s="936">
        <f t="shared" si="1"/>
        <v>7.8755282366500197</v>
      </c>
      <c r="AT25" s="936">
        <f t="shared" si="1"/>
        <v>7.5219549446353575</v>
      </c>
      <c r="AU25" s="936">
        <f t="shared" si="1"/>
        <v>5.6103108415466263</v>
      </c>
      <c r="AV25" s="936">
        <f t="shared" si="14"/>
        <v>27.95760097263895</v>
      </c>
      <c r="AW25" s="575">
        <f t="shared" si="15"/>
        <v>0</v>
      </c>
      <c r="AX25" s="936">
        <f t="shared" si="13"/>
        <v>27.95760097263895</v>
      </c>
    </row>
    <row r="26" spans="1:50" s="87" customFormat="1" ht="13.5" customHeight="1" x14ac:dyDescent="0.2">
      <c r="A26" s="488">
        <f>VLOOKUP(B26,Sheet1!$AQ$4:$AR$25,2,FALSE)</f>
        <v>0</v>
      </c>
      <c r="B26" s="93" t="str">
        <f>Sheet1!$K$20</f>
        <v>Swindon</v>
      </c>
      <c r="C26" s="85"/>
      <c r="D26" s="94">
        <f>IF(Year1_Swindon Year1_Care_Applications="","",Year1_Swindon Year1_Care_Applications)</f>
        <v>53</v>
      </c>
      <c r="E26" s="94">
        <f>IF(Year2_Swindon Year2_Care_Applications="","",Year2_Swindon Year2_Care_Applications)</f>
        <v>78</v>
      </c>
      <c r="F26" s="94">
        <f>IF(Year3_Swindon Year3_Care_Applications="","",Year3_Swindon Year3_Care_Applications)</f>
        <v>86</v>
      </c>
      <c r="G26" s="94">
        <f>IF(Year4_Swindon Year4_Care_Applications="","",Year4_Swindon Year4_Care_Applications)</f>
        <v>73</v>
      </c>
      <c r="H26" s="95">
        <f>IF(Year5_Swindon Year5_Care_Applications="","",Year5_Swindon Year5_Care_Applications)</f>
        <v>59</v>
      </c>
      <c r="I26" s="344">
        <f t="shared" si="4"/>
        <v>5.7829650789041773E-2</v>
      </c>
      <c r="J26" s="96"/>
      <c r="K26" s="97">
        <f>IF(ISNUMBER(D26),D26/Population!D26*10000,NA())</f>
        <v>10.816326530612246</v>
      </c>
      <c r="L26" s="97">
        <f>IF(ISNUMBER(E26),E26/Population!E26*10000,NA())</f>
        <v>15.757575757575758</v>
      </c>
      <c r="M26" s="97">
        <f>IF(ISNUMBER(F26),F26/Population!F26*10000,NA())</f>
        <v>17.234468937875754</v>
      </c>
      <c r="N26" s="97">
        <f>IF(ISNUMBER(G26),G26/Population!G26*10000,NA())</f>
        <v>14.541832669322709</v>
      </c>
      <c r="O26" s="98">
        <f>IF(ISNUMBER(H26),H26/Population!H26*10000,NA())</f>
        <v>11.706349206349206</v>
      </c>
      <c r="P26" s="99">
        <f t="shared" si="5"/>
        <v>11.706349206349206</v>
      </c>
      <c r="Q26" s="807" t="str">
        <f t="shared" si="6"/>
        <v>--</v>
      </c>
      <c r="R26" s="70"/>
      <c r="S26" s="340">
        <f>IDACI!C25</f>
        <v>14.899999999999999</v>
      </c>
      <c r="T26" s="341">
        <f t="shared" si="0"/>
        <v>10.438227018676855</v>
      </c>
      <c r="U26" s="342">
        <f t="shared" si="7"/>
        <v>1.2681221876723505</v>
      </c>
      <c r="V26" s="122"/>
      <c r="W26" s="139"/>
      <c r="X26" s="152"/>
      <c r="Y26" s="72" t="str">
        <f t="shared" si="8"/>
        <v>Swindon</v>
      </c>
      <c r="Z26" s="44">
        <f>IF(H26&gt;0,IDACI!D25,0)</f>
        <v>43899</v>
      </c>
      <c r="AA26" s="44">
        <f>IF(H26&gt;0,IDACI!E25,0)</f>
        <v>6540.951</v>
      </c>
      <c r="AB26" s="205">
        <f>IF(ISNUMBER(D26),Population!D26,"")</f>
        <v>49000</v>
      </c>
      <c r="AC26" s="205">
        <f>IF(ISNUMBER(E26),Population!E26,"")</f>
        <v>49500</v>
      </c>
      <c r="AD26" s="205">
        <f>IF(ISNUMBER(F26),Population!F26,"")</f>
        <v>49900</v>
      </c>
      <c r="AE26" s="205">
        <f>IF(ISNUMBER(G26),Population!G26,"")</f>
        <v>50200</v>
      </c>
      <c r="AF26" s="205">
        <f>IF(ISNUMBER(H26),Population!H26,"")</f>
        <v>50400</v>
      </c>
      <c r="AG26" s="93" t="s">
        <v>5</v>
      </c>
      <c r="AH26" s="231">
        <f t="shared" si="9"/>
        <v>11.016467915956843</v>
      </c>
      <c r="AI26" s="206">
        <f t="shared" si="10"/>
        <v>13</v>
      </c>
      <c r="AJ26" s="202"/>
      <c r="AK26" s="160"/>
      <c r="AL26" s="853">
        <f t="shared" si="11"/>
        <v>0.47169811320754718</v>
      </c>
      <c r="AM26" s="853">
        <f t="shared" si="11"/>
        <v>0.10256410256410256</v>
      </c>
      <c r="AN26" s="853">
        <f t="shared" si="11"/>
        <v>-0.15116279069767441</v>
      </c>
      <c r="AO26" s="853">
        <f t="shared" si="11"/>
        <v>-0.19178082191780821</v>
      </c>
      <c r="AP26" s="853">
        <f t="shared" si="12"/>
        <v>5.7829650789041773E-2</v>
      </c>
      <c r="AR26" s="936">
        <f t="shared" ref="AR26:AU33" si="16">IF(ISNUMBER(L26),L26,"")</f>
        <v>15.757575757575758</v>
      </c>
      <c r="AS26" s="936">
        <f t="shared" si="16"/>
        <v>17.234468937875754</v>
      </c>
      <c r="AT26" s="936">
        <f t="shared" si="16"/>
        <v>14.541832669322709</v>
      </c>
      <c r="AU26" s="936">
        <f t="shared" si="16"/>
        <v>11.706349206349206</v>
      </c>
      <c r="AV26" s="936">
        <f t="shared" si="14"/>
        <v>59.240226571123429</v>
      </c>
      <c r="AW26" s="575">
        <f t="shared" si="15"/>
        <v>0</v>
      </c>
      <c r="AX26" s="936">
        <f t="shared" si="13"/>
        <v>59.240226571123429</v>
      </c>
    </row>
    <row r="27" spans="1:50" s="87" customFormat="1" ht="13.5" customHeight="1" x14ac:dyDescent="0.2">
      <c r="A27" s="488">
        <f>VLOOKUP(B27,Sheet1!$AQ$4:$AR$25,2,FALSE)</f>
        <v>0</v>
      </c>
      <c r="B27" s="93" t="str">
        <f>Sheet1!$K$21</f>
        <v>Torbay</v>
      </c>
      <c r="C27" s="85"/>
      <c r="D27" s="94">
        <f>IF(Year1_Torbay Year1_Care_Applications="","",Year1_Torbay Year1_Care_Applications)</f>
        <v>55</v>
      </c>
      <c r="E27" s="94">
        <f>IF(Year2_Torbay Year2_Care_Applications="","",Year2_Torbay Year2_Care_Applications)</f>
        <v>56</v>
      </c>
      <c r="F27" s="94">
        <f>IF(Year3_Torbay Year3_Care_Applications="","",Year3_Torbay Year3_Care_Applications)</f>
        <v>60</v>
      </c>
      <c r="G27" s="94">
        <f>IF(Year4_Torbay Year4_Care_Applications="","",Year4_Torbay Year4_Care_Applications)</f>
        <v>63</v>
      </c>
      <c r="H27" s="95">
        <f>IF(Year5_Torbay Year5_Care_Applications="","",Year5_Torbay Year5_Care_Applications)</f>
        <v>64</v>
      </c>
      <c r="I27" s="344">
        <f t="shared" si="4"/>
        <v>3.8870851370851375E-2</v>
      </c>
      <c r="J27" s="96"/>
      <c r="K27" s="97">
        <f>IF(ISNUMBER(D27),D27/Population!D27*10000,NA())</f>
        <v>21.825396825396826</v>
      </c>
      <c r="L27" s="97">
        <f>IF(ISNUMBER(E27),E27/Population!E27*10000,NA())</f>
        <v>22.047244094488189</v>
      </c>
      <c r="M27" s="97">
        <f>IF(ISNUMBER(F27),F27/Population!F27*10000,NA())</f>
        <v>23.622047244094489</v>
      </c>
      <c r="N27" s="97">
        <f>IF(ISNUMBER(G27),G27/Population!G27*10000,NA())</f>
        <v>24.803149606299211</v>
      </c>
      <c r="O27" s="98">
        <f>IF(ISNUMBER(H27),H27/Population!H27*10000,NA())</f>
        <v>25</v>
      </c>
      <c r="P27" s="99">
        <f t="shared" si="5"/>
        <v>25</v>
      </c>
      <c r="Q27" s="807" t="str">
        <f t="shared" si="6"/>
        <v>--</v>
      </c>
      <c r="R27" s="70"/>
      <c r="S27" s="340">
        <f>IDACI!C26</f>
        <v>21.9</v>
      </c>
      <c r="T27" s="341">
        <f t="shared" si="0"/>
        <v>15.185022721030958</v>
      </c>
      <c r="U27" s="342">
        <f t="shared" si="7"/>
        <v>9.8149772789690424</v>
      </c>
      <c r="V27" s="122"/>
      <c r="W27" s="139"/>
      <c r="X27" s="152"/>
      <c r="Y27" s="72" t="str">
        <f t="shared" si="8"/>
        <v>Torbay</v>
      </c>
      <c r="Z27" s="44">
        <f>IF(H27&gt;0,IDACI!D26,0)</f>
        <v>22257</v>
      </c>
      <c r="AA27" s="44">
        <f>IF(H27&gt;0,IDACI!E26,0)</f>
        <v>4874.2829999999994</v>
      </c>
      <c r="AB27" s="205">
        <f>IF(ISNUMBER(D27),Population!D27,"")</f>
        <v>25200</v>
      </c>
      <c r="AC27" s="205">
        <f>IF(ISNUMBER(E27),Population!E27,"")</f>
        <v>25400</v>
      </c>
      <c r="AD27" s="205">
        <f>IF(ISNUMBER(F27),Population!F27,"")</f>
        <v>25400</v>
      </c>
      <c r="AE27" s="205">
        <f>IF(ISNUMBER(G27),Population!G27,"")</f>
        <v>25400</v>
      </c>
      <c r="AF27" s="205">
        <f>IF(ISNUMBER(H27),Population!H27,"")</f>
        <v>25600</v>
      </c>
      <c r="AG27" s="93" t="s">
        <v>30</v>
      </c>
      <c r="AH27" s="231">
        <f t="shared" si="9"/>
        <v>8.3573487031700289</v>
      </c>
      <c r="AI27" s="206">
        <f t="shared" si="10"/>
        <v>8</v>
      </c>
      <c r="AJ27" s="202"/>
      <c r="AK27" s="160"/>
      <c r="AL27" s="853">
        <f t="shared" si="11"/>
        <v>1.8181818181818181E-2</v>
      </c>
      <c r="AM27" s="853">
        <f t="shared" si="11"/>
        <v>7.1428571428571425E-2</v>
      </c>
      <c r="AN27" s="853">
        <f t="shared" si="11"/>
        <v>0.05</v>
      </c>
      <c r="AO27" s="853">
        <f t="shared" si="11"/>
        <v>1.5873015873015872E-2</v>
      </c>
      <c r="AP27" s="853">
        <f t="shared" si="12"/>
        <v>3.8870851370851375E-2</v>
      </c>
      <c r="AR27" s="936">
        <f t="shared" si="16"/>
        <v>22.047244094488189</v>
      </c>
      <c r="AS27" s="936">
        <f t="shared" si="16"/>
        <v>23.622047244094489</v>
      </c>
      <c r="AT27" s="936">
        <f t="shared" si="16"/>
        <v>24.803149606299211</v>
      </c>
      <c r="AU27" s="936">
        <f t="shared" si="16"/>
        <v>25</v>
      </c>
      <c r="AV27" s="936">
        <f t="shared" si="14"/>
        <v>95.472440944881896</v>
      </c>
      <c r="AW27" s="575">
        <f t="shared" si="15"/>
        <v>0</v>
      </c>
      <c r="AX27" s="936">
        <f t="shared" si="13"/>
        <v>95.472440944881896</v>
      </c>
    </row>
    <row r="28" spans="1:50" s="87" customFormat="1" ht="13.5" customHeight="1" x14ac:dyDescent="0.2">
      <c r="A28" s="488">
        <f>VLOOKUP(B28,Sheet1!$AQ$4:$AR$25,2,FALSE)</f>
        <v>0</v>
      </c>
      <c r="B28" s="93" t="str">
        <f>Sheet1!$K$22</f>
        <v>West Berkshire</v>
      </c>
      <c r="C28" s="85"/>
      <c r="D28" s="94">
        <f>IF(Year1_West_Berkshire Year1_Care_Applications="","",Year1_West_Berkshire Year1_Care_Applications)</f>
        <v>49</v>
      </c>
      <c r="E28" s="100">
        <f>IF(Year2_West_Berkshire Year2_Care_Applications="","",Year2_West_Berkshire Year2_Care_Applications)</f>
        <v>39</v>
      </c>
      <c r="F28" s="94">
        <f>IF(Year3_West_Berkshire Year3_Care_Applications="","",Year3_West_Berkshire Year3_Care_Applications)</f>
        <v>36</v>
      </c>
      <c r="G28" s="94">
        <f>IF(Year4_West_Berkshire Year4_Care_Applications="","",Year4_West_Berkshire Year4_Care_Applications)</f>
        <v>33</v>
      </c>
      <c r="H28" s="95">
        <f>IF(Year5_West_Berkshire Year5_Care_Applications="","",Year5_West_Berkshire Year5_Care_Applications)</f>
        <v>22</v>
      </c>
      <c r="I28" s="344">
        <f t="shared" si="4"/>
        <v>-0.17441784406070121</v>
      </c>
      <c r="J28" s="96"/>
      <c r="K28" s="97">
        <f>IF(ISNUMBER(D28),D28/Population!D28*10000,NA())</f>
        <v>13.725490196078432</v>
      </c>
      <c r="L28" s="97">
        <f>IF(ISNUMBER(E28),E28/Population!E28*10000,NA())</f>
        <v>10.863509749303622</v>
      </c>
      <c r="M28" s="97">
        <f>IF(ISNUMBER(F28),F28/Population!F28*10000,NA())</f>
        <v>10.05586592178771</v>
      </c>
      <c r="N28" s="97">
        <f>IF(ISNUMBER(G28),G28/Population!G28*10000,NA())</f>
        <v>9.2696629213483153</v>
      </c>
      <c r="O28" s="98">
        <f>IF(ISNUMBER(H28),H28/Population!H28*10000,NA())</f>
        <v>6.179775280898876</v>
      </c>
      <c r="P28" s="99">
        <f t="shared" si="5"/>
        <v>6.179775280898876</v>
      </c>
      <c r="Q28" s="822">
        <f t="shared" si="6"/>
        <v>2</v>
      </c>
      <c r="R28" s="70"/>
      <c r="S28" s="340">
        <f>IDACI!C27</f>
        <v>8.6999999999999993</v>
      </c>
      <c r="T28" s="341">
        <f t="shared" si="0"/>
        <v>6.2339222537346508</v>
      </c>
      <c r="U28" s="342">
        <f t="shared" si="7"/>
        <v>-5.4146972835774854E-2</v>
      </c>
      <c r="V28" s="122"/>
      <c r="W28" s="139"/>
      <c r="X28" s="152"/>
      <c r="Y28" s="72" t="str">
        <f t="shared" si="8"/>
        <v>West Berkshire</v>
      </c>
      <c r="Z28" s="44">
        <f>IF(H28&gt;0,IDACI!D27,0)</f>
        <v>31625</v>
      </c>
      <c r="AA28" s="44">
        <f>IF(H28&gt;0,IDACI!E27,0)</f>
        <v>2751.375</v>
      </c>
      <c r="AB28" s="205">
        <f>IF(ISNUMBER(D28),Population!D28,"")</f>
        <v>35700</v>
      </c>
      <c r="AC28" s="205">
        <f>IF(ISNUMBER(E28),Population!E28,"")</f>
        <v>35900</v>
      </c>
      <c r="AD28" s="205">
        <f>IF(ISNUMBER(F28),Population!F28,"")</f>
        <v>35800</v>
      </c>
      <c r="AE28" s="205">
        <f>IF(ISNUMBER(G28),Population!G28,"")</f>
        <v>35600</v>
      </c>
      <c r="AF28" s="205">
        <f>IF(ISNUMBER(H28),Population!H28,"")</f>
        <v>35600</v>
      </c>
      <c r="AG28" s="93" t="s">
        <v>16</v>
      </c>
      <c r="AH28" s="231">
        <f t="shared" si="9"/>
        <v>6.435643564356436</v>
      </c>
      <c r="AI28" s="206">
        <f t="shared" si="10"/>
        <v>3</v>
      </c>
      <c r="AJ28" s="202"/>
      <c r="AK28" s="160"/>
      <c r="AL28" s="853">
        <f t="shared" si="11"/>
        <v>-0.20408163265306123</v>
      </c>
      <c r="AM28" s="853">
        <f t="shared" si="11"/>
        <v>-7.6923076923076927E-2</v>
      </c>
      <c r="AN28" s="853">
        <f t="shared" si="11"/>
        <v>-8.3333333333333329E-2</v>
      </c>
      <c r="AO28" s="853">
        <f t="shared" si="11"/>
        <v>-0.33333333333333331</v>
      </c>
      <c r="AP28" s="853">
        <f t="shared" si="12"/>
        <v>-0.17441784406070121</v>
      </c>
      <c r="AR28" s="936">
        <f t="shared" si="16"/>
        <v>10.863509749303622</v>
      </c>
      <c r="AS28" s="936">
        <f t="shared" si="16"/>
        <v>10.05586592178771</v>
      </c>
      <c r="AT28" s="936">
        <f t="shared" si="16"/>
        <v>9.2696629213483153</v>
      </c>
      <c r="AU28" s="936">
        <f t="shared" si="16"/>
        <v>6.179775280898876</v>
      </c>
      <c r="AV28" s="936">
        <f t="shared" si="14"/>
        <v>36.368813873338517</v>
      </c>
      <c r="AW28" s="575">
        <f t="shared" si="15"/>
        <v>0</v>
      </c>
      <c r="AX28" s="936">
        <f t="shared" si="13"/>
        <v>36.368813873338517</v>
      </c>
    </row>
    <row r="29" spans="1:50" s="87" customFormat="1" ht="13.5" customHeight="1" x14ac:dyDescent="0.2">
      <c r="A29" s="488">
        <f>VLOOKUP(B29,Sheet1!$AQ$4:$AR$25,2,FALSE)</f>
        <v>0</v>
      </c>
      <c r="B29" s="93" t="str">
        <f>Sheet1!$K$23</f>
        <v>West Sussex</v>
      </c>
      <c r="C29" s="85"/>
      <c r="D29" s="94">
        <f>IF(Year1_West_Sussex Year1_Care_Applications="","",Year1_West_Sussex Year1_Care_Applications)</f>
        <v>138</v>
      </c>
      <c r="E29" s="100">
        <f>IF(Year2_West_Sussex Year2_Care_Applications="","",Year2_West_Sussex Year2_Care_Applications)</f>
        <v>161</v>
      </c>
      <c r="F29" s="94">
        <f>IF(Year3_West_Sussex Year3_Care_Applications="","",Year3_West_Sussex Year3_Care_Applications)</f>
        <v>164</v>
      </c>
      <c r="G29" s="94">
        <f>IF(Year4_West_Sussex Year4_Care_Applications="","",Year4_West_Sussex Year4_Care_Applications)</f>
        <v>149</v>
      </c>
      <c r="H29" s="95">
        <f>IF(Year5_West_Sussex Year5_Care_Applications="","",Year5_West_Sussex Year5_Care_Applications)</f>
        <v>194</v>
      </c>
      <c r="I29" s="344">
        <f t="shared" si="4"/>
        <v>9.8962553805995779E-2</v>
      </c>
      <c r="J29" s="96"/>
      <c r="K29" s="97">
        <f>IF(ISNUMBER(D29),D29/Population!D29*10000,NA())</f>
        <v>8.0985915492957741</v>
      </c>
      <c r="L29" s="97">
        <f>IF(ISNUMBER(E29),E29/Population!E29*10000,NA())</f>
        <v>9.3713620488940634</v>
      </c>
      <c r="M29" s="97">
        <f>IF(ISNUMBER(F29),F29/Population!F29*10000,NA())</f>
        <v>9.4633583381419513</v>
      </c>
      <c r="N29" s="97">
        <f>IF(ISNUMBER(G29),G29/Population!G29*10000,NA())</f>
        <v>8.5289066971951915</v>
      </c>
      <c r="O29" s="98">
        <f>IF(ISNUMBER(H29),H29/Population!H29*10000,NA())</f>
        <v>11.016467915956843</v>
      </c>
      <c r="P29" s="99">
        <f t="shared" si="5"/>
        <v>11.016467915956843</v>
      </c>
      <c r="Q29" s="822">
        <f t="shared" si="6"/>
        <v>13</v>
      </c>
      <c r="R29" s="70"/>
      <c r="S29" s="340">
        <f>IDACI!C28</f>
        <v>11</v>
      </c>
      <c r="T29" s="341">
        <f t="shared" si="0"/>
        <v>7.7935836987938565</v>
      </c>
      <c r="U29" s="342">
        <f t="shared" si="7"/>
        <v>3.2228842171629868</v>
      </c>
      <c r="V29" s="122"/>
      <c r="W29" s="139"/>
      <c r="X29" s="152"/>
      <c r="Y29" s="72" t="str">
        <f t="shared" si="8"/>
        <v>West Sussex</v>
      </c>
      <c r="Z29" s="44">
        <f>IF(H29&gt;0,IDACI!D28,0)</f>
        <v>151487</v>
      </c>
      <c r="AA29" s="44">
        <f>IF(H29&gt;0,IDACI!E28,0)</f>
        <v>16663.57</v>
      </c>
      <c r="AB29" s="205">
        <f>IF(ISNUMBER(D29),Population!D29,"")</f>
        <v>170400</v>
      </c>
      <c r="AC29" s="205">
        <f>IF(ISNUMBER(E29),Population!E29,"")</f>
        <v>171800</v>
      </c>
      <c r="AD29" s="205">
        <f>IF(ISNUMBER(F29),Population!F29,"")</f>
        <v>173300</v>
      </c>
      <c r="AE29" s="205">
        <f>IF(ISNUMBER(G29),Population!G29,"")</f>
        <v>174700</v>
      </c>
      <c r="AF29" s="205">
        <f>IF(ISNUMBER(H29),Population!H29,"")</f>
        <v>176100</v>
      </c>
      <c r="AG29" s="202"/>
      <c r="AH29" s="202"/>
      <c r="AI29" s="190"/>
      <c r="AJ29" s="202"/>
      <c r="AK29" s="160"/>
      <c r="AL29" s="853">
        <f t="shared" si="11"/>
        <v>0.16666666666666666</v>
      </c>
      <c r="AM29" s="853">
        <f t="shared" si="11"/>
        <v>1.8633540372670808E-2</v>
      </c>
      <c r="AN29" s="853">
        <f t="shared" si="11"/>
        <v>-9.1463414634146339E-2</v>
      </c>
      <c r="AO29" s="853">
        <f t="shared" si="11"/>
        <v>0.30201342281879195</v>
      </c>
      <c r="AP29" s="853">
        <f t="shared" si="12"/>
        <v>9.8962553805995779E-2</v>
      </c>
      <c r="AR29" s="936">
        <f t="shared" si="16"/>
        <v>9.3713620488940634</v>
      </c>
      <c r="AS29" s="936">
        <f t="shared" si="16"/>
        <v>9.4633583381419513</v>
      </c>
      <c r="AT29" s="936">
        <f t="shared" si="16"/>
        <v>8.5289066971951915</v>
      </c>
      <c r="AU29" s="936">
        <f t="shared" si="16"/>
        <v>11.016467915956843</v>
      </c>
      <c r="AV29" s="936">
        <f t="shared" si="14"/>
        <v>38.380095000188049</v>
      </c>
      <c r="AW29" s="575">
        <f t="shared" si="15"/>
        <v>0</v>
      </c>
      <c r="AX29" s="936">
        <f t="shared" si="13"/>
        <v>38.380095000188049</v>
      </c>
    </row>
    <row r="30" spans="1:50" s="87" customFormat="1" ht="13.5" customHeight="1" x14ac:dyDescent="0.2">
      <c r="A30" s="488">
        <f>VLOOKUP(B30,Sheet1!$AQ$4:$AR$25,2,FALSE)</f>
        <v>0</v>
      </c>
      <c r="B30" s="93" t="str">
        <f>Sheet1!$K$24</f>
        <v>Windsor &amp; Maidenhead</v>
      </c>
      <c r="C30" s="85"/>
      <c r="D30" s="100">
        <f>IF(Year1_Windsor_Maidenhead Year1_Care_Applications="","",Year1_Windsor_Maidenhead Year1_Care_Applications)</f>
        <v>17</v>
      </c>
      <c r="E30" s="94">
        <f>IF(Year2_Windsor_Maidenhead Year2_Care_Applications="","",Year2_Windsor_Maidenhead Year2_Care_Applications)</f>
        <v>26</v>
      </c>
      <c r="F30" s="94">
        <f>IF(Year3_Windsor_Maidenhead Year3_Care_Applications="","",Year3_Windsor_Maidenhead Year3_Care_Applications)</f>
        <v>19</v>
      </c>
      <c r="G30" s="94">
        <f>IF(Year4_Windsor_Maidenhead Year4_Care_Applications="","",Year4_Windsor_Maidenhead Year4_Care_Applications)</f>
        <v>23</v>
      </c>
      <c r="H30" s="95">
        <f>IF(Year5_Windsor_Maidenhead Year5_Care_Applications="","",Year5_Windsor_Maidenhead Year5_Care_Applications)</f>
        <v>29</v>
      </c>
      <c r="I30" s="344">
        <f t="shared" si="4"/>
        <v>0.18289421912049453</v>
      </c>
      <c r="J30" s="96"/>
      <c r="K30" s="97">
        <f>IF(ISNUMBER(D30),D30/Population!D30*10000,NA())</f>
        <v>5.0445103857566771</v>
      </c>
      <c r="L30" s="97">
        <f>IF(ISNUMBER(E30),E30/Population!E30*10000,NA())</f>
        <v>7.6023391812865491</v>
      </c>
      <c r="M30" s="97">
        <f>IF(ISNUMBER(F30),F30/Population!F30*10000,NA())</f>
        <v>5.5232558139534884</v>
      </c>
      <c r="N30" s="97">
        <f>IF(ISNUMBER(G30),G30/Population!G30*10000,NA())</f>
        <v>6.6473988439306355</v>
      </c>
      <c r="O30" s="98">
        <f>IF(ISNUMBER(H30),H30/Population!H30*10000,NA())</f>
        <v>8.3573487031700289</v>
      </c>
      <c r="P30" s="99">
        <f t="shared" si="5"/>
        <v>8.3573487031700289</v>
      </c>
      <c r="Q30" s="822">
        <f t="shared" si="6"/>
        <v>8</v>
      </c>
      <c r="R30" s="70"/>
      <c r="S30" s="340">
        <f>IDACI!C29</f>
        <v>6.7</v>
      </c>
      <c r="T30" s="341">
        <f t="shared" si="0"/>
        <v>4.8776949102049079</v>
      </c>
      <c r="U30" s="342">
        <f t="shared" si="7"/>
        <v>3.479653792965121</v>
      </c>
      <c r="V30" s="122"/>
      <c r="W30" s="139"/>
      <c r="X30" s="152"/>
      <c r="Y30" s="72" t="str">
        <f t="shared" si="8"/>
        <v>Windsor &amp; Maidenhead</v>
      </c>
      <c r="Z30" s="44">
        <f>IF(H30&gt;0,IDACI!D29,0)</f>
        <v>29792</v>
      </c>
      <c r="AA30" s="44">
        <f>IF(H30&gt;0,IDACI!E29,0)</f>
        <v>1996.0640000000001</v>
      </c>
      <c r="AB30" s="205">
        <f>IF(ISNUMBER(D30),Population!D30,"")</f>
        <v>33700</v>
      </c>
      <c r="AC30" s="205">
        <f>IF(ISNUMBER(E30),Population!E30,"")</f>
        <v>34200</v>
      </c>
      <c r="AD30" s="205">
        <f>IF(ISNUMBER(F30),Population!F30,"")</f>
        <v>34400</v>
      </c>
      <c r="AE30" s="205">
        <f>IF(ISNUMBER(G30),Population!G30,"")</f>
        <v>34600</v>
      </c>
      <c r="AF30" s="205">
        <f>IF(ISNUMBER(H30),Population!H30,"")</f>
        <v>34700</v>
      </c>
      <c r="AG30" s="202"/>
      <c r="AH30" s="202"/>
      <c r="AI30" s="190"/>
      <c r="AJ30" s="202"/>
      <c r="AK30" s="160"/>
      <c r="AL30" s="853">
        <f t="shared" si="11"/>
        <v>0.52941176470588236</v>
      </c>
      <c r="AM30" s="853">
        <f t="shared" si="11"/>
        <v>-0.26923076923076922</v>
      </c>
      <c r="AN30" s="853">
        <f t="shared" si="11"/>
        <v>0.21052631578947367</v>
      </c>
      <c r="AO30" s="853">
        <f t="shared" si="11"/>
        <v>0.2608695652173913</v>
      </c>
      <c r="AP30" s="853">
        <f t="shared" si="12"/>
        <v>0.18289421912049453</v>
      </c>
      <c r="AR30" s="936">
        <f t="shared" si="16"/>
        <v>7.6023391812865491</v>
      </c>
      <c r="AS30" s="936">
        <f t="shared" si="16"/>
        <v>5.5232558139534884</v>
      </c>
      <c r="AT30" s="936">
        <f t="shared" si="16"/>
        <v>6.6473988439306355</v>
      </c>
      <c r="AU30" s="936">
        <f t="shared" si="16"/>
        <v>8.3573487031700289</v>
      </c>
      <c r="AV30" s="936">
        <f t="shared" si="14"/>
        <v>28.130342542340703</v>
      </c>
      <c r="AW30" s="575">
        <f t="shared" si="15"/>
        <v>0</v>
      </c>
      <c r="AX30" s="936">
        <f>AV30/(4-AW30)*4</f>
        <v>28.130342542340703</v>
      </c>
    </row>
    <row r="31" spans="1:50" s="87" customFormat="1" ht="13.5" customHeight="1" x14ac:dyDescent="0.2">
      <c r="A31" s="488">
        <f>VLOOKUP(B31,Sheet1!$AQ$4:$AR$25,2,FALSE)</f>
        <v>0</v>
      </c>
      <c r="B31" s="93" t="str">
        <f>Sheet1!$K$25</f>
        <v>Wokingham</v>
      </c>
      <c r="C31" s="85"/>
      <c r="D31" s="100">
        <f>IF(Year1_Wokingham Year1_Care_Applications="","",Year1_Wokingham Year1_Care_Applications)</f>
        <v>21</v>
      </c>
      <c r="E31" s="94">
        <f>IF(Year2_Wokingham Year2_Care_Applications="","",Year2_Wokingham Year2_Care_Applications)</f>
        <v>18</v>
      </c>
      <c r="F31" s="94">
        <f>IF(Year3_Wokingham Year3_Care_Applications="","",Year3_Wokingham Year3_Care_Applications)</f>
        <v>21</v>
      </c>
      <c r="G31" s="94">
        <f>IF(Year4_Wokingham Year4_Care_Applications="","",Year4_Wokingham Year4_Care_Applications)</f>
        <v>27</v>
      </c>
      <c r="H31" s="95">
        <f>IF(Year5_Wokingham Year5_Care_Applications="","",Year5_Wokingham Year5_Care_Applications)</f>
        <v>26</v>
      </c>
      <c r="I31" s="344">
        <f t="shared" si="4"/>
        <v>6.8121693121693125E-2</v>
      </c>
      <c r="J31" s="96"/>
      <c r="K31" s="97">
        <f>IF(ISNUMBER(D31),D31/Population!D31*10000,NA())</f>
        <v>5.6300268096514747</v>
      </c>
      <c r="L31" s="97">
        <f>IF(ISNUMBER(E31),E31/Population!E31*10000,NA())</f>
        <v>4.7368421052631575</v>
      </c>
      <c r="M31" s="97">
        <f>IF(ISNUMBER(F31),F31/Population!F31*10000,NA())</f>
        <v>5.4263565891472867</v>
      </c>
      <c r="N31" s="97">
        <f>IF(ISNUMBER(G31),G31/Population!G31*10000,NA())</f>
        <v>6.8354430379746836</v>
      </c>
      <c r="O31" s="98">
        <f>IF(ISNUMBER(H31),H31/Population!H31*10000,NA())</f>
        <v>6.435643564356436</v>
      </c>
      <c r="P31" s="99">
        <f t="shared" si="5"/>
        <v>6.435643564356436</v>
      </c>
      <c r="Q31" s="822">
        <f t="shared" si="6"/>
        <v>3</v>
      </c>
      <c r="R31" s="70"/>
      <c r="S31" s="340">
        <f>IDACI!C30</f>
        <v>5.6000000000000005</v>
      </c>
      <c r="T31" s="341">
        <f t="shared" si="0"/>
        <v>4.1317698712635487</v>
      </c>
      <c r="U31" s="342">
        <f t="shared" si="7"/>
        <v>2.3038736930928874</v>
      </c>
      <c r="V31" s="122"/>
      <c r="W31" s="139"/>
      <c r="X31" s="152"/>
      <c r="Y31" s="72" t="str">
        <f t="shared" si="8"/>
        <v>Wokingham</v>
      </c>
      <c r="Z31" s="44">
        <f>IF(H31&gt;0,IDACI!D30,0)</f>
        <v>33327</v>
      </c>
      <c r="AA31" s="44">
        <f>IF(H31&gt;0,IDACI!E30,0)</f>
        <v>1866.3120000000004</v>
      </c>
      <c r="AB31" s="205">
        <f>IF(ISNUMBER(D31),Population!D31,"")</f>
        <v>37300</v>
      </c>
      <c r="AC31" s="205">
        <f>IF(ISNUMBER(E31),Population!E31,"")</f>
        <v>38000</v>
      </c>
      <c r="AD31" s="205">
        <f>IF(ISNUMBER(F31),Population!F31,"")</f>
        <v>38700</v>
      </c>
      <c r="AE31" s="205">
        <f>IF(ISNUMBER(G31),Population!G31,"")</f>
        <v>39500</v>
      </c>
      <c r="AF31" s="205">
        <f>IF(ISNUMBER(H31),Population!H31,"")</f>
        <v>40400</v>
      </c>
      <c r="AG31" s="202"/>
      <c r="AH31" s="202"/>
      <c r="AI31" s="190"/>
      <c r="AJ31" s="202"/>
      <c r="AK31" s="160"/>
      <c r="AL31" s="853">
        <f t="shared" si="11"/>
        <v>-0.14285714285714285</v>
      </c>
      <c r="AM31" s="853">
        <f t="shared" si="11"/>
        <v>0.16666666666666666</v>
      </c>
      <c r="AN31" s="853">
        <f t="shared" si="11"/>
        <v>0.2857142857142857</v>
      </c>
      <c r="AO31" s="853">
        <f t="shared" si="11"/>
        <v>-3.7037037037037035E-2</v>
      </c>
      <c r="AP31" s="853">
        <f t="shared" si="12"/>
        <v>6.8121693121693125E-2</v>
      </c>
      <c r="AR31" s="936">
        <f t="shared" si="16"/>
        <v>4.7368421052631575</v>
      </c>
      <c r="AS31" s="936">
        <f t="shared" si="16"/>
        <v>5.4263565891472867</v>
      </c>
      <c r="AT31" s="936">
        <f t="shared" si="16"/>
        <v>6.8354430379746836</v>
      </c>
      <c r="AU31" s="936">
        <f t="shared" si="16"/>
        <v>6.435643564356436</v>
      </c>
      <c r="AV31" s="936">
        <f t="shared" si="14"/>
        <v>23.434285296741564</v>
      </c>
      <c r="AW31" s="575">
        <f t="shared" si="15"/>
        <v>0</v>
      </c>
      <c r="AX31" s="936">
        <f t="shared" si="13"/>
        <v>23.434285296741564</v>
      </c>
    </row>
    <row r="32" spans="1:50" s="87" customFormat="1" ht="13.5" customHeight="1" x14ac:dyDescent="0.2">
      <c r="A32" s="121"/>
      <c r="B32" s="129" t="str">
        <f>Sheet1!$K$26</f>
        <v>South East</v>
      </c>
      <c r="C32" s="85"/>
      <c r="D32" s="130">
        <f>IF(Year1_SouthEast Year1_Care_Applications="","",Year1_SouthEast Year1_Care_Applications)</f>
        <v>1807</v>
      </c>
      <c r="E32" s="130">
        <f>IF(Year2_SouthEast Year2_Care_Applications="","",Year2_SouthEast Year2_Care_Applications)</f>
        <v>1904</v>
      </c>
      <c r="F32" s="130">
        <f>IF(Year3_SouthEast Year3_Care_Applications="","",Year3_SouthEast Year3_Care_Applications)</f>
        <v>1911</v>
      </c>
      <c r="G32" s="130">
        <f>IF(Year4_SouthEast Year4_Care_Applications="","",Year4_SouthEast Year4_Care_Applications)</f>
        <v>1838</v>
      </c>
      <c r="H32" s="490">
        <f>IF(Year5_SouthEast Year5_Care_Applications="","",Year5_SouthEast Year5_Care_Applications)</f>
        <v>1762</v>
      </c>
      <c r="I32" s="357">
        <f t="shared" si="4"/>
        <v>-1.2080722679739543E-2</v>
      </c>
      <c r="J32" s="96"/>
      <c r="K32" s="132">
        <f>IF(ISNUMBER(D32),D32/AB32*10000,NA())</f>
        <v>9.4207809811792913</v>
      </c>
      <c r="L32" s="132">
        <f>IF(ISNUMBER(E32),E32/AC32*10000,NA())</f>
        <v>9.8494645905540334</v>
      </c>
      <c r="M32" s="132">
        <f>IF(ISNUMBER(F32),F32/AD32*10000,NA())</f>
        <v>9.8307526107310057</v>
      </c>
      <c r="N32" s="132">
        <f>IF(ISNUMBER(G32),G32/AE32*10000,NA())</f>
        <v>9.390007152344948</v>
      </c>
      <c r="O32" s="133">
        <f>IF(ISNUMBER(H32),H32/AF32*10000,NA())</f>
        <v>8.9477960593134274</v>
      </c>
      <c r="P32" s="99">
        <f t="shared" si="5"/>
        <v>8.9477960593134274</v>
      </c>
      <c r="Q32" s="134" t="str">
        <f t="shared" si="6"/>
        <v>--</v>
      </c>
      <c r="R32" s="70"/>
      <c r="S32" s="338">
        <f>AA32/Z32*100</f>
        <v>12.371268250968637</v>
      </c>
      <c r="T32" s="338">
        <f t="shared" si="0"/>
        <v>8.7234594474327913</v>
      </c>
      <c r="U32" s="343">
        <f t="shared" si="7"/>
        <v>0.22433661188063603</v>
      </c>
      <c r="V32" s="122"/>
      <c r="W32" s="139"/>
      <c r="X32" s="152"/>
      <c r="Y32" s="72" t="str">
        <f t="shared" si="8"/>
        <v>South East</v>
      </c>
      <c r="Z32" s="44">
        <f>SUM(Z24:Z25,Z10:Z22,Z28:Z31)</f>
        <v>1704978</v>
      </c>
      <c r="AA32" s="44">
        <f>SUM(AA24:AA25,AA10:AA22,AA28:AA31)</f>
        <v>210927.40200000003</v>
      </c>
      <c r="AB32" s="205">
        <f>SUM(AB10:AB22,AB24:AB25,AB28:AB31)</f>
        <v>1918100</v>
      </c>
      <c r="AC32" s="205">
        <f t="shared" ref="AC32:AF32" si="17">SUM(AC10:AC22,AC24:AC25,AC28:AC31)</f>
        <v>1933100</v>
      </c>
      <c r="AD32" s="205">
        <f t="shared" si="17"/>
        <v>1943900</v>
      </c>
      <c r="AE32" s="205">
        <f t="shared" si="17"/>
        <v>1957400</v>
      </c>
      <c r="AF32" s="205">
        <f t="shared" si="17"/>
        <v>1969200</v>
      </c>
      <c r="AG32" s="202"/>
      <c r="AH32" s="202"/>
      <c r="AI32" s="190"/>
      <c r="AJ32" s="202"/>
      <c r="AK32" s="160"/>
      <c r="AL32" s="1025">
        <f>IF(ISERROR((L32-K32)/K32),"x",(L32-K32)/K32)</f>
        <v>4.5504041568439013E-2</v>
      </c>
      <c r="AM32" s="1025">
        <f t="shared" ref="AM32:AO32" si="18">IF(ISERROR((M32-L32)/L32),"x",(M32-L32)/L32)</f>
        <v>-1.8997966489440617E-3</v>
      </c>
      <c r="AN32" s="1025">
        <f t="shared" si="18"/>
        <v>-4.4833338386010335E-2</v>
      </c>
      <c r="AO32" s="1025">
        <f t="shared" si="18"/>
        <v>-4.7093797252442789E-2</v>
      </c>
      <c r="AP32" s="853">
        <f t="shared" si="12"/>
        <v>-1.2080722679739543E-2</v>
      </c>
      <c r="AR32" s="936">
        <f t="shared" si="16"/>
        <v>9.8494645905540334</v>
      </c>
      <c r="AS32" s="936">
        <f t="shared" si="16"/>
        <v>9.8307526107310057</v>
      </c>
      <c r="AT32" s="936">
        <f t="shared" si="16"/>
        <v>9.390007152344948</v>
      </c>
      <c r="AU32" s="936">
        <f t="shared" si="16"/>
        <v>8.9477960593134274</v>
      </c>
      <c r="AV32" s="936">
        <f t="shared" si="14"/>
        <v>38.018020412943414</v>
      </c>
      <c r="AW32" s="575">
        <f t="shared" si="15"/>
        <v>0</v>
      </c>
      <c r="AX32" s="936">
        <f t="shared" si="13"/>
        <v>38.018020412943414</v>
      </c>
    </row>
    <row r="33" spans="1:51" s="87" customFormat="1" ht="13.5" customHeight="1" x14ac:dyDescent="0.2">
      <c r="A33" s="292"/>
      <c r="B33" s="329" t="str">
        <f>Sheet1!$K$27</f>
        <v>England</v>
      </c>
      <c r="C33" s="85"/>
      <c r="D33" s="330">
        <f>IF(Year1_England Year1_Care_Applications="","",Year1_England Year1_Care_Applications)</f>
        <v>12792</v>
      </c>
      <c r="E33" s="330">
        <f>IF(Year2_England Year2_Care_Applications="","",Year2_England Year2_Care_Applications)</f>
        <v>14599</v>
      </c>
      <c r="F33" s="330">
        <f>IF(Year3_England Year3_Care_Applications="","",Year3_England Year3_Care_Applications)</f>
        <v>14216</v>
      </c>
      <c r="G33" s="330">
        <f>IF(Year4_England Year4_Care_Applications="","",Year4_England Year4_Care_Applications)</f>
        <v>13556</v>
      </c>
      <c r="H33" s="491">
        <f>IF(Year5_England Year5_Care_Applications="","",Year5_England Year5_Care_Applications)</f>
        <v>13084</v>
      </c>
      <c r="I33" s="358">
        <f t="shared" si="4"/>
        <v>8.4450992082883286E-3</v>
      </c>
      <c r="J33" s="96"/>
      <c r="K33" s="332">
        <f>IF(ISNUMBER(D33),D33/Population!D33*10000,NA())</f>
        <v>10.954024268061895</v>
      </c>
      <c r="L33" s="332">
        <f>IF(ISNUMBER(E33),E33/Population!E33*10000,NA())</f>
        <v>12.387465741219994</v>
      </c>
      <c r="M33" s="332">
        <f>IF(ISNUMBER(F33),F33/Population!F33*10000,NA())</f>
        <v>11.979438779809557</v>
      </c>
      <c r="N33" s="332">
        <f>IF(ISNUMBER(G33),G33/Population!G33*10000,NA())</f>
        <v>11.339568032389206</v>
      </c>
      <c r="O33" s="333">
        <f>IF(ISNUMBER(H33),H33/Population!H33*10000,NA())</f>
        <v>10.881932200006654</v>
      </c>
      <c r="P33" s="99">
        <f t="shared" si="5"/>
        <v>10.881932200006654</v>
      </c>
      <c r="Q33" s="858" t="str">
        <f t="shared" si="6"/>
        <v>--</v>
      </c>
      <c r="R33" s="70"/>
      <c r="S33" s="339">
        <f>IDACI!C32</f>
        <v>17.084413405029373</v>
      </c>
      <c r="T33" s="339">
        <f t="shared" si="0"/>
        <v>11.91950761341373</v>
      </c>
      <c r="U33" s="624">
        <f t="shared" si="7"/>
        <v>-1.037575413407076</v>
      </c>
      <c r="V33" s="122"/>
      <c r="W33" s="139"/>
      <c r="X33" s="152"/>
      <c r="Y33" s="72" t="str">
        <f t="shared" si="8"/>
        <v>England</v>
      </c>
      <c r="Z33" s="44">
        <f>IF(H33&gt;0,IDACI!D32,0)</f>
        <v>10405050</v>
      </c>
      <c r="AA33" s="44">
        <f>IF(H33&gt;0,IDACI!E32,0)</f>
        <v>1777641.7570000088</v>
      </c>
      <c r="AB33" s="205">
        <f>IF(ISNUMBER(D33),Population!D33,"")</f>
        <v>11677900</v>
      </c>
      <c r="AC33" s="205">
        <f>IF(ISNUMBER(E33),Population!E33,"")</f>
        <v>11785300</v>
      </c>
      <c r="AD33" s="205">
        <f>IF(ISNUMBER(F33),Population!F33,"")</f>
        <v>11867000</v>
      </c>
      <c r="AE33" s="205">
        <f>IF(ISNUMBER(G33),Population!G33,"")</f>
        <v>11954600</v>
      </c>
      <c r="AF33" s="205">
        <f>IF(ISNUMBER(H33),Population!H33,"")</f>
        <v>12023600</v>
      </c>
      <c r="AG33" s="202"/>
      <c r="AH33" s="202"/>
      <c r="AI33" s="190"/>
      <c r="AJ33" s="202"/>
      <c r="AK33" s="160"/>
      <c r="AL33" s="853">
        <f t="shared" si="11"/>
        <v>0.14126016260162602</v>
      </c>
      <c r="AM33" s="853">
        <f t="shared" si="11"/>
        <v>-2.6234673607781357E-2</v>
      </c>
      <c r="AN33" s="853">
        <f t="shared" si="11"/>
        <v>-4.6426561620709059E-2</v>
      </c>
      <c r="AO33" s="853">
        <f t="shared" si="11"/>
        <v>-3.4818530539982295E-2</v>
      </c>
      <c r="AP33" s="853">
        <f>AVERAGE(AL33:AO33)</f>
        <v>8.4450992082883286E-3</v>
      </c>
      <c r="AR33" s="936">
        <f t="shared" si="16"/>
        <v>12.387465741219994</v>
      </c>
      <c r="AS33" s="936">
        <f t="shared" si="16"/>
        <v>11.979438779809557</v>
      </c>
      <c r="AT33" s="936">
        <f t="shared" si="16"/>
        <v>11.339568032389206</v>
      </c>
      <c r="AU33" s="936">
        <f t="shared" si="16"/>
        <v>10.881932200006654</v>
      </c>
      <c r="AV33" s="936">
        <f t="shared" si="14"/>
        <v>46.588404753425415</v>
      </c>
      <c r="AW33" s="575">
        <f t="shared" si="15"/>
        <v>0</v>
      </c>
      <c r="AX33" s="936">
        <f t="shared" si="13"/>
        <v>46.588404753425415</v>
      </c>
    </row>
    <row r="34" spans="1:51" s="81" customFormat="1" ht="12.6" customHeight="1" x14ac:dyDescent="0.2">
      <c r="A34" s="118"/>
      <c r="B34" s="123" t="s">
        <v>90</v>
      </c>
      <c r="C34" s="63"/>
      <c r="D34" s="63"/>
      <c r="E34" s="63"/>
      <c r="F34" s="63"/>
      <c r="G34" s="63"/>
      <c r="H34" s="63"/>
      <c r="I34" s="63"/>
      <c r="J34" s="63"/>
      <c r="K34" s="63"/>
      <c r="L34" s="63"/>
      <c r="M34" s="63"/>
      <c r="N34" s="63"/>
      <c r="O34" s="63"/>
      <c r="P34" s="63"/>
      <c r="Q34" s="136" t="s">
        <v>108</v>
      </c>
      <c r="S34" s="63"/>
      <c r="T34" s="63"/>
      <c r="U34" s="63"/>
      <c r="V34" s="117"/>
      <c r="W34" s="137"/>
      <c r="X34" s="150"/>
      <c r="Y34" s="80"/>
      <c r="Z34" s="184"/>
      <c r="AA34" s="184"/>
      <c r="AB34" s="184"/>
      <c r="AC34" s="184"/>
      <c r="AD34" s="184"/>
      <c r="AE34" s="184"/>
      <c r="AF34" s="184"/>
      <c r="AG34" s="184"/>
      <c r="AH34" s="184"/>
      <c r="AJ34" s="184"/>
      <c r="AK34" s="161"/>
    </row>
    <row r="35" spans="1:51" s="81" customFormat="1" ht="27" customHeight="1" x14ac:dyDescent="0.2">
      <c r="A35" s="118"/>
      <c r="B35" s="1923"/>
      <c r="C35" s="1763"/>
      <c r="D35" s="1763"/>
      <c r="E35" s="1763"/>
      <c r="F35" s="1763"/>
      <c r="G35" s="1763"/>
      <c r="H35" s="1763"/>
      <c r="I35" s="1763"/>
      <c r="J35" s="1763"/>
      <c r="K35" s="1763"/>
      <c r="L35" s="1763"/>
      <c r="M35" s="1763"/>
      <c r="N35" s="1763"/>
      <c r="O35" s="1763"/>
      <c r="P35" s="1763"/>
      <c r="Q35" s="1763"/>
      <c r="R35" s="1763"/>
      <c r="S35" s="1763"/>
      <c r="T35" s="1763"/>
      <c r="U35" s="1764"/>
      <c r="V35" s="117"/>
      <c r="W35" s="137"/>
      <c r="X35" s="150"/>
      <c r="Y35" s="80"/>
      <c r="Z35" s="184"/>
      <c r="AA35" s="184"/>
      <c r="AB35" s="184"/>
      <c r="AC35" s="184"/>
      <c r="AD35" s="184"/>
      <c r="AE35" s="184"/>
      <c r="AF35" s="184"/>
      <c r="AG35" s="184"/>
      <c r="AH35" s="184"/>
      <c r="AJ35" s="184"/>
      <c r="AK35" s="157"/>
      <c r="AL35" s="74"/>
      <c r="AM35" s="74"/>
      <c r="AN35" s="74"/>
      <c r="AO35" s="74"/>
      <c r="AP35" s="74"/>
      <c r="AQ35" s="74"/>
      <c r="AR35" s="74"/>
    </row>
    <row r="36" spans="1:51" s="81" customFormat="1" ht="7.5" customHeight="1" x14ac:dyDescent="0.2">
      <c r="A36" s="118"/>
      <c r="B36" s="17"/>
      <c r="C36" s="17"/>
      <c r="D36" s="16"/>
      <c r="E36" s="16"/>
      <c r="F36" s="16"/>
      <c r="G36" s="16"/>
      <c r="H36" s="16"/>
      <c r="I36" s="16"/>
      <c r="J36" s="12"/>
      <c r="K36" s="18"/>
      <c r="L36" s="18"/>
      <c r="M36" s="18"/>
      <c r="N36" s="18"/>
      <c r="O36" s="18"/>
      <c r="P36" s="18"/>
      <c r="Q36" s="18"/>
      <c r="R36" s="18"/>
      <c r="S36" s="18"/>
      <c r="T36" s="18"/>
      <c r="U36" s="19"/>
      <c r="V36" s="117"/>
      <c r="W36" s="137"/>
      <c r="X36" s="150"/>
      <c r="Z36" s="190"/>
      <c r="AJ36" s="184"/>
      <c r="AK36" s="157"/>
      <c r="AL36" s="74"/>
      <c r="AM36" s="74"/>
      <c r="AN36" s="74"/>
      <c r="AO36" s="74"/>
      <c r="AP36" s="74"/>
      <c r="AQ36" s="74"/>
      <c r="AR36" s="74"/>
    </row>
    <row r="37" spans="1:51" s="81" customFormat="1" ht="15" customHeight="1" x14ac:dyDescent="0.2">
      <c r="A37" s="1716"/>
      <c r="B37" s="1760"/>
      <c r="C37" s="1760"/>
      <c r="D37" s="1760"/>
      <c r="E37" s="1760"/>
      <c r="F37" s="1760"/>
      <c r="G37" s="1760"/>
      <c r="H37" s="1760"/>
      <c r="I37" s="1760"/>
      <c r="J37" s="1760"/>
      <c r="K37" s="1760"/>
      <c r="L37" s="1760"/>
      <c r="M37" s="1760"/>
      <c r="N37" s="1760"/>
      <c r="O37" s="1760"/>
      <c r="P37" s="1760"/>
      <c r="Q37" s="1760"/>
      <c r="R37" s="1760"/>
      <c r="S37" s="1760"/>
      <c r="T37" s="1760"/>
      <c r="U37" s="1760"/>
      <c r="V37" s="1761"/>
      <c r="W37" s="137"/>
      <c r="X37" s="150"/>
      <c r="Z37" s="190"/>
      <c r="AK37" s="161"/>
      <c r="AM37" s="81">
        <f>COLUMNS($B$4:K$4)</f>
        <v>10</v>
      </c>
      <c r="AN37" s="81">
        <f>COLUMNS($B$4:L$4)</f>
        <v>11</v>
      </c>
      <c r="AO37" s="81">
        <f>COLUMNS($B$4:M$4)</f>
        <v>12</v>
      </c>
      <c r="AP37" s="81">
        <f>COLUMNS($B$4:N$4)</f>
        <v>13</v>
      </c>
      <c r="AQ37" s="81">
        <f>COLUMNS($B$4:O$4)</f>
        <v>14</v>
      </c>
      <c r="AR37" s="81">
        <f>COLUMNS($B$4:S$4)</f>
        <v>18</v>
      </c>
    </row>
    <row r="38" spans="1:51" s="81" customFormat="1" ht="11.45" customHeight="1" x14ac:dyDescent="0.2">
      <c r="A38" s="1765" t="str">
        <f>Home!$A$39</f>
        <v xml:space="preserve"> </v>
      </c>
      <c r="B38" s="1766"/>
      <c r="C38" s="1766"/>
      <c r="D38" s="1766"/>
      <c r="E38" s="1766"/>
      <c r="F38" s="1766"/>
      <c r="G38" s="1766"/>
      <c r="H38" s="1766"/>
      <c r="I38" s="1767"/>
      <c r="J38" s="1766"/>
      <c r="K38" s="1766"/>
      <c r="L38" s="1766"/>
      <c r="M38" s="1766"/>
      <c r="N38" s="1766"/>
      <c r="O38" s="1766"/>
      <c r="P38" s="1768"/>
      <c r="Q38" s="1766"/>
      <c r="R38" s="1766"/>
      <c r="S38" s="1766"/>
      <c r="T38" s="1767"/>
      <c r="U38" s="1766"/>
      <c r="V38" s="1769"/>
      <c r="W38" s="137"/>
      <c r="X38" s="150"/>
      <c r="Z38" s="190"/>
      <c r="AJ38" s="184"/>
      <c r="AK38" s="160"/>
      <c r="AL38" s="87"/>
      <c r="AM38" s="1773" t="s">
        <v>89</v>
      </c>
      <c r="AN38" s="1773"/>
      <c r="AO38" s="1773"/>
      <c r="AP38" s="1773"/>
      <c r="AQ38" s="1773"/>
      <c r="AR38" s="1773" t="s">
        <v>1213</v>
      </c>
    </row>
    <row r="39" spans="1:51" s="81" customFormat="1" ht="11.1" customHeight="1" x14ac:dyDescent="0.2">
      <c r="A39" s="112"/>
      <c r="B39" s="113"/>
      <c r="C39" s="113"/>
      <c r="D39" s="113"/>
      <c r="E39" s="113"/>
      <c r="F39" s="113"/>
      <c r="G39" s="113"/>
      <c r="H39" s="113"/>
      <c r="I39" s="113"/>
      <c r="J39" s="114"/>
      <c r="K39" s="113"/>
      <c r="L39" s="113"/>
      <c r="M39" s="113"/>
      <c r="N39" s="113"/>
      <c r="O39" s="113"/>
      <c r="P39" s="113"/>
      <c r="Q39" s="113"/>
      <c r="R39" s="113"/>
      <c r="S39" s="113"/>
      <c r="T39" s="113"/>
      <c r="U39" s="113"/>
      <c r="V39" s="115"/>
      <c r="W39" s="137"/>
      <c r="X39" s="149" t="s">
        <v>101</v>
      </c>
      <c r="Y39" s="197"/>
      <c r="Z39" s="197"/>
      <c r="AA39" s="197"/>
      <c r="AB39" s="197"/>
      <c r="AC39" s="197"/>
      <c r="AJ39" s="184"/>
      <c r="AK39" s="160"/>
      <c r="AL39" s="87"/>
      <c r="AM39" s="758" t="str">
        <f>Sheet1!$D$27</f>
        <v>2015-16</v>
      </c>
      <c r="AN39" s="758" t="str">
        <f>Sheet1!$E$27</f>
        <v>2016-17</v>
      </c>
      <c r="AO39" s="758" t="str">
        <f>Sheet1!$F$27</f>
        <v>2017-18</v>
      </c>
      <c r="AP39" s="758" t="str">
        <f>Sheet1!$G$27</f>
        <v>2018-19</v>
      </c>
      <c r="AQ39" s="758" t="str">
        <f>Sheet1!$H$27</f>
        <v>2019-20</v>
      </c>
      <c r="AR39" s="1773"/>
    </row>
    <row r="40" spans="1:51" s="81" customFormat="1" ht="3.75" customHeight="1" x14ac:dyDescent="0.25">
      <c r="A40" s="116"/>
      <c r="B40" s="9"/>
      <c r="C40" s="9"/>
      <c r="D40" s="9"/>
      <c r="E40" s="9"/>
      <c r="F40" s="9"/>
      <c r="G40" s="9"/>
      <c r="H40" s="9"/>
      <c r="I40" s="9"/>
      <c r="J40" s="12"/>
      <c r="K40" s="9"/>
      <c r="L40" s="9"/>
      <c r="M40" s="9"/>
      <c r="N40" s="9"/>
      <c r="O40" s="9"/>
      <c r="P40" s="9"/>
      <c r="Q40" s="9"/>
      <c r="R40" s="9"/>
      <c r="S40" s="9"/>
      <c r="T40" s="9"/>
      <c r="U40" s="9"/>
      <c r="V40" s="117"/>
      <c r="W40" s="137"/>
      <c r="X40" s="294"/>
      <c r="AD40" s="1320" t="s">
        <v>977</v>
      </c>
      <c r="AK40" s="160"/>
      <c r="AL40" s="87"/>
      <c r="AM40" s="758" t="e">
        <f>Sheet1!$D$28</f>
        <v>#N/A</v>
      </c>
      <c r="AN40" s="758" t="e">
        <f>Sheet1!$E$28</f>
        <v>#N/A</v>
      </c>
      <c r="AO40" s="758" t="e">
        <f>Sheet1!$F$28</f>
        <v>#N/A</v>
      </c>
      <c r="AP40" s="758" t="e">
        <f>Sheet1!$G$28</f>
        <v>#N/A</v>
      </c>
      <c r="AQ40" s="758" t="e">
        <f>Sheet1!$H$28</f>
        <v>#N/A</v>
      </c>
      <c r="AR40" s="1773"/>
    </row>
    <row r="41" spans="1:51" s="81" customFormat="1" ht="14.25" customHeight="1" x14ac:dyDescent="0.2">
      <c r="A41" s="118"/>
      <c r="B41" s="9"/>
      <c r="C41" s="9"/>
      <c r="D41" s="9"/>
      <c r="E41" s="9"/>
      <c r="F41" s="9"/>
      <c r="G41" s="9"/>
      <c r="H41" s="9"/>
      <c r="I41" s="9"/>
      <c r="J41" s="12"/>
      <c r="K41" s="9"/>
      <c r="L41" s="9"/>
      <c r="M41" s="9"/>
      <c r="N41" s="9"/>
      <c r="O41" s="9"/>
      <c r="P41" s="9"/>
      <c r="Q41" s="9"/>
      <c r="R41" s="9"/>
      <c r="S41" s="9"/>
      <c r="T41" s="9"/>
      <c r="U41" s="9"/>
      <c r="V41" s="117"/>
      <c r="W41" s="137"/>
      <c r="X41" s="294"/>
      <c r="Y41" s="43" t="s">
        <v>72</v>
      </c>
      <c r="Z41" s="43" t="s">
        <v>70</v>
      </c>
      <c r="AA41" s="43" t="s">
        <v>71</v>
      </c>
      <c r="AB41" s="1194">
        <v>5</v>
      </c>
      <c r="AC41" s="216">
        <f>(AB41*Z42)+AA42</f>
        <v>5.6412539482086448</v>
      </c>
      <c r="AD41" s="206">
        <f>ROUND(ChartLabels!$AA14,3)</f>
        <v>0.52100000000000002</v>
      </c>
      <c r="AJ41" s="585" t="b">
        <v>1</v>
      </c>
      <c r="AK41" s="160" t="s">
        <v>0</v>
      </c>
      <c r="AL41" s="87" t="str">
        <f>IF(AJ41=TRUE,B10,"")</f>
        <v>Bracknell Forest</v>
      </c>
      <c r="AM41" s="146">
        <f t="shared" ref="AM41:AQ50" si="19">VLOOKUP($AL41,$B$10:$O$33,AM$37,FALSE)</f>
        <v>12.411347517730498</v>
      </c>
      <c r="AN41" s="146">
        <f t="shared" si="19"/>
        <v>12.411347517730498</v>
      </c>
      <c r="AO41" s="146">
        <f t="shared" si="19"/>
        <v>19.572953736654803</v>
      </c>
      <c r="AP41" s="146">
        <f t="shared" si="19"/>
        <v>14.840989399293287</v>
      </c>
      <c r="AQ41" s="146">
        <f t="shared" si="19"/>
        <v>10.211267605633804</v>
      </c>
      <c r="AR41" s="147">
        <f>VLOOKUP(AL41,$B$10:$U$33,$AR$37,FALSE)</f>
        <v>8.9</v>
      </c>
    </row>
    <row r="42" spans="1:51" s="81" customFormat="1" ht="14.25" customHeight="1" x14ac:dyDescent="0.2">
      <c r="A42" s="118"/>
      <c r="B42" s="9"/>
      <c r="C42" s="9"/>
      <c r="D42" s="9"/>
      <c r="E42" s="9"/>
      <c r="F42" s="9"/>
      <c r="G42" s="9"/>
      <c r="H42" s="9"/>
      <c r="I42" s="9"/>
      <c r="J42" s="12"/>
      <c r="K42" s="9"/>
      <c r="L42" s="9"/>
      <c r="M42" s="9"/>
      <c r="N42" s="9"/>
      <c r="O42" s="9"/>
      <c r="P42" s="9"/>
      <c r="Q42" s="9"/>
      <c r="R42" s="9"/>
      <c r="S42" s="9"/>
      <c r="T42" s="9"/>
      <c r="U42" s="9"/>
      <c r="V42" s="117"/>
      <c r="W42" s="137"/>
      <c r="X42" s="294"/>
      <c r="Y42" s="212" t="str">
        <f>"Y= "&amp;Z42&amp;"x + "&amp;AA42</f>
        <v>Y= 0.581907877702866x + 2.73171455969432</v>
      </c>
      <c r="Z42" s="743">
        <f>ChartLabels!$Y14</f>
        <v>0.58190787770286567</v>
      </c>
      <c r="AA42" s="743">
        <f>ChartLabels!$Z14</f>
        <v>2.7317145596943169</v>
      </c>
      <c r="AB42" s="215">
        <v>35</v>
      </c>
      <c r="AC42" s="216">
        <f>(AB42*Z42)+AA42</f>
        <v>23.098490279294616</v>
      </c>
      <c r="AD42" s="1319" t="str">
        <f>AD40&amp;" = "&amp;AD41</f>
        <v>r² = 0.521</v>
      </c>
      <c r="AJ42" s="585" t="b">
        <v>1</v>
      </c>
      <c r="AK42" s="160" t="s">
        <v>31</v>
      </c>
      <c r="AL42" s="87" t="str">
        <f t="shared" ref="AL42:AL64" si="20">IF(AJ42=TRUE,B11,"")</f>
        <v>Brighton &amp; Hove</v>
      </c>
      <c r="AM42" s="146">
        <f t="shared" si="19"/>
        <v>19.3359375</v>
      </c>
      <c r="AN42" s="146">
        <f t="shared" si="19"/>
        <v>20.2729044834308</v>
      </c>
      <c r="AO42" s="146">
        <f t="shared" si="19"/>
        <v>15.098039215686274</v>
      </c>
      <c r="AP42" s="146">
        <f t="shared" si="19"/>
        <v>11.96078431372549</v>
      </c>
      <c r="AQ42" s="146">
        <f t="shared" si="19"/>
        <v>15.705765407554672</v>
      </c>
      <c r="AR42" s="147">
        <f t="shared" ref="AR42:AR64" si="21">VLOOKUP(AL42,$B$10:$U$33,$AR$37,FALSE)</f>
        <v>15.299999999999999</v>
      </c>
    </row>
    <row r="43" spans="1:51" ht="14.25" customHeight="1" x14ac:dyDescent="0.2">
      <c r="A43" s="118"/>
      <c r="B43" s="9"/>
      <c r="C43" s="9"/>
      <c r="D43" s="9"/>
      <c r="E43" s="9"/>
      <c r="F43" s="9"/>
      <c r="G43" s="9"/>
      <c r="H43" s="9"/>
      <c r="I43" s="9"/>
      <c r="J43" s="12"/>
      <c r="K43" s="9"/>
      <c r="L43" s="9"/>
      <c r="M43" s="9"/>
      <c r="N43" s="9"/>
      <c r="O43" s="9"/>
      <c r="P43" s="9"/>
      <c r="Q43" s="9"/>
      <c r="R43" s="9"/>
      <c r="S43" s="9"/>
      <c r="T43" s="9"/>
      <c r="U43" s="9"/>
      <c r="V43" s="117"/>
      <c r="W43" s="137"/>
      <c r="X43" s="294"/>
      <c r="Y43" s="43" t="str">
        <f>"National Trend "&amp;Sheet1!$B$8</f>
        <v>National Trend 2020</v>
      </c>
      <c r="Z43" s="43" t="s">
        <v>70</v>
      </c>
      <c r="AA43" s="43" t="s">
        <v>71</v>
      </c>
      <c r="AB43" s="1194">
        <v>5</v>
      </c>
      <c r="AC43" s="216">
        <f>((AB43*Z44)+AA44)/$Y$2</f>
        <v>3.7249016682046254</v>
      </c>
      <c r="AD43" s="1319" t="str">
        <f>$AD$40&amp;" = "&amp;AD44</f>
        <v>r² = 0.348</v>
      </c>
      <c r="AJ43" s="585" t="b">
        <v>1</v>
      </c>
      <c r="AK43" s="160" t="s">
        <v>8</v>
      </c>
      <c r="AL43" s="87" t="str">
        <f t="shared" si="20"/>
        <v>Buckinghamshire</v>
      </c>
      <c r="AM43" s="146">
        <f t="shared" si="19"/>
        <v>9.9502487562189046</v>
      </c>
      <c r="AN43" s="146">
        <f t="shared" si="19"/>
        <v>8.3469721767594116</v>
      </c>
      <c r="AO43" s="146">
        <f t="shared" si="19"/>
        <v>7.0674248578391552</v>
      </c>
      <c r="AP43" s="146">
        <f t="shared" si="19"/>
        <v>8.3668543845534984</v>
      </c>
      <c r="AQ43" s="146">
        <f t="shared" si="19"/>
        <v>7.1599045346062056</v>
      </c>
      <c r="AR43" s="147">
        <f t="shared" si="21"/>
        <v>8.5</v>
      </c>
      <c r="AS43" s="81"/>
      <c r="AT43" s="81"/>
      <c r="AU43" s="81"/>
      <c r="AV43" s="81"/>
      <c r="AW43" s="81"/>
      <c r="AX43" s="81"/>
      <c r="AY43" s="81"/>
    </row>
    <row r="44" spans="1:51" ht="14.25" customHeight="1" x14ac:dyDescent="0.2">
      <c r="A44" s="118"/>
      <c r="B44" s="9"/>
      <c r="C44" s="9"/>
      <c r="D44" s="9"/>
      <c r="E44" s="9"/>
      <c r="F44" s="9"/>
      <c r="G44" s="9"/>
      <c r="H44" s="9"/>
      <c r="I44" s="9"/>
      <c r="J44" s="12"/>
      <c r="K44" s="13"/>
      <c r="L44" s="13"/>
      <c r="M44" s="13"/>
      <c r="N44" s="13"/>
      <c r="O44" s="14"/>
      <c r="P44" s="14"/>
      <c r="Q44" s="14"/>
      <c r="R44" s="14"/>
      <c r="S44" s="14"/>
      <c r="T44" s="14"/>
      <c r="U44" s="14"/>
      <c r="V44" s="117"/>
      <c r="W44" s="137"/>
      <c r="X44" s="294"/>
      <c r="Y44" s="72" t="str">
        <f>"Y= "&amp;Z44&amp;"x + "&amp;AA44</f>
        <v>Y= 0.678113671764872x + 0.334333309380266</v>
      </c>
      <c r="Z44" s="743">
        <f>Sheet1!$F$11</f>
        <v>0.67811367176487181</v>
      </c>
      <c r="AA44" s="743">
        <f>Sheet1!$F$12</f>
        <v>0.33433330938026629</v>
      </c>
      <c r="AB44" s="215">
        <v>35</v>
      </c>
      <c r="AC44" s="216">
        <f>((AB44*Z44)+AA44)/$Y$2</f>
        <v>24.068311821150779</v>
      </c>
      <c r="AD44" s="1195">
        <f>ROUND(Sheet1!$F$13,3)</f>
        <v>0.34799999999999998</v>
      </c>
      <c r="AJ44" s="585" t="b">
        <v>1</v>
      </c>
      <c r="AK44" s="160" t="s">
        <v>4</v>
      </c>
      <c r="AL44" s="87" t="str">
        <f t="shared" si="20"/>
        <v>East Sussex</v>
      </c>
      <c r="AM44" s="146">
        <f t="shared" si="19"/>
        <v>7.7431539187913128</v>
      </c>
      <c r="AN44" s="146">
        <f t="shared" si="19"/>
        <v>9.3484419263456093</v>
      </c>
      <c r="AO44" s="146">
        <f t="shared" si="19"/>
        <v>8.4905660377358494</v>
      </c>
      <c r="AP44" s="146">
        <f t="shared" si="19"/>
        <v>7.7067669172932334</v>
      </c>
      <c r="AQ44" s="146">
        <f t="shared" si="19"/>
        <v>6.4910630291627474</v>
      </c>
      <c r="AR44" s="147">
        <f t="shared" si="21"/>
        <v>16.100000000000001</v>
      </c>
      <c r="AS44" s="81"/>
      <c r="AT44" s="81"/>
      <c r="AU44" s="81"/>
      <c r="AV44" s="81"/>
      <c r="AW44" s="81"/>
      <c r="AX44" s="81"/>
      <c r="AY44" s="81"/>
    </row>
    <row r="45" spans="1:51" s="76" customFormat="1" ht="14.25" customHeight="1" x14ac:dyDescent="0.2">
      <c r="A45" s="119"/>
      <c r="B45" s="226"/>
      <c r="C45" s="226"/>
      <c r="D45" s="227"/>
      <c r="E45" s="227"/>
      <c r="F45" s="227"/>
      <c r="G45" s="227"/>
      <c r="H45" s="227"/>
      <c r="I45" s="227"/>
      <c r="J45" s="15"/>
      <c r="K45" s="9"/>
      <c r="L45" s="9"/>
      <c r="M45" s="9"/>
      <c r="N45" s="9"/>
      <c r="O45" s="9"/>
      <c r="P45" s="9"/>
      <c r="Q45" s="9"/>
      <c r="R45" s="9"/>
      <c r="S45" s="9"/>
      <c r="T45" s="9"/>
      <c r="U45" s="9"/>
      <c r="V45" s="120"/>
      <c r="W45" s="138"/>
      <c r="X45" s="295"/>
      <c r="AE45" s="81"/>
      <c r="AF45" s="81"/>
      <c r="AG45" s="81"/>
      <c r="AH45" s="81"/>
      <c r="AI45" s="81"/>
      <c r="AJ45" s="585" t="b">
        <v>1</v>
      </c>
      <c r="AK45" s="160" t="s">
        <v>6</v>
      </c>
      <c r="AL45" s="87" t="str">
        <f t="shared" si="20"/>
        <v>Hampshire</v>
      </c>
      <c r="AM45" s="146">
        <f t="shared" si="19"/>
        <v>6.8818730046115641</v>
      </c>
      <c r="AN45" s="146">
        <f t="shared" si="19"/>
        <v>8.026874115983027</v>
      </c>
      <c r="AO45" s="146">
        <f t="shared" si="19"/>
        <v>9.1422520296505478</v>
      </c>
      <c r="AP45" s="146">
        <f t="shared" si="19"/>
        <v>9.295774647887324</v>
      </c>
      <c r="AQ45" s="146">
        <f t="shared" si="19"/>
        <v>7.2458670418571929</v>
      </c>
      <c r="AR45" s="147">
        <f t="shared" si="21"/>
        <v>10.100000000000001</v>
      </c>
      <c r="AS45" s="81"/>
      <c r="AT45" s="81"/>
      <c r="AU45" s="81"/>
      <c r="AV45" s="81"/>
      <c r="AW45" s="81"/>
      <c r="AX45" s="81"/>
      <c r="AY45" s="81"/>
    </row>
    <row r="46" spans="1:51" ht="14.25" customHeight="1" x14ac:dyDescent="0.2">
      <c r="A46" s="118"/>
      <c r="B46" s="227"/>
      <c r="C46" s="227"/>
      <c r="D46" s="227"/>
      <c r="E46" s="227"/>
      <c r="F46" s="227"/>
      <c r="G46" s="227"/>
      <c r="H46" s="227"/>
      <c r="I46" s="227"/>
      <c r="J46" s="12"/>
      <c r="K46" s="14"/>
      <c r="L46" s="14"/>
      <c r="M46" s="14"/>
      <c r="N46" s="14"/>
      <c r="O46" s="9"/>
      <c r="P46" s="9"/>
      <c r="Q46" s="9"/>
      <c r="R46" s="9"/>
      <c r="S46" s="9"/>
      <c r="T46" s="9"/>
      <c r="U46" s="9"/>
      <c r="V46" s="117"/>
      <c r="W46" s="137"/>
      <c r="X46" s="294"/>
      <c r="AJ46" s="585" t="b">
        <v>1</v>
      </c>
      <c r="AK46" s="160" t="s">
        <v>1</v>
      </c>
      <c r="AL46" s="87" t="str">
        <f t="shared" si="20"/>
        <v>Isle of Wight</v>
      </c>
      <c r="AM46" s="146">
        <f t="shared" si="19"/>
        <v>12.648221343873518</v>
      </c>
      <c r="AN46" s="146">
        <f t="shared" si="19"/>
        <v>17.063492063492063</v>
      </c>
      <c r="AO46" s="146">
        <f t="shared" si="19"/>
        <v>16.334661354581673</v>
      </c>
      <c r="AP46" s="146">
        <f t="shared" si="19"/>
        <v>16.064257028112451</v>
      </c>
      <c r="AQ46" s="146">
        <f t="shared" si="19"/>
        <v>10.526315789473683</v>
      </c>
      <c r="AR46" s="147">
        <f t="shared" si="21"/>
        <v>18</v>
      </c>
      <c r="AS46" s="348"/>
      <c r="AT46" s="348"/>
      <c r="AU46" s="348"/>
      <c r="AV46" s="348"/>
      <c r="AW46" s="348"/>
    </row>
    <row r="47" spans="1:51" ht="14.25" customHeight="1" x14ac:dyDescent="0.2">
      <c r="A47" s="118"/>
      <c r="B47" s="227"/>
      <c r="C47" s="227"/>
      <c r="D47" s="227"/>
      <c r="E47" s="227"/>
      <c r="F47" s="227"/>
      <c r="G47" s="227"/>
      <c r="H47" s="227"/>
      <c r="I47" s="227"/>
      <c r="J47" s="12"/>
      <c r="K47" s="14"/>
      <c r="L47" s="14"/>
      <c r="M47" s="14"/>
      <c r="N47" s="14"/>
      <c r="O47" s="9"/>
      <c r="P47" s="9"/>
      <c r="Q47" s="9"/>
      <c r="R47" s="9"/>
      <c r="S47" s="9"/>
      <c r="T47" s="9"/>
      <c r="U47" s="9"/>
      <c r="V47" s="117"/>
      <c r="W47" s="137"/>
      <c r="X47" s="294"/>
      <c r="AD47" s="207"/>
      <c r="AJ47" s="585" t="b">
        <v>1</v>
      </c>
      <c r="AK47" s="160" t="s">
        <v>9</v>
      </c>
      <c r="AL47" s="87" t="str">
        <f t="shared" si="20"/>
        <v>Kent</v>
      </c>
      <c r="AM47" s="146">
        <f t="shared" si="19"/>
        <v>7.8692493946731235</v>
      </c>
      <c r="AN47" s="146">
        <f t="shared" si="19"/>
        <v>9.1591591591591595</v>
      </c>
      <c r="AO47" s="146">
        <f t="shared" si="19"/>
        <v>8.8069027075275219</v>
      </c>
      <c r="AP47" s="146">
        <f t="shared" si="19"/>
        <v>7.0567480152896209</v>
      </c>
      <c r="AQ47" s="146">
        <f t="shared" si="19"/>
        <v>7.8534031413612571</v>
      </c>
      <c r="AR47" s="147">
        <f t="shared" si="21"/>
        <v>15.8</v>
      </c>
      <c r="AS47" s="348"/>
      <c r="AT47" s="348"/>
      <c r="AU47" s="348"/>
      <c r="AV47" s="348"/>
      <c r="AW47" s="348"/>
    </row>
    <row r="48" spans="1:51" ht="14.25" customHeight="1" x14ac:dyDescent="0.2">
      <c r="A48" s="118"/>
      <c r="B48" s="58"/>
      <c r="C48" s="58"/>
      <c r="D48" s="58"/>
      <c r="E48" s="58"/>
      <c r="F48" s="58"/>
      <c r="G48" s="58"/>
      <c r="H48" s="58"/>
      <c r="I48" s="58"/>
      <c r="J48" s="12"/>
      <c r="K48" s="14"/>
      <c r="L48" s="14"/>
      <c r="M48" s="14"/>
      <c r="N48" s="14"/>
      <c r="O48" s="9"/>
      <c r="P48" s="9"/>
      <c r="Q48" s="9"/>
      <c r="R48" s="9"/>
      <c r="S48" s="9"/>
      <c r="T48" s="9"/>
      <c r="U48" s="9"/>
      <c r="V48" s="117"/>
      <c r="W48" s="137"/>
      <c r="X48" s="294"/>
      <c r="AD48" s="184"/>
      <c r="AJ48" s="585" t="b">
        <v>1</v>
      </c>
      <c r="AK48" s="160" t="s">
        <v>2</v>
      </c>
      <c r="AL48" s="87" t="str">
        <f t="shared" si="20"/>
        <v>Medway</v>
      </c>
      <c r="AM48" s="146">
        <f t="shared" si="19"/>
        <v>22.468354430379748</v>
      </c>
      <c r="AN48" s="146">
        <f t="shared" si="19"/>
        <v>9.2621664050235477</v>
      </c>
      <c r="AO48" s="146">
        <f t="shared" si="19"/>
        <v>13.145539906103286</v>
      </c>
      <c r="AP48" s="146">
        <f t="shared" si="19"/>
        <v>11.180124223602483</v>
      </c>
      <c r="AQ48" s="146">
        <f t="shared" si="19"/>
        <v>14.461538461538462</v>
      </c>
      <c r="AR48" s="147">
        <f t="shared" si="21"/>
        <v>18.899999999999999</v>
      </c>
      <c r="AS48" s="348"/>
      <c r="AT48" s="348"/>
      <c r="AU48" s="348"/>
      <c r="AV48" s="348"/>
      <c r="AW48" s="348"/>
    </row>
    <row r="49" spans="1:49" ht="14.25" customHeight="1" x14ac:dyDescent="0.2">
      <c r="A49" s="118"/>
      <c r="B49" s="58"/>
      <c r="C49" s="58"/>
      <c r="D49" s="69"/>
      <c r="E49" s="70"/>
      <c r="F49" s="69"/>
      <c r="G49" s="70"/>
      <c r="H49" s="70"/>
      <c r="I49" s="70"/>
      <c r="J49" s="12"/>
      <c r="K49" s="14"/>
      <c r="L49" s="14"/>
      <c r="M49" s="14"/>
      <c r="N49" s="14"/>
      <c r="O49" s="9"/>
      <c r="P49" s="9"/>
      <c r="Q49" s="9"/>
      <c r="R49" s="9"/>
      <c r="S49" s="9"/>
      <c r="T49" s="9"/>
      <c r="U49" s="9"/>
      <c r="V49" s="117"/>
      <c r="W49" s="137"/>
      <c r="X49" s="294"/>
      <c r="AJ49" s="585" t="b">
        <v>1</v>
      </c>
      <c r="AK49" s="160" t="s">
        <v>10</v>
      </c>
      <c r="AL49" s="87" t="str">
        <f t="shared" si="20"/>
        <v>Milton Keynes</v>
      </c>
      <c r="AM49" s="146">
        <f t="shared" si="19"/>
        <v>9.2284417549167923</v>
      </c>
      <c r="AN49" s="146">
        <f t="shared" si="19"/>
        <v>12.220566318926975</v>
      </c>
      <c r="AO49" s="146">
        <f t="shared" si="19"/>
        <v>8.7278106508875748</v>
      </c>
      <c r="AP49" s="146">
        <f t="shared" si="19"/>
        <v>10.395314787701318</v>
      </c>
      <c r="AQ49" s="146">
        <f t="shared" si="19"/>
        <v>10.174418604651162</v>
      </c>
      <c r="AR49" s="147">
        <f t="shared" si="21"/>
        <v>15</v>
      </c>
      <c r="AS49" s="348"/>
      <c r="AT49" s="348"/>
      <c r="AU49" s="348"/>
      <c r="AV49" s="348"/>
      <c r="AW49" s="348"/>
    </row>
    <row r="50" spans="1:49" ht="14.25" customHeight="1" x14ac:dyDescent="0.2">
      <c r="A50" s="118"/>
      <c r="B50" s="58"/>
      <c r="C50" s="58"/>
      <c r="D50" s="61"/>
      <c r="E50" s="61"/>
      <c r="F50" s="61"/>
      <c r="G50" s="61"/>
      <c r="H50" s="61"/>
      <c r="I50" s="61"/>
      <c r="J50" s="12"/>
      <c r="K50" s="14"/>
      <c r="L50" s="14"/>
      <c r="M50" s="14"/>
      <c r="N50" s="14"/>
      <c r="O50" s="9"/>
      <c r="P50" s="9"/>
      <c r="Q50" s="9"/>
      <c r="R50" s="9"/>
      <c r="S50" s="9"/>
      <c r="T50" s="9"/>
      <c r="U50" s="9"/>
      <c r="V50" s="117"/>
      <c r="W50" s="137"/>
      <c r="X50" s="294"/>
      <c r="AJ50" s="585" t="b">
        <v>1</v>
      </c>
      <c r="AK50" s="160" t="s">
        <v>11</v>
      </c>
      <c r="AL50" s="87" t="str">
        <f t="shared" si="20"/>
        <v>Oxfordshire</v>
      </c>
      <c r="AM50" s="146">
        <f t="shared" si="19"/>
        <v>10.860366713681241</v>
      </c>
      <c r="AN50" s="146">
        <f t="shared" si="19"/>
        <v>11.126662001399581</v>
      </c>
      <c r="AO50" s="146">
        <f t="shared" si="19"/>
        <v>9.4142259414225933</v>
      </c>
      <c r="AP50" s="146">
        <f t="shared" si="19"/>
        <v>10.911602209944752</v>
      </c>
      <c r="AQ50" s="146">
        <f t="shared" si="19"/>
        <v>10.061601642710471</v>
      </c>
      <c r="AR50" s="147">
        <f t="shared" si="21"/>
        <v>10.100000000000001</v>
      </c>
      <c r="AS50" s="348"/>
      <c r="AT50" s="348"/>
      <c r="AU50" s="348"/>
      <c r="AV50" s="348"/>
      <c r="AW50" s="348"/>
    </row>
    <row r="51" spans="1:49" ht="14.25" customHeight="1" x14ac:dyDescent="0.2">
      <c r="A51" s="118"/>
      <c r="B51" s="375"/>
      <c r="C51" s="375"/>
      <c r="D51" s="58"/>
      <c r="E51" s="58"/>
      <c r="F51" s="58"/>
      <c r="G51" s="58"/>
      <c r="H51" s="58"/>
      <c r="I51" s="58"/>
      <c r="J51" s="12"/>
      <c r="K51" s="14"/>
      <c r="L51" s="14"/>
      <c r="M51" s="14"/>
      <c r="N51" s="14"/>
      <c r="O51" s="9"/>
      <c r="P51" s="9"/>
      <c r="Q51" s="9"/>
      <c r="R51" s="9"/>
      <c r="S51" s="9"/>
      <c r="T51" s="9"/>
      <c r="U51" s="9"/>
      <c r="V51" s="117"/>
      <c r="W51" s="137"/>
      <c r="X51" s="294"/>
      <c r="AJ51" s="585" t="b">
        <v>1</v>
      </c>
      <c r="AK51" s="160" t="s">
        <v>12</v>
      </c>
      <c r="AL51" s="87" t="str">
        <f t="shared" si="20"/>
        <v>Portsmouth</v>
      </c>
      <c r="AM51" s="146">
        <f t="shared" ref="AM51:AQ64" si="22">VLOOKUP($AL51,$B$10:$O$33,AM$37,FALSE)</f>
        <v>10.273972602739725</v>
      </c>
      <c r="AN51" s="146">
        <f t="shared" si="22"/>
        <v>10.90909090909091</v>
      </c>
      <c r="AO51" s="146">
        <f t="shared" si="22"/>
        <v>16.5158371040724</v>
      </c>
      <c r="AP51" s="146">
        <f t="shared" si="22"/>
        <v>15.454545454545453</v>
      </c>
      <c r="AQ51" s="146">
        <f t="shared" si="22"/>
        <v>14.155251141552512</v>
      </c>
      <c r="AR51" s="147">
        <f t="shared" si="21"/>
        <v>20.200000000000003</v>
      </c>
      <c r="AS51" s="348"/>
      <c r="AT51" s="348"/>
      <c r="AU51" s="348"/>
      <c r="AV51" s="348"/>
      <c r="AW51" s="348"/>
    </row>
    <row r="52" spans="1:49" ht="14.25" customHeight="1" x14ac:dyDescent="0.2">
      <c r="A52" s="118"/>
      <c r="B52" s="375"/>
      <c r="C52" s="375"/>
      <c r="D52" s="58"/>
      <c r="E52" s="58"/>
      <c r="F52" s="58"/>
      <c r="G52" s="58"/>
      <c r="H52" s="58"/>
      <c r="I52" s="58"/>
      <c r="J52" s="12"/>
      <c r="K52" s="14"/>
      <c r="L52" s="14"/>
      <c r="M52" s="14"/>
      <c r="N52" s="14"/>
      <c r="O52" s="9"/>
      <c r="P52" s="9"/>
      <c r="Q52" s="9"/>
      <c r="R52" s="9"/>
      <c r="S52" s="9"/>
      <c r="T52" s="9"/>
      <c r="U52" s="9"/>
      <c r="V52" s="117"/>
      <c r="W52" s="137"/>
      <c r="X52" s="294"/>
      <c r="AJ52" s="585" t="b">
        <v>1</v>
      </c>
      <c r="AK52" s="160" t="s">
        <v>3</v>
      </c>
      <c r="AL52" s="87" t="str">
        <f t="shared" si="20"/>
        <v>Reading</v>
      </c>
      <c r="AM52" s="146">
        <f t="shared" si="22"/>
        <v>18.406593406593409</v>
      </c>
      <c r="AN52" s="146">
        <f t="shared" si="22"/>
        <v>21.311475409836067</v>
      </c>
      <c r="AO52" s="146">
        <f t="shared" si="22"/>
        <v>16.981132075471699</v>
      </c>
      <c r="AP52" s="146">
        <f t="shared" si="22"/>
        <v>19.676549865229113</v>
      </c>
      <c r="AQ52" s="146">
        <f t="shared" si="22"/>
        <v>13.513513513513514</v>
      </c>
      <c r="AR52" s="147">
        <f t="shared" si="21"/>
        <v>16</v>
      </c>
      <c r="AS52" s="348"/>
      <c r="AT52" s="348"/>
      <c r="AU52" s="348"/>
      <c r="AV52" s="348"/>
      <c r="AW52" s="348"/>
    </row>
    <row r="53" spans="1:49" ht="14.25" customHeight="1" x14ac:dyDescent="0.2">
      <c r="A53" s="118"/>
      <c r="B53" s="375"/>
      <c r="C53" s="375"/>
      <c r="D53" s="58"/>
      <c r="E53" s="58"/>
      <c r="F53" s="58"/>
      <c r="G53" s="58"/>
      <c r="H53" s="58"/>
      <c r="I53" s="58"/>
      <c r="J53" s="12"/>
      <c r="K53" s="14"/>
      <c r="L53" s="14"/>
      <c r="M53" s="14"/>
      <c r="N53" s="14"/>
      <c r="O53" s="9"/>
      <c r="P53" s="9"/>
      <c r="Q53" s="9"/>
      <c r="R53" s="9"/>
      <c r="S53" s="9"/>
      <c r="T53" s="9"/>
      <c r="U53" s="9"/>
      <c r="V53" s="117"/>
      <c r="W53" s="137"/>
      <c r="X53" s="294"/>
      <c r="AJ53" s="585" t="b">
        <v>1</v>
      </c>
      <c r="AK53" s="160" t="s">
        <v>13</v>
      </c>
      <c r="AL53" s="87" t="str">
        <f t="shared" si="20"/>
        <v>Slough</v>
      </c>
      <c r="AM53" s="146">
        <f t="shared" si="22"/>
        <v>14.039408866995075</v>
      </c>
      <c r="AN53" s="146">
        <f t="shared" si="22"/>
        <v>12.560386473429951</v>
      </c>
      <c r="AO53" s="146">
        <f t="shared" si="22"/>
        <v>13.507109004739338</v>
      </c>
      <c r="AP53" s="146">
        <f t="shared" si="22"/>
        <v>12.646370023419204</v>
      </c>
      <c r="AQ53" s="146">
        <f t="shared" si="22"/>
        <v>11.600928074245939</v>
      </c>
      <c r="AR53" s="147">
        <f t="shared" si="21"/>
        <v>14.7</v>
      </c>
      <c r="AS53" s="348"/>
      <c r="AT53" s="348"/>
      <c r="AU53" s="348"/>
      <c r="AV53" s="348"/>
      <c r="AW53" s="348"/>
    </row>
    <row r="54" spans="1:49" ht="14.25" customHeight="1" x14ac:dyDescent="0.2">
      <c r="A54" s="118"/>
      <c r="B54" s="375"/>
      <c r="C54" s="375"/>
      <c r="D54" s="58"/>
      <c r="E54" s="58"/>
      <c r="F54" s="58"/>
      <c r="G54" s="58"/>
      <c r="H54" s="58"/>
      <c r="I54" s="58"/>
      <c r="J54" s="12"/>
      <c r="K54" s="14"/>
      <c r="L54" s="14"/>
      <c r="M54" s="14"/>
      <c r="N54" s="14"/>
      <c r="O54" s="9"/>
      <c r="P54" s="9"/>
      <c r="Q54" s="9"/>
      <c r="R54" s="9"/>
      <c r="S54" s="9"/>
      <c r="T54" s="9"/>
      <c r="U54" s="9"/>
      <c r="V54" s="117"/>
      <c r="W54" s="137"/>
      <c r="X54" s="294"/>
      <c r="AJ54" s="585" t="b">
        <v>1</v>
      </c>
      <c r="AK54" s="160" t="s">
        <v>95</v>
      </c>
      <c r="AL54" s="87" t="str">
        <f t="shared" si="20"/>
        <v>Somerset</v>
      </c>
      <c r="AM54" s="146">
        <f t="shared" si="22"/>
        <v>13.644688644688646</v>
      </c>
      <c r="AN54" s="146">
        <f t="shared" si="22"/>
        <v>13.309024612579764</v>
      </c>
      <c r="AO54" s="146">
        <f t="shared" si="22"/>
        <v>11.989100817438691</v>
      </c>
      <c r="AP54" s="146">
        <f t="shared" si="22"/>
        <v>10.659439927732612</v>
      </c>
      <c r="AQ54" s="146">
        <f t="shared" si="22"/>
        <v>10.251798561151078</v>
      </c>
      <c r="AR54" s="147">
        <f t="shared" si="21"/>
        <v>13.600000000000001</v>
      </c>
      <c r="AS54" s="348"/>
      <c r="AT54" s="348"/>
      <c r="AU54" s="348"/>
      <c r="AV54" s="348"/>
      <c r="AW54" s="348"/>
    </row>
    <row r="55" spans="1:49" ht="14.25" customHeight="1" x14ac:dyDescent="0.2">
      <c r="A55" s="118"/>
      <c r="B55" s="375"/>
      <c r="C55" s="375"/>
      <c r="D55" s="58"/>
      <c r="E55" s="58"/>
      <c r="F55" s="58"/>
      <c r="G55" s="58"/>
      <c r="H55" s="58"/>
      <c r="I55" s="58"/>
      <c r="J55" s="12"/>
      <c r="K55" s="14"/>
      <c r="L55" s="14"/>
      <c r="M55" s="14"/>
      <c r="N55" s="14"/>
      <c r="O55" s="9"/>
      <c r="P55" s="9"/>
      <c r="Q55" s="9"/>
      <c r="R55" s="9"/>
      <c r="S55" s="9"/>
      <c r="T55" s="9"/>
      <c r="U55" s="9"/>
      <c r="V55" s="117"/>
      <c r="W55" s="137"/>
      <c r="X55" s="294"/>
      <c r="AJ55" s="585" t="b">
        <v>1</v>
      </c>
      <c r="AK55" s="160" t="s">
        <v>14</v>
      </c>
      <c r="AL55" s="87" t="str">
        <f t="shared" si="20"/>
        <v>Southampton</v>
      </c>
      <c r="AM55" s="146">
        <f t="shared" si="22"/>
        <v>18.902439024390244</v>
      </c>
      <c r="AN55" s="146">
        <f t="shared" si="22"/>
        <v>17.434869739478959</v>
      </c>
      <c r="AO55" s="146">
        <f t="shared" si="22"/>
        <v>17.892644135188867</v>
      </c>
      <c r="AP55" s="146">
        <f t="shared" si="22"/>
        <v>15.748031496062993</v>
      </c>
      <c r="AQ55" s="146">
        <f t="shared" si="22"/>
        <v>19.688109161793374</v>
      </c>
      <c r="AR55" s="147">
        <f t="shared" si="21"/>
        <v>20.5</v>
      </c>
      <c r="AS55" s="348"/>
      <c r="AT55" s="348"/>
      <c r="AU55" s="348"/>
      <c r="AV55" s="348"/>
      <c r="AW55" s="348"/>
    </row>
    <row r="56" spans="1:49" ht="14.25" customHeight="1" x14ac:dyDescent="0.2">
      <c r="A56" s="118"/>
      <c r="B56" s="375"/>
      <c r="C56" s="375"/>
      <c r="D56" s="58"/>
      <c r="E56" s="58"/>
      <c r="F56" s="58"/>
      <c r="G56" s="58"/>
      <c r="H56" s="58"/>
      <c r="I56" s="58"/>
      <c r="J56" s="12"/>
      <c r="K56" s="14"/>
      <c r="L56" s="14"/>
      <c r="M56" s="14"/>
      <c r="N56" s="14"/>
      <c r="O56" s="9"/>
      <c r="P56" s="9"/>
      <c r="Q56" s="9"/>
      <c r="R56" s="9"/>
      <c r="S56" s="9"/>
      <c r="T56" s="9"/>
      <c r="U56" s="9"/>
      <c r="V56" s="117"/>
      <c r="W56" s="137"/>
      <c r="X56" s="294"/>
      <c r="AJ56" s="585" t="b">
        <v>1</v>
      </c>
      <c r="AK56" s="160" t="s">
        <v>7</v>
      </c>
      <c r="AL56" s="87" t="str">
        <f t="shared" si="20"/>
        <v>Surrey</v>
      </c>
      <c r="AM56" s="146">
        <f t="shared" si="22"/>
        <v>5.4992199687987515</v>
      </c>
      <c r="AN56" s="146">
        <f t="shared" si="22"/>
        <v>6.9498069498069492</v>
      </c>
      <c r="AO56" s="146">
        <f t="shared" si="22"/>
        <v>7.8755282366500197</v>
      </c>
      <c r="AP56" s="146">
        <f t="shared" si="22"/>
        <v>7.5219549446353575</v>
      </c>
      <c r="AQ56" s="146">
        <f t="shared" si="22"/>
        <v>5.6103108415466263</v>
      </c>
      <c r="AR56" s="147">
        <f t="shared" si="21"/>
        <v>8.3000000000000007</v>
      </c>
      <c r="AS56" s="348"/>
      <c r="AT56" s="348"/>
      <c r="AU56" s="348"/>
      <c r="AV56" s="348"/>
      <c r="AW56" s="348"/>
    </row>
    <row r="57" spans="1:49" ht="14.25" customHeight="1" x14ac:dyDescent="0.2">
      <c r="A57" s="278"/>
      <c r="B57" s="375"/>
      <c r="C57" s="375"/>
      <c r="D57" s="58"/>
      <c r="E57" s="58"/>
      <c r="F57" s="58"/>
      <c r="G57" s="58"/>
      <c r="H57" s="58"/>
      <c r="I57" s="58"/>
      <c r="J57" s="12"/>
      <c r="K57" s="14"/>
      <c r="L57" s="14"/>
      <c r="M57" s="14"/>
      <c r="N57" s="14"/>
      <c r="O57" s="9"/>
      <c r="P57" s="9"/>
      <c r="Q57" s="9"/>
      <c r="R57" s="9"/>
      <c r="S57" s="9"/>
      <c r="T57" s="9"/>
      <c r="U57" s="9"/>
      <c r="V57" s="117"/>
      <c r="W57" s="137"/>
      <c r="X57" s="294"/>
      <c r="AJ57" s="585" t="b">
        <v>1</v>
      </c>
      <c r="AK57" s="160" t="s">
        <v>113</v>
      </c>
      <c r="AL57" s="87" t="str">
        <f t="shared" si="20"/>
        <v>Swindon</v>
      </c>
      <c r="AM57" s="146">
        <f t="shared" si="22"/>
        <v>10.816326530612246</v>
      </c>
      <c r="AN57" s="146">
        <f t="shared" si="22"/>
        <v>15.757575757575758</v>
      </c>
      <c r="AO57" s="146">
        <f t="shared" si="22"/>
        <v>17.234468937875754</v>
      </c>
      <c r="AP57" s="146">
        <f t="shared" si="22"/>
        <v>14.541832669322709</v>
      </c>
      <c r="AQ57" s="146">
        <f t="shared" si="22"/>
        <v>11.706349206349206</v>
      </c>
      <c r="AR57" s="147">
        <f t="shared" si="21"/>
        <v>14.899999999999999</v>
      </c>
      <c r="AS57" s="348"/>
      <c r="AT57" s="348"/>
      <c r="AU57" s="348"/>
      <c r="AV57" s="348"/>
      <c r="AW57" s="348"/>
    </row>
    <row r="58" spans="1:49" ht="14.25" customHeight="1" x14ac:dyDescent="0.2">
      <c r="A58" s="278"/>
      <c r="B58" s="375"/>
      <c r="C58" s="375"/>
      <c r="D58" s="58"/>
      <c r="E58" s="58"/>
      <c r="F58" s="58"/>
      <c r="G58" s="58"/>
      <c r="H58" s="58"/>
      <c r="I58" s="58"/>
      <c r="J58" s="12"/>
      <c r="K58" s="14"/>
      <c r="L58" s="14"/>
      <c r="M58" s="14"/>
      <c r="N58" s="14"/>
      <c r="O58" s="9"/>
      <c r="P58" s="9"/>
      <c r="Q58" s="9"/>
      <c r="R58" s="9"/>
      <c r="S58" s="9"/>
      <c r="T58" s="9"/>
      <c r="U58" s="9"/>
      <c r="V58" s="117"/>
      <c r="W58" s="137"/>
      <c r="X58" s="294"/>
      <c r="AJ58" s="585" t="b">
        <v>1</v>
      </c>
      <c r="AK58" s="160" t="s">
        <v>114</v>
      </c>
      <c r="AL58" s="87" t="str">
        <f t="shared" si="20"/>
        <v>Torbay</v>
      </c>
      <c r="AM58" s="146">
        <f t="shared" si="22"/>
        <v>21.825396825396826</v>
      </c>
      <c r="AN58" s="146">
        <f t="shared" si="22"/>
        <v>22.047244094488189</v>
      </c>
      <c r="AO58" s="146">
        <f t="shared" si="22"/>
        <v>23.622047244094489</v>
      </c>
      <c r="AP58" s="146">
        <f t="shared" si="22"/>
        <v>24.803149606299211</v>
      </c>
      <c r="AQ58" s="146">
        <f t="shared" si="22"/>
        <v>25</v>
      </c>
      <c r="AR58" s="147">
        <f t="shared" si="21"/>
        <v>21.9</v>
      </c>
      <c r="AS58" s="348"/>
      <c r="AT58" s="348"/>
      <c r="AU58" s="348"/>
      <c r="AV58" s="348"/>
      <c r="AW58" s="348"/>
    </row>
    <row r="59" spans="1:49" ht="14.25" customHeight="1" x14ac:dyDescent="0.2">
      <c r="A59" s="118"/>
      <c r="B59" s="375"/>
      <c r="C59" s="375"/>
      <c r="D59" s="58"/>
      <c r="E59" s="58"/>
      <c r="F59" s="58"/>
      <c r="G59" s="58"/>
      <c r="H59" s="58"/>
      <c r="I59" s="58"/>
      <c r="J59" s="12"/>
      <c r="K59" s="14"/>
      <c r="L59" s="14"/>
      <c r="M59" s="14"/>
      <c r="N59" s="14"/>
      <c r="O59" s="9"/>
      <c r="P59" s="9"/>
      <c r="Q59" s="9"/>
      <c r="R59" s="9"/>
      <c r="S59" s="9"/>
      <c r="T59" s="9"/>
      <c r="U59" s="9"/>
      <c r="V59" s="117"/>
      <c r="W59" s="137"/>
      <c r="X59" s="294"/>
      <c r="AJ59" s="585" t="b">
        <v>1</v>
      </c>
      <c r="AK59" s="160" t="s">
        <v>15</v>
      </c>
      <c r="AL59" s="87" t="str">
        <f t="shared" si="20"/>
        <v>West Berkshire</v>
      </c>
      <c r="AM59" s="146">
        <f t="shared" si="22"/>
        <v>13.725490196078432</v>
      </c>
      <c r="AN59" s="146">
        <f t="shared" si="22"/>
        <v>10.863509749303622</v>
      </c>
      <c r="AO59" s="146">
        <f t="shared" si="22"/>
        <v>10.05586592178771</v>
      </c>
      <c r="AP59" s="146">
        <f t="shared" si="22"/>
        <v>9.2696629213483153</v>
      </c>
      <c r="AQ59" s="146">
        <f t="shared" si="22"/>
        <v>6.179775280898876</v>
      </c>
      <c r="AR59" s="147">
        <f t="shared" si="21"/>
        <v>8.6999999999999993</v>
      </c>
      <c r="AS59" s="348"/>
      <c r="AT59" s="348"/>
      <c r="AU59" s="348"/>
      <c r="AV59" s="348"/>
      <c r="AW59" s="348"/>
    </row>
    <row r="60" spans="1:49" ht="14.25" customHeight="1" x14ac:dyDescent="0.2">
      <c r="A60" s="118"/>
      <c r="B60" s="375"/>
      <c r="C60" s="375"/>
      <c r="D60" s="58"/>
      <c r="E60" s="58"/>
      <c r="F60" s="58"/>
      <c r="G60" s="58"/>
      <c r="H60" s="58"/>
      <c r="I60" s="58"/>
      <c r="J60" s="12"/>
      <c r="K60" s="14"/>
      <c r="L60" s="14"/>
      <c r="M60" s="14"/>
      <c r="N60" s="14"/>
      <c r="O60" s="9"/>
      <c r="P60" s="9"/>
      <c r="Q60" s="9"/>
      <c r="R60" s="9"/>
      <c r="S60" s="9"/>
      <c r="T60" s="9"/>
      <c r="U60" s="9"/>
      <c r="V60" s="117"/>
      <c r="W60" s="137"/>
      <c r="X60" s="294"/>
      <c r="AJ60" s="585" t="b">
        <v>1</v>
      </c>
      <c r="AK60" s="160" t="s">
        <v>5</v>
      </c>
      <c r="AL60" s="87" t="str">
        <f t="shared" si="20"/>
        <v>West Sussex</v>
      </c>
      <c r="AM60" s="146">
        <f t="shared" si="22"/>
        <v>8.0985915492957741</v>
      </c>
      <c r="AN60" s="146">
        <f t="shared" si="22"/>
        <v>9.3713620488940634</v>
      </c>
      <c r="AO60" s="146">
        <f t="shared" si="22"/>
        <v>9.4633583381419513</v>
      </c>
      <c r="AP60" s="146">
        <f t="shared" si="22"/>
        <v>8.5289066971951915</v>
      </c>
      <c r="AQ60" s="146">
        <f t="shared" si="22"/>
        <v>11.016467915956843</v>
      </c>
      <c r="AR60" s="147">
        <f t="shared" si="21"/>
        <v>11</v>
      </c>
      <c r="AS60" s="348"/>
      <c r="AT60" s="348"/>
      <c r="AU60" s="348"/>
      <c r="AV60" s="348"/>
      <c r="AW60" s="348"/>
    </row>
    <row r="61" spans="1:49" s="81" customFormat="1" ht="14.25" customHeight="1" x14ac:dyDescent="0.2">
      <c r="A61" s="118"/>
      <c r="B61" s="375"/>
      <c r="C61" s="375"/>
      <c r="D61" s="58"/>
      <c r="E61" s="58"/>
      <c r="F61" s="58"/>
      <c r="G61" s="58"/>
      <c r="H61" s="58"/>
      <c r="I61" s="58"/>
      <c r="J61" s="12"/>
      <c r="K61" s="14"/>
      <c r="L61" s="14"/>
      <c r="M61" s="14"/>
      <c r="N61" s="14"/>
      <c r="O61" s="9"/>
      <c r="P61" s="9"/>
      <c r="Q61" s="9"/>
      <c r="R61" s="9"/>
      <c r="S61" s="9"/>
      <c r="T61" s="9"/>
      <c r="U61" s="9"/>
      <c r="V61" s="117"/>
      <c r="W61" s="137"/>
      <c r="X61" s="294"/>
      <c r="AJ61" s="585" t="b">
        <v>1</v>
      </c>
      <c r="AK61" s="160" t="s">
        <v>30</v>
      </c>
      <c r="AL61" s="87" t="str">
        <f t="shared" si="20"/>
        <v>Windsor &amp; Maidenhead</v>
      </c>
      <c r="AM61" s="146">
        <f t="shared" si="22"/>
        <v>5.0445103857566771</v>
      </c>
      <c r="AN61" s="146">
        <f t="shared" si="22"/>
        <v>7.6023391812865491</v>
      </c>
      <c r="AO61" s="146">
        <f t="shared" si="22"/>
        <v>5.5232558139534884</v>
      </c>
      <c r="AP61" s="146">
        <f t="shared" si="22"/>
        <v>6.6473988439306355</v>
      </c>
      <c r="AQ61" s="146">
        <f t="shared" si="22"/>
        <v>8.3573487031700289</v>
      </c>
      <c r="AR61" s="147">
        <f t="shared" si="21"/>
        <v>6.7</v>
      </c>
      <c r="AS61" s="348"/>
      <c r="AT61" s="348"/>
      <c r="AU61" s="348"/>
      <c r="AV61" s="348"/>
      <c r="AW61" s="348"/>
    </row>
    <row r="62" spans="1:49" s="81" customFormat="1" ht="14.25" customHeight="1" x14ac:dyDescent="0.2">
      <c r="A62" s="118"/>
      <c r="B62" s="375"/>
      <c r="C62" s="375"/>
      <c r="D62" s="58"/>
      <c r="E62" s="58"/>
      <c r="F62" s="58"/>
      <c r="G62" s="58"/>
      <c r="H62" s="58"/>
      <c r="I62" s="58"/>
      <c r="J62" s="12"/>
      <c r="K62" s="14"/>
      <c r="L62" s="14"/>
      <c r="M62" s="14"/>
      <c r="N62" s="14"/>
      <c r="O62" s="9"/>
      <c r="P62" s="9"/>
      <c r="Q62" s="9"/>
      <c r="R62" s="9"/>
      <c r="S62" s="9"/>
      <c r="T62" s="9"/>
      <c r="U62" s="9"/>
      <c r="V62" s="117"/>
      <c r="W62" s="137"/>
      <c r="X62" s="294"/>
      <c r="AJ62" s="585" t="b">
        <v>1</v>
      </c>
      <c r="AK62" s="160" t="s">
        <v>16</v>
      </c>
      <c r="AL62" s="87" t="str">
        <f t="shared" si="20"/>
        <v>Wokingham</v>
      </c>
      <c r="AM62" s="146">
        <f t="shared" si="22"/>
        <v>5.6300268096514747</v>
      </c>
      <c r="AN62" s="146">
        <f t="shared" si="22"/>
        <v>4.7368421052631575</v>
      </c>
      <c r="AO62" s="146">
        <f t="shared" si="22"/>
        <v>5.4263565891472867</v>
      </c>
      <c r="AP62" s="146">
        <f t="shared" si="22"/>
        <v>6.8354430379746836</v>
      </c>
      <c r="AQ62" s="146">
        <f t="shared" si="22"/>
        <v>6.435643564356436</v>
      </c>
      <c r="AR62" s="147">
        <f t="shared" si="21"/>
        <v>5.6000000000000005</v>
      </c>
      <c r="AS62" s="348"/>
      <c r="AT62" s="348"/>
      <c r="AU62" s="348"/>
      <c r="AV62" s="348"/>
      <c r="AW62" s="348"/>
    </row>
    <row r="63" spans="1:49" s="81" customFormat="1" ht="14.25" customHeight="1" x14ac:dyDescent="0.2">
      <c r="A63" s="118"/>
      <c r="B63" s="375"/>
      <c r="C63" s="375"/>
      <c r="D63" s="58"/>
      <c r="E63" s="58"/>
      <c r="F63" s="58"/>
      <c r="G63" s="58"/>
      <c r="H63" s="58"/>
      <c r="I63" s="58"/>
      <c r="J63" s="12"/>
      <c r="K63" s="14"/>
      <c r="L63" s="14"/>
      <c r="M63" s="14"/>
      <c r="N63" s="14"/>
      <c r="O63" s="9"/>
      <c r="P63" s="9"/>
      <c r="Q63" s="9"/>
      <c r="R63" s="9"/>
      <c r="S63" s="9"/>
      <c r="T63" s="9"/>
      <c r="U63" s="9"/>
      <c r="V63" s="117"/>
      <c r="W63" s="137"/>
      <c r="X63" s="294"/>
      <c r="AJ63" s="585" t="b">
        <v>1</v>
      </c>
      <c r="AK63" s="160" t="s">
        <v>74</v>
      </c>
      <c r="AL63" s="87" t="str">
        <f t="shared" si="20"/>
        <v>South East</v>
      </c>
      <c r="AM63" s="146">
        <f t="shared" si="22"/>
        <v>9.4207809811792913</v>
      </c>
      <c r="AN63" s="146">
        <f t="shared" si="22"/>
        <v>9.8494645905540334</v>
      </c>
      <c r="AO63" s="146">
        <f t="shared" si="22"/>
        <v>9.8307526107310057</v>
      </c>
      <c r="AP63" s="146">
        <f t="shared" si="22"/>
        <v>9.390007152344948</v>
      </c>
      <c r="AQ63" s="146">
        <f t="shared" si="22"/>
        <v>8.9477960593134274</v>
      </c>
      <c r="AR63" s="147">
        <f t="shared" si="21"/>
        <v>12.371268250968637</v>
      </c>
      <c r="AS63" s="348"/>
      <c r="AT63" s="348"/>
      <c r="AU63" s="348"/>
      <c r="AV63" s="348"/>
      <c r="AW63" s="348"/>
    </row>
    <row r="64" spans="1:49" s="81" customFormat="1" ht="14.25" customHeight="1" x14ac:dyDescent="0.2">
      <c r="A64" s="118"/>
      <c r="B64" s="375"/>
      <c r="C64" s="375"/>
      <c r="D64" s="58"/>
      <c r="E64" s="58"/>
      <c r="F64" s="58"/>
      <c r="G64" s="58"/>
      <c r="H64" s="58"/>
      <c r="I64" s="58"/>
      <c r="J64" s="12"/>
      <c r="K64" s="9"/>
      <c r="L64" s="110"/>
      <c r="M64" s="1823" t="s">
        <v>72</v>
      </c>
      <c r="N64" s="1790"/>
      <c r="O64" s="1790"/>
      <c r="P64" s="1824"/>
      <c r="Q64" s="928"/>
      <c r="R64" s="1802" t="s">
        <v>100</v>
      </c>
      <c r="S64" s="1803"/>
      <c r="T64" s="1803"/>
      <c r="U64" s="1804"/>
      <c r="V64" s="117"/>
      <c r="W64" s="137"/>
      <c r="X64" s="294"/>
      <c r="AJ64" s="585" t="b">
        <v>1</v>
      </c>
      <c r="AK64" s="160" t="s">
        <v>127</v>
      </c>
      <c r="AL64" s="87" t="str">
        <f t="shared" si="20"/>
        <v>England</v>
      </c>
      <c r="AM64" s="146">
        <f t="shared" si="22"/>
        <v>10.954024268061895</v>
      </c>
      <c r="AN64" s="146">
        <f t="shared" si="22"/>
        <v>12.387465741219994</v>
      </c>
      <c r="AO64" s="146">
        <f t="shared" si="22"/>
        <v>11.979438779809557</v>
      </c>
      <c r="AP64" s="146">
        <f t="shared" si="22"/>
        <v>11.339568032389206</v>
      </c>
      <c r="AQ64" s="146">
        <f t="shared" si="22"/>
        <v>10.881932200006654</v>
      </c>
      <c r="AR64" s="147">
        <f t="shared" si="21"/>
        <v>17.084413405029373</v>
      </c>
      <c r="AS64" s="348"/>
      <c r="AT64" s="348"/>
      <c r="AU64" s="348"/>
      <c r="AV64" s="348"/>
      <c r="AW64" s="348"/>
    </row>
    <row r="65" spans="1:49" s="81" customFormat="1" ht="14.25" customHeight="1" x14ac:dyDescent="0.2">
      <c r="A65" s="118"/>
      <c r="B65" s="375"/>
      <c r="C65" s="375"/>
      <c r="D65" s="58"/>
      <c r="E65" s="58"/>
      <c r="F65" s="58"/>
      <c r="G65" s="58"/>
      <c r="H65" s="58"/>
      <c r="I65" s="58"/>
      <c r="J65" s="12"/>
      <c r="K65" s="9"/>
      <c r="L65" s="111"/>
      <c r="M65" s="1802" t="str">
        <f>AA4</f>
        <v>Selected LA- (none)</v>
      </c>
      <c r="N65" s="1803"/>
      <c r="O65" s="1803"/>
      <c r="P65" s="1803"/>
      <c r="Q65" s="110"/>
      <c r="R65" s="1806" t="s">
        <v>187</v>
      </c>
      <c r="S65" s="1806"/>
      <c r="T65" s="1806"/>
      <c r="U65" s="1807"/>
      <c r="V65" s="117"/>
      <c r="W65" s="137"/>
      <c r="X65" s="150"/>
      <c r="AK65" s="161"/>
      <c r="AL65" s="74" t="str">
        <f>AA4</f>
        <v>Selected LA- (none)</v>
      </c>
      <c r="AM65" s="148" t="e">
        <f>VLOOKUP($Z4,$B$10:$O$32,AM$37,FALSE)</f>
        <v>#N/A</v>
      </c>
      <c r="AN65" s="148" t="e">
        <f>VLOOKUP($Z4,$B$10:$O$32,AN$37,FALSE)</f>
        <v>#N/A</v>
      </c>
      <c r="AO65" s="148" t="e">
        <f>VLOOKUP($Z4,$B$10:$O$32,AO$37,FALSE)</f>
        <v>#N/A</v>
      </c>
      <c r="AP65" s="148" t="e">
        <f>VLOOKUP($Z4,$B$10:$O$32,AP$37,FALSE)</f>
        <v>#N/A</v>
      </c>
      <c r="AQ65" s="148" t="e">
        <f>VLOOKUP($Z4,$B$10:$O$32,AQ$37,FALSE)</f>
        <v>#N/A</v>
      </c>
      <c r="AR65" s="147" t="e">
        <f>VLOOKUP(Z4,$B$10:$U$33,$AR$37,FALSE)</f>
        <v>#N/A</v>
      </c>
      <c r="AS65" s="171"/>
      <c r="AT65" s="171"/>
      <c r="AU65" s="171"/>
      <c r="AV65" s="171"/>
      <c r="AW65" s="171"/>
    </row>
    <row r="66" spans="1:49" s="81" customFormat="1" ht="39.6" customHeight="1" x14ac:dyDescent="0.2">
      <c r="A66" s="118"/>
      <c r="B66" s="375"/>
      <c r="C66" s="375"/>
      <c r="D66" s="58"/>
      <c r="E66" s="58"/>
      <c r="F66" s="58"/>
      <c r="G66" s="58"/>
      <c r="H66" s="58"/>
      <c r="I66" s="58"/>
      <c r="J66" s="12"/>
      <c r="K66" s="9"/>
      <c r="L66" s="9"/>
      <c r="M66" s="9"/>
      <c r="N66" s="9"/>
      <c r="O66" s="9"/>
      <c r="P66" s="9"/>
      <c r="Q66" s="9"/>
      <c r="R66" s="9"/>
      <c r="S66" s="9"/>
      <c r="T66" s="9"/>
      <c r="U66" s="9"/>
      <c r="V66" s="117"/>
      <c r="W66" s="137"/>
      <c r="X66" s="150"/>
      <c r="AK66" s="161"/>
    </row>
    <row r="67" spans="1:49" s="87" customFormat="1" ht="39.6" customHeight="1" x14ac:dyDescent="0.2">
      <c r="A67" s="121"/>
      <c r="B67" s="109"/>
      <c r="C67" s="109"/>
      <c r="D67" s="109"/>
      <c r="E67" s="109"/>
      <c r="F67" s="109"/>
      <c r="G67" s="109"/>
      <c r="H67" s="109"/>
      <c r="I67" s="109"/>
      <c r="J67" s="96"/>
      <c r="K67" s="85"/>
      <c r="L67" s="85"/>
      <c r="M67" s="85"/>
      <c r="N67" s="85"/>
      <c r="O67" s="85"/>
      <c r="P67" s="85"/>
      <c r="Q67" s="85"/>
      <c r="R67" s="85"/>
      <c r="S67" s="85"/>
      <c r="T67" s="85"/>
      <c r="U67" s="85"/>
      <c r="V67" s="122"/>
      <c r="W67" s="139"/>
      <c r="X67" s="152"/>
      <c r="AE67" s="190"/>
      <c r="AF67" s="190"/>
      <c r="AG67" s="190"/>
      <c r="AH67" s="190"/>
      <c r="AI67" s="190"/>
      <c r="AJ67" s="202"/>
      <c r="AK67" s="160"/>
    </row>
    <row r="68" spans="1:49" s="87" customFormat="1" ht="48" customHeight="1" x14ac:dyDescent="0.2">
      <c r="A68" s="121"/>
      <c r="B68" s="109"/>
      <c r="C68" s="109"/>
      <c r="D68" s="109"/>
      <c r="E68" s="109"/>
      <c r="F68" s="109"/>
      <c r="G68" s="109"/>
      <c r="H68" s="109"/>
      <c r="I68" s="109"/>
      <c r="J68" s="96"/>
      <c r="K68" s="85"/>
      <c r="L68" s="85"/>
      <c r="M68" s="85"/>
      <c r="N68" s="85"/>
      <c r="O68" s="85"/>
      <c r="P68" s="85"/>
      <c r="Q68" s="85"/>
      <c r="R68" s="85"/>
      <c r="S68" s="85"/>
      <c r="T68" s="85"/>
      <c r="U68" s="85"/>
      <c r="V68" s="122"/>
      <c r="W68" s="139"/>
      <c r="X68" s="371"/>
      <c r="AE68" s="190"/>
      <c r="AF68" s="190"/>
      <c r="AG68" s="190"/>
      <c r="AH68" s="190"/>
      <c r="AI68" s="190"/>
      <c r="AJ68" s="202"/>
      <c r="AK68" s="160"/>
    </row>
    <row r="69" spans="1:49" ht="7.5" customHeight="1" x14ac:dyDescent="0.2">
      <c r="A69" s="118"/>
      <c r="B69" s="17"/>
      <c r="C69" s="17"/>
      <c r="D69" s="16"/>
      <c r="E69" s="16"/>
      <c r="F69" s="16"/>
      <c r="G69" s="16"/>
      <c r="H69" s="16"/>
      <c r="I69" s="16"/>
      <c r="J69" s="12"/>
      <c r="K69" s="18"/>
      <c r="L69" s="18"/>
      <c r="M69" s="18"/>
      <c r="N69" s="18"/>
      <c r="O69" s="18"/>
      <c r="P69" s="18"/>
      <c r="Q69" s="18"/>
      <c r="R69" s="18"/>
      <c r="S69" s="18"/>
      <c r="T69" s="18"/>
      <c r="U69" s="19"/>
      <c r="V69" s="117"/>
      <c r="W69" s="137"/>
      <c r="X69" s="150"/>
      <c r="Y69" s="87"/>
      <c r="Z69" s="87"/>
      <c r="AA69" s="87"/>
      <c r="AB69" s="87"/>
      <c r="AC69" s="87"/>
      <c r="AJ69" s="184"/>
      <c r="AK69" s="157"/>
    </row>
    <row r="70" spans="1:49" ht="15" customHeight="1" x14ac:dyDescent="0.2">
      <c r="A70" s="1716"/>
      <c r="B70" s="1760"/>
      <c r="C70" s="1760"/>
      <c r="D70" s="1760"/>
      <c r="E70" s="1760"/>
      <c r="F70" s="1760"/>
      <c r="G70" s="1760"/>
      <c r="H70" s="1760"/>
      <c r="I70" s="1760"/>
      <c r="J70" s="1760"/>
      <c r="K70" s="1760"/>
      <c r="L70" s="1760"/>
      <c r="M70" s="1760"/>
      <c r="N70" s="1760"/>
      <c r="O70" s="1760"/>
      <c r="P70" s="1760"/>
      <c r="Q70" s="1760"/>
      <c r="R70" s="1760"/>
      <c r="S70" s="1760"/>
      <c r="T70" s="1760"/>
      <c r="U70" s="1760"/>
      <c r="V70" s="1761"/>
      <c r="W70" s="137"/>
      <c r="X70" s="150"/>
      <c r="Y70" s="87"/>
      <c r="Z70" s="87"/>
      <c r="AA70" s="87"/>
      <c r="AB70" s="87"/>
      <c r="AC70" s="87"/>
      <c r="AJ70" s="184"/>
      <c r="AK70" s="157"/>
    </row>
    <row r="71" spans="1:49" ht="11.1" customHeight="1" x14ac:dyDescent="0.2">
      <c r="A71" s="1765" t="str">
        <f>Home!$A$39</f>
        <v xml:space="preserve"> </v>
      </c>
      <c r="B71" s="1766"/>
      <c r="C71" s="1766"/>
      <c r="D71" s="1766"/>
      <c r="E71" s="1766"/>
      <c r="F71" s="1766"/>
      <c r="G71" s="1766"/>
      <c r="H71" s="1766"/>
      <c r="I71" s="1767"/>
      <c r="J71" s="1766"/>
      <c r="K71" s="1766"/>
      <c r="L71" s="1766"/>
      <c r="M71" s="1766"/>
      <c r="N71" s="1766"/>
      <c r="O71" s="1766"/>
      <c r="P71" s="1768"/>
      <c r="Q71" s="1766"/>
      <c r="R71" s="1766"/>
      <c r="S71" s="1766"/>
      <c r="T71" s="1767"/>
      <c r="U71" s="1766"/>
      <c r="V71" s="1769"/>
      <c r="W71" s="137"/>
      <c r="X71" s="150"/>
      <c r="Y71" s="87"/>
      <c r="Z71" s="87"/>
      <c r="AA71" s="87"/>
      <c r="AB71" s="87"/>
      <c r="AC71" s="87"/>
      <c r="AJ71" s="184"/>
      <c r="AK71" s="157"/>
    </row>
    <row r="72" spans="1:49" ht="11.25" customHeight="1" x14ac:dyDescent="0.2">
      <c r="A72" s="112"/>
      <c r="B72" s="113"/>
      <c r="C72" s="113"/>
      <c r="D72" s="113"/>
      <c r="E72" s="113"/>
      <c r="F72" s="113"/>
      <c r="G72" s="113"/>
      <c r="H72" s="113"/>
      <c r="I72" s="113"/>
      <c r="J72" s="114"/>
      <c r="K72" s="113"/>
      <c r="L72" s="113"/>
      <c r="M72" s="113"/>
      <c r="N72" s="113"/>
      <c r="O72" s="113"/>
      <c r="P72" s="113"/>
      <c r="Q72" s="113"/>
      <c r="R72" s="113"/>
      <c r="S72" s="113"/>
      <c r="T72" s="113"/>
      <c r="U72" s="113"/>
      <c r="V72" s="115"/>
      <c r="W72" s="137"/>
      <c r="X72" s="150"/>
      <c r="Y72" s="188"/>
      <c r="Z72" s="188"/>
      <c r="AA72" s="188"/>
      <c r="AJ72" s="184"/>
      <c r="AK72" s="157"/>
    </row>
    <row r="73" spans="1:49" s="76" customFormat="1" ht="15" customHeight="1" x14ac:dyDescent="0.2">
      <c r="A73" s="119"/>
      <c r="B73" s="59"/>
      <c r="C73" s="374"/>
      <c r="D73" s="374"/>
      <c r="E73" s="374"/>
      <c r="F73" s="374"/>
      <c r="G73" s="374"/>
      <c r="H73" s="374"/>
      <c r="I73" s="374"/>
      <c r="J73" s="70"/>
      <c r="K73" s="70"/>
      <c r="L73" s="70"/>
      <c r="M73" s="70"/>
      <c r="N73" s="373"/>
      <c r="O73" s="70"/>
      <c r="P73" s="70"/>
      <c r="Q73" s="70"/>
      <c r="R73" s="70"/>
      <c r="S73" s="70"/>
      <c r="T73" s="70"/>
      <c r="U73" s="70"/>
      <c r="V73" s="120"/>
      <c r="W73" s="138"/>
      <c r="X73" s="151"/>
      <c r="Y73" s="188"/>
      <c r="Z73" s="188"/>
      <c r="AA73" s="188"/>
      <c r="AB73" s="188"/>
      <c r="AC73" s="188"/>
      <c r="AD73" s="188"/>
      <c r="AE73" s="188"/>
      <c r="AF73" s="188"/>
      <c r="AG73" s="188"/>
      <c r="AH73" s="188"/>
      <c r="AI73" s="188"/>
      <c r="AJ73" s="188"/>
      <c r="AK73" s="158"/>
    </row>
    <row r="74" spans="1:49" ht="13.5" customHeight="1" x14ac:dyDescent="0.2">
      <c r="A74" s="118"/>
      <c r="B74" s="374"/>
      <c r="C74" s="374"/>
      <c r="D74" s="374"/>
      <c r="E74" s="374"/>
      <c r="F74" s="374"/>
      <c r="G74" s="374"/>
      <c r="H74" s="374"/>
      <c r="I74" s="374"/>
      <c r="J74" s="70"/>
      <c r="K74" s="70"/>
      <c r="L74" s="70"/>
      <c r="M74" s="70"/>
      <c r="N74" s="373"/>
      <c r="O74" s="70"/>
      <c r="P74" s="70"/>
      <c r="Q74" s="70"/>
      <c r="R74" s="10"/>
      <c r="S74" s="70"/>
      <c r="T74" s="70"/>
      <c r="U74" s="70"/>
      <c r="V74" s="117"/>
      <c r="W74" s="137"/>
      <c r="X74" s="150"/>
      <c r="Y74" s="188"/>
      <c r="Z74" s="188"/>
      <c r="AA74" s="196"/>
      <c r="AB74" s="196"/>
      <c r="AC74" s="197"/>
      <c r="AD74" s="197"/>
      <c r="AJ74" s="184"/>
      <c r="AK74" s="157"/>
    </row>
    <row r="75" spans="1:49" s="87" customFormat="1" ht="12" customHeight="1" x14ac:dyDescent="0.2">
      <c r="A75" s="121"/>
      <c r="B75" s="374"/>
      <c r="C75" s="374"/>
      <c r="D75" s="374"/>
      <c r="E75" s="374"/>
      <c r="F75" s="374"/>
      <c r="G75" s="374"/>
      <c r="H75" s="374"/>
      <c r="I75" s="96"/>
      <c r="J75" s="96"/>
      <c r="K75" s="61"/>
      <c r="L75" s="61"/>
      <c r="M75" s="61"/>
      <c r="N75" s="61"/>
      <c r="O75" s="61"/>
      <c r="P75" s="61"/>
      <c r="Q75" s="379"/>
      <c r="R75" s="379"/>
      <c r="S75" s="159"/>
      <c r="T75" s="159"/>
      <c r="U75" s="378"/>
      <c r="V75" s="122"/>
      <c r="W75" s="139"/>
      <c r="X75" s="152"/>
      <c r="Y75" s="188"/>
      <c r="Z75" s="188"/>
      <c r="AA75" s="196"/>
      <c r="AB75" s="196"/>
      <c r="AC75" s="197"/>
      <c r="AD75" s="197"/>
      <c r="AE75" s="199"/>
      <c r="AF75" s="190"/>
      <c r="AG75" s="190"/>
      <c r="AH75" s="190"/>
      <c r="AI75" s="190"/>
      <c r="AJ75" s="202"/>
      <c r="AK75" s="160"/>
    </row>
    <row r="76" spans="1:49" s="87" customFormat="1" ht="24" customHeight="1" x14ac:dyDescent="0.2">
      <c r="A76" s="121"/>
      <c r="B76" s="374"/>
      <c r="C76" s="374"/>
      <c r="D76" s="374"/>
      <c r="E76" s="374"/>
      <c r="F76" s="374"/>
      <c r="G76" s="374"/>
      <c r="H76" s="374"/>
      <c r="I76" s="96"/>
      <c r="J76" s="96"/>
      <c r="K76" s="166"/>
      <c r="L76" s="166"/>
      <c r="M76" s="166"/>
      <c r="N76" s="166"/>
      <c r="O76" s="166"/>
      <c r="P76" s="166"/>
      <c r="Q76" s="166"/>
      <c r="R76" s="167"/>
      <c r="S76" s="159"/>
      <c r="T76" s="159"/>
      <c r="U76" s="166"/>
      <c r="V76" s="122"/>
      <c r="W76" s="139"/>
      <c r="X76" s="152"/>
      <c r="Y76" s="774"/>
      <c r="Z76" s="354" t="s">
        <v>130</v>
      </c>
      <c r="AA76" s="354" t="s">
        <v>131</v>
      </c>
      <c r="AB76" s="196"/>
      <c r="AC76" s="197"/>
      <c r="AD76" s="197"/>
      <c r="AE76" s="199"/>
      <c r="AF76" s="190"/>
      <c r="AG76" s="190"/>
      <c r="AH76" s="190"/>
      <c r="AI76" s="190"/>
      <c r="AJ76" s="202"/>
      <c r="AK76" s="160"/>
    </row>
    <row r="77" spans="1:49" s="87" customFormat="1" ht="12.75" customHeight="1" x14ac:dyDescent="0.2">
      <c r="A77" s="121"/>
      <c r="B77" s="374"/>
      <c r="C77" s="374"/>
      <c r="D77" s="374"/>
      <c r="E77" s="374"/>
      <c r="F77" s="374"/>
      <c r="G77" s="374"/>
      <c r="H77" s="374"/>
      <c r="I77" s="96"/>
      <c r="J77" s="96"/>
      <c r="K77" s="166"/>
      <c r="L77" s="166"/>
      <c r="M77" s="166"/>
      <c r="N77" s="166"/>
      <c r="O77" s="166"/>
      <c r="P77" s="166"/>
      <c r="Q77" s="166"/>
      <c r="R77" s="167"/>
      <c r="S77" s="159"/>
      <c r="T77" s="159"/>
      <c r="U77" s="166"/>
      <c r="V77" s="122"/>
      <c r="W77" s="139"/>
      <c r="X77" s="152"/>
      <c r="Y77" s="576" t="str">
        <f>B10</f>
        <v>Bracknell Forest</v>
      </c>
      <c r="Z77" s="356" t="e">
        <f>IF(Y77=$Z$4,I10,#N/A)</f>
        <v>#N/A</v>
      </c>
      <c r="AA77" s="356" t="e">
        <f>IF(Y77=$Z$4,U10,#N/A)</f>
        <v>#N/A</v>
      </c>
      <c r="AB77" s="196"/>
      <c r="AC77" s="197"/>
      <c r="AD77" s="197"/>
      <c r="AE77" s="199"/>
      <c r="AF77" s="190"/>
      <c r="AG77" s="190"/>
      <c r="AH77" s="190"/>
      <c r="AI77" s="190"/>
      <c r="AJ77" s="202"/>
      <c r="AK77" s="160"/>
    </row>
    <row r="78" spans="1:49" s="87" customFormat="1" ht="12.75" customHeight="1" x14ac:dyDescent="0.2">
      <c r="A78" s="121"/>
      <c r="B78" s="374"/>
      <c r="C78" s="374"/>
      <c r="D78" s="374"/>
      <c r="E78" s="374"/>
      <c r="F78" s="374"/>
      <c r="G78" s="374"/>
      <c r="H78" s="374"/>
      <c r="I78" s="96"/>
      <c r="J78" s="96"/>
      <c r="K78" s="166"/>
      <c r="L78" s="166"/>
      <c r="M78" s="166"/>
      <c r="N78" s="166"/>
      <c r="O78" s="166"/>
      <c r="P78" s="166"/>
      <c r="Q78" s="166"/>
      <c r="R78" s="167"/>
      <c r="S78" s="159"/>
      <c r="T78" s="159"/>
      <c r="U78" s="166"/>
      <c r="V78" s="122"/>
      <c r="W78" s="139"/>
      <c r="X78" s="152"/>
      <c r="Y78" s="576" t="str">
        <f t="shared" ref="Y78:Y98" si="23">B11</f>
        <v>Brighton &amp; Hove</v>
      </c>
      <c r="Z78" s="356" t="e">
        <f t="shared" ref="Z78:Z100" si="24">IF(Y78=$Z$4,I11,#N/A)</f>
        <v>#N/A</v>
      </c>
      <c r="AA78" s="356" t="e">
        <f t="shared" ref="AA78:AA100" si="25">IF(Y78=$Z$4,U11,#N/A)</f>
        <v>#N/A</v>
      </c>
      <c r="AB78" s="196"/>
      <c r="AC78" s="197"/>
      <c r="AD78" s="197"/>
      <c r="AE78" s="199"/>
      <c r="AF78" s="190"/>
      <c r="AG78" s="190"/>
      <c r="AH78" s="190"/>
      <c r="AI78" s="190"/>
      <c r="AJ78" s="202"/>
      <c r="AK78" s="160"/>
    </row>
    <row r="79" spans="1:49" s="87" customFormat="1" ht="12.75" customHeight="1" x14ac:dyDescent="0.2">
      <c r="A79" s="121"/>
      <c r="B79" s="374"/>
      <c r="C79" s="374"/>
      <c r="D79" s="374"/>
      <c r="E79" s="374"/>
      <c r="F79" s="374"/>
      <c r="G79" s="374"/>
      <c r="H79" s="374"/>
      <c r="I79" s="96"/>
      <c r="J79" s="96"/>
      <c r="K79" s="166"/>
      <c r="L79" s="166"/>
      <c r="M79" s="166"/>
      <c r="N79" s="166"/>
      <c r="O79" s="166"/>
      <c r="P79" s="166"/>
      <c r="Q79" s="166"/>
      <c r="R79" s="167"/>
      <c r="S79" s="159"/>
      <c r="T79" s="159"/>
      <c r="U79" s="166"/>
      <c r="V79" s="122"/>
      <c r="W79" s="139"/>
      <c r="X79" s="152"/>
      <c r="Y79" s="576" t="str">
        <f t="shared" si="23"/>
        <v>Buckinghamshire</v>
      </c>
      <c r="Z79" s="356" t="e">
        <f t="shared" si="24"/>
        <v>#N/A</v>
      </c>
      <c r="AA79" s="356" t="e">
        <f t="shared" si="25"/>
        <v>#N/A</v>
      </c>
      <c r="AB79" s="196"/>
      <c r="AC79" s="197"/>
      <c r="AD79" s="197"/>
      <c r="AE79" s="199"/>
      <c r="AF79" s="190"/>
      <c r="AG79" s="190"/>
      <c r="AH79" s="190"/>
      <c r="AI79" s="190"/>
      <c r="AJ79" s="202"/>
      <c r="AK79" s="160"/>
    </row>
    <row r="80" spans="1:49" s="87" customFormat="1" ht="12.75" customHeight="1" x14ac:dyDescent="0.2">
      <c r="A80" s="121"/>
      <c r="B80" s="374"/>
      <c r="C80" s="374"/>
      <c r="D80" s="374"/>
      <c r="E80" s="374"/>
      <c r="F80" s="374"/>
      <c r="G80" s="374"/>
      <c r="H80" s="374"/>
      <c r="I80" s="96"/>
      <c r="J80" s="96"/>
      <c r="K80" s="166"/>
      <c r="L80" s="166"/>
      <c r="M80" s="166"/>
      <c r="N80" s="166"/>
      <c r="O80" s="166"/>
      <c r="P80" s="166"/>
      <c r="Q80" s="166"/>
      <c r="R80" s="167"/>
      <c r="S80" s="159"/>
      <c r="T80" s="159"/>
      <c r="U80" s="166"/>
      <c r="V80" s="122"/>
      <c r="W80" s="139"/>
      <c r="X80" s="152"/>
      <c r="Y80" s="576" t="str">
        <f t="shared" si="23"/>
        <v>East Sussex</v>
      </c>
      <c r="Z80" s="356" t="e">
        <f t="shared" si="24"/>
        <v>#N/A</v>
      </c>
      <c r="AA80" s="356" t="e">
        <f t="shared" si="25"/>
        <v>#N/A</v>
      </c>
      <c r="AB80" s="196"/>
      <c r="AC80" s="197"/>
      <c r="AD80" s="197"/>
      <c r="AE80" s="199"/>
      <c r="AF80" s="190"/>
      <c r="AG80" s="190"/>
      <c r="AH80" s="190"/>
      <c r="AI80" s="190"/>
      <c r="AJ80" s="202"/>
      <c r="AK80" s="160"/>
    </row>
    <row r="81" spans="1:45" s="87" customFormat="1" ht="12.75" customHeight="1" x14ac:dyDescent="0.2">
      <c r="A81" s="121"/>
      <c r="B81" s="374"/>
      <c r="C81" s="374"/>
      <c r="D81" s="374"/>
      <c r="E81" s="374"/>
      <c r="F81" s="374"/>
      <c r="G81" s="374"/>
      <c r="H81" s="374"/>
      <c r="I81" s="96"/>
      <c r="J81" s="96"/>
      <c r="K81" s="166"/>
      <c r="L81" s="166"/>
      <c r="M81" s="166"/>
      <c r="N81" s="166"/>
      <c r="O81" s="166"/>
      <c r="P81" s="166"/>
      <c r="Q81" s="166"/>
      <c r="R81" s="167"/>
      <c r="S81" s="159"/>
      <c r="T81" s="159"/>
      <c r="U81" s="166"/>
      <c r="V81" s="122"/>
      <c r="W81" s="139"/>
      <c r="X81" s="152"/>
      <c r="Y81" s="576" t="str">
        <f t="shared" si="23"/>
        <v>Hampshire</v>
      </c>
      <c r="Z81" s="356" t="e">
        <f t="shared" si="24"/>
        <v>#N/A</v>
      </c>
      <c r="AA81" s="356" t="e">
        <f t="shared" si="25"/>
        <v>#N/A</v>
      </c>
      <c r="AB81" s="196"/>
      <c r="AC81" s="197"/>
      <c r="AD81" s="197"/>
      <c r="AE81" s="199"/>
      <c r="AF81" s="190"/>
      <c r="AG81" s="190"/>
      <c r="AH81" s="190"/>
      <c r="AI81" s="190"/>
      <c r="AJ81" s="202"/>
      <c r="AK81" s="160"/>
      <c r="AS81" s="87" t="s">
        <v>102</v>
      </c>
    </row>
    <row r="82" spans="1:45" s="87" customFormat="1" ht="12.75" customHeight="1" x14ac:dyDescent="0.2">
      <c r="A82" s="121"/>
      <c r="B82" s="374"/>
      <c r="C82" s="374"/>
      <c r="D82" s="374"/>
      <c r="E82" s="374"/>
      <c r="F82" s="374"/>
      <c r="G82" s="374"/>
      <c r="H82" s="374"/>
      <c r="I82" s="96"/>
      <c r="J82" s="96"/>
      <c r="K82" s="166"/>
      <c r="L82" s="166"/>
      <c r="M82" s="166"/>
      <c r="N82" s="166"/>
      <c r="O82" s="166"/>
      <c r="P82" s="166"/>
      <c r="Q82" s="166"/>
      <c r="R82" s="167"/>
      <c r="S82" s="159"/>
      <c r="T82" s="159"/>
      <c r="U82" s="166"/>
      <c r="V82" s="122"/>
      <c r="W82" s="139"/>
      <c r="X82" s="152"/>
      <c r="Y82" s="576" t="str">
        <f t="shared" si="23"/>
        <v>Isle of Wight</v>
      </c>
      <c r="Z82" s="356" t="e">
        <f t="shared" si="24"/>
        <v>#N/A</v>
      </c>
      <c r="AA82" s="356" t="e">
        <f t="shared" si="25"/>
        <v>#N/A</v>
      </c>
      <c r="AB82" s="196"/>
      <c r="AC82" s="197"/>
      <c r="AD82" s="197"/>
      <c r="AE82" s="199"/>
      <c r="AF82" s="190"/>
      <c r="AG82" s="190"/>
      <c r="AH82" s="190"/>
      <c r="AI82" s="190"/>
      <c r="AJ82" s="202"/>
      <c r="AK82" s="160"/>
    </row>
    <row r="83" spans="1:45" s="87" customFormat="1" ht="12.75" customHeight="1" x14ac:dyDescent="0.2">
      <c r="A83" s="121"/>
      <c r="B83" s="374"/>
      <c r="C83" s="374"/>
      <c r="D83" s="374"/>
      <c r="E83" s="374"/>
      <c r="F83" s="374"/>
      <c r="G83" s="374"/>
      <c r="H83" s="374"/>
      <c r="I83" s="96"/>
      <c r="J83" s="96"/>
      <c r="K83" s="166"/>
      <c r="L83" s="166"/>
      <c r="M83" s="166"/>
      <c r="N83" s="166"/>
      <c r="O83" s="166"/>
      <c r="P83" s="166"/>
      <c r="Q83" s="166"/>
      <c r="R83" s="167"/>
      <c r="S83" s="159"/>
      <c r="T83" s="159"/>
      <c r="U83" s="166"/>
      <c r="V83" s="122"/>
      <c r="W83" s="139"/>
      <c r="X83" s="152"/>
      <c r="Y83" s="576" t="str">
        <f t="shared" si="23"/>
        <v>Kent</v>
      </c>
      <c r="Z83" s="356" t="e">
        <f t="shared" si="24"/>
        <v>#N/A</v>
      </c>
      <c r="AA83" s="356" t="e">
        <f t="shared" si="25"/>
        <v>#N/A</v>
      </c>
      <c r="AB83" s="196"/>
      <c r="AC83" s="197"/>
      <c r="AD83" s="197"/>
      <c r="AE83" s="199"/>
      <c r="AF83" s="190"/>
      <c r="AG83" s="190"/>
      <c r="AH83" s="190"/>
      <c r="AI83" s="190"/>
      <c r="AJ83" s="202"/>
      <c r="AK83" s="160"/>
    </row>
    <row r="84" spans="1:45" s="87" customFormat="1" ht="12.75" customHeight="1" x14ac:dyDescent="0.2">
      <c r="A84" s="121"/>
      <c r="B84" s="374"/>
      <c r="C84" s="374"/>
      <c r="D84" s="374"/>
      <c r="E84" s="374"/>
      <c r="F84" s="374"/>
      <c r="G84" s="374"/>
      <c r="H84" s="374"/>
      <c r="I84" s="96"/>
      <c r="J84" s="96"/>
      <c r="K84" s="166"/>
      <c r="L84" s="166"/>
      <c r="M84" s="166"/>
      <c r="N84" s="166"/>
      <c r="O84" s="166"/>
      <c r="P84" s="166"/>
      <c r="Q84" s="166"/>
      <c r="R84" s="167"/>
      <c r="S84" s="159"/>
      <c r="T84" s="159"/>
      <c r="U84" s="166"/>
      <c r="V84" s="122"/>
      <c r="W84" s="139"/>
      <c r="X84" s="152"/>
      <c r="Y84" s="576" t="str">
        <f t="shared" si="23"/>
        <v>Medway</v>
      </c>
      <c r="Z84" s="356" t="e">
        <f t="shared" si="24"/>
        <v>#N/A</v>
      </c>
      <c r="AA84" s="356" t="e">
        <f t="shared" si="25"/>
        <v>#N/A</v>
      </c>
      <c r="AB84" s="196"/>
      <c r="AC84" s="197"/>
      <c r="AD84" s="197"/>
      <c r="AE84" s="199"/>
      <c r="AF84" s="190"/>
      <c r="AG84" s="190"/>
      <c r="AH84" s="190"/>
      <c r="AI84" s="190"/>
      <c r="AJ84" s="202"/>
      <c r="AK84" s="160"/>
    </row>
    <row r="85" spans="1:45" s="87" customFormat="1" ht="12.75" customHeight="1" x14ac:dyDescent="0.2">
      <c r="A85" s="121"/>
      <c r="B85" s="374"/>
      <c r="C85" s="374"/>
      <c r="D85" s="374"/>
      <c r="E85" s="374"/>
      <c r="F85" s="374"/>
      <c r="G85" s="374"/>
      <c r="H85" s="374"/>
      <c r="I85" s="96"/>
      <c r="J85" s="96"/>
      <c r="K85" s="166"/>
      <c r="L85" s="166"/>
      <c r="M85" s="166"/>
      <c r="N85" s="166"/>
      <c r="O85" s="166"/>
      <c r="P85" s="166"/>
      <c r="Q85" s="166"/>
      <c r="R85" s="167"/>
      <c r="S85" s="159"/>
      <c r="T85" s="159"/>
      <c r="U85" s="166"/>
      <c r="V85" s="122"/>
      <c r="W85" s="139"/>
      <c r="X85" s="152"/>
      <c r="Y85" s="576" t="str">
        <f t="shared" si="23"/>
        <v>Milton Keynes</v>
      </c>
      <c r="Z85" s="356" t="e">
        <f t="shared" si="24"/>
        <v>#N/A</v>
      </c>
      <c r="AA85" s="356" t="e">
        <f t="shared" si="25"/>
        <v>#N/A</v>
      </c>
      <c r="AB85" s="196"/>
      <c r="AC85" s="197"/>
      <c r="AD85" s="197"/>
      <c r="AE85" s="199"/>
      <c r="AF85" s="190"/>
      <c r="AG85" s="190"/>
      <c r="AH85" s="190"/>
      <c r="AI85" s="190"/>
      <c r="AJ85" s="202"/>
      <c r="AK85" s="160"/>
    </row>
    <row r="86" spans="1:45" s="87" customFormat="1" ht="12.75" customHeight="1" x14ac:dyDescent="0.2">
      <c r="A86" s="121"/>
      <c r="B86" s="374"/>
      <c r="C86" s="374"/>
      <c r="D86" s="374"/>
      <c r="E86" s="374"/>
      <c r="F86" s="374"/>
      <c r="G86" s="374"/>
      <c r="H86" s="374"/>
      <c r="I86" s="96"/>
      <c r="J86" s="96"/>
      <c r="K86" s="166"/>
      <c r="L86" s="166"/>
      <c r="M86" s="166"/>
      <c r="N86" s="166"/>
      <c r="O86" s="166"/>
      <c r="P86" s="166"/>
      <c r="Q86" s="166"/>
      <c r="R86" s="167"/>
      <c r="S86" s="159"/>
      <c r="T86" s="159"/>
      <c r="U86" s="166"/>
      <c r="V86" s="122"/>
      <c r="W86" s="139"/>
      <c r="X86" s="152"/>
      <c r="Y86" s="576" t="str">
        <f t="shared" si="23"/>
        <v>Oxfordshire</v>
      </c>
      <c r="Z86" s="356" t="e">
        <f t="shared" si="24"/>
        <v>#N/A</v>
      </c>
      <c r="AA86" s="356" t="e">
        <f t="shared" si="25"/>
        <v>#N/A</v>
      </c>
      <c r="AB86" s="196"/>
      <c r="AC86" s="197"/>
      <c r="AD86" s="197"/>
      <c r="AE86" s="199"/>
      <c r="AF86" s="190"/>
      <c r="AG86" s="190"/>
      <c r="AH86" s="190"/>
      <c r="AI86" s="190"/>
      <c r="AJ86" s="202"/>
      <c r="AK86" s="160"/>
    </row>
    <row r="87" spans="1:45" s="87" customFormat="1" ht="12.75" customHeight="1" x14ac:dyDescent="0.2">
      <c r="A87" s="121"/>
      <c r="B87" s="374"/>
      <c r="C87" s="374"/>
      <c r="D87" s="374"/>
      <c r="E87" s="374"/>
      <c r="F87" s="374"/>
      <c r="G87" s="374"/>
      <c r="H87" s="374"/>
      <c r="I87" s="96"/>
      <c r="J87" s="96"/>
      <c r="K87" s="166"/>
      <c r="L87" s="166"/>
      <c r="M87" s="166"/>
      <c r="N87" s="166"/>
      <c r="O87" s="166"/>
      <c r="P87" s="166"/>
      <c r="Q87" s="166"/>
      <c r="R87" s="167"/>
      <c r="S87" s="159"/>
      <c r="T87" s="159"/>
      <c r="U87" s="166"/>
      <c r="V87" s="122"/>
      <c r="W87" s="139"/>
      <c r="X87" s="152"/>
      <c r="Y87" s="576" t="str">
        <f t="shared" si="23"/>
        <v>Portsmouth</v>
      </c>
      <c r="Z87" s="356" t="e">
        <f t="shared" si="24"/>
        <v>#N/A</v>
      </c>
      <c r="AA87" s="356" t="e">
        <f t="shared" si="25"/>
        <v>#N/A</v>
      </c>
      <c r="AB87" s="196"/>
      <c r="AC87" s="197"/>
      <c r="AD87" s="197"/>
      <c r="AE87" s="199"/>
      <c r="AF87" s="190"/>
      <c r="AG87" s="190"/>
      <c r="AH87" s="190"/>
      <c r="AI87" s="190"/>
      <c r="AJ87" s="202"/>
      <c r="AK87" s="160"/>
    </row>
    <row r="88" spans="1:45" s="87" customFormat="1" ht="12.75" customHeight="1" x14ac:dyDescent="0.2">
      <c r="A88" s="121"/>
      <c r="B88" s="374"/>
      <c r="C88" s="374"/>
      <c r="D88" s="374"/>
      <c r="E88" s="374"/>
      <c r="F88" s="374"/>
      <c r="G88" s="374"/>
      <c r="H88" s="374"/>
      <c r="I88" s="96"/>
      <c r="J88" s="96"/>
      <c r="K88" s="166"/>
      <c r="L88" s="166"/>
      <c r="M88" s="166"/>
      <c r="N88" s="166"/>
      <c r="O88" s="166"/>
      <c r="P88" s="166"/>
      <c r="Q88" s="166"/>
      <c r="R88" s="167"/>
      <c r="S88" s="159"/>
      <c r="T88" s="159"/>
      <c r="U88" s="166"/>
      <c r="V88" s="122"/>
      <c r="W88" s="139"/>
      <c r="X88" s="152"/>
      <c r="Y88" s="576" t="str">
        <f t="shared" si="23"/>
        <v>Reading</v>
      </c>
      <c r="Z88" s="356" t="e">
        <f t="shared" si="24"/>
        <v>#N/A</v>
      </c>
      <c r="AA88" s="356" t="e">
        <f t="shared" si="25"/>
        <v>#N/A</v>
      </c>
      <c r="AB88" s="196"/>
      <c r="AC88" s="197"/>
      <c r="AD88" s="197"/>
      <c r="AE88" s="199"/>
      <c r="AF88" s="190"/>
      <c r="AG88" s="190"/>
      <c r="AH88" s="190"/>
      <c r="AI88" s="190"/>
      <c r="AJ88" s="202"/>
      <c r="AK88" s="160"/>
    </row>
    <row r="89" spans="1:45" s="87" customFormat="1" ht="12.75" customHeight="1" x14ac:dyDescent="0.2">
      <c r="A89" s="121"/>
      <c r="B89" s="374"/>
      <c r="C89" s="374"/>
      <c r="D89" s="374"/>
      <c r="E89" s="374"/>
      <c r="F89" s="374"/>
      <c r="G89" s="374"/>
      <c r="H89" s="374"/>
      <c r="I89" s="96"/>
      <c r="J89" s="96"/>
      <c r="K89" s="166"/>
      <c r="L89" s="166"/>
      <c r="M89" s="166"/>
      <c r="N89" s="166"/>
      <c r="O89" s="166"/>
      <c r="P89" s="166"/>
      <c r="Q89" s="166"/>
      <c r="R89" s="167"/>
      <c r="S89" s="159"/>
      <c r="T89" s="159"/>
      <c r="U89" s="166"/>
      <c r="V89" s="122"/>
      <c r="W89" s="139"/>
      <c r="X89" s="152"/>
      <c r="Y89" s="576" t="str">
        <f t="shared" si="23"/>
        <v>Slough</v>
      </c>
      <c r="Z89" s="356" t="e">
        <f t="shared" si="24"/>
        <v>#N/A</v>
      </c>
      <c r="AA89" s="356" t="e">
        <f t="shared" si="25"/>
        <v>#N/A</v>
      </c>
      <c r="AB89" s="196"/>
      <c r="AC89" s="197"/>
      <c r="AD89" s="197"/>
      <c r="AE89" s="199"/>
      <c r="AF89" s="190"/>
      <c r="AG89" s="190"/>
      <c r="AH89" s="190"/>
      <c r="AI89" s="190"/>
      <c r="AJ89" s="202"/>
      <c r="AK89" s="160"/>
    </row>
    <row r="90" spans="1:45" s="87" customFormat="1" ht="12.75" customHeight="1" x14ac:dyDescent="0.2">
      <c r="A90" s="121"/>
      <c r="B90" s="374"/>
      <c r="C90" s="374"/>
      <c r="D90" s="374"/>
      <c r="E90" s="374"/>
      <c r="F90" s="374"/>
      <c r="G90" s="374"/>
      <c r="H90" s="374"/>
      <c r="I90" s="96"/>
      <c r="J90" s="96"/>
      <c r="K90" s="166"/>
      <c r="L90" s="166"/>
      <c r="M90" s="166"/>
      <c r="N90" s="166"/>
      <c r="O90" s="166"/>
      <c r="P90" s="166"/>
      <c r="Q90" s="166"/>
      <c r="R90" s="167"/>
      <c r="S90" s="159"/>
      <c r="T90" s="159"/>
      <c r="U90" s="166"/>
      <c r="V90" s="122"/>
      <c r="W90" s="139"/>
      <c r="X90" s="152"/>
      <c r="Y90" s="576" t="str">
        <f t="shared" si="23"/>
        <v>Somerset</v>
      </c>
      <c r="Z90" s="356" t="e">
        <f t="shared" si="24"/>
        <v>#N/A</v>
      </c>
      <c r="AA90" s="356" t="e">
        <f t="shared" si="25"/>
        <v>#N/A</v>
      </c>
      <c r="AB90" s="196"/>
      <c r="AC90" s="197"/>
      <c r="AD90" s="197"/>
      <c r="AE90" s="199"/>
      <c r="AF90" s="190"/>
      <c r="AG90" s="190"/>
      <c r="AH90" s="190"/>
      <c r="AI90" s="190"/>
      <c r="AJ90" s="202"/>
      <c r="AK90" s="160"/>
    </row>
    <row r="91" spans="1:45" s="87" customFormat="1" ht="12.75" customHeight="1" x14ac:dyDescent="0.2">
      <c r="A91" s="121"/>
      <c r="B91" s="374"/>
      <c r="C91" s="374"/>
      <c r="D91" s="374"/>
      <c r="E91" s="374"/>
      <c r="F91" s="374"/>
      <c r="G91" s="374"/>
      <c r="H91" s="374"/>
      <c r="I91" s="96"/>
      <c r="J91" s="96"/>
      <c r="K91" s="166"/>
      <c r="L91" s="166"/>
      <c r="M91" s="166"/>
      <c r="N91" s="166"/>
      <c r="O91" s="166"/>
      <c r="P91" s="166"/>
      <c r="Q91" s="166"/>
      <c r="R91" s="167"/>
      <c r="S91" s="159"/>
      <c r="T91" s="159"/>
      <c r="U91" s="166"/>
      <c r="V91" s="122"/>
      <c r="W91" s="139"/>
      <c r="X91" s="152"/>
      <c r="Y91" s="576" t="str">
        <f t="shared" si="23"/>
        <v>Southampton</v>
      </c>
      <c r="Z91" s="356" t="e">
        <f t="shared" si="24"/>
        <v>#N/A</v>
      </c>
      <c r="AA91" s="356" t="e">
        <f t="shared" si="25"/>
        <v>#N/A</v>
      </c>
      <c r="AB91" s="196"/>
      <c r="AC91" s="197"/>
      <c r="AD91" s="197"/>
      <c r="AE91" s="199"/>
      <c r="AF91" s="190"/>
      <c r="AG91" s="190"/>
      <c r="AH91" s="190"/>
      <c r="AI91" s="190"/>
      <c r="AJ91" s="202"/>
      <c r="AK91" s="160"/>
    </row>
    <row r="92" spans="1:45" s="87" customFormat="1" ht="12.75" customHeight="1" x14ac:dyDescent="0.2">
      <c r="A92" s="292"/>
      <c r="B92" s="374"/>
      <c r="C92" s="374"/>
      <c r="D92" s="374"/>
      <c r="E92" s="374"/>
      <c r="F92" s="374"/>
      <c r="G92" s="374"/>
      <c r="H92" s="374"/>
      <c r="I92" s="96"/>
      <c r="J92" s="96"/>
      <c r="K92" s="166"/>
      <c r="L92" s="166"/>
      <c r="M92" s="166"/>
      <c r="N92" s="166"/>
      <c r="O92" s="166"/>
      <c r="P92" s="166"/>
      <c r="Q92" s="166"/>
      <c r="R92" s="167"/>
      <c r="S92" s="159"/>
      <c r="T92" s="159"/>
      <c r="U92" s="166"/>
      <c r="V92" s="122"/>
      <c r="W92" s="139"/>
      <c r="X92" s="152"/>
      <c r="Y92" s="576" t="str">
        <f t="shared" si="23"/>
        <v>Surrey</v>
      </c>
      <c r="Z92" s="356" t="e">
        <f t="shared" si="24"/>
        <v>#N/A</v>
      </c>
      <c r="AA92" s="356" t="e">
        <f t="shared" si="25"/>
        <v>#N/A</v>
      </c>
      <c r="AB92" s="196"/>
      <c r="AC92" s="197"/>
      <c r="AD92" s="197"/>
      <c r="AE92" s="199"/>
      <c r="AF92" s="190"/>
      <c r="AG92" s="190"/>
      <c r="AH92" s="190"/>
      <c r="AI92" s="190"/>
      <c r="AJ92" s="202"/>
      <c r="AK92" s="160"/>
    </row>
    <row r="93" spans="1:45" s="87" customFormat="1" ht="12.75" customHeight="1" x14ac:dyDescent="0.2">
      <c r="A93" s="292"/>
      <c r="B93" s="374"/>
      <c r="C93" s="374"/>
      <c r="D93" s="374"/>
      <c r="E93" s="374"/>
      <c r="F93" s="374"/>
      <c r="G93" s="374"/>
      <c r="H93" s="374"/>
      <c r="I93" s="96"/>
      <c r="J93" s="96"/>
      <c r="K93" s="166"/>
      <c r="L93" s="166"/>
      <c r="M93" s="166"/>
      <c r="N93" s="166"/>
      <c r="O93" s="166"/>
      <c r="P93" s="166"/>
      <c r="Q93" s="166"/>
      <c r="R93" s="167"/>
      <c r="S93" s="159"/>
      <c r="T93" s="159"/>
      <c r="U93" s="166"/>
      <c r="V93" s="122"/>
      <c r="W93" s="139"/>
      <c r="X93" s="152"/>
      <c r="Y93" s="576" t="str">
        <f t="shared" si="23"/>
        <v>Swindon</v>
      </c>
      <c r="Z93" s="356" t="e">
        <f t="shared" si="24"/>
        <v>#N/A</v>
      </c>
      <c r="AA93" s="356" t="e">
        <f t="shared" si="25"/>
        <v>#N/A</v>
      </c>
      <c r="AB93" s="196"/>
      <c r="AC93" s="197"/>
      <c r="AD93" s="197"/>
      <c r="AE93" s="199"/>
      <c r="AF93" s="190"/>
      <c r="AG93" s="190"/>
      <c r="AH93" s="190"/>
      <c r="AI93" s="190"/>
      <c r="AJ93" s="202"/>
      <c r="AK93" s="160"/>
    </row>
    <row r="94" spans="1:45" s="87" customFormat="1" ht="12.75" customHeight="1" x14ac:dyDescent="0.2">
      <c r="A94" s="121"/>
      <c r="B94" s="374"/>
      <c r="C94" s="374"/>
      <c r="D94" s="374"/>
      <c r="E94" s="374"/>
      <c r="F94" s="374"/>
      <c r="G94" s="374"/>
      <c r="H94" s="374"/>
      <c r="I94" s="96"/>
      <c r="J94" s="96"/>
      <c r="K94" s="166"/>
      <c r="L94" s="166"/>
      <c r="M94" s="166"/>
      <c r="N94" s="166"/>
      <c r="O94" s="166"/>
      <c r="P94" s="166"/>
      <c r="Q94" s="166"/>
      <c r="R94" s="167"/>
      <c r="S94" s="159"/>
      <c r="T94" s="159"/>
      <c r="U94" s="166"/>
      <c r="V94" s="122"/>
      <c r="W94" s="139"/>
      <c r="X94" s="152"/>
      <c r="Y94" s="576" t="str">
        <f t="shared" si="23"/>
        <v>Torbay</v>
      </c>
      <c r="Z94" s="356" t="e">
        <f t="shared" si="24"/>
        <v>#N/A</v>
      </c>
      <c r="AA94" s="356" t="e">
        <f t="shared" si="25"/>
        <v>#N/A</v>
      </c>
      <c r="AB94" s="196"/>
      <c r="AC94" s="197"/>
      <c r="AD94" s="197"/>
      <c r="AE94" s="199"/>
      <c r="AF94" s="202"/>
      <c r="AG94" s="190"/>
      <c r="AH94" s="190"/>
      <c r="AI94" s="190"/>
      <c r="AJ94" s="202"/>
      <c r="AK94" s="160"/>
    </row>
    <row r="95" spans="1:45" s="87" customFormat="1" ht="12.75" customHeight="1" x14ac:dyDescent="0.2">
      <c r="A95" s="121"/>
      <c r="B95" s="374"/>
      <c r="C95" s="374"/>
      <c r="D95" s="374"/>
      <c r="E95" s="374"/>
      <c r="F95" s="374"/>
      <c r="G95" s="374"/>
      <c r="H95" s="374"/>
      <c r="I95" s="96"/>
      <c r="J95" s="96"/>
      <c r="K95" s="166"/>
      <c r="L95" s="166"/>
      <c r="M95" s="166"/>
      <c r="N95" s="166"/>
      <c r="O95" s="166"/>
      <c r="P95" s="166"/>
      <c r="Q95" s="166"/>
      <c r="R95" s="167"/>
      <c r="S95" s="159"/>
      <c r="T95" s="159"/>
      <c r="U95" s="166"/>
      <c r="V95" s="122"/>
      <c r="W95" s="139"/>
      <c r="X95" s="152"/>
      <c r="Y95" s="576" t="str">
        <f t="shared" si="23"/>
        <v>West Berkshire</v>
      </c>
      <c r="Z95" s="356" t="e">
        <f t="shared" si="24"/>
        <v>#N/A</v>
      </c>
      <c r="AA95" s="356" t="e">
        <f t="shared" si="25"/>
        <v>#N/A</v>
      </c>
      <c r="AB95" s="196"/>
      <c r="AC95" s="197"/>
      <c r="AD95" s="197"/>
      <c r="AE95" s="199"/>
      <c r="AF95" s="202"/>
      <c r="AG95" s="190"/>
      <c r="AH95" s="190"/>
      <c r="AI95" s="190"/>
      <c r="AJ95" s="202"/>
      <c r="AK95" s="160"/>
    </row>
    <row r="96" spans="1:45" s="87" customFormat="1" ht="12.75" customHeight="1" x14ac:dyDescent="0.2">
      <c r="A96" s="121"/>
      <c r="B96" s="374"/>
      <c r="C96" s="374"/>
      <c r="D96" s="374"/>
      <c r="E96" s="374"/>
      <c r="F96" s="374"/>
      <c r="G96" s="374"/>
      <c r="H96" s="374"/>
      <c r="I96" s="96"/>
      <c r="J96" s="96"/>
      <c r="K96" s="166"/>
      <c r="L96" s="166"/>
      <c r="M96" s="166"/>
      <c r="N96" s="166"/>
      <c r="O96" s="166"/>
      <c r="P96" s="166"/>
      <c r="Q96" s="166"/>
      <c r="R96" s="167"/>
      <c r="S96" s="159"/>
      <c r="T96" s="159"/>
      <c r="U96" s="166"/>
      <c r="V96" s="122"/>
      <c r="W96" s="139"/>
      <c r="X96" s="152"/>
      <c r="Y96" s="576" t="str">
        <f t="shared" si="23"/>
        <v>West Sussex</v>
      </c>
      <c r="Z96" s="356" t="e">
        <f t="shared" si="24"/>
        <v>#N/A</v>
      </c>
      <c r="AA96" s="356" t="e">
        <f t="shared" si="25"/>
        <v>#N/A</v>
      </c>
      <c r="AB96" s="196"/>
      <c r="AC96" s="197"/>
      <c r="AD96" s="197"/>
      <c r="AE96" s="199"/>
      <c r="AF96" s="202"/>
      <c r="AG96" s="202"/>
      <c r="AH96" s="202"/>
      <c r="AI96" s="190"/>
      <c r="AJ96" s="202"/>
      <c r="AK96" s="160"/>
    </row>
    <row r="97" spans="1:46" s="87" customFormat="1" ht="12.75" customHeight="1" x14ac:dyDescent="0.2">
      <c r="A97" s="121"/>
      <c r="B97" s="374"/>
      <c r="C97" s="374"/>
      <c r="D97" s="374"/>
      <c r="E97" s="374"/>
      <c r="F97" s="374"/>
      <c r="G97" s="374"/>
      <c r="H97" s="374"/>
      <c r="I97" s="96"/>
      <c r="J97" s="96"/>
      <c r="K97" s="166"/>
      <c r="L97" s="166"/>
      <c r="M97" s="166"/>
      <c r="N97" s="166"/>
      <c r="O97" s="166"/>
      <c r="P97" s="166"/>
      <c r="Q97" s="166"/>
      <c r="R97" s="167"/>
      <c r="S97" s="159"/>
      <c r="T97" s="159"/>
      <c r="U97" s="166"/>
      <c r="V97" s="122"/>
      <c r="W97" s="139"/>
      <c r="X97" s="152"/>
      <c r="Y97" s="576" t="str">
        <f t="shared" si="23"/>
        <v>Windsor &amp; Maidenhead</v>
      </c>
      <c r="Z97" s="356" t="e">
        <f t="shared" si="24"/>
        <v>#N/A</v>
      </c>
      <c r="AA97" s="356" t="e">
        <f t="shared" si="25"/>
        <v>#N/A</v>
      </c>
      <c r="AB97" s="196"/>
      <c r="AC97" s="197"/>
      <c r="AD97" s="197"/>
      <c r="AE97" s="199"/>
      <c r="AF97" s="202"/>
      <c r="AG97" s="202"/>
      <c r="AH97" s="202"/>
      <c r="AI97" s="190"/>
      <c r="AJ97" s="202"/>
      <c r="AK97" s="160"/>
    </row>
    <row r="98" spans="1:46" s="87" customFormat="1" ht="12.75" customHeight="1" x14ac:dyDescent="0.2">
      <c r="A98" s="121"/>
      <c r="B98" s="374"/>
      <c r="C98" s="374"/>
      <c r="D98" s="374"/>
      <c r="E98" s="374"/>
      <c r="F98" s="374"/>
      <c r="G98" s="374"/>
      <c r="H98" s="374"/>
      <c r="I98" s="96"/>
      <c r="J98" s="96"/>
      <c r="K98" s="168"/>
      <c r="L98" s="168"/>
      <c r="M98" s="168"/>
      <c r="N98" s="168"/>
      <c r="O98" s="168"/>
      <c r="P98" s="168"/>
      <c r="Q98" s="168"/>
      <c r="R98" s="169"/>
      <c r="S98" s="159"/>
      <c r="T98" s="159"/>
      <c r="U98" s="170"/>
      <c r="V98" s="122"/>
      <c r="W98" s="139"/>
      <c r="X98" s="152"/>
      <c r="Y98" s="576" t="str">
        <f t="shared" si="23"/>
        <v>Wokingham</v>
      </c>
      <c r="Z98" s="356" t="e">
        <f t="shared" si="24"/>
        <v>#N/A</v>
      </c>
      <c r="AA98" s="356" t="e">
        <f t="shared" si="25"/>
        <v>#N/A</v>
      </c>
      <c r="AB98" s="196"/>
      <c r="AC98" s="197"/>
      <c r="AD98" s="197"/>
      <c r="AE98" s="199"/>
      <c r="AF98" s="202"/>
      <c r="AG98" s="202"/>
      <c r="AH98" s="202"/>
      <c r="AI98" s="190"/>
      <c r="AJ98" s="202"/>
      <c r="AK98" s="160"/>
    </row>
    <row r="99" spans="1:46" s="87" customFormat="1" ht="12.75" customHeight="1" x14ac:dyDescent="0.2">
      <c r="A99" s="121"/>
      <c r="B99" s="374"/>
      <c r="C99" s="374"/>
      <c r="D99" s="374"/>
      <c r="E99" s="374"/>
      <c r="F99" s="374"/>
      <c r="G99" s="374"/>
      <c r="H99" s="374"/>
      <c r="I99" s="96"/>
      <c r="J99" s="96"/>
      <c r="K99" s="168"/>
      <c r="L99" s="168"/>
      <c r="M99" s="168"/>
      <c r="N99" s="168"/>
      <c r="O99" s="168"/>
      <c r="P99" s="168"/>
      <c r="Q99" s="168"/>
      <c r="R99" s="169"/>
      <c r="S99" s="159"/>
      <c r="T99" s="159"/>
      <c r="U99" s="170"/>
      <c r="V99" s="122"/>
      <c r="W99" s="139"/>
      <c r="X99" s="152"/>
      <c r="Y99" s="576" t="str">
        <f>B32</f>
        <v>South East</v>
      </c>
      <c r="Z99" s="356" t="e">
        <f t="shared" si="24"/>
        <v>#N/A</v>
      </c>
      <c r="AA99" s="356" t="e">
        <f t="shared" si="25"/>
        <v>#N/A</v>
      </c>
      <c r="AB99" s="196"/>
      <c r="AC99" s="197"/>
      <c r="AD99" s="197"/>
      <c r="AE99" s="199"/>
      <c r="AF99" s="202"/>
      <c r="AG99" s="202"/>
      <c r="AH99" s="202"/>
      <c r="AI99" s="190"/>
      <c r="AJ99" s="202"/>
      <c r="AK99" s="160"/>
    </row>
    <row r="100" spans="1:46" s="87" customFormat="1" ht="11.25" customHeight="1" x14ac:dyDescent="0.2">
      <c r="A100" s="292"/>
      <c r="B100" s="374"/>
      <c r="C100" s="374"/>
      <c r="D100" s="374"/>
      <c r="E100" s="374"/>
      <c r="F100" s="374"/>
      <c r="G100" s="374"/>
      <c r="H100" s="374"/>
      <c r="I100" s="96"/>
      <c r="J100" s="96"/>
      <c r="K100" s="168"/>
      <c r="L100" s="168"/>
      <c r="M100" s="168"/>
      <c r="N100" s="168"/>
      <c r="O100" s="168"/>
      <c r="P100" s="168"/>
      <c r="Q100" s="168"/>
      <c r="R100" s="169"/>
      <c r="S100" s="159"/>
      <c r="T100" s="159"/>
      <c r="U100" s="170"/>
      <c r="V100" s="122"/>
      <c r="W100" s="139"/>
      <c r="X100" s="152"/>
      <c r="Y100" s="576" t="str">
        <f>B33</f>
        <v>England</v>
      </c>
      <c r="Z100" s="356" t="e">
        <f t="shared" si="24"/>
        <v>#N/A</v>
      </c>
      <c r="AA100" s="356" t="e">
        <f t="shared" si="25"/>
        <v>#N/A</v>
      </c>
      <c r="AB100" s="196"/>
      <c r="AC100" s="197"/>
      <c r="AD100" s="197"/>
      <c r="AE100" s="199"/>
      <c r="AF100" s="202"/>
      <c r="AG100" s="202"/>
      <c r="AH100" s="202"/>
      <c r="AI100" s="190"/>
      <c r="AJ100" s="202"/>
      <c r="AK100" s="160"/>
    </row>
    <row r="101" spans="1:46" s="81" customFormat="1" ht="35.450000000000003" customHeight="1" x14ac:dyDescent="0.2">
      <c r="A101" s="217"/>
      <c r="B101" s="374"/>
      <c r="C101" s="374"/>
      <c r="D101" s="374"/>
      <c r="E101" s="374"/>
      <c r="F101" s="374"/>
      <c r="G101" s="374"/>
      <c r="H101" s="374"/>
      <c r="I101" s="380"/>
      <c r="J101" s="172"/>
      <c r="K101" s="172"/>
      <c r="L101" s="172"/>
      <c r="M101" s="172"/>
      <c r="N101" s="172"/>
      <c r="O101" s="172"/>
      <c r="P101" s="172"/>
      <c r="Q101" s="172"/>
      <c r="R101" s="136"/>
      <c r="S101" s="172"/>
      <c r="T101" s="172"/>
      <c r="U101" s="172"/>
      <c r="V101" s="117"/>
      <c r="W101" s="137"/>
      <c r="X101" s="150"/>
      <c r="AD101" s="197"/>
      <c r="AE101" s="199"/>
      <c r="AF101" s="184"/>
      <c r="AG101" s="184"/>
      <c r="AH101" s="184"/>
      <c r="AJ101" s="184"/>
      <c r="AK101" s="161"/>
    </row>
    <row r="102" spans="1:46" s="81" customFormat="1" ht="36.6" customHeight="1" x14ac:dyDescent="0.2">
      <c r="A102" s="217"/>
      <c r="B102" s="374"/>
      <c r="C102" s="374"/>
      <c r="D102" s="374"/>
      <c r="E102" s="374"/>
      <c r="F102" s="374"/>
      <c r="G102" s="374"/>
      <c r="H102" s="374"/>
      <c r="I102" s="380"/>
      <c r="J102" s="172"/>
      <c r="K102" s="172"/>
      <c r="L102" s="172"/>
      <c r="M102" s="172"/>
      <c r="N102" s="172"/>
      <c r="O102" s="172"/>
      <c r="P102" s="172"/>
      <c r="Q102" s="172"/>
      <c r="R102" s="136"/>
      <c r="S102" s="172"/>
      <c r="T102" s="172"/>
      <c r="U102" s="172"/>
      <c r="V102" s="117"/>
      <c r="W102" s="137"/>
      <c r="X102" s="150"/>
      <c r="Z102" s="190"/>
      <c r="AE102" s="199"/>
      <c r="AF102" s="184"/>
      <c r="AG102" s="184"/>
      <c r="AH102" s="184"/>
      <c r="AJ102" s="184"/>
      <c r="AK102" s="161"/>
    </row>
    <row r="103" spans="1:46" s="81" customFormat="1" ht="45.75" customHeight="1" x14ac:dyDescent="0.2">
      <c r="A103" s="217"/>
      <c r="B103" s="380"/>
      <c r="C103" s="380"/>
      <c r="D103" s="380"/>
      <c r="E103" s="380"/>
      <c r="F103" s="380"/>
      <c r="G103" s="380"/>
      <c r="H103" s="380"/>
      <c r="I103" s="380"/>
      <c r="J103" s="172"/>
      <c r="K103" s="172"/>
      <c r="L103" s="172"/>
      <c r="M103" s="172"/>
      <c r="N103" s="172"/>
      <c r="O103" s="172"/>
      <c r="P103" s="172"/>
      <c r="Q103" s="172"/>
      <c r="R103" s="136"/>
      <c r="S103" s="172"/>
      <c r="T103" s="172"/>
      <c r="U103" s="172"/>
      <c r="V103" s="117"/>
      <c r="W103" s="137"/>
      <c r="X103" s="150"/>
      <c r="Z103" s="190"/>
      <c r="AE103" s="199"/>
      <c r="AF103" s="184"/>
      <c r="AG103" s="184"/>
      <c r="AH103" s="184"/>
      <c r="AJ103" s="184"/>
      <c r="AK103" s="161"/>
    </row>
    <row r="104" spans="1:46" s="81" customFormat="1" ht="7.5" customHeight="1" x14ac:dyDescent="0.2">
      <c r="A104" s="118"/>
      <c r="B104" s="17"/>
      <c r="C104" s="17"/>
      <c r="D104" s="16"/>
      <c r="E104" s="16"/>
      <c r="F104" s="16"/>
      <c r="G104" s="16"/>
      <c r="H104" s="16"/>
      <c r="I104" s="16"/>
      <c r="J104" s="12"/>
      <c r="K104" s="18"/>
      <c r="L104" s="18"/>
      <c r="M104" s="18"/>
      <c r="N104" s="18"/>
      <c r="O104" s="18"/>
      <c r="P104" s="18"/>
      <c r="Q104" s="18"/>
      <c r="R104" s="18"/>
      <c r="S104" s="18"/>
      <c r="T104" s="18"/>
      <c r="U104" s="19"/>
      <c r="V104" s="117"/>
      <c r="W104" s="137"/>
      <c r="X104" s="150"/>
      <c r="Z104" s="190"/>
      <c r="AJ104" s="184"/>
      <c r="AK104" s="157"/>
      <c r="AL104" s="74"/>
      <c r="AM104" s="74"/>
      <c r="AN104" s="74"/>
      <c r="AO104" s="74"/>
      <c r="AP104" s="74"/>
      <c r="AQ104" s="74"/>
      <c r="AR104" s="74"/>
    </row>
    <row r="105" spans="1:46" s="81" customFormat="1" ht="15" customHeight="1" x14ac:dyDescent="0.2">
      <c r="A105" s="1716"/>
      <c r="B105" s="1760"/>
      <c r="C105" s="1760"/>
      <c r="D105" s="1760"/>
      <c r="E105" s="1760"/>
      <c r="F105" s="1760"/>
      <c r="G105" s="1760"/>
      <c r="H105" s="1760"/>
      <c r="I105" s="1760"/>
      <c r="J105" s="1760"/>
      <c r="K105" s="1760"/>
      <c r="L105" s="1760"/>
      <c r="M105" s="1760"/>
      <c r="N105" s="1760"/>
      <c r="O105" s="1760"/>
      <c r="P105" s="1760"/>
      <c r="Q105" s="1760"/>
      <c r="R105" s="1760"/>
      <c r="S105" s="1760"/>
      <c r="T105" s="1760"/>
      <c r="U105" s="1760"/>
      <c r="V105" s="1761"/>
      <c r="W105" s="137"/>
      <c r="X105" s="150"/>
      <c r="Y105" s="188"/>
      <c r="Z105" s="188"/>
      <c r="AK105" s="161"/>
      <c r="AT105" s="74"/>
    </row>
    <row r="106" spans="1:46" s="81" customFormat="1" ht="11.1" customHeight="1" x14ac:dyDescent="0.2">
      <c r="A106" s="1765" t="str">
        <f>Home!$A$39</f>
        <v xml:space="preserve"> </v>
      </c>
      <c r="B106" s="1766"/>
      <c r="C106" s="1766"/>
      <c r="D106" s="1766"/>
      <c r="E106" s="1766"/>
      <c r="F106" s="1766"/>
      <c r="G106" s="1766"/>
      <c r="H106" s="1766"/>
      <c r="I106" s="1767"/>
      <c r="J106" s="1766"/>
      <c r="K106" s="1766"/>
      <c r="L106" s="1766"/>
      <c r="M106" s="1766"/>
      <c r="N106" s="1766"/>
      <c r="O106" s="1766"/>
      <c r="P106" s="1768"/>
      <c r="Q106" s="1766"/>
      <c r="R106" s="1766"/>
      <c r="S106" s="1766"/>
      <c r="T106" s="1767"/>
      <c r="U106" s="1766"/>
      <c r="V106" s="1769"/>
      <c r="W106" s="1268"/>
      <c r="X106" s="150"/>
      <c r="Y106" s="188"/>
      <c r="Z106" s="188"/>
      <c r="AK106" s="161"/>
      <c r="AL106" s="87"/>
      <c r="AT106" s="74"/>
    </row>
    <row r="107" spans="1:46" ht="18.75" customHeight="1" x14ac:dyDescent="0.2">
      <c r="A107" s="112"/>
      <c r="B107" s="113"/>
      <c r="C107" s="113"/>
      <c r="D107" s="113"/>
      <c r="E107" s="113"/>
      <c r="F107" s="113"/>
      <c r="G107" s="113"/>
      <c r="H107" s="113"/>
      <c r="I107" s="113"/>
      <c r="J107" s="114"/>
      <c r="K107" s="113"/>
      <c r="L107" s="113"/>
      <c r="M107" s="113"/>
      <c r="N107" s="113"/>
      <c r="O107" s="113"/>
      <c r="P107" s="113"/>
      <c r="Q107" s="113"/>
      <c r="R107" s="113"/>
      <c r="S107" s="113"/>
      <c r="T107" s="113"/>
      <c r="U107" s="113"/>
      <c r="V107" s="115"/>
      <c r="W107" s="1064"/>
      <c r="X107" s="150"/>
      <c r="Z107" s="190"/>
      <c r="AJ107" s="81"/>
      <c r="AK107" s="161"/>
    </row>
    <row r="108" spans="1:46" ht="18.75" customHeight="1" x14ac:dyDescent="0.2">
      <c r="A108" s="118"/>
      <c r="B108" s="128" t="s">
        <v>734</v>
      </c>
      <c r="C108" s="9"/>
      <c r="D108" s="9"/>
      <c r="E108" s="9"/>
      <c r="F108" s="9"/>
      <c r="G108" s="9"/>
      <c r="H108" s="9"/>
      <c r="I108" s="9"/>
      <c r="J108" s="12"/>
      <c r="K108" s="9"/>
      <c r="L108" s="9"/>
      <c r="M108" s="9"/>
      <c r="N108" s="9"/>
      <c r="O108" s="9"/>
      <c r="P108" s="9"/>
      <c r="Q108" s="9"/>
      <c r="R108" s="9"/>
      <c r="S108" s="9"/>
      <c r="T108" s="9"/>
      <c r="U108" s="9"/>
      <c r="V108" s="117"/>
      <c r="W108" s="161"/>
      <c r="X108" s="150"/>
      <c r="Z108" s="190"/>
      <c r="AJ108" s="81"/>
      <c r="AK108" s="161"/>
    </row>
    <row r="109" spans="1:46" ht="18.75" customHeight="1" x14ac:dyDescent="0.2">
      <c r="A109" s="124"/>
      <c r="B109" s="125"/>
      <c r="C109" s="125"/>
      <c r="D109" s="125"/>
      <c r="E109" s="125"/>
      <c r="F109" s="125"/>
      <c r="G109" s="125"/>
      <c r="H109" s="125"/>
      <c r="I109" s="267"/>
      <c r="J109" s="126"/>
      <c r="K109" s="125"/>
      <c r="L109" s="125"/>
      <c r="M109" s="125"/>
      <c r="N109" s="125"/>
      <c r="O109" s="125"/>
      <c r="P109" s="553"/>
      <c r="Q109" s="125"/>
      <c r="R109" s="125"/>
      <c r="S109" s="125"/>
      <c r="T109" s="267"/>
      <c r="U109" s="125"/>
      <c r="V109" s="127"/>
      <c r="W109" s="161"/>
      <c r="X109" s="150"/>
      <c r="Z109" s="190"/>
      <c r="AJ109" s="81"/>
      <c r="AK109" s="161"/>
      <c r="AR109" s="74">
        <v>0</v>
      </c>
    </row>
    <row r="110" spans="1:46" ht="11.25" customHeight="1" x14ac:dyDescent="0.2">
      <c r="A110" s="112"/>
      <c r="B110" s="113"/>
      <c r="C110" s="113"/>
      <c r="D110" s="113"/>
      <c r="E110" s="113"/>
      <c r="F110" s="113"/>
      <c r="G110" s="113"/>
      <c r="H110" s="113"/>
      <c r="I110" s="113"/>
      <c r="J110" s="114"/>
      <c r="K110" s="113"/>
      <c r="L110" s="113"/>
      <c r="M110" s="113"/>
      <c r="N110" s="113"/>
      <c r="O110" s="113"/>
      <c r="P110" s="113"/>
      <c r="Q110" s="113"/>
      <c r="R110" s="113"/>
      <c r="S110" s="113"/>
      <c r="T110" s="113"/>
      <c r="U110" s="113"/>
      <c r="V110" s="115"/>
      <c r="W110" s="137"/>
      <c r="X110" s="150"/>
      <c r="Z110" s="190"/>
      <c r="AJ110" s="184"/>
      <c r="AK110" s="157"/>
    </row>
    <row r="111" spans="1:46" s="76" customFormat="1" ht="15" customHeight="1" x14ac:dyDescent="0.2">
      <c r="A111" s="119"/>
      <c r="B111" s="1808" t="str">
        <f>"Children subject to Care Applications to Court during"&amp;Z1</f>
        <v>Children subject to Care Applications to Court during the year ending 31st March</v>
      </c>
      <c r="C111" s="1642"/>
      <c r="D111" s="1642"/>
      <c r="E111" s="1642"/>
      <c r="F111" s="1642"/>
      <c r="G111" s="1642"/>
      <c r="H111" s="1642"/>
      <c r="I111" s="1642"/>
      <c r="J111" s="1642"/>
      <c r="K111" s="1642"/>
      <c r="L111" s="1642"/>
      <c r="M111" s="1642"/>
      <c r="N111" s="1642"/>
      <c r="O111" s="70"/>
      <c r="P111" s="70"/>
      <c r="Q111" s="70"/>
      <c r="R111" s="70"/>
      <c r="S111" s="70"/>
      <c r="T111" s="70"/>
      <c r="U111" s="70"/>
      <c r="V111" s="120"/>
      <c r="W111" s="138"/>
      <c r="X111" s="151"/>
      <c r="Y111" s="81"/>
      <c r="Z111" s="190"/>
      <c r="AA111" s="81"/>
      <c r="AB111" s="81"/>
      <c r="AC111" s="81"/>
      <c r="AD111" s="81"/>
      <c r="AE111" s="81"/>
      <c r="AF111" s="188"/>
      <c r="AG111" s="188"/>
      <c r="AH111" s="188"/>
      <c r="AI111" s="188"/>
      <c r="AJ111" s="188"/>
      <c r="AK111" s="158"/>
      <c r="AL111" s="188" t="str">
        <f>CONCATENATE($I$7,"in Number of "&amp;$B111)</f>
        <v>Average Annual Change in Number of Children subject to Care Applications to Court during the year ending 31st March</v>
      </c>
      <c r="AR111" s="935" t="s">
        <v>682</v>
      </c>
    </row>
    <row r="112" spans="1:46" ht="13.5" customHeight="1" x14ac:dyDescent="0.2">
      <c r="A112" s="118"/>
      <c r="B112" s="1642"/>
      <c r="C112" s="1642"/>
      <c r="D112" s="1642"/>
      <c r="E112" s="1642"/>
      <c r="F112" s="1642"/>
      <c r="G112" s="1642"/>
      <c r="H112" s="1642"/>
      <c r="I112" s="1642"/>
      <c r="J112" s="1642"/>
      <c r="K112" s="1642"/>
      <c r="L112" s="1642"/>
      <c r="M112" s="1642"/>
      <c r="N112" s="1642"/>
      <c r="O112" s="70"/>
      <c r="P112" s="70"/>
      <c r="Q112" s="70"/>
      <c r="R112" s="70"/>
      <c r="S112" s="70"/>
      <c r="T112" s="70"/>
      <c r="U112" s="70"/>
      <c r="V112" s="117"/>
      <c r="W112" s="137"/>
      <c r="X112" s="150"/>
      <c r="Z112" s="190"/>
      <c r="AJ112" s="184"/>
      <c r="AK112" s="157"/>
    </row>
    <row r="113" spans="1:50" s="87" customFormat="1" ht="12.75" customHeight="1" x14ac:dyDescent="0.2">
      <c r="A113" s="121"/>
      <c r="B113" s="1789" t="s">
        <v>205</v>
      </c>
      <c r="C113" s="85"/>
      <c r="D113" s="1851" t="s">
        <v>88</v>
      </c>
      <c r="E113" s="1911"/>
      <c r="F113" s="1911"/>
      <c r="G113" s="1911"/>
      <c r="H113" s="1924"/>
      <c r="I113" s="1811" t="str">
        <f>"Average "&amp;Sheet1!C3&amp;" Change "</f>
        <v xml:space="preserve">Average Annual Change </v>
      </c>
      <c r="J113" s="96"/>
      <c r="K113" s="1913" t="s">
        <v>89</v>
      </c>
      <c r="L113" s="1914"/>
      <c r="M113" s="1914"/>
      <c r="N113" s="1914"/>
      <c r="O113" s="1914"/>
      <c r="P113" s="1914"/>
      <c r="Q113" s="1744" t="str">
        <f>IF(ISNA(O115),"SE Rank "&amp;O114,"SE Rank "&amp;O115)</f>
        <v>SE Rank 2019-20</v>
      </c>
      <c r="R113" s="70"/>
      <c r="S113" s="1817" t="str">
        <f>"Distance from Expected "&amp;Sheet1!$B$8</f>
        <v>Distance from Expected 2020</v>
      </c>
      <c r="T113" s="1818"/>
      <c r="U113" s="1819"/>
      <c r="V113" s="122"/>
      <c r="W113" s="139"/>
      <c r="X113" s="152"/>
      <c r="Y113" s="202"/>
      <c r="Z113" s="202"/>
      <c r="AB113" s="203" t="s">
        <v>79</v>
      </c>
      <c r="AC113" s="190"/>
      <c r="AD113" s="190"/>
      <c r="AE113" s="199"/>
      <c r="AF113" s="199"/>
      <c r="AG113" s="204" t="s">
        <v>94</v>
      </c>
      <c r="AH113" s="190"/>
      <c r="AI113" s="190"/>
      <c r="AJ113" s="202"/>
      <c r="AK113" s="160"/>
      <c r="AL113" s="74"/>
      <c r="AM113" s="74"/>
      <c r="AN113" s="74"/>
      <c r="AO113" s="74"/>
      <c r="AP113" s="74"/>
      <c r="AQ113" s="74"/>
    </row>
    <row r="114" spans="1:50" s="87" customFormat="1" ht="12.75" customHeight="1" x14ac:dyDescent="0.2">
      <c r="A114" s="292"/>
      <c r="B114" s="1789"/>
      <c r="C114" s="85"/>
      <c r="D114" s="789" t="str">
        <f>Sheet1!$D$27</f>
        <v>2015-16</v>
      </c>
      <c r="E114" s="790" t="str">
        <f>Sheet1!$E$27</f>
        <v>2016-17</v>
      </c>
      <c r="F114" s="790" t="str">
        <f>Sheet1!$F$27</f>
        <v>2017-18</v>
      </c>
      <c r="G114" s="790" t="str">
        <f>Sheet1!$G$27</f>
        <v>2018-19</v>
      </c>
      <c r="H114" s="993" t="str">
        <f>Sheet1!$H$27</f>
        <v>2019-20</v>
      </c>
      <c r="I114" s="1812"/>
      <c r="J114" s="96"/>
      <c r="K114" s="820" t="str">
        <f>Sheet1!$D$27</f>
        <v>2015-16</v>
      </c>
      <c r="L114" s="821" t="str">
        <f>Sheet1!$E$27</f>
        <v>2016-17</v>
      </c>
      <c r="M114" s="821" t="str">
        <f>Sheet1!$F$27</f>
        <v>2017-18</v>
      </c>
      <c r="N114" s="821" t="str">
        <f>Sheet1!$G$27</f>
        <v>2018-19</v>
      </c>
      <c r="O114" s="1741" t="str">
        <f>Sheet1!$H$27</f>
        <v>2019-20</v>
      </c>
      <c r="P114" s="1742"/>
      <c r="Q114" s="1816"/>
      <c r="R114" s="70"/>
      <c r="S114" s="1820"/>
      <c r="T114" s="1821"/>
      <c r="U114" s="1822"/>
      <c r="V114" s="122"/>
      <c r="W114" s="139"/>
      <c r="X114" s="152"/>
      <c r="Y114" s="202"/>
      <c r="Z114" s="1735" t="s">
        <v>76</v>
      </c>
      <c r="AA114" s="1735" t="s">
        <v>77</v>
      </c>
      <c r="AB114" s="758" t="str">
        <f>Sheet1!$D$27</f>
        <v>2015-16</v>
      </c>
      <c r="AC114" s="758" t="str">
        <f>Sheet1!$E$27</f>
        <v>2016-17</v>
      </c>
      <c r="AD114" s="758" t="str">
        <f>Sheet1!$F$27</f>
        <v>2017-18</v>
      </c>
      <c r="AE114" s="758" t="str">
        <f>Sheet1!$G$27</f>
        <v>2018-19</v>
      </c>
      <c r="AF114" s="758" t="str">
        <f>Sheet1!$H$27</f>
        <v>2019-20</v>
      </c>
      <c r="AG114" s="204"/>
      <c r="AH114" s="190"/>
      <c r="AI114" s="190"/>
      <c r="AJ114" s="202"/>
      <c r="AK114" s="160"/>
    </row>
    <row r="115" spans="1:50" s="87" customFormat="1" ht="12.75" customHeight="1" x14ac:dyDescent="0.2">
      <c r="A115" s="121"/>
      <c r="B115" s="1790"/>
      <c r="C115" s="85"/>
      <c r="D115" s="792" t="e">
        <f>Sheet1!$D$28</f>
        <v>#N/A</v>
      </c>
      <c r="E115" s="792" t="e">
        <f>Sheet1!$E$28</f>
        <v>#N/A</v>
      </c>
      <c r="F115" s="792" t="e">
        <f>Sheet1!$F$28</f>
        <v>#N/A</v>
      </c>
      <c r="G115" s="792" t="e">
        <f>Sheet1!$G$28</f>
        <v>#N/A</v>
      </c>
      <c r="H115" s="992" t="e">
        <f>Sheet1!$H$28</f>
        <v>#N/A</v>
      </c>
      <c r="I115" s="1813"/>
      <c r="J115" s="96"/>
      <c r="K115" s="792" t="e">
        <f>Sheet1!$D$28</f>
        <v>#N/A</v>
      </c>
      <c r="L115" s="792" t="e">
        <f>Sheet1!$E$28</f>
        <v>#N/A</v>
      </c>
      <c r="M115" s="792" t="e">
        <f>Sheet1!$F$28</f>
        <v>#N/A</v>
      </c>
      <c r="N115" s="792" t="e">
        <f>Sheet1!$G$28</f>
        <v>#N/A</v>
      </c>
      <c r="O115" s="1739" t="e">
        <f>Sheet1!$H$28</f>
        <v>#N/A</v>
      </c>
      <c r="P115" s="1827"/>
      <c r="Q115" s="1745"/>
      <c r="R115" s="70"/>
      <c r="S115" s="990" t="s">
        <v>78</v>
      </c>
      <c r="T115" s="856" t="s">
        <v>128</v>
      </c>
      <c r="U115" s="857" t="s">
        <v>129</v>
      </c>
      <c r="V115" s="122"/>
      <c r="W115" s="139"/>
      <c r="X115" s="152"/>
      <c r="Y115" s="202"/>
      <c r="Z115" s="1736"/>
      <c r="AA115" s="1736"/>
      <c r="AB115" s="758" t="e">
        <f>Sheet1!$D$28</f>
        <v>#N/A</v>
      </c>
      <c r="AC115" s="758" t="e">
        <f>Sheet1!$E$28</f>
        <v>#N/A</v>
      </c>
      <c r="AD115" s="758" t="e">
        <f>Sheet1!$F$28</f>
        <v>#N/A</v>
      </c>
      <c r="AE115" s="758" t="e">
        <f>Sheet1!$G$28</f>
        <v>#N/A</v>
      </c>
      <c r="AF115" s="758" t="e">
        <f>Sheet1!$H$28</f>
        <v>#N/A</v>
      </c>
      <c r="AG115" s="190"/>
      <c r="AH115" s="190">
        <f>COLUMNS($B$4:O$4)</f>
        <v>14</v>
      </c>
      <c r="AI115" s="190"/>
      <c r="AJ115" s="202"/>
      <c r="AK115" s="160"/>
      <c r="AL115" s="996" t="s">
        <v>676</v>
      </c>
      <c r="AM115" s="996" t="s">
        <v>677</v>
      </c>
      <c r="AN115" s="996" t="s">
        <v>678</v>
      </c>
      <c r="AO115" s="996" t="s">
        <v>679</v>
      </c>
      <c r="AP115" s="996" t="s">
        <v>680</v>
      </c>
      <c r="AR115" s="937" t="s">
        <v>683</v>
      </c>
      <c r="AS115" s="937" t="s">
        <v>684</v>
      </c>
      <c r="AT115" s="937" t="s">
        <v>685</v>
      </c>
      <c r="AU115" s="937" t="s">
        <v>686</v>
      </c>
      <c r="AV115" s="938" t="s">
        <v>687</v>
      </c>
      <c r="AW115" s="938" t="s">
        <v>688</v>
      </c>
      <c r="AX115" s="938" t="s">
        <v>689</v>
      </c>
    </row>
    <row r="116" spans="1:50" s="87" customFormat="1" ht="13.5" customHeight="1" x14ac:dyDescent="0.2">
      <c r="A116" s="488">
        <f>VLOOKUP(B116,Sheet1!$AQ$4:$AR$25,2,FALSE)</f>
        <v>0</v>
      </c>
      <c r="B116" s="93" t="str">
        <f>Sheet1!$K$4</f>
        <v>Bracknell Forest</v>
      </c>
      <c r="C116" s="85"/>
      <c r="D116" s="94">
        <f>IF(Year1_Bracknell_Forest Year1_Care_Applications_Children="","",Year1_Bracknell_Forest Year1_Care_Applications_Children)</f>
        <v>51</v>
      </c>
      <c r="E116" s="94">
        <f>IF(Year2_Bracknell_Forest Year2_Care_Applications_Children="","",Year2_Bracknell_Forest Year2_Care_Applications_Children)</f>
        <v>53</v>
      </c>
      <c r="F116" s="94">
        <f>IF(Year3_Bracknell_Forest Year3_Care_Applications_Children="","",Year3_Bracknell_Forest Year3_Care_Applications_Children)</f>
        <v>86</v>
      </c>
      <c r="G116" s="94">
        <f>IF(Year4_Bracknell_Forest Year4_Care_Applications_Children="","",Year4_Bracknell_Forest Year4_Care_Applications_Children)</f>
        <v>71</v>
      </c>
      <c r="H116" s="848">
        <f>IF(Year5_Bracknell_Forest Year5_Care_Applications_Children="","",Year5_Bracknell_Forest Year5_Care_Applications_Children)</f>
        <v>45</v>
      </c>
      <c r="I116" s="1026">
        <f>AP116</f>
        <v>3.0310351989679421E-2</v>
      </c>
      <c r="J116" s="96"/>
      <c r="K116" s="97">
        <f>IF(ISNUMBER(D116),D116/Population!D10*10000,NA())</f>
        <v>18.085106382978722</v>
      </c>
      <c r="L116" s="97">
        <f>IF(ISNUMBER(E116),E116/Population!E10*10000,NA())</f>
        <v>18.794326241134751</v>
      </c>
      <c r="M116" s="97">
        <f>IF(ISNUMBER(F116),F116/Population!F10*10000,NA())</f>
        <v>30.60498220640569</v>
      </c>
      <c r="N116" s="97">
        <f>IF(ISNUMBER(G116),G116/Population!G10*10000,NA())</f>
        <v>25.088339222614842</v>
      </c>
      <c r="O116" s="97">
        <f>IF(ISNUMBER(H116),H116/Population!H10*10000,NA())</f>
        <v>15.845070422535212</v>
      </c>
      <c r="P116" s="99">
        <f>IF(ISNUMBER(O116),O116,"")</f>
        <v>15.845070422535212</v>
      </c>
      <c r="Q116" s="822">
        <f>IF(ISNA(VLOOKUP(B116,$AG$116:$AI$134,3,FALSE)),"--",IF(ISNUMBER(H116),VLOOKUP(B116,$AG$116:$AI$134,3,FALSE),NA()))</f>
        <v>10</v>
      </c>
      <c r="R116" s="70"/>
      <c r="S116" s="340">
        <f>S10</f>
        <v>8.9</v>
      </c>
      <c r="T116" s="341">
        <f t="shared" ref="T116:T139" si="26">((S116*$Z$150)+$AA$150)/$Y$2</f>
        <v>9.9346560528302046</v>
      </c>
      <c r="U116" s="342">
        <f>O116-T116</f>
        <v>5.9104143697050073</v>
      </c>
      <c r="V116" s="122"/>
      <c r="W116" s="139"/>
      <c r="X116" s="152"/>
      <c r="Y116" s="72" t="str">
        <f>B116</f>
        <v>Bracknell Forest</v>
      </c>
      <c r="Z116" s="44">
        <f>IF(H116&gt;0,IDACI!D9,0)</f>
        <v>24849</v>
      </c>
      <c r="AA116" s="44">
        <f>IF(H116&gt;0,IDACI!E9,0)</f>
        <v>2211.5610000000001</v>
      </c>
      <c r="AB116" s="205">
        <f>IF(ISNUMBER(D116),Population!D10,"")</f>
        <v>28200</v>
      </c>
      <c r="AC116" s="205">
        <f>IF(ISNUMBER(E116),Population!E10,"")</f>
        <v>28200</v>
      </c>
      <c r="AD116" s="205">
        <f>IF(ISNUMBER(F116),Population!F10,"")</f>
        <v>28100</v>
      </c>
      <c r="AE116" s="205">
        <f>IF(ISNUMBER(G116),Population!G10,"")</f>
        <v>28300</v>
      </c>
      <c r="AF116" s="205">
        <f>IF(ISNUMBER(H116),Population!H10,"")</f>
        <v>28400</v>
      </c>
      <c r="AG116" s="93" t="str">
        <f>B116</f>
        <v>Bracknell Forest</v>
      </c>
      <c r="AH116" s="231">
        <f>IFERROR(VLOOKUP(AG116,$B$116:$O$137,AH$115,FALSE),"")</f>
        <v>15.845070422535212</v>
      </c>
      <c r="AI116" s="206">
        <f>RANK(AH116,$AH$116:$AH$134,1)</f>
        <v>10</v>
      </c>
      <c r="AJ116" s="202"/>
      <c r="AK116" s="160"/>
      <c r="AL116" s="853">
        <f>IF(ISERROR((E116-D116)/D116),"x",(E116-D116)/D116)</f>
        <v>3.9215686274509803E-2</v>
      </c>
      <c r="AM116" s="853">
        <f>IF(ISERROR((F116-E116)/E116),"x",(F116-E116)/E116)</f>
        <v>0.62264150943396224</v>
      </c>
      <c r="AN116" s="853">
        <f>IF(ISERROR((G116-F116)/F116),"x",(G116-F116)/F116)</f>
        <v>-0.1744186046511628</v>
      </c>
      <c r="AO116" s="853">
        <f>IF(ISERROR((H116-G116)/G116),"x",(H116-G116)/G116)</f>
        <v>-0.36619718309859156</v>
      </c>
      <c r="AP116" s="853">
        <f>AVERAGE(AL116:AO116)</f>
        <v>3.0310351989679421E-2</v>
      </c>
      <c r="AR116" s="936">
        <f>IF(ISNUMBER(L116),L116,"")</f>
        <v>18.794326241134751</v>
      </c>
      <c r="AS116" s="936">
        <f t="shared" ref="AS116:AS139" si="27">IF(ISNUMBER(M116),M116,"")</f>
        <v>30.60498220640569</v>
      </c>
      <c r="AT116" s="936">
        <f t="shared" ref="AT116:AT139" si="28">IF(ISNUMBER(N116),N116,"")</f>
        <v>25.088339222614842</v>
      </c>
      <c r="AU116" s="936">
        <f t="shared" ref="AU116:AU128" si="29">IF(ISNUMBER(O116),O116,"")</f>
        <v>15.845070422535212</v>
      </c>
      <c r="AV116" s="936">
        <f t="shared" ref="AV116:AV128" si="30">SUM(AR116:AU116)</f>
        <v>90.332718092690499</v>
      </c>
      <c r="AW116" s="575">
        <f t="shared" ref="AW116:AW128" si="31">COUNTBLANK(AR116:AU116)</f>
        <v>0</v>
      </c>
      <c r="AX116" s="936">
        <f>AV116/(4-AW116)*4</f>
        <v>90.332718092690499</v>
      </c>
    </row>
    <row r="117" spans="1:50" s="87" customFormat="1" ht="13.5" customHeight="1" x14ac:dyDescent="0.2">
      <c r="A117" s="488">
        <f>VLOOKUP(B117,Sheet1!$AQ$4:$AR$25,2,FALSE)</f>
        <v>0</v>
      </c>
      <c r="B117" s="93" t="str">
        <f>Sheet1!$K$5</f>
        <v>Brighton &amp; Hove</v>
      </c>
      <c r="C117" s="85"/>
      <c r="D117" s="94">
        <f>IF(Year1_Brighton_Hove Year1_Care_Applications_Children="","",Year1_Brighton_Hove Year1_Care_Applications_Children)</f>
        <v>147</v>
      </c>
      <c r="E117" s="94">
        <f>IF(Year2_Brighton_Hove Year2_Care_Applications_Children="","",Year2_Brighton_Hove Year2_Care_Applications_Children)</f>
        <v>165</v>
      </c>
      <c r="F117" s="94">
        <f>IF(Year3_Brighton_Hove Year3_Care_Applications_Children="","",Year3_Brighton_Hove Year3_Care_Applications_Children)</f>
        <v>123</v>
      </c>
      <c r="G117" s="94">
        <f>IF(Year4_Brighton_Hove Year4_Care_Applications_Children="","",Year4_Brighton_Hove Year4_Care_Applications_Children)</f>
        <v>104</v>
      </c>
      <c r="H117" s="848">
        <f>IF(Year5_Brighton_Hove Year5_Care_Applications_Children="","",Year5_Brighton_Hove Year5_Care_Applications_Children)</f>
        <v>127</v>
      </c>
      <c r="I117" s="1026">
        <f t="shared" ref="I117:I139" si="32">AP117</f>
        <v>-1.6353543378804708E-2</v>
      </c>
      <c r="J117" s="96"/>
      <c r="K117" s="97">
        <f>IF(ISNUMBER(D117),D117/Population!D11*10000,NA())</f>
        <v>28.7109375</v>
      </c>
      <c r="L117" s="97">
        <f>IF(ISNUMBER(E117),E117/Population!E11*10000,NA())</f>
        <v>32.163742690058484</v>
      </c>
      <c r="M117" s="97">
        <f>IF(ISNUMBER(F117),F117/Population!F11*10000,NA())</f>
        <v>24.117647058823529</v>
      </c>
      <c r="N117" s="97">
        <f>IF(ISNUMBER(G117),G117/Population!G11*10000,NA())</f>
        <v>20.3921568627451</v>
      </c>
      <c r="O117" s="98">
        <f>IF(ISNUMBER(H117),H117/Population!H11*10000,NA())</f>
        <v>25.248508946322069</v>
      </c>
      <c r="P117" s="99">
        <f t="shared" ref="P117:P139" si="33">IF(ISNUMBER(O117),O117,"")</f>
        <v>25.248508946322069</v>
      </c>
      <c r="Q117" s="822">
        <f t="shared" ref="Q117:Q139" si="34">IF(ISNA(VLOOKUP(B117,$AG$10:$AI$28,3,FALSE)),"--",IF(ISNUMBER(H117),VLOOKUP(B117,$AG$10:$AI$28,3,FALSE),NA()))</f>
        <v>18</v>
      </c>
      <c r="R117" s="70"/>
      <c r="S117" s="340">
        <f t="shared" ref="S117:S139" si="35">S11</f>
        <v>15.299999999999999</v>
      </c>
      <c r="T117" s="341">
        <f t="shared" si="26"/>
        <v>17.324035597004286</v>
      </c>
      <c r="U117" s="342">
        <f t="shared" ref="U117:U139" si="36">O117-T117</f>
        <v>7.9244733493177826</v>
      </c>
      <c r="V117" s="122"/>
      <c r="W117" s="139"/>
      <c r="X117" s="152"/>
      <c r="Y117" s="72" t="str">
        <f t="shared" ref="Y117:Y139" si="37">B117</f>
        <v>Brighton &amp; Hove</v>
      </c>
      <c r="Z117" s="44">
        <f>IF(H117&gt;0,IDACI!D10,0)</f>
        <v>45576</v>
      </c>
      <c r="AA117" s="44">
        <f>IF(H117&gt;0,IDACI!E10,0)</f>
        <v>6973.1279999999997</v>
      </c>
      <c r="AB117" s="205">
        <f>IF(ISNUMBER(D117),Population!D11,"")</f>
        <v>51200</v>
      </c>
      <c r="AC117" s="205">
        <f>IF(ISNUMBER(E117),Population!E11,"")</f>
        <v>51300</v>
      </c>
      <c r="AD117" s="205">
        <f>IF(ISNUMBER(F117),Population!F11,"")</f>
        <v>51000</v>
      </c>
      <c r="AE117" s="205">
        <f>IF(ISNUMBER(G117),Population!G11,"")</f>
        <v>51000</v>
      </c>
      <c r="AF117" s="205">
        <f>IF(ISNUMBER(H117),Population!H11,"")</f>
        <v>50300</v>
      </c>
      <c r="AG117" s="93" t="s">
        <v>31</v>
      </c>
      <c r="AH117" s="231">
        <f t="shared" ref="AH117:AH134" si="38">IFERROR(VLOOKUP(AG117,$B$116:$O$137,AH$115,FALSE),"")</f>
        <v>25.248508946322069</v>
      </c>
      <c r="AI117" s="206">
        <f t="shared" ref="AI117:AI134" si="39">RANK(AH117,$AH$116:$AH$134,1)</f>
        <v>18</v>
      </c>
      <c r="AJ117" s="202"/>
      <c r="AK117" s="160"/>
      <c r="AL117" s="853">
        <f t="shared" ref="AL117:AL137" si="40">IF(ISERROR((E117-D117)/D117),"x",(E117-D117)/D117)</f>
        <v>0.12244897959183673</v>
      </c>
      <c r="AM117" s="853">
        <f t="shared" ref="AM117:AM137" si="41">IF(ISERROR((F117-E117)/E117),"x",(F117-E117)/E117)</f>
        <v>-0.25454545454545452</v>
      </c>
      <c r="AN117" s="853">
        <f t="shared" ref="AN117:AN137" si="42">IF(ISERROR((G117-F117)/F117),"x",(G117-F117)/F117)</f>
        <v>-0.15447154471544716</v>
      </c>
      <c r="AO117" s="853">
        <f t="shared" ref="AO117:AO137" si="43">IF(ISERROR((H117-G117)/G117),"x",(H117-G117)/G117)</f>
        <v>0.22115384615384615</v>
      </c>
      <c r="AP117" s="853">
        <f t="shared" ref="AP117:AP138" si="44">AVERAGE(AL117:AO117)</f>
        <v>-1.6353543378804708E-2</v>
      </c>
      <c r="AR117" s="936">
        <f t="shared" ref="AR117:AR139" si="45">IF(ISNUMBER(L117),L117,"")</f>
        <v>32.163742690058484</v>
      </c>
      <c r="AS117" s="936">
        <f t="shared" si="27"/>
        <v>24.117647058823529</v>
      </c>
      <c r="AT117" s="936">
        <f t="shared" si="28"/>
        <v>20.3921568627451</v>
      </c>
      <c r="AU117" s="936">
        <f t="shared" si="29"/>
        <v>25.248508946322069</v>
      </c>
      <c r="AV117" s="936">
        <f t="shared" si="30"/>
        <v>101.92205555794919</v>
      </c>
      <c r="AW117" s="575">
        <f t="shared" si="31"/>
        <v>0</v>
      </c>
      <c r="AX117" s="936">
        <f t="shared" ref="AX117:AX128" si="46">AV117/(4-AW117)*4</f>
        <v>101.92205555794919</v>
      </c>
    </row>
    <row r="118" spans="1:50" s="87" customFormat="1" ht="13.5" customHeight="1" x14ac:dyDescent="0.2">
      <c r="A118" s="488">
        <f>VLOOKUP(B118,Sheet1!$AQ$4:$AR$25,2,FALSE)</f>
        <v>0</v>
      </c>
      <c r="B118" s="93" t="str">
        <f>Sheet1!$K$6</f>
        <v>Buckinghamshire</v>
      </c>
      <c r="C118" s="85"/>
      <c r="D118" s="94">
        <f>IF(Year1_Buckinghamshire Year1_Care_Applications_Children="","",Year1_Buckinghamshire Year1_Care_Applications_Children)</f>
        <v>189</v>
      </c>
      <c r="E118" s="94">
        <f>IF(Year2_Buckinghamshire Year2_Care_Applications_Children="","",Year2_Buckinghamshire Year2_Care_Applications_Children)</f>
        <v>176</v>
      </c>
      <c r="F118" s="94">
        <f>IF(Year3_Buckinghamshire Year3_Care_Applications_Children="","",Year3_Buckinghamshire Year3_Care_Applications_Children)</f>
        <v>142</v>
      </c>
      <c r="G118" s="94">
        <f>IF(Year4_Buckinghamshire Year4_Care_Applications_Children="","",Year4_Buckinghamshire Year4_Care_Applications_Children)</f>
        <v>167</v>
      </c>
      <c r="H118" s="848">
        <f>IF(Year5_Buckinghamshire Year5_Care_Applications_Children="","",Year5_Buckinghamshire Year5_Care_Applications_Children)</f>
        <v>139</v>
      </c>
      <c r="I118" s="1026">
        <f t="shared" si="32"/>
        <v>-6.3393304898850145E-2</v>
      </c>
      <c r="J118" s="96"/>
      <c r="K118" s="97">
        <f>IF(ISNUMBER(D118),D118/Population!D12*10000,NA())</f>
        <v>15.671641791044776</v>
      </c>
      <c r="L118" s="97">
        <f>IF(ISNUMBER(E118),E118/Population!E12*10000,NA())</f>
        <v>14.402618657937806</v>
      </c>
      <c r="M118" s="97">
        <f>IF(ISNUMBER(F118),F118/Population!F12*10000,NA())</f>
        <v>11.535337124289196</v>
      </c>
      <c r="N118" s="97">
        <f>IF(ISNUMBER(G118),G118/Population!G12*10000,NA())</f>
        <v>13.435237329042639</v>
      </c>
      <c r="O118" s="98">
        <f>IF(ISNUMBER(H118),H118/Population!H12*10000,NA())</f>
        <v>11.058074781225139</v>
      </c>
      <c r="P118" s="99">
        <f t="shared" si="33"/>
        <v>11.058074781225139</v>
      </c>
      <c r="Q118" s="822">
        <f t="shared" si="34"/>
        <v>5</v>
      </c>
      <c r="R118" s="70"/>
      <c r="S118" s="340">
        <f t="shared" si="35"/>
        <v>8.5</v>
      </c>
      <c r="T118" s="341">
        <f t="shared" si="26"/>
        <v>9.4728198313193239</v>
      </c>
      <c r="U118" s="342">
        <f t="shared" si="36"/>
        <v>1.5852549499058153</v>
      </c>
      <c r="V118" s="122"/>
      <c r="W118" s="139"/>
      <c r="X118" s="152"/>
      <c r="Y118" s="72" t="str">
        <f t="shared" si="37"/>
        <v>Buckinghamshire</v>
      </c>
      <c r="Z118" s="44">
        <f>IF(H118&gt;0,IDACI!D11,0)</f>
        <v>107385</v>
      </c>
      <c r="AA118" s="44">
        <f>IF(H118&gt;0,IDACI!E11,0)</f>
        <v>9127.7250000000004</v>
      </c>
      <c r="AB118" s="205">
        <f>IF(ISNUMBER(D118),Population!D12,"")</f>
        <v>120600</v>
      </c>
      <c r="AC118" s="205">
        <f>IF(ISNUMBER(E118),Population!E12,"")</f>
        <v>122200</v>
      </c>
      <c r="AD118" s="205">
        <f>IF(ISNUMBER(F118),Population!F12,"")</f>
        <v>123100</v>
      </c>
      <c r="AE118" s="205">
        <f>IF(ISNUMBER(G118),Population!G12,"")</f>
        <v>124300</v>
      </c>
      <c r="AF118" s="205">
        <f>IF(ISNUMBER(H118),Population!H12,"")</f>
        <v>125700</v>
      </c>
      <c r="AG118" s="93" t="s">
        <v>8</v>
      </c>
      <c r="AH118" s="231">
        <f t="shared" si="38"/>
        <v>11.058074781225139</v>
      </c>
      <c r="AI118" s="206">
        <f t="shared" si="39"/>
        <v>4</v>
      </c>
      <c r="AJ118" s="202"/>
      <c r="AK118" s="160"/>
      <c r="AL118" s="853">
        <f t="shared" si="40"/>
        <v>-6.8783068783068779E-2</v>
      </c>
      <c r="AM118" s="853">
        <f t="shared" si="41"/>
        <v>-0.19318181818181818</v>
      </c>
      <c r="AN118" s="853">
        <f t="shared" si="42"/>
        <v>0.176056338028169</v>
      </c>
      <c r="AO118" s="853">
        <f t="shared" si="43"/>
        <v>-0.16766467065868262</v>
      </c>
      <c r="AP118" s="853">
        <f t="shared" si="44"/>
        <v>-6.3393304898850145E-2</v>
      </c>
      <c r="AR118" s="936">
        <f t="shared" si="45"/>
        <v>14.402618657937806</v>
      </c>
      <c r="AS118" s="936">
        <f t="shared" si="27"/>
        <v>11.535337124289196</v>
      </c>
      <c r="AT118" s="936">
        <f t="shared" si="28"/>
        <v>13.435237329042639</v>
      </c>
      <c r="AU118" s="936">
        <f t="shared" si="29"/>
        <v>11.058074781225139</v>
      </c>
      <c r="AV118" s="936">
        <f t="shared" si="30"/>
        <v>50.43126789249478</v>
      </c>
      <c r="AW118" s="575">
        <f t="shared" si="31"/>
        <v>0</v>
      </c>
      <c r="AX118" s="936">
        <f t="shared" si="46"/>
        <v>50.43126789249478</v>
      </c>
    </row>
    <row r="119" spans="1:50" s="87" customFormat="1" ht="13.5" customHeight="1" x14ac:dyDescent="0.2">
      <c r="A119" s="488">
        <f>VLOOKUP(B119,Sheet1!$AQ$4:$AR$25,2,FALSE)</f>
        <v>0</v>
      </c>
      <c r="B119" s="93" t="str">
        <f>Sheet1!$K$7</f>
        <v>East Sussex</v>
      </c>
      <c r="C119" s="85"/>
      <c r="D119" s="94">
        <f>IF(Year1_East_Sussex Year1_Care_Applications_Children="","",Year1_East_Sussex Year1_Care_Applications_Children)</f>
        <v>134</v>
      </c>
      <c r="E119" s="100">
        <f>IF(Year2_East_Sussex Year2_Care_Applications_Children="","",Year2_East_Sussex Year2_Care_Applications_Children)</f>
        <v>158</v>
      </c>
      <c r="F119" s="94">
        <f>IF(Year3_East_Sussex Year3_Care_Applications_Children="","",Year3_East_Sussex Year3_Care_Applications_Children)</f>
        <v>139</v>
      </c>
      <c r="G119" s="94">
        <f>IF(Year4_East_Sussex Year4_Care_Applications_Children="","",Year4_East_Sussex Year4_Care_Applications_Children)</f>
        <v>124</v>
      </c>
      <c r="H119" s="848">
        <f>IF(Year5_East_Sussex Year5_Care_Applications_Children="","",Year5_East_Sussex Year5_Care_Applications_Children)</f>
        <v>107</v>
      </c>
      <c r="I119" s="1026">
        <f t="shared" si="32"/>
        <v>-4.6539782550829578E-2</v>
      </c>
      <c r="J119" s="96"/>
      <c r="K119" s="97">
        <f>IF(ISNUMBER(D119),D119/Population!D13*10000,NA())</f>
        <v>12.653446647780925</v>
      </c>
      <c r="L119" s="97">
        <f>IF(ISNUMBER(E119),E119/Population!E13*10000,NA())</f>
        <v>14.919735599622285</v>
      </c>
      <c r="M119" s="97">
        <f>IF(ISNUMBER(F119),F119/Population!F13*10000,NA())</f>
        <v>13.113207547169811</v>
      </c>
      <c r="N119" s="97">
        <f>IF(ISNUMBER(G119),G119/Population!G13*10000,NA())</f>
        <v>11.654135338345865</v>
      </c>
      <c r="O119" s="98">
        <f>IF(ISNUMBER(H119),H119/Population!H13*10000,NA())</f>
        <v>10.06585136406397</v>
      </c>
      <c r="P119" s="99">
        <f t="shared" si="33"/>
        <v>10.06585136406397</v>
      </c>
      <c r="Q119" s="822">
        <f t="shared" si="34"/>
        <v>4</v>
      </c>
      <c r="R119" s="70"/>
      <c r="S119" s="340">
        <f t="shared" si="35"/>
        <v>16.100000000000001</v>
      </c>
      <c r="T119" s="341">
        <f t="shared" si="26"/>
        <v>18.247708040026051</v>
      </c>
      <c r="U119" s="342">
        <f t="shared" si="36"/>
        <v>-8.1818566759620808</v>
      </c>
      <c r="V119" s="122"/>
      <c r="W119" s="139"/>
      <c r="X119" s="152"/>
      <c r="Y119" s="72" t="str">
        <f t="shared" si="37"/>
        <v>East Sussex</v>
      </c>
      <c r="Z119" s="44">
        <f>IF(H119&gt;0,IDACI!D12,0)</f>
        <v>93130</v>
      </c>
      <c r="AA119" s="44">
        <f>IF(H119&gt;0,IDACI!E12,0)</f>
        <v>14993.93</v>
      </c>
      <c r="AB119" s="205">
        <f>IF(ISNUMBER(D119),Population!D13,"")</f>
        <v>105900</v>
      </c>
      <c r="AC119" s="205">
        <f>IF(ISNUMBER(E119),Population!E13,"")</f>
        <v>105900</v>
      </c>
      <c r="AD119" s="205">
        <f>IF(ISNUMBER(F119),Population!F13,"")</f>
        <v>106000</v>
      </c>
      <c r="AE119" s="205">
        <f>IF(ISNUMBER(G119),Population!G13,"")</f>
        <v>106400</v>
      </c>
      <c r="AF119" s="205">
        <f>IF(ISNUMBER(H119),Population!H13,"")</f>
        <v>106300</v>
      </c>
      <c r="AG119" s="93" t="s">
        <v>4</v>
      </c>
      <c r="AH119" s="231">
        <f t="shared" si="38"/>
        <v>10.06585136406397</v>
      </c>
      <c r="AI119" s="206">
        <f t="shared" si="39"/>
        <v>3</v>
      </c>
      <c r="AJ119" s="202"/>
      <c r="AK119" s="160"/>
      <c r="AL119" s="853">
        <f t="shared" si="40"/>
        <v>0.17910447761194029</v>
      </c>
      <c r="AM119" s="853">
        <f t="shared" si="41"/>
        <v>-0.12025316455696203</v>
      </c>
      <c r="AN119" s="853">
        <f t="shared" si="42"/>
        <v>-0.1079136690647482</v>
      </c>
      <c r="AO119" s="853">
        <f t="shared" si="43"/>
        <v>-0.13709677419354838</v>
      </c>
      <c r="AP119" s="853">
        <f t="shared" si="44"/>
        <v>-4.6539782550829578E-2</v>
      </c>
      <c r="AR119" s="936">
        <f t="shared" si="45"/>
        <v>14.919735599622285</v>
      </c>
      <c r="AS119" s="936">
        <f t="shared" si="27"/>
        <v>13.113207547169811</v>
      </c>
      <c r="AT119" s="936">
        <f t="shared" si="28"/>
        <v>11.654135338345865</v>
      </c>
      <c r="AU119" s="936">
        <f t="shared" si="29"/>
        <v>10.06585136406397</v>
      </c>
      <c r="AV119" s="936">
        <f t="shared" si="30"/>
        <v>49.752929849201934</v>
      </c>
      <c r="AW119" s="575">
        <f t="shared" si="31"/>
        <v>0</v>
      </c>
      <c r="AX119" s="936">
        <f t="shared" si="46"/>
        <v>49.752929849201934</v>
      </c>
    </row>
    <row r="120" spans="1:50" s="87" customFormat="1" ht="13.5" customHeight="1" x14ac:dyDescent="0.2">
      <c r="A120" s="488">
        <f>VLOOKUP(B120,Sheet1!$AQ$4:$AR$25,2,FALSE)</f>
        <v>0</v>
      </c>
      <c r="B120" s="93" t="str">
        <f>Sheet1!$K$8</f>
        <v>Hampshire</v>
      </c>
      <c r="C120" s="85"/>
      <c r="D120" s="94">
        <f>IF(Year1_Hampshire Year1_Care_Applications_Children="","",Year1_Hampshire Year1_Care_Applications_Children)</f>
        <v>331</v>
      </c>
      <c r="E120" s="94">
        <f>IF(Year2_Hampshire Year2_Care_Applications_Children="","",Year2_Hampshire Year2_Care_Applications_Children)</f>
        <v>399</v>
      </c>
      <c r="F120" s="101">
        <f>IF(Year3_Hampshire Year3_Care_Applications_Children="","",Year3_Hampshire Year3_Care_Applications_Children)</f>
        <v>450</v>
      </c>
      <c r="G120" s="101">
        <f>IF(Year4_Hampshire Year4_Care_Applications_Children="","",Year4_Hampshire Year4_Care_Applications_Children)</f>
        <v>439</v>
      </c>
      <c r="H120" s="848">
        <f>IF(Year5_Hampshire Year5_Care_Applications_Children="","",Year5_Hampshire Year5_Care_Applications_Children)</f>
        <v>328</v>
      </c>
      <c r="I120" s="1026">
        <f t="shared" si="32"/>
        <v>1.3991447620742503E-2</v>
      </c>
      <c r="J120" s="96"/>
      <c r="K120" s="97">
        <f>IF(ISNUMBER(D120),D120/Population!D14*10000,NA())</f>
        <v>11.741752394466122</v>
      </c>
      <c r="L120" s="97">
        <f>IF(ISNUMBER(E120),E120/Population!E14*10000,NA())</f>
        <v>14.108910891089108</v>
      </c>
      <c r="M120" s="97">
        <f>IF(ISNUMBER(F120),F120/Population!F14*10000,NA())</f>
        <v>15.884221673138017</v>
      </c>
      <c r="N120" s="97">
        <f>IF(ISNUMBER(G120),G120/Population!G14*10000,NA())</f>
        <v>15.457746478873238</v>
      </c>
      <c r="O120" s="98">
        <f>IF(ISNUMBER(H120),H120/Population!H14*10000,NA())</f>
        <v>11.537108688005627</v>
      </c>
      <c r="P120" s="99">
        <f t="shared" si="33"/>
        <v>11.537108688005627</v>
      </c>
      <c r="Q120" s="822">
        <f t="shared" si="34"/>
        <v>6</v>
      </c>
      <c r="R120" s="70"/>
      <c r="S120" s="340">
        <f t="shared" si="35"/>
        <v>10.100000000000001</v>
      </c>
      <c r="T120" s="341">
        <f t="shared" si="26"/>
        <v>11.320164717362847</v>
      </c>
      <c r="U120" s="342">
        <f t="shared" si="36"/>
        <v>0.21694397064278093</v>
      </c>
      <c r="V120" s="122"/>
      <c r="W120" s="139"/>
      <c r="X120" s="152"/>
      <c r="Y120" s="72" t="str">
        <f t="shared" si="37"/>
        <v>Hampshire</v>
      </c>
      <c r="Z120" s="44">
        <f>IF(H120&gt;0,IDACI!D13,0)</f>
        <v>249483</v>
      </c>
      <c r="AA120" s="44">
        <f>IF(H120&gt;0,IDACI!E13,0)</f>
        <v>25197.783000000007</v>
      </c>
      <c r="AB120" s="205">
        <f>IF(ISNUMBER(D120),Population!D14,"")</f>
        <v>281900</v>
      </c>
      <c r="AC120" s="205">
        <f>IF(ISNUMBER(E120),Population!E14,"")</f>
        <v>282800</v>
      </c>
      <c r="AD120" s="205">
        <f>IF(ISNUMBER(F120),Population!F14,"")</f>
        <v>283300</v>
      </c>
      <c r="AE120" s="205">
        <f>IF(ISNUMBER(G120),Population!G14,"")</f>
        <v>284000</v>
      </c>
      <c r="AF120" s="205">
        <f>IF(ISNUMBER(H120),Population!H14,"")</f>
        <v>284300</v>
      </c>
      <c r="AG120" s="93" t="s">
        <v>6</v>
      </c>
      <c r="AH120" s="231">
        <f t="shared" si="38"/>
        <v>11.537108688005627</v>
      </c>
      <c r="AI120" s="206">
        <f t="shared" si="39"/>
        <v>7</v>
      </c>
      <c r="AJ120" s="202"/>
      <c r="AK120" s="160"/>
      <c r="AL120" s="853">
        <f t="shared" si="40"/>
        <v>0.20543806646525681</v>
      </c>
      <c r="AM120" s="853">
        <f t="shared" si="41"/>
        <v>0.12781954887218044</v>
      </c>
      <c r="AN120" s="853">
        <f t="shared" si="42"/>
        <v>-2.4444444444444446E-2</v>
      </c>
      <c r="AO120" s="853">
        <f t="shared" si="43"/>
        <v>-0.2528473804100228</v>
      </c>
      <c r="AP120" s="853">
        <f t="shared" si="44"/>
        <v>1.3991447620742503E-2</v>
      </c>
      <c r="AR120" s="936">
        <f t="shared" si="45"/>
        <v>14.108910891089108</v>
      </c>
      <c r="AS120" s="936">
        <f t="shared" si="27"/>
        <v>15.884221673138017</v>
      </c>
      <c r="AT120" s="936">
        <f t="shared" si="28"/>
        <v>15.457746478873238</v>
      </c>
      <c r="AU120" s="936">
        <f t="shared" si="29"/>
        <v>11.537108688005627</v>
      </c>
      <c r="AV120" s="936">
        <f t="shared" si="30"/>
        <v>56.987987731105989</v>
      </c>
      <c r="AW120" s="575">
        <f t="shared" si="31"/>
        <v>0</v>
      </c>
      <c r="AX120" s="936">
        <f t="shared" si="46"/>
        <v>56.987987731105989</v>
      </c>
    </row>
    <row r="121" spans="1:50" s="87" customFormat="1" ht="13.5" customHeight="1" x14ac:dyDescent="0.2">
      <c r="A121" s="488">
        <f>VLOOKUP(B121,Sheet1!$AQ$4:$AR$25,2,FALSE)</f>
        <v>0</v>
      </c>
      <c r="B121" s="93" t="str">
        <f>Sheet1!$K$9</f>
        <v>Isle of Wight</v>
      </c>
      <c r="C121" s="85"/>
      <c r="D121" s="94">
        <f>IF(Year1_Isle_of_Wight Year1_Care_Applications_Children="","",Year1_Isle_of_Wight Year1_Care_Applications_Children)</f>
        <v>49</v>
      </c>
      <c r="E121" s="94">
        <f>IF(Year2_Isle_of_Wight Year2_Care_Applications_Children="","",Year2_Isle_of_Wight Year2_Care_Applications_Children)</f>
        <v>57</v>
      </c>
      <c r="F121" s="94">
        <f>IF(Year3_Isle_of_Wight Year3_Care_Applications_Children="","",Year3_Isle_of_Wight Year3_Care_Applications_Children)</f>
        <v>79</v>
      </c>
      <c r="G121" s="94">
        <f>IF(Year4_Isle_of_Wight Year4_Care_Applications_Children="","",Year4_Isle_of_Wight Year4_Care_Applications_Children)</f>
        <v>62</v>
      </c>
      <c r="H121" s="848">
        <f>IF(Year5_Isle_of_Wight Year5_Care_Applications_Children="","",Year5_Isle_of_Wight Year5_Care_Applications_Children)</f>
        <v>45</v>
      </c>
      <c r="I121" s="1026">
        <f t="shared" si="32"/>
        <v>1.4961699149583091E-2</v>
      </c>
      <c r="J121" s="96"/>
      <c r="K121" s="97">
        <f>IF(ISNUMBER(D121),D121/Population!D15*10000,NA())</f>
        <v>19.367588932806324</v>
      </c>
      <c r="L121" s="97">
        <f>IF(ISNUMBER(E121),E121/Population!E15*10000,NA())</f>
        <v>22.619047619047617</v>
      </c>
      <c r="M121" s="97">
        <f>IF(ISNUMBER(F121),F121/Population!F15*10000,NA())</f>
        <v>31.474103585657371</v>
      </c>
      <c r="N121" s="97">
        <f>IF(ISNUMBER(G121),G121/Population!G15*10000,NA())</f>
        <v>24.899598393574298</v>
      </c>
      <c r="O121" s="98">
        <f>IF(ISNUMBER(H121),H121/Population!H15*10000,NA())</f>
        <v>18.218623481781375</v>
      </c>
      <c r="P121" s="99">
        <f t="shared" si="33"/>
        <v>18.218623481781375</v>
      </c>
      <c r="Q121" s="822">
        <f t="shared" si="34"/>
        <v>12</v>
      </c>
      <c r="R121" s="70"/>
      <c r="S121" s="340">
        <f t="shared" si="35"/>
        <v>18</v>
      </c>
      <c r="T121" s="341">
        <f t="shared" si="26"/>
        <v>20.441430092202729</v>
      </c>
      <c r="U121" s="342">
        <f t="shared" si="36"/>
        <v>-2.2228066104213546</v>
      </c>
      <c r="V121" s="122"/>
      <c r="W121" s="139"/>
      <c r="X121" s="152"/>
      <c r="Y121" s="72" t="str">
        <f t="shared" si="37"/>
        <v>Isle of Wight</v>
      </c>
      <c r="Z121" s="44">
        <f>IF(H121&gt;0,IDACI!D14,0)</f>
        <v>22123</v>
      </c>
      <c r="AA121" s="44">
        <f>IF(H121&gt;0,IDACI!E14,0)</f>
        <v>3982.14</v>
      </c>
      <c r="AB121" s="205">
        <f>IF(ISNUMBER(D121),Population!D15,"")</f>
        <v>25300</v>
      </c>
      <c r="AC121" s="205">
        <f>IF(ISNUMBER(E121),Population!E15,"")</f>
        <v>25200</v>
      </c>
      <c r="AD121" s="205">
        <f>IF(ISNUMBER(F121),Population!F15,"")</f>
        <v>25100</v>
      </c>
      <c r="AE121" s="205">
        <f>IF(ISNUMBER(G121),Population!G15,"")</f>
        <v>24900</v>
      </c>
      <c r="AF121" s="205">
        <f>IF(ISNUMBER(H121),Population!H15,"")</f>
        <v>24700</v>
      </c>
      <c r="AG121" s="93" t="s">
        <v>1</v>
      </c>
      <c r="AH121" s="231">
        <f t="shared" si="38"/>
        <v>18.218623481781375</v>
      </c>
      <c r="AI121" s="206">
        <f t="shared" si="39"/>
        <v>12</v>
      </c>
      <c r="AJ121" s="202"/>
      <c r="AK121" s="160"/>
      <c r="AL121" s="853">
        <f t="shared" si="40"/>
        <v>0.16326530612244897</v>
      </c>
      <c r="AM121" s="853">
        <f t="shared" si="41"/>
        <v>0.38596491228070173</v>
      </c>
      <c r="AN121" s="853">
        <f t="shared" si="42"/>
        <v>-0.21518987341772153</v>
      </c>
      <c r="AO121" s="853">
        <f t="shared" si="43"/>
        <v>-0.27419354838709675</v>
      </c>
      <c r="AP121" s="853">
        <f t="shared" si="44"/>
        <v>1.4961699149583091E-2</v>
      </c>
      <c r="AR121" s="936">
        <f t="shared" si="45"/>
        <v>22.619047619047617</v>
      </c>
      <c r="AS121" s="936">
        <f t="shared" si="27"/>
        <v>31.474103585657371</v>
      </c>
      <c r="AT121" s="936">
        <f t="shared" si="28"/>
        <v>24.899598393574298</v>
      </c>
      <c r="AU121" s="936">
        <f t="shared" si="29"/>
        <v>18.218623481781375</v>
      </c>
      <c r="AV121" s="936">
        <f t="shared" si="30"/>
        <v>97.211373080060667</v>
      </c>
      <c r="AW121" s="575">
        <f t="shared" si="31"/>
        <v>0</v>
      </c>
      <c r="AX121" s="936">
        <f t="shared" si="46"/>
        <v>97.211373080060667</v>
      </c>
    </row>
    <row r="122" spans="1:50" s="87" customFormat="1" ht="13.5" customHeight="1" x14ac:dyDescent="0.2">
      <c r="A122" s="488">
        <f>VLOOKUP(B122,Sheet1!$AQ$4:$AR$25,2,FALSE)</f>
        <v>0</v>
      </c>
      <c r="B122" s="93" t="str">
        <f>Sheet1!$K$10</f>
        <v>Kent</v>
      </c>
      <c r="C122" s="85"/>
      <c r="D122" s="94">
        <f>IF(Year1_Kent Year1_Care_Applications_Children="","",Year1_Kent Year1_Care_Applications_Children)</f>
        <v>500</v>
      </c>
      <c r="E122" s="94">
        <f>IF(Year2_Kent Year2_Care_Applications_Children="","",Year2_Kent Year2_Care_Applications_Children)</f>
        <v>522</v>
      </c>
      <c r="F122" s="94">
        <f>IF(Year3_Kent Year3_Care_Applications_Children="","",Year3_Kent Year3_Care_Applications_Children)</f>
        <v>488</v>
      </c>
      <c r="G122" s="94">
        <f>IF(Year4_Kent Year4_Care_Applications_Children="","",Year4_Kent Year4_Care_Applications_Children)</f>
        <v>378</v>
      </c>
      <c r="H122" s="848">
        <f>IF(Year5_Kent Year5_Care_Applications_Children="","",Year5_Kent Year5_Care_Applications_Children)</f>
        <v>456</v>
      </c>
      <c r="I122" s="1026">
        <f t="shared" si="32"/>
        <v>-1.0048682333306413E-2</v>
      </c>
      <c r="J122" s="96"/>
      <c r="K122" s="97">
        <f>IF(ISNUMBER(D122),D122/Population!D16*10000,NA())</f>
        <v>15.13317191283293</v>
      </c>
      <c r="L122" s="97">
        <f>IF(ISNUMBER(E122),E122/Population!E16*10000,NA())</f>
        <v>15.675675675675675</v>
      </c>
      <c r="M122" s="97">
        <f>IF(ISNUMBER(F122),F122/Population!F16*10000,NA())</f>
        <v>14.519488247545372</v>
      </c>
      <c r="N122" s="97">
        <f>IF(ISNUMBER(G122),G122/Population!G16*10000,NA())</f>
        <v>11.114378124081153</v>
      </c>
      <c r="O122" s="98">
        <f>IF(ISNUMBER(H122),H122/Population!H16*10000,NA())</f>
        <v>13.263525305410122</v>
      </c>
      <c r="P122" s="99">
        <f t="shared" si="33"/>
        <v>13.263525305410122</v>
      </c>
      <c r="Q122" s="822">
        <f t="shared" si="34"/>
        <v>7</v>
      </c>
      <c r="R122" s="70"/>
      <c r="S122" s="340">
        <f t="shared" si="35"/>
        <v>15.8</v>
      </c>
      <c r="T122" s="341">
        <f t="shared" si="26"/>
        <v>17.901330873892888</v>
      </c>
      <c r="U122" s="342">
        <f t="shared" si="36"/>
        <v>-4.6378055684827668</v>
      </c>
      <c r="V122" s="122"/>
      <c r="W122" s="139"/>
      <c r="X122" s="152"/>
      <c r="Y122" s="72" t="str">
        <f t="shared" si="37"/>
        <v>Kent</v>
      </c>
      <c r="Z122" s="44">
        <f>IF(H122&gt;0,IDACI!D15,0)</f>
        <v>291866</v>
      </c>
      <c r="AA122" s="44">
        <f>IF(H122&gt;0,IDACI!E15,0)</f>
        <v>46114.828000000001</v>
      </c>
      <c r="AB122" s="205">
        <f>IF(ISNUMBER(D122),Population!D16,"")</f>
        <v>330400</v>
      </c>
      <c r="AC122" s="205">
        <f>IF(ISNUMBER(E122),Population!E16,"")</f>
        <v>333000</v>
      </c>
      <c r="AD122" s="205">
        <f>IF(ISNUMBER(F122),Population!F16,"")</f>
        <v>336100</v>
      </c>
      <c r="AE122" s="205">
        <f>IF(ISNUMBER(G122),Population!G16,"")</f>
        <v>340100</v>
      </c>
      <c r="AF122" s="205">
        <f>IF(ISNUMBER(H122),Population!H16,"")</f>
        <v>343800</v>
      </c>
      <c r="AG122" s="93" t="s">
        <v>9</v>
      </c>
      <c r="AH122" s="231">
        <f t="shared" si="38"/>
        <v>13.263525305410122</v>
      </c>
      <c r="AI122" s="206">
        <f t="shared" si="39"/>
        <v>8</v>
      </c>
      <c r="AJ122" s="202"/>
      <c r="AK122" s="160"/>
      <c r="AL122" s="853">
        <f t="shared" si="40"/>
        <v>4.3999999999999997E-2</v>
      </c>
      <c r="AM122" s="853">
        <f t="shared" si="41"/>
        <v>-6.5134099616858232E-2</v>
      </c>
      <c r="AN122" s="853">
        <f t="shared" si="42"/>
        <v>-0.22540983606557377</v>
      </c>
      <c r="AO122" s="853">
        <f t="shared" si="43"/>
        <v>0.20634920634920634</v>
      </c>
      <c r="AP122" s="853">
        <f t="shared" si="44"/>
        <v>-1.0048682333306413E-2</v>
      </c>
      <c r="AR122" s="936">
        <f t="shared" si="45"/>
        <v>15.675675675675675</v>
      </c>
      <c r="AS122" s="936">
        <f t="shared" si="27"/>
        <v>14.519488247545372</v>
      </c>
      <c r="AT122" s="936">
        <f t="shared" si="28"/>
        <v>11.114378124081153</v>
      </c>
      <c r="AU122" s="936">
        <f t="shared" si="29"/>
        <v>13.263525305410122</v>
      </c>
      <c r="AV122" s="936">
        <f t="shared" si="30"/>
        <v>54.573067352712322</v>
      </c>
      <c r="AW122" s="575">
        <f t="shared" si="31"/>
        <v>0</v>
      </c>
      <c r="AX122" s="936">
        <f t="shared" si="46"/>
        <v>54.573067352712322</v>
      </c>
    </row>
    <row r="123" spans="1:50" s="87" customFormat="1" ht="13.5" customHeight="1" x14ac:dyDescent="0.2">
      <c r="A123" s="488">
        <f>VLOOKUP(B123,Sheet1!$AQ$4:$AR$25,2,FALSE)</f>
        <v>0</v>
      </c>
      <c r="B123" s="93" t="str">
        <f>Sheet1!$K$11</f>
        <v>Medway</v>
      </c>
      <c r="C123" s="85"/>
      <c r="D123" s="94">
        <f>IF(Year1_Medway Year1_Care_Applications_Children="","",Year1_Medway Year1_Care_Applications_Children)</f>
        <v>250</v>
      </c>
      <c r="E123" s="301">
        <f>IF(Year2_Medway Year2_Care_Applications_Children="","",Year2_Medway Year2_Care_Applications_Children)</f>
        <v>93</v>
      </c>
      <c r="F123" s="301">
        <f>IF(Year3_Medway Year3_Care_Applications_Children="","",Year3_Medway Year3_Care_Applications_Children)</f>
        <v>142</v>
      </c>
      <c r="G123" s="301">
        <f>IF(Year4_Medway Year4_Care_Applications_Children="","",Year4_Medway Year4_Care_Applications_Children)</f>
        <v>118</v>
      </c>
      <c r="H123" s="848">
        <f>IF(Year5_Medway Year5_Care_Applications_Children="","",Year5_Medway Year5_Care_Applications_Children)</f>
        <v>155</v>
      </c>
      <c r="I123" s="1026">
        <f t="shared" si="32"/>
        <v>1.0856739489240888E-2</v>
      </c>
      <c r="J123" s="96"/>
      <c r="K123" s="97">
        <f>IF(ISNUMBER(D123),D123/Population!D17*10000,NA())</f>
        <v>39.556962025316459</v>
      </c>
      <c r="L123" s="97">
        <f>IF(ISNUMBER(E123),E123/Population!E17*10000,NA())</f>
        <v>14.599686028257457</v>
      </c>
      <c r="M123" s="97">
        <f>IF(ISNUMBER(F123),F123/Population!F17*10000,NA())</f>
        <v>22.222222222222221</v>
      </c>
      <c r="N123" s="97">
        <f>IF(ISNUMBER(G123),G123/Population!G17*10000,NA())</f>
        <v>18.322981366459629</v>
      </c>
      <c r="O123" s="98">
        <f>IF(ISNUMBER(H123),H123/Population!H17*10000,NA())</f>
        <v>23.846153846153847</v>
      </c>
      <c r="P123" s="99">
        <f t="shared" si="33"/>
        <v>23.846153846153847</v>
      </c>
      <c r="Q123" s="822">
        <f t="shared" si="34"/>
        <v>17</v>
      </c>
      <c r="R123" s="70"/>
      <c r="S123" s="340">
        <f t="shared" si="35"/>
        <v>18.899999999999999</v>
      </c>
      <c r="T123" s="341">
        <f t="shared" si="26"/>
        <v>21.480561590602207</v>
      </c>
      <c r="U123" s="342">
        <f t="shared" si="36"/>
        <v>2.3655922555516398</v>
      </c>
      <c r="V123" s="122"/>
      <c r="W123" s="139"/>
      <c r="X123" s="152"/>
      <c r="Y123" s="72" t="str">
        <f t="shared" si="37"/>
        <v>Medway</v>
      </c>
      <c r="Z123" s="44">
        <f>IF(H123&gt;0,IDACI!D16,0)</f>
        <v>55993</v>
      </c>
      <c r="AA123" s="44">
        <f>IF(H123&gt;0,IDACI!E16,0)</f>
        <v>10582.676999999998</v>
      </c>
      <c r="AB123" s="205">
        <f>IF(ISNUMBER(D123),Population!D17,"")</f>
        <v>63200</v>
      </c>
      <c r="AC123" s="205">
        <f>IF(ISNUMBER(E123),Population!E17,"")</f>
        <v>63700</v>
      </c>
      <c r="AD123" s="205">
        <f>IF(ISNUMBER(F123),Population!F17,"")</f>
        <v>63900</v>
      </c>
      <c r="AE123" s="205">
        <f>IF(ISNUMBER(G123),Population!G17,"")</f>
        <v>64400</v>
      </c>
      <c r="AF123" s="205">
        <f>IF(ISNUMBER(H123),Population!H17,"")</f>
        <v>65000</v>
      </c>
      <c r="AG123" s="93" t="s">
        <v>2</v>
      </c>
      <c r="AH123" s="231">
        <f t="shared" si="38"/>
        <v>23.846153846153847</v>
      </c>
      <c r="AI123" s="206">
        <f t="shared" si="39"/>
        <v>17</v>
      </c>
      <c r="AJ123" s="202"/>
      <c r="AK123" s="160"/>
      <c r="AL123" s="853">
        <f t="shared" si="40"/>
        <v>-0.628</v>
      </c>
      <c r="AM123" s="853">
        <f t="shared" si="41"/>
        <v>0.5268817204301075</v>
      </c>
      <c r="AN123" s="853">
        <f t="shared" si="42"/>
        <v>-0.16901408450704225</v>
      </c>
      <c r="AO123" s="853">
        <f t="shared" si="43"/>
        <v>0.3135593220338983</v>
      </c>
      <c r="AP123" s="853">
        <f t="shared" si="44"/>
        <v>1.0856739489240888E-2</v>
      </c>
      <c r="AR123" s="936">
        <f t="shared" si="45"/>
        <v>14.599686028257457</v>
      </c>
      <c r="AS123" s="936">
        <f t="shared" si="27"/>
        <v>22.222222222222221</v>
      </c>
      <c r="AT123" s="936">
        <f t="shared" si="28"/>
        <v>18.322981366459629</v>
      </c>
      <c r="AU123" s="936">
        <f t="shared" si="29"/>
        <v>23.846153846153847</v>
      </c>
      <c r="AV123" s="936">
        <f t="shared" si="30"/>
        <v>78.991043463093149</v>
      </c>
      <c r="AW123" s="575">
        <f t="shared" si="31"/>
        <v>0</v>
      </c>
      <c r="AX123" s="936">
        <f t="shared" si="46"/>
        <v>78.991043463093149</v>
      </c>
    </row>
    <row r="124" spans="1:50" s="87" customFormat="1" ht="13.5" customHeight="1" x14ac:dyDescent="0.2">
      <c r="A124" s="488">
        <f>VLOOKUP(B124,Sheet1!$AQ$4:$AR$25,2,FALSE)</f>
        <v>0</v>
      </c>
      <c r="B124" s="93" t="str">
        <f>Sheet1!$K$12</f>
        <v>Milton Keynes</v>
      </c>
      <c r="C124" s="85"/>
      <c r="D124" s="94">
        <f>IF(Year1_Milton_Keynes Year1_Care_Applications_Children="","",Year1_Milton_Keynes Year1_Care_Applications_Children)</f>
        <v>114</v>
      </c>
      <c r="E124" s="94">
        <f>IF(Year2_Milton_Keynes Year2_Care_Applications_Children="","",Year2_Milton_Keynes Year2_Care_Applications_Children)</f>
        <v>159</v>
      </c>
      <c r="F124" s="94">
        <f>IF(Year3_Milton_Keynes Year3_Care_Applications_Children="","",Year3_Milton_Keynes Year3_Care_Applications_Children)</f>
        <v>103</v>
      </c>
      <c r="G124" s="94">
        <f>IF(Year4_Milton_Keynes Year4_Care_Applications_Children="","",Year4_Milton_Keynes Year4_Care_Applications_Children)</f>
        <v>121</v>
      </c>
      <c r="H124" s="848">
        <f>IF(Year5_Milton_Keynes Year5_Care_Applications_Children="","",Year5_Milton_Keynes Year5_Care_Applications_Children)</f>
        <v>105</v>
      </c>
      <c r="I124" s="1026">
        <f t="shared" si="32"/>
        <v>2.1265365209587085E-2</v>
      </c>
      <c r="J124" s="96"/>
      <c r="K124" s="97">
        <f>IF(ISNUMBER(D124),D124/Population!D18*10000,NA())</f>
        <v>17.246596066565811</v>
      </c>
      <c r="L124" s="97">
        <f>IF(ISNUMBER(E124),E124/Population!E18*10000,NA())</f>
        <v>23.69597615499255</v>
      </c>
      <c r="M124" s="97">
        <f>IF(ISNUMBER(F124),F124/Population!F18*10000,NA())</f>
        <v>15.236686390532546</v>
      </c>
      <c r="N124" s="97">
        <f>IF(ISNUMBER(G124),G124/Population!G18*10000,NA())</f>
        <v>17.715959004392388</v>
      </c>
      <c r="O124" s="98">
        <f>IF(ISNUMBER(H124),H124/Population!H18*10000,NA())</f>
        <v>15.261627906976743</v>
      </c>
      <c r="P124" s="99">
        <f t="shared" si="33"/>
        <v>15.261627906976743</v>
      </c>
      <c r="Q124" s="822">
        <f t="shared" si="34"/>
        <v>10</v>
      </c>
      <c r="R124" s="70"/>
      <c r="S124" s="340">
        <f t="shared" si="35"/>
        <v>15</v>
      </c>
      <c r="T124" s="341">
        <f t="shared" si="26"/>
        <v>16.977658430871127</v>
      </c>
      <c r="U124" s="342">
        <f t="shared" si="36"/>
        <v>-1.7160305238943838</v>
      </c>
      <c r="V124" s="122"/>
      <c r="W124" s="139"/>
      <c r="X124" s="152"/>
      <c r="Y124" s="72" t="str">
        <f t="shared" si="37"/>
        <v>Milton Keynes</v>
      </c>
      <c r="Z124" s="44">
        <f>IF(H124&gt;0,IDACI!D17,0)</f>
        <v>59903</v>
      </c>
      <c r="AA124" s="44">
        <f>IF(H124&gt;0,IDACI!E17,0)</f>
        <v>8985.4499999999989</v>
      </c>
      <c r="AB124" s="205">
        <f>IF(ISNUMBER(D124),Population!D18,"")</f>
        <v>66100</v>
      </c>
      <c r="AC124" s="205">
        <f>IF(ISNUMBER(E124),Population!E18,"")</f>
        <v>67100</v>
      </c>
      <c r="AD124" s="205">
        <f>IF(ISNUMBER(F124),Population!F18,"")</f>
        <v>67600</v>
      </c>
      <c r="AE124" s="205">
        <f>IF(ISNUMBER(G124),Population!G18,"")</f>
        <v>68300</v>
      </c>
      <c r="AF124" s="205">
        <f>IF(ISNUMBER(H124),Population!H18,"")</f>
        <v>68800</v>
      </c>
      <c r="AG124" s="93" t="s">
        <v>10</v>
      </c>
      <c r="AH124" s="231">
        <f t="shared" si="38"/>
        <v>15.261627906976743</v>
      </c>
      <c r="AI124" s="206">
        <f t="shared" si="39"/>
        <v>9</v>
      </c>
      <c r="AJ124" s="202"/>
      <c r="AK124" s="160"/>
      <c r="AL124" s="853">
        <f t="shared" si="40"/>
        <v>0.39473684210526316</v>
      </c>
      <c r="AM124" s="853">
        <f t="shared" si="41"/>
        <v>-0.3522012578616352</v>
      </c>
      <c r="AN124" s="853">
        <f t="shared" si="42"/>
        <v>0.17475728155339806</v>
      </c>
      <c r="AO124" s="853">
        <f t="shared" si="43"/>
        <v>-0.13223140495867769</v>
      </c>
      <c r="AP124" s="853">
        <f t="shared" si="44"/>
        <v>2.1265365209587085E-2</v>
      </c>
      <c r="AR124" s="936">
        <f t="shared" si="45"/>
        <v>23.69597615499255</v>
      </c>
      <c r="AS124" s="936">
        <f t="shared" si="27"/>
        <v>15.236686390532546</v>
      </c>
      <c r="AT124" s="936">
        <f t="shared" si="28"/>
        <v>17.715959004392388</v>
      </c>
      <c r="AU124" s="936">
        <f t="shared" si="29"/>
        <v>15.261627906976743</v>
      </c>
      <c r="AV124" s="936">
        <f t="shared" si="30"/>
        <v>71.910249456894235</v>
      </c>
      <c r="AW124" s="575">
        <f t="shared" si="31"/>
        <v>0</v>
      </c>
      <c r="AX124" s="936">
        <f t="shared" si="46"/>
        <v>71.910249456894235</v>
      </c>
    </row>
    <row r="125" spans="1:50" s="87" customFormat="1" ht="13.5" customHeight="1" x14ac:dyDescent="0.2">
      <c r="A125" s="488">
        <f>VLOOKUP(B125,Sheet1!$AQ$4:$AR$25,2,FALSE)</f>
        <v>0</v>
      </c>
      <c r="B125" s="93" t="str">
        <f>Sheet1!$K$13</f>
        <v>Oxfordshire</v>
      </c>
      <c r="C125" s="85"/>
      <c r="D125" s="94">
        <f>IF(Year1_Oxfordshire Year1_Care_Applications_Children="","",Year1_Oxfordshire Year1_Care_Applications_Children)</f>
        <v>273</v>
      </c>
      <c r="E125" s="94">
        <f>IF(Year2_Oxfordshire Year2_Care_Applications_Children="","",Year2_Oxfordshire Year2_Care_Applications_Children)</f>
        <v>258</v>
      </c>
      <c r="F125" s="94">
        <f>IF(Year3_Oxfordshire Year3_Care_Applications_Children="","",Year3_Oxfordshire Year3_Care_Applications_Children)</f>
        <v>235</v>
      </c>
      <c r="G125" s="94">
        <f>IF(Year4_Oxfordshire Year4_Care_Applications_Children="","",Year4_Oxfordshire Year4_Care_Applications_Children)</f>
        <v>267</v>
      </c>
      <c r="H125" s="848">
        <f>IF(Year5_Oxfordshire Year5_Care_Applications_Children="","",Year5_Oxfordshire Year5_Care_Applications_Children)</f>
        <v>250</v>
      </c>
      <c r="I125" s="1026">
        <f t="shared" si="32"/>
        <v>-1.7898135246455418E-2</v>
      </c>
      <c r="J125" s="96"/>
      <c r="K125" s="97">
        <f>IF(ISNUMBER(D125),D125/Population!D19*10000,NA())</f>
        <v>19.2524682651622</v>
      </c>
      <c r="L125" s="97">
        <f>IF(ISNUMBER(E125),E125/Population!E19*10000,NA())</f>
        <v>18.054583624912524</v>
      </c>
      <c r="M125" s="97">
        <f>IF(ISNUMBER(F125),F125/Population!F19*10000,NA())</f>
        <v>16.387726638772666</v>
      </c>
      <c r="N125" s="97">
        <f>IF(ISNUMBER(G125),G125/Population!G19*10000,NA())</f>
        <v>18.439226519337016</v>
      </c>
      <c r="O125" s="98">
        <f>IF(ISNUMBER(H125),H125/Population!H19*10000,NA())</f>
        <v>17.111567419575632</v>
      </c>
      <c r="P125" s="99">
        <f t="shared" si="33"/>
        <v>17.111567419575632</v>
      </c>
      <c r="Q125" s="822">
        <f t="shared" si="34"/>
        <v>9</v>
      </c>
      <c r="R125" s="70"/>
      <c r="S125" s="340">
        <f t="shared" si="35"/>
        <v>10.100000000000001</v>
      </c>
      <c r="T125" s="341">
        <f t="shared" si="26"/>
        <v>11.320164717362847</v>
      </c>
      <c r="U125" s="342">
        <f t="shared" si="36"/>
        <v>5.7914027022127854</v>
      </c>
      <c r="V125" s="122"/>
      <c r="W125" s="139"/>
      <c r="X125" s="152"/>
      <c r="Y125" s="72" t="str">
        <f t="shared" si="37"/>
        <v>Oxfordshire</v>
      </c>
      <c r="Z125" s="44">
        <f>IF(H125&gt;0,IDACI!D18,0)</f>
        <v>126119</v>
      </c>
      <c r="AA125" s="44">
        <f>IF(H125&gt;0,IDACI!E18,0)</f>
        <v>12738.019000000002</v>
      </c>
      <c r="AB125" s="205">
        <f>IF(ISNUMBER(D125),Population!D19,"")</f>
        <v>141800</v>
      </c>
      <c r="AC125" s="205">
        <f>IF(ISNUMBER(E125),Population!E19,"")</f>
        <v>142900</v>
      </c>
      <c r="AD125" s="205">
        <f>IF(ISNUMBER(F125),Population!F19,"")</f>
        <v>143400</v>
      </c>
      <c r="AE125" s="205">
        <f>IF(ISNUMBER(G125),Population!G19,"")</f>
        <v>144800</v>
      </c>
      <c r="AF125" s="205">
        <f>IF(ISNUMBER(H125),Population!H19,"")</f>
        <v>146100</v>
      </c>
      <c r="AG125" s="93" t="s">
        <v>11</v>
      </c>
      <c r="AH125" s="231">
        <f t="shared" si="38"/>
        <v>17.111567419575632</v>
      </c>
      <c r="AI125" s="206">
        <f t="shared" si="39"/>
        <v>11</v>
      </c>
      <c r="AJ125" s="202"/>
      <c r="AK125" s="160"/>
      <c r="AL125" s="853">
        <f t="shared" si="40"/>
        <v>-5.4945054945054944E-2</v>
      </c>
      <c r="AM125" s="853">
        <f t="shared" si="41"/>
        <v>-8.9147286821705432E-2</v>
      </c>
      <c r="AN125" s="853">
        <f t="shared" si="42"/>
        <v>0.13617021276595745</v>
      </c>
      <c r="AO125" s="853">
        <f t="shared" si="43"/>
        <v>-6.3670411985018729E-2</v>
      </c>
      <c r="AP125" s="853">
        <f t="shared" si="44"/>
        <v>-1.7898135246455418E-2</v>
      </c>
      <c r="AR125" s="936">
        <f t="shared" si="45"/>
        <v>18.054583624912524</v>
      </c>
      <c r="AS125" s="936">
        <f t="shared" si="27"/>
        <v>16.387726638772666</v>
      </c>
      <c r="AT125" s="936">
        <f t="shared" si="28"/>
        <v>18.439226519337016</v>
      </c>
      <c r="AU125" s="936">
        <f t="shared" si="29"/>
        <v>17.111567419575632</v>
      </c>
      <c r="AV125" s="936">
        <f t="shared" si="30"/>
        <v>69.993104202597834</v>
      </c>
      <c r="AW125" s="575">
        <f t="shared" si="31"/>
        <v>0</v>
      </c>
      <c r="AX125" s="936">
        <f t="shared" si="46"/>
        <v>69.993104202597834</v>
      </c>
    </row>
    <row r="126" spans="1:50" s="87" customFormat="1" ht="13.5" customHeight="1" x14ac:dyDescent="0.2">
      <c r="A126" s="488">
        <f>VLOOKUP(B126,Sheet1!$AQ$4:$AR$25,2,FALSE)</f>
        <v>0</v>
      </c>
      <c r="B126" s="93" t="str">
        <f>Sheet1!$K$14</f>
        <v>Portsmouth</v>
      </c>
      <c r="C126" s="85"/>
      <c r="D126" s="94">
        <f>IF(Year1_Portsmouth Year1_Care_Applications_Children="","",Year1_Portsmouth Year1_Care_Applications_Children)</f>
        <v>64</v>
      </c>
      <c r="E126" s="94">
        <f>IF(Year2_Portsmouth Year2_Care_Applications_Children="","",Year2_Portsmouth Year2_Care_Applications_Children)</f>
        <v>82</v>
      </c>
      <c r="F126" s="94">
        <f>IF(Year3_Portsmouth Year3_Care_Applications_Children="","",Year3_Portsmouth Year3_Care_Applications_Children)</f>
        <v>118</v>
      </c>
      <c r="G126" s="94">
        <f>IF(Year4_Portsmouth Year4_Care_Applications_Children="","",Year4_Portsmouth Year4_Care_Applications_Children)</f>
        <v>108</v>
      </c>
      <c r="H126" s="848">
        <f>IF(Year5_Portsmouth Year5_Care_Applications_Children="","",Year5_Portsmouth Year5_Care_Applications_Children)</f>
        <v>82</v>
      </c>
      <c r="I126" s="1026">
        <f t="shared" si="32"/>
        <v>9.8696971697824321E-2</v>
      </c>
      <c r="J126" s="96"/>
      <c r="K126" s="97">
        <f>IF(ISNUMBER(D126),D126/Population!D20*10000,NA())</f>
        <v>14.611872146118722</v>
      </c>
      <c r="L126" s="97">
        <f>IF(ISNUMBER(E126),E126/Population!E20*10000,NA())</f>
        <v>18.636363636363637</v>
      </c>
      <c r="M126" s="97">
        <f>IF(ISNUMBER(F126),F126/Population!F20*10000,NA())</f>
        <v>26.696832579185518</v>
      </c>
      <c r="N126" s="97">
        <f>IF(ISNUMBER(G126),G126/Population!G20*10000,NA())</f>
        <v>24.545454545454543</v>
      </c>
      <c r="O126" s="98">
        <f>IF(ISNUMBER(H126),H126/Population!H20*10000,NA())</f>
        <v>18.721461187214611</v>
      </c>
      <c r="P126" s="99">
        <f t="shared" si="33"/>
        <v>18.721461187214611</v>
      </c>
      <c r="Q126" s="822">
        <f t="shared" si="34"/>
        <v>16</v>
      </c>
      <c r="R126" s="70"/>
      <c r="S126" s="340">
        <f t="shared" si="35"/>
        <v>20.200000000000003</v>
      </c>
      <c r="T126" s="341">
        <f t="shared" si="26"/>
        <v>22.981529310512574</v>
      </c>
      <c r="U126" s="342">
        <f t="shared" si="36"/>
        <v>-4.2600681232979625</v>
      </c>
      <c r="V126" s="122"/>
      <c r="W126" s="139"/>
      <c r="X126" s="152"/>
      <c r="Y126" s="72" t="str">
        <f t="shared" si="37"/>
        <v>Portsmouth</v>
      </c>
      <c r="Z126" s="44">
        <f>IF(H126&gt;0,IDACI!D19,0)</f>
        <v>39325</v>
      </c>
      <c r="AA126" s="44">
        <f>IF(H126&gt;0,IDACI!E19,0)</f>
        <v>7943.6500000000015</v>
      </c>
      <c r="AB126" s="205">
        <f>IF(ISNUMBER(D126),Population!D20,"")</f>
        <v>43800</v>
      </c>
      <c r="AC126" s="205">
        <f>IF(ISNUMBER(E126),Population!E20,"")</f>
        <v>44000</v>
      </c>
      <c r="AD126" s="205">
        <f>IF(ISNUMBER(F126),Population!F20,"")</f>
        <v>44200</v>
      </c>
      <c r="AE126" s="205">
        <f>IF(ISNUMBER(G126),Population!G20,"")</f>
        <v>44000</v>
      </c>
      <c r="AF126" s="205">
        <f>IF(ISNUMBER(H126),Population!H20,"")</f>
        <v>43800</v>
      </c>
      <c r="AG126" s="93" t="s">
        <v>12</v>
      </c>
      <c r="AH126" s="231">
        <f t="shared" si="38"/>
        <v>18.721461187214611</v>
      </c>
      <c r="AI126" s="206">
        <f t="shared" si="39"/>
        <v>13</v>
      </c>
      <c r="AJ126" s="202"/>
      <c r="AK126" s="160"/>
      <c r="AL126" s="853">
        <f t="shared" si="40"/>
        <v>0.28125</v>
      </c>
      <c r="AM126" s="853">
        <f t="shared" si="41"/>
        <v>0.43902439024390244</v>
      </c>
      <c r="AN126" s="853">
        <f t="shared" si="42"/>
        <v>-8.4745762711864403E-2</v>
      </c>
      <c r="AO126" s="853">
        <f t="shared" si="43"/>
        <v>-0.24074074074074073</v>
      </c>
      <c r="AP126" s="853">
        <f t="shared" si="44"/>
        <v>9.8696971697824321E-2</v>
      </c>
      <c r="AR126" s="936">
        <f t="shared" si="45"/>
        <v>18.636363636363637</v>
      </c>
      <c r="AS126" s="936">
        <f t="shared" si="27"/>
        <v>26.696832579185518</v>
      </c>
      <c r="AT126" s="936">
        <f t="shared" si="28"/>
        <v>24.545454545454543</v>
      </c>
      <c r="AU126" s="936">
        <f t="shared" si="29"/>
        <v>18.721461187214611</v>
      </c>
      <c r="AV126" s="936">
        <f t="shared" si="30"/>
        <v>88.600111948218313</v>
      </c>
      <c r="AW126" s="575">
        <f t="shared" si="31"/>
        <v>0</v>
      </c>
      <c r="AX126" s="936">
        <f t="shared" si="46"/>
        <v>88.600111948218313</v>
      </c>
    </row>
    <row r="127" spans="1:50" s="87" customFormat="1" ht="13.5" customHeight="1" x14ac:dyDescent="0.2">
      <c r="A127" s="488">
        <f>VLOOKUP(B127,Sheet1!$AQ$4:$AR$25,2,FALSE)</f>
        <v>0</v>
      </c>
      <c r="B127" s="93" t="str">
        <f>Sheet1!$K$15</f>
        <v>Reading</v>
      </c>
      <c r="C127" s="85"/>
      <c r="D127" s="94">
        <f>IF(Year1_Reading Year1_Care_Applications_Children="","",Year1_Reading Year1_Care_Applications_Children)</f>
        <v>112</v>
      </c>
      <c r="E127" s="94">
        <f>IF(Year2_Reading Year2_Care_Applications_Children="","",Year2_Reading Year2_Care_Applications_Children)</f>
        <v>122</v>
      </c>
      <c r="F127" s="94">
        <f>IF(Year3_Reading Year3_Care_Applications_Children="","",Year3_Reading Year3_Care_Applications_Children)</f>
        <v>89</v>
      </c>
      <c r="G127" s="94">
        <f>IF(Year4_Reading Year4_Care_Applications_Children="","",Year4_Reading Year4_Care_Applications_Children)</f>
        <v>116</v>
      </c>
      <c r="H127" s="848">
        <f>IF(Year5_Reading Year5_Care_Applications_Children="","",Year5_Reading Year5_Care_Applications_Children)</f>
        <v>76</v>
      </c>
      <c r="I127" s="1026">
        <f t="shared" si="32"/>
        <v>-5.5665722170754217E-2</v>
      </c>
      <c r="J127" s="96"/>
      <c r="K127" s="97">
        <f>IF(ISNUMBER(D127),D127/Population!D21*10000,NA())</f>
        <v>30.76923076923077</v>
      </c>
      <c r="L127" s="97">
        <f>IF(ISNUMBER(E127),E127/Population!E21*10000,NA())</f>
        <v>33.333333333333336</v>
      </c>
      <c r="M127" s="97">
        <f>IF(ISNUMBER(F127),F127/Population!F21*10000,NA())</f>
        <v>23.989218328840973</v>
      </c>
      <c r="N127" s="97">
        <f>IF(ISNUMBER(G127),G127/Population!G21*10000,NA())</f>
        <v>31.266846361185987</v>
      </c>
      <c r="O127" s="98">
        <f>IF(ISNUMBER(H127),H127/Population!H21*10000,NA())</f>
        <v>20.540540540540544</v>
      </c>
      <c r="P127" s="99">
        <f t="shared" si="33"/>
        <v>20.540540540540544</v>
      </c>
      <c r="Q127" s="822">
        <f t="shared" si="34"/>
        <v>15</v>
      </c>
      <c r="R127" s="70"/>
      <c r="S127" s="340">
        <f t="shared" si="35"/>
        <v>16</v>
      </c>
      <c r="T127" s="341">
        <f t="shared" si="26"/>
        <v>18.132248984648328</v>
      </c>
      <c r="U127" s="342">
        <f t="shared" si="36"/>
        <v>2.408291555892216</v>
      </c>
      <c r="V127" s="122"/>
      <c r="W127" s="139"/>
      <c r="X127" s="152"/>
      <c r="Y127" s="72" t="str">
        <f t="shared" si="37"/>
        <v>Reading</v>
      </c>
      <c r="Z127" s="44">
        <f>IF(H127&gt;0,IDACI!D20,0)</f>
        <v>33203</v>
      </c>
      <c r="AA127" s="44">
        <f>IF(H127&gt;0,IDACI!E20,0)</f>
        <v>5312.4800000000005</v>
      </c>
      <c r="AB127" s="205">
        <f>IF(ISNUMBER(D127),Population!D21,"")</f>
        <v>36400</v>
      </c>
      <c r="AC127" s="205">
        <f>IF(ISNUMBER(E127),Population!E21,"")</f>
        <v>36600</v>
      </c>
      <c r="AD127" s="205">
        <f>IF(ISNUMBER(F127),Population!F21,"")</f>
        <v>37100</v>
      </c>
      <c r="AE127" s="205">
        <f>IF(ISNUMBER(G127),Population!G21,"")</f>
        <v>37100</v>
      </c>
      <c r="AF127" s="205">
        <f>IF(ISNUMBER(H127),Population!H21,"")</f>
        <v>37000</v>
      </c>
      <c r="AG127" s="93" t="s">
        <v>3</v>
      </c>
      <c r="AH127" s="231">
        <f t="shared" si="38"/>
        <v>20.540540540540544</v>
      </c>
      <c r="AI127" s="206">
        <f t="shared" si="39"/>
        <v>16</v>
      </c>
      <c r="AJ127" s="202"/>
      <c r="AK127" s="160"/>
      <c r="AL127" s="853">
        <f t="shared" si="40"/>
        <v>8.9285714285714288E-2</v>
      </c>
      <c r="AM127" s="853">
        <f t="shared" si="41"/>
        <v>-0.27049180327868855</v>
      </c>
      <c r="AN127" s="853">
        <f t="shared" si="42"/>
        <v>0.30337078651685395</v>
      </c>
      <c r="AO127" s="853">
        <f t="shared" si="43"/>
        <v>-0.34482758620689657</v>
      </c>
      <c r="AP127" s="853">
        <f t="shared" si="44"/>
        <v>-5.5665722170754217E-2</v>
      </c>
      <c r="AR127" s="936">
        <f t="shared" si="45"/>
        <v>33.333333333333336</v>
      </c>
      <c r="AS127" s="936">
        <f t="shared" si="27"/>
        <v>23.989218328840973</v>
      </c>
      <c r="AT127" s="936">
        <f t="shared" si="28"/>
        <v>31.266846361185987</v>
      </c>
      <c r="AU127" s="936">
        <f t="shared" si="29"/>
        <v>20.540540540540544</v>
      </c>
      <c r="AV127" s="936">
        <f t="shared" si="30"/>
        <v>109.12993856390084</v>
      </c>
      <c r="AW127" s="575">
        <f t="shared" si="31"/>
        <v>0</v>
      </c>
      <c r="AX127" s="936">
        <f t="shared" si="46"/>
        <v>109.12993856390084</v>
      </c>
    </row>
    <row r="128" spans="1:50" s="87" customFormat="1" ht="13.5" customHeight="1" x14ac:dyDescent="0.2">
      <c r="A128" s="488">
        <f>VLOOKUP(B128,Sheet1!$AQ$4:$AR$25,2,FALSE)</f>
        <v>0</v>
      </c>
      <c r="B128" s="93" t="str">
        <f>Sheet1!$K$16</f>
        <v>Slough</v>
      </c>
      <c r="C128" s="85"/>
      <c r="D128" s="94">
        <f>IF(Year1_Slough Year1_Care_Applications_Children="","",Year1_Slough Year1_Care_Applications_Children)</f>
        <v>96</v>
      </c>
      <c r="E128" s="94">
        <f>IF(Year2_Slough Year2_Care_Applications_Children="","",Year2_Slough Year2_Care_Applications_Children)</f>
        <v>69</v>
      </c>
      <c r="F128" s="94">
        <f>IF(Year3_Slough Year3_Care_Applications_Children="","",Year3_Slough Year3_Care_Applications_Children)</f>
        <v>91</v>
      </c>
      <c r="G128" s="94">
        <f>IF(Year4_Slough Year4_Care_Applications_Children="","",Year4_Slough Year4_Care_Applications_Children)</f>
        <v>97</v>
      </c>
      <c r="H128" s="848">
        <f>IF(Year5_Slough Year5_Care_Applications_Children="","",Year5_Slough Year5_Care_Applications_Children)</f>
        <v>81</v>
      </c>
      <c r="I128" s="1026">
        <f t="shared" si="32"/>
        <v>-1.5355951991009146E-2</v>
      </c>
      <c r="J128" s="96"/>
      <c r="K128" s="97">
        <f>IF(ISNUMBER(D128),D128/Population!D22*10000,NA())</f>
        <v>23.645320197044335</v>
      </c>
      <c r="L128" s="97">
        <f>IF(ISNUMBER(E128),E128/Population!E22*10000,NA())</f>
        <v>16.666666666666668</v>
      </c>
      <c r="M128" s="97">
        <f>IF(ISNUMBER(F128),F128/Population!F22*10000,NA())</f>
        <v>21.563981042654028</v>
      </c>
      <c r="N128" s="97">
        <f>IF(ISNUMBER(G128),G128/Population!G22*10000,NA())</f>
        <v>22.716627634660423</v>
      </c>
      <c r="O128" s="98">
        <f>IF(ISNUMBER(H128),H128/Population!H22*10000,NA())</f>
        <v>18.793503480278421</v>
      </c>
      <c r="P128" s="99">
        <f t="shared" si="33"/>
        <v>18.793503480278421</v>
      </c>
      <c r="Q128" s="822">
        <f t="shared" si="34"/>
        <v>14</v>
      </c>
      <c r="R128" s="70"/>
      <c r="S128" s="340">
        <f t="shared" si="35"/>
        <v>14.7</v>
      </c>
      <c r="T128" s="341">
        <f t="shared" si="26"/>
        <v>16.631281264737968</v>
      </c>
      <c r="U128" s="342">
        <f t="shared" si="36"/>
        <v>2.1622222155404529</v>
      </c>
      <c r="V128" s="122"/>
      <c r="W128" s="139"/>
      <c r="X128" s="152"/>
      <c r="Y128" s="72" t="str">
        <f t="shared" si="37"/>
        <v>Slough</v>
      </c>
      <c r="Z128" s="44">
        <f>IF(H128&gt;0,IDACI!D21,0)</f>
        <v>37031</v>
      </c>
      <c r="AA128" s="44">
        <f>IF(H128&gt;0,IDACI!E21,0)</f>
        <v>5443.5569999999998</v>
      </c>
      <c r="AB128" s="205">
        <f>IF(ISNUMBER(D128),Population!D22,"")</f>
        <v>40600</v>
      </c>
      <c r="AC128" s="205">
        <f>IF(ISNUMBER(E128),Population!E22,"")</f>
        <v>41400</v>
      </c>
      <c r="AD128" s="205">
        <f>IF(ISNUMBER(F128),Population!F22,"")</f>
        <v>42200</v>
      </c>
      <c r="AE128" s="205">
        <f>IF(ISNUMBER(G128),Population!G22,"")</f>
        <v>42700</v>
      </c>
      <c r="AF128" s="205">
        <f>IF(ISNUMBER(H128),Population!H22,"")</f>
        <v>43100</v>
      </c>
      <c r="AG128" s="93" t="s">
        <v>13</v>
      </c>
      <c r="AH128" s="231">
        <f t="shared" si="38"/>
        <v>18.793503480278421</v>
      </c>
      <c r="AI128" s="206">
        <f t="shared" si="39"/>
        <v>14</v>
      </c>
      <c r="AJ128" s="202"/>
      <c r="AK128" s="160"/>
      <c r="AL128" s="853">
        <f t="shared" si="40"/>
        <v>-0.28125</v>
      </c>
      <c r="AM128" s="853">
        <f t="shared" si="41"/>
        <v>0.3188405797101449</v>
      </c>
      <c r="AN128" s="853">
        <f t="shared" si="42"/>
        <v>6.5934065934065936E-2</v>
      </c>
      <c r="AO128" s="853">
        <f t="shared" si="43"/>
        <v>-0.16494845360824742</v>
      </c>
      <c r="AP128" s="853">
        <f t="shared" si="44"/>
        <v>-1.5355951991009146E-2</v>
      </c>
      <c r="AR128" s="936">
        <f t="shared" si="45"/>
        <v>16.666666666666668</v>
      </c>
      <c r="AS128" s="936">
        <f t="shared" si="27"/>
        <v>21.563981042654028</v>
      </c>
      <c r="AT128" s="936">
        <f t="shared" si="28"/>
        <v>22.716627634660423</v>
      </c>
      <c r="AU128" s="936">
        <f t="shared" si="29"/>
        <v>18.793503480278421</v>
      </c>
      <c r="AV128" s="936">
        <f t="shared" si="30"/>
        <v>79.740778824259536</v>
      </c>
      <c r="AW128" s="575">
        <f t="shared" si="31"/>
        <v>0</v>
      </c>
      <c r="AX128" s="936">
        <f t="shared" si="46"/>
        <v>79.740778824259536</v>
      </c>
    </row>
    <row r="129" spans="1:50" s="87" customFormat="1" ht="13.5" customHeight="1" x14ac:dyDescent="0.2">
      <c r="A129" s="488">
        <f>VLOOKUP(B129,Sheet1!$AQ$4:$AR$25,2,FALSE)</f>
        <v>0</v>
      </c>
      <c r="B129" s="93" t="str">
        <f>Sheet1!$K$17</f>
        <v>Somerset</v>
      </c>
      <c r="C129" s="85"/>
      <c r="D129" s="94">
        <f>IF(Year1_Somerset Year1_Care_Applications_Children="","",Year1_Somerset Year1_Care_Applications_Children)</f>
        <v>235</v>
      </c>
      <c r="E129" s="94">
        <f>IF(Year2_Somerset Year2_Care_Applications_Children="","",Year2_Somerset Year2_Care_Applications_Children)</f>
        <v>244</v>
      </c>
      <c r="F129" s="94">
        <f>IF(Year3_Somerset Year3_Care_Applications_Children="","",Year3_Somerset Year3_Care_Applications_Children)</f>
        <v>202</v>
      </c>
      <c r="G129" s="94">
        <f>IF(Year4_Somerset Year4_Care_Applications_Children="","",Year4_Somerset Year4_Care_Applications_Children)</f>
        <v>184</v>
      </c>
      <c r="H129" s="848">
        <f>IF(Year5_Somerset Year5_Care_Applications_Children="","",Year5_Somerset Year5_Care_Applications_Children)</f>
        <v>190</v>
      </c>
      <c r="I129" s="1026">
        <f t="shared" si="32"/>
        <v>-4.7583372609868314E-2</v>
      </c>
      <c r="J129" s="96"/>
      <c r="K129" s="97">
        <f>IF(ISNUMBER(D129),D129/Population!D23*10000,NA())</f>
        <v>21.520146520146522</v>
      </c>
      <c r="L129" s="97">
        <f>IF(ISNUMBER(E129),E129/Population!E23*10000,NA())</f>
        <v>22.242479489516864</v>
      </c>
      <c r="M129" s="97">
        <f>IF(ISNUMBER(F129),F129/Population!F23*10000,NA())</f>
        <v>18.346957311534968</v>
      </c>
      <c r="N129" s="97">
        <f>IF(ISNUMBER(G129),G129/Population!G23*10000,NA())</f>
        <v>16.621499548328817</v>
      </c>
      <c r="O129" s="98">
        <f>IF(ISNUMBER(H129),H129/Population!H23*10000,NA())</f>
        <v>17.086330935251798</v>
      </c>
      <c r="P129" s="99">
        <f t="shared" si="33"/>
        <v>17.086330935251798</v>
      </c>
      <c r="Q129" s="807" t="str">
        <f t="shared" si="34"/>
        <v>--</v>
      </c>
      <c r="R129" s="70"/>
      <c r="S129" s="340">
        <f t="shared" si="35"/>
        <v>13.600000000000001</v>
      </c>
      <c r="T129" s="341">
        <f t="shared" si="26"/>
        <v>15.361231655583047</v>
      </c>
      <c r="U129" s="342">
        <f t="shared" si="36"/>
        <v>1.7250992796687505</v>
      </c>
      <c r="V129" s="122"/>
      <c r="W129" s="139"/>
      <c r="X129" s="152"/>
      <c r="Y129" s="72" t="str">
        <f t="shared" si="37"/>
        <v>Somerset</v>
      </c>
      <c r="Z129" s="44">
        <f>IF(H129&gt;0,IDACI!D22,0)</f>
        <v>95875</v>
      </c>
      <c r="AA129" s="44">
        <f>IF(H129&gt;0,IDACI!E22,0)</f>
        <v>13039.000000000002</v>
      </c>
      <c r="AB129" s="205">
        <f>IF(ISNUMBER(D129),Population!D23,"")</f>
        <v>109200</v>
      </c>
      <c r="AC129" s="205">
        <f>IF(ISNUMBER(E129),Population!E23,"")</f>
        <v>109700</v>
      </c>
      <c r="AD129" s="205">
        <f>IF(ISNUMBER(F129),Population!F23,"")</f>
        <v>110100</v>
      </c>
      <c r="AE129" s="205">
        <f>IF(ISNUMBER(G129),Population!G23,"")</f>
        <v>110700</v>
      </c>
      <c r="AF129" s="205">
        <f>IF(ISNUMBER(H129),Population!H23,"")</f>
        <v>111200</v>
      </c>
      <c r="AG129" s="93" t="s">
        <v>14</v>
      </c>
      <c r="AH129" s="231">
        <f t="shared" si="38"/>
        <v>30.799220272904481</v>
      </c>
      <c r="AI129" s="206">
        <f t="shared" si="39"/>
        <v>19</v>
      </c>
      <c r="AJ129" s="202"/>
      <c r="AK129" s="160"/>
      <c r="AL129" s="853">
        <f t="shared" si="40"/>
        <v>3.8297872340425532E-2</v>
      </c>
      <c r="AM129" s="853">
        <f t="shared" si="41"/>
        <v>-0.1721311475409836</v>
      </c>
      <c r="AN129" s="853">
        <f t="shared" si="42"/>
        <v>-8.9108910891089105E-2</v>
      </c>
      <c r="AO129" s="853">
        <f t="shared" si="43"/>
        <v>3.2608695652173912E-2</v>
      </c>
      <c r="AP129" s="853">
        <f t="shared" si="44"/>
        <v>-4.7583372609868314E-2</v>
      </c>
      <c r="AR129" s="936">
        <f t="shared" si="45"/>
        <v>22.242479489516864</v>
      </c>
      <c r="AS129" s="936">
        <f t="shared" si="27"/>
        <v>18.346957311534968</v>
      </c>
      <c r="AT129" s="936">
        <f t="shared" si="28"/>
        <v>16.621499548328817</v>
      </c>
      <c r="AU129" s="936">
        <f>IF(ISNUMBER(O129),O129,"")</f>
        <v>17.086330935251798</v>
      </c>
      <c r="AV129" s="936">
        <f>SUM(AR129:AU129)</f>
        <v>74.29726728463244</v>
      </c>
      <c r="AW129" s="575">
        <f>COUNTBLANK(AR129:AU129)</f>
        <v>0</v>
      </c>
      <c r="AX129" s="936">
        <f>AV129/(4-AW129)*4</f>
        <v>74.29726728463244</v>
      </c>
    </row>
    <row r="130" spans="1:50" s="87" customFormat="1" ht="13.5" customHeight="1" x14ac:dyDescent="0.2">
      <c r="A130" s="488">
        <f>VLOOKUP(B130,Sheet1!$AQ$4:$AR$25,2,FALSE)</f>
        <v>0</v>
      </c>
      <c r="B130" s="93" t="str">
        <f>Sheet1!$K$18</f>
        <v>Southampton</v>
      </c>
      <c r="C130" s="85"/>
      <c r="D130" s="94">
        <f>IF(Year1_Southampton Year1_Care_Applications_Children="","",Year1_Southampton Year1_Care_Applications_Children)</f>
        <v>155</v>
      </c>
      <c r="E130" s="94">
        <f>IF(Year2_Southampton Year2_Care_Applications_Children="","",Year2_Southampton Year2_Care_Applications_Children)</f>
        <v>158</v>
      </c>
      <c r="F130" s="94">
        <f>IF(Year3_Southampton Year3_Care_Applications_Children="","",Year3_Southampton Year3_Care_Applications_Children)</f>
        <v>131</v>
      </c>
      <c r="G130" s="94">
        <f>IF(Year4_Southampton Year4_Care_Applications_Children="","",Year4_Southampton Year4_Care_Applications_Children)</f>
        <v>124</v>
      </c>
      <c r="H130" s="848">
        <f>IF(Year5_Southampton Year5_Care_Applications_Children="","",Year5_Southampton Year5_Care_Applications_Children)</f>
        <v>158</v>
      </c>
      <c r="I130" s="1026">
        <f t="shared" si="32"/>
        <v>1.7306799160897571E-2</v>
      </c>
      <c r="J130" s="96"/>
      <c r="K130" s="97">
        <f>IF(ISNUMBER(D130),D130/Population!D24*10000,NA())</f>
        <v>31.504065040650406</v>
      </c>
      <c r="L130" s="97">
        <f>IF(ISNUMBER(E130),E130/Population!E24*10000,NA())</f>
        <v>31.663326653306612</v>
      </c>
      <c r="M130" s="97">
        <f>IF(ISNUMBER(F130),F130/Population!F24*10000,NA())</f>
        <v>26.043737574552683</v>
      </c>
      <c r="N130" s="97">
        <f>IF(ISNUMBER(G130),G130/Population!G24*10000,NA())</f>
        <v>24.409448818897641</v>
      </c>
      <c r="O130" s="98">
        <f>IF(ISNUMBER(H130),H130/Population!H24*10000,NA())</f>
        <v>30.799220272904481</v>
      </c>
      <c r="P130" s="99">
        <f t="shared" si="33"/>
        <v>30.799220272904481</v>
      </c>
      <c r="Q130" s="822">
        <f t="shared" si="34"/>
        <v>19</v>
      </c>
      <c r="R130" s="70"/>
      <c r="S130" s="340">
        <f t="shared" si="35"/>
        <v>20.5</v>
      </c>
      <c r="T130" s="341">
        <f t="shared" si="26"/>
        <v>23.32790647664573</v>
      </c>
      <c r="U130" s="342">
        <f t="shared" si="36"/>
        <v>7.4713137962587517</v>
      </c>
      <c r="V130" s="122"/>
      <c r="W130" s="139"/>
      <c r="X130" s="152"/>
      <c r="Y130" s="72" t="str">
        <f t="shared" si="37"/>
        <v>Southampton</v>
      </c>
      <c r="Z130" s="44">
        <f>IF(H130&gt;0,IDACI!D23,0)</f>
        <v>44295</v>
      </c>
      <c r="AA130" s="44">
        <f>IF(H130&gt;0,IDACI!E23,0)</f>
        <v>9080.4750000000004</v>
      </c>
      <c r="AB130" s="205">
        <f>IF(ISNUMBER(D130),Population!D24,"")</f>
        <v>49200</v>
      </c>
      <c r="AC130" s="205">
        <f>IF(ISNUMBER(E130),Population!E24,"")</f>
        <v>49900</v>
      </c>
      <c r="AD130" s="205">
        <f>IF(ISNUMBER(F130),Population!F24,"")</f>
        <v>50300</v>
      </c>
      <c r="AE130" s="205">
        <f>IF(ISNUMBER(G130),Population!G24,"")</f>
        <v>50800</v>
      </c>
      <c r="AF130" s="205">
        <f>IF(ISNUMBER(H130),Population!H24,"")</f>
        <v>51300</v>
      </c>
      <c r="AG130" s="93" t="s">
        <v>7</v>
      </c>
      <c r="AH130" s="231">
        <f t="shared" si="38"/>
        <v>8.9840788476118281</v>
      </c>
      <c r="AI130" s="206">
        <f t="shared" si="39"/>
        <v>1</v>
      </c>
      <c r="AJ130" s="202"/>
      <c r="AK130" s="160"/>
      <c r="AL130" s="853">
        <f t="shared" si="40"/>
        <v>1.935483870967742E-2</v>
      </c>
      <c r="AM130" s="853">
        <f t="shared" si="41"/>
        <v>-0.17088607594936708</v>
      </c>
      <c r="AN130" s="853">
        <f t="shared" si="42"/>
        <v>-5.3435114503816793E-2</v>
      </c>
      <c r="AO130" s="853">
        <f t="shared" si="43"/>
        <v>0.27419354838709675</v>
      </c>
      <c r="AP130" s="853">
        <f t="shared" si="44"/>
        <v>1.7306799160897571E-2</v>
      </c>
      <c r="AR130" s="936">
        <f t="shared" si="45"/>
        <v>31.663326653306612</v>
      </c>
      <c r="AS130" s="936">
        <f t="shared" si="27"/>
        <v>26.043737574552683</v>
      </c>
      <c r="AT130" s="936">
        <f t="shared" si="28"/>
        <v>24.409448818897641</v>
      </c>
      <c r="AU130" s="936">
        <f t="shared" ref="AU130:AU139" si="47">IF(ISNUMBER(O130),O130,"")</f>
        <v>30.799220272904481</v>
      </c>
      <c r="AV130" s="936">
        <f t="shared" ref="AV130:AV139" si="48">SUM(AR130:AU130)</f>
        <v>112.91573331966141</v>
      </c>
      <c r="AW130" s="575">
        <f t="shared" ref="AW130:AW139" si="49">COUNTBLANK(AR130:AU130)</f>
        <v>0</v>
      </c>
      <c r="AX130" s="936">
        <f t="shared" ref="AX130:AX135" si="50">AV130/(4-AW130)*4</f>
        <v>112.91573331966141</v>
      </c>
    </row>
    <row r="131" spans="1:50" s="87" customFormat="1" ht="13.5" customHeight="1" x14ac:dyDescent="0.2">
      <c r="A131" s="488">
        <f>VLOOKUP(B131,Sheet1!$AQ$4:$AR$25,2,FALSE)</f>
        <v>0</v>
      </c>
      <c r="B131" s="93" t="str">
        <f>Sheet1!$K$19</f>
        <v>Surrey</v>
      </c>
      <c r="C131" s="85"/>
      <c r="D131" s="94">
        <f>IF(Year1_Surrey Year1_Care_Applications_Children="","",Year1_Surrey Year1_Care_Applications_Children)</f>
        <v>245</v>
      </c>
      <c r="E131" s="94">
        <f>IF(Year2_Surrey Year2_Care_Applications_Children="","",Year2_Surrey Year2_Care_Applications_Children)</f>
        <v>286</v>
      </c>
      <c r="F131" s="94">
        <f>IF(Year3_Surrey Year3_Care_Applications_Children="","",Year3_Surrey Year3_Care_Applications_Children)</f>
        <v>356</v>
      </c>
      <c r="G131" s="94">
        <f>IF(Year4_Surrey Year4_Care_Applications_Children="","",Year4_Surrey Year4_Care_Applications_Children)</f>
        <v>337</v>
      </c>
      <c r="H131" s="848">
        <f>IF(Year5_Surrey Year5_Care_Applications_Children="","",Year5_Surrey Year5_Care_Applications_Children)</f>
        <v>237</v>
      </c>
      <c r="I131" s="1026">
        <f t="shared" si="32"/>
        <v>1.5498872992347673E-2</v>
      </c>
      <c r="J131" s="96"/>
      <c r="K131" s="97">
        <f>IF(ISNUMBER(D131),D131/Population!D25*10000,NA())</f>
        <v>9.5553822152886116</v>
      </c>
      <c r="L131" s="97">
        <f>IF(ISNUMBER(E131),E131/Population!E25*10000,NA())</f>
        <v>11.042471042471043</v>
      </c>
      <c r="M131" s="97">
        <f>IF(ISNUMBER(F131),F131/Population!F25*10000,NA())</f>
        <v>13.676527084133692</v>
      </c>
      <c r="N131" s="97">
        <f>IF(ISNUMBER(G131),G131/Population!G25*10000,NA())</f>
        <v>12.867506681939672</v>
      </c>
      <c r="O131" s="98">
        <f>IF(ISNUMBER(H131),H131/Population!H25*10000,NA())</f>
        <v>8.9840788476118281</v>
      </c>
      <c r="P131" s="99">
        <f t="shared" si="33"/>
        <v>8.9840788476118281</v>
      </c>
      <c r="Q131" s="822">
        <f t="shared" si="34"/>
        <v>1</v>
      </c>
      <c r="R131" s="70"/>
      <c r="S131" s="340">
        <f t="shared" si="35"/>
        <v>8.3000000000000007</v>
      </c>
      <c r="T131" s="341">
        <f t="shared" si="26"/>
        <v>9.2419017205638845</v>
      </c>
      <c r="U131" s="342">
        <f t="shared" si="36"/>
        <v>-0.25782287295205641</v>
      </c>
      <c r="V131" s="122"/>
      <c r="W131" s="139"/>
      <c r="X131" s="152"/>
      <c r="Y131" s="72" t="str">
        <f t="shared" si="37"/>
        <v>Surrey</v>
      </c>
      <c r="Z131" s="44">
        <f>IF(H131&gt;0,IDACI!D24,0)</f>
        <v>228466</v>
      </c>
      <c r="AA131" s="44">
        <f>IF(H131&gt;0,IDACI!E24,0)</f>
        <v>18962.678</v>
      </c>
      <c r="AB131" s="205">
        <f>IF(ISNUMBER(D131),Population!D25,"")</f>
        <v>256400</v>
      </c>
      <c r="AC131" s="205">
        <f>IF(ISNUMBER(E131),Population!E25,"")</f>
        <v>259000</v>
      </c>
      <c r="AD131" s="205">
        <f>IF(ISNUMBER(F131),Population!F25,"")</f>
        <v>260300</v>
      </c>
      <c r="AE131" s="205">
        <f>IF(ISNUMBER(G131),Population!G25,"")</f>
        <v>261900</v>
      </c>
      <c r="AF131" s="205">
        <f>IF(ISNUMBER(H131),Population!H25,"")</f>
        <v>263800</v>
      </c>
      <c r="AG131" s="93" t="s">
        <v>15</v>
      </c>
      <c r="AH131" s="231">
        <f t="shared" si="38"/>
        <v>11.51685393258427</v>
      </c>
      <c r="AI131" s="206">
        <f t="shared" si="39"/>
        <v>5</v>
      </c>
      <c r="AJ131" s="202"/>
      <c r="AK131" s="160"/>
      <c r="AL131" s="853">
        <f t="shared" si="40"/>
        <v>0.16734693877551021</v>
      </c>
      <c r="AM131" s="853">
        <f t="shared" si="41"/>
        <v>0.24475524475524477</v>
      </c>
      <c r="AN131" s="853">
        <f t="shared" si="42"/>
        <v>-5.3370786516853931E-2</v>
      </c>
      <c r="AO131" s="853">
        <f t="shared" si="43"/>
        <v>-0.29673590504451036</v>
      </c>
      <c r="AP131" s="853">
        <f t="shared" si="44"/>
        <v>1.5498872992347673E-2</v>
      </c>
      <c r="AR131" s="936">
        <f t="shared" si="45"/>
        <v>11.042471042471043</v>
      </c>
      <c r="AS131" s="936">
        <f t="shared" si="27"/>
        <v>13.676527084133692</v>
      </c>
      <c r="AT131" s="936">
        <f t="shared" si="28"/>
        <v>12.867506681939672</v>
      </c>
      <c r="AU131" s="936">
        <f t="shared" si="47"/>
        <v>8.9840788476118281</v>
      </c>
      <c r="AV131" s="936">
        <f t="shared" si="48"/>
        <v>46.570583656156231</v>
      </c>
      <c r="AW131" s="575">
        <f t="shared" si="49"/>
        <v>0</v>
      </c>
      <c r="AX131" s="936">
        <f t="shared" si="50"/>
        <v>46.570583656156231</v>
      </c>
    </row>
    <row r="132" spans="1:50" s="87" customFormat="1" ht="13.5" customHeight="1" x14ac:dyDescent="0.2">
      <c r="A132" s="488">
        <f>VLOOKUP(B132,Sheet1!$AQ$4:$AR$25,2,FALSE)</f>
        <v>0</v>
      </c>
      <c r="B132" s="93" t="str">
        <f>Sheet1!$K$20</f>
        <v>Swindon</v>
      </c>
      <c r="C132" s="85"/>
      <c r="D132" s="94">
        <f>IF(Year1_Swindon Year1_Care_Applications_Children="","",Year1_Swindon Year1_Care_Applications_Children)</f>
        <v>94</v>
      </c>
      <c r="E132" s="94">
        <f>IF(Year2_Swindon Year2_Care_Applications_Children="","",Year2_Swindon Year2_Care_Applications_Children)</f>
        <v>135</v>
      </c>
      <c r="F132" s="94">
        <f>IF(Year3_Swindon Year3_Care_Applications_Children="","",Year3_Swindon Year3_Care_Applications_Children)</f>
        <v>140</v>
      </c>
      <c r="G132" s="94">
        <f>IF(Year4_Swindon Year4_Care_Applications_Children="","",Year4_Swindon Year4_Care_Applications_Children)</f>
        <v>136</v>
      </c>
      <c r="H132" s="848">
        <f>IF(Year5_Swindon Year5_Care_Applications_Children="","",Year5_Swindon Year5_Care_Applications_Children)</f>
        <v>86</v>
      </c>
      <c r="I132" s="1026">
        <f t="shared" si="32"/>
        <v>1.924719060200912E-2</v>
      </c>
      <c r="J132" s="96"/>
      <c r="K132" s="97">
        <f>IF(ISNUMBER(D132),D132/Population!D26*10000,NA())</f>
        <v>19.183673469387756</v>
      </c>
      <c r="L132" s="97">
        <f>IF(ISNUMBER(E132),E132/Population!E26*10000,NA())</f>
        <v>27.272727272727273</v>
      </c>
      <c r="M132" s="97">
        <f>IF(ISNUMBER(F132),F132/Population!F26*10000,NA())</f>
        <v>28.056112224448896</v>
      </c>
      <c r="N132" s="97">
        <f>IF(ISNUMBER(G132),G132/Population!G26*10000,NA())</f>
        <v>27.091633466135455</v>
      </c>
      <c r="O132" s="98">
        <f>IF(ISNUMBER(H132),H132/Population!H26*10000,NA())</f>
        <v>17.063492063492063</v>
      </c>
      <c r="P132" s="99">
        <f t="shared" si="33"/>
        <v>17.063492063492063</v>
      </c>
      <c r="Q132" s="807" t="str">
        <f t="shared" si="34"/>
        <v>--</v>
      </c>
      <c r="R132" s="70"/>
      <c r="S132" s="340">
        <f t="shared" si="35"/>
        <v>14.899999999999999</v>
      </c>
      <c r="T132" s="341">
        <f t="shared" si="26"/>
        <v>16.862199375493407</v>
      </c>
      <c r="U132" s="342">
        <f t="shared" si="36"/>
        <v>0.20129268799865585</v>
      </c>
      <c r="V132" s="122"/>
      <c r="W132" s="139"/>
      <c r="X132" s="152"/>
      <c r="Y132" s="72" t="str">
        <f t="shared" si="37"/>
        <v>Swindon</v>
      </c>
      <c r="Z132" s="44">
        <f>IF(H132&gt;0,IDACI!D25,0)</f>
        <v>43899</v>
      </c>
      <c r="AA132" s="44">
        <f>IF(H132&gt;0,IDACI!E25,0)</f>
        <v>6540.951</v>
      </c>
      <c r="AB132" s="205">
        <f>IF(ISNUMBER(D132),Population!D26,"")</f>
        <v>49000</v>
      </c>
      <c r="AC132" s="205">
        <f>IF(ISNUMBER(E132),Population!E26,"")</f>
        <v>49500</v>
      </c>
      <c r="AD132" s="205">
        <f>IF(ISNUMBER(F132),Population!F26,"")</f>
        <v>49900</v>
      </c>
      <c r="AE132" s="205">
        <f>IF(ISNUMBER(G132),Population!G26,"")</f>
        <v>50200</v>
      </c>
      <c r="AF132" s="205">
        <f>IF(ISNUMBER(H132),Population!H26,"")</f>
        <v>50400</v>
      </c>
      <c r="AG132" s="93" t="s">
        <v>5</v>
      </c>
      <c r="AH132" s="231">
        <f t="shared" si="38"/>
        <v>19.080068143100512</v>
      </c>
      <c r="AI132" s="206">
        <f t="shared" si="39"/>
        <v>15</v>
      </c>
      <c r="AJ132" s="202"/>
      <c r="AK132" s="160"/>
      <c r="AL132" s="853">
        <f t="shared" si="40"/>
        <v>0.43617021276595747</v>
      </c>
      <c r="AM132" s="853">
        <f t="shared" si="41"/>
        <v>3.7037037037037035E-2</v>
      </c>
      <c r="AN132" s="853">
        <f t="shared" si="42"/>
        <v>-2.8571428571428571E-2</v>
      </c>
      <c r="AO132" s="853">
        <f t="shared" si="43"/>
        <v>-0.36764705882352944</v>
      </c>
      <c r="AP132" s="853">
        <f t="shared" si="44"/>
        <v>1.924719060200912E-2</v>
      </c>
      <c r="AR132" s="936">
        <f t="shared" si="45"/>
        <v>27.272727272727273</v>
      </c>
      <c r="AS132" s="936">
        <f t="shared" si="27"/>
        <v>28.056112224448896</v>
      </c>
      <c r="AT132" s="936">
        <f t="shared" si="28"/>
        <v>27.091633466135455</v>
      </c>
      <c r="AU132" s="936">
        <f t="shared" si="47"/>
        <v>17.063492063492063</v>
      </c>
      <c r="AV132" s="936">
        <f t="shared" si="48"/>
        <v>99.483965026803688</v>
      </c>
      <c r="AW132" s="575">
        <f t="shared" si="49"/>
        <v>0</v>
      </c>
      <c r="AX132" s="936">
        <f t="shared" si="50"/>
        <v>99.483965026803688</v>
      </c>
    </row>
    <row r="133" spans="1:50" s="87" customFormat="1" ht="13.5" customHeight="1" x14ac:dyDescent="0.2">
      <c r="A133" s="488">
        <f>VLOOKUP(B133,Sheet1!$AQ$4:$AR$25,2,FALSE)</f>
        <v>0</v>
      </c>
      <c r="B133" s="93" t="str">
        <f>Sheet1!$K$21</f>
        <v>Torbay</v>
      </c>
      <c r="C133" s="85"/>
      <c r="D133" s="94">
        <f>IF(Year1_Torbay Year1_Care_Applications_Children="","",Year1_Torbay Year1_Care_Applications_Children)</f>
        <v>91</v>
      </c>
      <c r="E133" s="94">
        <f>IF(Year2_Torbay Year2_Care_Applications_Children="","",Year2_Torbay Year2_Care_Applications_Children)</f>
        <v>74</v>
      </c>
      <c r="F133" s="94">
        <f>IF(Year3_Torbay Year3_Care_Applications_Children="","",Year3_Torbay Year3_Care_Applications_Children)</f>
        <v>94</v>
      </c>
      <c r="G133" s="94">
        <f>IF(Year4_Torbay Year4_Care_Applications_Children="","",Year4_Torbay Year4_Care_Applications_Children)</f>
        <v>102</v>
      </c>
      <c r="H133" s="848">
        <f>IF(Year5_Torbay Year5_Care_Applications_Children="","",Year5_Torbay Year5_Care_Applications_Children)</f>
        <v>100</v>
      </c>
      <c r="I133" s="1026">
        <f t="shared" si="32"/>
        <v>3.7238905824637999E-2</v>
      </c>
      <c r="J133" s="96"/>
      <c r="K133" s="97">
        <f>IF(ISNUMBER(D133),D133/Population!D27*10000,NA())</f>
        <v>36.111111111111107</v>
      </c>
      <c r="L133" s="97">
        <f>IF(ISNUMBER(E133),E133/Population!E27*10000,NA())</f>
        <v>29.133858267716533</v>
      </c>
      <c r="M133" s="97">
        <f>IF(ISNUMBER(F133),F133/Population!F27*10000,NA())</f>
        <v>37.00787401574803</v>
      </c>
      <c r="N133" s="97">
        <f>IF(ISNUMBER(G133),G133/Population!G27*10000,NA())</f>
        <v>40.15748031496063</v>
      </c>
      <c r="O133" s="98">
        <f>IF(ISNUMBER(H133),H133/Population!H27*10000,NA())</f>
        <v>39.0625</v>
      </c>
      <c r="P133" s="99">
        <f t="shared" si="33"/>
        <v>39.0625</v>
      </c>
      <c r="Q133" s="807" t="str">
        <f t="shared" si="34"/>
        <v>--</v>
      </c>
      <c r="R133" s="70"/>
      <c r="S133" s="340">
        <f t="shared" si="35"/>
        <v>21.9</v>
      </c>
      <c r="T133" s="341">
        <f t="shared" si="26"/>
        <v>24.944333251933809</v>
      </c>
      <c r="U133" s="342">
        <f t="shared" si="36"/>
        <v>14.118166748066191</v>
      </c>
      <c r="V133" s="122"/>
      <c r="W133" s="139"/>
      <c r="X133" s="152"/>
      <c r="Y133" s="72" t="str">
        <f t="shared" si="37"/>
        <v>Torbay</v>
      </c>
      <c r="Z133" s="44">
        <f>IF(H133&gt;0,IDACI!D26,0)</f>
        <v>22257</v>
      </c>
      <c r="AA133" s="44">
        <f>IF(H133&gt;0,IDACI!E26,0)</f>
        <v>4874.2829999999994</v>
      </c>
      <c r="AB133" s="205">
        <f>IF(ISNUMBER(D133),Population!D27,"")</f>
        <v>25200</v>
      </c>
      <c r="AC133" s="205">
        <f>IF(ISNUMBER(E133),Population!E27,"")</f>
        <v>25400</v>
      </c>
      <c r="AD133" s="205">
        <f>IF(ISNUMBER(F133),Population!F27,"")</f>
        <v>25400</v>
      </c>
      <c r="AE133" s="205">
        <f>IF(ISNUMBER(G133),Population!G27,"")</f>
        <v>25400</v>
      </c>
      <c r="AF133" s="205">
        <f>IF(ISNUMBER(H133),Population!H27,"")</f>
        <v>25600</v>
      </c>
      <c r="AG133" s="93" t="s">
        <v>30</v>
      </c>
      <c r="AH133" s="231">
        <f t="shared" si="38"/>
        <v>11.527377521613833</v>
      </c>
      <c r="AI133" s="206">
        <f t="shared" si="39"/>
        <v>6</v>
      </c>
      <c r="AJ133" s="202"/>
      <c r="AK133" s="160"/>
      <c r="AL133" s="853">
        <f t="shared" si="40"/>
        <v>-0.18681318681318682</v>
      </c>
      <c r="AM133" s="853">
        <f t="shared" si="41"/>
        <v>0.27027027027027029</v>
      </c>
      <c r="AN133" s="853">
        <f t="shared" si="42"/>
        <v>8.5106382978723402E-2</v>
      </c>
      <c r="AO133" s="853">
        <f t="shared" si="43"/>
        <v>-1.9607843137254902E-2</v>
      </c>
      <c r="AP133" s="853">
        <f t="shared" si="44"/>
        <v>3.7238905824637999E-2</v>
      </c>
      <c r="AR133" s="936">
        <f t="shared" si="45"/>
        <v>29.133858267716533</v>
      </c>
      <c r="AS133" s="936">
        <f t="shared" si="27"/>
        <v>37.00787401574803</v>
      </c>
      <c r="AT133" s="936">
        <f t="shared" si="28"/>
        <v>40.15748031496063</v>
      </c>
      <c r="AU133" s="936">
        <f t="shared" si="47"/>
        <v>39.0625</v>
      </c>
      <c r="AV133" s="936">
        <f t="shared" si="48"/>
        <v>145.36171259842519</v>
      </c>
      <c r="AW133" s="575">
        <f t="shared" si="49"/>
        <v>0</v>
      </c>
      <c r="AX133" s="936">
        <f t="shared" si="50"/>
        <v>145.36171259842519</v>
      </c>
    </row>
    <row r="134" spans="1:50" s="87" customFormat="1" ht="13.5" customHeight="1" x14ac:dyDescent="0.2">
      <c r="A134" s="488">
        <f>VLOOKUP(B134,Sheet1!$AQ$4:$AR$25,2,FALSE)</f>
        <v>0</v>
      </c>
      <c r="B134" s="93" t="str">
        <f>Sheet1!$K$22</f>
        <v>West Berkshire</v>
      </c>
      <c r="C134" s="85"/>
      <c r="D134" s="94">
        <f>IF(Year1_West_Berkshire Year1_Care_Applications_Children="","",Year1_West_Berkshire Year1_Care_Applications_Children)</f>
        <v>74</v>
      </c>
      <c r="E134" s="100">
        <f>IF(Year2_West_Berkshire Year2_Care_Applications_Children="","",Year2_West_Berkshire Year2_Care_Applications_Children)</f>
        <v>74</v>
      </c>
      <c r="F134" s="94">
        <f>IF(Year3_West_Berkshire Year3_Care_Applications_Children="","",Year3_West_Berkshire Year3_Care_Applications_Children)</f>
        <v>71</v>
      </c>
      <c r="G134" s="94">
        <f>IF(Year4_West_Berkshire Year4_Care_Applications_Children="","",Year4_West_Berkshire Year4_Care_Applications_Children)</f>
        <v>48</v>
      </c>
      <c r="H134" s="848">
        <f>IF(Year5_West_Berkshire Year5_Care_Applications_Children="","",Year5_West_Berkshire Year5_Care_Applications_Children)</f>
        <v>41</v>
      </c>
      <c r="I134" s="1026">
        <f t="shared" si="32"/>
        <v>-0.12757938396142623</v>
      </c>
      <c r="J134" s="96"/>
      <c r="K134" s="97">
        <f>IF(ISNUMBER(D134),D134/Population!D28*10000,NA())</f>
        <v>20.728291316526612</v>
      </c>
      <c r="L134" s="97">
        <f>IF(ISNUMBER(E134),E134/Population!E28*10000,NA())</f>
        <v>20.612813370473539</v>
      </c>
      <c r="M134" s="97">
        <f>IF(ISNUMBER(F134),F134/Population!F28*10000,NA())</f>
        <v>19.83240223463687</v>
      </c>
      <c r="N134" s="97">
        <f>IF(ISNUMBER(G134),G134/Population!G28*10000,NA())</f>
        <v>13.48314606741573</v>
      </c>
      <c r="O134" s="98">
        <f>IF(ISNUMBER(H134),H134/Population!H28*10000,NA())</f>
        <v>11.51685393258427</v>
      </c>
      <c r="P134" s="99">
        <f t="shared" si="33"/>
        <v>11.51685393258427</v>
      </c>
      <c r="Q134" s="822">
        <f t="shared" si="34"/>
        <v>2</v>
      </c>
      <c r="R134" s="70"/>
      <c r="S134" s="340">
        <f t="shared" si="35"/>
        <v>8.6999999999999993</v>
      </c>
      <c r="T134" s="341">
        <f t="shared" si="26"/>
        <v>9.7037379420747634</v>
      </c>
      <c r="U134" s="342">
        <f t="shared" si="36"/>
        <v>1.8131159905095071</v>
      </c>
      <c r="V134" s="122"/>
      <c r="W134" s="139"/>
      <c r="X134" s="152"/>
      <c r="Y134" s="72" t="str">
        <f t="shared" si="37"/>
        <v>West Berkshire</v>
      </c>
      <c r="Z134" s="44">
        <f>IF(H134&gt;0,IDACI!D27,0)</f>
        <v>31625</v>
      </c>
      <c r="AA134" s="44">
        <f>IF(H134&gt;0,IDACI!E27,0)</f>
        <v>2751.375</v>
      </c>
      <c r="AB134" s="205">
        <f>IF(ISNUMBER(D134),Population!D28,"")</f>
        <v>35700</v>
      </c>
      <c r="AC134" s="205">
        <f>IF(ISNUMBER(E134),Population!E28,"")</f>
        <v>35900</v>
      </c>
      <c r="AD134" s="205">
        <f>IF(ISNUMBER(F134),Population!F28,"")</f>
        <v>35800</v>
      </c>
      <c r="AE134" s="205">
        <f>IF(ISNUMBER(G134),Population!G28,"")</f>
        <v>35600</v>
      </c>
      <c r="AF134" s="205">
        <f>IF(ISNUMBER(H134),Population!H28,"")</f>
        <v>35600</v>
      </c>
      <c r="AG134" s="93" t="s">
        <v>16</v>
      </c>
      <c r="AH134" s="231">
        <f t="shared" si="38"/>
        <v>9.9009900990099009</v>
      </c>
      <c r="AI134" s="206">
        <f t="shared" si="39"/>
        <v>2</v>
      </c>
      <c r="AJ134" s="202"/>
      <c r="AK134" s="160"/>
      <c r="AL134" s="853">
        <f t="shared" si="40"/>
        <v>0</v>
      </c>
      <c r="AM134" s="853">
        <f t="shared" si="41"/>
        <v>-4.0540540540540543E-2</v>
      </c>
      <c r="AN134" s="853">
        <f t="shared" si="42"/>
        <v>-0.323943661971831</v>
      </c>
      <c r="AO134" s="853">
        <f t="shared" si="43"/>
        <v>-0.14583333333333334</v>
      </c>
      <c r="AP134" s="853">
        <f t="shared" si="44"/>
        <v>-0.12757938396142623</v>
      </c>
      <c r="AR134" s="936">
        <f t="shared" si="45"/>
        <v>20.612813370473539</v>
      </c>
      <c r="AS134" s="936">
        <f t="shared" si="27"/>
        <v>19.83240223463687</v>
      </c>
      <c r="AT134" s="936">
        <f t="shared" si="28"/>
        <v>13.48314606741573</v>
      </c>
      <c r="AU134" s="936">
        <f t="shared" si="47"/>
        <v>11.51685393258427</v>
      </c>
      <c r="AV134" s="936">
        <f t="shared" si="48"/>
        <v>65.445215605110405</v>
      </c>
      <c r="AW134" s="575">
        <f t="shared" si="49"/>
        <v>0</v>
      </c>
      <c r="AX134" s="936">
        <f t="shared" si="50"/>
        <v>65.445215605110405</v>
      </c>
    </row>
    <row r="135" spans="1:50" s="87" customFormat="1" ht="13.5" customHeight="1" x14ac:dyDescent="0.2">
      <c r="A135" s="488">
        <f>VLOOKUP(B135,Sheet1!$AQ$4:$AR$25,2,FALSE)</f>
        <v>0</v>
      </c>
      <c r="B135" s="93" t="str">
        <f>Sheet1!$K$23</f>
        <v>West Sussex</v>
      </c>
      <c r="C135" s="85"/>
      <c r="D135" s="94">
        <f>IF(Year1_West_Sussex Year1_Care_Applications_Children="","",Year1_West_Sussex Year1_Care_Applications_Children)</f>
        <v>216</v>
      </c>
      <c r="E135" s="100">
        <f>IF(Year2_West_Sussex Year2_Care_Applications_Children="","",Year2_West_Sussex Year2_Care_Applications_Children)</f>
        <v>237</v>
      </c>
      <c r="F135" s="94">
        <f>IF(Year3_West_Sussex Year3_Care_Applications_Children="","",Year3_West_Sussex Year3_Care_Applications_Children)</f>
        <v>271</v>
      </c>
      <c r="G135" s="94">
        <f>IF(Year4_West_Sussex Year4_Care_Applications_Children="","",Year4_West_Sussex Year4_Care_Applications_Children)</f>
        <v>240</v>
      </c>
      <c r="H135" s="848">
        <f>IF(Year5_West_Sussex Year5_Care_Applications_Children="","",Year5_West_Sussex Year5_Care_Applications_Children)</f>
        <v>336</v>
      </c>
      <c r="I135" s="1026">
        <f t="shared" si="32"/>
        <v>0.13157274848064937</v>
      </c>
      <c r="J135" s="96"/>
      <c r="K135" s="97">
        <f>IF(ISNUMBER(D135),D135/Population!D29*10000,NA())</f>
        <v>12.676056338028168</v>
      </c>
      <c r="L135" s="97">
        <f>IF(ISNUMBER(E135),E135/Population!E29*10000,NA())</f>
        <v>13.795110593713622</v>
      </c>
      <c r="M135" s="97">
        <f>IF(ISNUMBER(F135),F135/Population!F29*10000,NA())</f>
        <v>15.637622619734564</v>
      </c>
      <c r="N135" s="97">
        <f>IF(ISNUMBER(G135),G135/Population!G29*10000,NA())</f>
        <v>13.737836290784202</v>
      </c>
      <c r="O135" s="98">
        <f>IF(ISNUMBER(H135),H135/Population!H29*10000,NA())</f>
        <v>19.080068143100512</v>
      </c>
      <c r="P135" s="99">
        <f t="shared" si="33"/>
        <v>19.080068143100512</v>
      </c>
      <c r="Q135" s="822">
        <f t="shared" si="34"/>
        <v>13</v>
      </c>
      <c r="R135" s="70"/>
      <c r="S135" s="340">
        <f t="shared" si="35"/>
        <v>11</v>
      </c>
      <c r="T135" s="341">
        <f t="shared" si="26"/>
        <v>12.359296215762326</v>
      </c>
      <c r="U135" s="342">
        <f t="shared" si="36"/>
        <v>6.7207719273381858</v>
      </c>
      <c r="V135" s="122"/>
      <c r="W135" s="139"/>
      <c r="X135" s="152"/>
      <c r="Y135" s="72" t="str">
        <f t="shared" si="37"/>
        <v>West Sussex</v>
      </c>
      <c r="Z135" s="44">
        <f>IF(H135&gt;0,IDACI!D28,0)</f>
        <v>151487</v>
      </c>
      <c r="AA135" s="44">
        <f>IF(H135&gt;0,IDACI!E28,0)</f>
        <v>16663.57</v>
      </c>
      <c r="AB135" s="205">
        <f>IF(ISNUMBER(D135),Population!D29,"")</f>
        <v>170400</v>
      </c>
      <c r="AC135" s="205">
        <f>IF(ISNUMBER(E135),Population!E29,"")</f>
        <v>171800</v>
      </c>
      <c r="AD135" s="205">
        <f>IF(ISNUMBER(F135),Population!F29,"")</f>
        <v>173300</v>
      </c>
      <c r="AE135" s="205">
        <f>IF(ISNUMBER(G135),Population!G29,"")</f>
        <v>174700</v>
      </c>
      <c r="AF135" s="205">
        <f>IF(ISNUMBER(H135),Population!H29,"")</f>
        <v>176100</v>
      </c>
      <c r="AG135" s="202"/>
      <c r="AH135" s="202"/>
      <c r="AI135" s="190"/>
      <c r="AJ135" s="202"/>
      <c r="AK135" s="160"/>
      <c r="AL135" s="853">
        <f t="shared" si="40"/>
        <v>9.7222222222222224E-2</v>
      </c>
      <c r="AM135" s="853">
        <f t="shared" si="41"/>
        <v>0.14345991561181434</v>
      </c>
      <c r="AN135" s="853">
        <f t="shared" si="42"/>
        <v>-0.11439114391143912</v>
      </c>
      <c r="AO135" s="853">
        <f t="shared" si="43"/>
        <v>0.4</v>
      </c>
      <c r="AP135" s="853">
        <f t="shared" si="44"/>
        <v>0.13157274848064937</v>
      </c>
      <c r="AR135" s="936">
        <f t="shared" si="45"/>
        <v>13.795110593713622</v>
      </c>
      <c r="AS135" s="936">
        <f t="shared" si="27"/>
        <v>15.637622619734564</v>
      </c>
      <c r="AT135" s="936">
        <f t="shared" si="28"/>
        <v>13.737836290784202</v>
      </c>
      <c r="AU135" s="936">
        <f t="shared" si="47"/>
        <v>19.080068143100512</v>
      </c>
      <c r="AV135" s="936">
        <f t="shared" si="48"/>
        <v>62.250637647332901</v>
      </c>
      <c r="AW135" s="575">
        <f t="shared" si="49"/>
        <v>0</v>
      </c>
      <c r="AX135" s="936">
        <f t="shared" si="50"/>
        <v>62.250637647332901</v>
      </c>
    </row>
    <row r="136" spans="1:50" s="87" customFormat="1" ht="13.5" customHeight="1" x14ac:dyDescent="0.2">
      <c r="A136" s="488">
        <f>VLOOKUP(B136,Sheet1!$AQ$4:$AR$25,2,FALSE)</f>
        <v>0</v>
      </c>
      <c r="B136" s="93" t="str">
        <f>Sheet1!$K$24</f>
        <v>Windsor &amp; Maidenhead</v>
      </c>
      <c r="C136" s="85"/>
      <c r="D136" s="100">
        <f>IF(Year1_Windsor_Maidenhead Year1_Care_Applications_Children="","",Year1_Windsor_Maidenhead Year1_Care_Applications_Children)</f>
        <v>21</v>
      </c>
      <c r="E136" s="94">
        <f>IF(Year2_Windsor_Maidenhead Year2_Care_Applications_Children="","",Year2_Windsor_Maidenhead Year2_Care_Applications_Children)</f>
        <v>34</v>
      </c>
      <c r="F136" s="94">
        <f>IF(Year3_Windsor_Maidenhead Year3_Care_Applications_Children="","",Year3_Windsor_Maidenhead Year3_Care_Applications_Children)</f>
        <v>32</v>
      </c>
      <c r="G136" s="94">
        <f>IF(Year4_Windsor_Maidenhead Year4_Care_Applications_Children="","",Year4_Windsor_Maidenhead Year4_Care_Applications_Children)</f>
        <v>46</v>
      </c>
      <c r="H136" s="848">
        <f>IF(Year5_Windsor_Maidenhead Year5_Care_Applications_Children="","",Year5_Windsor_Maidenhead Year5_Care_Applications_Children)</f>
        <v>40</v>
      </c>
      <c r="I136" s="1026">
        <f t="shared" si="32"/>
        <v>0.21682232675678967</v>
      </c>
      <c r="J136" s="96"/>
      <c r="K136" s="97">
        <f>IF(ISNUMBER(D136),D136/Population!D30*10000,NA())</f>
        <v>6.2314540059347179</v>
      </c>
      <c r="L136" s="97">
        <f>IF(ISNUMBER(E136),E136/Population!E30*10000,NA())</f>
        <v>9.9415204678362574</v>
      </c>
      <c r="M136" s="97">
        <f>IF(ISNUMBER(F136),F136/Population!F30*10000,NA())</f>
        <v>9.3023255813953494</v>
      </c>
      <c r="N136" s="97">
        <f>IF(ISNUMBER(G136),G136/Population!G30*10000,NA())</f>
        <v>13.294797687861271</v>
      </c>
      <c r="O136" s="98">
        <f>IF(ISNUMBER(H136),H136/Population!H30*10000,NA())</f>
        <v>11.527377521613833</v>
      </c>
      <c r="P136" s="99">
        <f t="shared" si="33"/>
        <v>11.527377521613833</v>
      </c>
      <c r="Q136" s="822">
        <f t="shared" si="34"/>
        <v>8</v>
      </c>
      <c r="R136" s="70"/>
      <c r="S136" s="340">
        <f t="shared" si="35"/>
        <v>6.7</v>
      </c>
      <c r="T136" s="341">
        <f t="shared" si="26"/>
        <v>7.3945568345203627</v>
      </c>
      <c r="U136" s="342">
        <f t="shared" si="36"/>
        <v>4.1328206870934698</v>
      </c>
      <c r="V136" s="122"/>
      <c r="W136" s="139"/>
      <c r="X136" s="152"/>
      <c r="Y136" s="72" t="str">
        <f t="shared" si="37"/>
        <v>Windsor &amp; Maidenhead</v>
      </c>
      <c r="Z136" s="44">
        <f>IF(H136&gt;0,IDACI!D29,0)</f>
        <v>29792</v>
      </c>
      <c r="AA136" s="44">
        <f>IF(H136&gt;0,IDACI!E29,0)</f>
        <v>1996.0640000000001</v>
      </c>
      <c r="AB136" s="205">
        <f>IF(ISNUMBER(D136),Population!D30,"")</f>
        <v>33700</v>
      </c>
      <c r="AC136" s="205">
        <f>IF(ISNUMBER(E136),Population!E30,"")</f>
        <v>34200</v>
      </c>
      <c r="AD136" s="205">
        <f>IF(ISNUMBER(F136),Population!F30,"")</f>
        <v>34400</v>
      </c>
      <c r="AE136" s="205">
        <f>IF(ISNUMBER(G136),Population!G30,"")</f>
        <v>34600</v>
      </c>
      <c r="AF136" s="205">
        <f>IF(ISNUMBER(H136),Population!H30,"")</f>
        <v>34700</v>
      </c>
      <c r="AG136" s="202"/>
      <c r="AH136" s="202"/>
      <c r="AI136" s="190"/>
      <c r="AJ136" s="202"/>
      <c r="AK136" s="160"/>
      <c r="AL136" s="853">
        <f t="shared" si="40"/>
        <v>0.61904761904761907</v>
      </c>
      <c r="AM136" s="853">
        <f t="shared" si="41"/>
        <v>-5.8823529411764705E-2</v>
      </c>
      <c r="AN136" s="853">
        <f t="shared" si="42"/>
        <v>0.4375</v>
      </c>
      <c r="AO136" s="853">
        <f t="shared" si="43"/>
        <v>-0.13043478260869565</v>
      </c>
      <c r="AP136" s="853">
        <f t="shared" si="44"/>
        <v>0.21682232675678967</v>
      </c>
      <c r="AR136" s="936">
        <f t="shared" si="45"/>
        <v>9.9415204678362574</v>
      </c>
      <c r="AS136" s="936">
        <f t="shared" si="27"/>
        <v>9.3023255813953494</v>
      </c>
      <c r="AT136" s="936">
        <f t="shared" si="28"/>
        <v>13.294797687861271</v>
      </c>
      <c r="AU136" s="936">
        <f t="shared" si="47"/>
        <v>11.527377521613833</v>
      </c>
      <c r="AV136" s="936">
        <f t="shared" si="48"/>
        <v>44.066021258706712</v>
      </c>
      <c r="AW136" s="575">
        <f t="shared" si="49"/>
        <v>0</v>
      </c>
      <c r="AX136" s="936">
        <f>AV136/(4-AW136)*4</f>
        <v>44.066021258706712</v>
      </c>
    </row>
    <row r="137" spans="1:50" s="87" customFormat="1" ht="13.5" customHeight="1" x14ac:dyDescent="0.2">
      <c r="A137" s="488">
        <f>VLOOKUP(B137,Sheet1!$AQ$4:$AR$25,2,FALSE)</f>
        <v>0</v>
      </c>
      <c r="B137" s="93" t="str">
        <f>Sheet1!$K$25</f>
        <v>Wokingham</v>
      </c>
      <c r="C137" s="85"/>
      <c r="D137" s="100">
        <f>IF(Year1_Wokingham Year1_Care_Applications_Children="","",Year1_Wokingham Year1_Care_Applications_Children)</f>
        <v>31</v>
      </c>
      <c r="E137" s="94">
        <f>IF(Year2_Wokingham Year2_Care_Applications_Children="","",Year2_Wokingham Year2_Care_Applications_Children)</f>
        <v>27</v>
      </c>
      <c r="F137" s="94">
        <f>IF(Year3_Wokingham Year3_Care_Applications_Children="","",Year3_Wokingham Year3_Care_Applications_Children)</f>
        <v>44</v>
      </c>
      <c r="G137" s="94">
        <f>IF(Year4_Wokingham Year4_Care_Applications_Children="","",Year4_Wokingham Year4_Care_Applications_Children)</f>
        <v>48</v>
      </c>
      <c r="H137" s="848">
        <f>IF(Year5_Wokingham Year5_Care_Applications_Children="","",Year5_Wokingham Year5_Care_Applications_Children)</f>
        <v>40</v>
      </c>
      <c r="I137" s="1026">
        <f t="shared" si="32"/>
        <v>0.10620994895188446</v>
      </c>
      <c r="J137" s="96"/>
      <c r="K137" s="97">
        <f>IF(ISNUMBER(D137),D137/Population!D31*10000,NA())</f>
        <v>8.310991957104557</v>
      </c>
      <c r="L137" s="97">
        <f>IF(ISNUMBER(E137),E137/Population!E31*10000,NA())</f>
        <v>7.1052631578947372</v>
      </c>
      <c r="M137" s="97">
        <f>IF(ISNUMBER(F137),F137/Population!F31*10000,NA())</f>
        <v>11.36950904392765</v>
      </c>
      <c r="N137" s="97">
        <f>IF(ISNUMBER(G137),G137/Population!G31*10000,NA())</f>
        <v>12.151898734177216</v>
      </c>
      <c r="O137" s="98">
        <f>IF(ISNUMBER(H137),H137/Population!H31*10000,NA())</f>
        <v>9.9009900990099009</v>
      </c>
      <c r="P137" s="99">
        <f t="shared" si="33"/>
        <v>9.9009900990099009</v>
      </c>
      <c r="Q137" s="822">
        <f t="shared" si="34"/>
        <v>3</v>
      </c>
      <c r="R137" s="70"/>
      <c r="S137" s="340">
        <f t="shared" si="35"/>
        <v>5.6000000000000005</v>
      </c>
      <c r="T137" s="341">
        <f t="shared" si="26"/>
        <v>6.1245072253654431</v>
      </c>
      <c r="U137" s="342">
        <f t="shared" si="36"/>
        <v>3.7764828736444578</v>
      </c>
      <c r="V137" s="122"/>
      <c r="W137" s="139"/>
      <c r="X137" s="152"/>
      <c r="Y137" s="72" t="str">
        <f t="shared" si="37"/>
        <v>Wokingham</v>
      </c>
      <c r="Z137" s="44">
        <f>IF(H137&gt;0,IDACI!D30,0)</f>
        <v>33327</v>
      </c>
      <c r="AA137" s="44">
        <f>IF(H137&gt;0,IDACI!E30,0)</f>
        <v>1866.3120000000004</v>
      </c>
      <c r="AB137" s="205">
        <f>IF(ISNUMBER(D137),Population!D31,"")</f>
        <v>37300</v>
      </c>
      <c r="AC137" s="205">
        <f>IF(ISNUMBER(E137),Population!E31,"")</f>
        <v>38000</v>
      </c>
      <c r="AD137" s="205">
        <f>IF(ISNUMBER(F137),Population!F31,"")</f>
        <v>38700</v>
      </c>
      <c r="AE137" s="205">
        <f>IF(ISNUMBER(G137),Population!G31,"")</f>
        <v>39500</v>
      </c>
      <c r="AF137" s="205">
        <f>IF(ISNUMBER(H137),Population!H31,"")</f>
        <v>40400</v>
      </c>
      <c r="AG137" s="202"/>
      <c r="AH137" s="202"/>
      <c r="AI137" s="190"/>
      <c r="AJ137" s="202"/>
      <c r="AK137" s="160"/>
      <c r="AL137" s="853">
        <f t="shared" si="40"/>
        <v>-0.12903225806451613</v>
      </c>
      <c r="AM137" s="853">
        <f t="shared" si="41"/>
        <v>0.62962962962962965</v>
      </c>
      <c r="AN137" s="853">
        <f t="shared" si="42"/>
        <v>9.0909090909090912E-2</v>
      </c>
      <c r="AO137" s="853">
        <f t="shared" si="43"/>
        <v>-0.16666666666666666</v>
      </c>
      <c r="AP137" s="853">
        <f t="shared" si="44"/>
        <v>0.10620994895188446</v>
      </c>
      <c r="AR137" s="936">
        <f t="shared" si="45"/>
        <v>7.1052631578947372</v>
      </c>
      <c r="AS137" s="936">
        <f t="shared" si="27"/>
        <v>11.36950904392765</v>
      </c>
      <c r="AT137" s="936">
        <f t="shared" si="28"/>
        <v>12.151898734177216</v>
      </c>
      <c r="AU137" s="936">
        <f t="shared" si="47"/>
        <v>9.9009900990099009</v>
      </c>
      <c r="AV137" s="936">
        <f t="shared" si="48"/>
        <v>40.527661035009501</v>
      </c>
      <c r="AW137" s="575">
        <f t="shared" si="49"/>
        <v>0</v>
      </c>
      <c r="AX137" s="936">
        <f t="shared" ref="AX137:AX139" si="51">AV137/(4-AW137)*4</f>
        <v>40.527661035009501</v>
      </c>
    </row>
    <row r="138" spans="1:50" s="87" customFormat="1" ht="13.5" customHeight="1" x14ac:dyDescent="0.2">
      <c r="A138" s="121"/>
      <c r="B138" s="129" t="str">
        <f>Sheet1!$K$26</f>
        <v>South East</v>
      </c>
      <c r="C138" s="85"/>
      <c r="D138" s="130">
        <f>IF(Year1_SouthEast Year1_Care_Applications_Children="","",Year1_SouthEast Year1_Care_Applications_Children)</f>
        <v>3052</v>
      </c>
      <c r="E138" s="130">
        <f>IF(Year2_SouthEast Year2_Care_Applications_Children="","",Year2_SouthEast Year2_Care_Applications_Children)</f>
        <v>3129</v>
      </c>
      <c r="F138" s="130">
        <f>IF(Year3_SouthEast Year3_Care_Applications_Children="","",Year3_SouthEast Year3_Care_Applications_Children)</f>
        <v>3190</v>
      </c>
      <c r="G138" s="130">
        <f>IF(Year4_SouthEast Year4_Care_Applications_Children="","",Year4_SouthEast Year4_Care_Applications_Children)</f>
        <v>3015</v>
      </c>
      <c r="H138" s="490">
        <f>IF(Year5_SouthEast Year5_Care_Applications_Children="","",Year5_SouthEast Year5_Care_Applications_Children)</f>
        <v>2848</v>
      </c>
      <c r="I138" s="1027">
        <f t="shared" si="32"/>
        <v>-2.2842620579628624E-2</v>
      </c>
      <c r="J138" s="96"/>
      <c r="K138" s="132">
        <f>IF(ISNUMBER(D138),D138/Population!D32*10000,NA())</f>
        <v>15.911579166883897</v>
      </c>
      <c r="L138" s="132">
        <f>IF(ISNUMBER(E138),E138/Population!E32*10000,NA())</f>
        <v>16.185599006828056</v>
      </c>
      <c r="M138" s="132">
        <f>IF(ISNUMBER(F138),F138/Population!F32*10000,NA())</f>
        <v>16.410309172282524</v>
      </c>
      <c r="N138" s="132">
        <f>IF(ISNUMBER(G138),G138/Population!G32*10000,NA())</f>
        <v>15.402298850574713</v>
      </c>
      <c r="O138" s="133">
        <f>IF(ISNUMBER(H138),H138/Population!H32*10000,NA())</f>
        <v>14.461991570608845</v>
      </c>
      <c r="P138" s="99">
        <f t="shared" si="33"/>
        <v>14.461991570608845</v>
      </c>
      <c r="Q138" s="134" t="str">
        <f t="shared" si="34"/>
        <v>--</v>
      </c>
      <c r="R138" s="70"/>
      <c r="S138" s="338">
        <f>AA138/Z138*100</f>
        <v>12.371268250968637</v>
      </c>
      <c r="T138" s="338">
        <f t="shared" si="26"/>
        <v>13.942549585025297</v>
      </c>
      <c r="U138" s="343">
        <f t="shared" si="36"/>
        <v>0.51944198558354771</v>
      </c>
      <c r="V138" s="122"/>
      <c r="W138" s="139"/>
      <c r="X138" s="152"/>
      <c r="Y138" s="72" t="str">
        <f t="shared" si="37"/>
        <v>South East</v>
      </c>
      <c r="Z138" s="44">
        <f>SUM(Z130:Z131,Z116:Z128,Z134:Z137)</f>
        <v>1704978</v>
      </c>
      <c r="AA138" s="44">
        <f>SUM(AA130:AA131,AA116:AA128,AA134:AA137)</f>
        <v>210927.40200000003</v>
      </c>
      <c r="AB138" s="205">
        <f>SUM(AB116:AB128,AB130:AB131,AB134:AB137)</f>
        <v>1918100</v>
      </c>
      <c r="AC138" s="205">
        <f t="shared" ref="AC138" si="52">SUM(AC116:AC128,AC130:AC131,AC134:AC137)</f>
        <v>1933100</v>
      </c>
      <c r="AD138" s="205">
        <f t="shared" ref="AD138" si="53">SUM(AD116:AD128,AD130:AD131,AD134:AD137)</f>
        <v>1943900</v>
      </c>
      <c r="AE138" s="205">
        <f t="shared" ref="AE138" si="54">SUM(AE116:AE128,AE130:AE131,AE134:AE137)</f>
        <v>1957400</v>
      </c>
      <c r="AF138" s="205">
        <f t="shared" ref="AF138" si="55">SUM(AF116:AF128,AF130:AF131,AF134:AF137)</f>
        <v>1969200</v>
      </c>
      <c r="AG138" s="202"/>
      <c r="AH138" s="202"/>
      <c r="AI138" s="190"/>
      <c r="AJ138" s="202"/>
      <c r="AK138" s="160"/>
      <c r="AL138" s="1025">
        <f>IF(ISERROR((L138-K138)/K138),"x",(L138-K138)/K138)</f>
        <v>1.7221410714183892E-2</v>
      </c>
      <c r="AM138" s="1025">
        <f t="shared" ref="AM138" si="56">IF(ISERROR((M138-L138)/L138),"x",(M138-L138)/L138)</f>
        <v>1.3883339464895408E-2</v>
      </c>
      <c r="AN138" s="1025">
        <f t="shared" ref="AN138" si="57">IF(ISERROR((N138-M138)/M138),"x",(N138-M138)/M138)</f>
        <v>-6.1425431484884455E-2</v>
      </c>
      <c r="AO138" s="1025">
        <f t="shared" ref="AO138" si="58">IF(ISERROR((O138-N138)/N138),"x",(O138-N138)/N138)</f>
        <v>-6.1049801012709341E-2</v>
      </c>
      <c r="AP138" s="853">
        <f t="shared" si="44"/>
        <v>-2.2842620579628624E-2</v>
      </c>
      <c r="AR138" s="936">
        <f t="shared" si="45"/>
        <v>16.185599006828056</v>
      </c>
      <c r="AS138" s="936">
        <f t="shared" si="27"/>
        <v>16.410309172282524</v>
      </c>
      <c r="AT138" s="936">
        <f t="shared" si="28"/>
        <v>15.402298850574713</v>
      </c>
      <c r="AU138" s="936">
        <f t="shared" si="47"/>
        <v>14.461991570608845</v>
      </c>
      <c r="AV138" s="936">
        <f t="shared" si="48"/>
        <v>62.460198600294135</v>
      </c>
      <c r="AW138" s="575">
        <f t="shared" si="49"/>
        <v>0</v>
      </c>
      <c r="AX138" s="936">
        <f t="shared" si="51"/>
        <v>62.460198600294135</v>
      </c>
    </row>
    <row r="139" spans="1:50" s="87" customFormat="1" ht="13.5" customHeight="1" x14ac:dyDescent="0.2">
      <c r="A139" s="292"/>
      <c r="B139" s="329" t="str">
        <f>Sheet1!$K$27</f>
        <v>England</v>
      </c>
      <c r="C139" s="85"/>
      <c r="D139" s="330">
        <f>IF(Year1_England Year1_Care_Applications_Children="","",Year1_England Year1_Care_Applications_Children)</f>
        <v>21264</v>
      </c>
      <c r="E139" s="330">
        <f>IF(Year2_England Year2_Care_Applications_Children="","",Year2_England Year2_Care_Applications_Children)</f>
        <v>24094</v>
      </c>
      <c r="F139" s="330">
        <f>IF(Year3_England Year3_Care_Applications_Children="","",Year3_England Year3_Care_Applications_Children)</f>
        <v>23606</v>
      </c>
      <c r="G139" s="330">
        <f>IF(Year4_England Year4_Care_Applications_Children="","",Year4_England Year4_Care_Applications_Children)</f>
        <v>22053</v>
      </c>
      <c r="H139" s="491">
        <f>IF(Year5_England Year5_Care_Applications_Children="","",Year5_England Year5_Care_Applications_Children)</f>
        <v>21105</v>
      </c>
      <c r="I139" s="1028">
        <f t="shared" si="32"/>
        <v>1.0147689661165662E-3</v>
      </c>
      <c r="J139" s="96"/>
      <c r="K139" s="332">
        <f>IF(ISNUMBER(D139),D139/Population!D33*10000,NA())</f>
        <v>18.208753286121649</v>
      </c>
      <c r="L139" s="332">
        <f>IF(ISNUMBER(E139),E139/Population!E33*10000,NA())</f>
        <v>20.444112580927086</v>
      </c>
      <c r="M139" s="332">
        <f>IF(ISNUMBER(F139),F139/Population!F33*10000,NA())</f>
        <v>19.892137861296028</v>
      </c>
      <c r="N139" s="332">
        <f>IF(ISNUMBER(G139),G139/Population!G33*10000,NA())</f>
        <v>18.447292255700734</v>
      </c>
      <c r="O139" s="333">
        <f>IF(ISNUMBER(H139),H139/Population!H33*10000,NA())</f>
        <v>17.552979141022654</v>
      </c>
      <c r="P139" s="99">
        <f t="shared" si="33"/>
        <v>17.552979141022654</v>
      </c>
      <c r="Q139" s="858" t="str">
        <f t="shared" si="34"/>
        <v>--</v>
      </c>
      <c r="R139" s="70"/>
      <c r="S139" s="339">
        <f t="shared" si="35"/>
        <v>17.084413405029373</v>
      </c>
      <c r="T139" s="339">
        <f t="shared" si="26"/>
        <v>19.384302458484612</v>
      </c>
      <c r="U139" s="624">
        <f t="shared" si="36"/>
        <v>-1.8313233174619583</v>
      </c>
      <c r="V139" s="122"/>
      <c r="W139" s="139"/>
      <c r="X139" s="152"/>
      <c r="Y139" s="72" t="str">
        <f t="shared" si="37"/>
        <v>England</v>
      </c>
      <c r="Z139" s="44">
        <f>IF(H139&gt;0,IDACI!D134,0)</f>
        <v>0</v>
      </c>
      <c r="AA139" s="44">
        <f>IF(H139&gt;0,IDACI!E134,0)</f>
        <v>0</v>
      </c>
      <c r="AB139" s="205">
        <f>IF(ISNUMBER(D139),Population!D136,"")</f>
        <v>0</v>
      </c>
      <c r="AC139" s="205">
        <f>IF(ISNUMBER(E139),Population!E136,"")</f>
        <v>0</v>
      </c>
      <c r="AD139" s="205">
        <f>IF(ISNUMBER(F139),Population!F136,"")</f>
        <v>0</v>
      </c>
      <c r="AE139" s="205">
        <f>IF(ISNUMBER(G139),Population!G136,"")</f>
        <v>0</v>
      </c>
      <c r="AF139" s="205">
        <f>IF(ISNUMBER(H139),Population!H136,"")</f>
        <v>0</v>
      </c>
      <c r="AG139" s="202"/>
      <c r="AH139" s="202"/>
      <c r="AI139" s="190"/>
      <c r="AJ139" s="202"/>
      <c r="AK139" s="160"/>
      <c r="AL139" s="853">
        <f t="shared" ref="AL139" si="59">IF(ISERROR((E139-D139)/D139),"x",(E139-D139)/D139)</f>
        <v>0.13308878856282919</v>
      </c>
      <c r="AM139" s="853">
        <f t="shared" ref="AM139" si="60">IF(ISERROR((F139-E139)/E139),"x",(F139-E139)/E139)</f>
        <v>-2.0254005146509504E-2</v>
      </c>
      <c r="AN139" s="853">
        <f t="shared" ref="AN139" si="61">IF(ISERROR((G139-F139)/F139),"x",(G139-F139)/F139)</f>
        <v>-6.5788358891807161E-2</v>
      </c>
      <c r="AO139" s="853">
        <f t="shared" ref="AO139" si="62">IF(ISERROR((H139-G139)/G139),"x",(H139-G139)/G139)</f>
        <v>-4.2987348660046255E-2</v>
      </c>
      <c r="AP139" s="853">
        <f>AVERAGE(AL139:AO139)</f>
        <v>1.0147689661165662E-3</v>
      </c>
      <c r="AR139" s="936">
        <f t="shared" si="45"/>
        <v>20.444112580927086</v>
      </c>
      <c r="AS139" s="936">
        <f t="shared" si="27"/>
        <v>19.892137861296028</v>
      </c>
      <c r="AT139" s="936">
        <f t="shared" si="28"/>
        <v>18.447292255700734</v>
      </c>
      <c r="AU139" s="936">
        <f t="shared" si="47"/>
        <v>17.552979141022654</v>
      </c>
      <c r="AV139" s="936">
        <f t="shared" si="48"/>
        <v>76.33652183894651</v>
      </c>
      <c r="AW139" s="575">
        <f t="shared" si="49"/>
        <v>0</v>
      </c>
      <c r="AX139" s="936">
        <f t="shared" si="51"/>
        <v>76.33652183894651</v>
      </c>
    </row>
    <row r="140" spans="1:50" s="81" customFormat="1" ht="13.5" customHeight="1" x14ac:dyDescent="0.2">
      <c r="A140" s="118"/>
      <c r="B140" s="123" t="s">
        <v>90</v>
      </c>
      <c r="C140" s="63"/>
      <c r="D140" s="63"/>
      <c r="E140" s="63"/>
      <c r="F140" s="63"/>
      <c r="G140" s="63"/>
      <c r="H140" s="63"/>
      <c r="I140" s="63"/>
      <c r="J140" s="63"/>
      <c r="K140" s="63"/>
      <c r="L140" s="63"/>
      <c r="M140" s="63"/>
      <c r="N140" s="63"/>
      <c r="O140" s="63"/>
      <c r="P140" s="63"/>
      <c r="Q140" s="136" t="s">
        <v>108</v>
      </c>
      <c r="S140" s="63"/>
      <c r="T140" s="63"/>
      <c r="U140" s="63"/>
      <c r="V140" s="117"/>
      <c r="W140" s="137"/>
      <c r="X140" s="150"/>
      <c r="Y140" s="80"/>
      <c r="Z140" s="184"/>
      <c r="AA140" s="184"/>
      <c r="AB140" s="184"/>
      <c r="AC140" s="184"/>
      <c r="AD140" s="184"/>
      <c r="AE140" s="184"/>
      <c r="AF140" s="184"/>
      <c r="AG140" s="184"/>
      <c r="AH140" s="184"/>
      <c r="AJ140" s="184"/>
      <c r="AK140" s="161"/>
    </row>
    <row r="141" spans="1:50" s="81" customFormat="1" ht="26.25" customHeight="1" x14ac:dyDescent="0.2">
      <c r="A141" s="118"/>
      <c r="B141" s="1923"/>
      <c r="C141" s="1763"/>
      <c r="D141" s="1763"/>
      <c r="E141" s="1763"/>
      <c r="F141" s="1763"/>
      <c r="G141" s="1763"/>
      <c r="H141" s="1763"/>
      <c r="I141" s="1763"/>
      <c r="J141" s="1763"/>
      <c r="K141" s="1763"/>
      <c r="L141" s="1763"/>
      <c r="M141" s="1763"/>
      <c r="N141" s="1763"/>
      <c r="O141" s="1763"/>
      <c r="P141" s="1763"/>
      <c r="Q141" s="1763"/>
      <c r="R141" s="1763"/>
      <c r="S141" s="1763"/>
      <c r="T141" s="1763"/>
      <c r="U141" s="1764"/>
      <c r="V141" s="117"/>
      <c r="W141" s="137"/>
      <c r="X141" s="150"/>
      <c r="Y141" s="80"/>
      <c r="Z141" s="184"/>
      <c r="AA141" s="184"/>
      <c r="AB141" s="184"/>
      <c r="AC141" s="184"/>
      <c r="AD141" s="184"/>
      <c r="AE141" s="184"/>
      <c r="AF141" s="184"/>
      <c r="AG141" s="184"/>
      <c r="AH141" s="184"/>
      <c r="AJ141" s="184"/>
      <c r="AK141" s="157"/>
      <c r="AL141" s="74"/>
      <c r="AM141" s="74"/>
      <c r="AN141" s="74"/>
      <c r="AO141" s="74"/>
      <c r="AP141" s="74"/>
      <c r="AQ141" s="74"/>
      <c r="AR141" s="74"/>
    </row>
    <row r="142" spans="1:50" s="81" customFormat="1" ht="7.5" customHeight="1" x14ac:dyDescent="0.2">
      <c r="A142" s="118"/>
      <c r="B142" s="17"/>
      <c r="C142" s="17"/>
      <c r="D142" s="16"/>
      <c r="E142" s="16"/>
      <c r="F142" s="16"/>
      <c r="G142" s="16"/>
      <c r="H142" s="16"/>
      <c r="I142" s="16"/>
      <c r="J142" s="12"/>
      <c r="K142" s="18"/>
      <c r="L142" s="18"/>
      <c r="M142" s="18"/>
      <c r="N142" s="18"/>
      <c r="O142" s="18"/>
      <c r="P142" s="18"/>
      <c r="Q142" s="18"/>
      <c r="R142" s="18"/>
      <c r="S142" s="18"/>
      <c r="T142" s="18"/>
      <c r="U142" s="19"/>
      <c r="V142" s="117"/>
      <c r="W142" s="137"/>
      <c r="X142" s="150"/>
      <c r="Z142" s="190"/>
      <c r="AJ142" s="184"/>
      <c r="AK142" s="157"/>
      <c r="AL142" s="74"/>
      <c r="AM142" s="74"/>
      <c r="AN142" s="74"/>
      <c r="AO142" s="74"/>
      <c r="AP142" s="74"/>
      <c r="AQ142" s="74"/>
      <c r="AR142" s="74"/>
    </row>
    <row r="143" spans="1:50" s="81" customFormat="1" ht="15" customHeight="1" x14ac:dyDescent="0.2">
      <c r="A143" s="1716"/>
      <c r="B143" s="1760"/>
      <c r="C143" s="1760"/>
      <c r="D143" s="1760"/>
      <c r="E143" s="1760"/>
      <c r="F143" s="1760"/>
      <c r="G143" s="1760"/>
      <c r="H143" s="1760"/>
      <c r="I143" s="1760"/>
      <c r="J143" s="1760"/>
      <c r="K143" s="1760"/>
      <c r="L143" s="1760"/>
      <c r="M143" s="1760"/>
      <c r="N143" s="1760"/>
      <c r="O143" s="1760"/>
      <c r="P143" s="1760"/>
      <c r="Q143" s="1760"/>
      <c r="R143" s="1760"/>
      <c r="S143" s="1760"/>
      <c r="T143" s="1760"/>
      <c r="U143" s="1760"/>
      <c r="V143" s="1761"/>
      <c r="W143" s="137"/>
      <c r="X143" s="150"/>
      <c r="Z143" s="190"/>
      <c r="AK143" s="161"/>
      <c r="AM143" s="81">
        <f>COLUMNS($B$4:K$4)</f>
        <v>10</v>
      </c>
      <c r="AN143" s="81">
        <f>COLUMNS($B$4:L$4)</f>
        <v>11</v>
      </c>
      <c r="AO143" s="81">
        <f>COLUMNS($B$4:M$4)</f>
        <v>12</v>
      </c>
      <c r="AP143" s="81">
        <f>COLUMNS($B$4:N$4)</f>
        <v>13</v>
      </c>
      <c r="AQ143" s="81">
        <f>COLUMNS($B$4:O$4)</f>
        <v>14</v>
      </c>
      <c r="AR143" s="81">
        <f>COLUMNS($B$4:S$4)</f>
        <v>18</v>
      </c>
    </row>
    <row r="144" spans="1:50" s="81" customFormat="1" ht="11.1" customHeight="1" x14ac:dyDescent="0.2">
      <c r="A144" s="1765" t="str">
        <f>Home!$A$39</f>
        <v xml:space="preserve"> </v>
      </c>
      <c r="B144" s="1766"/>
      <c r="C144" s="1766"/>
      <c r="D144" s="1766"/>
      <c r="E144" s="1766"/>
      <c r="F144" s="1766"/>
      <c r="G144" s="1766"/>
      <c r="H144" s="1766"/>
      <c r="I144" s="1767"/>
      <c r="J144" s="1766"/>
      <c r="K144" s="1766"/>
      <c r="L144" s="1766"/>
      <c r="M144" s="1766"/>
      <c r="N144" s="1766"/>
      <c r="O144" s="1766"/>
      <c r="P144" s="1768"/>
      <c r="Q144" s="1766"/>
      <c r="R144" s="1766"/>
      <c r="S144" s="1766"/>
      <c r="T144" s="1767"/>
      <c r="U144" s="1766"/>
      <c r="V144" s="1769"/>
      <c r="W144" s="137"/>
      <c r="X144" s="150"/>
      <c r="Z144" s="190"/>
      <c r="AJ144" s="184"/>
      <c r="AK144" s="160"/>
      <c r="AL144" s="87"/>
      <c r="AM144" s="1773" t="s">
        <v>89</v>
      </c>
      <c r="AN144" s="1773"/>
      <c r="AO144" s="1773"/>
      <c r="AP144" s="1773"/>
      <c r="AQ144" s="1773"/>
      <c r="AR144" s="1773" t="s">
        <v>1213</v>
      </c>
    </row>
    <row r="145" spans="1:51" s="81" customFormat="1" ht="11.25" customHeight="1" x14ac:dyDescent="0.2">
      <c r="A145" s="112"/>
      <c r="B145" s="113"/>
      <c r="C145" s="113"/>
      <c r="D145" s="113"/>
      <c r="E145" s="113"/>
      <c r="F145" s="113"/>
      <c r="G145" s="113"/>
      <c r="H145" s="113"/>
      <c r="I145" s="113"/>
      <c r="J145" s="114"/>
      <c r="K145" s="113"/>
      <c r="L145" s="113"/>
      <c r="M145" s="113"/>
      <c r="N145" s="113"/>
      <c r="O145" s="113"/>
      <c r="P145" s="113"/>
      <c r="Q145" s="113"/>
      <c r="R145" s="113"/>
      <c r="S145" s="113"/>
      <c r="T145" s="113"/>
      <c r="U145" s="113"/>
      <c r="V145" s="115"/>
      <c r="W145" s="137"/>
      <c r="X145" s="149"/>
      <c r="Y145" s="197"/>
      <c r="Z145" s="197"/>
      <c r="AA145" s="197"/>
      <c r="AB145" s="197"/>
      <c r="AC145" s="197"/>
      <c r="AJ145" s="184"/>
      <c r="AK145" s="160"/>
      <c r="AL145" s="87"/>
      <c r="AM145" s="758" t="str">
        <f>Sheet1!$D$27</f>
        <v>2015-16</v>
      </c>
      <c r="AN145" s="758" t="str">
        <f>Sheet1!$E$27</f>
        <v>2016-17</v>
      </c>
      <c r="AO145" s="758" t="str">
        <f>Sheet1!$F$27</f>
        <v>2017-18</v>
      </c>
      <c r="AP145" s="758" t="str">
        <f>Sheet1!$G$27</f>
        <v>2018-19</v>
      </c>
      <c r="AQ145" s="758" t="str">
        <f>Sheet1!$H$27</f>
        <v>2019-20</v>
      </c>
      <c r="AR145" s="1773"/>
    </row>
    <row r="146" spans="1:51" s="81" customFormat="1" ht="22.5" customHeight="1" x14ac:dyDescent="0.25">
      <c r="A146" s="116"/>
      <c r="B146" s="9"/>
      <c r="C146" s="9"/>
      <c r="D146" s="9"/>
      <c r="E146" s="9"/>
      <c r="F146" s="9"/>
      <c r="G146" s="9"/>
      <c r="H146" s="9"/>
      <c r="I146" s="9"/>
      <c r="J146" s="12"/>
      <c r="K146" s="9"/>
      <c r="L146" s="9"/>
      <c r="M146" s="9"/>
      <c r="N146" s="9"/>
      <c r="O146" s="9"/>
      <c r="P146" s="9"/>
      <c r="Q146" s="9"/>
      <c r="R146" s="9"/>
      <c r="S146" s="9"/>
      <c r="T146" s="9"/>
      <c r="U146" s="9"/>
      <c r="V146" s="117"/>
      <c r="W146" s="137"/>
      <c r="X146" s="294"/>
      <c r="AD146" s="1320" t="s">
        <v>977</v>
      </c>
      <c r="AK146" s="160"/>
      <c r="AL146" s="87"/>
      <c r="AM146" s="758" t="e">
        <f>Sheet1!$D$28</f>
        <v>#N/A</v>
      </c>
      <c r="AN146" s="758" t="e">
        <f>Sheet1!$E$28</f>
        <v>#N/A</v>
      </c>
      <c r="AO146" s="758" t="e">
        <f>Sheet1!$F$28</f>
        <v>#N/A</v>
      </c>
      <c r="AP146" s="758" t="e">
        <f>Sheet1!$G$28</f>
        <v>#N/A</v>
      </c>
      <c r="AQ146" s="758" t="e">
        <f>Sheet1!$H$28</f>
        <v>#N/A</v>
      </c>
      <c r="AR146" s="1773"/>
    </row>
    <row r="147" spans="1:51" s="81" customFormat="1" ht="13.5" customHeight="1" x14ac:dyDescent="0.2">
      <c r="A147" s="118"/>
      <c r="B147" s="9"/>
      <c r="C147" s="9"/>
      <c r="D147" s="9"/>
      <c r="E147" s="9"/>
      <c r="F147" s="9"/>
      <c r="G147" s="9"/>
      <c r="H147" s="9"/>
      <c r="I147" s="9"/>
      <c r="J147" s="12"/>
      <c r="K147" s="9"/>
      <c r="L147" s="9"/>
      <c r="M147" s="9"/>
      <c r="N147" s="9"/>
      <c r="O147" s="9"/>
      <c r="P147" s="9"/>
      <c r="Q147" s="9"/>
      <c r="R147" s="9"/>
      <c r="S147" s="9"/>
      <c r="T147" s="9"/>
      <c r="U147" s="9"/>
      <c r="V147" s="117"/>
      <c r="W147" s="137"/>
      <c r="X147" s="294"/>
      <c r="Y147" s="43" t="s">
        <v>72</v>
      </c>
      <c r="Z147" s="43" t="s">
        <v>70</v>
      </c>
      <c r="AA147" s="43" t="s">
        <v>71</v>
      </c>
      <c r="AB147" s="1194">
        <v>5</v>
      </c>
      <c r="AC147" s="216">
        <f>(AB147*Z148)+AA148</f>
        <v>9.2779888511064872</v>
      </c>
      <c r="AD147" s="206">
        <f>ROUND(ChartLabels!$AA15,3)</f>
        <v>0.49199999999999999</v>
      </c>
      <c r="AJ147" s="585" t="b">
        <f>AJ41</f>
        <v>1</v>
      </c>
      <c r="AK147" s="160"/>
      <c r="AL147" s="87" t="str">
        <f>IF(AJ147=TRUE,B116,"")</f>
        <v>Bracknell Forest</v>
      </c>
      <c r="AM147" s="146">
        <f t="shared" ref="AM147:AQ156" si="63">VLOOKUP($AL147,$B$116:$O$139,AM$37,FALSE)</f>
        <v>18.085106382978722</v>
      </c>
      <c r="AN147" s="146">
        <f t="shared" si="63"/>
        <v>18.794326241134751</v>
      </c>
      <c r="AO147" s="146">
        <f t="shared" si="63"/>
        <v>30.60498220640569</v>
      </c>
      <c r="AP147" s="146">
        <f t="shared" si="63"/>
        <v>25.088339222614842</v>
      </c>
      <c r="AQ147" s="146">
        <f t="shared" si="63"/>
        <v>15.845070422535212</v>
      </c>
      <c r="AR147" s="147">
        <f>VLOOKUP(AL147,$B$10:$U$33,$AR$37,FALSE)</f>
        <v>8.9</v>
      </c>
    </row>
    <row r="148" spans="1:51" s="81" customFormat="1" ht="13.5" customHeight="1" x14ac:dyDescent="0.2">
      <c r="A148" s="118"/>
      <c r="B148" s="9"/>
      <c r="C148" s="9"/>
      <c r="D148" s="9"/>
      <c r="E148" s="9"/>
      <c r="F148" s="9"/>
      <c r="G148" s="9"/>
      <c r="H148" s="9"/>
      <c r="I148" s="9"/>
      <c r="J148" s="12"/>
      <c r="K148" s="9"/>
      <c r="L148" s="9"/>
      <c r="M148" s="9"/>
      <c r="N148" s="9"/>
      <c r="O148" s="9"/>
      <c r="P148" s="9"/>
      <c r="Q148" s="9"/>
      <c r="R148" s="9"/>
      <c r="S148" s="9"/>
      <c r="T148" s="9"/>
      <c r="U148" s="9"/>
      <c r="V148" s="117"/>
      <c r="W148" s="137"/>
      <c r="X148" s="294"/>
      <c r="Y148" s="212" t="str">
        <f>"Y= "&amp;Z148&amp;"x + "&amp;AA148</f>
        <v>Y= 0.880302594627673x + 4.87647587796812</v>
      </c>
      <c r="Z148" s="743">
        <f>ChartLabels!$Y15</f>
        <v>0.88030259462767291</v>
      </c>
      <c r="AA148" s="743">
        <f>ChartLabels!$Z15</f>
        <v>4.8764758779681223</v>
      </c>
      <c r="AB148" s="215">
        <v>35</v>
      </c>
      <c r="AC148" s="216">
        <f>(AB148*Z148)+AA148</f>
        <v>35.687066689936671</v>
      </c>
      <c r="AD148" s="1319" t="str">
        <f>AD146&amp;" = "&amp;AD147</f>
        <v>r² = 0.492</v>
      </c>
      <c r="AJ148" s="585" t="b">
        <f t="shared" ref="AJ148:AJ170" si="64">AJ42</f>
        <v>1</v>
      </c>
      <c r="AK148" s="160"/>
      <c r="AL148" s="87" t="str">
        <f t="shared" ref="AL148:AL170" si="65">IF(AJ148=TRUE,B117,"")</f>
        <v>Brighton &amp; Hove</v>
      </c>
      <c r="AM148" s="146">
        <f t="shared" si="63"/>
        <v>28.7109375</v>
      </c>
      <c r="AN148" s="146">
        <f t="shared" si="63"/>
        <v>32.163742690058484</v>
      </c>
      <c r="AO148" s="146">
        <f t="shared" si="63"/>
        <v>24.117647058823529</v>
      </c>
      <c r="AP148" s="146">
        <f t="shared" si="63"/>
        <v>20.3921568627451</v>
      </c>
      <c r="AQ148" s="146">
        <f t="shared" si="63"/>
        <v>25.248508946322069</v>
      </c>
      <c r="AR148" s="147">
        <f t="shared" ref="AR148:AR170" si="66">VLOOKUP(AL148,$B$10:$U$33,$AR$37,FALSE)</f>
        <v>15.299999999999999</v>
      </c>
    </row>
    <row r="149" spans="1:51" ht="13.5" customHeight="1" x14ac:dyDescent="0.2">
      <c r="A149" s="118"/>
      <c r="B149" s="9"/>
      <c r="C149" s="9"/>
      <c r="D149" s="9"/>
      <c r="E149" s="9"/>
      <c r="F149" s="9"/>
      <c r="G149" s="9"/>
      <c r="H149" s="9"/>
      <c r="I149" s="9"/>
      <c r="J149" s="12"/>
      <c r="K149" s="9"/>
      <c r="L149" s="9"/>
      <c r="M149" s="9"/>
      <c r="N149" s="9"/>
      <c r="O149" s="9"/>
      <c r="P149" s="9"/>
      <c r="Q149" s="9"/>
      <c r="R149" s="9"/>
      <c r="S149" s="9"/>
      <c r="T149" s="9"/>
      <c r="U149" s="9"/>
      <c r="V149" s="117"/>
      <c r="W149" s="137"/>
      <c r="X149" s="294"/>
      <c r="Y149" s="43" t="str">
        <f>"National Trend "&amp;Sheet1!$B$8</f>
        <v>National Trend 2020</v>
      </c>
      <c r="Z149" s="43" t="s">
        <v>70</v>
      </c>
      <c r="AA149" s="43" t="s">
        <v>71</v>
      </c>
      <c r="AB149" s="1194">
        <v>5</v>
      </c>
      <c r="AC149" s="216">
        <f>((AB149*Z150)+AA150)/$Y$2</f>
        <v>5.4317528930991221</v>
      </c>
      <c r="AD149" s="1319" t="str">
        <f>$AD$40&amp;" = "&amp;AD150</f>
        <v>r² = 0.328</v>
      </c>
      <c r="AJ149" s="585" t="b">
        <f t="shared" si="64"/>
        <v>1</v>
      </c>
      <c r="AK149" s="160"/>
      <c r="AL149" s="87" t="str">
        <f t="shared" si="65"/>
        <v>Buckinghamshire</v>
      </c>
      <c r="AM149" s="146">
        <f t="shared" si="63"/>
        <v>15.671641791044776</v>
      </c>
      <c r="AN149" s="146">
        <f t="shared" si="63"/>
        <v>14.402618657937806</v>
      </c>
      <c r="AO149" s="146">
        <f t="shared" si="63"/>
        <v>11.535337124289196</v>
      </c>
      <c r="AP149" s="146">
        <f t="shared" si="63"/>
        <v>13.435237329042639</v>
      </c>
      <c r="AQ149" s="146">
        <f t="shared" si="63"/>
        <v>11.058074781225139</v>
      </c>
      <c r="AR149" s="147">
        <f t="shared" si="66"/>
        <v>8.5</v>
      </c>
      <c r="AS149" s="81"/>
      <c r="AT149" s="81"/>
      <c r="AU149" s="81"/>
      <c r="AV149" s="81"/>
      <c r="AW149" s="81"/>
      <c r="AX149" s="81"/>
      <c r="AY149" s="81"/>
    </row>
    <row r="150" spans="1:51" ht="13.5" customHeight="1" x14ac:dyDescent="0.2">
      <c r="A150" s="118"/>
      <c r="B150" s="9"/>
      <c r="C150" s="9"/>
      <c r="D150" s="9"/>
      <c r="E150" s="9"/>
      <c r="F150" s="9"/>
      <c r="G150" s="9"/>
      <c r="H150" s="9"/>
      <c r="I150" s="9"/>
      <c r="J150" s="12"/>
      <c r="K150" s="13"/>
      <c r="L150" s="13"/>
      <c r="M150" s="13"/>
      <c r="N150" s="13"/>
      <c r="O150" s="14"/>
      <c r="P150" s="14"/>
      <c r="Q150" s="14"/>
      <c r="R150" s="14"/>
      <c r="S150" s="14"/>
      <c r="T150" s="14"/>
      <c r="U150" s="14"/>
      <c r="V150" s="117"/>
      <c r="W150" s="137"/>
      <c r="X150" s="294"/>
      <c r="Y150" s="212" t="str">
        <f>"Y= "&amp;Z150&amp;"x + "&amp;AA150</f>
        <v>Y= 1.1545905537772x + -0.341199875786881</v>
      </c>
      <c r="Z150" s="1195">
        <f>Sheet1!$G$11</f>
        <v>1.1545905537772005</v>
      </c>
      <c r="AA150" s="1195">
        <f>Sheet1!$G$12</f>
        <v>-0.34119987578688082</v>
      </c>
      <c r="AB150" s="215">
        <v>35</v>
      </c>
      <c r="AC150" s="216">
        <f>((AB150*Z150)+AA150)/$Y$2</f>
        <v>40.069469506415132</v>
      </c>
      <c r="AD150" s="1195">
        <f>ROUND(Sheet1!$G$13,3)</f>
        <v>0.32800000000000001</v>
      </c>
      <c r="AJ150" s="585" t="b">
        <f t="shared" si="64"/>
        <v>1</v>
      </c>
      <c r="AK150" s="160"/>
      <c r="AL150" s="87" t="str">
        <f t="shared" si="65"/>
        <v>East Sussex</v>
      </c>
      <c r="AM150" s="146">
        <f t="shared" si="63"/>
        <v>12.653446647780925</v>
      </c>
      <c r="AN150" s="146">
        <f t="shared" si="63"/>
        <v>14.919735599622285</v>
      </c>
      <c r="AO150" s="146">
        <f t="shared" si="63"/>
        <v>13.113207547169811</v>
      </c>
      <c r="AP150" s="146">
        <f t="shared" si="63"/>
        <v>11.654135338345865</v>
      </c>
      <c r="AQ150" s="146">
        <f t="shared" si="63"/>
        <v>10.06585136406397</v>
      </c>
      <c r="AR150" s="147">
        <f t="shared" si="66"/>
        <v>16.100000000000001</v>
      </c>
      <c r="AS150" s="81"/>
      <c r="AT150" s="81"/>
      <c r="AU150" s="81"/>
      <c r="AV150" s="81"/>
      <c r="AW150" s="81"/>
      <c r="AX150" s="81"/>
      <c r="AY150" s="81"/>
    </row>
    <row r="151" spans="1:51" s="76" customFormat="1" ht="13.5" customHeight="1" x14ac:dyDescent="0.2">
      <c r="A151" s="119"/>
      <c r="B151" s="226"/>
      <c r="C151" s="226"/>
      <c r="D151" s="227"/>
      <c r="E151" s="227"/>
      <c r="F151" s="227"/>
      <c r="G151" s="227"/>
      <c r="H151" s="227"/>
      <c r="I151" s="227"/>
      <c r="J151" s="15"/>
      <c r="K151" s="9"/>
      <c r="L151" s="9"/>
      <c r="M151" s="9"/>
      <c r="N151" s="9"/>
      <c r="O151" s="9"/>
      <c r="P151" s="9"/>
      <c r="Q151" s="9"/>
      <c r="R151" s="9"/>
      <c r="S151" s="9"/>
      <c r="T151" s="9"/>
      <c r="U151" s="9"/>
      <c r="V151" s="120"/>
      <c r="W151" s="138"/>
      <c r="X151" s="295"/>
      <c r="AD151" s="81"/>
      <c r="AE151" s="81"/>
      <c r="AF151" s="81"/>
      <c r="AG151" s="81"/>
      <c r="AH151" s="81"/>
      <c r="AI151" s="81"/>
      <c r="AJ151" s="585" t="b">
        <f t="shared" si="64"/>
        <v>1</v>
      </c>
      <c r="AK151" s="160"/>
      <c r="AL151" s="87" t="str">
        <f t="shared" si="65"/>
        <v>Hampshire</v>
      </c>
      <c r="AM151" s="146">
        <f t="shared" si="63"/>
        <v>11.741752394466122</v>
      </c>
      <c r="AN151" s="146">
        <f t="shared" si="63"/>
        <v>14.108910891089108</v>
      </c>
      <c r="AO151" s="146">
        <f t="shared" si="63"/>
        <v>15.884221673138017</v>
      </c>
      <c r="AP151" s="146">
        <f t="shared" si="63"/>
        <v>15.457746478873238</v>
      </c>
      <c r="AQ151" s="146">
        <f t="shared" si="63"/>
        <v>11.537108688005627</v>
      </c>
      <c r="AR151" s="147">
        <f t="shared" si="66"/>
        <v>10.100000000000001</v>
      </c>
      <c r="AS151" s="81"/>
      <c r="AT151" s="81"/>
      <c r="AU151" s="81"/>
      <c r="AV151" s="81"/>
      <c r="AW151" s="81"/>
      <c r="AX151" s="81"/>
      <c r="AY151" s="81"/>
    </row>
    <row r="152" spans="1:51" ht="13.5" customHeight="1" x14ac:dyDescent="0.2">
      <c r="A152" s="118"/>
      <c r="B152" s="227"/>
      <c r="C152" s="227"/>
      <c r="D152" s="227"/>
      <c r="E152" s="227"/>
      <c r="F152" s="227"/>
      <c r="G152" s="227"/>
      <c r="H152" s="227"/>
      <c r="I152" s="227"/>
      <c r="J152" s="12"/>
      <c r="K152" s="14"/>
      <c r="L152" s="14"/>
      <c r="M152" s="14"/>
      <c r="N152" s="14"/>
      <c r="O152" s="9"/>
      <c r="P152" s="9"/>
      <c r="Q152" s="9"/>
      <c r="R152" s="9"/>
      <c r="S152" s="9"/>
      <c r="T152" s="9"/>
      <c r="U152" s="9"/>
      <c r="V152" s="117"/>
      <c r="W152" s="137"/>
      <c r="X152" s="294"/>
      <c r="AJ152" s="585" t="b">
        <f t="shared" si="64"/>
        <v>1</v>
      </c>
      <c r="AK152" s="160"/>
      <c r="AL152" s="87" t="str">
        <f t="shared" si="65"/>
        <v>Isle of Wight</v>
      </c>
      <c r="AM152" s="146">
        <f t="shared" si="63"/>
        <v>19.367588932806324</v>
      </c>
      <c r="AN152" s="146">
        <f t="shared" si="63"/>
        <v>22.619047619047617</v>
      </c>
      <c r="AO152" s="146">
        <f t="shared" si="63"/>
        <v>31.474103585657371</v>
      </c>
      <c r="AP152" s="146">
        <f t="shared" si="63"/>
        <v>24.899598393574298</v>
      </c>
      <c r="AQ152" s="146">
        <f t="shared" si="63"/>
        <v>18.218623481781375</v>
      </c>
      <c r="AR152" s="147">
        <f t="shared" si="66"/>
        <v>18</v>
      </c>
      <c r="AS152" s="348"/>
      <c r="AT152" s="348"/>
      <c r="AU152" s="348"/>
      <c r="AV152" s="348"/>
      <c r="AW152" s="348"/>
    </row>
    <row r="153" spans="1:51" ht="13.5" customHeight="1" x14ac:dyDescent="0.2">
      <c r="A153" s="118"/>
      <c r="B153" s="227"/>
      <c r="C153" s="227"/>
      <c r="D153" s="227"/>
      <c r="E153" s="227"/>
      <c r="F153" s="227"/>
      <c r="G153" s="227"/>
      <c r="H153" s="227"/>
      <c r="I153" s="227"/>
      <c r="J153" s="12"/>
      <c r="K153" s="14"/>
      <c r="L153" s="14"/>
      <c r="M153" s="14"/>
      <c r="N153" s="14"/>
      <c r="O153" s="9"/>
      <c r="P153" s="9"/>
      <c r="Q153" s="9"/>
      <c r="R153" s="9"/>
      <c r="S153" s="9"/>
      <c r="T153" s="9"/>
      <c r="U153" s="9"/>
      <c r="V153" s="117"/>
      <c r="W153" s="137"/>
      <c r="X153" s="294"/>
      <c r="AD153" s="207"/>
      <c r="AJ153" s="585" t="b">
        <f t="shared" si="64"/>
        <v>1</v>
      </c>
      <c r="AK153" s="160"/>
      <c r="AL153" s="87" t="str">
        <f t="shared" si="65"/>
        <v>Kent</v>
      </c>
      <c r="AM153" s="146">
        <f t="shared" si="63"/>
        <v>15.13317191283293</v>
      </c>
      <c r="AN153" s="146">
        <f t="shared" si="63"/>
        <v>15.675675675675675</v>
      </c>
      <c r="AO153" s="146">
        <f t="shared" si="63"/>
        <v>14.519488247545372</v>
      </c>
      <c r="AP153" s="146">
        <f t="shared" si="63"/>
        <v>11.114378124081153</v>
      </c>
      <c r="AQ153" s="146">
        <f t="shared" si="63"/>
        <v>13.263525305410122</v>
      </c>
      <c r="AR153" s="147">
        <f t="shared" si="66"/>
        <v>15.8</v>
      </c>
      <c r="AS153" s="348"/>
      <c r="AT153" s="348"/>
      <c r="AU153" s="348"/>
      <c r="AV153" s="348"/>
      <c r="AW153" s="348"/>
    </row>
    <row r="154" spans="1:51" ht="13.5" customHeight="1" x14ac:dyDescent="0.2">
      <c r="A154" s="118"/>
      <c r="B154" s="58"/>
      <c r="C154" s="58"/>
      <c r="D154" s="58"/>
      <c r="E154" s="58"/>
      <c r="F154" s="58"/>
      <c r="G154" s="58"/>
      <c r="H154" s="58"/>
      <c r="I154" s="58"/>
      <c r="J154" s="12"/>
      <c r="K154" s="14"/>
      <c r="L154" s="14"/>
      <c r="M154" s="14"/>
      <c r="N154" s="14"/>
      <c r="O154" s="9"/>
      <c r="P154" s="9"/>
      <c r="Q154" s="9"/>
      <c r="R154" s="9"/>
      <c r="S154" s="9"/>
      <c r="T154" s="9"/>
      <c r="U154" s="9"/>
      <c r="V154" s="117"/>
      <c r="W154" s="137"/>
      <c r="X154" s="294"/>
      <c r="AD154" s="184"/>
      <c r="AJ154" s="585" t="b">
        <f t="shared" si="64"/>
        <v>1</v>
      </c>
      <c r="AK154" s="160"/>
      <c r="AL154" s="87" t="str">
        <f t="shared" si="65"/>
        <v>Medway</v>
      </c>
      <c r="AM154" s="146">
        <f t="shared" si="63"/>
        <v>39.556962025316459</v>
      </c>
      <c r="AN154" s="146">
        <f t="shared" si="63"/>
        <v>14.599686028257457</v>
      </c>
      <c r="AO154" s="146">
        <f t="shared" si="63"/>
        <v>22.222222222222221</v>
      </c>
      <c r="AP154" s="146">
        <f t="shared" si="63"/>
        <v>18.322981366459629</v>
      </c>
      <c r="AQ154" s="146">
        <f t="shared" si="63"/>
        <v>23.846153846153847</v>
      </c>
      <c r="AR154" s="147">
        <f t="shared" si="66"/>
        <v>18.899999999999999</v>
      </c>
      <c r="AS154" s="348"/>
      <c r="AT154" s="348"/>
      <c r="AU154" s="348"/>
      <c r="AV154" s="348"/>
      <c r="AW154" s="348"/>
    </row>
    <row r="155" spans="1:51" ht="13.5" customHeight="1" x14ac:dyDescent="0.2">
      <c r="A155" s="118"/>
      <c r="B155" s="58"/>
      <c r="C155" s="58"/>
      <c r="D155" s="69"/>
      <c r="E155" s="70"/>
      <c r="F155" s="69"/>
      <c r="G155" s="70"/>
      <c r="H155" s="70"/>
      <c r="I155" s="70"/>
      <c r="J155" s="12"/>
      <c r="K155" s="14"/>
      <c r="L155" s="14"/>
      <c r="M155" s="14"/>
      <c r="N155" s="14"/>
      <c r="O155" s="9"/>
      <c r="P155" s="9"/>
      <c r="Q155" s="9"/>
      <c r="R155" s="9"/>
      <c r="S155" s="9"/>
      <c r="T155" s="9"/>
      <c r="U155" s="9"/>
      <c r="V155" s="117"/>
      <c r="W155" s="137"/>
      <c r="X155" s="294"/>
      <c r="AJ155" s="585" t="b">
        <f t="shared" si="64"/>
        <v>1</v>
      </c>
      <c r="AK155" s="160"/>
      <c r="AL155" s="87" t="str">
        <f t="shared" si="65"/>
        <v>Milton Keynes</v>
      </c>
      <c r="AM155" s="146">
        <f t="shared" si="63"/>
        <v>17.246596066565811</v>
      </c>
      <c r="AN155" s="146">
        <f t="shared" si="63"/>
        <v>23.69597615499255</v>
      </c>
      <c r="AO155" s="146">
        <f t="shared" si="63"/>
        <v>15.236686390532546</v>
      </c>
      <c r="AP155" s="146">
        <f t="shared" si="63"/>
        <v>17.715959004392388</v>
      </c>
      <c r="AQ155" s="146">
        <f t="shared" si="63"/>
        <v>15.261627906976743</v>
      </c>
      <c r="AR155" s="147">
        <f t="shared" si="66"/>
        <v>15</v>
      </c>
      <c r="AS155" s="348"/>
      <c r="AT155" s="348"/>
      <c r="AU155" s="348"/>
      <c r="AV155" s="348"/>
      <c r="AW155" s="348"/>
    </row>
    <row r="156" spans="1:51" ht="13.5" customHeight="1" x14ac:dyDescent="0.2">
      <c r="A156" s="118"/>
      <c r="B156" s="58"/>
      <c r="C156" s="58"/>
      <c r="D156" s="61"/>
      <c r="E156" s="61"/>
      <c r="F156" s="61"/>
      <c r="G156" s="61"/>
      <c r="H156" s="61"/>
      <c r="I156" s="61"/>
      <c r="J156" s="12"/>
      <c r="K156" s="14"/>
      <c r="L156" s="14"/>
      <c r="M156" s="14"/>
      <c r="N156" s="14"/>
      <c r="O156" s="9"/>
      <c r="P156" s="9"/>
      <c r="Q156" s="9"/>
      <c r="R156" s="9"/>
      <c r="S156" s="9"/>
      <c r="T156" s="9"/>
      <c r="U156" s="9"/>
      <c r="V156" s="117"/>
      <c r="W156" s="137"/>
      <c r="X156" s="294"/>
      <c r="AJ156" s="585" t="b">
        <f t="shared" si="64"/>
        <v>1</v>
      </c>
      <c r="AK156" s="160"/>
      <c r="AL156" s="87" t="str">
        <f t="shared" si="65"/>
        <v>Oxfordshire</v>
      </c>
      <c r="AM156" s="146">
        <f t="shared" si="63"/>
        <v>19.2524682651622</v>
      </c>
      <c r="AN156" s="146">
        <f t="shared" si="63"/>
        <v>18.054583624912524</v>
      </c>
      <c r="AO156" s="146">
        <f t="shared" si="63"/>
        <v>16.387726638772666</v>
      </c>
      <c r="AP156" s="146">
        <f t="shared" si="63"/>
        <v>18.439226519337016</v>
      </c>
      <c r="AQ156" s="146">
        <f t="shared" si="63"/>
        <v>17.111567419575632</v>
      </c>
      <c r="AR156" s="147">
        <f t="shared" si="66"/>
        <v>10.100000000000001</v>
      </c>
      <c r="AS156" s="348"/>
      <c r="AT156" s="348"/>
      <c r="AU156" s="348"/>
      <c r="AV156" s="348"/>
      <c r="AW156" s="348"/>
    </row>
    <row r="157" spans="1:51" ht="13.5" customHeight="1" x14ac:dyDescent="0.2">
      <c r="A157" s="118"/>
      <c r="B157" s="421"/>
      <c r="C157" s="421"/>
      <c r="D157" s="58"/>
      <c r="E157" s="58"/>
      <c r="F157" s="58"/>
      <c r="G157" s="58"/>
      <c r="H157" s="58"/>
      <c r="I157" s="58"/>
      <c r="J157" s="12"/>
      <c r="K157" s="14"/>
      <c r="L157" s="14"/>
      <c r="M157" s="14"/>
      <c r="N157" s="14"/>
      <c r="O157" s="9"/>
      <c r="P157" s="9"/>
      <c r="Q157" s="9"/>
      <c r="R157" s="9"/>
      <c r="S157" s="9"/>
      <c r="T157" s="9"/>
      <c r="U157" s="9"/>
      <c r="V157" s="117"/>
      <c r="W157" s="137"/>
      <c r="X157" s="294"/>
      <c r="AJ157" s="585" t="b">
        <f t="shared" si="64"/>
        <v>1</v>
      </c>
      <c r="AK157" s="160"/>
      <c r="AL157" s="87" t="str">
        <f t="shared" si="65"/>
        <v>Portsmouth</v>
      </c>
      <c r="AM157" s="146">
        <f t="shared" ref="AM157:AQ170" si="67">VLOOKUP($AL157,$B$116:$O$139,AM$37,FALSE)</f>
        <v>14.611872146118722</v>
      </c>
      <c r="AN157" s="146">
        <f t="shared" si="67"/>
        <v>18.636363636363637</v>
      </c>
      <c r="AO157" s="146">
        <f t="shared" si="67"/>
        <v>26.696832579185518</v>
      </c>
      <c r="AP157" s="146">
        <f t="shared" si="67"/>
        <v>24.545454545454543</v>
      </c>
      <c r="AQ157" s="146">
        <f t="shared" si="67"/>
        <v>18.721461187214611</v>
      </c>
      <c r="AR157" s="147">
        <f t="shared" si="66"/>
        <v>20.200000000000003</v>
      </c>
      <c r="AS157" s="348"/>
      <c r="AT157" s="348"/>
      <c r="AU157" s="348"/>
      <c r="AV157" s="348"/>
      <c r="AW157" s="348"/>
    </row>
    <row r="158" spans="1:51" ht="13.5" customHeight="1" x14ac:dyDescent="0.2">
      <c r="A158" s="118"/>
      <c r="B158" s="421"/>
      <c r="C158" s="421"/>
      <c r="D158" s="58"/>
      <c r="E158" s="58"/>
      <c r="F158" s="58"/>
      <c r="G158" s="58"/>
      <c r="H158" s="58"/>
      <c r="I158" s="58"/>
      <c r="J158" s="12"/>
      <c r="K158" s="14"/>
      <c r="L158" s="14"/>
      <c r="M158" s="14"/>
      <c r="N158" s="14"/>
      <c r="O158" s="9"/>
      <c r="P158" s="9"/>
      <c r="Q158" s="9"/>
      <c r="R158" s="9"/>
      <c r="S158" s="9"/>
      <c r="T158" s="9"/>
      <c r="U158" s="9"/>
      <c r="V158" s="117"/>
      <c r="W158" s="137"/>
      <c r="X158" s="294"/>
      <c r="AJ158" s="585" t="b">
        <f t="shared" si="64"/>
        <v>1</v>
      </c>
      <c r="AK158" s="160"/>
      <c r="AL158" s="87" t="str">
        <f t="shared" si="65"/>
        <v>Reading</v>
      </c>
      <c r="AM158" s="146">
        <f t="shared" si="67"/>
        <v>30.76923076923077</v>
      </c>
      <c r="AN158" s="146">
        <f t="shared" si="67"/>
        <v>33.333333333333336</v>
      </c>
      <c r="AO158" s="146">
        <f t="shared" si="67"/>
        <v>23.989218328840973</v>
      </c>
      <c r="AP158" s="146">
        <f t="shared" si="67"/>
        <v>31.266846361185987</v>
      </c>
      <c r="AQ158" s="146">
        <f t="shared" si="67"/>
        <v>20.540540540540544</v>
      </c>
      <c r="AR158" s="147">
        <f t="shared" si="66"/>
        <v>16</v>
      </c>
      <c r="AS158" s="348"/>
      <c r="AT158" s="348"/>
      <c r="AU158" s="348"/>
      <c r="AV158" s="348"/>
      <c r="AW158" s="348"/>
    </row>
    <row r="159" spans="1:51" ht="13.5" customHeight="1" x14ac:dyDescent="0.2">
      <c r="A159" s="118"/>
      <c r="B159" s="421"/>
      <c r="C159" s="421"/>
      <c r="D159" s="58"/>
      <c r="E159" s="58"/>
      <c r="F159" s="58"/>
      <c r="G159" s="58"/>
      <c r="H159" s="58"/>
      <c r="I159" s="58"/>
      <c r="J159" s="12"/>
      <c r="K159" s="14"/>
      <c r="L159" s="14"/>
      <c r="M159" s="14"/>
      <c r="N159" s="14"/>
      <c r="O159" s="9"/>
      <c r="P159" s="9"/>
      <c r="Q159" s="9"/>
      <c r="R159" s="9"/>
      <c r="S159" s="9"/>
      <c r="T159" s="9"/>
      <c r="U159" s="9"/>
      <c r="V159" s="117"/>
      <c r="W159" s="137"/>
      <c r="X159" s="294"/>
      <c r="AJ159" s="585" t="b">
        <f t="shared" si="64"/>
        <v>1</v>
      </c>
      <c r="AK159" s="160"/>
      <c r="AL159" s="87" t="str">
        <f t="shared" si="65"/>
        <v>Slough</v>
      </c>
      <c r="AM159" s="146">
        <f t="shared" si="67"/>
        <v>23.645320197044335</v>
      </c>
      <c r="AN159" s="146">
        <f t="shared" si="67"/>
        <v>16.666666666666668</v>
      </c>
      <c r="AO159" s="146">
        <f t="shared" si="67"/>
        <v>21.563981042654028</v>
      </c>
      <c r="AP159" s="146">
        <f t="shared" si="67"/>
        <v>22.716627634660423</v>
      </c>
      <c r="AQ159" s="146">
        <f t="shared" si="67"/>
        <v>18.793503480278421</v>
      </c>
      <c r="AR159" s="147">
        <f t="shared" si="66"/>
        <v>14.7</v>
      </c>
      <c r="AS159" s="348"/>
      <c r="AT159" s="348"/>
      <c r="AU159" s="348"/>
      <c r="AV159" s="348"/>
      <c r="AW159" s="348"/>
    </row>
    <row r="160" spans="1:51" ht="13.5" customHeight="1" x14ac:dyDescent="0.2">
      <c r="A160" s="118"/>
      <c r="B160" s="421"/>
      <c r="C160" s="421"/>
      <c r="D160" s="58"/>
      <c r="E160" s="58"/>
      <c r="F160" s="58"/>
      <c r="G160" s="58"/>
      <c r="H160" s="58"/>
      <c r="I160" s="58"/>
      <c r="J160" s="12"/>
      <c r="K160" s="14"/>
      <c r="L160" s="14"/>
      <c r="M160" s="14"/>
      <c r="N160" s="14"/>
      <c r="O160" s="9"/>
      <c r="P160" s="9"/>
      <c r="Q160" s="9"/>
      <c r="R160" s="9"/>
      <c r="S160" s="9"/>
      <c r="T160" s="9"/>
      <c r="U160" s="9"/>
      <c r="V160" s="117"/>
      <c r="W160" s="137"/>
      <c r="X160" s="294"/>
      <c r="AJ160" s="585" t="b">
        <f t="shared" si="64"/>
        <v>1</v>
      </c>
      <c r="AK160" s="160"/>
      <c r="AL160" s="87" t="str">
        <f t="shared" si="65"/>
        <v>Somerset</v>
      </c>
      <c r="AM160" s="146">
        <f t="shared" si="67"/>
        <v>21.520146520146522</v>
      </c>
      <c r="AN160" s="146">
        <f t="shared" si="67"/>
        <v>22.242479489516864</v>
      </c>
      <c r="AO160" s="146">
        <f t="shared" si="67"/>
        <v>18.346957311534968</v>
      </c>
      <c r="AP160" s="146">
        <f t="shared" si="67"/>
        <v>16.621499548328817</v>
      </c>
      <c r="AQ160" s="146">
        <f t="shared" si="67"/>
        <v>17.086330935251798</v>
      </c>
      <c r="AR160" s="147">
        <f t="shared" si="66"/>
        <v>13.600000000000001</v>
      </c>
      <c r="AS160" s="348"/>
      <c r="AT160" s="348"/>
      <c r="AU160" s="348"/>
      <c r="AV160" s="348"/>
      <c r="AW160" s="348"/>
    </row>
    <row r="161" spans="1:49" ht="13.5" customHeight="1" x14ac:dyDescent="0.2">
      <c r="A161" s="118"/>
      <c r="B161" s="421"/>
      <c r="C161" s="421"/>
      <c r="D161" s="58"/>
      <c r="E161" s="58"/>
      <c r="F161" s="58"/>
      <c r="G161" s="58"/>
      <c r="H161" s="58"/>
      <c r="I161" s="58"/>
      <c r="J161" s="12"/>
      <c r="K161" s="14"/>
      <c r="L161" s="14"/>
      <c r="M161" s="14"/>
      <c r="N161" s="14"/>
      <c r="O161" s="9"/>
      <c r="P161" s="9"/>
      <c r="Q161" s="9"/>
      <c r="R161" s="9"/>
      <c r="S161" s="9"/>
      <c r="T161" s="9"/>
      <c r="U161" s="9"/>
      <c r="V161" s="117"/>
      <c r="W161" s="137"/>
      <c r="X161" s="294"/>
      <c r="AJ161" s="585" t="b">
        <f t="shared" si="64"/>
        <v>1</v>
      </c>
      <c r="AK161" s="160"/>
      <c r="AL161" s="87" t="str">
        <f t="shared" si="65"/>
        <v>Southampton</v>
      </c>
      <c r="AM161" s="146">
        <f t="shared" si="67"/>
        <v>31.504065040650406</v>
      </c>
      <c r="AN161" s="146">
        <f t="shared" si="67"/>
        <v>31.663326653306612</v>
      </c>
      <c r="AO161" s="146">
        <f t="shared" si="67"/>
        <v>26.043737574552683</v>
      </c>
      <c r="AP161" s="146">
        <f t="shared" si="67"/>
        <v>24.409448818897641</v>
      </c>
      <c r="AQ161" s="146">
        <f t="shared" si="67"/>
        <v>30.799220272904481</v>
      </c>
      <c r="AR161" s="147">
        <f t="shared" si="66"/>
        <v>20.5</v>
      </c>
      <c r="AS161" s="348"/>
      <c r="AT161" s="348"/>
      <c r="AU161" s="348"/>
      <c r="AV161" s="348"/>
      <c r="AW161" s="348"/>
    </row>
    <row r="162" spans="1:49" ht="13.5" customHeight="1" x14ac:dyDescent="0.2">
      <c r="A162" s="118"/>
      <c r="B162" s="421"/>
      <c r="C162" s="421"/>
      <c r="D162" s="58"/>
      <c r="E162" s="58"/>
      <c r="F162" s="58"/>
      <c r="G162" s="58"/>
      <c r="H162" s="58"/>
      <c r="I162" s="58"/>
      <c r="J162" s="12"/>
      <c r="K162" s="14"/>
      <c r="L162" s="14"/>
      <c r="M162" s="14"/>
      <c r="N162" s="14"/>
      <c r="O162" s="9"/>
      <c r="P162" s="9"/>
      <c r="Q162" s="9"/>
      <c r="R162" s="9"/>
      <c r="S162" s="9"/>
      <c r="T162" s="9"/>
      <c r="U162" s="9"/>
      <c r="V162" s="117"/>
      <c r="W162" s="137"/>
      <c r="X162" s="294"/>
      <c r="AJ162" s="585" t="b">
        <f t="shared" si="64"/>
        <v>1</v>
      </c>
      <c r="AK162" s="160"/>
      <c r="AL162" s="87" t="str">
        <f t="shared" si="65"/>
        <v>Surrey</v>
      </c>
      <c r="AM162" s="146">
        <f t="shared" si="67"/>
        <v>9.5553822152886116</v>
      </c>
      <c r="AN162" s="146">
        <f t="shared" si="67"/>
        <v>11.042471042471043</v>
      </c>
      <c r="AO162" s="146">
        <f t="shared" si="67"/>
        <v>13.676527084133692</v>
      </c>
      <c r="AP162" s="146">
        <f t="shared" si="67"/>
        <v>12.867506681939672</v>
      </c>
      <c r="AQ162" s="146">
        <f t="shared" si="67"/>
        <v>8.9840788476118281</v>
      </c>
      <c r="AR162" s="147">
        <f t="shared" si="66"/>
        <v>8.3000000000000007</v>
      </c>
      <c r="AS162" s="348"/>
      <c r="AT162" s="348"/>
      <c r="AU162" s="348"/>
      <c r="AV162" s="348"/>
      <c r="AW162" s="348"/>
    </row>
    <row r="163" spans="1:49" ht="13.5" customHeight="1" x14ac:dyDescent="0.2">
      <c r="A163" s="278"/>
      <c r="B163" s="421"/>
      <c r="C163" s="421"/>
      <c r="D163" s="58"/>
      <c r="E163" s="58"/>
      <c r="F163" s="58"/>
      <c r="G163" s="58"/>
      <c r="H163" s="58"/>
      <c r="I163" s="58"/>
      <c r="J163" s="12"/>
      <c r="K163" s="14"/>
      <c r="L163" s="14"/>
      <c r="M163" s="14"/>
      <c r="N163" s="14"/>
      <c r="O163" s="9"/>
      <c r="P163" s="9"/>
      <c r="Q163" s="9"/>
      <c r="R163" s="9"/>
      <c r="S163" s="9"/>
      <c r="T163" s="9"/>
      <c r="U163" s="9"/>
      <c r="V163" s="117"/>
      <c r="W163" s="137"/>
      <c r="X163" s="294"/>
      <c r="AJ163" s="585" t="b">
        <f t="shared" si="64"/>
        <v>1</v>
      </c>
      <c r="AK163" s="160"/>
      <c r="AL163" s="87" t="str">
        <f t="shared" si="65"/>
        <v>Swindon</v>
      </c>
      <c r="AM163" s="146">
        <f t="shared" si="67"/>
        <v>19.183673469387756</v>
      </c>
      <c r="AN163" s="146">
        <f t="shared" si="67"/>
        <v>27.272727272727273</v>
      </c>
      <c r="AO163" s="146">
        <f t="shared" si="67"/>
        <v>28.056112224448896</v>
      </c>
      <c r="AP163" s="146">
        <f t="shared" si="67"/>
        <v>27.091633466135455</v>
      </c>
      <c r="AQ163" s="146">
        <f t="shared" si="67"/>
        <v>17.063492063492063</v>
      </c>
      <c r="AR163" s="147">
        <f t="shared" si="66"/>
        <v>14.899999999999999</v>
      </c>
      <c r="AS163" s="348"/>
      <c r="AT163" s="348"/>
      <c r="AU163" s="348"/>
      <c r="AV163" s="348"/>
      <c r="AW163" s="348"/>
    </row>
    <row r="164" spans="1:49" ht="13.5" customHeight="1" x14ac:dyDescent="0.2">
      <c r="A164" s="278"/>
      <c r="B164" s="421"/>
      <c r="C164" s="421"/>
      <c r="D164" s="58"/>
      <c r="E164" s="58"/>
      <c r="F164" s="58"/>
      <c r="G164" s="58"/>
      <c r="H164" s="58"/>
      <c r="I164" s="58"/>
      <c r="J164" s="12"/>
      <c r="K164" s="14"/>
      <c r="L164" s="14"/>
      <c r="M164" s="14"/>
      <c r="N164" s="14"/>
      <c r="O164" s="9"/>
      <c r="P164" s="9"/>
      <c r="Q164" s="9"/>
      <c r="R164" s="9"/>
      <c r="S164" s="9"/>
      <c r="T164" s="9"/>
      <c r="U164" s="9"/>
      <c r="V164" s="117"/>
      <c r="W164" s="137"/>
      <c r="X164" s="294"/>
      <c r="AJ164" s="585" t="b">
        <f t="shared" si="64"/>
        <v>1</v>
      </c>
      <c r="AK164" s="160"/>
      <c r="AL164" s="87" t="str">
        <f t="shared" si="65"/>
        <v>Torbay</v>
      </c>
      <c r="AM164" s="146">
        <f t="shared" si="67"/>
        <v>36.111111111111107</v>
      </c>
      <c r="AN164" s="146">
        <f t="shared" si="67"/>
        <v>29.133858267716533</v>
      </c>
      <c r="AO164" s="146">
        <f t="shared" si="67"/>
        <v>37.00787401574803</v>
      </c>
      <c r="AP164" s="146">
        <f t="shared" si="67"/>
        <v>40.15748031496063</v>
      </c>
      <c r="AQ164" s="146">
        <f t="shared" si="67"/>
        <v>39.0625</v>
      </c>
      <c r="AR164" s="147">
        <f t="shared" si="66"/>
        <v>21.9</v>
      </c>
      <c r="AS164" s="348"/>
      <c r="AT164" s="348"/>
      <c r="AU164" s="348"/>
      <c r="AV164" s="348"/>
      <c r="AW164" s="348"/>
    </row>
    <row r="165" spans="1:49" ht="13.5" customHeight="1" x14ac:dyDescent="0.2">
      <c r="A165" s="118"/>
      <c r="B165" s="421"/>
      <c r="C165" s="421"/>
      <c r="D165" s="58"/>
      <c r="E165" s="58"/>
      <c r="F165" s="58"/>
      <c r="G165" s="58"/>
      <c r="H165" s="58"/>
      <c r="I165" s="58"/>
      <c r="J165" s="12"/>
      <c r="K165" s="14"/>
      <c r="L165" s="14"/>
      <c r="M165" s="14"/>
      <c r="N165" s="14"/>
      <c r="O165" s="9"/>
      <c r="P165" s="9"/>
      <c r="Q165" s="9"/>
      <c r="R165" s="9"/>
      <c r="S165" s="9"/>
      <c r="T165" s="9"/>
      <c r="U165" s="9"/>
      <c r="V165" s="117"/>
      <c r="W165" s="137"/>
      <c r="X165" s="294"/>
      <c r="AJ165" s="585" t="b">
        <f t="shared" si="64"/>
        <v>1</v>
      </c>
      <c r="AK165" s="160"/>
      <c r="AL165" s="87" t="str">
        <f t="shared" si="65"/>
        <v>West Berkshire</v>
      </c>
      <c r="AM165" s="146">
        <f t="shared" si="67"/>
        <v>20.728291316526612</v>
      </c>
      <c r="AN165" s="146">
        <f t="shared" si="67"/>
        <v>20.612813370473539</v>
      </c>
      <c r="AO165" s="146">
        <f t="shared" si="67"/>
        <v>19.83240223463687</v>
      </c>
      <c r="AP165" s="146">
        <f t="shared" si="67"/>
        <v>13.48314606741573</v>
      </c>
      <c r="AQ165" s="146">
        <f t="shared" si="67"/>
        <v>11.51685393258427</v>
      </c>
      <c r="AR165" s="147">
        <f t="shared" si="66"/>
        <v>8.6999999999999993</v>
      </c>
      <c r="AS165" s="348"/>
      <c r="AT165" s="348"/>
      <c r="AU165" s="348"/>
      <c r="AV165" s="348"/>
      <c r="AW165" s="348"/>
    </row>
    <row r="166" spans="1:49" ht="13.5" customHeight="1" x14ac:dyDescent="0.2">
      <c r="A166" s="118"/>
      <c r="B166" s="421"/>
      <c r="C166" s="421"/>
      <c r="D166" s="58"/>
      <c r="E166" s="58"/>
      <c r="F166" s="58"/>
      <c r="G166" s="58"/>
      <c r="H166" s="58"/>
      <c r="I166" s="58"/>
      <c r="J166" s="12"/>
      <c r="K166" s="14"/>
      <c r="L166" s="14"/>
      <c r="M166" s="14"/>
      <c r="N166" s="14"/>
      <c r="O166" s="9"/>
      <c r="P166" s="9"/>
      <c r="Q166" s="9"/>
      <c r="R166" s="9"/>
      <c r="S166" s="9"/>
      <c r="T166" s="9"/>
      <c r="U166" s="9"/>
      <c r="V166" s="117"/>
      <c r="W166" s="137"/>
      <c r="X166" s="294"/>
      <c r="AJ166" s="585" t="b">
        <f t="shared" si="64"/>
        <v>1</v>
      </c>
      <c r="AK166" s="160"/>
      <c r="AL166" s="87" t="str">
        <f t="shared" si="65"/>
        <v>West Sussex</v>
      </c>
      <c r="AM166" s="146">
        <f t="shared" si="67"/>
        <v>12.676056338028168</v>
      </c>
      <c r="AN166" s="146">
        <f t="shared" si="67"/>
        <v>13.795110593713622</v>
      </c>
      <c r="AO166" s="146">
        <f t="shared" si="67"/>
        <v>15.637622619734564</v>
      </c>
      <c r="AP166" s="146">
        <f t="shared" si="67"/>
        <v>13.737836290784202</v>
      </c>
      <c r="AQ166" s="146">
        <f t="shared" si="67"/>
        <v>19.080068143100512</v>
      </c>
      <c r="AR166" s="147">
        <f t="shared" si="66"/>
        <v>11</v>
      </c>
      <c r="AS166" s="348"/>
      <c r="AT166" s="348"/>
      <c r="AU166" s="348"/>
      <c r="AV166" s="348"/>
      <c r="AW166" s="348"/>
    </row>
    <row r="167" spans="1:49" s="81" customFormat="1" ht="13.5" customHeight="1" x14ac:dyDescent="0.2">
      <c r="A167" s="118"/>
      <c r="B167" s="421"/>
      <c r="C167" s="421"/>
      <c r="D167" s="58"/>
      <c r="E167" s="58"/>
      <c r="F167" s="58"/>
      <c r="G167" s="58"/>
      <c r="H167" s="58"/>
      <c r="I167" s="58"/>
      <c r="J167" s="12"/>
      <c r="K167" s="14"/>
      <c r="L167" s="14"/>
      <c r="M167" s="14"/>
      <c r="N167" s="14"/>
      <c r="O167" s="9"/>
      <c r="P167" s="9"/>
      <c r="Q167" s="9"/>
      <c r="R167" s="9"/>
      <c r="S167" s="9"/>
      <c r="T167" s="9"/>
      <c r="U167" s="9"/>
      <c r="V167" s="117"/>
      <c r="W167" s="137"/>
      <c r="X167" s="294"/>
      <c r="AJ167" s="585" t="b">
        <f t="shared" si="64"/>
        <v>1</v>
      </c>
      <c r="AK167" s="160"/>
      <c r="AL167" s="87" t="str">
        <f t="shared" si="65"/>
        <v>Windsor &amp; Maidenhead</v>
      </c>
      <c r="AM167" s="146">
        <f t="shared" si="67"/>
        <v>6.2314540059347179</v>
      </c>
      <c r="AN167" s="146">
        <f t="shared" si="67"/>
        <v>9.9415204678362574</v>
      </c>
      <c r="AO167" s="146">
        <f t="shared" si="67"/>
        <v>9.3023255813953494</v>
      </c>
      <c r="AP167" s="146">
        <f t="shared" si="67"/>
        <v>13.294797687861271</v>
      </c>
      <c r="AQ167" s="146">
        <f t="shared" si="67"/>
        <v>11.527377521613833</v>
      </c>
      <c r="AR167" s="147">
        <f t="shared" si="66"/>
        <v>6.7</v>
      </c>
      <c r="AS167" s="348"/>
      <c r="AT167" s="348"/>
      <c r="AU167" s="348"/>
      <c r="AV167" s="348"/>
      <c r="AW167" s="348"/>
    </row>
    <row r="168" spans="1:49" s="81" customFormat="1" ht="13.5" customHeight="1" x14ac:dyDescent="0.2">
      <c r="A168" s="118"/>
      <c r="B168" s="421"/>
      <c r="C168" s="421"/>
      <c r="D168" s="58"/>
      <c r="E168" s="58"/>
      <c r="F168" s="58"/>
      <c r="G168" s="58"/>
      <c r="H168" s="58"/>
      <c r="I168" s="58"/>
      <c r="J168" s="12"/>
      <c r="K168" s="14"/>
      <c r="L168" s="14"/>
      <c r="M168" s="14"/>
      <c r="N168" s="14"/>
      <c r="O168" s="9"/>
      <c r="P168" s="9"/>
      <c r="Q168" s="9"/>
      <c r="R168" s="9"/>
      <c r="S168" s="9"/>
      <c r="T168" s="9"/>
      <c r="U168" s="9"/>
      <c r="V168" s="117"/>
      <c r="W168" s="137"/>
      <c r="X168" s="294"/>
      <c r="AJ168" s="585" t="b">
        <f t="shared" si="64"/>
        <v>1</v>
      </c>
      <c r="AK168" s="160"/>
      <c r="AL168" s="87" t="str">
        <f t="shared" si="65"/>
        <v>Wokingham</v>
      </c>
      <c r="AM168" s="146">
        <f t="shared" si="67"/>
        <v>8.310991957104557</v>
      </c>
      <c r="AN168" s="146">
        <f t="shared" si="67"/>
        <v>7.1052631578947372</v>
      </c>
      <c r="AO168" s="146">
        <f t="shared" si="67"/>
        <v>11.36950904392765</v>
      </c>
      <c r="AP168" s="146">
        <f t="shared" si="67"/>
        <v>12.151898734177216</v>
      </c>
      <c r="AQ168" s="146">
        <f t="shared" si="67"/>
        <v>9.9009900990099009</v>
      </c>
      <c r="AR168" s="147">
        <f t="shared" si="66"/>
        <v>5.6000000000000005</v>
      </c>
      <c r="AS168" s="348"/>
      <c r="AT168" s="348"/>
      <c r="AU168" s="348"/>
      <c r="AV168" s="348"/>
      <c r="AW168" s="348"/>
    </row>
    <row r="169" spans="1:49" s="81" customFormat="1" ht="13.5" customHeight="1" x14ac:dyDescent="0.2">
      <c r="A169" s="118"/>
      <c r="B169" s="421"/>
      <c r="C169" s="421"/>
      <c r="D169" s="58"/>
      <c r="E169" s="58"/>
      <c r="F169" s="58"/>
      <c r="G169" s="58"/>
      <c r="H169" s="58"/>
      <c r="I169" s="58"/>
      <c r="J169" s="12"/>
      <c r="K169" s="14"/>
      <c r="L169" s="14"/>
      <c r="M169" s="14"/>
      <c r="N169" s="14"/>
      <c r="O169" s="9"/>
      <c r="P169" s="9"/>
      <c r="Q169" s="9"/>
      <c r="R169" s="9"/>
      <c r="S169" s="9"/>
      <c r="T169" s="9"/>
      <c r="U169" s="9"/>
      <c r="V169" s="117"/>
      <c r="W169" s="137"/>
      <c r="X169" s="294"/>
      <c r="AJ169" s="585" t="b">
        <f t="shared" si="64"/>
        <v>1</v>
      </c>
      <c r="AK169" s="160"/>
      <c r="AL169" s="87" t="str">
        <f t="shared" si="65"/>
        <v>South East</v>
      </c>
      <c r="AM169" s="146">
        <f t="shared" si="67"/>
        <v>15.911579166883897</v>
      </c>
      <c r="AN169" s="146">
        <f t="shared" si="67"/>
        <v>16.185599006828056</v>
      </c>
      <c r="AO169" s="146">
        <f t="shared" si="67"/>
        <v>16.410309172282524</v>
      </c>
      <c r="AP169" s="146">
        <f t="shared" si="67"/>
        <v>15.402298850574713</v>
      </c>
      <c r="AQ169" s="146">
        <f t="shared" si="67"/>
        <v>14.461991570608845</v>
      </c>
      <c r="AR169" s="147">
        <f t="shared" si="66"/>
        <v>12.371268250968637</v>
      </c>
      <c r="AS169" s="348"/>
      <c r="AT169" s="348"/>
      <c r="AU169" s="348"/>
      <c r="AV169" s="348"/>
      <c r="AW169" s="348"/>
    </row>
    <row r="170" spans="1:49" s="81" customFormat="1" ht="13.5" customHeight="1" x14ac:dyDescent="0.2">
      <c r="A170" s="118"/>
      <c r="B170" s="421"/>
      <c r="C170" s="421"/>
      <c r="D170" s="58"/>
      <c r="E170" s="58"/>
      <c r="F170" s="58"/>
      <c r="G170" s="58"/>
      <c r="H170" s="58"/>
      <c r="I170" s="58"/>
      <c r="J170" s="12"/>
      <c r="K170" s="9"/>
      <c r="L170" s="110"/>
      <c r="M170" s="1823" t="s">
        <v>72</v>
      </c>
      <c r="N170" s="1790"/>
      <c r="O170" s="1790"/>
      <c r="P170" s="1824"/>
      <c r="Q170" s="997"/>
      <c r="R170" s="1802" t="s">
        <v>100</v>
      </c>
      <c r="S170" s="1803"/>
      <c r="T170" s="1803"/>
      <c r="U170" s="1804"/>
      <c r="V170" s="117"/>
      <c r="W170" s="137"/>
      <c r="X170" s="294"/>
      <c r="AJ170" s="585" t="b">
        <f t="shared" si="64"/>
        <v>1</v>
      </c>
      <c r="AK170" s="160"/>
      <c r="AL170" s="87" t="str">
        <f t="shared" si="65"/>
        <v>England</v>
      </c>
      <c r="AM170" s="146">
        <f t="shared" si="67"/>
        <v>18.208753286121649</v>
      </c>
      <c r="AN170" s="146">
        <f t="shared" si="67"/>
        <v>20.444112580927086</v>
      </c>
      <c r="AO170" s="146">
        <f t="shared" si="67"/>
        <v>19.892137861296028</v>
      </c>
      <c r="AP170" s="146">
        <f t="shared" si="67"/>
        <v>18.447292255700734</v>
      </c>
      <c r="AQ170" s="146">
        <f t="shared" si="67"/>
        <v>17.552979141022654</v>
      </c>
      <c r="AR170" s="147">
        <f t="shared" si="66"/>
        <v>17.084413405029373</v>
      </c>
      <c r="AS170" s="348"/>
      <c r="AT170" s="348"/>
      <c r="AU170" s="348"/>
      <c r="AV170" s="348"/>
      <c r="AW170" s="348"/>
    </row>
    <row r="171" spans="1:49" s="81" customFormat="1" ht="13.5" customHeight="1" x14ac:dyDescent="0.2">
      <c r="A171" s="118"/>
      <c r="B171" s="421"/>
      <c r="C171" s="421"/>
      <c r="D171" s="58"/>
      <c r="E171" s="58"/>
      <c r="F171" s="58"/>
      <c r="G171" s="58"/>
      <c r="H171" s="58"/>
      <c r="I171" s="58"/>
      <c r="J171" s="12"/>
      <c r="K171" s="9"/>
      <c r="L171" s="111"/>
      <c r="M171" s="1802" t="str">
        <f>AA4</f>
        <v>Selected LA- (none)</v>
      </c>
      <c r="N171" s="1803"/>
      <c r="O171" s="1803"/>
      <c r="P171" s="1803"/>
      <c r="Q171" s="110"/>
      <c r="R171" s="1806" t="s">
        <v>187</v>
      </c>
      <c r="S171" s="1806"/>
      <c r="T171" s="1806"/>
      <c r="U171" s="1807"/>
      <c r="V171" s="117"/>
      <c r="W171" s="137"/>
      <c r="X171" s="150"/>
      <c r="AK171" s="161"/>
      <c r="AL171" s="74" t="str">
        <f>AA4</f>
        <v>Selected LA- (none)</v>
      </c>
      <c r="AM171" s="146" t="e">
        <f>VLOOKUP($Z$4,$B$116:$O$139,AM$37,FALSE)</f>
        <v>#N/A</v>
      </c>
      <c r="AN171" s="146" t="e">
        <f t="shared" ref="AN171:AQ171" si="68">VLOOKUP($Z$4,$B$116:$O$139,AN$37,FALSE)</f>
        <v>#N/A</v>
      </c>
      <c r="AO171" s="146" t="e">
        <f t="shared" si="68"/>
        <v>#N/A</v>
      </c>
      <c r="AP171" s="146" t="e">
        <f t="shared" si="68"/>
        <v>#N/A</v>
      </c>
      <c r="AQ171" s="146" t="e">
        <f t="shared" si="68"/>
        <v>#N/A</v>
      </c>
      <c r="AR171" s="147" t="e">
        <f>VLOOKUP(Z4,$B$10:$U$33,$AR$37,FALSE)</f>
        <v>#N/A</v>
      </c>
      <c r="AS171" s="171"/>
      <c r="AT171" s="171"/>
      <c r="AU171" s="171"/>
      <c r="AV171" s="171"/>
      <c r="AW171" s="171"/>
    </row>
    <row r="172" spans="1:49" s="81" customFormat="1" ht="39" customHeight="1" x14ac:dyDescent="0.2">
      <c r="A172" s="118"/>
      <c r="B172" s="421"/>
      <c r="C172" s="421"/>
      <c r="D172" s="58"/>
      <c r="E172" s="58"/>
      <c r="F172" s="58"/>
      <c r="G172" s="58"/>
      <c r="H172" s="58"/>
      <c r="I172" s="58"/>
      <c r="J172" s="12"/>
      <c r="K172" s="9"/>
      <c r="L172" s="9"/>
      <c r="M172" s="9"/>
      <c r="N172" s="9"/>
      <c r="O172" s="9"/>
      <c r="P172" s="9"/>
      <c r="Q172" s="9"/>
      <c r="R172" s="9"/>
      <c r="S172" s="9"/>
      <c r="T172" s="9"/>
      <c r="U172" s="9"/>
      <c r="V172" s="117"/>
      <c r="W172" s="137"/>
      <c r="X172" s="150"/>
      <c r="AK172" s="161"/>
    </row>
    <row r="173" spans="1:49" s="87" customFormat="1" ht="38.450000000000003" customHeight="1" x14ac:dyDescent="0.2">
      <c r="A173" s="121"/>
      <c r="B173" s="109"/>
      <c r="C173" s="109"/>
      <c r="D173" s="109"/>
      <c r="E173" s="109"/>
      <c r="F173" s="109"/>
      <c r="G173" s="109"/>
      <c r="H173" s="109"/>
      <c r="I173" s="109"/>
      <c r="J173" s="96"/>
      <c r="K173" s="85"/>
      <c r="L173" s="85"/>
      <c r="M173" s="85"/>
      <c r="N173" s="85"/>
      <c r="O173" s="85"/>
      <c r="P173" s="85"/>
      <c r="Q173" s="85"/>
      <c r="R173" s="85"/>
      <c r="S173" s="85"/>
      <c r="T173" s="85"/>
      <c r="U173" s="85"/>
      <c r="V173" s="122"/>
      <c r="W173" s="139"/>
      <c r="X173" s="152"/>
      <c r="AE173" s="190"/>
      <c r="AF173" s="190"/>
      <c r="AG173" s="190"/>
      <c r="AH173" s="190"/>
      <c r="AI173" s="190"/>
      <c r="AJ173" s="202"/>
      <c r="AK173" s="160"/>
    </row>
    <row r="174" spans="1:49" s="87" customFormat="1" ht="49.5" customHeight="1" x14ac:dyDescent="0.2">
      <c r="A174" s="121"/>
      <c r="B174" s="109"/>
      <c r="C174" s="109"/>
      <c r="D174" s="109"/>
      <c r="E174" s="109"/>
      <c r="F174" s="109"/>
      <c r="G174" s="109"/>
      <c r="H174" s="109"/>
      <c r="I174" s="109"/>
      <c r="J174" s="96"/>
      <c r="K174" s="85"/>
      <c r="L174" s="85"/>
      <c r="M174" s="85"/>
      <c r="N174" s="85"/>
      <c r="O174" s="85"/>
      <c r="P174" s="85"/>
      <c r="Q174" s="85"/>
      <c r="R174" s="85"/>
      <c r="S174" s="85"/>
      <c r="T174" s="85"/>
      <c r="U174" s="85"/>
      <c r="V174" s="122"/>
      <c r="W174" s="139"/>
      <c r="X174" s="371"/>
      <c r="AE174" s="190"/>
      <c r="AF174" s="190"/>
      <c r="AG174" s="190"/>
      <c r="AH174" s="190"/>
      <c r="AI174" s="190"/>
      <c r="AJ174" s="202"/>
      <c r="AK174" s="160"/>
    </row>
    <row r="175" spans="1:49" ht="7.5" customHeight="1" x14ac:dyDescent="0.2">
      <c r="A175" s="118"/>
      <c r="B175" s="17"/>
      <c r="C175" s="17"/>
      <c r="D175" s="16"/>
      <c r="E175" s="16"/>
      <c r="F175" s="16"/>
      <c r="G175" s="16"/>
      <c r="H175" s="16"/>
      <c r="I175" s="16"/>
      <c r="J175" s="12"/>
      <c r="K175" s="18"/>
      <c r="L175" s="18"/>
      <c r="M175" s="18"/>
      <c r="N175" s="18"/>
      <c r="O175" s="18"/>
      <c r="P175" s="18"/>
      <c r="Q175" s="18"/>
      <c r="R175" s="18"/>
      <c r="S175" s="18"/>
      <c r="T175" s="18"/>
      <c r="U175" s="19"/>
      <c r="V175" s="117"/>
      <c r="W175" s="137"/>
      <c r="X175" s="150"/>
      <c r="Y175" s="87"/>
      <c r="Z175" s="87"/>
      <c r="AA175" s="87"/>
      <c r="AB175" s="87"/>
      <c r="AC175" s="87"/>
      <c r="AD175" s="87"/>
      <c r="AJ175" s="184"/>
      <c r="AK175" s="157"/>
    </row>
    <row r="176" spans="1:49" ht="15" customHeight="1" x14ac:dyDescent="0.2">
      <c r="A176" s="1716"/>
      <c r="B176" s="1760"/>
      <c r="C176" s="1760"/>
      <c r="D176" s="1760"/>
      <c r="E176" s="1760"/>
      <c r="F176" s="1760"/>
      <c r="G176" s="1760"/>
      <c r="H176" s="1760"/>
      <c r="I176" s="1760"/>
      <c r="J176" s="1760"/>
      <c r="K176" s="1760"/>
      <c r="L176" s="1760"/>
      <c r="M176" s="1760"/>
      <c r="N176" s="1760"/>
      <c r="O176" s="1760"/>
      <c r="P176" s="1760"/>
      <c r="Q176" s="1760"/>
      <c r="R176" s="1760"/>
      <c r="S176" s="1760"/>
      <c r="T176" s="1760"/>
      <c r="U176" s="1760"/>
      <c r="V176" s="1761"/>
      <c r="W176" s="137"/>
      <c r="X176" s="150"/>
      <c r="Y176" s="87"/>
      <c r="Z176" s="87"/>
      <c r="AA176" s="87"/>
      <c r="AB176" s="87"/>
      <c r="AC176" s="87"/>
      <c r="AD176" s="87"/>
      <c r="AJ176" s="184"/>
      <c r="AK176" s="157"/>
    </row>
    <row r="177" spans="1:45" ht="11.1" customHeight="1" x14ac:dyDescent="0.2">
      <c r="A177" s="1765" t="str">
        <f>Home!$A$39</f>
        <v xml:space="preserve"> </v>
      </c>
      <c r="B177" s="1766"/>
      <c r="C177" s="1766"/>
      <c r="D177" s="1766"/>
      <c r="E177" s="1766"/>
      <c r="F177" s="1766"/>
      <c r="G177" s="1766"/>
      <c r="H177" s="1766"/>
      <c r="I177" s="1767"/>
      <c r="J177" s="1766"/>
      <c r="K177" s="1766"/>
      <c r="L177" s="1766"/>
      <c r="M177" s="1766"/>
      <c r="N177" s="1766"/>
      <c r="O177" s="1766"/>
      <c r="P177" s="1768"/>
      <c r="Q177" s="1766"/>
      <c r="R177" s="1766"/>
      <c r="S177" s="1766"/>
      <c r="T177" s="1767"/>
      <c r="U177" s="1766"/>
      <c r="V177" s="1769"/>
      <c r="W177" s="137"/>
      <c r="X177" s="150"/>
      <c r="Y177" s="87"/>
      <c r="Z177" s="87"/>
      <c r="AA177" s="87"/>
      <c r="AB177" s="87"/>
      <c r="AC177" s="87"/>
      <c r="AD177" s="87"/>
      <c r="AJ177" s="184"/>
      <c r="AK177" s="157"/>
    </row>
    <row r="178" spans="1:45" ht="11.25" customHeight="1" x14ac:dyDescent="0.2">
      <c r="A178" s="112"/>
      <c r="B178" s="113"/>
      <c r="C178" s="113"/>
      <c r="D178" s="113"/>
      <c r="E178" s="113"/>
      <c r="F178" s="113"/>
      <c r="G178" s="113"/>
      <c r="H178" s="113"/>
      <c r="I178" s="113"/>
      <c r="J178" s="114"/>
      <c r="K178" s="113"/>
      <c r="L178" s="113"/>
      <c r="M178" s="113"/>
      <c r="N178" s="113"/>
      <c r="O178" s="113"/>
      <c r="P178" s="113"/>
      <c r="Q178" s="113"/>
      <c r="R178" s="113"/>
      <c r="S178" s="113"/>
      <c r="T178" s="113"/>
      <c r="U178" s="113"/>
      <c r="V178" s="115"/>
      <c r="W178" s="137"/>
      <c r="X178" s="150"/>
      <c r="Y178" s="188"/>
      <c r="Z178" s="188"/>
      <c r="AA178" s="188"/>
      <c r="AJ178" s="184"/>
      <c r="AK178" s="157"/>
    </row>
    <row r="179" spans="1:45" s="76" customFormat="1" ht="15" customHeight="1" x14ac:dyDescent="0.2">
      <c r="A179" s="119"/>
      <c r="B179" s="59"/>
      <c r="C179" s="991"/>
      <c r="D179" s="991"/>
      <c r="E179" s="991"/>
      <c r="F179" s="991"/>
      <c r="G179" s="991"/>
      <c r="H179" s="991"/>
      <c r="I179" s="991"/>
      <c r="J179" s="70"/>
      <c r="K179" s="70"/>
      <c r="L179" s="70"/>
      <c r="M179" s="70"/>
      <c r="N179" s="989"/>
      <c r="O179" s="70"/>
      <c r="P179" s="70"/>
      <c r="Q179" s="70"/>
      <c r="R179" s="70"/>
      <c r="S179" s="70"/>
      <c r="T179" s="70"/>
      <c r="U179" s="70"/>
      <c r="V179" s="120"/>
      <c r="W179" s="138"/>
      <c r="X179" s="151"/>
      <c r="Y179" s="188"/>
      <c r="Z179" s="188"/>
      <c r="AA179" s="188"/>
      <c r="AB179" s="188"/>
      <c r="AC179" s="188"/>
      <c r="AD179" s="188"/>
      <c r="AE179" s="188"/>
      <c r="AF179" s="188"/>
      <c r="AG179" s="188"/>
      <c r="AH179" s="188"/>
      <c r="AI179" s="188"/>
      <c r="AJ179" s="188"/>
      <c r="AK179" s="158"/>
    </row>
    <row r="180" spans="1:45" ht="13.5" customHeight="1" x14ac:dyDescent="0.2">
      <c r="A180" s="118"/>
      <c r="B180" s="991"/>
      <c r="C180" s="991"/>
      <c r="D180" s="991"/>
      <c r="E180" s="991"/>
      <c r="F180" s="991"/>
      <c r="G180" s="991"/>
      <c r="H180" s="991"/>
      <c r="I180" s="991"/>
      <c r="J180" s="70"/>
      <c r="K180" s="70"/>
      <c r="L180" s="70"/>
      <c r="M180" s="70"/>
      <c r="N180" s="989"/>
      <c r="O180" s="70"/>
      <c r="P180" s="70"/>
      <c r="Q180" s="70"/>
      <c r="R180" s="10"/>
      <c r="S180" s="70"/>
      <c r="T180" s="70"/>
      <c r="U180" s="70"/>
      <c r="V180" s="117"/>
      <c r="W180" s="137"/>
      <c r="X180" s="150"/>
      <c r="Y180" s="188"/>
      <c r="Z180" s="188"/>
      <c r="AA180" s="196"/>
      <c r="AB180" s="196"/>
      <c r="AC180" s="197"/>
      <c r="AD180" s="197"/>
      <c r="AJ180" s="184"/>
      <c r="AK180" s="157"/>
    </row>
    <row r="181" spans="1:45" s="87" customFormat="1" ht="12" customHeight="1" x14ac:dyDescent="0.2">
      <c r="A181" s="121"/>
      <c r="B181" s="991"/>
      <c r="C181" s="991"/>
      <c r="D181" s="991"/>
      <c r="E181" s="991"/>
      <c r="F181" s="991"/>
      <c r="G181" s="991"/>
      <c r="H181" s="991"/>
      <c r="I181" s="96"/>
      <c r="J181" s="96"/>
      <c r="K181" s="61"/>
      <c r="L181" s="61"/>
      <c r="M181" s="61"/>
      <c r="N181" s="61"/>
      <c r="O181" s="61"/>
      <c r="P181" s="61"/>
      <c r="Q181" s="994"/>
      <c r="R181" s="994"/>
      <c r="S181" s="159"/>
      <c r="T181" s="159"/>
      <c r="U181" s="995"/>
      <c r="V181" s="122"/>
      <c r="W181" s="139"/>
      <c r="X181" s="152"/>
      <c r="Y181" s="188"/>
      <c r="Z181" s="188"/>
      <c r="AA181" s="196"/>
      <c r="AB181" s="196"/>
      <c r="AC181" s="197"/>
      <c r="AD181" s="197"/>
      <c r="AE181" s="199"/>
      <c r="AF181" s="190"/>
      <c r="AG181" s="190"/>
      <c r="AH181" s="190"/>
      <c r="AI181" s="190"/>
      <c r="AJ181" s="202"/>
      <c r="AK181" s="160"/>
    </row>
    <row r="182" spans="1:45" s="87" customFormat="1" ht="24" customHeight="1" x14ac:dyDescent="0.2">
      <c r="A182" s="121"/>
      <c r="B182" s="991"/>
      <c r="C182" s="991"/>
      <c r="D182" s="991"/>
      <c r="E182" s="991"/>
      <c r="F182" s="991"/>
      <c r="G182" s="991"/>
      <c r="H182" s="991"/>
      <c r="I182" s="96"/>
      <c r="J182" s="96"/>
      <c r="K182" s="166"/>
      <c r="L182" s="166"/>
      <c r="M182" s="166"/>
      <c r="N182" s="166"/>
      <c r="O182" s="166"/>
      <c r="P182" s="166"/>
      <c r="Q182" s="166"/>
      <c r="R182" s="167"/>
      <c r="S182" s="159"/>
      <c r="T182" s="159"/>
      <c r="U182" s="166"/>
      <c r="V182" s="122"/>
      <c r="W182" s="139"/>
      <c r="X182" s="152"/>
      <c r="Y182" s="774"/>
      <c r="Z182" s="354" t="s">
        <v>130</v>
      </c>
      <c r="AA182" s="354" t="s">
        <v>131</v>
      </c>
      <c r="AB182" s="196"/>
      <c r="AC182" s="197"/>
      <c r="AD182" s="197"/>
      <c r="AE182" s="199"/>
      <c r="AF182" s="190"/>
      <c r="AG182" s="190"/>
      <c r="AH182" s="190"/>
      <c r="AI182" s="190"/>
      <c r="AJ182" s="202"/>
      <c r="AK182" s="160"/>
    </row>
    <row r="183" spans="1:45" s="87" customFormat="1" ht="12.75" customHeight="1" x14ac:dyDescent="0.2">
      <c r="A183" s="121"/>
      <c r="B183" s="991"/>
      <c r="C183" s="991"/>
      <c r="D183" s="991"/>
      <c r="E183" s="991"/>
      <c r="F183" s="991"/>
      <c r="G183" s="991"/>
      <c r="H183" s="991"/>
      <c r="I183" s="96"/>
      <c r="J183" s="96"/>
      <c r="K183" s="166"/>
      <c r="L183" s="166"/>
      <c r="M183" s="166"/>
      <c r="N183" s="166"/>
      <c r="O183" s="166"/>
      <c r="P183" s="166"/>
      <c r="Q183" s="166"/>
      <c r="R183" s="167"/>
      <c r="S183" s="159"/>
      <c r="T183" s="159"/>
      <c r="U183" s="166"/>
      <c r="V183" s="122"/>
      <c r="W183" s="139"/>
      <c r="X183" s="152"/>
      <c r="Y183" s="576" t="str">
        <f>B116</f>
        <v>Bracknell Forest</v>
      </c>
      <c r="Z183" s="356" t="e">
        <f>IF(Y183=$Z$4,I116,#N/A)</f>
        <v>#N/A</v>
      </c>
      <c r="AA183" s="356" t="e">
        <f>IF(Y183=$Z$4,U116,#N/A)</f>
        <v>#N/A</v>
      </c>
      <c r="AB183" s="196"/>
      <c r="AC183" s="197"/>
      <c r="AD183" s="197"/>
      <c r="AE183" s="199"/>
      <c r="AF183" s="190"/>
      <c r="AG183" s="190"/>
      <c r="AH183" s="190"/>
      <c r="AI183" s="190"/>
      <c r="AJ183" s="202"/>
      <c r="AK183" s="160"/>
    </row>
    <row r="184" spans="1:45" s="87" customFormat="1" ht="12.75" customHeight="1" x14ac:dyDescent="0.2">
      <c r="A184" s="121"/>
      <c r="B184" s="991"/>
      <c r="C184" s="991"/>
      <c r="D184" s="991"/>
      <c r="E184" s="991"/>
      <c r="F184" s="991"/>
      <c r="G184" s="991"/>
      <c r="H184" s="991"/>
      <c r="I184" s="96"/>
      <c r="J184" s="96"/>
      <c r="K184" s="166"/>
      <c r="L184" s="166"/>
      <c r="M184" s="166"/>
      <c r="N184" s="166"/>
      <c r="O184" s="166"/>
      <c r="P184" s="166"/>
      <c r="Q184" s="166"/>
      <c r="R184" s="167"/>
      <c r="S184" s="159"/>
      <c r="T184" s="159"/>
      <c r="U184" s="166"/>
      <c r="V184" s="122"/>
      <c r="W184" s="139"/>
      <c r="X184" s="152"/>
      <c r="Y184" s="576" t="str">
        <f t="shared" ref="Y184:Y204" si="69">B117</f>
        <v>Brighton &amp; Hove</v>
      </c>
      <c r="Z184" s="356" t="e">
        <f t="shared" ref="Z184:Z206" si="70">IF(Y184=$Z$4,I117,#N/A)</f>
        <v>#N/A</v>
      </c>
      <c r="AA184" s="356" t="e">
        <f t="shared" ref="AA184:AA206" si="71">IF(Y184=$Z$4,U117,#N/A)</f>
        <v>#N/A</v>
      </c>
      <c r="AB184" s="196"/>
      <c r="AC184" s="197"/>
      <c r="AD184" s="197"/>
      <c r="AE184" s="199"/>
      <c r="AF184" s="190"/>
      <c r="AG184" s="190"/>
      <c r="AH184" s="190"/>
      <c r="AI184" s="190"/>
      <c r="AJ184" s="202"/>
      <c r="AK184" s="160"/>
    </row>
    <row r="185" spans="1:45" s="87" customFormat="1" ht="12.75" customHeight="1" x14ac:dyDescent="0.2">
      <c r="A185" s="121"/>
      <c r="B185" s="991"/>
      <c r="C185" s="991"/>
      <c r="D185" s="991"/>
      <c r="E185" s="991"/>
      <c r="F185" s="991"/>
      <c r="G185" s="991"/>
      <c r="H185" s="991"/>
      <c r="I185" s="96"/>
      <c r="J185" s="96"/>
      <c r="K185" s="166"/>
      <c r="L185" s="166"/>
      <c r="M185" s="166"/>
      <c r="N185" s="166"/>
      <c r="O185" s="166"/>
      <c r="P185" s="166"/>
      <c r="Q185" s="166"/>
      <c r="R185" s="167"/>
      <c r="S185" s="159"/>
      <c r="T185" s="159"/>
      <c r="U185" s="166"/>
      <c r="V185" s="122"/>
      <c r="W185" s="139"/>
      <c r="X185" s="152"/>
      <c r="Y185" s="576" t="str">
        <f t="shared" si="69"/>
        <v>Buckinghamshire</v>
      </c>
      <c r="Z185" s="356" t="e">
        <f t="shared" si="70"/>
        <v>#N/A</v>
      </c>
      <c r="AA185" s="356" t="e">
        <f t="shared" si="71"/>
        <v>#N/A</v>
      </c>
      <c r="AB185" s="196"/>
      <c r="AC185" s="197"/>
      <c r="AD185" s="197"/>
      <c r="AE185" s="199"/>
      <c r="AF185" s="190"/>
      <c r="AG185" s="190"/>
      <c r="AH185" s="190"/>
      <c r="AI185" s="190"/>
      <c r="AJ185" s="202"/>
      <c r="AK185" s="160"/>
    </row>
    <row r="186" spans="1:45" s="87" customFormat="1" ht="12.75" customHeight="1" x14ac:dyDescent="0.2">
      <c r="A186" s="121"/>
      <c r="B186" s="991"/>
      <c r="C186" s="991"/>
      <c r="D186" s="991"/>
      <c r="E186" s="991"/>
      <c r="F186" s="991"/>
      <c r="G186" s="991"/>
      <c r="H186" s="991"/>
      <c r="I186" s="96"/>
      <c r="J186" s="96"/>
      <c r="K186" s="166"/>
      <c r="L186" s="166"/>
      <c r="M186" s="166"/>
      <c r="N186" s="166"/>
      <c r="O186" s="166"/>
      <c r="P186" s="166"/>
      <c r="Q186" s="166"/>
      <c r="R186" s="167"/>
      <c r="S186" s="159"/>
      <c r="T186" s="159"/>
      <c r="U186" s="166"/>
      <c r="V186" s="122"/>
      <c r="W186" s="139"/>
      <c r="X186" s="152"/>
      <c r="Y186" s="576" t="str">
        <f t="shared" si="69"/>
        <v>East Sussex</v>
      </c>
      <c r="Z186" s="356" t="e">
        <f t="shared" si="70"/>
        <v>#N/A</v>
      </c>
      <c r="AA186" s="356" t="e">
        <f t="shared" si="71"/>
        <v>#N/A</v>
      </c>
      <c r="AB186" s="196"/>
      <c r="AC186" s="197"/>
      <c r="AD186" s="197"/>
      <c r="AE186" s="199"/>
      <c r="AF186" s="190"/>
      <c r="AG186" s="190"/>
      <c r="AH186" s="190"/>
      <c r="AI186" s="190"/>
      <c r="AJ186" s="202"/>
      <c r="AK186" s="160"/>
    </row>
    <row r="187" spans="1:45" s="87" customFormat="1" ht="12.75" customHeight="1" x14ac:dyDescent="0.2">
      <c r="A187" s="121"/>
      <c r="B187" s="991"/>
      <c r="C187" s="991"/>
      <c r="D187" s="991"/>
      <c r="E187" s="991"/>
      <c r="F187" s="991"/>
      <c r="G187" s="991"/>
      <c r="H187" s="991"/>
      <c r="I187" s="96"/>
      <c r="J187" s="96"/>
      <c r="K187" s="166"/>
      <c r="L187" s="166"/>
      <c r="M187" s="166"/>
      <c r="N187" s="166"/>
      <c r="O187" s="166"/>
      <c r="P187" s="166"/>
      <c r="Q187" s="166"/>
      <c r="R187" s="167"/>
      <c r="S187" s="159"/>
      <c r="T187" s="159"/>
      <c r="U187" s="166"/>
      <c r="V187" s="122"/>
      <c r="W187" s="139"/>
      <c r="X187" s="152"/>
      <c r="Y187" s="576" t="str">
        <f t="shared" si="69"/>
        <v>Hampshire</v>
      </c>
      <c r="Z187" s="356" t="e">
        <f t="shared" si="70"/>
        <v>#N/A</v>
      </c>
      <c r="AA187" s="356" t="e">
        <f t="shared" si="71"/>
        <v>#N/A</v>
      </c>
      <c r="AB187" s="196"/>
      <c r="AC187" s="197"/>
      <c r="AD187" s="197"/>
      <c r="AE187" s="199"/>
      <c r="AF187" s="190"/>
      <c r="AG187" s="190"/>
      <c r="AH187" s="190"/>
      <c r="AI187" s="190"/>
      <c r="AJ187" s="202"/>
      <c r="AK187" s="160"/>
      <c r="AS187" s="87" t="s">
        <v>102</v>
      </c>
    </row>
    <row r="188" spans="1:45" s="87" customFormat="1" ht="12.75" customHeight="1" x14ac:dyDescent="0.2">
      <c r="A188" s="121"/>
      <c r="B188" s="991"/>
      <c r="C188" s="991"/>
      <c r="D188" s="991"/>
      <c r="E188" s="991"/>
      <c r="F188" s="991"/>
      <c r="G188" s="991"/>
      <c r="H188" s="991"/>
      <c r="I188" s="96"/>
      <c r="J188" s="96"/>
      <c r="K188" s="166"/>
      <c r="L188" s="166"/>
      <c r="M188" s="166"/>
      <c r="N188" s="166"/>
      <c r="O188" s="166"/>
      <c r="P188" s="166"/>
      <c r="Q188" s="166"/>
      <c r="R188" s="167"/>
      <c r="S188" s="159"/>
      <c r="T188" s="159"/>
      <c r="U188" s="166"/>
      <c r="V188" s="122"/>
      <c r="W188" s="139"/>
      <c r="X188" s="152"/>
      <c r="Y188" s="576" t="str">
        <f t="shared" si="69"/>
        <v>Isle of Wight</v>
      </c>
      <c r="Z188" s="356" t="e">
        <f t="shared" si="70"/>
        <v>#N/A</v>
      </c>
      <c r="AA188" s="356" t="e">
        <f t="shared" si="71"/>
        <v>#N/A</v>
      </c>
      <c r="AB188" s="196"/>
      <c r="AC188" s="197"/>
      <c r="AD188" s="197"/>
      <c r="AE188" s="199"/>
      <c r="AF188" s="190"/>
      <c r="AG188" s="190"/>
      <c r="AH188" s="190"/>
      <c r="AI188" s="190"/>
      <c r="AJ188" s="202"/>
      <c r="AK188" s="160"/>
    </row>
    <row r="189" spans="1:45" s="87" customFormat="1" ht="12.75" customHeight="1" x14ac:dyDescent="0.2">
      <c r="A189" s="121"/>
      <c r="B189" s="991"/>
      <c r="C189" s="991"/>
      <c r="D189" s="991"/>
      <c r="E189" s="991"/>
      <c r="F189" s="991"/>
      <c r="G189" s="991"/>
      <c r="H189" s="991"/>
      <c r="I189" s="96"/>
      <c r="J189" s="96"/>
      <c r="K189" s="166"/>
      <c r="L189" s="166"/>
      <c r="M189" s="166"/>
      <c r="N189" s="166"/>
      <c r="O189" s="166"/>
      <c r="P189" s="166"/>
      <c r="Q189" s="166"/>
      <c r="R189" s="167"/>
      <c r="S189" s="159"/>
      <c r="T189" s="159"/>
      <c r="U189" s="166"/>
      <c r="V189" s="122"/>
      <c r="W189" s="139"/>
      <c r="X189" s="152"/>
      <c r="Y189" s="576" t="str">
        <f t="shared" si="69"/>
        <v>Kent</v>
      </c>
      <c r="Z189" s="356" t="e">
        <f t="shared" si="70"/>
        <v>#N/A</v>
      </c>
      <c r="AA189" s="356" t="e">
        <f t="shared" si="71"/>
        <v>#N/A</v>
      </c>
      <c r="AB189" s="196"/>
      <c r="AC189" s="197"/>
      <c r="AD189" s="197"/>
      <c r="AE189" s="199"/>
      <c r="AF189" s="190"/>
      <c r="AG189" s="190"/>
      <c r="AH189" s="190"/>
      <c r="AI189" s="190"/>
      <c r="AJ189" s="202"/>
      <c r="AK189" s="160"/>
    </row>
    <row r="190" spans="1:45" s="87" customFormat="1" ht="12.75" customHeight="1" x14ac:dyDescent="0.2">
      <c r="A190" s="121"/>
      <c r="B190" s="991"/>
      <c r="C190" s="991"/>
      <c r="D190" s="991"/>
      <c r="E190" s="991"/>
      <c r="F190" s="991"/>
      <c r="G190" s="991"/>
      <c r="H190" s="991"/>
      <c r="I190" s="96"/>
      <c r="J190" s="96"/>
      <c r="K190" s="166"/>
      <c r="L190" s="166"/>
      <c r="M190" s="166"/>
      <c r="N190" s="166"/>
      <c r="O190" s="166"/>
      <c r="P190" s="166"/>
      <c r="Q190" s="166"/>
      <c r="R190" s="167"/>
      <c r="S190" s="159"/>
      <c r="T190" s="159"/>
      <c r="U190" s="166"/>
      <c r="V190" s="122"/>
      <c r="W190" s="139"/>
      <c r="X190" s="152"/>
      <c r="Y190" s="576" t="str">
        <f t="shared" si="69"/>
        <v>Medway</v>
      </c>
      <c r="Z190" s="356" t="e">
        <f t="shared" si="70"/>
        <v>#N/A</v>
      </c>
      <c r="AA190" s="356" t="e">
        <f t="shared" si="71"/>
        <v>#N/A</v>
      </c>
      <c r="AB190" s="196"/>
      <c r="AC190" s="197"/>
      <c r="AD190" s="197"/>
      <c r="AE190" s="199"/>
      <c r="AF190" s="190"/>
      <c r="AG190" s="190"/>
      <c r="AH190" s="190"/>
      <c r="AI190" s="190"/>
      <c r="AJ190" s="202"/>
      <c r="AK190" s="160"/>
    </row>
    <row r="191" spans="1:45" s="87" customFormat="1" ht="12.75" customHeight="1" x14ac:dyDescent="0.2">
      <c r="A191" s="121"/>
      <c r="B191" s="991"/>
      <c r="C191" s="991"/>
      <c r="D191" s="991"/>
      <c r="E191" s="991"/>
      <c r="F191" s="991"/>
      <c r="G191" s="991"/>
      <c r="H191" s="991"/>
      <c r="I191" s="96"/>
      <c r="J191" s="96"/>
      <c r="K191" s="166"/>
      <c r="L191" s="166"/>
      <c r="M191" s="166"/>
      <c r="N191" s="166"/>
      <c r="O191" s="166"/>
      <c r="P191" s="166"/>
      <c r="Q191" s="166"/>
      <c r="R191" s="167"/>
      <c r="S191" s="159"/>
      <c r="T191" s="159"/>
      <c r="U191" s="166"/>
      <c r="V191" s="122"/>
      <c r="W191" s="139"/>
      <c r="X191" s="152"/>
      <c r="Y191" s="576" t="str">
        <f t="shared" si="69"/>
        <v>Milton Keynes</v>
      </c>
      <c r="Z191" s="356" t="e">
        <f t="shared" si="70"/>
        <v>#N/A</v>
      </c>
      <c r="AA191" s="356" t="e">
        <f t="shared" si="71"/>
        <v>#N/A</v>
      </c>
      <c r="AB191" s="196"/>
      <c r="AC191" s="197"/>
      <c r="AD191" s="197"/>
      <c r="AE191" s="199"/>
      <c r="AF191" s="190"/>
      <c r="AG191" s="190"/>
      <c r="AH191" s="190"/>
      <c r="AI191" s="190"/>
      <c r="AJ191" s="202"/>
      <c r="AK191" s="160"/>
    </row>
    <row r="192" spans="1:45" s="87" customFormat="1" ht="12.75" customHeight="1" x14ac:dyDescent="0.2">
      <c r="A192" s="121"/>
      <c r="B192" s="991"/>
      <c r="C192" s="991"/>
      <c r="D192" s="991"/>
      <c r="E192" s="991"/>
      <c r="F192" s="991"/>
      <c r="G192" s="991"/>
      <c r="H192" s="991"/>
      <c r="I192" s="96"/>
      <c r="J192" s="96"/>
      <c r="K192" s="166"/>
      <c r="L192" s="166"/>
      <c r="M192" s="166"/>
      <c r="N192" s="166"/>
      <c r="O192" s="166"/>
      <c r="P192" s="166"/>
      <c r="Q192" s="166"/>
      <c r="R192" s="167"/>
      <c r="S192" s="159"/>
      <c r="T192" s="159"/>
      <c r="U192" s="166"/>
      <c r="V192" s="122"/>
      <c r="W192" s="139"/>
      <c r="X192" s="152"/>
      <c r="Y192" s="576" t="str">
        <f t="shared" si="69"/>
        <v>Oxfordshire</v>
      </c>
      <c r="Z192" s="356" t="e">
        <f t="shared" si="70"/>
        <v>#N/A</v>
      </c>
      <c r="AA192" s="356" t="e">
        <f t="shared" si="71"/>
        <v>#N/A</v>
      </c>
      <c r="AB192" s="196"/>
      <c r="AC192" s="197"/>
      <c r="AD192" s="197"/>
      <c r="AE192" s="199"/>
      <c r="AF192" s="190"/>
      <c r="AG192" s="190"/>
      <c r="AH192" s="190"/>
      <c r="AI192" s="190"/>
      <c r="AJ192" s="202"/>
      <c r="AK192" s="160"/>
    </row>
    <row r="193" spans="1:37" s="87" customFormat="1" ht="12.75" customHeight="1" x14ac:dyDescent="0.2">
      <c r="A193" s="121"/>
      <c r="B193" s="991"/>
      <c r="C193" s="991"/>
      <c r="D193" s="991"/>
      <c r="E193" s="991"/>
      <c r="F193" s="991"/>
      <c r="G193" s="991"/>
      <c r="H193" s="991"/>
      <c r="I193" s="96"/>
      <c r="J193" s="96"/>
      <c r="K193" s="166"/>
      <c r="L193" s="166"/>
      <c r="M193" s="166"/>
      <c r="N193" s="166"/>
      <c r="O193" s="166"/>
      <c r="P193" s="166"/>
      <c r="Q193" s="166"/>
      <c r="R193" s="167"/>
      <c r="S193" s="159"/>
      <c r="T193" s="159"/>
      <c r="U193" s="166"/>
      <c r="V193" s="122"/>
      <c r="W193" s="139"/>
      <c r="X193" s="152"/>
      <c r="Y193" s="576" t="str">
        <f t="shared" si="69"/>
        <v>Portsmouth</v>
      </c>
      <c r="Z193" s="356" t="e">
        <f t="shared" si="70"/>
        <v>#N/A</v>
      </c>
      <c r="AA193" s="356" t="e">
        <f t="shared" si="71"/>
        <v>#N/A</v>
      </c>
      <c r="AB193" s="196"/>
      <c r="AC193" s="197"/>
      <c r="AD193" s="197"/>
      <c r="AE193" s="199"/>
      <c r="AF193" s="190"/>
      <c r="AG193" s="190"/>
      <c r="AH193" s="190"/>
      <c r="AI193" s="190"/>
      <c r="AJ193" s="202"/>
      <c r="AK193" s="160"/>
    </row>
    <row r="194" spans="1:37" s="87" customFormat="1" ht="12.75" customHeight="1" x14ac:dyDescent="0.2">
      <c r="A194" s="121"/>
      <c r="B194" s="991"/>
      <c r="C194" s="991"/>
      <c r="D194" s="991"/>
      <c r="E194" s="991"/>
      <c r="F194" s="991"/>
      <c r="G194" s="991"/>
      <c r="H194" s="991"/>
      <c r="I194" s="96"/>
      <c r="J194" s="96"/>
      <c r="K194" s="166"/>
      <c r="L194" s="166"/>
      <c r="M194" s="166"/>
      <c r="N194" s="166"/>
      <c r="O194" s="166"/>
      <c r="P194" s="166"/>
      <c r="Q194" s="166"/>
      <c r="R194" s="167"/>
      <c r="S194" s="159"/>
      <c r="T194" s="159"/>
      <c r="U194" s="166"/>
      <c r="V194" s="122"/>
      <c r="W194" s="139"/>
      <c r="X194" s="152"/>
      <c r="Y194" s="576" t="str">
        <f t="shared" si="69"/>
        <v>Reading</v>
      </c>
      <c r="Z194" s="356" t="e">
        <f t="shared" si="70"/>
        <v>#N/A</v>
      </c>
      <c r="AA194" s="356" t="e">
        <f t="shared" si="71"/>
        <v>#N/A</v>
      </c>
      <c r="AB194" s="196"/>
      <c r="AC194" s="197"/>
      <c r="AD194" s="197"/>
      <c r="AE194" s="199"/>
      <c r="AF194" s="190"/>
      <c r="AG194" s="190"/>
      <c r="AH194" s="190"/>
      <c r="AI194" s="190"/>
      <c r="AJ194" s="202"/>
      <c r="AK194" s="160"/>
    </row>
    <row r="195" spans="1:37" s="87" customFormat="1" ht="12.75" customHeight="1" x14ac:dyDescent="0.2">
      <c r="A195" s="121"/>
      <c r="B195" s="991"/>
      <c r="C195" s="991"/>
      <c r="D195" s="991"/>
      <c r="E195" s="991"/>
      <c r="F195" s="991"/>
      <c r="G195" s="991"/>
      <c r="H195" s="991"/>
      <c r="I195" s="96"/>
      <c r="J195" s="96"/>
      <c r="K195" s="166"/>
      <c r="L195" s="166"/>
      <c r="M195" s="166"/>
      <c r="N195" s="166"/>
      <c r="O195" s="166"/>
      <c r="P195" s="166"/>
      <c r="Q195" s="166"/>
      <c r="R195" s="167"/>
      <c r="S195" s="159"/>
      <c r="T195" s="159"/>
      <c r="U195" s="166"/>
      <c r="V195" s="122"/>
      <c r="W195" s="139"/>
      <c r="X195" s="152"/>
      <c r="Y195" s="576" t="str">
        <f t="shared" si="69"/>
        <v>Slough</v>
      </c>
      <c r="Z195" s="356" t="e">
        <f t="shared" si="70"/>
        <v>#N/A</v>
      </c>
      <c r="AA195" s="356" t="e">
        <f t="shared" si="71"/>
        <v>#N/A</v>
      </c>
      <c r="AB195" s="196"/>
      <c r="AC195" s="197"/>
      <c r="AD195" s="197"/>
      <c r="AE195" s="199"/>
      <c r="AF195" s="190"/>
      <c r="AG195" s="190"/>
      <c r="AH195" s="190"/>
      <c r="AI195" s="190"/>
      <c r="AJ195" s="202"/>
      <c r="AK195" s="160"/>
    </row>
    <row r="196" spans="1:37" s="87" customFormat="1" ht="12.75" customHeight="1" x14ac:dyDescent="0.2">
      <c r="A196" s="121"/>
      <c r="B196" s="991"/>
      <c r="C196" s="991"/>
      <c r="D196" s="991"/>
      <c r="E196" s="991"/>
      <c r="F196" s="991"/>
      <c r="G196" s="991"/>
      <c r="H196" s="991"/>
      <c r="I196" s="96"/>
      <c r="J196" s="96"/>
      <c r="K196" s="166"/>
      <c r="L196" s="166"/>
      <c r="M196" s="166"/>
      <c r="N196" s="166"/>
      <c r="O196" s="166"/>
      <c r="P196" s="166"/>
      <c r="Q196" s="166"/>
      <c r="R196" s="167"/>
      <c r="S196" s="159"/>
      <c r="T196" s="159"/>
      <c r="U196" s="166"/>
      <c r="V196" s="122"/>
      <c r="W196" s="139"/>
      <c r="X196" s="152"/>
      <c r="Y196" s="576" t="str">
        <f t="shared" si="69"/>
        <v>Somerset</v>
      </c>
      <c r="Z196" s="356" t="e">
        <f t="shared" si="70"/>
        <v>#N/A</v>
      </c>
      <c r="AA196" s="356" t="e">
        <f t="shared" si="71"/>
        <v>#N/A</v>
      </c>
      <c r="AB196" s="196"/>
      <c r="AC196" s="197"/>
      <c r="AD196" s="197"/>
      <c r="AE196" s="199"/>
      <c r="AF196" s="190"/>
      <c r="AG196" s="190"/>
      <c r="AH196" s="190"/>
      <c r="AI196" s="190"/>
      <c r="AJ196" s="202"/>
      <c r="AK196" s="160"/>
    </row>
    <row r="197" spans="1:37" s="87" customFormat="1" ht="12.75" customHeight="1" x14ac:dyDescent="0.2">
      <c r="A197" s="121"/>
      <c r="B197" s="991"/>
      <c r="C197" s="991"/>
      <c r="D197" s="991"/>
      <c r="E197" s="991"/>
      <c r="F197" s="991"/>
      <c r="G197" s="991"/>
      <c r="H197" s="991"/>
      <c r="I197" s="96"/>
      <c r="J197" s="96"/>
      <c r="K197" s="166"/>
      <c r="L197" s="166"/>
      <c r="M197" s="166"/>
      <c r="N197" s="166"/>
      <c r="O197" s="166"/>
      <c r="P197" s="166"/>
      <c r="Q197" s="166"/>
      <c r="R197" s="167"/>
      <c r="S197" s="159"/>
      <c r="T197" s="159"/>
      <c r="U197" s="166"/>
      <c r="V197" s="122"/>
      <c r="W197" s="139"/>
      <c r="X197" s="152"/>
      <c r="Y197" s="576" t="str">
        <f t="shared" si="69"/>
        <v>Southampton</v>
      </c>
      <c r="Z197" s="356" t="e">
        <f t="shared" si="70"/>
        <v>#N/A</v>
      </c>
      <c r="AA197" s="356" t="e">
        <f t="shared" si="71"/>
        <v>#N/A</v>
      </c>
      <c r="AB197" s="196"/>
      <c r="AC197" s="197"/>
      <c r="AD197" s="197"/>
      <c r="AE197" s="199"/>
      <c r="AF197" s="190"/>
      <c r="AG197" s="190"/>
      <c r="AH197" s="190"/>
      <c r="AI197" s="190"/>
      <c r="AJ197" s="202"/>
      <c r="AK197" s="160"/>
    </row>
    <row r="198" spans="1:37" s="87" customFormat="1" ht="12.75" customHeight="1" x14ac:dyDescent="0.2">
      <c r="A198" s="292"/>
      <c r="B198" s="991"/>
      <c r="C198" s="991"/>
      <c r="D198" s="991"/>
      <c r="E198" s="991"/>
      <c r="F198" s="991"/>
      <c r="G198" s="991"/>
      <c r="H198" s="991"/>
      <c r="I198" s="96"/>
      <c r="J198" s="96"/>
      <c r="K198" s="166"/>
      <c r="L198" s="166"/>
      <c r="M198" s="166"/>
      <c r="N198" s="166"/>
      <c r="O198" s="166"/>
      <c r="P198" s="166"/>
      <c r="Q198" s="166"/>
      <c r="R198" s="167"/>
      <c r="S198" s="159"/>
      <c r="T198" s="159"/>
      <c r="U198" s="166"/>
      <c r="V198" s="122"/>
      <c r="W198" s="139"/>
      <c r="X198" s="152"/>
      <c r="Y198" s="576" t="str">
        <f t="shared" si="69"/>
        <v>Surrey</v>
      </c>
      <c r="Z198" s="356" t="e">
        <f t="shared" si="70"/>
        <v>#N/A</v>
      </c>
      <c r="AA198" s="356" t="e">
        <f t="shared" si="71"/>
        <v>#N/A</v>
      </c>
      <c r="AB198" s="196"/>
      <c r="AC198" s="197"/>
      <c r="AD198" s="197"/>
      <c r="AE198" s="199"/>
      <c r="AF198" s="190"/>
      <c r="AG198" s="190"/>
      <c r="AH198" s="190"/>
      <c r="AI198" s="190"/>
      <c r="AJ198" s="202"/>
      <c r="AK198" s="160"/>
    </row>
    <row r="199" spans="1:37" s="87" customFormat="1" ht="12.75" customHeight="1" x14ac:dyDescent="0.2">
      <c r="A199" s="292"/>
      <c r="B199" s="991"/>
      <c r="C199" s="991"/>
      <c r="D199" s="991"/>
      <c r="E199" s="991"/>
      <c r="F199" s="991"/>
      <c r="G199" s="991"/>
      <c r="H199" s="991"/>
      <c r="I199" s="96"/>
      <c r="J199" s="96"/>
      <c r="K199" s="166"/>
      <c r="L199" s="166"/>
      <c r="M199" s="166"/>
      <c r="N199" s="166"/>
      <c r="O199" s="166"/>
      <c r="P199" s="166"/>
      <c r="Q199" s="166"/>
      <c r="R199" s="167"/>
      <c r="S199" s="159"/>
      <c r="T199" s="159"/>
      <c r="U199" s="166"/>
      <c r="V199" s="122"/>
      <c r="W199" s="139"/>
      <c r="X199" s="152"/>
      <c r="Y199" s="576" t="str">
        <f t="shared" si="69"/>
        <v>Swindon</v>
      </c>
      <c r="Z199" s="356" t="e">
        <f t="shared" si="70"/>
        <v>#N/A</v>
      </c>
      <c r="AA199" s="356" t="e">
        <f t="shared" si="71"/>
        <v>#N/A</v>
      </c>
      <c r="AB199" s="196"/>
      <c r="AC199" s="197"/>
      <c r="AD199" s="197"/>
      <c r="AE199" s="199"/>
      <c r="AF199" s="190"/>
      <c r="AG199" s="190"/>
      <c r="AH199" s="190"/>
      <c r="AI199" s="190"/>
      <c r="AJ199" s="202"/>
      <c r="AK199" s="160"/>
    </row>
    <row r="200" spans="1:37" s="87" customFormat="1" ht="12.75" customHeight="1" x14ac:dyDescent="0.2">
      <c r="A200" s="121"/>
      <c r="B200" s="991"/>
      <c r="C200" s="991"/>
      <c r="D200" s="991"/>
      <c r="E200" s="991"/>
      <c r="F200" s="991"/>
      <c r="G200" s="991"/>
      <c r="H200" s="991"/>
      <c r="I200" s="96"/>
      <c r="J200" s="96"/>
      <c r="K200" s="166"/>
      <c r="L200" s="166"/>
      <c r="M200" s="166"/>
      <c r="N200" s="166"/>
      <c r="O200" s="166"/>
      <c r="P200" s="166"/>
      <c r="Q200" s="166"/>
      <c r="R200" s="167"/>
      <c r="S200" s="159"/>
      <c r="T200" s="159"/>
      <c r="U200" s="166"/>
      <c r="V200" s="122"/>
      <c r="W200" s="139"/>
      <c r="X200" s="152"/>
      <c r="Y200" s="576" t="str">
        <f t="shared" si="69"/>
        <v>Torbay</v>
      </c>
      <c r="Z200" s="356" t="e">
        <f t="shared" si="70"/>
        <v>#N/A</v>
      </c>
      <c r="AA200" s="356" t="e">
        <f t="shared" si="71"/>
        <v>#N/A</v>
      </c>
      <c r="AB200" s="196"/>
      <c r="AC200" s="197"/>
      <c r="AD200" s="197"/>
      <c r="AE200" s="199"/>
      <c r="AF200" s="202"/>
      <c r="AG200" s="190"/>
      <c r="AH200" s="190"/>
      <c r="AI200" s="190"/>
      <c r="AJ200" s="202"/>
      <c r="AK200" s="160"/>
    </row>
    <row r="201" spans="1:37" s="87" customFormat="1" ht="12.75" customHeight="1" x14ac:dyDescent="0.2">
      <c r="A201" s="121"/>
      <c r="B201" s="991"/>
      <c r="C201" s="991"/>
      <c r="D201" s="991"/>
      <c r="E201" s="991"/>
      <c r="F201" s="991"/>
      <c r="G201" s="991"/>
      <c r="H201" s="991"/>
      <c r="I201" s="96"/>
      <c r="J201" s="96"/>
      <c r="K201" s="166"/>
      <c r="L201" s="166"/>
      <c r="M201" s="166"/>
      <c r="N201" s="166"/>
      <c r="O201" s="166"/>
      <c r="P201" s="166"/>
      <c r="Q201" s="166"/>
      <c r="R201" s="167"/>
      <c r="S201" s="159"/>
      <c r="T201" s="159"/>
      <c r="U201" s="166"/>
      <c r="V201" s="122"/>
      <c r="W201" s="139"/>
      <c r="X201" s="152"/>
      <c r="Y201" s="576" t="str">
        <f t="shared" si="69"/>
        <v>West Berkshire</v>
      </c>
      <c r="Z201" s="356" t="e">
        <f t="shared" si="70"/>
        <v>#N/A</v>
      </c>
      <c r="AA201" s="356" t="e">
        <f t="shared" si="71"/>
        <v>#N/A</v>
      </c>
      <c r="AB201" s="196"/>
      <c r="AC201" s="197"/>
      <c r="AD201" s="197"/>
      <c r="AE201" s="199"/>
      <c r="AF201" s="202"/>
      <c r="AG201" s="190"/>
      <c r="AH201" s="190"/>
      <c r="AI201" s="190"/>
      <c r="AJ201" s="202"/>
      <c r="AK201" s="160"/>
    </row>
    <row r="202" spans="1:37" s="87" customFormat="1" ht="12.75" customHeight="1" x14ac:dyDescent="0.2">
      <c r="A202" s="121"/>
      <c r="B202" s="991"/>
      <c r="C202" s="991"/>
      <c r="D202" s="991"/>
      <c r="E202" s="991"/>
      <c r="F202" s="991"/>
      <c r="G202" s="991"/>
      <c r="H202" s="991"/>
      <c r="I202" s="96"/>
      <c r="J202" s="96"/>
      <c r="K202" s="166"/>
      <c r="L202" s="166"/>
      <c r="M202" s="166"/>
      <c r="N202" s="166"/>
      <c r="O202" s="166"/>
      <c r="P202" s="166"/>
      <c r="Q202" s="166"/>
      <c r="R202" s="167"/>
      <c r="S202" s="159"/>
      <c r="T202" s="159"/>
      <c r="U202" s="166"/>
      <c r="V202" s="122"/>
      <c r="W202" s="139"/>
      <c r="X202" s="152"/>
      <c r="Y202" s="576" t="str">
        <f t="shared" si="69"/>
        <v>West Sussex</v>
      </c>
      <c r="Z202" s="356" t="e">
        <f t="shared" si="70"/>
        <v>#N/A</v>
      </c>
      <c r="AA202" s="356" t="e">
        <f t="shared" si="71"/>
        <v>#N/A</v>
      </c>
      <c r="AB202" s="196"/>
      <c r="AC202" s="197"/>
      <c r="AD202" s="197"/>
      <c r="AE202" s="199"/>
      <c r="AF202" s="202"/>
      <c r="AG202" s="202"/>
      <c r="AH202" s="202"/>
      <c r="AI202" s="190"/>
      <c r="AJ202" s="202"/>
      <c r="AK202" s="160"/>
    </row>
    <row r="203" spans="1:37" s="87" customFormat="1" ht="12.75" customHeight="1" x14ac:dyDescent="0.2">
      <c r="A203" s="121"/>
      <c r="B203" s="991"/>
      <c r="C203" s="991"/>
      <c r="D203" s="991"/>
      <c r="E203" s="991"/>
      <c r="F203" s="991"/>
      <c r="G203" s="991"/>
      <c r="H203" s="991"/>
      <c r="I203" s="96"/>
      <c r="J203" s="96"/>
      <c r="K203" s="166"/>
      <c r="L203" s="166"/>
      <c r="M203" s="166"/>
      <c r="N203" s="166"/>
      <c r="O203" s="166"/>
      <c r="P203" s="166"/>
      <c r="Q203" s="166"/>
      <c r="R203" s="167"/>
      <c r="S203" s="159"/>
      <c r="T203" s="159"/>
      <c r="U203" s="166"/>
      <c r="V203" s="122"/>
      <c r="W203" s="139"/>
      <c r="X203" s="152"/>
      <c r="Y203" s="576" t="str">
        <f t="shared" si="69"/>
        <v>Windsor &amp; Maidenhead</v>
      </c>
      <c r="Z203" s="356" t="e">
        <f t="shared" si="70"/>
        <v>#N/A</v>
      </c>
      <c r="AA203" s="356" t="e">
        <f t="shared" si="71"/>
        <v>#N/A</v>
      </c>
      <c r="AB203" s="196"/>
      <c r="AC203" s="197"/>
      <c r="AD203" s="197"/>
      <c r="AE203" s="199"/>
      <c r="AF203" s="202"/>
      <c r="AG203" s="202"/>
      <c r="AH203" s="202"/>
      <c r="AI203" s="190"/>
      <c r="AJ203" s="202"/>
      <c r="AK203" s="160"/>
    </row>
    <row r="204" spans="1:37" s="87" customFormat="1" ht="12.75" customHeight="1" x14ac:dyDescent="0.2">
      <c r="A204" s="121"/>
      <c r="B204" s="991"/>
      <c r="C204" s="991"/>
      <c r="D204" s="991"/>
      <c r="E204" s="991"/>
      <c r="F204" s="991"/>
      <c r="G204" s="991"/>
      <c r="H204" s="991"/>
      <c r="I204" s="96"/>
      <c r="J204" s="96"/>
      <c r="K204" s="168"/>
      <c r="L204" s="168"/>
      <c r="M204" s="168"/>
      <c r="N204" s="168"/>
      <c r="O204" s="168"/>
      <c r="P204" s="168"/>
      <c r="Q204" s="168"/>
      <c r="R204" s="169"/>
      <c r="S204" s="159"/>
      <c r="T204" s="159"/>
      <c r="U204" s="170"/>
      <c r="V204" s="122"/>
      <c r="W204" s="139"/>
      <c r="X204" s="152"/>
      <c r="Y204" s="576" t="str">
        <f t="shared" si="69"/>
        <v>Wokingham</v>
      </c>
      <c r="Z204" s="356" t="e">
        <f t="shared" si="70"/>
        <v>#N/A</v>
      </c>
      <c r="AA204" s="356" t="e">
        <f t="shared" si="71"/>
        <v>#N/A</v>
      </c>
      <c r="AB204" s="196"/>
      <c r="AC204" s="197"/>
      <c r="AD204" s="197"/>
      <c r="AE204" s="199"/>
      <c r="AF204" s="202"/>
      <c r="AG204" s="202"/>
      <c r="AH204" s="202"/>
      <c r="AI204" s="190"/>
      <c r="AJ204" s="202"/>
      <c r="AK204" s="160"/>
    </row>
    <row r="205" spans="1:37" s="87" customFormat="1" ht="12.75" customHeight="1" x14ac:dyDescent="0.2">
      <c r="A205" s="121"/>
      <c r="B205" s="991"/>
      <c r="C205" s="991"/>
      <c r="D205" s="991"/>
      <c r="E205" s="991"/>
      <c r="F205" s="991"/>
      <c r="G205" s="991"/>
      <c r="H205" s="991"/>
      <c r="I205" s="96"/>
      <c r="J205" s="96"/>
      <c r="K205" s="168"/>
      <c r="L205" s="168"/>
      <c r="M205" s="168"/>
      <c r="N205" s="168"/>
      <c r="O205" s="168"/>
      <c r="P205" s="168"/>
      <c r="Q205" s="168"/>
      <c r="R205" s="169"/>
      <c r="S205" s="159"/>
      <c r="T205" s="159"/>
      <c r="U205" s="170"/>
      <c r="V205" s="122"/>
      <c r="W205" s="139"/>
      <c r="X205" s="152"/>
      <c r="Y205" s="576" t="str">
        <f>B138</f>
        <v>South East</v>
      </c>
      <c r="Z205" s="356" t="e">
        <f t="shared" si="70"/>
        <v>#N/A</v>
      </c>
      <c r="AA205" s="356" t="e">
        <f t="shared" si="71"/>
        <v>#N/A</v>
      </c>
      <c r="AB205" s="196"/>
      <c r="AC205" s="197"/>
      <c r="AD205" s="197"/>
      <c r="AE205" s="199"/>
      <c r="AF205" s="202"/>
      <c r="AG205" s="202"/>
      <c r="AH205" s="202"/>
      <c r="AI205" s="190"/>
      <c r="AJ205" s="202"/>
      <c r="AK205" s="160"/>
    </row>
    <row r="206" spans="1:37" s="87" customFormat="1" ht="11.25" customHeight="1" x14ac:dyDescent="0.2">
      <c r="A206" s="292"/>
      <c r="B206" s="991"/>
      <c r="C206" s="991"/>
      <c r="D206" s="991"/>
      <c r="E206" s="991"/>
      <c r="F206" s="991"/>
      <c r="G206" s="991"/>
      <c r="H206" s="991"/>
      <c r="I206" s="96"/>
      <c r="J206" s="96"/>
      <c r="K206" s="168"/>
      <c r="L206" s="168"/>
      <c r="M206" s="168"/>
      <c r="N206" s="168"/>
      <c r="O206" s="168"/>
      <c r="P206" s="168"/>
      <c r="Q206" s="168"/>
      <c r="R206" s="169"/>
      <c r="S206" s="159"/>
      <c r="T206" s="159"/>
      <c r="U206" s="170"/>
      <c r="V206" s="122"/>
      <c r="W206" s="139"/>
      <c r="X206" s="152"/>
      <c r="Y206" s="576" t="str">
        <f>B139</f>
        <v>England</v>
      </c>
      <c r="Z206" s="356" t="e">
        <f t="shared" si="70"/>
        <v>#N/A</v>
      </c>
      <c r="AA206" s="356" t="e">
        <f t="shared" si="71"/>
        <v>#N/A</v>
      </c>
      <c r="AB206" s="196"/>
      <c r="AC206" s="197"/>
      <c r="AD206" s="197"/>
      <c r="AE206" s="199"/>
      <c r="AF206" s="202"/>
      <c r="AG206" s="202"/>
      <c r="AH206" s="202"/>
      <c r="AI206" s="190"/>
      <c r="AJ206" s="202"/>
      <c r="AK206" s="160"/>
    </row>
    <row r="207" spans="1:37" s="81" customFormat="1" ht="35.450000000000003" customHeight="1" x14ac:dyDescent="0.2">
      <c r="A207" s="217"/>
      <c r="B207" s="991"/>
      <c r="C207" s="991"/>
      <c r="D207" s="991"/>
      <c r="E207" s="991"/>
      <c r="F207" s="991"/>
      <c r="G207" s="991"/>
      <c r="H207" s="991"/>
      <c r="I207" s="392"/>
      <c r="J207" s="172"/>
      <c r="K207" s="172"/>
      <c r="L207" s="172"/>
      <c r="M207" s="172"/>
      <c r="N207" s="172"/>
      <c r="O207" s="172"/>
      <c r="P207" s="172"/>
      <c r="Q207" s="172"/>
      <c r="R207" s="136"/>
      <c r="S207" s="172"/>
      <c r="T207" s="172"/>
      <c r="U207" s="172"/>
      <c r="V207" s="117"/>
      <c r="W207" s="137"/>
      <c r="X207" s="150"/>
      <c r="AD207" s="197"/>
      <c r="AE207" s="199"/>
      <c r="AF207" s="184"/>
      <c r="AG207" s="184"/>
      <c r="AH207" s="184"/>
      <c r="AJ207" s="184"/>
      <c r="AK207" s="161"/>
    </row>
    <row r="208" spans="1:37" s="81" customFormat="1" ht="36.6" customHeight="1" x14ac:dyDescent="0.2">
      <c r="A208" s="217"/>
      <c r="B208" s="991"/>
      <c r="C208" s="991"/>
      <c r="D208" s="991"/>
      <c r="E208" s="991"/>
      <c r="F208" s="991"/>
      <c r="G208" s="991"/>
      <c r="H208" s="991"/>
      <c r="I208" s="392"/>
      <c r="J208" s="172"/>
      <c r="K208" s="172"/>
      <c r="L208" s="172"/>
      <c r="M208" s="172"/>
      <c r="N208" s="172"/>
      <c r="O208" s="172"/>
      <c r="P208" s="172"/>
      <c r="Q208" s="172"/>
      <c r="R208" s="136"/>
      <c r="S208" s="172"/>
      <c r="T208" s="172"/>
      <c r="U208" s="172"/>
      <c r="V208" s="117"/>
      <c r="W208" s="137"/>
      <c r="X208" s="150"/>
      <c r="Z208" s="190"/>
      <c r="AE208" s="199"/>
      <c r="AF208" s="184"/>
      <c r="AG208" s="184"/>
      <c r="AH208" s="184"/>
      <c r="AJ208" s="184"/>
      <c r="AK208" s="161"/>
    </row>
    <row r="209" spans="1:66" s="81" customFormat="1" ht="45.75" customHeight="1" x14ac:dyDescent="0.2">
      <c r="A209" s="217"/>
      <c r="B209" s="392"/>
      <c r="C209" s="392"/>
      <c r="D209" s="392"/>
      <c r="E209" s="392"/>
      <c r="F209" s="392"/>
      <c r="G209" s="392"/>
      <c r="H209" s="392"/>
      <c r="I209" s="392"/>
      <c r="J209" s="172"/>
      <c r="K209" s="172"/>
      <c r="L209" s="172"/>
      <c r="M209" s="172"/>
      <c r="N209" s="172"/>
      <c r="O209" s="172"/>
      <c r="P209" s="172"/>
      <c r="Q209" s="172"/>
      <c r="R209" s="136"/>
      <c r="S209" s="172"/>
      <c r="T209" s="172"/>
      <c r="U209" s="172"/>
      <c r="V209" s="117"/>
      <c r="W209" s="137"/>
      <c r="X209" s="150"/>
      <c r="Z209" s="190"/>
      <c r="AE209" s="199"/>
      <c r="AF209" s="184"/>
      <c r="AG209" s="184"/>
      <c r="AH209" s="184"/>
      <c r="AJ209" s="184"/>
      <c r="AK209" s="161"/>
    </row>
    <row r="210" spans="1:66" s="81" customFormat="1" ht="7.5" customHeight="1" x14ac:dyDescent="0.2">
      <c r="A210" s="118"/>
      <c r="B210" s="17"/>
      <c r="C210" s="17"/>
      <c r="D210" s="16"/>
      <c r="E210" s="16"/>
      <c r="F210" s="16"/>
      <c r="G210" s="16"/>
      <c r="H210" s="16"/>
      <c r="I210" s="16"/>
      <c r="J210" s="12"/>
      <c r="K210" s="18"/>
      <c r="L210" s="18"/>
      <c r="M210" s="18"/>
      <c r="N210" s="18"/>
      <c r="O210" s="18"/>
      <c r="P210" s="18"/>
      <c r="Q210" s="18"/>
      <c r="R210" s="18"/>
      <c r="S210" s="18"/>
      <c r="T210" s="18"/>
      <c r="U210" s="19"/>
      <c r="V210" s="117"/>
      <c r="W210" s="137"/>
      <c r="X210" s="150"/>
      <c r="Z210" s="190"/>
      <c r="AJ210" s="184"/>
      <c r="AK210" s="157"/>
      <c r="AL210" s="74"/>
      <c r="AM210" s="74"/>
      <c r="AN210" s="74"/>
      <c r="AO210" s="74"/>
      <c r="AP210" s="74"/>
      <c r="AQ210" s="74"/>
      <c r="AR210" s="74"/>
    </row>
    <row r="211" spans="1:66" s="81" customFormat="1" ht="15" customHeight="1" x14ac:dyDescent="0.2">
      <c r="A211" s="1716"/>
      <c r="B211" s="1760"/>
      <c r="C211" s="1760"/>
      <c r="D211" s="1760"/>
      <c r="E211" s="1760"/>
      <c r="F211" s="1760"/>
      <c r="G211" s="1760"/>
      <c r="H211" s="1760"/>
      <c r="I211" s="1760"/>
      <c r="J211" s="1760"/>
      <c r="K211" s="1760"/>
      <c r="L211" s="1760"/>
      <c r="M211" s="1760"/>
      <c r="N211" s="1760"/>
      <c r="O211" s="1760"/>
      <c r="P211" s="1760"/>
      <c r="Q211" s="1760"/>
      <c r="R211" s="1760"/>
      <c r="S211" s="1760"/>
      <c r="T211" s="1760"/>
      <c r="U211" s="1760"/>
      <c r="V211" s="1761"/>
      <c r="W211" s="137"/>
      <c r="X211" s="150"/>
      <c r="Y211" s="188"/>
      <c r="Z211" s="188"/>
      <c r="AK211" s="161"/>
      <c r="AT211" s="74"/>
    </row>
    <row r="212" spans="1:66" s="81" customFormat="1" ht="11.1" customHeight="1" x14ac:dyDescent="0.2">
      <c r="A212" s="1765" t="str">
        <f>Home!$A$39</f>
        <v xml:space="preserve"> </v>
      </c>
      <c r="B212" s="1766"/>
      <c r="C212" s="1766"/>
      <c r="D212" s="1766"/>
      <c r="E212" s="1766"/>
      <c r="F212" s="1766"/>
      <c r="G212" s="1766"/>
      <c r="H212" s="1766"/>
      <c r="I212" s="1767"/>
      <c r="J212" s="1766"/>
      <c r="K212" s="1766"/>
      <c r="L212" s="1766"/>
      <c r="M212" s="1766"/>
      <c r="N212" s="1766"/>
      <c r="O212" s="1766"/>
      <c r="P212" s="1768"/>
      <c r="Q212" s="1766"/>
      <c r="R212" s="1766"/>
      <c r="S212" s="1766"/>
      <c r="T212" s="1767"/>
      <c r="U212" s="1766"/>
      <c r="V212" s="1769"/>
      <c r="W212" s="137"/>
      <c r="X212" s="150"/>
      <c r="Y212" s="188"/>
      <c r="Z212" s="188"/>
      <c r="AJ212" s="184"/>
      <c r="AK212" s="161"/>
      <c r="AT212" s="74"/>
    </row>
    <row r="213" spans="1:66" ht="11.25" customHeight="1" x14ac:dyDescent="0.2">
      <c r="A213" s="142"/>
      <c r="B213" s="9"/>
      <c r="C213" s="9"/>
      <c r="D213" s="9"/>
      <c r="E213" s="9"/>
      <c r="F213" s="58"/>
      <c r="G213" s="58"/>
      <c r="H213" s="58"/>
      <c r="I213" s="58"/>
      <c r="J213" s="114"/>
      <c r="K213" s="113"/>
      <c r="L213" s="113"/>
      <c r="M213" s="113"/>
      <c r="N213" s="113"/>
      <c r="O213" s="113"/>
      <c r="P213" s="113"/>
      <c r="Q213" s="113"/>
      <c r="R213" s="113"/>
      <c r="S213" s="113"/>
      <c r="T213" s="113"/>
      <c r="U213" s="113"/>
      <c r="V213" s="113"/>
      <c r="W213" s="137"/>
      <c r="X213" s="150"/>
      <c r="AJ213" s="81"/>
      <c r="AK213" s="161"/>
      <c r="AL213" s="81"/>
      <c r="AM213" s="81"/>
      <c r="AN213" s="81"/>
      <c r="AO213" s="81"/>
      <c r="AP213" s="81"/>
      <c r="AQ213" s="81"/>
      <c r="AR213" s="81"/>
      <c r="AS213" s="81"/>
      <c r="AU213" s="81"/>
      <c r="AV213" s="81"/>
      <c r="AW213" s="81"/>
      <c r="AX213" s="81"/>
      <c r="AY213" s="81"/>
      <c r="AZ213" s="81"/>
      <c r="BA213" s="81"/>
      <c r="BB213" s="81"/>
      <c r="BC213" s="81"/>
      <c r="BD213" s="81"/>
      <c r="BE213" s="81"/>
      <c r="BF213" s="81"/>
      <c r="BG213" s="81"/>
      <c r="BH213" s="81"/>
      <c r="BI213" s="81"/>
      <c r="BJ213" s="81"/>
      <c r="BK213" s="81"/>
      <c r="BL213" s="81"/>
      <c r="BM213" s="81"/>
      <c r="BN213" s="81"/>
    </row>
    <row r="214" spans="1:66" ht="11.25" customHeight="1" x14ac:dyDescent="0.2">
      <c r="A214" s="142"/>
      <c r="B214" s="1685" t="s">
        <v>82</v>
      </c>
      <c r="C214" s="1685"/>
      <c r="D214" s="1685"/>
      <c r="E214" s="1685"/>
      <c r="F214" s="1685"/>
      <c r="G214" s="1685"/>
      <c r="H214" s="1685"/>
      <c r="I214" s="1685"/>
      <c r="J214" s="12"/>
      <c r="K214" s="9"/>
      <c r="L214" s="9"/>
      <c r="M214" s="9"/>
      <c r="N214" s="9"/>
      <c r="O214" s="9"/>
      <c r="P214" s="9"/>
      <c r="Q214" s="9"/>
      <c r="R214" s="9"/>
      <c r="S214" s="9"/>
      <c r="T214" s="9"/>
      <c r="U214" s="9"/>
      <c r="V214" s="9"/>
      <c r="W214" s="137"/>
      <c r="X214" s="150"/>
      <c r="AJ214" s="81"/>
      <c r="AK214" s="161"/>
      <c r="AL214" s="81"/>
      <c r="AM214" s="81"/>
      <c r="AN214" s="81"/>
      <c r="AO214" s="81"/>
      <c r="AP214" s="81"/>
      <c r="AQ214" s="81"/>
      <c r="AR214" s="81"/>
      <c r="AS214" s="81"/>
      <c r="AU214" s="81"/>
      <c r="AV214" s="81"/>
      <c r="AW214" s="81"/>
      <c r="AX214" s="81"/>
      <c r="AY214" s="81"/>
      <c r="AZ214" s="81"/>
    </row>
    <row r="215" spans="1:66" ht="11.25" customHeight="1" x14ac:dyDescent="0.2">
      <c r="A215" s="142"/>
      <c r="B215" s="1685"/>
      <c r="C215" s="1685"/>
      <c r="D215" s="1685"/>
      <c r="E215" s="1685"/>
      <c r="F215" s="1685"/>
      <c r="G215" s="1685"/>
      <c r="H215" s="1685"/>
      <c r="I215" s="1685"/>
      <c r="J215" s="12"/>
      <c r="K215" s="9"/>
      <c r="L215" s="9"/>
      <c r="M215" s="9"/>
      <c r="N215" s="9"/>
      <c r="O215" s="9"/>
      <c r="P215" s="9"/>
      <c r="Q215" s="9"/>
      <c r="R215" s="9"/>
      <c r="S215" s="9"/>
      <c r="T215" s="9"/>
      <c r="U215" s="9"/>
      <c r="V215" s="9"/>
      <c r="W215" s="137"/>
      <c r="X215" s="150"/>
      <c r="AJ215" s="81"/>
      <c r="AK215" s="161"/>
      <c r="AL215" s="81"/>
      <c r="AM215" s="81"/>
      <c r="AN215" s="81"/>
      <c r="AO215" s="81"/>
      <c r="AP215" s="81"/>
      <c r="AQ215" s="81"/>
      <c r="AR215" s="81"/>
      <c r="AS215" s="81"/>
      <c r="AU215" s="81"/>
      <c r="AV215" s="81"/>
      <c r="AW215" s="81"/>
      <c r="AX215" s="81"/>
      <c r="AY215" s="81"/>
      <c r="AZ215" s="81"/>
    </row>
    <row r="216" spans="1:66" ht="11.25" customHeight="1" x14ac:dyDescent="0.2">
      <c r="A216" s="142"/>
      <c r="B216" s="1680" t="s">
        <v>800</v>
      </c>
      <c r="C216" s="1680"/>
      <c r="D216" s="1680"/>
      <c r="E216" s="1680"/>
      <c r="F216" s="1680"/>
      <c r="G216" s="1680"/>
      <c r="H216" s="1680"/>
      <c r="I216" s="1680"/>
      <c r="J216" s="12"/>
      <c r="K216" s="9"/>
      <c r="L216" s="9"/>
      <c r="M216" s="9"/>
      <c r="N216" s="9"/>
      <c r="O216" s="9"/>
      <c r="P216" s="9"/>
      <c r="Q216" s="9"/>
      <c r="R216" s="9"/>
      <c r="S216" s="9"/>
      <c r="T216" s="9"/>
      <c r="U216" s="9"/>
      <c r="V216" s="9"/>
      <c r="W216" s="137"/>
      <c r="X216" s="150"/>
      <c r="AJ216" s="81"/>
      <c r="AK216" s="161"/>
      <c r="AL216" s="81"/>
      <c r="AM216" s="81"/>
      <c r="AN216" s="81"/>
      <c r="AO216" s="81"/>
      <c r="AP216" s="81"/>
      <c r="AQ216" s="81"/>
      <c r="AR216" s="81"/>
      <c r="AS216" s="81"/>
      <c r="AU216" s="81"/>
      <c r="AV216" s="81"/>
      <c r="AW216" s="81"/>
      <c r="AX216" s="81"/>
      <c r="AY216" s="81"/>
      <c r="AZ216" s="81"/>
    </row>
    <row r="217" spans="1:66" ht="11.25" customHeight="1" x14ac:dyDescent="0.2">
      <c r="A217" s="142"/>
      <c r="B217" s="1680"/>
      <c r="C217" s="1680"/>
      <c r="D217" s="1680"/>
      <c r="E217" s="1680"/>
      <c r="F217" s="1680"/>
      <c r="G217" s="1680"/>
      <c r="H217" s="1680"/>
      <c r="I217" s="1680"/>
      <c r="J217" s="12"/>
      <c r="K217" s="9"/>
      <c r="L217" s="9"/>
      <c r="M217" s="9"/>
      <c r="N217" s="9"/>
      <c r="O217" s="9"/>
      <c r="P217" s="9"/>
      <c r="Q217" s="9"/>
      <c r="R217" s="9"/>
      <c r="S217" s="9"/>
      <c r="T217" s="9"/>
      <c r="U217" s="9"/>
      <c r="V217" s="9"/>
      <c r="W217" s="137"/>
      <c r="X217" s="150"/>
      <c r="AJ217" s="81"/>
      <c r="AK217" s="161"/>
      <c r="AL217" s="81"/>
      <c r="AM217" s="81"/>
      <c r="AN217" s="81"/>
      <c r="AO217" s="81"/>
      <c r="AP217" s="81"/>
      <c r="AQ217" s="81"/>
      <c r="AR217" s="81"/>
      <c r="AS217" s="81"/>
      <c r="AU217" s="81"/>
      <c r="AV217" s="81"/>
      <c r="AW217" s="81"/>
      <c r="AX217" s="81"/>
      <c r="AY217" s="81"/>
      <c r="AZ217" s="81"/>
    </row>
    <row r="218" spans="1:66" s="76" customFormat="1" ht="11.25" hidden="1" customHeight="1" x14ac:dyDescent="0.2">
      <c r="A218" s="142"/>
      <c r="B218" s="1680" t="s">
        <v>81</v>
      </c>
      <c r="C218" s="1680"/>
      <c r="D218" s="1680"/>
      <c r="E218" s="1680"/>
      <c r="F218" s="1680"/>
      <c r="G218" s="1680"/>
      <c r="H218" s="1680"/>
      <c r="I218" s="1680"/>
      <c r="J218" s="14"/>
      <c r="K218" s="14"/>
      <c r="L218" s="14"/>
      <c r="M218" s="14"/>
      <c r="N218" s="14"/>
      <c r="O218" s="14"/>
      <c r="P218" s="14"/>
      <c r="Q218" s="14"/>
      <c r="R218" s="14"/>
      <c r="S218" s="14"/>
      <c r="T218" s="14"/>
      <c r="U218" s="14"/>
      <c r="V218" s="14"/>
      <c r="W218" s="140"/>
      <c r="X218" s="154"/>
      <c r="Y218" s="81"/>
      <c r="Z218" s="81"/>
      <c r="AA218" s="81"/>
      <c r="AB218" s="81"/>
      <c r="AC218" s="81"/>
      <c r="AD218" s="81"/>
      <c r="AE218" s="81"/>
      <c r="AF218" s="81"/>
      <c r="AG218" s="81"/>
      <c r="AH218" s="81"/>
      <c r="AI218" s="81"/>
      <c r="AJ218" s="81"/>
      <c r="AK218" s="161"/>
      <c r="AL218" s="81"/>
      <c r="AM218" s="81"/>
      <c r="AN218" s="81"/>
      <c r="AO218" s="81"/>
      <c r="AP218" s="81"/>
      <c r="AQ218" s="81"/>
      <c r="AR218" s="81"/>
      <c r="AS218" s="81"/>
      <c r="AT218" s="74"/>
      <c r="AU218" s="81"/>
      <c r="AV218" s="81"/>
      <c r="AW218" s="81"/>
      <c r="AX218" s="81"/>
      <c r="AY218" s="81"/>
      <c r="AZ218" s="81"/>
    </row>
    <row r="219" spans="1:66" ht="11.25" hidden="1" customHeight="1" x14ac:dyDescent="0.2">
      <c r="A219" s="142"/>
      <c r="B219" s="1680"/>
      <c r="C219" s="1680"/>
      <c r="D219" s="1680"/>
      <c r="E219" s="1680"/>
      <c r="F219" s="1680"/>
      <c r="G219" s="1680"/>
      <c r="H219" s="1680"/>
      <c r="I219" s="1680"/>
      <c r="J219" s="12"/>
      <c r="K219" s="9"/>
      <c r="L219" s="9"/>
      <c r="M219" s="9"/>
      <c r="N219" s="9"/>
      <c r="O219" s="9"/>
      <c r="P219" s="9"/>
      <c r="Q219" s="9"/>
      <c r="R219" s="9"/>
      <c r="S219" s="9"/>
      <c r="T219" s="9"/>
      <c r="U219" s="9"/>
      <c r="V219" s="9"/>
      <c r="W219" s="137"/>
      <c r="X219" s="150"/>
      <c r="AJ219" s="81"/>
      <c r="AK219" s="161"/>
      <c r="AL219" s="81"/>
      <c r="AM219" s="81"/>
      <c r="AN219" s="81"/>
      <c r="AO219" s="81"/>
      <c r="AP219" s="81"/>
      <c r="AQ219" s="81"/>
      <c r="AR219" s="81"/>
      <c r="AS219" s="81"/>
      <c r="AU219" s="81"/>
      <c r="AV219" s="81"/>
      <c r="AW219" s="81"/>
      <c r="AX219" s="81"/>
      <c r="AY219" s="81"/>
      <c r="AZ219" s="81"/>
    </row>
    <row r="220" spans="1:66" ht="11.25" customHeight="1" x14ac:dyDescent="0.2">
      <c r="A220" s="142"/>
      <c r="B220" s="1680" t="s">
        <v>78</v>
      </c>
      <c r="C220" s="1680"/>
      <c r="D220" s="1680"/>
      <c r="E220" s="1680"/>
      <c r="F220" s="1680"/>
      <c r="G220" s="1680"/>
      <c r="H220" s="1680"/>
      <c r="I220" s="1680"/>
      <c r="J220" s="12"/>
      <c r="K220" s="9"/>
      <c r="L220" s="9"/>
      <c r="M220" s="9"/>
      <c r="N220" s="9"/>
      <c r="O220" s="9"/>
      <c r="P220" s="9"/>
      <c r="Q220" s="9"/>
      <c r="R220" s="9"/>
      <c r="S220" s="9"/>
      <c r="T220" s="9"/>
      <c r="U220" s="9"/>
      <c r="V220" s="9"/>
      <c r="W220" s="137"/>
      <c r="X220" s="150"/>
      <c r="AJ220" s="81"/>
      <c r="AK220" s="161"/>
      <c r="AL220" s="81"/>
      <c r="AM220" s="81"/>
      <c r="AN220" s="81"/>
      <c r="AO220" s="81"/>
      <c r="AP220" s="81"/>
      <c r="AQ220" s="81"/>
      <c r="AR220" s="81"/>
      <c r="AS220" s="81"/>
      <c r="AU220" s="81"/>
      <c r="AV220" s="81"/>
      <c r="AW220" s="81"/>
      <c r="AX220" s="81"/>
      <c r="AY220" s="81"/>
      <c r="AZ220" s="81"/>
    </row>
    <row r="221" spans="1:66" ht="11.25" customHeight="1" x14ac:dyDescent="0.2">
      <c r="A221" s="142"/>
      <c r="B221" s="1680"/>
      <c r="C221" s="1680"/>
      <c r="D221" s="1680"/>
      <c r="E221" s="1680"/>
      <c r="F221" s="1680"/>
      <c r="G221" s="1680"/>
      <c r="H221" s="1680"/>
      <c r="I221" s="1680"/>
      <c r="J221" s="12"/>
      <c r="K221" s="9"/>
      <c r="L221" s="9"/>
      <c r="M221" s="9"/>
      <c r="N221" s="9"/>
      <c r="O221" s="9"/>
      <c r="P221" s="9"/>
      <c r="Q221" s="9"/>
      <c r="R221" s="9"/>
      <c r="S221" s="9"/>
      <c r="T221" s="9"/>
      <c r="U221" s="9"/>
      <c r="V221" s="9"/>
      <c r="W221" s="137"/>
      <c r="X221" s="150"/>
      <c r="AJ221" s="81"/>
      <c r="AK221" s="161"/>
      <c r="AL221" s="81"/>
      <c r="AM221" s="81"/>
      <c r="AN221" s="81"/>
      <c r="AO221" s="81"/>
      <c r="AP221" s="81"/>
      <c r="AQ221" s="81"/>
      <c r="AR221" s="81"/>
      <c r="AS221" s="81"/>
      <c r="AU221" s="81"/>
      <c r="AV221" s="81"/>
      <c r="AW221" s="81"/>
      <c r="AX221" s="81"/>
      <c r="AY221" s="81"/>
      <c r="AZ221" s="81"/>
    </row>
    <row r="222" spans="1:66" ht="11.25" customHeight="1" x14ac:dyDescent="0.2">
      <c r="A222" s="142"/>
      <c r="B222" s="1680" t="s">
        <v>17</v>
      </c>
      <c r="C222" s="1680"/>
      <c r="D222" s="1680"/>
      <c r="E222" s="1680"/>
      <c r="F222" s="1680"/>
      <c r="G222" s="1680"/>
      <c r="H222" s="1680"/>
      <c r="I222" s="1680"/>
      <c r="J222" s="12"/>
      <c r="K222" s="9"/>
      <c r="L222" s="9"/>
      <c r="M222" s="9"/>
      <c r="N222" s="9"/>
      <c r="O222" s="9"/>
      <c r="P222" s="9"/>
      <c r="Q222" s="9"/>
      <c r="R222" s="9"/>
      <c r="S222" s="9"/>
      <c r="T222" s="9"/>
      <c r="U222" s="9"/>
      <c r="V222" s="11"/>
      <c r="W222" s="252"/>
      <c r="X222" s="150"/>
      <c r="AA222" s="74"/>
      <c r="AB222" s="74"/>
      <c r="AJ222" s="81"/>
      <c r="AK222" s="161"/>
      <c r="AL222" s="81"/>
      <c r="AM222" s="81"/>
      <c r="AN222" s="81"/>
      <c r="AO222" s="81"/>
      <c r="AP222" s="81"/>
      <c r="AQ222" s="81"/>
      <c r="AR222" s="81"/>
      <c r="AS222" s="81"/>
      <c r="AU222" s="81"/>
      <c r="AV222" s="81"/>
      <c r="AW222" s="81"/>
      <c r="AX222" s="81"/>
      <c r="AY222" s="81"/>
      <c r="AZ222" s="81"/>
    </row>
    <row r="223" spans="1:66" ht="11.25" customHeight="1" x14ac:dyDescent="0.2">
      <c r="A223" s="142"/>
      <c r="B223" s="1680"/>
      <c r="C223" s="1680"/>
      <c r="D223" s="1680"/>
      <c r="E223" s="1680"/>
      <c r="F223" s="1680"/>
      <c r="G223" s="1680"/>
      <c r="H223" s="1680"/>
      <c r="I223" s="1680"/>
      <c r="J223" s="12"/>
      <c r="K223" s="9"/>
      <c r="L223" s="9"/>
      <c r="M223" s="9"/>
      <c r="N223" s="9"/>
      <c r="O223" s="9"/>
      <c r="P223" s="9"/>
      <c r="Q223" s="9"/>
      <c r="R223" s="9"/>
      <c r="S223" s="9"/>
      <c r="T223" s="9"/>
      <c r="U223" s="9"/>
      <c r="V223" s="11"/>
      <c r="W223" s="252"/>
      <c r="X223" s="150"/>
      <c r="AA223" s="74"/>
      <c r="AB223" s="74"/>
      <c r="AJ223" s="81"/>
      <c r="AK223" s="161"/>
      <c r="AL223" s="81"/>
      <c r="AM223" s="81"/>
      <c r="AN223" s="81"/>
      <c r="AO223" s="81"/>
      <c r="AP223" s="81"/>
      <c r="AQ223" s="81"/>
      <c r="AR223" s="81"/>
      <c r="AS223" s="81"/>
      <c r="AU223" s="81"/>
      <c r="AV223" s="81"/>
      <c r="AW223" s="81"/>
      <c r="AX223" s="81"/>
      <c r="AY223" s="81"/>
      <c r="AZ223" s="81"/>
    </row>
    <row r="224" spans="1:66" ht="11.25" customHeight="1" x14ac:dyDescent="0.2">
      <c r="A224" s="142"/>
      <c r="B224" s="1680" t="s">
        <v>80</v>
      </c>
      <c r="C224" s="1680"/>
      <c r="D224" s="1680"/>
      <c r="E224" s="1680"/>
      <c r="F224" s="1680"/>
      <c r="G224" s="1680"/>
      <c r="H224" s="1680"/>
      <c r="I224" s="1680"/>
      <c r="J224" s="12"/>
      <c r="K224" s="9"/>
      <c r="L224" s="9"/>
      <c r="M224" s="9"/>
      <c r="N224" s="9"/>
      <c r="O224" s="9"/>
      <c r="P224" s="9"/>
      <c r="Q224" s="9"/>
      <c r="R224" s="9"/>
      <c r="S224" s="9"/>
      <c r="T224" s="9"/>
      <c r="U224" s="9"/>
      <c r="V224" s="11"/>
      <c r="W224" s="252"/>
      <c r="X224" s="150"/>
      <c r="AA224" s="74"/>
      <c r="AB224" s="74"/>
      <c r="AJ224" s="81"/>
      <c r="AK224" s="161"/>
      <c r="AL224" s="81"/>
      <c r="AM224" s="81"/>
      <c r="AN224" s="81"/>
      <c r="AO224" s="81"/>
      <c r="AP224" s="81"/>
      <c r="AQ224" s="81"/>
      <c r="AR224" s="81"/>
      <c r="AS224" s="81"/>
      <c r="AU224" s="81"/>
      <c r="AV224" s="81"/>
      <c r="AW224" s="81"/>
      <c r="AX224" s="81"/>
      <c r="AY224" s="81"/>
      <c r="AZ224" s="81"/>
    </row>
    <row r="225" spans="1:52" ht="11.25" customHeight="1" x14ac:dyDescent="0.2">
      <c r="A225" s="142"/>
      <c r="B225" s="1680"/>
      <c r="C225" s="1680"/>
      <c r="D225" s="1680"/>
      <c r="E225" s="1680"/>
      <c r="F225" s="1680"/>
      <c r="G225" s="1680"/>
      <c r="H225" s="1680"/>
      <c r="I225" s="1680"/>
      <c r="J225" s="12"/>
      <c r="K225" s="9"/>
      <c r="L225" s="9"/>
      <c r="M225" s="9"/>
      <c r="N225" s="9"/>
      <c r="O225" s="9"/>
      <c r="P225" s="9"/>
      <c r="Q225" s="9"/>
      <c r="R225" s="9"/>
      <c r="S225" s="9"/>
      <c r="T225" s="9"/>
      <c r="U225" s="9"/>
      <c r="V225" s="11"/>
      <c r="W225" s="252"/>
      <c r="X225" s="150"/>
      <c r="AA225" s="74"/>
      <c r="AB225" s="74"/>
      <c r="AJ225" s="81"/>
      <c r="AK225" s="161"/>
      <c r="AL225" s="81"/>
      <c r="AM225" s="81"/>
      <c r="AN225" s="81"/>
      <c r="AO225" s="81"/>
      <c r="AP225" s="81"/>
      <c r="AQ225" s="81"/>
      <c r="AR225" s="81"/>
      <c r="AS225" s="81"/>
      <c r="AU225" s="81"/>
      <c r="AV225" s="81"/>
      <c r="AW225" s="81"/>
      <c r="AX225" s="81"/>
      <c r="AY225" s="81"/>
      <c r="AZ225" s="81"/>
    </row>
    <row r="226" spans="1:52" ht="11.25" customHeight="1" x14ac:dyDescent="0.2">
      <c r="A226" s="142"/>
      <c r="B226" s="1680" t="s">
        <v>69</v>
      </c>
      <c r="C226" s="1680"/>
      <c r="D226" s="1680"/>
      <c r="E226" s="1680"/>
      <c r="F226" s="1680"/>
      <c r="G226" s="1680"/>
      <c r="H226" s="1680"/>
      <c r="I226" s="1680"/>
      <c r="J226" s="12"/>
      <c r="K226" s="9"/>
      <c r="L226" s="9"/>
      <c r="M226" s="9"/>
      <c r="N226" s="9"/>
      <c r="O226" s="9"/>
      <c r="P226" s="9"/>
      <c r="Q226" s="9"/>
      <c r="R226" s="9"/>
      <c r="S226" s="9"/>
      <c r="T226" s="9"/>
      <c r="U226" s="9"/>
      <c r="V226" s="11"/>
      <c r="W226" s="252"/>
      <c r="X226" s="150"/>
      <c r="AA226" s="74"/>
      <c r="AB226" s="74"/>
      <c r="AJ226" s="81"/>
      <c r="AK226" s="161"/>
      <c r="AL226" s="81"/>
      <c r="AM226" s="81"/>
      <c r="AN226" s="81"/>
      <c r="AO226" s="81"/>
      <c r="AP226" s="81"/>
      <c r="AQ226" s="81"/>
      <c r="AR226" s="81"/>
      <c r="AS226" s="81"/>
      <c r="AU226" s="81"/>
      <c r="AV226" s="81"/>
      <c r="AW226" s="81"/>
      <c r="AX226" s="81"/>
      <c r="AY226" s="81"/>
      <c r="AZ226" s="81"/>
    </row>
    <row r="227" spans="1:52" ht="11.25" customHeight="1" x14ac:dyDescent="0.2">
      <c r="A227" s="142"/>
      <c r="B227" s="1680"/>
      <c r="C227" s="1680"/>
      <c r="D227" s="1680"/>
      <c r="E227" s="1680"/>
      <c r="F227" s="1680"/>
      <c r="G227" s="1680"/>
      <c r="H227" s="1680"/>
      <c r="I227" s="1680"/>
      <c r="J227" s="12"/>
      <c r="K227" s="9"/>
      <c r="L227" s="9"/>
      <c r="M227" s="9"/>
      <c r="N227" s="9"/>
      <c r="O227" s="9"/>
      <c r="P227" s="9"/>
      <c r="Q227" s="9"/>
      <c r="R227" s="9"/>
      <c r="S227" s="9"/>
      <c r="T227" s="9"/>
      <c r="U227" s="9"/>
      <c r="V227" s="11"/>
      <c r="W227" s="252"/>
      <c r="X227" s="150"/>
      <c r="AA227" s="74"/>
      <c r="AB227" s="74"/>
      <c r="AJ227" s="81"/>
      <c r="AK227" s="161"/>
      <c r="AL227" s="81"/>
      <c r="AM227" s="81"/>
      <c r="AN227" s="81"/>
      <c r="AO227" s="81"/>
      <c r="AP227" s="81"/>
      <c r="AQ227" s="81"/>
      <c r="AR227" s="81"/>
      <c r="AS227" s="81"/>
      <c r="AU227" s="81"/>
      <c r="AV227" s="81"/>
      <c r="AW227" s="81"/>
      <c r="AX227" s="81"/>
      <c r="AY227" s="81"/>
      <c r="AZ227" s="81"/>
    </row>
    <row r="228" spans="1:52" ht="11.25" customHeight="1" x14ac:dyDescent="0.2">
      <c r="A228" s="142"/>
      <c r="B228" s="1680" t="s">
        <v>24</v>
      </c>
      <c r="C228" s="1680"/>
      <c r="D228" s="1680"/>
      <c r="E228" s="1680"/>
      <c r="F228" s="1680"/>
      <c r="G228" s="1680"/>
      <c r="H228" s="1680"/>
      <c r="I228" s="1680"/>
      <c r="J228" s="12"/>
      <c r="K228" s="9"/>
      <c r="L228" s="9"/>
      <c r="M228" s="9"/>
      <c r="N228" s="9"/>
      <c r="O228" s="9"/>
      <c r="P228" s="9"/>
      <c r="Q228" s="9"/>
      <c r="R228" s="9"/>
      <c r="S228" s="9"/>
      <c r="T228" s="9"/>
      <c r="U228" s="9"/>
      <c r="V228" s="9"/>
      <c r="W228" s="137"/>
      <c r="X228" s="150"/>
      <c r="AJ228" s="81"/>
      <c r="AK228" s="161"/>
      <c r="AL228" s="81"/>
      <c r="AM228" s="81"/>
      <c r="AN228" s="81"/>
      <c r="AO228" s="81"/>
      <c r="AP228" s="81"/>
      <c r="AQ228" s="81"/>
      <c r="AR228" s="81"/>
      <c r="AS228" s="81"/>
      <c r="AU228" s="81"/>
      <c r="AV228" s="81"/>
      <c r="AW228" s="81"/>
      <c r="AX228" s="81"/>
      <c r="AY228" s="81"/>
      <c r="AZ228" s="81"/>
    </row>
    <row r="229" spans="1:52" ht="11.25" customHeight="1" x14ac:dyDescent="0.2">
      <c r="A229" s="142"/>
      <c r="B229" s="1680"/>
      <c r="C229" s="1680"/>
      <c r="D229" s="1680"/>
      <c r="E229" s="1680"/>
      <c r="F229" s="1680"/>
      <c r="G229" s="1680"/>
      <c r="H229" s="1680"/>
      <c r="I229" s="1680"/>
      <c r="J229" s="12"/>
      <c r="K229" s="9"/>
      <c r="L229" s="9"/>
      <c r="M229" s="9"/>
      <c r="N229" s="9"/>
      <c r="O229" s="9"/>
      <c r="P229" s="9"/>
      <c r="Q229" s="9"/>
      <c r="R229" s="9"/>
      <c r="S229" s="9"/>
      <c r="T229" s="9"/>
      <c r="U229" s="9"/>
      <c r="V229" s="9"/>
      <c r="W229" s="137"/>
      <c r="X229" s="150"/>
      <c r="AJ229" s="81"/>
      <c r="AK229" s="161"/>
      <c r="AL229" s="81"/>
      <c r="AM229" s="81"/>
      <c r="AN229" s="81"/>
      <c r="AO229" s="81"/>
      <c r="AP229" s="81"/>
      <c r="AQ229" s="81"/>
      <c r="AR229" s="81"/>
      <c r="AS229" s="81"/>
      <c r="AU229" s="81"/>
      <c r="AV229" s="81"/>
      <c r="AW229" s="81"/>
      <c r="AX229" s="81"/>
      <c r="AY229" s="81"/>
      <c r="AZ229" s="81"/>
    </row>
    <row r="230" spans="1:52" ht="11.25" customHeight="1" x14ac:dyDescent="0.2">
      <c r="A230" s="142"/>
      <c r="B230" s="1680" t="s">
        <v>22</v>
      </c>
      <c r="C230" s="1680"/>
      <c r="D230" s="1680"/>
      <c r="E230" s="1680"/>
      <c r="F230" s="1680"/>
      <c r="G230" s="1680"/>
      <c r="H230" s="1680"/>
      <c r="I230" s="1680"/>
      <c r="J230" s="12"/>
      <c r="K230" s="9"/>
      <c r="L230" s="9"/>
      <c r="M230" s="9"/>
      <c r="N230" s="9"/>
      <c r="O230" s="9"/>
      <c r="P230" s="9"/>
      <c r="Q230" s="9"/>
      <c r="R230" s="9"/>
      <c r="S230" s="9"/>
      <c r="T230" s="9"/>
      <c r="U230" s="9"/>
      <c r="V230" s="9"/>
      <c r="W230" s="137"/>
      <c r="X230" s="150"/>
      <c r="AJ230" s="81"/>
      <c r="AK230" s="161"/>
      <c r="AL230" s="81"/>
      <c r="AM230" s="81"/>
      <c r="AN230" s="81"/>
      <c r="AO230" s="81"/>
      <c r="AP230" s="81"/>
      <c r="AQ230" s="81"/>
      <c r="AR230" s="81"/>
      <c r="AS230" s="81"/>
      <c r="AU230" s="81"/>
      <c r="AV230" s="81"/>
      <c r="AW230" s="81"/>
      <c r="AX230" s="81"/>
      <c r="AY230" s="81"/>
      <c r="AZ230" s="81"/>
    </row>
    <row r="231" spans="1:52" ht="11.25" customHeight="1" x14ac:dyDescent="0.2">
      <c r="A231" s="142"/>
      <c r="B231" s="1680"/>
      <c r="C231" s="1680"/>
      <c r="D231" s="1680"/>
      <c r="E231" s="1680"/>
      <c r="F231" s="1680"/>
      <c r="G231" s="1680"/>
      <c r="H231" s="1680"/>
      <c r="I231" s="1680"/>
      <c r="J231" s="12"/>
      <c r="K231" s="9"/>
      <c r="L231" s="9"/>
      <c r="M231" s="9"/>
      <c r="N231" s="9"/>
      <c r="O231" s="9"/>
      <c r="P231" s="9"/>
      <c r="Q231" s="9"/>
      <c r="R231" s="9"/>
      <c r="S231" s="9"/>
      <c r="T231" s="9"/>
      <c r="U231" s="9"/>
      <c r="V231" s="9"/>
      <c r="W231" s="137"/>
      <c r="X231" s="150"/>
      <c r="AJ231" s="81"/>
      <c r="AK231" s="161"/>
      <c r="AL231" s="81"/>
      <c r="AM231" s="81"/>
      <c r="AN231" s="81"/>
      <c r="AO231" s="81"/>
      <c r="AP231" s="81"/>
      <c r="AQ231" s="81"/>
      <c r="AR231" s="81"/>
      <c r="AS231" s="81"/>
      <c r="AU231" s="81"/>
      <c r="AV231" s="81"/>
      <c r="AW231" s="81"/>
      <c r="AX231" s="81"/>
      <c r="AY231" s="81"/>
      <c r="AZ231" s="81"/>
    </row>
    <row r="232" spans="1:52" ht="11.25" customHeight="1" x14ac:dyDescent="0.2">
      <c r="A232" s="142"/>
      <c r="B232" s="1680" t="s">
        <v>25</v>
      </c>
      <c r="C232" s="1680"/>
      <c r="D232" s="1680"/>
      <c r="E232" s="1680"/>
      <c r="F232" s="1680"/>
      <c r="G232" s="1680"/>
      <c r="H232" s="1680"/>
      <c r="I232" s="1680"/>
      <c r="J232" s="12"/>
      <c r="K232" s="9"/>
      <c r="L232" s="9"/>
      <c r="M232" s="9"/>
      <c r="N232" s="9"/>
      <c r="O232" s="9"/>
      <c r="P232" s="9"/>
      <c r="Q232" s="9"/>
      <c r="R232" s="9"/>
      <c r="S232" s="9"/>
      <c r="T232" s="9"/>
      <c r="U232" s="9"/>
      <c r="V232" s="9"/>
      <c r="W232" s="137"/>
      <c r="X232" s="150"/>
      <c r="AJ232" s="81"/>
      <c r="AK232" s="161"/>
      <c r="AL232" s="81"/>
      <c r="AM232" s="81"/>
      <c r="AN232" s="81"/>
      <c r="AO232" s="81"/>
      <c r="AP232" s="81"/>
      <c r="AQ232" s="81"/>
      <c r="AR232" s="81"/>
      <c r="AS232" s="81"/>
      <c r="AU232" s="81"/>
      <c r="AV232" s="81"/>
      <c r="AW232" s="81"/>
      <c r="AX232" s="81"/>
      <c r="AY232" s="81"/>
      <c r="AZ232" s="81"/>
    </row>
    <row r="233" spans="1:52" ht="11.25" customHeight="1" x14ac:dyDescent="0.2">
      <c r="A233" s="142"/>
      <c r="B233" s="1680"/>
      <c r="C233" s="1680"/>
      <c r="D233" s="1680"/>
      <c r="E233" s="1680"/>
      <c r="F233" s="1680"/>
      <c r="G233" s="1680"/>
      <c r="H233" s="1680"/>
      <c r="I233" s="1680"/>
      <c r="J233" s="12"/>
      <c r="K233" s="9"/>
      <c r="L233" s="9"/>
      <c r="M233" s="9"/>
      <c r="N233" s="9"/>
      <c r="O233" s="9"/>
      <c r="P233" s="9"/>
      <c r="Q233" s="9"/>
      <c r="R233" s="9"/>
      <c r="S233" s="9"/>
      <c r="T233" s="9"/>
      <c r="U233" s="9"/>
      <c r="V233" s="9"/>
      <c r="W233" s="137"/>
      <c r="X233" s="150"/>
      <c r="AJ233" s="81"/>
      <c r="AK233" s="161"/>
      <c r="AL233" s="81"/>
      <c r="AM233" s="81"/>
      <c r="AN233" s="81"/>
      <c r="AO233" s="81"/>
      <c r="AP233" s="81"/>
      <c r="AQ233" s="81"/>
      <c r="AR233" s="81"/>
      <c r="AS233" s="81"/>
      <c r="AU233" s="81"/>
      <c r="AV233" s="81"/>
      <c r="AW233" s="81"/>
      <c r="AX233" s="81"/>
      <c r="AY233" s="81"/>
      <c r="AZ233" s="81"/>
    </row>
    <row r="234" spans="1:52" ht="11.25" customHeight="1" x14ac:dyDescent="0.2">
      <c r="A234" s="142"/>
      <c r="B234" s="1680" t="s">
        <v>18</v>
      </c>
      <c r="C234" s="1680"/>
      <c r="D234" s="1680"/>
      <c r="E234" s="1680"/>
      <c r="F234" s="1680"/>
      <c r="G234" s="1680"/>
      <c r="H234" s="1680"/>
      <c r="I234" s="1680"/>
      <c r="J234" s="12"/>
      <c r="K234" s="9"/>
      <c r="L234" s="9"/>
      <c r="M234" s="9"/>
      <c r="N234" s="9"/>
      <c r="O234" s="9"/>
      <c r="P234" s="9"/>
      <c r="Q234" s="9"/>
      <c r="R234" s="9"/>
      <c r="S234" s="9"/>
      <c r="T234" s="9"/>
      <c r="U234" s="9"/>
      <c r="V234" s="9"/>
      <c r="W234" s="137"/>
      <c r="X234" s="150"/>
      <c r="AJ234" s="81"/>
      <c r="AK234" s="161"/>
      <c r="AL234" s="81"/>
      <c r="AM234" s="81"/>
      <c r="AN234" s="81"/>
      <c r="AO234" s="81"/>
      <c r="AP234" s="81"/>
      <c r="AQ234" s="81"/>
      <c r="AR234" s="81"/>
      <c r="AS234" s="81"/>
      <c r="AU234" s="81"/>
      <c r="AV234" s="81"/>
      <c r="AW234" s="81"/>
      <c r="AX234" s="81"/>
      <c r="AY234" s="81"/>
      <c r="AZ234" s="81"/>
    </row>
    <row r="235" spans="1:52" ht="11.25" customHeight="1" x14ac:dyDescent="0.2">
      <c r="A235" s="142"/>
      <c r="B235" s="1680"/>
      <c r="C235" s="1680"/>
      <c r="D235" s="1680"/>
      <c r="E235" s="1680"/>
      <c r="F235" s="1680"/>
      <c r="G235" s="1680"/>
      <c r="H235" s="1680"/>
      <c r="I235" s="1680"/>
      <c r="J235" s="12"/>
      <c r="K235" s="9"/>
      <c r="L235" s="9"/>
      <c r="M235" s="9"/>
      <c r="N235" s="9"/>
      <c r="O235" s="9"/>
      <c r="P235" s="9"/>
      <c r="Q235" s="9"/>
      <c r="R235" s="9"/>
      <c r="S235" s="9"/>
      <c r="T235" s="9"/>
      <c r="U235" s="9"/>
      <c r="V235" s="9"/>
      <c r="W235" s="137"/>
      <c r="X235" s="150"/>
      <c r="AJ235" s="81"/>
      <c r="AK235" s="161"/>
      <c r="AL235" s="81"/>
      <c r="AM235" s="81"/>
      <c r="AN235" s="81"/>
      <c r="AO235" s="81"/>
      <c r="AP235" s="81"/>
      <c r="AQ235" s="81"/>
      <c r="AR235" s="81"/>
      <c r="AS235" s="81"/>
      <c r="AU235" s="81"/>
      <c r="AV235" s="81"/>
      <c r="AW235" s="81"/>
      <c r="AX235" s="81"/>
      <c r="AY235" s="81"/>
      <c r="AZ235" s="81"/>
    </row>
    <row r="236" spans="1:52" ht="11.25" customHeight="1" x14ac:dyDescent="0.2">
      <c r="A236" s="142"/>
      <c r="B236" s="1680" t="s">
        <v>19</v>
      </c>
      <c r="C236" s="1680"/>
      <c r="D236" s="1680"/>
      <c r="E236" s="1680"/>
      <c r="F236" s="1680"/>
      <c r="G236" s="1680"/>
      <c r="H236" s="1680"/>
      <c r="I236" s="1680"/>
      <c r="J236" s="12"/>
      <c r="K236" s="9"/>
      <c r="L236" s="9"/>
      <c r="M236" s="9"/>
      <c r="N236" s="9"/>
      <c r="O236" s="9"/>
      <c r="P236" s="9"/>
      <c r="Q236" s="9"/>
      <c r="R236" s="9"/>
      <c r="S236" s="9"/>
      <c r="T236" s="9"/>
      <c r="U236" s="9"/>
      <c r="V236" s="9"/>
      <c r="W236" s="137"/>
      <c r="X236" s="150"/>
      <c r="AJ236" s="81"/>
      <c r="AK236" s="161"/>
      <c r="AL236" s="81"/>
      <c r="AM236" s="81"/>
      <c r="AN236" s="81"/>
      <c r="AO236" s="81"/>
      <c r="AP236" s="81"/>
      <c r="AQ236" s="81"/>
      <c r="AR236" s="81"/>
      <c r="AS236" s="81"/>
      <c r="AU236" s="81"/>
      <c r="AV236" s="81"/>
      <c r="AW236" s="81"/>
      <c r="AX236" s="81"/>
      <c r="AY236" s="81"/>
      <c r="AZ236" s="81"/>
    </row>
    <row r="237" spans="1:52" ht="11.25" customHeight="1" x14ac:dyDescent="0.2">
      <c r="A237" s="142"/>
      <c r="B237" s="1680"/>
      <c r="C237" s="1680"/>
      <c r="D237" s="1680"/>
      <c r="E237" s="1680"/>
      <c r="F237" s="1680"/>
      <c r="G237" s="1680"/>
      <c r="H237" s="1680"/>
      <c r="I237" s="1680"/>
      <c r="J237" s="12"/>
      <c r="K237" s="9"/>
      <c r="L237" s="9"/>
      <c r="M237" s="9"/>
      <c r="N237" s="9"/>
      <c r="O237" s="9"/>
      <c r="P237" s="9"/>
      <c r="Q237" s="9"/>
      <c r="R237" s="9"/>
      <c r="S237" s="9"/>
      <c r="T237" s="9"/>
      <c r="U237" s="9"/>
      <c r="V237" s="9"/>
      <c r="W237" s="137"/>
      <c r="X237" s="150"/>
      <c r="AJ237" s="81"/>
      <c r="AK237" s="161"/>
      <c r="AL237" s="81"/>
      <c r="AM237" s="81"/>
      <c r="AN237" s="81"/>
      <c r="AO237" s="81"/>
      <c r="AP237" s="81"/>
      <c r="AQ237" s="81"/>
      <c r="AR237" s="81"/>
      <c r="AS237" s="81"/>
      <c r="AU237" s="81"/>
      <c r="AV237" s="81"/>
      <c r="AW237" s="81"/>
      <c r="AX237" s="81"/>
      <c r="AY237" s="81"/>
      <c r="AZ237" s="81"/>
    </row>
    <row r="238" spans="1:52" ht="11.25" customHeight="1" x14ac:dyDescent="0.2">
      <c r="A238" s="142"/>
      <c r="B238" s="1680" t="s">
        <v>20</v>
      </c>
      <c r="C238" s="1680"/>
      <c r="D238" s="1680"/>
      <c r="E238" s="1680"/>
      <c r="F238" s="1680"/>
      <c r="G238" s="1680"/>
      <c r="H238" s="1680"/>
      <c r="I238" s="1680"/>
      <c r="J238" s="12"/>
      <c r="K238" s="9"/>
      <c r="L238" s="9"/>
      <c r="M238" s="9"/>
      <c r="N238" s="9"/>
      <c r="O238" s="9"/>
      <c r="P238" s="9"/>
      <c r="Q238" s="9"/>
      <c r="R238" s="9"/>
      <c r="S238" s="9"/>
      <c r="T238" s="9"/>
      <c r="U238" s="9"/>
      <c r="V238" s="9"/>
      <c r="W238" s="137"/>
      <c r="X238" s="150"/>
      <c r="AJ238" s="81"/>
      <c r="AK238" s="161"/>
      <c r="AL238" s="81"/>
      <c r="AM238" s="81"/>
      <c r="AN238" s="81"/>
      <c r="AO238" s="81"/>
      <c r="AP238" s="81"/>
      <c r="AQ238" s="81"/>
      <c r="AR238" s="81"/>
      <c r="AS238" s="81"/>
      <c r="AU238" s="81"/>
      <c r="AV238" s="81"/>
      <c r="AW238" s="81"/>
      <c r="AX238" s="81"/>
      <c r="AY238" s="81"/>
      <c r="AZ238" s="81"/>
    </row>
    <row r="239" spans="1:52" ht="11.25" customHeight="1" x14ac:dyDescent="0.2">
      <c r="A239" s="142"/>
      <c r="B239" s="1680"/>
      <c r="C239" s="1680"/>
      <c r="D239" s="1680"/>
      <c r="E239" s="1680"/>
      <c r="F239" s="1680"/>
      <c r="G239" s="1680"/>
      <c r="H239" s="1680"/>
      <c r="I239" s="1680"/>
      <c r="J239" s="12"/>
      <c r="K239" s="9"/>
      <c r="L239" s="9"/>
      <c r="M239" s="9"/>
      <c r="N239" s="9"/>
      <c r="O239" s="9"/>
      <c r="P239" s="9"/>
      <c r="Q239" s="9"/>
      <c r="R239" s="9"/>
      <c r="S239" s="9"/>
      <c r="T239" s="9"/>
      <c r="U239" s="9"/>
      <c r="V239" s="9"/>
      <c r="W239" s="137"/>
      <c r="X239" s="150"/>
      <c r="AJ239" s="81"/>
      <c r="AK239" s="161"/>
      <c r="AL239" s="81"/>
      <c r="AM239" s="81"/>
      <c r="AN239" s="81"/>
      <c r="AO239" s="81"/>
      <c r="AP239" s="81"/>
      <c r="AQ239" s="81"/>
      <c r="AR239" s="81"/>
      <c r="AS239" s="81"/>
      <c r="AU239" s="81"/>
      <c r="AV239" s="81"/>
      <c r="AW239" s="81"/>
      <c r="AX239" s="81"/>
      <c r="AY239" s="81"/>
      <c r="AZ239" s="81"/>
    </row>
    <row r="240" spans="1:52" ht="11.25" customHeight="1" x14ac:dyDescent="0.2">
      <c r="A240" s="142"/>
      <c r="B240" s="1680" t="s">
        <v>26</v>
      </c>
      <c r="C240" s="1680"/>
      <c r="D240" s="1680"/>
      <c r="E240" s="1680"/>
      <c r="F240" s="1680"/>
      <c r="G240" s="1680"/>
      <c r="H240" s="1680"/>
      <c r="I240" s="1680"/>
      <c r="J240" s="12"/>
      <c r="K240" s="9"/>
      <c r="L240" s="9"/>
      <c r="M240" s="9"/>
      <c r="N240" s="9"/>
      <c r="O240" s="9"/>
      <c r="P240" s="9"/>
      <c r="Q240" s="9"/>
      <c r="R240" s="9"/>
      <c r="S240" s="9"/>
      <c r="T240" s="9"/>
      <c r="U240" s="9"/>
      <c r="V240" s="9"/>
      <c r="W240" s="137"/>
      <c r="X240" s="150"/>
      <c r="AJ240" s="81"/>
      <c r="AK240" s="161"/>
      <c r="AL240" s="81"/>
      <c r="AM240" s="81"/>
      <c r="AN240" s="81"/>
      <c r="AO240" s="81"/>
      <c r="AP240" s="81"/>
      <c r="AQ240" s="81"/>
      <c r="AR240" s="81"/>
      <c r="AS240" s="81"/>
      <c r="AU240" s="81"/>
      <c r="AV240" s="81"/>
      <c r="AW240" s="81"/>
      <c r="AX240" s="81"/>
      <c r="AY240" s="81"/>
      <c r="AZ240" s="81"/>
    </row>
    <row r="241" spans="1:58" ht="11.25" customHeight="1" x14ac:dyDescent="0.2">
      <c r="A241" s="142"/>
      <c r="B241" s="1680"/>
      <c r="C241" s="1680"/>
      <c r="D241" s="1680"/>
      <c r="E241" s="1680"/>
      <c r="F241" s="1680"/>
      <c r="G241" s="1680"/>
      <c r="H241" s="1680"/>
      <c r="I241" s="1680"/>
      <c r="J241" s="12"/>
      <c r="K241" s="9"/>
      <c r="L241" s="9"/>
      <c r="M241" s="9"/>
      <c r="N241" s="9"/>
      <c r="O241" s="9"/>
      <c r="P241" s="9"/>
      <c r="Q241" s="9"/>
      <c r="R241" s="9"/>
      <c r="S241" s="9"/>
      <c r="T241" s="9"/>
      <c r="U241" s="9"/>
      <c r="V241" s="9"/>
      <c r="W241" s="137"/>
      <c r="X241" s="150"/>
      <c r="AJ241" s="81"/>
      <c r="AK241" s="161"/>
      <c r="AL241" s="81"/>
      <c r="AM241" s="81"/>
      <c r="AN241" s="81"/>
      <c r="AO241" s="81"/>
      <c r="AP241" s="81"/>
      <c r="AQ241" s="81"/>
      <c r="AR241" s="81"/>
      <c r="AS241" s="81"/>
      <c r="AU241" s="81"/>
      <c r="AV241" s="81"/>
      <c r="AW241" s="81"/>
      <c r="AX241" s="81"/>
      <c r="AY241" s="81"/>
      <c r="AZ241" s="81"/>
    </row>
    <row r="242" spans="1:58" ht="11.25" customHeight="1" x14ac:dyDescent="0.2">
      <c r="A242" s="142"/>
      <c r="B242" s="1680" t="s">
        <v>21</v>
      </c>
      <c r="C242" s="1680"/>
      <c r="D242" s="1680"/>
      <c r="E242" s="1680"/>
      <c r="F242" s="1680"/>
      <c r="G242" s="1680"/>
      <c r="H242" s="1680"/>
      <c r="I242" s="1680"/>
      <c r="J242" s="12"/>
      <c r="K242" s="9"/>
      <c r="L242" s="9"/>
      <c r="M242" s="9"/>
      <c r="N242" s="9"/>
      <c r="O242" s="9"/>
      <c r="P242" s="9"/>
      <c r="Q242" s="9"/>
      <c r="R242" s="9"/>
      <c r="S242" s="9"/>
      <c r="T242" s="9"/>
      <c r="U242" s="9"/>
      <c r="V242" s="9"/>
      <c r="W242" s="137"/>
      <c r="X242" s="150"/>
      <c r="AJ242" s="81"/>
      <c r="AK242" s="161"/>
      <c r="AL242" s="81"/>
      <c r="AM242" s="81"/>
      <c r="AN242" s="81"/>
      <c r="AO242" s="81"/>
      <c r="AP242" s="81"/>
      <c r="AQ242" s="81"/>
      <c r="AR242" s="81"/>
      <c r="AS242" s="81"/>
      <c r="AU242" s="81"/>
      <c r="AV242" s="81"/>
      <c r="AW242" s="81"/>
      <c r="AX242" s="81"/>
      <c r="AY242" s="81"/>
      <c r="AZ242" s="81"/>
    </row>
    <row r="243" spans="1:58" ht="11.25" customHeight="1" x14ac:dyDescent="0.2">
      <c r="A243" s="142"/>
      <c r="B243" s="1680"/>
      <c r="C243" s="1680"/>
      <c r="D243" s="1680"/>
      <c r="E243" s="1680"/>
      <c r="F243" s="1680"/>
      <c r="G243" s="1680"/>
      <c r="H243" s="1680"/>
      <c r="I243" s="1680"/>
      <c r="J243" s="12"/>
      <c r="K243" s="9"/>
      <c r="L243" s="9"/>
      <c r="M243" s="9"/>
      <c r="N243" s="9"/>
      <c r="O243" s="9"/>
      <c r="P243" s="9"/>
      <c r="Q243" s="9"/>
      <c r="R243" s="9"/>
      <c r="S243" s="9"/>
      <c r="T243" s="9"/>
      <c r="U243" s="9"/>
      <c r="V243" s="9"/>
      <c r="W243" s="137"/>
      <c r="X243" s="150"/>
      <c r="AJ243" s="81"/>
      <c r="AK243" s="161"/>
      <c r="AL243" s="81"/>
      <c r="AM243" s="81"/>
      <c r="AN243" s="81"/>
      <c r="AO243" s="81"/>
      <c r="AP243" s="81"/>
      <c r="AQ243" s="81"/>
      <c r="AR243" s="81"/>
      <c r="AS243" s="81"/>
      <c r="AU243" s="81"/>
      <c r="AV243" s="81"/>
      <c r="AW243" s="81"/>
      <c r="AX243" s="81"/>
      <c r="AY243" s="81"/>
      <c r="AZ243" s="81"/>
    </row>
    <row r="244" spans="1:58" ht="11.25" customHeight="1" x14ac:dyDescent="0.2">
      <c r="A244" s="142"/>
      <c r="B244" s="1680" t="s">
        <v>905</v>
      </c>
      <c r="C244" s="1680"/>
      <c r="D244" s="1680"/>
      <c r="E244" s="1680"/>
      <c r="F244" s="1680"/>
      <c r="G244" s="1680"/>
      <c r="H244" s="1680"/>
      <c r="I244" s="1680"/>
      <c r="J244" s="12"/>
      <c r="K244" s="9"/>
      <c r="L244" s="9"/>
      <c r="M244" s="9"/>
      <c r="N244" s="9"/>
      <c r="O244" s="9"/>
      <c r="P244" s="9"/>
      <c r="Q244" s="9"/>
      <c r="R244" s="9"/>
      <c r="S244" s="9"/>
      <c r="T244" s="9"/>
      <c r="U244" s="9"/>
      <c r="V244" s="9"/>
      <c r="W244" s="137"/>
      <c r="X244" s="150"/>
      <c r="AJ244" s="81"/>
      <c r="AK244" s="161"/>
      <c r="AL244" s="81"/>
      <c r="AM244" s="81"/>
      <c r="AN244" s="81"/>
      <c r="AO244" s="81"/>
      <c r="AP244" s="81"/>
      <c r="AQ244" s="81"/>
      <c r="AR244" s="81"/>
      <c r="AS244" s="81"/>
      <c r="AU244" s="81"/>
      <c r="AV244" s="81"/>
      <c r="AW244" s="81"/>
      <c r="AX244" s="81"/>
      <c r="AY244" s="81"/>
      <c r="AZ244" s="81"/>
    </row>
    <row r="245" spans="1:58" ht="11.25" customHeight="1" x14ac:dyDescent="0.2">
      <c r="A245" s="142"/>
      <c r="B245" s="1680"/>
      <c r="C245" s="1680"/>
      <c r="D245" s="1680"/>
      <c r="E245" s="1680"/>
      <c r="F245" s="1680"/>
      <c r="G245" s="1680"/>
      <c r="H245" s="1680"/>
      <c r="I245" s="1680"/>
      <c r="J245" s="12"/>
      <c r="K245" s="9"/>
      <c r="L245" s="9"/>
      <c r="M245" s="9"/>
      <c r="N245" s="9"/>
      <c r="O245" s="9"/>
      <c r="P245" s="9"/>
      <c r="Q245" s="9"/>
      <c r="R245" s="9"/>
      <c r="S245" s="9"/>
      <c r="T245" s="9"/>
      <c r="U245" s="9"/>
      <c r="V245" s="9"/>
      <c r="W245" s="137"/>
      <c r="X245" s="150"/>
      <c r="AJ245" s="81"/>
      <c r="AK245" s="161"/>
      <c r="AL245" s="81"/>
      <c r="AM245" s="81"/>
      <c r="AN245" s="81"/>
      <c r="AO245" s="81"/>
      <c r="AP245" s="81"/>
      <c r="AQ245" s="81"/>
      <c r="AR245" s="81"/>
      <c r="AS245" s="81"/>
      <c r="AU245" s="81"/>
      <c r="AV245" s="81"/>
      <c r="AW245" s="81"/>
      <c r="AX245" s="81"/>
      <c r="AY245" s="81"/>
      <c r="AZ245" s="81"/>
    </row>
    <row r="246" spans="1:58" ht="11.25" customHeight="1" x14ac:dyDescent="0.2">
      <c r="A246" s="142"/>
      <c r="B246" s="1680" t="s">
        <v>32</v>
      </c>
      <c r="C246" s="1680"/>
      <c r="D246" s="1680"/>
      <c r="E246" s="1680"/>
      <c r="F246" s="1680"/>
      <c r="G246" s="1680"/>
      <c r="H246" s="1680"/>
      <c r="I246" s="1680"/>
      <c r="J246" s="12"/>
      <c r="K246" s="9"/>
      <c r="L246" s="9"/>
      <c r="M246" s="9"/>
      <c r="N246" s="9"/>
      <c r="O246" s="9"/>
      <c r="P246" s="9"/>
      <c r="Q246" s="9"/>
      <c r="R246" s="9"/>
      <c r="S246" s="9"/>
      <c r="T246" s="9"/>
      <c r="U246" s="9"/>
      <c r="V246" s="9"/>
      <c r="W246" s="137"/>
      <c r="X246" s="150"/>
      <c r="AJ246" s="81"/>
      <c r="AK246" s="161"/>
      <c r="AL246" s="81"/>
      <c r="AM246" s="81"/>
      <c r="AN246" s="81"/>
      <c r="AO246" s="81"/>
      <c r="AP246" s="81"/>
      <c r="AQ246" s="81"/>
      <c r="AR246" s="81"/>
      <c r="AS246" s="81"/>
      <c r="AU246" s="81"/>
      <c r="AV246" s="81"/>
      <c r="AW246" s="81"/>
      <c r="AX246" s="81"/>
      <c r="AY246" s="81"/>
      <c r="AZ246" s="81"/>
    </row>
    <row r="247" spans="1:58" ht="11.25" customHeight="1" x14ac:dyDescent="0.2">
      <c r="A247" s="142"/>
      <c r="B247" s="1680"/>
      <c r="C247" s="1680"/>
      <c r="D247" s="1680"/>
      <c r="E247" s="1680"/>
      <c r="F247" s="1680"/>
      <c r="G247" s="1680"/>
      <c r="H247" s="1680"/>
      <c r="I247" s="1680"/>
      <c r="J247" s="12"/>
      <c r="K247" s="9"/>
      <c r="L247" s="9"/>
      <c r="M247" s="9"/>
      <c r="N247" s="9"/>
      <c r="O247" s="9"/>
      <c r="P247" s="9"/>
      <c r="Q247" s="9"/>
      <c r="R247" s="9"/>
      <c r="S247" s="9"/>
      <c r="T247" s="9"/>
      <c r="U247" s="9"/>
      <c r="V247" s="9"/>
      <c r="W247" s="137"/>
      <c r="X247" s="150"/>
      <c r="AJ247" s="81"/>
      <c r="AK247" s="161"/>
      <c r="AL247" s="81"/>
      <c r="AM247" s="81"/>
      <c r="AN247" s="81"/>
      <c r="AO247" s="81"/>
      <c r="AP247" s="81"/>
      <c r="AQ247" s="81"/>
      <c r="AR247" s="81"/>
      <c r="AS247" s="81"/>
      <c r="AU247" s="81"/>
      <c r="AV247" s="81"/>
      <c r="AW247" s="81"/>
      <c r="AX247" s="81"/>
      <c r="AY247" s="81"/>
      <c r="AZ247" s="81"/>
    </row>
    <row r="248" spans="1:58" ht="11.25" customHeight="1" x14ac:dyDescent="0.2">
      <c r="A248" s="142"/>
      <c r="B248" s="1680" t="s">
        <v>666</v>
      </c>
      <c r="C248" s="1680"/>
      <c r="D248" s="1680"/>
      <c r="E248" s="1680"/>
      <c r="F248" s="1680"/>
      <c r="G248" s="1680"/>
      <c r="H248" s="1680"/>
      <c r="I248" s="1680"/>
      <c r="J248" s="12"/>
      <c r="K248" s="9"/>
      <c r="L248" s="9"/>
      <c r="M248" s="9"/>
      <c r="N248" s="9"/>
      <c r="O248" s="9"/>
      <c r="P248" s="9"/>
      <c r="Q248" s="9"/>
      <c r="R248" s="9"/>
      <c r="S248" s="9"/>
      <c r="T248" s="9"/>
      <c r="U248" s="9"/>
      <c r="V248" s="9"/>
      <c r="W248" s="137"/>
      <c r="X248" s="150"/>
      <c r="AJ248" s="81"/>
      <c r="AK248" s="161"/>
      <c r="AL248" s="81"/>
      <c r="AM248" s="81"/>
      <c r="AN248" s="81"/>
      <c r="AO248" s="81"/>
      <c r="AP248" s="81"/>
      <c r="AQ248" s="81"/>
      <c r="AR248" s="81"/>
      <c r="AS248" s="81"/>
      <c r="AU248" s="81"/>
      <c r="AV248" s="81"/>
      <c r="AW248" s="81"/>
      <c r="AX248" s="81"/>
      <c r="AY248" s="81"/>
      <c r="AZ248" s="81"/>
    </row>
    <row r="249" spans="1:58" ht="11.25" customHeight="1" x14ac:dyDescent="0.2">
      <c r="A249" s="142"/>
      <c r="B249" s="1680"/>
      <c r="C249" s="1680"/>
      <c r="D249" s="1680"/>
      <c r="E249" s="1680"/>
      <c r="F249" s="1680"/>
      <c r="G249" s="1680"/>
      <c r="H249" s="1680"/>
      <c r="I249" s="1680"/>
      <c r="J249" s="12"/>
      <c r="K249" s="9"/>
      <c r="L249" s="9"/>
      <c r="M249" s="9"/>
      <c r="N249" s="9"/>
      <c r="O249" s="9"/>
      <c r="P249" s="9"/>
      <c r="Q249" s="9"/>
      <c r="R249" s="9"/>
      <c r="S249" s="9"/>
      <c r="T249" s="9"/>
      <c r="U249" s="9"/>
      <c r="V249" s="9"/>
      <c r="W249" s="137"/>
      <c r="X249" s="150"/>
      <c r="AJ249" s="81"/>
      <c r="AK249" s="161"/>
      <c r="AL249" s="81"/>
      <c r="AM249" s="81"/>
      <c r="AN249" s="81"/>
      <c r="AO249" s="81"/>
      <c r="AP249" s="81"/>
      <c r="AQ249" s="81"/>
      <c r="AR249" s="81"/>
      <c r="AS249" s="81"/>
      <c r="AU249" s="81"/>
      <c r="AV249" s="81"/>
      <c r="AW249" s="81"/>
      <c r="AX249" s="81"/>
      <c r="AY249" s="81"/>
      <c r="AZ249" s="81"/>
    </row>
    <row r="250" spans="1:58" ht="11.25" customHeight="1" x14ac:dyDescent="0.2">
      <c r="A250" s="142"/>
      <c r="B250" s="1680" t="s">
        <v>906</v>
      </c>
      <c r="C250" s="1680"/>
      <c r="D250" s="1680"/>
      <c r="E250" s="1680"/>
      <c r="F250" s="1680"/>
      <c r="G250" s="1680"/>
      <c r="H250" s="1680"/>
      <c r="I250" s="1680"/>
      <c r="J250" s="12"/>
      <c r="K250" s="9"/>
      <c r="L250" s="9"/>
      <c r="M250" s="9"/>
      <c r="N250" s="9"/>
      <c r="O250" s="9"/>
      <c r="P250" s="9"/>
      <c r="Q250" s="9"/>
      <c r="R250" s="9"/>
      <c r="S250" s="9"/>
      <c r="T250" s="9"/>
      <c r="U250" s="9"/>
      <c r="V250" s="9"/>
      <c r="W250" s="137"/>
      <c r="X250" s="150"/>
      <c r="AJ250" s="81"/>
      <c r="AK250" s="161"/>
      <c r="AL250" s="81"/>
      <c r="AM250" s="81"/>
      <c r="AN250" s="81"/>
      <c r="AO250" s="81"/>
      <c r="AP250" s="81"/>
      <c r="AQ250" s="81"/>
      <c r="AR250" s="81"/>
      <c r="AS250" s="81"/>
      <c r="AU250" s="81"/>
      <c r="AV250" s="81"/>
      <c r="AW250" s="81"/>
      <c r="AX250" s="81"/>
      <c r="AY250" s="81"/>
      <c r="AZ250" s="81"/>
    </row>
    <row r="251" spans="1:58" ht="11.25" customHeight="1" x14ac:dyDescent="0.2">
      <c r="A251" s="142"/>
      <c r="B251" s="1680"/>
      <c r="C251" s="1680"/>
      <c r="D251" s="1680"/>
      <c r="E251" s="1680"/>
      <c r="F251" s="1680"/>
      <c r="G251" s="1680"/>
      <c r="H251" s="1680"/>
      <c r="I251" s="1680"/>
      <c r="J251" s="12"/>
      <c r="K251" s="9"/>
      <c r="L251" s="9"/>
      <c r="M251" s="9"/>
      <c r="N251" s="9"/>
      <c r="O251" s="9"/>
      <c r="P251" s="9"/>
      <c r="Q251" s="9"/>
      <c r="R251" s="9"/>
      <c r="S251" s="9"/>
      <c r="T251" s="9"/>
      <c r="U251" s="9"/>
      <c r="V251" s="9"/>
      <c r="W251" s="137"/>
      <c r="X251" s="150"/>
      <c r="AJ251" s="81"/>
      <c r="AK251" s="161"/>
      <c r="AL251" s="81"/>
      <c r="AM251" s="81"/>
      <c r="AN251" s="81"/>
      <c r="AO251" s="81"/>
      <c r="AP251" s="81"/>
      <c r="AQ251" s="81"/>
      <c r="AR251" s="81"/>
      <c r="AS251" s="81"/>
      <c r="AU251" s="81"/>
      <c r="AV251" s="81"/>
      <c r="AW251" s="81"/>
      <c r="AX251" s="81"/>
      <c r="AY251" s="81"/>
      <c r="AZ251" s="81"/>
    </row>
    <row r="252" spans="1:58" ht="11.25" customHeight="1" x14ac:dyDescent="0.2">
      <c r="A252" s="142"/>
      <c r="B252" s="1680" t="s">
        <v>672</v>
      </c>
      <c r="C252" s="1680"/>
      <c r="D252" s="1680"/>
      <c r="E252" s="1680"/>
      <c r="F252" s="1680"/>
      <c r="G252" s="1680"/>
      <c r="H252" s="1680"/>
      <c r="I252" s="1680"/>
      <c r="J252" s="12"/>
      <c r="K252" s="9"/>
      <c r="L252" s="9"/>
      <c r="M252" s="9"/>
      <c r="N252" s="9"/>
      <c r="O252" s="9"/>
      <c r="P252" s="9"/>
      <c r="Q252" s="9"/>
      <c r="R252" s="9"/>
      <c r="S252" s="9"/>
      <c r="T252" s="9"/>
      <c r="U252" s="9"/>
      <c r="V252" s="9"/>
      <c r="W252" s="137"/>
      <c r="X252" s="150"/>
      <c r="AJ252" s="81"/>
      <c r="AK252" s="161"/>
      <c r="AL252" s="81"/>
      <c r="AM252" s="81"/>
      <c r="AN252" s="81"/>
      <c r="AO252" s="81"/>
      <c r="AP252" s="81"/>
      <c r="AQ252" s="81"/>
      <c r="AR252" s="81"/>
      <c r="AS252" s="81"/>
      <c r="AU252" s="81"/>
      <c r="AV252" s="81"/>
      <c r="AW252" s="81"/>
      <c r="AX252" s="81"/>
      <c r="AY252" s="81"/>
      <c r="AZ252" s="81"/>
    </row>
    <row r="253" spans="1:58" s="80" customFormat="1" ht="11.25" customHeight="1" x14ac:dyDescent="0.2">
      <c r="A253" s="142"/>
      <c r="B253" s="1680"/>
      <c r="C253" s="1680"/>
      <c r="D253" s="1680"/>
      <c r="E253" s="1680"/>
      <c r="F253" s="1680"/>
      <c r="G253" s="1680"/>
      <c r="H253" s="1680"/>
      <c r="I253" s="1680"/>
      <c r="J253" s="12"/>
      <c r="K253" s="9"/>
      <c r="L253" s="9"/>
      <c r="M253" s="9"/>
      <c r="N253" s="9"/>
      <c r="O253" s="9"/>
      <c r="P253" s="9"/>
      <c r="Q253" s="9"/>
      <c r="R253" s="9"/>
      <c r="S253" s="9"/>
      <c r="T253" s="9"/>
      <c r="U253" s="9"/>
      <c r="V253" s="9"/>
      <c r="W253" s="137"/>
      <c r="X253" s="150"/>
      <c r="Y253" s="81"/>
      <c r="Z253" s="81"/>
      <c r="AA253" s="81"/>
      <c r="AB253" s="81"/>
      <c r="AC253" s="81"/>
      <c r="AD253" s="81"/>
      <c r="AE253" s="81"/>
      <c r="AF253" s="81"/>
      <c r="AG253" s="81"/>
      <c r="AH253" s="81"/>
      <c r="AI253" s="81"/>
      <c r="AJ253" s="81"/>
      <c r="AK253" s="161"/>
      <c r="AL253" s="81"/>
      <c r="AM253" s="81"/>
      <c r="AN253" s="81"/>
      <c r="AO253" s="81"/>
      <c r="AP253" s="81"/>
      <c r="AQ253" s="81"/>
      <c r="AR253" s="81"/>
      <c r="AS253" s="81"/>
      <c r="AT253" s="74"/>
      <c r="AU253" s="81"/>
      <c r="AV253" s="81"/>
      <c r="AW253" s="81"/>
      <c r="AX253" s="81"/>
      <c r="AY253" s="81"/>
      <c r="AZ253" s="81"/>
      <c r="BA253" s="74"/>
      <c r="BB253" s="74"/>
      <c r="BC253" s="74"/>
      <c r="BD253" s="74"/>
      <c r="BE253" s="74"/>
      <c r="BF253" s="74"/>
    </row>
    <row r="254" spans="1:58" ht="11.25" customHeight="1" x14ac:dyDescent="0.2">
      <c r="A254" s="1273"/>
      <c r="B254" s="1274"/>
      <c r="C254" s="1275"/>
      <c r="D254" s="1275"/>
      <c r="E254" s="1275"/>
      <c r="F254" s="1275"/>
      <c r="G254" s="1275"/>
      <c r="H254" s="1275"/>
      <c r="I254" s="1275"/>
      <c r="J254" s="1276"/>
      <c r="K254" s="201"/>
      <c r="L254" s="201"/>
      <c r="M254" s="201"/>
      <c r="N254" s="201"/>
      <c r="O254" s="201"/>
      <c r="P254" s="201"/>
      <c r="Q254" s="201"/>
      <c r="R254" s="201"/>
      <c r="S254" s="201"/>
      <c r="T254" s="201"/>
      <c r="U254" s="201"/>
      <c r="V254" s="201"/>
      <c r="W254" s="1277"/>
      <c r="X254" s="1271"/>
      <c r="Y254" s="200"/>
      <c r="Z254" s="200"/>
      <c r="AA254" s="200"/>
      <c r="AB254" s="200"/>
      <c r="AC254" s="200"/>
      <c r="AD254" s="200"/>
      <c r="AE254" s="200"/>
      <c r="AF254" s="200"/>
      <c r="AG254" s="200"/>
      <c r="AH254" s="200"/>
      <c r="AI254" s="200"/>
      <c r="AJ254" s="200"/>
      <c r="AK254" s="1614"/>
      <c r="AL254" s="1278"/>
      <c r="AM254" s="200"/>
      <c r="AN254" s="200"/>
      <c r="AO254" s="201"/>
      <c r="AP254" s="201"/>
      <c r="AQ254" s="201"/>
      <c r="AR254" s="251"/>
    </row>
    <row r="255" spans="1:58" ht="11.25" customHeight="1" x14ac:dyDescent="0.2">
      <c r="AJ255" s="81"/>
      <c r="AK255" s="81"/>
      <c r="AL255" s="81"/>
      <c r="AM255" s="81"/>
      <c r="AN255" s="81"/>
      <c r="AO255" s="81"/>
      <c r="AR255" s="184"/>
    </row>
    <row r="256" spans="1:58" ht="11.25" customHeight="1" x14ac:dyDescent="0.2">
      <c r="AJ256" s="81"/>
      <c r="AK256" s="81"/>
      <c r="AL256" s="81"/>
      <c r="AM256" s="81"/>
      <c r="AN256" s="81"/>
      <c r="AO256" s="81"/>
      <c r="AR256" s="184"/>
    </row>
    <row r="257" spans="36:44" ht="11.25" customHeight="1" x14ac:dyDescent="0.2">
      <c r="AJ257" s="81"/>
      <c r="AK257" s="81"/>
      <c r="AL257" s="81"/>
      <c r="AM257" s="81"/>
      <c r="AN257" s="81"/>
      <c r="AO257" s="81"/>
      <c r="AR257" s="184"/>
    </row>
    <row r="258" spans="36:44" ht="11.25" customHeight="1" x14ac:dyDescent="0.2">
      <c r="AJ258" s="81"/>
      <c r="AK258" s="81"/>
      <c r="AL258" s="81"/>
      <c r="AM258" s="81"/>
      <c r="AN258" s="81"/>
      <c r="AO258" s="81"/>
      <c r="AR258" s="184"/>
    </row>
    <row r="259" spans="36:44" ht="11.25" customHeight="1" x14ac:dyDescent="0.2">
      <c r="AJ259" s="81"/>
      <c r="AK259" s="81"/>
      <c r="AL259" s="81"/>
      <c r="AM259" s="81"/>
      <c r="AN259" s="81"/>
      <c r="AO259" s="81"/>
      <c r="AR259" s="184"/>
    </row>
    <row r="260" spans="36:44" ht="11.25" customHeight="1" x14ac:dyDescent="0.2">
      <c r="AJ260" s="81"/>
      <c r="AK260" s="81"/>
      <c r="AL260" s="81"/>
      <c r="AM260" s="81"/>
      <c r="AN260" s="81"/>
      <c r="AO260" s="81"/>
      <c r="AR260" s="184"/>
    </row>
    <row r="261" spans="36:44" ht="11.25" customHeight="1" x14ac:dyDescent="0.2">
      <c r="AJ261" s="81"/>
      <c r="AK261" s="81"/>
      <c r="AL261" s="81"/>
      <c r="AM261" s="81"/>
      <c r="AN261" s="81"/>
      <c r="AO261" s="81"/>
      <c r="AR261" s="184"/>
    </row>
    <row r="262" spans="36:44" ht="11.25" customHeight="1" x14ac:dyDescent="0.2">
      <c r="AJ262" s="81"/>
      <c r="AK262" s="81"/>
      <c r="AL262" s="81"/>
      <c r="AM262" s="81"/>
      <c r="AN262" s="81"/>
      <c r="AO262" s="81"/>
      <c r="AR262" s="184"/>
    </row>
    <row r="263" spans="36:44" ht="11.25" customHeight="1" x14ac:dyDescent="0.2">
      <c r="AJ263" s="81"/>
      <c r="AK263" s="81"/>
      <c r="AL263" s="81"/>
      <c r="AM263" s="81"/>
      <c r="AN263" s="81"/>
      <c r="AO263" s="81"/>
      <c r="AR263" s="184"/>
    </row>
    <row r="264" spans="36:44" ht="11.25" customHeight="1" x14ac:dyDescent="0.2">
      <c r="AJ264" s="81"/>
      <c r="AK264" s="81"/>
      <c r="AL264" s="81"/>
      <c r="AM264" s="81"/>
      <c r="AN264" s="81"/>
      <c r="AO264" s="81"/>
      <c r="AR264" s="184"/>
    </row>
    <row r="265" spans="36:44" ht="11.25" customHeight="1" x14ac:dyDescent="0.2">
      <c r="AJ265" s="81"/>
      <c r="AK265" s="81"/>
      <c r="AL265" s="81"/>
      <c r="AM265" s="81"/>
      <c r="AN265" s="81"/>
      <c r="AO265" s="81"/>
      <c r="AR265" s="184"/>
    </row>
    <row r="266" spans="36:44" ht="11.25" customHeight="1" x14ac:dyDescent="0.2">
      <c r="AJ266" s="81"/>
      <c r="AK266" s="81"/>
      <c r="AL266" s="81"/>
      <c r="AM266" s="81"/>
      <c r="AN266" s="81"/>
      <c r="AO266" s="81"/>
      <c r="AR266" s="184"/>
    </row>
    <row r="267" spans="36:44" ht="11.25" customHeight="1" x14ac:dyDescent="0.2">
      <c r="AJ267" s="81"/>
      <c r="AK267" s="81"/>
      <c r="AL267" s="81"/>
      <c r="AM267" s="81"/>
      <c r="AN267" s="81"/>
      <c r="AO267" s="81"/>
      <c r="AR267" s="184"/>
    </row>
    <row r="268" spans="36:44" ht="11.25" customHeight="1" x14ac:dyDescent="0.2">
      <c r="AJ268" s="81"/>
      <c r="AK268" s="81"/>
      <c r="AL268" s="81"/>
      <c r="AM268" s="81"/>
      <c r="AN268" s="81"/>
      <c r="AO268" s="81"/>
      <c r="AR268" s="184"/>
    </row>
    <row r="269" spans="36:44" ht="11.25" customHeight="1" x14ac:dyDescent="0.2">
      <c r="AJ269" s="81"/>
      <c r="AK269" s="81"/>
      <c r="AL269" s="81"/>
      <c r="AM269" s="81"/>
      <c r="AN269" s="81"/>
      <c r="AO269" s="81"/>
      <c r="AR269" s="184"/>
    </row>
    <row r="270" spans="36:44" ht="11.25" customHeight="1" x14ac:dyDescent="0.2">
      <c r="AJ270" s="81"/>
      <c r="AK270" s="81"/>
      <c r="AL270" s="81"/>
      <c r="AM270" s="81"/>
      <c r="AN270" s="81"/>
      <c r="AO270" s="81"/>
      <c r="AR270" s="184"/>
    </row>
    <row r="271" spans="36:44" ht="11.25" customHeight="1" x14ac:dyDescent="0.2">
      <c r="AJ271" s="81"/>
      <c r="AK271" s="81"/>
      <c r="AL271" s="81"/>
      <c r="AM271" s="81"/>
      <c r="AN271" s="81"/>
      <c r="AO271" s="81"/>
      <c r="AR271" s="184"/>
    </row>
    <row r="272" spans="36:44" ht="11.25" customHeight="1" x14ac:dyDescent="0.2">
      <c r="AJ272" s="81"/>
      <c r="AK272" s="81"/>
      <c r="AL272" s="81"/>
      <c r="AM272" s="81"/>
      <c r="AN272" s="81"/>
      <c r="AO272" s="81"/>
      <c r="AR272" s="184"/>
    </row>
    <row r="273" spans="36:44" ht="11.25" customHeight="1" x14ac:dyDescent="0.2">
      <c r="AJ273" s="81"/>
      <c r="AK273" s="81"/>
      <c r="AL273" s="81"/>
      <c r="AM273" s="81"/>
      <c r="AN273" s="81"/>
      <c r="AO273" s="81"/>
      <c r="AR273" s="184"/>
    </row>
    <row r="274" spans="36:44" ht="11.25" customHeight="1" x14ac:dyDescent="0.2">
      <c r="AJ274" s="81"/>
      <c r="AK274" s="81"/>
      <c r="AL274" s="81"/>
      <c r="AM274" s="81"/>
      <c r="AN274" s="81"/>
      <c r="AO274" s="81"/>
      <c r="AR274" s="184"/>
    </row>
    <row r="275" spans="36:44" ht="11.25" customHeight="1" x14ac:dyDescent="0.2">
      <c r="AJ275" s="81"/>
      <c r="AK275" s="81"/>
      <c r="AL275" s="81"/>
      <c r="AM275" s="81"/>
      <c r="AN275" s="81"/>
      <c r="AO275" s="81"/>
      <c r="AR275" s="184"/>
    </row>
    <row r="276" spans="36:44" ht="11.25" customHeight="1" x14ac:dyDescent="0.2">
      <c r="AJ276" s="81"/>
      <c r="AK276" s="81"/>
      <c r="AL276" s="81"/>
      <c r="AM276" s="81"/>
      <c r="AN276" s="81"/>
      <c r="AO276" s="81"/>
      <c r="AR276" s="184"/>
    </row>
    <row r="277" spans="36:44" ht="11.25" customHeight="1" x14ac:dyDescent="0.2">
      <c r="AJ277" s="81"/>
      <c r="AK277" s="81"/>
      <c r="AL277" s="81"/>
      <c r="AM277" s="81"/>
      <c r="AN277" s="81"/>
      <c r="AO277" s="81"/>
      <c r="AR277" s="184"/>
    </row>
    <row r="278" spans="36:44" ht="11.25" customHeight="1" x14ac:dyDescent="0.2">
      <c r="AJ278" s="81"/>
      <c r="AK278" s="81"/>
      <c r="AL278" s="81"/>
      <c r="AM278" s="81"/>
      <c r="AN278" s="81"/>
      <c r="AO278" s="81"/>
      <c r="AR278" s="184"/>
    </row>
    <row r="279" spans="36:44" ht="11.25" customHeight="1" x14ac:dyDescent="0.2">
      <c r="AJ279" s="81"/>
      <c r="AK279" s="81"/>
      <c r="AL279" s="81"/>
      <c r="AM279" s="81"/>
      <c r="AN279" s="81"/>
      <c r="AO279" s="81"/>
      <c r="AR279" s="184"/>
    </row>
    <row r="280" spans="36:44" ht="11.25" customHeight="1" x14ac:dyDescent="0.2">
      <c r="AJ280" s="81"/>
      <c r="AK280" s="81"/>
      <c r="AL280" s="81"/>
      <c r="AM280" s="81"/>
      <c r="AN280" s="81"/>
      <c r="AO280" s="81"/>
      <c r="AR280" s="184"/>
    </row>
    <row r="281" spans="36:44" ht="11.25" customHeight="1" x14ac:dyDescent="0.2">
      <c r="AJ281" s="81"/>
      <c r="AK281" s="81"/>
      <c r="AL281" s="81"/>
      <c r="AM281" s="81"/>
      <c r="AN281" s="81"/>
      <c r="AO281" s="81"/>
      <c r="AR281" s="184"/>
    </row>
    <row r="282" spans="36:44" ht="11.25" customHeight="1" x14ac:dyDescent="0.2">
      <c r="AJ282" s="81"/>
      <c r="AK282" s="81"/>
      <c r="AL282" s="81"/>
      <c r="AM282" s="81"/>
      <c r="AN282" s="81"/>
      <c r="AO282" s="81"/>
      <c r="AR282" s="184"/>
    </row>
    <row r="283" spans="36:44" ht="11.25" customHeight="1" x14ac:dyDescent="0.2">
      <c r="AJ283" s="81"/>
      <c r="AK283" s="81"/>
      <c r="AL283" s="81"/>
      <c r="AM283" s="81"/>
      <c r="AN283" s="81"/>
      <c r="AO283" s="81"/>
      <c r="AR283" s="184"/>
    </row>
    <row r="284" spans="36:44" ht="11.25" customHeight="1" x14ac:dyDescent="0.2">
      <c r="AJ284" s="81"/>
      <c r="AK284" s="81"/>
      <c r="AL284" s="81"/>
      <c r="AM284" s="81"/>
      <c r="AN284" s="81"/>
      <c r="AO284" s="81"/>
      <c r="AR284" s="184"/>
    </row>
    <row r="285" spans="36:44" ht="11.25" customHeight="1" x14ac:dyDescent="0.2">
      <c r="AJ285" s="81"/>
      <c r="AK285" s="81"/>
      <c r="AL285" s="81"/>
      <c r="AM285" s="81"/>
      <c r="AN285" s="81"/>
      <c r="AO285" s="81"/>
      <c r="AR285" s="184"/>
    </row>
    <row r="286" spans="36:44" ht="11.25" customHeight="1" x14ac:dyDescent="0.2">
      <c r="AJ286" s="81"/>
      <c r="AK286" s="81"/>
      <c r="AL286" s="81"/>
      <c r="AM286" s="81"/>
      <c r="AN286" s="81"/>
      <c r="AO286" s="81"/>
      <c r="AR286" s="184"/>
    </row>
    <row r="287" spans="36:44" ht="11.25" customHeight="1" x14ac:dyDescent="0.2">
      <c r="AJ287" s="81"/>
      <c r="AK287" s="81"/>
      <c r="AL287" s="81"/>
      <c r="AM287" s="81"/>
      <c r="AN287" s="81"/>
      <c r="AO287" s="81"/>
      <c r="AR287" s="184"/>
    </row>
    <row r="380" spans="38:38" ht="11.25" customHeight="1" x14ac:dyDescent="0.2">
      <c r="AL380" s="74" t="b">
        <v>1</v>
      </c>
    </row>
  </sheetData>
  <sheetProtection sheet="1" objects="1" scenarios="1"/>
  <mergeCells count="68">
    <mergeCell ref="B5:N6"/>
    <mergeCell ref="D7:H7"/>
    <mergeCell ref="I7:I9"/>
    <mergeCell ref="Q7:Q9"/>
    <mergeCell ref="B7:B9"/>
    <mergeCell ref="K7:P7"/>
    <mergeCell ref="O8:P8"/>
    <mergeCell ref="O9:P9"/>
    <mergeCell ref="D113:H113"/>
    <mergeCell ref="I113:I115"/>
    <mergeCell ref="K113:P113"/>
    <mergeCell ref="A106:V106"/>
    <mergeCell ref="R64:U64"/>
    <mergeCell ref="M64:P64"/>
    <mergeCell ref="M65:P65"/>
    <mergeCell ref="R65:U65"/>
    <mergeCell ref="B250:I251"/>
    <mergeCell ref="B252:I253"/>
    <mergeCell ref="Z8:Z9"/>
    <mergeCell ref="AA8:AA9"/>
    <mergeCell ref="A70:V70"/>
    <mergeCell ref="A71:V71"/>
    <mergeCell ref="A105:V105"/>
    <mergeCell ref="B35:U35"/>
    <mergeCell ref="A37:V37"/>
    <mergeCell ref="A38:V38"/>
    <mergeCell ref="S7:U8"/>
    <mergeCell ref="O114:P114"/>
    <mergeCell ref="O115:P115"/>
    <mergeCell ref="B141:U141"/>
    <mergeCell ref="B111:N112"/>
    <mergeCell ref="B113:B115"/>
    <mergeCell ref="B240:I241"/>
    <mergeCell ref="B242:I243"/>
    <mergeCell ref="B244:I245"/>
    <mergeCell ref="B246:I247"/>
    <mergeCell ref="B248:I249"/>
    <mergeCell ref="B220:I221"/>
    <mergeCell ref="B222:I223"/>
    <mergeCell ref="B234:I235"/>
    <mergeCell ref="B236:I237"/>
    <mergeCell ref="B238:I239"/>
    <mergeCell ref="AR144:AR146"/>
    <mergeCell ref="AM144:AQ144"/>
    <mergeCell ref="B214:I215"/>
    <mergeCell ref="B216:I217"/>
    <mergeCell ref="B218:I219"/>
    <mergeCell ref="AR38:AR40"/>
    <mergeCell ref="AM38:AQ38"/>
    <mergeCell ref="A212:V212"/>
    <mergeCell ref="M171:P171"/>
    <mergeCell ref="R171:U171"/>
    <mergeCell ref="A176:V176"/>
    <mergeCell ref="A177:V177"/>
    <mergeCell ref="A211:V211"/>
    <mergeCell ref="A143:V143"/>
    <mergeCell ref="A144:V144"/>
    <mergeCell ref="Z114:Z115"/>
    <mergeCell ref="AA114:AA115"/>
    <mergeCell ref="M170:P170"/>
    <mergeCell ref="R170:U170"/>
    <mergeCell ref="Q113:Q115"/>
    <mergeCell ref="S113:U114"/>
    <mergeCell ref="B224:I225"/>
    <mergeCell ref="B226:I227"/>
    <mergeCell ref="B228:I229"/>
    <mergeCell ref="B230:I231"/>
    <mergeCell ref="B232:I233"/>
  </mergeCells>
  <conditionalFormatting sqref="B10:B31 K10:O31 B51:C66 D10:H31 Q10:Q31">
    <cfRule type="containsErrors" dxfId="552" priority="93">
      <formula>ISERROR(B10)</formula>
    </cfRule>
  </conditionalFormatting>
  <conditionalFormatting sqref="B32:B33 B138:B139">
    <cfRule type="expression" dxfId="551" priority="94" stopIfTrue="1">
      <formula>$B32=$Z$4</formula>
    </cfRule>
  </conditionalFormatting>
  <conditionalFormatting sqref="S10:S31 S116:S137">
    <cfRule type="expression" dxfId="550" priority="90">
      <formula>$B10=$Y$5</formula>
    </cfRule>
  </conditionalFormatting>
  <conditionalFormatting sqref="A10:A31">
    <cfRule type="containsErrors" dxfId="549" priority="86">
      <formula>ISERROR(A10)</formula>
    </cfRule>
    <cfRule type="cellIs" dxfId="548" priority="87" operator="equal">
      <formula>0</formula>
    </cfRule>
  </conditionalFormatting>
  <conditionalFormatting sqref="B10:B31 K10:O31 Q10:Q31 D10:I31 S10:U31 B51:C66 B116:B137 Q116:Q137 K116:O137 D116:I137 S116:U137 B157:C172 P116:P139 P10:P33">
    <cfRule type="expression" dxfId="547" priority="92">
      <formula>$B10=$Z$4</formula>
    </cfRule>
  </conditionalFormatting>
  <conditionalFormatting sqref="AG10:AH28">
    <cfRule type="containsErrors" dxfId="546" priority="85">
      <formula>ISERROR(AG10)</formula>
    </cfRule>
  </conditionalFormatting>
  <conditionalFormatting sqref="AG10:AH21 AH11:AH28">
    <cfRule type="expression" dxfId="545" priority="84">
      <formula>$B10=$X$4</formula>
    </cfRule>
  </conditionalFormatting>
  <conditionalFormatting sqref="I10:I31">
    <cfRule type="containsErrors" dxfId="544" priority="83">
      <formula>ISERROR(I10)</formula>
    </cfRule>
  </conditionalFormatting>
  <conditionalFormatting sqref="A38">
    <cfRule type="cellIs" dxfId="543" priority="80" operator="equal">
      <formula>0</formula>
    </cfRule>
    <cfRule type="containsErrors" dxfId="542" priority="81">
      <formula>ISERROR(A38)</formula>
    </cfRule>
  </conditionalFormatting>
  <conditionalFormatting sqref="A71">
    <cfRule type="cellIs" dxfId="541" priority="78" operator="equal">
      <formula>0</formula>
    </cfRule>
    <cfRule type="containsErrors" dxfId="540" priority="79">
      <formula>ISERROR(A71)</formula>
    </cfRule>
  </conditionalFormatting>
  <conditionalFormatting sqref="A106">
    <cfRule type="cellIs" dxfId="539" priority="76" operator="equal">
      <formula>0</formula>
    </cfRule>
    <cfRule type="containsErrors" dxfId="538" priority="77">
      <formula>ISERROR(A106)</formula>
    </cfRule>
  </conditionalFormatting>
  <conditionalFormatting sqref="D8:H8">
    <cfRule type="containsErrors" dxfId="537" priority="73">
      <formula>ISERROR(D8)</formula>
    </cfRule>
  </conditionalFormatting>
  <conditionalFormatting sqref="D9:H9">
    <cfRule type="containsErrors" dxfId="536" priority="75">
      <formula>ISERROR(D9)</formula>
    </cfRule>
  </conditionalFormatting>
  <conditionalFormatting sqref="K8:O8">
    <cfRule type="containsErrors" dxfId="535" priority="72">
      <formula>ISERROR(K8)</formula>
    </cfRule>
  </conditionalFormatting>
  <conditionalFormatting sqref="K9:O9">
    <cfRule type="containsErrors" dxfId="534" priority="95">
      <formula>ISERROR(K9)</formula>
    </cfRule>
  </conditionalFormatting>
  <conditionalFormatting sqref="Y3">
    <cfRule type="containsErrors" dxfId="533" priority="69">
      <formula>ISERROR(Y3)</formula>
    </cfRule>
  </conditionalFormatting>
  <conditionalFormatting sqref="Y2">
    <cfRule type="containsErrors" dxfId="532" priority="68">
      <formula>ISERROR(Y2)</formula>
    </cfRule>
  </conditionalFormatting>
  <conditionalFormatting sqref="P32:P33">
    <cfRule type="containsErrors" dxfId="531" priority="65">
      <formula>ISERROR(P32)</formula>
    </cfRule>
  </conditionalFormatting>
  <conditionalFormatting sqref="P10:P33">
    <cfRule type="containsErrors" dxfId="530" priority="63">
      <formula>ISERROR(P10)</formula>
    </cfRule>
    <cfRule type="dataBar" priority="64">
      <dataBar showValue="0">
        <cfvo type="min"/>
        <cfvo type="max"/>
        <color theme="9"/>
      </dataBar>
      <extLst>
        <ext xmlns:x14="http://schemas.microsoft.com/office/spreadsheetml/2009/9/main" uri="{B025F937-C7B1-47D3-B67F-A62EFF666E3E}">
          <x14:id>{DA08B2EA-1865-4648-B79D-051F2211FEE2}</x14:id>
        </ext>
      </extLst>
    </cfRule>
  </conditionalFormatting>
  <conditionalFormatting sqref="AB9:AF9">
    <cfRule type="cellIs" dxfId="529" priority="58" stopIfTrue="1" operator="equal">
      <formula>0</formula>
    </cfRule>
  </conditionalFormatting>
  <conditionalFormatting sqref="B116:B137 B157:C172 D116:H137 Q116:Q137 K116:O137">
    <cfRule type="containsErrors" dxfId="528" priority="56">
      <formula>ISERROR(B116)</formula>
    </cfRule>
  </conditionalFormatting>
  <conditionalFormatting sqref="A116:A137">
    <cfRule type="containsErrors" dxfId="527" priority="50">
      <formula>ISERROR(A116)</formula>
    </cfRule>
    <cfRule type="cellIs" dxfId="526" priority="51" operator="equal">
      <formula>0</formula>
    </cfRule>
  </conditionalFormatting>
  <conditionalFormatting sqref="AG116:AH134">
    <cfRule type="containsErrors" dxfId="525" priority="49">
      <formula>ISERROR(AG116)</formula>
    </cfRule>
  </conditionalFormatting>
  <conditionalFormatting sqref="AG116:AH127 AH117:AH134">
    <cfRule type="expression" dxfId="524" priority="48">
      <formula>$B116=$X$4</formula>
    </cfRule>
  </conditionalFormatting>
  <conditionalFormatting sqref="I116:I137">
    <cfRule type="containsErrors" dxfId="523" priority="47">
      <formula>ISERROR(I116)</formula>
    </cfRule>
  </conditionalFormatting>
  <conditionalFormatting sqref="A144">
    <cfRule type="cellIs" dxfId="522" priority="44" operator="equal">
      <formula>0</formula>
    </cfRule>
    <cfRule type="containsErrors" dxfId="521" priority="45">
      <formula>ISERROR(A144)</formula>
    </cfRule>
  </conditionalFormatting>
  <conditionalFormatting sqref="A177">
    <cfRule type="cellIs" dxfId="520" priority="42" operator="equal">
      <formula>0</formula>
    </cfRule>
    <cfRule type="containsErrors" dxfId="519" priority="43">
      <formula>ISERROR(A177)</formula>
    </cfRule>
  </conditionalFormatting>
  <conditionalFormatting sqref="A212">
    <cfRule type="cellIs" dxfId="518" priority="40" operator="equal">
      <formula>0</formula>
    </cfRule>
    <cfRule type="containsErrors" dxfId="517" priority="41">
      <formula>ISERROR(A212)</formula>
    </cfRule>
  </conditionalFormatting>
  <conditionalFormatting sqref="D114:H114">
    <cfRule type="containsErrors" dxfId="516" priority="37">
      <formula>ISERROR(D114)</formula>
    </cfRule>
  </conditionalFormatting>
  <conditionalFormatting sqref="D115:H115">
    <cfRule type="containsErrors" dxfId="515" priority="39">
      <formula>ISERROR(D115)</formula>
    </cfRule>
  </conditionalFormatting>
  <conditionalFormatting sqref="K114:O114">
    <cfRule type="containsErrors" dxfId="514" priority="36">
      <formula>ISERROR(K114)</formula>
    </cfRule>
  </conditionalFormatting>
  <conditionalFormatting sqref="K115:O115">
    <cfRule type="containsErrors" dxfId="513" priority="96">
      <formula>ISERROR(K115)</formula>
    </cfRule>
  </conditionalFormatting>
  <conditionalFormatting sqref="P138:P139">
    <cfRule type="containsErrors" dxfId="512" priority="33">
      <formula>ISERROR(P138)</formula>
    </cfRule>
  </conditionalFormatting>
  <conditionalFormatting sqref="P116:P139">
    <cfRule type="containsErrors" dxfId="511" priority="31">
      <formula>ISERROR(P116)</formula>
    </cfRule>
    <cfRule type="dataBar" priority="32">
      <dataBar showValue="0">
        <cfvo type="min"/>
        <cfvo type="max"/>
        <color theme="9"/>
      </dataBar>
      <extLst>
        <ext xmlns:x14="http://schemas.microsoft.com/office/spreadsheetml/2009/9/main" uri="{B025F937-C7B1-47D3-B67F-A62EFF666E3E}">
          <x14:id>{7E9B0E3D-F7F9-4287-953E-555465CB18B1}</x14:id>
        </ext>
      </extLst>
    </cfRule>
  </conditionalFormatting>
  <conditionalFormatting sqref="AB115:AF115">
    <cfRule type="cellIs" dxfId="510" priority="26" stopIfTrue="1" operator="equal">
      <formula>0</formula>
    </cfRule>
  </conditionalFormatting>
  <conditionalFormatting sqref="T10:T31">
    <cfRule type="containsErrors" dxfId="509" priority="21">
      <formula>ISERROR(T10)</formula>
    </cfRule>
  </conditionalFormatting>
  <conditionalFormatting sqref="T32">
    <cfRule type="containsErrors" dxfId="508" priority="19">
      <formula>ISERROR(T32)</formula>
    </cfRule>
  </conditionalFormatting>
  <conditionalFormatting sqref="T33">
    <cfRule type="containsErrors" dxfId="507" priority="18">
      <formula>ISERROR(T33)</formula>
    </cfRule>
  </conditionalFormatting>
  <conditionalFormatting sqref="U10:U31">
    <cfRule type="containsErrors" dxfId="506" priority="17">
      <formula>ISERROR(U10)</formula>
    </cfRule>
  </conditionalFormatting>
  <conditionalFormatting sqref="U32">
    <cfRule type="containsErrors" dxfId="505" priority="15">
      <formula>ISERROR(U32)</formula>
    </cfRule>
  </conditionalFormatting>
  <conditionalFormatting sqref="U33">
    <cfRule type="containsErrors" dxfId="504" priority="14">
      <formula>ISERROR(U33)</formula>
    </cfRule>
  </conditionalFormatting>
  <conditionalFormatting sqref="T116:T137">
    <cfRule type="containsErrors" dxfId="503" priority="13">
      <formula>ISERROR(T116)</formula>
    </cfRule>
  </conditionalFormatting>
  <conditionalFormatting sqref="T138">
    <cfRule type="containsErrors" dxfId="502" priority="11">
      <formula>ISERROR(T138)</formula>
    </cfRule>
  </conditionalFormatting>
  <conditionalFormatting sqref="T139">
    <cfRule type="containsErrors" dxfId="501" priority="10">
      <formula>ISERROR(T139)</formula>
    </cfRule>
  </conditionalFormatting>
  <conditionalFormatting sqref="U116:U137">
    <cfRule type="containsErrors" dxfId="500" priority="9">
      <formula>ISERROR(U116)</formula>
    </cfRule>
  </conditionalFormatting>
  <conditionalFormatting sqref="U138">
    <cfRule type="containsErrors" dxfId="499" priority="7">
      <formula>ISERROR(U138)</formula>
    </cfRule>
  </conditionalFormatting>
  <conditionalFormatting sqref="U139">
    <cfRule type="containsErrors" dxfId="498" priority="6">
      <formula>ISERROR(U139)</formula>
    </cfRule>
  </conditionalFormatting>
  <conditionalFormatting sqref="Z3:AD3">
    <cfRule type="containsErrors" dxfId="497" priority="5">
      <formula>ISERROR(Z3)</formula>
    </cfRule>
  </conditionalFormatting>
  <conditionalFormatting sqref="Z2:AD2">
    <cfRule type="containsErrors" dxfId="496" priority="4">
      <formula>ISERROR(Z2)</formula>
    </cfRule>
  </conditionalFormatting>
  <conditionalFormatting sqref="AM40:AQ40">
    <cfRule type="cellIs" dxfId="495" priority="3" stopIfTrue="1" operator="equal">
      <formula>0</formula>
    </cfRule>
  </conditionalFormatting>
  <conditionalFormatting sqref="AM146:AQ146">
    <cfRule type="cellIs" dxfId="494" priority="2" stopIfTrue="1" operator="equal">
      <formula>0</formula>
    </cfRule>
  </conditionalFormatting>
  <conditionalFormatting sqref="A255:A287">
    <cfRule type="containsErrors" dxfId="493" priority="1">
      <formula>ISERROR(A255)</formula>
    </cfRule>
  </conditionalFormatting>
  <hyperlinks>
    <hyperlink ref="B218:H219" location="IDACI!A1" display="IDACI" xr:uid="{BB30F21E-35B2-46EC-93BF-34E8A1415435}"/>
    <hyperlink ref="B242:I243" location="ROSGO!A1" display="Child Arrangement &amp; Special Guardianship Orders" xr:uid="{0CB6EEA4-638C-4AE7-88E3-002B669A4C5D}"/>
    <hyperlink ref="B222:G223" location="EH_Referrals!A1" display="Early Help Referrals" xr:uid="{3E51DF82-E231-483A-9E2C-A8067C18106D}"/>
    <hyperlink ref="B242:E243" location="ROSGO!A1" display="Child Arrangement &amp; Special Guardianship Orders" xr:uid="{01F82A89-4747-45CC-88B5-1DCD2571A79F}"/>
    <hyperlink ref="B222:E223" location="EH_Referrals!A1" display="Early Help Referrals" xr:uid="{8BBB87EB-16F7-4C25-BD4A-52363F211E09}"/>
    <hyperlink ref="B220:D221" location="IDACI!A1" display="IDACI" xr:uid="{634183EA-E9F8-4423-84E7-89202B3D554B}"/>
    <hyperlink ref="B216:D217" location="Indicators!A1" display="Indicators" xr:uid="{49E8858C-1B1B-4704-86F0-EC7BDE721E35}"/>
    <hyperlink ref="B244:D245" location="New_Ceased_LAC!A1" display="New/ Ceased Looked After Children" xr:uid="{19BFAEBF-2B3C-44BC-8D15-68A1DC86EAA7}"/>
    <hyperlink ref="B248:D249" location="Care_Leavers!A1" display="Care Leavers" xr:uid="{F418C505-6D5E-43BC-9D0A-1401FEA53D2C}"/>
    <hyperlink ref="B252:D253" location="Offending!A1" display="Offending" xr:uid="{AD35A8A5-CCB9-4DF6-8706-9C0062B0611C}"/>
    <hyperlink ref="B250:D251" location="EHCP!A1" display="Education Health and Care Plans (EHCP)" xr:uid="{25095E52-57CB-4C47-A952-A3F5F67708EF}"/>
    <hyperlink ref="B218:B219" location="Coverage!A1" display="Participating LA's" xr:uid="{A46FB561-7721-4F19-B089-395557FE09C2}"/>
    <hyperlink ref="B220:B221" location="IDACI!A1" display="IDACI" xr:uid="{0CC24128-39F0-4F32-B47E-7DD58A288CE6}"/>
    <hyperlink ref="B246:B247" location="Adoption!A1" display="Adoption" xr:uid="{2F036FE2-C504-4C9A-A298-4C840A8A01C2}"/>
    <hyperlink ref="B242:B243" location="'Looked After Children'!A1" display="Looked After Children" xr:uid="{6BEA2129-92C9-43C6-9CDD-D584F31CF4BD}"/>
    <hyperlink ref="B240:B241" location="'Court Applications'!A1" display="Court Applications" xr:uid="{8E5DF998-7B3B-4E10-966A-149472655AD6}"/>
    <hyperlink ref="B238:B239" location="'Child Protection Plans'!A1" display="Child Protection Plans" xr:uid="{528916CE-70AD-4DE7-A4CA-AD549E3E6D78}"/>
    <hyperlink ref="B236:B237" location="'Initial CP Conferences'!A1" display="Initial Child Protection Conferences" xr:uid="{65FB70A8-8FEA-47E3-88EA-EE9281D65F2B}"/>
    <hyperlink ref="B234:B235" location="'Section 47 Enquiries'!A1" display="Section 47 Enquiries" xr:uid="{3591E347-046E-4829-8014-FE99621A6C24}"/>
    <hyperlink ref="B232:B233" location="'Children in Need'!A1" display="Children in Need" xr:uid="{8AFA3EAC-D0C4-4D6C-B368-2036144796ED}"/>
    <hyperlink ref="B230:B231" location="Assessments!A1" display="Assessments" xr:uid="{6FCD122F-8732-49D6-9442-962B003509CD}"/>
    <hyperlink ref="B228:B229" location="'Re-referrals'!A1" display="Re-referrals" xr:uid="{EDD4820B-8FBE-47E4-999C-222962C71938}"/>
    <hyperlink ref="B226:B227" location="Referral_Source!A1" display="Referral Source" xr:uid="{8FE74596-C62D-4F1A-8B1C-BC04223859DF}"/>
    <hyperlink ref="B224:B225" location="Referrals!A1" display="Referrals" xr:uid="{E32CE4E3-FB0F-4B72-AE3A-DB654100E30E}"/>
    <hyperlink ref="B222:B223" location="Population!A1" display="Population" xr:uid="{6A6E1CDB-2754-4081-848B-3E387D922D18}"/>
    <hyperlink ref="B220:C221" location="IDACI!A1" display="IDACI" xr:uid="{63A770DF-0B7B-4F02-9D9E-5F6773B3B495}"/>
    <hyperlink ref="B216:B217" location="Coverage!A1" display="Participating LA's" xr:uid="{5A3F9CD8-349F-49DF-9DD9-9B5673627FCA}"/>
    <hyperlink ref="B216:C217" location="Indicators!A1" display="Indicators" xr:uid="{DBE56D45-0F15-4555-B31C-42E9D468D198}"/>
    <hyperlink ref="B248:B249" location="'Looked After Children'!A1" display="Looked After Children" xr:uid="{4B5FBB9C-CDBE-46A5-8E75-55E20A0A0CD7}"/>
    <hyperlink ref="B244:B245" location="'Court Applications'!A1" display="Court Applications" xr:uid="{547F3EDE-5DCF-4E99-8A47-AC19AE738597}"/>
    <hyperlink ref="B244:C245" location="New_Ceased_LAC!A1" display="New/ Ceased Looked After Children" xr:uid="{B3753F51-88FC-446B-AC64-B6849C01A493}"/>
    <hyperlink ref="B248:C249" location="Care_Leavers!A1" display="Care Leavers" xr:uid="{E2F0E696-3213-466F-A37E-D261F4209EA0}"/>
    <hyperlink ref="B251:B253" location="Adoption!A1" display="Adoption" xr:uid="{06B1E5B7-999D-4276-94A1-4ACB6C5C2804}"/>
    <hyperlink ref="B252:B253" location="'Looked After Children'!A1" display="Looked After Children" xr:uid="{49B5BA23-11D6-4816-AE63-80850A7794D1}"/>
    <hyperlink ref="B252:C253" location="Offending!A1" display="Offending" xr:uid="{D97B39C6-5449-4136-A73D-267CD95C96CA}"/>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8" max="21" man="1"/>
    <brk id="71" max="21" man="1"/>
  </rowBreaks>
  <ignoredErrors>
    <ignoredError sqref="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4449" r:id="rId4" name="Check Box 1">
              <controlPr defaultSize="0" autoFill="0" autoLine="0" autoPict="0" macro="[0]!CheckBox1_Click" altText="">
                <anchor>
                  <from>
                    <xdr:col>23</xdr:col>
                    <xdr:colOff>85725</xdr:colOff>
                    <xdr:row>39</xdr:row>
                    <xdr:rowOff>19050</xdr:rowOff>
                  </from>
                  <to>
                    <xdr:col>36</xdr:col>
                    <xdr:colOff>57150</xdr:colOff>
                    <xdr:row>41</xdr:row>
                    <xdr:rowOff>0</xdr:rowOff>
                  </to>
                </anchor>
              </controlPr>
            </control>
          </mc:Choice>
        </mc:AlternateContent>
        <mc:AlternateContent xmlns:mc="http://schemas.openxmlformats.org/markup-compatibility/2006">
          <mc:Choice Requires="x14">
            <control shapeId="104450" r:id="rId5" name="Check Box 2">
              <controlPr defaultSize="0" autoFill="0" autoLine="0" autoPict="0" macro="[0]!CheckBox1_Click" altText="">
                <anchor>
                  <from>
                    <xdr:col>23</xdr:col>
                    <xdr:colOff>85725</xdr:colOff>
                    <xdr:row>40</xdr:row>
                    <xdr:rowOff>142875</xdr:rowOff>
                  </from>
                  <to>
                    <xdr:col>36</xdr:col>
                    <xdr:colOff>57150</xdr:colOff>
                    <xdr:row>42</xdr:row>
                    <xdr:rowOff>0</xdr:rowOff>
                  </to>
                </anchor>
              </controlPr>
            </control>
          </mc:Choice>
        </mc:AlternateContent>
        <mc:AlternateContent xmlns:mc="http://schemas.openxmlformats.org/markup-compatibility/2006">
          <mc:Choice Requires="x14">
            <control shapeId="104451" r:id="rId6" name="Check Box 3">
              <controlPr defaultSize="0" autoFill="0" autoLine="0" autoPict="0" macro="[0]!CheckBox1_Click" altText="">
                <anchor>
                  <from>
                    <xdr:col>23</xdr:col>
                    <xdr:colOff>85725</xdr:colOff>
                    <xdr:row>41</xdr:row>
                    <xdr:rowOff>142875</xdr:rowOff>
                  </from>
                  <to>
                    <xdr:col>36</xdr:col>
                    <xdr:colOff>57150</xdr:colOff>
                    <xdr:row>43</xdr:row>
                    <xdr:rowOff>0</xdr:rowOff>
                  </to>
                </anchor>
              </controlPr>
            </control>
          </mc:Choice>
        </mc:AlternateContent>
        <mc:AlternateContent xmlns:mc="http://schemas.openxmlformats.org/markup-compatibility/2006">
          <mc:Choice Requires="x14">
            <control shapeId="104452" r:id="rId7" name="Check Box 4">
              <controlPr defaultSize="0" autoFill="0" autoLine="0" autoPict="0" macro="[0]!CheckBox1_Click" altText="">
                <anchor>
                  <from>
                    <xdr:col>23</xdr:col>
                    <xdr:colOff>85725</xdr:colOff>
                    <xdr:row>42</xdr:row>
                    <xdr:rowOff>142875</xdr:rowOff>
                  </from>
                  <to>
                    <xdr:col>36</xdr:col>
                    <xdr:colOff>57150</xdr:colOff>
                    <xdr:row>44</xdr:row>
                    <xdr:rowOff>0</xdr:rowOff>
                  </to>
                </anchor>
              </controlPr>
            </control>
          </mc:Choice>
        </mc:AlternateContent>
        <mc:AlternateContent xmlns:mc="http://schemas.openxmlformats.org/markup-compatibility/2006">
          <mc:Choice Requires="x14">
            <control shapeId="104453" r:id="rId8" name="Check Box 5">
              <controlPr defaultSize="0" autoFill="0" autoLine="0" autoPict="0" macro="[0]!CheckBox1_Click" altText="">
                <anchor>
                  <from>
                    <xdr:col>23</xdr:col>
                    <xdr:colOff>85725</xdr:colOff>
                    <xdr:row>43</xdr:row>
                    <xdr:rowOff>142875</xdr:rowOff>
                  </from>
                  <to>
                    <xdr:col>36</xdr:col>
                    <xdr:colOff>57150</xdr:colOff>
                    <xdr:row>45</xdr:row>
                    <xdr:rowOff>0</xdr:rowOff>
                  </to>
                </anchor>
              </controlPr>
            </control>
          </mc:Choice>
        </mc:AlternateContent>
        <mc:AlternateContent xmlns:mc="http://schemas.openxmlformats.org/markup-compatibility/2006">
          <mc:Choice Requires="x14">
            <control shapeId="104454" r:id="rId9" name="Check Box 6">
              <controlPr defaultSize="0" autoFill="0" autoLine="0" autoPict="0" macro="[0]!CheckBox1_Click" altText="">
                <anchor>
                  <from>
                    <xdr:col>23</xdr:col>
                    <xdr:colOff>85725</xdr:colOff>
                    <xdr:row>44</xdr:row>
                    <xdr:rowOff>142875</xdr:rowOff>
                  </from>
                  <to>
                    <xdr:col>36</xdr:col>
                    <xdr:colOff>57150</xdr:colOff>
                    <xdr:row>46</xdr:row>
                    <xdr:rowOff>0</xdr:rowOff>
                  </to>
                </anchor>
              </controlPr>
            </control>
          </mc:Choice>
        </mc:AlternateContent>
        <mc:AlternateContent xmlns:mc="http://schemas.openxmlformats.org/markup-compatibility/2006">
          <mc:Choice Requires="x14">
            <control shapeId="104455" r:id="rId10" name="Check Box 7">
              <controlPr defaultSize="0" autoFill="0" autoLine="0" autoPict="0" macro="[0]!CheckBox1_Click" altText="">
                <anchor>
                  <from>
                    <xdr:col>23</xdr:col>
                    <xdr:colOff>85725</xdr:colOff>
                    <xdr:row>45</xdr:row>
                    <xdr:rowOff>142875</xdr:rowOff>
                  </from>
                  <to>
                    <xdr:col>36</xdr:col>
                    <xdr:colOff>57150</xdr:colOff>
                    <xdr:row>47</xdr:row>
                    <xdr:rowOff>0</xdr:rowOff>
                  </to>
                </anchor>
              </controlPr>
            </control>
          </mc:Choice>
        </mc:AlternateContent>
        <mc:AlternateContent xmlns:mc="http://schemas.openxmlformats.org/markup-compatibility/2006">
          <mc:Choice Requires="x14">
            <control shapeId="104456" r:id="rId11" name="Check Box 8">
              <controlPr defaultSize="0" autoFill="0" autoLine="0" autoPict="0" macro="[0]!CheckBox1_Click" altText="">
                <anchor>
                  <from>
                    <xdr:col>23</xdr:col>
                    <xdr:colOff>85725</xdr:colOff>
                    <xdr:row>46</xdr:row>
                    <xdr:rowOff>142875</xdr:rowOff>
                  </from>
                  <to>
                    <xdr:col>36</xdr:col>
                    <xdr:colOff>57150</xdr:colOff>
                    <xdr:row>48</xdr:row>
                    <xdr:rowOff>0</xdr:rowOff>
                  </to>
                </anchor>
              </controlPr>
            </control>
          </mc:Choice>
        </mc:AlternateContent>
        <mc:AlternateContent xmlns:mc="http://schemas.openxmlformats.org/markup-compatibility/2006">
          <mc:Choice Requires="x14">
            <control shapeId="104457" r:id="rId12" name="Check Box 9">
              <controlPr defaultSize="0" autoFill="0" autoLine="0" autoPict="0" macro="[0]!CheckBox1_Click" altText="">
                <anchor>
                  <from>
                    <xdr:col>23</xdr:col>
                    <xdr:colOff>85725</xdr:colOff>
                    <xdr:row>47</xdr:row>
                    <xdr:rowOff>142875</xdr:rowOff>
                  </from>
                  <to>
                    <xdr:col>36</xdr:col>
                    <xdr:colOff>57150</xdr:colOff>
                    <xdr:row>49</xdr:row>
                    <xdr:rowOff>0</xdr:rowOff>
                  </to>
                </anchor>
              </controlPr>
            </control>
          </mc:Choice>
        </mc:AlternateContent>
        <mc:AlternateContent xmlns:mc="http://schemas.openxmlformats.org/markup-compatibility/2006">
          <mc:Choice Requires="x14">
            <control shapeId="104458" r:id="rId13" name="Check Box 10">
              <controlPr defaultSize="0" autoFill="0" autoLine="0" autoPict="0" macro="[0]!CheckBox1_Click" altText="">
                <anchor>
                  <from>
                    <xdr:col>23</xdr:col>
                    <xdr:colOff>85725</xdr:colOff>
                    <xdr:row>48</xdr:row>
                    <xdr:rowOff>142875</xdr:rowOff>
                  </from>
                  <to>
                    <xdr:col>36</xdr:col>
                    <xdr:colOff>57150</xdr:colOff>
                    <xdr:row>50</xdr:row>
                    <xdr:rowOff>0</xdr:rowOff>
                  </to>
                </anchor>
              </controlPr>
            </control>
          </mc:Choice>
        </mc:AlternateContent>
        <mc:AlternateContent xmlns:mc="http://schemas.openxmlformats.org/markup-compatibility/2006">
          <mc:Choice Requires="x14">
            <control shapeId="104459" r:id="rId14" name="Check Box 11">
              <controlPr defaultSize="0" autoFill="0" autoLine="0" autoPict="0" macro="[0]!CheckBox1_Click" altText="">
                <anchor>
                  <from>
                    <xdr:col>23</xdr:col>
                    <xdr:colOff>85725</xdr:colOff>
                    <xdr:row>49</xdr:row>
                    <xdr:rowOff>142875</xdr:rowOff>
                  </from>
                  <to>
                    <xdr:col>36</xdr:col>
                    <xdr:colOff>57150</xdr:colOff>
                    <xdr:row>51</xdr:row>
                    <xdr:rowOff>0</xdr:rowOff>
                  </to>
                </anchor>
              </controlPr>
            </control>
          </mc:Choice>
        </mc:AlternateContent>
        <mc:AlternateContent xmlns:mc="http://schemas.openxmlformats.org/markup-compatibility/2006">
          <mc:Choice Requires="x14">
            <control shapeId="104460" r:id="rId15" name="Check Box 12">
              <controlPr defaultSize="0" autoFill="0" autoLine="0" autoPict="0" macro="[0]!CheckBox1_Click" altText="">
                <anchor>
                  <from>
                    <xdr:col>23</xdr:col>
                    <xdr:colOff>85725</xdr:colOff>
                    <xdr:row>50</xdr:row>
                    <xdr:rowOff>142875</xdr:rowOff>
                  </from>
                  <to>
                    <xdr:col>36</xdr:col>
                    <xdr:colOff>57150</xdr:colOff>
                    <xdr:row>52</xdr:row>
                    <xdr:rowOff>0</xdr:rowOff>
                  </to>
                </anchor>
              </controlPr>
            </control>
          </mc:Choice>
        </mc:AlternateContent>
        <mc:AlternateContent xmlns:mc="http://schemas.openxmlformats.org/markup-compatibility/2006">
          <mc:Choice Requires="x14">
            <control shapeId="104461" r:id="rId16" name="Check Box 13">
              <controlPr defaultSize="0" autoFill="0" autoLine="0" autoPict="0" macro="[0]!CheckBox1_Click" altText="">
                <anchor>
                  <from>
                    <xdr:col>23</xdr:col>
                    <xdr:colOff>85725</xdr:colOff>
                    <xdr:row>51</xdr:row>
                    <xdr:rowOff>142875</xdr:rowOff>
                  </from>
                  <to>
                    <xdr:col>36</xdr:col>
                    <xdr:colOff>57150</xdr:colOff>
                    <xdr:row>53</xdr:row>
                    <xdr:rowOff>0</xdr:rowOff>
                  </to>
                </anchor>
              </controlPr>
            </control>
          </mc:Choice>
        </mc:AlternateContent>
        <mc:AlternateContent xmlns:mc="http://schemas.openxmlformats.org/markup-compatibility/2006">
          <mc:Choice Requires="x14">
            <control shapeId="104462" r:id="rId17" name="Check Box 14">
              <controlPr defaultSize="0" autoFill="0" autoLine="0" autoPict="0" macro="[0]!CheckBox1_Click" altText="">
                <anchor>
                  <from>
                    <xdr:col>23</xdr:col>
                    <xdr:colOff>85725</xdr:colOff>
                    <xdr:row>52</xdr:row>
                    <xdr:rowOff>142875</xdr:rowOff>
                  </from>
                  <to>
                    <xdr:col>36</xdr:col>
                    <xdr:colOff>57150</xdr:colOff>
                    <xdr:row>54</xdr:row>
                    <xdr:rowOff>0</xdr:rowOff>
                  </to>
                </anchor>
              </controlPr>
            </control>
          </mc:Choice>
        </mc:AlternateContent>
        <mc:AlternateContent xmlns:mc="http://schemas.openxmlformats.org/markup-compatibility/2006">
          <mc:Choice Requires="x14">
            <control shapeId="104463" r:id="rId18" name="Check Box 15">
              <controlPr defaultSize="0" autoFill="0" autoLine="0" autoPict="0" macro="[0]!CheckBox1_Click" altText="">
                <anchor>
                  <from>
                    <xdr:col>23</xdr:col>
                    <xdr:colOff>85725</xdr:colOff>
                    <xdr:row>53</xdr:row>
                    <xdr:rowOff>142875</xdr:rowOff>
                  </from>
                  <to>
                    <xdr:col>36</xdr:col>
                    <xdr:colOff>57150</xdr:colOff>
                    <xdr:row>55</xdr:row>
                    <xdr:rowOff>0</xdr:rowOff>
                  </to>
                </anchor>
              </controlPr>
            </control>
          </mc:Choice>
        </mc:AlternateContent>
        <mc:AlternateContent xmlns:mc="http://schemas.openxmlformats.org/markup-compatibility/2006">
          <mc:Choice Requires="x14">
            <control shapeId="104464" r:id="rId19" name="Check Box 16">
              <controlPr defaultSize="0" autoFill="0" autoLine="0" autoPict="0" macro="[0]!CheckBox1_Click" altText="">
                <anchor>
                  <from>
                    <xdr:col>23</xdr:col>
                    <xdr:colOff>85725</xdr:colOff>
                    <xdr:row>54</xdr:row>
                    <xdr:rowOff>142875</xdr:rowOff>
                  </from>
                  <to>
                    <xdr:col>36</xdr:col>
                    <xdr:colOff>57150</xdr:colOff>
                    <xdr:row>56</xdr:row>
                    <xdr:rowOff>0</xdr:rowOff>
                  </to>
                </anchor>
              </controlPr>
            </control>
          </mc:Choice>
        </mc:AlternateContent>
        <mc:AlternateContent xmlns:mc="http://schemas.openxmlformats.org/markup-compatibility/2006">
          <mc:Choice Requires="x14">
            <control shapeId="104465" r:id="rId20" name="Check Box 17">
              <controlPr defaultSize="0" autoFill="0" autoLine="0" autoPict="0" macro="[0]!CheckBox1_Click" altText="">
                <anchor>
                  <from>
                    <xdr:col>23</xdr:col>
                    <xdr:colOff>85725</xdr:colOff>
                    <xdr:row>57</xdr:row>
                    <xdr:rowOff>142875</xdr:rowOff>
                  </from>
                  <to>
                    <xdr:col>36</xdr:col>
                    <xdr:colOff>57150</xdr:colOff>
                    <xdr:row>59</xdr:row>
                    <xdr:rowOff>0</xdr:rowOff>
                  </to>
                </anchor>
              </controlPr>
            </control>
          </mc:Choice>
        </mc:AlternateContent>
        <mc:AlternateContent xmlns:mc="http://schemas.openxmlformats.org/markup-compatibility/2006">
          <mc:Choice Requires="x14">
            <control shapeId="104466" r:id="rId21" name="Check Box 18">
              <controlPr defaultSize="0" autoFill="0" autoLine="0" autoPict="0" macro="[0]!CheckBox1_Click" altText="">
                <anchor>
                  <from>
                    <xdr:col>23</xdr:col>
                    <xdr:colOff>85725</xdr:colOff>
                    <xdr:row>58</xdr:row>
                    <xdr:rowOff>142875</xdr:rowOff>
                  </from>
                  <to>
                    <xdr:col>36</xdr:col>
                    <xdr:colOff>57150</xdr:colOff>
                    <xdr:row>60</xdr:row>
                    <xdr:rowOff>0</xdr:rowOff>
                  </to>
                </anchor>
              </controlPr>
            </control>
          </mc:Choice>
        </mc:AlternateContent>
        <mc:AlternateContent xmlns:mc="http://schemas.openxmlformats.org/markup-compatibility/2006">
          <mc:Choice Requires="x14">
            <control shapeId="104467" r:id="rId22" name="Check Box 19">
              <controlPr defaultSize="0" autoFill="0" autoLine="0" autoPict="0" macro="[0]!CheckBox1_Click" altText="">
                <anchor>
                  <from>
                    <xdr:col>23</xdr:col>
                    <xdr:colOff>85725</xdr:colOff>
                    <xdr:row>59</xdr:row>
                    <xdr:rowOff>142875</xdr:rowOff>
                  </from>
                  <to>
                    <xdr:col>36</xdr:col>
                    <xdr:colOff>57150</xdr:colOff>
                    <xdr:row>61</xdr:row>
                    <xdr:rowOff>0</xdr:rowOff>
                  </to>
                </anchor>
              </controlPr>
            </control>
          </mc:Choice>
        </mc:AlternateContent>
        <mc:AlternateContent xmlns:mc="http://schemas.openxmlformats.org/markup-compatibility/2006">
          <mc:Choice Requires="x14">
            <control shapeId="104468" r:id="rId23" name="Check Box 20">
              <controlPr defaultSize="0" autoFill="0" autoLine="0" autoPict="0" macro="[0]!CheckBox1_Click" altText="">
                <anchor>
                  <from>
                    <xdr:col>23</xdr:col>
                    <xdr:colOff>85725</xdr:colOff>
                    <xdr:row>60</xdr:row>
                    <xdr:rowOff>142875</xdr:rowOff>
                  </from>
                  <to>
                    <xdr:col>36</xdr:col>
                    <xdr:colOff>57150</xdr:colOff>
                    <xdr:row>62</xdr:row>
                    <xdr:rowOff>0</xdr:rowOff>
                  </to>
                </anchor>
              </controlPr>
            </control>
          </mc:Choice>
        </mc:AlternateContent>
        <mc:AlternateContent xmlns:mc="http://schemas.openxmlformats.org/markup-compatibility/2006">
          <mc:Choice Requires="x14">
            <control shapeId="104469" r:id="rId24" name="Check Box 21">
              <controlPr defaultSize="0" autoFill="0" autoLine="0" autoPict="0" macro="[0]!CheckBox1_Click" altText="">
                <anchor>
                  <from>
                    <xdr:col>23</xdr:col>
                    <xdr:colOff>85725</xdr:colOff>
                    <xdr:row>61</xdr:row>
                    <xdr:rowOff>142875</xdr:rowOff>
                  </from>
                  <to>
                    <xdr:col>36</xdr:col>
                    <xdr:colOff>57150</xdr:colOff>
                    <xdr:row>63</xdr:row>
                    <xdr:rowOff>0</xdr:rowOff>
                  </to>
                </anchor>
              </controlPr>
            </control>
          </mc:Choice>
        </mc:AlternateContent>
        <mc:AlternateContent xmlns:mc="http://schemas.openxmlformats.org/markup-compatibility/2006">
          <mc:Choice Requires="x14">
            <control shapeId="104470" r:id="rId25" name="Check Box 22">
              <controlPr defaultSize="0" autoFill="0" autoLine="0" autoPict="0" macro="[0]!CheckBox1_Click" altText="">
                <anchor>
                  <from>
                    <xdr:col>23</xdr:col>
                    <xdr:colOff>85725</xdr:colOff>
                    <xdr:row>55</xdr:row>
                    <xdr:rowOff>142875</xdr:rowOff>
                  </from>
                  <to>
                    <xdr:col>36</xdr:col>
                    <xdr:colOff>57150</xdr:colOff>
                    <xdr:row>57</xdr:row>
                    <xdr:rowOff>0</xdr:rowOff>
                  </to>
                </anchor>
              </controlPr>
            </control>
          </mc:Choice>
        </mc:AlternateContent>
        <mc:AlternateContent xmlns:mc="http://schemas.openxmlformats.org/markup-compatibility/2006">
          <mc:Choice Requires="x14">
            <control shapeId="104471" r:id="rId26" name="Check Box 23">
              <controlPr defaultSize="0" autoFill="0" autoLine="0" autoPict="0" macro="[0]!CheckBox1_Click" altText="">
                <anchor>
                  <from>
                    <xdr:col>23</xdr:col>
                    <xdr:colOff>85725</xdr:colOff>
                    <xdr:row>56</xdr:row>
                    <xdr:rowOff>142875</xdr:rowOff>
                  </from>
                  <to>
                    <xdr:col>36</xdr:col>
                    <xdr:colOff>57150</xdr:colOff>
                    <xdr:row>58</xdr:row>
                    <xdr:rowOff>0</xdr:rowOff>
                  </to>
                </anchor>
              </controlPr>
            </control>
          </mc:Choice>
        </mc:AlternateContent>
        <mc:AlternateContent xmlns:mc="http://schemas.openxmlformats.org/markup-compatibility/2006">
          <mc:Choice Requires="x14">
            <control shapeId="104472" r:id="rId27" name="Check Box 24">
              <controlPr defaultSize="0" autoFill="0" autoLine="0" autoPict="0" macro="[0]!CheckBox1_Click" altText="">
                <anchor>
                  <from>
                    <xdr:col>23</xdr:col>
                    <xdr:colOff>85725</xdr:colOff>
                    <xdr:row>62</xdr:row>
                    <xdr:rowOff>142875</xdr:rowOff>
                  </from>
                  <to>
                    <xdr:col>36</xdr:col>
                    <xdr:colOff>57150</xdr:colOff>
                    <xdr:row>64</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A08B2EA-1865-4648-B79D-051F2211FEE2}">
            <x14:dataBar minLength="0" maxLength="100" gradient="0" negativeBarColorSameAsPositive="1">
              <x14:cfvo type="autoMin"/>
              <x14:cfvo type="autoMax"/>
              <x14:axisColor rgb="FF000000"/>
            </x14:dataBar>
          </x14:cfRule>
          <xm:sqref>P10:P33</xm:sqref>
        </x14:conditionalFormatting>
        <x14:conditionalFormatting xmlns:xm="http://schemas.microsoft.com/office/excel/2006/main">
          <x14:cfRule type="dataBar" id="{7E9B0E3D-F7F9-4287-953E-555465CB18B1}">
            <x14:dataBar minLength="0" maxLength="100" gradient="0" negativeBarColorSameAsPositive="1">
              <x14:cfvo type="autoMin"/>
              <x14:cfvo type="autoMax"/>
              <x14:axisColor rgb="FF000000"/>
            </x14:dataBar>
          </x14:cfRule>
          <xm:sqref>P116:P139</xm:sqref>
        </x14:conditionalFormatting>
      </x14:conditionalFormatting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7">
    <tabColor rgb="FFFFC000"/>
  </sheetPr>
  <dimension ref="A1:BR524"/>
  <sheetViews>
    <sheetView showRowColHeaders="0" zoomScaleNormal="10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8" width="6.85546875" style="74" customWidth="1"/>
    <col min="9" max="9" width="7.42578125" style="74" customWidth="1"/>
    <col min="10" max="10" width="1.42578125" style="88" customWidth="1"/>
    <col min="11" max="15" width="6.85546875" style="74" customWidth="1"/>
    <col min="16" max="16" width="7.140625" style="74" customWidth="1"/>
    <col min="17" max="17" width="7.42578125" style="74" customWidth="1"/>
    <col min="18" max="18" width="1.42578125" style="74" customWidth="1"/>
    <col min="19" max="19" width="5.7109375" style="74" customWidth="1"/>
    <col min="20" max="20" width="8.28515625" style="74" customWidth="1"/>
    <col min="21" max="21" width="7.7109375" style="74" customWidth="1"/>
    <col min="22" max="22" width="2.140625" style="74" customWidth="1"/>
    <col min="23" max="23" width="6.42578125" style="80" customWidth="1"/>
    <col min="24" max="24" width="4.85546875" style="80" customWidth="1"/>
    <col min="25" max="25" width="17.85546875" style="81" hidden="1" customWidth="1"/>
    <col min="26" max="26" width="19.42578125" style="81" hidden="1" customWidth="1"/>
    <col min="27" max="27" width="19.85546875" style="81" hidden="1" customWidth="1"/>
    <col min="28" max="29" width="16.5703125" style="81" hidden="1" customWidth="1"/>
    <col min="30" max="30" width="8.5703125" style="81" hidden="1" customWidth="1"/>
    <col min="31" max="35" width="12" style="81" hidden="1" customWidth="1"/>
    <col min="36" max="36" width="6.5703125" style="74" hidden="1" customWidth="1"/>
    <col min="37" max="37" width="31.5703125" style="184" customWidth="1"/>
    <col min="38" max="38" width="17" style="74" hidden="1" customWidth="1"/>
    <col min="39" max="43" width="13.5703125" style="74" hidden="1" customWidth="1"/>
    <col min="44" max="70" width="9.140625" style="74" hidden="1" customWidth="1"/>
    <col min="71" max="71" width="0" style="74" hidden="1" customWidth="1"/>
    <col min="72" max="16384" width="9.140625" style="74"/>
  </cols>
  <sheetData>
    <row r="1" spans="1:50" ht="18.75" customHeight="1" thickBot="1" x14ac:dyDescent="0.25">
      <c r="A1" s="112"/>
      <c r="B1" s="113"/>
      <c r="C1" s="113"/>
      <c r="D1" s="113"/>
      <c r="E1" s="113"/>
      <c r="F1" s="113"/>
      <c r="G1" s="113"/>
      <c r="H1" s="113"/>
      <c r="I1" s="113"/>
      <c r="J1" s="114"/>
      <c r="K1" s="113"/>
      <c r="L1" s="113"/>
      <c r="M1" s="113"/>
      <c r="N1" s="113"/>
      <c r="O1" s="113"/>
      <c r="P1" s="113"/>
      <c r="Q1" s="113"/>
      <c r="R1" s="113"/>
      <c r="S1" s="113"/>
      <c r="T1" s="113"/>
      <c r="U1" s="113"/>
      <c r="V1" s="115"/>
      <c r="W1" s="275"/>
      <c r="X1" s="155"/>
      <c r="Y1" s="180"/>
      <c r="Z1" s="939" t="str">
        <f>IF(Sheet1!$C$3="Annual"," at 31st March"," at last day in quarter")</f>
        <v xml:space="preserve"> at 31st March</v>
      </c>
      <c r="AA1" s="180"/>
      <c r="AB1" s="180"/>
      <c r="AC1" s="180"/>
      <c r="AD1" s="180"/>
      <c r="AE1" s="180"/>
      <c r="AF1" s="180"/>
      <c r="AG1" s="180"/>
      <c r="AH1" s="180"/>
      <c r="AI1" s="180"/>
      <c r="AJ1" s="181"/>
      <c r="AK1" s="419"/>
    </row>
    <row r="2" spans="1:50" ht="18.75" customHeight="1" x14ac:dyDescent="0.2">
      <c r="A2" s="118"/>
      <c r="B2" s="128" t="s">
        <v>21</v>
      </c>
      <c r="C2" s="9"/>
      <c r="D2" s="9"/>
      <c r="E2" s="9"/>
      <c r="F2" s="9"/>
      <c r="G2" s="9"/>
      <c r="H2" s="9"/>
      <c r="I2" s="9"/>
      <c r="J2" s="12"/>
      <c r="K2" s="9"/>
      <c r="L2" s="9"/>
      <c r="M2" s="9"/>
      <c r="N2" s="9"/>
      <c r="O2" s="9"/>
      <c r="P2" s="9"/>
      <c r="Q2" s="9"/>
      <c r="R2" s="9"/>
      <c r="S2" s="9"/>
      <c r="T2" s="9"/>
      <c r="U2" s="9"/>
      <c r="V2" s="117"/>
      <c r="W2" s="161"/>
      <c r="X2" s="150"/>
      <c r="Y2" s="1020">
        <v>1</v>
      </c>
      <c r="Z2" s="800" t="str">
        <f>IF(Sheet1!$C$3="Annual","",Sheet1!$D$28)</f>
        <v/>
      </c>
      <c r="AA2" s="801" t="str">
        <f>IF(Sheet1!$C$3="Annual","",Sheet1!$E$28)</f>
        <v/>
      </c>
      <c r="AB2" s="801" t="str">
        <f>IF(Sheet1!$C$3="Annual","",Sheet1!$F$28)</f>
        <v/>
      </c>
      <c r="AC2" s="801" t="str">
        <f>IF(Sheet1!$C$3="Annual","",Sheet1!$G$28)</f>
        <v/>
      </c>
      <c r="AD2" s="802" t="str">
        <f>IF(Sheet1!$C$3="Annual","",Sheet1!$H$28)</f>
        <v/>
      </c>
      <c r="AJ2" s="184"/>
      <c r="AK2" s="157"/>
    </row>
    <row r="3" spans="1:50" ht="18.75" customHeight="1" thickBot="1" x14ac:dyDescent="0.25">
      <c r="A3" s="124"/>
      <c r="B3" s="125"/>
      <c r="C3" s="125"/>
      <c r="D3" s="125"/>
      <c r="E3" s="125"/>
      <c r="F3" s="125"/>
      <c r="G3" s="125"/>
      <c r="H3" s="125"/>
      <c r="I3" s="267"/>
      <c r="J3" s="126"/>
      <c r="K3" s="125"/>
      <c r="L3" s="125"/>
      <c r="M3" s="125"/>
      <c r="N3" s="125"/>
      <c r="O3" s="125"/>
      <c r="P3" s="553"/>
      <c r="Q3" s="125"/>
      <c r="R3" s="125"/>
      <c r="S3" s="125"/>
      <c r="T3" s="267"/>
      <c r="U3" s="125"/>
      <c r="V3" s="127"/>
      <c r="W3" s="161"/>
      <c r="X3" s="150"/>
      <c r="Y3" s="803"/>
      <c r="Z3" s="803" t="str">
        <f>Sheet1!$D$27</f>
        <v>2015-16</v>
      </c>
      <c r="AA3" s="804" t="str">
        <f>Sheet1!$E$27</f>
        <v>2016-17</v>
      </c>
      <c r="AB3" s="804" t="str">
        <f>Sheet1!$F$27</f>
        <v>2017-18</v>
      </c>
      <c r="AC3" s="804" t="str">
        <f>Sheet1!$G$27</f>
        <v>2018-19</v>
      </c>
      <c r="AD3" s="805" t="str">
        <f>Sheet1!$H$27</f>
        <v>2019-20</v>
      </c>
      <c r="AJ3" s="184"/>
      <c r="AK3" s="157"/>
    </row>
    <row r="4" spans="1:50" ht="11.25" customHeight="1" x14ac:dyDescent="0.2">
      <c r="A4" s="112"/>
      <c r="B4" s="113"/>
      <c r="C4" s="113"/>
      <c r="D4" s="113"/>
      <c r="E4" s="113"/>
      <c r="F4" s="113"/>
      <c r="G4" s="113"/>
      <c r="H4" s="113"/>
      <c r="I4" s="113"/>
      <c r="J4" s="114"/>
      <c r="K4" s="113"/>
      <c r="L4" s="113"/>
      <c r="M4" s="113"/>
      <c r="N4" s="113"/>
      <c r="O4" s="113"/>
      <c r="P4" s="113"/>
      <c r="Q4" s="113"/>
      <c r="R4" s="113"/>
      <c r="S4" s="113"/>
      <c r="T4" s="113"/>
      <c r="U4" s="113"/>
      <c r="V4" s="115"/>
      <c r="W4" s="137"/>
      <c r="X4" s="150"/>
      <c r="Y4" s="186"/>
      <c r="Z4" s="186" t="str">
        <f>Home!$D$10</f>
        <v>(none)</v>
      </c>
      <c r="AA4" s="42" t="str">
        <f>"Selected LA- "&amp;Z4</f>
        <v>Selected LA- (none)</v>
      </c>
      <c r="AJ4" s="184"/>
      <c r="AK4" s="157"/>
    </row>
    <row r="5" spans="1:50" s="76" customFormat="1" ht="15" customHeight="1" x14ac:dyDescent="0.2">
      <c r="A5" s="119"/>
      <c r="B5" s="1808" t="str">
        <f>"Number of Looked After Children"&amp;Z1</f>
        <v>Number of Looked After Children at 31st March</v>
      </c>
      <c r="C5" s="1642"/>
      <c r="D5" s="1642"/>
      <c r="E5" s="1642"/>
      <c r="F5" s="1642"/>
      <c r="G5" s="1642"/>
      <c r="H5" s="1642"/>
      <c r="I5" s="1642"/>
      <c r="J5" s="1642"/>
      <c r="K5" s="1642"/>
      <c r="L5" s="1642"/>
      <c r="M5" s="1642"/>
      <c r="N5" s="1642"/>
      <c r="O5" s="920"/>
      <c r="P5" s="920"/>
      <c r="Q5" s="920"/>
      <c r="R5" s="920"/>
      <c r="S5" s="920"/>
      <c r="T5" s="920"/>
      <c r="U5" s="920"/>
      <c r="V5" s="120"/>
      <c r="W5" s="138"/>
      <c r="X5" s="151"/>
      <c r="Y5" s="188"/>
      <c r="Z5" s="188"/>
      <c r="AA5" s="188"/>
      <c r="AB5" s="188"/>
      <c r="AC5" s="188"/>
      <c r="AD5" s="188"/>
      <c r="AE5" s="188"/>
      <c r="AF5" s="188"/>
      <c r="AG5" s="188"/>
      <c r="AH5" s="188"/>
      <c r="AI5" s="188"/>
      <c r="AJ5" s="188"/>
      <c r="AK5" s="158"/>
      <c r="AL5" s="188" t="str">
        <f>CONCATENATE($I$7,"in Number of "&amp;$B2)</f>
        <v>Average Annual Change in Number of Looked After Children</v>
      </c>
      <c r="AR5" s="74"/>
      <c r="AS5" s="74"/>
      <c r="AT5" s="74"/>
      <c r="AU5" s="74"/>
      <c r="AV5" s="74"/>
      <c r="AW5" s="74"/>
      <c r="AX5" s="74"/>
    </row>
    <row r="6" spans="1:50" ht="13.5" customHeight="1" x14ac:dyDescent="0.2">
      <c r="A6" s="118"/>
      <c r="B6" s="1642"/>
      <c r="C6" s="1642"/>
      <c r="D6" s="1642"/>
      <c r="E6" s="1642"/>
      <c r="F6" s="1642"/>
      <c r="G6" s="1642"/>
      <c r="H6" s="1642"/>
      <c r="I6" s="1642"/>
      <c r="J6" s="1642"/>
      <c r="K6" s="1642"/>
      <c r="L6" s="1642"/>
      <c r="M6" s="1642"/>
      <c r="N6" s="1642"/>
      <c r="O6" s="920"/>
      <c r="P6" s="920"/>
      <c r="Q6" s="920"/>
      <c r="R6" s="920"/>
      <c r="S6" s="920"/>
      <c r="T6" s="920"/>
      <c r="U6" s="920"/>
      <c r="V6" s="117"/>
      <c r="W6" s="137"/>
      <c r="X6" s="150"/>
      <c r="Z6" s="190"/>
      <c r="AJ6" s="184"/>
      <c r="AK6" s="157"/>
    </row>
    <row r="7" spans="1:50" s="87" customFormat="1" ht="12.75" customHeight="1" x14ac:dyDescent="0.2">
      <c r="A7" s="121"/>
      <c r="B7" s="1789" t="s">
        <v>205</v>
      </c>
      <c r="C7" s="85"/>
      <c r="D7" s="1851" t="s">
        <v>88</v>
      </c>
      <c r="E7" s="1911"/>
      <c r="F7" s="1911"/>
      <c r="G7" s="1911"/>
      <c r="H7" s="1912"/>
      <c r="I7" s="1811" t="str">
        <f>"Average "&amp;Sheet1!C3&amp;" Change "</f>
        <v xml:space="preserve">Average Annual Change </v>
      </c>
      <c r="J7" s="96"/>
      <c r="K7" s="1913" t="s">
        <v>89</v>
      </c>
      <c r="L7" s="1914"/>
      <c r="M7" s="1914"/>
      <c r="N7" s="1914"/>
      <c r="O7" s="1914"/>
      <c r="P7" s="1914"/>
      <c r="Q7" s="1744" t="str">
        <f>IF(ISNA(O9),"SE Rank "&amp;O8,"SE Rank "&amp;O9)</f>
        <v>SE Rank 2019-20</v>
      </c>
      <c r="R7" s="70"/>
      <c r="S7" s="1817" t="str">
        <f>"Distance from Expected "&amp;Sheet1!$B$8</f>
        <v>Distance from Expected 2020</v>
      </c>
      <c r="T7" s="1818"/>
      <c r="U7" s="1819"/>
      <c r="V7" s="122"/>
      <c r="W7" s="139"/>
      <c r="X7" s="152"/>
      <c r="Y7" s="202"/>
      <c r="Z7" s="202"/>
      <c r="AB7" s="203" t="s">
        <v>79</v>
      </c>
      <c r="AC7" s="190"/>
      <c r="AD7" s="190"/>
      <c r="AE7" s="199"/>
      <c r="AF7" s="199"/>
      <c r="AG7" s="204" t="s">
        <v>94</v>
      </c>
      <c r="AH7" s="190"/>
      <c r="AI7" s="190"/>
      <c r="AJ7" s="202"/>
      <c r="AK7" s="160"/>
      <c r="AL7" s="575"/>
      <c r="AM7" s="575"/>
      <c r="AN7" s="575"/>
      <c r="AO7" s="575"/>
      <c r="AP7" s="575"/>
      <c r="AQ7" s="74"/>
      <c r="AR7" s="74"/>
      <c r="AS7" s="74"/>
      <c r="AT7" s="74"/>
      <c r="AU7" s="74"/>
      <c r="AV7" s="74"/>
      <c r="AW7" s="74"/>
      <c r="AX7" s="74"/>
    </row>
    <row r="8" spans="1:50" s="87" customFormat="1" ht="12.75" customHeight="1" x14ac:dyDescent="0.2">
      <c r="A8" s="292"/>
      <c r="B8" s="1789"/>
      <c r="C8" s="85"/>
      <c r="D8" s="789" t="str">
        <f>Sheet1!$D$27</f>
        <v>2015-16</v>
      </c>
      <c r="E8" s="790" t="str">
        <f>Sheet1!$E$27</f>
        <v>2016-17</v>
      </c>
      <c r="F8" s="790" t="str">
        <f>Sheet1!$F$27</f>
        <v>2017-18</v>
      </c>
      <c r="G8" s="790" t="str">
        <f>Sheet1!$G$27</f>
        <v>2018-19</v>
      </c>
      <c r="H8" s="791" t="str">
        <f>Sheet1!$H$27</f>
        <v>2019-20</v>
      </c>
      <c r="I8" s="1812"/>
      <c r="J8" s="96"/>
      <c r="K8" s="820" t="str">
        <f>Sheet1!$D$27</f>
        <v>2015-16</v>
      </c>
      <c r="L8" s="821" t="str">
        <f>Sheet1!$E$27</f>
        <v>2016-17</v>
      </c>
      <c r="M8" s="821" t="str">
        <f>Sheet1!$F$27</f>
        <v>2017-18</v>
      </c>
      <c r="N8" s="821" t="str">
        <f>Sheet1!$G$27</f>
        <v>2018-19</v>
      </c>
      <c r="O8" s="1741" t="str">
        <f>Sheet1!$H$27</f>
        <v>2019-20</v>
      </c>
      <c r="P8" s="1742"/>
      <c r="Q8" s="1816"/>
      <c r="R8" s="70"/>
      <c r="S8" s="1820"/>
      <c r="T8" s="1821"/>
      <c r="U8" s="1822"/>
      <c r="V8" s="122"/>
      <c r="W8" s="139"/>
      <c r="X8" s="152"/>
      <c r="Y8" s="202"/>
      <c r="Z8" s="1735" t="s">
        <v>76</v>
      </c>
      <c r="AA8" s="1735" t="s">
        <v>77</v>
      </c>
      <c r="AB8" s="758" t="str">
        <f>Sheet1!$D$27</f>
        <v>2015-16</v>
      </c>
      <c r="AC8" s="758" t="str">
        <f>Sheet1!$E$27</f>
        <v>2016-17</v>
      </c>
      <c r="AD8" s="758" t="str">
        <f>Sheet1!$F$27</f>
        <v>2017-18</v>
      </c>
      <c r="AE8" s="758" t="str">
        <f>Sheet1!$G$27</f>
        <v>2018-19</v>
      </c>
      <c r="AF8" s="758" t="str">
        <f>Sheet1!$H$27</f>
        <v>2019-20</v>
      </c>
      <c r="AG8" s="204"/>
      <c r="AH8" s="190"/>
      <c r="AI8" s="190"/>
      <c r="AJ8" s="202"/>
      <c r="AK8" s="160"/>
      <c r="AL8" s="922"/>
      <c r="AM8" s="922"/>
      <c r="AN8" s="922"/>
      <c r="AO8" s="922"/>
      <c r="AP8" s="922"/>
      <c r="AR8" s="74"/>
      <c r="AS8" s="74"/>
      <c r="AT8" s="74"/>
      <c r="AU8" s="74"/>
      <c r="AV8" s="74"/>
      <c r="AW8" s="74"/>
      <c r="AX8" s="74"/>
    </row>
    <row r="9" spans="1:50" s="87" customFormat="1" ht="12.75" customHeight="1" x14ac:dyDescent="0.2">
      <c r="A9" s="121"/>
      <c r="B9" s="1790"/>
      <c r="C9" s="85"/>
      <c r="D9" s="792" t="e">
        <f>Sheet1!$D$28</f>
        <v>#N/A</v>
      </c>
      <c r="E9" s="792" t="e">
        <f>Sheet1!$E$28</f>
        <v>#N/A</v>
      </c>
      <c r="F9" s="792" t="e">
        <f>Sheet1!$F$28</f>
        <v>#N/A</v>
      </c>
      <c r="G9" s="792" t="e">
        <f>Sheet1!$G$28</f>
        <v>#N/A</v>
      </c>
      <c r="H9" s="793" t="e">
        <f>Sheet1!$H$28</f>
        <v>#N/A</v>
      </c>
      <c r="I9" s="1813"/>
      <c r="J9" s="96"/>
      <c r="K9" s="792" t="e">
        <f>Sheet1!$D$28</f>
        <v>#N/A</v>
      </c>
      <c r="L9" s="792" t="e">
        <f>Sheet1!$E$28</f>
        <v>#N/A</v>
      </c>
      <c r="M9" s="792" t="e">
        <f>Sheet1!$F$28</f>
        <v>#N/A</v>
      </c>
      <c r="N9" s="792" t="e">
        <f>Sheet1!$G$28</f>
        <v>#N/A</v>
      </c>
      <c r="O9" s="1739" t="e">
        <f>Sheet1!$H$28</f>
        <v>#N/A</v>
      </c>
      <c r="P9" s="1827"/>
      <c r="Q9" s="1745"/>
      <c r="R9" s="70"/>
      <c r="S9" s="919" t="s">
        <v>78</v>
      </c>
      <c r="T9" s="856" t="s">
        <v>128</v>
      </c>
      <c r="U9" s="857" t="s">
        <v>129</v>
      </c>
      <c r="V9" s="122"/>
      <c r="W9" s="139"/>
      <c r="X9" s="152"/>
      <c r="Y9" s="202"/>
      <c r="Z9" s="1736"/>
      <c r="AA9" s="1736"/>
      <c r="AB9" s="758" t="e">
        <f>Sheet1!$D$28</f>
        <v>#N/A</v>
      </c>
      <c r="AC9" s="758" t="e">
        <f>Sheet1!$E$28</f>
        <v>#N/A</v>
      </c>
      <c r="AD9" s="758" t="e">
        <f>Sheet1!$F$28</f>
        <v>#N/A</v>
      </c>
      <c r="AE9" s="758" t="e">
        <f>Sheet1!$G$28</f>
        <v>#N/A</v>
      </c>
      <c r="AF9" s="758" t="e">
        <f>Sheet1!$H$28</f>
        <v>#N/A</v>
      </c>
      <c r="AG9" s="190"/>
      <c r="AH9" s="190">
        <f>COLUMNS($B$4:O$4)</f>
        <v>14</v>
      </c>
      <c r="AI9" s="190"/>
      <c r="AJ9" s="202"/>
      <c r="AK9" s="160"/>
      <c r="AL9" s="926" t="s">
        <v>676</v>
      </c>
      <c r="AM9" s="926" t="s">
        <v>677</v>
      </c>
      <c r="AN9" s="926" t="s">
        <v>678</v>
      </c>
      <c r="AO9" s="926" t="s">
        <v>679</v>
      </c>
      <c r="AP9" s="926" t="s">
        <v>680</v>
      </c>
      <c r="AR9" s="74"/>
      <c r="AS9" s="74"/>
      <c r="AT9" s="74"/>
      <c r="AU9" s="74"/>
      <c r="AV9" s="74"/>
      <c r="AW9" s="74"/>
      <c r="AX9" s="74"/>
    </row>
    <row r="10" spans="1:50" s="87" customFormat="1" ht="13.5" customHeight="1" x14ac:dyDescent="0.2">
      <c r="A10" s="488">
        <f>VLOOKUP(B10,Sheet1!$AQ$4:$AR$25,2,FALSE)</f>
        <v>0</v>
      </c>
      <c r="B10" s="93" t="str">
        <f>Sheet1!$K$4</f>
        <v>Bracknell Forest</v>
      </c>
      <c r="C10" s="85"/>
      <c r="D10" s="94">
        <f>IF(Year1_Bracknell_Forest Year1_LAC="","",Year1_Bracknell_Forest Year1_LAC)</f>
        <v>98</v>
      </c>
      <c r="E10" s="94">
        <f>IF(Year2_Bracknell_Forest Year2_LAC="","",Year2_Bracknell_Forest Year2_LAC)</f>
        <v>116</v>
      </c>
      <c r="F10" s="94">
        <f>IF(Year3_Bracknell_Forest Year3_LAC="","",Year3_Bracknell_Forest Year3_LAC)</f>
        <v>138</v>
      </c>
      <c r="G10" s="94">
        <f>IF(Year4_Bracknell_Forest Year4_LAC="","",Year4_Bracknell_Forest Year4_LAC)</f>
        <v>158</v>
      </c>
      <c r="H10" s="95">
        <f>IF(Year5_Bracknell_Forest Year5_LAC="","",Year5_Bracknell_Forest Year5_LAC)</f>
        <v>142</v>
      </c>
      <c r="I10" s="344">
        <f>AP10</f>
        <v>0.10424758881215554</v>
      </c>
      <c r="J10" s="96"/>
      <c r="K10" s="97">
        <f>IF(ISNUMBER(D10),D10/Population!D10*10000,NA())</f>
        <v>34.751773049645394</v>
      </c>
      <c r="L10" s="97">
        <f>IF(ISNUMBER(E10),E10/Population!E10*10000,NA())</f>
        <v>41.134751773049643</v>
      </c>
      <c r="M10" s="97">
        <f>IF(ISNUMBER(F10),F10/Population!F10*10000,NA())</f>
        <v>49.110320284697508</v>
      </c>
      <c r="N10" s="97">
        <f>IF(ISNUMBER(G10),G10/Population!G10*10000,NA())</f>
        <v>55.830388692579504</v>
      </c>
      <c r="O10" s="98">
        <f>IF(ISNUMBER(H10),H10/Population!H10*10000,NA())</f>
        <v>50</v>
      </c>
      <c r="P10" s="99">
        <f>IF(ISNUMBER(O10),O10,"")</f>
        <v>50</v>
      </c>
      <c r="Q10" s="934">
        <f>IF(ISNA(VLOOKUP(B10,$AG$10:$AI$28,3,FALSE)),"--",IF(ISNUMBER(H10),VLOOKUP(B10,$AG$10:$AI$28,3,FALSE),NA()))</f>
        <v>8</v>
      </c>
      <c r="R10" s="70"/>
      <c r="S10" s="340">
        <f>IDACI!C9</f>
        <v>8.9</v>
      </c>
      <c r="T10" s="341">
        <f t="shared" ref="T10:T33" si="0">(S10*$Z$44)+$AA$44</f>
        <v>40.777559712667866</v>
      </c>
      <c r="U10" s="342">
        <f>O10-T10</f>
        <v>9.2224402873321338</v>
      </c>
      <c r="V10" s="122"/>
      <c r="W10" s="139"/>
      <c r="X10" s="152"/>
      <c r="Y10" s="72" t="str">
        <f t="shared" ref="Y10:Y33" si="1">B10</f>
        <v>Bracknell Forest</v>
      </c>
      <c r="Z10" s="44">
        <f>IF(ISNUMBER(H10),IDACI!D9,0)</f>
        <v>24849</v>
      </c>
      <c r="AA10" s="44">
        <f>IF(ISNUMBER(H10),IDACI!E9,0)</f>
        <v>2211.5610000000001</v>
      </c>
      <c r="AB10" s="205">
        <f>IF(ISNUMBER(D10),Population!D10,"")</f>
        <v>28200</v>
      </c>
      <c r="AC10" s="205">
        <f>IF(ISNUMBER(E10),Population!E10,"")</f>
        <v>28200</v>
      </c>
      <c r="AD10" s="205">
        <f>IF(ISNUMBER(F10),Population!F10,"")</f>
        <v>28100</v>
      </c>
      <c r="AE10" s="205">
        <f>IF(ISNUMBER(G10),Population!G10,"")</f>
        <v>28300</v>
      </c>
      <c r="AF10" s="205">
        <f>IF(ISNUMBER(H10),Population!H10,"")</f>
        <v>28400</v>
      </c>
      <c r="AG10" s="93" t="str">
        <f>B10</f>
        <v>Bracknell Forest</v>
      </c>
      <c r="AH10" s="231">
        <f>IFERROR(VLOOKUP(AG10,$B$10:$O$31,AH$9,FALSE),"")</f>
        <v>50</v>
      </c>
      <c r="AI10" s="206">
        <f>RANK(AH10,$AH$10:$AH$28,1)</f>
        <v>8</v>
      </c>
      <c r="AJ10" s="202"/>
      <c r="AK10" s="160"/>
      <c r="AL10" s="853">
        <f>IF(ISERROR((E10-D10)/D10),"x",(E10-D10)/D10)</f>
        <v>0.18367346938775511</v>
      </c>
      <c r="AM10" s="853">
        <f>IF(ISERROR((F10-E10)/E10),"x",(F10-E10)/E10)</f>
        <v>0.18965517241379309</v>
      </c>
      <c r="AN10" s="853">
        <f>IF(ISERROR((G10-F10)/F10),"x",(G10-F10)/F10)</f>
        <v>0.14492753623188406</v>
      </c>
      <c r="AO10" s="853">
        <f>IF(ISERROR((H10-G10)/G10),"x",(H10-G10)/G10)</f>
        <v>-0.10126582278481013</v>
      </c>
      <c r="AP10" s="853">
        <f>AVERAGE(AL10:AO10)</f>
        <v>0.10424758881215554</v>
      </c>
      <c r="AR10" s="74"/>
      <c r="AS10" s="74"/>
      <c r="AT10" s="74"/>
      <c r="AU10" s="74"/>
      <c r="AV10" s="74"/>
      <c r="AW10" s="74"/>
      <c r="AX10" s="74"/>
    </row>
    <row r="11" spans="1:50" s="87" customFormat="1" ht="13.5" customHeight="1" x14ac:dyDescent="0.2">
      <c r="A11" s="488">
        <f>VLOOKUP(B11,Sheet1!$AQ$4:$AR$25,2,FALSE)</f>
        <v>0</v>
      </c>
      <c r="B11" s="93" t="str">
        <f>Sheet1!$K$5</f>
        <v>Brighton &amp; Hove</v>
      </c>
      <c r="C11" s="85"/>
      <c r="D11" s="94">
        <f>IF(Year1_Brighton_Hove Year1_LAC="","",Year1_Brighton_Hove Year1_LAC)</f>
        <v>438</v>
      </c>
      <c r="E11" s="94">
        <f>IF(Year2_Brighton_Hove Year2_LAC="","",Year2_Brighton_Hove Year2_LAC)</f>
        <v>456</v>
      </c>
      <c r="F11" s="94">
        <f>IF(Year3_Brighton_Hove Year3_LAC="","",Year3_Brighton_Hove Year3_LAC)</f>
        <v>419</v>
      </c>
      <c r="G11" s="94">
        <f>IF(Year4_Brighton_Hove Year4_LAC="","",Year4_Brighton_Hove Year4_LAC)</f>
        <v>391</v>
      </c>
      <c r="H11" s="95">
        <f>IF(Year5_Brighton_Hove Year5_LAC="","",Year5_Brighton_Hove Year5_LAC)</f>
        <v>370</v>
      </c>
      <c r="I11" s="344">
        <f t="shared" ref="I11:I33" si="2">AP11</f>
        <v>-4.0144669005064221E-2</v>
      </c>
      <c r="J11" s="96"/>
      <c r="K11" s="97">
        <f>IF(ISNUMBER(D11),D11/Population!D11*10000,NA())</f>
        <v>85.546875</v>
      </c>
      <c r="L11" s="97">
        <f>IF(ISNUMBER(E11),E11/Population!E11*10000,NA())</f>
        <v>88.888888888888886</v>
      </c>
      <c r="M11" s="97">
        <f>IF(ISNUMBER(F11),F11/Population!F11*10000,NA())</f>
        <v>82.156862745098039</v>
      </c>
      <c r="N11" s="97">
        <f>IF(ISNUMBER(G11),G11/Population!G11*10000,NA())</f>
        <v>76.666666666666657</v>
      </c>
      <c r="O11" s="98">
        <f>IF(ISNUMBER(H11),H11/Population!H11*10000,NA())</f>
        <v>73.558648111332005</v>
      </c>
      <c r="P11" s="99">
        <f t="shared" ref="P11:P33" si="3">IF(ISNUMBER(O11),O11,"")</f>
        <v>73.558648111332005</v>
      </c>
      <c r="Q11" s="934">
        <f t="shared" ref="Q11:Q33" si="4">IF(ISNA(VLOOKUP(B11,$AG$10:$AI$28,3,FALSE)),"--",IF(ISNUMBER(H11),VLOOKUP(B11,$AG$10:$AI$28,3,FALSE),NA()))</f>
        <v>15</v>
      </c>
      <c r="R11" s="70"/>
      <c r="S11" s="340">
        <f>IDACI!C10</f>
        <v>15.299999999999999</v>
      </c>
      <c r="T11" s="341">
        <f t="shared" si="0"/>
        <v>64.785091797216239</v>
      </c>
      <c r="U11" s="342">
        <f t="shared" ref="U11:U33" si="5">O11-T11</f>
        <v>8.7735563141157655</v>
      </c>
      <c r="V11" s="122"/>
      <c r="W11" s="139"/>
      <c r="X11" s="152"/>
      <c r="Y11" s="72" t="str">
        <f t="shared" si="1"/>
        <v>Brighton &amp; Hove</v>
      </c>
      <c r="Z11" s="44">
        <f>IF(ISNUMBER(H11),IDACI!D10,0)</f>
        <v>45576</v>
      </c>
      <c r="AA11" s="44">
        <f>IF(ISNUMBER(H11),IDACI!E10,0)</f>
        <v>6973.1279999999997</v>
      </c>
      <c r="AB11" s="205">
        <f>IF(ISNUMBER(D11),Population!D11,"")</f>
        <v>51200</v>
      </c>
      <c r="AC11" s="205">
        <f>IF(ISNUMBER(E11),Population!E11,"")</f>
        <v>51300</v>
      </c>
      <c r="AD11" s="205">
        <f>IF(ISNUMBER(F11),Population!F11,"")</f>
        <v>51000</v>
      </c>
      <c r="AE11" s="205">
        <f>IF(ISNUMBER(G11),Population!G11,"")</f>
        <v>51000</v>
      </c>
      <c r="AF11" s="205">
        <f>IF(ISNUMBER(H11),Population!H11,"")</f>
        <v>50300</v>
      </c>
      <c r="AG11" s="93" t="s">
        <v>31</v>
      </c>
      <c r="AH11" s="231">
        <f t="shared" ref="AH11:AH28" si="6">IFERROR(VLOOKUP(AG11,$B$10:$O$31,AH$9,FALSE),"")</f>
        <v>73.558648111332005</v>
      </c>
      <c r="AI11" s="206">
        <f t="shared" ref="AI11:AI28" si="7">RANK(AH11,$AH$10:$AH$28,1)</f>
        <v>15</v>
      </c>
      <c r="AJ11" s="202"/>
      <c r="AK11" s="160"/>
      <c r="AL11" s="853">
        <f t="shared" ref="AL11:AO33" si="8">IF(ISERROR((E11-D11)/D11),"x",(E11-D11)/D11)</f>
        <v>4.1095890410958902E-2</v>
      </c>
      <c r="AM11" s="853">
        <f t="shared" si="8"/>
        <v>-8.1140350877192985E-2</v>
      </c>
      <c r="AN11" s="853">
        <f t="shared" si="8"/>
        <v>-6.6825775656324582E-2</v>
      </c>
      <c r="AO11" s="853">
        <f t="shared" si="8"/>
        <v>-5.3708439897698211E-2</v>
      </c>
      <c r="AP11" s="853">
        <f t="shared" ref="AP11:AP32" si="9">AVERAGE(AL11:AO11)</f>
        <v>-4.0144669005064221E-2</v>
      </c>
      <c r="AR11" s="74"/>
      <c r="AS11" s="74"/>
      <c r="AT11" s="74"/>
      <c r="AU11" s="74"/>
      <c r="AV11" s="74"/>
      <c r="AW11" s="74"/>
      <c r="AX11" s="74"/>
    </row>
    <row r="12" spans="1:50" s="87" customFormat="1" ht="13.5" customHeight="1" x14ac:dyDescent="0.2">
      <c r="A12" s="488">
        <f>VLOOKUP(B12,Sheet1!$AQ$4:$AR$25,2,FALSE)</f>
        <v>0</v>
      </c>
      <c r="B12" s="93" t="str">
        <f>Sheet1!$K$6</f>
        <v>Buckinghamshire</v>
      </c>
      <c r="C12" s="85"/>
      <c r="D12" s="94">
        <f>IF(Year1_Buckinghamshire Year1_LAC="","",Year1_Buckinghamshire Year1_LAC)</f>
        <v>459</v>
      </c>
      <c r="E12" s="94">
        <f>IF(Year2_Buckinghamshire Year2_LAC="","",Year2_Buckinghamshire Year2_LAC)</f>
        <v>454</v>
      </c>
      <c r="F12" s="94">
        <f>IF(Year3_Buckinghamshire Year3_LAC="","",Year3_Buckinghamshire Year3_LAC)</f>
        <v>472</v>
      </c>
      <c r="G12" s="94">
        <f>IF(Year4_Buckinghamshire Year4_LAC="","",Year4_Buckinghamshire Year4_LAC)</f>
        <v>515</v>
      </c>
      <c r="H12" s="95">
        <f>IF(Year5_Buckinghamshire Year5_LAC="","",Year5_Buckinghamshire Year5_LAC)</f>
        <v>484</v>
      </c>
      <c r="I12" s="344">
        <f t="shared" si="2"/>
        <v>1.4915462765779966E-2</v>
      </c>
      <c r="J12" s="96"/>
      <c r="K12" s="97">
        <f>IF(ISNUMBER(D12),D12/Population!D12*10000,NA())</f>
        <v>38.059701492537314</v>
      </c>
      <c r="L12" s="97">
        <f>IF(ISNUMBER(E12),E12/Population!E12*10000,NA())</f>
        <v>37.152209492635023</v>
      </c>
      <c r="M12" s="97">
        <f>IF(ISNUMBER(F12),F12/Population!F12*10000,NA())</f>
        <v>38.342810722989441</v>
      </c>
      <c r="N12" s="97">
        <f>IF(ISNUMBER(G12),G12/Population!G12*10000,NA())</f>
        <v>41.432019308125504</v>
      </c>
      <c r="O12" s="98">
        <f>IF(ISNUMBER(H12),H12/Population!H12*10000,NA())</f>
        <v>38.504375497215598</v>
      </c>
      <c r="P12" s="99">
        <f t="shared" si="3"/>
        <v>38.504375497215598</v>
      </c>
      <c r="Q12" s="934">
        <f t="shared" si="4"/>
        <v>4</v>
      </c>
      <c r="R12" s="70"/>
      <c r="S12" s="340">
        <f>IDACI!C11</f>
        <v>8.5</v>
      </c>
      <c r="T12" s="341">
        <f t="shared" si="0"/>
        <v>39.27708895738359</v>
      </c>
      <c r="U12" s="342">
        <f t="shared" si="5"/>
        <v>-0.77271346016799214</v>
      </c>
      <c r="V12" s="122"/>
      <c r="W12" s="139"/>
      <c r="X12" s="152"/>
      <c r="Y12" s="72" t="str">
        <f t="shared" si="1"/>
        <v>Buckinghamshire</v>
      </c>
      <c r="Z12" s="44">
        <f>IF(ISNUMBER(H12),IDACI!D11,0)</f>
        <v>107385</v>
      </c>
      <c r="AA12" s="44">
        <f>IF(ISNUMBER(H12),IDACI!E11,0)</f>
        <v>9127.7250000000004</v>
      </c>
      <c r="AB12" s="205">
        <f>IF(ISNUMBER(D12),Population!D12,"")</f>
        <v>120600</v>
      </c>
      <c r="AC12" s="205">
        <f>IF(ISNUMBER(E12),Population!E12,"")</f>
        <v>122200</v>
      </c>
      <c r="AD12" s="205">
        <f>IF(ISNUMBER(F12),Population!F12,"")</f>
        <v>123100</v>
      </c>
      <c r="AE12" s="205">
        <f>IF(ISNUMBER(G12),Population!G12,"")</f>
        <v>124300</v>
      </c>
      <c r="AF12" s="205">
        <f>IF(ISNUMBER(H12),Population!H12,"")</f>
        <v>125700</v>
      </c>
      <c r="AG12" s="93" t="s">
        <v>8</v>
      </c>
      <c r="AH12" s="231">
        <f t="shared" si="6"/>
        <v>38.504375497215598</v>
      </c>
      <c r="AI12" s="206">
        <f t="shared" si="7"/>
        <v>4</v>
      </c>
      <c r="AJ12" s="202"/>
      <c r="AK12" s="160"/>
      <c r="AL12" s="853">
        <f t="shared" si="8"/>
        <v>-1.0893246187363835E-2</v>
      </c>
      <c r="AM12" s="853">
        <f t="shared" si="8"/>
        <v>3.9647577092511016E-2</v>
      </c>
      <c r="AN12" s="853">
        <f t="shared" si="8"/>
        <v>9.110169491525423E-2</v>
      </c>
      <c r="AO12" s="853">
        <f t="shared" si="8"/>
        <v>-6.0194174757281553E-2</v>
      </c>
      <c r="AP12" s="853">
        <f t="shared" si="9"/>
        <v>1.4915462765779966E-2</v>
      </c>
      <c r="AR12" s="74"/>
      <c r="AS12" s="74"/>
      <c r="AT12" s="74"/>
      <c r="AU12" s="74"/>
      <c r="AV12" s="74"/>
      <c r="AW12" s="74"/>
      <c r="AX12" s="74"/>
    </row>
    <row r="13" spans="1:50" s="87" customFormat="1" ht="13.5" customHeight="1" x14ac:dyDescent="0.2">
      <c r="A13" s="488">
        <f>VLOOKUP(B13,Sheet1!$AQ$4:$AR$25,2,FALSE)</f>
        <v>0</v>
      </c>
      <c r="B13" s="93" t="str">
        <f>Sheet1!$K$7</f>
        <v>East Sussex</v>
      </c>
      <c r="C13" s="85"/>
      <c r="D13" s="94">
        <f>IF(Year1_East_Sussex Year1_LAC="","",Year1_East_Sussex Year1_LAC)</f>
        <v>543</v>
      </c>
      <c r="E13" s="100">
        <f>IF(Year2_East_Sussex Year2_LAC="","",Year2_East_Sussex Year2_LAC)</f>
        <v>555</v>
      </c>
      <c r="F13" s="94">
        <f>IF(Year3_East_Sussex Year3_LAC="","",Year3_East_Sussex Year3_LAC)</f>
        <v>602</v>
      </c>
      <c r="G13" s="94">
        <f>IF(Year4_East_Sussex Year4_LAC="","",Year4_East_Sussex Year4_LAC)</f>
        <v>600</v>
      </c>
      <c r="H13" s="95">
        <f>IF(Year5_East_Sussex Year5_LAC="","",Year5_East_Sussex Year5_LAC)</f>
        <v>592</v>
      </c>
      <c r="I13" s="344">
        <f t="shared" si="2"/>
        <v>2.253213493223772E-2</v>
      </c>
      <c r="J13" s="96"/>
      <c r="K13" s="97">
        <f>IF(ISNUMBER(D13),D13/Population!D13*10000,NA())</f>
        <v>51.274787535410766</v>
      </c>
      <c r="L13" s="97">
        <f>IF(ISNUMBER(E13),E13/Population!E13*10000,NA())</f>
        <v>52.407932011331447</v>
      </c>
      <c r="M13" s="97">
        <f>IF(ISNUMBER(F13),F13/Population!F13*10000,NA())</f>
        <v>56.79245283018868</v>
      </c>
      <c r="N13" s="97">
        <f>IF(ISNUMBER(G13),G13/Population!G13*10000,NA())</f>
        <v>56.390977443609017</v>
      </c>
      <c r="O13" s="98">
        <f>IF(ISNUMBER(H13),H13/Population!H13*10000,NA())</f>
        <v>55.691439322671684</v>
      </c>
      <c r="P13" s="99">
        <f t="shared" si="3"/>
        <v>55.691439322671684</v>
      </c>
      <c r="Q13" s="934">
        <f t="shared" si="4"/>
        <v>11</v>
      </c>
      <c r="R13" s="70"/>
      <c r="S13" s="340">
        <f>IDACI!C12</f>
        <v>16.100000000000001</v>
      </c>
      <c r="T13" s="341">
        <f t="shared" si="0"/>
        <v>67.786033307784777</v>
      </c>
      <c r="U13" s="342">
        <f t="shared" si="5"/>
        <v>-12.094593985113093</v>
      </c>
      <c r="V13" s="122"/>
      <c r="W13" s="139"/>
      <c r="X13" s="152"/>
      <c r="Y13" s="72" t="str">
        <f t="shared" si="1"/>
        <v>East Sussex</v>
      </c>
      <c r="Z13" s="44">
        <f>IF(ISNUMBER(H13),IDACI!D12,0)</f>
        <v>93130</v>
      </c>
      <c r="AA13" s="44">
        <f>IF(ISNUMBER(H13),IDACI!E12,0)</f>
        <v>14993.93</v>
      </c>
      <c r="AB13" s="205">
        <f>IF(ISNUMBER(D13),Population!D13,"")</f>
        <v>105900</v>
      </c>
      <c r="AC13" s="205">
        <f>IF(ISNUMBER(E13),Population!E13,"")</f>
        <v>105900</v>
      </c>
      <c r="AD13" s="205">
        <f>IF(ISNUMBER(F13),Population!F13,"")</f>
        <v>106000</v>
      </c>
      <c r="AE13" s="205">
        <f>IF(ISNUMBER(G13),Population!G13,"")</f>
        <v>106400</v>
      </c>
      <c r="AF13" s="205">
        <f>IF(ISNUMBER(H13),Population!H13,"")</f>
        <v>106300</v>
      </c>
      <c r="AG13" s="93" t="s">
        <v>4</v>
      </c>
      <c r="AH13" s="231">
        <f t="shared" si="6"/>
        <v>55.691439322671684</v>
      </c>
      <c r="AI13" s="206">
        <f t="shared" si="7"/>
        <v>11</v>
      </c>
      <c r="AJ13" s="202"/>
      <c r="AK13" s="160"/>
      <c r="AL13" s="853">
        <f t="shared" si="8"/>
        <v>2.2099447513812154E-2</v>
      </c>
      <c r="AM13" s="853">
        <f t="shared" si="8"/>
        <v>8.468468468468468E-2</v>
      </c>
      <c r="AN13" s="853">
        <f t="shared" si="8"/>
        <v>-3.3222591362126247E-3</v>
      </c>
      <c r="AO13" s="853">
        <f t="shared" si="8"/>
        <v>-1.3333333333333334E-2</v>
      </c>
      <c r="AP13" s="853">
        <f t="shared" si="9"/>
        <v>2.253213493223772E-2</v>
      </c>
      <c r="AR13" s="74"/>
      <c r="AS13" s="74"/>
      <c r="AT13" s="74"/>
      <c r="AU13" s="74"/>
      <c r="AV13" s="74"/>
      <c r="AW13" s="74"/>
      <c r="AX13" s="74"/>
    </row>
    <row r="14" spans="1:50" s="87" customFormat="1" ht="13.5" customHeight="1" x14ac:dyDescent="0.2">
      <c r="A14" s="488">
        <f>VLOOKUP(B14,Sheet1!$AQ$4:$AR$25,2,FALSE)</f>
        <v>0</v>
      </c>
      <c r="B14" s="93" t="str">
        <f>Sheet1!$K$8</f>
        <v>Hampshire</v>
      </c>
      <c r="C14" s="85"/>
      <c r="D14" s="94">
        <f>IF(Year1_Hampshire Year1_LAC="","",Year1_Hampshire Year1_LAC)</f>
        <v>1305</v>
      </c>
      <c r="E14" s="94">
        <f>IF(Year2_Hampshire Year2_LAC="","",Year2_Hampshire Year2_LAC)</f>
        <v>1440</v>
      </c>
      <c r="F14" s="101">
        <f>IF(Year3_Hampshire Year3_LAC="","",Year3_Hampshire Year3_LAC)</f>
        <v>1594</v>
      </c>
      <c r="G14" s="101">
        <f>IF(Year4_Hampshire Year4_LAC="","",Year4_Hampshire Year4_LAC)</f>
        <v>1664</v>
      </c>
      <c r="H14" s="95">
        <f>IF(Year5_Hampshire Year5_LAC="","",Year5_Hampshire Year5_LAC)</f>
        <v>1602</v>
      </c>
      <c r="I14" s="344">
        <f t="shared" si="2"/>
        <v>5.426194624302156E-2</v>
      </c>
      <c r="J14" s="96"/>
      <c r="K14" s="97">
        <f>IF(ISNUMBER(D14),D14/Population!D14*10000,NA())</f>
        <v>46.293011706278826</v>
      </c>
      <c r="L14" s="97">
        <f>IF(ISNUMBER(E14),E14/Population!E14*10000,NA())</f>
        <v>50.919377652050912</v>
      </c>
      <c r="M14" s="97">
        <f>IF(ISNUMBER(F14),F14/Population!F14*10000,NA())</f>
        <v>56.265442993293327</v>
      </c>
      <c r="N14" s="97">
        <f>IF(ISNUMBER(G14),G14/Population!G14*10000,NA())</f>
        <v>58.591549295774648</v>
      </c>
      <c r="O14" s="98">
        <f>IF(ISNUMBER(H14),H14/Population!H14*10000,NA())</f>
        <v>56.348927189588466</v>
      </c>
      <c r="P14" s="99">
        <f t="shared" si="3"/>
        <v>56.348927189588466</v>
      </c>
      <c r="Q14" s="934">
        <f t="shared" si="4"/>
        <v>12</v>
      </c>
      <c r="R14" s="70"/>
      <c r="S14" s="340">
        <f>IDACI!C13</f>
        <v>10.100000000000001</v>
      </c>
      <c r="T14" s="341">
        <f t="shared" si="0"/>
        <v>45.278971978520687</v>
      </c>
      <c r="U14" s="342">
        <f t="shared" si="5"/>
        <v>11.069955211067779</v>
      </c>
      <c r="V14" s="122"/>
      <c r="W14" s="139"/>
      <c r="X14" s="152"/>
      <c r="Y14" s="72" t="str">
        <f t="shared" si="1"/>
        <v>Hampshire</v>
      </c>
      <c r="Z14" s="44">
        <f>IF(ISNUMBER(H14),IDACI!D13,0)</f>
        <v>249483</v>
      </c>
      <c r="AA14" s="44">
        <f>IF(ISNUMBER(H14),IDACI!E13,0)</f>
        <v>25197.783000000007</v>
      </c>
      <c r="AB14" s="205">
        <f>IF(ISNUMBER(D14),Population!D14,"")</f>
        <v>281900</v>
      </c>
      <c r="AC14" s="205">
        <f>IF(ISNUMBER(E14),Population!E14,"")</f>
        <v>282800</v>
      </c>
      <c r="AD14" s="205">
        <f>IF(ISNUMBER(F14),Population!F14,"")</f>
        <v>283300</v>
      </c>
      <c r="AE14" s="205">
        <f>IF(ISNUMBER(G14),Population!G14,"")</f>
        <v>284000</v>
      </c>
      <c r="AF14" s="205">
        <f>IF(ISNUMBER(H14),Population!H14,"")</f>
        <v>284300</v>
      </c>
      <c r="AG14" s="93" t="s">
        <v>6</v>
      </c>
      <c r="AH14" s="231">
        <f t="shared" si="6"/>
        <v>56.348927189588466</v>
      </c>
      <c r="AI14" s="206">
        <f t="shared" si="7"/>
        <v>12</v>
      </c>
      <c r="AJ14" s="202"/>
      <c r="AK14" s="160"/>
      <c r="AL14" s="853">
        <f t="shared" si="8"/>
        <v>0.10344827586206896</v>
      </c>
      <c r="AM14" s="853">
        <f t="shared" si="8"/>
        <v>0.10694444444444444</v>
      </c>
      <c r="AN14" s="853">
        <f t="shared" si="8"/>
        <v>4.3914680050188205E-2</v>
      </c>
      <c r="AO14" s="853">
        <f t="shared" si="8"/>
        <v>-3.7259615384615384E-2</v>
      </c>
      <c r="AP14" s="853">
        <f t="shared" si="9"/>
        <v>5.426194624302156E-2</v>
      </c>
      <c r="AR14" s="74"/>
      <c r="AS14" s="74"/>
      <c r="AT14" s="74"/>
      <c r="AU14" s="74"/>
      <c r="AV14" s="74"/>
      <c r="AW14" s="74"/>
      <c r="AX14" s="74"/>
    </row>
    <row r="15" spans="1:50" s="87" customFormat="1" ht="13.5" customHeight="1" x14ac:dyDescent="0.2">
      <c r="A15" s="488">
        <f>VLOOKUP(B15,Sheet1!$AQ$4:$AR$25,2,FALSE)</f>
        <v>0</v>
      </c>
      <c r="B15" s="93" t="str">
        <f>Sheet1!$K$9</f>
        <v>Isle of Wight</v>
      </c>
      <c r="C15" s="85"/>
      <c r="D15" s="94">
        <f>IF(Year1_Isle_of_Wight Year1_LAC="","",Year1_Isle_of_Wight Year1_LAC)</f>
        <v>204</v>
      </c>
      <c r="E15" s="94">
        <f>IF(Year2_Isle_of_Wight Year2_LAC="","",Year2_Isle_of_Wight Year2_LAC)</f>
        <v>228</v>
      </c>
      <c r="F15" s="94">
        <f>IF(Year3_Isle_of_Wight Year3_LAC="","",Year3_Isle_of_Wight Year3_LAC)</f>
        <v>226</v>
      </c>
      <c r="G15" s="94">
        <f>IF(Year4_Isle_of_Wight Year4_LAC="","",Year4_Isle_of_Wight Year4_LAC)</f>
        <v>243</v>
      </c>
      <c r="H15" s="95">
        <f>IF(Year5_Isle_of_Wight Year5_LAC="","",Year5_Isle_of_Wight Year5_LAC)</f>
        <v>264</v>
      </c>
      <c r="I15" s="344">
        <f t="shared" si="2"/>
        <v>6.7629030255860215E-2</v>
      </c>
      <c r="J15" s="96"/>
      <c r="K15" s="97">
        <f>IF(ISNUMBER(D15),D15/Population!D15*10000,NA())</f>
        <v>80.632411067193686</v>
      </c>
      <c r="L15" s="97">
        <f>IF(ISNUMBER(E15),E15/Population!E15*10000,NA())</f>
        <v>90.476190476190467</v>
      </c>
      <c r="M15" s="97">
        <f>IF(ISNUMBER(F15),F15/Population!F15*10000,NA())</f>
        <v>90.039840637450197</v>
      </c>
      <c r="N15" s="97">
        <f>IF(ISNUMBER(G15),G15/Population!G15*10000,NA())</f>
        <v>97.590361445783131</v>
      </c>
      <c r="O15" s="98">
        <f>IF(ISNUMBER(H15),H15/Population!H15*10000,NA())</f>
        <v>106.88259109311741</v>
      </c>
      <c r="P15" s="99">
        <f t="shared" si="3"/>
        <v>106.88259109311741</v>
      </c>
      <c r="Q15" s="934">
        <f>IF(ISNA(VLOOKUP(B15,$AG$10:$AI$28,3,FALSE)),"--",IF(ISNUMBER(H15),VLOOKUP(B15,$AG$10:$AI$28,3,FALSE),NA()))</f>
        <v>19</v>
      </c>
      <c r="R15" s="70"/>
      <c r="S15" s="340">
        <f>IDACI!C14</f>
        <v>18</v>
      </c>
      <c r="T15" s="341">
        <f t="shared" si="0"/>
        <v>74.913269395385072</v>
      </c>
      <c r="U15" s="342">
        <f t="shared" si="5"/>
        <v>31.96932169773234</v>
      </c>
      <c r="V15" s="122"/>
      <c r="W15" s="139"/>
      <c r="X15" s="152"/>
      <c r="Y15" s="72" t="str">
        <f t="shared" si="1"/>
        <v>Isle of Wight</v>
      </c>
      <c r="Z15" s="44">
        <f>IF(ISNUMBER(H15),IDACI!D14,0)</f>
        <v>22123</v>
      </c>
      <c r="AA15" s="44">
        <f>IF(ISNUMBER(H15),IDACI!E14,0)</f>
        <v>3982.14</v>
      </c>
      <c r="AB15" s="205">
        <f>IF(ISNUMBER(D15),Population!D15,"")</f>
        <v>25300</v>
      </c>
      <c r="AC15" s="205">
        <f>IF(ISNUMBER(E15),Population!E15,"")</f>
        <v>25200</v>
      </c>
      <c r="AD15" s="205">
        <f>IF(ISNUMBER(F15),Population!F15,"")</f>
        <v>25100</v>
      </c>
      <c r="AE15" s="205">
        <f>IF(ISNUMBER(G15),Population!G15,"")</f>
        <v>24900</v>
      </c>
      <c r="AF15" s="205">
        <f>IF(ISNUMBER(H15),Population!H15,"")</f>
        <v>24700</v>
      </c>
      <c r="AG15" s="93" t="s">
        <v>1</v>
      </c>
      <c r="AH15" s="231">
        <f t="shared" si="6"/>
        <v>106.88259109311741</v>
      </c>
      <c r="AI15" s="206">
        <f t="shared" si="7"/>
        <v>19</v>
      </c>
      <c r="AJ15" s="202"/>
      <c r="AK15" s="160"/>
      <c r="AL15" s="853">
        <f t="shared" si="8"/>
        <v>0.11764705882352941</v>
      </c>
      <c r="AM15" s="853">
        <f t="shared" si="8"/>
        <v>-8.771929824561403E-3</v>
      </c>
      <c r="AN15" s="853">
        <f t="shared" si="8"/>
        <v>7.5221238938053103E-2</v>
      </c>
      <c r="AO15" s="853">
        <f t="shared" si="8"/>
        <v>8.6419753086419748E-2</v>
      </c>
      <c r="AP15" s="853">
        <f t="shared" si="9"/>
        <v>6.7629030255860215E-2</v>
      </c>
      <c r="AR15" s="74"/>
      <c r="AS15" s="74"/>
      <c r="AT15" s="74"/>
      <c r="AU15" s="74"/>
      <c r="AV15" s="74"/>
      <c r="AW15" s="74"/>
      <c r="AX15" s="74"/>
    </row>
    <row r="16" spans="1:50" s="87" customFormat="1" ht="13.5" customHeight="1" x14ac:dyDescent="0.2">
      <c r="A16" s="488">
        <f>VLOOKUP(B16,Sheet1!$AQ$4:$AR$25,2,FALSE)</f>
        <v>0</v>
      </c>
      <c r="B16" s="93" t="str">
        <f>Sheet1!$K$10</f>
        <v>Kent</v>
      </c>
      <c r="C16" s="85"/>
      <c r="D16" s="94">
        <f>IF(Year1_Kent Year1_LAC="","",Year1_Kent Year1_LAC)</f>
        <v>2314</v>
      </c>
      <c r="E16" s="94">
        <f>IF(Year2_Kent Year2_LAC="","",Year2_Kent Year2_LAC)</f>
        <v>1901</v>
      </c>
      <c r="F16" s="94">
        <f>IF(Year3_Kent Year3_LAC="","",Year3_Kent Year3_LAC)</f>
        <v>1641</v>
      </c>
      <c r="G16" s="94">
        <f>IF(Year4_Kent Year4_LAC="","",Year4_Kent Year4_LAC)</f>
        <v>1590</v>
      </c>
      <c r="H16" s="95">
        <f>IF(Year5_Kent Year5_LAC="","",Year5_Kent Year5_LAC)</f>
        <v>1807</v>
      </c>
      <c r="I16" s="344">
        <f t="shared" si="2"/>
        <v>-5.2462392179275126E-2</v>
      </c>
      <c r="J16" s="96"/>
      <c r="K16" s="97">
        <f>IF(ISNUMBER(D16),D16/Population!D16*10000,NA())</f>
        <v>70.036319612590802</v>
      </c>
      <c r="L16" s="97">
        <f>IF(ISNUMBER(E16),E16/Population!E16*10000,NA())</f>
        <v>57.087087087087085</v>
      </c>
      <c r="M16" s="97">
        <f>IF(ISNUMBER(F16),F16/Population!F16*10000,NA())</f>
        <v>48.824754537340077</v>
      </c>
      <c r="N16" s="97">
        <f>IF(ISNUMBER(G16),G16/Population!G16*10000,NA())</f>
        <v>46.75095560129374</v>
      </c>
      <c r="O16" s="98">
        <f>IF(ISNUMBER(H16),H16/Population!H16*10000,NA())</f>
        <v>52.559627690517736</v>
      </c>
      <c r="P16" s="99">
        <f t="shared" si="3"/>
        <v>52.559627690517736</v>
      </c>
      <c r="Q16" s="934">
        <f t="shared" si="4"/>
        <v>10</v>
      </c>
      <c r="R16" s="70"/>
      <c r="S16" s="340">
        <f>IDACI!C15</f>
        <v>15.8</v>
      </c>
      <c r="T16" s="341">
        <f t="shared" si="0"/>
        <v>66.660680241321586</v>
      </c>
      <c r="U16" s="342">
        <f t="shared" si="5"/>
        <v>-14.10105255080385</v>
      </c>
      <c r="V16" s="122"/>
      <c r="W16" s="139"/>
      <c r="X16" s="152"/>
      <c r="Y16" s="72" t="str">
        <f t="shared" si="1"/>
        <v>Kent</v>
      </c>
      <c r="Z16" s="44">
        <f>IF(ISNUMBER(H16),IDACI!D15,0)</f>
        <v>291866</v>
      </c>
      <c r="AA16" s="44">
        <f>IF(ISNUMBER(H16),IDACI!E15,0)</f>
        <v>46114.828000000001</v>
      </c>
      <c r="AB16" s="205">
        <f>IF(ISNUMBER(D16),Population!D16,"")</f>
        <v>330400</v>
      </c>
      <c r="AC16" s="205">
        <f>IF(ISNUMBER(E16),Population!E16,"")</f>
        <v>333000</v>
      </c>
      <c r="AD16" s="205">
        <f>IF(ISNUMBER(F16),Population!F16,"")</f>
        <v>336100</v>
      </c>
      <c r="AE16" s="205">
        <f>IF(ISNUMBER(G16),Population!G16,"")</f>
        <v>340100</v>
      </c>
      <c r="AF16" s="205">
        <f>IF(ISNUMBER(H16),Population!H16,"")</f>
        <v>343800</v>
      </c>
      <c r="AG16" s="93" t="s">
        <v>9</v>
      </c>
      <c r="AH16" s="231">
        <f t="shared" si="6"/>
        <v>52.559627690517736</v>
      </c>
      <c r="AI16" s="206">
        <f t="shared" si="7"/>
        <v>10</v>
      </c>
      <c r="AJ16" s="202"/>
      <c r="AK16" s="160"/>
      <c r="AL16" s="853">
        <f t="shared" si="8"/>
        <v>-0.17847882454624028</v>
      </c>
      <c r="AM16" s="853">
        <f t="shared" si="8"/>
        <v>-0.13677012098895319</v>
      </c>
      <c r="AN16" s="853">
        <f t="shared" si="8"/>
        <v>-3.1078610603290677E-2</v>
      </c>
      <c r="AO16" s="853">
        <f t="shared" si="8"/>
        <v>0.13647798742138365</v>
      </c>
      <c r="AP16" s="853">
        <f t="shared" si="9"/>
        <v>-5.2462392179275126E-2</v>
      </c>
      <c r="AR16" s="74"/>
      <c r="AS16" s="74"/>
      <c r="AT16" s="74"/>
      <c r="AU16" s="74"/>
      <c r="AV16" s="74"/>
      <c r="AW16" s="74"/>
      <c r="AX16" s="74"/>
    </row>
    <row r="17" spans="1:50" s="87" customFormat="1" ht="13.5" customHeight="1" x14ac:dyDescent="0.2">
      <c r="A17" s="488">
        <f>VLOOKUP(B17,Sheet1!$AQ$4:$AR$25,2,FALSE)</f>
        <v>0</v>
      </c>
      <c r="B17" s="93" t="str">
        <f>Sheet1!$K$11</f>
        <v>Medway</v>
      </c>
      <c r="C17" s="85"/>
      <c r="D17" s="94">
        <f>IF(Year1_Medway Year1_LAC="","",Year1_Medway Year1_LAC)</f>
        <v>430</v>
      </c>
      <c r="E17" s="301">
        <f>IF(Year2_Medway Year2_LAC="","",Year2_Medway Year2_LAC)</f>
        <v>390</v>
      </c>
      <c r="F17" s="301">
        <f>IF(Year3_Medway Year3_LAC="","",Year3_Medway Year3_LAC)</f>
        <v>414</v>
      </c>
      <c r="G17" s="301">
        <f>IF(Year4_Medway Year4_LAC="","",Year4_Medway Year4_LAC)</f>
        <v>424</v>
      </c>
      <c r="H17" s="302">
        <f>IF(Year5_Medway Year5_LAC="","",Year5_Medway Year5_LAC)</f>
        <v>426</v>
      </c>
      <c r="I17" s="344">
        <f t="shared" si="2"/>
        <v>-6.5330594285894941E-4</v>
      </c>
      <c r="J17" s="96"/>
      <c r="K17" s="97">
        <f>IF(ISNUMBER(D17),D17/Population!D17*10000,NA())</f>
        <v>68.037974683544306</v>
      </c>
      <c r="L17" s="97">
        <f>IF(ISNUMBER(E17),E17/Population!E17*10000,NA())</f>
        <v>61.224489795918366</v>
      </c>
      <c r="M17" s="97">
        <f>IF(ISNUMBER(F17),F17/Population!F17*10000,NA())</f>
        <v>64.788732394366193</v>
      </c>
      <c r="N17" s="97">
        <f>IF(ISNUMBER(G17),G17/Population!G17*10000,NA())</f>
        <v>65.838509316770185</v>
      </c>
      <c r="O17" s="98">
        <f>IF(ISNUMBER(H17),H17/Population!H17*10000,NA())</f>
        <v>65.538461538461547</v>
      </c>
      <c r="P17" s="99">
        <f t="shared" si="3"/>
        <v>65.538461538461547</v>
      </c>
      <c r="Q17" s="934">
        <f t="shared" si="4"/>
        <v>14</v>
      </c>
      <c r="R17" s="70"/>
      <c r="S17" s="340">
        <f>IDACI!C16</f>
        <v>18.899999999999999</v>
      </c>
      <c r="T17" s="341">
        <f t="shared" si="0"/>
        <v>78.289328594774688</v>
      </c>
      <c r="U17" s="342">
        <f t="shared" si="5"/>
        <v>-12.75086705631314</v>
      </c>
      <c r="V17" s="122"/>
      <c r="W17" s="139"/>
      <c r="X17" s="152"/>
      <c r="Y17" s="72" t="str">
        <f t="shared" si="1"/>
        <v>Medway</v>
      </c>
      <c r="Z17" s="44">
        <f>IF(ISNUMBER(H17),IDACI!D16,0)</f>
        <v>55993</v>
      </c>
      <c r="AA17" s="44">
        <f>IF(ISNUMBER(H17),IDACI!E16,0)</f>
        <v>10582.676999999998</v>
      </c>
      <c r="AB17" s="205">
        <f>IF(ISNUMBER(D17),Population!D17,"")</f>
        <v>63200</v>
      </c>
      <c r="AC17" s="205">
        <f>IF(ISNUMBER(E17),Population!E17,"")</f>
        <v>63700</v>
      </c>
      <c r="AD17" s="205">
        <f>IF(ISNUMBER(F17),Population!F17,"")</f>
        <v>63900</v>
      </c>
      <c r="AE17" s="205">
        <f>IF(ISNUMBER(G17),Population!G17,"")</f>
        <v>64400</v>
      </c>
      <c r="AF17" s="205">
        <f>IF(ISNUMBER(H17),Population!H17,"")</f>
        <v>65000</v>
      </c>
      <c r="AG17" s="93" t="s">
        <v>2</v>
      </c>
      <c r="AH17" s="231">
        <f t="shared" si="6"/>
        <v>65.538461538461547</v>
      </c>
      <c r="AI17" s="206">
        <f t="shared" si="7"/>
        <v>14</v>
      </c>
      <c r="AJ17" s="202"/>
      <c r="AK17" s="160"/>
      <c r="AL17" s="853">
        <f t="shared" si="8"/>
        <v>-9.3023255813953487E-2</v>
      </c>
      <c r="AM17" s="853">
        <f t="shared" si="8"/>
        <v>6.1538461538461542E-2</v>
      </c>
      <c r="AN17" s="853">
        <f t="shared" si="8"/>
        <v>2.4154589371980676E-2</v>
      </c>
      <c r="AO17" s="853">
        <f t="shared" si="8"/>
        <v>4.7169811320754715E-3</v>
      </c>
      <c r="AP17" s="853">
        <f t="shared" si="9"/>
        <v>-6.5330594285894941E-4</v>
      </c>
      <c r="AR17" s="74"/>
      <c r="AS17" s="74"/>
      <c r="AT17" s="74"/>
      <c r="AU17" s="74"/>
      <c r="AV17" s="74"/>
      <c r="AW17" s="74"/>
      <c r="AX17" s="74"/>
    </row>
    <row r="18" spans="1:50" s="87" customFormat="1" ht="13.5" customHeight="1" x14ac:dyDescent="0.2">
      <c r="A18" s="488">
        <f>VLOOKUP(B18,Sheet1!$AQ$4:$AR$25,2,FALSE)</f>
        <v>0</v>
      </c>
      <c r="B18" s="93" t="str">
        <f>Sheet1!$K$12</f>
        <v>Milton Keynes</v>
      </c>
      <c r="C18" s="85"/>
      <c r="D18" s="94">
        <f>IF(Year1_Milton_Keynes Year1_LAC="","",Year1_Milton_Keynes Year1_LAC)</f>
        <v>345</v>
      </c>
      <c r="E18" s="94">
        <f>IF(Year2_Milton_Keynes Year2_LAC="","",Year2_Milton_Keynes Year2_LAC)</f>
        <v>396</v>
      </c>
      <c r="F18" s="94">
        <f>IF(Year3_Milton_Keynes Year3_LAC="","",Year3_Milton_Keynes Year3_LAC)</f>
        <v>394</v>
      </c>
      <c r="G18" s="94">
        <f>IF(Year4_Milton_Keynes Year4_LAC="","",Year4_Milton_Keynes Year4_LAC)</f>
        <v>381</v>
      </c>
      <c r="H18" s="95">
        <f>IF(Year5_Milton_Keynes Year5_LAC="","",Year5_Milton_Keynes Year5_LAC)</f>
        <v>403</v>
      </c>
      <c r="I18" s="344">
        <f t="shared" si="2"/>
        <v>4.1880860050094906E-2</v>
      </c>
      <c r="J18" s="96"/>
      <c r="K18" s="97">
        <f>IF(ISNUMBER(D18),D18/Population!D18*10000,NA())</f>
        <v>52.193645990922839</v>
      </c>
      <c r="L18" s="97">
        <f>IF(ISNUMBER(E18),E18/Population!E18*10000,NA())</f>
        <v>59.016393442622949</v>
      </c>
      <c r="M18" s="97">
        <f>IF(ISNUMBER(F18),F18/Population!F18*10000,NA())</f>
        <v>58.284023668639051</v>
      </c>
      <c r="N18" s="97">
        <f>IF(ISNUMBER(G18),G18/Population!G18*10000,NA())</f>
        <v>55.783308931185942</v>
      </c>
      <c r="O18" s="98">
        <f>IF(ISNUMBER(H18),H18/Population!H18*10000,NA())</f>
        <v>58.575581395348834</v>
      </c>
      <c r="P18" s="99">
        <f t="shared" si="3"/>
        <v>58.575581395348834</v>
      </c>
      <c r="Q18" s="934">
        <f t="shared" si="4"/>
        <v>13</v>
      </c>
      <c r="R18" s="70"/>
      <c r="S18" s="340">
        <f>IDACI!C17</f>
        <v>15</v>
      </c>
      <c r="T18" s="341">
        <f t="shared" si="0"/>
        <v>63.659738730753034</v>
      </c>
      <c r="U18" s="342">
        <f t="shared" si="5"/>
        <v>-5.0841573354041998</v>
      </c>
      <c r="V18" s="122"/>
      <c r="W18" s="139"/>
      <c r="X18" s="152"/>
      <c r="Y18" s="72" t="str">
        <f t="shared" si="1"/>
        <v>Milton Keynes</v>
      </c>
      <c r="Z18" s="44">
        <f>IF(ISNUMBER(H18),IDACI!D17,0)</f>
        <v>59903</v>
      </c>
      <c r="AA18" s="44">
        <f>IF(ISNUMBER(H18),IDACI!E17,0)</f>
        <v>8985.4499999999989</v>
      </c>
      <c r="AB18" s="205">
        <f>IF(ISNUMBER(D18),Population!D18,"")</f>
        <v>66100</v>
      </c>
      <c r="AC18" s="205">
        <f>IF(ISNUMBER(E18),Population!E18,"")</f>
        <v>67100</v>
      </c>
      <c r="AD18" s="205">
        <f>IF(ISNUMBER(F18),Population!F18,"")</f>
        <v>67600</v>
      </c>
      <c r="AE18" s="205">
        <f>IF(ISNUMBER(G18),Population!G18,"")</f>
        <v>68300</v>
      </c>
      <c r="AF18" s="205">
        <f>IF(ISNUMBER(H18),Population!H18,"")</f>
        <v>68800</v>
      </c>
      <c r="AG18" s="93" t="s">
        <v>10</v>
      </c>
      <c r="AH18" s="231">
        <f t="shared" si="6"/>
        <v>58.575581395348834</v>
      </c>
      <c r="AI18" s="206">
        <f t="shared" si="7"/>
        <v>13</v>
      </c>
      <c r="AJ18" s="202"/>
      <c r="AK18" s="160"/>
      <c r="AL18" s="853">
        <f t="shared" si="8"/>
        <v>0.14782608695652175</v>
      </c>
      <c r="AM18" s="853">
        <f t="shared" si="8"/>
        <v>-5.0505050505050509E-3</v>
      </c>
      <c r="AN18" s="853">
        <f t="shared" si="8"/>
        <v>-3.2994923857868022E-2</v>
      </c>
      <c r="AO18" s="853">
        <f t="shared" si="8"/>
        <v>5.774278215223097E-2</v>
      </c>
      <c r="AP18" s="853">
        <f t="shared" si="9"/>
        <v>4.1880860050094906E-2</v>
      </c>
      <c r="AR18" s="74"/>
      <c r="AS18" s="74"/>
      <c r="AT18" s="74"/>
      <c r="AU18" s="74"/>
      <c r="AV18" s="74"/>
      <c r="AW18" s="74"/>
      <c r="AX18" s="74"/>
    </row>
    <row r="19" spans="1:50" s="87" customFormat="1" ht="13.5" customHeight="1" x14ac:dyDescent="0.2">
      <c r="A19" s="488">
        <f>VLOOKUP(B19,Sheet1!$AQ$4:$AR$25,2,FALSE)</f>
        <v>0</v>
      </c>
      <c r="B19" s="93" t="str">
        <f>Sheet1!$K$13</f>
        <v>Oxfordshire</v>
      </c>
      <c r="C19" s="85"/>
      <c r="D19" s="94">
        <f>IF(Year1_Oxfordshire Year1_LAC="","",Year1_Oxfordshire Year1_LAC)</f>
        <v>593</v>
      </c>
      <c r="E19" s="94">
        <f>IF(Year2_Oxfordshire Year2_LAC="","",Year2_Oxfordshire Year2_LAC)</f>
        <v>666</v>
      </c>
      <c r="F19" s="94">
        <f>IF(Year3_Oxfordshire Year3_LAC="","",Year3_Oxfordshire Year3_LAC)</f>
        <v>684</v>
      </c>
      <c r="G19" s="94">
        <f>IF(Year4_Oxfordshire Year4_LAC="","",Year4_Oxfordshire Year4_LAC)</f>
        <v>779</v>
      </c>
      <c r="H19" s="95">
        <f>IF(Year5_Oxfordshire Year5_LAC="","",Year5_Oxfordshire Year5_LAC)</f>
        <v>767</v>
      </c>
      <c r="I19" s="344">
        <f t="shared" si="2"/>
        <v>6.8403604531260959E-2</v>
      </c>
      <c r="J19" s="96"/>
      <c r="K19" s="97">
        <f>IF(ISNUMBER(D19),D19/Population!D19*10000,NA())</f>
        <v>41.819464033850494</v>
      </c>
      <c r="L19" s="97">
        <f>IF(ISNUMBER(E19),E19/Population!E19*10000,NA())</f>
        <v>46.60601819454164</v>
      </c>
      <c r="M19" s="97">
        <f>IF(ISNUMBER(F19),F19/Population!F19*10000,NA())</f>
        <v>47.698744769874473</v>
      </c>
      <c r="N19" s="97">
        <f>IF(ISNUMBER(G19),G19/Population!G19*10000,NA())</f>
        <v>53.798342541436462</v>
      </c>
      <c r="O19" s="98">
        <f>IF(ISNUMBER(H19),H19/Population!H19*10000,NA())</f>
        <v>52.498288843258045</v>
      </c>
      <c r="P19" s="99">
        <f t="shared" si="3"/>
        <v>52.498288843258045</v>
      </c>
      <c r="Q19" s="934">
        <f t="shared" si="4"/>
        <v>9</v>
      </c>
      <c r="R19" s="70"/>
      <c r="S19" s="340">
        <f>IDACI!C18</f>
        <v>10.100000000000001</v>
      </c>
      <c r="T19" s="341">
        <f t="shared" si="0"/>
        <v>45.278971978520687</v>
      </c>
      <c r="U19" s="342">
        <f t="shared" si="5"/>
        <v>7.2193168647373582</v>
      </c>
      <c r="V19" s="122"/>
      <c r="W19" s="139"/>
      <c r="X19" s="152"/>
      <c r="Y19" s="72" t="str">
        <f t="shared" si="1"/>
        <v>Oxfordshire</v>
      </c>
      <c r="Z19" s="44">
        <f>IF(ISNUMBER(H19),IDACI!D18,0)</f>
        <v>126119</v>
      </c>
      <c r="AA19" s="44">
        <f>IF(ISNUMBER(H19),IDACI!E18,0)</f>
        <v>12738.019000000002</v>
      </c>
      <c r="AB19" s="205">
        <f>IF(ISNUMBER(D19),Population!D19,"")</f>
        <v>141800</v>
      </c>
      <c r="AC19" s="205">
        <f>IF(ISNUMBER(E19),Population!E19,"")</f>
        <v>142900</v>
      </c>
      <c r="AD19" s="205">
        <f>IF(ISNUMBER(F19),Population!F19,"")</f>
        <v>143400</v>
      </c>
      <c r="AE19" s="205">
        <f>IF(ISNUMBER(G19),Population!G19,"")</f>
        <v>144800</v>
      </c>
      <c r="AF19" s="205">
        <f>IF(ISNUMBER(H19),Population!H19,"")</f>
        <v>146100</v>
      </c>
      <c r="AG19" s="93" t="s">
        <v>11</v>
      </c>
      <c r="AH19" s="231">
        <f t="shared" si="6"/>
        <v>52.498288843258045</v>
      </c>
      <c r="AI19" s="206">
        <f t="shared" si="7"/>
        <v>9</v>
      </c>
      <c r="AJ19" s="202"/>
      <c r="AK19" s="160"/>
      <c r="AL19" s="853">
        <f t="shared" si="8"/>
        <v>0.12310286677908938</v>
      </c>
      <c r="AM19" s="853">
        <f t="shared" si="8"/>
        <v>2.7027027027027029E-2</v>
      </c>
      <c r="AN19" s="853">
        <f t="shared" si="8"/>
        <v>0.1388888888888889</v>
      </c>
      <c r="AO19" s="853">
        <f t="shared" si="8"/>
        <v>-1.540436456996149E-2</v>
      </c>
      <c r="AP19" s="853">
        <f t="shared" si="9"/>
        <v>6.8403604531260959E-2</v>
      </c>
      <c r="AR19" s="74"/>
      <c r="AS19" s="74"/>
      <c r="AT19" s="74"/>
      <c r="AU19" s="74"/>
      <c r="AV19" s="74"/>
      <c r="AW19" s="74"/>
      <c r="AX19" s="74"/>
    </row>
    <row r="20" spans="1:50" s="87" customFormat="1" ht="13.5" customHeight="1" x14ac:dyDescent="0.2">
      <c r="A20" s="488">
        <f>VLOOKUP(B20,Sheet1!$AQ$4:$AR$25,2,FALSE)</f>
        <v>0</v>
      </c>
      <c r="B20" s="93" t="str">
        <f>Sheet1!$K$14</f>
        <v>Portsmouth</v>
      </c>
      <c r="C20" s="85"/>
      <c r="D20" s="94">
        <f>IF(Year1_Portsmouth Year1_LAC="","",Year1_Portsmouth Year1_LAC)</f>
        <v>322</v>
      </c>
      <c r="E20" s="94">
        <f>IF(Year2_Portsmouth Year2_LAC="","",Year2_Portsmouth Year2_LAC)</f>
        <v>358</v>
      </c>
      <c r="F20" s="94">
        <f>IF(Year3_Portsmouth Year3_LAC="","",Year3_Portsmouth Year3_LAC)</f>
        <v>415</v>
      </c>
      <c r="G20" s="94">
        <f>IF(Year4_Portsmouth Year4_LAC="","",Year4_Portsmouth Year4_LAC)</f>
        <v>486</v>
      </c>
      <c r="H20" s="95">
        <f>IF(Year5_Portsmouth Year5_LAC="","",Year5_Portsmouth Year5_LAC)</f>
        <v>466</v>
      </c>
      <c r="I20" s="344">
        <f t="shared" si="2"/>
        <v>0.10023779832647724</v>
      </c>
      <c r="J20" s="96"/>
      <c r="K20" s="97">
        <f>IF(ISNUMBER(D20),D20/Population!D20*10000,NA())</f>
        <v>73.515981735159826</v>
      </c>
      <c r="L20" s="97">
        <f>IF(ISNUMBER(E20),E20/Population!E20*10000,NA())</f>
        <v>81.36363636363636</v>
      </c>
      <c r="M20" s="97">
        <f>IF(ISNUMBER(F20),F20/Population!F20*10000,NA())</f>
        <v>93.891402714932127</v>
      </c>
      <c r="N20" s="97">
        <f>IF(ISNUMBER(G20),G20/Population!G20*10000,NA())</f>
        <v>110.45454545454545</v>
      </c>
      <c r="O20" s="98">
        <f>IF(ISNUMBER(H20),H20/Population!H20*10000,NA())</f>
        <v>106.39269406392694</v>
      </c>
      <c r="P20" s="99">
        <f t="shared" si="3"/>
        <v>106.39269406392694</v>
      </c>
      <c r="Q20" s="934">
        <f t="shared" si="4"/>
        <v>18</v>
      </c>
      <c r="R20" s="70"/>
      <c r="S20" s="340">
        <f>IDACI!C19</f>
        <v>20.200000000000003</v>
      </c>
      <c r="T20" s="341">
        <f t="shared" si="0"/>
        <v>83.165858549448586</v>
      </c>
      <c r="U20" s="342">
        <f t="shared" si="5"/>
        <v>23.226835514478353</v>
      </c>
      <c r="V20" s="122"/>
      <c r="W20" s="139"/>
      <c r="X20" s="152"/>
      <c r="Y20" s="72" t="str">
        <f t="shared" si="1"/>
        <v>Portsmouth</v>
      </c>
      <c r="Z20" s="44">
        <f>IF(ISNUMBER(H20),IDACI!D19,0)</f>
        <v>39325</v>
      </c>
      <c r="AA20" s="44">
        <f>IF(ISNUMBER(H20),IDACI!E19,0)</f>
        <v>7943.6500000000015</v>
      </c>
      <c r="AB20" s="205">
        <f>IF(ISNUMBER(D20),Population!D20,"")</f>
        <v>43800</v>
      </c>
      <c r="AC20" s="205">
        <f>IF(ISNUMBER(E20),Population!E20,"")</f>
        <v>44000</v>
      </c>
      <c r="AD20" s="205">
        <f>IF(ISNUMBER(F20),Population!F20,"")</f>
        <v>44200</v>
      </c>
      <c r="AE20" s="205">
        <f>IF(ISNUMBER(G20),Population!G20,"")</f>
        <v>44000</v>
      </c>
      <c r="AF20" s="205">
        <f>IF(ISNUMBER(H20),Population!H20,"")</f>
        <v>43800</v>
      </c>
      <c r="AG20" s="93" t="s">
        <v>12</v>
      </c>
      <c r="AH20" s="231">
        <f t="shared" si="6"/>
        <v>106.39269406392694</v>
      </c>
      <c r="AI20" s="206">
        <f t="shared" si="7"/>
        <v>18</v>
      </c>
      <c r="AJ20" s="202"/>
      <c r="AK20" s="160"/>
      <c r="AL20" s="853">
        <f t="shared" si="8"/>
        <v>0.11180124223602485</v>
      </c>
      <c r="AM20" s="853">
        <f t="shared" si="8"/>
        <v>0.15921787709497207</v>
      </c>
      <c r="AN20" s="853">
        <f t="shared" si="8"/>
        <v>0.1710843373493976</v>
      </c>
      <c r="AO20" s="853">
        <f t="shared" si="8"/>
        <v>-4.1152263374485597E-2</v>
      </c>
      <c r="AP20" s="853">
        <f t="shared" si="9"/>
        <v>0.10023779832647724</v>
      </c>
      <c r="AR20" s="74"/>
      <c r="AS20" s="74"/>
      <c r="AT20" s="74"/>
      <c r="AU20" s="74"/>
      <c r="AV20" s="74"/>
      <c r="AW20" s="74"/>
      <c r="AX20" s="74"/>
    </row>
    <row r="21" spans="1:50" s="87" customFormat="1" ht="13.5" customHeight="1" x14ac:dyDescent="0.2">
      <c r="A21" s="488">
        <f>VLOOKUP(B21,Sheet1!$AQ$4:$AR$25,2,FALSE)</f>
        <v>0</v>
      </c>
      <c r="B21" s="93" t="str">
        <f>Sheet1!$K$15</f>
        <v>Reading</v>
      </c>
      <c r="C21" s="85"/>
      <c r="D21" s="94">
        <f>IF(Year1_Reading Year1_LAC="","",Year1_Reading Year1_LAC)</f>
        <v>220</v>
      </c>
      <c r="E21" s="94">
        <f>IF(Year2_Reading Year2_LAC="","",Year2_Reading Year2_LAC)</f>
        <v>263</v>
      </c>
      <c r="F21" s="94">
        <f>IF(Year3_Reading Year3_LAC="","",Year3_Reading Year3_LAC)</f>
        <v>279</v>
      </c>
      <c r="G21" s="94">
        <f>IF(Year4_Reading Year4_LAC="","",Year4_Reading Year4_LAC)</f>
        <v>273</v>
      </c>
      <c r="H21" s="95">
        <f>IF(Year5_Reading Year5_LAC="","",Year5_Reading Year5_LAC)</f>
        <v>280</v>
      </c>
      <c r="I21" s="344">
        <f t="shared" si="2"/>
        <v>6.5106674163156436E-2</v>
      </c>
      <c r="J21" s="96"/>
      <c r="K21" s="97">
        <f>IF(ISNUMBER(D21),D21/Population!D21*10000,NA())</f>
        <v>60.439560439560445</v>
      </c>
      <c r="L21" s="97">
        <f>IF(ISNUMBER(E21),E21/Population!E21*10000,NA())</f>
        <v>71.857923497267763</v>
      </c>
      <c r="M21" s="97">
        <f>IF(ISNUMBER(F21),F21/Population!F21*10000,NA())</f>
        <v>75.202156334231802</v>
      </c>
      <c r="N21" s="97">
        <f>IF(ISNUMBER(G21),G21/Population!G21*10000,NA())</f>
        <v>73.584905660377359</v>
      </c>
      <c r="O21" s="98">
        <f>IF(ISNUMBER(H21),H21/Population!H21*10000,NA())</f>
        <v>75.675675675675677</v>
      </c>
      <c r="P21" s="99">
        <f t="shared" si="3"/>
        <v>75.675675675675677</v>
      </c>
      <c r="Q21" s="934">
        <f t="shared" si="4"/>
        <v>16</v>
      </c>
      <c r="R21" s="70"/>
      <c r="S21" s="340">
        <f>IDACI!C20</f>
        <v>16</v>
      </c>
      <c r="T21" s="341">
        <f t="shared" si="0"/>
        <v>67.410915618963713</v>
      </c>
      <c r="U21" s="342">
        <f t="shared" si="5"/>
        <v>8.2647600567119639</v>
      </c>
      <c r="V21" s="122"/>
      <c r="W21" s="139"/>
      <c r="X21" s="152"/>
      <c r="Y21" s="72" t="str">
        <f t="shared" si="1"/>
        <v>Reading</v>
      </c>
      <c r="Z21" s="44">
        <f>IF(ISNUMBER(H21),IDACI!D20,0)</f>
        <v>33203</v>
      </c>
      <c r="AA21" s="44">
        <f>IF(ISNUMBER(H21),IDACI!E20,0)</f>
        <v>5312.4800000000005</v>
      </c>
      <c r="AB21" s="205">
        <f>IF(ISNUMBER(D21),Population!D21,"")</f>
        <v>36400</v>
      </c>
      <c r="AC21" s="205">
        <f>IF(ISNUMBER(E21),Population!E21,"")</f>
        <v>36600</v>
      </c>
      <c r="AD21" s="205">
        <f>IF(ISNUMBER(F21),Population!F21,"")</f>
        <v>37100</v>
      </c>
      <c r="AE21" s="205">
        <f>IF(ISNUMBER(G21),Population!G21,"")</f>
        <v>37100</v>
      </c>
      <c r="AF21" s="205">
        <f>IF(ISNUMBER(H21),Population!H21,"")</f>
        <v>37000</v>
      </c>
      <c r="AG21" s="93" t="s">
        <v>3</v>
      </c>
      <c r="AH21" s="231">
        <f t="shared" si="6"/>
        <v>75.675675675675677</v>
      </c>
      <c r="AI21" s="206">
        <f t="shared" si="7"/>
        <v>16</v>
      </c>
      <c r="AJ21" s="202"/>
      <c r="AK21" s="160"/>
      <c r="AL21" s="853">
        <f t="shared" si="8"/>
        <v>0.19545454545454546</v>
      </c>
      <c r="AM21" s="853">
        <f t="shared" si="8"/>
        <v>6.0836501901140684E-2</v>
      </c>
      <c r="AN21" s="853">
        <f t="shared" si="8"/>
        <v>-2.1505376344086023E-2</v>
      </c>
      <c r="AO21" s="853">
        <f t="shared" si="8"/>
        <v>2.564102564102564E-2</v>
      </c>
      <c r="AP21" s="853">
        <f t="shared" si="9"/>
        <v>6.5106674163156436E-2</v>
      </c>
      <c r="AR21" s="74"/>
      <c r="AS21" s="74"/>
      <c r="AT21" s="74"/>
      <c r="AU21" s="74"/>
      <c r="AV21" s="74"/>
      <c r="AW21" s="74"/>
      <c r="AX21" s="74"/>
    </row>
    <row r="22" spans="1:50" s="87" customFormat="1" ht="13.5" customHeight="1" x14ac:dyDescent="0.2">
      <c r="A22" s="488">
        <f>VLOOKUP(B22,Sheet1!$AQ$4:$AR$25,2,FALSE)</f>
        <v>0</v>
      </c>
      <c r="B22" s="93" t="str">
        <f>Sheet1!$K$16</f>
        <v>Slough</v>
      </c>
      <c r="C22" s="85"/>
      <c r="D22" s="94">
        <f>IF(Year1_Slough Year1_LAC="","",Year1_Slough Year1_LAC)</f>
        <v>179</v>
      </c>
      <c r="E22" s="94">
        <f>IF(Year2_Slough Year2_LAC="","",Year2_Slough Year2_LAC)</f>
        <v>190</v>
      </c>
      <c r="F22" s="94">
        <f>IF(Year3_Slough Year3_LAC="","",Year3_Slough Year3_LAC)</f>
        <v>206</v>
      </c>
      <c r="G22" s="94">
        <f>IF(Year4_Slough Year4_LAC="","",Year4_Slough Year4_LAC)</f>
        <v>213</v>
      </c>
      <c r="H22" s="95">
        <f>IF(Year5_Slough Year5_LAC="","",Year5_Slough Year5_LAC)</f>
        <v>196</v>
      </c>
      <c r="I22" s="344">
        <f t="shared" si="2"/>
        <v>2.4957854058442957E-2</v>
      </c>
      <c r="J22" s="96"/>
      <c r="K22" s="97">
        <f>IF(ISNUMBER(D22),D22/Population!D22*10000,NA())</f>
        <v>44.088669950738911</v>
      </c>
      <c r="L22" s="97">
        <f>IF(ISNUMBER(E22),E22/Population!E22*10000,NA())</f>
        <v>45.893719806763286</v>
      </c>
      <c r="M22" s="97">
        <f>IF(ISNUMBER(F22),F22/Population!F22*10000,NA())</f>
        <v>48.81516587677725</v>
      </c>
      <c r="N22" s="97">
        <f>IF(ISNUMBER(G22),G22/Population!G22*10000,NA())</f>
        <v>49.882903981264633</v>
      </c>
      <c r="O22" s="98">
        <f>IF(ISNUMBER(H22),H22/Population!H22*10000,NA())</f>
        <v>45.475638051044086</v>
      </c>
      <c r="P22" s="99">
        <f t="shared" si="3"/>
        <v>45.475638051044086</v>
      </c>
      <c r="Q22" s="934">
        <f t="shared" si="4"/>
        <v>6</v>
      </c>
      <c r="R22" s="70"/>
      <c r="S22" s="340">
        <f>IDACI!C21</f>
        <v>14.7</v>
      </c>
      <c r="T22" s="341">
        <f t="shared" si="0"/>
        <v>62.534385664289822</v>
      </c>
      <c r="U22" s="342">
        <f t="shared" si="5"/>
        <v>-17.058747613245735</v>
      </c>
      <c r="V22" s="122"/>
      <c r="W22" s="139"/>
      <c r="X22" s="152"/>
      <c r="Y22" s="72" t="str">
        <f t="shared" si="1"/>
        <v>Slough</v>
      </c>
      <c r="Z22" s="44">
        <f>IF(ISNUMBER(H22),IDACI!D21,0)</f>
        <v>37031</v>
      </c>
      <c r="AA22" s="44">
        <f>IF(ISNUMBER(H22),IDACI!E21,0)</f>
        <v>5443.5569999999998</v>
      </c>
      <c r="AB22" s="205">
        <f>IF(ISNUMBER(D22),Population!D22,"")</f>
        <v>40600</v>
      </c>
      <c r="AC22" s="205">
        <f>IF(ISNUMBER(E22),Population!E22,"")</f>
        <v>41400</v>
      </c>
      <c r="AD22" s="205">
        <f>IF(ISNUMBER(F22),Population!F22,"")</f>
        <v>42200</v>
      </c>
      <c r="AE22" s="205">
        <f>IF(ISNUMBER(G22),Population!G22,"")</f>
        <v>42700</v>
      </c>
      <c r="AF22" s="205">
        <f>IF(ISNUMBER(H22),Population!H22,"")</f>
        <v>43100</v>
      </c>
      <c r="AG22" s="93" t="s">
        <v>13</v>
      </c>
      <c r="AH22" s="231">
        <f t="shared" si="6"/>
        <v>45.475638051044086</v>
      </c>
      <c r="AI22" s="206">
        <f t="shared" si="7"/>
        <v>6</v>
      </c>
      <c r="AJ22" s="202"/>
      <c r="AK22" s="160"/>
      <c r="AL22" s="853">
        <f t="shared" si="8"/>
        <v>6.1452513966480445E-2</v>
      </c>
      <c r="AM22" s="853">
        <f t="shared" si="8"/>
        <v>8.4210526315789472E-2</v>
      </c>
      <c r="AN22" s="853">
        <f t="shared" si="8"/>
        <v>3.3980582524271843E-2</v>
      </c>
      <c r="AO22" s="853">
        <f t="shared" si="8"/>
        <v>-7.9812206572769953E-2</v>
      </c>
      <c r="AP22" s="853">
        <f t="shared" si="9"/>
        <v>2.4957854058442957E-2</v>
      </c>
      <c r="AR22" s="74"/>
      <c r="AS22" s="74"/>
      <c r="AT22" s="74"/>
      <c r="AU22" s="74"/>
      <c r="AV22" s="74"/>
      <c r="AW22" s="74"/>
      <c r="AX22" s="74"/>
    </row>
    <row r="23" spans="1:50" s="87" customFormat="1" ht="13.5" customHeight="1" x14ac:dyDescent="0.2">
      <c r="A23" s="488">
        <f>VLOOKUP(B23,Sheet1!$AQ$4:$AR$25,2,FALSE)</f>
        <v>0</v>
      </c>
      <c r="B23" s="93" t="str">
        <f>Sheet1!$K$17</f>
        <v>Somerset</v>
      </c>
      <c r="C23" s="85"/>
      <c r="D23" s="94">
        <f>IF(Year1_Somerset Year1_LAC="","",Year1_Somerset Year1_LAC)</f>
        <v>501</v>
      </c>
      <c r="E23" s="94">
        <f>IF(Year2_Somerset Year2_LAC="","",Year2_Somerset Year2_LAC)</f>
        <v>476</v>
      </c>
      <c r="F23" s="94">
        <f>IF(Year3_Somerset Year3_LAC="","",Year3_Somerset Year3_LAC)</f>
        <v>517</v>
      </c>
      <c r="G23" s="94">
        <f>IF(Year4_Somerset Year4_LAC="","",Year4_Somerset Year4_LAC)</f>
        <v>534</v>
      </c>
      <c r="H23" s="95">
        <f>IF(Year5_Somerset Year5_LAC="","",Year5_Somerset Year5_LAC)</f>
        <v>529</v>
      </c>
      <c r="I23" s="344">
        <f t="shared" si="2"/>
        <v>1.4938242476495061E-2</v>
      </c>
      <c r="J23" s="96"/>
      <c r="K23" s="97">
        <f>IF(ISNUMBER(D23),D23/Population!D23*10000,NA())</f>
        <v>45.879120879120876</v>
      </c>
      <c r="L23" s="97">
        <f>IF(ISNUMBER(E23),E23/Population!E23*10000,NA())</f>
        <v>43.39106654512306</v>
      </c>
      <c r="M23" s="97">
        <f>IF(ISNUMBER(F23),F23/Population!F23*10000,NA())</f>
        <v>46.957311534968213</v>
      </c>
      <c r="N23" s="97">
        <f>IF(ISNUMBER(G23),G23/Population!G23*10000,NA())</f>
        <v>48.238482384823854</v>
      </c>
      <c r="O23" s="98">
        <f>IF(ISNUMBER(H23),H23/Population!H23*10000,NA())</f>
        <v>47.57194244604316</v>
      </c>
      <c r="P23" s="99">
        <f t="shared" si="3"/>
        <v>47.57194244604316</v>
      </c>
      <c r="Q23" s="370" t="str">
        <f t="shared" si="4"/>
        <v>--</v>
      </c>
      <c r="R23" s="70"/>
      <c r="S23" s="340">
        <f>IDACI!C22</f>
        <v>13.600000000000001</v>
      </c>
      <c r="T23" s="341">
        <f t="shared" si="0"/>
        <v>58.408091087258079</v>
      </c>
      <c r="U23" s="342">
        <f t="shared" si="5"/>
        <v>-10.836148641214919</v>
      </c>
      <c r="V23" s="122"/>
      <c r="W23" s="139"/>
      <c r="X23" s="152"/>
      <c r="Y23" s="72" t="str">
        <f t="shared" si="1"/>
        <v>Somerset</v>
      </c>
      <c r="Z23" s="44">
        <f>IF(ISNUMBER(H23),IDACI!D22,0)</f>
        <v>95875</v>
      </c>
      <c r="AA23" s="44">
        <f>IF(ISNUMBER(H23),IDACI!E22,0)</f>
        <v>13039.000000000002</v>
      </c>
      <c r="AB23" s="205">
        <f>IF(ISNUMBER(D23),Population!D23,"")</f>
        <v>109200</v>
      </c>
      <c r="AC23" s="205">
        <f>IF(ISNUMBER(E23),Population!E23,"")</f>
        <v>109700</v>
      </c>
      <c r="AD23" s="205">
        <f>IF(ISNUMBER(F23),Population!F23,"")</f>
        <v>110100</v>
      </c>
      <c r="AE23" s="205">
        <f>IF(ISNUMBER(G23),Population!G23,"")</f>
        <v>110700</v>
      </c>
      <c r="AF23" s="205">
        <f>IF(ISNUMBER(H23),Population!H23,"")</f>
        <v>111200</v>
      </c>
      <c r="AG23" s="93" t="s">
        <v>14</v>
      </c>
      <c r="AH23" s="231">
        <f t="shared" si="6"/>
        <v>94.736842105263165</v>
      </c>
      <c r="AI23" s="206">
        <f t="shared" si="7"/>
        <v>17</v>
      </c>
      <c r="AJ23" s="202"/>
      <c r="AK23" s="160"/>
      <c r="AL23" s="853">
        <f t="shared" si="8"/>
        <v>-4.9900199600798403E-2</v>
      </c>
      <c r="AM23" s="853">
        <f t="shared" si="8"/>
        <v>8.6134453781512604E-2</v>
      </c>
      <c r="AN23" s="853">
        <f t="shared" si="8"/>
        <v>3.2882011605415859E-2</v>
      </c>
      <c r="AO23" s="853">
        <f t="shared" si="8"/>
        <v>-9.3632958801498131E-3</v>
      </c>
      <c r="AP23" s="853">
        <f t="shared" si="9"/>
        <v>1.4938242476495061E-2</v>
      </c>
      <c r="AR23" s="74"/>
      <c r="AS23" s="74"/>
      <c r="AT23" s="74"/>
      <c r="AU23" s="74"/>
      <c r="AV23" s="74"/>
      <c r="AW23" s="74"/>
      <c r="AX23" s="74"/>
    </row>
    <row r="24" spans="1:50" s="87" customFormat="1" ht="13.5" customHeight="1" x14ac:dyDescent="0.2">
      <c r="A24" s="488">
        <f>VLOOKUP(B24,Sheet1!$AQ$4:$AR$25,2,FALSE)</f>
        <v>0</v>
      </c>
      <c r="B24" s="93" t="str">
        <f>Sheet1!$K$18</f>
        <v>Southampton</v>
      </c>
      <c r="C24" s="85"/>
      <c r="D24" s="94">
        <f>IF(Year1_Southampton Year1_LAC="","",Year1_Southampton Year1_LAC)</f>
        <v>591</v>
      </c>
      <c r="E24" s="94">
        <f>IF(Year2_Southampton Year2_LAC="","",Year2_Southampton Year2_LAC)</f>
        <v>540</v>
      </c>
      <c r="F24" s="94">
        <f>IF(Year3_Southampton Year3_LAC="","",Year3_Southampton Year3_LAC)</f>
        <v>522</v>
      </c>
      <c r="G24" s="94">
        <f>IF(Year4_Southampton Year4_LAC="","",Year4_Southampton Year4_LAC)</f>
        <v>481</v>
      </c>
      <c r="H24" s="95">
        <f>IF(Year5_Southampton Year5_LAC="","",Year5_Southampton Year5_LAC)</f>
        <v>486</v>
      </c>
      <c r="I24" s="344">
        <f t="shared" si="2"/>
        <v>-4.6944200121164938E-2</v>
      </c>
      <c r="J24" s="96"/>
      <c r="K24" s="97">
        <f>IF(ISNUMBER(D24),D24/Population!D24*10000,NA())</f>
        <v>120.1219512195122</v>
      </c>
      <c r="L24" s="97">
        <f>IF(ISNUMBER(E24),E24/Population!E24*10000,NA())</f>
        <v>108.21643286573146</v>
      </c>
      <c r="M24" s="97">
        <f>IF(ISNUMBER(F24),F24/Population!F24*10000,NA())</f>
        <v>103.77733598409543</v>
      </c>
      <c r="N24" s="97">
        <f>IF(ISNUMBER(G24),G24/Population!G24*10000,NA())</f>
        <v>94.685039370078741</v>
      </c>
      <c r="O24" s="98">
        <f>IF(ISNUMBER(H24),H24/Population!H24*10000,NA())</f>
        <v>94.736842105263165</v>
      </c>
      <c r="P24" s="99">
        <f t="shared" si="3"/>
        <v>94.736842105263165</v>
      </c>
      <c r="Q24" s="934">
        <f t="shared" si="4"/>
        <v>17</v>
      </c>
      <c r="R24" s="70"/>
      <c r="S24" s="340">
        <f>IDACI!C23</f>
        <v>20.5</v>
      </c>
      <c r="T24" s="341">
        <f t="shared" si="0"/>
        <v>84.291211615911791</v>
      </c>
      <c r="U24" s="342">
        <f t="shared" si="5"/>
        <v>10.445630489351373</v>
      </c>
      <c r="V24" s="122"/>
      <c r="W24" s="139"/>
      <c r="X24" s="152"/>
      <c r="Y24" s="72" t="str">
        <f t="shared" si="1"/>
        <v>Southampton</v>
      </c>
      <c r="Z24" s="44">
        <f>IF(ISNUMBER(H24),IDACI!D23,0)</f>
        <v>44295</v>
      </c>
      <c r="AA24" s="44">
        <f>IF(ISNUMBER(H24),IDACI!E23,0)</f>
        <v>9080.4750000000004</v>
      </c>
      <c r="AB24" s="205">
        <f>IF(ISNUMBER(D24),Population!D24,"")</f>
        <v>49200</v>
      </c>
      <c r="AC24" s="205">
        <f>IF(ISNUMBER(E24),Population!E24,"")</f>
        <v>49900</v>
      </c>
      <c r="AD24" s="205">
        <f>IF(ISNUMBER(F24),Population!F24,"")</f>
        <v>50300</v>
      </c>
      <c r="AE24" s="205">
        <f>IF(ISNUMBER(G24),Population!G24,"")</f>
        <v>50800</v>
      </c>
      <c r="AF24" s="205">
        <f>IF(ISNUMBER(H24),Population!H24,"")</f>
        <v>51300</v>
      </c>
      <c r="AG24" s="93" t="s">
        <v>7</v>
      </c>
      <c r="AH24" s="231">
        <f t="shared" si="6"/>
        <v>37.187263078089465</v>
      </c>
      <c r="AI24" s="206">
        <f t="shared" si="7"/>
        <v>3</v>
      </c>
      <c r="AJ24" s="202"/>
      <c r="AK24" s="160"/>
      <c r="AL24" s="853">
        <f t="shared" si="8"/>
        <v>-8.6294416243654817E-2</v>
      </c>
      <c r="AM24" s="853">
        <f t="shared" si="8"/>
        <v>-3.3333333333333333E-2</v>
      </c>
      <c r="AN24" s="853">
        <f t="shared" si="8"/>
        <v>-7.8544061302681989E-2</v>
      </c>
      <c r="AO24" s="853">
        <f t="shared" si="8"/>
        <v>1.0395010395010396E-2</v>
      </c>
      <c r="AP24" s="853">
        <f t="shared" si="9"/>
        <v>-4.6944200121164938E-2</v>
      </c>
      <c r="AR24" s="74"/>
      <c r="AS24" s="74"/>
      <c r="AT24" s="74"/>
      <c r="AU24" s="74"/>
      <c r="AV24" s="74"/>
      <c r="AW24" s="74"/>
      <c r="AX24" s="74"/>
    </row>
    <row r="25" spans="1:50" s="87" customFormat="1" ht="13.5" customHeight="1" x14ac:dyDescent="0.2">
      <c r="A25" s="488">
        <f>VLOOKUP(B25,Sheet1!$AQ$4:$AR$25,2,FALSE)</f>
        <v>0</v>
      </c>
      <c r="B25" s="93" t="str">
        <f>Sheet1!$K$19</f>
        <v>Surrey</v>
      </c>
      <c r="C25" s="85"/>
      <c r="D25" s="94">
        <f>IF(Year1_Surrey Year1_LAC="","",Year1_Surrey Year1_LAC)</f>
        <v>867</v>
      </c>
      <c r="E25" s="94">
        <f>IF(Year2_Surrey Year2_LAC="","",Year2_Surrey Year2_LAC)</f>
        <v>869</v>
      </c>
      <c r="F25" s="94">
        <f>IF(Year3_Surrey Year3_LAC="","",Year3_Surrey Year3_LAC)</f>
        <v>930</v>
      </c>
      <c r="G25" s="94">
        <f>IF(Year4_Surrey Year4_LAC="","",Year4_Surrey Year4_LAC)</f>
        <v>973</v>
      </c>
      <c r="H25" s="95">
        <f>IF(Year5_Surrey Year5_LAC="","",Year5_Surrey Year5_LAC)</f>
        <v>981</v>
      </c>
      <c r="I25" s="344">
        <f t="shared" si="2"/>
        <v>3.17402463014783E-2</v>
      </c>
      <c r="J25" s="96"/>
      <c r="K25" s="97">
        <f>IF(ISNUMBER(D25),D25/Population!D25*10000,NA())</f>
        <v>33.814352574102962</v>
      </c>
      <c r="L25" s="97">
        <f>IF(ISNUMBER(E25),E25/Population!E25*10000,NA())</f>
        <v>33.552123552123554</v>
      </c>
      <c r="M25" s="97">
        <f>IF(ISNUMBER(F25),F25/Population!F25*10000,NA())</f>
        <v>35.728006146753742</v>
      </c>
      <c r="N25" s="97">
        <f>IF(ISNUMBER(G25),G25/Population!G25*10000,NA())</f>
        <v>37.151584574264987</v>
      </c>
      <c r="O25" s="98">
        <f>IF(ISNUMBER(H25),H25/Population!H25*10000,NA())</f>
        <v>37.187263078089465</v>
      </c>
      <c r="P25" s="99">
        <f t="shared" si="3"/>
        <v>37.187263078089465</v>
      </c>
      <c r="Q25" s="934">
        <f t="shared" si="4"/>
        <v>3</v>
      </c>
      <c r="R25" s="70"/>
      <c r="S25" s="340">
        <f>IDACI!C24</f>
        <v>8.3000000000000007</v>
      </c>
      <c r="T25" s="341">
        <f t="shared" si="0"/>
        <v>38.526853579741456</v>
      </c>
      <c r="U25" s="342">
        <f t="shared" si="5"/>
        <v>-1.3395905016519905</v>
      </c>
      <c r="V25" s="122"/>
      <c r="W25" s="139"/>
      <c r="X25" s="152"/>
      <c r="Y25" s="72" t="str">
        <f t="shared" si="1"/>
        <v>Surrey</v>
      </c>
      <c r="Z25" s="44">
        <f>IF(ISNUMBER(H25),IDACI!D24,0)</f>
        <v>228466</v>
      </c>
      <c r="AA25" s="44">
        <f>IF(ISNUMBER(H25),IDACI!E24,0)</f>
        <v>18962.678</v>
      </c>
      <c r="AB25" s="205">
        <f>IF(ISNUMBER(D25),Population!D25,"")</f>
        <v>256400</v>
      </c>
      <c r="AC25" s="205">
        <f>IF(ISNUMBER(E25),Population!E25,"")</f>
        <v>259000</v>
      </c>
      <c r="AD25" s="205">
        <f>IF(ISNUMBER(F25),Population!F25,"")</f>
        <v>260300</v>
      </c>
      <c r="AE25" s="205">
        <f>IF(ISNUMBER(G25),Population!G25,"")</f>
        <v>261900</v>
      </c>
      <c r="AF25" s="205">
        <f>IF(ISNUMBER(H25),Population!H25,"")</f>
        <v>263800</v>
      </c>
      <c r="AG25" s="93" t="s">
        <v>15</v>
      </c>
      <c r="AH25" s="231">
        <f t="shared" si="6"/>
        <v>44.101123595505619</v>
      </c>
      <c r="AI25" s="206">
        <f t="shared" si="7"/>
        <v>5</v>
      </c>
      <c r="AJ25" s="202"/>
      <c r="AK25" s="160"/>
      <c r="AL25" s="853">
        <f t="shared" si="8"/>
        <v>2.306805074971165E-3</v>
      </c>
      <c r="AM25" s="853">
        <f t="shared" si="8"/>
        <v>7.0195627157652471E-2</v>
      </c>
      <c r="AN25" s="853">
        <f t="shared" si="8"/>
        <v>4.6236559139784944E-2</v>
      </c>
      <c r="AO25" s="853">
        <f t="shared" si="8"/>
        <v>8.2219938335046251E-3</v>
      </c>
      <c r="AP25" s="853">
        <f t="shared" si="9"/>
        <v>3.17402463014783E-2</v>
      </c>
      <c r="AR25" s="74"/>
      <c r="AS25" s="74"/>
      <c r="AT25" s="74"/>
      <c r="AU25" s="74"/>
      <c r="AV25" s="74"/>
      <c r="AW25" s="74"/>
      <c r="AX25" s="74"/>
    </row>
    <row r="26" spans="1:50" s="87" customFormat="1" ht="13.5" customHeight="1" x14ac:dyDescent="0.2">
      <c r="A26" s="488">
        <f>VLOOKUP(B26,Sheet1!$AQ$4:$AR$25,2,FALSE)</f>
        <v>0</v>
      </c>
      <c r="B26" s="93" t="str">
        <f>Sheet1!$K$20</f>
        <v>Swindon</v>
      </c>
      <c r="C26" s="85"/>
      <c r="D26" s="94">
        <f>IF(Year1_Swindon Year1_LAC="","",Year1_Swindon Year1_LAC)</f>
        <v>293</v>
      </c>
      <c r="E26" s="94">
        <f>IF(Year2_Swindon Year2_LAC="","",Year2_Swindon Year2_LAC)</f>
        <v>330</v>
      </c>
      <c r="F26" s="94">
        <f>IF(Year3_Swindon Year3_LAC="","",Year3_Swindon Year3_LAC)</f>
        <v>360</v>
      </c>
      <c r="G26" s="94">
        <f>IF(Year4_Swindon Year4_LAC="","",Year4_Swindon Year4_LAC)</f>
        <v>348</v>
      </c>
      <c r="H26" s="95">
        <f>IF(Year5_Swindon Year5_LAC="","",Year5_Swindon Year5_LAC)</f>
        <v>301</v>
      </c>
      <c r="I26" s="344">
        <f t="shared" si="2"/>
        <v>1.2199537448154607E-2</v>
      </c>
      <c r="J26" s="96"/>
      <c r="K26" s="97">
        <f>IF(ISNUMBER(D26),D26/Population!D26*10000,NA())</f>
        <v>59.795918367346943</v>
      </c>
      <c r="L26" s="97">
        <f>IF(ISNUMBER(E26),E26/Population!E26*10000,NA())</f>
        <v>66.666666666666671</v>
      </c>
      <c r="M26" s="97">
        <f>IF(ISNUMBER(F26),F26/Population!F26*10000,NA())</f>
        <v>72.144288577154313</v>
      </c>
      <c r="N26" s="97">
        <f>IF(ISNUMBER(G26),G26/Population!G26*10000,NA())</f>
        <v>69.322709163346616</v>
      </c>
      <c r="O26" s="98">
        <f>IF(ISNUMBER(H26),H26/Population!H26*10000,NA())</f>
        <v>59.722222222222229</v>
      </c>
      <c r="P26" s="99">
        <f t="shared" si="3"/>
        <v>59.722222222222229</v>
      </c>
      <c r="Q26" s="370" t="str">
        <f t="shared" si="4"/>
        <v>--</v>
      </c>
      <c r="R26" s="70"/>
      <c r="S26" s="340">
        <f>IDACI!C25</f>
        <v>14.899999999999999</v>
      </c>
      <c r="T26" s="341">
        <f t="shared" si="0"/>
        <v>63.284621041931956</v>
      </c>
      <c r="U26" s="342">
        <f t="shared" si="5"/>
        <v>-3.5623988197097276</v>
      </c>
      <c r="V26" s="122"/>
      <c r="W26" s="139"/>
      <c r="X26" s="152"/>
      <c r="Y26" s="72" t="str">
        <f t="shared" si="1"/>
        <v>Swindon</v>
      </c>
      <c r="Z26" s="44">
        <f>IF(ISNUMBER(H26),IDACI!D25,0)</f>
        <v>43899</v>
      </c>
      <c r="AA26" s="44">
        <f>IF(ISNUMBER(H26),IDACI!E25,0)</f>
        <v>6540.951</v>
      </c>
      <c r="AB26" s="205">
        <f>IF(ISNUMBER(D26),Population!D26,"")</f>
        <v>49000</v>
      </c>
      <c r="AC26" s="205">
        <f>IF(ISNUMBER(E26),Population!E26,"")</f>
        <v>49500</v>
      </c>
      <c r="AD26" s="205">
        <f>IF(ISNUMBER(F26),Population!F26,"")</f>
        <v>49900</v>
      </c>
      <c r="AE26" s="205">
        <f>IF(ISNUMBER(G26),Population!G26,"")</f>
        <v>50200</v>
      </c>
      <c r="AF26" s="205">
        <f>IF(ISNUMBER(H26),Population!H26,"")</f>
        <v>50400</v>
      </c>
      <c r="AG26" s="93" t="s">
        <v>5</v>
      </c>
      <c r="AH26" s="231">
        <f t="shared" si="6"/>
        <v>45.883021010789321</v>
      </c>
      <c r="AI26" s="206">
        <f t="shared" si="7"/>
        <v>7</v>
      </c>
      <c r="AJ26" s="202"/>
      <c r="AK26" s="160"/>
      <c r="AL26" s="853">
        <f t="shared" si="8"/>
        <v>0.12627986348122866</v>
      </c>
      <c r="AM26" s="853">
        <f t="shared" si="8"/>
        <v>9.0909090909090912E-2</v>
      </c>
      <c r="AN26" s="853">
        <f t="shared" si="8"/>
        <v>-3.3333333333333333E-2</v>
      </c>
      <c r="AO26" s="853">
        <f t="shared" si="8"/>
        <v>-0.13505747126436782</v>
      </c>
      <c r="AP26" s="853">
        <f t="shared" si="9"/>
        <v>1.2199537448154607E-2</v>
      </c>
      <c r="AR26" s="74"/>
      <c r="AS26" s="74"/>
      <c r="AT26" s="74"/>
      <c r="AU26" s="74"/>
      <c r="AV26" s="74"/>
      <c r="AW26" s="74"/>
      <c r="AX26" s="74"/>
    </row>
    <row r="27" spans="1:50" s="87" customFormat="1" ht="13.5" customHeight="1" x14ac:dyDescent="0.2">
      <c r="A27" s="488">
        <f>VLOOKUP(B27,Sheet1!$AQ$4:$AR$25,2,FALSE)</f>
        <v>0</v>
      </c>
      <c r="B27" s="93" t="str">
        <f>Sheet1!$K$21</f>
        <v>Torbay</v>
      </c>
      <c r="C27" s="85"/>
      <c r="D27" s="94">
        <f>IF(Year1_Torbay Year1_LAC="","",Year1_Torbay Year1_LAC)</f>
        <v>279</v>
      </c>
      <c r="E27" s="94">
        <f>IF(Year2_Torbay Year2_LAC="","",Year2_Torbay Year2_LAC)</f>
        <v>289</v>
      </c>
      <c r="F27" s="94">
        <f>IF(Year3_Torbay Year3_LAC="","",Year3_Torbay Year3_LAC)</f>
        <v>329</v>
      </c>
      <c r="G27" s="94">
        <f>IF(Year4_Torbay Year4_LAC="","",Year4_Torbay Year4_LAC)</f>
        <v>362</v>
      </c>
      <c r="H27" s="95">
        <f>IF(Year5_Torbay Year5_LAC="","",Year5_Torbay Year5_LAC)</f>
        <v>357</v>
      </c>
      <c r="I27" s="344">
        <f t="shared" si="2"/>
        <v>6.5185598769182118E-2</v>
      </c>
      <c r="J27" s="96"/>
      <c r="K27" s="97">
        <f>IF(ISNUMBER(D27),D27/Population!D27*10000,NA())</f>
        <v>110.71428571428571</v>
      </c>
      <c r="L27" s="97">
        <f>IF(ISNUMBER(E27),E27/Population!E27*10000,NA())</f>
        <v>113.77952755905513</v>
      </c>
      <c r="M27" s="97">
        <f>IF(ISNUMBER(F27),F27/Population!F27*10000,NA())</f>
        <v>129.5275590551181</v>
      </c>
      <c r="N27" s="97">
        <f>IF(ISNUMBER(G27),G27/Population!G27*10000,NA())</f>
        <v>142.51968503937007</v>
      </c>
      <c r="O27" s="98">
        <f>IF(ISNUMBER(H27),H27/Population!H27*10000,NA())</f>
        <v>139.453125</v>
      </c>
      <c r="P27" s="99">
        <f t="shared" si="3"/>
        <v>139.453125</v>
      </c>
      <c r="Q27" s="370" t="str">
        <f t="shared" si="4"/>
        <v>--</v>
      </c>
      <c r="R27" s="70"/>
      <c r="S27" s="340">
        <f>IDACI!C26</f>
        <v>21.9</v>
      </c>
      <c r="T27" s="341">
        <f t="shared" si="0"/>
        <v>89.54285925940674</v>
      </c>
      <c r="U27" s="342">
        <f t="shared" si="5"/>
        <v>49.91026574059326</v>
      </c>
      <c r="V27" s="122"/>
      <c r="W27" s="139"/>
      <c r="X27" s="152"/>
      <c r="Y27" s="72" t="str">
        <f t="shared" si="1"/>
        <v>Torbay</v>
      </c>
      <c r="Z27" s="44">
        <f>IF(ISNUMBER(H27),IDACI!D26,0)</f>
        <v>22257</v>
      </c>
      <c r="AA27" s="44">
        <f>IF(ISNUMBER(H27),IDACI!E26,0)</f>
        <v>4874.2829999999994</v>
      </c>
      <c r="AB27" s="205">
        <f>IF(ISNUMBER(D27),Population!D27,"")</f>
        <v>25200</v>
      </c>
      <c r="AC27" s="205">
        <f>IF(ISNUMBER(E27),Population!E27,"")</f>
        <v>25400</v>
      </c>
      <c r="AD27" s="205">
        <f>IF(ISNUMBER(F27),Population!F27,"")</f>
        <v>25400</v>
      </c>
      <c r="AE27" s="205">
        <f>IF(ISNUMBER(G27),Population!G27,"")</f>
        <v>25400</v>
      </c>
      <c r="AF27" s="205">
        <f>IF(ISNUMBER(H27),Population!H27,"")</f>
        <v>25600</v>
      </c>
      <c r="AG27" s="93" t="s">
        <v>30</v>
      </c>
      <c r="AH27" s="231">
        <f t="shared" si="6"/>
        <v>33.429394812680115</v>
      </c>
      <c r="AI27" s="206">
        <f t="shared" si="7"/>
        <v>2</v>
      </c>
      <c r="AJ27" s="202"/>
      <c r="AK27" s="160"/>
      <c r="AL27" s="853">
        <f t="shared" si="8"/>
        <v>3.5842293906810034E-2</v>
      </c>
      <c r="AM27" s="853">
        <f t="shared" si="8"/>
        <v>0.13840830449826991</v>
      </c>
      <c r="AN27" s="853">
        <f t="shared" si="8"/>
        <v>0.10030395136778116</v>
      </c>
      <c r="AO27" s="853">
        <f t="shared" si="8"/>
        <v>-1.3812154696132596E-2</v>
      </c>
      <c r="AP27" s="853">
        <f t="shared" si="9"/>
        <v>6.5185598769182118E-2</v>
      </c>
      <c r="AR27" s="74"/>
      <c r="AS27" s="74"/>
      <c r="AT27" s="74"/>
      <c r="AU27" s="74"/>
      <c r="AV27" s="74"/>
      <c r="AW27" s="74"/>
      <c r="AX27" s="74"/>
    </row>
    <row r="28" spans="1:50" s="87" customFormat="1" ht="13.5" customHeight="1" x14ac:dyDescent="0.2">
      <c r="A28" s="488">
        <f>VLOOKUP(B28,Sheet1!$AQ$4:$AR$25,2,FALSE)</f>
        <v>0</v>
      </c>
      <c r="B28" s="93" t="str">
        <f>Sheet1!$K$22</f>
        <v>West Berkshire</v>
      </c>
      <c r="C28" s="85"/>
      <c r="D28" s="94">
        <f>IF(Year1_West_Berkshire Year1_LAC="","",Year1_West_Berkshire Year1_LAC)</f>
        <v>157</v>
      </c>
      <c r="E28" s="100">
        <f>IF(Year2_West_Berkshire Year2_LAC="","",Year2_West_Berkshire Year2_LAC)</f>
        <v>161</v>
      </c>
      <c r="F28" s="94">
        <f>IF(Year3_West_Berkshire Year3_LAC="","",Year3_West_Berkshire Year3_LAC)</f>
        <v>145</v>
      </c>
      <c r="G28" s="94">
        <f>IF(Year4_West_Berkshire Year4_LAC="","",Year4_West_Berkshire Year4_LAC)</f>
        <v>172</v>
      </c>
      <c r="H28" s="95">
        <f>IF(Year5_West_Berkshire Year5_LAC="","",Year5_West_Berkshire Year5_LAC)</f>
        <v>157</v>
      </c>
      <c r="I28" s="344">
        <f t="shared" si="2"/>
        <v>6.2741048112336349E-3</v>
      </c>
      <c r="J28" s="96"/>
      <c r="K28" s="97">
        <f>IF(ISNUMBER(D28),D28/Population!D28*10000,NA())</f>
        <v>43.977591036414566</v>
      </c>
      <c r="L28" s="97">
        <f>IF(ISNUMBER(E28),E28/Population!E28*10000,NA())</f>
        <v>44.846796657381617</v>
      </c>
      <c r="M28" s="97">
        <f>IF(ISNUMBER(F28),F28/Population!F28*10000,NA())</f>
        <v>40.502793296089386</v>
      </c>
      <c r="N28" s="97">
        <f>IF(ISNUMBER(G28),G28/Population!G28*10000,NA())</f>
        <v>48.31460674157303</v>
      </c>
      <c r="O28" s="98">
        <f>IF(ISNUMBER(H28),H28/Population!H28*10000,NA())</f>
        <v>44.101123595505619</v>
      </c>
      <c r="P28" s="99">
        <f t="shared" si="3"/>
        <v>44.101123595505619</v>
      </c>
      <c r="Q28" s="934">
        <f t="shared" si="4"/>
        <v>5</v>
      </c>
      <c r="R28" s="70"/>
      <c r="S28" s="340">
        <f>IDACI!C27</f>
        <v>8.6999999999999993</v>
      </c>
      <c r="T28" s="341">
        <f t="shared" si="0"/>
        <v>40.027324335025725</v>
      </c>
      <c r="U28" s="342">
        <f t="shared" si="5"/>
        <v>4.0737992604798947</v>
      </c>
      <c r="V28" s="122"/>
      <c r="W28" s="139"/>
      <c r="X28" s="152"/>
      <c r="Y28" s="72" t="str">
        <f t="shared" si="1"/>
        <v>West Berkshire</v>
      </c>
      <c r="Z28" s="44">
        <f>IF(ISNUMBER(H28),IDACI!D27,0)</f>
        <v>31625</v>
      </c>
      <c r="AA28" s="44">
        <f>IF(ISNUMBER(H28),IDACI!E27,0)</f>
        <v>2751.375</v>
      </c>
      <c r="AB28" s="205">
        <f>IF(ISNUMBER(D28),Population!D28,"")</f>
        <v>35700</v>
      </c>
      <c r="AC28" s="205">
        <f>IF(ISNUMBER(E28),Population!E28,"")</f>
        <v>35900</v>
      </c>
      <c r="AD28" s="205">
        <f>IF(ISNUMBER(F28),Population!F28,"")</f>
        <v>35800</v>
      </c>
      <c r="AE28" s="205">
        <f>IF(ISNUMBER(G28),Population!G28,"")</f>
        <v>35600</v>
      </c>
      <c r="AF28" s="205">
        <f>IF(ISNUMBER(H28),Population!H28,"")</f>
        <v>35600</v>
      </c>
      <c r="AG28" s="93" t="s">
        <v>16</v>
      </c>
      <c r="AH28" s="231">
        <f t="shared" si="6"/>
        <v>24.257425742574256</v>
      </c>
      <c r="AI28" s="206">
        <f t="shared" si="7"/>
        <v>1</v>
      </c>
      <c r="AJ28" s="202"/>
      <c r="AK28" s="160"/>
      <c r="AL28" s="853">
        <f t="shared" si="8"/>
        <v>2.5477707006369428E-2</v>
      </c>
      <c r="AM28" s="853">
        <f t="shared" si="8"/>
        <v>-9.9378881987577633E-2</v>
      </c>
      <c r="AN28" s="853">
        <f t="shared" si="8"/>
        <v>0.18620689655172415</v>
      </c>
      <c r="AO28" s="853">
        <f t="shared" si="8"/>
        <v>-8.7209302325581398E-2</v>
      </c>
      <c r="AP28" s="853">
        <f t="shared" si="9"/>
        <v>6.2741048112336349E-3</v>
      </c>
      <c r="AR28" s="74"/>
      <c r="AS28" s="74"/>
      <c r="AT28" s="74"/>
      <c r="AU28" s="74"/>
      <c r="AV28" s="74"/>
      <c r="AW28" s="74"/>
      <c r="AX28" s="74"/>
    </row>
    <row r="29" spans="1:50" s="87" customFormat="1" ht="13.5" customHeight="1" x14ac:dyDescent="0.2">
      <c r="A29" s="488">
        <f>VLOOKUP(B29,Sheet1!$AQ$4:$AR$25,2,FALSE)</f>
        <v>0</v>
      </c>
      <c r="B29" s="93" t="str">
        <f>Sheet1!$K$23</f>
        <v>West Sussex</v>
      </c>
      <c r="C29" s="85"/>
      <c r="D29" s="94">
        <f>IF(Year1_West_Sussex Year1_LAC="","",Year1_West_Sussex Year1_LAC)</f>
        <v>639</v>
      </c>
      <c r="E29" s="100">
        <f>IF(Year2_West_Sussex Year2_LAC="","",Year2_West_Sussex Year2_LAC)</f>
        <v>663</v>
      </c>
      <c r="F29" s="94">
        <f>IF(Year3_West_Sussex Year3_LAC="","",Year3_West_Sussex Year3_LAC)</f>
        <v>704</v>
      </c>
      <c r="G29" s="94">
        <f>IF(Year4_West_Sussex Year4_LAC="","",Year4_West_Sussex Year4_LAC)</f>
        <v>704</v>
      </c>
      <c r="H29" s="95">
        <f>IF(Year5_West_Sussex Year5_LAC="","",Year5_West_Sussex Year5_LAC)</f>
        <v>808</v>
      </c>
      <c r="I29" s="344">
        <f t="shared" si="2"/>
        <v>6.1781519709233054E-2</v>
      </c>
      <c r="J29" s="96"/>
      <c r="K29" s="97">
        <f>IF(ISNUMBER(D29),D29/Population!D29*10000,NA())</f>
        <v>37.5</v>
      </c>
      <c r="L29" s="97">
        <f>IF(ISNUMBER(E29),E29/Population!E29*10000,NA())</f>
        <v>38.59138533178114</v>
      </c>
      <c r="M29" s="97">
        <f>IF(ISNUMBER(F29),F29/Population!F29*10000,NA())</f>
        <v>40.623196768609347</v>
      </c>
      <c r="N29" s="97">
        <f>IF(ISNUMBER(G29),G29/Population!G29*10000,NA())</f>
        <v>40.297653119633658</v>
      </c>
      <c r="O29" s="98">
        <f>IF(ISNUMBER(H29),H29/Population!H29*10000,NA())</f>
        <v>45.883021010789321</v>
      </c>
      <c r="P29" s="99">
        <f t="shared" si="3"/>
        <v>45.883021010789321</v>
      </c>
      <c r="Q29" s="934">
        <f t="shared" si="4"/>
        <v>7</v>
      </c>
      <c r="R29" s="70"/>
      <c r="S29" s="340">
        <f>IDACI!C28</f>
        <v>11</v>
      </c>
      <c r="T29" s="341">
        <f t="shared" si="0"/>
        <v>48.655031177910303</v>
      </c>
      <c r="U29" s="342">
        <f t="shared" si="5"/>
        <v>-2.7720101671209818</v>
      </c>
      <c r="V29" s="122"/>
      <c r="W29" s="139"/>
      <c r="X29" s="152"/>
      <c r="Y29" s="72" t="str">
        <f t="shared" si="1"/>
        <v>West Sussex</v>
      </c>
      <c r="Z29" s="44">
        <f>IF(ISNUMBER(H29),IDACI!D28,0)</f>
        <v>151487</v>
      </c>
      <c r="AA29" s="44">
        <f>IF(ISNUMBER(H29),IDACI!E28,0)</f>
        <v>16663.57</v>
      </c>
      <c r="AB29" s="205">
        <f>IF(ISNUMBER(D29),Population!D29,"")</f>
        <v>170400</v>
      </c>
      <c r="AC29" s="205">
        <f>IF(ISNUMBER(E29),Population!E29,"")</f>
        <v>171800</v>
      </c>
      <c r="AD29" s="205">
        <f>IF(ISNUMBER(F29),Population!F29,"")</f>
        <v>173300</v>
      </c>
      <c r="AE29" s="205">
        <f>IF(ISNUMBER(G29),Population!G29,"")</f>
        <v>174700</v>
      </c>
      <c r="AF29" s="205">
        <f>IF(ISNUMBER(H29),Population!H29,"")</f>
        <v>176100</v>
      </c>
      <c r="AG29" s="202"/>
      <c r="AH29" s="202"/>
      <c r="AI29" s="190"/>
      <c r="AJ29" s="202"/>
      <c r="AK29" s="160"/>
      <c r="AL29" s="853">
        <f t="shared" si="8"/>
        <v>3.7558685446009391E-2</v>
      </c>
      <c r="AM29" s="853">
        <f t="shared" si="8"/>
        <v>6.1840120663650078E-2</v>
      </c>
      <c r="AN29" s="853">
        <f t="shared" si="8"/>
        <v>0</v>
      </c>
      <c r="AO29" s="853">
        <f t="shared" si="8"/>
        <v>0.14772727272727273</v>
      </c>
      <c r="AP29" s="853">
        <f t="shared" si="9"/>
        <v>6.1781519709233054E-2</v>
      </c>
      <c r="AR29" s="74"/>
      <c r="AS29" s="74"/>
      <c r="AT29" s="74"/>
      <c r="AU29" s="74"/>
      <c r="AV29" s="74"/>
      <c r="AW29" s="74"/>
      <c r="AX29" s="74"/>
    </row>
    <row r="30" spans="1:50" s="87" customFormat="1" ht="13.5" customHeight="1" x14ac:dyDescent="0.2">
      <c r="A30" s="488">
        <f>VLOOKUP(B30,Sheet1!$AQ$4:$AR$25,2,FALSE)</f>
        <v>0</v>
      </c>
      <c r="B30" s="93" t="str">
        <f>Sheet1!$K$24</f>
        <v>Windsor &amp; Maidenhead</v>
      </c>
      <c r="C30" s="85"/>
      <c r="D30" s="100">
        <f>IF(Year1_Windsor_Maidenhead Year1_LAC="","",Year1_Windsor_Maidenhead Year1_LAC)</f>
        <v>89</v>
      </c>
      <c r="E30" s="94">
        <f>IF(Year2_Windsor_Maidenhead Year2_LAC="","",Year2_Windsor_Maidenhead Year2_LAC)</f>
        <v>109</v>
      </c>
      <c r="F30" s="94">
        <f>IF(Year3_Windsor_Maidenhead Year3_LAC="","",Year3_Windsor_Maidenhead Year3_LAC)</f>
        <v>107</v>
      </c>
      <c r="G30" s="94">
        <f>IF(Year4_Windsor_Maidenhead Year4_LAC="","",Year4_Windsor_Maidenhead Year4_LAC)</f>
        <v>124</v>
      </c>
      <c r="H30" s="95">
        <f>IF(Year5_Windsor_Maidenhead Year5_LAC="","",Year5_Windsor_Maidenhead Year5_LAC)</f>
        <v>116</v>
      </c>
      <c r="I30" s="344">
        <f t="shared" si="2"/>
        <v>7.518321322775591E-2</v>
      </c>
      <c r="J30" s="96"/>
      <c r="K30" s="97">
        <f>IF(ISNUMBER(D30),D30/Population!D30*10000,NA())</f>
        <v>26.409495548961427</v>
      </c>
      <c r="L30" s="97">
        <f>IF(ISNUMBER(E30),E30/Population!E30*10000,NA())</f>
        <v>31.871345029239766</v>
      </c>
      <c r="M30" s="97">
        <f>IF(ISNUMBER(F30),F30/Population!F30*10000,NA())</f>
        <v>31.104651162790699</v>
      </c>
      <c r="N30" s="97">
        <f>IF(ISNUMBER(G30),G30/Population!G30*10000,NA())</f>
        <v>35.838150289017342</v>
      </c>
      <c r="O30" s="98">
        <f>IF(ISNUMBER(H30),H30/Population!H30*10000,NA())</f>
        <v>33.429394812680115</v>
      </c>
      <c r="P30" s="99">
        <f t="shared" si="3"/>
        <v>33.429394812680115</v>
      </c>
      <c r="Q30" s="934">
        <f t="shared" si="4"/>
        <v>2</v>
      </c>
      <c r="R30" s="70"/>
      <c r="S30" s="340">
        <f>IDACI!C29</f>
        <v>6.7</v>
      </c>
      <c r="T30" s="341">
        <f t="shared" si="0"/>
        <v>32.524970558604366</v>
      </c>
      <c r="U30" s="342">
        <f t="shared" si="5"/>
        <v>0.90442425407574945</v>
      </c>
      <c r="V30" s="122"/>
      <c r="W30" s="139"/>
      <c r="X30" s="152"/>
      <c r="Y30" s="72" t="str">
        <f t="shared" si="1"/>
        <v>Windsor &amp; Maidenhead</v>
      </c>
      <c r="Z30" s="44">
        <f>IF(ISNUMBER(H30),IDACI!D29,0)</f>
        <v>29792</v>
      </c>
      <c r="AA30" s="44">
        <f>IF(ISNUMBER(H30),IDACI!E29,0)</f>
        <v>1996.0640000000001</v>
      </c>
      <c r="AB30" s="205">
        <f>IF(ISNUMBER(D30),Population!D30,"")</f>
        <v>33700</v>
      </c>
      <c r="AC30" s="205">
        <f>IF(ISNUMBER(E30),Population!E30,"")</f>
        <v>34200</v>
      </c>
      <c r="AD30" s="205">
        <f>IF(ISNUMBER(F30),Population!F30,"")</f>
        <v>34400</v>
      </c>
      <c r="AE30" s="205">
        <f>IF(ISNUMBER(G30),Population!G30,"")</f>
        <v>34600</v>
      </c>
      <c r="AF30" s="205">
        <f>IF(ISNUMBER(H30),Population!H30,"")</f>
        <v>34700</v>
      </c>
      <c r="AG30" s="202"/>
      <c r="AH30" s="202"/>
      <c r="AI30" s="190"/>
      <c r="AJ30" s="202"/>
      <c r="AK30" s="160"/>
      <c r="AL30" s="853">
        <f t="shared" si="8"/>
        <v>0.2247191011235955</v>
      </c>
      <c r="AM30" s="853">
        <f t="shared" si="8"/>
        <v>-1.834862385321101E-2</v>
      </c>
      <c r="AN30" s="853">
        <f t="shared" si="8"/>
        <v>0.15887850467289719</v>
      </c>
      <c r="AO30" s="853">
        <f t="shared" si="8"/>
        <v>-6.4516129032258063E-2</v>
      </c>
      <c r="AP30" s="853">
        <f t="shared" si="9"/>
        <v>7.518321322775591E-2</v>
      </c>
      <c r="AR30" s="74"/>
      <c r="AS30" s="74"/>
      <c r="AT30" s="74"/>
      <c r="AU30" s="74"/>
      <c r="AV30" s="74"/>
      <c r="AW30" s="74"/>
      <c r="AX30" s="74"/>
    </row>
    <row r="31" spans="1:50" s="87" customFormat="1" ht="13.5" customHeight="1" x14ac:dyDescent="0.2">
      <c r="A31" s="488">
        <f>VLOOKUP(B31,Sheet1!$AQ$4:$AR$25,2,FALSE)</f>
        <v>0</v>
      </c>
      <c r="B31" s="93" t="str">
        <f>Sheet1!$K$25</f>
        <v>Wokingham</v>
      </c>
      <c r="C31" s="85"/>
      <c r="D31" s="100">
        <f>IF(Year1_Wokingham Year1_LAC="","",Year1_Wokingham Year1_LAC)</f>
        <v>81</v>
      </c>
      <c r="E31" s="94">
        <f>IF(Year2_Wokingham Year2_LAC="","",Year2_Wokingham Year2_LAC)</f>
        <v>75</v>
      </c>
      <c r="F31" s="94">
        <f>IF(Year3_Wokingham Year3_LAC="","",Year3_Wokingham Year3_LAC)</f>
        <v>106</v>
      </c>
      <c r="G31" s="94">
        <f>IF(Year4_Wokingham Year4_LAC="","",Year4_Wokingham Year4_LAC)</f>
        <v>110</v>
      </c>
      <c r="H31" s="95">
        <f>IF(Year5_Wokingham Year5_LAC="","",Year5_Wokingham Year5_LAC)</f>
        <v>98</v>
      </c>
      <c r="I31" s="344">
        <f t="shared" si="2"/>
        <v>6.6976049806238488E-2</v>
      </c>
      <c r="J31" s="96"/>
      <c r="K31" s="97">
        <f>IF(ISNUMBER(D31),D31/Population!D31*10000,NA())</f>
        <v>21.715817694369974</v>
      </c>
      <c r="L31" s="97">
        <f>IF(ISNUMBER(E31),E31/Population!E31*10000,NA())</f>
        <v>19.736842105263158</v>
      </c>
      <c r="M31" s="97">
        <f>IF(ISNUMBER(F31),F31/Population!F31*10000,NA())</f>
        <v>27.390180878552972</v>
      </c>
      <c r="N31" s="97">
        <f>IF(ISNUMBER(G31),G31/Population!G31*10000,NA())</f>
        <v>27.848101265822784</v>
      </c>
      <c r="O31" s="98">
        <f>IF(ISNUMBER(H31),H31/Population!H31*10000,NA())</f>
        <v>24.257425742574256</v>
      </c>
      <c r="P31" s="99">
        <f t="shared" si="3"/>
        <v>24.257425742574256</v>
      </c>
      <c r="Q31" s="934">
        <f t="shared" si="4"/>
        <v>1</v>
      </c>
      <c r="R31" s="70"/>
      <c r="S31" s="340">
        <f>IDACI!C30</f>
        <v>5.6000000000000005</v>
      </c>
      <c r="T31" s="341">
        <f t="shared" si="0"/>
        <v>28.398675981572612</v>
      </c>
      <c r="U31" s="342">
        <f t="shared" si="5"/>
        <v>-4.1412502389983565</v>
      </c>
      <c r="V31" s="122"/>
      <c r="W31" s="139"/>
      <c r="X31" s="152"/>
      <c r="Y31" s="72" t="str">
        <f t="shared" si="1"/>
        <v>Wokingham</v>
      </c>
      <c r="Z31" s="44">
        <f>IF(ISNUMBER(H31),IDACI!D30,0)</f>
        <v>33327</v>
      </c>
      <c r="AA31" s="44">
        <f>IF(ISNUMBER(H31),IDACI!E30,0)</f>
        <v>1866.3120000000004</v>
      </c>
      <c r="AB31" s="205">
        <f>IF(ISNUMBER(D31),Population!D31,"")</f>
        <v>37300</v>
      </c>
      <c r="AC31" s="205">
        <f>IF(ISNUMBER(E31),Population!E31,"")</f>
        <v>38000</v>
      </c>
      <c r="AD31" s="205">
        <f>IF(ISNUMBER(F31),Population!F31,"")</f>
        <v>38700</v>
      </c>
      <c r="AE31" s="205">
        <f>IF(ISNUMBER(G31),Population!G31,"")</f>
        <v>39500</v>
      </c>
      <c r="AF31" s="205">
        <f>IF(ISNUMBER(H31),Population!H31,"")</f>
        <v>40400</v>
      </c>
      <c r="AG31" s="202"/>
      <c r="AH31" s="202"/>
      <c r="AI31" s="190"/>
      <c r="AJ31" s="202"/>
      <c r="AK31" s="160"/>
      <c r="AL31" s="853">
        <f t="shared" si="8"/>
        <v>-7.407407407407407E-2</v>
      </c>
      <c r="AM31" s="853">
        <f t="shared" si="8"/>
        <v>0.41333333333333333</v>
      </c>
      <c r="AN31" s="853">
        <f t="shared" si="8"/>
        <v>3.7735849056603772E-2</v>
      </c>
      <c r="AO31" s="853">
        <f t="shared" si="8"/>
        <v>-0.10909090909090909</v>
      </c>
      <c r="AP31" s="853">
        <f t="shared" si="9"/>
        <v>6.6976049806238488E-2</v>
      </c>
      <c r="AR31" s="74"/>
      <c r="AS31" s="74"/>
      <c r="AT31" s="74"/>
      <c r="AU31" s="74"/>
      <c r="AV31" s="74"/>
      <c r="AW31" s="74"/>
      <c r="AX31" s="74"/>
    </row>
    <row r="32" spans="1:50" s="87" customFormat="1" ht="13.5" customHeight="1" x14ac:dyDescent="0.2">
      <c r="A32" s="121"/>
      <c r="B32" s="129" t="str">
        <f>Sheet1!$K$26</f>
        <v>South East</v>
      </c>
      <c r="C32" s="85"/>
      <c r="D32" s="130">
        <f>IF(Year1_SouthEast Year1_LAC="","",Year1_SouthEast Year1_LAC)</f>
        <v>9870</v>
      </c>
      <c r="E32" s="130">
        <f>IF(Year2_SouthEast Year2_LAC="","",Year2_SouthEast Year2_LAC)</f>
        <v>9830</v>
      </c>
      <c r="F32" s="130">
        <f>IF(Year3_SouthEast Year3_LAC="","",Year3_SouthEast Year3_LAC)</f>
        <v>10000</v>
      </c>
      <c r="G32" s="130">
        <f>IF(Year4_SouthEast Year4_LAC="","",Year4_SouthEast Year4_LAC)</f>
        <v>10280</v>
      </c>
      <c r="H32" s="131">
        <f>IF(Year5_SouthEast Year5_LAC="","",Year5_SouthEast Year5_LAC)</f>
        <v>10450</v>
      </c>
      <c r="I32" s="357">
        <f t="shared" si="2"/>
        <v>7.8042127982797249E-3</v>
      </c>
      <c r="J32" s="96"/>
      <c r="K32" s="132">
        <f>IF(ISNUMBER(D32),D32/AB32*10000,NA())</f>
        <v>51.45717115895939</v>
      </c>
      <c r="L32" s="132">
        <f>IF(ISNUMBER(E32),E32/AC32*10000,NA())</f>
        <v>50.850964771610364</v>
      </c>
      <c r="M32" s="132">
        <f>IF(ISNUMBER(F32),F32/AD32*10000,NA())</f>
        <v>51.442975461700712</v>
      </c>
      <c r="N32" s="132">
        <f>IF(ISNUMBER(G32),G32/AE32*10000,NA())</f>
        <v>52.518647185041381</v>
      </c>
      <c r="O32" s="133">
        <f>IF(ISNUMBER(H32),H32/AF32*10000,NA())</f>
        <v>53.067235425553527</v>
      </c>
      <c r="P32" s="99">
        <f t="shared" si="3"/>
        <v>53.067235425553527</v>
      </c>
      <c r="Q32" s="336" t="str">
        <f t="shared" si="4"/>
        <v>--</v>
      </c>
      <c r="R32" s="70"/>
      <c r="S32" s="338">
        <f>AA32/Z32*100</f>
        <v>12.371268250968637</v>
      </c>
      <c r="T32" s="132">
        <f t="shared" si="0"/>
        <v>53.798900948480934</v>
      </c>
      <c r="U32" s="343">
        <f t="shared" si="5"/>
        <v>-0.73166552292740761</v>
      </c>
      <c r="V32" s="122"/>
      <c r="W32" s="139"/>
      <c r="X32" s="152"/>
      <c r="Y32" s="72" t="str">
        <f t="shared" si="1"/>
        <v>South East</v>
      </c>
      <c r="Z32" s="44">
        <f>SUM(Z24:Z25,Z10:Z22,Z28:Z31)</f>
        <v>1704978</v>
      </c>
      <c r="AA32" s="44">
        <f>SUM(AA24:AA25,AA10:AA22,AA28:AA31)</f>
        <v>210927.40200000003</v>
      </c>
      <c r="AB32" s="205">
        <f>SUM(AB10:AB22,AB24:AB25,AB28:AB31)</f>
        <v>1918100</v>
      </c>
      <c r="AC32" s="205">
        <f t="shared" ref="AC32:AF32" si="10">SUM(AC10:AC22,AC24:AC25,AC28:AC31)</f>
        <v>1933100</v>
      </c>
      <c r="AD32" s="205">
        <f t="shared" si="10"/>
        <v>1943900</v>
      </c>
      <c r="AE32" s="205">
        <f t="shared" si="10"/>
        <v>1957400</v>
      </c>
      <c r="AF32" s="205">
        <f t="shared" si="10"/>
        <v>1969200</v>
      </c>
      <c r="AG32" s="202"/>
      <c r="AH32" s="202"/>
      <c r="AI32" s="190"/>
      <c r="AJ32" s="202"/>
      <c r="AK32" s="160"/>
      <c r="AL32" s="1025">
        <f>IF(ISERROR((L32-K32)/K32),"x",(L32-K32)/K32)</f>
        <v>-1.1780795051409996E-2</v>
      </c>
      <c r="AM32" s="1025">
        <f t="shared" ref="AM32:AO32" si="11">IF(ISERROR((M32-L32)/L32),"x",(M32-L32)/L32)</f>
        <v>1.1642073906547824E-2</v>
      </c>
      <c r="AN32" s="1025">
        <f t="shared" si="11"/>
        <v>2.090998263001926E-2</v>
      </c>
      <c r="AO32" s="1025">
        <f t="shared" si="11"/>
        <v>1.0445589707961812E-2</v>
      </c>
      <c r="AP32" s="853">
        <f t="shared" si="9"/>
        <v>7.8042127982797249E-3</v>
      </c>
      <c r="AR32" s="74"/>
      <c r="AS32" s="74"/>
      <c r="AT32" s="74"/>
      <c r="AU32" s="74"/>
      <c r="AV32" s="74"/>
      <c r="AW32" s="74"/>
      <c r="AX32" s="74"/>
    </row>
    <row r="33" spans="1:69" s="87" customFormat="1" ht="12.75" x14ac:dyDescent="0.2">
      <c r="A33" s="292"/>
      <c r="B33" s="329" t="str">
        <f>Sheet1!$K$27</f>
        <v>England</v>
      </c>
      <c r="C33" s="85"/>
      <c r="D33" s="330">
        <f>IF(Year1_England Year1_LAC="","",Year1_England Year1_LAC)</f>
        <v>70410</v>
      </c>
      <c r="E33" s="330">
        <f>IF(Year2_England Year2_LAC="","",Year2_England Year2_LAC)</f>
        <v>72610</v>
      </c>
      <c r="F33" s="330">
        <f>IF(Year3_England Year3_LAC="","",Year3_England Year3_LAC)</f>
        <v>75370</v>
      </c>
      <c r="G33" s="330">
        <f>IF(Year4_England Year4_LAC="","",Year4_England Year4_LAC)</f>
        <v>78150</v>
      </c>
      <c r="H33" s="331">
        <f>IF(Year5_England Year5_LAC="","",Year5_England Year5_LAC)</f>
        <v>80080</v>
      </c>
      <c r="I33" s="358">
        <f t="shared" si="2"/>
        <v>3.2709413576323697E-2</v>
      </c>
      <c r="J33" s="96"/>
      <c r="K33" s="332">
        <f>IF(ISNUMBER(D33),D33/Population!D33*10000,NA())</f>
        <v>60.293374664965448</v>
      </c>
      <c r="L33" s="332">
        <f>IF(ISNUMBER(E33),E33/Population!E33*10000,NA())</f>
        <v>61.610650556201371</v>
      </c>
      <c r="M33" s="332">
        <f>IF(ISNUMBER(F33),F33/Population!F33*10000,NA())</f>
        <v>63.512260891547989</v>
      </c>
      <c r="N33" s="332">
        <f>IF(ISNUMBER(G33),G33/Population!G33*10000,NA())</f>
        <v>65.37232529737507</v>
      </c>
      <c r="O33" s="412">
        <f>IF(ISNUMBER(H33),H33/Population!H33*10000,NA())</f>
        <v>66.602348714195415</v>
      </c>
      <c r="P33" s="99">
        <f t="shared" si="3"/>
        <v>66.602348714195415</v>
      </c>
      <c r="Q33" s="337" t="str">
        <f t="shared" si="4"/>
        <v>--</v>
      </c>
      <c r="R33" s="70"/>
      <c r="S33" s="339">
        <f>IDACI!C32</f>
        <v>17.084413405029373</v>
      </c>
      <c r="T33" s="332">
        <f t="shared" si="0"/>
        <v>71.478742121175742</v>
      </c>
      <c r="U33" s="624">
        <f t="shared" si="5"/>
        <v>-4.876393406980327</v>
      </c>
      <c r="V33" s="122"/>
      <c r="W33" s="139"/>
      <c r="X33" s="152"/>
      <c r="Y33" s="72" t="str">
        <f t="shared" si="1"/>
        <v>England</v>
      </c>
      <c r="Z33" s="44"/>
      <c r="AA33" s="44"/>
      <c r="AB33" s="205">
        <f>IF(ISNUMBER(D33),Population!D33,"")</f>
        <v>11677900</v>
      </c>
      <c r="AC33" s="205">
        <f>IF(ISNUMBER(E33),Population!E33,"")</f>
        <v>11785300</v>
      </c>
      <c r="AD33" s="205">
        <f>IF(ISNUMBER(F33),Population!F33,"")</f>
        <v>11867000</v>
      </c>
      <c r="AE33" s="205">
        <f>IF(ISNUMBER(G33),Population!G33,"")</f>
        <v>11954600</v>
      </c>
      <c r="AF33" s="205">
        <f>IF(ISNUMBER(H33),Population!H33,"")</f>
        <v>12023600</v>
      </c>
      <c r="AG33" s="202"/>
      <c r="AH33" s="202"/>
      <c r="AI33" s="190"/>
      <c r="AJ33" s="202"/>
      <c r="AK33" s="160"/>
      <c r="AL33" s="853">
        <f t="shared" si="8"/>
        <v>3.1245561709984378E-2</v>
      </c>
      <c r="AM33" s="853">
        <f t="shared" si="8"/>
        <v>3.8011293210301611E-2</v>
      </c>
      <c r="AN33" s="853">
        <f t="shared" si="8"/>
        <v>3.6884702136128433E-2</v>
      </c>
      <c r="AO33" s="853">
        <f t="shared" si="8"/>
        <v>2.4696097248880357E-2</v>
      </c>
      <c r="AP33" s="853">
        <f>AVERAGE(AL33:AO33)</f>
        <v>3.2709413576323697E-2</v>
      </c>
      <c r="AR33" s="74"/>
      <c r="AS33" s="74"/>
      <c r="AT33" s="74"/>
      <c r="AU33" s="74"/>
      <c r="AV33" s="74"/>
      <c r="AW33" s="74"/>
      <c r="AX33" s="74"/>
    </row>
    <row r="34" spans="1:69" s="81" customFormat="1" ht="13.5" customHeight="1" x14ac:dyDescent="0.2">
      <c r="A34" s="118"/>
      <c r="B34" s="123" t="s">
        <v>90</v>
      </c>
      <c r="C34" s="63"/>
      <c r="D34" s="63"/>
      <c r="E34" s="63"/>
      <c r="F34" s="63"/>
      <c r="G34" s="63"/>
      <c r="H34" s="63"/>
      <c r="I34" s="63"/>
      <c r="J34" s="63"/>
      <c r="K34" s="63"/>
      <c r="L34" s="63"/>
      <c r="M34" s="63"/>
      <c r="N34" s="63"/>
      <c r="O34" s="63"/>
      <c r="P34" s="63"/>
      <c r="Q34" s="136" t="s">
        <v>108</v>
      </c>
      <c r="S34" s="63"/>
      <c r="T34" s="63"/>
      <c r="U34" s="63"/>
      <c r="V34" s="117"/>
      <c r="W34" s="137"/>
      <c r="X34" s="150"/>
      <c r="Y34" s="80"/>
      <c r="Z34" s="184"/>
      <c r="AA34" s="184"/>
      <c r="AB34" s="184"/>
      <c r="AC34" s="184"/>
      <c r="AD34" s="184"/>
      <c r="AE34" s="184"/>
      <c r="AF34" s="184"/>
      <c r="AG34" s="184"/>
      <c r="AH34" s="184"/>
      <c r="AJ34" s="184"/>
      <c r="AK34" s="161"/>
      <c r="AR34" s="74"/>
      <c r="AS34" s="74"/>
      <c r="AT34" s="74"/>
      <c r="AU34" s="74"/>
      <c r="AV34" s="74"/>
      <c r="AW34" s="74"/>
      <c r="AX34" s="74"/>
    </row>
    <row r="35" spans="1:69" s="81" customFormat="1" ht="27" customHeight="1" x14ac:dyDescent="0.2">
      <c r="A35" s="118"/>
      <c r="B35" s="1923"/>
      <c r="C35" s="1763"/>
      <c r="D35" s="1763"/>
      <c r="E35" s="1763"/>
      <c r="F35" s="1763"/>
      <c r="G35" s="1763"/>
      <c r="H35" s="1763"/>
      <c r="I35" s="1763"/>
      <c r="J35" s="1763"/>
      <c r="K35" s="1763"/>
      <c r="L35" s="1763"/>
      <c r="M35" s="1763"/>
      <c r="N35" s="1763"/>
      <c r="O35" s="1763"/>
      <c r="P35" s="1763"/>
      <c r="Q35" s="1763"/>
      <c r="R35" s="1763"/>
      <c r="S35" s="1763"/>
      <c r="T35" s="1763"/>
      <c r="U35" s="1764"/>
      <c r="V35" s="117"/>
      <c r="W35" s="137"/>
      <c r="X35" s="150"/>
      <c r="Y35" s="80"/>
      <c r="Z35" s="184"/>
      <c r="AA35" s="184"/>
      <c r="AB35" s="184"/>
      <c r="AC35" s="184"/>
      <c r="AD35" s="184"/>
      <c r="AE35" s="184"/>
      <c r="AF35" s="184"/>
      <c r="AG35" s="184"/>
      <c r="AH35" s="184"/>
      <c r="AJ35" s="184"/>
      <c r="AK35" s="157"/>
      <c r="AL35" s="74"/>
      <c r="AM35" s="74"/>
      <c r="AN35" s="74"/>
      <c r="AO35" s="74"/>
      <c r="AP35" s="74"/>
      <c r="AQ35" s="74"/>
      <c r="AR35" s="74"/>
    </row>
    <row r="36" spans="1:69" s="81" customFormat="1" ht="7.5" customHeight="1" x14ac:dyDescent="0.2">
      <c r="A36" s="118"/>
      <c r="B36" s="17"/>
      <c r="C36" s="17"/>
      <c r="D36" s="16"/>
      <c r="E36" s="16"/>
      <c r="F36" s="16"/>
      <c r="G36" s="16"/>
      <c r="H36" s="16"/>
      <c r="I36" s="16"/>
      <c r="J36" s="12"/>
      <c r="K36" s="18"/>
      <c r="L36" s="18"/>
      <c r="M36" s="18"/>
      <c r="N36" s="18"/>
      <c r="O36" s="18"/>
      <c r="P36" s="18"/>
      <c r="Q36" s="18"/>
      <c r="R36" s="18"/>
      <c r="S36" s="18"/>
      <c r="T36" s="18"/>
      <c r="U36" s="19"/>
      <c r="V36" s="117"/>
      <c r="W36" s="137"/>
      <c r="X36" s="150"/>
      <c r="Z36" s="190"/>
      <c r="AJ36" s="184"/>
      <c r="AK36" s="157"/>
      <c r="AL36" s="74"/>
      <c r="AM36" s="74"/>
      <c r="AN36" s="74"/>
      <c r="AO36" s="74"/>
      <c r="AP36" s="74"/>
      <c r="AQ36" s="74"/>
      <c r="AR36" s="74"/>
    </row>
    <row r="37" spans="1:69" s="81" customFormat="1" ht="15" customHeight="1" x14ac:dyDescent="0.2">
      <c r="A37" s="1716"/>
      <c r="B37" s="1760"/>
      <c r="C37" s="1760"/>
      <c r="D37" s="1760"/>
      <c r="E37" s="1760"/>
      <c r="F37" s="1760"/>
      <c r="G37" s="1760"/>
      <c r="H37" s="1760"/>
      <c r="I37" s="1760"/>
      <c r="J37" s="1760"/>
      <c r="K37" s="1760"/>
      <c r="L37" s="1760"/>
      <c r="M37" s="1760"/>
      <c r="N37" s="1760"/>
      <c r="O37" s="1760"/>
      <c r="P37" s="1760"/>
      <c r="Q37" s="1760"/>
      <c r="R37" s="1760"/>
      <c r="S37" s="1760"/>
      <c r="T37" s="1760"/>
      <c r="U37" s="1760"/>
      <c r="V37" s="1761"/>
      <c r="W37" s="137"/>
      <c r="X37" s="150"/>
      <c r="Z37" s="190"/>
      <c r="AK37" s="161"/>
      <c r="AM37" s="81">
        <f>COLUMNS($B$4:K$4)</f>
        <v>10</v>
      </c>
      <c r="AN37" s="81">
        <f>COLUMNS($B$4:L$4)</f>
        <v>11</v>
      </c>
      <c r="AO37" s="81">
        <f>COLUMNS($B$4:M$4)</f>
        <v>12</v>
      </c>
      <c r="AP37" s="81">
        <f>COLUMNS($B$4:N$4)</f>
        <v>13</v>
      </c>
      <c r="AQ37" s="81">
        <f>COLUMNS($B$4:O$4)</f>
        <v>14</v>
      </c>
      <c r="AR37" s="81">
        <f>COLUMNS($B$4:S$4)</f>
        <v>18</v>
      </c>
      <c r="AS37" s="81">
        <f>COLUMNS($B$4:D$4)</f>
        <v>3</v>
      </c>
      <c r="AT37" s="81">
        <f>COLUMNS($B$4:E$4)</f>
        <v>4</v>
      </c>
      <c r="AU37" s="81">
        <f>COLUMNS($B$4:F$4)</f>
        <v>5</v>
      </c>
      <c r="AV37" s="81">
        <f>COLUMNS($B$4:G$4)</f>
        <v>6</v>
      </c>
      <c r="AW37" s="81">
        <f>COLUMNS($B$4:H$4)</f>
        <v>7</v>
      </c>
      <c r="AX37" s="81">
        <f>COLUMNS($B$4:D$4)</f>
        <v>3</v>
      </c>
      <c r="AY37" s="81">
        <f>COLUMNS($B$4:E$4)</f>
        <v>4</v>
      </c>
      <c r="AZ37" s="81">
        <f>COLUMNS($B$4:F$4)</f>
        <v>5</v>
      </c>
      <c r="BA37" s="81">
        <f>COLUMNS($B$4:G$4)</f>
        <v>6</v>
      </c>
      <c r="BB37" s="81">
        <f>COLUMNS($B$4:H$4)</f>
        <v>7</v>
      </c>
      <c r="BC37" s="81">
        <f>COLUMNS($B$4:D$4)</f>
        <v>3</v>
      </c>
      <c r="BD37" s="81">
        <f>COLUMNS($B$4:E$4)</f>
        <v>4</v>
      </c>
      <c r="BE37" s="81">
        <f>COLUMNS($B$4:F$4)</f>
        <v>5</v>
      </c>
      <c r="BF37" s="81">
        <f>COLUMNS($B$4:G$4)</f>
        <v>6</v>
      </c>
      <c r="BG37" s="81">
        <f>COLUMNS($B$4:H$4)</f>
        <v>7</v>
      </c>
      <c r="BH37" s="81">
        <f>COLUMNS($B$4:D$4)</f>
        <v>3</v>
      </c>
      <c r="BI37" s="81">
        <f>COLUMNS($B$4:E$4)</f>
        <v>4</v>
      </c>
      <c r="BJ37" s="81">
        <f>COLUMNS($B$4:F$4)</f>
        <v>5</v>
      </c>
      <c r="BK37" s="81">
        <f>COLUMNS($B$4:G$4)</f>
        <v>6</v>
      </c>
      <c r="BL37" s="81">
        <f>COLUMNS($B$4:H$4)</f>
        <v>7</v>
      </c>
      <c r="BM37" s="81">
        <f>COLUMNS($B$4:D$4)</f>
        <v>3</v>
      </c>
      <c r="BN37" s="81">
        <f>COLUMNS($B$4:E$4)</f>
        <v>4</v>
      </c>
      <c r="BO37" s="81">
        <f>COLUMNS($B$4:F$4)</f>
        <v>5</v>
      </c>
      <c r="BP37" s="81">
        <f>COLUMNS($B$4:G$4)</f>
        <v>6</v>
      </c>
      <c r="BQ37" s="81">
        <f>COLUMNS($B$4:H$4)</f>
        <v>7</v>
      </c>
    </row>
    <row r="38" spans="1:69" s="81" customFormat="1" ht="11.1" customHeight="1" x14ac:dyDescent="0.2">
      <c r="A38" s="1765" t="str">
        <f>Home!$A$39</f>
        <v xml:space="preserve"> </v>
      </c>
      <c r="B38" s="1766"/>
      <c r="C38" s="1766"/>
      <c r="D38" s="1766"/>
      <c r="E38" s="1766"/>
      <c r="F38" s="1766"/>
      <c r="G38" s="1766"/>
      <c r="H38" s="1766"/>
      <c r="I38" s="1767"/>
      <c r="J38" s="1766"/>
      <c r="K38" s="1766"/>
      <c r="L38" s="1766"/>
      <c r="M38" s="1766"/>
      <c r="N38" s="1766"/>
      <c r="O38" s="1766"/>
      <c r="P38" s="1768"/>
      <c r="Q38" s="1766"/>
      <c r="R38" s="1766"/>
      <c r="S38" s="1766"/>
      <c r="T38" s="1767"/>
      <c r="U38" s="1766"/>
      <c r="V38" s="1769"/>
      <c r="W38" s="137"/>
      <c r="X38" s="150"/>
      <c r="Z38" s="190"/>
      <c r="AJ38" s="184"/>
      <c r="AK38" s="160"/>
      <c r="AL38" s="87"/>
      <c r="AM38" s="376" t="s">
        <v>89</v>
      </c>
      <c r="AN38" s="377"/>
      <c r="AO38" s="377"/>
      <c r="AP38" s="377"/>
      <c r="AQ38" s="377"/>
      <c r="AR38" s="376" t="s">
        <v>1213</v>
      </c>
      <c r="AS38" s="55" t="s">
        <v>175</v>
      </c>
      <c r="AT38" s="24"/>
      <c r="AU38" s="24"/>
      <c r="AV38" s="24"/>
      <c r="AW38" s="23"/>
      <c r="AX38" s="55" t="s">
        <v>176</v>
      </c>
      <c r="AY38" s="24"/>
      <c r="AZ38" s="24"/>
      <c r="BA38" s="24"/>
      <c r="BB38" s="23"/>
      <c r="BC38" s="55" t="s">
        <v>177</v>
      </c>
      <c r="BD38" s="24"/>
      <c r="BE38" s="24"/>
      <c r="BF38" s="24"/>
      <c r="BG38" s="23"/>
      <c r="BH38" s="55" t="s">
        <v>178</v>
      </c>
      <c r="BI38" s="24"/>
      <c r="BJ38" s="24"/>
      <c r="BK38" s="24"/>
      <c r="BL38" s="23"/>
      <c r="BM38" s="223" t="s">
        <v>181</v>
      </c>
    </row>
    <row r="39" spans="1:69" s="81" customFormat="1" ht="11.25" customHeight="1" x14ac:dyDescent="0.2">
      <c r="A39" s="112"/>
      <c r="B39" s="113"/>
      <c r="C39" s="113"/>
      <c r="D39" s="113"/>
      <c r="E39" s="113"/>
      <c r="F39" s="113"/>
      <c r="G39" s="113"/>
      <c r="H39" s="113"/>
      <c r="I39" s="113"/>
      <c r="J39" s="114"/>
      <c r="K39" s="113"/>
      <c r="L39" s="113"/>
      <c r="M39" s="113"/>
      <c r="N39" s="113"/>
      <c r="O39" s="113"/>
      <c r="P39" s="113"/>
      <c r="Q39" s="113"/>
      <c r="R39" s="113"/>
      <c r="S39" s="113"/>
      <c r="T39" s="113"/>
      <c r="U39" s="113"/>
      <c r="V39" s="115"/>
      <c r="W39" s="137"/>
      <c r="X39" s="149" t="s">
        <v>101</v>
      </c>
      <c r="Y39" s="197"/>
      <c r="Z39" s="197"/>
      <c r="AA39" s="197"/>
      <c r="AB39" s="197"/>
      <c r="AC39" s="197"/>
      <c r="AJ39" s="184"/>
      <c r="AK39" s="160"/>
      <c r="AL39" s="87"/>
      <c r="AM39" s="376"/>
      <c r="AN39" s="376"/>
      <c r="AO39" s="376"/>
      <c r="AP39" s="376"/>
      <c r="AQ39" s="376"/>
      <c r="AR39" s="377"/>
      <c r="AS39" s="376"/>
      <c r="AT39" s="376"/>
      <c r="AU39" s="376"/>
      <c r="AV39" s="376"/>
      <c r="AW39" s="376"/>
      <c r="AX39" s="376"/>
      <c r="AY39" s="376"/>
      <c r="AZ39" s="376"/>
      <c r="BA39" s="376"/>
      <c r="BB39" s="376"/>
      <c r="BC39" s="376"/>
      <c r="BD39" s="376"/>
      <c r="BE39" s="376"/>
      <c r="BF39" s="376"/>
      <c r="BG39" s="376"/>
      <c r="BH39" s="416"/>
      <c r="BI39" s="416"/>
      <c r="BJ39" s="416"/>
      <c r="BK39" s="416"/>
      <c r="BL39" s="416"/>
    </row>
    <row r="40" spans="1:69" s="81" customFormat="1" ht="3.75" customHeight="1" x14ac:dyDescent="0.25">
      <c r="A40" s="116"/>
      <c r="B40" s="9"/>
      <c r="C40" s="9"/>
      <c r="D40" s="9"/>
      <c r="E40" s="9"/>
      <c r="F40" s="9"/>
      <c r="G40" s="9"/>
      <c r="H40" s="9"/>
      <c r="I40" s="9"/>
      <c r="J40" s="12"/>
      <c r="K40" s="9"/>
      <c r="L40" s="9"/>
      <c r="M40" s="9"/>
      <c r="N40" s="9"/>
      <c r="O40" s="9"/>
      <c r="P40" s="9"/>
      <c r="Q40" s="9"/>
      <c r="R40" s="9"/>
      <c r="S40" s="9"/>
      <c r="T40" s="9"/>
      <c r="U40" s="9"/>
      <c r="V40" s="117"/>
      <c r="W40" s="137"/>
      <c r="X40" s="294"/>
      <c r="AD40" s="1320" t="s">
        <v>977</v>
      </c>
      <c r="AK40" s="160"/>
      <c r="AL40" s="87"/>
      <c r="AM40" s="376" t="e">
        <f>D9</f>
        <v>#N/A</v>
      </c>
      <c r="AN40" s="376" t="e">
        <f>E9</f>
        <v>#N/A</v>
      </c>
      <c r="AO40" s="376" t="e">
        <f>F9</f>
        <v>#N/A</v>
      </c>
      <c r="AP40" s="376" t="e">
        <f>G9</f>
        <v>#N/A</v>
      </c>
      <c r="AQ40" s="376" t="e">
        <f>H9</f>
        <v>#N/A</v>
      </c>
      <c r="AR40" s="377"/>
      <c r="AS40" s="376" t="e">
        <f>K9</f>
        <v>#N/A</v>
      </c>
      <c r="AT40" s="376" t="e">
        <f>L9</f>
        <v>#N/A</v>
      </c>
      <c r="AU40" s="376" t="e">
        <f>M9</f>
        <v>#N/A</v>
      </c>
      <c r="AV40" s="376" t="e">
        <f>N9</f>
        <v>#N/A</v>
      </c>
      <c r="AW40" s="376" t="e">
        <f>O9</f>
        <v>#N/A</v>
      </c>
      <c r="AX40" s="376" t="e">
        <f>AS40</f>
        <v>#N/A</v>
      </c>
      <c r="AY40" s="376" t="e">
        <f t="shared" ref="AY40:BB40" si="12">AT40</f>
        <v>#N/A</v>
      </c>
      <c r="AZ40" s="376" t="e">
        <f t="shared" si="12"/>
        <v>#N/A</v>
      </c>
      <c r="BA40" s="376" t="e">
        <f t="shared" si="12"/>
        <v>#N/A</v>
      </c>
      <c r="BB40" s="376" t="e">
        <f t="shared" si="12"/>
        <v>#N/A</v>
      </c>
      <c r="BC40" s="376" t="e">
        <f>AX40</f>
        <v>#N/A</v>
      </c>
      <c r="BD40" s="376" t="e">
        <f t="shared" ref="BD40:BG40" si="13">AY40</f>
        <v>#N/A</v>
      </c>
      <c r="BE40" s="376" t="e">
        <f t="shared" si="13"/>
        <v>#N/A</v>
      </c>
      <c r="BF40" s="376" t="e">
        <f t="shared" si="13"/>
        <v>#N/A</v>
      </c>
      <c r="BG40" s="376" t="e">
        <f t="shared" si="13"/>
        <v>#N/A</v>
      </c>
      <c r="BH40" s="416" t="e">
        <f>BC40</f>
        <v>#N/A</v>
      </c>
      <c r="BI40" s="416" t="e">
        <f t="shared" ref="BI40" si="14">BD40</f>
        <v>#N/A</v>
      </c>
      <c r="BJ40" s="416" t="e">
        <f t="shared" ref="BJ40" si="15">BE40</f>
        <v>#N/A</v>
      </c>
      <c r="BK40" s="416" t="e">
        <f t="shared" ref="BK40" si="16">BF40</f>
        <v>#N/A</v>
      </c>
      <c r="BL40" s="416" t="e">
        <f t="shared" ref="BL40" si="17">BG40</f>
        <v>#N/A</v>
      </c>
      <c r="BM40" s="416" t="e">
        <f>BH40</f>
        <v>#N/A</v>
      </c>
      <c r="BN40" s="416" t="e">
        <f t="shared" ref="BN40" si="18">BI40</f>
        <v>#N/A</v>
      </c>
      <c r="BO40" s="416" t="e">
        <f t="shared" ref="BO40" si="19">BJ40</f>
        <v>#N/A</v>
      </c>
      <c r="BP40" s="416" t="e">
        <f t="shared" ref="BP40" si="20">BK40</f>
        <v>#N/A</v>
      </c>
      <c r="BQ40" s="416" t="e">
        <f t="shared" ref="BQ40" si="21">BL40</f>
        <v>#N/A</v>
      </c>
    </row>
    <row r="41" spans="1:69" s="81" customFormat="1" ht="14.25" customHeight="1" x14ac:dyDescent="0.2">
      <c r="A41" s="118"/>
      <c r="B41" s="9"/>
      <c r="C41" s="9"/>
      <c r="D41" s="9"/>
      <c r="E41" s="9"/>
      <c r="F41" s="9"/>
      <c r="G41" s="9"/>
      <c r="H41" s="9"/>
      <c r="I41" s="9"/>
      <c r="J41" s="12"/>
      <c r="K41" s="9"/>
      <c r="L41" s="9"/>
      <c r="M41" s="9"/>
      <c r="N41" s="9"/>
      <c r="O41" s="9"/>
      <c r="P41" s="9"/>
      <c r="Q41" s="9"/>
      <c r="R41" s="9"/>
      <c r="S41" s="9"/>
      <c r="T41" s="9"/>
      <c r="U41" s="9"/>
      <c r="V41" s="117"/>
      <c r="W41" s="137"/>
      <c r="X41" s="294"/>
      <c r="Y41" s="43" t="s">
        <v>72</v>
      </c>
      <c r="Z41" s="43" t="s">
        <v>70</v>
      </c>
      <c r="AA41" s="43" t="s">
        <v>71</v>
      </c>
      <c r="AB41" s="1194">
        <v>5</v>
      </c>
      <c r="AC41" s="216">
        <f>(AB41*Z42)+AA42</f>
        <v>24.726490507571732</v>
      </c>
      <c r="AD41" s="206">
        <f>ROUND(ChartLabels!$AA16,3)</f>
        <v>0.72099999999999997</v>
      </c>
      <c r="AJ41" s="585" t="b">
        <v>1</v>
      </c>
      <c r="AK41" s="160" t="s">
        <v>0</v>
      </c>
      <c r="AL41" s="87" t="str">
        <f t="shared" ref="AL41:AL64" si="22">IF(AJ41=TRUE,B10,"")</f>
        <v>Bracknell Forest</v>
      </c>
      <c r="AM41" s="146">
        <f t="shared" ref="AM41:AQ50" si="23">VLOOKUP($AL41,$B$10:$O$33,AM$37,FALSE)</f>
        <v>34.751773049645394</v>
      </c>
      <c r="AN41" s="146">
        <f t="shared" si="23"/>
        <v>41.134751773049643</v>
      </c>
      <c r="AO41" s="146">
        <f t="shared" si="23"/>
        <v>49.110320284697508</v>
      </c>
      <c r="AP41" s="146">
        <f t="shared" si="23"/>
        <v>55.830388692579504</v>
      </c>
      <c r="AQ41" s="146">
        <f t="shared" si="23"/>
        <v>50</v>
      </c>
      <c r="AR41" s="147">
        <f>VLOOKUP(AL41,$B$10:$U$33,$AR$37,FALSE)</f>
        <v>8.9</v>
      </c>
      <c r="AS41" s="348">
        <f t="shared" ref="AS41:AW50" si="24">VLOOKUP($AL41,$B$112:$H$135,AS$37,FALSE)</f>
        <v>0.41666666666666669</v>
      </c>
      <c r="AT41" s="348">
        <f t="shared" si="24"/>
        <v>0.42168674698795183</v>
      </c>
      <c r="AU41" s="348">
        <f t="shared" si="24"/>
        <v>0.24271844660194175</v>
      </c>
      <c r="AV41" s="348">
        <f t="shared" si="24"/>
        <v>0.31632653061224492</v>
      </c>
      <c r="AW41" s="348">
        <f t="shared" si="24"/>
        <v>0.40594059405940597</v>
      </c>
      <c r="AX41" s="348">
        <f t="shared" ref="AX41:BB50" si="25">VLOOKUP($AL41,$B$148:$H$171,AX$37,FALSE)</f>
        <v>0.6</v>
      </c>
      <c r="AY41" s="348">
        <f t="shared" si="25"/>
        <v>0.5714285714285714</v>
      </c>
      <c r="AZ41" s="348">
        <f t="shared" si="25"/>
        <v>0.56000000000000005</v>
      </c>
      <c r="BA41" s="348">
        <f t="shared" si="25"/>
        <v>0.64516129032258063</v>
      </c>
      <c r="BB41" s="348">
        <f t="shared" si="25"/>
        <v>0.51219512195121952</v>
      </c>
      <c r="BC41" s="348">
        <f t="shared" ref="BC41:BG50" si="26">VLOOKUP($AL41,$B$184:$H$207,BC$37,FALSE)</f>
        <v>0.15306122448979592</v>
      </c>
      <c r="BD41" s="348">
        <f t="shared" si="26"/>
        <v>8.6206896551724144E-2</v>
      </c>
      <c r="BE41" s="348">
        <f t="shared" si="26"/>
        <v>0.13768115942028986</v>
      </c>
      <c r="BF41" s="348">
        <f t="shared" si="26"/>
        <v>0.19620253164556961</v>
      </c>
      <c r="BG41" s="348">
        <f t="shared" si="26"/>
        <v>0.15492957746478872</v>
      </c>
      <c r="BH41" s="348" t="e">
        <f t="shared" ref="BH41:BL50" si="27">VLOOKUP($AL41,$B$256:$H$279,BH$37,FALSE)</f>
        <v>#N/A</v>
      </c>
      <c r="BI41" s="348" t="e">
        <f t="shared" si="27"/>
        <v>#N/A</v>
      </c>
      <c r="BJ41" s="348" t="e">
        <f t="shared" si="27"/>
        <v>#N/A</v>
      </c>
      <c r="BK41" s="348" t="e">
        <f t="shared" si="27"/>
        <v>#N/A</v>
      </c>
      <c r="BL41" s="348" t="e">
        <f t="shared" si="27"/>
        <v>#N/A</v>
      </c>
      <c r="BM41" s="348" t="e">
        <f t="shared" ref="BM41:BQ50" si="28">VLOOKUP($AL41,$B$220:$H$243,BM$37,FALSE)</f>
        <v>#N/A</v>
      </c>
      <c r="BN41" s="348" t="e">
        <f t="shared" si="28"/>
        <v>#N/A</v>
      </c>
      <c r="BO41" s="348" t="e">
        <f t="shared" si="28"/>
        <v>#N/A</v>
      </c>
      <c r="BP41" s="348" t="e">
        <f t="shared" si="28"/>
        <v>#N/A</v>
      </c>
      <c r="BQ41" s="348" t="e">
        <f t="shared" si="28"/>
        <v>#N/A</v>
      </c>
    </row>
    <row r="42" spans="1:69" s="81" customFormat="1" ht="14.25" customHeight="1" x14ac:dyDescent="0.2">
      <c r="A42" s="118"/>
      <c r="B42" s="9"/>
      <c r="C42" s="9"/>
      <c r="D42" s="9"/>
      <c r="E42" s="9"/>
      <c r="F42" s="9"/>
      <c r="G42" s="9"/>
      <c r="H42" s="9"/>
      <c r="I42" s="9"/>
      <c r="J42" s="12"/>
      <c r="K42" s="9"/>
      <c r="L42" s="9"/>
      <c r="M42" s="9"/>
      <c r="N42" s="9"/>
      <c r="O42" s="9"/>
      <c r="P42" s="9"/>
      <c r="Q42" s="9"/>
      <c r="R42" s="9"/>
      <c r="S42" s="9"/>
      <c r="T42" s="9"/>
      <c r="U42" s="9"/>
      <c r="V42" s="117"/>
      <c r="W42" s="137"/>
      <c r="X42" s="294"/>
      <c r="Y42" s="212" t="str">
        <f>"Y= "&amp;Z42&amp;"x + "&amp;AA42</f>
        <v>Y= 4.22094979904301x + 3.6217415123567</v>
      </c>
      <c r="Z42" s="743">
        <f>ChartLabels!$Y16</f>
        <v>4.2209497990430069</v>
      </c>
      <c r="AA42" s="743">
        <f>ChartLabels!$Z16</f>
        <v>3.6217415123566994</v>
      </c>
      <c r="AB42" s="215">
        <v>28</v>
      </c>
      <c r="AC42" s="216">
        <f>(AB42*Z42)+AA42</f>
        <v>121.80833588556089</v>
      </c>
      <c r="AD42" s="1319" t="str">
        <f>AD40&amp;" = "&amp;AD41</f>
        <v>r² = 0.721</v>
      </c>
      <c r="AJ42" s="585" t="b">
        <v>1</v>
      </c>
      <c r="AK42" s="160" t="s">
        <v>31</v>
      </c>
      <c r="AL42" s="87" t="str">
        <f t="shared" si="22"/>
        <v>Brighton &amp; Hove</v>
      </c>
      <c r="AM42" s="146">
        <f t="shared" si="23"/>
        <v>85.546875</v>
      </c>
      <c r="AN42" s="146">
        <f t="shared" si="23"/>
        <v>88.888888888888886</v>
      </c>
      <c r="AO42" s="146">
        <f t="shared" si="23"/>
        <v>82.156862745098039</v>
      </c>
      <c r="AP42" s="146">
        <f t="shared" si="23"/>
        <v>76.666666666666657</v>
      </c>
      <c r="AQ42" s="146">
        <f t="shared" si="23"/>
        <v>73.558648111332005</v>
      </c>
      <c r="AR42" s="147">
        <f t="shared" ref="AR42:AR64" si="29">VLOOKUP(AL42,$B$10:$U$33,$AR$37,FALSE)</f>
        <v>15.299999999999999</v>
      </c>
      <c r="AS42" s="348">
        <f t="shared" si="24"/>
        <v>0.4375</v>
      </c>
      <c r="AT42" s="348">
        <f t="shared" si="24"/>
        <v>0.40123456790123457</v>
      </c>
      <c r="AU42" s="348">
        <f t="shared" si="24"/>
        <v>0.40531561461794019</v>
      </c>
      <c r="AV42" s="348">
        <f t="shared" si="24"/>
        <v>0.41851851851851851</v>
      </c>
      <c r="AW42" s="348">
        <f t="shared" si="24"/>
        <v>0.44736842105263158</v>
      </c>
      <c r="AX42" s="348">
        <f t="shared" si="25"/>
        <v>0.6428571428571429</v>
      </c>
      <c r="AY42" s="348">
        <f t="shared" si="25"/>
        <v>0.73076923076923073</v>
      </c>
      <c r="AZ42" s="348">
        <f t="shared" si="25"/>
        <v>0.68852459016393441</v>
      </c>
      <c r="BA42" s="348">
        <f t="shared" si="25"/>
        <v>0.63716814159292035</v>
      </c>
      <c r="BB42" s="348">
        <f t="shared" si="25"/>
        <v>0.62184873949579833</v>
      </c>
      <c r="BC42" s="348">
        <f t="shared" si="26"/>
        <v>0.14840182648401826</v>
      </c>
      <c r="BD42" s="348">
        <f t="shared" si="26"/>
        <v>0.1206140350877193</v>
      </c>
      <c r="BE42" s="348">
        <f t="shared" si="26"/>
        <v>9.5465393794749401E-2</v>
      </c>
      <c r="BF42" s="348">
        <f t="shared" si="26"/>
        <v>8.1841432225063945E-2</v>
      </c>
      <c r="BG42" s="348">
        <f t="shared" si="26"/>
        <v>0.11081081081081082</v>
      </c>
      <c r="BH42" s="348">
        <f t="shared" si="27"/>
        <v>7.7625570776255703E-2</v>
      </c>
      <c r="BI42" s="348">
        <f t="shared" si="27"/>
        <v>8.3333333333333329E-2</v>
      </c>
      <c r="BJ42" s="348">
        <f t="shared" si="27"/>
        <v>7.1599045346062054E-2</v>
      </c>
      <c r="BK42" s="348">
        <f t="shared" si="27"/>
        <v>9.718670076726342E-2</v>
      </c>
      <c r="BL42" s="348">
        <f t="shared" si="27"/>
        <v>8.6486486486486491E-2</v>
      </c>
      <c r="BM42" s="348" t="e">
        <f t="shared" si="28"/>
        <v>#N/A</v>
      </c>
      <c r="BN42" s="348" t="e">
        <f t="shared" si="28"/>
        <v>#N/A</v>
      </c>
      <c r="BO42" s="348" t="e">
        <f t="shared" si="28"/>
        <v>#N/A</v>
      </c>
      <c r="BP42" s="348" t="e">
        <f t="shared" si="28"/>
        <v>#N/A</v>
      </c>
      <c r="BQ42" s="348" t="e">
        <f t="shared" si="28"/>
        <v>#N/A</v>
      </c>
    </row>
    <row r="43" spans="1:69" ht="14.25" customHeight="1" x14ac:dyDescent="0.2">
      <c r="A43" s="118"/>
      <c r="B43" s="9"/>
      <c r="C43" s="9"/>
      <c r="D43" s="9"/>
      <c r="E43" s="9"/>
      <c r="F43" s="9"/>
      <c r="G43" s="9"/>
      <c r="H43" s="9"/>
      <c r="I43" s="9"/>
      <c r="J43" s="12"/>
      <c r="K43" s="9"/>
      <c r="L43" s="9"/>
      <c r="M43" s="9"/>
      <c r="N43" s="9"/>
      <c r="O43" s="9"/>
      <c r="P43" s="9"/>
      <c r="Q43" s="9"/>
      <c r="R43" s="9"/>
      <c r="S43" s="9"/>
      <c r="T43" s="9"/>
      <c r="U43" s="9"/>
      <c r="V43" s="117"/>
      <c r="W43" s="137"/>
      <c r="X43" s="294"/>
      <c r="Y43" s="43" t="str">
        <f>"National Trend "&amp;Sheet1!$B$8</f>
        <v>National Trend 2020</v>
      </c>
      <c r="Z43" s="209" t="s">
        <v>70</v>
      </c>
      <c r="AA43" s="43" t="s">
        <v>71</v>
      </c>
      <c r="AB43" s="210">
        <v>7</v>
      </c>
      <c r="AC43" s="211">
        <f>((AB43*Z44)+AA44)/$Y$2</f>
        <v>33.650323625067571</v>
      </c>
      <c r="AD43" s="1319" t="str">
        <f>$AD$40&amp;" = "&amp;AD44</f>
        <v>r² = 0.419</v>
      </c>
      <c r="AJ43" s="585" t="b">
        <v>1</v>
      </c>
      <c r="AK43" s="160" t="s">
        <v>8</v>
      </c>
      <c r="AL43" s="87" t="str">
        <f t="shared" si="22"/>
        <v>Buckinghamshire</v>
      </c>
      <c r="AM43" s="146">
        <f t="shared" si="23"/>
        <v>38.059701492537314</v>
      </c>
      <c r="AN43" s="146">
        <f t="shared" si="23"/>
        <v>37.152209492635023</v>
      </c>
      <c r="AO43" s="146">
        <f t="shared" si="23"/>
        <v>38.342810722989441</v>
      </c>
      <c r="AP43" s="146">
        <f t="shared" si="23"/>
        <v>41.432019308125504</v>
      </c>
      <c r="AQ43" s="146">
        <f t="shared" si="23"/>
        <v>38.504375497215598</v>
      </c>
      <c r="AR43" s="147">
        <f t="shared" si="29"/>
        <v>8.5</v>
      </c>
      <c r="AS43" s="348">
        <f t="shared" si="24"/>
        <v>0.42253521126760563</v>
      </c>
      <c r="AT43" s="348">
        <f t="shared" si="24"/>
        <v>0.39660056657223797</v>
      </c>
      <c r="AU43" s="348">
        <f t="shared" si="24"/>
        <v>0.39943342776203966</v>
      </c>
      <c r="AV43" s="348">
        <f t="shared" si="24"/>
        <v>0.45263157894736844</v>
      </c>
      <c r="AW43" s="348">
        <f t="shared" si="24"/>
        <v>0.47457627118644069</v>
      </c>
      <c r="AX43" s="348">
        <f t="shared" si="25"/>
        <v>0.6333333333333333</v>
      </c>
      <c r="AY43" s="348">
        <f t="shared" si="25"/>
        <v>0.7142857142857143</v>
      </c>
      <c r="AZ43" s="348">
        <f t="shared" si="25"/>
        <v>0.7021276595744681</v>
      </c>
      <c r="BA43" s="348">
        <f t="shared" si="25"/>
        <v>0.72674418604651159</v>
      </c>
      <c r="BB43" s="348">
        <f t="shared" si="25"/>
        <v>0.70238095238095233</v>
      </c>
      <c r="BC43" s="348">
        <f t="shared" si="26"/>
        <v>7.6252723311546838E-2</v>
      </c>
      <c r="BD43" s="348">
        <f t="shared" si="26"/>
        <v>7.7092511013215861E-2</v>
      </c>
      <c r="BE43" s="348">
        <f t="shared" si="26"/>
        <v>5.9322033898305086E-2</v>
      </c>
      <c r="BF43" s="348">
        <f t="shared" si="26"/>
        <v>8.9320388349514557E-2</v>
      </c>
      <c r="BG43" s="348">
        <f t="shared" si="26"/>
        <v>9.7107438016528921E-2</v>
      </c>
      <c r="BH43" s="348">
        <f t="shared" si="27"/>
        <v>4.1394335511982572E-2</v>
      </c>
      <c r="BI43" s="348">
        <f t="shared" si="27"/>
        <v>5.2863436123348019E-2</v>
      </c>
      <c r="BJ43" s="348">
        <f t="shared" si="27"/>
        <v>7.4152542372881353E-2</v>
      </c>
      <c r="BK43" s="348">
        <f t="shared" si="27"/>
        <v>6.0194174757281553E-2</v>
      </c>
      <c r="BL43" s="348">
        <f t="shared" si="27"/>
        <v>5.1652892561983473E-2</v>
      </c>
      <c r="BM43" s="348" t="e">
        <f t="shared" si="28"/>
        <v>#N/A</v>
      </c>
      <c r="BN43" s="348" t="e">
        <f t="shared" si="28"/>
        <v>#N/A</v>
      </c>
      <c r="BO43" s="348" t="e">
        <f t="shared" si="28"/>
        <v>#N/A</v>
      </c>
      <c r="BP43" s="348" t="e">
        <f t="shared" si="28"/>
        <v>#N/A</v>
      </c>
      <c r="BQ43" s="348" t="e">
        <f t="shared" si="28"/>
        <v>#N/A</v>
      </c>
    </row>
    <row r="44" spans="1:69" ht="14.25" customHeight="1" x14ac:dyDescent="0.2">
      <c r="A44" s="118"/>
      <c r="B44" s="9"/>
      <c r="C44" s="9"/>
      <c r="D44" s="9"/>
      <c r="E44" s="9"/>
      <c r="F44" s="9"/>
      <c r="G44" s="9"/>
      <c r="H44" s="9"/>
      <c r="I44" s="9"/>
      <c r="J44" s="12"/>
      <c r="K44" s="13"/>
      <c r="L44" s="13"/>
      <c r="M44" s="13"/>
      <c r="N44" s="13"/>
      <c r="O44" s="14"/>
      <c r="P44" s="14"/>
      <c r="Q44" s="14"/>
      <c r="R44" s="14"/>
      <c r="S44" s="14"/>
      <c r="T44" s="14"/>
      <c r="U44" s="14"/>
      <c r="V44" s="117"/>
      <c r="W44" s="137"/>
      <c r="X44" s="294"/>
      <c r="Y44" s="212" t="str">
        <f>"Y= "&amp;Z44&amp;"x + "&amp;AA44</f>
        <v>Y= 3.75117688821068x + 7.39208540759279</v>
      </c>
      <c r="Z44" s="1195">
        <f>Sheet1!$H$11</f>
        <v>3.7511768882106828</v>
      </c>
      <c r="AA44" s="1195">
        <f>Sheet1!$H$12</f>
        <v>7.3920854075927878</v>
      </c>
      <c r="AB44" s="215">
        <v>30</v>
      </c>
      <c r="AC44" s="216">
        <f>((AB44*Z44)+AA44)/$Y$2</f>
        <v>119.92739205391328</v>
      </c>
      <c r="AD44" s="1195">
        <f>ROUND(Sheet1!$H$13,3)</f>
        <v>0.41899999999999998</v>
      </c>
      <c r="AJ44" s="585" t="b">
        <v>1</v>
      </c>
      <c r="AK44" s="160" t="s">
        <v>4</v>
      </c>
      <c r="AL44" s="87" t="str">
        <f t="shared" si="22"/>
        <v>East Sussex</v>
      </c>
      <c r="AM44" s="146">
        <f t="shared" si="23"/>
        <v>51.274787535410766</v>
      </c>
      <c r="AN44" s="146">
        <f t="shared" si="23"/>
        <v>52.407932011331447</v>
      </c>
      <c r="AO44" s="146">
        <f t="shared" si="23"/>
        <v>56.79245283018868</v>
      </c>
      <c r="AP44" s="146">
        <f t="shared" si="23"/>
        <v>56.390977443609017</v>
      </c>
      <c r="AQ44" s="146">
        <f t="shared" si="23"/>
        <v>55.691439322671684</v>
      </c>
      <c r="AR44" s="147">
        <f t="shared" si="29"/>
        <v>16.100000000000001</v>
      </c>
      <c r="AS44" s="348">
        <f t="shared" si="24"/>
        <v>0.53333333333333333</v>
      </c>
      <c r="AT44" s="348">
        <f t="shared" si="24"/>
        <v>0.51044083526682138</v>
      </c>
      <c r="AU44" s="348">
        <f t="shared" si="24"/>
        <v>0.44420600858369097</v>
      </c>
      <c r="AV44" s="348">
        <f t="shared" si="24"/>
        <v>0.45945945945945948</v>
      </c>
      <c r="AW44" s="348">
        <f t="shared" si="24"/>
        <v>0.51731601731601728</v>
      </c>
      <c r="AX44" s="348">
        <f t="shared" si="25"/>
        <v>0.64583333333333337</v>
      </c>
      <c r="AY44" s="348">
        <f t="shared" si="25"/>
        <v>0.70454545454545459</v>
      </c>
      <c r="AZ44" s="348">
        <f t="shared" si="25"/>
        <v>0.70531400966183577</v>
      </c>
      <c r="BA44" s="348">
        <f t="shared" si="25"/>
        <v>0.69683257918552033</v>
      </c>
      <c r="BB44" s="348">
        <f t="shared" si="25"/>
        <v>0.62343096234309625</v>
      </c>
      <c r="BC44" s="348">
        <f t="shared" si="26"/>
        <v>0.11049723756906077</v>
      </c>
      <c r="BD44" s="348">
        <f t="shared" si="26"/>
        <v>0.13513513513513514</v>
      </c>
      <c r="BE44" s="348">
        <f t="shared" si="26"/>
        <v>0.11129568106312292</v>
      </c>
      <c r="BF44" s="348">
        <f t="shared" si="26"/>
        <v>0.12</v>
      </c>
      <c r="BG44" s="348">
        <f t="shared" si="26"/>
        <v>0.13344594594594594</v>
      </c>
      <c r="BH44" s="348">
        <f t="shared" si="27"/>
        <v>3.1307550644567222E-2</v>
      </c>
      <c r="BI44" s="348">
        <f t="shared" si="27"/>
        <v>4.3243243243243246E-2</v>
      </c>
      <c r="BJ44" s="348">
        <f t="shared" si="27"/>
        <v>3.3222591362126248E-2</v>
      </c>
      <c r="BK44" s="348">
        <f t="shared" si="27"/>
        <v>0.06</v>
      </c>
      <c r="BL44" s="348">
        <f t="shared" si="27"/>
        <v>5.2364864864864864E-2</v>
      </c>
      <c r="BM44" s="348" t="e">
        <f t="shared" si="28"/>
        <v>#N/A</v>
      </c>
      <c r="BN44" s="348" t="e">
        <f t="shared" si="28"/>
        <v>#N/A</v>
      </c>
      <c r="BO44" s="348" t="e">
        <f t="shared" si="28"/>
        <v>#N/A</v>
      </c>
      <c r="BP44" s="348" t="e">
        <f t="shared" si="28"/>
        <v>#N/A</v>
      </c>
      <c r="BQ44" s="348" t="e">
        <f t="shared" si="28"/>
        <v>#N/A</v>
      </c>
    </row>
    <row r="45" spans="1:69" s="76" customFormat="1" ht="14.25" customHeight="1" x14ac:dyDescent="0.2">
      <c r="A45" s="119"/>
      <c r="B45" s="226"/>
      <c r="C45" s="226"/>
      <c r="D45" s="227"/>
      <c r="E45" s="227"/>
      <c r="F45" s="227"/>
      <c r="G45" s="227"/>
      <c r="H45" s="227"/>
      <c r="I45" s="227"/>
      <c r="J45" s="15"/>
      <c r="K45" s="9"/>
      <c r="L45" s="9"/>
      <c r="M45" s="9"/>
      <c r="N45" s="9"/>
      <c r="O45" s="9"/>
      <c r="P45" s="9"/>
      <c r="Q45" s="9"/>
      <c r="R45" s="9"/>
      <c r="S45" s="9"/>
      <c r="T45" s="9"/>
      <c r="U45" s="9"/>
      <c r="V45" s="120"/>
      <c r="W45" s="138"/>
      <c r="X45" s="295"/>
      <c r="AD45" s="81"/>
      <c r="AE45" s="81"/>
      <c r="AF45" s="81"/>
      <c r="AG45" s="81"/>
      <c r="AH45" s="81"/>
      <c r="AI45" s="81"/>
      <c r="AJ45" s="585" t="b">
        <v>1</v>
      </c>
      <c r="AK45" s="160" t="s">
        <v>6</v>
      </c>
      <c r="AL45" s="87" t="str">
        <f t="shared" si="22"/>
        <v>Hampshire</v>
      </c>
      <c r="AM45" s="146">
        <f t="shared" si="23"/>
        <v>46.293011706278826</v>
      </c>
      <c r="AN45" s="146">
        <f t="shared" si="23"/>
        <v>50.919377652050912</v>
      </c>
      <c r="AO45" s="146">
        <f t="shared" si="23"/>
        <v>56.265442993293327</v>
      </c>
      <c r="AP45" s="146">
        <f t="shared" si="23"/>
        <v>58.591549295774648</v>
      </c>
      <c r="AQ45" s="146">
        <f t="shared" si="23"/>
        <v>56.348927189588466</v>
      </c>
      <c r="AR45" s="147">
        <f t="shared" si="29"/>
        <v>10.100000000000001</v>
      </c>
      <c r="AS45" s="348">
        <f t="shared" si="24"/>
        <v>0.40191387559808611</v>
      </c>
      <c r="AT45" s="348">
        <f t="shared" si="24"/>
        <v>0.4144851657940663</v>
      </c>
      <c r="AU45" s="348">
        <f t="shared" si="24"/>
        <v>0.4095315024232633</v>
      </c>
      <c r="AV45" s="348">
        <f t="shared" si="24"/>
        <v>0.42101105845181674</v>
      </c>
      <c r="AW45" s="348">
        <f t="shared" si="24"/>
        <v>0.47941888619854722</v>
      </c>
      <c r="AX45" s="348">
        <f t="shared" si="25"/>
        <v>0.66666666666666663</v>
      </c>
      <c r="AY45" s="348">
        <f t="shared" si="25"/>
        <v>0.68421052631578949</v>
      </c>
      <c r="AZ45" s="348">
        <f t="shared" si="25"/>
        <v>0.72386587771203159</v>
      </c>
      <c r="BA45" s="348">
        <f t="shared" si="25"/>
        <v>0.67354596622889307</v>
      </c>
      <c r="BB45" s="348">
        <f t="shared" si="25"/>
        <v>0.63804713804713808</v>
      </c>
      <c r="BC45" s="348">
        <f t="shared" si="26"/>
        <v>0.17241379310344829</v>
      </c>
      <c r="BD45" s="348">
        <f t="shared" si="26"/>
        <v>0.15625</v>
      </c>
      <c r="BE45" s="348">
        <f t="shared" si="26"/>
        <v>0.16436637390213299</v>
      </c>
      <c r="BF45" s="348">
        <f t="shared" si="26"/>
        <v>0.15925480769230768</v>
      </c>
      <c r="BG45" s="348">
        <f t="shared" si="26"/>
        <v>0.17290886392009988</v>
      </c>
      <c r="BH45" s="348">
        <f t="shared" si="27"/>
        <v>2.2222222222222223E-2</v>
      </c>
      <c r="BI45" s="348">
        <f t="shared" si="27"/>
        <v>5.5555555555555552E-2</v>
      </c>
      <c r="BJ45" s="348">
        <f t="shared" si="27"/>
        <v>7.0890840652446677E-2</v>
      </c>
      <c r="BK45" s="348">
        <f t="shared" si="27"/>
        <v>7.9927884615384609E-2</v>
      </c>
      <c r="BL45" s="348">
        <f t="shared" si="27"/>
        <v>5.305867665418227E-2</v>
      </c>
      <c r="BM45" s="348" t="e">
        <f t="shared" si="28"/>
        <v>#N/A</v>
      </c>
      <c r="BN45" s="348" t="e">
        <f t="shared" si="28"/>
        <v>#N/A</v>
      </c>
      <c r="BO45" s="348" t="e">
        <f t="shared" si="28"/>
        <v>#N/A</v>
      </c>
      <c r="BP45" s="348" t="e">
        <f t="shared" si="28"/>
        <v>#N/A</v>
      </c>
      <c r="BQ45" s="348" t="e">
        <f t="shared" si="28"/>
        <v>#N/A</v>
      </c>
    </row>
    <row r="46" spans="1:69" ht="14.25" customHeight="1" x14ac:dyDescent="0.2">
      <c r="A46" s="118"/>
      <c r="B46" s="227"/>
      <c r="C46" s="227"/>
      <c r="D46" s="227"/>
      <c r="E46" s="227"/>
      <c r="F46" s="227"/>
      <c r="G46" s="227"/>
      <c r="H46" s="227"/>
      <c r="I46" s="227"/>
      <c r="J46" s="12"/>
      <c r="K46" s="14"/>
      <c r="L46" s="14"/>
      <c r="M46" s="14"/>
      <c r="N46" s="14"/>
      <c r="O46" s="9"/>
      <c r="P46" s="9"/>
      <c r="Q46" s="9"/>
      <c r="R46" s="9"/>
      <c r="S46" s="9"/>
      <c r="T46" s="9"/>
      <c r="U46" s="9"/>
      <c r="V46" s="117"/>
      <c r="W46" s="137"/>
      <c r="X46" s="294"/>
      <c r="AJ46" s="585" t="b">
        <v>1</v>
      </c>
      <c r="AK46" s="160" t="s">
        <v>1</v>
      </c>
      <c r="AL46" s="87" t="str">
        <f t="shared" si="22"/>
        <v>Isle of Wight</v>
      </c>
      <c r="AM46" s="146">
        <f t="shared" si="23"/>
        <v>80.632411067193686</v>
      </c>
      <c r="AN46" s="146">
        <f t="shared" si="23"/>
        <v>90.476190476190467</v>
      </c>
      <c r="AO46" s="146">
        <f t="shared" si="23"/>
        <v>90.039840637450197</v>
      </c>
      <c r="AP46" s="146">
        <f t="shared" si="23"/>
        <v>97.590361445783131</v>
      </c>
      <c r="AQ46" s="146">
        <f t="shared" si="23"/>
        <v>106.88259109311741</v>
      </c>
      <c r="AR46" s="147">
        <f t="shared" si="29"/>
        <v>18</v>
      </c>
      <c r="AS46" s="348">
        <f t="shared" si="24"/>
        <v>0.41379310344827586</v>
      </c>
      <c r="AT46" s="348">
        <f t="shared" si="24"/>
        <v>0.3235294117647059</v>
      </c>
      <c r="AU46" s="348">
        <f t="shared" si="24"/>
        <v>0.34946236559139787</v>
      </c>
      <c r="AV46" s="348">
        <f t="shared" si="24"/>
        <v>0.46568627450980393</v>
      </c>
      <c r="AW46" s="348">
        <f t="shared" si="24"/>
        <v>0.47926267281105989</v>
      </c>
      <c r="AX46" s="348">
        <f t="shared" si="25"/>
        <v>0.66666666666666663</v>
      </c>
      <c r="AY46" s="348">
        <f t="shared" si="25"/>
        <v>0.63636363636363635</v>
      </c>
      <c r="AZ46" s="348">
        <f t="shared" si="25"/>
        <v>0.7384615384615385</v>
      </c>
      <c r="BA46" s="348">
        <f t="shared" si="25"/>
        <v>0.62105263157894741</v>
      </c>
      <c r="BB46" s="348">
        <f t="shared" si="25"/>
        <v>0.69230769230769229</v>
      </c>
      <c r="BC46" s="348">
        <f t="shared" si="26"/>
        <v>0.12254901960784313</v>
      </c>
      <c r="BD46" s="348">
        <f t="shared" si="26"/>
        <v>0.10964912280701754</v>
      </c>
      <c r="BE46" s="348">
        <f t="shared" si="26"/>
        <v>0.18141592920353983</v>
      </c>
      <c r="BF46" s="348">
        <f t="shared" si="26"/>
        <v>9.8765432098765427E-2</v>
      </c>
      <c r="BG46" s="348">
        <f t="shared" si="26"/>
        <v>0.13636363636363635</v>
      </c>
      <c r="BH46" s="348">
        <f t="shared" si="27"/>
        <v>0</v>
      </c>
      <c r="BI46" s="348" t="e">
        <f t="shared" si="27"/>
        <v>#N/A</v>
      </c>
      <c r="BJ46" s="348">
        <f t="shared" si="27"/>
        <v>3.0973451327433628E-2</v>
      </c>
      <c r="BK46" s="348">
        <f t="shared" si="27"/>
        <v>2.4691358024691357E-2</v>
      </c>
      <c r="BL46" s="348" t="e">
        <f t="shared" si="27"/>
        <v>#N/A</v>
      </c>
      <c r="BM46" s="348" t="e">
        <f t="shared" si="28"/>
        <v>#N/A</v>
      </c>
      <c r="BN46" s="348" t="e">
        <f t="shared" si="28"/>
        <v>#N/A</v>
      </c>
      <c r="BO46" s="348" t="e">
        <f t="shared" si="28"/>
        <v>#N/A</v>
      </c>
      <c r="BP46" s="348" t="e">
        <f t="shared" si="28"/>
        <v>#N/A</v>
      </c>
      <c r="BQ46" s="348" t="e">
        <f t="shared" si="28"/>
        <v>#N/A</v>
      </c>
    </row>
    <row r="47" spans="1:69" ht="14.25" customHeight="1" x14ac:dyDescent="0.2">
      <c r="A47" s="118"/>
      <c r="B47" s="227"/>
      <c r="C47" s="227"/>
      <c r="D47" s="227"/>
      <c r="E47" s="227"/>
      <c r="F47" s="227"/>
      <c r="G47" s="227"/>
      <c r="H47" s="227"/>
      <c r="I47" s="227"/>
      <c r="J47" s="12"/>
      <c r="K47" s="14"/>
      <c r="L47" s="14"/>
      <c r="M47" s="14"/>
      <c r="N47" s="14"/>
      <c r="O47" s="9"/>
      <c r="P47" s="9"/>
      <c r="Q47" s="9"/>
      <c r="R47" s="9"/>
      <c r="S47" s="9"/>
      <c r="T47" s="9"/>
      <c r="U47" s="9"/>
      <c r="V47" s="117"/>
      <c r="W47" s="137"/>
      <c r="X47" s="294"/>
      <c r="AD47" s="207"/>
      <c r="AJ47" s="585" t="b">
        <v>1</v>
      </c>
      <c r="AK47" s="160" t="s">
        <v>9</v>
      </c>
      <c r="AL47" s="87" t="str">
        <f t="shared" si="22"/>
        <v>Kent</v>
      </c>
      <c r="AM47" s="146">
        <f t="shared" si="23"/>
        <v>70.036319612590802</v>
      </c>
      <c r="AN47" s="146">
        <f t="shared" si="23"/>
        <v>57.087087087087085</v>
      </c>
      <c r="AO47" s="146">
        <f t="shared" si="23"/>
        <v>48.824754537340077</v>
      </c>
      <c r="AP47" s="146">
        <f t="shared" si="23"/>
        <v>46.75095560129374</v>
      </c>
      <c r="AQ47" s="146">
        <f t="shared" si="23"/>
        <v>52.559627690517736</v>
      </c>
      <c r="AR47" s="147">
        <f t="shared" si="29"/>
        <v>15.8</v>
      </c>
      <c r="AS47" s="348">
        <f t="shared" si="24"/>
        <v>0.43129770992366412</v>
      </c>
      <c r="AT47" s="348">
        <f t="shared" si="24"/>
        <v>0.46179680940386231</v>
      </c>
      <c r="AU47" s="348">
        <f t="shared" si="24"/>
        <v>0.5122171945701357</v>
      </c>
      <c r="AV47" s="348">
        <f t="shared" si="24"/>
        <v>0.52641690682036502</v>
      </c>
      <c r="AW47" s="348">
        <f t="shared" si="24"/>
        <v>0.48395967002749773</v>
      </c>
      <c r="AX47" s="348">
        <f t="shared" si="25"/>
        <v>0.69026548672566368</v>
      </c>
      <c r="AY47" s="348">
        <f t="shared" si="25"/>
        <v>0.69090909090909092</v>
      </c>
      <c r="AZ47" s="348">
        <f t="shared" si="25"/>
        <v>0.67844522968197885</v>
      </c>
      <c r="BA47" s="348">
        <f t="shared" si="25"/>
        <v>0.70437956204379559</v>
      </c>
      <c r="BB47" s="348">
        <f t="shared" si="25"/>
        <v>0.69696969696969702</v>
      </c>
      <c r="BC47" s="348">
        <f t="shared" si="26"/>
        <v>0.12532411408815902</v>
      </c>
      <c r="BD47" s="348">
        <f t="shared" si="26"/>
        <v>0.1262493424513414</v>
      </c>
      <c r="BE47" s="348">
        <f t="shared" si="26"/>
        <v>0.11761121267519806</v>
      </c>
      <c r="BF47" s="348">
        <f t="shared" si="26"/>
        <v>0.10377358490566038</v>
      </c>
      <c r="BG47" s="348">
        <f t="shared" si="26"/>
        <v>0.11178749308245711</v>
      </c>
      <c r="BH47" s="348">
        <f t="shared" si="27"/>
        <v>0.37510803802938636</v>
      </c>
      <c r="BI47" s="348">
        <f t="shared" si="27"/>
        <v>0.25460284061020516</v>
      </c>
      <c r="BJ47" s="348">
        <f t="shared" si="27"/>
        <v>0.14259597806215721</v>
      </c>
      <c r="BK47" s="348">
        <f t="shared" si="27"/>
        <v>0.16037735849056603</v>
      </c>
      <c r="BL47" s="348">
        <f t="shared" si="27"/>
        <v>0.23574986164914222</v>
      </c>
      <c r="BM47" s="348" t="e">
        <f t="shared" si="28"/>
        <v>#N/A</v>
      </c>
      <c r="BN47" s="348" t="e">
        <f t="shared" si="28"/>
        <v>#N/A</v>
      </c>
      <c r="BO47" s="348" t="e">
        <f t="shared" si="28"/>
        <v>#N/A</v>
      </c>
      <c r="BP47" s="348" t="e">
        <f t="shared" si="28"/>
        <v>#N/A</v>
      </c>
      <c r="BQ47" s="348" t="e">
        <f t="shared" si="28"/>
        <v>#N/A</v>
      </c>
    </row>
    <row r="48" spans="1:69" ht="14.25" customHeight="1" x14ac:dyDescent="0.2">
      <c r="A48" s="118"/>
      <c r="B48" s="58"/>
      <c r="C48" s="58"/>
      <c r="D48" s="58"/>
      <c r="E48" s="58"/>
      <c r="F48" s="58"/>
      <c r="G48" s="58"/>
      <c r="H48" s="58"/>
      <c r="I48" s="58"/>
      <c r="J48" s="12"/>
      <c r="K48" s="14"/>
      <c r="L48" s="14"/>
      <c r="M48" s="14"/>
      <c r="N48" s="14"/>
      <c r="O48" s="9"/>
      <c r="P48" s="9"/>
      <c r="Q48" s="9"/>
      <c r="R48" s="9"/>
      <c r="S48" s="9"/>
      <c r="T48" s="9"/>
      <c r="U48" s="9"/>
      <c r="V48" s="117"/>
      <c r="W48" s="137"/>
      <c r="X48" s="294"/>
      <c r="AD48" s="184"/>
      <c r="AJ48" s="585" t="b">
        <v>1</v>
      </c>
      <c r="AK48" s="160" t="s">
        <v>2</v>
      </c>
      <c r="AL48" s="87" t="str">
        <f t="shared" si="22"/>
        <v>Medway</v>
      </c>
      <c r="AM48" s="146">
        <f t="shared" si="23"/>
        <v>68.037974683544306</v>
      </c>
      <c r="AN48" s="146">
        <f t="shared" si="23"/>
        <v>61.224489795918366</v>
      </c>
      <c r="AO48" s="146">
        <f t="shared" si="23"/>
        <v>64.788732394366193</v>
      </c>
      <c r="AP48" s="146">
        <f t="shared" si="23"/>
        <v>65.838509316770185</v>
      </c>
      <c r="AQ48" s="146">
        <f t="shared" si="23"/>
        <v>65.538461538461547</v>
      </c>
      <c r="AR48" s="147">
        <f t="shared" si="29"/>
        <v>18.899999999999999</v>
      </c>
      <c r="AS48" s="348">
        <f t="shared" si="24"/>
        <v>0.37681159420289856</v>
      </c>
      <c r="AT48" s="348">
        <f t="shared" si="24"/>
        <v>0.47021943573667713</v>
      </c>
      <c r="AU48" s="348">
        <f t="shared" si="24"/>
        <v>0.48973607038123168</v>
      </c>
      <c r="AV48" s="348">
        <f t="shared" si="24"/>
        <v>0.50595238095238093</v>
      </c>
      <c r="AW48" s="348">
        <f t="shared" si="24"/>
        <v>0.48529411764705882</v>
      </c>
      <c r="AX48" s="348">
        <f t="shared" si="25"/>
        <v>0.73076923076923073</v>
      </c>
      <c r="AY48" s="348">
        <f t="shared" si="25"/>
        <v>0.76666666666666672</v>
      </c>
      <c r="AZ48" s="348">
        <f t="shared" si="25"/>
        <v>0.6706586826347305</v>
      </c>
      <c r="BA48" s="348">
        <f t="shared" si="25"/>
        <v>0.71176470588235297</v>
      </c>
      <c r="BB48" s="348">
        <f t="shared" si="25"/>
        <v>0.69090909090909092</v>
      </c>
      <c r="BC48" s="348">
        <f t="shared" si="26"/>
        <v>9.3023255813953487E-2</v>
      </c>
      <c r="BD48" s="348">
        <f t="shared" si="26"/>
        <v>0.11538461538461539</v>
      </c>
      <c r="BE48" s="348">
        <f t="shared" si="26"/>
        <v>9.9033816425120769E-2</v>
      </c>
      <c r="BF48" s="348">
        <f t="shared" si="26"/>
        <v>9.4339622641509441E-2</v>
      </c>
      <c r="BG48" s="348">
        <f t="shared" si="26"/>
        <v>9.6244131455399062E-2</v>
      </c>
      <c r="BH48" s="348" t="e">
        <f t="shared" si="27"/>
        <v>#N/A</v>
      </c>
      <c r="BI48" s="348" t="e">
        <f t="shared" si="27"/>
        <v>#N/A</v>
      </c>
      <c r="BJ48" s="348" t="e">
        <f t="shared" si="27"/>
        <v>#N/A</v>
      </c>
      <c r="BK48" s="348">
        <f t="shared" si="27"/>
        <v>2.5943396226415096E-2</v>
      </c>
      <c r="BL48" s="348">
        <f t="shared" si="27"/>
        <v>1.8779342723004695E-2</v>
      </c>
      <c r="BM48" s="348" t="e">
        <f t="shared" si="28"/>
        <v>#N/A</v>
      </c>
      <c r="BN48" s="348" t="e">
        <f t="shared" si="28"/>
        <v>#N/A</v>
      </c>
      <c r="BO48" s="348" t="e">
        <f t="shared" si="28"/>
        <v>#N/A</v>
      </c>
      <c r="BP48" s="348" t="e">
        <f t="shared" si="28"/>
        <v>#N/A</v>
      </c>
      <c r="BQ48" s="348" t="e">
        <f t="shared" si="28"/>
        <v>#N/A</v>
      </c>
    </row>
    <row r="49" spans="1:69" ht="14.25" customHeight="1" x14ac:dyDescent="0.2">
      <c r="A49" s="118"/>
      <c r="B49" s="58"/>
      <c r="C49" s="58"/>
      <c r="D49" s="69"/>
      <c r="E49" s="70"/>
      <c r="F49" s="69"/>
      <c r="G49" s="70"/>
      <c r="H49" s="70"/>
      <c r="I49" s="70"/>
      <c r="J49" s="12"/>
      <c r="K49" s="14"/>
      <c r="L49" s="14"/>
      <c r="M49" s="14"/>
      <c r="N49" s="14"/>
      <c r="O49" s="9"/>
      <c r="P49" s="9"/>
      <c r="Q49" s="9"/>
      <c r="R49" s="9"/>
      <c r="S49" s="9"/>
      <c r="T49" s="9"/>
      <c r="U49" s="9"/>
      <c r="V49" s="117"/>
      <c r="W49" s="137"/>
      <c r="X49" s="294"/>
      <c r="AJ49" s="585" t="b">
        <v>1</v>
      </c>
      <c r="AK49" s="160" t="s">
        <v>10</v>
      </c>
      <c r="AL49" s="87" t="str">
        <f t="shared" si="22"/>
        <v>Milton Keynes</v>
      </c>
      <c r="AM49" s="146">
        <f t="shared" si="23"/>
        <v>52.193645990922839</v>
      </c>
      <c r="AN49" s="146">
        <f t="shared" si="23"/>
        <v>59.016393442622949</v>
      </c>
      <c r="AO49" s="146">
        <f t="shared" si="23"/>
        <v>58.284023668639051</v>
      </c>
      <c r="AP49" s="146">
        <f t="shared" si="23"/>
        <v>55.783308931185942</v>
      </c>
      <c r="AQ49" s="146">
        <f t="shared" si="23"/>
        <v>58.575581395348834</v>
      </c>
      <c r="AR49" s="147">
        <f t="shared" si="29"/>
        <v>15</v>
      </c>
      <c r="AS49" s="348">
        <f t="shared" si="24"/>
        <v>0.44</v>
      </c>
      <c r="AT49" s="348">
        <f t="shared" si="24"/>
        <v>0.39473684210526316</v>
      </c>
      <c r="AU49" s="348">
        <f t="shared" si="24"/>
        <v>0.40251572327044027</v>
      </c>
      <c r="AV49" s="348">
        <f t="shared" si="24"/>
        <v>0.47468354430379744</v>
      </c>
      <c r="AW49" s="348">
        <f t="shared" si="24"/>
        <v>0.45751633986928103</v>
      </c>
      <c r="AX49" s="348">
        <f t="shared" si="25"/>
        <v>0.54545454545454541</v>
      </c>
      <c r="AY49" s="348">
        <f t="shared" si="25"/>
        <v>0.625</v>
      </c>
      <c r="AZ49" s="348">
        <f t="shared" si="25"/>
        <v>0.5703125</v>
      </c>
      <c r="BA49" s="348">
        <f t="shared" si="25"/>
        <v>0.66</v>
      </c>
      <c r="BB49" s="348">
        <f t="shared" si="25"/>
        <v>0.65</v>
      </c>
      <c r="BC49" s="348">
        <f t="shared" si="26"/>
        <v>0.11594202898550725</v>
      </c>
      <c r="BD49" s="348">
        <f t="shared" si="26"/>
        <v>8.8383838383838384E-2</v>
      </c>
      <c r="BE49" s="348">
        <f t="shared" si="26"/>
        <v>0.1116751269035533</v>
      </c>
      <c r="BF49" s="348">
        <f t="shared" si="26"/>
        <v>0.10761154855643044</v>
      </c>
      <c r="BG49" s="348">
        <f t="shared" si="26"/>
        <v>0.14143920595533499</v>
      </c>
      <c r="BH49" s="348">
        <f t="shared" si="27"/>
        <v>0.11884057971014493</v>
      </c>
      <c r="BI49" s="348">
        <f t="shared" si="27"/>
        <v>0.10353535353535354</v>
      </c>
      <c r="BJ49" s="348">
        <f t="shared" si="27"/>
        <v>7.6142131979695438E-2</v>
      </c>
      <c r="BK49" s="348">
        <f t="shared" si="27"/>
        <v>6.0367454068241469E-2</v>
      </c>
      <c r="BL49" s="348">
        <f t="shared" si="27"/>
        <v>7.9404466501240695E-2</v>
      </c>
      <c r="BM49" s="348" t="e">
        <f t="shared" si="28"/>
        <v>#N/A</v>
      </c>
      <c r="BN49" s="348" t="e">
        <f t="shared" si="28"/>
        <v>#N/A</v>
      </c>
      <c r="BO49" s="348" t="e">
        <f t="shared" si="28"/>
        <v>#N/A</v>
      </c>
      <c r="BP49" s="348" t="e">
        <f t="shared" si="28"/>
        <v>#N/A</v>
      </c>
      <c r="BQ49" s="348" t="e">
        <f t="shared" si="28"/>
        <v>#N/A</v>
      </c>
    </row>
    <row r="50" spans="1:69" ht="14.25" customHeight="1" x14ac:dyDescent="0.2">
      <c r="A50" s="118"/>
      <c r="B50" s="58"/>
      <c r="C50" s="58"/>
      <c r="D50" s="61"/>
      <c r="E50" s="61"/>
      <c r="F50" s="61"/>
      <c r="G50" s="61"/>
      <c r="H50" s="61"/>
      <c r="I50" s="61"/>
      <c r="J50" s="12"/>
      <c r="K50" s="14"/>
      <c r="L50" s="14"/>
      <c r="M50" s="14"/>
      <c r="N50" s="14"/>
      <c r="O50" s="9"/>
      <c r="P50" s="9"/>
      <c r="Q50" s="9"/>
      <c r="R50" s="9"/>
      <c r="S50" s="9"/>
      <c r="T50" s="9"/>
      <c r="U50" s="9"/>
      <c r="V50" s="117"/>
      <c r="W50" s="137"/>
      <c r="X50" s="294"/>
      <c r="AJ50" s="585" t="b">
        <v>1</v>
      </c>
      <c r="AK50" s="160" t="s">
        <v>11</v>
      </c>
      <c r="AL50" s="87" t="str">
        <f t="shared" si="22"/>
        <v>Oxfordshire</v>
      </c>
      <c r="AM50" s="146">
        <f t="shared" si="23"/>
        <v>41.819464033850494</v>
      </c>
      <c r="AN50" s="146">
        <f t="shared" si="23"/>
        <v>46.60601819454164</v>
      </c>
      <c r="AO50" s="146">
        <f t="shared" si="23"/>
        <v>47.698744769874473</v>
      </c>
      <c r="AP50" s="146">
        <f t="shared" si="23"/>
        <v>53.798342541436462</v>
      </c>
      <c r="AQ50" s="146">
        <f t="shared" si="23"/>
        <v>52.498288843258045</v>
      </c>
      <c r="AR50" s="147">
        <f t="shared" si="29"/>
        <v>10.100000000000001</v>
      </c>
      <c r="AS50" s="348">
        <f t="shared" si="24"/>
        <v>0.27586206896551724</v>
      </c>
      <c r="AT50" s="348">
        <f t="shared" si="24"/>
        <v>0.25590551181102361</v>
      </c>
      <c r="AU50" s="348">
        <f t="shared" si="24"/>
        <v>0.31517509727626458</v>
      </c>
      <c r="AV50" s="348">
        <f t="shared" si="24"/>
        <v>0.32586206896551723</v>
      </c>
      <c r="AW50" s="348">
        <f t="shared" si="24"/>
        <v>0.40357142857142858</v>
      </c>
      <c r="AX50" s="348">
        <f t="shared" si="25"/>
        <v>0.66666666666666663</v>
      </c>
      <c r="AY50" s="348">
        <f t="shared" si="25"/>
        <v>0.69230769230769229</v>
      </c>
      <c r="AZ50" s="348">
        <f t="shared" si="25"/>
        <v>0.65432098765432101</v>
      </c>
      <c r="BA50" s="348">
        <f t="shared" si="25"/>
        <v>0.70370370370370372</v>
      </c>
      <c r="BB50" s="348">
        <f t="shared" si="25"/>
        <v>0.65044247787610621</v>
      </c>
      <c r="BC50" s="348">
        <f t="shared" si="26"/>
        <v>6.7453625632377737E-2</v>
      </c>
      <c r="BD50" s="348">
        <f t="shared" si="26"/>
        <v>8.2582582582582581E-2</v>
      </c>
      <c r="BE50" s="348">
        <f t="shared" si="26"/>
        <v>0.11257309941520467</v>
      </c>
      <c r="BF50" s="348">
        <f t="shared" si="26"/>
        <v>9.2426187419768935E-2</v>
      </c>
      <c r="BG50" s="348">
        <f t="shared" si="26"/>
        <v>0.11082138200782268</v>
      </c>
      <c r="BH50" s="348">
        <f t="shared" si="27"/>
        <v>9.7807757166947729E-2</v>
      </c>
      <c r="BI50" s="348">
        <f t="shared" si="27"/>
        <v>8.1081081081081086E-2</v>
      </c>
      <c r="BJ50" s="348">
        <f t="shared" si="27"/>
        <v>8.3333333333333329E-2</v>
      </c>
      <c r="BK50" s="348">
        <f t="shared" si="27"/>
        <v>8.2156611039794603E-2</v>
      </c>
      <c r="BL50" s="348">
        <f t="shared" si="27"/>
        <v>6.6492829204693613E-2</v>
      </c>
      <c r="BM50" s="348" t="e">
        <f t="shared" si="28"/>
        <v>#N/A</v>
      </c>
      <c r="BN50" s="348" t="e">
        <f t="shared" si="28"/>
        <v>#N/A</v>
      </c>
      <c r="BO50" s="348" t="e">
        <f t="shared" si="28"/>
        <v>#N/A</v>
      </c>
      <c r="BP50" s="348" t="e">
        <f t="shared" si="28"/>
        <v>#N/A</v>
      </c>
      <c r="BQ50" s="348" t="e">
        <f t="shared" si="28"/>
        <v>#N/A</v>
      </c>
    </row>
    <row r="51" spans="1:69" ht="14.25" customHeight="1" x14ac:dyDescent="0.2">
      <c r="A51" s="118"/>
      <c r="B51" s="375"/>
      <c r="C51" s="375"/>
      <c r="D51" s="58"/>
      <c r="E51" s="58"/>
      <c r="F51" s="58"/>
      <c r="G51" s="58"/>
      <c r="H51" s="58"/>
      <c r="I51" s="58"/>
      <c r="J51" s="12"/>
      <c r="K51" s="14"/>
      <c r="L51" s="14"/>
      <c r="M51" s="14"/>
      <c r="N51" s="14"/>
      <c r="O51" s="9"/>
      <c r="P51" s="9"/>
      <c r="Q51" s="9"/>
      <c r="R51" s="9"/>
      <c r="S51" s="9"/>
      <c r="T51" s="9"/>
      <c r="U51" s="9"/>
      <c r="V51" s="117"/>
      <c r="W51" s="137"/>
      <c r="X51" s="294"/>
      <c r="AJ51" s="585" t="b">
        <v>1</v>
      </c>
      <c r="AK51" s="160" t="s">
        <v>12</v>
      </c>
      <c r="AL51" s="87" t="str">
        <f t="shared" si="22"/>
        <v>Portsmouth</v>
      </c>
      <c r="AM51" s="146">
        <f t="shared" ref="AM51:AQ64" si="30">VLOOKUP($AL51,$B$10:$O$33,AM$37,FALSE)</f>
        <v>73.515981735159826</v>
      </c>
      <c r="AN51" s="146">
        <f t="shared" si="30"/>
        <v>81.36363636363636</v>
      </c>
      <c r="AO51" s="146">
        <f t="shared" si="30"/>
        <v>93.891402714932127</v>
      </c>
      <c r="AP51" s="146">
        <f t="shared" si="30"/>
        <v>110.45454545454545</v>
      </c>
      <c r="AQ51" s="146">
        <f t="shared" si="30"/>
        <v>106.39269406392694</v>
      </c>
      <c r="AR51" s="147">
        <f t="shared" si="29"/>
        <v>20.200000000000003</v>
      </c>
      <c r="AS51" s="348">
        <f t="shared" ref="AS51:AW64" si="31">VLOOKUP($AL51,$B$112:$H$135,AS$37,FALSE)</f>
        <v>0.42307692307692307</v>
      </c>
      <c r="AT51" s="348">
        <f t="shared" si="31"/>
        <v>0.45955882352941174</v>
      </c>
      <c r="AU51" s="348">
        <f t="shared" si="31"/>
        <v>0.40476190476190477</v>
      </c>
      <c r="AV51" s="348">
        <f t="shared" si="31"/>
        <v>0.38109756097560976</v>
      </c>
      <c r="AW51" s="348">
        <f t="shared" si="31"/>
        <v>0.42857142857142855</v>
      </c>
      <c r="AX51" s="348">
        <f t="shared" ref="AX51:BB64" si="32">VLOOKUP($AL51,$B$148:$H$171,AX$37,FALSE)</f>
        <v>0.54545454545454541</v>
      </c>
      <c r="AY51" s="348">
        <f t="shared" si="32"/>
        <v>0.6</v>
      </c>
      <c r="AZ51" s="348">
        <f t="shared" si="32"/>
        <v>0.62184873949579833</v>
      </c>
      <c r="BA51" s="348">
        <f t="shared" si="32"/>
        <v>0.66400000000000003</v>
      </c>
      <c r="BB51" s="348">
        <f t="shared" si="32"/>
        <v>0.61363636363636365</v>
      </c>
      <c r="BC51" s="348">
        <f t="shared" ref="BC51:BG64" si="33">VLOOKUP($AL51,$B$184:$H$207,BC$37,FALSE)</f>
        <v>0.15527950310559005</v>
      </c>
      <c r="BD51" s="348">
        <f t="shared" si="33"/>
        <v>0.15363128491620112</v>
      </c>
      <c r="BE51" s="348">
        <f t="shared" si="33"/>
        <v>0.14457831325301204</v>
      </c>
      <c r="BF51" s="348">
        <f t="shared" si="33"/>
        <v>0.15843621399176955</v>
      </c>
      <c r="BG51" s="348">
        <f t="shared" si="33"/>
        <v>0.13948497854077252</v>
      </c>
      <c r="BH51" s="348">
        <f t="shared" ref="BH51:BL64" si="34">VLOOKUP($AL51,$B$256:$H$279,BH$37,FALSE)</f>
        <v>9.9378881987577633E-2</v>
      </c>
      <c r="BI51" s="348">
        <f t="shared" si="34"/>
        <v>0.12569832402234637</v>
      </c>
      <c r="BJ51" s="348">
        <f t="shared" si="34"/>
        <v>0.17349397590361446</v>
      </c>
      <c r="BK51" s="348">
        <f t="shared" si="34"/>
        <v>0.20781893004115226</v>
      </c>
      <c r="BL51" s="348">
        <f t="shared" si="34"/>
        <v>0.21244635193133046</v>
      </c>
      <c r="BM51" s="348" t="e">
        <f t="shared" ref="BM51:BQ64" si="35">VLOOKUP($AL51,$B$220:$H$243,BM$37,FALSE)</f>
        <v>#N/A</v>
      </c>
      <c r="BN51" s="348" t="e">
        <f t="shared" si="35"/>
        <v>#N/A</v>
      </c>
      <c r="BO51" s="348" t="e">
        <f t="shared" si="35"/>
        <v>#N/A</v>
      </c>
      <c r="BP51" s="348" t="e">
        <f t="shared" si="35"/>
        <v>#N/A</v>
      </c>
      <c r="BQ51" s="348" t="e">
        <f t="shared" si="35"/>
        <v>#N/A</v>
      </c>
    </row>
    <row r="52" spans="1:69" ht="14.25" customHeight="1" x14ac:dyDescent="0.2">
      <c r="A52" s="118"/>
      <c r="B52" s="375"/>
      <c r="C52" s="375"/>
      <c r="D52" s="58"/>
      <c r="E52" s="58"/>
      <c r="F52" s="58"/>
      <c r="G52" s="58"/>
      <c r="H52" s="58"/>
      <c r="I52" s="58"/>
      <c r="J52" s="12"/>
      <c r="K52" s="14"/>
      <c r="L52" s="14"/>
      <c r="M52" s="14"/>
      <c r="N52" s="14"/>
      <c r="O52" s="9"/>
      <c r="P52" s="9"/>
      <c r="Q52" s="9"/>
      <c r="R52" s="9"/>
      <c r="S52" s="9"/>
      <c r="T52" s="9"/>
      <c r="U52" s="9"/>
      <c r="V52" s="117"/>
      <c r="W52" s="137"/>
      <c r="X52" s="294"/>
      <c r="AJ52" s="585" t="b">
        <v>1</v>
      </c>
      <c r="AK52" s="160" t="s">
        <v>3</v>
      </c>
      <c r="AL52" s="87" t="str">
        <f t="shared" si="22"/>
        <v>Reading</v>
      </c>
      <c r="AM52" s="146">
        <f t="shared" si="30"/>
        <v>60.439560439560445</v>
      </c>
      <c r="AN52" s="146">
        <f t="shared" si="30"/>
        <v>71.857923497267763</v>
      </c>
      <c r="AO52" s="146">
        <f t="shared" si="30"/>
        <v>75.202156334231802</v>
      </c>
      <c r="AP52" s="146">
        <f t="shared" si="30"/>
        <v>73.584905660377359</v>
      </c>
      <c r="AQ52" s="146">
        <f t="shared" si="30"/>
        <v>75.675675675675677</v>
      </c>
      <c r="AR52" s="147">
        <f t="shared" si="29"/>
        <v>16</v>
      </c>
      <c r="AS52" s="348">
        <f t="shared" si="31"/>
        <v>0.37142857142857144</v>
      </c>
      <c r="AT52" s="348">
        <f t="shared" si="31"/>
        <v>0.29556650246305421</v>
      </c>
      <c r="AU52" s="348">
        <f t="shared" si="31"/>
        <v>0.37168141592920356</v>
      </c>
      <c r="AV52" s="348">
        <f t="shared" si="31"/>
        <v>0.43891402714932126</v>
      </c>
      <c r="AW52" s="348">
        <f t="shared" si="31"/>
        <v>0.46728971962616822</v>
      </c>
      <c r="AX52" s="348">
        <f t="shared" si="32"/>
        <v>0.61538461538461542</v>
      </c>
      <c r="AY52" s="348">
        <f t="shared" si="32"/>
        <v>0.75</v>
      </c>
      <c r="AZ52" s="348">
        <f t="shared" si="32"/>
        <v>0.63095238095238093</v>
      </c>
      <c r="BA52" s="348">
        <f t="shared" si="32"/>
        <v>0.65979381443298968</v>
      </c>
      <c r="BB52" s="348">
        <f t="shared" si="32"/>
        <v>0.64</v>
      </c>
      <c r="BC52" s="348">
        <f t="shared" si="33"/>
        <v>9.0909090909090912E-2</v>
      </c>
      <c r="BD52" s="348">
        <f t="shared" si="33"/>
        <v>3.8022813688212927E-2</v>
      </c>
      <c r="BE52" s="348">
        <f t="shared" si="33"/>
        <v>0.11469534050179211</v>
      </c>
      <c r="BF52" s="348">
        <f t="shared" si="33"/>
        <v>0.12087912087912088</v>
      </c>
      <c r="BG52" s="348">
        <f t="shared" si="33"/>
        <v>0.1357142857142857</v>
      </c>
      <c r="BH52" s="348">
        <f t="shared" si="34"/>
        <v>2.7272727272727271E-2</v>
      </c>
      <c r="BI52" s="348">
        <f t="shared" si="34"/>
        <v>4.1825095057034217E-2</v>
      </c>
      <c r="BJ52" s="348">
        <f t="shared" si="34"/>
        <v>3.2258064516129031E-2</v>
      </c>
      <c r="BK52" s="348" t="e">
        <f t="shared" si="34"/>
        <v>#N/A</v>
      </c>
      <c r="BL52" s="348">
        <f t="shared" si="34"/>
        <v>3.5714285714285712E-2</v>
      </c>
      <c r="BM52" s="348" t="e">
        <f t="shared" si="35"/>
        <v>#N/A</v>
      </c>
      <c r="BN52" s="348" t="e">
        <f t="shared" si="35"/>
        <v>#N/A</v>
      </c>
      <c r="BO52" s="348" t="e">
        <f t="shared" si="35"/>
        <v>#N/A</v>
      </c>
      <c r="BP52" s="348" t="e">
        <f t="shared" si="35"/>
        <v>#N/A</v>
      </c>
      <c r="BQ52" s="348" t="e">
        <f t="shared" si="35"/>
        <v>#N/A</v>
      </c>
    </row>
    <row r="53" spans="1:69" ht="14.25" customHeight="1" x14ac:dyDescent="0.2">
      <c r="A53" s="118"/>
      <c r="B53" s="375"/>
      <c r="C53" s="375"/>
      <c r="D53" s="58"/>
      <c r="E53" s="58"/>
      <c r="F53" s="58"/>
      <c r="G53" s="58"/>
      <c r="H53" s="58"/>
      <c r="I53" s="58"/>
      <c r="J53" s="12"/>
      <c r="K53" s="14"/>
      <c r="L53" s="14"/>
      <c r="M53" s="14"/>
      <c r="N53" s="14"/>
      <c r="O53" s="9"/>
      <c r="P53" s="9"/>
      <c r="Q53" s="9"/>
      <c r="R53" s="9"/>
      <c r="S53" s="9"/>
      <c r="T53" s="9"/>
      <c r="U53" s="9"/>
      <c r="V53" s="117"/>
      <c r="W53" s="137"/>
      <c r="X53" s="294"/>
      <c r="AJ53" s="585" t="b">
        <v>1</v>
      </c>
      <c r="AK53" s="160" t="s">
        <v>13</v>
      </c>
      <c r="AL53" s="87" t="str">
        <f t="shared" si="22"/>
        <v>Slough</v>
      </c>
      <c r="AM53" s="146">
        <f t="shared" si="30"/>
        <v>44.088669950738911</v>
      </c>
      <c r="AN53" s="146">
        <f t="shared" si="30"/>
        <v>45.893719806763286</v>
      </c>
      <c r="AO53" s="146">
        <f t="shared" si="30"/>
        <v>48.81516587677725</v>
      </c>
      <c r="AP53" s="146">
        <f t="shared" si="30"/>
        <v>49.882903981264633</v>
      </c>
      <c r="AQ53" s="146">
        <f t="shared" si="30"/>
        <v>45.475638051044086</v>
      </c>
      <c r="AR53" s="147">
        <f t="shared" si="29"/>
        <v>14.7</v>
      </c>
      <c r="AS53" s="348">
        <f t="shared" si="31"/>
        <v>0.36666666666666664</v>
      </c>
      <c r="AT53" s="348">
        <f t="shared" si="31"/>
        <v>0.35714285714285715</v>
      </c>
      <c r="AU53" s="348">
        <f t="shared" si="31"/>
        <v>0.30463576158940397</v>
      </c>
      <c r="AV53" s="348">
        <f t="shared" si="31"/>
        <v>0.32926829268292684</v>
      </c>
      <c r="AW53" s="348">
        <f t="shared" si="31"/>
        <v>0.37086092715231789</v>
      </c>
      <c r="AX53" s="348">
        <f t="shared" si="32"/>
        <v>0.54545454545454541</v>
      </c>
      <c r="AY53" s="348">
        <f t="shared" si="32"/>
        <v>0.6</v>
      </c>
      <c r="AZ53" s="348">
        <f t="shared" si="32"/>
        <v>0.71739130434782605</v>
      </c>
      <c r="BA53" s="348">
        <f t="shared" si="32"/>
        <v>0.64814814814814814</v>
      </c>
      <c r="BB53" s="348">
        <f t="shared" si="32"/>
        <v>0.7321428571428571</v>
      </c>
      <c r="BC53" s="348">
        <f t="shared" si="33"/>
        <v>0.13966480446927373</v>
      </c>
      <c r="BD53" s="348">
        <f t="shared" si="33"/>
        <v>0.13157894736842105</v>
      </c>
      <c r="BE53" s="348">
        <f t="shared" si="33"/>
        <v>0.16019417475728157</v>
      </c>
      <c r="BF53" s="348">
        <f t="shared" si="33"/>
        <v>0.107981220657277</v>
      </c>
      <c r="BG53" s="348">
        <f t="shared" si="33"/>
        <v>0.1683673469387755</v>
      </c>
      <c r="BH53" s="348">
        <f t="shared" si="34"/>
        <v>6.7039106145251395E-2</v>
      </c>
      <c r="BI53" s="348">
        <f t="shared" si="34"/>
        <v>7.3684210526315783E-2</v>
      </c>
      <c r="BJ53" s="348">
        <f t="shared" si="34"/>
        <v>3.8834951456310676E-2</v>
      </c>
      <c r="BK53" s="348" t="e">
        <f t="shared" si="34"/>
        <v>#N/A</v>
      </c>
      <c r="BL53" s="348" t="e">
        <f t="shared" si="34"/>
        <v>#N/A</v>
      </c>
      <c r="BM53" s="348" t="e">
        <f t="shared" si="35"/>
        <v>#N/A</v>
      </c>
      <c r="BN53" s="348" t="e">
        <f t="shared" si="35"/>
        <v>#N/A</v>
      </c>
      <c r="BO53" s="348" t="e">
        <f t="shared" si="35"/>
        <v>#N/A</v>
      </c>
      <c r="BP53" s="348" t="e">
        <f t="shared" si="35"/>
        <v>#N/A</v>
      </c>
      <c r="BQ53" s="348" t="e">
        <f t="shared" si="35"/>
        <v>#N/A</v>
      </c>
    </row>
    <row r="54" spans="1:69" ht="14.25" customHeight="1" x14ac:dyDescent="0.2">
      <c r="A54" s="118"/>
      <c r="B54" s="375"/>
      <c r="C54" s="375"/>
      <c r="D54" s="58"/>
      <c r="E54" s="58"/>
      <c r="F54" s="58"/>
      <c r="G54" s="58"/>
      <c r="H54" s="58"/>
      <c r="I54" s="58"/>
      <c r="J54" s="12"/>
      <c r="K54" s="14"/>
      <c r="L54" s="14"/>
      <c r="M54" s="14"/>
      <c r="N54" s="14"/>
      <c r="O54" s="9"/>
      <c r="P54" s="9"/>
      <c r="Q54" s="9"/>
      <c r="R54" s="9"/>
      <c r="S54" s="9"/>
      <c r="T54" s="9"/>
      <c r="U54" s="9"/>
      <c r="V54" s="117"/>
      <c r="W54" s="137"/>
      <c r="X54" s="294"/>
      <c r="AJ54" s="585" t="b">
        <v>1</v>
      </c>
      <c r="AK54" s="160" t="s">
        <v>95</v>
      </c>
      <c r="AL54" s="87" t="str">
        <f t="shared" si="22"/>
        <v>Somerset</v>
      </c>
      <c r="AM54" s="146">
        <f t="shared" si="30"/>
        <v>45.879120879120876</v>
      </c>
      <c r="AN54" s="146">
        <f t="shared" si="30"/>
        <v>43.39106654512306</v>
      </c>
      <c r="AO54" s="146">
        <f t="shared" si="30"/>
        <v>46.957311534968213</v>
      </c>
      <c r="AP54" s="146">
        <f t="shared" si="30"/>
        <v>48.238482384823854</v>
      </c>
      <c r="AQ54" s="146">
        <f t="shared" si="30"/>
        <v>47.57194244604316</v>
      </c>
      <c r="AR54" s="147">
        <f t="shared" si="29"/>
        <v>13.600000000000001</v>
      </c>
      <c r="AS54" s="348">
        <f t="shared" si="31"/>
        <v>0.38461538461538464</v>
      </c>
      <c r="AT54" s="348">
        <f t="shared" si="31"/>
        <v>0.4178272980501393</v>
      </c>
      <c r="AU54" s="348">
        <f t="shared" si="31"/>
        <v>0.41687979539641945</v>
      </c>
      <c r="AV54" s="348">
        <f t="shared" si="31"/>
        <v>0.40404040404040403</v>
      </c>
      <c r="AW54" s="348">
        <f t="shared" si="31"/>
        <v>0.43733333333333335</v>
      </c>
      <c r="AX54" s="348">
        <f t="shared" si="32"/>
        <v>0.56666666666666665</v>
      </c>
      <c r="AY54" s="348">
        <f t="shared" si="32"/>
        <v>0.6</v>
      </c>
      <c r="AZ54" s="348">
        <f t="shared" si="32"/>
        <v>0.61963190184049077</v>
      </c>
      <c r="BA54" s="348">
        <f t="shared" si="32"/>
        <v>0.625</v>
      </c>
      <c r="BB54" s="348">
        <f t="shared" si="32"/>
        <v>0.62195121951219512</v>
      </c>
      <c r="BC54" s="348">
        <f t="shared" si="33"/>
        <v>0.12974051896207583</v>
      </c>
      <c r="BD54" s="348">
        <f t="shared" si="33"/>
        <v>0.10504201680672269</v>
      </c>
      <c r="BE54" s="348">
        <f t="shared" si="33"/>
        <v>0.15473887814313347</v>
      </c>
      <c r="BF54" s="348">
        <f t="shared" si="33"/>
        <v>0.14419475655430711</v>
      </c>
      <c r="BG54" s="348">
        <f t="shared" si="33"/>
        <v>0.15689981096408318</v>
      </c>
      <c r="BH54" s="348" t="e">
        <f t="shared" si="34"/>
        <v>#N/A</v>
      </c>
      <c r="BI54" s="348">
        <f t="shared" si="34"/>
        <v>2.9411764705882353E-2</v>
      </c>
      <c r="BJ54" s="348">
        <f t="shared" si="34"/>
        <v>5.4158607350096713E-2</v>
      </c>
      <c r="BK54" s="348">
        <f t="shared" si="34"/>
        <v>2.4344569288389514E-2</v>
      </c>
      <c r="BL54" s="348">
        <f t="shared" si="34"/>
        <v>2.0793950850661626E-2</v>
      </c>
      <c r="BM54" s="348" t="e">
        <f t="shared" si="35"/>
        <v>#N/A</v>
      </c>
      <c r="BN54" s="348" t="e">
        <f t="shared" si="35"/>
        <v>#N/A</v>
      </c>
      <c r="BO54" s="348" t="e">
        <f t="shared" si="35"/>
        <v>#N/A</v>
      </c>
      <c r="BP54" s="348" t="e">
        <f t="shared" si="35"/>
        <v>#N/A</v>
      </c>
      <c r="BQ54" s="348" t="e">
        <f t="shared" si="35"/>
        <v>#N/A</v>
      </c>
    </row>
    <row r="55" spans="1:69" ht="14.25" customHeight="1" x14ac:dyDescent="0.2">
      <c r="A55" s="118"/>
      <c r="B55" s="375"/>
      <c r="C55" s="375"/>
      <c r="D55" s="58"/>
      <c r="E55" s="58"/>
      <c r="F55" s="58"/>
      <c r="G55" s="58"/>
      <c r="H55" s="58"/>
      <c r="I55" s="58"/>
      <c r="J55" s="12"/>
      <c r="K55" s="14"/>
      <c r="L55" s="14"/>
      <c r="M55" s="14"/>
      <c r="N55" s="14"/>
      <c r="O55" s="9"/>
      <c r="P55" s="9"/>
      <c r="Q55" s="9"/>
      <c r="R55" s="9"/>
      <c r="S55" s="9"/>
      <c r="T55" s="9"/>
      <c r="U55" s="9"/>
      <c r="V55" s="117"/>
      <c r="W55" s="137"/>
      <c r="X55" s="294"/>
      <c r="AJ55" s="585" t="b">
        <v>1</v>
      </c>
      <c r="AK55" s="160" t="s">
        <v>14</v>
      </c>
      <c r="AL55" s="87" t="str">
        <f t="shared" si="22"/>
        <v>Southampton</v>
      </c>
      <c r="AM55" s="146">
        <f t="shared" si="30"/>
        <v>120.1219512195122</v>
      </c>
      <c r="AN55" s="146">
        <f t="shared" si="30"/>
        <v>108.21643286573146</v>
      </c>
      <c r="AO55" s="146">
        <f t="shared" si="30"/>
        <v>103.77733598409543</v>
      </c>
      <c r="AP55" s="146">
        <f t="shared" si="30"/>
        <v>94.685039370078741</v>
      </c>
      <c r="AQ55" s="146">
        <f t="shared" si="30"/>
        <v>94.736842105263165</v>
      </c>
      <c r="AR55" s="147">
        <f t="shared" si="29"/>
        <v>20.5</v>
      </c>
      <c r="AS55" s="348">
        <f t="shared" si="31"/>
        <v>0.37864077669902912</v>
      </c>
      <c r="AT55" s="348">
        <f t="shared" si="31"/>
        <v>0.49568965517241381</v>
      </c>
      <c r="AU55" s="348">
        <f t="shared" si="31"/>
        <v>0.53061224489795922</v>
      </c>
      <c r="AV55" s="348">
        <f t="shared" si="31"/>
        <v>0.57457212713936434</v>
      </c>
      <c r="AW55" s="348">
        <f t="shared" si="31"/>
        <v>0.53634085213032578</v>
      </c>
      <c r="AX55" s="348">
        <f t="shared" si="32"/>
        <v>0.69230769230769229</v>
      </c>
      <c r="AY55" s="348">
        <f t="shared" si="32"/>
        <v>0.65217391304347827</v>
      </c>
      <c r="AZ55" s="348">
        <f t="shared" si="32"/>
        <v>0.70940170940170943</v>
      </c>
      <c r="BA55" s="348">
        <f t="shared" si="32"/>
        <v>0.64680851063829792</v>
      </c>
      <c r="BB55" s="348">
        <f t="shared" si="32"/>
        <v>0.69158878504672894</v>
      </c>
      <c r="BC55" s="348">
        <f t="shared" si="33"/>
        <v>0.13536379018612521</v>
      </c>
      <c r="BD55" s="348">
        <f t="shared" si="33"/>
        <v>0.12037037037037036</v>
      </c>
      <c r="BE55" s="348">
        <f t="shared" si="33"/>
        <v>9.5785440613026823E-2</v>
      </c>
      <c r="BF55" s="348">
        <f t="shared" si="33"/>
        <v>0.12474012474012475</v>
      </c>
      <c r="BG55" s="348">
        <f t="shared" si="33"/>
        <v>0.16049382716049382</v>
      </c>
      <c r="BH55" s="348" t="e">
        <f t="shared" si="34"/>
        <v>#N/A</v>
      </c>
      <c r="BI55" s="348">
        <f t="shared" si="34"/>
        <v>2.0370370370370372E-2</v>
      </c>
      <c r="BJ55" s="348">
        <f t="shared" si="34"/>
        <v>2.8735632183908046E-2</v>
      </c>
      <c r="BK55" s="348">
        <f t="shared" si="34"/>
        <v>3.1185031185031187E-2</v>
      </c>
      <c r="BL55" s="348">
        <f t="shared" si="34"/>
        <v>3.0864197530864196E-2</v>
      </c>
      <c r="BM55" s="348" t="e">
        <f t="shared" si="35"/>
        <v>#N/A</v>
      </c>
      <c r="BN55" s="348" t="e">
        <f t="shared" si="35"/>
        <v>#N/A</v>
      </c>
      <c r="BO55" s="348" t="e">
        <f t="shared" si="35"/>
        <v>#N/A</v>
      </c>
      <c r="BP55" s="348" t="e">
        <f t="shared" si="35"/>
        <v>#N/A</v>
      </c>
      <c r="BQ55" s="348" t="e">
        <f t="shared" si="35"/>
        <v>#N/A</v>
      </c>
    </row>
    <row r="56" spans="1:69" ht="14.25" customHeight="1" x14ac:dyDescent="0.2">
      <c r="A56" s="118"/>
      <c r="B56" s="375"/>
      <c r="C56" s="375"/>
      <c r="D56" s="58"/>
      <c r="E56" s="58"/>
      <c r="F56" s="58"/>
      <c r="G56" s="58"/>
      <c r="H56" s="58"/>
      <c r="I56" s="58"/>
      <c r="J56" s="12"/>
      <c r="K56" s="14"/>
      <c r="L56" s="14"/>
      <c r="M56" s="14"/>
      <c r="N56" s="14"/>
      <c r="O56" s="9"/>
      <c r="P56" s="9"/>
      <c r="Q56" s="9"/>
      <c r="R56" s="9"/>
      <c r="S56" s="9"/>
      <c r="T56" s="9"/>
      <c r="U56" s="9"/>
      <c r="V56" s="117"/>
      <c r="W56" s="137"/>
      <c r="X56" s="294"/>
      <c r="AJ56" s="585" t="b">
        <v>1</v>
      </c>
      <c r="AK56" s="160" t="s">
        <v>7</v>
      </c>
      <c r="AL56" s="87" t="str">
        <f t="shared" si="22"/>
        <v>Surrey</v>
      </c>
      <c r="AM56" s="146">
        <f t="shared" si="30"/>
        <v>33.814352574102962</v>
      </c>
      <c r="AN56" s="146">
        <f t="shared" si="30"/>
        <v>33.552123552123554</v>
      </c>
      <c r="AO56" s="146">
        <f t="shared" si="30"/>
        <v>35.728006146753742</v>
      </c>
      <c r="AP56" s="146">
        <f t="shared" si="30"/>
        <v>37.151584574264987</v>
      </c>
      <c r="AQ56" s="146">
        <f t="shared" si="30"/>
        <v>37.187263078089465</v>
      </c>
      <c r="AR56" s="147">
        <f t="shared" si="29"/>
        <v>8.3000000000000007</v>
      </c>
      <c r="AS56" s="348">
        <f t="shared" si="31"/>
        <v>0.39166666666666666</v>
      </c>
      <c r="AT56" s="348">
        <f t="shared" si="31"/>
        <v>0.38128249566724437</v>
      </c>
      <c r="AU56" s="348">
        <f t="shared" si="31"/>
        <v>0.37308868501529052</v>
      </c>
      <c r="AV56" s="348">
        <f t="shared" si="31"/>
        <v>0.36764705882352944</v>
      </c>
      <c r="AW56" s="348">
        <f t="shared" si="31"/>
        <v>0.41788856304985339</v>
      </c>
      <c r="AX56" s="348">
        <f t="shared" si="32"/>
        <v>0.7021276595744681</v>
      </c>
      <c r="AY56" s="348">
        <f t="shared" si="32"/>
        <v>0.63636363636363635</v>
      </c>
      <c r="AZ56" s="348">
        <f t="shared" si="32"/>
        <v>0.67213114754098358</v>
      </c>
      <c r="BA56" s="348">
        <f t="shared" si="32"/>
        <v>0.64800000000000002</v>
      </c>
      <c r="BB56" s="348">
        <f t="shared" si="32"/>
        <v>0.66666666666666663</v>
      </c>
      <c r="BC56" s="348">
        <f t="shared" si="33"/>
        <v>0.10380622837370242</v>
      </c>
      <c r="BD56" s="348">
        <f t="shared" si="33"/>
        <v>8.0552359033371698E-2</v>
      </c>
      <c r="BE56" s="348">
        <f t="shared" si="33"/>
        <v>7.6344086021505372E-2</v>
      </c>
      <c r="BF56" s="348">
        <f t="shared" si="33"/>
        <v>9.044193216855087E-2</v>
      </c>
      <c r="BG56" s="348">
        <f t="shared" si="33"/>
        <v>8.9704383282364936E-2</v>
      </c>
      <c r="BH56" s="348">
        <f t="shared" si="34"/>
        <v>0.17416378316032297</v>
      </c>
      <c r="BI56" s="348">
        <f t="shared" si="34"/>
        <v>0.16340621403912542</v>
      </c>
      <c r="BJ56" s="348">
        <f t="shared" si="34"/>
        <v>0.11935483870967742</v>
      </c>
      <c r="BK56" s="348">
        <f t="shared" si="34"/>
        <v>0.1171634121274409</v>
      </c>
      <c r="BL56" s="348">
        <f t="shared" si="34"/>
        <v>0.11009174311926606</v>
      </c>
      <c r="BM56" s="348" t="e">
        <f t="shared" si="35"/>
        <v>#N/A</v>
      </c>
      <c r="BN56" s="348" t="e">
        <f t="shared" si="35"/>
        <v>#N/A</v>
      </c>
      <c r="BO56" s="348" t="e">
        <f t="shared" si="35"/>
        <v>#N/A</v>
      </c>
      <c r="BP56" s="348" t="e">
        <f t="shared" si="35"/>
        <v>#N/A</v>
      </c>
      <c r="BQ56" s="348" t="e">
        <f t="shared" si="35"/>
        <v>#N/A</v>
      </c>
    </row>
    <row r="57" spans="1:69" ht="14.25" customHeight="1" x14ac:dyDescent="0.2">
      <c r="A57" s="278"/>
      <c r="B57" s="375"/>
      <c r="C57" s="375"/>
      <c r="D57" s="58"/>
      <c r="E57" s="58"/>
      <c r="F57" s="58"/>
      <c r="G57" s="58"/>
      <c r="H57" s="58"/>
      <c r="I57" s="58"/>
      <c r="J57" s="12"/>
      <c r="K57" s="14"/>
      <c r="L57" s="14"/>
      <c r="M57" s="14"/>
      <c r="N57" s="14"/>
      <c r="O57" s="9"/>
      <c r="P57" s="9"/>
      <c r="Q57" s="9"/>
      <c r="R57" s="9"/>
      <c r="S57" s="9"/>
      <c r="T57" s="9"/>
      <c r="U57" s="9"/>
      <c r="V57" s="117"/>
      <c r="W57" s="137"/>
      <c r="X57" s="294"/>
      <c r="AJ57" s="585" t="b">
        <v>1</v>
      </c>
      <c r="AK57" s="160" t="s">
        <v>113</v>
      </c>
      <c r="AL57" s="87" t="str">
        <f t="shared" si="22"/>
        <v>Swindon</v>
      </c>
      <c r="AM57" s="146">
        <f t="shared" si="30"/>
        <v>59.795918367346943</v>
      </c>
      <c r="AN57" s="146">
        <f t="shared" si="30"/>
        <v>66.666666666666671</v>
      </c>
      <c r="AO57" s="146">
        <f t="shared" si="30"/>
        <v>72.144288577154313</v>
      </c>
      <c r="AP57" s="146">
        <f t="shared" si="30"/>
        <v>69.322709163346616</v>
      </c>
      <c r="AQ57" s="146">
        <f t="shared" si="30"/>
        <v>59.722222222222229</v>
      </c>
      <c r="AR57" s="147">
        <f t="shared" si="29"/>
        <v>14.899999999999999</v>
      </c>
      <c r="AS57" s="348">
        <f t="shared" si="31"/>
        <v>0.28888888888888886</v>
      </c>
      <c r="AT57" s="348">
        <f t="shared" si="31"/>
        <v>0.22988505747126436</v>
      </c>
      <c r="AU57" s="348">
        <f t="shared" si="31"/>
        <v>0.24014336917562723</v>
      </c>
      <c r="AV57" s="348">
        <f t="shared" si="31"/>
        <v>0.4140625</v>
      </c>
      <c r="AW57" s="348">
        <f t="shared" si="31"/>
        <v>0.52654867256637172</v>
      </c>
      <c r="AX57" s="348">
        <f t="shared" si="32"/>
        <v>0.61538461538461542</v>
      </c>
      <c r="AY57" s="348">
        <f t="shared" si="32"/>
        <v>0.75</v>
      </c>
      <c r="AZ57" s="348">
        <f t="shared" si="32"/>
        <v>0.61194029850746268</v>
      </c>
      <c r="BA57" s="348">
        <f t="shared" si="32"/>
        <v>0.58490566037735847</v>
      </c>
      <c r="BB57" s="348">
        <f t="shared" si="32"/>
        <v>0.47058823529411764</v>
      </c>
      <c r="BC57" s="348">
        <f t="shared" si="33"/>
        <v>0.10238907849829351</v>
      </c>
      <c r="BD57" s="348">
        <f t="shared" si="33"/>
        <v>0.12121212121212122</v>
      </c>
      <c r="BE57" s="348">
        <f t="shared" si="33"/>
        <v>0.12222222222222222</v>
      </c>
      <c r="BF57" s="348">
        <f t="shared" si="33"/>
        <v>7.183908045977011E-2</v>
      </c>
      <c r="BG57" s="348">
        <f t="shared" si="33"/>
        <v>0.1461794019933555</v>
      </c>
      <c r="BH57" s="348">
        <f t="shared" si="34"/>
        <v>4.778156996587031E-2</v>
      </c>
      <c r="BI57" s="348">
        <f t="shared" si="34"/>
        <v>6.363636363636363E-2</v>
      </c>
      <c r="BJ57" s="348">
        <f t="shared" si="34"/>
        <v>7.2222222222222215E-2</v>
      </c>
      <c r="BK57" s="348">
        <f t="shared" si="34"/>
        <v>6.8965517241379309E-2</v>
      </c>
      <c r="BL57" s="348">
        <f t="shared" si="34"/>
        <v>4.9833887043189369E-2</v>
      </c>
      <c r="BM57" s="348" t="e">
        <f t="shared" si="35"/>
        <v>#N/A</v>
      </c>
      <c r="BN57" s="348" t="e">
        <f t="shared" si="35"/>
        <v>#N/A</v>
      </c>
      <c r="BO57" s="348" t="e">
        <f t="shared" si="35"/>
        <v>#N/A</v>
      </c>
      <c r="BP57" s="348" t="e">
        <f t="shared" si="35"/>
        <v>#N/A</v>
      </c>
      <c r="BQ57" s="348" t="e">
        <f t="shared" si="35"/>
        <v>#N/A</v>
      </c>
    </row>
    <row r="58" spans="1:69" ht="14.25" customHeight="1" x14ac:dyDescent="0.2">
      <c r="A58" s="278"/>
      <c r="B58" s="375"/>
      <c r="C58" s="375"/>
      <c r="D58" s="58"/>
      <c r="E58" s="58"/>
      <c r="F58" s="58"/>
      <c r="G58" s="58"/>
      <c r="H58" s="58"/>
      <c r="I58" s="58"/>
      <c r="J58" s="12"/>
      <c r="K58" s="14"/>
      <c r="L58" s="14"/>
      <c r="M58" s="14"/>
      <c r="N58" s="14"/>
      <c r="O58" s="9"/>
      <c r="P58" s="9"/>
      <c r="Q58" s="9"/>
      <c r="R58" s="9"/>
      <c r="S58" s="9"/>
      <c r="T58" s="9"/>
      <c r="U58" s="9"/>
      <c r="V58" s="117"/>
      <c r="W58" s="137"/>
      <c r="X58" s="294"/>
      <c r="AJ58" s="585" t="b">
        <v>1</v>
      </c>
      <c r="AK58" s="160" t="s">
        <v>114</v>
      </c>
      <c r="AL58" s="87" t="str">
        <f t="shared" si="22"/>
        <v>Torbay</v>
      </c>
      <c r="AM58" s="146">
        <f t="shared" si="30"/>
        <v>110.71428571428571</v>
      </c>
      <c r="AN58" s="146">
        <f t="shared" si="30"/>
        <v>113.77952755905513</v>
      </c>
      <c r="AO58" s="146">
        <f t="shared" si="30"/>
        <v>129.5275590551181</v>
      </c>
      <c r="AP58" s="146">
        <f t="shared" si="30"/>
        <v>142.51968503937007</v>
      </c>
      <c r="AQ58" s="146">
        <f t="shared" si="30"/>
        <v>139.453125</v>
      </c>
      <c r="AR58" s="147">
        <f t="shared" si="29"/>
        <v>21.9</v>
      </c>
      <c r="AS58" s="348">
        <f t="shared" si="31"/>
        <v>0.53333333333333333</v>
      </c>
      <c r="AT58" s="348">
        <f t="shared" si="31"/>
        <v>0.53418803418803418</v>
      </c>
      <c r="AU58" s="348">
        <f t="shared" si="31"/>
        <v>0.49070631970260226</v>
      </c>
      <c r="AV58" s="348">
        <f t="shared" si="31"/>
        <v>0.43288590604026844</v>
      </c>
      <c r="AW58" s="348">
        <f t="shared" si="31"/>
        <v>0.40909090909090912</v>
      </c>
      <c r="AX58" s="348">
        <f t="shared" si="32"/>
        <v>0.45833333333333331</v>
      </c>
      <c r="AY58" s="348">
        <f t="shared" si="32"/>
        <v>0.56000000000000005</v>
      </c>
      <c r="AZ58" s="348">
        <f t="shared" si="32"/>
        <v>0.56818181818181823</v>
      </c>
      <c r="BA58" s="348">
        <f t="shared" si="32"/>
        <v>0.64341085271317833</v>
      </c>
      <c r="BB58" s="348">
        <f t="shared" si="32"/>
        <v>0.59829059829059827</v>
      </c>
      <c r="BC58" s="348">
        <f t="shared" si="33"/>
        <v>0.21505376344086022</v>
      </c>
      <c r="BD58" s="348">
        <f t="shared" si="33"/>
        <v>0.25951557093425603</v>
      </c>
      <c r="BE58" s="348">
        <f t="shared" si="33"/>
        <v>0.25227963525835867</v>
      </c>
      <c r="BF58" s="348">
        <f t="shared" si="33"/>
        <v>0.11049723756906077</v>
      </c>
      <c r="BG58" s="348">
        <f t="shared" si="33"/>
        <v>0.16246498599439776</v>
      </c>
      <c r="BH58" s="348">
        <f t="shared" si="34"/>
        <v>0</v>
      </c>
      <c r="BI58" s="348" t="e">
        <f t="shared" si="34"/>
        <v>#N/A</v>
      </c>
      <c r="BJ58" s="348" t="e">
        <f t="shared" si="34"/>
        <v>#N/A</v>
      </c>
      <c r="BK58" s="348" t="e">
        <f t="shared" si="34"/>
        <v>#N/A</v>
      </c>
      <c r="BL58" s="348" t="e">
        <f t="shared" si="34"/>
        <v>#N/A</v>
      </c>
      <c r="BM58" s="348" t="e">
        <f t="shared" si="35"/>
        <v>#N/A</v>
      </c>
      <c r="BN58" s="348" t="e">
        <f t="shared" si="35"/>
        <v>#N/A</v>
      </c>
      <c r="BO58" s="348" t="e">
        <f t="shared" si="35"/>
        <v>#N/A</v>
      </c>
      <c r="BP58" s="348" t="e">
        <f t="shared" si="35"/>
        <v>#N/A</v>
      </c>
      <c r="BQ58" s="348" t="e">
        <f t="shared" si="35"/>
        <v>#N/A</v>
      </c>
    </row>
    <row r="59" spans="1:69" ht="14.25" customHeight="1" x14ac:dyDescent="0.2">
      <c r="A59" s="118"/>
      <c r="B59" s="375"/>
      <c r="C59" s="375"/>
      <c r="D59" s="58"/>
      <c r="E59" s="58"/>
      <c r="F59" s="58"/>
      <c r="G59" s="58"/>
      <c r="H59" s="58"/>
      <c r="I59" s="58"/>
      <c r="J59" s="12"/>
      <c r="K59" s="14"/>
      <c r="L59" s="14"/>
      <c r="M59" s="14"/>
      <c r="N59" s="14"/>
      <c r="O59" s="9"/>
      <c r="P59" s="9"/>
      <c r="Q59" s="9"/>
      <c r="R59" s="9"/>
      <c r="S59" s="9"/>
      <c r="T59" s="9"/>
      <c r="U59" s="9"/>
      <c r="V59" s="117"/>
      <c r="W59" s="137"/>
      <c r="X59" s="294"/>
      <c r="AJ59" s="585" t="b">
        <v>1</v>
      </c>
      <c r="AK59" s="160" t="s">
        <v>15</v>
      </c>
      <c r="AL59" s="87" t="str">
        <f t="shared" si="22"/>
        <v>West Berkshire</v>
      </c>
      <c r="AM59" s="146">
        <f t="shared" si="30"/>
        <v>43.977591036414566</v>
      </c>
      <c r="AN59" s="146">
        <f t="shared" si="30"/>
        <v>44.846796657381617</v>
      </c>
      <c r="AO59" s="146">
        <f t="shared" si="30"/>
        <v>40.502793296089386</v>
      </c>
      <c r="AP59" s="146">
        <f t="shared" si="30"/>
        <v>48.31460674157303</v>
      </c>
      <c r="AQ59" s="146">
        <f t="shared" si="30"/>
        <v>44.101123595505619</v>
      </c>
      <c r="AR59" s="147">
        <f t="shared" si="29"/>
        <v>8.6999999999999993</v>
      </c>
      <c r="AS59" s="348">
        <f t="shared" si="31"/>
        <v>0.45</v>
      </c>
      <c r="AT59" s="348">
        <f t="shared" si="31"/>
        <v>0.44715447154471544</v>
      </c>
      <c r="AU59" s="348">
        <f t="shared" si="31"/>
        <v>0.61111111111111116</v>
      </c>
      <c r="AV59" s="348">
        <f t="shared" si="31"/>
        <v>0.47169811320754718</v>
      </c>
      <c r="AW59" s="348">
        <f t="shared" si="31"/>
        <v>0.44117647058823528</v>
      </c>
      <c r="AX59" s="348">
        <f t="shared" si="32"/>
        <v>0.77777777777777779</v>
      </c>
      <c r="AY59" s="348">
        <f t="shared" si="32"/>
        <v>0.63636363636363635</v>
      </c>
      <c r="AZ59" s="348">
        <f t="shared" si="32"/>
        <v>0.63636363636363635</v>
      </c>
      <c r="BA59" s="348">
        <f t="shared" si="32"/>
        <v>0.54</v>
      </c>
      <c r="BB59" s="348">
        <f t="shared" si="32"/>
        <v>0.55555555555555558</v>
      </c>
      <c r="BC59" s="348">
        <f t="shared" si="33"/>
        <v>6.3694267515923567E-2</v>
      </c>
      <c r="BD59" s="348">
        <f t="shared" si="33"/>
        <v>9.3167701863354033E-2</v>
      </c>
      <c r="BE59" s="348">
        <f t="shared" si="33"/>
        <v>5.5172413793103448E-2</v>
      </c>
      <c r="BF59" s="348">
        <f t="shared" si="33"/>
        <v>9.8837209302325577E-2</v>
      </c>
      <c r="BG59" s="348">
        <f t="shared" si="33"/>
        <v>0.13375796178343949</v>
      </c>
      <c r="BH59" s="348">
        <f t="shared" si="34"/>
        <v>8.2802547770700632E-2</v>
      </c>
      <c r="BI59" s="348">
        <f t="shared" si="34"/>
        <v>9.9378881987577633E-2</v>
      </c>
      <c r="BJ59" s="348">
        <f t="shared" si="34"/>
        <v>0.1103448275862069</v>
      </c>
      <c r="BK59" s="348">
        <f t="shared" si="34"/>
        <v>0.1744186046511628</v>
      </c>
      <c r="BL59" s="348">
        <f t="shared" si="34"/>
        <v>9.5541401273885357E-2</v>
      </c>
      <c r="BM59" s="348" t="e">
        <f t="shared" si="35"/>
        <v>#N/A</v>
      </c>
      <c r="BN59" s="348" t="e">
        <f t="shared" si="35"/>
        <v>#N/A</v>
      </c>
      <c r="BO59" s="348" t="e">
        <f t="shared" si="35"/>
        <v>#N/A</v>
      </c>
      <c r="BP59" s="348" t="e">
        <f t="shared" si="35"/>
        <v>#N/A</v>
      </c>
      <c r="BQ59" s="348" t="e">
        <f t="shared" si="35"/>
        <v>#N/A</v>
      </c>
    </row>
    <row r="60" spans="1:69" ht="14.25" customHeight="1" x14ac:dyDescent="0.2">
      <c r="A60" s="118"/>
      <c r="B60" s="375"/>
      <c r="C60" s="375"/>
      <c r="D60" s="58"/>
      <c r="E60" s="58"/>
      <c r="F60" s="58"/>
      <c r="G60" s="58"/>
      <c r="H60" s="58"/>
      <c r="I60" s="58"/>
      <c r="J60" s="12"/>
      <c r="K60" s="14"/>
      <c r="L60" s="14"/>
      <c r="M60" s="14"/>
      <c r="N60" s="14"/>
      <c r="O60" s="9"/>
      <c r="P60" s="9"/>
      <c r="Q60" s="9"/>
      <c r="R60" s="9"/>
      <c r="S60" s="9"/>
      <c r="T60" s="9"/>
      <c r="U60" s="9"/>
      <c r="V60" s="117"/>
      <c r="W60" s="137"/>
      <c r="X60" s="294"/>
      <c r="AJ60" s="585" t="b">
        <v>1</v>
      </c>
      <c r="AK60" s="160" t="s">
        <v>5</v>
      </c>
      <c r="AL60" s="87" t="str">
        <f t="shared" si="22"/>
        <v>West Sussex</v>
      </c>
      <c r="AM60" s="146">
        <f t="shared" si="30"/>
        <v>37.5</v>
      </c>
      <c r="AN60" s="146">
        <f t="shared" si="30"/>
        <v>38.59138533178114</v>
      </c>
      <c r="AO60" s="146">
        <f t="shared" si="30"/>
        <v>40.623196768609347</v>
      </c>
      <c r="AP60" s="146">
        <f t="shared" si="30"/>
        <v>40.297653119633658</v>
      </c>
      <c r="AQ60" s="146">
        <f t="shared" si="30"/>
        <v>45.883021010789321</v>
      </c>
      <c r="AR60" s="147">
        <f t="shared" si="29"/>
        <v>11</v>
      </c>
      <c r="AS60" s="348">
        <f t="shared" si="31"/>
        <v>0.37362637362637363</v>
      </c>
      <c r="AT60" s="348">
        <f t="shared" si="31"/>
        <v>0.31914893617021278</v>
      </c>
      <c r="AU60" s="348">
        <f t="shared" si="31"/>
        <v>0.312</v>
      </c>
      <c r="AV60" s="348">
        <f t="shared" si="31"/>
        <v>0.35629921259842517</v>
      </c>
      <c r="AW60" s="348">
        <f t="shared" si="31"/>
        <v>0.32055749128919858</v>
      </c>
      <c r="AX60" s="348">
        <f t="shared" si="32"/>
        <v>0.73529411764705888</v>
      </c>
      <c r="AY60" s="348">
        <f t="shared" si="32"/>
        <v>0.76666666666666672</v>
      </c>
      <c r="AZ60" s="348">
        <f t="shared" si="32"/>
        <v>0.69871794871794868</v>
      </c>
      <c r="BA60" s="348">
        <f t="shared" si="32"/>
        <v>0.66298342541436461</v>
      </c>
      <c r="BB60" s="348">
        <f t="shared" si="32"/>
        <v>0.54891304347826086</v>
      </c>
      <c r="BC60" s="348">
        <f t="shared" si="33"/>
        <v>0.10954616588419405</v>
      </c>
      <c r="BD60" s="348">
        <f t="shared" si="33"/>
        <v>0.12066365007541478</v>
      </c>
      <c r="BE60" s="348">
        <f t="shared" si="33"/>
        <v>0.140625</v>
      </c>
      <c r="BF60" s="348">
        <f t="shared" si="33"/>
        <v>0.10227272727272728</v>
      </c>
      <c r="BG60" s="348">
        <f t="shared" si="33"/>
        <v>0.1150990099009901</v>
      </c>
      <c r="BH60" s="348">
        <f t="shared" si="34"/>
        <v>0.10015649452269171</v>
      </c>
      <c r="BI60" s="348">
        <f t="shared" si="34"/>
        <v>0.11010558069381599</v>
      </c>
      <c r="BJ60" s="348">
        <f t="shared" si="34"/>
        <v>9.8011363636363633E-2</v>
      </c>
      <c r="BK60" s="348">
        <f t="shared" si="34"/>
        <v>0.10227272727272728</v>
      </c>
      <c r="BL60" s="348">
        <f t="shared" si="34"/>
        <v>9.6534653465346537E-2</v>
      </c>
      <c r="BM60" s="348" t="e">
        <f t="shared" si="35"/>
        <v>#N/A</v>
      </c>
      <c r="BN60" s="348" t="e">
        <f t="shared" si="35"/>
        <v>#N/A</v>
      </c>
      <c r="BO60" s="348" t="e">
        <f t="shared" si="35"/>
        <v>#N/A</v>
      </c>
      <c r="BP60" s="348" t="e">
        <f t="shared" si="35"/>
        <v>#N/A</v>
      </c>
      <c r="BQ60" s="348" t="e">
        <f t="shared" si="35"/>
        <v>#N/A</v>
      </c>
    </row>
    <row r="61" spans="1:69" s="81" customFormat="1" ht="14.25" customHeight="1" x14ac:dyDescent="0.2">
      <c r="A61" s="118"/>
      <c r="B61" s="375"/>
      <c r="C61" s="375"/>
      <c r="D61" s="58"/>
      <c r="E61" s="58"/>
      <c r="F61" s="58"/>
      <c r="G61" s="58"/>
      <c r="H61" s="58"/>
      <c r="I61" s="58"/>
      <c r="J61" s="12"/>
      <c r="K61" s="14"/>
      <c r="L61" s="14"/>
      <c r="M61" s="14"/>
      <c r="N61" s="14"/>
      <c r="O61" s="9"/>
      <c r="P61" s="9"/>
      <c r="Q61" s="9"/>
      <c r="R61" s="9"/>
      <c r="S61" s="9"/>
      <c r="T61" s="9"/>
      <c r="U61" s="9"/>
      <c r="V61" s="117"/>
      <c r="W61" s="137"/>
      <c r="X61" s="294"/>
      <c r="AJ61" s="585" t="b">
        <v>1</v>
      </c>
      <c r="AK61" s="160" t="s">
        <v>30</v>
      </c>
      <c r="AL61" s="87" t="str">
        <f t="shared" si="22"/>
        <v>Windsor &amp; Maidenhead</v>
      </c>
      <c r="AM61" s="146">
        <f t="shared" si="30"/>
        <v>26.409495548961427</v>
      </c>
      <c r="AN61" s="146">
        <f t="shared" si="30"/>
        <v>31.871345029239766</v>
      </c>
      <c r="AO61" s="146">
        <f t="shared" si="30"/>
        <v>31.104651162790699</v>
      </c>
      <c r="AP61" s="146">
        <f t="shared" si="30"/>
        <v>35.838150289017342</v>
      </c>
      <c r="AQ61" s="146">
        <f t="shared" si="30"/>
        <v>33.429394812680115</v>
      </c>
      <c r="AR61" s="147">
        <f t="shared" si="29"/>
        <v>6.7</v>
      </c>
      <c r="AS61" s="348">
        <f t="shared" si="31"/>
        <v>0.7</v>
      </c>
      <c r="AT61" s="348">
        <f t="shared" si="31"/>
        <v>0.60344827586206895</v>
      </c>
      <c r="AU61" s="348">
        <f t="shared" si="31"/>
        <v>0.50819672131147542</v>
      </c>
      <c r="AV61" s="348">
        <f t="shared" si="31"/>
        <v>0.37313432835820898</v>
      </c>
      <c r="AW61" s="348">
        <f t="shared" si="31"/>
        <v>0.46875</v>
      </c>
      <c r="AX61" s="348">
        <f t="shared" si="32"/>
        <v>0.7142857142857143</v>
      </c>
      <c r="AY61" s="348">
        <f t="shared" si="32"/>
        <v>0.7142857142857143</v>
      </c>
      <c r="AZ61" s="348">
        <f t="shared" si="32"/>
        <v>0.70967741935483875</v>
      </c>
      <c r="BA61" s="348">
        <f t="shared" si="32"/>
        <v>0.76</v>
      </c>
      <c r="BB61" s="348">
        <f t="shared" si="32"/>
        <v>0.56666666666666665</v>
      </c>
      <c r="BC61" s="348">
        <f t="shared" si="33"/>
        <v>0.16853932584269662</v>
      </c>
      <c r="BD61" s="348">
        <f t="shared" si="33"/>
        <v>0.13761467889908258</v>
      </c>
      <c r="BE61" s="348">
        <f t="shared" si="33"/>
        <v>0.13084112149532709</v>
      </c>
      <c r="BF61" s="348">
        <f t="shared" si="33"/>
        <v>0.15322580645161291</v>
      </c>
      <c r="BG61" s="348">
        <f t="shared" si="33"/>
        <v>0.14655172413793102</v>
      </c>
      <c r="BH61" s="348" t="e">
        <f t="shared" si="34"/>
        <v>#N/A</v>
      </c>
      <c r="BI61" s="348">
        <f t="shared" si="34"/>
        <v>6.4220183486238536E-2</v>
      </c>
      <c r="BJ61" s="348">
        <f t="shared" si="34"/>
        <v>6.5420560747663545E-2</v>
      </c>
      <c r="BK61" s="348">
        <f t="shared" si="34"/>
        <v>8.0645161290322578E-2</v>
      </c>
      <c r="BL61" s="348" t="e">
        <f t="shared" si="34"/>
        <v>#N/A</v>
      </c>
      <c r="BM61" s="348" t="e">
        <f t="shared" si="35"/>
        <v>#N/A</v>
      </c>
      <c r="BN61" s="348" t="e">
        <f t="shared" si="35"/>
        <v>#N/A</v>
      </c>
      <c r="BO61" s="348" t="e">
        <f t="shared" si="35"/>
        <v>#N/A</v>
      </c>
      <c r="BP61" s="348" t="e">
        <f t="shared" si="35"/>
        <v>#N/A</v>
      </c>
      <c r="BQ61" s="348" t="e">
        <f t="shared" si="35"/>
        <v>#N/A</v>
      </c>
    </row>
    <row r="62" spans="1:69" s="81" customFormat="1" ht="14.25" customHeight="1" x14ac:dyDescent="0.2">
      <c r="A62" s="118"/>
      <c r="B62" s="375"/>
      <c r="C62" s="375"/>
      <c r="D62" s="58"/>
      <c r="E62" s="58"/>
      <c r="F62" s="58"/>
      <c r="G62" s="58"/>
      <c r="H62" s="58"/>
      <c r="I62" s="58"/>
      <c r="J62" s="12"/>
      <c r="K62" s="14"/>
      <c r="L62" s="14"/>
      <c r="M62" s="14"/>
      <c r="N62" s="14"/>
      <c r="O62" s="9"/>
      <c r="P62" s="9"/>
      <c r="Q62" s="9"/>
      <c r="R62" s="9"/>
      <c r="S62" s="9"/>
      <c r="T62" s="9"/>
      <c r="U62" s="9"/>
      <c r="V62" s="117"/>
      <c r="W62" s="137"/>
      <c r="X62" s="294"/>
      <c r="AJ62" s="585" t="b">
        <v>1</v>
      </c>
      <c r="AK62" s="160" t="s">
        <v>16</v>
      </c>
      <c r="AL62" s="87" t="str">
        <f t="shared" si="22"/>
        <v>Wokingham</v>
      </c>
      <c r="AM62" s="146">
        <f t="shared" si="30"/>
        <v>21.715817694369974</v>
      </c>
      <c r="AN62" s="146">
        <f t="shared" si="30"/>
        <v>19.736842105263158</v>
      </c>
      <c r="AO62" s="146">
        <f t="shared" si="30"/>
        <v>27.390180878552972</v>
      </c>
      <c r="AP62" s="146">
        <f t="shared" si="30"/>
        <v>27.848101265822784</v>
      </c>
      <c r="AQ62" s="146">
        <f t="shared" si="30"/>
        <v>24.257425742574256</v>
      </c>
      <c r="AR62" s="147">
        <f t="shared" si="29"/>
        <v>5.6000000000000005</v>
      </c>
      <c r="AS62" s="348">
        <f t="shared" si="31"/>
        <v>0.4</v>
      </c>
      <c r="AT62" s="348">
        <f t="shared" si="31"/>
        <v>0.60606060606060608</v>
      </c>
      <c r="AU62" s="348">
        <f t="shared" si="31"/>
        <v>0.2857142857142857</v>
      </c>
      <c r="AV62" s="348">
        <f t="shared" si="31"/>
        <v>0.20547945205479451</v>
      </c>
      <c r="AW62" s="348">
        <f t="shared" si="31"/>
        <v>0.24489795918367346</v>
      </c>
      <c r="AX62" s="348">
        <f t="shared" si="32"/>
        <v>0.5</v>
      </c>
      <c r="AY62" s="348">
        <f t="shared" si="32"/>
        <v>0.5</v>
      </c>
      <c r="AZ62" s="348">
        <f t="shared" si="32"/>
        <v>0.75</v>
      </c>
      <c r="BA62" s="348">
        <f t="shared" si="32"/>
        <v>0.8</v>
      </c>
      <c r="BB62" s="348">
        <f t="shared" si="32"/>
        <v>0.83333333333333337</v>
      </c>
      <c r="BC62" s="348">
        <f t="shared" si="33"/>
        <v>0.12345679012345678</v>
      </c>
      <c r="BD62" s="348">
        <f t="shared" si="33"/>
        <v>0.2</v>
      </c>
      <c r="BE62" s="348">
        <f t="shared" si="33"/>
        <v>0.13207547169811321</v>
      </c>
      <c r="BF62" s="348">
        <f t="shared" si="33"/>
        <v>0.1</v>
      </c>
      <c r="BG62" s="348">
        <f t="shared" si="33"/>
        <v>0.19387755102040816</v>
      </c>
      <c r="BH62" s="348" t="e">
        <f t="shared" si="34"/>
        <v>#N/A</v>
      </c>
      <c r="BI62" s="348">
        <f t="shared" si="34"/>
        <v>0.10666666666666667</v>
      </c>
      <c r="BJ62" s="348">
        <f t="shared" si="34"/>
        <v>0.13207547169811321</v>
      </c>
      <c r="BK62" s="348">
        <f t="shared" si="34"/>
        <v>0.10909090909090909</v>
      </c>
      <c r="BL62" s="348">
        <f t="shared" si="34"/>
        <v>7.1428571428571425E-2</v>
      </c>
      <c r="BM62" s="348" t="e">
        <f t="shared" si="35"/>
        <v>#N/A</v>
      </c>
      <c r="BN62" s="348" t="e">
        <f t="shared" si="35"/>
        <v>#N/A</v>
      </c>
      <c r="BO62" s="348" t="e">
        <f t="shared" si="35"/>
        <v>#N/A</v>
      </c>
      <c r="BP62" s="348" t="e">
        <f t="shared" si="35"/>
        <v>#N/A</v>
      </c>
      <c r="BQ62" s="348" t="e">
        <f t="shared" si="35"/>
        <v>#N/A</v>
      </c>
    </row>
    <row r="63" spans="1:69" s="81" customFormat="1" ht="14.25" customHeight="1" x14ac:dyDescent="0.2">
      <c r="A63" s="118"/>
      <c r="B63" s="375"/>
      <c r="C63" s="375"/>
      <c r="D63" s="58"/>
      <c r="E63" s="58"/>
      <c r="F63" s="58"/>
      <c r="G63" s="58"/>
      <c r="H63" s="58"/>
      <c r="I63" s="58"/>
      <c r="J63" s="12"/>
      <c r="K63" s="14"/>
      <c r="L63" s="14"/>
      <c r="M63" s="14"/>
      <c r="N63" s="14"/>
      <c r="O63" s="9"/>
      <c r="P63" s="9"/>
      <c r="Q63" s="9"/>
      <c r="R63" s="9"/>
      <c r="S63" s="9"/>
      <c r="T63" s="9"/>
      <c r="U63" s="9"/>
      <c r="V63" s="117"/>
      <c r="W63" s="137"/>
      <c r="X63" s="294"/>
      <c r="AJ63" s="585" t="b">
        <v>1</v>
      </c>
      <c r="AK63" s="160" t="s">
        <v>74</v>
      </c>
      <c r="AL63" s="87" t="str">
        <f t="shared" si="22"/>
        <v>South East</v>
      </c>
      <c r="AM63" s="146">
        <f t="shared" si="30"/>
        <v>51.45717115895939</v>
      </c>
      <c r="AN63" s="146">
        <f t="shared" si="30"/>
        <v>50.850964771610364</v>
      </c>
      <c r="AO63" s="146">
        <f t="shared" si="30"/>
        <v>51.442975461700712</v>
      </c>
      <c r="AP63" s="146">
        <f t="shared" si="30"/>
        <v>52.518647185041381</v>
      </c>
      <c r="AQ63" s="146">
        <f t="shared" si="30"/>
        <v>53.067235425553527</v>
      </c>
      <c r="AR63" s="147">
        <f t="shared" si="29"/>
        <v>12.371268250968637</v>
      </c>
      <c r="AS63" s="348">
        <f t="shared" si="31"/>
        <v>0.40876944837340878</v>
      </c>
      <c r="AT63" s="348">
        <f t="shared" si="31"/>
        <v>0.4102920723226704</v>
      </c>
      <c r="AU63" s="348">
        <f t="shared" si="31"/>
        <v>0.41342281879194631</v>
      </c>
      <c r="AV63" s="348">
        <f t="shared" si="31"/>
        <v>0.42932628797886396</v>
      </c>
      <c r="AW63" s="348">
        <f t="shared" si="31"/>
        <v>0.45193207648081296</v>
      </c>
      <c r="AX63" s="348">
        <f t="shared" si="32"/>
        <v>0.66608996539792387</v>
      </c>
      <c r="AY63" s="348">
        <f t="shared" si="32"/>
        <v>0.68305084745762712</v>
      </c>
      <c r="AZ63" s="348">
        <f t="shared" si="32"/>
        <v>0.68181818181818177</v>
      </c>
      <c r="BA63" s="348">
        <f t="shared" si="32"/>
        <v>0.67692307692307696</v>
      </c>
      <c r="BB63" s="348">
        <f t="shared" si="32"/>
        <v>0.65384615384615385</v>
      </c>
      <c r="BC63" s="348">
        <f t="shared" si="33"/>
        <v>0.12203767470123557</v>
      </c>
      <c r="BD63" s="348">
        <f t="shared" si="33"/>
        <v>0.11698880976602238</v>
      </c>
      <c r="BE63" s="348">
        <f t="shared" si="33"/>
        <v>0.11902380476095219</v>
      </c>
      <c r="BF63" s="348">
        <f t="shared" si="33"/>
        <v>0.11574749537982687</v>
      </c>
      <c r="BG63" s="348">
        <f t="shared" si="33"/>
        <v>0.12829104834849211</v>
      </c>
      <c r="BH63" s="348">
        <f t="shared" si="34"/>
        <v>0.15841584158415842</v>
      </c>
      <c r="BI63" s="348">
        <f t="shared" si="34"/>
        <v>0.11873350923482849</v>
      </c>
      <c r="BJ63" s="348">
        <f t="shared" si="34"/>
        <v>8.9985178911708666E-2</v>
      </c>
      <c r="BK63" s="348">
        <f t="shared" si="34"/>
        <v>9.961606309017329E-2</v>
      </c>
      <c r="BL63" s="348">
        <f t="shared" si="34"/>
        <v>0.10691888557623111</v>
      </c>
      <c r="BM63" s="348" t="e">
        <f t="shared" si="35"/>
        <v>#N/A</v>
      </c>
      <c r="BN63" s="348" t="e">
        <f t="shared" si="35"/>
        <v>#N/A</v>
      </c>
      <c r="BO63" s="348" t="e">
        <f t="shared" si="35"/>
        <v>#N/A</v>
      </c>
      <c r="BP63" s="348" t="e">
        <f t="shared" si="35"/>
        <v>#N/A</v>
      </c>
      <c r="BQ63" s="348" t="e">
        <f t="shared" si="35"/>
        <v>#N/A</v>
      </c>
    </row>
    <row r="64" spans="1:69" s="81" customFormat="1" ht="14.25" customHeight="1" x14ac:dyDescent="0.2">
      <c r="A64" s="118"/>
      <c r="B64" s="375"/>
      <c r="C64" s="375"/>
      <c r="D64" s="58"/>
      <c r="E64" s="58"/>
      <c r="F64" s="58"/>
      <c r="G64" s="58"/>
      <c r="H64" s="58"/>
      <c r="I64" s="58"/>
      <c r="J64" s="12"/>
      <c r="K64" s="9"/>
      <c r="L64" s="110"/>
      <c r="M64" s="1796" t="s">
        <v>72</v>
      </c>
      <c r="N64" s="1797"/>
      <c r="O64" s="1797"/>
      <c r="P64" s="1798"/>
      <c r="Q64" s="928"/>
      <c r="R64" s="1802" t="s">
        <v>100</v>
      </c>
      <c r="S64" s="1803"/>
      <c r="T64" s="1803"/>
      <c r="U64" s="1804"/>
      <c r="V64" s="117"/>
      <c r="W64" s="137"/>
      <c r="X64" s="294"/>
      <c r="AJ64" s="585" t="b">
        <v>1</v>
      </c>
      <c r="AK64" s="160" t="s">
        <v>127</v>
      </c>
      <c r="AL64" s="87" t="str">
        <f t="shared" si="22"/>
        <v>England</v>
      </c>
      <c r="AM64" s="146">
        <f t="shared" si="30"/>
        <v>60.293374664965448</v>
      </c>
      <c r="AN64" s="146">
        <f t="shared" si="30"/>
        <v>61.610650556201371</v>
      </c>
      <c r="AO64" s="146">
        <f t="shared" si="30"/>
        <v>63.512260891547989</v>
      </c>
      <c r="AP64" s="146">
        <f t="shared" si="30"/>
        <v>65.37232529737507</v>
      </c>
      <c r="AQ64" s="146">
        <f t="shared" si="30"/>
        <v>66.602348714195415</v>
      </c>
      <c r="AR64" s="147">
        <f t="shared" si="29"/>
        <v>17.084413405029373</v>
      </c>
      <c r="AS64" s="348">
        <f t="shared" si="31"/>
        <v>0.43785886275236152</v>
      </c>
      <c r="AT64" s="348">
        <f t="shared" si="31"/>
        <v>0.43178141290670502</v>
      </c>
      <c r="AU64" s="348">
        <f t="shared" si="31"/>
        <v>0.44364551500988675</v>
      </c>
      <c r="AV64" s="348">
        <f t="shared" si="31"/>
        <v>0.43074606891937101</v>
      </c>
      <c r="AW64" s="348">
        <f t="shared" si="31"/>
        <v>0.44553644553644556</v>
      </c>
      <c r="AX64" s="348">
        <f t="shared" si="32"/>
        <v>0.68485617597292725</v>
      </c>
      <c r="AY64" s="348">
        <f t="shared" si="32"/>
        <v>0.70191507077435467</v>
      </c>
      <c r="AZ64" s="348">
        <f t="shared" si="32"/>
        <v>0.69813614262560775</v>
      </c>
      <c r="BA64" s="348">
        <f t="shared" si="32"/>
        <v>0.68660194174757283</v>
      </c>
      <c r="BB64" s="348">
        <f t="shared" si="32"/>
        <v>0.68198529411764708</v>
      </c>
      <c r="BC64" s="348">
        <f t="shared" si="33"/>
        <v>0.10296832836244851</v>
      </c>
      <c r="BD64" s="348">
        <f t="shared" si="33"/>
        <v>0.103567001790387</v>
      </c>
      <c r="BE64" s="348">
        <f t="shared" si="33"/>
        <v>0.10468356109858033</v>
      </c>
      <c r="BF64" s="348">
        <f t="shared" si="33"/>
        <v>0.10377479206653871</v>
      </c>
      <c r="BG64" s="348">
        <f t="shared" si="33"/>
        <v>0.10576923076923077</v>
      </c>
      <c r="BH64" s="348">
        <f t="shared" si="34"/>
        <v>6.1638971736969181E-2</v>
      </c>
      <c r="BI64" s="348">
        <f t="shared" si="34"/>
        <v>6.4729376118991877E-2</v>
      </c>
      <c r="BJ64" s="348">
        <f t="shared" si="34"/>
        <v>6.0368847021361284E-2</v>
      </c>
      <c r="BK64" s="348">
        <f t="shared" si="34"/>
        <v>6.4875239923224567E-2</v>
      </c>
      <c r="BL64" s="348">
        <f t="shared" si="34"/>
        <v>6.243756243756244E-2</v>
      </c>
      <c r="BM64" s="348" t="e">
        <f t="shared" si="35"/>
        <v>#N/A</v>
      </c>
      <c r="BN64" s="348" t="e">
        <f t="shared" si="35"/>
        <v>#N/A</v>
      </c>
      <c r="BO64" s="348" t="e">
        <f t="shared" si="35"/>
        <v>#N/A</v>
      </c>
      <c r="BP64" s="348" t="e">
        <f t="shared" si="35"/>
        <v>#N/A</v>
      </c>
      <c r="BQ64" s="348" t="e">
        <f t="shared" si="35"/>
        <v>#N/A</v>
      </c>
    </row>
    <row r="65" spans="1:69" s="81" customFormat="1" ht="14.25" customHeight="1" x14ac:dyDescent="0.2">
      <c r="A65" s="118"/>
      <c r="B65" s="375"/>
      <c r="C65" s="375"/>
      <c r="D65" s="58"/>
      <c r="E65" s="58"/>
      <c r="F65" s="58"/>
      <c r="G65" s="58"/>
      <c r="H65" s="58"/>
      <c r="I65" s="58"/>
      <c r="J65" s="12"/>
      <c r="K65" s="9"/>
      <c r="L65" s="111"/>
      <c r="M65" s="1802" t="str">
        <f>AA4</f>
        <v>Selected LA- (none)</v>
      </c>
      <c r="N65" s="1803"/>
      <c r="O65" s="1803"/>
      <c r="P65" s="1803"/>
      <c r="Q65" s="110"/>
      <c r="R65" s="1939" t="s">
        <v>187</v>
      </c>
      <c r="S65" s="1939"/>
      <c r="T65" s="1939"/>
      <c r="U65" s="1940"/>
      <c r="V65" s="117"/>
      <c r="W65" s="137"/>
      <c r="X65" s="150"/>
      <c r="AK65" s="161"/>
      <c r="AL65" s="74" t="str">
        <f>AA4</f>
        <v>Selected LA- (none)</v>
      </c>
      <c r="AM65" s="148" t="e">
        <f>VLOOKUP($Z4,$B$10:$O$32,AM$37,FALSE)</f>
        <v>#N/A</v>
      </c>
      <c r="AN65" s="148" t="e">
        <f>VLOOKUP($Z4,$B$10:$O$32,AN$37,FALSE)</f>
        <v>#N/A</v>
      </c>
      <c r="AO65" s="148" t="e">
        <f>VLOOKUP($Z4,$B$10:$O$32,AO$37,FALSE)</f>
        <v>#N/A</v>
      </c>
      <c r="AP65" s="148" t="e">
        <f>VLOOKUP($Z4,$B$10:$O$32,AP$37,FALSE)</f>
        <v>#N/A</v>
      </c>
      <c r="AQ65" s="148" t="e">
        <f>VLOOKUP($Z4,$B$10:$O$32,AQ$37,FALSE)</f>
        <v>#N/A</v>
      </c>
      <c r="AR65" s="147" t="e">
        <f>VLOOKUP(Z4,$B$10:$U$32,$AR$37,FALSE)</f>
        <v>#N/A</v>
      </c>
      <c r="AS65" s="171" t="e">
        <f>VLOOKUP($Z$4,$B$112:$H$135,AS$37,FALSE)</f>
        <v>#N/A</v>
      </c>
      <c r="AT65" s="171" t="e">
        <f>VLOOKUP($Z$4,$B$112:$H$135,AT$37,FALSE)</f>
        <v>#N/A</v>
      </c>
      <c r="AU65" s="171" t="e">
        <f>VLOOKUP($Z$4,$B$112:$H$135,AU$37,FALSE)</f>
        <v>#N/A</v>
      </c>
      <c r="AV65" s="171" t="e">
        <f>VLOOKUP($Z$4,$B$112:$H$135,AV$37,FALSE)</f>
        <v>#N/A</v>
      </c>
      <c r="AW65" s="171" t="e">
        <f>VLOOKUP($Z$4,$B$112:$H$135,AW$37,FALSE)</f>
        <v>#N/A</v>
      </c>
      <c r="AX65" s="171" t="e">
        <f>VLOOKUP($Z$4,$B$148:$H$171,AX$37,FALSE)</f>
        <v>#N/A</v>
      </c>
      <c r="AY65" s="171" t="e">
        <f>VLOOKUP($Z$4,$B$148:$H$171,AY$37,FALSE)</f>
        <v>#N/A</v>
      </c>
      <c r="AZ65" s="171" t="e">
        <f>VLOOKUP($Z$4,$B$148:$H$171,AZ$37,FALSE)</f>
        <v>#N/A</v>
      </c>
      <c r="BA65" s="171" t="e">
        <f>VLOOKUP($Z$4,$B$148:$H$171,BA$37,FALSE)</f>
        <v>#N/A</v>
      </c>
      <c r="BB65" s="171" t="e">
        <f>VLOOKUP($Z$4,$B$148:$H$171,BB$37,FALSE)</f>
        <v>#N/A</v>
      </c>
      <c r="BC65" s="171" t="e">
        <f>VLOOKUP($Z$4,$B$184:$H$207,BC$37,FALSE)</f>
        <v>#N/A</v>
      </c>
      <c r="BD65" s="171" t="e">
        <f>VLOOKUP($Z$4,$B$184:$H$207,BD$37,FALSE)</f>
        <v>#N/A</v>
      </c>
      <c r="BE65" s="171" t="e">
        <f>VLOOKUP($Z$4,$B$184:$H$207,BE$37,FALSE)</f>
        <v>#N/A</v>
      </c>
      <c r="BF65" s="171" t="e">
        <f>VLOOKUP($Z$4,$B$184:$H$207,BF$37,FALSE)</f>
        <v>#N/A</v>
      </c>
      <c r="BG65" s="171" t="e">
        <f>VLOOKUP($Z$4,$B$184:$H$207,BG$37,FALSE)</f>
        <v>#N/A</v>
      </c>
      <c r="BH65" s="348" t="e">
        <f>VLOOKUP($Z4,$B$256:$H$279,BH$37,FALSE)</f>
        <v>#N/A</v>
      </c>
      <c r="BI65" s="348" t="e">
        <f>VLOOKUP($Z4,$B$256:$H$279,BI$37,FALSE)</f>
        <v>#N/A</v>
      </c>
      <c r="BJ65" s="348" t="e">
        <f>VLOOKUP($Z4,$B$256:$H$279,BJ$37,FALSE)</f>
        <v>#N/A</v>
      </c>
      <c r="BK65" s="348" t="e">
        <f>VLOOKUP($Z4,$B$256:$H$279,BK$37,FALSE)</f>
        <v>#N/A</v>
      </c>
      <c r="BL65" s="348" t="e">
        <f>VLOOKUP($Z4,$B$256:$H$279,BL$37,FALSE)</f>
        <v>#N/A</v>
      </c>
      <c r="BM65" s="348" t="e">
        <f>VLOOKUP($Z4,$B$220:$H$243,BM$37,FALSE)</f>
        <v>#N/A</v>
      </c>
      <c r="BN65" s="348" t="e">
        <f>VLOOKUP($Z4,$B$220:$H$243,BN$37,FALSE)</f>
        <v>#N/A</v>
      </c>
      <c r="BO65" s="348" t="e">
        <f>VLOOKUP($Z4,$B$220:$H$243,BO$37,FALSE)</f>
        <v>#N/A</v>
      </c>
      <c r="BP65" s="348" t="e">
        <f>VLOOKUP($Z4,$B$220:$H$243,BP$37,FALSE)</f>
        <v>#N/A</v>
      </c>
      <c r="BQ65" s="348" t="e">
        <f>VLOOKUP($Z4,$B$220:$H$243,BQ$37,FALSE)</f>
        <v>#N/A</v>
      </c>
    </row>
    <row r="66" spans="1:69" s="81" customFormat="1" ht="39.6" customHeight="1" x14ac:dyDescent="0.2">
      <c r="A66" s="118"/>
      <c r="B66" s="375"/>
      <c r="C66" s="375"/>
      <c r="D66" s="58"/>
      <c r="E66" s="58"/>
      <c r="F66" s="58"/>
      <c r="G66" s="58"/>
      <c r="H66" s="58"/>
      <c r="I66" s="58"/>
      <c r="J66" s="12"/>
      <c r="K66" s="9"/>
      <c r="L66" s="9"/>
      <c r="M66" s="9"/>
      <c r="N66" s="9"/>
      <c r="O66" s="9"/>
      <c r="P66" s="9"/>
      <c r="Q66" s="9"/>
      <c r="R66" s="9"/>
      <c r="S66" s="9"/>
      <c r="T66" s="9"/>
      <c r="U66" s="9"/>
      <c r="V66" s="117"/>
      <c r="W66" s="137"/>
      <c r="X66" s="150"/>
      <c r="AK66" s="161"/>
    </row>
    <row r="67" spans="1:69" s="87" customFormat="1" ht="38.450000000000003" customHeight="1" x14ac:dyDescent="0.2">
      <c r="A67" s="121"/>
      <c r="B67" s="109"/>
      <c r="C67" s="109"/>
      <c r="D67" s="109"/>
      <c r="E67" s="109"/>
      <c r="F67" s="109"/>
      <c r="G67" s="109"/>
      <c r="H67" s="109"/>
      <c r="I67" s="109"/>
      <c r="J67" s="96"/>
      <c r="K67" s="85"/>
      <c r="L67" s="85"/>
      <c r="M67" s="85"/>
      <c r="N67" s="85"/>
      <c r="O67" s="85"/>
      <c r="P67" s="85"/>
      <c r="Q67" s="85"/>
      <c r="R67" s="85"/>
      <c r="S67" s="85"/>
      <c r="T67" s="85"/>
      <c r="U67" s="85"/>
      <c r="V67" s="122"/>
      <c r="W67" s="139"/>
      <c r="X67" s="152"/>
      <c r="AD67" s="190"/>
      <c r="AE67" s="190"/>
      <c r="AF67" s="190"/>
      <c r="AG67" s="190"/>
      <c r="AH67" s="190"/>
      <c r="AI67" s="190"/>
      <c r="AJ67" s="202"/>
      <c r="AK67" s="160"/>
    </row>
    <row r="68" spans="1:69" s="87" customFormat="1" ht="48.75" customHeight="1" x14ac:dyDescent="0.2">
      <c r="A68" s="121"/>
      <c r="B68" s="109"/>
      <c r="C68" s="109"/>
      <c r="D68" s="109"/>
      <c r="E68" s="109"/>
      <c r="F68" s="109"/>
      <c r="G68" s="109"/>
      <c r="H68" s="109"/>
      <c r="I68" s="109"/>
      <c r="J68" s="96"/>
      <c r="K68" s="85"/>
      <c r="L68" s="85"/>
      <c r="M68" s="85"/>
      <c r="N68" s="85"/>
      <c r="O68" s="85"/>
      <c r="P68" s="85"/>
      <c r="Q68" s="85"/>
      <c r="R68" s="85"/>
      <c r="S68" s="85"/>
      <c r="T68" s="85"/>
      <c r="U68" s="85"/>
      <c r="V68" s="122"/>
      <c r="W68" s="139"/>
      <c r="X68" s="152"/>
      <c r="AD68" s="190"/>
      <c r="AE68" s="190"/>
      <c r="AF68" s="190"/>
      <c r="AG68" s="190"/>
      <c r="AH68" s="190"/>
      <c r="AI68" s="190"/>
      <c r="AJ68" s="202"/>
      <c r="AK68" s="160"/>
    </row>
    <row r="69" spans="1:69" ht="7.5" customHeight="1" x14ac:dyDescent="0.2">
      <c r="A69" s="118"/>
      <c r="B69" s="17"/>
      <c r="C69" s="17"/>
      <c r="D69" s="16"/>
      <c r="E69" s="16"/>
      <c r="F69" s="16"/>
      <c r="G69" s="16"/>
      <c r="H69" s="16"/>
      <c r="I69" s="16"/>
      <c r="J69" s="12"/>
      <c r="K69" s="18"/>
      <c r="L69" s="18"/>
      <c r="M69" s="18"/>
      <c r="N69" s="18"/>
      <c r="O69" s="18"/>
      <c r="P69" s="18"/>
      <c r="Q69" s="18"/>
      <c r="R69" s="18"/>
      <c r="S69" s="18"/>
      <c r="T69" s="18"/>
      <c r="U69" s="19"/>
      <c r="V69" s="117"/>
      <c r="W69" s="137"/>
      <c r="X69" s="150"/>
      <c r="Y69" s="87"/>
      <c r="Z69" s="87"/>
      <c r="AA69" s="87"/>
      <c r="AB69" s="87"/>
      <c r="AC69" s="87"/>
      <c r="AJ69" s="184"/>
      <c r="AK69" s="157"/>
    </row>
    <row r="70" spans="1:69" ht="15" customHeight="1" x14ac:dyDescent="0.2">
      <c r="A70" s="1716"/>
      <c r="B70" s="1760"/>
      <c r="C70" s="1760"/>
      <c r="D70" s="1760"/>
      <c r="E70" s="1760"/>
      <c r="F70" s="1760"/>
      <c r="G70" s="1760"/>
      <c r="H70" s="1760"/>
      <c r="I70" s="1760"/>
      <c r="J70" s="1760"/>
      <c r="K70" s="1760"/>
      <c r="L70" s="1760"/>
      <c r="M70" s="1760"/>
      <c r="N70" s="1760"/>
      <c r="O70" s="1760"/>
      <c r="P70" s="1760"/>
      <c r="Q70" s="1760"/>
      <c r="R70" s="1760"/>
      <c r="S70" s="1760"/>
      <c r="T70" s="1760"/>
      <c r="U70" s="1760"/>
      <c r="V70" s="1761"/>
      <c r="W70" s="137"/>
      <c r="X70" s="150"/>
      <c r="Y70" s="87"/>
      <c r="Z70" s="87"/>
      <c r="AA70" s="87"/>
      <c r="AB70" s="87"/>
      <c r="AC70" s="87"/>
      <c r="AJ70" s="184"/>
      <c r="AK70" s="157"/>
    </row>
    <row r="71" spans="1:69" ht="11.1" customHeight="1" x14ac:dyDescent="0.2">
      <c r="A71" s="1765" t="str">
        <f>Home!$A$39</f>
        <v xml:space="preserve"> </v>
      </c>
      <c r="B71" s="1766"/>
      <c r="C71" s="1766"/>
      <c r="D71" s="1766"/>
      <c r="E71" s="1766"/>
      <c r="F71" s="1766"/>
      <c r="G71" s="1766"/>
      <c r="H71" s="1766"/>
      <c r="I71" s="1767"/>
      <c r="J71" s="1766"/>
      <c r="K71" s="1766"/>
      <c r="L71" s="1766"/>
      <c r="M71" s="1766"/>
      <c r="N71" s="1766"/>
      <c r="O71" s="1766"/>
      <c r="P71" s="1768"/>
      <c r="Q71" s="1766"/>
      <c r="R71" s="1766"/>
      <c r="S71" s="1766"/>
      <c r="T71" s="1767"/>
      <c r="U71" s="1766"/>
      <c r="V71" s="1769"/>
      <c r="W71" s="137"/>
      <c r="X71" s="150"/>
      <c r="Y71" s="87"/>
      <c r="Z71" s="87"/>
      <c r="AA71" s="87"/>
      <c r="AB71" s="87"/>
      <c r="AC71" s="87"/>
      <c r="AJ71" s="184"/>
      <c r="AK71" s="157"/>
    </row>
    <row r="72" spans="1:69" ht="11.25" customHeight="1" x14ac:dyDescent="0.2">
      <c r="A72" s="112"/>
      <c r="B72" s="113"/>
      <c r="C72" s="113"/>
      <c r="D72" s="113"/>
      <c r="E72" s="113"/>
      <c r="F72" s="113"/>
      <c r="G72" s="113"/>
      <c r="H72" s="113"/>
      <c r="I72" s="113"/>
      <c r="J72" s="114"/>
      <c r="K72" s="113"/>
      <c r="L72" s="113"/>
      <c r="M72" s="113"/>
      <c r="N72" s="113"/>
      <c r="O72" s="113"/>
      <c r="P72" s="113"/>
      <c r="Q72" s="113"/>
      <c r="R72" s="113"/>
      <c r="S72" s="113"/>
      <c r="T72" s="113"/>
      <c r="U72" s="113"/>
      <c r="V72" s="115"/>
      <c r="W72" s="137"/>
      <c r="X72" s="150"/>
      <c r="Y72" s="188"/>
      <c r="Z72" s="188"/>
      <c r="AA72" s="188"/>
      <c r="AJ72" s="184"/>
      <c r="AK72" s="157"/>
    </row>
    <row r="73" spans="1:69" s="76" customFormat="1" ht="15" customHeight="1" x14ac:dyDescent="0.2">
      <c r="A73" s="119"/>
      <c r="B73" s="59"/>
      <c r="C73" s="374"/>
      <c r="D73" s="374"/>
      <c r="E73" s="374"/>
      <c r="F73" s="374"/>
      <c r="G73" s="374"/>
      <c r="H73" s="374"/>
      <c r="I73" s="374"/>
      <c r="J73" s="70"/>
      <c r="K73" s="70"/>
      <c r="L73" s="70"/>
      <c r="M73" s="70"/>
      <c r="N73" s="373"/>
      <c r="O73" s="70"/>
      <c r="P73" s="70"/>
      <c r="Q73" s="70"/>
      <c r="R73" s="70"/>
      <c r="S73" s="70"/>
      <c r="T73" s="70"/>
      <c r="U73" s="70"/>
      <c r="V73" s="120"/>
      <c r="W73" s="138"/>
      <c r="X73" s="151"/>
      <c r="Y73" s="188"/>
      <c r="Z73" s="188"/>
      <c r="AA73" s="188"/>
      <c r="AB73" s="188"/>
      <c r="AC73" s="188"/>
      <c r="AD73" s="188"/>
      <c r="AE73" s="188"/>
      <c r="AF73" s="188"/>
      <c r="AG73" s="188"/>
      <c r="AH73" s="188"/>
      <c r="AI73" s="188"/>
      <c r="AJ73" s="188"/>
      <c r="AK73" s="158"/>
    </row>
    <row r="74" spans="1:69" ht="13.5" customHeight="1" x14ac:dyDescent="0.2">
      <c r="A74" s="118"/>
      <c r="B74" s="374"/>
      <c r="C74" s="374"/>
      <c r="D74" s="374"/>
      <c r="E74" s="374"/>
      <c r="F74" s="374"/>
      <c r="G74" s="374"/>
      <c r="H74" s="374"/>
      <c r="I74" s="374"/>
      <c r="J74" s="70"/>
      <c r="K74" s="70"/>
      <c r="L74" s="70"/>
      <c r="M74" s="70"/>
      <c r="N74" s="373"/>
      <c r="O74" s="70"/>
      <c r="P74" s="70"/>
      <c r="Q74" s="70"/>
      <c r="R74" s="10"/>
      <c r="S74" s="70"/>
      <c r="T74" s="70"/>
      <c r="U74" s="70"/>
      <c r="V74" s="117"/>
      <c r="W74" s="137"/>
      <c r="X74" s="150"/>
      <c r="Y74" s="188"/>
      <c r="Z74" s="188"/>
      <c r="AA74" s="196"/>
      <c r="AB74" s="196"/>
      <c r="AC74" s="197"/>
      <c r="AD74" s="197"/>
      <c r="AJ74" s="184"/>
      <c r="AK74" s="157"/>
    </row>
    <row r="75" spans="1:69" s="87" customFormat="1" ht="12" customHeight="1" x14ac:dyDescent="0.2">
      <c r="A75" s="121"/>
      <c r="B75" s="374"/>
      <c r="C75" s="374"/>
      <c r="D75" s="374"/>
      <c r="E75" s="374"/>
      <c r="F75" s="374"/>
      <c r="G75" s="374"/>
      <c r="H75" s="374"/>
      <c r="I75" s="96"/>
      <c r="J75" s="96"/>
      <c r="K75" s="61"/>
      <c r="L75" s="61"/>
      <c r="M75" s="61"/>
      <c r="N75" s="61"/>
      <c r="O75" s="61"/>
      <c r="P75" s="61"/>
      <c r="Q75" s="379"/>
      <c r="R75" s="379"/>
      <c r="S75" s="159"/>
      <c r="T75" s="159"/>
      <c r="U75" s="378"/>
      <c r="V75" s="122"/>
      <c r="W75" s="139"/>
      <c r="X75" s="152"/>
      <c r="Y75" s="188"/>
      <c r="Z75" s="188"/>
      <c r="AA75" s="196"/>
      <c r="AB75" s="196"/>
      <c r="AC75" s="197"/>
      <c r="AD75" s="197"/>
      <c r="AE75" s="199"/>
      <c r="AF75" s="190"/>
      <c r="AG75" s="190"/>
      <c r="AH75" s="190"/>
      <c r="AI75" s="190"/>
      <c r="AJ75" s="202"/>
      <c r="AK75" s="160"/>
    </row>
    <row r="76" spans="1:69" s="87" customFormat="1" ht="24" customHeight="1" x14ac:dyDescent="0.2">
      <c r="A76" s="121"/>
      <c r="B76" s="374"/>
      <c r="C76" s="374"/>
      <c r="D76" s="374"/>
      <c r="E76" s="374"/>
      <c r="F76" s="374"/>
      <c r="G76" s="374"/>
      <c r="H76" s="374"/>
      <c r="I76" s="96"/>
      <c r="J76" s="96"/>
      <c r="K76" s="166"/>
      <c r="L76" s="166"/>
      <c r="M76" s="166"/>
      <c r="N76" s="166"/>
      <c r="O76" s="166"/>
      <c r="P76" s="166"/>
      <c r="Q76" s="166"/>
      <c r="R76" s="167"/>
      <c r="S76" s="159"/>
      <c r="T76" s="159"/>
      <c r="U76" s="166"/>
      <c r="V76" s="122"/>
      <c r="W76" s="139"/>
      <c r="X76" s="152"/>
      <c r="Z76" s="353" t="s">
        <v>130</v>
      </c>
      <c r="AA76" s="354" t="s">
        <v>131</v>
      </c>
      <c r="AB76" s="196"/>
      <c r="AC76" s="197"/>
      <c r="AD76" s="197"/>
      <c r="AE76" s="199"/>
      <c r="AF76" s="190"/>
      <c r="AG76" s="190"/>
      <c r="AH76" s="190"/>
      <c r="AI76" s="190"/>
      <c r="AJ76" s="202"/>
      <c r="AK76" s="160"/>
    </row>
    <row r="77" spans="1:69" s="87" customFormat="1" ht="12.75" customHeight="1" x14ac:dyDescent="0.2">
      <c r="A77" s="121"/>
      <c r="B77" s="374"/>
      <c r="C77" s="374"/>
      <c r="D77" s="374"/>
      <c r="E77" s="374"/>
      <c r="F77" s="374"/>
      <c r="G77" s="374"/>
      <c r="H77" s="374"/>
      <c r="I77" s="96"/>
      <c r="J77" s="96"/>
      <c r="K77" s="166"/>
      <c r="L77" s="166"/>
      <c r="M77" s="166"/>
      <c r="N77" s="166"/>
      <c r="O77" s="166"/>
      <c r="P77" s="166"/>
      <c r="Q77" s="166"/>
      <c r="R77" s="167"/>
      <c r="S77" s="159"/>
      <c r="T77" s="159"/>
      <c r="U77" s="166"/>
      <c r="V77" s="122"/>
      <c r="W77" s="139"/>
      <c r="X77" s="152"/>
      <c r="Y77" s="355" t="str">
        <f>B10</f>
        <v>Bracknell Forest</v>
      </c>
      <c r="Z77" s="356" t="e">
        <f>IF(Y77=$Z$4,I10,#N/A)</f>
        <v>#N/A</v>
      </c>
      <c r="AA77" s="356" t="e">
        <f>IF(Y77=$Z$4,U10,#N/A)</f>
        <v>#N/A</v>
      </c>
      <c r="AB77" s="196"/>
      <c r="AC77" s="197"/>
      <c r="AD77" s="197"/>
      <c r="AE77" s="199"/>
      <c r="AF77" s="190"/>
      <c r="AG77" s="190"/>
      <c r="AH77" s="190"/>
      <c r="AI77" s="190"/>
      <c r="AJ77" s="202"/>
      <c r="AK77" s="160"/>
    </row>
    <row r="78" spans="1:69" s="87" customFormat="1" ht="12.75" customHeight="1" x14ac:dyDescent="0.2">
      <c r="A78" s="121"/>
      <c r="B78" s="374"/>
      <c r="C78" s="374"/>
      <c r="D78" s="374"/>
      <c r="E78" s="374"/>
      <c r="F78" s="374"/>
      <c r="G78" s="374"/>
      <c r="H78" s="374"/>
      <c r="I78" s="96"/>
      <c r="J78" s="96"/>
      <c r="K78" s="166"/>
      <c r="L78" s="166"/>
      <c r="M78" s="166"/>
      <c r="N78" s="166"/>
      <c r="O78" s="166"/>
      <c r="P78" s="166"/>
      <c r="Q78" s="166"/>
      <c r="R78" s="167"/>
      <c r="S78" s="159"/>
      <c r="T78" s="159"/>
      <c r="U78" s="166"/>
      <c r="V78" s="122"/>
      <c r="W78" s="139"/>
      <c r="X78" s="152"/>
      <c r="Y78" s="355" t="str">
        <f t="shared" ref="Y78:Y98" si="36">B11</f>
        <v>Brighton &amp; Hove</v>
      </c>
      <c r="Z78" s="356" t="e">
        <f t="shared" ref="Z78:Z100" si="37">IF(Y78=$Z$4,I11,#N/A)</f>
        <v>#N/A</v>
      </c>
      <c r="AA78" s="356" t="e">
        <f t="shared" ref="AA78:AA100" si="38">IF(Y78=$Z$4,U11,#N/A)</f>
        <v>#N/A</v>
      </c>
      <c r="AB78" s="196"/>
      <c r="AC78" s="197"/>
      <c r="AD78" s="197"/>
      <c r="AE78" s="199"/>
      <c r="AF78" s="190"/>
      <c r="AG78" s="190"/>
      <c r="AH78" s="190"/>
      <c r="AI78" s="190"/>
      <c r="AJ78" s="202"/>
      <c r="AK78" s="160"/>
    </row>
    <row r="79" spans="1:69" s="87" customFormat="1" ht="12.75" customHeight="1" x14ac:dyDescent="0.2">
      <c r="A79" s="121"/>
      <c r="B79" s="374"/>
      <c r="C79" s="374"/>
      <c r="D79" s="374"/>
      <c r="E79" s="374"/>
      <c r="F79" s="374"/>
      <c r="G79" s="374"/>
      <c r="H79" s="374"/>
      <c r="I79" s="96"/>
      <c r="J79" s="96"/>
      <c r="K79" s="166"/>
      <c r="L79" s="166"/>
      <c r="M79" s="166"/>
      <c r="N79" s="166"/>
      <c r="O79" s="166"/>
      <c r="P79" s="166"/>
      <c r="Q79" s="166"/>
      <c r="R79" s="167"/>
      <c r="S79" s="159"/>
      <c r="T79" s="159"/>
      <c r="U79" s="166"/>
      <c r="V79" s="122"/>
      <c r="W79" s="139"/>
      <c r="X79" s="152"/>
      <c r="Y79" s="355" t="str">
        <f t="shared" si="36"/>
        <v>Buckinghamshire</v>
      </c>
      <c r="Z79" s="356" t="e">
        <f t="shared" si="37"/>
        <v>#N/A</v>
      </c>
      <c r="AA79" s="356" t="e">
        <f t="shared" si="38"/>
        <v>#N/A</v>
      </c>
      <c r="AB79" s="196"/>
      <c r="AC79" s="197"/>
      <c r="AD79" s="197"/>
      <c r="AE79" s="199"/>
      <c r="AF79" s="190"/>
      <c r="AG79" s="190"/>
      <c r="AH79" s="190"/>
      <c r="AI79" s="190"/>
      <c r="AJ79" s="202"/>
      <c r="AK79" s="160"/>
    </row>
    <row r="80" spans="1:69" s="87" customFormat="1" ht="12.75" customHeight="1" x14ac:dyDescent="0.2">
      <c r="A80" s="121"/>
      <c r="B80" s="374"/>
      <c r="C80" s="374"/>
      <c r="D80" s="374"/>
      <c r="E80" s="374"/>
      <c r="F80" s="374"/>
      <c r="G80" s="374"/>
      <c r="H80" s="374"/>
      <c r="I80" s="96"/>
      <c r="J80" s="96"/>
      <c r="K80" s="166"/>
      <c r="L80" s="166"/>
      <c r="M80" s="166"/>
      <c r="N80" s="166"/>
      <c r="O80" s="166"/>
      <c r="P80" s="166"/>
      <c r="Q80" s="166"/>
      <c r="R80" s="167"/>
      <c r="S80" s="159"/>
      <c r="T80" s="159"/>
      <c r="U80" s="166"/>
      <c r="V80" s="122"/>
      <c r="W80" s="139"/>
      <c r="X80" s="152"/>
      <c r="Y80" s="355" t="str">
        <f t="shared" si="36"/>
        <v>East Sussex</v>
      </c>
      <c r="Z80" s="356" t="e">
        <f t="shared" si="37"/>
        <v>#N/A</v>
      </c>
      <c r="AA80" s="356" t="e">
        <f t="shared" si="38"/>
        <v>#N/A</v>
      </c>
      <c r="AB80" s="196"/>
      <c r="AC80" s="197"/>
      <c r="AD80" s="197"/>
      <c r="AE80" s="199"/>
      <c r="AF80" s="190"/>
      <c r="AG80" s="190"/>
      <c r="AH80" s="190"/>
      <c r="AI80" s="190"/>
      <c r="AJ80" s="202"/>
      <c r="AK80" s="160"/>
    </row>
    <row r="81" spans="1:45" s="87" customFormat="1" ht="12.75" customHeight="1" x14ac:dyDescent="0.2">
      <c r="A81" s="121"/>
      <c r="B81" s="374"/>
      <c r="C81" s="374"/>
      <c r="D81" s="374"/>
      <c r="E81" s="374"/>
      <c r="F81" s="374"/>
      <c r="G81" s="374"/>
      <c r="H81" s="374"/>
      <c r="I81" s="96"/>
      <c r="J81" s="96"/>
      <c r="K81" s="166"/>
      <c r="L81" s="166"/>
      <c r="M81" s="166"/>
      <c r="N81" s="166"/>
      <c r="O81" s="166"/>
      <c r="P81" s="166"/>
      <c r="Q81" s="166"/>
      <c r="R81" s="167"/>
      <c r="S81" s="159"/>
      <c r="T81" s="159"/>
      <c r="U81" s="166"/>
      <c r="V81" s="122"/>
      <c r="W81" s="139"/>
      <c r="X81" s="152"/>
      <c r="Y81" s="355" t="str">
        <f t="shared" si="36"/>
        <v>Hampshire</v>
      </c>
      <c r="Z81" s="356" t="e">
        <f t="shared" si="37"/>
        <v>#N/A</v>
      </c>
      <c r="AA81" s="356" t="e">
        <f t="shared" si="38"/>
        <v>#N/A</v>
      </c>
      <c r="AB81" s="196"/>
      <c r="AC81" s="197"/>
      <c r="AD81" s="197"/>
      <c r="AE81" s="199"/>
      <c r="AF81" s="190"/>
      <c r="AG81" s="190"/>
      <c r="AH81" s="190"/>
      <c r="AI81" s="190"/>
      <c r="AJ81" s="202"/>
      <c r="AK81" s="160"/>
      <c r="AS81" s="87" t="s">
        <v>102</v>
      </c>
    </row>
    <row r="82" spans="1:45" s="87" customFormat="1" ht="12.75" customHeight="1" x14ac:dyDescent="0.2">
      <c r="A82" s="121"/>
      <c r="B82" s="374"/>
      <c r="C82" s="374"/>
      <c r="D82" s="374"/>
      <c r="E82" s="374"/>
      <c r="F82" s="374"/>
      <c r="G82" s="374"/>
      <c r="H82" s="374"/>
      <c r="I82" s="96"/>
      <c r="J82" s="96"/>
      <c r="K82" s="166"/>
      <c r="L82" s="166"/>
      <c r="M82" s="166"/>
      <c r="N82" s="166"/>
      <c r="O82" s="166"/>
      <c r="P82" s="166"/>
      <c r="Q82" s="166"/>
      <c r="R82" s="167"/>
      <c r="S82" s="159"/>
      <c r="T82" s="159"/>
      <c r="U82" s="166"/>
      <c r="V82" s="122"/>
      <c r="W82" s="139"/>
      <c r="X82" s="152"/>
      <c r="Y82" s="355" t="str">
        <f t="shared" si="36"/>
        <v>Isle of Wight</v>
      </c>
      <c r="Z82" s="356" t="e">
        <f t="shared" si="37"/>
        <v>#N/A</v>
      </c>
      <c r="AA82" s="356" t="e">
        <f t="shared" si="38"/>
        <v>#N/A</v>
      </c>
      <c r="AB82" s="196"/>
      <c r="AC82" s="197"/>
      <c r="AD82" s="197"/>
      <c r="AE82" s="199"/>
      <c r="AF82" s="190"/>
      <c r="AG82" s="190"/>
      <c r="AH82" s="190"/>
      <c r="AI82" s="190"/>
      <c r="AJ82" s="202"/>
      <c r="AK82" s="160"/>
    </row>
    <row r="83" spans="1:45" s="87" customFormat="1" ht="12.75" customHeight="1" x14ac:dyDescent="0.2">
      <c r="A83" s="121"/>
      <c r="B83" s="374"/>
      <c r="C83" s="374"/>
      <c r="D83" s="374"/>
      <c r="E83" s="374"/>
      <c r="F83" s="374"/>
      <c r="G83" s="374"/>
      <c r="H83" s="374"/>
      <c r="I83" s="96"/>
      <c r="J83" s="96"/>
      <c r="K83" s="166"/>
      <c r="L83" s="166"/>
      <c r="M83" s="166"/>
      <c r="N83" s="166"/>
      <c r="O83" s="166"/>
      <c r="P83" s="166"/>
      <c r="Q83" s="166"/>
      <c r="R83" s="167"/>
      <c r="S83" s="159"/>
      <c r="T83" s="159"/>
      <c r="U83" s="166"/>
      <c r="V83" s="122"/>
      <c r="W83" s="139"/>
      <c r="X83" s="152"/>
      <c r="Y83" s="355" t="str">
        <f t="shared" si="36"/>
        <v>Kent</v>
      </c>
      <c r="Z83" s="356" t="e">
        <f t="shared" si="37"/>
        <v>#N/A</v>
      </c>
      <c r="AA83" s="356" t="e">
        <f t="shared" si="38"/>
        <v>#N/A</v>
      </c>
      <c r="AB83" s="196"/>
      <c r="AC83" s="197"/>
      <c r="AD83" s="197"/>
      <c r="AE83" s="199"/>
      <c r="AF83" s="190"/>
      <c r="AG83" s="190"/>
      <c r="AH83" s="190"/>
      <c r="AI83" s="190"/>
      <c r="AJ83" s="202"/>
      <c r="AK83" s="160"/>
    </row>
    <row r="84" spans="1:45" s="87" customFormat="1" ht="12.75" customHeight="1" x14ac:dyDescent="0.2">
      <c r="A84" s="121"/>
      <c r="B84" s="374"/>
      <c r="C84" s="374"/>
      <c r="D84" s="374"/>
      <c r="E84" s="374"/>
      <c r="F84" s="374"/>
      <c r="G84" s="374"/>
      <c r="H84" s="374"/>
      <c r="I84" s="96"/>
      <c r="J84" s="96"/>
      <c r="K84" s="166"/>
      <c r="L84" s="166"/>
      <c r="M84" s="166"/>
      <c r="N84" s="166"/>
      <c r="O84" s="166"/>
      <c r="P84" s="166"/>
      <c r="Q84" s="166"/>
      <c r="R84" s="167"/>
      <c r="S84" s="159"/>
      <c r="T84" s="159"/>
      <c r="U84" s="166"/>
      <c r="V84" s="122"/>
      <c r="W84" s="139"/>
      <c r="X84" s="152"/>
      <c r="Y84" s="355" t="str">
        <f t="shared" si="36"/>
        <v>Medway</v>
      </c>
      <c r="Z84" s="356" t="e">
        <f t="shared" si="37"/>
        <v>#N/A</v>
      </c>
      <c r="AA84" s="356" t="e">
        <f t="shared" si="38"/>
        <v>#N/A</v>
      </c>
      <c r="AB84" s="196"/>
      <c r="AC84" s="197"/>
      <c r="AD84" s="197"/>
      <c r="AE84" s="199"/>
      <c r="AF84" s="190"/>
      <c r="AG84" s="190"/>
      <c r="AH84" s="190"/>
      <c r="AI84" s="190"/>
      <c r="AJ84" s="202"/>
      <c r="AK84" s="160"/>
    </row>
    <row r="85" spans="1:45" s="87" customFormat="1" ht="12.75" customHeight="1" x14ac:dyDescent="0.2">
      <c r="A85" s="121"/>
      <c r="B85" s="374"/>
      <c r="C85" s="374"/>
      <c r="D85" s="374"/>
      <c r="E85" s="374"/>
      <c r="F85" s="374"/>
      <c r="G85" s="374"/>
      <c r="H85" s="374"/>
      <c r="I85" s="96"/>
      <c r="J85" s="96"/>
      <c r="K85" s="166"/>
      <c r="L85" s="166"/>
      <c r="M85" s="166"/>
      <c r="N85" s="166"/>
      <c r="O85" s="166"/>
      <c r="P85" s="166"/>
      <c r="Q85" s="166"/>
      <c r="R85" s="167"/>
      <c r="S85" s="159"/>
      <c r="T85" s="159"/>
      <c r="U85" s="166"/>
      <c r="V85" s="122"/>
      <c r="W85" s="139"/>
      <c r="X85" s="152"/>
      <c r="Y85" s="355" t="str">
        <f t="shared" si="36"/>
        <v>Milton Keynes</v>
      </c>
      <c r="Z85" s="356" t="e">
        <f t="shared" si="37"/>
        <v>#N/A</v>
      </c>
      <c r="AA85" s="356" t="e">
        <f t="shared" si="38"/>
        <v>#N/A</v>
      </c>
      <c r="AB85" s="196"/>
      <c r="AC85" s="197"/>
      <c r="AD85" s="197"/>
      <c r="AE85" s="199"/>
      <c r="AF85" s="190"/>
      <c r="AG85" s="190"/>
      <c r="AH85" s="190"/>
      <c r="AI85" s="190"/>
      <c r="AJ85" s="202"/>
      <c r="AK85" s="160"/>
    </row>
    <row r="86" spans="1:45" s="87" customFormat="1" ht="12.75" customHeight="1" x14ac:dyDescent="0.2">
      <c r="A86" s="121"/>
      <c r="B86" s="374"/>
      <c r="C86" s="374"/>
      <c r="D86" s="374"/>
      <c r="E86" s="374"/>
      <c r="F86" s="374"/>
      <c r="G86" s="374"/>
      <c r="H86" s="374"/>
      <c r="I86" s="96"/>
      <c r="J86" s="96"/>
      <c r="K86" s="166"/>
      <c r="L86" s="166"/>
      <c r="M86" s="166"/>
      <c r="N86" s="166"/>
      <c r="O86" s="166"/>
      <c r="P86" s="166"/>
      <c r="Q86" s="166"/>
      <c r="R86" s="167"/>
      <c r="S86" s="159"/>
      <c r="T86" s="159"/>
      <c r="U86" s="166"/>
      <c r="V86" s="122"/>
      <c r="W86" s="139"/>
      <c r="X86" s="152"/>
      <c r="Y86" s="355" t="str">
        <f t="shared" si="36"/>
        <v>Oxfordshire</v>
      </c>
      <c r="Z86" s="356" t="e">
        <f t="shared" si="37"/>
        <v>#N/A</v>
      </c>
      <c r="AA86" s="356" t="e">
        <f t="shared" si="38"/>
        <v>#N/A</v>
      </c>
      <c r="AB86" s="196"/>
      <c r="AC86" s="197"/>
      <c r="AD86" s="197"/>
      <c r="AE86" s="199"/>
      <c r="AF86" s="190"/>
      <c r="AG86" s="190"/>
      <c r="AH86" s="190"/>
      <c r="AI86" s="190"/>
      <c r="AJ86" s="202"/>
      <c r="AK86" s="160"/>
    </row>
    <row r="87" spans="1:45" s="87" customFormat="1" ht="12.75" customHeight="1" x14ac:dyDescent="0.2">
      <c r="A87" s="121"/>
      <c r="B87" s="374"/>
      <c r="C87" s="374"/>
      <c r="D87" s="374"/>
      <c r="E87" s="374"/>
      <c r="F87" s="374"/>
      <c r="G87" s="374"/>
      <c r="H87" s="374"/>
      <c r="I87" s="96"/>
      <c r="J87" s="96"/>
      <c r="K87" s="166"/>
      <c r="L87" s="166"/>
      <c r="M87" s="166"/>
      <c r="N87" s="166"/>
      <c r="O87" s="166"/>
      <c r="P87" s="166"/>
      <c r="Q87" s="166"/>
      <c r="R87" s="167"/>
      <c r="S87" s="159"/>
      <c r="T87" s="159"/>
      <c r="U87" s="166"/>
      <c r="V87" s="122"/>
      <c r="W87" s="139"/>
      <c r="X87" s="152"/>
      <c r="Y87" s="355" t="str">
        <f t="shared" si="36"/>
        <v>Portsmouth</v>
      </c>
      <c r="Z87" s="356" t="e">
        <f t="shared" si="37"/>
        <v>#N/A</v>
      </c>
      <c r="AA87" s="356" t="e">
        <f t="shared" si="38"/>
        <v>#N/A</v>
      </c>
      <c r="AB87" s="196"/>
      <c r="AC87" s="197"/>
      <c r="AD87" s="197"/>
      <c r="AE87" s="199"/>
      <c r="AF87" s="190"/>
      <c r="AG87" s="190"/>
      <c r="AH87" s="190"/>
      <c r="AI87" s="190"/>
      <c r="AJ87" s="202"/>
      <c r="AK87" s="160"/>
    </row>
    <row r="88" spans="1:45" s="87" customFormat="1" ht="12.75" customHeight="1" x14ac:dyDescent="0.2">
      <c r="A88" s="121"/>
      <c r="B88" s="374"/>
      <c r="C88" s="374"/>
      <c r="D88" s="374"/>
      <c r="E88" s="374"/>
      <c r="F88" s="374"/>
      <c r="G88" s="374"/>
      <c r="H88" s="374"/>
      <c r="I88" s="96"/>
      <c r="J88" s="96"/>
      <c r="K88" s="166"/>
      <c r="L88" s="166"/>
      <c r="M88" s="166"/>
      <c r="N88" s="166"/>
      <c r="O88" s="166"/>
      <c r="P88" s="166"/>
      <c r="Q88" s="166"/>
      <c r="R88" s="167"/>
      <c r="S88" s="159"/>
      <c r="T88" s="159"/>
      <c r="U88" s="166"/>
      <c r="V88" s="122"/>
      <c r="W88" s="139"/>
      <c r="X88" s="152"/>
      <c r="Y88" s="355" t="str">
        <f t="shared" si="36"/>
        <v>Reading</v>
      </c>
      <c r="Z88" s="356" t="e">
        <f t="shared" si="37"/>
        <v>#N/A</v>
      </c>
      <c r="AA88" s="356" t="e">
        <f t="shared" si="38"/>
        <v>#N/A</v>
      </c>
      <c r="AB88" s="196"/>
      <c r="AC88" s="197"/>
      <c r="AD88" s="197"/>
      <c r="AE88" s="199"/>
      <c r="AF88" s="190"/>
      <c r="AG88" s="190"/>
      <c r="AH88" s="190"/>
      <c r="AI88" s="190"/>
      <c r="AJ88" s="202"/>
      <c r="AK88" s="160"/>
    </row>
    <row r="89" spans="1:45" s="87" customFormat="1" ht="12.75" customHeight="1" x14ac:dyDescent="0.2">
      <c r="A89" s="121"/>
      <c r="B89" s="374"/>
      <c r="C89" s="374"/>
      <c r="D89" s="374"/>
      <c r="E89" s="374"/>
      <c r="F89" s="374"/>
      <c r="G89" s="374"/>
      <c r="H89" s="374"/>
      <c r="I89" s="96"/>
      <c r="J89" s="96"/>
      <c r="K89" s="166"/>
      <c r="L89" s="166"/>
      <c r="M89" s="166"/>
      <c r="N89" s="166"/>
      <c r="O89" s="166"/>
      <c r="P89" s="166"/>
      <c r="Q89" s="166"/>
      <c r="R89" s="167"/>
      <c r="S89" s="159"/>
      <c r="T89" s="159"/>
      <c r="U89" s="166"/>
      <c r="V89" s="122"/>
      <c r="W89" s="139"/>
      <c r="X89" s="152"/>
      <c r="Y89" s="355" t="str">
        <f t="shared" si="36"/>
        <v>Slough</v>
      </c>
      <c r="Z89" s="356" t="e">
        <f t="shared" si="37"/>
        <v>#N/A</v>
      </c>
      <c r="AA89" s="356" t="e">
        <f t="shared" si="38"/>
        <v>#N/A</v>
      </c>
      <c r="AB89" s="196"/>
      <c r="AC89" s="197"/>
      <c r="AD89" s="197"/>
      <c r="AE89" s="199"/>
      <c r="AF89" s="190"/>
      <c r="AG89" s="190"/>
      <c r="AH89" s="190"/>
      <c r="AI89" s="190"/>
      <c r="AJ89" s="202"/>
      <c r="AK89" s="160"/>
    </row>
    <row r="90" spans="1:45" s="87" customFormat="1" ht="12.75" customHeight="1" x14ac:dyDescent="0.2">
      <c r="A90" s="121"/>
      <c r="B90" s="374"/>
      <c r="C90" s="374"/>
      <c r="D90" s="374"/>
      <c r="E90" s="374"/>
      <c r="F90" s="374"/>
      <c r="G90" s="374"/>
      <c r="H90" s="374"/>
      <c r="I90" s="96"/>
      <c r="J90" s="96"/>
      <c r="K90" s="166"/>
      <c r="L90" s="166"/>
      <c r="M90" s="166"/>
      <c r="N90" s="166"/>
      <c r="O90" s="166"/>
      <c r="P90" s="166"/>
      <c r="Q90" s="166"/>
      <c r="R90" s="167"/>
      <c r="S90" s="159"/>
      <c r="T90" s="159"/>
      <c r="U90" s="166"/>
      <c r="V90" s="122"/>
      <c r="W90" s="139"/>
      <c r="X90" s="152"/>
      <c r="Y90" s="355" t="str">
        <f t="shared" si="36"/>
        <v>Somerset</v>
      </c>
      <c r="Z90" s="356" t="e">
        <f t="shared" si="37"/>
        <v>#N/A</v>
      </c>
      <c r="AA90" s="356" t="e">
        <f t="shared" si="38"/>
        <v>#N/A</v>
      </c>
      <c r="AB90" s="196"/>
      <c r="AC90" s="197"/>
      <c r="AD90" s="197"/>
      <c r="AE90" s="199"/>
      <c r="AF90" s="190"/>
      <c r="AG90" s="190"/>
      <c r="AH90" s="190"/>
      <c r="AI90" s="190"/>
      <c r="AJ90" s="202"/>
      <c r="AK90" s="160"/>
    </row>
    <row r="91" spans="1:45" s="87" customFormat="1" ht="12.75" customHeight="1" x14ac:dyDescent="0.2">
      <c r="A91" s="121"/>
      <c r="B91" s="374"/>
      <c r="C91" s="374"/>
      <c r="D91" s="374"/>
      <c r="E91" s="374"/>
      <c r="F91" s="374"/>
      <c r="G91" s="374"/>
      <c r="H91" s="374"/>
      <c r="I91" s="96"/>
      <c r="J91" s="96"/>
      <c r="K91" s="166"/>
      <c r="L91" s="166"/>
      <c r="M91" s="166"/>
      <c r="N91" s="166"/>
      <c r="O91" s="166"/>
      <c r="P91" s="166"/>
      <c r="Q91" s="166"/>
      <c r="R91" s="167"/>
      <c r="S91" s="159"/>
      <c r="T91" s="159"/>
      <c r="U91" s="166"/>
      <c r="V91" s="122"/>
      <c r="W91" s="139"/>
      <c r="X91" s="152"/>
      <c r="Y91" s="355" t="str">
        <f t="shared" si="36"/>
        <v>Southampton</v>
      </c>
      <c r="Z91" s="356" t="e">
        <f t="shared" si="37"/>
        <v>#N/A</v>
      </c>
      <c r="AA91" s="356" t="e">
        <f t="shared" si="38"/>
        <v>#N/A</v>
      </c>
      <c r="AB91" s="196"/>
      <c r="AC91" s="197"/>
      <c r="AD91" s="197"/>
      <c r="AE91" s="199"/>
      <c r="AF91" s="190"/>
      <c r="AG91" s="190"/>
      <c r="AH91" s="190"/>
      <c r="AI91" s="190"/>
      <c r="AJ91" s="202"/>
      <c r="AK91" s="160"/>
    </row>
    <row r="92" spans="1:45" s="87" customFormat="1" ht="12.75" customHeight="1" x14ac:dyDescent="0.2">
      <c r="A92" s="292"/>
      <c r="B92" s="374"/>
      <c r="C92" s="374"/>
      <c r="D92" s="374"/>
      <c r="E92" s="374"/>
      <c r="F92" s="374"/>
      <c r="G92" s="374"/>
      <c r="H92" s="374"/>
      <c r="I92" s="96"/>
      <c r="J92" s="96"/>
      <c r="K92" s="166"/>
      <c r="L92" s="166"/>
      <c r="M92" s="166"/>
      <c r="N92" s="166"/>
      <c r="O92" s="166"/>
      <c r="P92" s="166"/>
      <c r="Q92" s="166"/>
      <c r="R92" s="167"/>
      <c r="S92" s="159"/>
      <c r="T92" s="159"/>
      <c r="U92" s="166"/>
      <c r="V92" s="122"/>
      <c r="W92" s="139"/>
      <c r="X92" s="152"/>
      <c r="Y92" s="355" t="str">
        <f t="shared" si="36"/>
        <v>Surrey</v>
      </c>
      <c r="Z92" s="356" t="e">
        <f t="shared" si="37"/>
        <v>#N/A</v>
      </c>
      <c r="AA92" s="356" t="e">
        <f t="shared" si="38"/>
        <v>#N/A</v>
      </c>
      <c r="AB92" s="196"/>
      <c r="AC92" s="197"/>
      <c r="AD92" s="197"/>
      <c r="AE92" s="199"/>
      <c r="AF92" s="190"/>
      <c r="AG92" s="190"/>
      <c r="AH92" s="190"/>
      <c r="AI92" s="190"/>
      <c r="AJ92" s="202"/>
      <c r="AK92" s="160"/>
    </row>
    <row r="93" spans="1:45" s="87" customFormat="1" ht="12.75" customHeight="1" x14ac:dyDescent="0.2">
      <c r="A93" s="292"/>
      <c r="B93" s="374"/>
      <c r="C93" s="374"/>
      <c r="D93" s="374"/>
      <c r="E93" s="374"/>
      <c r="F93" s="374"/>
      <c r="G93" s="374"/>
      <c r="H93" s="374"/>
      <c r="I93" s="96"/>
      <c r="J93" s="96"/>
      <c r="K93" s="166"/>
      <c r="L93" s="166"/>
      <c r="M93" s="166"/>
      <c r="N93" s="166"/>
      <c r="O93" s="166"/>
      <c r="P93" s="166"/>
      <c r="Q93" s="166"/>
      <c r="R93" s="167"/>
      <c r="S93" s="159"/>
      <c r="T93" s="159"/>
      <c r="U93" s="166"/>
      <c r="V93" s="122"/>
      <c r="W93" s="139"/>
      <c r="X93" s="152"/>
      <c r="Y93" s="355" t="str">
        <f t="shared" si="36"/>
        <v>Swindon</v>
      </c>
      <c r="Z93" s="356" t="e">
        <f t="shared" si="37"/>
        <v>#N/A</v>
      </c>
      <c r="AA93" s="356" t="e">
        <f t="shared" si="38"/>
        <v>#N/A</v>
      </c>
      <c r="AB93" s="196"/>
      <c r="AC93" s="197"/>
      <c r="AD93" s="197"/>
      <c r="AE93" s="199"/>
      <c r="AF93" s="190"/>
      <c r="AG93" s="190"/>
      <c r="AH93" s="190"/>
      <c r="AI93" s="190"/>
      <c r="AJ93" s="202"/>
      <c r="AK93" s="160"/>
    </row>
    <row r="94" spans="1:45" s="87" customFormat="1" ht="12.75" customHeight="1" x14ac:dyDescent="0.2">
      <c r="A94" s="121"/>
      <c r="B94" s="374"/>
      <c r="C94" s="374"/>
      <c r="D94" s="374"/>
      <c r="E94" s="374"/>
      <c r="F94" s="374"/>
      <c r="G94" s="374"/>
      <c r="H94" s="374"/>
      <c r="I94" s="96"/>
      <c r="J94" s="96"/>
      <c r="K94" s="166"/>
      <c r="L94" s="166"/>
      <c r="M94" s="166"/>
      <c r="N94" s="166"/>
      <c r="O94" s="166"/>
      <c r="P94" s="166"/>
      <c r="Q94" s="166"/>
      <c r="R94" s="167"/>
      <c r="S94" s="159"/>
      <c r="T94" s="159"/>
      <c r="U94" s="166"/>
      <c r="V94" s="122"/>
      <c r="W94" s="139"/>
      <c r="X94" s="152"/>
      <c r="Y94" s="355" t="str">
        <f t="shared" si="36"/>
        <v>Torbay</v>
      </c>
      <c r="Z94" s="356" t="e">
        <f t="shared" si="37"/>
        <v>#N/A</v>
      </c>
      <c r="AA94" s="356" t="e">
        <f t="shared" si="38"/>
        <v>#N/A</v>
      </c>
      <c r="AB94" s="196"/>
      <c r="AC94" s="197"/>
      <c r="AD94" s="197"/>
      <c r="AE94" s="199"/>
      <c r="AF94" s="202"/>
      <c r="AG94" s="190"/>
      <c r="AH94" s="190"/>
      <c r="AI94" s="190"/>
      <c r="AJ94" s="202"/>
      <c r="AK94" s="160"/>
    </row>
    <row r="95" spans="1:45" s="87" customFormat="1" ht="12.75" customHeight="1" x14ac:dyDescent="0.2">
      <c r="A95" s="121"/>
      <c r="B95" s="374"/>
      <c r="C95" s="374"/>
      <c r="D95" s="374"/>
      <c r="E95" s="374"/>
      <c r="F95" s="374"/>
      <c r="G95" s="374"/>
      <c r="H95" s="374"/>
      <c r="I95" s="96"/>
      <c r="J95" s="96"/>
      <c r="K95" s="166"/>
      <c r="L95" s="166"/>
      <c r="M95" s="166"/>
      <c r="N95" s="166"/>
      <c r="O95" s="166"/>
      <c r="P95" s="166"/>
      <c r="Q95" s="166"/>
      <c r="R95" s="167"/>
      <c r="S95" s="159"/>
      <c r="T95" s="159"/>
      <c r="U95" s="166"/>
      <c r="V95" s="122"/>
      <c r="W95" s="139"/>
      <c r="X95" s="152"/>
      <c r="Y95" s="355" t="str">
        <f t="shared" si="36"/>
        <v>West Berkshire</v>
      </c>
      <c r="Z95" s="356" t="e">
        <f t="shared" si="37"/>
        <v>#N/A</v>
      </c>
      <c r="AA95" s="356" t="e">
        <f t="shared" si="38"/>
        <v>#N/A</v>
      </c>
      <c r="AB95" s="196"/>
      <c r="AC95" s="197"/>
      <c r="AD95" s="197"/>
      <c r="AE95" s="199"/>
      <c r="AF95" s="202"/>
      <c r="AG95" s="190"/>
      <c r="AH95" s="190"/>
      <c r="AI95" s="190"/>
      <c r="AJ95" s="202"/>
      <c r="AK95" s="160"/>
    </row>
    <row r="96" spans="1:45" s="87" customFormat="1" ht="12.75" customHeight="1" x14ac:dyDescent="0.2">
      <c r="A96" s="121"/>
      <c r="B96" s="374"/>
      <c r="C96" s="374"/>
      <c r="D96" s="374"/>
      <c r="E96" s="374"/>
      <c r="F96" s="374"/>
      <c r="G96" s="374"/>
      <c r="H96" s="374"/>
      <c r="I96" s="96"/>
      <c r="J96" s="96"/>
      <c r="K96" s="166"/>
      <c r="L96" s="166"/>
      <c r="M96" s="166"/>
      <c r="N96" s="166"/>
      <c r="O96" s="166"/>
      <c r="P96" s="166"/>
      <c r="Q96" s="166"/>
      <c r="R96" s="167"/>
      <c r="S96" s="159"/>
      <c r="T96" s="159"/>
      <c r="U96" s="166"/>
      <c r="V96" s="122"/>
      <c r="W96" s="139"/>
      <c r="X96" s="152"/>
      <c r="Y96" s="355" t="str">
        <f t="shared" si="36"/>
        <v>West Sussex</v>
      </c>
      <c r="Z96" s="356" t="e">
        <f t="shared" si="37"/>
        <v>#N/A</v>
      </c>
      <c r="AA96" s="356" t="e">
        <f t="shared" si="38"/>
        <v>#N/A</v>
      </c>
      <c r="AB96" s="196"/>
      <c r="AC96" s="197"/>
      <c r="AD96" s="197"/>
      <c r="AE96" s="199"/>
      <c r="AF96" s="202"/>
      <c r="AG96" s="202"/>
      <c r="AH96" s="202"/>
      <c r="AI96" s="190"/>
      <c r="AJ96" s="202"/>
      <c r="AK96" s="160"/>
    </row>
    <row r="97" spans="1:46" s="87" customFormat="1" ht="12.6" customHeight="1" x14ac:dyDescent="0.2">
      <c r="A97" s="121"/>
      <c r="B97" s="374"/>
      <c r="C97" s="374"/>
      <c r="D97" s="374"/>
      <c r="E97" s="374"/>
      <c r="F97" s="374"/>
      <c r="G97" s="374"/>
      <c r="H97" s="374"/>
      <c r="I97" s="96"/>
      <c r="J97" s="96"/>
      <c r="K97" s="166"/>
      <c r="L97" s="166"/>
      <c r="M97" s="166"/>
      <c r="N97" s="166"/>
      <c r="O97" s="166"/>
      <c r="P97" s="166"/>
      <c r="Q97" s="166"/>
      <c r="R97" s="167"/>
      <c r="S97" s="159"/>
      <c r="T97" s="159"/>
      <c r="U97" s="166"/>
      <c r="V97" s="122"/>
      <c r="W97" s="139"/>
      <c r="X97" s="152"/>
      <c r="Y97" s="355" t="str">
        <f t="shared" si="36"/>
        <v>Windsor &amp; Maidenhead</v>
      </c>
      <c r="Z97" s="356" t="e">
        <f t="shared" si="37"/>
        <v>#N/A</v>
      </c>
      <c r="AA97" s="356" t="e">
        <f t="shared" si="38"/>
        <v>#N/A</v>
      </c>
      <c r="AB97" s="196"/>
      <c r="AC97" s="197"/>
      <c r="AD97" s="197"/>
      <c r="AE97" s="199"/>
      <c r="AF97" s="202"/>
      <c r="AG97" s="202"/>
      <c r="AH97" s="202"/>
      <c r="AI97" s="190"/>
      <c r="AJ97" s="202"/>
      <c r="AK97" s="160"/>
    </row>
    <row r="98" spans="1:46" s="87" customFormat="1" ht="12.75" customHeight="1" x14ac:dyDescent="0.2">
      <c r="A98" s="121"/>
      <c r="B98" s="374"/>
      <c r="C98" s="374"/>
      <c r="D98" s="374"/>
      <c r="E98" s="374"/>
      <c r="F98" s="374"/>
      <c r="G98" s="374"/>
      <c r="H98" s="374"/>
      <c r="I98" s="96"/>
      <c r="J98" s="96"/>
      <c r="K98" s="168"/>
      <c r="L98" s="168"/>
      <c r="M98" s="168"/>
      <c r="N98" s="168"/>
      <c r="O98" s="168"/>
      <c r="P98" s="168"/>
      <c r="Q98" s="168"/>
      <c r="R98" s="169"/>
      <c r="S98" s="159"/>
      <c r="T98" s="159"/>
      <c r="U98" s="170"/>
      <c r="V98" s="122"/>
      <c r="W98" s="139"/>
      <c r="X98" s="152"/>
      <c r="Y98" s="355" t="str">
        <f t="shared" si="36"/>
        <v>Wokingham</v>
      </c>
      <c r="Z98" s="356" t="e">
        <f t="shared" si="37"/>
        <v>#N/A</v>
      </c>
      <c r="AA98" s="356" t="e">
        <f t="shared" si="38"/>
        <v>#N/A</v>
      </c>
      <c r="AB98" s="196"/>
      <c r="AC98" s="197"/>
      <c r="AD98" s="197"/>
      <c r="AE98" s="199"/>
      <c r="AF98" s="202"/>
      <c r="AG98" s="202"/>
      <c r="AH98" s="202"/>
      <c r="AI98" s="190"/>
      <c r="AJ98" s="202"/>
      <c r="AK98" s="160"/>
    </row>
    <row r="99" spans="1:46" s="87" customFormat="1" ht="12.6" customHeight="1" x14ac:dyDescent="0.2">
      <c r="A99" s="121"/>
      <c r="B99" s="374"/>
      <c r="C99" s="374"/>
      <c r="D99" s="374"/>
      <c r="E99" s="374"/>
      <c r="F99" s="374"/>
      <c r="G99" s="374"/>
      <c r="H99" s="374"/>
      <c r="I99" s="96"/>
      <c r="J99" s="96"/>
      <c r="K99" s="168"/>
      <c r="L99" s="168"/>
      <c r="M99" s="168"/>
      <c r="N99" s="168"/>
      <c r="O99" s="168"/>
      <c r="P99" s="168"/>
      <c r="Q99" s="168"/>
      <c r="R99" s="169"/>
      <c r="S99" s="159"/>
      <c r="T99" s="159"/>
      <c r="U99" s="170"/>
      <c r="V99" s="122"/>
      <c r="W99" s="139"/>
      <c r="X99" s="152"/>
      <c r="Y99" s="355" t="str">
        <f>B32</f>
        <v>South East</v>
      </c>
      <c r="Z99" s="356" t="e">
        <f t="shared" si="37"/>
        <v>#N/A</v>
      </c>
      <c r="AA99" s="356" t="e">
        <f t="shared" si="38"/>
        <v>#N/A</v>
      </c>
      <c r="AB99" s="196"/>
      <c r="AC99" s="197"/>
      <c r="AD99" s="197"/>
      <c r="AE99" s="199"/>
      <c r="AF99" s="202"/>
      <c r="AG99" s="202"/>
      <c r="AH99" s="202"/>
      <c r="AI99" s="190"/>
      <c r="AJ99" s="202"/>
      <c r="AK99" s="160"/>
    </row>
    <row r="100" spans="1:46" s="87" customFormat="1" ht="12" customHeight="1" x14ac:dyDescent="0.2">
      <c r="A100" s="292"/>
      <c r="B100" s="374"/>
      <c r="C100" s="374"/>
      <c r="D100" s="374"/>
      <c r="E100" s="374"/>
      <c r="F100" s="374"/>
      <c r="G100" s="374"/>
      <c r="H100" s="374"/>
      <c r="I100" s="96"/>
      <c r="J100" s="96"/>
      <c r="K100" s="168"/>
      <c r="L100" s="168"/>
      <c r="M100" s="168"/>
      <c r="N100" s="168"/>
      <c r="O100" s="168"/>
      <c r="P100" s="168"/>
      <c r="Q100" s="168"/>
      <c r="R100" s="169"/>
      <c r="S100" s="159"/>
      <c r="T100" s="159"/>
      <c r="U100" s="170"/>
      <c r="V100" s="122"/>
      <c r="W100" s="139"/>
      <c r="X100" s="152"/>
      <c r="Y100" s="355" t="str">
        <f>B33</f>
        <v>England</v>
      </c>
      <c r="Z100" s="356" t="e">
        <f t="shared" si="37"/>
        <v>#N/A</v>
      </c>
      <c r="AA100" s="356" t="e">
        <f t="shared" si="38"/>
        <v>#N/A</v>
      </c>
      <c r="AB100" s="196"/>
      <c r="AC100" s="197"/>
      <c r="AD100" s="197"/>
      <c r="AE100" s="199"/>
      <c r="AF100" s="202"/>
      <c r="AG100" s="202"/>
      <c r="AH100" s="202"/>
      <c r="AI100" s="190"/>
      <c r="AJ100" s="202"/>
      <c r="AK100" s="160"/>
    </row>
    <row r="101" spans="1:46" s="81" customFormat="1" ht="36" customHeight="1" x14ac:dyDescent="0.2">
      <c r="A101" s="217"/>
      <c r="B101" s="374"/>
      <c r="C101" s="374"/>
      <c r="D101" s="374"/>
      <c r="E101" s="374"/>
      <c r="F101" s="374"/>
      <c r="G101" s="374"/>
      <c r="H101" s="374"/>
      <c r="I101" s="380"/>
      <c r="J101" s="172"/>
      <c r="K101" s="172"/>
      <c r="L101" s="172"/>
      <c r="M101" s="172"/>
      <c r="N101" s="172"/>
      <c r="O101" s="172"/>
      <c r="P101" s="172"/>
      <c r="Q101" s="172"/>
      <c r="R101" s="136"/>
      <c r="S101" s="172"/>
      <c r="T101" s="172"/>
      <c r="U101" s="172"/>
      <c r="V101" s="117"/>
      <c r="W101" s="137"/>
      <c r="X101" s="150"/>
      <c r="AD101" s="197"/>
      <c r="AE101" s="199"/>
      <c r="AF101" s="184"/>
      <c r="AG101" s="184"/>
      <c r="AH101" s="184"/>
      <c r="AJ101" s="184"/>
      <c r="AK101" s="161"/>
    </row>
    <row r="102" spans="1:46" s="81" customFormat="1" ht="35.450000000000003" customHeight="1" x14ac:dyDescent="0.2">
      <c r="A102" s="217"/>
      <c r="B102" s="374"/>
      <c r="C102" s="374"/>
      <c r="D102" s="374"/>
      <c r="E102" s="374"/>
      <c r="F102" s="374"/>
      <c r="G102" s="374"/>
      <c r="H102" s="374"/>
      <c r="I102" s="380"/>
      <c r="J102" s="172"/>
      <c r="K102" s="172"/>
      <c r="L102" s="172"/>
      <c r="M102" s="172"/>
      <c r="N102" s="172"/>
      <c r="O102" s="172"/>
      <c r="P102" s="172"/>
      <c r="Q102" s="172"/>
      <c r="R102" s="136"/>
      <c r="S102" s="172"/>
      <c r="T102" s="172"/>
      <c r="U102" s="172"/>
      <c r="V102" s="117"/>
      <c r="W102" s="137"/>
      <c r="X102" s="150"/>
      <c r="Z102" s="190"/>
      <c r="AE102" s="199"/>
      <c r="AF102" s="184"/>
      <c r="AG102" s="184"/>
      <c r="AH102" s="184"/>
      <c r="AJ102" s="184"/>
      <c r="AK102" s="161"/>
    </row>
    <row r="103" spans="1:46" s="81" customFormat="1" ht="45.75" customHeight="1" x14ac:dyDescent="0.2">
      <c r="A103" s="217"/>
      <c r="B103" s="380"/>
      <c r="C103" s="380"/>
      <c r="D103" s="380"/>
      <c r="E103" s="380"/>
      <c r="F103" s="380"/>
      <c r="G103" s="380"/>
      <c r="H103" s="380"/>
      <c r="I103" s="380"/>
      <c r="J103" s="172"/>
      <c r="K103" s="172"/>
      <c r="L103" s="172"/>
      <c r="M103" s="172"/>
      <c r="N103" s="172"/>
      <c r="O103" s="172"/>
      <c r="P103" s="172"/>
      <c r="Q103" s="172"/>
      <c r="R103" s="136"/>
      <c r="S103" s="172"/>
      <c r="T103" s="172"/>
      <c r="U103" s="172"/>
      <c r="V103" s="117"/>
      <c r="W103" s="137"/>
      <c r="X103" s="150"/>
      <c r="Z103" s="190"/>
      <c r="AE103" s="199"/>
      <c r="AF103" s="184"/>
      <c r="AG103" s="184"/>
      <c r="AH103" s="184"/>
      <c r="AJ103" s="184"/>
      <c r="AK103" s="161"/>
    </row>
    <row r="104" spans="1:46" s="81" customFormat="1" ht="7.5" customHeight="1" x14ac:dyDescent="0.2">
      <c r="A104" s="118"/>
      <c r="B104" s="17"/>
      <c r="C104" s="17"/>
      <c r="D104" s="16"/>
      <c r="E104" s="16"/>
      <c r="F104" s="16"/>
      <c r="G104" s="16"/>
      <c r="H104" s="16"/>
      <c r="I104" s="16"/>
      <c r="J104" s="12"/>
      <c r="K104" s="18"/>
      <c r="L104" s="18"/>
      <c r="M104" s="18"/>
      <c r="N104" s="18"/>
      <c r="O104" s="18"/>
      <c r="P104" s="18"/>
      <c r="Q104" s="18"/>
      <c r="R104" s="18"/>
      <c r="S104" s="18"/>
      <c r="T104" s="18"/>
      <c r="U104" s="19"/>
      <c r="V104" s="117"/>
      <c r="W104" s="137"/>
      <c r="X104" s="150"/>
      <c r="Z104" s="190"/>
      <c r="AJ104" s="184"/>
      <c r="AK104" s="157"/>
      <c r="AL104" s="74"/>
      <c r="AM104" s="74"/>
      <c r="AN104" s="74"/>
      <c r="AO104" s="74"/>
      <c r="AP104" s="74"/>
      <c r="AQ104" s="74"/>
      <c r="AR104" s="74"/>
    </row>
    <row r="105" spans="1:46" s="81" customFormat="1" ht="15" customHeight="1" x14ac:dyDescent="0.2">
      <c r="A105" s="1716"/>
      <c r="B105" s="1760"/>
      <c r="C105" s="1760"/>
      <c r="D105" s="1760"/>
      <c r="E105" s="1760"/>
      <c r="F105" s="1760"/>
      <c r="G105" s="1760"/>
      <c r="H105" s="1760"/>
      <c r="I105" s="1760"/>
      <c r="J105" s="1760"/>
      <c r="K105" s="1760"/>
      <c r="L105" s="1760"/>
      <c r="M105" s="1760"/>
      <c r="N105" s="1760"/>
      <c r="O105" s="1760"/>
      <c r="P105" s="1760"/>
      <c r="Q105" s="1760"/>
      <c r="R105" s="1760"/>
      <c r="S105" s="1760"/>
      <c r="T105" s="1760"/>
      <c r="U105" s="1760"/>
      <c r="V105" s="1761"/>
      <c r="W105" s="137"/>
      <c r="X105" s="150"/>
      <c r="Y105" s="188"/>
      <c r="Z105" s="188"/>
      <c r="AK105" s="161"/>
      <c r="AT105" s="74"/>
    </row>
    <row r="106" spans="1:46" s="81" customFormat="1" ht="11.1" customHeight="1" x14ac:dyDescent="0.2">
      <c r="A106" s="1765" t="str">
        <f>Home!$A$39</f>
        <v xml:space="preserve"> </v>
      </c>
      <c r="B106" s="1766"/>
      <c r="C106" s="1766"/>
      <c r="D106" s="1766"/>
      <c r="E106" s="1766"/>
      <c r="F106" s="1766"/>
      <c r="G106" s="1766"/>
      <c r="H106" s="1766"/>
      <c r="I106" s="1767"/>
      <c r="J106" s="1766"/>
      <c r="K106" s="1766"/>
      <c r="L106" s="1766"/>
      <c r="M106" s="1766"/>
      <c r="N106" s="1766"/>
      <c r="O106" s="1766"/>
      <c r="P106" s="1768"/>
      <c r="Q106" s="1766"/>
      <c r="R106" s="1766"/>
      <c r="S106" s="1766"/>
      <c r="T106" s="1767"/>
      <c r="U106" s="1766"/>
      <c r="V106" s="1769"/>
      <c r="W106" s="137"/>
      <c r="X106" s="150"/>
      <c r="Y106" s="188"/>
      <c r="Z106" s="188"/>
      <c r="AJ106" s="184"/>
      <c r="AK106" s="160"/>
      <c r="AL106" s="87"/>
      <c r="AT106" s="74"/>
    </row>
    <row r="107" spans="1:46" ht="11.25" customHeight="1" x14ac:dyDescent="0.2">
      <c r="A107" s="112"/>
      <c r="B107" s="113"/>
      <c r="C107" s="113"/>
      <c r="D107" s="113"/>
      <c r="E107" s="113"/>
      <c r="F107" s="113"/>
      <c r="G107" s="113"/>
      <c r="H107" s="113"/>
      <c r="I107" s="113"/>
      <c r="J107" s="114"/>
      <c r="K107" s="113"/>
      <c r="L107" s="113"/>
      <c r="M107" s="113"/>
      <c r="N107" s="113"/>
      <c r="O107" s="113"/>
      <c r="P107" s="113"/>
      <c r="Q107" s="113"/>
      <c r="R107" s="113"/>
      <c r="S107" s="113"/>
      <c r="T107" s="113"/>
      <c r="U107" s="113"/>
      <c r="V107" s="115"/>
      <c r="W107" s="137"/>
      <c r="X107" s="150"/>
      <c r="Y107" s="188"/>
      <c r="Z107" s="188"/>
      <c r="AJ107" s="184"/>
      <c r="AK107" s="157"/>
    </row>
    <row r="108" spans="1:46" s="76" customFormat="1" ht="15" customHeight="1" x14ac:dyDescent="0.2">
      <c r="A108" s="119"/>
      <c r="B108" s="1770" t="str">
        <f>"Children Looked After"&amp; Z1 &amp;" (aged &lt;16) who had been looked after for more than 2.5 years (%)"</f>
        <v>Children Looked After at 31st March (aged &lt;16) who had been looked after for more than 2.5 years (%)</v>
      </c>
      <c r="C108" s="1770"/>
      <c r="D108" s="1770"/>
      <c r="E108" s="1770"/>
      <c r="F108" s="1770"/>
      <c r="G108" s="1770"/>
      <c r="H108" s="1770"/>
      <c r="I108" s="1770"/>
      <c r="J108" s="70"/>
      <c r="K108" s="70"/>
      <c r="L108" s="70"/>
      <c r="M108" s="70"/>
      <c r="N108" s="373"/>
      <c r="O108" s="70"/>
      <c r="P108" s="70"/>
      <c r="Q108" s="70"/>
      <c r="R108" s="70"/>
      <c r="S108" s="70"/>
      <c r="T108" s="70"/>
      <c r="U108" s="70"/>
      <c r="V108" s="120"/>
      <c r="W108" s="138"/>
      <c r="X108" s="151"/>
      <c r="Y108" s="609" t="s">
        <v>150</v>
      </c>
      <c r="Z108" s="609"/>
      <c r="AA108" s="609"/>
      <c r="AB108" s="609"/>
      <c r="AC108" s="609"/>
      <c r="AD108" s="609"/>
      <c r="AE108" s="596"/>
      <c r="AF108" s="610" t="s">
        <v>151</v>
      </c>
      <c r="AG108" s="611"/>
      <c r="AH108" s="596"/>
      <c r="AI108" s="383"/>
      <c r="AJ108" s="596"/>
      <c r="AK108" s="158"/>
    </row>
    <row r="109" spans="1:46" ht="15" customHeight="1" thickBot="1" x14ac:dyDescent="0.25">
      <c r="A109" s="118"/>
      <c r="B109" s="1770"/>
      <c r="C109" s="1770"/>
      <c r="D109" s="1770"/>
      <c r="E109" s="1770"/>
      <c r="F109" s="1770"/>
      <c r="G109" s="1770"/>
      <c r="H109" s="1770"/>
      <c r="I109" s="1770"/>
      <c r="J109" s="70"/>
      <c r="K109" s="70"/>
      <c r="L109" s="70"/>
      <c r="M109" s="70"/>
      <c r="N109" s="373"/>
      <c r="O109" s="70"/>
      <c r="P109" s="70"/>
      <c r="Q109" s="70"/>
      <c r="R109" s="10"/>
      <c r="S109" s="70"/>
      <c r="T109" s="70"/>
      <c r="U109" s="70"/>
      <c r="V109" s="117"/>
      <c r="W109" s="137"/>
      <c r="X109" s="150"/>
      <c r="Y109" s="383"/>
      <c r="Z109" s="382"/>
      <c r="AA109" s="383"/>
      <c r="AB109" s="383"/>
      <c r="AC109" s="383"/>
      <c r="AD109" s="596"/>
      <c r="AE109" s="383"/>
      <c r="AF109" s="382"/>
      <c r="AG109" s="383"/>
      <c r="AH109" s="383"/>
      <c r="AI109" s="383"/>
      <c r="AJ109" s="596"/>
      <c r="AK109" s="157"/>
    </row>
    <row r="110" spans="1:46" ht="13.5" customHeight="1" x14ac:dyDescent="0.2">
      <c r="A110" s="278"/>
      <c r="B110" s="1771" t="s">
        <v>205</v>
      </c>
      <c r="C110" s="921"/>
      <c r="D110" s="789" t="str">
        <f>Sheet1!$D$27</f>
        <v>2015-16</v>
      </c>
      <c r="E110" s="790" t="str">
        <f>Sheet1!$E$27</f>
        <v>2016-17</v>
      </c>
      <c r="F110" s="790" t="str">
        <f>Sheet1!$F$27</f>
        <v>2017-18</v>
      </c>
      <c r="G110" s="790" t="str">
        <f>Sheet1!$G$27</f>
        <v>2018-19</v>
      </c>
      <c r="H110" s="791" t="str">
        <f>Sheet1!$H$27</f>
        <v>2019-20</v>
      </c>
      <c r="I110" s="921"/>
      <c r="J110" s="70"/>
      <c r="K110" s="70"/>
      <c r="L110" s="70"/>
      <c r="M110" s="70"/>
      <c r="N110" s="918"/>
      <c r="O110" s="70"/>
      <c r="P110" s="70"/>
      <c r="Q110" s="70"/>
      <c r="R110" s="10"/>
      <c r="S110" s="70"/>
      <c r="T110" s="70"/>
      <c r="U110" s="70"/>
      <c r="V110" s="117"/>
      <c r="W110" s="137"/>
      <c r="X110" s="150"/>
      <c r="Y110" s="383"/>
      <c r="Z110" s="800" t="str">
        <f>IF(Sheet1!$C$3="Annual","",Sheet1!$D$28)</f>
        <v/>
      </c>
      <c r="AA110" s="801" t="str">
        <f>IF(Sheet1!$C$3="Annual","",Sheet1!$E$28)</f>
        <v/>
      </c>
      <c r="AB110" s="801" t="str">
        <f>IF(Sheet1!$C$3="Annual","",Sheet1!$F$28)</f>
        <v/>
      </c>
      <c r="AC110" s="801" t="str">
        <f>IF(Sheet1!$C$3="Annual","",Sheet1!$G$28)</f>
        <v/>
      </c>
      <c r="AD110" s="802" t="str">
        <f>IF(Sheet1!$C$3="Annual","",Sheet1!$H$28)</f>
        <v/>
      </c>
      <c r="AE110" s="383"/>
      <c r="AF110" s="800" t="str">
        <f>IF(Sheet1!$C$3="Annual","",Sheet1!$D$28)</f>
        <v/>
      </c>
      <c r="AG110" s="801" t="str">
        <f>IF(Sheet1!$C$3="Annual","",Sheet1!$E$28)</f>
        <v/>
      </c>
      <c r="AH110" s="801" t="str">
        <f>IF(Sheet1!$C$3="Annual","",Sheet1!$F$28)</f>
        <v/>
      </c>
      <c r="AI110" s="801" t="str">
        <f>IF(Sheet1!$C$3="Annual","",Sheet1!$G$28)</f>
        <v/>
      </c>
      <c r="AJ110" s="802" t="str">
        <f>IF(Sheet1!$C$3="Annual","",Sheet1!$H$28)</f>
        <v/>
      </c>
      <c r="AK110" s="157"/>
    </row>
    <row r="111" spans="1:46" s="87" customFormat="1" ht="13.5" customHeight="1" thickBot="1" x14ac:dyDescent="0.25">
      <c r="A111" s="121"/>
      <c r="B111" s="1772"/>
      <c r="C111" s="85"/>
      <c r="D111" s="792" t="e">
        <f>Sheet1!$D$28</f>
        <v>#N/A</v>
      </c>
      <c r="E111" s="792" t="e">
        <f>Sheet1!$E$28</f>
        <v>#N/A</v>
      </c>
      <c r="F111" s="792" t="e">
        <f>Sheet1!$F$28</f>
        <v>#N/A</v>
      </c>
      <c r="G111" s="792" t="e">
        <f>Sheet1!$G$28</f>
        <v>#N/A</v>
      </c>
      <c r="H111" s="793" t="e">
        <f>Sheet1!$H$28</f>
        <v>#N/A</v>
      </c>
      <c r="I111" s="96"/>
      <c r="J111" s="96"/>
      <c r="K111" s="61"/>
      <c r="L111" s="61"/>
      <c r="M111" s="61"/>
      <c r="N111" s="61"/>
      <c r="O111" s="61"/>
      <c r="P111" s="61"/>
      <c r="Q111" s="379"/>
      <c r="R111" s="379"/>
      <c r="S111" s="159"/>
      <c r="T111" s="159"/>
      <c r="U111" s="378"/>
      <c r="V111" s="122"/>
      <c r="W111" s="139"/>
      <c r="X111" s="152"/>
      <c r="Y111" s="577"/>
      <c r="Z111" s="803" t="str">
        <f>Sheet1!$D$27</f>
        <v>2015-16</v>
      </c>
      <c r="AA111" s="804" t="str">
        <f>Sheet1!$E$27</f>
        <v>2016-17</v>
      </c>
      <c r="AB111" s="804" t="str">
        <f>Sheet1!$F$27</f>
        <v>2017-18</v>
      </c>
      <c r="AC111" s="804" t="str">
        <f>Sheet1!$G$27</f>
        <v>2018-19</v>
      </c>
      <c r="AD111" s="805" t="str">
        <f>Sheet1!$H$27</f>
        <v>2019-20</v>
      </c>
      <c r="AE111" s="384"/>
      <c r="AF111" s="803" t="str">
        <f>Sheet1!$D$27</f>
        <v>2015-16</v>
      </c>
      <c r="AG111" s="804" t="str">
        <f>Sheet1!$E$27</f>
        <v>2016-17</v>
      </c>
      <c r="AH111" s="804" t="str">
        <f>Sheet1!$F$27</f>
        <v>2017-18</v>
      </c>
      <c r="AI111" s="804" t="str">
        <f>Sheet1!$G$27</f>
        <v>2018-19</v>
      </c>
      <c r="AJ111" s="805" t="str">
        <f>Sheet1!$H$27</f>
        <v>2019-20</v>
      </c>
      <c r="AK111" s="160"/>
    </row>
    <row r="112" spans="1:46" s="87" customFormat="1" ht="12.75" customHeight="1" x14ac:dyDescent="0.2">
      <c r="A112" s="488">
        <f>VLOOKUP(B112,Sheet1!$AQ$4:$AR$25,2,FALSE)</f>
        <v>0</v>
      </c>
      <c r="B112" s="93" t="str">
        <f t="shared" ref="B112:B135" si="39">B10</f>
        <v>Bracknell Forest</v>
      </c>
      <c r="C112" s="85"/>
      <c r="D112" s="162">
        <f>IF(AND(ISNUMBER(AF112),ISNUMBER(Z112)),AF112/Z112,NA())</f>
        <v>0.41666666666666669</v>
      </c>
      <c r="E112" s="162">
        <f t="shared" ref="E112:H112" si="40">IF(AND(ISNUMBER(AG112),ISNUMBER(AA112)),AG112/AA112,NA())</f>
        <v>0.42168674698795183</v>
      </c>
      <c r="F112" s="162">
        <f t="shared" si="40"/>
        <v>0.24271844660194175</v>
      </c>
      <c r="G112" s="162">
        <f t="shared" si="40"/>
        <v>0.31632653061224492</v>
      </c>
      <c r="H112" s="164">
        <f t="shared" si="40"/>
        <v>0.40594059405940597</v>
      </c>
      <c r="I112" s="96"/>
      <c r="J112" s="96"/>
      <c r="K112" s="166"/>
      <c r="L112" s="166"/>
      <c r="M112" s="166"/>
      <c r="N112" s="166"/>
      <c r="O112" s="166"/>
      <c r="P112" s="166"/>
      <c r="Q112" s="166"/>
      <c r="R112" s="167"/>
      <c r="S112" s="159"/>
      <c r="T112" s="159"/>
      <c r="U112" s="166"/>
      <c r="V112" s="122"/>
      <c r="W112" s="139"/>
      <c r="X112" s="152"/>
      <c r="Y112" s="577" t="str">
        <f>B112</f>
        <v>Bracknell Forest</v>
      </c>
      <c r="Z112" s="581">
        <f>IF(Year1_Bracknell_Forest Year1_LAC_under16="","",Year1_Bracknell_Forest Year1_LAC_under16)</f>
        <v>60</v>
      </c>
      <c r="AA112" s="372">
        <f>IF(Year2_Bracknell_Forest Year2_LAC_under16="","",Year2_Bracknell_Forest Year2_LAC_under16)</f>
        <v>83</v>
      </c>
      <c r="AB112" s="372">
        <f>IF(Year3_Bracknell_Forest Year3_LAC_under16="","",Year3_Bracknell_Forest Year3_LAC_under16)</f>
        <v>103</v>
      </c>
      <c r="AC112" s="372">
        <f>IF(Year4_Bracknell_Forest Year4_LAC_under16="","",Year4_Bracknell_Forest Year4_LAC_under16)</f>
        <v>98</v>
      </c>
      <c r="AD112" s="577">
        <f>IF(Year5_Bracknell_Forest Year5_LAC_under16="","",Year5_Bracknell_Forest Year5_LAC_under16)</f>
        <v>101</v>
      </c>
      <c r="AE112" s="384" t="str">
        <f>Y112</f>
        <v>Bracknell Forest</v>
      </c>
      <c r="AF112" s="489">
        <f>IF(Year1_Bracknell_Forest Year1_LAC_under16_2.5years="","",Year1_Bracknell_Forest Year1_LAC_under16_2.5years)</f>
        <v>25</v>
      </c>
      <c r="AG112" s="372">
        <f>IF(Year2_Bracknell_Forest Year2_LAC_under16_2.5years="","",Year2_Bracknell_Forest Year2_LAC_under16_2.5years)</f>
        <v>35</v>
      </c>
      <c r="AH112" s="372">
        <f>IF(Year3_Bracknell_Forest Year3_LAC_under16_2.5years="","",Year3_Bracknell_Forest Year3_LAC_under16_2.5years)</f>
        <v>25</v>
      </c>
      <c r="AI112" s="372">
        <f>IF(Year4_Bracknell_Forest Year4_LAC_under16_2.5years="","",Year4_Bracknell_Forest Year4_LAC_under16_2.5years)</f>
        <v>31</v>
      </c>
      <c r="AJ112" s="372">
        <f>IF(Year5_Bracknell_Forest Year5_LAC_under16_2.5years="","",Year5_Bracknell_Forest Year5_LAC_under16_2.5years)</f>
        <v>41</v>
      </c>
      <c r="AK112" s="160"/>
    </row>
    <row r="113" spans="1:45" s="87" customFormat="1" ht="12.75" customHeight="1" x14ac:dyDescent="0.2">
      <c r="A113" s="488">
        <f>VLOOKUP(B113,Sheet1!$AQ$4:$AR$25,2,FALSE)</f>
        <v>0</v>
      </c>
      <c r="B113" s="93" t="str">
        <f t="shared" si="39"/>
        <v>Brighton &amp; Hove</v>
      </c>
      <c r="C113" s="85"/>
      <c r="D113" s="162">
        <f t="shared" ref="D113:D135" si="41">IF(AND(ISNUMBER(AF113),ISNUMBER(Z113)),AF113/Z113,NA())</f>
        <v>0.4375</v>
      </c>
      <c r="E113" s="162">
        <f t="shared" ref="E113:E135" si="42">IF(AND(ISNUMBER(AG113),ISNUMBER(AA113)),AG113/AA113,NA())</f>
        <v>0.40123456790123457</v>
      </c>
      <c r="F113" s="162">
        <f t="shared" ref="F113:F135" si="43">IF(AND(ISNUMBER(AH113),ISNUMBER(AB113)),AH113/AB113,NA())</f>
        <v>0.40531561461794019</v>
      </c>
      <c r="G113" s="162">
        <f t="shared" ref="G113:G135" si="44">IF(AND(ISNUMBER(AI113),ISNUMBER(AC113)),AI113/AC113,NA())</f>
        <v>0.41851851851851851</v>
      </c>
      <c r="H113" s="164">
        <f t="shared" ref="H113:H135" si="45">IF(AND(ISNUMBER(AJ113),ISNUMBER(AD113)),AJ113/AD113,NA())</f>
        <v>0.44736842105263158</v>
      </c>
      <c r="I113" s="96"/>
      <c r="J113" s="96"/>
      <c r="K113" s="166"/>
      <c r="L113" s="166"/>
      <c r="M113" s="166"/>
      <c r="N113" s="166"/>
      <c r="O113" s="166"/>
      <c r="P113" s="166"/>
      <c r="Q113" s="166"/>
      <c r="R113" s="167"/>
      <c r="S113" s="159"/>
      <c r="T113" s="159"/>
      <c r="U113" s="166"/>
      <c r="V113" s="122"/>
      <c r="W113" s="139"/>
      <c r="X113" s="152"/>
      <c r="Y113" s="577" t="str">
        <f t="shared" ref="Y113:Y135" si="46">B113</f>
        <v>Brighton &amp; Hove</v>
      </c>
      <c r="Z113" s="581">
        <f>IF(Year1_Brighton_Hove Year1_LAC_under16="","",Year1_Brighton_Hove Year1_LAC_under16)</f>
        <v>320</v>
      </c>
      <c r="AA113" s="372">
        <f>IF(Year2_Brighton_Hove Year2_LAC_under16="","",Year2_Brighton_Hove Year2_LAC_under16)</f>
        <v>324</v>
      </c>
      <c r="AB113" s="372">
        <f>IF(Year3_Brighton_Hove Year3_LAC_under16="","",Year3_Brighton_Hove Year3_LAC_under16)</f>
        <v>301</v>
      </c>
      <c r="AC113" s="372">
        <f>IF(Year4_Brighton_Hove Year4_LAC_under16="","",Year4_Brighton_Hove Year4_LAC_under16)</f>
        <v>270</v>
      </c>
      <c r="AD113" s="577">
        <f>IF(Year5_Brighton_Hove Year5_LAC_under16="","",Year5_Brighton_Hove Year5_LAC_under16)</f>
        <v>266</v>
      </c>
      <c r="AE113" s="384" t="str">
        <f t="shared" ref="AE113:AE135" si="47">Y113</f>
        <v>Brighton &amp; Hove</v>
      </c>
      <c r="AF113" s="489">
        <f>IF(Year1_Brighton_Hove Year1_LAC_under16_2.5years="","",Year1_Brighton_Hove Year1_LAC_under16_2.5years)</f>
        <v>140</v>
      </c>
      <c r="AG113" s="372">
        <f>IF(Year2_Brighton_Hove Year2_LAC_under16_2.5years="","",Year2_Brighton_Hove Year2_LAC_under16_2.5years)</f>
        <v>130</v>
      </c>
      <c r="AH113" s="372">
        <f>IF(Year3_Brighton_Hove Year3_LAC_under16_2.5years="","",Year3_Brighton_Hove Year3_LAC_under16_2.5years)</f>
        <v>122</v>
      </c>
      <c r="AI113" s="372">
        <f>IF(Year4_Brighton_Hove Year4_LAC_under16_2.5years="","",Year4_Brighton_Hove Year4_LAC_under16_2.5years)</f>
        <v>113</v>
      </c>
      <c r="AJ113" s="372">
        <f>IF(Year5_Brighton_Hove Year5_LAC_under16_2.5years="","",Year5_Brighton_Hove Year5_LAC_under16_2.5years)</f>
        <v>119</v>
      </c>
      <c r="AK113" s="160"/>
    </row>
    <row r="114" spans="1:45" s="87" customFormat="1" ht="12.75" customHeight="1" x14ac:dyDescent="0.2">
      <c r="A114" s="488">
        <f>VLOOKUP(B114,Sheet1!$AQ$4:$AR$25,2,FALSE)</f>
        <v>0</v>
      </c>
      <c r="B114" s="93" t="str">
        <f t="shared" si="39"/>
        <v>Buckinghamshire</v>
      </c>
      <c r="C114" s="85"/>
      <c r="D114" s="162">
        <f t="shared" si="41"/>
        <v>0.42253521126760563</v>
      </c>
      <c r="E114" s="162">
        <f t="shared" si="42"/>
        <v>0.39660056657223797</v>
      </c>
      <c r="F114" s="162">
        <f t="shared" si="43"/>
        <v>0.39943342776203966</v>
      </c>
      <c r="G114" s="162">
        <f t="shared" si="44"/>
        <v>0.45263157894736844</v>
      </c>
      <c r="H114" s="164">
        <f t="shared" si="45"/>
        <v>0.47457627118644069</v>
      </c>
      <c r="I114" s="96"/>
      <c r="J114" s="96"/>
      <c r="K114" s="166"/>
      <c r="L114" s="166"/>
      <c r="M114" s="166"/>
      <c r="N114" s="166"/>
      <c r="O114" s="166"/>
      <c r="P114" s="166"/>
      <c r="Q114" s="166"/>
      <c r="R114" s="167"/>
      <c r="S114" s="159"/>
      <c r="T114" s="159"/>
      <c r="U114" s="166"/>
      <c r="V114" s="122"/>
      <c r="W114" s="139"/>
      <c r="X114" s="152"/>
      <c r="Y114" s="577" t="str">
        <f t="shared" si="46"/>
        <v>Buckinghamshire</v>
      </c>
      <c r="Z114" s="581">
        <f>IF(Year1_Buckinghamshire Year1_LAC_under16="","",Year1_Buckinghamshire Year1_LAC_under16)</f>
        <v>355</v>
      </c>
      <c r="AA114" s="372">
        <f>IF(Year2_Buckinghamshire Year2_LAC_under16="","",Year2_Buckinghamshire Year2_LAC_under16)</f>
        <v>353</v>
      </c>
      <c r="AB114" s="372">
        <f>IF(Year3_Buckinghamshire Year3_LAC_under16="","",Year3_Buckinghamshire Year3_LAC_under16)</f>
        <v>353</v>
      </c>
      <c r="AC114" s="372">
        <f>IF(Year4_Buckinghamshire Year4_LAC_under16="","",Year4_Buckinghamshire Year4_LAC_under16)</f>
        <v>380</v>
      </c>
      <c r="AD114" s="577">
        <f>IF(Year5_Buckinghamshire Year5_LAC_under16="","",Year5_Buckinghamshire Year5_LAC_under16)</f>
        <v>354</v>
      </c>
      <c r="AE114" s="384" t="str">
        <f t="shared" si="47"/>
        <v>Buckinghamshire</v>
      </c>
      <c r="AF114" s="489">
        <f>IF(Year1_Buckinghamshire Year1_LAC_under16_2.5years="","",Year1_Buckinghamshire Year1_LAC_under16_2.5years)</f>
        <v>150</v>
      </c>
      <c r="AG114" s="372">
        <f>IF(Year2_Buckinghamshire Year2_LAC_under16_2.5years="","",Year2_Buckinghamshire Year2_LAC_under16_2.5years)</f>
        <v>140</v>
      </c>
      <c r="AH114" s="372">
        <f>IF(Year3_Buckinghamshire Year3_LAC_under16_2.5years="","",Year3_Buckinghamshire Year3_LAC_under16_2.5years)</f>
        <v>141</v>
      </c>
      <c r="AI114" s="372">
        <f>IF(Year4_Buckinghamshire Year4_LAC_under16_2.5years="","",Year4_Buckinghamshire Year4_LAC_under16_2.5years)</f>
        <v>172</v>
      </c>
      <c r="AJ114" s="372">
        <f>IF(Year5_Buckinghamshire Year5_LAC_under16_2.5years="","",Year5_Buckinghamshire Year5_LAC_under16_2.5years)</f>
        <v>168</v>
      </c>
      <c r="AK114" s="160"/>
    </row>
    <row r="115" spans="1:45" s="87" customFormat="1" ht="12.75" customHeight="1" x14ac:dyDescent="0.2">
      <c r="A115" s="488">
        <f>VLOOKUP(B115,Sheet1!$AQ$4:$AR$25,2,FALSE)</f>
        <v>0</v>
      </c>
      <c r="B115" s="93" t="str">
        <f t="shared" si="39"/>
        <v>East Sussex</v>
      </c>
      <c r="C115" s="85"/>
      <c r="D115" s="162">
        <f t="shared" si="41"/>
        <v>0.53333333333333333</v>
      </c>
      <c r="E115" s="162">
        <f t="shared" si="42"/>
        <v>0.51044083526682138</v>
      </c>
      <c r="F115" s="162">
        <f t="shared" si="43"/>
        <v>0.44420600858369097</v>
      </c>
      <c r="G115" s="162">
        <f t="shared" si="44"/>
        <v>0.45945945945945948</v>
      </c>
      <c r="H115" s="164">
        <f t="shared" si="45"/>
        <v>0.51731601731601728</v>
      </c>
      <c r="I115" s="96"/>
      <c r="J115" s="96"/>
      <c r="K115" s="166"/>
      <c r="L115" s="166"/>
      <c r="M115" s="166"/>
      <c r="N115" s="166"/>
      <c r="O115" s="166"/>
      <c r="P115" s="166"/>
      <c r="Q115" s="166"/>
      <c r="R115" s="167"/>
      <c r="S115" s="159"/>
      <c r="T115" s="159"/>
      <c r="U115" s="166"/>
      <c r="V115" s="122"/>
      <c r="W115" s="139"/>
      <c r="X115" s="152"/>
      <c r="Y115" s="577" t="str">
        <f t="shared" si="46"/>
        <v>East Sussex</v>
      </c>
      <c r="Z115" s="581">
        <f>IF(Year1_East_Sussex Year1_LAC_under16="","",Year1_East_Sussex Year1_LAC_under16)</f>
        <v>450</v>
      </c>
      <c r="AA115" s="372">
        <f>IF(Year2_East_Sussex Year2_LAC_under16="","",Year2_East_Sussex Year2_LAC_under16)</f>
        <v>431</v>
      </c>
      <c r="AB115" s="372">
        <f>IF(Year3_East_Sussex Year3_LAC_under16="","",Year3_East_Sussex Year3_LAC_under16)</f>
        <v>466</v>
      </c>
      <c r="AC115" s="372">
        <f>IF(Year4_East_Sussex Year4_LAC_under16="","",Year4_East_Sussex Year4_LAC_under16)</f>
        <v>481</v>
      </c>
      <c r="AD115" s="577">
        <f>IF(Year5_East_Sussex Year5_LAC_under16="","",Year5_East_Sussex Year5_LAC_under16)</f>
        <v>462</v>
      </c>
      <c r="AE115" s="384" t="str">
        <f t="shared" si="47"/>
        <v>East Sussex</v>
      </c>
      <c r="AF115" s="489">
        <f>IF(Year1_East_Sussex Year1_LAC_under16_2.5years="","",Year1_East_Sussex Year1_LAC_under16_2.5years)</f>
        <v>240</v>
      </c>
      <c r="AG115" s="372">
        <f>IF(Year2_East_Sussex Year2_LAC_under16_2.5years="","",Year2_East_Sussex Year2_LAC_under16_2.5years)</f>
        <v>220</v>
      </c>
      <c r="AH115" s="372">
        <f>IF(Year3_East_Sussex Year3_LAC_under16_2.5years="","",Year3_East_Sussex Year3_LAC_under16_2.5years)</f>
        <v>207</v>
      </c>
      <c r="AI115" s="372">
        <f>IF(Year4_East_Sussex Year4_LAC_under16_2.5years="","",Year4_East_Sussex Year4_LAC_under16_2.5years)</f>
        <v>221</v>
      </c>
      <c r="AJ115" s="372">
        <f>IF(Year5_East_Sussex Year5_LAC_under16_2.5years="","",Year5_East_Sussex Year5_LAC_under16_2.5years)</f>
        <v>239</v>
      </c>
      <c r="AK115" s="160"/>
    </row>
    <row r="116" spans="1:45" s="87" customFormat="1" ht="12.75" customHeight="1" x14ac:dyDescent="0.2">
      <c r="A116" s="488">
        <f>VLOOKUP(B116,Sheet1!$AQ$4:$AR$25,2,FALSE)</f>
        <v>0</v>
      </c>
      <c r="B116" s="93" t="str">
        <f t="shared" si="39"/>
        <v>Hampshire</v>
      </c>
      <c r="C116" s="85"/>
      <c r="D116" s="162">
        <f t="shared" si="41"/>
        <v>0.40191387559808611</v>
      </c>
      <c r="E116" s="162">
        <f t="shared" si="42"/>
        <v>0.4144851657940663</v>
      </c>
      <c r="F116" s="162">
        <f t="shared" si="43"/>
        <v>0.4095315024232633</v>
      </c>
      <c r="G116" s="162">
        <f t="shared" si="44"/>
        <v>0.42101105845181674</v>
      </c>
      <c r="H116" s="164">
        <f t="shared" si="45"/>
        <v>0.47941888619854722</v>
      </c>
      <c r="I116" s="96"/>
      <c r="J116" s="96"/>
      <c r="K116" s="166"/>
      <c r="L116" s="166"/>
      <c r="M116" s="166"/>
      <c r="N116" s="166"/>
      <c r="O116" s="166"/>
      <c r="P116" s="166"/>
      <c r="Q116" s="166"/>
      <c r="R116" s="167"/>
      <c r="S116" s="159"/>
      <c r="T116" s="159"/>
      <c r="U116" s="166"/>
      <c r="V116" s="122"/>
      <c r="W116" s="139"/>
      <c r="X116" s="152"/>
      <c r="Y116" s="577" t="str">
        <f t="shared" si="46"/>
        <v>Hampshire</v>
      </c>
      <c r="Z116" s="581">
        <f>IF(Year1_Hampshire Year1_LAC_under16="","",Year1_Hampshire Year1_LAC_under16)</f>
        <v>1045</v>
      </c>
      <c r="AA116" s="372">
        <f>IF(Year2_Hampshire Year2_LAC_under16="","",Year2_Hampshire Year2_LAC_under16)</f>
        <v>1146</v>
      </c>
      <c r="AB116" s="372">
        <f>IF(Year3_Hampshire Year3_LAC_under16="","",Year3_Hampshire Year3_LAC_under16)</f>
        <v>1238</v>
      </c>
      <c r="AC116" s="372">
        <f>IF(Year4_Hampshire Year4_LAC_under16="","",Year4_Hampshire Year4_LAC_under16)</f>
        <v>1266</v>
      </c>
      <c r="AD116" s="577">
        <f>IF(Year5_Hampshire Year5_LAC_under16="","",Year5_Hampshire Year5_LAC_under16)</f>
        <v>1239</v>
      </c>
      <c r="AE116" s="384" t="str">
        <f t="shared" si="47"/>
        <v>Hampshire</v>
      </c>
      <c r="AF116" s="489">
        <f>IF(Year1_Hampshire Year1_LAC_under16_2.5years="","",Year1_Hampshire Year1_LAC_under16_2.5years)</f>
        <v>420</v>
      </c>
      <c r="AG116" s="372">
        <f>IF(Year2_Hampshire Year2_LAC_under16_2.5years="","",Year2_Hampshire Year2_LAC_under16_2.5years)</f>
        <v>475</v>
      </c>
      <c r="AH116" s="372">
        <f>IF(Year3_Hampshire Year3_LAC_under16_2.5years="","",Year3_Hampshire Year3_LAC_under16_2.5years)</f>
        <v>507</v>
      </c>
      <c r="AI116" s="372">
        <f>IF(Year4_Hampshire Year4_LAC_under16_2.5years="","",Year4_Hampshire Year4_LAC_under16_2.5years)</f>
        <v>533</v>
      </c>
      <c r="AJ116" s="372">
        <f>IF(Year5_Hampshire Year5_LAC_under16_2.5years="","",Year5_Hampshire Year5_LAC_under16_2.5years)</f>
        <v>594</v>
      </c>
      <c r="AK116" s="160"/>
    </row>
    <row r="117" spans="1:45" s="87" customFormat="1" ht="12.75" customHeight="1" x14ac:dyDescent="0.2">
      <c r="A117" s="488">
        <f>VLOOKUP(B117,Sheet1!$AQ$4:$AR$25,2,FALSE)</f>
        <v>0</v>
      </c>
      <c r="B117" s="93" t="str">
        <f t="shared" si="39"/>
        <v>Isle of Wight</v>
      </c>
      <c r="C117" s="85"/>
      <c r="D117" s="162">
        <f t="shared" si="41"/>
        <v>0.41379310344827586</v>
      </c>
      <c r="E117" s="162">
        <f t="shared" si="42"/>
        <v>0.3235294117647059</v>
      </c>
      <c r="F117" s="162">
        <f t="shared" si="43"/>
        <v>0.34946236559139787</v>
      </c>
      <c r="G117" s="162">
        <f t="shared" si="44"/>
        <v>0.46568627450980393</v>
      </c>
      <c r="H117" s="164">
        <f t="shared" si="45"/>
        <v>0.47926267281105989</v>
      </c>
      <c r="I117" s="96"/>
      <c r="J117" s="96"/>
      <c r="K117" s="166"/>
      <c r="L117" s="166"/>
      <c r="M117" s="166"/>
      <c r="N117" s="166"/>
      <c r="O117" s="166"/>
      <c r="P117" s="166"/>
      <c r="Q117" s="166"/>
      <c r="R117" s="167"/>
      <c r="S117" s="159"/>
      <c r="T117" s="159"/>
      <c r="U117" s="166"/>
      <c r="V117" s="122"/>
      <c r="W117" s="139"/>
      <c r="X117" s="152"/>
      <c r="Y117" s="577" t="str">
        <f t="shared" si="46"/>
        <v>Isle of Wight</v>
      </c>
      <c r="Z117" s="581">
        <f>IF(Year1_Isle_of_Wight Year1_LAC_under16="","",Year1_Isle_of_Wight Year1_LAC_under16)</f>
        <v>145</v>
      </c>
      <c r="AA117" s="372">
        <f>IF(Year2_Isle_of_Wight Year2_LAC_under16="","",Year2_Isle_of_Wight Year2_LAC_under16)</f>
        <v>170</v>
      </c>
      <c r="AB117" s="372">
        <f>IF(Year3_Isle_of_Wight Year3_LAC_under16="","",Year3_Isle_of_Wight Year3_LAC_under16)</f>
        <v>186</v>
      </c>
      <c r="AC117" s="372">
        <f>IF(Year4_Isle_of_Wight Year4_LAC_under16="","",Year4_Isle_of_Wight Year4_LAC_under16)</f>
        <v>204</v>
      </c>
      <c r="AD117" s="577">
        <f>IF(Year5_Isle_of_Wight Year5_LAC_under16="","",Year5_Isle_of_Wight Year5_LAC_under16)</f>
        <v>217</v>
      </c>
      <c r="AE117" s="384" t="str">
        <f t="shared" si="47"/>
        <v>Isle of Wight</v>
      </c>
      <c r="AF117" s="489">
        <f>IF(Year1_Isle_of_Wight Year1_LAC_under16_2.5years="","",Year1_Isle_of_Wight Year1_LAC_under16_2.5years)</f>
        <v>60</v>
      </c>
      <c r="AG117" s="372">
        <f>IF(Year2_Isle_of_Wight Year2_LAC_under16_2.5years="","",Year2_Isle_of_Wight Year2_LAC_under16_2.5years)</f>
        <v>55</v>
      </c>
      <c r="AH117" s="372">
        <f>IF(Year3_Isle_of_Wight Year3_LAC_under16_2.5years="","",Year3_Isle_of_Wight Year3_LAC_under16_2.5years)</f>
        <v>65</v>
      </c>
      <c r="AI117" s="372">
        <f>IF(Year4_Isle_of_Wight Year4_LAC_under16_2.5years="","",Year4_Isle_of_Wight Year4_LAC_under16_2.5years)</f>
        <v>95</v>
      </c>
      <c r="AJ117" s="372">
        <f>IF(Year5_Isle_of_Wight Year5_LAC_under16_2.5years="","",Year5_Isle_of_Wight Year5_LAC_under16_2.5years)</f>
        <v>104</v>
      </c>
      <c r="AK117" s="160"/>
      <c r="AS117" s="87" t="s">
        <v>102</v>
      </c>
    </row>
    <row r="118" spans="1:45" s="87" customFormat="1" ht="12.75" customHeight="1" x14ac:dyDescent="0.2">
      <c r="A118" s="488">
        <f>VLOOKUP(B118,Sheet1!$AQ$4:$AR$25,2,FALSE)</f>
        <v>0</v>
      </c>
      <c r="B118" s="93" t="str">
        <f t="shared" si="39"/>
        <v>Kent</v>
      </c>
      <c r="C118" s="85"/>
      <c r="D118" s="162">
        <f t="shared" si="41"/>
        <v>0.43129770992366412</v>
      </c>
      <c r="E118" s="162">
        <f t="shared" si="42"/>
        <v>0.46179680940386231</v>
      </c>
      <c r="F118" s="162">
        <f t="shared" si="43"/>
        <v>0.5122171945701357</v>
      </c>
      <c r="G118" s="162">
        <f t="shared" si="44"/>
        <v>0.52641690682036502</v>
      </c>
      <c r="H118" s="164">
        <f t="shared" si="45"/>
        <v>0.48395967002749773</v>
      </c>
      <c r="I118" s="96"/>
      <c r="J118" s="96"/>
      <c r="K118" s="166"/>
      <c r="L118" s="166"/>
      <c r="M118" s="166"/>
      <c r="N118" s="166"/>
      <c r="O118" s="166"/>
      <c r="P118" s="166"/>
      <c r="Q118" s="166"/>
      <c r="R118" s="167"/>
      <c r="S118" s="159"/>
      <c r="T118" s="159"/>
      <c r="U118" s="166"/>
      <c r="V118" s="122"/>
      <c r="W118" s="139"/>
      <c r="X118" s="152"/>
      <c r="Y118" s="577" t="str">
        <f t="shared" si="46"/>
        <v>Kent</v>
      </c>
      <c r="Z118" s="581">
        <f>IF(Year1_Kent Year1_LAC_under16="","",Year1_Kent Year1_LAC_under16)</f>
        <v>1310</v>
      </c>
      <c r="AA118" s="372">
        <f>IF(Year2_Kent Year2_LAC_under16="","",Year2_Kent Year2_LAC_under16)</f>
        <v>1191</v>
      </c>
      <c r="AB118" s="372">
        <f>IF(Year3_Kent Year3_LAC_under16="","",Year3_Kent Year3_LAC_under16)</f>
        <v>1105</v>
      </c>
      <c r="AC118" s="372">
        <f>IF(Year4_Kent Year4_LAC_under16="","",Year4_Kent Year4_LAC_under16)</f>
        <v>1041</v>
      </c>
      <c r="AD118" s="577">
        <f>IF(Year5_Kent Year5_LAC_under16="","",Year5_Kent Year5_LAC_under16)</f>
        <v>1091</v>
      </c>
      <c r="AE118" s="384" t="str">
        <f t="shared" si="47"/>
        <v>Kent</v>
      </c>
      <c r="AF118" s="489">
        <f>IF(Year1_Kent Year1_LAC_under16_2.5years="","",Year1_Kent Year1_LAC_under16_2.5years)</f>
        <v>565</v>
      </c>
      <c r="AG118" s="372">
        <f>IF(Year2_Kent Year2_LAC_under16_2.5years="","",Year2_Kent Year2_LAC_under16_2.5years)</f>
        <v>550</v>
      </c>
      <c r="AH118" s="372">
        <f>IF(Year3_Kent Year3_LAC_under16_2.5years="","",Year3_Kent Year3_LAC_under16_2.5years)</f>
        <v>566</v>
      </c>
      <c r="AI118" s="372">
        <f>IF(Year4_Kent Year4_LAC_under16_2.5years="","",Year4_Kent Year4_LAC_under16_2.5years)</f>
        <v>548</v>
      </c>
      <c r="AJ118" s="372">
        <f>IF(Year5_Kent Year5_LAC_under16_2.5years="","",Year5_Kent Year5_LAC_under16_2.5years)</f>
        <v>528</v>
      </c>
      <c r="AK118" s="160"/>
    </row>
    <row r="119" spans="1:45" s="87" customFormat="1" ht="12.75" customHeight="1" x14ac:dyDescent="0.2">
      <c r="A119" s="488">
        <f>VLOOKUP(B119,Sheet1!$AQ$4:$AR$25,2,FALSE)</f>
        <v>0</v>
      </c>
      <c r="B119" s="93" t="str">
        <f t="shared" si="39"/>
        <v>Medway</v>
      </c>
      <c r="C119" s="85"/>
      <c r="D119" s="162">
        <f t="shared" si="41"/>
        <v>0.37681159420289856</v>
      </c>
      <c r="E119" s="162">
        <f t="shared" si="42"/>
        <v>0.47021943573667713</v>
      </c>
      <c r="F119" s="162">
        <f t="shared" si="43"/>
        <v>0.48973607038123168</v>
      </c>
      <c r="G119" s="162">
        <f t="shared" si="44"/>
        <v>0.50595238095238093</v>
      </c>
      <c r="H119" s="164">
        <f t="shared" si="45"/>
        <v>0.48529411764705882</v>
      </c>
      <c r="I119" s="96"/>
      <c r="J119" s="96"/>
      <c r="K119" s="166"/>
      <c r="L119" s="166"/>
      <c r="M119" s="166"/>
      <c r="N119" s="166"/>
      <c r="O119" s="166"/>
      <c r="P119" s="166"/>
      <c r="Q119" s="166"/>
      <c r="R119" s="167"/>
      <c r="S119" s="159"/>
      <c r="T119" s="159"/>
      <c r="U119" s="166"/>
      <c r="V119" s="122"/>
      <c r="W119" s="139"/>
      <c r="X119" s="152"/>
      <c r="Y119" s="577" t="str">
        <f t="shared" si="46"/>
        <v>Medway</v>
      </c>
      <c r="Z119" s="581">
        <f>IF(Year1_Medway Year1_LAC_under16="","",Year1_Medway Year1_LAC_under16)</f>
        <v>345</v>
      </c>
      <c r="AA119" s="372">
        <f>IF(Year2_Medway Year2_LAC_under16="","",Year2_Medway Year2_LAC_under16)</f>
        <v>319</v>
      </c>
      <c r="AB119" s="372">
        <f>IF(Year3_Medway Year3_LAC_under16="","",Year3_Medway Year3_LAC_under16)</f>
        <v>341</v>
      </c>
      <c r="AC119" s="372">
        <f>IF(Year4_Medway Year4_LAC_under16="","",Year4_Medway Year4_LAC_under16)</f>
        <v>336</v>
      </c>
      <c r="AD119" s="577">
        <f>IF(Year5_Medway Year5_LAC_under16="","",Year5_Medway Year5_LAC_under16)</f>
        <v>340</v>
      </c>
      <c r="AE119" s="384" t="str">
        <f t="shared" si="47"/>
        <v>Medway</v>
      </c>
      <c r="AF119" s="489">
        <f>IF(Year1_Medway Year1_LAC_under16_2.5years="","",Year1_Medway Year1_LAC_under16_2.5years)</f>
        <v>130</v>
      </c>
      <c r="AG119" s="372">
        <f>IF(Year2_Medway Year2_LAC_under16_2.5years="","",Year2_Medway Year2_LAC_under16_2.5years)</f>
        <v>150</v>
      </c>
      <c r="AH119" s="372">
        <f>IF(Year3_Medway Year3_LAC_under16_2.5years="","",Year3_Medway Year3_LAC_under16_2.5years)</f>
        <v>167</v>
      </c>
      <c r="AI119" s="372">
        <f>IF(Year4_Medway Year4_LAC_under16_2.5years="","",Year4_Medway Year4_LAC_under16_2.5years)</f>
        <v>170</v>
      </c>
      <c r="AJ119" s="372">
        <f>IF(Year5_Medway Year5_LAC_under16_2.5years="","",Year5_Medway Year5_LAC_under16_2.5years)</f>
        <v>165</v>
      </c>
      <c r="AK119" s="160"/>
    </row>
    <row r="120" spans="1:45" s="87" customFormat="1" ht="12.75" customHeight="1" x14ac:dyDescent="0.2">
      <c r="A120" s="488">
        <f>VLOOKUP(B120,Sheet1!$AQ$4:$AR$25,2,FALSE)</f>
        <v>0</v>
      </c>
      <c r="B120" s="93" t="str">
        <f t="shared" si="39"/>
        <v>Milton Keynes</v>
      </c>
      <c r="C120" s="85"/>
      <c r="D120" s="162">
        <f t="shared" si="41"/>
        <v>0.44</v>
      </c>
      <c r="E120" s="162">
        <f t="shared" si="42"/>
        <v>0.39473684210526316</v>
      </c>
      <c r="F120" s="162">
        <f t="shared" si="43"/>
        <v>0.40251572327044027</v>
      </c>
      <c r="G120" s="162">
        <f t="shared" si="44"/>
        <v>0.47468354430379744</v>
      </c>
      <c r="H120" s="164">
        <f t="shared" si="45"/>
        <v>0.45751633986928103</v>
      </c>
      <c r="I120" s="96"/>
      <c r="J120" s="96"/>
      <c r="K120" s="166"/>
      <c r="L120" s="166"/>
      <c r="M120" s="166"/>
      <c r="N120" s="166"/>
      <c r="O120" s="166"/>
      <c r="P120" s="166"/>
      <c r="Q120" s="166"/>
      <c r="R120" s="167"/>
      <c r="S120" s="159"/>
      <c r="T120" s="159"/>
      <c r="U120" s="166"/>
      <c r="V120" s="122"/>
      <c r="W120" s="139"/>
      <c r="X120" s="152"/>
      <c r="Y120" s="577" t="str">
        <f t="shared" si="46"/>
        <v>Milton Keynes</v>
      </c>
      <c r="Z120" s="581">
        <f>IF(Year1_Milton_Keynes Year1_LAC_under16="","",Year1_Milton_Keynes Year1_LAC_under16)</f>
        <v>250</v>
      </c>
      <c r="AA120" s="372">
        <f>IF(Year2_Milton_Keynes Year2_LAC_under16="","",Year2_Milton_Keynes Year2_LAC_under16)</f>
        <v>304</v>
      </c>
      <c r="AB120" s="372">
        <f>IF(Year3_Milton_Keynes Year3_LAC_under16="","",Year3_Milton_Keynes Year3_LAC_under16)</f>
        <v>318</v>
      </c>
      <c r="AC120" s="372">
        <f>IF(Year4_Milton_Keynes Year4_LAC_under16="","",Year4_Milton_Keynes Year4_LAC_under16)</f>
        <v>316</v>
      </c>
      <c r="AD120" s="577">
        <f>IF(Year5_Milton_Keynes Year5_LAC_under16="","",Year5_Milton_Keynes Year5_LAC_under16)</f>
        <v>306</v>
      </c>
      <c r="AE120" s="384" t="str">
        <f t="shared" si="47"/>
        <v>Milton Keynes</v>
      </c>
      <c r="AF120" s="489">
        <f>IF(Year1_Milton_Keynes Year1_LAC_under16_2.5years="","",Year1_Milton_Keynes Year1_LAC_under16_2.5years)</f>
        <v>110</v>
      </c>
      <c r="AG120" s="372">
        <f>IF(Year2_Milton_Keynes Year2_LAC_under16_2.5years="","",Year2_Milton_Keynes Year2_LAC_under16_2.5years)</f>
        <v>120</v>
      </c>
      <c r="AH120" s="372">
        <f>IF(Year3_Milton_Keynes Year3_LAC_under16_2.5years="","",Year3_Milton_Keynes Year3_LAC_under16_2.5years)</f>
        <v>128</v>
      </c>
      <c r="AI120" s="372">
        <f>IF(Year4_Milton_Keynes Year4_LAC_under16_2.5years="","",Year4_Milton_Keynes Year4_LAC_under16_2.5years)</f>
        <v>150</v>
      </c>
      <c r="AJ120" s="372">
        <f>IF(Year5_Milton_Keynes Year5_LAC_under16_2.5years="","",Year5_Milton_Keynes Year5_LAC_under16_2.5years)</f>
        <v>140</v>
      </c>
      <c r="AK120" s="160"/>
    </row>
    <row r="121" spans="1:45" s="87" customFormat="1" ht="12.75" customHeight="1" x14ac:dyDescent="0.2">
      <c r="A121" s="488">
        <f>VLOOKUP(B121,Sheet1!$AQ$4:$AR$25,2,FALSE)</f>
        <v>0</v>
      </c>
      <c r="B121" s="93" t="str">
        <f t="shared" si="39"/>
        <v>Oxfordshire</v>
      </c>
      <c r="C121" s="85"/>
      <c r="D121" s="162">
        <f t="shared" si="41"/>
        <v>0.27586206896551724</v>
      </c>
      <c r="E121" s="162">
        <f t="shared" si="42"/>
        <v>0.25590551181102361</v>
      </c>
      <c r="F121" s="162">
        <f t="shared" si="43"/>
        <v>0.31517509727626458</v>
      </c>
      <c r="G121" s="162">
        <f t="shared" si="44"/>
        <v>0.32586206896551723</v>
      </c>
      <c r="H121" s="164">
        <f t="shared" si="45"/>
        <v>0.40357142857142858</v>
      </c>
      <c r="I121" s="96"/>
      <c r="J121" s="96"/>
      <c r="K121" s="166"/>
      <c r="L121" s="166"/>
      <c r="M121" s="166"/>
      <c r="N121" s="166"/>
      <c r="O121" s="166"/>
      <c r="P121" s="166"/>
      <c r="Q121" s="166"/>
      <c r="R121" s="167"/>
      <c r="S121" s="159"/>
      <c r="T121" s="159"/>
      <c r="U121" s="166"/>
      <c r="V121" s="122"/>
      <c r="W121" s="139"/>
      <c r="X121" s="152"/>
      <c r="Y121" s="577" t="str">
        <f t="shared" si="46"/>
        <v>Oxfordshire</v>
      </c>
      <c r="Z121" s="581">
        <f>IF(Year1_Oxfordshire Year1_LAC_under16="","",Year1_Oxfordshire Year1_LAC_under16)</f>
        <v>435</v>
      </c>
      <c r="AA121" s="372">
        <f>IF(Year2_Oxfordshire Year2_LAC_under16="","",Year2_Oxfordshire Year2_LAC_under16)</f>
        <v>508</v>
      </c>
      <c r="AB121" s="372">
        <f>IF(Year3_Oxfordshire Year3_LAC_under16="","",Year3_Oxfordshire Year3_LAC_under16)</f>
        <v>514</v>
      </c>
      <c r="AC121" s="372">
        <f>IF(Year4_Oxfordshire Year4_LAC_under16="","",Year4_Oxfordshire Year4_LAC_under16)</f>
        <v>580</v>
      </c>
      <c r="AD121" s="577">
        <f>IF(Year5_Oxfordshire Year5_LAC_under16="","",Year5_Oxfordshire Year5_LAC_under16)</f>
        <v>560</v>
      </c>
      <c r="AE121" s="384" t="str">
        <f t="shared" si="47"/>
        <v>Oxfordshire</v>
      </c>
      <c r="AF121" s="489">
        <f>IF(Year1_Oxfordshire Year1_LAC_under16_2.5years="","",Year1_Oxfordshire Year1_LAC_under16_2.5years)</f>
        <v>120</v>
      </c>
      <c r="AG121" s="372">
        <f>IF(Year2_Oxfordshire Year2_LAC_under16_2.5years="","",Year2_Oxfordshire Year2_LAC_under16_2.5years)</f>
        <v>130</v>
      </c>
      <c r="AH121" s="372">
        <f>IF(Year3_Oxfordshire Year3_LAC_under16_2.5years="","",Year3_Oxfordshire Year3_LAC_under16_2.5years)</f>
        <v>162</v>
      </c>
      <c r="AI121" s="372">
        <f>IF(Year4_Oxfordshire Year4_LAC_under16_2.5years="","",Year4_Oxfordshire Year4_LAC_under16_2.5years)</f>
        <v>189</v>
      </c>
      <c r="AJ121" s="372">
        <f>IF(Year5_Oxfordshire Year5_LAC_under16_2.5years="","",Year5_Oxfordshire Year5_LAC_under16_2.5years)</f>
        <v>226</v>
      </c>
      <c r="AK121" s="160"/>
    </row>
    <row r="122" spans="1:45" s="87" customFormat="1" ht="12.75" customHeight="1" x14ac:dyDescent="0.2">
      <c r="A122" s="488">
        <f>VLOOKUP(B122,Sheet1!$AQ$4:$AR$25,2,FALSE)</f>
        <v>0</v>
      </c>
      <c r="B122" s="93" t="str">
        <f t="shared" si="39"/>
        <v>Portsmouth</v>
      </c>
      <c r="C122" s="85"/>
      <c r="D122" s="162">
        <f t="shared" si="41"/>
        <v>0.42307692307692307</v>
      </c>
      <c r="E122" s="162">
        <f t="shared" si="42"/>
        <v>0.45955882352941174</v>
      </c>
      <c r="F122" s="162">
        <f t="shared" si="43"/>
        <v>0.40476190476190477</v>
      </c>
      <c r="G122" s="162">
        <f t="shared" si="44"/>
        <v>0.38109756097560976</v>
      </c>
      <c r="H122" s="164">
        <f t="shared" si="45"/>
        <v>0.42857142857142855</v>
      </c>
      <c r="I122" s="96"/>
      <c r="J122" s="96"/>
      <c r="K122" s="166"/>
      <c r="L122" s="166"/>
      <c r="M122" s="166"/>
      <c r="N122" s="166"/>
      <c r="O122" s="166"/>
      <c r="P122" s="166"/>
      <c r="Q122" s="166"/>
      <c r="R122" s="167"/>
      <c r="S122" s="159"/>
      <c r="T122" s="159"/>
      <c r="U122" s="166"/>
      <c r="V122" s="122"/>
      <c r="W122" s="139"/>
      <c r="X122" s="152"/>
      <c r="Y122" s="577" t="str">
        <f t="shared" si="46"/>
        <v>Portsmouth</v>
      </c>
      <c r="Z122" s="581">
        <f>IF(Year1_Portsmouth Year1_LAC_under16="","",Year1_Portsmouth Year1_LAC_under16)</f>
        <v>260</v>
      </c>
      <c r="AA122" s="372">
        <f>IF(Year2_Portsmouth Year2_LAC_under16="","",Year2_Portsmouth Year2_LAC_under16)</f>
        <v>272</v>
      </c>
      <c r="AB122" s="372">
        <f>IF(Year3_Portsmouth Year3_LAC_under16="","",Year3_Portsmouth Year3_LAC_under16)</f>
        <v>294</v>
      </c>
      <c r="AC122" s="372">
        <f>IF(Year4_Portsmouth Year4_LAC_under16="","",Year4_Portsmouth Year4_LAC_under16)</f>
        <v>328</v>
      </c>
      <c r="AD122" s="577">
        <f>IF(Year5_Portsmouth Year5_LAC_under16="","",Year5_Portsmouth Year5_LAC_under16)</f>
        <v>308</v>
      </c>
      <c r="AE122" s="384" t="str">
        <f t="shared" si="47"/>
        <v>Portsmouth</v>
      </c>
      <c r="AF122" s="489">
        <f>IF(Year1_Portsmouth Year1_LAC_under16_2.5years="","",Year1_Portsmouth Year1_LAC_under16_2.5years)</f>
        <v>110</v>
      </c>
      <c r="AG122" s="372">
        <f>IF(Year2_Portsmouth Year2_LAC_under16_2.5years="","",Year2_Portsmouth Year2_LAC_under16_2.5years)</f>
        <v>125</v>
      </c>
      <c r="AH122" s="372">
        <f>IF(Year3_Portsmouth Year3_LAC_under16_2.5years="","",Year3_Portsmouth Year3_LAC_under16_2.5years)</f>
        <v>119</v>
      </c>
      <c r="AI122" s="372">
        <f>IF(Year4_Portsmouth Year4_LAC_under16_2.5years="","",Year4_Portsmouth Year4_LAC_under16_2.5years)</f>
        <v>125</v>
      </c>
      <c r="AJ122" s="372">
        <f>IF(Year5_Portsmouth Year5_LAC_under16_2.5years="","",Year5_Portsmouth Year5_LAC_under16_2.5years)</f>
        <v>132</v>
      </c>
      <c r="AK122" s="160"/>
    </row>
    <row r="123" spans="1:45" s="87" customFormat="1" ht="12.75" customHeight="1" x14ac:dyDescent="0.2">
      <c r="A123" s="488">
        <f>VLOOKUP(B123,Sheet1!$AQ$4:$AR$25,2,FALSE)</f>
        <v>0</v>
      </c>
      <c r="B123" s="93" t="str">
        <f t="shared" si="39"/>
        <v>Reading</v>
      </c>
      <c r="C123" s="85"/>
      <c r="D123" s="162">
        <f t="shared" si="41"/>
        <v>0.37142857142857144</v>
      </c>
      <c r="E123" s="162">
        <f t="shared" si="42"/>
        <v>0.29556650246305421</v>
      </c>
      <c r="F123" s="162">
        <f t="shared" si="43"/>
        <v>0.37168141592920356</v>
      </c>
      <c r="G123" s="162">
        <f t="shared" si="44"/>
        <v>0.43891402714932126</v>
      </c>
      <c r="H123" s="164">
        <f t="shared" si="45"/>
        <v>0.46728971962616822</v>
      </c>
      <c r="I123" s="96"/>
      <c r="J123" s="96"/>
      <c r="K123" s="166"/>
      <c r="L123" s="166"/>
      <c r="M123" s="166"/>
      <c r="N123" s="166"/>
      <c r="O123" s="166"/>
      <c r="P123" s="166"/>
      <c r="Q123" s="166"/>
      <c r="R123" s="167"/>
      <c r="S123" s="159"/>
      <c r="T123" s="159"/>
      <c r="U123" s="166"/>
      <c r="V123" s="122"/>
      <c r="W123" s="139"/>
      <c r="X123" s="152"/>
      <c r="Y123" s="577" t="str">
        <f t="shared" si="46"/>
        <v>Reading</v>
      </c>
      <c r="Z123" s="581">
        <f>IF(Year1_Reading Year1_LAC_under16="","",Year1_Reading Year1_LAC_under16)</f>
        <v>175</v>
      </c>
      <c r="AA123" s="372">
        <f>IF(Year2_Reading Year2_LAC_under16="","",Year2_Reading Year2_LAC_under16)</f>
        <v>203</v>
      </c>
      <c r="AB123" s="372">
        <f>IF(Year3_Reading Year3_LAC_under16="","",Year3_Reading Year3_LAC_under16)</f>
        <v>226</v>
      </c>
      <c r="AC123" s="372">
        <f>IF(Year4_Reading Year4_LAC_under16="","",Year4_Reading Year4_LAC_under16)</f>
        <v>221</v>
      </c>
      <c r="AD123" s="577">
        <f>IF(Year5_Reading Year5_LAC_under16="","",Year5_Reading Year5_LAC_under16)</f>
        <v>214</v>
      </c>
      <c r="AE123" s="384" t="str">
        <f t="shared" si="47"/>
        <v>Reading</v>
      </c>
      <c r="AF123" s="489">
        <f>IF(Year1_Reading Year1_LAC_under16_2.5years="","",Year1_Reading Year1_LAC_under16_2.5years)</f>
        <v>65</v>
      </c>
      <c r="AG123" s="372">
        <f>IF(Year2_Reading Year2_LAC_under16_2.5years="","",Year2_Reading Year2_LAC_under16_2.5years)</f>
        <v>60</v>
      </c>
      <c r="AH123" s="372">
        <f>IF(Year3_Reading Year3_LAC_under16_2.5years="","",Year3_Reading Year3_LAC_under16_2.5years)</f>
        <v>84</v>
      </c>
      <c r="AI123" s="372">
        <f>IF(Year4_Reading Year4_LAC_under16_2.5years="","",Year4_Reading Year4_LAC_under16_2.5years)</f>
        <v>97</v>
      </c>
      <c r="AJ123" s="372">
        <f>IF(Year5_Reading Year5_LAC_under16_2.5years="","",Year5_Reading Year5_LAC_under16_2.5years)</f>
        <v>100</v>
      </c>
      <c r="AK123" s="160"/>
    </row>
    <row r="124" spans="1:45" s="87" customFormat="1" ht="12.75" customHeight="1" x14ac:dyDescent="0.2">
      <c r="A124" s="488">
        <f>VLOOKUP(B124,Sheet1!$AQ$4:$AR$25,2,FALSE)</f>
        <v>0</v>
      </c>
      <c r="B124" s="93" t="str">
        <f t="shared" si="39"/>
        <v>Slough</v>
      </c>
      <c r="C124" s="85"/>
      <c r="D124" s="162">
        <f t="shared" si="41"/>
        <v>0.36666666666666664</v>
      </c>
      <c r="E124" s="162">
        <f t="shared" si="42"/>
        <v>0.35714285714285715</v>
      </c>
      <c r="F124" s="162">
        <f t="shared" si="43"/>
        <v>0.30463576158940397</v>
      </c>
      <c r="G124" s="162">
        <f t="shared" si="44"/>
        <v>0.32926829268292684</v>
      </c>
      <c r="H124" s="164">
        <f t="shared" si="45"/>
        <v>0.37086092715231789</v>
      </c>
      <c r="I124" s="96"/>
      <c r="J124" s="96"/>
      <c r="K124" s="166"/>
      <c r="L124" s="166"/>
      <c r="M124" s="166"/>
      <c r="N124" s="166"/>
      <c r="O124" s="166"/>
      <c r="P124" s="166"/>
      <c r="Q124" s="166"/>
      <c r="R124" s="167"/>
      <c r="S124" s="159"/>
      <c r="T124" s="159"/>
      <c r="U124" s="166"/>
      <c r="V124" s="122"/>
      <c r="W124" s="139"/>
      <c r="X124" s="152"/>
      <c r="Y124" s="577" t="str">
        <f t="shared" si="46"/>
        <v>Slough</v>
      </c>
      <c r="Z124" s="581">
        <f>IF(Year1_Slough Year1_LAC_under16="","",Year1_Slough Year1_LAC_under16)</f>
        <v>150</v>
      </c>
      <c r="AA124" s="372">
        <f>IF(Year2_Slough Year2_LAC_under16="","",Year2_Slough Year2_LAC_under16)</f>
        <v>140</v>
      </c>
      <c r="AB124" s="372">
        <f>IF(Year3_Slough Year3_LAC_under16="","",Year3_Slough Year3_LAC_under16)</f>
        <v>151</v>
      </c>
      <c r="AC124" s="372">
        <f>IF(Year4_Slough Year4_LAC_under16="","",Year4_Slough Year4_LAC_under16)</f>
        <v>164</v>
      </c>
      <c r="AD124" s="577">
        <f>IF(Year5_Slough Year5_LAC_under16="","",Year5_Slough Year5_LAC_under16)</f>
        <v>151</v>
      </c>
      <c r="AE124" s="384" t="str">
        <f t="shared" si="47"/>
        <v>Slough</v>
      </c>
      <c r="AF124" s="489">
        <f>IF(Year1_Slough Year1_LAC_under16_2.5years="","",Year1_Slough Year1_LAC_under16_2.5years)</f>
        <v>55</v>
      </c>
      <c r="AG124" s="372">
        <f>IF(Year2_Slough Year2_LAC_under16_2.5years="","",Year2_Slough Year2_LAC_under16_2.5years)</f>
        <v>50</v>
      </c>
      <c r="AH124" s="372">
        <f>IF(Year3_Slough Year3_LAC_under16_2.5years="","",Year3_Slough Year3_LAC_under16_2.5years)</f>
        <v>46</v>
      </c>
      <c r="AI124" s="372">
        <f>IF(Year4_Slough Year4_LAC_under16_2.5years="","",Year4_Slough Year4_LAC_under16_2.5years)</f>
        <v>54</v>
      </c>
      <c r="AJ124" s="372">
        <f>IF(Year5_Slough Year5_LAC_under16_2.5years="","",Year5_Slough Year5_LAC_under16_2.5years)</f>
        <v>56</v>
      </c>
      <c r="AK124" s="160"/>
    </row>
    <row r="125" spans="1:45" s="87" customFormat="1" ht="12.75" customHeight="1" x14ac:dyDescent="0.2">
      <c r="A125" s="488">
        <f>VLOOKUP(B125,Sheet1!$AQ$4:$AR$25,2,FALSE)</f>
        <v>0</v>
      </c>
      <c r="B125" s="93" t="str">
        <f t="shared" si="39"/>
        <v>Somerset</v>
      </c>
      <c r="C125" s="85"/>
      <c r="D125" s="162">
        <f t="shared" si="41"/>
        <v>0.38461538461538464</v>
      </c>
      <c r="E125" s="162">
        <f t="shared" si="42"/>
        <v>0.4178272980501393</v>
      </c>
      <c r="F125" s="162">
        <f t="shared" si="43"/>
        <v>0.41687979539641945</v>
      </c>
      <c r="G125" s="162">
        <f t="shared" si="44"/>
        <v>0.40404040404040403</v>
      </c>
      <c r="H125" s="164">
        <f t="shared" si="45"/>
        <v>0.43733333333333335</v>
      </c>
      <c r="I125" s="96"/>
      <c r="J125" s="96"/>
      <c r="K125" s="166"/>
      <c r="L125" s="166"/>
      <c r="M125" s="166"/>
      <c r="N125" s="166"/>
      <c r="O125" s="166"/>
      <c r="P125" s="166"/>
      <c r="Q125" s="166"/>
      <c r="R125" s="167"/>
      <c r="S125" s="159"/>
      <c r="T125" s="159"/>
      <c r="U125" s="166"/>
      <c r="V125" s="122"/>
      <c r="W125" s="139"/>
      <c r="X125" s="152"/>
      <c r="Y125" s="577" t="str">
        <f t="shared" si="46"/>
        <v>Somerset</v>
      </c>
      <c r="Z125" s="581">
        <f>IF(Year1_Somerset Year1_LAC_under16="","",Year1_Somerset Year1_LAC_under16)</f>
        <v>390</v>
      </c>
      <c r="AA125" s="372">
        <f>IF(Year2_Somerset Year2_LAC_under16="","",Year2_Somerset Year2_LAC_under16)</f>
        <v>359</v>
      </c>
      <c r="AB125" s="372">
        <f>IF(Year3_Somerset Year3_LAC_under16="","",Year3_Somerset Year3_LAC_under16)</f>
        <v>391</v>
      </c>
      <c r="AC125" s="372">
        <f>IF(Year4_Somerset Year4_LAC_under16="","",Year4_Somerset Year4_LAC_under16)</f>
        <v>396</v>
      </c>
      <c r="AD125" s="577">
        <f>IF(Year5_Somerset Year5_LAC_under16="","",Year5_Somerset Year5_LAC_under16)</f>
        <v>375</v>
      </c>
      <c r="AE125" s="384" t="str">
        <f t="shared" si="47"/>
        <v>Somerset</v>
      </c>
      <c r="AF125" s="489">
        <f>IF(Year1_Somerset Year1_LAC_under16_2.5years="","",Year1_Somerset Year1_LAC_under16_2.5years)</f>
        <v>150</v>
      </c>
      <c r="AG125" s="372">
        <f>IF(Year2_Somerset Year2_LAC_under16_2.5years="","",Year2_Somerset Year2_LAC_under16_2.5years)</f>
        <v>150</v>
      </c>
      <c r="AH125" s="372">
        <f>IF(Year3_Somerset Year3_LAC_under16_2.5years="","",Year3_Somerset Year3_LAC_under16_2.5years)</f>
        <v>163</v>
      </c>
      <c r="AI125" s="372">
        <f>IF(Year4_Somerset Year4_LAC_under16_2.5years="","",Year4_Somerset Year4_LAC_under16_2.5years)</f>
        <v>160</v>
      </c>
      <c r="AJ125" s="372">
        <f>IF(Year5_Somerset Year5_LAC_under16_2.5years="","",Year5_Somerset Year5_LAC_under16_2.5years)</f>
        <v>164</v>
      </c>
      <c r="AK125" s="160"/>
    </row>
    <row r="126" spans="1:45" s="87" customFormat="1" ht="12.75" customHeight="1" x14ac:dyDescent="0.2">
      <c r="A126" s="488">
        <f>VLOOKUP(B126,Sheet1!$AQ$4:$AR$25,2,FALSE)</f>
        <v>0</v>
      </c>
      <c r="B126" s="93" t="str">
        <f t="shared" si="39"/>
        <v>Southampton</v>
      </c>
      <c r="C126" s="85"/>
      <c r="D126" s="162">
        <f t="shared" si="41"/>
        <v>0.37864077669902912</v>
      </c>
      <c r="E126" s="162">
        <f t="shared" si="42"/>
        <v>0.49568965517241381</v>
      </c>
      <c r="F126" s="162">
        <f t="shared" si="43"/>
        <v>0.53061224489795922</v>
      </c>
      <c r="G126" s="162">
        <f t="shared" si="44"/>
        <v>0.57457212713936434</v>
      </c>
      <c r="H126" s="164">
        <f t="shared" si="45"/>
        <v>0.53634085213032578</v>
      </c>
      <c r="I126" s="96"/>
      <c r="J126" s="96"/>
      <c r="K126" s="166"/>
      <c r="L126" s="166"/>
      <c r="M126" s="166"/>
      <c r="N126" s="166"/>
      <c r="O126" s="166"/>
      <c r="P126" s="166"/>
      <c r="Q126" s="166"/>
      <c r="R126" s="167"/>
      <c r="S126" s="159"/>
      <c r="T126" s="159"/>
      <c r="U126" s="166"/>
      <c r="V126" s="122"/>
      <c r="W126" s="139"/>
      <c r="X126" s="152"/>
      <c r="Y126" s="577" t="str">
        <f t="shared" si="46"/>
        <v>Southampton</v>
      </c>
      <c r="Z126" s="581">
        <f>IF(Year1_Southampton Year1_LAC_under16="","",Year1_Southampton Year1_LAC_under16)</f>
        <v>515</v>
      </c>
      <c r="AA126" s="372">
        <f>IF(Year2_Southampton Year2_LAC_under16="","",Year2_Southampton Year2_LAC_under16)</f>
        <v>464</v>
      </c>
      <c r="AB126" s="372">
        <f>IF(Year3_Southampton Year3_LAC_under16="","",Year3_Southampton Year3_LAC_under16)</f>
        <v>441</v>
      </c>
      <c r="AC126" s="372">
        <f>IF(Year4_Southampton Year4_LAC_under16="","",Year4_Southampton Year4_LAC_under16)</f>
        <v>409</v>
      </c>
      <c r="AD126" s="577">
        <f>IF(Year5_Southampton Year5_LAC_under16="","",Year5_Southampton Year5_LAC_under16)</f>
        <v>399</v>
      </c>
      <c r="AE126" s="384" t="str">
        <f t="shared" si="47"/>
        <v>Southampton</v>
      </c>
      <c r="AF126" s="489">
        <f>IF(Year1_Southampton Year1_LAC_under16_2.5years="","",Year1_Southampton Year1_LAC_under16_2.5years)</f>
        <v>195</v>
      </c>
      <c r="AG126" s="372">
        <f>IF(Year2_Southampton Year2_LAC_under16_2.5years="","",Year2_Southampton Year2_LAC_under16_2.5years)</f>
        <v>230</v>
      </c>
      <c r="AH126" s="372">
        <f>IF(Year3_Southampton Year3_LAC_under16_2.5years="","",Year3_Southampton Year3_LAC_under16_2.5years)</f>
        <v>234</v>
      </c>
      <c r="AI126" s="372">
        <f>IF(Year4_Southampton Year4_LAC_under16_2.5years="","",Year4_Southampton Year4_LAC_under16_2.5years)</f>
        <v>235</v>
      </c>
      <c r="AJ126" s="372">
        <f>IF(Year5_Southampton Year5_LAC_under16_2.5years="","",Year5_Southampton Year5_LAC_under16_2.5years)</f>
        <v>214</v>
      </c>
      <c r="AK126" s="160"/>
    </row>
    <row r="127" spans="1:45" s="87" customFormat="1" ht="12.75" customHeight="1" x14ac:dyDescent="0.2">
      <c r="A127" s="488">
        <f>VLOOKUP(B127,Sheet1!$AQ$4:$AR$25,2,FALSE)</f>
        <v>0</v>
      </c>
      <c r="B127" s="93" t="str">
        <f t="shared" si="39"/>
        <v>Surrey</v>
      </c>
      <c r="C127" s="85"/>
      <c r="D127" s="162">
        <f t="shared" si="41"/>
        <v>0.39166666666666666</v>
      </c>
      <c r="E127" s="162">
        <f t="shared" si="42"/>
        <v>0.38128249566724437</v>
      </c>
      <c r="F127" s="162">
        <f t="shared" si="43"/>
        <v>0.37308868501529052</v>
      </c>
      <c r="G127" s="162">
        <f t="shared" si="44"/>
        <v>0.36764705882352944</v>
      </c>
      <c r="H127" s="164">
        <f t="shared" si="45"/>
        <v>0.41788856304985339</v>
      </c>
      <c r="I127" s="96"/>
      <c r="J127" s="96"/>
      <c r="K127" s="166"/>
      <c r="L127" s="166"/>
      <c r="M127" s="166"/>
      <c r="N127" s="166"/>
      <c r="O127" s="166"/>
      <c r="P127" s="166"/>
      <c r="Q127" s="166"/>
      <c r="R127" s="167"/>
      <c r="S127" s="159"/>
      <c r="T127" s="159"/>
      <c r="U127" s="166"/>
      <c r="V127" s="122"/>
      <c r="W127" s="139"/>
      <c r="X127" s="152"/>
      <c r="Y127" s="577" t="str">
        <f t="shared" si="46"/>
        <v>Surrey</v>
      </c>
      <c r="Z127" s="581">
        <f>IF(Year1_Surrey Year1_LAC_under16="","",Year1_Surrey Year1_LAC_under16)</f>
        <v>600</v>
      </c>
      <c r="AA127" s="372">
        <f>IF(Year2_Surrey Year2_LAC_under16="","",Year2_Surrey Year2_LAC_under16)</f>
        <v>577</v>
      </c>
      <c r="AB127" s="372">
        <f>IF(Year3_Surrey Year3_LAC_under16="","",Year3_Surrey Year3_LAC_under16)</f>
        <v>654</v>
      </c>
      <c r="AC127" s="372">
        <f>IF(Year4_Surrey Year4_LAC_under16="","",Year4_Surrey Year4_LAC_under16)</f>
        <v>680</v>
      </c>
      <c r="AD127" s="577">
        <f>IF(Year5_Surrey Year5_LAC_under16="","",Year5_Surrey Year5_LAC_under16)</f>
        <v>682</v>
      </c>
      <c r="AE127" s="384" t="str">
        <f t="shared" si="47"/>
        <v>Surrey</v>
      </c>
      <c r="AF127" s="489">
        <f>IF(Year1_Surrey Year1_LAC_under16_2.5years="","",Year1_Surrey Year1_LAC_under16_2.5years)</f>
        <v>235</v>
      </c>
      <c r="AG127" s="372">
        <f>IF(Year2_Surrey Year2_LAC_under16_2.5years="","",Year2_Surrey Year2_LAC_under16_2.5years)</f>
        <v>220</v>
      </c>
      <c r="AH127" s="372">
        <f>IF(Year3_Surrey Year3_LAC_under16_2.5years="","",Year3_Surrey Year3_LAC_under16_2.5years)</f>
        <v>244</v>
      </c>
      <c r="AI127" s="372">
        <f>IF(Year4_Surrey Year4_LAC_under16_2.5years="","",Year4_Surrey Year4_LAC_under16_2.5years)</f>
        <v>250</v>
      </c>
      <c r="AJ127" s="372">
        <f>IF(Year5_Surrey Year5_LAC_under16_2.5years="","",Year5_Surrey Year5_LAC_under16_2.5years)</f>
        <v>285</v>
      </c>
      <c r="AK127" s="160"/>
    </row>
    <row r="128" spans="1:45" s="87" customFormat="1" ht="12.75" customHeight="1" x14ac:dyDescent="0.2">
      <c r="A128" s="488">
        <f>VLOOKUP(B128,Sheet1!$AQ$4:$AR$25,2,FALSE)</f>
        <v>0</v>
      </c>
      <c r="B128" s="93" t="str">
        <f t="shared" si="39"/>
        <v>Swindon</v>
      </c>
      <c r="C128" s="85"/>
      <c r="D128" s="162">
        <f t="shared" si="41"/>
        <v>0.28888888888888886</v>
      </c>
      <c r="E128" s="162">
        <f t="shared" si="42"/>
        <v>0.22988505747126436</v>
      </c>
      <c r="F128" s="162">
        <f t="shared" si="43"/>
        <v>0.24014336917562723</v>
      </c>
      <c r="G128" s="162">
        <f t="shared" si="44"/>
        <v>0.4140625</v>
      </c>
      <c r="H128" s="164">
        <f t="shared" si="45"/>
        <v>0.52654867256637172</v>
      </c>
      <c r="I128" s="96"/>
      <c r="J128" s="96"/>
      <c r="K128" s="166"/>
      <c r="L128" s="166"/>
      <c r="M128" s="166"/>
      <c r="N128" s="166"/>
      <c r="O128" s="166"/>
      <c r="P128" s="166"/>
      <c r="Q128" s="166"/>
      <c r="R128" s="167"/>
      <c r="S128" s="159"/>
      <c r="T128" s="159"/>
      <c r="U128" s="166"/>
      <c r="V128" s="122"/>
      <c r="W128" s="139"/>
      <c r="X128" s="152"/>
      <c r="Y128" s="577" t="str">
        <f t="shared" si="46"/>
        <v>Swindon</v>
      </c>
      <c r="Z128" s="581">
        <f>IF(Year1_Swindon Year1_LAC_under16="","",Year1_Swindon Year1_LAC_under16)</f>
        <v>225</v>
      </c>
      <c r="AA128" s="372">
        <f>IF(Year2_Swindon Year2_LAC_under16="","",Year2_Swindon Year2_LAC_under16)</f>
        <v>261</v>
      </c>
      <c r="AB128" s="372">
        <f>IF(Year3_Swindon Year3_LAC_under16="","",Year3_Swindon Year3_LAC_under16)</f>
        <v>279</v>
      </c>
      <c r="AC128" s="580">
        <f>IF(Year4_Swindon Year4_LAC_under16="","",Year4_Swindon Year4_LAC_under16)</f>
        <v>256</v>
      </c>
      <c r="AD128" s="604">
        <f>IF(Year5_Swindon Year5_LAC_under16="","",Year5_Swindon Year5_LAC_under16)</f>
        <v>226</v>
      </c>
      <c r="AE128" s="384" t="str">
        <f t="shared" si="47"/>
        <v>Swindon</v>
      </c>
      <c r="AF128" s="489">
        <f>IF(Year1_Swindon Year1_LAC_under16_2.5years="","",Year1_Swindon Year1_LAC_under16_2.5years)</f>
        <v>65</v>
      </c>
      <c r="AG128" s="372">
        <f>IF(Year2_Swindon Year2_LAC_under16_2.5years="","",Year2_Swindon Year2_LAC_under16_2.5years)</f>
        <v>60</v>
      </c>
      <c r="AH128" s="372">
        <f>IF(Year3_Swindon Year3_LAC_under16_2.5years="","",Year3_Swindon Year3_LAC_under16_2.5years)</f>
        <v>67</v>
      </c>
      <c r="AI128" s="580">
        <f>IF(Year4_Swindon Year4_LAC_under16_2.5years="","",Year4_Swindon Year4_LAC_under16_2.5years)</f>
        <v>106</v>
      </c>
      <c r="AJ128" s="605">
        <f>IF(Year5_Swindon Year5_LAC_under16_2.5years="","",Year5_Swindon Year5_LAC_under16_2.5years)</f>
        <v>119</v>
      </c>
      <c r="AK128" s="160"/>
    </row>
    <row r="129" spans="1:46" s="87" customFormat="1" ht="12.75" customHeight="1" x14ac:dyDescent="0.2">
      <c r="A129" s="488">
        <f>VLOOKUP(B129,Sheet1!$AQ$4:$AR$25,2,FALSE)</f>
        <v>0</v>
      </c>
      <c r="B129" s="93" t="str">
        <f t="shared" si="39"/>
        <v>Torbay</v>
      </c>
      <c r="C129" s="85"/>
      <c r="D129" s="162">
        <f t="shared" si="41"/>
        <v>0.53333333333333333</v>
      </c>
      <c r="E129" s="162">
        <f t="shared" si="42"/>
        <v>0.53418803418803418</v>
      </c>
      <c r="F129" s="162">
        <f t="shared" si="43"/>
        <v>0.49070631970260226</v>
      </c>
      <c r="G129" s="162">
        <f t="shared" si="44"/>
        <v>0.43288590604026844</v>
      </c>
      <c r="H129" s="164">
        <f t="shared" si="45"/>
        <v>0.40909090909090912</v>
      </c>
      <c r="I129" s="96"/>
      <c r="J129" s="96"/>
      <c r="K129" s="166"/>
      <c r="L129" s="166"/>
      <c r="M129" s="166"/>
      <c r="N129" s="166"/>
      <c r="O129" s="166"/>
      <c r="P129" s="166"/>
      <c r="Q129" s="166"/>
      <c r="R129" s="167"/>
      <c r="S129" s="159"/>
      <c r="T129" s="159"/>
      <c r="U129" s="166"/>
      <c r="V129" s="122"/>
      <c r="W129" s="139"/>
      <c r="X129" s="152"/>
      <c r="Y129" s="577" t="str">
        <f t="shared" si="46"/>
        <v>Torbay</v>
      </c>
      <c r="Z129" s="581">
        <f>IF(Year1_Torbay Year1_LAC_under16="","",Year1_Torbay Year1_LAC_under16)</f>
        <v>225</v>
      </c>
      <c r="AA129" s="372">
        <f>IF(Year2_Torbay Year2_LAC_under16="","",Year2_Torbay Year2_LAC_under16)</f>
        <v>234</v>
      </c>
      <c r="AB129" s="372">
        <f>IF(Year3_Torbay Year3_LAC_under16="","",Year3_Torbay Year3_LAC_under16)</f>
        <v>269</v>
      </c>
      <c r="AC129" s="580">
        <f>IF(Year4_Torbay Year4_LAC_under16="","",Year4_Torbay Year4_LAC_under16)</f>
        <v>298</v>
      </c>
      <c r="AD129" s="604">
        <f>IF(Year5_Torbay Year5_LAC_under16="","",Year5_Torbay Year5_LAC_under16)</f>
        <v>286</v>
      </c>
      <c r="AE129" s="384" t="str">
        <f t="shared" si="47"/>
        <v>Torbay</v>
      </c>
      <c r="AF129" s="489">
        <f>IF(Year1_Torbay Year1_LAC_under16_2.5years="","",Year1_Torbay Year1_LAC_under16_2.5years)</f>
        <v>120</v>
      </c>
      <c r="AG129" s="372">
        <f>IF(Year2_Torbay Year2_LAC_under16_2.5years="","",Year2_Torbay Year2_LAC_under16_2.5years)</f>
        <v>125</v>
      </c>
      <c r="AH129" s="372">
        <f>IF(Year3_Torbay Year3_LAC_under16_2.5years="","",Year3_Torbay Year3_LAC_under16_2.5years)</f>
        <v>132</v>
      </c>
      <c r="AI129" s="580">
        <f>IF(Year4_Torbay Year4_LAC_under16_2.5years="","",Year4_Torbay Year4_LAC_under16_2.5years)</f>
        <v>129</v>
      </c>
      <c r="AJ129" s="605">
        <f>IF(Year5_Torbay Year5_LAC_under16_2.5years="","",Year5_Torbay Year5_LAC_under16_2.5years)</f>
        <v>117</v>
      </c>
      <c r="AK129" s="160"/>
    </row>
    <row r="130" spans="1:46" s="87" customFormat="1" ht="12.75" customHeight="1" x14ac:dyDescent="0.2">
      <c r="A130" s="488">
        <f>VLOOKUP(B130,Sheet1!$AQ$4:$AR$25,2,FALSE)</f>
        <v>0</v>
      </c>
      <c r="B130" s="93" t="str">
        <f t="shared" si="39"/>
        <v>West Berkshire</v>
      </c>
      <c r="C130" s="85"/>
      <c r="D130" s="162">
        <f t="shared" si="41"/>
        <v>0.45</v>
      </c>
      <c r="E130" s="162">
        <f t="shared" si="42"/>
        <v>0.44715447154471544</v>
      </c>
      <c r="F130" s="162">
        <f t="shared" si="43"/>
        <v>0.61111111111111116</v>
      </c>
      <c r="G130" s="162">
        <f t="shared" si="44"/>
        <v>0.47169811320754718</v>
      </c>
      <c r="H130" s="164">
        <f t="shared" si="45"/>
        <v>0.44117647058823528</v>
      </c>
      <c r="I130" s="96"/>
      <c r="J130" s="96"/>
      <c r="K130" s="166"/>
      <c r="L130" s="166"/>
      <c r="M130" s="166"/>
      <c r="N130" s="166"/>
      <c r="O130" s="166"/>
      <c r="P130" s="166"/>
      <c r="Q130" s="166"/>
      <c r="R130" s="167"/>
      <c r="S130" s="159"/>
      <c r="T130" s="159"/>
      <c r="U130" s="166"/>
      <c r="V130" s="122"/>
      <c r="W130" s="139"/>
      <c r="X130" s="152"/>
      <c r="Y130" s="577" t="str">
        <f t="shared" si="46"/>
        <v>West Berkshire</v>
      </c>
      <c r="Z130" s="581">
        <f>IF(Year1_West_Berkshire Year1_LAC_under16="","",Year1_West_Berkshire Year1_LAC_under16)</f>
        <v>100</v>
      </c>
      <c r="AA130" s="372">
        <f>IF(Year2_West_Berkshire Year2_LAC_under16="","",Year2_West_Berkshire Year2_LAC_under16)</f>
        <v>123</v>
      </c>
      <c r="AB130" s="372">
        <f>IF(Year3_West_Berkshire Year3_LAC_under16="","",Year3_West_Berkshire Year3_LAC_under16)</f>
        <v>90</v>
      </c>
      <c r="AC130" s="372">
        <f>IF(Year4_West_Berkshire Year4_LAC_under16="","",Year4_West_Berkshire Year4_LAC_under16)</f>
        <v>106</v>
      </c>
      <c r="AD130" s="577">
        <f>IF(Year5_West_Berkshire Year5_LAC_under16="","",Year5_West_Berkshire Year5_LAC_under16)</f>
        <v>102</v>
      </c>
      <c r="AE130" s="384" t="str">
        <f t="shared" si="47"/>
        <v>West Berkshire</v>
      </c>
      <c r="AF130" s="489">
        <f>IF(Year1_West_Berkshire Year1_LAC_under16_2.5years="","",Year1_West_Berkshire Year1_LAC_under16_2.5years)</f>
        <v>45</v>
      </c>
      <c r="AG130" s="372">
        <f>IF(Year2_West_Berkshire Year2_LAC_under16_2.5years="","",Year2_West_Berkshire Year2_LAC_under16_2.5years)</f>
        <v>55</v>
      </c>
      <c r="AH130" s="372">
        <f>IF(Year3_West_Berkshire Year3_LAC_under16_2.5years="","",Year3_West_Berkshire Year3_LAC_under16_2.5years)</f>
        <v>55</v>
      </c>
      <c r="AI130" s="372">
        <f>IF(Year4_West_Berkshire Year4_LAC_under16_2.5years="","",Year4_West_Berkshire Year4_LAC_under16_2.5years)</f>
        <v>50</v>
      </c>
      <c r="AJ130" s="372">
        <f>IF(Year5_West_Berkshire Year5_LAC_under16_2.5years="","",Year5_West_Berkshire Year5_LAC_under16_2.5years)</f>
        <v>45</v>
      </c>
      <c r="AK130" s="160"/>
    </row>
    <row r="131" spans="1:46" s="87" customFormat="1" ht="12.75" customHeight="1" x14ac:dyDescent="0.2">
      <c r="A131" s="488">
        <f>VLOOKUP(B131,Sheet1!$AQ$4:$AR$25,2,FALSE)</f>
        <v>0</v>
      </c>
      <c r="B131" s="93" t="str">
        <f t="shared" si="39"/>
        <v>West Sussex</v>
      </c>
      <c r="C131" s="85"/>
      <c r="D131" s="162">
        <f t="shared" si="41"/>
        <v>0.37362637362637363</v>
      </c>
      <c r="E131" s="162">
        <f t="shared" si="42"/>
        <v>0.31914893617021278</v>
      </c>
      <c r="F131" s="162">
        <f t="shared" si="43"/>
        <v>0.312</v>
      </c>
      <c r="G131" s="162">
        <f t="shared" si="44"/>
        <v>0.35629921259842517</v>
      </c>
      <c r="H131" s="164">
        <f t="shared" si="45"/>
        <v>0.32055749128919858</v>
      </c>
      <c r="I131" s="96"/>
      <c r="J131" s="96"/>
      <c r="K131" s="166"/>
      <c r="L131" s="166"/>
      <c r="M131" s="166"/>
      <c r="N131" s="166"/>
      <c r="O131" s="166"/>
      <c r="P131" s="166"/>
      <c r="Q131" s="166"/>
      <c r="R131" s="167"/>
      <c r="S131" s="159"/>
      <c r="T131" s="159"/>
      <c r="U131" s="166"/>
      <c r="V131" s="122"/>
      <c r="W131" s="139"/>
      <c r="X131" s="152"/>
      <c r="Y131" s="577" t="str">
        <f t="shared" si="46"/>
        <v>West Sussex</v>
      </c>
      <c r="Z131" s="581">
        <f>IF(Year1_West_Sussex Year1_LAC_under16="","",Year1_West_Sussex Year1_LAC_under16)</f>
        <v>455</v>
      </c>
      <c r="AA131" s="372">
        <f>IF(Year2_West_Sussex Year2_LAC_under16="","",Year2_West_Sussex Year2_LAC_under16)</f>
        <v>470</v>
      </c>
      <c r="AB131" s="372">
        <f>IF(Year3_West_Sussex Year3_LAC_under16="","",Year3_West_Sussex Year3_LAC_under16)</f>
        <v>500</v>
      </c>
      <c r="AC131" s="372">
        <f>IF(Year4_West_Sussex Year4_LAC_under16="","",Year4_West_Sussex Year4_LAC_under16)</f>
        <v>508</v>
      </c>
      <c r="AD131" s="577">
        <f>IF(Year5_West_Sussex Year5_LAC_under16="","",Year5_West_Sussex Year5_LAC_under16)</f>
        <v>574</v>
      </c>
      <c r="AE131" s="384" t="str">
        <f t="shared" si="47"/>
        <v>West Sussex</v>
      </c>
      <c r="AF131" s="489">
        <f>IF(Year1_West_Sussex Year1_LAC_under16_2.5years="","",Year1_West_Sussex Year1_LAC_under16_2.5years)</f>
        <v>170</v>
      </c>
      <c r="AG131" s="372">
        <f>IF(Year2_West_Sussex Year2_LAC_under16_2.5years="","",Year2_West_Sussex Year2_LAC_under16_2.5years)</f>
        <v>150</v>
      </c>
      <c r="AH131" s="372">
        <f>IF(Year3_West_Sussex Year3_LAC_under16_2.5years="","",Year3_West_Sussex Year3_LAC_under16_2.5years)</f>
        <v>156</v>
      </c>
      <c r="AI131" s="372">
        <f>IF(Year4_West_Sussex Year4_LAC_under16_2.5years="","",Year4_West_Sussex Year4_LAC_under16_2.5years)</f>
        <v>181</v>
      </c>
      <c r="AJ131" s="372">
        <f>IF(Year5_West_Sussex Year5_LAC_under16_2.5years="","",Year5_West_Sussex Year5_LAC_under16_2.5years)</f>
        <v>184</v>
      </c>
      <c r="AK131" s="160"/>
    </row>
    <row r="132" spans="1:46" s="87" customFormat="1" ht="12.75" customHeight="1" x14ac:dyDescent="0.2">
      <c r="A132" s="488">
        <f>VLOOKUP(B132,Sheet1!$AQ$4:$AR$25,2,FALSE)</f>
        <v>0</v>
      </c>
      <c r="B132" s="93" t="str">
        <f t="shared" si="39"/>
        <v>Windsor &amp; Maidenhead</v>
      </c>
      <c r="C132" s="85"/>
      <c r="D132" s="162">
        <f t="shared" si="41"/>
        <v>0.7</v>
      </c>
      <c r="E132" s="162">
        <f t="shared" si="42"/>
        <v>0.60344827586206895</v>
      </c>
      <c r="F132" s="162">
        <f t="shared" si="43"/>
        <v>0.50819672131147542</v>
      </c>
      <c r="G132" s="162">
        <f t="shared" si="44"/>
        <v>0.37313432835820898</v>
      </c>
      <c r="H132" s="164">
        <f t="shared" si="45"/>
        <v>0.46875</v>
      </c>
      <c r="I132" s="96"/>
      <c r="J132" s="96"/>
      <c r="K132" s="166"/>
      <c r="L132" s="166"/>
      <c r="M132" s="166"/>
      <c r="N132" s="166"/>
      <c r="O132" s="166"/>
      <c r="P132" s="166"/>
      <c r="Q132" s="166"/>
      <c r="R132" s="167"/>
      <c r="S132" s="159"/>
      <c r="T132" s="159"/>
      <c r="U132" s="166"/>
      <c r="V132" s="122"/>
      <c r="W132" s="139"/>
      <c r="X132" s="152"/>
      <c r="Y132" s="577" t="str">
        <f t="shared" si="46"/>
        <v>Windsor &amp; Maidenhead</v>
      </c>
      <c r="Z132" s="581">
        <f>IF(Year1_Windsor_Maidenhead Year1_LAC_under16="","",Year1_Windsor_Maidenhead Year1_LAC_under16)</f>
        <v>50</v>
      </c>
      <c r="AA132" s="372">
        <f>IF(Year2_Windsor_Maidenhead Year2_LAC_under16="","",Year2_Windsor_Maidenhead Year2_LAC_under16)</f>
        <v>58</v>
      </c>
      <c r="AB132" s="372">
        <f>IF(Year3_Windsor_Maidenhead Year3_LAC_under16="","",Year3_Windsor_Maidenhead Year3_LAC_under16)</f>
        <v>61</v>
      </c>
      <c r="AC132" s="372">
        <f>IF(Year4_Windsor_Maidenhead Year4_LAC_under16="","",Year4_Windsor_Maidenhead Year4_LAC_under16)</f>
        <v>67</v>
      </c>
      <c r="AD132" s="577">
        <f>IF(Year5_Windsor_Maidenhead Year5_LAC_under16="","",Year5_Windsor_Maidenhead Year5_LAC_under16)</f>
        <v>64</v>
      </c>
      <c r="AE132" s="384" t="str">
        <f t="shared" si="47"/>
        <v>Windsor &amp; Maidenhead</v>
      </c>
      <c r="AF132" s="489">
        <f>IF(Year1_Windsor_Maidenhead Year1_LAC_under16_2.5years="","",Year1_Windsor_Maidenhead Year1_LAC_under16_2.5years)</f>
        <v>35</v>
      </c>
      <c r="AG132" s="372">
        <f>IF(Year2_Windsor_Maidenhead Year2_LAC_under16_2.5years="","",Year2_Windsor_Maidenhead Year2_LAC_under16_2.5years)</f>
        <v>35</v>
      </c>
      <c r="AH132" s="372">
        <f>IF(Year3_Windsor_Maidenhead Year3_LAC_under16_2.5years="","",Year3_Windsor_Maidenhead Year3_LAC_under16_2.5years)</f>
        <v>31</v>
      </c>
      <c r="AI132" s="372">
        <f>IF(Year4_Windsor_Maidenhead Year4_LAC_under16_2.5years="","",Year4_Windsor_Maidenhead Year4_LAC_under16_2.5years)</f>
        <v>25</v>
      </c>
      <c r="AJ132" s="372">
        <f>IF(Year5_Windsor_Maidenhead Year5_LAC_under16_2.5years="","",Year5_Windsor_Maidenhead Year5_LAC_under16_2.5years)</f>
        <v>30</v>
      </c>
      <c r="AK132" s="160"/>
    </row>
    <row r="133" spans="1:46" s="87" customFormat="1" ht="12.75" customHeight="1" x14ac:dyDescent="0.2">
      <c r="A133" s="488">
        <f>VLOOKUP(B133,Sheet1!$AQ$4:$AR$25,2,FALSE)</f>
        <v>0</v>
      </c>
      <c r="B133" s="93" t="str">
        <f t="shared" si="39"/>
        <v>Wokingham</v>
      </c>
      <c r="C133" s="85"/>
      <c r="D133" s="162">
        <f t="shared" si="41"/>
        <v>0.4</v>
      </c>
      <c r="E133" s="162">
        <f t="shared" si="42"/>
        <v>0.60606060606060608</v>
      </c>
      <c r="F133" s="162">
        <f t="shared" si="43"/>
        <v>0.2857142857142857</v>
      </c>
      <c r="G133" s="162">
        <f t="shared" si="44"/>
        <v>0.20547945205479451</v>
      </c>
      <c r="H133" s="164">
        <f t="shared" si="45"/>
        <v>0.24489795918367346</v>
      </c>
      <c r="I133" s="96"/>
      <c r="J133" s="96"/>
      <c r="K133" s="166"/>
      <c r="L133" s="166"/>
      <c r="M133" s="166"/>
      <c r="N133" s="166"/>
      <c r="O133" s="166"/>
      <c r="P133" s="166"/>
      <c r="Q133" s="166"/>
      <c r="R133" s="167"/>
      <c r="S133" s="159"/>
      <c r="T133" s="159"/>
      <c r="U133" s="166"/>
      <c r="V133" s="122"/>
      <c r="W133" s="139"/>
      <c r="X133" s="152"/>
      <c r="Y133" s="577" t="str">
        <f t="shared" si="46"/>
        <v>Wokingham</v>
      </c>
      <c r="Z133" s="581">
        <f>IF(Year1_Wokingham Year1_LAC_under16="","",Year1_Wokingham Year1_LAC_under16)</f>
        <v>50</v>
      </c>
      <c r="AA133" s="372">
        <f>IF(Year2_Wokingham Year2_LAC_under16="","",Year2_Wokingham Year2_LAC_under16)</f>
        <v>33</v>
      </c>
      <c r="AB133" s="372">
        <f>IF(Year3_Wokingham Year3_LAC_under16="","",Year3_Wokingham Year3_LAC_under16)</f>
        <v>70</v>
      </c>
      <c r="AC133" s="372">
        <f>IF(Year4_Wokingham Year4_LAC_under16="","",Year4_Wokingham Year4_LAC_under16)</f>
        <v>73</v>
      </c>
      <c r="AD133" s="577">
        <f>IF(Year5_Wokingham Year5_LAC_under16="","",Year5_Wokingham Year5_LAC_under16)</f>
        <v>49</v>
      </c>
      <c r="AE133" s="384" t="str">
        <f t="shared" si="47"/>
        <v>Wokingham</v>
      </c>
      <c r="AF133" s="489">
        <f>IF(Year1_Wokingham Year1_LAC_under16_2.5years="","",Year1_Wokingham Year1_LAC_under16_2.5years)</f>
        <v>20</v>
      </c>
      <c r="AG133" s="372">
        <f>IF(Year2_Wokingham Year2_LAC_under16_2.5years="","",Year2_Wokingham Year2_LAC_under16_2.5years)</f>
        <v>20</v>
      </c>
      <c r="AH133" s="372">
        <f>IF(Year3_Wokingham Year3_LAC_under16_2.5years="","",Year3_Wokingham Year3_LAC_under16_2.5years)</f>
        <v>20</v>
      </c>
      <c r="AI133" s="372">
        <f>IF(Year4_Wokingham Year4_LAC_under16_2.5years="","",Year4_Wokingham Year4_LAC_under16_2.5years)</f>
        <v>15</v>
      </c>
      <c r="AJ133" s="372">
        <f>IF(Year5_Wokingham Year5_LAC_under16_2.5years="","",Year5_Wokingham Year5_LAC_under16_2.5years)</f>
        <v>12</v>
      </c>
      <c r="AK133" s="160"/>
    </row>
    <row r="134" spans="1:46" s="87" customFormat="1" ht="12.75" x14ac:dyDescent="0.2">
      <c r="A134" s="121"/>
      <c r="B134" s="129" t="str">
        <f t="shared" si="39"/>
        <v>South East</v>
      </c>
      <c r="C134" s="85"/>
      <c r="D134" s="163">
        <f t="shared" si="41"/>
        <v>0.40876944837340878</v>
      </c>
      <c r="E134" s="163">
        <f t="shared" si="42"/>
        <v>0.4102920723226704</v>
      </c>
      <c r="F134" s="163">
        <f t="shared" si="43"/>
        <v>0.41342281879194631</v>
      </c>
      <c r="G134" s="163">
        <f t="shared" si="44"/>
        <v>0.42932628797886396</v>
      </c>
      <c r="H134" s="165">
        <f t="shared" si="45"/>
        <v>0.45193207648081296</v>
      </c>
      <c r="I134" s="96"/>
      <c r="J134" s="96"/>
      <c r="K134" s="168"/>
      <c r="L134" s="168"/>
      <c r="M134" s="168"/>
      <c r="N134" s="168"/>
      <c r="O134" s="168"/>
      <c r="P134" s="168"/>
      <c r="Q134" s="168"/>
      <c r="R134" s="169"/>
      <c r="S134" s="159"/>
      <c r="T134" s="159"/>
      <c r="U134" s="170"/>
      <c r="V134" s="122"/>
      <c r="W134" s="139"/>
      <c r="X134" s="152"/>
      <c r="Y134" s="577" t="str">
        <f>B134</f>
        <v>South East</v>
      </c>
      <c r="Z134" s="606">
        <f>IF(Year1_SouthEast Year1_LAC_under16="","",Year1_SouthEast Year1_LAC_under16)</f>
        <v>7070</v>
      </c>
      <c r="AA134" s="607">
        <f>IF(Year2_SouthEast Year2_LAC_under16="","",Year2_SouthEast Year2_LAC_under16)</f>
        <v>7190</v>
      </c>
      <c r="AB134" s="607">
        <f>IF(Year3_SouthEast Year3_LAC_under16="","",Year3_SouthEast Year3_LAC_under16)</f>
        <v>7450</v>
      </c>
      <c r="AC134" s="372">
        <f>IF(Year4_SouthEast Year4_LAC_under16="","",Year4_SouthEast Year4_LAC_under16)</f>
        <v>7570</v>
      </c>
      <c r="AD134" s="577">
        <f>IF(Year5_SouthEast Year5_LAC_under16="","",Year5_SouthEast Year5_LAC_under16)</f>
        <v>7479</v>
      </c>
      <c r="AE134" s="384" t="str">
        <f t="shared" si="47"/>
        <v>South East</v>
      </c>
      <c r="AF134" s="580">
        <f>IF(Year1_SouthEast Year1_LAC_under16_2.5years="","",Year1_SouthEast Year1_LAC_under16_2.5years)</f>
        <v>2890</v>
      </c>
      <c r="AG134" s="580">
        <f>IF(Year2_SouthEast Year2_LAC_under16_2.5years="","",Year2_SouthEast Year2_LAC_under16_2.5years)</f>
        <v>2950</v>
      </c>
      <c r="AH134" s="580">
        <f>IF(Year3_SouthEast Year3_LAC_under16_2.5years="","",Year3_SouthEast Year3_LAC_under16_2.5years)</f>
        <v>3080</v>
      </c>
      <c r="AI134" s="580">
        <f>IF(Year4_SouthEast Year4_LAC_under16_2.5years="","",Year4_SouthEast Year4_LAC_under16_2.5years)</f>
        <v>3250</v>
      </c>
      <c r="AJ134" s="580">
        <f>IF(Year5_SouthEast Year5_LAC_under16_2.5years="","",Year5_SouthEast Year5_LAC_under16_2.5years)</f>
        <v>3380</v>
      </c>
      <c r="AK134" s="160"/>
    </row>
    <row r="135" spans="1:46" s="87" customFormat="1" ht="12.75" x14ac:dyDescent="0.2">
      <c r="A135" s="121"/>
      <c r="B135" s="329" t="str">
        <f t="shared" si="39"/>
        <v>England</v>
      </c>
      <c r="C135" s="85"/>
      <c r="D135" s="351">
        <f t="shared" si="41"/>
        <v>0.43785886275236152</v>
      </c>
      <c r="E135" s="351">
        <f t="shared" si="42"/>
        <v>0.43178141290670502</v>
      </c>
      <c r="F135" s="351">
        <f t="shared" si="43"/>
        <v>0.44364551500988675</v>
      </c>
      <c r="G135" s="351">
        <f t="shared" si="44"/>
        <v>0.43074606891937101</v>
      </c>
      <c r="H135" s="352">
        <f t="shared" si="45"/>
        <v>0.44553644553644556</v>
      </c>
      <c r="I135" s="96"/>
      <c r="J135" s="96"/>
      <c r="K135" s="168"/>
      <c r="L135" s="168"/>
      <c r="M135" s="168"/>
      <c r="N135" s="168"/>
      <c r="O135" s="168"/>
      <c r="P135" s="168"/>
      <c r="Q135" s="168"/>
      <c r="R135" s="169"/>
      <c r="S135" s="159"/>
      <c r="T135" s="159"/>
      <c r="U135" s="170"/>
      <c r="V135" s="122"/>
      <c r="W135" s="139"/>
      <c r="X135" s="152"/>
      <c r="Y135" s="577" t="str">
        <f t="shared" si="46"/>
        <v>England</v>
      </c>
      <c r="Z135" s="606">
        <f>IF(Year1_England Year1_LAC_under16="","",Year1_England Year1_LAC_under16)</f>
        <v>53990</v>
      </c>
      <c r="AA135" s="607">
        <f>IF(Year2_England Year2_LAC_under16="","",Year2_England Year2_LAC_under16)</f>
        <v>55630</v>
      </c>
      <c r="AB135" s="607">
        <f>IF(Year3_England Year3_LAC_under16="","",Year3_England Year3_LAC_under16)</f>
        <v>55630</v>
      </c>
      <c r="AC135" s="372">
        <f>IF(Year4_England Year4_LAC_under16="","",Year4_England Year4_LAC_under16)</f>
        <v>59780</v>
      </c>
      <c r="AD135" s="577">
        <f>IF(Year5_England Year5_LAC_under16="","",Year5_England Year5_LAC_under16)</f>
        <v>61050</v>
      </c>
      <c r="AE135" s="384" t="str">
        <f t="shared" si="47"/>
        <v>England</v>
      </c>
      <c r="AF135" s="580">
        <f>IF(Year1_England Year1_LAC_under16_2.5years="","",Year1_England Year1_LAC_under16_2.5years)</f>
        <v>23640</v>
      </c>
      <c r="AG135" s="580">
        <f>IF(Year2_England Year2_LAC_under16_2.5years="","",Year2_England Year2_LAC_under16_2.5years)</f>
        <v>24020</v>
      </c>
      <c r="AH135" s="580">
        <f>IF(Year3_England Year3_LAC_under16_2.5years="","",Year3_England Year3_LAC_under16_2.5years)</f>
        <v>24680</v>
      </c>
      <c r="AI135" s="372">
        <f>IF(Year4_England Year4_LAC_under16_2.5years="","",Year4_England Year4_LAC_under16_2.5years)</f>
        <v>25750</v>
      </c>
      <c r="AJ135" s="372">
        <f>IF(Year5_England Year5_LAC_under16_2.5years="","",Year5_England Year5_LAC_under16_2.5years)</f>
        <v>27200</v>
      </c>
      <c r="AK135" s="160"/>
    </row>
    <row r="136" spans="1:46" s="87" customFormat="1" ht="7.5" customHeight="1" x14ac:dyDescent="0.2">
      <c r="A136" s="292"/>
      <c r="B136" s="96"/>
      <c r="C136" s="96"/>
      <c r="D136" s="96"/>
      <c r="E136" s="96"/>
      <c r="F136" s="96"/>
      <c r="G136" s="96"/>
      <c r="H136" s="96"/>
      <c r="I136" s="96"/>
      <c r="J136" s="96"/>
      <c r="K136" s="168"/>
      <c r="L136" s="168"/>
      <c r="M136" s="168"/>
      <c r="N136" s="168"/>
      <c r="O136" s="168"/>
      <c r="P136" s="168"/>
      <c r="Q136" s="168"/>
      <c r="R136" s="169"/>
      <c r="S136" s="159"/>
      <c r="T136" s="159"/>
      <c r="U136" s="170"/>
      <c r="V136" s="122"/>
      <c r="W136" s="139"/>
      <c r="X136" s="152"/>
      <c r="Y136" s="188"/>
      <c r="Z136" s="188"/>
      <c r="AA136" s="81"/>
      <c r="AB136" s="81"/>
      <c r="AC136" s="81"/>
      <c r="AD136" s="81"/>
      <c r="AE136" s="81"/>
      <c r="AF136" s="202"/>
      <c r="AG136" s="202"/>
      <c r="AH136" s="202"/>
      <c r="AI136" s="190"/>
      <c r="AJ136" s="202"/>
      <c r="AK136" s="160"/>
    </row>
    <row r="137" spans="1:46" s="81" customFormat="1" ht="38.25" customHeight="1" x14ac:dyDescent="0.2">
      <c r="A137" s="217"/>
      <c r="B137" s="380"/>
      <c r="C137" s="380"/>
      <c r="D137" s="380"/>
      <c r="E137" s="380"/>
      <c r="F137" s="380"/>
      <c r="G137" s="380"/>
      <c r="H137" s="380"/>
      <c r="I137" s="380"/>
      <c r="J137" s="172"/>
      <c r="K137" s="172"/>
      <c r="L137" s="172"/>
      <c r="M137" s="172"/>
      <c r="N137" s="172"/>
      <c r="O137" s="172"/>
      <c r="P137" s="172"/>
      <c r="Q137" s="172"/>
      <c r="R137" s="136"/>
      <c r="S137" s="172"/>
      <c r="T137" s="172"/>
      <c r="U137" s="172"/>
      <c r="V137" s="117"/>
      <c r="W137" s="137"/>
      <c r="X137" s="150"/>
      <c r="AD137" s="197"/>
      <c r="AE137" s="199"/>
      <c r="AF137" s="184"/>
      <c r="AG137" s="184"/>
      <c r="AH137" s="184"/>
      <c r="AJ137" s="184"/>
      <c r="AK137" s="161"/>
    </row>
    <row r="138" spans="1:46" s="81" customFormat="1" ht="39" customHeight="1" x14ac:dyDescent="0.2">
      <c r="A138" s="217"/>
      <c r="B138" s="380"/>
      <c r="C138" s="380"/>
      <c r="D138" s="380"/>
      <c r="E138" s="380"/>
      <c r="F138" s="380"/>
      <c r="G138" s="380"/>
      <c r="H138" s="380"/>
      <c r="I138" s="380"/>
      <c r="J138" s="172"/>
      <c r="K138" s="172"/>
      <c r="L138" s="172"/>
      <c r="M138" s="172"/>
      <c r="N138" s="172"/>
      <c r="O138" s="172"/>
      <c r="P138" s="172"/>
      <c r="Q138" s="172"/>
      <c r="R138" s="136"/>
      <c r="S138" s="172"/>
      <c r="T138" s="172"/>
      <c r="U138" s="172"/>
      <c r="V138" s="117"/>
      <c r="W138" s="137"/>
      <c r="X138" s="150"/>
      <c r="Z138" s="190"/>
      <c r="AE138" s="199"/>
      <c r="AF138" s="184"/>
      <c r="AG138" s="184"/>
      <c r="AH138" s="184"/>
      <c r="AJ138" s="184"/>
      <c r="AK138" s="161"/>
    </row>
    <row r="139" spans="1:46" s="81" customFormat="1" ht="38.25" customHeight="1" x14ac:dyDescent="0.2">
      <c r="A139" s="217"/>
      <c r="B139" s="380"/>
      <c r="C139" s="380"/>
      <c r="D139" s="380"/>
      <c r="E139" s="380"/>
      <c r="F139" s="380"/>
      <c r="G139" s="380"/>
      <c r="H139" s="380"/>
      <c r="I139" s="380"/>
      <c r="J139" s="172"/>
      <c r="K139" s="172"/>
      <c r="L139" s="172"/>
      <c r="M139" s="172"/>
      <c r="N139" s="172"/>
      <c r="O139" s="172"/>
      <c r="P139" s="172"/>
      <c r="Q139" s="172"/>
      <c r="R139" s="136"/>
      <c r="S139" s="172"/>
      <c r="T139" s="172"/>
      <c r="U139" s="172"/>
      <c r="V139" s="117"/>
      <c r="W139" s="137"/>
      <c r="X139" s="150"/>
      <c r="Z139" s="190"/>
      <c r="AE139" s="199"/>
      <c r="AF139" s="184"/>
      <c r="AG139" s="184"/>
      <c r="AH139" s="184"/>
      <c r="AJ139" s="184"/>
      <c r="AK139" s="161"/>
    </row>
    <row r="140" spans="1:46" s="81" customFormat="1" ht="7.5" customHeight="1" x14ac:dyDescent="0.2">
      <c r="A140" s="118"/>
      <c r="B140" s="17"/>
      <c r="C140" s="17"/>
      <c r="D140" s="16"/>
      <c r="E140" s="16"/>
      <c r="F140" s="16"/>
      <c r="G140" s="16"/>
      <c r="H140" s="16"/>
      <c r="I140" s="16"/>
      <c r="J140" s="12"/>
      <c r="K140" s="18"/>
      <c r="L140" s="18"/>
      <c r="M140" s="18"/>
      <c r="N140" s="18"/>
      <c r="O140" s="18"/>
      <c r="P140" s="18"/>
      <c r="Q140" s="18"/>
      <c r="R140" s="18"/>
      <c r="S140" s="18"/>
      <c r="T140" s="18"/>
      <c r="U140" s="19"/>
      <c r="V140" s="117"/>
      <c r="W140" s="137"/>
      <c r="X140" s="150"/>
      <c r="Z140" s="190"/>
      <c r="AJ140" s="184"/>
      <c r="AK140" s="157"/>
      <c r="AL140" s="74"/>
      <c r="AM140" s="74"/>
      <c r="AN140" s="74"/>
      <c r="AO140" s="74"/>
      <c r="AP140" s="74"/>
      <c r="AQ140" s="74"/>
      <c r="AR140" s="74"/>
    </row>
    <row r="141" spans="1:46" s="81" customFormat="1" ht="15" customHeight="1" x14ac:dyDescent="0.2">
      <c r="A141" s="1716"/>
      <c r="B141" s="1760"/>
      <c r="C141" s="1760"/>
      <c r="D141" s="1760"/>
      <c r="E141" s="1760"/>
      <c r="F141" s="1760"/>
      <c r="G141" s="1760"/>
      <c r="H141" s="1760"/>
      <c r="I141" s="1760"/>
      <c r="J141" s="1760"/>
      <c r="K141" s="1760"/>
      <c r="L141" s="1760"/>
      <c r="M141" s="1760"/>
      <c r="N141" s="1760"/>
      <c r="O141" s="1760"/>
      <c r="P141" s="1760"/>
      <c r="Q141" s="1760"/>
      <c r="R141" s="1760"/>
      <c r="S141" s="1760"/>
      <c r="T141" s="1760"/>
      <c r="U141" s="1760"/>
      <c r="V141" s="1761"/>
      <c r="W141" s="137"/>
      <c r="X141" s="150"/>
      <c r="AK141" s="161"/>
      <c r="AT141" s="74"/>
    </row>
    <row r="142" spans="1:46" s="81" customFormat="1" ht="11.25" customHeight="1" x14ac:dyDescent="0.2">
      <c r="A142" s="1765" t="str">
        <f>Home!$A$39</f>
        <v xml:space="preserve"> </v>
      </c>
      <c r="B142" s="1766"/>
      <c r="C142" s="1766"/>
      <c r="D142" s="1766"/>
      <c r="E142" s="1766"/>
      <c r="F142" s="1766"/>
      <c r="G142" s="1766"/>
      <c r="H142" s="1766"/>
      <c r="I142" s="1767"/>
      <c r="J142" s="1766"/>
      <c r="K142" s="1766"/>
      <c r="L142" s="1766"/>
      <c r="M142" s="1766"/>
      <c r="N142" s="1766"/>
      <c r="O142" s="1766"/>
      <c r="P142" s="1768"/>
      <c r="Q142" s="1766"/>
      <c r="R142" s="1766"/>
      <c r="S142" s="1766"/>
      <c r="T142" s="1767"/>
      <c r="U142" s="1766"/>
      <c r="V142" s="1769"/>
      <c r="W142" s="137"/>
      <c r="X142" s="150"/>
      <c r="AJ142" s="184"/>
      <c r="AK142" s="160"/>
      <c r="AL142" s="87"/>
      <c r="AT142" s="74"/>
    </row>
    <row r="143" spans="1:46" ht="11.25" customHeight="1" x14ac:dyDescent="0.2">
      <c r="A143" s="112"/>
      <c r="B143" s="113"/>
      <c r="C143" s="113"/>
      <c r="D143" s="113"/>
      <c r="E143" s="113"/>
      <c r="F143" s="113"/>
      <c r="G143" s="113"/>
      <c r="H143" s="113"/>
      <c r="I143" s="113"/>
      <c r="J143" s="114"/>
      <c r="K143" s="113"/>
      <c r="L143" s="113"/>
      <c r="M143" s="113"/>
      <c r="N143" s="113"/>
      <c r="O143" s="113"/>
      <c r="P143" s="113"/>
      <c r="Q143" s="113"/>
      <c r="R143" s="113"/>
      <c r="S143" s="113"/>
      <c r="T143" s="113"/>
      <c r="U143" s="113"/>
      <c r="V143" s="115"/>
      <c r="W143" s="137"/>
      <c r="X143" s="150"/>
      <c r="Y143" s="198"/>
      <c r="Z143" s="196"/>
      <c r="AA143" s="188"/>
      <c r="AJ143" s="184"/>
      <c r="AK143" s="161"/>
    </row>
    <row r="144" spans="1:46" s="76" customFormat="1" ht="15" customHeight="1" x14ac:dyDescent="0.2">
      <c r="A144" s="119"/>
      <c r="B144" s="1922" t="str">
        <f>"Children Looked After for 2.5+ years"&amp;Z1 &amp;" who had been  living in the same placement for at least 2 years (%)"</f>
        <v>Children Looked After for 2.5+ years at 31st March who had been  living in the same placement for at least 2 years (%)</v>
      </c>
      <c r="C144" s="1922"/>
      <c r="D144" s="1922"/>
      <c r="E144" s="1922"/>
      <c r="F144" s="1922"/>
      <c r="G144" s="1922"/>
      <c r="H144" s="1922"/>
      <c r="I144" s="1922"/>
      <c r="J144" s="70"/>
      <c r="K144" s="70"/>
      <c r="L144" s="70"/>
      <c r="M144" s="70"/>
      <c r="N144" s="373"/>
      <c r="O144" s="70"/>
      <c r="P144" s="70"/>
      <c r="Q144" s="70"/>
      <c r="R144" s="70"/>
      <c r="S144" s="70"/>
      <c r="T144" s="70"/>
      <c r="U144" s="70"/>
      <c r="V144" s="120"/>
      <c r="W144" s="138"/>
      <c r="X144" s="151"/>
      <c r="Y144" s="381" t="s">
        <v>152</v>
      </c>
      <c r="Z144" s="382"/>
      <c r="AA144" s="383"/>
      <c r="AB144" s="383"/>
      <c r="AC144" s="383"/>
      <c r="AD144" s="596"/>
      <c r="AE144" s="381"/>
      <c r="AF144" s="382"/>
      <c r="AG144" s="383"/>
      <c r="AH144" s="383"/>
      <c r="AI144" s="383"/>
      <c r="AJ144" s="596"/>
      <c r="AK144" s="160"/>
    </row>
    <row r="145" spans="1:45" ht="15" customHeight="1" thickBot="1" x14ac:dyDescent="0.25">
      <c r="A145" s="118"/>
      <c r="B145" s="1922"/>
      <c r="C145" s="1922"/>
      <c r="D145" s="1922"/>
      <c r="E145" s="1922"/>
      <c r="F145" s="1922"/>
      <c r="G145" s="1922"/>
      <c r="H145" s="1922"/>
      <c r="I145" s="1922"/>
      <c r="J145" s="70"/>
      <c r="K145" s="70"/>
      <c r="L145" s="70"/>
      <c r="M145" s="70"/>
      <c r="N145" s="373"/>
      <c r="O145" s="70"/>
      <c r="P145" s="70"/>
      <c r="Q145" s="70"/>
      <c r="R145" s="10"/>
      <c r="S145" s="70"/>
      <c r="T145" s="70"/>
      <c r="U145" s="70"/>
      <c r="V145" s="117"/>
      <c r="W145" s="137"/>
      <c r="X145" s="150"/>
      <c r="Y145" s="383"/>
      <c r="Z145" s="382"/>
      <c r="AA145" s="383"/>
      <c r="AB145" s="383"/>
      <c r="AC145" s="383"/>
      <c r="AD145" s="596"/>
      <c r="AE145" s="381"/>
      <c r="AF145" s="382"/>
      <c r="AG145" s="383"/>
      <c r="AH145" s="383"/>
      <c r="AI145" s="383"/>
      <c r="AJ145" s="596"/>
      <c r="AK145" s="161"/>
    </row>
    <row r="146" spans="1:45" ht="13.5" customHeight="1" x14ac:dyDescent="0.2">
      <c r="A146" s="278"/>
      <c r="B146" s="1771" t="s">
        <v>205</v>
      </c>
      <c r="C146" s="921"/>
      <c r="D146" s="789" t="str">
        <f>Sheet1!$D$27</f>
        <v>2015-16</v>
      </c>
      <c r="E146" s="790" t="str">
        <f>Sheet1!$E$27</f>
        <v>2016-17</v>
      </c>
      <c r="F146" s="790" t="str">
        <f>Sheet1!$F$27</f>
        <v>2017-18</v>
      </c>
      <c r="G146" s="790" t="str">
        <f>Sheet1!$G$27</f>
        <v>2018-19</v>
      </c>
      <c r="H146" s="791" t="str">
        <f>Sheet1!$H$27</f>
        <v>2019-20</v>
      </c>
      <c r="I146" s="921"/>
      <c r="J146" s="70"/>
      <c r="K146" s="70"/>
      <c r="L146" s="70"/>
      <c r="M146" s="70"/>
      <c r="N146" s="918"/>
      <c r="O146" s="70"/>
      <c r="P146" s="70"/>
      <c r="Q146" s="70"/>
      <c r="R146" s="10"/>
      <c r="S146" s="70"/>
      <c r="T146" s="70"/>
      <c r="U146" s="70"/>
      <c r="V146" s="117"/>
      <c r="W146" s="137"/>
      <c r="X146" s="150"/>
      <c r="Y146" s="383"/>
      <c r="Z146" s="800" t="str">
        <f>IF(Sheet1!$C$3="Annual","",Sheet1!$D$28)</f>
        <v/>
      </c>
      <c r="AA146" s="801" t="str">
        <f>IF(Sheet1!$C$3="Annual","",Sheet1!$E$28)</f>
        <v/>
      </c>
      <c r="AB146" s="801" t="str">
        <f>IF(Sheet1!$C$3="Annual","",Sheet1!$F$28)</f>
        <v/>
      </c>
      <c r="AC146" s="801" t="str">
        <f>IF(Sheet1!$C$3="Annual","",Sheet1!$G$28)</f>
        <v/>
      </c>
      <c r="AD146" s="802" t="str">
        <f>IF(Sheet1!$C$3="Annual","",Sheet1!$H$28)</f>
        <v/>
      </c>
      <c r="AE146" s="381"/>
      <c r="AF146" s="382"/>
      <c r="AG146" s="383"/>
      <c r="AH146" s="383"/>
      <c r="AI146" s="383"/>
      <c r="AJ146" s="596"/>
      <c r="AK146" s="161"/>
    </row>
    <row r="147" spans="1:45" s="87" customFormat="1" ht="13.5" customHeight="1" thickBot="1" x14ac:dyDescent="0.25">
      <c r="A147" s="121"/>
      <c r="B147" s="1772"/>
      <c r="C147" s="85"/>
      <c r="D147" s="792" t="e">
        <f>Sheet1!$D$28</f>
        <v>#N/A</v>
      </c>
      <c r="E147" s="792" t="e">
        <f>Sheet1!$E$28</f>
        <v>#N/A</v>
      </c>
      <c r="F147" s="792" t="e">
        <f>Sheet1!$F$28</f>
        <v>#N/A</v>
      </c>
      <c r="G147" s="792" t="e">
        <f>Sheet1!$G$28</f>
        <v>#N/A</v>
      </c>
      <c r="H147" s="793" t="e">
        <f>Sheet1!$H$28</f>
        <v>#N/A</v>
      </c>
      <c r="I147" s="96"/>
      <c r="J147" s="96"/>
      <c r="K147" s="61"/>
      <c r="L147" s="61"/>
      <c r="M147" s="61"/>
      <c r="N147" s="61"/>
      <c r="O147" s="61"/>
      <c r="P147" s="61"/>
      <c r="Q147" s="379"/>
      <c r="R147" s="379"/>
      <c r="S147" s="159"/>
      <c r="T147" s="159"/>
      <c r="U147" s="378"/>
      <c r="V147" s="122"/>
      <c r="W147" s="139"/>
      <c r="X147" s="152"/>
      <c r="Y147" s="372"/>
      <c r="Z147" s="803" t="str">
        <f>Sheet1!$D$27</f>
        <v>2015-16</v>
      </c>
      <c r="AA147" s="804" t="str">
        <f>Sheet1!$E$27</f>
        <v>2016-17</v>
      </c>
      <c r="AB147" s="804" t="str">
        <f>Sheet1!$F$27</f>
        <v>2017-18</v>
      </c>
      <c r="AC147" s="804" t="str">
        <f>Sheet1!$G$27</f>
        <v>2018-19</v>
      </c>
      <c r="AD147" s="805" t="str">
        <f>Sheet1!$H$27</f>
        <v>2019-20</v>
      </c>
      <c r="AE147" s="381"/>
      <c r="AF147" s="382"/>
      <c r="AG147" s="383"/>
      <c r="AH147" s="383"/>
      <c r="AI147" s="383"/>
      <c r="AJ147" s="596"/>
      <c r="AK147" s="160"/>
    </row>
    <row r="148" spans="1:45" s="87" customFormat="1" ht="12.75" customHeight="1" x14ac:dyDescent="0.2">
      <c r="A148" s="488">
        <f>VLOOKUP(B148,Sheet1!$AQ$4:$AR$25,2,FALSE)</f>
        <v>0</v>
      </c>
      <c r="B148" s="93" t="str">
        <f t="shared" ref="B148:B171" si="48">B10</f>
        <v>Bracknell Forest</v>
      </c>
      <c r="C148" s="85"/>
      <c r="D148" s="162">
        <f t="shared" ref="D148:D171" si="49">IF(AND(ISNUMBER(Z148),ISNUMBER(AF112)),Z148/AF112,NA())</f>
        <v>0.6</v>
      </c>
      <c r="E148" s="162">
        <f t="shared" ref="E148:H148" si="50">IF(AND(ISNUMBER(AA148),ISNUMBER(AG112)),AA148/AG112,NA())</f>
        <v>0.5714285714285714</v>
      </c>
      <c r="F148" s="162">
        <f t="shared" si="50"/>
        <v>0.56000000000000005</v>
      </c>
      <c r="G148" s="162">
        <f t="shared" si="50"/>
        <v>0.64516129032258063</v>
      </c>
      <c r="H148" s="164">
        <f t="shared" si="50"/>
        <v>0.51219512195121952</v>
      </c>
      <c r="I148" s="96"/>
      <c r="J148" s="96"/>
      <c r="K148" s="166"/>
      <c r="L148" s="166"/>
      <c r="M148" s="166"/>
      <c r="N148" s="166"/>
      <c r="O148" s="166"/>
      <c r="P148" s="166"/>
      <c r="Q148" s="166"/>
      <c r="R148" s="167"/>
      <c r="S148" s="159"/>
      <c r="T148" s="159"/>
      <c r="U148" s="166"/>
      <c r="V148" s="122"/>
      <c r="W148" s="139"/>
      <c r="X148" s="152"/>
      <c r="Y148" s="372" t="str">
        <f>B148</f>
        <v>Bracknell Forest</v>
      </c>
      <c r="Z148" s="489">
        <f>IF(Year1_Bracknell_Forest Year1_LAC_under16_2.5years_sameplacement2years="","",Year1_Bracknell_Forest Year1_LAC_under16_2.5years_sameplacement2years)</f>
        <v>15</v>
      </c>
      <c r="AA148" s="372">
        <f>IF(Year2_Bracknell_Forest Year2_LAC_under16_2.5years_sameplacement2years="","",Year2_Bracknell_Forest Year2_LAC_under16_2.5years_sameplacement2years)</f>
        <v>20</v>
      </c>
      <c r="AB148" s="372">
        <f>IF(Year3_Bracknell_Forest Year3_LAC_under16_2.5years_sameplacement2years="","",Year3_Bracknell_Forest Year3_LAC_under16_2.5years_sameplacement2years)</f>
        <v>14</v>
      </c>
      <c r="AC148" s="372">
        <f>IF(Year4_Bracknell_Forest Year4_LAC_under16_2.5years_sameplacement2years="","",Year4_Bracknell_Forest Year4_LAC_under16_2.5years_sameplacement2years)</f>
        <v>20</v>
      </c>
      <c r="AD148" s="372">
        <f>IF(Year5_Bracknell_Forest Year5_LAC_under16_2.5years_sameplacement2years="","",Year5_Bracknell_Forest Year5_LAC_under16_2.5years_sameplacement2years)</f>
        <v>21</v>
      </c>
      <c r="AE148" s="381"/>
      <c r="AF148" s="382"/>
      <c r="AG148" s="383"/>
      <c r="AH148" s="383"/>
      <c r="AI148" s="383"/>
      <c r="AJ148" s="596"/>
      <c r="AK148" s="161"/>
    </row>
    <row r="149" spans="1:45" s="87" customFormat="1" ht="12.75" customHeight="1" x14ac:dyDescent="0.2">
      <c r="A149" s="488">
        <f>VLOOKUP(B149,Sheet1!$AQ$4:$AR$25,2,FALSE)</f>
        <v>0</v>
      </c>
      <c r="B149" s="93" t="str">
        <f t="shared" si="48"/>
        <v>Brighton &amp; Hove</v>
      </c>
      <c r="C149" s="85"/>
      <c r="D149" s="162">
        <f t="shared" si="49"/>
        <v>0.6428571428571429</v>
      </c>
      <c r="E149" s="162">
        <f t="shared" ref="E149:E171" si="51">IF(AND(ISNUMBER(AA149),ISNUMBER(AG113)),AA149/AG113,NA())</f>
        <v>0.73076923076923073</v>
      </c>
      <c r="F149" s="162">
        <f t="shared" ref="F149:F171" si="52">IF(AND(ISNUMBER(AB149),ISNUMBER(AH113)),AB149/AH113,NA())</f>
        <v>0.68852459016393441</v>
      </c>
      <c r="G149" s="162">
        <f t="shared" ref="G149:G171" si="53">IF(AND(ISNUMBER(AC149),ISNUMBER(AI113)),AC149/AI113,NA())</f>
        <v>0.63716814159292035</v>
      </c>
      <c r="H149" s="164">
        <f t="shared" ref="H149:H171" si="54">IF(AND(ISNUMBER(AD149),ISNUMBER(AJ113)),AD149/AJ113,NA())</f>
        <v>0.62184873949579833</v>
      </c>
      <c r="I149" s="96"/>
      <c r="J149" s="96"/>
      <c r="K149" s="166"/>
      <c r="L149" s="166"/>
      <c r="M149" s="166"/>
      <c r="N149" s="166"/>
      <c r="O149" s="166"/>
      <c r="P149" s="166"/>
      <c r="Q149" s="166"/>
      <c r="R149" s="167"/>
      <c r="S149" s="159"/>
      <c r="T149" s="159"/>
      <c r="U149" s="166"/>
      <c r="V149" s="122"/>
      <c r="W149" s="139"/>
      <c r="X149" s="152"/>
      <c r="Y149" s="372" t="str">
        <f t="shared" ref="Y149:Y171" si="55">B149</f>
        <v>Brighton &amp; Hove</v>
      </c>
      <c r="Z149" s="489">
        <f>IF(Year1_Brighton_Hove Year1_LAC_under16_2.5years_sameplacement2years="","",Year1_Brighton_Hove Year1_LAC_under16_2.5years_sameplacement2years)</f>
        <v>90</v>
      </c>
      <c r="AA149" s="372">
        <f>IF(Year2_Brighton_Hove Year2_LAC_under16_2.5years_sameplacement2years="","",Year2_Brighton_Hove Year2_LAC_under16_2.5years_sameplacement2years)</f>
        <v>95</v>
      </c>
      <c r="AB149" s="372">
        <f>IF(Year3_Brighton_Hove Year3_LAC_under16_2.5years_sameplacement2years="","",Year3_Brighton_Hove Year3_LAC_under16_2.5years_sameplacement2years)</f>
        <v>84</v>
      </c>
      <c r="AC149" s="372">
        <f>IF(Year4_Brighton_Hove Year4_LAC_under16_2.5years_sameplacement2years="","",Year4_Brighton_Hove Year4_LAC_under16_2.5years_sameplacement2years)</f>
        <v>72</v>
      </c>
      <c r="AD149" s="372">
        <f>IF(Year5_Brighton_Hove Year5_LAC_under16_2.5years_sameplacement2years="","",Year5_Brighton_Hove Year5_LAC_under16_2.5years_sameplacement2years)</f>
        <v>74</v>
      </c>
      <c r="AE149" s="381"/>
      <c r="AF149" s="612"/>
      <c r="AG149" s="383"/>
      <c r="AH149" s="383"/>
      <c r="AI149" s="383"/>
      <c r="AJ149" s="596"/>
      <c r="AK149" s="160"/>
    </row>
    <row r="150" spans="1:45" s="87" customFormat="1" ht="12.75" customHeight="1" x14ac:dyDescent="0.2">
      <c r="A150" s="488">
        <f>VLOOKUP(B150,Sheet1!$AQ$4:$AR$25,2,FALSE)</f>
        <v>0</v>
      </c>
      <c r="B150" s="93" t="str">
        <f t="shared" si="48"/>
        <v>Buckinghamshire</v>
      </c>
      <c r="C150" s="85"/>
      <c r="D150" s="162">
        <f t="shared" si="49"/>
        <v>0.6333333333333333</v>
      </c>
      <c r="E150" s="162">
        <f t="shared" si="51"/>
        <v>0.7142857142857143</v>
      </c>
      <c r="F150" s="162">
        <f t="shared" si="52"/>
        <v>0.7021276595744681</v>
      </c>
      <c r="G150" s="162">
        <f t="shared" si="53"/>
        <v>0.72674418604651159</v>
      </c>
      <c r="H150" s="164">
        <f t="shared" si="54"/>
        <v>0.70238095238095233</v>
      </c>
      <c r="I150" s="96"/>
      <c r="J150" s="96"/>
      <c r="K150" s="166"/>
      <c r="L150" s="166"/>
      <c r="M150" s="166"/>
      <c r="N150" s="166"/>
      <c r="O150" s="166"/>
      <c r="P150" s="166"/>
      <c r="Q150" s="166"/>
      <c r="R150" s="167"/>
      <c r="S150" s="159"/>
      <c r="T150" s="159"/>
      <c r="U150" s="166"/>
      <c r="V150" s="122"/>
      <c r="W150" s="139"/>
      <c r="X150" s="152"/>
      <c r="Y150" s="372" t="str">
        <f t="shared" si="55"/>
        <v>Buckinghamshire</v>
      </c>
      <c r="Z150" s="489">
        <f>IF(Year1_Buckinghamshire Year1_LAC_under16_2.5years_sameplacement2years="","",Year1_Buckinghamshire Year1_LAC_under16_2.5years_sameplacement2years)</f>
        <v>95</v>
      </c>
      <c r="AA150" s="372">
        <f>IF(Year2_Buckinghamshire Year2_LAC_under16_2.5years_sameplacement2years="","",Year2_Buckinghamshire Year2_LAC_under16_2.5years_sameplacement2years)</f>
        <v>100</v>
      </c>
      <c r="AB150" s="372">
        <f>IF(Year3_Buckinghamshire Year3_LAC_under16_2.5years_sameplacement2years="","",Year3_Buckinghamshire Year3_LAC_under16_2.5years_sameplacement2years)</f>
        <v>99</v>
      </c>
      <c r="AC150" s="372">
        <f>IF(Year4_Buckinghamshire Year4_LAC_under16_2.5years_sameplacement2years="","",Year4_Buckinghamshire Year4_LAC_under16_2.5years_sameplacement2years)</f>
        <v>125</v>
      </c>
      <c r="AD150" s="372">
        <f>IF(Year5_Buckinghamshire Year5_LAC_under16_2.5years_sameplacement2years="","",Year5_Buckinghamshire Year5_LAC_under16_2.5years_sameplacement2years)</f>
        <v>118</v>
      </c>
      <c r="AE150" s="381"/>
      <c r="AF150" s="612"/>
      <c r="AG150" s="383"/>
      <c r="AH150" s="383"/>
      <c r="AI150" s="383"/>
      <c r="AJ150" s="596"/>
      <c r="AK150" s="161"/>
    </row>
    <row r="151" spans="1:45" s="87" customFormat="1" ht="12.75" customHeight="1" x14ac:dyDescent="0.2">
      <c r="A151" s="488">
        <f>VLOOKUP(B151,Sheet1!$AQ$4:$AR$25,2,FALSE)</f>
        <v>0</v>
      </c>
      <c r="B151" s="93" t="str">
        <f t="shared" si="48"/>
        <v>East Sussex</v>
      </c>
      <c r="C151" s="85"/>
      <c r="D151" s="162">
        <f t="shared" si="49"/>
        <v>0.64583333333333337</v>
      </c>
      <c r="E151" s="162">
        <f t="shared" si="51"/>
        <v>0.70454545454545459</v>
      </c>
      <c r="F151" s="162">
        <f t="shared" si="52"/>
        <v>0.70531400966183577</v>
      </c>
      <c r="G151" s="162">
        <f t="shared" si="53"/>
        <v>0.69683257918552033</v>
      </c>
      <c r="H151" s="164">
        <f t="shared" si="54"/>
        <v>0.62343096234309625</v>
      </c>
      <c r="I151" s="96"/>
      <c r="J151" s="96"/>
      <c r="K151" s="166"/>
      <c r="L151" s="166"/>
      <c r="M151" s="166"/>
      <c r="N151" s="166"/>
      <c r="O151" s="166"/>
      <c r="P151" s="166"/>
      <c r="Q151" s="166"/>
      <c r="R151" s="167"/>
      <c r="S151" s="159"/>
      <c r="T151" s="159"/>
      <c r="U151" s="166"/>
      <c r="V151" s="122"/>
      <c r="W151" s="139"/>
      <c r="X151" s="152"/>
      <c r="Y151" s="372" t="str">
        <f t="shared" si="55"/>
        <v>East Sussex</v>
      </c>
      <c r="Z151" s="489">
        <f>IF(Year1_East_Sussex Year1_LAC_under16_2.5years_sameplacement2years="","",Year1_East_Sussex Year1_LAC_under16_2.5years_sameplacement2years)</f>
        <v>155</v>
      </c>
      <c r="AA151" s="372">
        <f>IF(Year2_East_Sussex Year2_LAC_under16_2.5years_sameplacement2years="","",Year2_East_Sussex Year2_LAC_under16_2.5years_sameplacement2years)</f>
        <v>155</v>
      </c>
      <c r="AB151" s="372">
        <f>IF(Year3_East_Sussex Year3_LAC_under16_2.5years_sameplacement2years="","",Year3_East_Sussex Year3_LAC_under16_2.5years_sameplacement2years)</f>
        <v>146</v>
      </c>
      <c r="AC151" s="372">
        <f>IF(Year4_East_Sussex Year4_LAC_under16_2.5years_sameplacement2years="","",Year4_East_Sussex Year4_LAC_under16_2.5years_sameplacement2years)</f>
        <v>154</v>
      </c>
      <c r="AD151" s="372">
        <f>IF(Year5_East_Sussex Year5_LAC_under16_2.5years_sameplacement2years="","",Year5_East_Sussex Year5_LAC_under16_2.5years_sameplacement2years)</f>
        <v>149</v>
      </c>
      <c r="AE151" s="381"/>
      <c r="AF151" s="612"/>
      <c r="AG151" s="383"/>
      <c r="AH151" s="383"/>
      <c r="AI151" s="383"/>
      <c r="AJ151" s="596"/>
      <c r="AK151" s="160"/>
    </row>
    <row r="152" spans="1:45" s="87" customFormat="1" ht="12.75" customHeight="1" x14ac:dyDescent="0.2">
      <c r="A152" s="488">
        <f>VLOOKUP(B152,Sheet1!$AQ$4:$AR$25,2,FALSE)</f>
        <v>0</v>
      </c>
      <c r="B152" s="93" t="str">
        <f t="shared" si="48"/>
        <v>Hampshire</v>
      </c>
      <c r="C152" s="85"/>
      <c r="D152" s="162">
        <f t="shared" si="49"/>
        <v>0.66666666666666663</v>
      </c>
      <c r="E152" s="162">
        <f t="shared" si="51"/>
        <v>0.68421052631578949</v>
      </c>
      <c r="F152" s="162">
        <f t="shared" si="52"/>
        <v>0.72386587771203159</v>
      </c>
      <c r="G152" s="162">
        <f t="shared" si="53"/>
        <v>0.67354596622889307</v>
      </c>
      <c r="H152" s="164">
        <f t="shared" si="54"/>
        <v>0.63804713804713808</v>
      </c>
      <c r="I152" s="96"/>
      <c r="J152" s="96"/>
      <c r="K152" s="166"/>
      <c r="L152" s="166"/>
      <c r="M152" s="166"/>
      <c r="N152" s="166"/>
      <c r="O152" s="166"/>
      <c r="P152" s="166"/>
      <c r="Q152" s="166"/>
      <c r="R152" s="167"/>
      <c r="S152" s="159"/>
      <c r="T152" s="159"/>
      <c r="U152" s="166"/>
      <c r="V152" s="122"/>
      <c r="W152" s="139"/>
      <c r="X152" s="152"/>
      <c r="Y152" s="372" t="str">
        <f t="shared" si="55"/>
        <v>Hampshire</v>
      </c>
      <c r="Z152" s="489">
        <f>IF(Year1_Hampshire Year1_LAC_under16_2.5years_sameplacement2years="","",Year1_Hampshire Year1_LAC_under16_2.5years_sameplacement2years)</f>
        <v>280</v>
      </c>
      <c r="AA152" s="372">
        <f>IF(Year2_Hampshire Year2_LAC_under16_2.5years_sameplacement2years="","",Year2_Hampshire Year2_LAC_under16_2.5years_sameplacement2years)</f>
        <v>325</v>
      </c>
      <c r="AB152" s="372">
        <f>IF(Year3_Hampshire Year3_LAC_under16_2.5years_sameplacement2years="","",Year3_Hampshire Year3_LAC_under16_2.5years_sameplacement2years)</f>
        <v>367</v>
      </c>
      <c r="AC152" s="372">
        <f>IF(Year4_Hampshire Year4_LAC_under16_2.5years_sameplacement2years="","",Year4_Hampshire Year4_LAC_under16_2.5years_sameplacement2years)</f>
        <v>359</v>
      </c>
      <c r="AD152" s="372">
        <f>IF(Year5_Hampshire Year5_LAC_under16_2.5years_sameplacement2years="","",Year5_Hampshire Year5_LAC_under16_2.5years_sameplacement2years)</f>
        <v>379</v>
      </c>
      <c r="AE152" s="381"/>
      <c r="AF152" s="612"/>
      <c r="AG152" s="383"/>
      <c r="AH152" s="383"/>
      <c r="AI152" s="383"/>
      <c r="AJ152" s="596"/>
      <c r="AK152" s="161"/>
    </row>
    <row r="153" spans="1:45" s="87" customFormat="1" ht="12.75" customHeight="1" x14ac:dyDescent="0.2">
      <c r="A153" s="488">
        <f>VLOOKUP(B153,Sheet1!$AQ$4:$AR$25,2,FALSE)</f>
        <v>0</v>
      </c>
      <c r="B153" s="93" t="str">
        <f t="shared" si="48"/>
        <v>Isle of Wight</v>
      </c>
      <c r="C153" s="85"/>
      <c r="D153" s="162">
        <f t="shared" si="49"/>
        <v>0.66666666666666663</v>
      </c>
      <c r="E153" s="162">
        <f t="shared" si="51"/>
        <v>0.63636363636363635</v>
      </c>
      <c r="F153" s="162">
        <f t="shared" si="52"/>
        <v>0.7384615384615385</v>
      </c>
      <c r="G153" s="162">
        <f t="shared" si="53"/>
        <v>0.62105263157894741</v>
      </c>
      <c r="H153" s="164">
        <f t="shared" si="54"/>
        <v>0.69230769230769229</v>
      </c>
      <c r="I153" s="96"/>
      <c r="J153" s="96"/>
      <c r="K153" s="166"/>
      <c r="L153" s="166"/>
      <c r="M153" s="166"/>
      <c r="N153" s="166"/>
      <c r="O153" s="166"/>
      <c r="P153" s="166"/>
      <c r="Q153" s="166"/>
      <c r="R153" s="167"/>
      <c r="S153" s="159"/>
      <c r="T153" s="159"/>
      <c r="U153" s="166"/>
      <c r="V153" s="122"/>
      <c r="W153" s="139"/>
      <c r="X153" s="152"/>
      <c r="Y153" s="372" t="str">
        <f t="shared" si="55"/>
        <v>Isle of Wight</v>
      </c>
      <c r="Z153" s="489">
        <f>IF(Year1_Isle_of_Wight Year1_LAC_under16_2.5years_sameplacement2years="","",Year1_Isle_of_Wight Year1_LAC_under16_2.5years_sameplacement2years)</f>
        <v>40</v>
      </c>
      <c r="AA153" s="372">
        <f>IF(Year2_Isle_of_Wight Year2_LAC_under16_2.5years_sameplacement2years="","",Year2_Isle_of_Wight Year2_LAC_under16_2.5years_sameplacement2years)</f>
        <v>35</v>
      </c>
      <c r="AB153" s="372">
        <f>IF(Year3_Isle_of_Wight Year3_LAC_under16_2.5years_sameplacement2years="","",Year3_Isle_of_Wight Year3_LAC_under16_2.5years_sameplacement2years)</f>
        <v>48</v>
      </c>
      <c r="AC153" s="372">
        <f>IF(Year4_Isle_of_Wight Year4_LAC_under16_2.5years_sameplacement2years="","",Year4_Isle_of_Wight Year4_LAC_under16_2.5years_sameplacement2years)</f>
        <v>59</v>
      </c>
      <c r="AD153" s="372">
        <f>IF(Year5_Isle_of_Wight Year5_LAC_under16_2.5years_sameplacement2years="","",Year5_Isle_of_Wight Year5_LAC_under16_2.5years_sameplacement2years)</f>
        <v>72</v>
      </c>
      <c r="AE153" s="381"/>
      <c r="AF153" s="612"/>
      <c r="AG153" s="383"/>
      <c r="AH153" s="383"/>
      <c r="AI153" s="383"/>
      <c r="AJ153" s="596"/>
      <c r="AK153" s="160"/>
      <c r="AS153" s="87" t="s">
        <v>102</v>
      </c>
    </row>
    <row r="154" spans="1:45" s="87" customFormat="1" ht="12.75" customHeight="1" x14ac:dyDescent="0.2">
      <c r="A154" s="488">
        <f>VLOOKUP(B154,Sheet1!$AQ$4:$AR$25,2,FALSE)</f>
        <v>0</v>
      </c>
      <c r="B154" s="93" t="str">
        <f t="shared" si="48"/>
        <v>Kent</v>
      </c>
      <c r="C154" s="85"/>
      <c r="D154" s="162">
        <f t="shared" si="49"/>
        <v>0.69026548672566368</v>
      </c>
      <c r="E154" s="162">
        <f t="shared" si="51"/>
        <v>0.69090909090909092</v>
      </c>
      <c r="F154" s="162">
        <f t="shared" si="52"/>
        <v>0.67844522968197885</v>
      </c>
      <c r="G154" s="162">
        <f t="shared" si="53"/>
        <v>0.70437956204379559</v>
      </c>
      <c r="H154" s="164">
        <f t="shared" si="54"/>
        <v>0.69696969696969702</v>
      </c>
      <c r="I154" s="96"/>
      <c r="J154" s="96"/>
      <c r="K154" s="166"/>
      <c r="L154" s="166"/>
      <c r="M154" s="166"/>
      <c r="N154" s="166"/>
      <c r="O154" s="166"/>
      <c r="P154" s="166"/>
      <c r="Q154" s="166"/>
      <c r="R154" s="167"/>
      <c r="S154" s="159"/>
      <c r="T154" s="159"/>
      <c r="U154" s="166"/>
      <c r="V154" s="122"/>
      <c r="W154" s="139"/>
      <c r="X154" s="152"/>
      <c r="Y154" s="372" t="str">
        <f t="shared" si="55"/>
        <v>Kent</v>
      </c>
      <c r="Z154" s="489">
        <f>IF(Year1_Kent Year1_LAC_under16_2.5years_sameplacement2years="","",Year1_Kent Year1_LAC_under16_2.5years_sameplacement2years)</f>
        <v>390</v>
      </c>
      <c r="AA154" s="372">
        <f>IF(Year2_Kent Year2_LAC_under16_2.5years_sameplacement2years="","",Year2_Kent Year2_LAC_under16_2.5years_sameplacement2years)</f>
        <v>380</v>
      </c>
      <c r="AB154" s="372">
        <f>IF(Year3_Kent Year3_LAC_under16_2.5years_sameplacement2years="","",Year3_Kent Year3_LAC_under16_2.5years_sameplacement2years)</f>
        <v>384</v>
      </c>
      <c r="AC154" s="372">
        <f>IF(Year4_Kent Year4_LAC_under16_2.5years_sameplacement2years="","",Year4_Kent Year4_LAC_under16_2.5years_sameplacement2years)</f>
        <v>386</v>
      </c>
      <c r="AD154" s="372">
        <f>IF(Year5_Kent Year5_LAC_under16_2.5years_sameplacement2years="","",Year5_Kent Year5_LAC_under16_2.5years_sameplacement2years)</f>
        <v>368</v>
      </c>
      <c r="AE154" s="381"/>
      <c r="AF154" s="382"/>
      <c r="AG154" s="383"/>
      <c r="AH154" s="383"/>
      <c r="AI154" s="383"/>
      <c r="AJ154" s="596"/>
      <c r="AK154" s="161"/>
    </row>
    <row r="155" spans="1:45" s="87" customFormat="1" ht="12.75" customHeight="1" x14ac:dyDescent="0.2">
      <c r="A155" s="488">
        <f>VLOOKUP(B155,Sheet1!$AQ$4:$AR$25,2,FALSE)</f>
        <v>0</v>
      </c>
      <c r="B155" s="93" t="str">
        <f t="shared" si="48"/>
        <v>Medway</v>
      </c>
      <c r="C155" s="85"/>
      <c r="D155" s="162">
        <f t="shared" si="49"/>
        <v>0.73076923076923073</v>
      </c>
      <c r="E155" s="162">
        <f t="shared" si="51"/>
        <v>0.76666666666666672</v>
      </c>
      <c r="F155" s="162">
        <f t="shared" si="52"/>
        <v>0.6706586826347305</v>
      </c>
      <c r="G155" s="162">
        <f t="shared" si="53"/>
        <v>0.71176470588235297</v>
      </c>
      <c r="H155" s="164">
        <f t="shared" si="54"/>
        <v>0.69090909090909092</v>
      </c>
      <c r="I155" s="96"/>
      <c r="J155" s="96"/>
      <c r="K155" s="166"/>
      <c r="L155" s="166"/>
      <c r="M155" s="166"/>
      <c r="N155" s="166"/>
      <c r="O155" s="166"/>
      <c r="P155" s="166"/>
      <c r="Q155" s="166"/>
      <c r="R155" s="167"/>
      <c r="S155" s="159"/>
      <c r="T155" s="159"/>
      <c r="U155" s="166"/>
      <c r="V155" s="122"/>
      <c r="W155" s="139"/>
      <c r="X155" s="152"/>
      <c r="Y155" s="372" t="str">
        <f t="shared" si="55"/>
        <v>Medway</v>
      </c>
      <c r="Z155" s="489">
        <f>IF(Year1_Medway Year1_LAC_under16_2.5years_sameplacement2years="","",Year1_Medway Year1_LAC_under16_2.5years_sameplacement2years)</f>
        <v>95</v>
      </c>
      <c r="AA155" s="372">
        <f>IF(Year2_Medway Year2_LAC_under16_2.5years_sameplacement2years="","",Year2_Medway Year2_LAC_under16_2.5years_sameplacement2years)</f>
        <v>115</v>
      </c>
      <c r="AB155" s="372">
        <f>IF(Year3_Medway Year3_LAC_under16_2.5years_sameplacement2years="","",Year3_Medway Year3_LAC_under16_2.5years_sameplacement2years)</f>
        <v>112</v>
      </c>
      <c r="AC155" s="372">
        <f>IF(Year4_Medway Year4_LAC_under16_2.5years_sameplacement2years="","",Year4_Medway Year4_LAC_under16_2.5years_sameplacement2years)</f>
        <v>121</v>
      </c>
      <c r="AD155" s="372">
        <f>IF(Year5_Medway Year5_LAC_under16_2.5years_sameplacement2years="","",Year5_Medway Year5_LAC_under16_2.5years_sameplacement2years)</f>
        <v>114</v>
      </c>
      <c r="AE155" s="381"/>
      <c r="AF155" s="382"/>
      <c r="AG155" s="383"/>
      <c r="AH155" s="383"/>
      <c r="AI155" s="383"/>
      <c r="AJ155" s="596"/>
      <c r="AK155" s="160"/>
    </row>
    <row r="156" spans="1:45" s="87" customFormat="1" ht="12.75" customHeight="1" x14ac:dyDescent="0.2">
      <c r="A156" s="488">
        <f>VLOOKUP(B156,Sheet1!$AQ$4:$AR$25,2,FALSE)</f>
        <v>0</v>
      </c>
      <c r="B156" s="93" t="str">
        <f t="shared" si="48"/>
        <v>Milton Keynes</v>
      </c>
      <c r="C156" s="85"/>
      <c r="D156" s="162">
        <f t="shared" si="49"/>
        <v>0.54545454545454541</v>
      </c>
      <c r="E156" s="162">
        <f t="shared" si="51"/>
        <v>0.625</v>
      </c>
      <c r="F156" s="162">
        <f t="shared" si="52"/>
        <v>0.5703125</v>
      </c>
      <c r="G156" s="162">
        <f t="shared" si="53"/>
        <v>0.66</v>
      </c>
      <c r="H156" s="164">
        <f t="shared" si="54"/>
        <v>0.65</v>
      </c>
      <c r="I156" s="96"/>
      <c r="J156" s="96"/>
      <c r="K156" s="166"/>
      <c r="L156" s="166"/>
      <c r="M156" s="166"/>
      <c r="N156" s="166"/>
      <c r="O156" s="166"/>
      <c r="P156" s="166"/>
      <c r="Q156" s="166"/>
      <c r="R156" s="167"/>
      <c r="S156" s="159"/>
      <c r="T156" s="159"/>
      <c r="U156" s="166"/>
      <c r="V156" s="122"/>
      <c r="W156" s="139"/>
      <c r="X156" s="152"/>
      <c r="Y156" s="372" t="str">
        <f t="shared" si="55"/>
        <v>Milton Keynes</v>
      </c>
      <c r="Z156" s="489">
        <f>IF(Year1_Milton_Keynes Year1_LAC_under16_2.5years_sameplacement2years="","",Year1_Milton_Keynes Year1_LAC_under16_2.5years_sameplacement2years)</f>
        <v>60</v>
      </c>
      <c r="AA156" s="372">
        <f>IF(Year2_Milton_Keynes Year2_LAC_under16_2.5years_sameplacement2years="","",Year2_Milton_Keynes Year2_LAC_under16_2.5years_sameplacement2years)</f>
        <v>75</v>
      </c>
      <c r="AB156" s="372">
        <f>IF(Year3_Milton_Keynes Year3_LAC_under16_2.5years_sameplacement2years="","",Year3_Milton_Keynes Year3_LAC_under16_2.5years_sameplacement2years)</f>
        <v>73</v>
      </c>
      <c r="AC156" s="372">
        <f>IF(Year4_Milton_Keynes Year4_LAC_under16_2.5years_sameplacement2years="","",Year4_Milton_Keynes Year4_LAC_under16_2.5years_sameplacement2years)</f>
        <v>99</v>
      </c>
      <c r="AD156" s="372">
        <f>IF(Year5_Milton_Keynes Year5_LAC_under16_2.5years_sameplacement2years="","",Year5_Milton_Keynes Year5_LAC_under16_2.5years_sameplacement2years)</f>
        <v>91</v>
      </c>
      <c r="AE156" s="381"/>
      <c r="AF156" s="382"/>
      <c r="AG156" s="383"/>
      <c r="AH156" s="383"/>
      <c r="AI156" s="383"/>
      <c r="AJ156" s="596"/>
      <c r="AK156" s="161"/>
    </row>
    <row r="157" spans="1:45" s="87" customFormat="1" ht="12.75" customHeight="1" x14ac:dyDescent="0.2">
      <c r="A157" s="488">
        <f>VLOOKUP(B157,Sheet1!$AQ$4:$AR$25,2,FALSE)</f>
        <v>0</v>
      </c>
      <c r="B157" s="93" t="str">
        <f t="shared" si="48"/>
        <v>Oxfordshire</v>
      </c>
      <c r="C157" s="85"/>
      <c r="D157" s="162">
        <f t="shared" si="49"/>
        <v>0.66666666666666663</v>
      </c>
      <c r="E157" s="162">
        <f t="shared" si="51"/>
        <v>0.69230769230769229</v>
      </c>
      <c r="F157" s="162">
        <f t="shared" si="52"/>
        <v>0.65432098765432101</v>
      </c>
      <c r="G157" s="162">
        <f t="shared" si="53"/>
        <v>0.70370370370370372</v>
      </c>
      <c r="H157" s="164">
        <f t="shared" si="54"/>
        <v>0.65044247787610621</v>
      </c>
      <c r="I157" s="96"/>
      <c r="J157" s="96"/>
      <c r="K157" s="166"/>
      <c r="L157" s="166"/>
      <c r="M157" s="166"/>
      <c r="N157" s="166"/>
      <c r="O157" s="166"/>
      <c r="P157" s="166"/>
      <c r="Q157" s="166"/>
      <c r="R157" s="167"/>
      <c r="S157" s="159"/>
      <c r="T157" s="159"/>
      <c r="U157" s="166"/>
      <c r="V157" s="122"/>
      <c r="W157" s="139"/>
      <c r="X157" s="152"/>
      <c r="Y157" s="372" t="str">
        <f t="shared" si="55"/>
        <v>Oxfordshire</v>
      </c>
      <c r="Z157" s="489">
        <f>IF(Year1_Oxfordshire Year1_LAC_under16_2.5years_sameplacement2years="","",Year1_Oxfordshire Year1_LAC_under16_2.5years_sameplacement2years)</f>
        <v>80</v>
      </c>
      <c r="AA157" s="372">
        <f>IF(Year2_Oxfordshire Year2_LAC_under16_2.5years_sameplacement2years="","",Year2_Oxfordshire Year2_LAC_under16_2.5years_sameplacement2years)</f>
        <v>90</v>
      </c>
      <c r="AB157" s="372">
        <f>IF(Year3_Oxfordshire Year3_LAC_under16_2.5years_sameplacement2years="","",Year3_Oxfordshire Year3_LAC_under16_2.5years_sameplacement2years)</f>
        <v>106</v>
      </c>
      <c r="AC157" s="372">
        <f>IF(Year4_Oxfordshire Year4_LAC_under16_2.5years_sameplacement2years="","",Year4_Oxfordshire Year4_LAC_under16_2.5years_sameplacement2years)</f>
        <v>133</v>
      </c>
      <c r="AD157" s="372">
        <f>IF(Year5_Oxfordshire Year5_LAC_under16_2.5years_sameplacement2years="","",Year5_Oxfordshire Year5_LAC_under16_2.5years_sameplacement2years)</f>
        <v>147</v>
      </c>
      <c r="AE157" s="381"/>
      <c r="AF157" s="382"/>
      <c r="AG157" s="383"/>
      <c r="AH157" s="383"/>
      <c r="AI157" s="383"/>
      <c r="AJ157" s="596"/>
      <c r="AK157" s="160"/>
    </row>
    <row r="158" spans="1:45" s="87" customFormat="1" ht="12.75" customHeight="1" x14ac:dyDescent="0.2">
      <c r="A158" s="488">
        <f>VLOOKUP(B158,Sheet1!$AQ$4:$AR$25,2,FALSE)</f>
        <v>0</v>
      </c>
      <c r="B158" s="93" t="str">
        <f t="shared" si="48"/>
        <v>Portsmouth</v>
      </c>
      <c r="C158" s="85"/>
      <c r="D158" s="162">
        <f t="shared" si="49"/>
        <v>0.54545454545454541</v>
      </c>
      <c r="E158" s="162">
        <f t="shared" si="51"/>
        <v>0.6</v>
      </c>
      <c r="F158" s="162">
        <f t="shared" si="52"/>
        <v>0.62184873949579833</v>
      </c>
      <c r="G158" s="162">
        <f t="shared" si="53"/>
        <v>0.66400000000000003</v>
      </c>
      <c r="H158" s="164">
        <f t="shared" si="54"/>
        <v>0.61363636363636365</v>
      </c>
      <c r="I158" s="96"/>
      <c r="J158" s="96"/>
      <c r="K158" s="166"/>
      <c r="L158" s="166"/>
      <c r="M158" s="166"/>
      <c r="N158" s="166"/>
      <c r="O158" s="166"/>
      <c r="P158" s="166"/>
      <c r="Q158" s="166"/>
      <c r="R158" s="167"/>
      <c r="S158" s="159"/>
      <c r="T158" s="159"/>
      <c r="U158" s="166"/>
      <c r="V158" s="122"/>
      <c r="W158" s="139"/>
      <c r="X158" s="152"/>
      <c r="Y158" s="372" t="str">
        <f t="shared" si="55"/>
        <v>Portsmouth</v>
      </c>
      <c r="Z158" s="489">
        <f>IF(Year1_Portsmouth Year1_LAC_under16_2.5years_sameplacement2years="","",Year1_Portsmouth Year1_LAC_under16_2.5years_sameplacement2years)</f>
        <v>60</v>
      </c>
      <c r="AA158" s="372">
        <f>IF(Year2_Portsmouth Year2_LAC_under16_2.5years_sameplacement2years="","",Year2_Portsmouth Year2_LAC_under16_2.5years_sameplacement2years)</f>
        <v>75</v>
      </c>
      <c r="AB158" s="372">
        <f>IF(Year3_Portsmouth Year3_LAC_under16_2.5years_sameplacement2years="","",Year3_Portsmouth Year3_LAC_under16_2.5years_sameplacement2years)</f>
        <v>74</v>
      </c>
      <c r="AC158" s="372">
        <f>IF(Year4_Portsmouth Year4_LAC_under16_2.5years_sameplacement2years="","",Year4_Portsmouth Year4_LAC_under16_2.5years_sameplacement2years)</f>
        <v>83</v>
      </c>
      <c r="AD158" s="372">
        <f>IF(Year5_Portsmouth Year5_LAC_under16_2.5years_sameplacement2years="","",Year5_Portsmouth Year5_LAC_under16_2.5years_sameplacement2years)</f>
        <v>81</v>
      </c>
      <c r="AE158" s="381"/>
      <c r="AF158" s="382"/>
      <c r="AG158" s="383"/>
      <c r="AH158" s="383"/>
      <c r="AI158" s="383"/>
      <c r="AJ158" s="596"/>
      <c r="AK158" s="161"/>
    </row>
    <row r="159" spans="1:45" s="87" customFormat="1" ht="12.75" customHeight="1" x14ac:dyDescent="0.2">
      <c r="A159" s="488">
        <f>VLOOKUP(B159,Sheet1!$AQ$4:$AR$25,2,FALSE)</f>
        <v>0</v>
      </c>
      <c r="B159" s="93" t="str">
        <f t="shared" si="48"/>
        <v>Reading</v>
      </c>
      <c r="C159" s="85"/>
      <c r="D159" s="162">
        <f t="shared" si="49"/>
        <v>0.61538461538461542</v>
      </c>
      <c r="E159" s="162">
        <f t="shared" si="51"/>
        <v>0.75</v>
      </c>
      <c r="F159" s="162">
        <f t="shared" si="52"/>
        <v>0.63095238095238093</v>
      </c>
      <c r="G159" s="162">
        <f t="shared" si="53"/>
        <v>0.65979381443298968</v>
      </c>
      <c r="H159" s="164">
        <f t="shared" si="54"/>
        <v>0.64</v>
      </c>
      <c r="I159" s="96"/>
      <c r="J159" s="96"/>
      <c r="K159" s="166"/>
      <c r="L159" s="166"/>
      <c r="M159" s="166"/>
      <c r="N159" s="166"/>
      <c r="O159" s="166"/>
      <c r="P159" s="166"/>
      <c r="Q159" s="166"/>
      <c r="R159" s="167"/>
      <c r="S159" s="159"/>
      <c r="T159" s="159"/>
      <c r="U159" s="166"/>
      <c r="V159" s="122"/>
      <c r="W159" s="139"/>
      <c r="X159" s="152"/>
      <c r="Y159" s="372" t="str">
        <f t="shared" si="55"/>
        <v>Reading</v>
      </c>
      <c r="Z159" s="489">
        <f>IF(Year1_Reading Year1_LAC_under16_2.5years_sameplacement2years="","",Year1_Reading Year1_LAC_under16_2.5years_sameplacement2years)</f>
        <v>40</v>
      </c>
      <c r="AA159" s="372">
        <f>IF(Year2_Reading Year2_LAC_under16_2.5years_sameplacement2years="","",Year2_Reading Year2_LAC_under16_2.5years_sameplacement2years)</f>
        <v>45</v>
      </c>
      <c r="AB159" s="372">
        <f>IF(Year3_Reading Year3_LAC_under16_2.5years_sameplacement2years="","",Year3_Reading Year3_LAC_under16_2.5years_sameplacement2years)</f>
        <v>53</v>
      </c>
      <c r="AC159" s="372">
        <f>IF(Year4_Reading Year4_LAC_under16_2.5years_sameplacement2years="","",Year4_Reading Year4_LAC_under16_2.5years_sameplacement2years)</f>
        <v>64</v>
      </c>
      <c r="AD159" s="372">
        <f>IF(Year5_Reading Year5_LAC_under16_2.5years_sameplacement2years="","",Year5_Reading Year5_LAC_under16_2.5years_sameplacement2years)</f>
        <v>64</v>
      </c>
      <c r="AE159" s="381"/>
      <c r="AF159" s="382"/>
      <c r="AG159" s="383"/>
      <c r="AH159" s="383"/>
      <c r="AI159" s="383"/>
      <c r="AJ159" s="596"/>
      <c r="AK159" s="160"/>
    </row>
    <row r="160" spans="1:45" s="87" customFormat="1" ht="12.75" customHeight="1" x14ac:dyDescent="0.2">
      <c r="A160" s="488">
        <f>VLOOKUP(B160,Sheet1!$AQ$4:$AR$25,2,FALSE)</f>
        <v>0</v>
      </c>
      <c r="B160" s="93" t="str">
        <f t="shared" si="48"/>
        <v>Slough</v>
      </c>
      <c r="C160" s="85"/>
      <c r="D160" s="162">
        <f t="shared" si="49"/>
        <v>0.54545454545454541</v>
      </c>
      <c r="E160" s="162">
        <f t="shared" si="51"/>
        <v>0.6</v>
      </c>
      <c r="F160" s="162">
        <f t="shared" si="52"/>
        <v>0.71739130434782605</v>
      </c>
      <c r="G160" s="162">
        <f t="shared" si="53"/>
        <v>0.64814814814814814</v>
      </c>
      <c r="H160" s="164">
        <f t="shared" si="54"/>
        <v>0.7321428571428571</v>
      </c>
      <c r="I160" s="96"/>
      <c r="J160" s="96"/>
      <c r="K160" s="166"/>
      <c r="L160" s="166"/>
      <c r="M160" s="166"/>
      <c r="N160" s="166"/>
      <c r="O160" s="166"/>
      <c r="P160" s="166"/>
      <c r="Q160" s="166"/>
      <c r="R160" s="167"/>
      <c r="S160" s="159"/>
      <c r="T160" s="159"/>
      <c r="U160" s="166"/>
      <c r="V160" s="122"/>
      <c r="W160" s="139"/>
      <c r="X160" s="152"/>
      <c r="Y160" s="372" t="str">
        <f t="shared" si="55"/>
        <v>Slough</v>
      </c>
      <c r="Z160" s="489">
        <f>IF(Year1_Slough Year1_LAC_under16_2.5years_sameplacement2years="","",Year1_Slough Year1_LAC_under16_2.5years_sameplacement2years)</f>
        <v>30</v>
      </c>
      <c r="AA160" s="372">
        <f>IF(Year2_Slough Year2_LAC_under16_2.5years_sameplacement2years="","",Year2_Slough Year2_LAC_under16_2.5years_sameplacement2years)</f>
        <v>30</v>
      </c>
      <c r="AB160" s="372">
        <f>IF(Year3_Slough Year3_LAC_under16_2.5years_sameplacement2years="","",Year3_Slough Year3_LAC_under16_2.5years_sameplacement2years)</f>
        <v>33</v>
      </c>
      <c r="AC160" s="372">
        <f>IF(Year4_Slough Year4_LAC_under16_2.5years_sameplacement2years="","",Year4_Slough Year4_LAC_under16_2.5years_sameplacement2years)</f>
        <v>35</v>
      </c>
      <c r="AD160" s="372">
        <f>IF(Year5_Slough Year5_LAC_under16_2.5years_sameplacement2years="","",Year5_Slough Year5_LAC_under16_2.5years_sameplacement2years)</f>
        <v>41</v>
      </c>
      <c r="AE160" s="381"/>
      <c r="AF160" s="382"/>
      <c r="AG160" s="383"/>
      <c r="AH160" s="383"/>
      <c r="AI160" s="383"/>
      <c r="AJ160" s="596"/>
      <c r="AK160" s="161"/>
    </row>
    <row r="161" spans="1:44" s="87" customFormat="1" ht="12.75" customHeight="1" x14ac:dyDescent="0.2">
      <c r="A161" s="488">
        <f>VLOOKUP(B161,Sheet1!$AQ$4:$AR$25,2,FALSE)</f>
        <v>0</v>
      </c>
      <c r="B161" s="93" t="str">
        <f t="shared" si="48"/>
        <v>Somerset</v>
      </c>
      <c r="C161" s="85"/>
      <c r="D161" s="162">
        <f t="shared" si="49"/>
        <v>0.56666666666666665</v>
      </c>
      <c r="E161" s="162">
        <f t="shared" si="51"/>
        <v>0.6</v>
      </c>
      <c r="F161" s="162">
        <f t="shared" si="52"/>
        <v>0.61963190184049077</v>
      </c>
      <c r="G161" s="162">
        <f t="shared" si="53"/>
        <v>0.625</v>
      </c>
      <c r="H161" s="164">
        <f t="shared" si="54"/>
        <v>0.62195121951219512</v>
      </c>
      <c r="I161" s="96"/>
      <c r="J161" s="96"/>
      <c r="K161" s="166"/>
      <c r="L161" s="166"/>
      <c r="M161" s="166"/>
      <c r="N161" s="166"/>
      <c r="O161" s="166"/>
      <c r="P161" s="166"/>
      <c r="Q161" s="166"/>
      <c r="R161" s="167"/>
      <c r="S161" s="159"/>
      <c r="T161" s="159"/>
      <c r="U161" s="166"/>
      <c r="V161" s="122"/>
      <c r="W161" s="139"/>
      <c r="X161" s="152"/>
      <c r="Y161" s="372" t="str">
        <f t="shared" si="55"/>
        <v>Somerset</v>
      </c>
      <c r="Z161" s="489">
        <f>IF(Year1_Somerset Year1_LAC_under16_2.5years_sameplacement2years="","",Year1_Somerset Year1_LAC_under16_2.5years_sameplacement2years)</f>
        <v>85</v>
      </c>
      <c r="AA161" s="372">
        <f>IF(Year2_Somerset Year2_LAC_under16_2.5years_sameplacement2years="","",Year2_Somerset Year2_LAC_under16_2.5years_sameplacement2years)</f>
        <v>90</v>
      </c>
      <c r="AB161" s="372">
        <f>IF(Year3_Somerset Year3_LAC_under16_2.5years_sameplacement2years="","",Year3_Somerset Year3_LAC_under16_2.5years_sameplacement2years)</f>
        <v>101</v>
      </c>
      <c r="AC161" s="372">
        <f>IF(Year4_Somerset Year4_LAC_under16_2.5years_sameplacement2years="","",Year4_Somerset Year4_LAC_under16_2.5years_sameplacement2years)</f>
        <v>100</v>
      </c>
      <c r="AD161" s="372">
        <f>IF(Year5_Somerset Year5_LAC_under16_2.5years_sameplacement2years="","",Year5_Somerset Year5_LAC_under16_2.5years_sameplacement2years)</f>
        <v>102</v>
      </c>
      <c r="AE161" s="381"/>
      <c r="AF161" s="382"/>
      <c r="AG161" s="383"/>
      <c r="AH161" s="383"/>
      <c r="AI161" s="383"/>
      <c r="AJ161" s="596"/>
      <c r="AK161" s="160"/>
    </row>
    <row r="162" spans="1:44" s="87" customFormat="1" ht="12.75" customHeight="1" x14ac:dyDescent="0.2">
      <c r="A162" s="488">
        <f>VLOOKUP(B162,Sheet1!$AQ$4:$AR$25,2,FALSE)</f>
        <v>0</v>
      </c>
      <c r="B162" s="93" t="str">
        <f t="shared" si="48"/>
        <v>Southampton</v>
      </c>
      <c r="C162" s="85"/>
      <c r="D162" s="162">
        <f t="shared" si="49"/>
        <v>0.69230769230769229</v>
      </c>
      <c r="E162" s="162">
        <f t="shared" si="51"/>
        <v>0.65217391304347827</v>
      </c>
      <c r="F162" s="162">
        <f t="shared" si="52"/>
        <v>0.70940170940170943</v>
      </c>
      <c r="G162" s="162">
        <f t="shared" si="53"/>
        <v>0.64680851063829792</v>
      </c>
      <c r="H162" s="164">
        <f t="shared" si="54"/>
        <v>0.69158878504672894</v>
      </c>
      <c r="I162" s="96"/>
      <c r="J162" s="96"/>
      <c r="K162" s="166"/>
      <c r="L162" s="166"/>
      <c r="M162" s="166"/>
      <c r="N162" s="166"/>
      <c r="O162" s="166"/>
      <c r="P162" s="166"/>
      <c r="Q162" s="166"/>
      <c r="R162" s="167"/>
      <c r="S162" s="159"/>
      <c r="T162" s="159"/>
      <c r="U162" s="166"/>
      <c r="V162" s="122"/>
      <c r="W162" s="139"/>
      <c r="X162" s="152"/>
      <c r="Y162" s="372" t="str">
        <f t="shared" si="55"/>
        <v>Southampton</v>
      </c>
      <c r="Z162" s="489">
        <f>IF(Year1_Southampton Year1_LAC_under16_2.5years_sameplacement2years="","",Year1_Southampton Year1_LAC_under16_2.5years_sameplacement2years)</f>
        <v>135</v>
      </c>
      <c r="AA162" s="372">
        <f>IF(Year2_Southampton Year2_LAC_under16_2.5years_sameplacement2years="","",Year2_Southampton Year2_LAC_under16_2.5years_sameplacement2years)</f>
        <v>150</v>
      </c>
      <c r="AB162" s="372">
        <f>IF(Year3_Southampton Year3_LAC_under16_2.5years_sameplacement2years="","",Year3_Southampton Year3_LAC_under16_2.5years_sameplacement2years)</f>
        <v>166</v>
      </c>
      <c r="AC162" s="372">
        <f>IF(Year4_Southampton Year4_LAC_under16_2.5years_sameplacement2years="","",Year4_Southampton Year4_LAC_under16_2.5years_sameplacement2years)</f>
        <v>152</v>
      </c>
      <c r="AD162" s="372">
        <f>IF(Year5_Southampton Year5_LAC_under16_2.5years_sameplacement2years="","",Year5_Southampton Year5_LAC_under16_2.5years_sameplacement2years)</f>
        <v>148</v>
      </c>
      <c r="AE162" s="381"/>
      <c r="AF162" s="382"/>
      <c r="AG162" s="383"/>
      <c r="AH162" s="383"/>
      <c r="AI162" s="383"/>
      <c r="AJ162" s="596"/>
      <c r="AK162" s="161"/>
    </row>
    <row r="163" spans="1:44" s="87" customFormat="1" ht="12.75" customHeight="1" x14ac:dyDescent="0.2">
      <c r="A163" s="488">
        <f>VLOOKUP(B163,Sheet1!$AQ$4:$AR$25,2,FALSE)</f>
        <v>0</v>
      </c>
      <c r="B163" s="93" t="str">
        <f t="shared" si="48"/>
        <v>Surrey</v>
      </c>
      <c r="C163" s="85"/>
      <c r="D163" s="162">
        <f t="shared" si="49"/>
        <v>0.7021276595744681</v>
      </c>
      <c r="E163" s="162">
        <f t="shared" si="51"/>
        <v>0.63636363636363635</v>
      </c>
      <c r="F163" s="162">
        <f t="shared" si="52"/>
        <v>0.67213114754098358</v>
      </c>
      <c r="G163" s="162">
        <f t="shared" si="53"/>
        <v>0.64800000000000002</v>
      </c>
      <c r="H163" s="164">
        <f t="shared" si="54"/>
        <v>0.66666666666666663</v>
      </c>
      <c r="I163" s="96"/>
      <c r="J163" s="96"/>
      <c r="K163" s="166"/>
      <c r="L163" s="166"/>
      <c r="M163" s="166"/>
      <c r="N163" s="166"/>
      <c r="O163" s="166"/>
      <c r="P163" s="166"/>
      <c r="Q163" s="166"/>
      <c r="R163" s="167"/>
      <c r="S163" s="159"/>
      <c r="T163" s="159"/>
      <c r="U163" s="166"/>
      <c r="V163" s="122"/>
      <c r="W163" s="139"/>
      <c r="X163" s="152"/>
      <c r="Y163" s="372" t="str">
        <f t="shared" si="55"/>
        <v>Surrey</v>
      </c>
      <c r="Z163" s="489">
        <f>IF(Year1_Surrey Year1_LAC_under16_2.5years_sameplacement2years="","",Year1_Surrey Year1_LAC_under16_2.5years_sameplacement2years)</f>
        <v>165</v>
      </c>
      <c r="AA163" s="372">
        <f>IF(Year2_Surrey Year2_LAC_under16_2.5years_sameplacement2years="","",Year2_Surrey Year2_LAC_under16_2.5years_sameplacement2years)</f>
        <v>140</v>
      </c>
      <c r="AB163" s="372">
        <f>IF(Year3_Surrey Year3_LAC_under16_2.5years_sameplacement2years="","",Year3_Surrey Year3_LAC_under16_2.5years_sameplacement2years)</f>
        <v>164</v>
      </c>
      <c r="AC163" s="372">
        <f>IF(Year4_Surrey Year4_LAC_under16_2.5years_sameplacement2years="","",Year4_Surrey Year4_LAC_under16_2.5years_sameplacement2years)</f>
        <v>162</v>
      </c>
      <c r="AD163" s="372">
        <f>IF(Year5_Surrey Year5_LAC_under16_2.5years_sameplacement2years="","",Year5_Surrey Year5_LAC_under16_2.5years_sameplacement2years)</f>
        <v>190</v>
      </c>
      <c r="AE163" s="381"/>
      <c r="AF163" s="382"/>
      <c r="AG163" s="383"/>
      <c r="AH163" s="383"/>
      <c r="AI163" s="383"/>
      <c r="AJ163" s="596"/>
      <c r="AK163" s="160"/>
    </row>
    <row r="164" spans="1:44" s="87" customFormat="1" ht="12.75" customHeight="1" x14ac:dyDescent="0.2">
      <c r="A164" s="488">
        <f>VLOOKUP(B164,Sheet1!$AQ$4:$AR$25,2,FALSE)</f>
        <v>0</v>
      </c>
      <c r="B164" s="93" t="str">
        <f t="shared" si="48"/>
        <v>Swindon</v>
      </c>
      <c r="C164" s="85"/>
      <c r="D164" s="162">
        <f t="shared" si="49"/>
        <v>0.61538461538461542</v>
      </c>
      <c r="E164" s="162">
        <f t="shared" si="51"/>
        <v>0.75</v>
      </c>
      <c r="F164" s="162">
        <f t="shared" si="52"/>
        <v>0.61194029850746268</v>
      </c>
      <c r="G164" s="162">
        <f t="shared" si="53"/>
        <v>0.58490566037735847</v>
      </c>
      <c r="H164" s="164">
        <f t="shared" si="54"/>
        <v>0.47058823529411764</v>
      </c>
      <c r="I164" s="96"/>
      <c r="J164" s="96"/>
      <c r="K164" s="166"/>
      <c r="L164" s="166"/>
      <c r="M164" s="166"/>
      <c r="N164" s="166"/>
      <c r="O164" s="166"/>
      <c r="P164" s="166"/>
      <c r="Q164" s="166"/>
      <c r="R164" s="167"/>
      <c r="S164" s="159"/>
      <c r="T164" s="159"/>
      <c r="U164" s="166"/>
      <c r="V164" s="122"/>
      <c r="W164" s="139"/>
      <c r="X164" s="152"/>
      <c r="Y164" s="372" t="str">
        <f t="shared" si="55"/>
        <v>Swindon</v>
      </c>
      <c r="Z164" s="489">
        <f>IF(Year1_Swindon Year1_LAC_under16_2.5years_sameplacement2years="","",Year1_Swindon Year1_LAC_under16_2.5years_sameplacement2years)</f>
        <v>40</v>
      </c>
      <c r="AA164" s="372">
        <f>IF(Year2_Swindon Year2_LAC_under16_2.5years_sameplacement2years="","",Year2_Swindon Year2_LAC_under16_2.5years_sameplacement2years)</f>
        <v>45</v>
      </c>
      <c r="AB164" s="372">
        <f>IF(Year3_Swindon Year3_LAC_under16_2.5years_sameplacement2years="","",Year3_Swindon Year3_LAC_under16_2.5years_sameplacement2years)</f>
        <v>41</v>
      </c>
      <c r="AC164" s="372">
        <f>IF(Year4_Swindon Year4_LAC_under16_2.5years_sameplacement2years="","",Year4_Swindon Year4_LAC_under16_2.5years_sameplacement2years)</f>
        <v>62</v>
      </c>
      <c r="AD164" s="372">
        <f>IF(Year5_Swindon Year5_LAC_under16_2.5years_sameplacement2years="","",Year5_Swindon Year5_LAC_under16_2.5years_sameplacement2years)</f>
        <v>56</v>
      </c>
      <c r="AE164" s="381"/>
      <c r="AF164" s="382"/>
      <c r="AG164" s="383"/>
      <c r="AH164" s="383"/>
      <c r="AI164" s="383"/>
      <c r="AJ164" s="596"/>
      <c r="AK164" s="161"/>
    </row>
    <row r="165" spans="1:44" s="87" customFormat="1" ht="12.75" customHeight="1" x14ac:dyDescent="0.2">
      <c r="A165" s="488">
        <f>VLOOKUP(B165,Sheet1!$AQ$4:$AR$25,2,FALSE)</f>
        <v>0</v>
      </c>
      <c r="B165" s="93" t="str">
        <f t="shared" si="48"/>
        <v>Torbay</v>
      </c>
      <c r="C165" s="85"/>
      <c r="D165" s="162">
        <f t="shared" si="49"/>
        <v>0.45833333333333331</v>
      </c>
      <c r="E165" s="162">
        <f t="shared" si="51"/>
        <v>0.56000000000000005</v>
      </c>
      <c r="F165" s="162">
        <f t="shared" si="52"/>
        <v>0.56818181818181823</v>
      </c>
      <c r="G165" s="162">
        <f t="shared" si="53"/>
        <v>0.64341085271317833</v>
      </c>
      <c r="H165" s="164">
        <f t="shared" si="54"/>
        <v>0.59829059829059827</v>
      </c>
      <c r="I165" s="96"/>
      <c r="J165" s="96"/>
      <c r="K165" s="166"/>
      <c r="L165" s="166"/>
      <c r="M165" s="166"/>
      <c r="N165" s="166"/>
      <c r="O165" s="166"/>
      <c r="P165" s="166"/>
      <c r="Q165" s="166"/>
      <c r="R165" s="167"/>
      <c r="S165" s="159"/>
      <c r="T165" s="159"/>
      <c r="U165" s="166"/>
      <c r="V165" s="122"/>
      <c r="W165" s="139"/>
      <c r="X165" s="152"/>
      <c r="Y165" s="372" t="str">
        <f t="shared" si="55"/>
        <v>Torbay</v>
      </c>
      <c r="Z165" s="489">
        <f>IF(Year1_Torbay Year1_LAC_under16_2.5years_sameplacement2years="","",Year1_Torbay Year1_LAC_under16_2.5years_sameplacement2years)</f>
        <v>55</v>
      </c>
      <c r="AA165" s="372">
        <f>IF(Year2_Torbay Year2_LAC_under16_2.5years_sameplacement2years="","",Year2_Torbay Year2_LAC_under16_2.5years_sameplacement2years)</f>
        <v>70</v>
      </c>
      <c r="AB165" s="372">
        <f>IF(Year3_Torbay Year3_LAC_under16_2.5years_sameplacement2years="","",Year3_Torbay Year3_LAC_under16_2.5years_sameplacement2years)</f>
        <v>75</v>
      </c>
      <c r="AC165" s="372">
        <f>IF(Year4_Torbay Year4_LAC_under16_2.5years_sameplacement2years="","",Year4_Torbay Year4_LAC_under16_2.5years_sameplacement2years)</f>
        <v>83</v>
      </c>
      <c r="AD165" s="372">
        <f>IF(Year5_Torbay Year5_LAC_under16_2.5years_sameplacement2years="","",Year5_Torbay Year5_LAC_under16_2.5years_sameplacement2years)</f>
        <v>70</v>
      </c>
      <c r="AE165" s="381"/>
      <c r="AF165" s="382"/>
      <c r="AG165" s="383"/>
      <c r="AH165" s="383"/>
      <c r="AI165" s="383"/>
      <c r="AJ165" s="596"/>
      <c r="AK165" s="160"/>
    </row>
    <row r="166" spans="1:44" s="87" customFormat="1" ht="12.75" customHeight="1" x14ac:dyDescent="0.2">
      <c r="A166" s="488">
        <f>VLOOKUP(B166,Sheet1!$AQ$4:$AR$25,2,FALSE)</f>
        <v>0</v>
      </c>
      <c r="B166" s="93" t="str">
        <f t="shared" si="48"/>
        <v>West Berkshire</v>
      </c>
      <c r="C166" s="85"/>
      <c r="D166" s="162">
        <f t="shared" si="49"/>
        <v>0.77777777777777779</v>
      </c>
      <c r="E166" s="162">
        <f t="shared" si="51"/>
        <v>0.63636363636363635</v>
      </c>
      <c r="F166" s="162">
        <f t="shared" si="52"/>
        <v>0.63636363636363635</v>
      </c>
      <c r="G166" s="162">
        <f t="shared" si="53"/>
        <v>0.54</v>
      </c>
      <c r="H166" s="164">
        <f t="shared" si="54"/>
        <v>0.55555555555555558</v>
      </c>
      <c r="I166" s="96"/>
      <c r="J166" s="96"/>
      <c r="K166" s="166"/>
      <c r="L166" s="166"/>
      <c r="M166" s="166"/>
      <c r="N166" s="166"/>
      <c r="O166" s="166"/>
      <c r="P166" s="166"/>
      <c r="Q166" s="166"/>
      <c r="R166" s="167"/>
      <c r="S166" s="159"/>
      <c r="T166" s="159"/>
      <c r="U166" s="166"/>
      <c r="V166" s="122"/>
      <c r="W166" s="139"/>
      <c r="X166" s="152"/>
      <c r="Y166" s="372" t="str">
        <f t="shared" si="55"/>
        <v>West Berkshire</v>
      </c>
      <c r="Z166" s="489">
        <f>IF(Year1_West_Berkshire Year1_LAC_under16_2.5years_sameplacement2years="","",Year1_West_Berkshire Year1_LAC_under16_2.5years_sameplacement2years)</f>
        <v>35</v>
      </c>
      <c r="AA166" s="372">
        <f>IF(Year2_West_Berkshire Year2_LAC_under16_2.5years_sameplacement2years="","",Year2_West_Berkshire Year2_LAC_under16_2.5years_sameplacement2years)</f>
        <v>35</v>
      </c>
      <c r="AB166" s="372">
        <f>IF(Year3_West_Berkshire Year3_LAC_under16_2.5years_sameplacement2years="","",Year3_West_Berkshire Year3_LAC_under16_2.5years_sameplacement2years)</f>
        <v>35</v>
      </c>
      <c r="AC166" s="372">
        <f>IF(Year4_West_Berkshire Year4_LAC_under16_2.5years_sameplacement2years="","",Year4_West_Berkshire Year4_LAC_under16_2.5years_sameplacement2years)</f>
        <v>27</v>
      </c>
      <c r="AD166" s="580">
        <f>IF(Year5_West_Berkshire Year5_LAC_under16_2.5years_sameplacement2years="","",Year5_West_Berkshire Year5_LAC_under16_2.5years_sameplacement2years)</f>
        <v>25</v>
      </c>
      <c r="AE166" s="381"/>
      <c r="AF166" s="382"/>
      <c r="AG166" s="383"/>
      <c r="AH166" s="383"/>
      <c r="AI166" s="383"/>
      <c r="AJ166" s="596"/>
      <c r="AK166" s="161"/>
    </row>
    <row r="167" spans="1:44" s="87" customFormat="1" ht="12.75" customHeight="1" x14ac:dyDescent="0.2">
      <c r="A167" s="488">
        <f>VLOOKUP(B167,Sheet1!$AQ$4:$AR$25,2,FALSE)</f>
        <v>0</v>
      </c>
      <c r="B167" s="93" t="str">
        <f t="shared" si="48"/>
        <v>West Sussex</v>
      </c>
      <c r="C167" s="85"/>
      <c r="D167" s="162">
        <f t="shared" si="49"/>
        <v>0.73529411764705888</v>
      </c>
      <c r="E167" s="162">
        <f t="shared" si="51"/>
        <v>0.76666666666666672</v>
      </c>
      <c r="F167" s="162">
        <f t="shared" si="52"/>
        <v>0.69871794871794868</v>
      </c>
      <c r="G167" s="162">
        <f t="shared" si="53"/>
        <v>0.66298342541436461</v>
      </c>
      <c r="H167" s="164">
        <f t="shared" si="54"/>
        <v>0.54891304347826086</v>
      </c>
      <c r="I167" s="96"/>
      <c r="J167" s="96"/>
      <c r="K167" s="166"/>
      <c r="L167" s="166"/>
      <c r="M167" s="166"/>
      <c r="N167" s="166"/>
      <c r="O167" s="166"/>
      <c r="P167" s="166"/>
      <c r="Q167" s="166"/>
      <c r="R167" s="167"/>
      <c r="S167" s="159"/>
      <c r="T167" s="159"/>
      <c r="U167" s="166"/>
      <c r="V167" s="122"/>
      <c r="W167" s="139"/>
      <c r="X167" s="152"/>
      <c r="Y167" s="372" t="str">
        <f t="shared" si="55"/>
        <v>West Sussex</v>
      </c>
      <c r="Z167" s="489">
        <f>IF(Year1_West_Sussex Year1_LAC_under16_2.5years_sameplacement2years="","",Year1_West_Sussex Year1_LAC_under16_2.5years_sameplacement2years)</f>
        <v>125</v>
      </c>
      <c r="AA167" s="372">
        <f>IF(Year2_West_Sussex Year2_LAC_under16_2.5years_sameplacement2years="","",Year2_West_Sussex Year2_LAC_under16_2.5years_sameplacement2years)</f>
        <v>115</v>
      </c>
      <c r="AB167" s="372">
        <f>IF(Year3_West_Sussex Year3_LAC_under16_2.5years_sameplacement2years="","",Year3_West_Sussex Year3_LAC_under16_2.5years_sameplacement2years)</f>
        <v>109</v>
      </c>
      <c r="AC167" s="372">
        <f>IF(Year4_West_Sussex Year4_LAC_under16_2.5years_sameplacement2years="","",Year4_West_Sussex Year4_LAC_under16_2.5years_sameplacement2years)</f>
        <v>120</v>
      </c>
      <c r="AD167" s="580">
        <f>IF(Year5_West_Sussex Year5_LAC_under16_2.5years_sameplacement2years="","",Year5_West_Sussex Year5_LAC_under16_2.5years_sameplacement2years)</f>
        <v>101</v>
      </c>
      <c r="AE167" s="381"/>
      <c r="AF167" s="382"/>
      <c r="AG167" s="383"/>
      <c r="AH167" s="383"/>
      <c r="AI167" s="383"/>
      <c r="AJ167" s="596"/>
      <c r="AK167" s="160"/>
    </row>
    <row r="168" spans="1:44" s="87" customFormat="1" ht="12.75" customHeight="1" x14ac:dyDescent="0.2">
      <c r="A168" s="488">
        <f>VLOOKUP(B168,Sheet1!$AQ$4:$AR$25,2,FALSE)</f>
        <v>0</v>
      </c>
      <c r="B168" s="93" t="str">
        <f t="shared" si="48"/>
        <v>Windsor &amp; Maidenhead</v>
      </c>
      <c r="C168" s="85"/>
      <c r="D168" s="162">
        <f t="shared" si="49"/>
        <v>0.7142857142857143</v>
      </c>
      <c r="E168" s="162">
        <f t="shared" si="51"/>
        <v>0.7142857142857143</v>
      </c>
      <c r="F168" s="162">
        <f t="shared" si="52"/>
        <v>0.70967741935483875</v>
      </c>
      <c r="G168" s="162">
        <f t="shared" si="53"/>
        <v>0.76</v>
      </c>
      <c r="H168" s="164">
        <f t="shared" si="54"/>
        <v>0.56666666666666665</v>
      </c>
      <c r="I168" s="96"/>
      <c r="J168" s="96"/>
      <c r="K168" s="166"/>
      <c r="L168" s="166"/>
      <c r="M168" s="166"/>
      <c r="N168" s="166"/>
      <c r="O168" s="166"/>
      <c r="P168" s="166"/>
      <c r="Q168" s="166"/>
      <c r="R168" s="167"/>
      <c r="S168" s="159"/>
      <c r="T168" s="159"/>
      <c r="U168" s="166"/>
      <c r="V168" s="122"/>
      <c r="W168" s="139"/>
      <c r="X168" s="152"/>
      <c r="Y168" s="372" t="str">
        <f t="shared" si="55"/>
        <v>Windsor &amp; Maidenhead</v>
      </c>
      <c r="Z168" s="489">
        <f>IF(Year1_Windsor_Maidenhead Year1_LAC_under16_2.5years_sameplacement2years="","",Year1_Windsor_Maidenhead Year1_LAC_under16_2.5years_sameplacement2years)</f>
        <v>25</v>
      </c>
      <c r="AA168" s="372">
        <f>IF(Year2_Windsor_Maidenhead Year2_LAC_under16_2.5years_sameplacement2years="","",Year2_Windsor_Maidenhead Year2_LAC_under16_2.5years_sameplacement2years)</f>
        <v>25</v>
      </c>
      <c r="AB168" s="372">
        <f>IF(Year3_Windsor_Maidenhead Year3_LAC_under16_2.5years_sameplacement2years="","",Year3_Windsor_Maidenhead Year3_LAC_under16_2.5years_sameplacement2years)</f>
        <v>22</v>
      </c>
      <c r="AC168" s="372">
        <f>IF(Year4_Windsor_Maidenhead Year4_LAC_under16_2.5years_sameplacement2years="","",Year4_Windsor_Maidenhead Year4_LAC_under16_2.5years_sameplacement2years)</f>
        <v>19</v>
      </c>
      <c r="AD168" s="580">
        <f>IF(Year5_Windsor_Maidenhead Year5_LAC_under16_2.5years_sameplacement2years="","",Year5_Windsor_Maidenhead Year5_LAC_under16_2.5years_sameplacement2years)</f>
        <v>17</v>
      </c>
      <c r="AE168" s="381"/>
      <c r="AF168" s="382"/>
      <c r="AG168" s="383"/>
      <c r="AH168" s="383"/>
      <c r="AI168" s="383"/>
      <c r="AJ168" s="596"/>
      <c r="AK168" s="161"/>
    </row>
    <row r="169" spans="1:44" s="87" customFormat="1" ht="12.75" customHeight="1" x14ac:dyDescent="0.2">
      <c r="A169" s="488">
        <f>VLOOKUP(B169,Sheet1!$AQ$4:$AR$25,2,FALSE)</f>
        <v>0</v>
      </c>
      <c r="B169" s="93" t="str">
        <f t="shared" si="48"/>
        <v>Wokingham</v>
      </c>
      <c r="C169" s="85"/>
      <c r="D169" s="162">
        <f t="shared" si="49"/>
        <v>0.5</v>
      </c>
      <c r="E169" s="162">
        <f t="shared" si="51"/>
        <v>0.5</v>
      </c>
      <c r="F169" s="162">
        <f t="shared" si="52"/>
        <v>0.75</v>
      </c>
      <c r="G169" s="162">
        <f t="shared" si="53"/>
        <v>0.8</v>
      </c>
      <c r="H169" s="164">
        <f t="shared" si="54"/>
        <v>0.83333333333333337</v>
      </c>
      <c r="I169" s="96"/>
      <c r="J169" s="96"/>
      <c r="K169" s="166"/>
      <c r="L169" s="166"/>
      <c r="M169" s="166"/>
      <c r="N169" s="166"/>
      <c r="O169" s="166"/>
      <c r="P169" s="166"/>
      <c r="Q169" s="166"/>
      <c r="R169" s="167"/>
      <c r="S169" s="159"/>
      <c r="T169" s="159"/>
      <c r="U169" s="166"/>
      <c r="V169" s="122"/>
      <c r="W169" s="139"/>
      <c r="X169" s="152"/>
      <c r="Y169" s="372" t="str">
        <f t="shared" si="55"/>
        <v>Wokingham</v>
      </c>
      <c r="Z169" s="489">
        <f>IF(Year1_Wokingham Year1_LAC_under16_2.5years_sameplacement2years="","",Year1_Wokingham Year1_LAC_under16_2.5years_sameplacement2years)</f>
        <v>10</v>
      </c>
      <c r="AA169" s="372">
        <f>IF(Year2_Wokingham Year2_LAC_under16_2.5years_sameplacement2years="","",Year2_Wokingham Year2_LAC_under16_2.5years_sameplacement2years)</f>
        <v>10</v>
      </c>
      <c r="AB169" s="372">
        <f>IF(Year3_Wokingham Year3_LAC_under16_2.5years_sameplacement2years="","",Year3_Wokingham Year3_LAC_under16_2.5years_sameplacement2years)</f>
        <v>15</v>
      </c>
      <c r="AC169" s="372">
        <f>IF(Year4_Wokingham Year4_LAC_under16_2.5years_sameplacement2years="","",Year4_Wokingham Year4_LAC_under16_2.5years_sameplacement2years)</f>
        <v>12</v>
      </c>
      <c r="AD169" s="580">
        <f>IF(Year5_Wokingham Year5_LAC_under16_2.5years_sameplacement2years="","",Year5_Wokingham Year5_LAC_under16_2.5years_sameplacement2years)</f>
        <v>10</v>
      </c>
      <c r="AE169" s="381"/>
      <c r="AF169" s="382"/>
      <c r="AG169" s="383"/>
      <c r="AH169" s="383"/>
      <c r="AI169" s="383"/>
      <c r="AJ169" s="596"/>
      <c r="AK169" s="160"/>
    </row>
    <row r="170" spans="1:44" s="87" customFormat="1" ht="12.75" x14ac:dyDescent="0.2">
      <c r="A170" s="121"/>
      <c r="B170" s="129" t="str">
        <f t="shared" si="48"/>
        <v>South East</v>
      </c>
      <c r="C170" s="85"/>
      <c r="D170" s="163">
        <f t="shared" si="49"/>
        <v>0.66608996539792387</v>
      </c>
      <c r="E170" s="163">
        <f t="shared" si="51"/>
        <v>0.68305084745762712</v>
      </c>
      <c r="F170" s="163">
        <f t="shared" si="52"/>
        <v>0.68181818181818177</v>
      </c>
      <c r="G170" s="163">
        <f t="shared" si="53"/>
        <v>0.67692307692307696</v>
      </c>
      <c r="H170" s="165">
        <f t="shared" si="54"/>
        <v>0.65384615384615385</v>
      </c>
      <c r="I170" s="96"/>
      <c r="J170" s="96"/>
      <c r="K170" s="168"/>
      <c r="L170" s="168"/>
      <c r="M170" s="168"/>
      <c r="N170" s="168"/>
      <c r="O170" s="168"/>
      <c r="P170" s="168"/>
      <c r="Q170" s="168"/>
      <c r="R170" s="169"/>
      <c r="S170" s="159"/>
      <c r="T170" s="159"/>
      <c r="U170" s="170"/>
      <c r="V170" s="122"/>
      <c r="W170" s="139"/>
      <c r="X170" s="152"/>
      <c r="Y170" s="372" t="str">
        <f t="shared" si="55"/>
        <v>South East</v>
      </c>
      <c r="Z170" s="372">
        <f>IF(Year1_SouthEast Year1_LAC_under16_2.5years_sameplacement2years="","",Year1_SouthEast Year1_LAC_under16_2.5years_sameplacement2years)</f>
        <v>1925</v>
      </c>
      <c r="AA170" s="372">
        <f>IF(Year2_SouthEast Year2_LAC_under16_2.5years_sameplacement2years="","",Year2_SouthEast Year2_LAC_under16_2.5years_sameplacement2years)</f>
        <v>2015</v>
      </c>
      <c r="AB170" s="372">
        <f>IF(Year3_SouthEast Year3_LAC_under16_2.5years_sameplacement2years="","",Year3_SouthEast Year3_LAC_under16_2.5years_sameplacement2years)</f>
        <v>2100</v>
      </c>
      <c r="AC170" s="372">
        <f>IF(Year4_SouthEast Year4_LAC_under16_2.5years_sameplacement2years="","",Year4_SouthEast Year4_LAC_under16_2.5years_sameplacement2years)</f>
        <v>2200</v>
      </c>
      <c r="AD170" s="372">
        <f>IF(Year5_SouthEast Year5_LAC_under16_2.5years_sameplacement2years="","",Year5_SouthEast Year5_LAC_under16_2.5years_sameplacement2years)</f>
        <v>2210</v>
      </c>
      <c r="AE170" s="381"/>
      <c r="AF170" s="382"/>
      <c r="AG170" s="383"/>
      <c r="AH170" s="383"/>
      <c r="AI170" s="383"/>
      <c r="AJ170" s="596"/>
      <c r="AK170" s="161"/>
    </row>
    <row r="171" spans="1:44" s="87" customFormat="1" ht="12.75" x14ac:dyDescent="0.2">
      <c r="A171" s="121"/>
      <c r="B171" s="329" t="str">
        <f t="shared" si="48"/>
        <v>England</v>
      </c>
      <c r="C171" s="85"/>
      <c r="D171" s="351">
        <f t="shared" si="49"/>
        <v>0.68485617597292725</v>
      </c>
      <c r="E171" s="351">
        <f t="shared" si="51"/>
        <v>0.70191507077435467</v>
      </c>
      <c r="F171" s="351">
        <f t="shared" si="52"/>
        <v>0.69813614262560775</v>
      </c>
      <c r="G171" s="351">
        <f t="shared" si="53"/>
        <v>0.68660194174757283</v>
      </c>
      <c r="H171" s="352">
        <f t="shared" si="54"/>
        <v>0.68198529411764708</v>
      </c>
      <c r="I171" s="96"/>
      <c r="J171" s="96"/>
      <c r="K171" s="168"/>
      <c r="L171" s="168"/>
      <c r="M171" s="168"/>
      <c r="N171" s="168"/>
      <c r="O171" s="168"/>
      <c r="P171" s="168"/>
      <c r="Q171" s="168"/>
      <c r="R171" s="169"/>
      <c r="S171" s="159"/>
      <c r="T171" s="159"/>
      <c r="U171" s="170"/>
      <c r="V171" s="122"/>
      <c r="W171" s="139"/>
      <c r="X171" s="152"/>
      <c r="Y171" s="372" t="str">
        <f t="shared" si="55"/>
        <v>England</v>
      </c>
      <c r="Z171" s="607">
        <f>IF(Year1_England Year1_LAC_under16_2.5years_sameplacement2years="","",Year1_England Year1_LAC_under16_2.5years_sameplacement2years)</f>
        <v>16190</v>
      </c>
      <c r="AA171" s="607">
        <f>IF(Year2_England Year2_LAC_under16_2.5years_sameplacement2years="","",Year2_England Year2_LAC_under16_2.5years_sameplacement2years)</f>
        <v>16860</v>
      </c>
      <c r="AB171" s="372">
        <f>IF(Year3_England Year3_LAC_under16_2.5years_sameplacement2years="","",Year3_England Year3_LAC_under16_2.5years_sameplacement2years)</f>
        <v>17230</v>
      </c>
      <c r="AC171" s="372">
        <f>IF(Year4_England Year4_LAC_under16_2.5years_sameplacement2years="","",Year4_England Year4_LAC_under16_2.5years_sameplacement2years)</f>
        <v>17680</v>
      </c>
      <c r="AD171" s="580">
        <f>IF(Year5_England Year5_LAC_under16_2.5years_sameplacement2years="","",Year5_England Year5_LAC_under16_2.5years_sameplacement2years)</f>
        <v>18550</v>
      </c>
      <c r="AE171" s="381"/>
      <c r="AF171" s="382"/>
      <c r="AG171" s="383"/>
      <c r="AH171" s="383"/>
      <c r="AI171" s="383"/>
      <c r="AJ171" s="596"/>
      <c r="AK171" s="160"/>
    </row>
    <row r="172" spans="1:44" s="87" customFormat="1" ht="7.5" customHeight="1" x14ac:dyDescent="0.2">
      <c r="A172" s="292"/>
      <c r="B172" s="96"/>
      <c r="C172" s="96"/>
      <c r="D172" s="96"/>
      <c r="E172" s="96"/>
      <c r="F172" s="96"/>
      <c r="G172" s="96"/>
      <c r="H172" s="96"/>
      <c r="I172" s="96"/>
      <c r="J172" s="96"/>
      <c r="K172" s="168"/>
      <c r="L172" s="168"/>
      <c r="M172" s="168"/>
      <c r="N172" s="168"/>
      <c r="O172" s="168"/>
      <c r="P172" s="168"/>
      <c r="Q172" s="168"/>
      <c r="R172" s="169"/>
      <c r="S172" s="159"/>
      <c r="T172" s="159"/>
      <c r="U172" s="170"/>
      <c r="V172" s="122"/>
      <c r="W172" s="139"/>
      <c r="X172" s="152"/>
      <c r="Y172" s="81"/>
      <c r="Z172" s="81"/>
      <c r="AA172" s="196"/>
      <c r="AB172" s="196"/>
      <c r="AC172" s="197"/>
      <c r="AD172" s="197"/>
      <c r="AE172" s="199"/>
      <c r="AF172" s="202"/>
      <c r="AG172" s="202"/>
      <c r="AH172" s="202"/>
      <c r="AI172" s="190"/>
      <c r="AJ172" s="202"/>
      <c r="AK172" s="160"/>
    </row>
    <row r="173" spans="1:44" s="81" customFormat="1" ht="38.25" customHeight="1" x14ac:dyDescent="0.2">
      <c r="A173" s="217"/>
      <c r="B173" s="380"/>
      <c r="C173" s="380"/>
      <c r="D173" s="380"/>
      <c r="E173" s="380"/>
      <c r="F173" s="380"/>
      <c r="G173" s="380"/>
      <c r="H173" s="380"/>
      <c r="I173" s="380"/>
      <c r="J173" s="172"/>
      <c r="K173" s="172"/>
      <c r="L173" s="172"/>
      <c r="M173" s="172"/>
      <c r="N173" s="172"/>
      <c r="O173" s="172"/>
      <c r="P173" s="172"/>
      <c r="Q173" s="172"/>
      <c r="R173" s="136"/>
      <c r="S173" s="172"/>
      <c r="T173" s="172"/>
      <c r="U173" s="172"/>
      <c r="V173" s="117"/>
      <c r="W173" s="137"/>
      <c r="X173" s="150"/>
      <c r="AD173" s="197"/>
      <c r="AE173" s="199"/>
      <c r="AF173" s="184"/>
      <c r="AG173" s="184"/>
      <c r="AH173" s="184"/>
      <c r="AJ173" s="184"/>
      <c r="AK173" s="161"/>
    </row>
    <row r="174" spans="1:44" s="81" customFormat="1" ht="39" customHeight="1" x14ac:dyDescent="0.2">
      <c r="A174" s="217"/>
      <c r="B174" s="380"/>
      <c r="C174" s="380"/>
      <c r="D174" s="380"/>
      <c r="E174" s="380"/>
      <c r="F174" s="380"/>
      <c r="G174" s="380"/>
      <c r="H174" s="380"/>
      <c r="I174" s="380"/>
      <c r="J174" s="172"/>
      <c r="K174" s="172"/>
      <c r="L174" s="172"/>
      <c r="M174" s="172"/>
      <c r="N174" s="172"/>
      <c r="O174" s="172"/>
      <c r="P174" s="172"/>
      <c r="Q174" s="172"/>
      <c r="R174" s="136"/>
      <c r="S174" s="172"/>
      <c r="T174" s="172"/>
      <c r="U174" s="172"/>
      <c r="V174" s="117"/>
      <c r="W174" s="137"/>
      <c r="X174" s="150"/>
      <c r="Z174" s="190"/>
      <c r="AE174" s="199"/>
      <c r="AF174" s="184"/>
      <c r="AG174" s="184"/>
      <c r="AH174" s="184"/>
      <c r="AJ174" s="184"/>
      <c r="AK174" s="161"/>
    </row>
    <row r="175" spans="1:44" s="81" customFormat="1" ht="38.25" customHeight="1" x14ac:dyDescent="0.2">
      <c r="A175" s="217"/>
      <c r="B175" s="380"/>
      <c r="C175" s="380"/>
      <c r="D175" s="380"/>
      <c r="E175" s="380"/>
      <c r="F175" s="380"/>
      <c r="G175" s="380"/>
      <c r="H175" s="380"/>
      <c r="I175" s="380"/>
      <c r="J175" s="172"/>
      <c r="K175" s="172"/>
      <c r="L175" s="172"/>
      <c r="M175" s="172"/>
      <c r="N175" s="172"/>
      <c r="O175" s="172"/>
      <c r="P175" s="172"/>
      <c r="Q175" s="172"/>
      <c r="R175" s="136"/>
      <c r="S175" s="172"/>
      <c r="T175" s="172"/>
      <c r="U175" s="172"/>
      <c r="V175" s="117"/>
      <c r="W175" s="137"/>
      <c r="X175" s="150"/>
      <c r="Z175" s="190"/>
      <c r="AE175" s="199"/>
      <c r="AF175" s="184"/>
      <c r="AG175" s="184"/>
      <c r="AH175" s="184"/>
      <c r="AJ175" s="184"/>
      <c r="AK175" s="161"/>
    </row>
    <row r="176" spans="1:44" s="81" customFormat="1" ht="7.5" customHeight="1" x14ac:dyDescent="0.2">
      <c r="A176" s="118"/>
      <c r="B176" s="17"/>
      <c r="C176" s="17"/>
      <c r="D176" s="16"/>
      <c r="E176" s="16"/>
      <c r="F176" s="16"/>
      <c r="G176" s="16"/>
      <c r="H176" s="16"/>
      <c r="I176" s="16"/>
      <c r="J176" s="12"/>
      <c r="K176" s="18"/>
      <c r="L176" s="18"/>
      <c r="M176" s="18"/>
      <c r="N176" s="18"/>
      <c r="O176" s="18"/>
      <c r="P176" s="18"/>
      <c r="Q176" s="18"/>
      <c r="R176" s="18"/>
      <c r="S176" s="18"/>
      <c r="T176" s="18"/>
      <c r="U176" s="19"/>
      <c r="V176" s="117"/>
      <c r="W176" s="137"/>
      <c r="X176" s="150"/>
      <c r="Z176" s="190"/>
      <c r="AJ176" s="184"/>
      <c r="AK176" s="157"/>
      <c r="AL176" s="74"/>
      <c r="AM176" s="74"/>
      <c r="AN176" s="74"/>
      <c r="AO176" s="74"/>
      <c r="AP176" s="74"/>
      <c r="AQ176" s="74"/>
      <c r="AR176" s="74"/>
    </row>
    <row r="177" spans="1:46" s="81" customFormat="1" ht="15" customHeight="1" x14ac:dyDescent="0.2">
      <c r="A177" s="1716"/>
      <c r="B177" s="1760"/>
      <c r="C177" s="1760"/>
      <c r="D177" s="1760"/>
      <c r="E177" s="1760"/>
      <c r="F177" s="1760"/>
      <c r="G177" s="1760"/>
      <c r="H177" s="1760"/>
      <c r="I177" s="1760"/>
      <c r="J177" s="1760"/>
      <c r="K177" s="1760"/>
      <c r="L177" s="1760"/>
      <c r="M177" s="1760"/>
      <c r="N177" s="1760"/>
      <c r="O177" s="1760"/>
      <c r="P177" s="1760"/>
      <c r="Q177" s="1760"/>
      <c r="R177" s="1760"/>
      <c r="S177" s="1760"/>
      <c r="T177" s="1760"/>
      <c r="U177" s="1760"/>
      <c r="V177" s="1761"/>
      <c r="W177" s="137"/>
      <c r="X177" s="150"/>
      <c r="AK177" s="161"/>
      <c r="AT177" s="74"/>
    </row>
    <row r="178" spans="1:46" s="81" customFormat="1" ht="11.25" customHeight="1" x14ac:dyDescent="0.2">
      <c r="A178" s="1765" t="str">
        <f>Home!$A$39</f>
        <v xml:space="preserve"> </v>
      </c>
      <c r="B178" s="1766"/>
      <c r="C178" s="1766"/>
      <c r="D178" s="1766"/>
      <c r="E178" s="1766"/>
      <c r="F178" s="1766"/>
      <c r="G178" s="1766"/>
      <c r="H178" s="1766"/>
      <c r="I178" s="1767"/>
      <c r="J178" s="1766"/>
      <c r="K178" s="1766"/>
      <c r="L178" s="1766"/>
      <c r="M178" s="1766"/>
      <c r="N178" s="1766"/>
      <c r="O178" s="1766"/>
      <c r="P178" s="1768"/>
      <c r="Q178" s="1766"/>
      <c r="R178" s="1766"/>
      <c r="S178" s="1766"/>
      <c r="T178" s="1767"/>
      <c r="U178" s="1766"/>
      <c r="V178" s="1769"/>
      <c r="W178" s="137"/>
      <c r="X178" s="150"/>
      <c r="AJ178" s="184"/>
      <c r="AK178" s="160"/>
      <c r="AL178" s="87"/>
      <c r="AT178" s="74"/>
    </row>
    <row r="179" spans="1:46" ht="11.25" customHeight="1" x14ac:dyDescent="0.2">
      <c r="A179" s="112"/>
      <c r="B179" s="113"/>
      <c r="C179" s="113"/>
      <c r="D179" s="113"/>
      <c r="E179" s="113"/>
      <c r="F179" s="113"/>
      <c r="G179" s="113"/>
      <c r="H179" s="113"/>
      <c r="I179" s="113"/>
      <c r="J179" s="114"/>
      <c r="K179" s="113"/>
      <c r="L179" s="113"/>
      <c r="M179" s="113"/>
      <c r="N179" s="113"/>
      <c r="O179" s="113"/>
      <c r="P179" s="113"/>
      <c r="Q179" s="113"/>
      <c r="R179" s="113"/>
      <c r="S179" s="113"/>
      <c r="T179" s="113"/>
      <c r="U179" s="113"/>
      <c r="V179" s="115"/>
      <c r="W179" s="137"/>
      <c r="X179" s="150"/>
      <c r="Y179" s="198"/>
      <c r="Z179" s="196"/>
      <c r="AA179" s="188"/>
      <c r="AJ179" s="184"/>
      <c r="AK179" s="160"/>
    </row>
    <row r="180" spans="1:46" s="76" customFormat="1" ht="15" customHeight="1" x14ac:dyDescent="0.2">
      <c r="A180" s="119"/>
      <c r="B180" s="1770" t="str">
        <f>"Children Looked After"&amp;Z1&amp;" who had 3 or more placements during the last year"</f>
        <v>Children Looked After at 31st March who had 3 or more placements during the last year</v>
      </c>
      <c r="C180" s="1770"/>
      <c r="D180" s="1770"/>
      <c r="E180" s="1770"/>
      <c r="F180" s="1770"/>
      <c r="G180" s="1770"/>
      <c r="H180" s="1770"/>
      <c r="I180" s="1770"/>
      <c r="J180" s="70"/>
      <c r="K180" s="70"/>
      <c r="L180" s="70"/>
      <c r="M180" s="70"/>
      <c r="N180" s="373"/>
      <c r="O180" s="70"/>
      <c r="P180" s="70"/>
      <c r="Q180" s="70"/>
      <c r="R180" s="70"/>
      <c r="S180" s="70"/>
      <c r="T180" s="70"/>
      <c r="U180" s="70"/>
      <c r="V180" s="120"/>
      <c r="W180" s="138"/>
      <c r="X180" s="151"/>
      <c r="Y180" s="381" t="s">
        <v>153</v>
      </c>
      <c r="Z180" s="382"/>
      <c r="AA180" s="383"/>
      <c r="AB180" s="383"/>
      <c r="AC180" s="383"/>
      <c r="AD180" s="81"/>
      <c r="AE180" s="755" t="s">
        <v>777</v>
      </c>
      <c r="AF180" s="81"/>
      <c r="AG180" s="81"/>
      <c r="AH180" s="81"/>
      <c r="AI180" s="81"/>
      <c r="AJ180" s="184"/>
      <c r="AK180" s="160"/>
    </row>
    <row r="181" spans="1:46" ht="15" customHeight="1" thickBot="1" x14ac:dyDescent="0.25">
      <c r="A181" s="118"/>
      <c r="B181" s="1770"/>
      <c r="C181" s="1770"/>
      <c r="D181" s="1770"/>
      <c r="E181" s="1770"/>
      <c r="F181" s="1770"/>
      <c r="G181" s="1770"/>
      <c r="H181" s="1770"/>
      <c r="I181" s="1770"/>
      <c r="J181" s="70"/>
      <c r="K181" s="70"/>
      <c r="L181" s="70"/>
      <c r="M181" s="70"/>
      <c r="N181" s="373"/>
      <c r="O181" s="70"/>
      <c r="P181" s="70"/>
      <c r="Q181" s="70"/>
      <c r="R181" s="10"/>
      <c r="S181" s="70"/>
      <c r="T181" s="70"/>
      <c r="U181" s="70"/>
      <c r="V181" s="117"/>
      <c r="W181" s="137"/>
      <c r="X181" s="150"/>
      <c r="Y181" s="383"/>
      <c r="Z181" s="382"/>
      <c r="AA181" s="383"/>
      <c r="AB181" s="383"/>
      <c r="AC181" s="383"/>
      <c r="AJ181" s="184"/>
      <c r="AK181" s="160"/>
    </row>
    <row r="182" spans="1:46" ht="13.5" customHeight="1" x14ac:dyDescent="0.2">
      <c r="A182" s="278"/>
      <c r="B182" s="1771" t="s">
        <v>205</v>
      </c>
      <c r="C182" s="921"/>
      <c r="D182" s="789" t="str">
        <f>Sheet1!$D$27</f>
        <v>2015-16</v>
      </c>
      <c r="E182" s="790" t="str">
        <f>Sheet1!$E$27</f>
        <v>2016-17</v>
      </c>
      <c r="F182" s="790" t="str">
        <f>Sheet1!$F$27</f>
        <v>2017-18</v>
      </c>
      <c r="G182" s="790" t="str">
        <f>Sheet1!$G$27</f>
        <v>2018-19</v>
      </c>
      <c r="H182" s="791" t="str">
        <f>Sheet1!$H$27</f>
        <v>2019-20</v>
      </c>
      <c r="I182" s="921"/>
      <c r="J182" s="70"/>
      <c r="K182" s="70"/>
      <c r="L182" s="70"/>
      <c r="M182" s="70"/>
      <c r="N182" s="918"/>
      <c r="O182" s="70"/>
      <c r="P182" s="70"/>
      <c r="Q182" s="70"/>
      <c r="R182" s="10"/>
      <c r="S182" s="70"/>
      <c r="T182" s="70"/>
      <c r="U182" s="70"/>
      <c r="V182" s="117"/>
      <c r="W182" s="137"/>
      <c r="X182" s="150"/>
      <c r="Y182" s="383"/>
      <c r="Z182" s="800" t="str">
        <f>IF(Sheet1!$C$3="Annual","",Sheet1!$D$28)</f>
        <v/>
      </c>
      <c r="AA182" s="801" t="str">
        <f>IF(Sheet1!$C$3="Annual","",Sheet1!$E$28)</f>
        <v/>
      </c>
      <c r="AB182" s="801" t="str">
        <f>IF(Sheet1!$C$3="Annual","",Sheet1!$F$28)</f>
        <v/>
      </c>
      <c r="AC182" s="801" t="str">
        <f>IF(Sheet1!$C$3="Annual","",Sheet1!$G$28)</f>
        <v/>
      </c>
      <c r="AD182" s="802" t="str">
        <f>IF(Sheet1!$C$3="Annual","",Sheet1!$H$28)</f>
        <v/>
      </c>
      <c r="AE182" s="800" t="str">
        <f>IF(Sheet1!$C$3="Annual","",Sheet1!$D$28)</f>
        <v/>
      </c>
      <c r="AF182" s="801" t="str">
        <f>IF(Sheet1!$C$3="Annual","",Sheet1!$E$28)</f>
        <v/>
      </c>
      <c r="AG182" s="801" t="str">
        <f>IF(Sheet1!$C$3="Annual","",Sheet1!$F$28)</f>
        <v/>
      </c>
      <c r="AH182" s="801" t="str">
        <f>IF(Sheet1!$C$3="Annual","",Sheet1!$G$28)</f>
        <v/>
      </c>
      <c r="AI182" s="802" t="str">
        <f>IF(Sheet1!$C$3="Annual","",Sheet1!$H$28)</f>
        <v/>
      </c>
      <c r="AJ182" s="184"/>
      <c r="AK182" s="160"/>
    </row>
    <row r="183" spans="1:46" s="87" customFormat="1" ht="13.5" customHeight="1" thickBot="1" x14ac:dyDescent="0.25">
      <c r="A183" s="121"/>
      <c r="B183" s="1772"/>
      <c r="C183" s="85"/>
      <c r="D183" s="792" t="e">
        <f>Sheet1!$D$28</f>
        <v>#N/A</v>
      </c>
      <c r="E183" s="792" t="e">
        <f>Sheet1!$E$28</f>
        <v>#N/A</v>
      </c>
      <c r="F183" s="792" t="e">
        <f>Sheet1!$F$28</f>
        <v>#N/A</v>
      </c>
      <c r="G183" s="792" t="e">
        <f>Sheet1!$G$28</f>
        <v>#N/A</v>
      </c>
      <c r="H183" s="793" t="e">
        <f>Sheet1!$H$28</f>
        <v>#N/A</v>
      </c>
      <c r="I183" s="96"/>
      <c r="J183" s="96"/>
      <c r="K183" s="61"/>
      <c r="L183" s="61"/>
      <c r="M183" s="61"/>
      <c r="N183" s="61"/>
      <c r="O183" s="61"/>
      <c r="P183" s="61"/>
      <c r="Q183" s="379"/>
      <c r="R183" s="379"/>
      <c r="S183" s="159"/>
      <c r="T183" s="159"/>
      <c r="U183" s="378"/>
      <c r="V183" s="122"/>
      <c r="W183" s="139"/>
      <c r="X183" s="152"/>
      <c r="Y183" s="372"/>
      <c r="Z183" s="803" t="str">
        <f>Sheet1!$D$27</f>
        <v>2015-16</v>
      </c>
      <c r="AA183" s="804" t="str">
        <f>Sheet1!$E$27</f>
        <v>2016-17</v>
      </c>
      <c r="AB183" s="804" t="str">
        <f>Sheet1!$F$27</f>
        <v>2017-18</v>
      </c>
      <c r="AC183" s="804" t="str">
        <f>Sheet1!$G$27</f>
        <v>2018-19</v>
      </c>
      <c r="AD183" s="805" t="str">
        <f>Sheet1!$H$27</f>
        <v>2019-20</v>
      </c>
      <c r="AE183" s="803" t="str">
        <f>Sheet1!$D$27</f>
        <v>2015-16</v>
      </c>
      <c r="AF183" s="804" t="str">
        <f>Sheet1!$E$27</f>
        <v>2016-17</v>
      </c>
      <c r="AG183" s="804" t="str">
        <f>Sheet1!$F$27</f>
        <v>2017-18</v>
      </c>
      <c r="AH183" s="804" t="str">
        <f>Sheet1!$G$27</f>
        <v>2018-19</v>
      </c>
      <c r="AI183" s="805" t="str">
        <f>Sheet1!$H$27</f>
        <v>2019-20</v>
      </c>
      <c r="AJ183" s="184"/>
      <c r="AK183" s="160"/>
    </row>
    <row r="184" spans="1:46" s="87" customFormat="1" ht="12.75" x14ac:dyDescent="0.2">
      <c r="A184" s="488">
        <f>VLOOKUP(B184,Sheet1!$AQ$4:$AR$25,2,FALSE)</f>
        <v>0</v>
      </c>
      <c r="B184" s="93" t="str">
        <f t="shared" ref="B184:B207" si="56">B148</f>
        <v>Bracknell Forest</v>
      </c>
      <c r="C184" s="85"/>
      <c r="D184" s="162">
        <f t="shared" ref="D184:D207" si="57">IF(AND(ISNUMBER(D10),ISNUMBER(Z184)),Z184/D10,NA())</f>
        <v>0.15306122448979592</v>
      </c>
      <c r="E184" s="162">
        <f t="shared" ref="E184:E207" si="58">IF(AND(ISNUMBER(E10),ISNUMBER(AA184)),AA184/E10,NA())</f>
        <v>8.6206896551724144E-2</v>
      </c>
      <c r="F184" s="162">
        <f t="shared" ref="F184:F207" si="59">IF(AND(ISNUMBER(F10),ISNUMBER(AB184)),AB184/F10,NA())</f>
        <v>0.13768115942028986</v>
      </c>
      <c r="G184" s="162">
        <f t="shared" ref="G184:G207" si="60">IF(AND(ISNUMBER(G10),ISNUMBER(AC184)),AC184/G10,NA())</f>
        <v>0.19620253164556961</v>
      </c>
      <c r="H184" s="164">
        <f t="shared" ref="H184:H207" si="61">IF(AND(ISNUMBER(H10),ISNUMBER(AD184)),AD184/H10,NA())</f>
        <v>0.15492957746478872</v>
      </c>
      <c r="I184" s="96"/>
      <c r="J184" s="96"/>
      <c r="K184" s="166"/>
      <c r="L184" s="166"/>
      <c r="M184" s="166"/>
      <c r="N184" s="166"/>
      <c r="O184" s="166"/>
      <c r="P184" s="166"/>
      <c r="Q184" s="166"/>
      <c r="R184" s="167"/>
      <c r="S184" s="159"/>
      <c r="T184" s="159"/>
      <c r="U184" s="166"/>
      <c r="V184" s="122"/>
      <c r="W184" s="139"/>
      <c r="X184" s="152"/>
      <c r="Y184" s="372" t="str">
        <f>B184</f>
        <v>Bracknell Forest</v>
      </c>
      <c r="Z184" s="489">
        <f>IF(Year1_Bracknell_Forest Year1_LAC_3_or_more_Placements="","",Year1_Bracknell_Forest Year1_LAC_3_or_more_Placements)</f>
        <v>15</v>
      </c>
      <c r="AA184" s="372">
        <f>IF(Year2_Bracknell_Forest Year2_LAC_3_or_more_Placements="","",Year2_Bracknell_Forest Year2_LAC_3_or_more_Placements)</f>
        <v>10</v>
      </c>
      <c r="AB184" s="372">
        <f>IF(Year3_Bracknell_Forest Year3_LAC_3_or_more_Placements="","",Year3_Bracknell_Forest Year3_LAC_3_or_more_Placements)</f>
        <v>19</v>
      </c>
      <c r="AC184" s="372">
        <f>IF(Year4_Bracknell_Forest Year4_LAC_3_or_more_Placements="","",Year4_Bracknell_Forest Year4_LAC_3_or_more_Placements)</f>
        <v>31</v>
      </c>
      <c r="AD184" s="577">
        <f>IF(Year5_Bracknell_Forest Year5_LAC_3_or_more_Placements="","",Year5_Bracknell_Forest Year5_LAC_3_or_more_Placements)</f>
        <v>22</v>
      </c>
      <c r="AE184" s="489">
        <f>IF(ISNUMBER(Z184),D10,0)</f>
        <v>98</v>
      </c>
      <c r="AF184" s="489">
        <f t="shared" ref="AF184:AI184" si="62">IF(ISNUMBER(AA184),E10,0)</f>
        <v>116</v>
      </c>
      <c r="AG184" s="489">
        <f t="shared" si="62"/>
        <v>138</v>
      </c>
      <c r="AH184" s="489">
        <f t="shared" si="62"/>
        <v>158</v>
      </c>
      <c r="AI184" s="489">
        <f t="shared" si="62"/>
        <v>142</v>
      </c>
      <c r="AJ184" s="184"/>
      <c r="AK184" s="160"/>
    </row>
    <row r="185" spans="1:46" s="87" customFormat="1" ht="12.75" customHeight="1" x14ac:dyDescent="0.2">
      <c r="A185" s="488">
        <f>VLOOKUP(B185,Sheet1!$AQ$4:$AR$25,2,FALSE)</f>
        <v>0</v>
      </c>
      <c r="B185" s="93" t="str">
        <f t="shared" si="56"/>
        <v>Brighton &amp; Hove</v>
      </c>
      <c r="C185" s="85"/>
      <c r="D185" s="162">
        <f t="shared" si="57"/>
        <v>0.14840182648401826</v>
      </c>
      <c r="E185" s="162">
        <f t="shared" si="58"/>
        <v>0.1206140350877193</v>
      </c>
      <c r="F185" s="162">
        <f t="shared" si="59"/>
        <v>9.5465393794749401E-2</v>
      </c>
      <c r="G185" s="162">
        <f t="shared" si="60"/>
        <v>8.1841432225063945E-2</v>
      </c>
      <c r="H185" s="164">
        <f t="shared" si="61"/>
        <v>0.11081081081081082</v>
      </c>
      <c r="I185" s="96"/>
      <c r="J185" s="96"/>
      <c r="K185" s="166"/>
      <c r="L185" s="166"/>
      <c r="M185" s="166"/>
      <c r="N185" s="166"/>
      <c r="O185" s="166"/>
      <c r="P185" s="166"/>
      <c r="Q185" s="166"/>
      <c r="R185" s="167"/>
      <c r="S185" s="159"/>
      <c r="T185" s="159"/>
      <c r="U185" s="166"/>
      <c r="V185" s="122"/>
      <c r="W185" s="139"/>
      <c r="X185" s="152"/>
      <c r="Y185" s="372" t="str">
        <f t="shared" ref="Y185:Y207" si="63">B185</f>
        <v>Brighton &amp; Hove</v>
      </c>
      <c r="Z185" s="489">
        <f>IF(Year1_Brighton_Hove Year1_LAC_3_or_more_Placements="","",Year1_Brighton_Hove Year1_LAC_3_or_more_Placements)</f>
        <v>65</v>
      </c>
      <c r="AA185" s="372">
        <f>IF(Year2_Brighton_Hove Year2_LAC_3_or_more_Placements="","",Year2_Brighton_Hove Year2_LAC_3_or_more_Placements)</f>
        <v>55</v>
      </c>
      <c r="AB185" s="372">
        <f>IF(Year3_Brighton_Hove Year3_LAC_3_or_more_Placements="","",Year3_Brighton_Hove Year3_LAC_3_or_more_Placements)</f>
        <v>40</v>
      </c>
      <c r="AC185" s="372">
        <f>IF(Year4_Brighton_Hove Year4_LAC_3_or_more_Placements="","",Year4_Brighton_Hove Year4_LAC_3_or_more_Placements)</f>
        <v>32</v>
      </c>
      <c r="AD185" s="577">
        <f>IF(Year5_Brighton_Hove Year5_LAC_3_or_more_Placements="","",Year5_Brighton_Hove Year5_LAC_3_or_more_Placements)</f>
        <v>41</v>
      </c>
      <c r="AE185" s="489">
        <f t="shared" ref="AE185:AE205" si="64">IF(ISNUMBER(Z185),D11,0)</f>
        <v>438</v>
      </c>
      <c r="AF185" s="489">
        <f t="shared" ref="AF185:AF205" si="65">IF(ISNUMBER(AA185),E11,0)</f>
        <v>456</v>
      </c>
      <c r="AG185" s="489">
        <f t="shared" ref="AG185:AG205" si="66">IF(ISNUMBER(AB185),F11,0)</f>
        <v>419</v>
      </c>
      <c r="AH185" s="489">
        <f t="shared" ref="AH185:AH205" si="67">IF(ISNUMBER(AC185),G11,0)</f>
        <v>391</v>
      </c>
      <c r="AI185" s="489">
        <f t="shared" ref="AI185:AI205" si="68">IF(ISNUMBER(AD185),H11,0)</f>
        <v>370</v>
      </c>
      <c r="AJ185" s="184"/>
      <c r="AK185" s="160"/>
    </row>
    <row r="186" spans="1:46" s="87" customFormat="1" ht="12.75" customHeight="1" x14ac:dyDescent="0.2">
      <c r="A186" s="488">
        <f>VLOOKUP(B186,Sheet1!$AQ$4:$AR$25,2,FALSE)</f>
        <v>0</v>
      </c>
      <c r="B186" s="93" t="str">
        <f t="shared" si="56"/>
        <v>Buckinghamshire</v>
      </c>
      <c r="C186" s="85"/>
      <c r="D186" s="162">
        <f t="shared" si="57"/>
        <v>7.6252723311546838E-2</v>
      </c>
      <c r="E186" s="162">
        <f t="shared" si="58"/>
        <v>7.7092511013215861E-2</v>
      </c>
      <c r="F186" s="162">
        <f t="shared" si="59"/>
        <v>5.9322033898305086E-2</v>
      </c>
      <c r="G186" s="162">
        <f t="shared" si="60"/>
        <v>8.9320388349514557E-2</v>
      </c>
      <c r="H186" s="164">
        <f t="shared" si="61"/>
        <v>9.7107438016528921E-2</v>
      </c>
      <c r="I186" s="96"/>
      <c r="J186" s="96"/>
      <c r="K186" s="166"/>
      <c r="L186" s="166"/>
      <c r="M186" s="166"/>
      <c r="N186" s="166"/>
      <c r="O186" s="166"/>
      <c r="P186" s="166"/>
      <c r="Q186" s="166"/>
      <c r="R186" s="167"/>
      <c r="S186" s="159"/>
      <c r="T186" s="159"/>
      <c r="U186" s="166"/>
      <c r="V186" s="122"/>
      <c r="W186" s="139"/>
      <c r="X186" s="152"/>
      <c r="Y186" s="372" t="str">
        <f t="shared" si="63"/>
        <v>Buckinghamshire</v>
      </c>
      <c r="Z186" s="489">
        <f>IF(Year1_Buckinghamshire Year1_LAC_3_or_more_Placements="","",Year1_Buckinghamshire Year1_LAC_3_or_more_Placements)</f>
        <v>35</v>
      </c>
      <c r="AA186" s="372">
        <f>IF(Year2_Buckinghamshire Year2_LAC_3_or_more_Placements="","",Year2_Buckinghamshire Year2_LAC_3_or_more_Placements)</f>
        <v>35</v>
      </c>
      <c r="AB186" s="372">
        <f>IF(Year3_Buckinghamshire Year3_LAC_3_or_more_Placements="","",Year3_Buckinghamshire Year3_LAC_3_or_more_Placements)</f>
        <v>28</v>
      </c>
      <c r="AC186" s="372">
        <f>IF(Year4_Buckinghamshire Year4_LAC_3_or_more_Placements="","",Year4_Buckinghamshire Year4_LAC_3_or_more_Placements)</f>
        <v>46</v>
      </c>
      <c r="AD186" s="577">
        <f>IF(Year5_Buckinghamshire Year5_LAC_3_or_more_Placements="","",Year5_Buckinghamshire Year5_LAC_3_or_more_Placements)</f>
        <v>47</v>
      </c>
      <c r="AE186" s="489">
        <f t="shared" si="64"/>
        <v>459</v>
      </c>
      <c r="AF186" s="489">
        <f t="shared" si="65"/>
        <v>454</v>
      </c>
      <c r="AG186" s="489">
        <f t="shared" si="66"/>
        <v>472</v>
      </c>
      <c r="AH186" s="489">
        <f t="shared" si="67"/>
        <v>515</v>
      </c>
      <c r="AI186" s="489">
        <f t="shared" si="68"/>
        <v>484</v>
      </c>
      <c r="AJ186" s="184"/>
      <c r="AK186" s="160"/>
    </row>
    <row r="187" spans="1:46" s="87" customFormat="1" ht="12.75" customHeight="1" x14ac:dyDescent="0.2">
      <c r="A187" s="488">
        <f>VLOOKUP(B187,Sheet1!$AQ$4:$AR$25,2,FALSE)</f>
        <v>0</v>
      </c>
      <c r="B187" s="93" t="str">
        <f t="shared" si="56"/>
        <v>East Sussex</v>
      </c>
      <c r="C187" s="85"/>
      <c r="D187" s="162">
        <f t="shared" si="57"/>
        <v>0.11049723756906077</v>
      </c>
      <c r="E187" s="162">
        <f t="shared" si="58"/>
        <v>0.13513513513513514</v>
      </c>
      <c r="F187" s="162">
        <f t="shared" si="59"/>
        <v>0.11129568106312292</v>
      </c>
      <c r="G187" s="162">
        <f t="shared" si="60"/>
        <v>0.12</v>
      </c>
      <c r="H187" s="164">
        <f t="shared" si="61"/>
        <v>0.13344594594594594</v>
      </c>
      <c r="I187" s="96"/>
      <c r="J187" s="96"/>
      <c r="K187" s="166"/>
      <c r="L187" s="166"/>
      <c r="M187" s="166"/>
      <c r="N187" s="166"/>
      <c r="O187" s="166"/>
      <c r="P187" s="166"/>
      <c r="Q187" s="166"/>
      <c r="R187" s="167"/>
      <c r="S187" s="159"/>
      <c r="T187" s="159"/>
      <c r="U187" s="166"/>
      <c r="V187" s="122"/>
      <c r="W187" s="139"/>
      <c r="X187" s="152"/>
      <c r="Y187" s="372" t="str">
        <f t="shared" si="63"/>
        <v>East Sussex</v>
      </c>
      <c r="Z187" s="489">
        <f>IF(Year1_East_Sussex Year1_LAC_3_or_more_Placements="","",Year1_East_Sussex Year1_LAC_3_or_more_Placements)</f>
        <v>60</v>
      </c>
      <c r="AA187" s="372">
        <f>IF(Year2_East_Sussex Year2_LAC_3_or_more_Placements="","",Year2_East_Sussex Year2_LAC_3_or_more_Placements)</f>
        <v>75</v>
      </c>
      <c r="AB187" s="372">
        <f>IF(Year3_East_Sussex Year3_LAC_3_or_more_Placements="","",Year3_East_Sussex Year3_LAC_3_or_more_Placements)</f>
        <v>67</v>
      </c>
      <c r="AC187" s="372">
        <f>IF(Year4_East_Sussex Year4_LAC_3_or_more_Placements="","",Year4_East_Sussex Year4_LAC_3_or_more_Placements)</f>
        <v>72</v>
      </c>
      <c r="AD187" s="577">
        <f>IF(Year5_East_Sussex Year5_LAC_3_or_more_Placements="","",Year5_East_Sussex Year5_LAC_3_or_more_Placements)</f>
        <v>79</v>
      </c>
      <c r="AE187" s="489">
        <f t="shared" si="64"/>
        <v>543</v>
      </c>
      <c r="AF187" s="489">
        <f t="shared" si="65"/>
        <v>555</v>
      </c>
      <c r="AG187" s="489">
        <f t="shared" si="66"/>
        <v>602</v>
      </c>
      <c r="AH187" s="489">
        <f t="shared" si="67"/>
        <v>600</v>
      </c>
      <c r="AI187" s="489">
        <f t="shared" si="68"/>
        <v>592</v>
      </c>
      <c r="AJ187" s="184"/>
      <c r="AK187" s="160"/>
    </row>
    <row r="188" spans="1:46" s="87" customFormat="1" ht="12.75" customHeight="1" x14ac:dyDescent="0.2">
      <c r="A188" s="488">
        <f>VLOOKUP(B188,Sheet1!$AQ$4:$AR$25,2,FALSE)</f>
        <v>0</v>
      </c>
      <c r="B188" s="93" t="str">
        <f t="shared" si="56"/>
        <v>Hampshire</v>
      </c>
      <c r="C188" s="85"/>
      <c r="D188" s="162">
        <f t="shared" si="57"/>
        <v>0.17241379310344829</v>
      </c>
      <c r="E188" s="162">
        <f t="shared" si="58"/>
        <v>0.15625</v>
      </c>
      <c r="F188" s="162">
        <f t="shared" si="59"/>
        <v>0.16436637390213299</v>
      </c>
      <c r="G188" s="162">
        <f t="shared" si="60"/>
        <v>0.15925480769230768</v>
      </c>
      <c r="H188" s="164">
        <f t="shared" si="61"/>
        <v>0.17290886392009988</v>
      </c>
      <c r="I188" s="96"/>
      <c r="J188" s="96"/>
      <c r="K188" s="166"/>
      <c r="L188" s="166"/>
      <c r="M188" s="166"/>
      <c r="N188" s="166"/>
      <c r="O188" s="166"/>
      <c r="P188" s="166"/>
      <c r="Q188" s="166"/>
      <c r="R188" s="167"/>
      <c r="S188" s="159"/>
      <c r="T188" s="159"/>
      <c r="U188" s="166"/>
      <c r="V188" s="122"/>
      <c r="W188" s="139"/>
      <c r="X188" s="152"/>
      <c r="Y188" s="372" t="str">
        <f t="shared" si="63"/>
        <v>Hampshire</v>
      </c>
      <c r="Z188" s="489">
        <f>IF(Year1_Hampshire Year1_LAC_3_or_more_Placements="","",Year1_Hampshire Year1_LAC_3_or_more_Placements)</f>
        <v>225</v>
      </c>
      <c r="AA188" s="372">
        <f>IF(Year2_Hampshire Year2_LAC_3_or_more_Placements="","",Year2_Hampshire Year2_LAC_3_or_more_Placements)</f>
        <v>225</v>
      </c>
      <c r="AB188" s="372">
        <f>IF(Year3_Hampshire Year3_LAC_3_or_more_Placements="","",Year3_Hampshire Year3_LAC_3_or_more_Placements)</f>
        <v>262</v>
      </c>
      <c r="AC188" s="372">
        <f>IF(Year4_Hampshire Year4_LAC_3_or_more_Placements="","",Year4_Hampshire Year4_LAC_3_or_more_Placements)</f>
        <v>265</v>
      </c>
      <c r="AD188" s="577">
        <f>IF(Year5_Hampshire Year5_LAC_3_or_more_Placements="","",Year5_Hampshire Year5_LAC_3_or_more_Placements)</f>
        <v>277</v>
      </c>
      <c r="AE188" s="489">
        <f t="shared" si="64"/>
        <v>1305</v>
      </c>
      <c r="AF188" s="489">
        <f t="shared" si="65"/>
        <v>1440</v>
      </c>
      <c r="AG188" s="489">
        <f t="shared" si="66"/>
        <v>1594</v>
      </c>
      <c r="AH188" s="489">
        <f t="shared" si="67"/>
        <v>1664</v>
      </c>
      <c r="AI188" s="489">
        <f t="shared" si="68"/>
        <v>1602</v>
      </c>
      <c r="AJ188" s="184"/>
      <c r="AK188" s="160"/>
    </row>
    <row r="189" spans="1:46" s="87" customFormat="1" ht="12.75" customHeight="1" x14ac:dyDescent="0.2">
      <c r="A189" s="488">
        <f>VLOOKUP(B189,Sheet1!$AQ$4:$AR$25,2,FALSE)</f>
        <v>0</v>
      </c>
      <c r="B189" s="93" t="str">
        <f t="shared" si="56"/>
        <v>Isle of Wight</v>
      </c>
      <c r="C189" s="85"/>
      <c r="D189" s="162">
        <f t="shared" si="57"/>
        <v>0.12254901960784313</v>
      </c>
      <c r="E189" s="162">
        <f t="shared" si="58"/>
        <v>0.10964912280701754</v>
      </c>
      <c r="F189" s="162">
        <f t="shared" si="59"/>
        <v>0.18141592920353983</v>
      </c>
      <c r="G189" s="162">
        <f t="shared" si="60"/>
        <v>9.8765432098765427E-2</v>
      </c>
      <c r="H189" s="164">
        <f t="shared" si="61"/>
        <v>0.13636363636363635</v>
      </c>
      <c r="I189" s="96"/>
      <c r="J189" s="96"/>
      <c r="K189" s="166"/>
      <c r="L189" s="166"/>
      <c r="M189" s="166"/>
      <c r="N189" s="166"/>
      <c r="O189" s="166"/>
      <c r="P189" s="166"/>
      <c r="Q189" s="166"/>
      <c r="R189" s="167"/>
      <c r="S189" s="159"/>
      <c r="T189" s="159"/>
      <c r="U189" s="166"/>
      <c r="V189" s="122"/>
      <c r="W189" s="139"/>
      <c r="X189" s="152"/>
      <c r="Y189" s="372" t="str">
        <f t="shared" si="63"/>
        <v>Isle of Wight</v>
      </c>
      <c r="Z189" s="489">
        <f>IF(Year1_Isle_of_Wight Year1_LAC_3_or_more_Placements="","",Year1_Isle_of_Wight Year1_LAC_3_or_more_Placements)</f>
        <v>25</v>
      </c>
      <c r="AA189" s="372">
        <f>IF(Year2_Isle_of_Wight Year2_LAC_3_or_more_Placements="","",Year2_Isle_of_Wight Year2_LAC_3_or_more_Placements)</f>
        <v>25</v>
      </c>
      <c r="AB189" s="372">
        <f>IF(Year3_Isle_of_Wight Year3_LAC_3_or_more_Placements="","",Year3_Isle_of_Wight Year3_LAC_3_or_more_Placements)</f>
        <v>41</v>
      </c>
      <c r="AC189" s="372">
        <f>IF(Year4_Isle_of_Wight Year4_LAC_3_or_more_Placements="","",Year4_Isle_of_Wight Year4_LAC_3_or_more_Placements)</f>
        <v>24</v>
      </c>
      <c r="AD189" s="577">
        <f>IF(Year5_Isle_of_Wight Year5_LAC_3_or_more_Placements="","",Year5_Isle_of_Wight Year5_LAC_3_or_more_Placements)</f>
        <v>36</v>
      </c>
      <c r="AE189" s="489">
        <f t="shared" si="64"/>
        <v>204</v>
      </c>
      <c r="AF189" s="489">
        <f t="shared" si="65"/>
        <v>228</v>
      </c>
      <c r="AG189" s="489">
        <f t="shared" si="66"/>
        <v>226</v>
      </c>
      <c r="AH189" s="489">
        <f t="shared" si="67"/>
        <v>243</v>
      </c>
      <c r="AI189" s="489">
        <f t="shared" si="68"/>
        <v>264</v>
      </c>
      <c r="AJ189" s="184"/>
      <c r="AK189" s="160"/>
      <c r="AS189" s="87" t="s">
        <v>102</v>
      </c>
    </row>
    <row r="190" spans="1:46" s="87" customFormat="1" ht="12.75" customHeight="1" x14ac:dyDescent="0.2">
      <c r="A190" s="488">
        <f>VLOOKUP(B190,Sheet1!$AQ$4:$AR$25,2,FALSE)</f>
        <v>0</v>
      </c>
      <c r="B190" s="93" t="str">
        <f t="shared" si="56"/>
        <v>Kent</v>
      </c>
      <c r="C190" s="85"/>
      <c r="D190" s="162">
        <f t="shared" si="57"/>
        <v>0.12532411408815902</v>
      </c>
      <c r="E190" s="162">
        <f t="shared" si="58"/>
        <v>0.1262493424513414</v>
      </c>
      <c r="F190" s="162">
        <f t="shared" si="59"/>
        <v>0.11761121267519806</v>
      </c>
      <c r="G190" s="162">
        <f t="shared" si="60"/>
        <v>0.10377358490566038</v>
      </c>
      <c r="H190" s="164">
        <f t="shared" si="61"/>
        <v>0.11178749308245711</v>
      </c>
      <c r="I190" s="96"/>
      <c r="J190" s="96"/>
      <c r="K190" s="166"/>
      <c r="L190" s="166"/>
      <c r="M190" s="166"/>
      <c r="N190" s="166"/>
      <c r="O190" s="166"/>
      <c r="P190" s="166"/>
      <c r="Q190" s="166"/>
      <c r="R190" s="167"/>
      <c r="S190" s="159"/>
      <c r="T190" s="159"/>
      <c r="U190" s="166"/>
      <c r="V190" s="122"/>
      <c r="W190" s="139"/>
      <c r="X190" s="152"/>
      <c r="Y190" s="372" t="str">
        <f t="shared" si="63"/>
        <v>Kent</v>
      </c>
      <c r="Z190" s="489">
        <f>IF(Year1_Kent Year1_LAC_3_or_more_Placements="","",Year1_Kent Year1_LAC_3_or_more_Placements)</f>
        <v>290</v>
      </c>
      <c r="AA190" s="372">
        <f>IF(Year2_Kent Year2_LAC_3_or_more_Placements="","",Year2_Kent Year2_LAC_3_or_more_Placements)</f>
        <v>240</v>
      </c>
      <c r="AB190" s="372">
        <f>IF(Year3_Kent Year3_LAC_3_or_more_Placements="","",Year3_Kent Year3_LAC_3_or_more_Placements)</f>
        <v>193</v>
      </c>
      <c r="AC190" s="372">
        <f>IF(Year4_Kent Year4_LAC_3_or_more_Placements="","",Year4_Kent Year4_LAC_3_or_more_Placements)</f>
        <v>165</v>
      </c>
      <c r="AD190" s="577">
        <f>IF(Year5_Kent Year5_LAC_3_or_more_Placements="","",Year5_Kent Year5_LAC_3_or_more_Placements)</f>
        <v>202</v>
      </c>
      <c r="AE190" s="489">
        <f t="shared" si="64"/>
        <v>2314</v>
      </c>
      <c r="AF190" s="489">
        <f t="shared" si="65"/>
        <v>1901</v>
      </c>
      <c r="AG190" s="489">
        <f t="shared" si="66"/>
        <v>1641</v>
      </c>
      <c r="AH190" s="489">
        <f t="shared" si="67"/>
        <v>1590</v>
      </c>
      <c r="AI190" s="489">
        <f t="shared" si="68"/>
        <v>1807</v>
      </c>
      <c r="AJ190" s="184"/>
      <c r="AK190" s="160"/>
    </row>
    <row r="191" spans="1:46" s="87" customFormat="1" ht="12.75" customHeight="1" x14ac:dyDescent="0.2">
      <c r="A191" s="488">
        <f>VLOOKUP(B191,Sheet1!$AQ$4:$AR$25,2,FALSE)</f>
        <v>0</v>
      </c>
      <c r="B191" s="93" t="str">
        <f t="shared" si="56"/>
        <v>Medway</v>
      </c>
      <c r="C191" s="85"/>
      <c r="D191" s="162">
        <f t="shared" si="57"/>
        <v>9.3023255813953487E-2</v>
      </c>
      <c r="E191" s="162">
        <f t="shared" si="58"/>
        <v>0.11538461538461539</v>
      </c>
      <c r="F191" s="162">
        <f t="shared" si="59"/>
        <v>9.9033816425120769E-2</v>
      </c>
      <c r="G191" s="162">
        <f t="shared" si="60"/>
        <v>9.4339622641509441E-2</v>
      </c>
      <c r="H191" s="164">
        <f t="shared" si="61"/>
        <v>9.6244131455399062E-2</v>
      </c>
      <c r="I191" s="96"/>
      <c r="J191" s="96"/>
      <c r="K191" s="166"/>
      <c r="L191" s="166"/>
      <c r="M191" s="166"/>
      <c r="N191" s="166"/>
      <c r="O191" s="166"/>
      <c r="P191" s="166"/>
      <c r="Q191" s="166"/>
      <c r="R191" s="167"/>
      <c r="S191" s="159"/>
      <c r="T191" s="159"/>
      <c r="U191" s="166"/>
      <c r="V191" s="122"/>
      <c r="W191" s="139"/>
      <c r="X191" s="152"/>
      <c r="Y191" s="372" t="str">
        <f t="shared" si="63"/>
        <v>Medway</v>
      </c>
      <c r="Z191" s="489">
        <f>IF(Year1_Medway Year1_LAC_3_or_more_Placements="","",Year1_Medway Year1_LAC_3_or_more_Placements)</f>
        <v>40</v>
      </c>
      <c r="AA191" s="372">
        <f>IF(Year2_Medway Year2_LAC_3_or_more_Placements="","",Year2_Medway Year2_LAC_3_or_more_Placements)</f>
        <v>45</v>
      </c>
      <c r="AB191" s="372">
        <f>IF(Year3_Medway Year3_LAC_3_or_more_Placements="","",Year3_Medway Year3_LAC_3_or_more_Placements)</f>
        <v>41</v>
      </c>
      <c r="AC191" s="372">
        <f>IF(Year4_Medway Year4_LAC_3_or_more_Placements="","",Year4_Medway Year4_LAC_3_or_more_Placements)</f>
        <v>40</v>
      </c>
      <c r="AD191" s="577">
        <f>IF(Year5_Medway Year5_LAC_3_or_more_Placements="","",Year5_Medway Year5_LAC_3_or_more_Placements)</f>
        <v>41</v>
      </c>
      <c r="AE191" s="489">
        <f t="shared" si="64"/>
        <v>430</v>
      </c>
      <c r="AF191" s="489">
        <f t="shared" si="65"/>
        <v>390</v>
      </c>
      <c r="AG191" s="489">
        <f t="shared" si="66"/>
        <v>414</v>
      </c>
      <c r="AH191" s="489">
        <f t="shared" si="67"/>
        <v>424</v>
      </c>
      <c r="AI191" s="489">
        <f t="shared" si="68"/>
        <v>426</v>
      </c>
      <c r="AJ191" s="184"/>
      <c r="AK191" s="160"/>
    </row>
    <row r="192" spans="1:46" s="87" customFormat="1" ht="12.75" customHeight="1" x14ac:dyDescent="0.2">
      <c r="A192" s="488">
        <f>VLOOKUP(B192,Sheet1!$AQ$4:$AR$25,2,FALSE)</f>
        <v>0</v>
      </c>
      <c r="B192" s="93" t="str">
        <f t="shared" si="56"/>
        <v>Milton Keynes</v>
      </c>
      <c r="C192" s="85"/>
      <c r="D192" s="162">
        <f t="shared" si="57"/>
        <v>0.11594202898550725</v>
      </c>
      <c r="E192" s="162">
        <f t="shared" si="58"/>
        <v>8.8383838383838384E-2</v>
      </c>
      <c r="F192" s="162">
        <f t="shared" si="59"/>
        <v>0.1116751269035533</v>
      </c>
      <c r="G192" s="162">
        <f t="shared" si="60"/>
        <v>0.10761154855643044</v>
      </c>
      <c r="H192" s="164">
        <f t="shared" si="61"/>
        <v>0.14143920595533499</v>
      </c>
      <c r="I192" s="96"/>
      <c r="J192" s="96"/>
      <c r="K192" s="166"/>
      <c r="L192" s="166"/>
      <c r="M192" s="166"/>
      <c r="N192" s="166"/>
      <c r="O192" s="166"/>
      <c r="P192" s="166"/>
      <c r="Q192" s="166"/>
      <c r="R192" s="167"/>
      <c r="S192" s="159"/>
      <c r="T192" s="159"/>
      <c r="U192" s="166"/>
      <c r="V192" s="122"/>
      <c r="W192" s="139"/>
      <c r="X192" s="152"/>
      <c r="Y192" s="372" t="str">
        <f t="shared" si="63"/>
        <v>Milton Keynes</v>
      </c>
      <c r="Z192" s="489">
        <f>IF(Year1_Milton_Keynes Year1_LAC_3_or_more_Placements="","",Year1_Milton_Keynes Year1_LAC_3_or_more_Placements)</f>
        <v>40</v>
      </c>
      <c r="AA192" s="372">
        <f>IF(Year2_Milton_Keynes Year2_LAC_3_or_more_Placements="","",Year2_Milton_Keynes Year2_LAC_3_or_more_Placements)</f>
        <v>35</v>
      </c>
      <c r="AB192" s="372">
        <f>IF(Year3_Milton_Keynes Year3_LAC_3_or_more_Placements="","",Year3_Milton_Keynes Year3_LAC_3_or_more_Placements)</f>
        <v>44</v>
      </c>
      <c r="AC192" s="372">
        <f>IF(Year4_Milton_Keynes Year4_LAC_3_or_more_Placements="","",Year4_Milton_Keynes Year4_LAC_3_or_more_Placements)</f>
        <v>41</v>
      </c>
      <c r="AD192" s="577">
        <f>IF(Year5_Milton_Keynes Year5_LAC_3_or_more_Placements="","",Year5_Milton_Keynes Year5_LAC_3_or_more_Placements)</f>
        <v>57</v>
      </c>
      <c r="AE192" s="489">
        <f t="shared" si="64"/>
        <v>345</v>
      </c>
      <c r="AF192" s="489">
        <f t="shared" si="65"/>
        <v>396</v>
      </c>
      <c r="AG192" s="489">
        <f t="shared" si="66"/>
        <v>394</v>
      </c>
      <c r="AH192" s="489">
        <f t="shared" si="67"/>
        <v>381</v>
      </c>
      <c r="AI192" s="489">
        <f t="shared" si="68"/>
        <v>403</v>
      </c>
      <c r="AJ192" s="184"/>
      <c r="AK192" s="160"/>
    </row>
    <row r="193" spans="1:37" s="87" customFormat="1" ht="12.75" customHeight="1" x14ac:dyDescent="0.2">
      <c r="A193" s="488">
        <f>VLOOKUP(B193,Sheet1!$AQ$4:$AR$25,2,FALSE)</f>
        <v>0</v>
      </c>
      <c r="B193" s="93" t="str">
        <f t="shared" si="56"/>
        <v>Oxfordshire</v>
      </c>
      <c r="C193" s="85"/>
      <c r="D193" s="162">
        <f t="shared" si="57"/>
        <v>6.7453625632377737E-2</v>
      </c>
      <c r="E193" s="162">
        <f t="shared" si="58"/>
        <v>8.2582582582582581E-2</v>
      </c>
      <c r="F193" s="162">
        <f t="shared" si="59"/>
        <v>0.11257309941520467</v>
      </c>
      <c r="G193" s="162">
        <f t="shared" si="60"/>
        <v>9.2426187419768935E-2</v>
      </c>
      <c r="H193" s="164">
        <f t="shared" si="61"/>
        <v>0.11082138200782268</v>
      </c>
      <c r="I193" s="96"/>
      <c r="J193" s="96"/>
      <c r="K193" s="166"/>
      <c r="L193" s="166"/>
      <c r="M193" s="166"/>
      <c r="N193" s="166"/>
      <c r="O193" s="166"/>
      <c r="P193" s="166"/>
      <c r="Q193" s="166"/>
      <c r="R193" s="167"/>
      <c r="S193" s="159"/>
      <c r="T193" s="159"/>
      <c r="U193" s="166"/>
      <c r="V193" s="122"/>
      <c r="W193" s="139"/>
      <c r="X193" s="152"/>
      <c r="Y193" s="372" t="str">
        <f t="shared" si="63"/>
        <v>Oxfordshire</v>
      </c>
      <c r="Z193" s="489">
        <f>IF(Year1_Oxfordshire Year1_LAC_3_or_more_Placements="","",Year1_Oxfordshire Year1_LAC_3_or_more_Placements)</f>
        <v>40</v>
      </c>
      <c r="AA193" s="372">
        <f>IF(Year2_Oxfordshire Year2_LAC_3_or_more_Placements="","",Year2_Oxfordshire Year2_LAC_3_or_more_Placements)</f>
        <v>55</v>
      </c>
      <c r="AB193" s="372">
        <f>IF(Year3_Oxfordshire Year3_LAC_3_or_more_Placements="","",Year3_Oxfordshire Year3_LAC_3_or_more_Placements)</f>
        <v>77</v>
      </c>
      <c r="AC193" s="372">
        <f>IF(Year4_Oxfordshire Year4_LAC_3_or_more_Placements="","",Year4_Oxfordshire Year4_LAC_3_or_more_Placements)</f>
        <v>72</v>
      </c>
      <c r="AD193" s="577">
        <f>IF(Year5_Oxfordshire Year5_LAC_3_or_more_Placements="","",Year5_Oxfordshire Year5_LAC_3_or_more_Placements)</f>
        <v>85</v>
      </c>
      <c r="AE193" s="489">
        <f t="shared" si="64"/>
        <v>593</v>
      </c>
      <c r="AF193" s="489">
        <f t="shared" si="65"/>
        <v>666</v>
      </c>
      <c r="AG193" s="489">
        <f t="shared" si="66"/>
        <v>684</v>
      </c>
      <c r="AH193" s="489">
        <f t="shared" si="67"/>
        <v>779</v>
      </c>
      <c r="AI193" s="489">
        <f t="shared" si="68"/>
        <v>767</v>
      </c>
      <c r="AJ193" s="184"/>
      <c r="AK193" s="160"/>
    </row>
    <row r="194" spans="1:37" s="87" customFormat="1" ht="12.75" customHeight="1" x14ac:dyDescent="0.2">
      <c r="A194" s="488">
        <f>VLOOKUP(B194,Sheet1!$AQ$4:$AR$25,2,FALSE)</f>
        <v>0</v>
      </c>
      <c r="B194" s="93" t="str">
        <f t="shared" si="56"/>
        <v>Portsmouth</v>
      </c>
      <c r="C194" s="85"/>
      <c r="D194" s="162">
        <f t="shared" si="57"/>
        <v>0.15527950310559005</v>
      </c>
      <c r="E194" s="162">
        <f t="shared" si="58"/>
        <v>0.15363128491620112</v>
      </c>
      <c r="F194" s="162">
        <f t="shared" si="59"/>
        <v>0.14457831325301204</v>
      </c>
      <c r="G194" s="162">
        <f t="shared" si="60"/>
        <v>0.15843621399176955</v>
      </c>
      <c r="H194" s="164">
        <f t="shared" si="61"/>
        <v>0.13948497854077252</v>
      </c>
      <c r="I194" s="96"/>
      <c r="J194" s="96"/>
      <c r="K194" s="166"/>
      <c r="L194" s="166"/>
      <c r="M194" s="166"/>
      <c r="N194" s="166"/>
      <c r="O194" s="166"/>
      <c r="P194" s="166"/>
      <c r="Q194" s="166"/>
      <c r="R194" s="167"/>
      <c r="S194" s="159"/>
      <c r="T194" s="159"/>
      <c r="U194" s="166"/>
      <c r="V194" s="122"/>
      <c r="W194" s="139"/>
      <c r="X194" s="152"/>
      <c r="Y194" s="372" t="str">
        <f t="shared" si="63"/>
        <v>Portsmouth</v>
      </c>
      <c r="Z194" s="489">
        <f>IF(Year1_Portsmouth Year1_LAC_3_or_more_Placements="","",Year1_Portsmouth Year1_LAC_3_or_more_Placements)</f>
        <v>50</v>
      </c>
      <c r="AA194" s="372">
        <f>IF(Year2_Portsmouth Year2_LAC_3_or_more_Placements="","",Year2_Portsmouth Year2_LAC_3_or_more_Placements)</f>
        <v>55</v>
      </c>
      <c r="AB194" s="372">
        <f>IF(Year3_Portsmouth Year3_LAC_3_or_more_Placements="","",Year3_Portsmouth Year3_LAC_3_or_more_Placements)</f>
        <v>60</v>
      </c>
      <c r="AC194" s="372">
        <f>IF(Year4_Portsmouth Year4_LAC_3_or_more_Placements="","",Year4_Portsmouth Year4_LAC_3_or_more_Placements)</f>
        <v>77</v>
      </c>
      <c r="AD194" s="577">
        <f>IF(Year5_Portsmouth Year5_LAC_3_or_more_Placements="","",Year5_Portsmouth Year5_LAC_3_or_more_Placements)</f>
        <v>65</v>
      </c>
      <c r="AE194" s="489">
        <f t="shared" si="64"/>
        <v>322</v>
      </c>
      <c r="AF194" s="489">
        <f t="shared" si="65"/>
        <v>358</v>
      </c>
      <c r="AG194" s="489">
        <f t="shared" si="66"/>
        <v>415</v>
      </c>
      <c r="AH194" s="489">
        <f t="shared" si="67"/>
        <v>486</v>
      </c>
      <c r="AI194" s="489">
        <f t="shared" si="68"/>
        <v>466</v>
      </c>
      <c r="AJ194" s="184"/>
      <c r="AK194" s="160"/>
    </row>
    <row r="195" spans="1:37" s="87" customFormat="1" ht="12.75" customHeight="1" x14ac:dyDescent="0.2">
      <c r="A195" s="488">
        <f>VLOOKUP(B195,Sheet1!$AQ$4:$AR$25,2,FALSE)</f>
        <v>0</v>
      </c>
      <c r="B195" s="93" t="str">
        <f t="shared" si="56"/>
        <v>Reading</v>
      </c>
      <c r="C195" s="85"/>
      <c r="D195" s="162">
        <f t="shared" si="57"/>
        <v>9.0909090909090912E-2</v>
      </c>
      <c r="E195" s="162">
        <f t="shared" si="58"/>
        <v>3.8022813688212927E-2</v>
      </c>
      <c r="F195" s="162">
        <f t="shared" si="59"/>
        <v>0.11469534050179211</v>
      </c>
      <c r="G195" s="162">
        <f t="shared" si="60"/>
        <v>0.12087912087912088</v>
      </c>
      <c r="H195" s="164">
        <f t="shared" si="61"/>
        <v>0.1357142857142857</v>
      </c>
      <c r="I195" s="96"/>
      <c r="J195" s="96"/>
      <c r="K195" s="166"/>
      <c r="L195" s="166"/>
      <c r="M195" s="166"/>
      <c r="N195" s="166"/>
      <c r="O195" s="166"/>
      <c r="P195" s="166"/>
      <c r="Q195" s="166"/>
      <c r="R195" s="167"/>
      <c r="S195" s="159"/>
      <c r="T195" s="159"/>
      <c r="U195" s="166"/>
      <c r="V195" s="122"/>
      <c r="W195" s="139"/>
      <c r="X195" s="152"/>
      <c r="Y195" s="372" t="str">
        <f t="shared" si="63"/>
        <v>Reading</v>
      </c>
      <c r="Z195" s="489">
        <f>IF(Year1_Reading Year1_LAC_3_or_more_Placements="","",Year1_Reading Year1_LAC_3_or_more_Placements)</f>
        <v>20</v>
      </c>
      <c r="AA195" s="372">
        <f>IF(Year2_Reading Year2_LAC_3_or_more_Placements="","",Year2_Reading Year2_LAC_3_or_more_Placements)</f>
        <v>10</v>
      </c>
      <c r="AB195" s="372">
        <f>IF(Year3_Reading Year3_LAC_3_or_more_Placements="","",Year3_Reading Year3_LAC_3_or_more_Placements)</f>
        <v>32</v>
      </c>
      <c r="AC195" s="372">
        <f>IF(Year4_Reading Year4_LAC_3_or_more_Placements="","",Year4_Reading Year4_LAC_3_or_more_Placements)</f>
        <v>33</v>
      </c>
      <c r="AD195" s="577">
        <f>IF(Year5_Reading Year5_LAC_3_or_more_Placements="","",Year5_Reading Year5_LAC_3_or_more_Placements)</f>
        <v>38</v>
      </c>
      <c r="AE195" s="489">
        <f t="shared" si="64"/>
        <v>220</v>
      </c>
      <c r="AF195" s="489">
        <f t="shared" si="65"/>
        <v>263</v>
      </c>
      <c r="AG195" s="489">
        <f t="shared" si="66"/>
        <v>279</v>
      </c>
      <c r="AH195" s="489">
        <f t="shared" si="67"/>
        <v>273</v>
      </c>
      <c r="AI195" s="489">
        <f t="shared" si="68"/>
        <v>280</v>
      </c>
      <c r="AJ195" s="184"/>
      <c r="AK195" s="160"/>
    </row>
    <row r="196" spans="1:37" s="87" customFormat="1" ht="12.75" customHeight="1" x14ac:dyDescent="0.2">
      <c r="A196" s="488">
        <f>VLOOKUP(B196,Sheet1!$AQ$4:$AR$25,2,FALSE)</f>
        <v>0</v>
      </c>
      <c r="B196" s="93" t="str">
        <f t="shared" si="56"/>
        <v>Slough</v>
      </c>
      <c r="C196" s="85"/>
      <c r="D196" s="162">
        <f t="shared" si="57"/>
        <v>0.13966480446927373</v>
      </c>
      <c r="E196" s="162">
        <f t="shared" si="58"/>
        <v>0.13157894736842105</v>
      </c>
      <c r="F196" s="162">
        <f t="shared" si="59"/>
        <v>0.16019417475728157</v>
      </c>
      <c r="G196" s="162">
        <f t="shared" si="60"/>
        <v>0.107981220657277</v>
      </c>
      <c r="H196" s="164">
        <f t="shared" si="61"/>
        <v>0.1683673469387755</v>
      </c>
      <c r="I196" s="96"/>
      <c r="J196" s="96"/>
      <c r="K196" s="166"/>
      <c r="L196" s="166"/>
      <c r="M196" s="166"/>
      <c r="N196" s="166"/>
      <c r="O196" s="166"/>
      <c r="P196" s="166"/>
      <c r="Q196" s="166"/>
      <c r="R196" s="167"/>
      <c r="S196" s="159"/>
      <c r="T196" s="159"/>
      <c r="U196" s="166"/>
      <c r="V196" s="122"/>
      <c r="W196" s="139"/>
      <c r="X196" s="152"/>
      <c r="Y196" s="372" t="str">
        <f t="shared" si="63"/>
        <v>Slough</v>
      </c>
      <c r="Z196" s="489">
        <f>IF(Year1_Slough Year1_LAC_3_or_more_Placements="","",Year1_Slough Year1_LAC_3_or_more_Placements)</f>
        <v>25</v>
      </c>
      <c r="AA196" s="372">
        <f>IF(Year2_Slough Year2_LAC_3_or_more_Placements="","",Year2_Slough Year2_LAC_3_or_more_Placements)</f>
        <v>25</v>
      </c>
      <c r="AB196" s="372">
        <f>IF(Year3_Slough Year3_LAC_3_or_more_Placements="","",Year3_Slough Year3_LAC_3_or_more_Placements)</f>
        <v>33</v>
      </c>
      <c r="AC196" s="372">
        <f>IF(Year4_Slough Year4_LAC_3_or_more_Placements="","",Year4_Slough Year4_LAC_3_or_more_Placements)</f>
        <v>23</v>
      </c>
      <c r="AD196" s="577">
        <f>IF(Year5_Slough Year5_LAC_3_or_more_Placements="","",Year5_Slough Year5_LAC_3_or_more_Placements)</f>
        <v>33</v>
      </c>
      <c r="AE196" s="489">
        <f t="shared" si="64"/>
        <v>179</v>
      </c>
      <c r="AF196" s="489">
        <f t="shared" si="65"/>
        <v>190</v>
      </c>
      <c r="AG196" s="489">
        <f t="shared" si="66"/>
        <v>206</v>
      </c>
      <c r="AH196" s="489">
        <f t="shared" si="67"/>
        <v>213</v>
      </c>
      <c r="AI196" s="489">
        <f t="shared" si="68"/>
        <v>196</v>
      </c>
      <c r="AJ196" s="184"/>
      <c r="AK196" s="160"/>
    </row>
    <row r="197" spans="1:37" s="87" customFormat="1" ht="12.75" customHeight="1" x14ac:dyDescent="0.2">
      <c r="A197" s="488">
        <f>VLOOKUP(B197,Sheet1!$AQ$4:$AR$25,2,FALSE)</f>
        <v>0</v>
      </c>
      <c r="B197" s="93" t="str">
        <f t="shared" si="56"/>
        <v>Somerset</v>
      </c>
      <c r="C197" s="85"/>
      <c r="D197" s="162">
        <f t="shared" si="57"/>
        <v>0.12974051896207583</v>
      </c>
      <c r="E197" s="162">
        <f t="shared" si="58"/>
        <v>0.10504201680672269</v>
      </c>
      <c r="F197" s="162">
        <f t="shared" si="59"/>
        <v>0.15473887814313347</v>
      </c>
      <c r="G197" s="162">
        <f t="shared" si="60"/>
        <v>0.14419475655430711</v>
      </c>
      <c r="H197" s="164">
        <f t="shared" si="61"/>
        <v>0.15689981096408318</v>
      </c>
      <c r="I197" s="96"/>
      <c r="J197" s="96"/>
      <c r="K197" s="166"/>
      <c r="L197" s="166"/>
      <c r="M197" s="166"/>
      <c r="N197" s="166"/>
      <c r="O197" s="166"/>
      <c r="P197" s="166"/>
      <c r="Q197" s="166"/>
      <c r="R197" s="167"/>
      <c r="S197" s="159"/>
      <c r="T197" s="159"/>
      <c r="U197" s="166"/>
      <c r="V197" s="122"/>
      <c r="W197" s="139"/>
      <c r="X197" s="152"/>
      <c r="Y197" s="372" t="str">
        <f t="shared" si="63"/>
        <v>Somerset</v>
      </c>
      <c r="Z197" s="489">
        <f>IF(Year1_Somerset Year1_LAC_3_or_more_Placements="","",Year1_Somerset Year1_LAC_3_or_more_Placements)</f>
        <v>65</v>
      </c>
      <c r="AA197" s="372">
        <f>IF(Year2_Somerset Year2_LAC_3_or_more_Placements="","",Year2_Somerset Year2_LAC_3_or_more_Placements)</f>
        <v>50</v>
      </c>
      <c r="AB197" s="372">
        <f>IF(Year3_Somerset Year3_LAC_3_or_more_Placements="","",Year3_Somerset Year3_LAC_3_or_more_Placements)</f>
        <v>80</v>
      </c>
      <c r="AC197" s="372">
        <f>IF(Year4_Somerset Year4_LAC_3_or_more_Placements="","",Year4_Somerset Year4_LAC_3_or_more_Placements)</f>
        <v>77</v>
      </c>
      <c r="AD197" s="577">
        <f>IF(Year5_Somerset Year5_LAC_3_or_more_Placements="","",Year5_Somerset Year5_LAC_3_or_more_Placements)</f>
        <v>83</v>
      </c>
      <c r="AE197" s="489">
        <f t="shared" si="64"/>
        <v>501</v>
      </c>
      <c r="AF197" s="489">
        <f t="shared" si="65"/>
        <v>476</v>
      </c>
      <c r="AG197" s="489">
        <f t="shared" si="66"/>
        <v>517</v>
      </c>
      <c r="AH197" s="489">
        <f t="shared" si="67"/>
        <v>534</v>
      </c>
      <c r="AI197" s="489">
        <f t="shared" si="68"/>
        <v>529</v>
      </c>
      <c r="AJ197" s="184"/>
      <c r="AK197" s="160"/>
    </row>
    <row r="198" spans="1:37" s="87" customFormat="1" ht="12.75" customHeight="1" x14ac:dyDescent="0.2">
      <c r="A198" s="488">
        <f>VLOOKUP(B198,Sheet1!$AQ$4:$AR$25,2,FALSE)</f>
        <v>0</v>
      </c>
      <c r="B198" s="93" t="str">
        <f t="shared" si="56"/>
        <v>Southampton</v>
      </c>
      <c r="C198" s="85"/>
      <c r="D198" s="162">
        <f t="shared" si="57"/>
        <v>0.13536379018612521</v>
      </c>
      <c r="E198" s="162">
        <f t="shared" si="58"/>
        <v>0.12037037037037036</v>
      </c>
      <c r="F198" s="162">
        <f t="shared" si="59"/>
        <v>9.5785440613026823E-2</v>
      </c>
      <c r="G198" s="162">
        <f t="shared" si="60"/>
        <v>0.12474012474012475</v>
      </c>
      <c r="H198" s="164">
        <f t="shared" si="61"/>
        <v>0.16049382716049382</v>
      </c>
      <c r="I198" s="96"/>
      <c r="J198" s="96"/>
      <c r="K198" s="166"/>
      <c r="L198" s="166"/>
      <c r="M198" s="166"/>
      <c r="N198" s="166"/>
      <c r="O198" s="166"/>
      <c r="P198" s="166"/>
      <c r="Q198" s="166"/>
      <c r="R198" s="167"/>
      <c r="S198" s="159"/>
      <c r="T198" s="159"/>
      <c r="U198" s="166"/>
      <c r="V198" s="122"/>
      <c r="W198" s="139"/>
      <c r="X198" s="152"/>
      <c r="Y198" s="372" t="str">
        <f t="shared" si="63"/>
        <v>Southampton</v>
      </c>
      <c r="Z198" s="489">
        <f>IF(Year1_Southampton Year1_LAC_3_or_more_Placements="","",Year1_Southampton Year1_LAC_3_or_more_Placements)</f>
        <v>80</v>
      </c>
      <c r="AA198" s="372">
        <f>IF(Year2_Southampton Year2_LAC_3_or_more_Placements="","",Year2_Southampton Year2_LAC_3_or_more_Placements)</f>
        <v>65</v>
      </c>
      <c r="AB198" s="372">
        <f>IF(Year3_Southampton Year3_LAC_3_or_more_Placements="","",Year3_Southampton Year3_LAC_3_or_more_Placements)</f>
        <v>50</v>
      </c>
      <c r="AC198" s="372">
        <f>IF(Year4_Southampton Year4_LAC_3_or_more_Placements="","",Year4_Southampton Year4_LAC_3_or_more_Placements)</f>
        <v>60</v>
      </c>
      <c r="AD198" s="577">
        <f>IF(Year5_Southampton Year5_LAC_3_or_more_Placements="","",Year5_Southampton Year5_LAC_3_or_more_Placements)</f>
        <v>78</v>
      </c>
      <c r="AE198" s="489">
        <f t="shared" si="64"/>
        <v>591</v>
      </c>
      <c r="AF198" s="489">
        <f t="shared" si="65"/>
        <v>540</v>
      </c>
      <c r="AG198" s="489">
        <f t="shared" si="66"/>
        <v>522</v>
      </c>
      <c r="AH198" s="489">
        <f t="shared" si="67"/>
        <v>481</v>
      </c>
      <c r="AI198" s="489">
        <f t="shared" si="68"/>
        <v>486</v>
      </c>
      <c r="AJ198" s="184"/>
      <c r="AK198" s="160"/>
    </row>
    <row r="199" spans="1:37" s="87" customFormat="1" ht="12.75" customHeight="1" x14ac:dyDescent="0.2">
      <c r="A199" s="488">
        <f>VLOOKUP(B199,Sheet1!$AQ$4:$AR$25,2,FALSE)</f>
        <v>0</v>
      </c>
      <c r="B199" s="93" t="str">
        <f t="shared" si="56"/>
        <v>Surrey</v>
      </c>
      <c r="C199" s="85"/>
      <c r="D199" s="162">
        <f t="shared" si="57"/>
        <v>0.10380622837370242</v>
      </c>
      <c r="E199" s="162">
        <f t="shared" si="58"/>
        <v>8.0552359033371698E-2</v>
      </c>
      <c r="F199" s="162">
        <f t="shared" si="59"/>
        <v>7.6344086021505372E-2</v>
      </c>
      <c r="G199" s="162">
        <f t="shared" si="60"/>
        <v>9.044193216855087E-2</v>
      </c>
      <c r="H199" s="164">
        <f t="shared" si="61"/>
        <v>8.9704383282364936E-2</v>
      </c>
      <c r="I199" s="96"/>
      <c r="J199" s="96"/>
      <c r="K199" s="166"/>
      <c r="L199" s="166"/>
      <c r="M199" s="166"/>
      <c r="N199" s="166"/>
      <c r="O199" s="166"/>
      <c r="P199" s="166"/>
      <c r="Q199" s="166"/>
      <c r="R199" s="167"/>
      <c r="S199" s="159"/>
      <c r="T199" s="159"/>
      <c r="U199" s="166"/>
      <c r="V199" s="122"/>
      <c r="W199" s="139"/>
      <c r="X199" s="152"/>
      <c r="Y199" s="372" t="str">
        <f t="shared" si="63"/>
        <v>Surrey</v>
      </c>
      <c r="Z199" s="489">
        <f>IF(Year1_Surrey Year1_LAC_3_or_more_Placements="","",Year1_Surrey Year1_LAC_3_or_more_Placements)</f>
        <v>90</v>
      </c>
      <c r="AA199" s="372">
        <f>IF(Year2_Surrey Year2_LAC_3_or_more_Placements="","",Year2_Surrey Year2_LAC_3_or_more_Placements)</f>
        <v>70</v>
      </c>
      <c r="AB199" s="372">
        <f>IF(Year3_Surrey Year3_LAC_3_or_more_Placements="","",Year3_Surrey Year3_LAC_3_or_more_Placements)</f>
        <v>71</v>
      </c>
      <c r="AC199" s="372">
        <f>IF(Year4_Surrey Year4_LAC_3_or_more_Placements="","",Year4_Surrey Year4_LAC_3_or_more_Placements)</f>
        <v>88</v>
      </c>
      <c r="AD199" s="577">
        <f>IF(Year5_Surrey Year5_LAC_3_or_more_Placements="","",Year5_Surrey Year5_LAC_3_or_more_Placements)</f>
        <v>88</v>
      </c>
      <c r="AE199" s="489">
        <f t="shared" si="64"/>
        <v>867</v>
      </c>
      <c r="AF199" s="489">
        <f t="shared" si="65"/>
        <v>869</v>
      </c>
      <c r="AG199" s="489">
        <f t="shared" si="66"/>
        <v>930</v>
      </c>
      <c r="AH199" s="489">
        <f t="shared" si="67"/>
        <v>973</v>
      </c>
      <c r="AI199" s="489">
        <f t="shared" si="68"/>
        <v>981</v>
      </c>
      <c r="AJ199" s="184"/>
      <c r="AK199" s="160"/>
    </row>
    <row r="200" spans="1:37" s="87" customFormat="1" ht="12.75" customHeight="1" x14ac:dyDescent="0.2">
      <c r="A200" s="488">
        <f>VLOOKUP(B200,Sheet1!$AQ$4:$AR$25,2,FALSE)</f>
        <v>0</v>
      </c>
      <c r="B200" s="93" t="str">
        <f t="shared" si="56"/>
        <v>Swindon</v>
      </c>
      <c r="C200" s="85"/>
      <c r="D200" s="162">
        <f t="shared" si="57"/>
        <v>0.10238907849829351</v>
      </c>
      <c r="E200" s="162">
        <f t="shared" si="58"/>
        <v>0.12121212121212122</v>
      </c>
      <c r="F200" s="162">
        <f t="shared" si="59"/>
        <v>0.12222222222222222</v>
      </c>
      <c r="G200" s="162">
        <f t="shared" si="60"/>
        <v>7.183908045977011E-2</v>
      </c>
      <c r="H200" s="164">
        <f t="shared" si="61"/>
        <v>0.1461794019933555</v>
      </c>
      <c r="I200" s="96"/>
      <c r="J200" s="96"/>
      <c r="K200" s="166"/>
      <c r="L200" s="166"/>
      <c r="M200" s="166"/>
      <c r="N200" s="166"/>
      <c r="O200" s="166"/>
      <c r="P200" s="166"/>
      <c r="Q200" s="166"/>
      <c r="R200" s="167"/>
      <c r="S200" s="159"/>
      <c r="T200" s="159"/>
      <c r="U200" s="166"/>
      <c r="V200" s="122"/>
      <c r="W200" s="139"/>
      <c r="X200" s="152"/>
      <c r="Y200" s="372" t="str">
        <f t="shared" si="63"/>
        <v>Swindon</v>
      </c>
      <c r="Z200" s="489">
        <f>IF(Year1_Swindon Year1_LAC_3_or_more_Placements="","",Year1_Swindon Year1_LAC_3_or_more_Placements)</f>
        <v>30</v>
      </c>
      <c r="AA200" s="372">
        <f>IF(Year2_Swindon Year2_LAC_3_or_more_Placements="","",Year2_Swindon Year2_LAC_3_or_more_Placements)</f>
        <v>40</v>
      </c>
      <c r="AB200" s="372">
        <f>IF(Year3_Swindon Year3_LAC_3_or_more_Placements="","",Year3_Swindon Year3_LAC_3_or_more_Placements)</f>
        <v>44</v>
      </c>
      <c r="AC200" s="580">
        <f>IF(Year4_Swindon Year4_LAC_3_or_more_Placements="","",Year4_Swindon Year4_LAC_3_or_more_Placements)</f>
        <v>25</v>
      </c>
      <c r="AD200" s="604">
        <f>IF(Year5_Swindon Year5_LAC_3_or_more_Placements="","",Year5_Swindon Year5_LAC_3_or_more_Placements)</f>
        <v>44</v>
      </c>
      <c r="AE200" s="489">
        <f t="shared" si="64"/>
        <v>293</v>
      </c>
      <c r="AF200" s="489">
        <f t="shared" si="65"/>
        <v>330</v>
      </c>
      <c r="AG200" s="489">
        <f t="shared" si="66"/>
        <v>360</v>
      </c>
      <c r="AH200" s="489">
        <f t="shared" si="67"/>
        <v>348</v>
      </c>
      <c r="AI200" s="489">
        <f t="shared" si="68"/>
        <v>301</v>
      </c>
      <c r="AJ200" s="184"/>
      <c r="AK200" s="160"/>
    </row>
    <row r="201" spans="1:37" s="87" customFormat="1" ht="12.75" customHeight="1" x14ac:dyDescent="0.2">
      <c r="A201" s="488">
        <f>VLOOKUP(B201,Sheet1!$AQ$4:$AR$25,2,FALSE)</f>
        <v>0</v>
      </c>
      <c r="B201" s="93" t="str">
        <f t="shared" si="56"/>
        <v>Torbay</v>
      </c>
      <c r="C201" s="85"/>
      <c r="D201" s="162">
        <f t="shared" si="57"/>
        <v>0.21505376344086022</v>
      </c>
      <c r="E201" s="162">
        <f t="shared" si="58"/>
        <v>0.25951557093425603</v>
      </c>
      <c r="F201" s="162">
        <f t="shared" si="59"/>
        <v>0.25227963525835867</v>
      </c>
      <c r="G201" s="162">
        <f t="shared" si="60"/>
        <v>0.11049723756906077</v>
      </c>
      <c r="H201" s="164">
        <f t="shared" si="61"/>
        <v>0.16246498599439776</v>
      </c>
      <c r="I201" s="96"/>
      <c r="J201" s="96"/>
      <c r="K201" s="166"/>
      <c r="L201" s="166"/>
      <c r="M201" s="166"/>
      <c r="N201" s="166"/>
      <c r="O201" s="166"/>
      <c r="P201" s="166"/>
      <c r="Q201" s="166"/>
      <c r="R201" s="167"/>
      <c r="S201" s="159"/>
      <c r="T201" s="159"/>
      <c r="U201" s="166"/>
      <c r="V201" s="122"/>
      <c r="W201" s="139"/>
      <c r="X201" s="152"/>
      <c r="Y201" s="372" t="str">
        <f t="shared" si="63"/>
        <v>Torbay</v>
      </c>
      <c r="Z201" s="489">
        <f>IF(Year1_Torbay Year1_LAC_3_or_more_Placements="","",Year1_Torbay Year1_LAC_3_or_more_Placements)</f>
        <v>60</v>
      </c>
      <c r="AA201" s="372">
        <f>IF(Year2_Torbay Year2_LAC_3_or_more_Placements="","",Year2_Torbay Year2_LAC_3_or_more_Placements)</f>
        <v>75</v>
      </c>
      <c r="AB201" s="372">
        <f>IF(Year3_Torbay Year3_LAC_3_or_more_Placements="","",Year3_Torbay Year3_LAC_3_or_more_Placements)</f>
        <v>83</v>
      </c>
      <c r="AC201" s="580">
        <f>IF(Year4_Torbay Year4_LAC_3_or_more_Placements="","",Year4_Torbay Year4_LAC_3_or_more_Placements)</f>
        <v>40</v>
      </c>
      <c r="AD201" s="604">
        <f>IF(Year5_Torbay Year5_LAC_3_or_more_Placements="","",Year5_Torbay Year5_LAC_3_or_more_Placements)</f>
        <v>58</v>
      </c>
      <c r="AE201" s="489">
        <f t="shared" si="64"/>
        <v>279</v>
      </c>
      <c r="AF201" s="489">
        <f t="shared" si="65"/>
        <v>289</v>
      </c>
      <c r="AG201" s="489">
        <f t="shared" si="66"/>
        <v>329</v>
      </c>
      <c r="AH201" s="489">
        <f t="shared" si="67"/>
        <v>362</v>
      </c>
      <c r="AI201" s="489">
        <f t="shared" si="68"/>
        <v>357</v>
      </c>
      <c r="AJ201" s="184"/>
      <c r="AK201" s="160"/>
    </row>
    <row r="202" spans="1:37" s="87" customFormat="1" ht="12.75" customHeight="1" x14ac:dyDescent="0.2">
      <c r="A202" s="488">
        <f>VLOOKUP(B202,Sheet1!$AQ$4:$AR$25,2,FALSE)</f>
        <v>0</v>
      </c>
      <c r="B202" s="93" t="str">
        <f t="shared" si="56"/>
        <v>West Berkshire</v>
      </c>
      <c r="C202" s="85"/>
      <c r="D202" s="162">
        <f t="shared" si="57"/>
        <v>6.3694267515923567E-2</v>
      </c>
      <c r="E202" s="162">
        <f t="shared" si="58"/>
        <v>9.3167701863354033E-2</v>
      </c>
      <c r="F202" s="162">
        <f t="shared" si="59"/>
        <v>5.5172413793103448E-2</v>
      </c>
      <c r="G202" s="162">
        <f t="shared" si="60"/>
        <v>9.8837209302325577E-2</v>
      </c>
      <c r="H202" s="164">
        <f t="shared" si="61"/>
        <v>0.13375796178343949</v>
      </c>
      <c r="I202" s="96"/>
      <c r="J202" s="96"/>
      <c r="K202" s="166"/>
      <c r="L202" s="166"/>
      <c r="M202" s="166"/>
      <c r="N202" s="166"/>
      <c r="O202" s="166"/>
      <c r="P202" s="166"/>
      <c r="Q202" s="166"/>
      <c r="R202" s="167"/>
      <c r="S202" s="159"/>
      <c r="T202" s="159"/>
      <c r="U202" s="166"/>
      <c r="V202" s="122"/>
      <c r="W202" s="139"/>
      <c r="X202" s="152"/>
      <c r="Y202" s="372" t="str">
        <f t="shared" si="63"/>
        <v>West Berkshire</v>
      </c>
      <c r="Z202" s="489">
        <f>IF(Year1_West_Berkshire Year1_LAC_3_or_more_Placements="","",Year1_West_Berkshire Year1_LAC_3_or_more_Placements)</f>
        <v>10</v>
      </c>
      <c r="AA202" s="372">
        <f>IF(Year2_West_Berkshire Year2_LAC_3_or_more_Placements="","",Year2_West_Berkshire Year2_LAC_3_or_more_Placements)</f>
        <v>15</v>
      </c>
      <c r="AB202" s="372">
        <f>IF(Year3_West_Berkshire Year3_LAC_3_or_more_Placements="","",Year3_West_Berkshire Year3_LAC_3_or_more_Placements)</f>
        <v>8</v>
      </c>
      <c r="AC202" s="372">
        <f>IF(Year4_West_Berkshire Year4_LAC_3_or_more_Placements="","",Year4_West_Berkshire Year4_LAC_3_or_more_Placements)</f>
        <v>17</v>
      </c>
      <c r="AD202" s="577">
        <f>IF(Year5_West_Berkshire Year5_LAC_3_or_more_Placements="","",Year5_West_Berkshire Year5_LAC_3_or_more_Placements)</f>
        <v>21</v>
      </c>
      <c r="AE202" s="489">
        <f t="shared" si="64"/>
        <v>157</v>
      </c>
      <c r="AF202" s="489">
        <f t="shared" si="65"/>
        <v>161</v>
      </c>
      <c r="AG202" s="489">
        <f t="shared" si="66"/>
        <v>145</v>
      </c>
      <c r="AH202" s="489">
        <f t="shared" si="67"/>
        <v>172</v>
      </c>
      <c r="AI202" s="489">
        <f t="shared" si="68"/>
        <v>157</v>
      </c>
      <c r="AJ202" s="184"/>
      <c r="AK202" s="160"/>
    </row>
    <row r="203" spans="1:37" s="87" customFormat="1" ht="12.75" customHeight="1" x14ac:dyDescent="0.2">
      <c r="A203" s="488">
        <f>VLOOKUP(B203,Sheet1!$AQ$4:$AR$25,2,FALSE)</f>
        <v>0</v>
      </c>
      <c r="B203" s="93" t="str">
        <f t="shared" si="56"/>
        <v>West Sussex</v>
      </c>
      <c r="C203" s="85"/>
      <c r="D203" s="162">
        <f t="shared" si="57"/>
        <v>0.10954616588419405</v>
      </c>
      <c r="E203" s="162">
        <f t="shared" si="58"/>
        <v>0.12066365007541478</v>
      </c>
      <c r="F203" s="162">
        <f t="shared" si="59"/>
        <v>0.140625</v>
      </c>
      <c r="G203" s="162">
        <f t="shared" si="60"/>
        <v>0.10227272727272728</v>
      </c>
      <c r="H203" s="164">
        <f t="shared" si="61"/>
        <v>0.1150990099009901</v>
      </c>
      <c r="I203" s="96"/>
      <c r="J203" s="96"/>
      <c r="K203" s="166"/>
      <c r="L203" s="166"/>
      <c r="M203" s="166"/>
      <c r="N203" s="166"/>
      <c r="O203" s="166"/>
      <c r="P203" s="166"/>
      <c r="Q203" s="166"/>
      <c r="R203" s="167"/>
      <c r="S203" s="159"/>
      <c r="T203" s="159"/>
      <c r="U203" s="166"/>
      <c r="V203" s="122"/>
      <c r="W203" s="139"/>
      <c r="X203" s="152"/>
      <c r="Y203" s="372" t="str">
        <f t="shared" si="63"/>
        <v>West Sussex</v>
      </c>
      <c r="Z203" s="489">
        <f>IF(Year1_West_Sussex Year1_LAC_3_or_more_Placements="","",Year1_West_Sussex Year1_LAC_3_or_more_Placements)</f>
        <v>70</v>
      </c>
      <c r="AA203" s="372">
        <f>IF(Year2_West_Sussex Year2_LAC_3_or_more_Placements="","",Year2_West_Sussex Year2_LAC_3_or_more_Placements)</f>
        <v>80</v>
      </c>
      <c r="AB203" s="372">
        <f>IF(Year3_West_Sussex Year3_LAC_3_or_more_Placements="","",Year3_West_Sussex Year3_LAC_3_or_more_Placements)</f>
        <v>99</v>
      </c>
      <c r="AC203" s="372">
        <f>IF(Year4_West_Sussex Year4_LAC_3_or_more_Placements="","",Year4_West_Sussex Year4_LAC_3_or_more_Placements)</f>
        <v>72</v>
      </c>
      <c r="AD203" s="577">
        <f>IF(Year5_West_Sussex Year5_LAC_3_or_more_Placements="","",Year5_West_Sussex Year5_LAC_3_or_more_Placements)</f>
        <v>93</v>
      </c>
      <c r="AE203" s="489">
        <f t="shared" si="64"/>
        <v>639</v>
      </c>
      <c r="AF203" s="489">
        <f t="shared" si="65"/>
        <v>663</v>
      </c>
      <c r="AG203" s="489">
        <f t="shared" si="66"/>
        <v>704</v>
      </c>
      <c r="AH203" s="489">
        <f t="shared" si="67"/>
        <v>704</v>
      </c>
      <c r="AI203" s="489">
        <f t="shared" si="68"/>
        <v>808</v>
      </c>
      <c r="AJ203" s="184"/>
      <c r="AK203" s="160"/>
    </row>
    <row r="204" spans="1:37" s="87" customFormat="1" ht="12.75" customHeight="1" x14ac:dyDescent="0.2">
      <c r="A204" s="488">
        <f>VLOOKUP(B204,Sheet1!$AQ$4:$AR$25,2,FALSE)</f>
        <v>0</v>
      </c>
      <c r="B204" s="93" t="str">
        <f t="shared" si="56"/>
        <v>Windsor &amp; Maidenhead</v>
      </c>
      <c r="C204" s="85"/>
      <c r="D204" s="162">
        <f t="shared" si="57"/>
        <v>0.16853932584269662</v>
      </c>
      <c r="E204" s="162">
        <f t="shared" si="58"/>
        <v>0.13761467889908258</v>
      </c>
      <c r="F204" s="162">
        <f t="shared" si="59"/>
        <v>0.13084112149532709</v>
      </c>
      <c r="G204" s="162">
        <f t="shared" si="60"/>
        <v>0.15322580645161291</v>
      </c>
      <c r="H204" s="164">
        <f t="shared" si="61"/>
        <v>0.14655172413793102</v>
      </c>
      <c r="I204" s="96"/>
      <c r="J204" s="96"/>
      <c r="K204" s="166"/>
      <c r="L204" s="166"/>
      <c r="M204" s="166"/>
      <c r="N204" s="166"/>
      <c r="O204" s="166"/>
      <c r="P204" s="166"/>
      <c r="Q204" s="166"/>
      <c r="R204" s="167"/>
      <c r="S204" s="159"/>
      <c r="T204" s="159"/>
      <c r="U204" s="166"/>
      <c r="V204" s="122"/>
      <c r="W204" s="139"/>
      <c r="X204" s="152"/>
      <c r="Y204" s="372" t="str">
        <f t="shared" si="63"/>
        <v>Windsor &amp; Maidenhead</v>
      </c>
      <c r="Z204" s="489">
        <f>IF(Year1_Windsor_Maidenhead Year1_LAC_3_or_more_Placements="","",Year1_Windsor_Maidenhead Year1_LAC_3_or_more_Placements)</f>
        <v>15</v>
      </c>
      <c r="AA204" s="372">
        <f>IF(Year2_Windsor_Maidenhead Year2_LAC_3_or_more_Placements="","",Year2_Windsor_Maidenhead Year2_LAC_3_or_more_Placements)</f>
        <v>15</v>
      </c>
      <c r="AB204" s="372">
        <f>IF(Year3_Windsor_Maidenhead Year3_LAC_3_or_more_Placements="","",Year3_Windsor_Maidenhead Year3_LAC_3_or_more_Placements)</f>
        <v>14</v>
      </c>
      <c r="AC204" s="372">
        <f>IF(Year4_Windsor_Maidenhead Year4_LAC_3_or_more_Placements="","",Year4_Windsor_Maidenhead Year4_LAC_3_or_more_Placements)</f>
        <v>19</v>
      </c>
      <c r="AD204" s="577">
        <f>IF(Year5_Windsor_Maidenhead Year5_LAC_3_or_more_Placements="","",Year5_Windsor_Maidenhead Year5_LAC_3_or_more_Placements)</f>
        <v>17</v>
      </c>
      <c r="AE204" s="489">
        <f t="shared" si="64"/>
        <v>89</v>
      </c>
      <c r="AF204" s="489">
        <f t="shared" si="65"/>
        <v>109</v>
      </c>
      <c r="AG204" s="489">
        <f t="shared" si="66"/>
        <v>107</v>
      </c>
      <c r="AH204" s="489">
        <f t="shared" si="67"/>
        <v>124</v>
      </c>
      <c r="AI204" s="489">
        <f t="shared" si="68"/>
        <v>116</v>
      </c>
      <c r="AJ204" s="184"/>
      <c r="AK204" s="160"/>
    </row>
    <row r="205" spans="1:37" s="87" customFormat="1" ht="12.75" customHeight="1" x14ac:dyDescent="0.2">
      <c r="A205" s="488">
        <f>VLOOKUP(B205,Sheet1!$AQ$4:$AR$25,2,FALSE)</f>
        <v>0</v>
      </c>
      <c r="B205" s="93" t="str">
        <f t="shared" si="56"/>
        <v>Wokingham</v>
      </c>
      <c r="C205" s="85"/>
      <c r="D205" s="162">
        <f t="shared" si="57"/>
        <v>0.12345679012345678</v>
      </c>
      <c r="E205" s="162">
        <f t="shared" si="58"/>
        <v>0.2</v>
      </c>
      <c r="F205" s="162">
        <f t="shared" si="59"/>
        <v>0.13207547169811321</v>
      </c>
      <c r="G205" s="162">
        <f t="shared" si="60"/>
        <v>0.1</v>
      </c>
      <c r="H205" s="164">
        <f t="shared" si="61"/>
        <v>0.19387755102040816</v>
      </c>
      <c r="I205" s="96"/>
      <c r="J205" s="96"/>
      <c r="K205" s="166"/>
      <c r="L205" s="166"/>
      <c r="M205" s="166"/>
      <c r="N205" s="166"/>
      <c r="O205" s="166"/>
      <c r="P205" s="166"/>
      <c r="Q205" s="166"/>
      <c r="R205" s="167"/>
      <c r="S205" s="159"/>
      <c r="T205" s="159"/>
      <c r="U205" s="166"/>
      <c r="V205" s="122"/>
      <c r="W205" s="139"/>
      <c r="X205" s="152"/>
      <c r="Y205" s="372" t="str">
        <f t="shared" si="63"/>
        <v>Wokingham</v>
      </c>
      <c r="Z205" s="489">
        <f>IF(Year1_Wokingham Year1_LAC_3_or_more_Placements="","",Year1_Wokingham Year1_LAC_3_or_more_Placements)</f>
        <v>10</v>
      </c>
      <c r="AA205" s="372">
        <f>IF(Year2_Wokingham Year2_LAC_3_or_more_Placements="","",Year2_Wokingham Year2_LAC_3_or_more_Placements)</f>
        <v>15</v>
      </c>
      <c r="AB205" s="372">
        <f>IF(Year3_Wokingham Year3_LAC_3_or_more_Placements="","",Year3_Wokingham Year3_LAC_3_or_more_Placements)</f>
        <v>14</v>
      </c>
      <c r="AC205" s="372">
        <f>IF(Year4_Wokingham Year4_LAC_3_or_more_Placements="","",Year4_Wokingham Year4_LAC_3_or_more_Placements)</f>
        <v>11</v>
      </c>
      <c r="AD205" s="577">
        <f>IF(Year5_Wokingham Year5_LAC_3_or_more_Placements="","",Year5_Wokingham Year5_LAC_3_or_more_Placements)</f>
        <v>19</v>
      </c>
      <c r="AE205" s="489">
        <f t="shared" si="64"/>
        <v>81</v>
      </c>
      <c r="AF205" s="489">
        <f t="shared" si="65"/>
        <v>75</v>
      </c>
      <c r="AG205" s="489">
        <f t="shared" si="66"/>
        <v>106</v>
      </c>
      <c r="AH205" s="489">
        <f t="shared" si="67"/>
        <v>110</v>
      </c>
      <c r="AI205" s="489">
        <f t="shared" si="68"/>
        <v>98</v>
      </c>
      <c r="AJ205" s="184"/>
      <c r="AK205" s="160"/>
    </row>
    <row r="206" spans="1:37" s="87" customFormat="1" ht="12.75" customHeight="1" x14ac:dyDescent="0.2">
      <c r="A206" s="121"/>
      <c r="B206" s="129" t="str">
        <f t="shared" si="56"/>
        <v>South East</v>
      </c>
      <c r="C206" s="85"/>
      <c r="D206" s="163">
        <f>IF(AND(ISNUMBER(AE206),ISNUMBER(Z206)),Z206/AE206,NA())</f>
        <v>0.12203767470123557</v>
      </c>
      <c r="E206" s="163">
        <f t="shared" ref="E206:H206" si="69">IF(AND(ISNUMBER(AF206),ISNUMBER(AA206)),AA206/AF206,NA())</f>
        <v>0.11698880976602238</v>
      </c>
      <c r="F206" s="163">
        <f t="shared" si="69"/>
        <v>0.11902380476095219</v>
      </c>
      <c r="G206" s="163">
        <f t="shared" si="69"/>
        <v>0.11574749537982687</v>
      </c>
      <c r="H206" s="165">
        <f t="shared" si="69"/>
        <v>0.12829104834849211</v>
      </c>
      <c r="I206" s="96"/>
      <c r="J206" s="96"/>
      <c r="K206" s="168"/>
      <c r="L206" s="168"/>
      <c r="M206" s="168"/>
      <c r="N206" s="168"/>
      <c r="O206" s="168"/>
      <c r="P206" s="168"/>
      <c r="Q206" s="168"/>
      <c r="R206" s="169"/>
      <c r="S206" s="159"/>
      <c r="T206" s="159"/>
      <c r="U206" s="170"/>
      <c r="V206" s="122"/>
      <c r="W206" s="139"/>
      <c r="X206" s="152"/>
      <c r="Y206" s="372" t="str">
        <f t="shared" si="63"/>
        <v>South East</v>
      </c>
      <c r="Z206" s="607">
        <f>IF(Year1_SouthEast Year1_LAC_3_or_more_Placements="","",Year1_SouthEast Year1_LAC_3_or_more_Placements)</f>
        <v>1205</v>
      </c>
      <c r="AA206" s="607">
        <f>IF(Year2_SouthEast Year2_LAC_3_or_more_Placements="","",Year2_SouthEast Year2_LAC_3_or_more_Placements)</f>
        <v>1150</v>
      </c>
      <c r="AB206" s="607">
        <f>IF(Year3_SouthEast Year3_LAC_3_or_more_Placements="","",Year3_SouthEast Year3_LAC_3_or_more_Placements)</f>
        <v>1190</v>
      </c>
      <c r="AC206" s="372">
        <f>IF(Year4_SouthEast Year4_LAC_3_or_more_Placements="","",Year4_SouthEast Year4_LAC_3_or_more_Placements)</f>
        <v>1190</v>
      </c>
      <c r="AD206" s="577">
        <f>IF(Year5_SouthEast Year5_LAC_3_or_more_Placements="","",Year5_SouthEast Year5_LAC_3_or_more_Placements)</f>
        <v>1340</v>
      </c>
      <c r="AE206" s="607">
        <f>SUM(AE184:AE196,AE198:AE199,AE202:AE205)</f>
        <v>9874</v>
      </c>
      <c r="AF206" s="607">
        <f t="shared" ref="AF206:AI206" si="70">SUM(AF184:AF196,AF198:AF199,AF202:AF205)</f>
        <v>9830</v>
      </c>
      <c r="AG206" s="607">
        <f t="shared" si="70"/>
        <v>9998</v>
      </c>
      <c r="AH206" s="607">
        <f t="shared" si="70"/>
        <v>10281</v>
      </c>
      <c r="AI206" s="607">
        <f t="shared" si="70"/>
        <v>10445</v>
      </c>
      <c r="AJ206" s="184"/>
      <c r="AK206" s="160"/>
    </row>
    <row r="207" spans="1:37" s="87" customFormat="1" ht="12.75" x14ac:dyDescent="0.2">
      <c r="A207" s="121"/>
      <c r="B207" s="329" t="str">
        <f t="shared" si="56"/>
        <v>England</v>
      </c>
      <c r="C207" s="85"/>
      <c r="D207" s="351">
        <f t="shared" si="57"/>
        <v>0.10296832836244851</v>
      </c>
      <c r="E207" s="351">
        <f t="shared" si="58"/>
        <v>0.103567001790387</v>
      </c>
      <c r="F207" s="351">
        <f t="shared" si="59"/>
        <v>0.10468356109858033</v>
      </c>
      <c r="G207" s="351">
        <f t="shared" si="60"/>
        <v>0.10377479206653871</v>
      </c>
      <c r="H207" s="352">
        <f t="shared" si="61"/>
        <v>0.10576923076923077</v>
      </c>
      <c r="I207" s="96"/>
      <c r="J207" s="96"/>
      <c r="K207" s="168"/>
      <c r="L207" s="168"/>
      <c r="M207" s="168"/>
      <c r="N207" s="168"/>
      <c r="O207" s="168"/>
      <c r="P207" s="168"/>
      <c r="Q207" s="168"/>
      <c r="R207" s="169"/>
      <c r="S207" s="159"/>
      <c r="T207" s="159"/>
      <c r="U207" s="170"/>
      <c r="V207" s="122"/>
      <c r="W207" s="139"/>
      <c r="X207" s="152"/>
      <c r="Y207" s="372" t="str">
        <f t="shared" si="63"/>
        <v>England</v>
      </c>
      <c r="Z207" s="607">
        <f>IF(Year1_England Year1_LAC_3_or_more_Placements="","",Year1_England Year1_LAC_3_or_more_Placements)</f>
        <v>7250</v>
      </c>
      <c r="AA207" s="607">
        <f>IF(Year2_England Year2_LAC_3_or_more_Placements="","",Year2_England Year2_LAC_3_or_more_Placements)</f>
        <v>7520</v>
      </c>
      <c r="AB207" s="607">
        <f>IF(Year3_England Year3_LAC_3_or_more_Placements="","",Year3_England Year3_LAC_3_or_more_Placements)</f>
        <v>7890</v>
      </c>
      <c r="AC207" s="372">
        <f>IF(Year4_England Year4_LAC_3_or_more_Placements="","",Year4_England Year4_LAC_3_or_more_Placements)</f>
        <v>8110</v>
      </c>
      <c r="AD207" s="577">
        <f>IF(Year5_England Year5_LAC_3_or_more_Placements="","",Year5_England Year5_LAC_3_or_more_Placements)</f>
        <v>8470</v>
      </c>
      <c r="AE207" s="607">
        <f>IF(Year1_England Year1_LAC_3_or_more_Placements="","",Year1_England Year1_LAC_3_or_more_Placements)</f>
        <v>7250</v>
      </c>
      <c r="AF207" s="607">
        <f>IF(Year2_England Year2_LAC_3_or_more_Placements="","",Year2_England Year2_LAC_3_or_more_Placements)</f>
        <v>7520</v>
      </c>
      <c r="AG207" s="607">
        <f>IF(Year3_England Year3_LAC_3_or_more_Placements="","",Year3_England Year3_LAC_3_or_more_Placements)</f>
        <v>7890</v>
      </c>
      <c r="AH207" s="372">
        <f>IF(Year4_England Year4_LAC_3_or_more_Placements="","",Year4_England Year4_LAC_3_or_more_Placements)</f>
        <v>8110</v>
      </c>
      <c r="AI207" s="577">
        <f>IF(Year5_England Year5_LAC_3_or_more_Placements="","",Year5_England Year5_LAC_3_or_more_Placements)</f>
        <v>8470</v>
      </c>
      <c r="AJ207" s="184"/>
      <c r="AK207" s="160"/>
    </row>
    <row r="208" spans="1:37" s="87" customFormat="1" ht="7.5" customHeight="1" x14ac:dyDescent="0.2">
      <c r="A208" s="292"/>
      <c r="B208" s="96"/>
      <c r="C208" s="96"/>
      <c r="D208" s="96"/>
      <c r="E208" s="96"/>
      <c r="F208" s="96"/>
      <c r="G208" s="96"/>
      <c r="H208" s="96"/>
      <c r="I208" s="96"/>
      <c r="J208" s="96"/>
      <c r="K208" s="168"/>
      <c r="L208" s="168"/>
      <c r="M208" s="168"/>
      <c r="N208" s="168"/>
      <c r="O208" s="168"/>
      <c r="P208" s="168"/>
      <c r="Q208" s="168"/>
      <c r="R208" s="169"/>
      <c r="S208" s="159"/>
      <c r="T208" s="159"/>
      <c r="U208" s="170"/>
      <c r="V208" s="122"/>
      <c r="W208" s="139"/>
      <c r="X208" s="152"/>
      <c r="Y208" s="81"/>
      <c r="Z208" s="81"/>
      <c r="AA208" s="196"/>
      <c r="AB208" s="196"/>
      <c r="AC208" s="197"/>
      <c r="AD208" s="81"/>
      <c r="AE208" s="81"/>
      <c r="AF208" s="81"/>
      <c r="AG208" s="81"/>
      <c r="AH208" s="81"/>
      <c r="AI208" s="81"/>
      <c r="AJ208" s="184"/>
      <c r="AK208" s="160"/>
    </row>
    <row r="209" spans="1:46" s="81" customFormat="1" ht="38.25" customHeight="1" x14ac:dyDescent="0.2">
      <c r="A209" s="217"/>
      <c r="B209" s="380"/>
      <c r="C209" s="380"/>
      <c r="D209" s="380"/>
      <c r="E209" s="380"/>
      <c r="F209" s="380"/>
      <c r="G209" s="380"/>
      <c r="H209" s="380"/>
      <c r="I209" s="380"/>
      <c r="J209" s="172"/>
      <c r="K209" s="172"/>
      <c r="L209" s="172"/>
      <c r="M209" s="172"/>
      <c r="N209" s="172"/>
      <c r="O209" s="172"/>
      <c r="P209" s="172"/>
      <c r="Q209" s="172"/>
      <c r="R209" s="136"/>
      <c r="S209" s="172"/>
      <c r="T209" s="172"/>
      <c r="U209" s="172"/>
      <c r="V209" s="117"/>
      <c r="W209" s="137"/>
      <c r="X209" s="150"/>
      <c r="AD209" s="197"/>
      <c r="AE209" s="199"/>
      <c r="AF209" s="184"/>
      <c r="AG209" s="184"/>
      <c r="AH209" s="184"/>
      <c r="AJ209" s="184"/>
      <c r="AK209" s="161"/>
    </row>
    <row r="210" spans="1:46" s="81" customFormat="1" ht="39" customHeight="1" x14ac:dyDescent="0.2">
      <c r="A210" s="217"/>
      <c r="B210" s="380"/>
      <c r="C210" s="380"/>
      <c r="D210" s="380"/>
      <c r="E210" s="380"/>
      <c r="F210" s="380"/>
      <c r="G210" s="380"/>
      <c r="H210" s="380"/>
      <c r="I210" s="380"/>
      <c r="J210" s="172"/>
      <c r="K210" s="172"/>
      <c r="L210" s="172"/>
      <c r="M210" s="172"/>
      <c r="N210" s="172"/>
      <c r="O210" s="172"/>
      <c r="P210" s="172"/>
      <c r="Q210" s="172"/>
      <c r="R210" s="136"/>
      <c r="S210" s="172"/>
      <c r="T210" s="172"/>
      <c r="U210" s="172"/>
      <c r="V210" s="117"/>
      <c r="W210" s="137"/>
      <c r="X210" s="150"/>
      <c r="Z210" s="190"/>
      <c r="AE210" s="199"/>
      <c r="AF210" s="184"/>
      <c r="AG210" s="184"/>
      <c r="AH210" s="184"/>
      <c r="AJ210" s="184"/>
      <c r="AK210" s="161"/>
    </row>
    <row r="211" spans="1:46" s="81" customFormat="1" ht="38.25" customHeight="1" x14ac:dyDescent="0.2">
      <c r="A211" s="217"/>
      <c r="B211" s="380"/>
      <c r="C211" s="380"/>
      <c r="D211" s="380"/>
      <c r="E211" s="380"/>
      <c r="F211" s="380"/>
      <c r="G211" s="380"/>
      <c r="H211" s="380"/>
      <c r="I211" s="380"/>
      <c r="J211" s="172"/>
      <c r="K211" s="172"/>
      <c r="L211" s="172"/>
      <c r="M211" s="172"/>
      <c r="N211" s="172"/>
      <c r="O211" s="172"/>
      <c r="P211" s="172"/>
      <c r="Q211" s="172"/>
      <c r="R211" s="136"/>
      <c r="S211" s="172"/>
      <c r="T211" s="172"/>
      <c r="U211" s="172"/>
      <c r="V211" s="117"/>
      <c r="W211" s="137"/>
      <c r="X211" s="150"/>
      <c r="Z211" s="190"/>
      <c r="AE211" s="199"/>
      <c r="AF211" s="184"/>
      <c r="AG211" s="184"/>
      <c r="AH211" s="184"/>
      <c r="AJ211" s="184"/>
      <c r="AK211" s="161"/>
    </row>
    <row r="212" spans="1:46" s="81" customFormat="1" ht="7.5" customHeight="1" x14ac:dyDescent="0.2">
      <c r="A212" s="118"/>
      <c r="B212" s="17"/>
      <c r="C212" s="17"/>
      <c r="D212" s="16"/>
      <c r="E212" s="16"/>
      <c r="F212" s="16"/>
      <c r="G212" s="16"/>
      <c r="H212" s="16"/>
      <c r="I212" s="16"/>
      <c r="J212" s="12"/>
      <c r="K212" s="18"/>
      <c r="L212" s="18"/>
      <c r="M212" s="18"/>
      <c r="N212" s="18"/>
      <c r="O212" s="18"/>
      <c r="P212" s="18"/>
      <c r="Q212" s="18"/>
      <c r="R212" s="18"/>
      <c r="S212" s="18"/>
      <c r="T212" s="18"/>
      <c r="U212" s="19"/>
      <c r="V212" s="117"/>
      <c r="W212" s="137"/>
      <c r="X212" s="150"/>
      <c r="Z212" s="190"/>
      <c r="AJ212" s="184"/>
      <c r="AK212" s="157"/>
      <c r="AL212" s="74"/>
      <c r="AM212" s="74"/>
      <c r="AN212" s="74"/>
      <c r="AO212" s="74"/>
      <c r="AP212" s="74"/>
      <c r="AQ212" s="74"/>
      <c r="AR212" s="74"/>
    </row>
    <row r="213" spans="1:46" s="81" customFormat="1" ht="15" customHeight="1" x14ac:dyDescent="0.2">
      <c r="A213" s="1716"/>
      <c r="B213" s="1760"/>
      <c r="C213" s="1760"/>
      <c r="D213" s="1760"/>
      <c r="E213" s="1760"/>
      <c r="F213" s="1760"/>
      <c r="G213" s="1760"/>
      <c r="H213" s="1760"/>
      <c r="I213" s="1760"/>
      <c r="J213" s="1760"/>
      <c r="K213" s="1760"/>
      <c r="L213" s="1760"/>
      <c r="M213" s="1760"/>
      <c r="N213" s="1760"/>
      <c r="O213" s="1760"/>
      <c r="P213" s="1760"/>
      <c r="Q213" s="1760"/>
      <c r="R213" s="1760"/>
      <c r="S213" s="1760"/>
      <c r="T213" s="1760"/>
      <c r="U213" s="1760"/>
      <c r="V213" s="1761"/>
      <c r="W213" s="137"/>
      <c r="X213" s="150"/>
      <c r="AK213" s="161"/>
      <c r="AT213" s="74"/>
    </row>
    <row r="214" spans="1:46" s="81" customFormat="1" ht="11.25" customHeight="1" x14ac:dyDescent="0.2">
      <c r="A214" s="1765" t="str">
        <f>Home!$A$39</f>
        <v xml:space="preserve"> </v>
      </c>
      <c r="B214" s="1766"/>
      <c r="C214" s="1766"/>
      <c r="D214" s="1766"/>
      <c r="E214" s="1766"/>
      <c r="F214" s="1766"/>
      <c r="G214" s="1766"/>
      <c r="H214" s="1766"/>
      <c r="I214" s="1767"/>
      <c r="J214" s="1766"/>
      <c r="K214" s="1766"/>
      <c r="L214" s="1766"/>
      <c r="M214" s="1766"/>
      <c r="N214" s="1766"/>
      <c r="O214" s="1766"/>
      <c r="P214" s="1768"/>
      <c r="Q214" s="1766"/>
      <c r="R214" s="1766"/>
      <c r="S214" s="1766"/>
      <c r="T214" s="1767"/>
      <c r="U214" s="1766"/>
      <c r="V214" s="1769"/>
      <c r="W214" s="137"/>
      <c r="X214" s="150"/>
      <c r="AJ214" s="184"/>
      <c r="AK214" s="160"/>
      <c r="AL214" s="87"/>
      <c r="AT214" s="74"/>
    </row>
    <row r="215" spans="1:46" ht="11.25" hidden="1" customHeight="1" x14ac:dyDescent="0.2">
      <c r="A215" s="112"/>
      <c r="B215" s="113"/>
      <c r="C215" s="113"/>
      <c r="D215" s="113"/>
      <c r="E215" s="113"/>
      <c r="F215" s="113"/>
      <c r="G215" s="113"/>
      <c r="H215" s="113"/>
      <c r="I215" s="113"/>
      <c r="J215" s="114"/>
      <c r="K215" s="113"/>
      <c r="L215" s="113"/>
      <c r="M215" s="113"/>
      <c r="N215" s="113"/>
      <c r="O215" s="113"/>
      <c r="P215" s="113"/>
      <c r="Q215" s="113"/>
      <c r="R215" s="113"/>
      <c r="S215" s="113"/>
      <c r="T215" s="113"/>
      <c r="U215" s="113"/>
      <c r="V215" s="115"/>
      <c r="W215" s="137"/>
      <c r="X215" s="150"/>
      <c r="Y215" s="198"/>
      <c r="Z215" s="196"/>
      <c r="AA215" s="188"/>
      <c r="AJ215" s="184"/>
      <c r="AK215" s="160"/>
    </row>
    <row r="216" spans="1:46" s="76" customFormat="1" ht="15" hidden="1" customHeight="1" x14ac:dyDescent="0.2">
      <c r="A216" s="119"/>
      <c r="B216" s="1770" t="str">
        <f>"Children Looked After for 4+ weeks"&amp; Z1&amp;" who had been Reviewed within the required Timescales"</f>
        <v>Children Looked After for 4+ weeks at 31st March who had been Reviewed within the required Timescales</v>
      </c>
      <c r="C216" s="1770"/>
      <c r="D216" s="1770"/>
      <c r="E216" s="1770"/>
      <c r="F216" s="1770"/>
      <c r="G216" s="1770"/>
      <c r="H216" s="1770"/>
      <c r="I216" s="1770"/>
      <c r="J216" s="70"/>
      <c r="K216" s="70"/>
      <c r="L216" s="70"/>
      <c r="M216" s="70"/>
      <c r="N216" s="415"/>
      <c r="O216" s="70"/>
      <c r="P216" s="70"/>
      <c r="Q216" s="70"/>
      <c r="R216" s="70"/>
      <c r="S216" s="70"/>
      <c r="T216" s="70"/>
      <c r="U216" s="70"/>
      <c r="V216" s="120"/>
      <c r="W216" s="138"/>
      <c r="X216" s="151"/>
      <c r="Y216" s="381" t="s">
        <v>182</v>
      </c>
      <c r="Z216" s="382"/>
      <c r="AA216" s="383"/>
      <c r="AB216" s="383"/>
      <c r="AC216" s="383"/>
      <c r="AD216" s="81"/>
      <c r="AE216" s="381" t="s">
        <v>183</v>
      </c>
      <c r="AF216" s="382"/>
      <c r="AG216" s="383"/>
      <c r="AH216" s="383"/>
      <c r="AI216" s="383"/>
      <c r="AJ216" s="81"/>
      <c r="AK216" s="160"/>
    </row>
    <row r="217" spans="1:46" ht="15" hidden="1" customHeight="1" x14ac:dyDescent="0.2">
      <c r="A217" s="118"/>
      <c r="B217" s="1770"/>
      <c r="C217" s="1770"/>
      <c r="D217" s="1770"/>
      <c r="E217" s="1770"/>
      <c r="F217" s="1770"/>
      <c r="G217" s="1770"/>
      <c r="H217" s="1770"/>
      <c r="I217" s="1770"/>
      <c r="J217" s="70"/>
      <c r="K217" s="70"/>
      <c r="L217" s="70"/>
      <c r="M217" s="70"/>
      <c r="N217" s="415"/>
      <c r="O217" s="70"/>
      <c r="P217" s="70"/>
      <c r="Q217" s="70"/>
      <c r="R217" s="10"/>
      <c r="S217" s="70"/>
      <c r="T217" s="70"/>
      <c r="U217" s="70"/>
      <c r="V217" s="117"/>
      <c r="W217" s="137"/>
      <c r="X217" s="150"/>
      <c r="Y217" s="383"/>
      <c r="Z217" s="382"/>
      <c r="AA217" s="383"/>
      <c r="AB217" s="383"/>
      <c r="AC217" s="383"/>
      <c r="AE217" s="383"/>
      <c r="AF217" s="382"/>
      <c r="AG217" s="383"/>
      <c r="AH217" s="383"/>
      <c r="AI217" s="383"/>
      <c r="AJ217" s="81"/>
      <c r="AK217" s="160"/>
    </row>
    <row r="218" spans="1:46" ht="13.5" hidden="1" customHeight="1" x14ac:dyDescent="0.2">
      <c r="A218" s="278"/>
      <c r="B218" s="1771" t="s">
        <v>205</v>
      </c>
      <c r="C218" s="921"/>
      <c r="D218" s="789" t="str">
        <f>Sheet1!$D$27</f>
        <v>2015-16</v>
      </c>
      <c r="E218" s="790" t="str">
        <f>Sheet1!$E$27</f>
        <v>2016-17</v>
      </c>
      <c r="F218" s="790" t="str">
        <f>Sheet1!$F$27</f>
        <v>2017-18</v>
      </c>
      <c r="G218" s="790" t="str">
        <f>Sheet1!$G$27</f>
        <v>2018-19</v>
      </c>
      <c r="H218" s="791" t="str">
        <f>Sheet1!$H$27</f>
        <v>2019-20</v>
      </c>
      <c r="I218" s="921"/>
      <c r="J218" s="70"/>
      <c r="K218" s="70"/>
      <c r="L218" s="70"/>
      <c r="M218" s="70"/>
      <c r="N218" s="918"/>
      <c r="O218" s="70"/>
      <c r="P218" s="70"/>
      <c r="Q218" s="70"/>
      <c r="R218" s="10"/>
      <c r="S218" s="70"/>
      <c r="T218" s="70"/>
      <c r="U218" s="70"/>
      <c r="V218" s="117"/>
      <c r="W218" s="137"/>
      <c r="X218" s="150"/>
      <c r="Y218" s="383"/>
      <c r="Z218" s="382"/>
      <c r="AA218" s="383"/>
      <c r="AB218" s="383"/>
      <c r="AC218" s="383"/>
      <c r="AE218" s="383"/>
      <c r="AF218" s="382"/>
      <c r="AG218" s="383"/>
      <c r="AH218" s="383"/>
      <c r="AI218" s="383"/>
      <c r="AJ218" s="81"/>
      <c r="AK218" s="160"/>
    </row>
    <row r="219" spans="1:46" s="87" customFormat="1" ht="13.5" hidden="1" customHeight="1" x14ac:dyDescent="0.2">
      <c r="A219" s="121"/>
      <c r="B219" s="1772"/>
      <c r="C219" s="85"/>
      <c r="D219" s="792" t="e">
        <f>Sheet1!$D$28</f>
        <v>#N/A</v>
      </c>
      <c r="E219" s="792" t="e">
        <f>Sheet1!$E$28</f>
        <v>#N/A</v>
      </c>
      <c r="F219" s="792" t="e">
        <f>Sheet1!$F$28</f>
        <v>#N/A</v>
      </c>
      <c r="G219" s="792" t="e">
        <f>Sheet1!$G$28</f>
        <v>#N/A</v>
      </c>
      <c r="H219" s="793" t="e">
        <f>Sheet1!$H$28</f>
        <v>#N/A</v>
      </c>
      <c r="I219" s="96"/>
      <c r="J219" s="96"/>
      <c r="K219" s="61"/>
      <c r="L219" s="61"/>
      <c r="M219" s="61"/>
      <c r="N219" s="61"/>
      <c r="O219" s="61"/>
      <c r="P219" s="61"/>
      <c r="Q219" s="393"/>
      <c r="R219" s="393"/>
      <c r="S219" s="159"/>
      <c r="T219" s="159"/>
      <c r="U219" s="391"/>
      <c r="V219" s="122"/>
      <c r="W219" s="139"/>
      <c r="X219" s="152"/>
      <c r="Y219" s="384"/>
      <c r="Z219" s="435" t="e">
        <f>D219</f>
        <v>#N/A</v>
      </c>
      <c r="AA219" s="435" t="e">
        <f t="shared" ref="AA219" si="71">E219</f>
        <v>#N/A</v>
      </c>
      <c r="AB219" s="435" t="e">
        <f t="shared" ref="AB219" si="72">F219</f>
        <v>#N/A</v>
      </c>
      <c r="AC219" s="435" t="e">
        <f t="shared" ref="AC219" si="73">G219</f>
        <v>#N/A</v>
      </c>
      <c r="AD219" s="435" t="e">
        <f t="shared" ref="AD219" si="74">H219</f>
        <v>#N/A</v>
      </c>
      <c r="AE219" s="384"/>
      <c r="AF219" s="435" t="e">
        <f>Z219</f>
        <v>#N/A</v>
      </c>
      <c r="AG219" s="435" t="e">
        <f t="shared" ref="AG219:AJ219" si="75">AA219</f>
        <v>#N/A</v>
      </c>
      <c r="AH219" s="435" t="e">
        <f t="shared" si="75"/>
        <v>#N/A</v>
      </c>
      <c r="AI219" s="435" t="e">
        <f t="shared" si="75"/>
        <v>#N/A</v>
      </c>
      <c r="AJ219" s="437" t="e">
        <f t="shared" si="75"/>
        <v>#N/A</v>
      </c>
      <c r="AK219" s="160"/>
    </row>
    <row r="220" spans="1:46" s="87" customFormat="1" ht="12.75" hidden="1" customHeight="1" x14ac:dyDescent="0.2">
      <c r="A220" s="488">
        <f>VLOOKUP(B220,Sheet1!$AQ$4:$AR$25,2,FALSE)</f>
        <v>0</v>
      </c>
      <c r="B220" s="93" t="str">
        <f t="shared" ref="B220:B243" si="76">B184</f>
        <v>Bracknell Forest</v>
      </c>
      <c r="C220" s="85"/>
      <c r="D220" s="162" t="e">
        <f>IF(AND(ISNUMBER(AF220),ISNUMBER(Z220)),AF220/Z220,NA())</f>
        <v>#N/A</v>
      </c>
      <c r="E220" s="162" t="e">
        <f>IF(AND(ISNUMBER(AG220),ISNUMBER(AA220)),AG220/AA220,NA())</f>
        <v>#N/A</v>
      </c>
      <c r="F220" s="162" t="e">
        <f>IF(AND(ISNUMBER(AH220),ISNUMBER(AB220)),AH220/AB220,NA())</f>
        <v>#N/A</v>
      </c>
      <c r="G220" s="162" t="e">
        <f t="shared" ref="G220:H220" si="77">IF(AND(ISNUMBER(AI220),ISNUMBER(AC220)),AI220/AC220,NA())</f>
        <v>#N/A</v>
      </c>
      <c r="H220" s="164" t="e">
        <f t="shared" si="77"/>
        <v>#N/A</v>
      </c>
      <c r="I220" s="96"/>
      <c r="J220" s="96"/>
      <c r="K220" s="166"/>
      <c r="L220" s="166"/>
      <c r="M220" s="166"/>
      <c r="N220" s="166"/>
      <c r="O220" s="166"/>
      <c r="P220" s="166"/>
      <c r="Q220" s="166"/>
      <c r="R220" s="167"/>
      <c r="S220" s="159"/>
      <c r="T220" s="159"/>
      <c r="U220" s="166"/>
      <c r="V220" s="122"/>
      <c r="W220" s="139"/>
      <c r="X220" s="152"/>
      <c r="Y220" s="434" t="str">
        <f>B220</f>
        <v>Bracknell Forest</v>
      </c>
      <c r="Z220" s="489" t="str">
        <f>IF(Year1_Bracknell_Forest Year1_LAC_4weeks="","",Year1_Bracknell_Forest Year1_LAC_4weeks)</f>
        <v/>
      </c>
      <c r="AA220" s="372" t="str">
        <f>IF(Year2_Bracknell_Forest Year2_LAC_4weeks="","",Year2_Bracknell_Forest Year2_LAC_4weeks)</f>
        <v/>
      </c>
      <c r="AB220" s="372" t="str">
        <f>IF(Year3_Bracknell_Forest Year3_LAC_4weeks="","",Year3_Bracknell_Forest Year3_LAC_4weeks)</f>
        <v/>
      </c>
      <c r="AC220" s="372" t="str">
        <f>IF(Year4_Bracknell_Forest Year4_LAC_4weeks="","",Year4_Bracknell_Forest Year4_LAC_4weeks)</f>
        <v/>
      </c>
      <c r="AD220" s="577" t="str">
        <f>IF(Year5_Bracknell_Forest Year5_LAC_4weeks="","",Year5_Bracknell_Forest Year5_LAC_4weeks)</f>
        <v/>
      </c>
      <c r="AE220" s="434" t="str">
        <f>Y220</f>
        <v>Bracknell Forest</v>
      </c>
      <c r="AF220" s="489" t="str">
        <f>IF(Year1_Bracknell_Forest Year1_LAC_4weeks_reviews_in_timescales="","",Year1_Bracknell_Forest Year1_LAC_4weeks_reviews_in_timescales)</f>
        <v/>
      </c>
      <c r="AG220" s="372" t="str">
        <f>IF(Year2_Bracknell_Forest Year2_LAC_4weeks_reviews_in_timescales="","",Year2_Bracknell_Forest Year2_LAC_4weeks_reviews_in_timescales)</f>
        <v/>
      </c>
      <c r="AH220" s="372" t="str">
        <f>IF(Year3_Bracknell_Forest Year3_LAC_4weeks_reviews_in_timescales="","",Year3_Bracknell_Forest Year3_LAC_4weeks_reviews_in_timescales)</f>
        <v/>
      </c>
      <c r="AI220" s="372" t="str">
        <f>IF(Year4_Bracknell_Forest Year4_LAC_4weeks_reviews_in_timescales="","",Year4_Bracknell_Forest Year4_LAC_4weeks_reviews_in_timescales)</f>
        <v/>
      </c>
      <c r="AJ220" s="577" t="str">
        <f>IF(Year5_Bracknell_Forest Year5_LAC_4weeks_reviews_in_timescales="","",Year5_Bracknell_Forest Year5_LAC_4weeks_reviews_in_timescales)</f>
        <v/>
      </c>
      <c r="AK220" s="160"/>
    </row>
    <row r="221" spans="1:46" s="87" customFormat="1" ht="12.75" hidden="1" customHeight="1" x14ac:dyDescent="0.2">
      <c r="A221" s="488">
        <f>VLOOKUP(B221,Sheet1!$AQ$4:$AR$25,2,FALSE)</f>
        <v>0</v>
      </c>
      <c r="B221" s="93" t="str">
        <f t="shared" si="76"/>
        <v>Brighton &amp; Hove</v>
      </c>
      <c r="C221" s="85"/>
      <c r="D221" s="162" t="e">
        <f t="shared" ref="D221:F243" si="78">IF(AND(ISNUMBER(AF221),ISNUMBER(Z221)),AF221/Z221,NA())</f>
        <v>#N/A</v>
      </c>
      <c r="E221" s="162" t="e">
        <f t="shared" si="78"/>
        <v>#N/A</v>
      </c>
      <c r="F221" s="162" t="e">
        <f t="shared" si="78"/>
        <v>#N/A</v>
      </c>
      <c r="G221" s="162" t="e">
        <f t="shared" ref="G221:G243" si="79">IF(AND(ISNUMBER(AI221),ISNUMBER(AC221)),AI221/AC221,NA())</f>
        <v>#N/A</v>
      </c>
      <c r="H221" s="164" t="e">
        <f t="shared" ref="H221:H243" si="80">IF(AND(ISNUMBER(AJ221),ISNUMBER(AD221)),AJ221/AD221,NA())</f>
        <v>#N/A</v>
      </c>
      <c r="I221" s="96"/>
      <c r="J221" s="96"/>
      <c r="K221" s="166"/>
      <c r="L221" s="166"/>
      <c r="M221" s="166"/>
      <c r="N221" s="166"/>
      <c r="O221" s="166"/>
      <c r="P221" s="166"/>
      <c r="Q221" s="166"/>
      <c r="R221" s="167"/>
      <c r="S221" s="159"/>
      <c r="T221" s="159"/>
      <c r="U221" s="166"/>
      <c r="V221" s="122"/>
      <c r="W221" s="139"/>
      <c r="X221" s="152"/>
      <c r="Y221" s="434" t="str">
        <f t="shared" ref="Y221:Y243" si="81">B221</f>
        <v>Brighton &amp; Hove</v>
      </c>
      <c r="Z221" s="489" t="str">
        <f>IF(Year1_Brighton_Hove Year1_LAC_4weeks="","",Year1_Brighton_Hove Year1_LAC_4weeks)</f>
        <v/>
      </c>
      <c r="AA221" s="372" t="str">
        <f>IF(Year2_Brighton_Hove Year2_LAC_4weeks="","",Year2_Brighton_Hove Year2_LAC_4weeks)</f>
        <v/>
      </c>
      <c r="AB221" s="372" t="str">
        <f>IF(Year3_Brighton_Hove Year3_LAC_4weeks="","",Year3_Brighton_Hove Year3_LAC_4weeks)</f>
        <v/>
      </c>
      <c r="AC221" s="372" t="str">
        <f>IF(Year4_Brighton_Hove Year4_LAC_4weeks="","",Year4_Brighton_Hove Year4_LAC_4weeks)</f>
        <v/>
      </c>
      <c r="AD221" s="577" t="str">
        <f>IF(Year5_Brighton_Hove Year5_LAC_4weeks="","",Year5_Brighton_Hove Year5_LAC_4weeks)</f>
        <v/>
      </c>
      <c r="AE221" s="434" t="str">
        <f t="shared" ref="AE221:AE243" si="82">Y221</f>
        <v>Brighton &amp; Hove</v>
      </c>
      <c r="AF221" s="489" t="str">
        <f>IF(Year1_Brighton_Hove Year1_LAC_4weeks_reviews_in_timescales="","",Year1_Brighton_Hove Year1_LAC_4weeks_reviews_in_timescales)</f>
        <v/>
      </c>
      <c r="AG221" s="372" t="str">
        <f>IF(Year2_Brighton_Hove Year2_LAC_4weeks_reviews_in_timescales="","",Year2_Brighton_Hove Year2_LAC_4weeks_reviews_in_timescales)</f>
        <v/>
      </c>
      <c r="AH221" s="372" t="str">
        <f>IF(Year3_Brighton_Hove Year3_LAC_4weeks_reviews_in_timescales="","",Year3_Brighton_Hove Year3_LAC_4weeks_reviews_in_timescales)</f>
        <v/>
      </c>
      <c r="AI221" s="372" t="str">
        <f>IF(Year4_Brighton_Hove Year4_LAC_4weeks_reviews_in_timescales="","",Year4_Brighton_Hove Year4_LAC_4weeks_reviews_in_timescales)</f>
        <v/>
      </c>
      <c r="AJ221" s="577" t="str">
        <f>IF(Year5_Brighton_Hove Year5_LAC_4weeks_reviews_in_timescales="","",Year5_Brighton_Hove Year5_LAC_4weeks_reviews_in_timescales)</f>
        <v/>
      </c>
      <c r="AK221" s="160"/>
    </row>
    <row r="222" spans="1:46" s="87" customFormat="1" ht="12.75" hidden="1" customHeight="1" x14ac:dyDescent="0.2">
      <c r="A222" s="488">
        <f>VLOOKUP(B222,Sheet1!$AQ$4:$AR$25,2,FALSE)</f>
        <v>0</v>
      </c>
      <c r="B222" s="93" t="str">
        <f t="shared" si="76"/>
        <v>Buckinghamshire</v>
      </c>
      <c r="C222" s="85"/>
      <c r="D222" s="162" t="e">
        <f t="shared" si="78"/>
        <v>#N/A</v>
      </c>
      <c r="E222" s="162" t="e">
        <f t="shared" si="78"/>
        <v>#N/A</v>
      </c>
      <c r="F222" s="162" t="e">
        <f t="shared" si="78"/>
        <v>#N/A</v>
      </c>
      <c r="G222" s="162" t="e">
        <f t="shared" si="79"/>
        <v>#N/A</v>
      </c>
      <c r="H222" s="164" t="e">
        <f t="shared" si="80"/>
        <v>#N/A</v>
      </c>
      <c r="I222" s="96"/>
      <c r="J222" s="96"/>
      <c r="K222" s="166"/>
      <c r="L222" s="166"/>
      <c r="M222" s="166"/>
      <c r="N222" s="166"/>
      <c r="O222" s="166"/>
      <c r="P222" s="166"/>
      <c r="Q222" s="166"/>
      <c r="R222" s="167"/>
      <c r="S222" s="159"/>
      <c r="T222" s="159"/>
      <c r="U222" s="166"/>
      <c r="V222" s="122"/>
      <c r="W222" s="139"/>
      <c r="X222" s="152"/>
      <c r="Y222" s="434" t="str">
        <f t="shared" si="81"/>
        <v>Buckinghamshire</v>
      </c>
      <c r="Z222" s="489" t="str">
        <f>IF(Year1_Buckinghamshire Year1_LAC_4weeks="","",Year1_Buckinghamshire Year1_LAC_4weeks)</f>
        <v/>
      </c>
      <c r="AA222" s="372" t="str">
        <f>IF(Year2_Buckinghamshire Year2_LAC_4weeks="","",Year2_Buckinghamshire Year2_LAC_4weeks)</f>
        <v/>
      </c>
      <c r="AB222" s="372" t="str">
        <f>IF(Year3_Buckinghamshire Year3_LAC_4weeks="","",Year3_Buckinghamshire Year3_LAC_4weeks)</f>
        <v/>
      </c>
      <c r="AC222" s="372" t="str">
        <f>IF(Year4_Buckinghamshire Year4_LAC_4weeks="","",Year4_Buckinghamshire Year4_LAC_4weeks)</f>
        <v/>
      </c>
      <c r="AD222" s="577" t="str">
        <f>IF(Year5_Buckinghamshire Year5_LAC_4weeks="","",Year5_Buckinghamshire Year5_LAC_4weeks)</f>
        <v/>
      </c>
      <c r="AE222" s="434" t="str">
        <f t="shared" si="82"/>
        <v>Buckinghamshire</v>
      </c>
      <c r="AF222" s="489" t="str">
        <f>IF(Year1_Buckinghamshire Year1_LAC_4weeks_reviews_in_timescales="","",Year1_Buckinghamshire Year1_LAC_4weeks_reviews_in_timescales)</f>
        <v/>
      </c>
      <c r="AG222" s="372" t="str">
        <f>IF(Year2_Buckinghamshire Year2_LAC_4weeks_reviews_in_timescales="","",Year2_Buckinghamshire Year2_LAC_4weeks_reviews_in_timescales)</f>
        <v/>
      </c>
      <c r="AH222" s="372" t="str">
        <f>IF(Year3_Buckinghamshire Year3_LAC_4weeks_reviews_in_timescales="","",Year3_Buckinghamshire Year3_LAC_4weeks_reviews_in_timescales)</f>
        <v/>
      </c>
      <c r="AI222" s="372" t="str">
        <f>IF(Year4_Buckinghamshire Year4_LAC_4weeks_reviews_in_timescales="","",Year4_Buckinghamshire Year4_LAC_4weeks_reviews_in_timescales)</f>
        <v/>
      </c>
      <c r="AJ222" s="577" t="str">
        <f>IF(Year5_Buckinghamshire Year5_LAC_4weeks_reviews_in_timescales="","",Year5_Buckinghamshire Year5_LAC_4weeks_reviews_in_timescales)</f>
        <v/>
      </c>
      <c r="AK222" s="160"/>
    </row>
    <row r="223" spans="1:46" s="87" customFormat="1" ht="12.75" hidden="1" customHeight="1" x14ac:dyDescent="0.2">
      <c r="A223" s="488">
        <f>VLOOKUP(B223,Sheet1!$AQ$4:$AR$25,2,FALSE)</f>
        <v>0</v>
      </c>
      <c r="B223" s="93" t="str">
        <f t="shared" si="76"/>
        <v>East Sussex</v>
      </c>
      <c r="C223" s="85"/>
      <c r="D223" s="162" t="e">
        <f t="shared" si="78"/>
        <v>#N/A</v>
      </c>
      <c r="E223" s="162" t="e">
        <f t="shared" si="78"/>
        <v>#N/A</v>
      </c>
      <c r="F223" s="162" t="e">
        <f t="shared" si="78"/>
        <v>#N/A</v>
      </c>
      <c r="G223" s="162" t="e">
        <f t="shared" si="79"/>
        <v>#N/A</v>
      </c>
      <c r="H223" s="164" t="e">
        <f t="shared" si="80"/>
        <v>#N/A</v>
      </c>
      <c r="I223" s="96"/>
      <c r="J223" s="96"/>
      <c r="K223" s="166"/>
      <c r="L223" s="166"/>
      <c r="M223" s="166"/>
      <c r="N223" s="166"/>
      <c r="O223" s="166"/>
      <c r="P223" s="166"/>
      <c r="Q223" s="166"/>
      <c r="R223" s="167"/>
      <c r="S223" s="159"/>
      <c r="T223" s="159"/>
      <c r="U223" s="166"/>
      <c r="V223" s="122"/>
      <c r="W223" s="139"/>
      <c r="X223" s="152"/>
      <c r="Y223" s="434" t="str">
        <f t="shared" si="81"/>
        <v>East Sussex</v>
      </c>
      <c r="Z223" s="489" t="str">
        <f>IF(Year1_East_Sussex Year1_LAC_4weeks="","",Year1_East_Sussex Year1_LAC_4weeks)</f>
        <v/>
      </c>
      <c r="AA223" s="372" t="str">
        <f>IF(Year2_East_Sussex Year2_LAC_4weeks="","",Year2_East_Sussex Year2_LAC_4weeks)</f>
        <v/>
      </c>
      <c r="AB223" s="372" t="str">
        <f>IF(Year3_East_Sussex Year3_LAC_4weeks="","",Year3_East_Sussex Year3_LAC_4weeks)</f>
        <v/>
      </c>
      <c r="AC223" s="372" t="str">
        <f>IF(Year4_East_Sussex Year4_LAC_4weeks="","",Year4_East_Sussex Year4_LAC_4weeks)</f>
        <v/>
      </c>
      <c r="AD223" s="577" t="str">
        <f>IF(Year5_East_Sussex Year5_LAC_4weeks="","",Year5_East_Sussex Year5_LAC_4weeks)</f>
        <v/>
      </c>
      <c r="AE223" s="434" t="str">
        <f t="shared" si="82"/>
        <v>East Sussex</v>
      </c>
      <c r="AF223" s="489" t="str">
        <f>IF(Year1_East_Sussex Year1_LAC_4weeks_reviews_in_timescales="","",Year1_East_Sussex Year1_LAC_4weeks_reviews_in_timescales)</f>
        <v/>
      </c>
      <c r="AG223" s="372" t="str">
        <f>IF(Year2_East_Sussex Year2_LAC_4weeks_reviews_in_timescales="","",Year2_East_Sussex Year2_LAC_4weeks_reviews_in_timescales)</f>
        <v/>
      </c>
      <c r="AH223" s="372" t="str">
        <f>IF(Year3_East_Sussex Year3_LAC_4weeks_reviews_in_timescales="","",Year3_East_Sussex Year3_LAC_4weeks_reviews_in_timescales)</f>
        <v/>
      </c>
      <c r="AI223" s="372" t="str">
        <f>IF(Year4_East_Sussex Year4_LAC_4weeks_reviews_in_timescales="","",Year4_East_Sussex Year4_LAC_4weeks_reviews_in_timescales)</f>
        <v/>
      </c>
      <c r="AJ223" s="577" t="str">
        <f>IF(Year5_East_Sussex Year5_LAC_4weeks_reviews_in_timescales="","",Year5_East_Sussex Year5_LAC_4weeks_reviews_in_timescales)</f>
        <v/>
      </c>
      <c r="AK223" s="160"/>
    </row>
    <row r="224" spans="1:46" s="87" customFormat="1" ht="12.75" hidden="1" customHeight="1" x14ac:dyDescent="0.2">
      <c r="A224" s="488">
        <f>VLOOKUP(B224,Sheet1!$AQ$4:$AR$25,2,FALSE)</f>
        <v>0</v>
      </c>
      <c r="B224" s="93" t="str">
        <f t="shared" si="76"/>
        <v>Hampshire</v>
      </c>
      <c r="C224" s="85"/>
      <c r="D224" s="162" t="e">
        <f t="shared" si="78"/>
        <v>#N/A</v>
      </c>
      <c r="E224" s="162" t="e">
        <f t="shared" si="78"/>
        <v>#N/A</v>
      </c>
      <c r="F224" s="162" t="e">
        <f t="shared" si="78"/>
        <v>#N/A</v>
      </c>
      <c r="G224" s="162" t="e">
        <f t="shared" si="79"/>
        <v>#N/A</v>
      </c>
      <c r="H224" s="164" t="e">
        <f t="shared" si="80"/>
        <v>#N/A</v>
      </c>
      <c r="I224" s="96"/>
      <c r="J224" s="96"/>
      <c r="K224" s="166"/>
      <c r="L224" s="166"/>
      <c r="M224" s="166"/>
      <c r="N224" s="166"/>
      <c r="O224" s="166"/>
      <c r="P224" s="166"/>
      <c r="Q224" s="166"/>
      <c r="R224" s="167"/>
      <c r="S224" s="159"/>
      <c r="T224" s="159"/>
      <c r="U224" s="166"/>
      <c r="V224" s="122"/>
      <c r="W224" s="139"/>
      <c r="X224" s="152"/>
      <c r="Y224" s="434" t="str">
        <f t="shared" si="81"/>
        <v>Hampshire</v>
      </c>
      <c r="Z224" s="489" t="str">
        <f>IF(Year1_Hampshire Year1_LAC_4weeks="","",Year1_Hampshire Year1_LAC_4weeks)</f>
        <v/>
      </c>
      <c r="AA224" s="372" t="str">
        <f>IF(Year2_Hampshire Year2_LAC_4weeks="","",Year2_Hampshire Year2_LAC_4weeks)</f>
        <v/>
      </c>
      <c r="AB224" s="372" t="str">
        <f>IF(Year3_Hampshire Year3_LAC_4weeks="","",Year3_Hampshire Year3_LAC_4weeks)</f>
        <v/>
      </c>
      <c r="AC224" s="372" t="str">
        <f>IF(Year4_Hampshire Year4_LAC_4weeks="","",Year4_Hampshire Year4_LAC_4weeks)</f>
        <v/>
      </c>
      <c r="AD224" s="577" t="str">
        <f>IF(Year5_Hampshire Year5_LAC_4weeks="","",Year5_Hampshire Year5_LAC_4weeks)</f>
        <v/>
      </c>
      <c r="AE224" s="434" t="str">
        <f t="shared" si="82"/>
        <v>Hampshire</v>
      </c>
      <c r="AF224" s="489" t="str">
        <f>IF(Year1_Hampshire Year1_LAC_4weeks_reviews_in_timescales="","",Year1_Hampshire Year1_LAC_4weeks_reviews_in_timescales)</f>
        <v/>
      </c>
      <c r="AG224" s="372" t="str">
        <f>IF(Year2_Hampshire Year2_LAC_4weeks_reviews_in_timescales="","",Year2_Hampshire Year2_LAC_4weeks_reviews_in_timescales)</f>
        <v/>
      </c>
      <c r="AH224" s="372" t="str">
        <f>IF(Year3_Hampshire Year3_LAC_4weeks_reviews_in_timescales="","",Year3_Hampshire Year3_LAC_4weeks_reviews_in_timescales)</f>
        <v/>
      </c>
      <c r="AI224" s="372" t="str">
        <f>IF(Year4_Hampshire Year4_LAC_4weeks_reviews_in_timescales="","",Year4_Hampshire Year4_LAC_4weeks_reviews_in_timescales)</f>
        <v/>
      </c>
      <c r="AJ224" s="577" t="str">
        <f>IF(Year5_Hampshire Year5_LAC_4weeks_reviews_in_timescales="","",Year5_Hampshire Year5_LAC_4weeks_reviews_in_timescales)</f>
        <v/>
      </c>
      <c r="AK224" s="160"/>
    </row>
    <row r="225" spans="1:45" s="87" customFormat="1" ht="12.75" hidden="1" customHeight="1" x14ac:dyDescent="0.2">
      <c r="A225" s="488">
        <f>VLOOKUP(B225,Sheet1!$AQ$4:$AR$25,2,FALSE)</f>
        <v>0</v>
      </c>
      <c r="B225" s="93" t="str">
        <f t="shared" si="76"/>
        <v>Isle of Wight</v>
      </c>
      <c r="C225" s="85"/>
      <c r="D225" s="162" t="e">
        <f t="shared" si="78"/>
        <v>#N/A</v>
      </c>
      <c r="E225" s="162" t="e">
        <f t="shared" si="78"/>
        <v>#N/A</v>
      </c>
      <c r="F225" s="162" t="e">
        <f t="shared" si="78"/>
        <v>#N/A</v>
      </c>
      <c r="G225" s="162" t="e">
        <f t="shared" si="79"/>
        <v>#N/A</v>
      </c>
      <c r="H225" s="164" t="e">
        <f t="shared" si="80"/>
        <v>#N/A</v>
      </c>
      <c r="I225" s="96"/>
      <c r="J225" s="96"/>
      <c r="K225" s="166"/>
      <c r="L225" s="166"/>
      <c r="M225" s="166"/>
      <c r="N225" s="166"/>
      <c r="O225" s="166"/>
      <c r="P225" s="166"/>
      <c r="Q225" s="166"/>
      <c r="R225" s="167"/>
      <c r="S225" s="159"/>
      <c r="T225" s="159"/>
      <c r="U225" s="166"/>
      <c r="V225" s="122"/>
      <c r="W225" s="139"/>
      <c r="X225" s="152"/>
      <c r="Y225" s="434" t="str">
        <f t="shared" si="81"/>
        <v>Isle of Wight</v>
      </c>
      <c r="Z225" s="489" t="str">
        <f>IF(Year1_Isle_of_Wight Year1_LAC_4weeks="","",Year1_Isle_of_Wight Year1_LAC_4weeks)</f>
        <v/>
      </c>
      <c r="AA225" s="372" t="str">
        <f>IF(Year2_Isle_of_Wight Year2_LAC_4weeks="","",Year2_Isle_of_Wight Year2_LAC_4weeks)</f>
        <v/>
      </c>
      <c r="AB225" s="372" t="str">
        <f>IF(Year3_Isle_of_Wight Year3_LAC_4weeks="","",Year3_Isle_of_Wight Year3_LAC_4weeks)</f>
        <v/>
      </c>
      <c r="AC225" s="372" t="str">
        <f>IF(Year4_Isle_of_Wight Year4_LAC_4weeks="","",Year4_Isle_of_Wight Year4_LAC_4weeks)</f>
        <v/>
      </c>
      <c r="AD225" s="577" t="str">
        <f>IF(Year5_Isle_of_Wight Year5_LAC_4weeks="","",Year5_Isle_of_Wight Year5_LAC_4weeks)</f>
        <v/>
      </c>
      <c r="AE225" s="434" t="str">
        <f t="shared" si="82"/>
        <v>Isle of Wight</v>
      </c>
      <c r="AF225" s="489" t="str">
        <f>IF(Year1_Isle_of_Wight Year1_LAC_4weeks_reviews_in_timescales="","",Year1_Isle_of_Wight Year1_LAC_4weeks_reviews_in_timescales)</f>
        <v/>
      </c>
      <c r="AG225" s="372" t="str">
        <f>IF(Year2_Isle_of_Wight Year2_LAC_4weeks_reviews_in_timescales="","",Year2_Isle_of_Wight Year2_LAC_4weeks_reviews_in_timescales)</f>
        <v/>
      </c>
      <c r="AH225" s="372" t="str">
        <f>IF(Year3_Isle_of_Wight Year3_LAC_4weeks_reviews_in_timescales="","",Year3_Isle_of_Wight Year3_LAC_4weeks_reviews_in_timescales)</f>
        <v/>
      </c>
      <c r="AI225" s="372" t="str">
        <f>IF(Year4_Isle_of_Wight Year4_LAC_4weeks_reviews_in_timescales="","",Year4_Isle_of_Wight Year4_LAC_4weeks_reviews_in_timescales)</f>
        <v/>
      </c>
      <c r="AJ225" s="577" t="str">
        <f>IF(Year5_Isle_of_Wight Year5_LAC_4weeks_reviews_in_timescales="","",Year5_Isle_of_Wight Year5_LAC_4weeks_reviews_in_timescales)</f>
        <v/>
      </c>
      <c r="AK225" s="160"/>
      <c r="AS225" s="87" t="s">
        <v>102</v>
      </c>
    </row>
    <row r="226" spans="1:45" s="87" customFormat="1" ht="12.75" hidden="1" customHeight="1" x14ac:dyDescent="0.2">
      <c r="A226" s="488">
        <f>VLOOKUP(B226,Sheet1!$AQ$4:$AR$25,2,FALSE)</f>
        <v>0</v>
      </c>
      <c r="B226" s="93" t="str">
        <f t="shared" si="76"/>
        <v>Kent</v>
      </c>
      <c r="C226" s="85"/>
      <c r="D226" s="162" t="e">
        <f t="shared" si="78"/>
        <v>#N/A</v>
      </c>
      <c r="E226" s="162" t="e">
        <f t="shared" si="78"/>
        <v>#N/A</v>
      </c>
      <c r="F226" s="162" t="e">
        <f t="shared" si="78"/>
        <v>#N/A</v>
      </c>
      <c r="G226" s="162" t="e">
        <f t="shared" si="79"/>
        <v>#N/A</v>
      </c>
      <c r="H226" s="164" t="e">
        <f t="shared" si="80"/>
        <v>#N/A</v>
      </c>
      <c r="I226" s="96"/>
      <c r="J226" s="96"/>
      <c r="K226" s="166"/>
      <c r="L226" s="166"/>
      <c r="M226" s="166"/>
      <c r="N226" s="166"/>
      <c r="O226" s="166"/>
      <c r="P226" s="166"/>
      <c r="Q226" s="166"/>
      <c r="R226" s="167"/>
      <c r="S226" s="159"/>
      <c r="T226" s="159"/>
      <c r="U226" s="166"/>
      <c r="V226" s="122"/>
      <c r="W226" s="139"/>
      <c r="X226" s="152"/>
      <c r="Y226" s="434" t="str">
        <f t="shared" si="81"/>
        <v>Kent</v>
      </c>
      <c r="Z226" s="489" t="str">
        <f>IF(Year1_Kent Year1_LAC_4weeks="","",Year1_Kent Year1_LAC_4weeks)</f>
        <v/>
      </c>
      <c r="AA226" s="372" t="str">
        <f>IF(Year2_Kent Year2_LAC_4weeks="","",Year2_Kent Year2_LAC_4weeks)</f>
        <v/>
      </c>
      <c r="AB226" s="372" t="str">
        <f>IF(Year3_Kent Year3_LAC_4weeks="","",Year3_Kent Year3_LAC_4weeks)</f>
        <v/>
      </c>
      <c r="AC226" s="372" t="str">
        <f>IF(Year4_Kent Year4_LAC_4weeks="","",Year4_Kent Year4_LAC_4weeks)</f>
        <v/>
      </c>
      <c r="AD226" s="577" t="str">
        <f>IF(Year5_Kent Year5_LAC_4weeks="","",Year5_Kent Year5_LAC_4weeks)</f>
        <v/>
      </c>
      <c r="AE226" s="434" t="str">
        <f t="shared" si="82"/>
        <v>Kent</v>
      </c>
      <c r="AF226" s="489" t="str">
        <f>IF(Year1_Kent Year1_LAC_4weeks_reviews_in_timescales="","",Year1_Kent Year1_LAC_4weeks_reviews_in_timescales)</f>
        <v/>
      </c>
      <c r="AG226" s="372" t="str">
        <f>IF(Year2_Kent Year2_LAC_4weeks_reviews_in_timescales="","",Year2_Kent Year2_LAC_4weeks_reviews_in_timescales)</f>
        <v/>
      </c>
      <c r="AH226" s="372" t="str">
        <f>IF(Year3_Kent Year3_LAC_4weeks_reviews_in_timescales="","",Year3_Kent Year3_LAC_4weeks_reviews_in_timescales)</f>
        <v/>
      </c>
      <c r="AI226" s="372" t="str">
        <f>IF(Year4_Kent Year4_LAC_4weeks_reviews_in_timescales="","",Year4_Kent Year4_LAC_4weeks_reviews_in_timescales)</f>
        <v/>
      </c>
      <c r="AJ226" s="577" t="str">
        <f>IF(Year5_Kent Year5_LAC_4weeks_reviews_in_timescales="","",Year5_Kent Year5_LAC_4weeks_reviews_in_timescales)</f>
        <v/>
      </c>
      <c r="AK226" s="160"/>
    </row>
    <row r="227" spans="1:45" s="87" customFormat="1" ht="12.75" hidden="1" customHeight="1" x14ac:dyDescent="0.2">
      <c r="A227" s="488">
        <f>VLOOKUP(B227,Sheet1!$AQ$4:$AR$25,2,FALSE)</f>
        <v>0</v>
      </c>
      <c r="B227" s="93" t="str">
        <f t="shared" si="76"/>
        <v>Medway</v>
      </c>
      <c r="C227" s="85"/>
      <c r="D227" s="162" t="e">
        <f t="shared" si="78"/>
        <v>#N/A</v>
      </c>
      <c r="E227" s="162" t="e">
        <f t="shared" si="78"/>
        <v>#N/A</v>
      </c>
      <c r="F227" s="162" t="e">
        <f t="shared" si="78"/>
        <v>#N/A</v>
      </c>
      <c r="G227" s="162" t="e">
        <f t="shared" si="79"/>
        <v>#N/A</v>
      </c>
      <c r="H227" s="164" t="e">
        <f t="shared" si="80"/>
        <v>#N/A</v>
      </c>
      <c r="I227" s="96"/>
      <c r="J227" s="96"/>
      <c r="K227" s="166"/>
      <c r="L227" s="166"/>
      <c r="M227" s="166"/>
      <c r="N227" s="166"/>
      <c r="O227" s="166"/>
      <c r="P227" s="166"/>
      <c r="Q227" s="166"/>
      <c r="R227" s="167"/>
      <c r="S227" s="159"/>
      <c r="T227" s="159"/>
      <c r="U227" s="166"/>
      <c r="V227" s="122"/>
      <c r="W227" s="139"/>
      <c r="X227" s="152"/>
      <c r="Y227" s="434" t="str">
        <f t="shared" si="81"/>
        <v>Medway</v>
      </c>
      <c r="Z227" s="489" t="str">
        <f>IF(Year1_Medway Year1_LAC_4weeks="","",Year1_Medway Year1_LAC_4weeks)</f>
        <v/>
      </c>
      <c r="AA227" s="372" t="str">
        <f>IF(Year2_Medway Year2_LAC_4weeks="","",Year2_Medway Year2_LAC_4weeks)</f>
        <v/>
      </c>
      <c r="AB227" s="372" t="str">
        <f>IF(Year3_Medway Year3_LAC_4weeks="","",Year3_Medway Year3_LAC_4weeks)</f>
        <v/>
      </c>
      <c r="AC227" s="372" t="str">
        <f>IF(Year4_Medway Year4_LAC_4weeks="","",Year4_Medway Year4_LAC_4weeks)</f>
        <v/>
      </c>
      <c r="AD227" s="577" t="str">
        <f>IF(Year5_Medway Year5_LAC_4weeks="","",Year5_Medway Year5_LAC_4weeks)</f>
        <v/>
      </c>
      <c r="AE227" s="434" t="str">
        <f t="shared" si="82"/>
        <v>Medway</v>
      </c>
      <c r="AF227" s="489" t="str">
        <f>IF(Year1_Medway Year1_LAC_4weeks_reviews_in_timescales="","",Year1_Medway Year1_LAC_4weeks_reviews_in_timescales)</f>
        <v/>
      </c>
      <c r="AG227" s="372" t="str">
        <f>IF(Year2_Medway Year2_LAC_4weeks_reviews_in_timescales="","",Year2_Medway Year2_LAC_4weeks_reviews_in_timescales)</f>
        <v/>
      </c>
      <c r="AH227" s="372" t="str">
        <f>IF(Year3_Medway Year3_LAC_4weeks_reviews_in_timescales="","",Year3_Medway Year3_LAC_4weeks_reviews_in_timescales)</f>
        <v/>
      </c>
      <c r="AI227" s="372" t="str">
        <f>IF(Year4_Medway Year4_LAC_4weeks_reviews_in_timescales="","",Year4_Medway Year4_LAC_4weeks_reviews_in_timescales)</f>
        <v/>
      </c>
      <c r="AJ227" s="577" t="str">
        <f>IF(Year5_Medway Year5_LAC_4weeks_reviews_in_timescales="","",Year5_Medway Year5_LAC_4weeks_reviews_in_timescales)</f>
        <v/>
      </c>
      <c r="AK227" s="160"/>
    </row>
    <row r="228" spans="1:45" s="87" customFormat="1" ht="12.75" hidden="1" customHeight="1" x14ac:dyDescent="0.2">
      <c r="A228" s="488">
        <f>VLOOKUP(B228,Sheet1!$AQ$4:$AR$25,2,FALSE)</f>
        <v>0</v>
      </c>
      <c r="B228" s="93" t="str">
        <f t="shared" si="76"/>
        <v>Milton Keynes</v>
      </c>
      <c r="C228" s="85"/>
      <c r="D228" s="162" t="e">
        <f t="shared" si="78"/>
        <v>#N/A</v>
      </c>
      <c r="E228" s="162" t="e">
        <f t="shared" si="78"/>
        <v>#N/A</v>
      </c>
      <c r="F228" s="162" t="e">
        <f t="shared" si="78"/>
        <v>#N/A</v>
      </c>
      <c r="G228" s="162" t="e">
        <f t="shared" si="79"/>
        <v>#N/A</v>
      </c>
      <c r="H228" s="164" t="e">
        <f t="shared" si="80"/>
        <v>#N/A</v>
      </c>
      <c r="I228" s="96"/>
      <c r="J228" s="96"/>
      <c r="K228" s="166"/>
      <c r="L228" s="166"/>
      <c r="M228" s="166"/>
      <c r="N228" s="166"/>
      <c r="O228" s="166"/>
      <c r="P228" s="166"/>
      <c r="Q228" s="166"/>
      <c r="R228" s="167"/>
      <c r="S228" s="159"/>
      <c r="T228" s="159"/>
      <c r="U228" s="166"/>
      <c r="V228" s="122"/>
      <c r="W228" s="139"/>
      <c r="X228" s="152"/>
      <c r="Y228" s="434" t="str">
        <f t="shared" si="81"/>
        <v>Milton Keynes</v>
      </c>
      <c r="Z228" s="489" t="str">
        <f>IF(Year1_Milton_Keynes Year1_LAC_4weeks="","",Year1_Milton_Keynes Year1_LAC_4weeks)</f>
        <v/>
      </c>
      <c r="AA228" s="372" t="str">
        <f>IF(Year2_Milton_Keynes Year2_LAC_4weeks="","",Year2_Milton_Keynes Year2_LAC_4weeks)</f>
        <v/>
      </c>
      <c r="AB228" s="372" t="str">
        <f>IF(Year3_Milton_Keynes Year3_LAC_4weeks="","",Year3_Milton_Keynes Year3_LAC_4weeks)</f>
        <v/>
      </c>
      <c r="AC228" s="372" t="str">
        <f>IF(Year4_Milton_Keynes Year4_LAC_4weeks="","",Year4_Milton_Keynes Year4_LAC_4weeks)</f>
        <v/>
      </c>
      <c r="AD228" s="577" t="str">
        <f>IF(Year5_Milton_Keynes Year5_LAC_4weeks="","",Year5_Milton_Keynes Year5_LAC_4weeks)</f>
        <v/>
      </c>
      <c r="AE228" s="434" t="str">
        <f t="shared" si="82"/>
        <v>Milton Keynes</v>
      </c>
      <c r="AF228" s="489" t="str">
        <f>IF(Year1_Milton_Keynes Year1_LAC_4weeks_reviews_in_timescales="","",Year1_Milton_Keynes Year1_LAC_4weeks_reviews_in_timescales)</f>
        <v/>
      </c>
      <c r="AG228" s="372" t="str">
        <f>IF(Year2_Milton_Keynes Year2_LAC_4weeks_reviews_in_timescales="","",Year2_Milton_Keynes Year2_LAC_4weeks_reviews_in_timescales)</f>
        <v/>
      </c>
      <c r="AH228" s="372" t="str">
        <f>IF(Year3_Milton_Keynes Year3_LAC_4weeks_reviews_in_timescales="","",Year3_Milton_Keynes Year3_LAC_4weeks_reviews_in_timescales)</f>
        <v/>
      </c>
      <c r="AI228" s="372" t="str">
        <f>IF(Year4_Milton_Keynes Year4_LAC_4weeks_reviews_in_timescales="","",Year4_Milton_Keynes Year4_LAC_4weeks_reviews_in_timescales)</f>
        <v/>
      </c>
      <c r="AJ228" s="577" t="str">
        <f>IF(Year5_Milton_Keynes Year5_LAC_4weeks_reviews_in_timescales="","",Year5_Milton_Keynes Year5_LAC_4weeks_reviews_in_timescales)</f>
        <v/>
      </c>
      <c r="AK228" s="160"/>
    </row>
    <row r="229" spans="1:45" s="87" customFormat="1" ht="12.75" hidden="1" customHeight="1" x14ac:dyDescent="0.2">
      <c r="A229" s="488">
        <f>VLOOKUP(B229,Sheet1!$AQ$4:$AR$25,2,FALSE)</f>
        <v>0</v>
      </c>
      <c r="B229" s="93" t="str">
        <f t="shared" si="76"/>
        <v>Oxfordshire</v>
      </c>
      <c r="C229" s="85"/>
      <c r="D229" s="162" t="e">
        <f t="shared" si="78"/>
        <v>#N/A</v>
      </c>
      <c r="E229" s="162" t="e">
        <f t="shared" si="78"/>
        <v>#N/A</v>
      </c>
      <c r="F229" s="162" t="e">
        <f t="shared" si="78"/>
        <v>#N/A</v>
      </c>
      <c r="G229" s="162" t="e">
        <f t="shared" si="79"/>
        <v>#N/A</v>
      </c>
      <c r="H229" s="164" t="e">
        <f t="shared" si="80"/>
        <v>#N/A</v>
      </c>
      <c r="I229" s="96"/>
      <c r="J229" s="96"/>
      <c r="K229" s="166"/>
      <c r="L229" s="166"/>
      <c r="M229" s="166"/>
      <c r="N229" s="166"/>
      <c r="O229" s="166"/>
      <c r="P229" s="166"/>
      <c r="Q229" s="166"/>
      <c r="R229" s="167"/>
      <c r="S229" s="159"/>
      <c r="T229" s="159"/>
      <c r="U229" s="166"/>
      <c r="V229" s="122"/>
      <c r="W229" s="139"/>
      <c r="X229" s="152"/>
      <c r="Y229" s="434" t="str">
        <f t="shared" si="81"/>
        <v>Oxfordshire</v>
      </c>
      <c r="Z229" s="489" t="str">
        <f>IF(Year1_Oxfordshire Year1_LAC_4weeks="","",Year1_Oxfordshire Year1_LAC_4weeks)</f>
        <v/>
      </c>
      <c r="AA229" s="372" t="str">
        <f>IF(Year2_Oxfordshire Year2_LAC_4weeks="","",Year2_Oxfordshire Year2_LAC_4weeks)</f>
        <v/>
      </c>
      <c r="AB229" s="372" t="str">
        <f>IF(Year3_Oxfordshire Year3_LAC_4weeks="","",Year3_Oxfordshire Year3_LAC_4weeks)</f>
        <v/>
      </c>
      <c r="AC229" s="372" t="str">
        <f>IF(Year4_Oxfordshire Year4_LAC_4weeks="","",Year4_Oxfordshire Year4_LAC_4weeks)</f>
        <v/>
      </c>
      <c r="AD229" s="577" t="str">
        <f>IF(Year5_Oxfordshire Year5_LAC_4weeks="","",Year5_Oxfordshire Year5_LAC_4weeks)</f>
        <v/>
      </c>
      <c r="AE229" s="434" t="str">
        <f t="shared" si="82"/>
        <v>Oxfordshire</v>
      </c>
      <c r="AF229" s="489" t="str">
        <f>IF(Year1_Oxfordshire Year1_LAC_4weeks_reviews_in_timescales="","",Year1_Oxfordshire Year1_LAC_4weeks_reviews_in_timescales)</f>
        <v/>
      </c>
      <c r="AG229" s="372" t="str">
        <f>IF(Year2_Oxfordshire Year2_LAC_4weeks_reviews_in_timescales="","",Year2_Oxfordshire Year2_LAC_4weeks_reviews_in_timescales)</f>
        <v/>
      </c>
      <c r="AH229" s="372" t="str">
        <f>IF(Year3_Oxfordshire Year3_LAC_4weeks_reviews_in_timescales="","",Year3_Oxfordshire Year3_LAC_4weeks_reviews_in_timescales)</f>
        <v/>
      </c>
      <c r="AI229" s="372" t="str">
        <f>IF(Year4_Oxfordshire Year4_LAC_4weeks_reviews_in_timescales="","",Year4_Oxfordshire Year4_LAC_4weeks_reviews_in_timescales)</f>
        <v/>
      </c>
      <c r="AJ229" s="577" t="str">
        <f>IF(Year5_Oxfordshire Year5_LAC_4weeks_reviews_in_timescales="","",Year5_Oxfordshire Year5_LAC_4weeks_reviews_in_timescales)</f>
        <v/>
      </c>
      <c r="AK229" s="160"/>
    </row>
    <row r="230" spans="1:45" s="87" customFormat="1" ht="12.75" hidden="1" customHeight="1" x14ac:dyDescent="0.2">
      <c r="A230" s="488">
        <f>VLOOKUP(B230,Sheet1!$AQ$4:$AR$25,2,FALSE)</f>
        <v>0</v>
      </c>
      <c r="B230" s="93" t="str">
        <f t="shared" si="76"/>
        <v>Portsmouth</v>
      </c>
      <c r="C230" s="85"/>
      <c r="D230" s="162" t="e">
        <f t="shared" si="78"/>
        <v>#N/A</v>
      </c>
      <c r="E230" s="162" t="e">
        <f t="shared" si="78"/>
        <v>#N/A</v>
      </c>
      <c r="F230" s="162" t="e">
        <f t="shared" si="78"/>
        <v>#N/A</v>
      </c>
      <c r="G230" s="162" t="e">
        <f t="shared" si="79"/>
        <v>#N/A</v>
      </c>
      <c r="H230" s="164" t="e">
        <f t="shared" si="80"/>
        <v>#N/A</v>
      </c>
      <c r="I230" s="96"/>
      <c r="J230" s="96"/>
      <c r="K230" s="166"/>
      <c r="L230" s="166"/>
      <c r="M230" s="166"/>
      <c r="N230" s="166"/>
      <c r="O230" s="166"/>
      <c r="P230" s="166"/>
      <c r="Q230" s="166"/>
      <c r="R230" s="167"/>
      <c r="S230" s="159"/>
      <c r="T230" s="159"/>
      <c r="U230" s="166"/>
      <c r="V230" s="122"/>
      <c r="W230" s="139"/>
      <c r="X230" s="152"/>
      <c r="Y230" s="434" t="str">
        <f t="shared" si="81"/>
        <v>Portsmouth</v>
      </c>
      <c r="Z230" s="489" t="str">
        <f>IF(Year1_Portsmouth Year1_LAC_4weeks="","",Year1_Portsmouth Year1_LAC_4weeks)</f>
        <v/>
      </c>
      <c r="AA230" s="372" t="str">
        <f>IF(Year2_Portsmouth Year2_LAC_4weeks="","",Year2_Portsmouth Year2_LAC_4weeks)</f>
        <v/>
      </c>
      <c r="AB230" s="372" t="str">
        <f>IF(Year3_Portsmouth Year3_LAC_4weeks="","",Year3_Portsmouth Year3_LAC_4weeks)</f>
        <v/>
      </c>
      <c r="AC230" s="372" t="str">
        <f>IF(Year4_Portsmouth Year4_LAC_4weeks="","",Year4_Portsmouth Year4_LAC_4weeks)</f>
        <v/>
      </c>
      <c r="AD230" s="577" t="str">
        <f>IF(Year5_Portsmouth Year5_LAC_4weeks="","",Year5_Portsmouth Year5_LAC_4weeks)</f>
        <v/>
      </c>
      <c r="AE230" s="434" t="str">
        <f t="shared" si="82"/>
        <v>Portsmouth</v>
      </c>
      <c r="AF230" s="489" t="str">
        <f>IF(Year1_Portsmouth Year1_LAC_4weeks_reviews_in_timescales="","",Year1_Portsmouth Year1_LAC_4weeks_reviews_in_timescales)</f>
        <v/>
      </c>
      <c r="AG230" s="372" t="str">
        <f>IF(Year2_Portsmouth Year2_LAC_4weeks_reviews_in_timescales="","",Year2_Portsmouth Year2_LAC_4weeks_reviews_in_timescales)</f>
        <v/>
      </c>
      <c r="AH230" s="372" t="str">
        <f>IF(Year3_Portsmouth Year3_LAC_4weeks_reviews_in_timescales="","",Year3_Portsmouth Year3_LAC_4weeks_reviews_in_timescales)</f>
        <v/>
      </c>
      <c r="AI230" s="372" t="str">
        <f>IF(Year4_Portsmouth Year4_LAC_4weeks_reviews_in_timescales="","",Year4_Portsmouth Year4_LAC_4weeks_reviews_in_timescales)</f>
        <v/>
      </c>
      <c r="AJ230" s="577" t="str">
        <f>IF(Year5_Portsmouth Year5_LAC_4weeks_reviews_in_timescales="","",Year5_Portsmouth Year5_LAC_4weeks_reviews_in_timescales)</f>
        <v/>
      </c>
      <c r="AK230" s="160"/>
    </row>
    <row r="231" spans="1:45" s="87" customFormat="1" ht="12.75" hidden="1" customHeight="1" x14ac:dyDescent="0.2">
      <c r="A231" s="488">
        <f>VLOOKUP(B231,Sheet1!$AQ$4:$AR$25,2,FALSE)</f>
        <v>0</v>
      </c>
      <c r="B231" s="93" t="str">
        <f t="shared" si="76"/>
        <v>Reading</v>
      </c>
      <c r="C231" s="85"/>
      <c r="D231" s="162" t="e">
        <f t="shared" si="78"/>
        <v>#N/A</v>
      </c>
      <c r="E231" s="162" t="e">
        <f t="shared" si="78"/>
        <v>#N/A</v>
      </c>
      <c r="F231" s="162" t="e">
        <f t="shared" si="78"/>
        <v>#N/A</v>
      </c>
      <c r="G231" s="162" t="e">
        <f t="shared" si="79"/>
        <v>#N/A</v>
      </c>
      <c r="H231" s="164" t="e">
        <f t="shared" si="80"/>
        <v>#N/A</v>
      </c>
      <c r="I231" s="96"/>
      <c r="J231" s="96"/>
      <c r="K231" s="166"/>
      <c r="L231" s="166"/>
      <c r="M231" s="166"/>
      <c r="N231" s="166"/>
      <c r="O231" s="166"/>
      <c r="P231" s="166"/>
      <c r="Q231" s="166"/>
      <c r="R231" s="167"/>
      <c r="S231" s="159"/>
      <c r="T231" s="159"/>
      <c r="U231" s="166"/>
      <c r="V231" s="122"/>
      <c r="W231" s="139"/>
      <c r="X231" s="152"/>
      <c r="Y231" s="434" t="str">
        <f t="shared" si="81"/>
        <v>Reading</v>
      </c>
      <c r="Z231" s="489" t="str">
        <f>IF(Year1_Reading Year1_LAC_4weeks="","",Year1_Reading Year1_LAC_4weeks)</f>
        <v/>
      </c>
      <c r="AA231" s="372" t="str">
        <f>IF(Year2_Reading Year2_LAC_4weeks="","",Year2_Reading Year2_LAC_4weeks)</f>
        <v/>
      </c>
      <c r="AB231" s="372" t="str">
        <f>IF(Year3_Reading Year3_LAC_4weeks="","",Year3_Reading Year3_LAC_4weeks)</f>
        <v/>
      </c>
      <c r="AC231" s="372" t="str">
        <f>IF(Year4_Reading Year4_LAC_4weeks="","",Year4_Reading Year4_LAC_4weeks)</f>
        <v/>
      </c>
      <c r="AD231" s="577" t="str">
        <f>IF(Year5_Reading Year5_LAC_4weeks="","",Year5_Reading Year5_LAC_4weeks)</f>
        <v/>
      </c>
      <c r="AE231" s="434" t="str">
        <f t="shared" si="82"/>
        <v>Reading</v>
      </c>
      <c r="AF231" s="489" t="str">
        <f>IF(Year1_Reading Year1_LAC_4weeks_reviews_in_timescales="","",Year1_Reading Year1_LAC_4weeks_reviews_in_timescales)</f>
        <v/>
      </c>
      <c r="AG231" s="372" t="str">
        <f>IF(Year2_Reading Year2_LAC_4weeks_reviews_in_timescales="","",Year2_Reading Year2_LAC_4weeks_reviews_in_timescales)</f>
        <v/>
      </c>
      <c r="AH231" s="372" t="str">
        <f>IF(Year3_Reading Year3_LAC_4weeks_reviews_in_timescales="","",Year3_Reading Year3_LAC_4weeks_reviews_in_timescales)</f>
        <v/>
      </c>
      <c r="AI231" s="372" t="str">
        <f>IF(Year4_Reading Year4_LAC_4weeks_reviews_in_timescales="","",Year4_Reading Year4_LAC_4weeks_reviews_in_timescales)</f>
        <v/>
      </c>
      <c r="AJ231" s="577" t="str">
        <f>IF(Year5_Reading Year5_LAC_4weeks_reviews_in_timescales="","",Year5_Reading Year5_LAC_4weeks_reviews_in_timescales)</f>
        <v/>
      </c>
      <c r="AK231" s="160"/>
    </row>
    <row r="232" spans="1:45" s="87" customFormat="1" ht="12.75" hidden="1" customHeight="1" x14ac:dyDescent="0.2">
      <c r="A232" s="488">
        <f>VLOOKUP(B232,Sheet1!$AQ$4:$AR$25,2,FALSE)</f>
        <v>0</v>
      </c>
      <c r="B232" s="93" t="str">
        <f t="shared" si="76"/>
        <v>Slough</v>
      </c>
      <c r="C232" s="85"/>
      <c r="D232" s="162" t="e">
        <f t="shared" si="78"/>
        <v>#N/A</v>
      </c>
      <c r="E232" s="162" t="e">
        <f t="shared" si="78"/>
        <v>#N/A</v>
      </c>
      <c r="F232" s="162" t="e">
        <f t="shared" si="78"/>
        <v>#N/A</v>
      </c>
      <c r="G232" s="162" t="e">
        <f t="shared" si="79"/>
        <v>#N/A</v>
      </c>
      <c r="H232" s="164" t="e">
        <f t="shared" si="80"/>
        <v>#N/A</v>
      </c>
      <c r="I232" s="96"/>
      <c r="J232" s="96"/>
      <c r="K232" s="166"/>
      <c r="L232" s="166"/>
      <c r="M232" s="166"/>
      <c r="N232" s="166"/>
      <c r="O232" s="166"/>
      <c r="P232" s="166"/>
      <c r="Q232" s="166"/>
      <c r="R232" s="167"/>
      <c r="S232" s="159"/>
      <c r="T232" s="159"/>
      <c r="U232" s="166"/>
      <c r="V232" s="122"/>
      <c r="W232" s="139"/>
      <c r="X232" s="152"/>
      <c r="Y232" s="434" t="str">
        <f t="shared" si="81"/>
        <v>Slough</v>
      </c>
      <c r="Z232" s="489" t="str">
        <f>IF(Year1_Slough Year1_LAC_4weeks="","",Year1_Slough Year1_LAC_4weeks)</f>
        <v/>
      </c>
      <c r="AA232" s="372" t="str">
        <f>IF(Year2_Slough Year2_LAC_4weeks="","",Year2_Slough Year2_LAC_4weeks)</f>
        <v/>
      </c>
      <c r="AB232" s="372" t="str">
        <f>IF(Year3_Slough Year3_LAC_4weeks="","",Year3_Slough Year3_LAC_4weeks)</f>
        <v/>
      </c>
      <c r="AC232" s="372" t="str">
        <f>IF(Year4_Slough Year4_LAC_4weeks="","",Year4_Slough Year4_LAC_4weeks)</f>
        <v/>
      </c>
      <c r="AD232" s="577" t="str">
        <f>IF(Year5_Slough Year5_LAC_4weeks="","",Year5_Slough Year5_LAC_4weeks)</f>
        <v/>
      </c>
      <c r="AE232" s="434" t="str">
        <f t="shared" si="82"/>
        <v>Slough</v>
      </c>
      <c r="AF232" s="489" t="str">
        <f>IF(Year1_Slough Year1_LAC_4weeks_reviews_in_timescales="","",Year1_Slough Year1_LAC_4weeks_reviews_in_timescales)</f>
        <v/>
      </c>
      <c r="AG232" s="372" t="str">
        <f>IF(Year2_Slough Year2_LAC_4weeks_reviews_in_timescales="","",Year2_Slough Year2_LAC_4weeks_reviews_in_timescales)</f>
        <v/>
      </c>
      <c r="AH232" s="372" t="str">
        <f>IF(Year3_Slough Year3_LAC_4weeks_reviews_in_timescales="","",Year3_Slough Year3_LAC_4weeks_reviews_in_timescales)</f>
        <v/>
      </c>
      <c r="AI232" s="372" t="str">
        <f>IF(Year4_Slough Year4_LAC_4weeks_reviews_in_timescales="","",Year4_Slough Year4_LAC_4weeks_reviews_in_timescales)</f>
        <v/>
      </c>
      <c r="AJ232" s="577" t="str">
        <f>IF(Year5_Slough Year5_LAC_4weeks_reviews_in_timescales="","",Year5_Slough Year5_LAC_4weeks_reviews_in_timescales)</f>
        <v/>
      </c>
      <c r="AK232" s="160"/>
    </row>
    <row r="233" spans="1:45" s="87" customFormat="1" ht="12.75" hidden="1" customHeight="1" x14ac:dyDescent="0.2">
      <c r="A233" s="488">
        <f>VLOOKUP(B233,Sheet1!$AQ$4:$AR$25,2,FALSE)</f>
        <v>0</v>
      </c>
      <c r="B233" s="93" t="str">
        <f t="shared" si="76"/>
        <v>Somerset</v>
      </c>
      <c r="C233" s="85"/>
      <c r="D233" s="162" t="e">
        <f t="shared" si="78"/>
        <v>#N/A</v>
      </c>
      <c r="E233" s="162" t="e">
        <f t="shared" si="78"/>
        <v>#N/A</v>
      </c>
      <c r="F233" s="162" t="e">
        <f t="shared" si="78"/>
        <v>#N/A</v>
      </c>
      <c r="G233" s="162" t="e">
        <f t="shared" si="79"/>
        <v>#N/A</v>
      </c>
      <c r="H233" s="164" t="e">
        <f t="shared" si="80"/>
        <v>#N/A</v>
      </c>
      <c r="I233" s="96"/>
      <c r="J233" s="96"/>
      <c r="K233" s="166"/>
      <c r="L233" s="166"/>
      <c r="M233" s="166"/>
      <c r="N233" s="166"/>
      <c r="O233" s="166"/>
      <c r="P233" s="166"/>
      <c r="Q233" s="166"/>
      <c r="R233" s="167"/>
      <c r="S233" s="159"/>
      <c r="T233" s="159"/>
      <c r="U233" s="166"/>
      <c r="V233" s="122"/>
      <c r="W233" s="139"/>
      <c r="X233" s="152"/>
      <c r="Y233" s="434" t="str">
        <f t="shared" si="81"/>
        <v>Somerset</v>
      </c>
      <c r="Z233" s="489" t="str">
        <f>IF(Year1_Somerset Year1_LAC_4weeks="","",Year1_Somerset Year1_LAC_4weeks)</f>
        <v/>
      </c>
      <c r="AA233" s="372" t="str">
        <f>IF(Year2_Somerset Year2_LAC_4weeks="","",Year2_Somerset Year2_LAC_4weeks)</f>
        <v/>
      </c>
      <c r="AB233" s="372" t="str">
        <f>IF(Year3_Somerset Year3_LAC_4weeks="","",Year3_Somerset Year3_LAC_4weeks)</f>
        <v/>
      </c>
      <c r="AC233" s="372" t="str">
        <f>IF(Year4_Somerset Year4_LAC_4weeks="","",Year4_Somerset Year4_LAC_4weeks)</f>
        <v/>
      </c>
      <c r="AD233" s="577" t="str">
        <f>IF(Year5_Somerset Year5_LAC_4weeks="","",Year5_Somerset Year5_LAC_4weeks)</f>
        <v/>
      </c>
      <c r="AE233" s="434" t="str">
        <f t="shared" si="82"/>
        <v>Somerset</v>
      </c>
      <c r="AF233" s="489" t="str">
        <f>IF(Year1_Somerset Year1_LAC_4weeks_reviews_in_timescales="","",Year1_Somerset Year1_LAC_4weeks_reviews_in_timescales)</f>
        <v/>
      </c>
      <c r="AG233" s="372" t="str">
        <f>IF(Year2_Somerset Year2_LAC_4weeks_reviews_in_timescales="","",Year2_Somerset Year2_LAC_4weeks_reviews_in_timescales)</f>
        <v/>
      </c>
      <c r="AH233" s="372" t="str">
        <f>IF(Year3_Somerset Year3_LAC_4weeks_reviews_in_timescales="","",Year3_Somerset Year3_LAC_4weeks_reviews_in_timescales)</f>
        <v/>
      </c>
      <c r="AI233" s="372" t="str">
        <f>IF(Year4_Somerset Year4_LAC_4weeks_reviews_in_timescales="","",Year4_Somerset Year4_LAC_4weeks_reviews_in_timescales)</f>
        <v/>
      </c>
      <c r="AJ233" s="577" t="str">
        <f>IF(Year5_Somerset Year5_LAC_4weeks_reviews_in_timescales="","",Year5_Somerset Year5_LAC_4weeks_reviews_in_timescales)</f>
        <v/>
      </c>
      <c r="AK233" s="160"/>
    </row>
    <row r="234" spans="1:45" s="87" customFormat="1" ht="12.75" hidden="1" customHeight="1" x14ac:dyDescent="0.2">
      <c r="A234" s="488">
        <f>VLOOKUP(B234,Sheet1!$AQ$4:$AR$25,2,FALSE)</f>
        <v>0</v>
      </c>
      <c r="B234" s="93" t="str">
        <f t="shared" si="76"/>
        <v>Southampton</v>
      </c>
      <c r="C234" s="85"/>
      <c r="D234" s="162" t="e">
        <f t="shared" si="78"/>
        <v>#N/A</v>
      </c>
      <c r="E234" s="162" t="e">
        <f t="shared" si="78"/>
        <v>#N/A</v>
      </c>
      <c r="F234" s="162" t="e">
        <f t="shared" si="78"/>
        <v>#N/A</v>
      </c>
      <c r="G234" s="162" t="e">
        <f t="shared" si="79"/>
        <v>#N/A</v>
      </c>
      <c r="H234" s="164" t="e">
        <f t="shared" si="80"/>
        <v>#N/A</v>
      </c>
      <c r="I234" s="96"/>
      <c r="J234" s="96"/>
      <c r="K234" s="166"/>
      <c r="L234" s="166"/>
      <c r="M234" s="166"/>
      <c r="N234" s="166"/>
      <c r="O234" s="166"/>
      <c r="P234" s="166"/>
      <c r="Q234" s="166"/>
      <c r="R234" s="167"/>
      <c r="S234" s="159"/>
      <c r="T234" s="159"/>
      <c r="U234" s="166"/>
      <c r="V234" s="122"/>
      <c r="W234" s="139"/>
      <c r="X234" s="152"/>
      <c r="Y234" s="434" t="str">
        <f t="shared" si="81"/>
        <v>Southampton</v>
      </c>
      <c r="Z234" s="489" t="str">
        <f>IF(Year1_Southampton Year1_LAC_4weeks="","",Year1_Southampton Year1_LAC_4weeks)</f>
        <v/>
      </c>
      <c r="AA234" s="372" t="str">
        <f>IF(Year2_Southampton Year2_LAC_4weeks="","",Year2_Southampton Year2_LAC_4weeks)</f>
        <v/>
      </c>
      <c r="AB234" s="372" t="str">
        <f>IF(Year3_Southampton Year3_LAC_4weeks="","",Year3_Southampton Year3_LAC_4weeks)</f>
        <v/>
      </c>
      <c r="AC234" s="372" t="str">
        <f>IF(Year4_Southampton Year4_LAC_4weeks="","",Year4_Southampton Year4_LAC_4weeks)</f>
        <v/>
      </c>
      <c r="AD234" s="577" t="str">
        <f>IF(Year5_Southampton Year5_LAC_4weeks="","",Year5_Southampton Year5_LAC_4weeks)</f>
        <v/>
      </c>
      <c r="AE234" s="434" t="str">
        <f t="shared" si="82"/>
        <v>Southampton</v>
      </c>
      <c r="AF234" s="489" t="str">
        <f>IF(Year1_Southampton Year1_LAC_4weeks_reviews_in_timescales="","",Year1_Southampton Year1_LAC_4weeks_reviews_in_timescales)</f>
        <v/>
      </c>
      <c r="AG234" s="372" t="str">
        <f>IF(Year2_Southampton Year2_LAC_4weeks_reviews_in_timescales="","",Year2_Southampton Year2_LAC_4weeks_reviews_in_timescales)</f>
        <v/>
      </c>
      <c r="AH234" s="372" t="str">
        <f>IF(Year3_Southampton Year3_LAC_4weeks_reviews_in_timescales="","",Year3_Southampton Year3_LAC_4weeks_reviews_in_timescales)</f>
        <v/>
      </c>
      <c r="AI234" s="372" t="str">
        <f>IF(Year4_Southampton Year4_LAC_4weeks_reviews_in_timescales="","",Year4_Southampton Year4_LAC_4weeks_reviews_in_timescales)</f>
        <v/>
      </c>
      <c r="AJ234" s="577" t="str">
        <f>IF(Year5_Southampton Year5_LAC_4weeks_reviews_in_timescales="","",Year5_Southampton Year5_LAC_4weeks_reviews_in_timescales)</f>
        <v/>
      </c>
      <c r="AK234" s="160"/>
    </row>
    <row r="235" spans="1:45" s="87" customFormat="1" ht="12.75" hidden="1" customHeight="1" x14ac:dyDescent="0.2">
      <c r="A235" s="488">
        <f>VLOOKUP(B235,Sheet1!$AQ$4:$AR$25,2,FALSE)</f>
        <v>0</v>
      </c>
      <c r="B235" s="93" t="str">
        <f t="shared" si="76"/>
        <v>Surrey</v>
      </c>
      <c r="C235" s="85"/>
      <c r="D235" s="162" t="e">
        <f t="shared" si="78"/>
        <v>#N/A</v>
      </c>
      <c r="E235" s="162" t="e">
        <f t="shared" si="78"/>
        <v>#N/A</v>
      </c>
      <c r="F235" s="162" t="e">
        <f t="shared" si="78"/>
        <v>#N/A</v>
      </c>
      <c r="G235" s="162" t="e">
        <f t="shared" si="79"/>
        <v>#N/A</v>
      </c>
      <c r="H235" s="164" t="e">
        <f t="shared" si="80"/>
        <v>#N/A</v>
      </c>
      <c r="I235" s="96"/>
      <c r="J235" s="96"/>
      <c r="K235" s="166"/>
      <c r="L235" s="166"/>
      <c r="M235" s="166"/>
      <c r="N235" s="166"/>
      <c r="O235" s="166"/>
      <c r="P235" s="166"/>
      <c r="Q235" s="166"/>
      <c r="R235" s="167"/>
      <c r="S235" s="159"/>
      <c r="T235" s="159"/>
      <c r="U235" s="166"/>
      <c r="V235" s="122"/>
      <c r="W235" s="139"/>
      <c r="X235" s="152"/>
      <c r="Y235" s="434" t="str">
        <f t="shared" si="81"/>
        <v>Surrey</v>
      </c>
      <c r="Z235" s="489" t="str">
        <f>IF(Year1_Surrey Year1_LAC_4weeks="","",Year1_Surrey Year1_LAC_4weeks)</f>
        <v/>
      </c>
      <c r="AA235" s="372" t="str">
        <f>IF(Year2_Surrey Year2_LAC_4weeks="","",Year2_Surrey Year2_LAC_4weeks)</f>
        <v/>
      </c>
      <c r="AB235" s="372" t="str">
        <f>IF(Year3_Surrey Year3_LAC_4weeks="","",Year3_Surrey Year3_LAC_4weeks)</f>
        <v/>
      </c>
      <c r="AC235" s="372" t="str">
        <f>IF(Year4_Surrey Year4_LAC_4weeks="","",Year4_Surrey Year4_LAC_4weeks)</f>
        <v/>
      </c>
      <c r="AD235" s="577" t="str">
        <f>IF(Year5_Surrey Year5_LAC_4weeks="","",Year5_Surrey Year5_LAC_4weeks)</f>
        <v/>
      </c>
      <c r="AE235" s="434" t="str">
        <f t="shared" si="82"/>
        <v>Surrey</v>
      </c>
      <c r="AF235" s="489" t="str">
        <f>IF(Year1_Surrey Year1_LAC_4weeks_reviews_in_timescales="","",Year1_Surrey Year1_LAC_4weeks_reviews_in_timescales)</f>
        <v/>
      </c>
      <c r="AG235" s="372" t="str">
        <f>IF(Year2_Surrey Year2_LAC_4weeks_reviews_in_timescales="","",Year2_Surrey Year2_LAC_4weeks_reviews_in_timescales)</f>
        <v/>
      </c>
      <c r="AH235" s="372" t="str">
        <f>IF(Year3_Surrey Year3_LAC_4weeks_reviews_in_timescales="","",Year3_Surrey Year3_LAC_4weeks_reviews_in_timescales)</f>
        <v/>
      </c>
      <c r="AI235" s="372" t="str">
        <f>IF(Year4_Surrey Year4_LAC_4weeks_reviews_in_timescales="","",Year4_Surrey Year4_LAC_4weeks_reviews_in_timescales)</f>
        <v/>
      </c>
      <c r="AJ235" s="577" t="str">
        <f>IF(Year5_Surrey Year5_LAC_4weeks_reviews_in_timescales="","",Year5_Surrey Year5_LAC_4weeks_reviews_in_timescales)</f>
        <v/>
      </c>
      <c r="AK235" s="160"/>
    </row>
    <row r="236" spans="1:45" s="87" customFormat="1" ht="12.75" hidden="1" customHeight="1" x14ac:dyDescent="0.2">
      <c r="A236" s="488">
        <f>VLOOKUP(B236,Sheet1!$AQ$4:$AR$25,2,FALSE)</f>
        <v>0</v>
      </c>
      <c r="B236" s="93" t="str">
        <f t="shared" si="76"/>
        <v>Swindon</v>
      </c>
      <c r="C236" s="85"/>
      <c r="D236" s="162" t="e">
        <f t="shared" si="78"/>
        <v>#N/A</v>
      </c>
      <c r="E236" s="162" t="e">
        <f t="shared" si="78"/>
        <v>#N/A</v>
      </c>
      <c r="F236" s="162" t="e">
        <f t="shared" si="78"/>
        <v>#N/A</v>
      </c>
      <c r="G236" s="162" t="e">
        <f t="shared" si="79"/>
        <v>#N/A</v>
      </c>
      <c r="H236" s="164" t="e">
        <f t="shared" si="80"/>
        <v>#N/A</v>
      </c>
      <c r="I236" s="96"/>
      <c r="J236" s="96"/>
      <c r="K236" s="166"/>
      <c r="L236" s="166"/>
      <c r="M236" s="166"/>
      <c r="N236" s="166"/>
      <c r="O236" s="166"/>
      <c r="P236" s="166"/>
      <c r="Q236" s="166"/>
      <c r="R236" s="167"/>
      <c r="S236" s="159"/>
      <c r="T236" s="159"/>
      <c r="U236" s="166"/>
      <c r="V236" s="122"/>
      <c r="W236" s="139"/>
      <c r="X236" s="152"/>
      <c r="Y236" s="434" t="str">
        <f t="shared" si="81"/>
        <v>Swindon</v>
      </c>
      <c r="Z236" s="489" t="str">
        <f>IF(Year1_Swindon Year1_LAC_4weeks="","",Year1_Swindon Year1_LAC_4weeks)</f>
        <v/>
      </c>
      <c r="AA236" s="372" t="str">
        <f>IF(Year2_Swindon Year2_LAC_4weeks="","",Year2_Swindon Year2_LAC_4weeks)</f>
        <v/>
      </c>
      <c r="AB236" s="372" t="str">
        <f>IF(Year3_Swindon Year3_LAC_4weeks="","",Year3_Swindon Year3_LAC_4weeks)</f>
        <v/>
      </c>
      <c r="AC236" s="580" t="str">
        <f>IF(Year4_Swindon Year4_LAC_4weeks="","",Year4_Swindon Year4_LAC_4weeks)</f>
        <v/>
      </c>
      <c r="AD236" s="604" t="str">
        <f>IF(Year5_Swindon Year5_LAC_4weeks="","",Year5_Swindon Year5_LAC_4weeks)</f>
        <v/>
      </c>
      <c r="AE236" s="434" t="str">
        <f t="shared" si="82"/>
        <v>Swindon</v>
      </c>
      <c r="AF236" s="489" t="str">
        <f>IF(Year1_Swindon Year1_LAC_4weeks_reviews_in_timescales="","",Year1_Swindon Year1_LAC_4weeks_reviews_in_timescales)</f>
        <v/>
      </c>
      <c r="AG236" s="372" t="str">
        <f>IF(Year2_Swindon Year2_LAC_4weeks_reviews_in_timescales="","",Year2_Swindon Year2_LAC_4weeks_reviews_in_timescales)</f>
        <v/>
      </c>
      <c r="AH236" s="372" t="str">
        <f>IF(Year3_Swindon Year3_LAC_4weeks_reviews_in_timescales="","",Year3_Swindon Year3_LAC_4weeks_reviews_in_timescales)</f>
        <v/>
      </c>
      <c r="AI236" s="580" t="str">
        <f>IF(Year4_Swindon Year4_LAC_4weeks_reviews_in_timescales="","",Year4_Swindon Year4_LAC_4weeks_reviews_in_timescales)</f>
        <v/>
      </c>
      <c r="AJ236" s="604" t="str">
        <f>IF(Year5_Swindon Year5_LAC_4weeks_reviews_in_timescales="","",Year5_Swindon Year5_LAC_4weeks_reviews_in_timescales)</f>
        <v/>
      </c>
      <c r="AK236" s="160"/>
    </row>
    <row r="237" spans="1:45" s="87" customFormat="1" ht="12.75" hidden="1" customHeight="1" x14ac:dyDescent="0.2">
      <c r="A237" s="488">
        <f>VLOOKUP(B237,Sheet1!$AQ$4:$AR$25,2,FALSE)</f>
        <v>0</v>
      </c>
      <c r="B237" s="93" t="str">
        <f t="shared" si="76"/>
        <v>Torbay</v>
      </c>
      <c r="C237" s="85"/>
      <c r="D237" s="162" t="e">
        <f t="shared" si="78"/>
        <v>#N/A</v>
      </c>
      <c r="E237" s="162" t="e">
        <f t="shared" si="78"/>
        <v>#N/A</v>
      </c>
      <c r="F237" s="162" t="e">
        <f t="shared" si="78"/>
        <v>#N/A</v>
      </c>
      <c r="G237" s="162" t="e">
        <f t="shared" si="79"/>
        <v>#N/A</v>
      </c>
      <c r="H237" s="164" t="e">
        <f t="shared" si="80"/>
        <v>#N/A</v>
      </c>
      <c r="I237" s="96"/>
      <c r="J237" s="96"/>
      <c r="K237" s="166"/>
      <c r="L237" s="166"/>
      <c r="M237" s="166"/>
      <c r="N237" s="166"/>
      <c r="O237" s="166"/>
      <c r="P237" s="166"/>
      <c r="Q237" s="166"/>
      <c r="R237" s="167"/>
      <c r="S237" s="159"/>
      <c r="T237" s="159"/>
      <c r="U237" s="166"/>
      <c r="V237" s="122"/>
      <c r="W237" s="139"/>
      <c r="X237" s="152"/>
      <c r="Y237" s="434" t="str">
        <f t="shared" si="81"/>
        <v>Torbay</v>
      </c>
      <c r="Z237" s="489" t="str">
        <f>IF(Year1_Torbay Year1_LAC_4weeks="","",Year1_Torbay Year1_LAC_4weeks)</f>
        <v/>
      </c>
      <c r="AA237" s="372" t="str">
        <f>IF(Year2_Torbay Year2_LAC_4weeks="","",Year2_Torbay Year2_LAC_4weeks)</f>
        <v/>
      </c>
      <c r="AB237" s="372" t="str">
        <f>IF(Year3_Torbay Year3_LAC_4weeks="","",Year3_Torbay Year3_LAC_4weeks)</f>
        <v/>
      </c>
      <c r="AC237" s="580" t="str">
        <f>IF(Year4_Torbay Year4_LAC_4weeks="","",Year4_Torbay Year4_LAC_4weeks)</f>
        <v/>
      </c>
      <c r="AD237" s="604" t="str">
        <f>IF(Year5_Torbay Year5_LAC_4weeks="","",Year5_Torbay Year5_LAC_4weeks)</f>
        <v/>
      </c>
      <c r="AE237" s="434" t="str">
        <f t="shared" si="82"/>
        <v>Torbay</v>
      </c>
      <c r="AF237" s="489" t="str">
        <f>IF(Year1_Torbay Year1_LAC_4weeks_reviews_in_timescales="","",Year1_Torbay Year1_LAC_4weeks_reviews_in_timescales)</f>
        <v/>
      </c>
      <c r="AG237" s="372" t="str">
        <f>IF(Year2_Torbay Year2_LAC_4weeks_reviews_in_timescales="","",Year2_Torbay Year2_LAC_4weeks_reviews_in_timescales)</f>
        <v/>
      </c>
      <c r="AH237" s="372" t="str">
        <f>IF(Year3_Torbay Year3_LAC_4weeks_reviews_in_timescales="","",Year3_Torbay Year3_LAC_4weeks_reviews_in_timescales)</f>
        <v/>
      </c>
      <c r="AI237" s="580" t="str">
        <f>IF(Year4_Torbay Year4_LAC_4weeks_reviews_in_timescales="","",Year4_Torbay Year4_LAC_4weeks_reviews_in_timescales)</f>
        <v/>
      </c>
      <c r="AJ237" s="604" t="str">
        <f>IF(Year5_Torbay Year5_LAC_4weeks_reviews_in_timescales="","",Year5_Torbay Year5_LAC_4weeks_reviews_in_timescales)</f>
        <v/>
      </c>
      <c r="AK237" s="160"/>
    </row>
    <row r="238" spans="1:45" s="87" customFormat="1" ht="12.75" hidden="1" customHeight="1" x14ac:dyDescent="0.2">
      <c r="A238" s="488">
        <f>VLOOKUP(B238,Sheet1!$AQ$4:$AR$25,2,FALSE)</f>
        <v>0</v>
      </c>
      <c r="B238" s="93" t="str">
        <f t="shared" si="76"/>
        <v>West Berkshire</v>
      </c>
      <c r="C238" s="85"/>
      <c r="D238" s="162" t="e">
        <f t="shared" si="78"/>
        <v>#N/A</v>
      </c>
      <c r="E238" s="162" t="e">
        <f t="shared" si="78"/>
        <v>#N/A</v>
      </c>
      <c r="F238" s="162" t="e">
        <f t="shared" si="78"/>
        <v>#N/A</v>
      </c>
      <c r="G238" s="162" t="e">
        <f t="shared" si="79"/>
        <v>#N/A</v>
      </c>
      <c r="H238" s="164" t="e">
        <f t="shared" si="80"/>
        <v>#N/A</v>
      </c>
      <c r="I238" s="96"/>
      <c r="J238" s="96"/>
      <c r="K238" s="166"/>
      <c r="L238" s="166"/>
      <c r="M238" s="166"/>
      <c r="N238" s="166"/>
      <c r="O238" s="166"/>
      <c r="P238" s="166"/>
      <c r="Q238" s="166"/>
      <c r="R238" s="167"/>
      <c r="S238" s="159"/>
      <c r="T238" s="159"/>
      <c r="U238" s="166"/>
      <c r="V238" s="122"/>
      <c r="W238" s="139"/>
      <c r="X238" s="152"/>
      <c r="Y238" s="434" t="str">
        <f t="shared" si="81"/>
        <v>West Berkshire</v>
      </c>
      <c r="Z238" s="489" t="str">
        <f>IF(Year1_West_Berkshire Year1_LAC_4weeks="","",Year1_West_Berkshire Year1_LAC_4weeks)</f>
        <v/>
      </c>
      <c r="AA238" s="372" t="str">
        <f>IF(Year2_West_Berkshire Year2_LAC_4weeks="","",Year2_West_Berkshire Year2_LAC_4weeks)</f>
        <v/>
      </c>
      <c r="AB238" s="372" t="str">
        <f>IF(Year3_West_Berkshire Year3_LAC_4weeks="","",Year3_West_Berkshire Year3_LAC_4weeks)</f>
        <v/>
      </c>
      <c r="AC238" s="372" t="str">
        <f>IF(Year4_West_Berkshire Year4_LAC_4weeks="","",Year4_West_Berkshire Year4_LAC_4weeks)</f>
        <v/>
      </c>
      <c r="AD238" s="577" t="str">
        <f>IF(Year5_West_Berkshire Year5_LAC_4weeks="","",Year5_West_Berkshire Year5_LAC_4weeks)</f>
        <v/>
      </c>
      <c r="AE238" s="434" t="str">
        <f t="shared" si="82"/>
        <v>West Berkshire</v>
      </c>
      <c r="AF238" s="489" t="str">
        <f>IF(Year1_West_Berkshire Year1_LAC_4weeks_reviews_in_timescales="","",Year1_West_Berkshire Year1_LAC_4weeks_reviews_in_timescales)</f>
        <v/>
      </c>
      <c r="AG238" s="372" t="str">
        <f>IF(Year2_West_Berkshire Year2_LAC_4weeks_reviews_in_timescales="","",Year2_West_Berkshire Year2_LAC_4weeks_reviews_in_timescales)</f>
        <v/>
      </c>
      <c r="AH238" s="372" t="str">
        <f>IF(Year3_West_Berkshire Year3_LAC_4weeks_reviews_in_timescales="","",Year3_West_Berkshire Year3_LAC_4weeks_reviews_in_timescales)</f>
        <v/>
      </c>
      <c r="AI238" s="372" t="str">
        <f>IF(Year4_West_Berkshire Year4_LAC_4weeks_reviews_in_timescales="","",Year4_West_Berkshire Year4_LAC_4weeks_reviews_in_timescales)</f>
        <v/>
      </c>
      <c r="AJ238" s="577" t="str">
        <f>IF(Year5_West_Berkshire Year5_LAC_4weeks_reviews_in_timescales="","",Year5_West_Berkshire Year5_LAC_4weeks_reviews_in_timescales)</f>
        <v/>
      </c>
      <c r="AK238" s="160"/>
    </row>
    <row r="239" spans="1:45" s="87" customFormat="1" ht="12.75" hidden="1" customHeight="1" x14ac:dyDescent="0.2">
      <c r="A239" s="488">
        <f>VLOOKUP(B239,Sheet1!$AQ$4:$AR$25,2,FALSE)</f>
        <v>0</v>
      </c>
      <c r="B239" s="93" t="str">
        <f t="shared" si="76"/>
        <v>West Sussex</v>
      </c>
      <c r="C239" s="85"/>
      <c r="D239" s="162" t="e">
        <f t="shared" si="78"/>
        <v>#N/A</v>
      </c>
      <c r="E239" s="162" t="e">
        <f t="shared" si="78"/>
        <v>#N/A</v>
      </c>
      <c r="F239" s="162" t="e">
        <f t="shared" si="78"/>
        <v>#N/A</v>
      </c>
      <c r="G239" s="162" t="e">
        <f t="shared" si="79"/>
        <v>#N/A</v>
      </c>
      <c r="H239" s="164" t="e">
        <f t="shared" si="80"/>
        <v>#N/A</v>
      </c>
      <c r="I239" s="96"/>
      <c r="J239" s="96"/>
      <c r="K239" s="166"/>
      <c r="L239" s="166"/>
      <c r="M239" s="166"/>
      <c r="N239" s="166"/>
      <c r="O239" s="166"/>
      <c r="P239" s="166"/>
      <c r="Q239" s="166"/>
      <c r="R239" s="167"/>
      <c r="S239" s="159"/>
      <c r="T239" s="159"/>
      <c r="U239" s="166"/>
      <c r="V239" s="122"/>
      <c r="W239" s="139"/>
      <c r="X239" s="152"/>
      <c r="Y239" s="434" t="str">
        <f t="shared" si="81"/>
        <v>West Sussex</v>
      </c>
      <c r="Z239" s="489" t="str">
        <f>IF(Year1_West_Sussex Year1_LAC_4weeks="","",Year1_West_Sussex Year1_LAC_4weeks)</f>
        <v/>
      </c>
      <c r="AA239" s="372" t="str">
        <f>IF(Year2_West_Sussex Year2_LAC_4weeks="","",Year2_West_Sussex Year2_LAC_4weeks)</f>
        <v/>
      </c>
      <c r="AB239" s="372" t="str">
        <f>IF(Year3_West_Sussex Year3_LAC_4weeks="","",Year3_West_Sussex Year3_LAC_4weeks)</f>
        <v/>
      </c>
      <c r="AC239" s="372" t="str">
        <f>IF(Year4_West_Sussex Year4_LAC_4weeks="","",Year4_West_Sussex Year4_LAC_4weeks)</f>
        <v/>
      </c>
      <c r="AD239" s="577" t="str">
        <f>IF(Year5_West_Sussex Year5_LAC_4weeks="","",Year5_West_Sussex Year5_LAC_4weeks)</f>
        <v/>
      </c>
      <c r="AE239" s="434" t="str">
        <f t="shared" si="82"/>
        <v>West Sussex</v>
      </c>
      <c r="AF239" s="489" t="str">
        <f>IF(Year1_West_Sussex Year1_LAC_4weeks_reviews_in_timescales="","",Year1_West_Sussex Year1_LAC_4weeks_reviews_in_timescales)</f>
        <v/>
      </c>
      <c r="AG239" s="372" t="str">
        <f>IF(Year2_West_Sussex Year2_LAC_4weeks_reviews_in_timescales="","",Year2_West_Sussex Year2_LAC_4weeks_reviews_in_timescales)</f>
        <v/>
      </c>
      <c r="AH239" s="372" t="str">
        <f>IF(Year3_West_Sussex Year3_LAC_4weeks_reviews_in_timescales="","",Year3_West_Sussex Year3_LAC_4weeks_reviews_in_timescales)</f>
        <v/>
      </c>
      <c r="AI239" s="372" t="str">
        <f>IF(Year4_West_Sussex Year4_LAC_4weeks_reviews_in_timescales="","",Year4_West_Sussex Year4_LAC_4weeks_reviews_in_timescales)</f>
        <v/>
      </c>
      <c r="AJ239" s="577" t="str">
        <f>IF(Year5_West_Sussex Year5_LAC_4weeks_reviews_in_timescales="","",Year5_West_Sussex Year5_LAC_4weeks_reviews_in_timescales)</f>
        <v/>
      </c>
      <c r="AK239" s="160"/>
    </row>
    <row r="240" spans="1:45" s="87" customFormat="1" ht="12.75" hidden="1" customHeight="1" x14ac:dyDescent="0.2">
      <c r="A240" s="488">
        <f>VLOOKUP(B240,Sheet1!$AQ$4:$AR$25,2,FALSE)</f>
        <v>0</v>
      </c>
      <c r="B240" s="93" t="str">
        <f t="shared" si="76"/>
        <v>Windsor &amp; Maidenhead</v>
      </c>
      <c r="C240" s="85"/>
      <c r="D240" s="162" t="e">
        <f t="shared" si="78"/>
        <v>#N/A</v>
      </c>
      <c r="E240" s="162" t="e">
        <f t="shared" si="78"/>
        <v>#N/A</v>
      </c>
      <c r="F240" s="162" t="e">
        <f t="shared" si="78"/>
        <v>#N/A</v>
      </c>
      <c r="G240" s="162" t="e">
        <f t="shared" si="79"/>
        <v>#N/A</v>
      </c>
      <c r="H240" s="164" t="e">
        <f t="shared" si="80"/>
        <v>#N/A</v>
      </c>
      <c r="I240" s="96"/>
      <c r="J240" s="96"/>
      <c r="K240" s="166"/>
      <c r="L240" s="166"/>
      <c r="M240" s="166"/>
      <c r="N240" s="166"/>
      <c r="O240" s="166"/>
      <c r="P240" s="166"/>
      <c r="Q240" s="166"/>
      <c r="R240" s="167"/>
      <c r="S240" s="159"/>
      <c r="T240" s="159"/>
      <c r="U240" s="166"/>
      <c r="V240" s="122"/>
      <c r="W240" s="139"/>
      <c r="X240" s="152"/>
      <c r="Y240" s="434" t="str">
        <f t="shared" si="81"/>
        <v>Windsor &amp; Maidenhead</v>
      </c>
      <c r="Z240" s="489" t="str">
        <f>IF(Year1_Windsor_Maidenhead Year1_LAC_4weeks="","",Year1_Windsor_Maidenhead Year1_LAC_4weeks)</f>
        <v/>
      </c>
      <c r="AA240" s="372" t="str">
        <f>IF(Year2_Windsor_Maidenhead Year2_LAC_4weeks="","",Year2_Windsor_Maidenhead Year2_LAC_4weeks)</f>
        <v/>
      </c>
      <c r="AB240" s="372" t="str">
        <f>IF(Year3_Windsor_Maidenhead Year3_LAC_4weeks="","",Year3_Windsor_Maidenhead Year3_LAC_4weeks)</f>
        <v/>
      </c>
      <c r="AC240" s="372" t="str">
        <f>IF(Year4_Windsor_Maidenhead Year4_LAC_4weeks="","",Year4_Windsor_Maidenhead Year4_LAC_4weeks)</f>
        <v/>
      </c>
      <c r="AD240" s="577" t="str">
        <f>IF(Year5_Windsor_Maidenhead Year5_LAC_4weeks="","",Year5_Windsor_Maidenhead Year5_LAC_4weeks)</f>
        <v/>
      </c>
      <c r="AE240" s="434" t="str">
        <f t="shared" si="82"/>
        <v>Windsor &amp; Maidenhead</v>
      </c>
      <c r="AF240" s="489" t="str">
        <f>IF(Year1_Windsor_Maidenhead Year1_LAC_4weeks_reviews_in_timescales="","",Year1_Windsor_Maidenhead Year1_LAC_4weeks_reviews_in_timescales)</f>
        <v/>
      </c>
      <c r="AG240" s="372" t="str">
        <f>IF(Year2_Windsor_Maidenhead Year2_LAC_4weeks_reviews_in_timescales="","",Year2_Windsor_Maidenhead Year2_LAC_4weeks_reviews_in_timescales)</f>
        <v/>
      </c>
      <c r="AH240" s="372" t="str">
        <f>IF(Year3_Windsor_Maidenhead Year3_LAC_4weeks_reviews_in_timescales="","",Year3_Windsor_Maidenhead Year3_LAC_4weeks_reviews_in_timescales)</f>
        <v/>
      </c>
      <c r="AI240" s="372" t="str">
        <f>IF(Year4_Windsor_Maidenhead Year4_LAC_4weeks_reviews_in_timescales="","",Year4_Windsor_Maidenhead Year4_LAC_4weeks_reviews_in_timescales)</f>
        <v/>
      </c>
      <c r="AJ240" s="577" t="str">
        <f>IF(Year5_Windsor_Maidenhead Year5_LAC_4weeks_reviews_in_timescales="","",Year5_Windsor_Maidenhead Year5_LAC_4weeks_reviews_in_timescales)</f>
        <v/>
      </c>
      <c r="AK240" s="160"/>
    </row>
    <row r="241" spans="1:46" s="87" customFormat="1" ht="12.75" hidden="1" customHeight="1" x14ac:dyDescent="0.2">
      <c r="A241" s="488">
        <f>VLOOKUP(B241,Sheet1!$AQ$4:$AR$25,2,FALSE)</f>
        <v>0</v>
      </c>
      <c r="B241" s="93" t="str">
        <f t="shared" si="76"/>
        <v>Wokingham</v>
      </c>
      <c r="C241" s="85"/>
      <c r="D241" s="162" t="e">
        <f t="shared" si="78"/>
        <v>#N/A</v>
      </c>
      <c r="E241" s="162" t="e">
        <f t="shared" si="78"/>
        <v>#N/A</v>
      </c>
      <c r="F241" s="162" t="e">
        <f t="shared" si="78"/>
        <v>#N/A</v>
      </c>
      <c r="G241" s="162" t="e">
        <f t="shared" si="79"/>
        <v>#N/A</v>
      </c>
      <c r="H241" s="164" t="e">
        <f t="shared" si="80"/>
        <v>#N/A</v>
      </c>
      <c r="I241" s="96"/>
      <c r="J241" s="96"/>
      <c r="K241" s="166"/>
      <c r="L241" s="166"/>
      <c r="M241" s="166"/>
      <c r="N241" s="166"/>
      <c r="O241" s="166"/>
      <c r="P241" s="166"/>
      <c r="Q241" s="166"/>
      <c r="R241" s="167"/>
      <c r="S241" s="159"/>
      <c r="T241" s="159"/>
      <c r="U241" s="166"/>
      <c r="V241" s="122"/>
      <c r="W241" s="139"/>
      <c r="X241" s="152"/>
      <c r="Y241" s="434" t="str">
        <f t="shared" si="81"/>
        <v>Wokingham</v>
      </c>
      <c r="Z241" s="489" t="str">
        <f>IF(Year1_Wokingham Year1_LAC_4weeks="","",Year1_Wokingham Year1_LAC_4weeks)</f>
        <v/>
      </c>
      <c r="AA241" s="372" t="str">
        <f>IF(Year2_Wokingham Year2_LAC_4weeks="","",Year2_Wokingham Year2_LAC_4weeks)</f>
        <v/>
      </c>
      <c r="AB241" s="372" t="str">
        <f>IF(Year3_Wokingham Year3_LAC_4weeks="","",Year3_Wokingham Year3_LAC_4weeks)</f>
        <v/>
      </c>
      <c r="AC241" s="372" t="str">
        <f>IF(Year4_Wokingham Year4_LAC_4weeks="","",Year4_Wokingham Year4_LAC_4weeks)</f>
        <v/>
      </c>
      <c r="AD241" s="577" t="str">
        <f>IF(Year5_Wokingham Year5_LAC_4weeks="","",Year5_Wokingham Year5_LAC_4weeks)</f>
        <v/>
      </c>
      <c r="AE241" s="434" t="str">
        <f t="shared" si="82"/>
        <v>Wokingham</v>
      </c>
      <c r="AF241" s="489" t="str">
        <f>IF(Year1_Wokingham Year1_LAC_4weeks_reviews_in_timescales="","",Year1_Wokingham Year1_LAC_4weeks_reviews_in_timescales)</f>
        <v/>
      </c>
      <c r="AG241" s="372" t="str">
        <f>IF(Year2_Wokingham Year2_LAC_4weeks_reviews_in_timescales="","",Year2_Wokingham Year2_LAC_4weeks_reviews_in_timescales)</f>
        <v/>
      </c>
      <c r="AH241" s="372" t="str">
        <f>IF(Year3_Wokingham Year3_LAC_4weeks_reviews_in_timescales="","",Year3_Wokingham Year3_LAC_4weeks_reviews_in_timescales)</f>
        <v/>
      </c>
      <c r="AI241" s="372" t="str">
        <f>IF(Year4_Wokingham Year4_LAC_4weeks_reviews_in_timescales="","",Year4_Wokingham Year4_LAC_4weeks_reviews_in_timescales)</f>
        <v/>
      </c>
      <c r="AJ241" s="577" t="str">
        <f>IF(Year5_Wokingham Year5_LAC_4weeks_reviews_in_timescales="","",Year5_Wokingham Year5_LAC_4weeks_reviews_in_timescales)</f>
        <v/>
      </c>
      <c r="AK241" s="160"/>
    </row>
    <row r="242" spans="1:46" s="87" customFormat="1" ht="12.75" hidden="1" customHeight="1" x14ac:dyDescent="0.2">
      <c r="A242" s="121"/>
      <c r="B242" s="129" t="str">
        <f t="shared" si="76"/>
        <v>South East</v>
      </c>
      <c r="C242" s="85"/>
      <c r="D242" s="163" t="e">
        <f t="shared" si="78"/>
        <v>#N/A</v>
      </c>
      <c r="E242" s="163" t="e">
        <f t="shared" si="78"/>
        <v>#N/A</v>
      </c>
      <c r="F242" s="163" t="e">
        <f t="shared" si="78"/>
        <v>#N/A</v>
      </c>
      <c r="G242" s="163" t="e">
        <f t="shared" si="79"/>
        <v>#N/A</v>
      </c>
      <c r="H242" s="165" t="e">
        <f t="shared" si="80"/>
        <v>#N/A</v>
      </c>
      <c r="I242" s="96"/>
      <c r="J242" s="96"/>
      <c r="K242" s="168"/>
      <c r="L242" s="168"/>
      <c r="M242" s="168"/>
      <c r="N242" s="168"/>
      <c r="O242" s="168"/>
      <c r="P242" s="168"/>
      <c r="Q242" s="168"/>
      <c r="R242" s="169"/>
      <c r="S242" s="159"/>
      <c r="T242" s="159"/>
      <c r="U242" s="170"/>
      <c r="V242" s="122"/>
      <c r="W242" s="139"/>
      <c r="X242" s="152"/>
      <c r="Y242" s="434" t="str">
        <f t="shared" si="81"/>
        <v>South East</v>
      </c>
      <c r="Z242" s="607" t="str">
        <f>IF(Year1_SouthEast Year1_LAC_4weeks="","",Year1_SouthEast Year1_LAC_4weeks)</f>
        <v/>
      </c>
      <c r="AA242" s="607" t="str">
        <f>IF(Year2_SouthEast Year2_LAC_4weeks="","",Year2_SouthEast Year2_LAC_4weeks)</f>
        <v/>
      </c>
      <c r="AB242" s="607" t="str">
        <f>IF(Year3_SouthEast Year3_LAC_4weeks="","",Year3_SouthEast Year3_LAC_4weeks)</f>
        <v/>
      </c>
      <c r="AC242" s="372" t="str">
        <f>IF(Year4_SouthEast Year4_LAC_4weeks="","",Year4_SouthEast Year4_LAC_4weeks)</f>
        <v/>
      </c>
      <c r="AD242" s="577" t="str">
        <f>IF(Year5_SouthEast Year5_LAC_4weeks="","",Year5_SouthEast Year5_LAC_4weeks)</f>
        <v/>
      </c>
      <c r="AE242" s="434" t="str">
        <f t="shared" si="82"/>
        <v>South East</v>
      </c>
      <c r="AF242" s="607" t="str">
        <f>IF(Year1_SouthEast Year1_LAC_4weeks_reviews_in_timescales="","",Year1_SouthEast Year1_LAC_4weeks_reviews_in_timescales)</f>
        <v/>
      </c>
      <c r="AG242" s="607" t="str">
        <f>IF(Year2_SouthEast Year2_LAC_4weeks_reviews_in_timescales="","",Year2_SouthEast Year2_LAC_4weeks_reviews_in_timescales)</f>
        <v/>
      </c>
      <c r="AH242" s="607" t="str">
        <f>IF(Year3_SouthEast Year3_LAC_4weeks_reviews_in_timescales="","",Year3_SouthEast Year3_LAC_4weeks_reviews_in_timescales)</f>
        <v/>
      </c>
      <c r="AI242" s="372" t="str">
        <f>IF(Year4_SouthEast Year4_LAC_4weeks_reviews_in_timescales="","",Year4_SouthEast Year4_LAC_4weeks_reviews_in_timescales)</f>
        <v/>
      </c>
      <c r="AJ242" s="577" t="str">
        <f>IF(Year5_SouthEast Year5_LAC_4weeks_reviews_in_timescales="","",Year5_SouthEast Year5_LAC_4weeks_reviews_in_timescales)</f>
        <v/>
      </c>
      <c r="AK242" s="160"/>
    </row>
    <row r="243" spans="1:46" s="87" customFormat="1" ht="12.75" hidden="1" customHeight="1" x14ac:dyDescent="0.2">
      <c r="A243" s="121"/>
      <c r="B243" s="329" t="str">
        <f t="shared" si="76"/>
        <v>England</v>
      </c>
      <c r="C243" s="85"/>
      <c r="D243" s="497" t="e">
        <f t="shared" si="78"/>
        <v>#N/A</v>
      </c>
      <c r="E243" s="497" t="e">
        <f t="shared" si="78"/>
        <v>#N/A</v>
      </c>
      <c r="F243" s="497" t="e">
        <f t="shared" si="78"/>
        <v>#N/A</v>
      </c>
      <c r="G243" s="497" t="e">
        <f t="shared" si="79"/>
        <v>#N/A</v>
      </c>
      <c r="H243" s="496" t="e">
        <f t="shared" si="80"/>
        <v>#N/A</v>
      </c>
      <c r="I243" s="96"/>
      <c r="J243" s="96"/>
      <c r="K243" s="168"/>
      <c r="L243" s="168"/>
      <c r="M243" s="168"/>
      <c r="N243" s="168"/>
      <c r="O243" s="168"/>
      <c r="P243" s="168"/>
      <c r="Q243" s="168"/>
      <c r="R243" s="169"/>
      <c r="S243" s="159"/>
      <c r="T243" s="159"/>
      <c r="U243" s="170"/>
      <c r="V243" s="122"/>
      <c r="W243" s="139"/>
      <c r="X243" s="152"/>
      <c r="Y243" s="434" t="str">
        <f t="shared" si="81"/>
        <v>England</v>
      </c>
      <c r="Z243" s="607" t="str">
        <f>IF(Year1_England Year1_LAC_4weeks="","",Year1_England Year1_LAC_4weeks)</f>
        <v/>
      </c>
      <c r="AA243" s="607" t="str">
        <f>IF(Year2_England Year2_LAC_4weeks="","",Year2_England Year2_LAC_4weeks)</f>
        <v/>
      </c>
      <c r="AB243" s="607" t="str">
        <f>IF(Year3_England Year3_LAC_4weeks="","",Year3_England Year3_LAC_4weeks)</f>
        <v/>
      </c>
      <c r="AC243" s="372" t="str">
        <f>IF(Year4_England Year4_LAC_4weeks="","",Year4_England Year4_LAC_4weeks)</f>
        <v/>
      </c>
      <c r="AD243" s="577" t="str">
        <f>IF(Year5_England Year5_LAC_4weeks="","",Year5_England Year5_LAC_4weeks)</f>
        <v/>
      </c>
      <c r="AE243" s="434" t="str">
        <f t="shared" si="82"/>
        <v>England</v>
      </c>
      <c r="AF243" s="607" t="str">
        <f>IF(Year1_England Year1_LAC_4weeks_reviews_in_timescales="","",Year1_England Year1_LAC_4weeks_reviews_in_timescales)</f>
        <v/>
      </c>
      <c r="AG243" s="607" t="str">
        <f>IF(Year2_England Year2_LAC_4weeks_reviews_in_timescales="","",Year2_England Year2_LAC_4weeks_reviews_in_timescales)</f>
        <v/>
      </c>
      <c r="AH243" s="607" t="str">
        <f>IF(Year3_England Year3_LAC_4weeks_reviews_in_timescales="","",Year3_England Year3_LAC_4weeks_reviews_in_timescales)</f>
        <v/>
      </c>
      <c r="AI243" s="372" t="str">
        <f>IF(Year4_England Year4_LAC_4weeks_reviews_in_timescales="","",Year4_England Year4_LAC_4weeks_reviews_in_timescales)</f>
        <v/>
      </c>
      <c r="AJ243" s="577" t="str">
        <f>IF(Year5_England Year5_LAC_4weeks_reviews_in_timescales="","",Year5_England Year5_LAC_4weeks_reviews_in_timescales)</f>
        <v/>
      </c>
      <c r="AK243" s="160"/>
    </row>
    <row r="244" spans="1:46" s="87" customFormat="1" ht="7.5" hidden="1" customHeight="1" x14ac:dyDescent="0.2">
      <c r="A244" s="292"/>
      <c r="B244" s="96"/>
      <c r="C244" s="96"/>
      <c r="D244" s="96"/>
      <c r="E244" s="96"/>
      <c r="F244" s="96"/>
      <c r="G244" s="96"/>
      <c r="H244" s="96"/>
      <c r="I244" s="96"/>
      <c r="J244" s="96"/>
      <c r="K244" s="168"/>
      <c r="L244" s="168"/>
      <c r="M244" s="168"/>
      <c r="N244" s="168"/>
      <c r="O244" s="168"/>
      <c r="P244" s="168"/>
      <c r="Q244" s="168"/>
      <c r="R244" s="169"/>
      <c r="S244" s="159"/>
      <c r="T244" s="159"/>
      <c r="U244" s="170"/>
      <c r="V244" s="122"/>
      <c r="W244" s="139"/>
      <c r="X244" s="152"/>
      <c r="Y244" s="81"/>
      <c r="Z244" s="81"/>
      <c r="AA244" s="196"/>
      <c r="AB244" s="196"/>
      <c r="AC244" s="197"/>
      <c r="AD244" s="81"/>
      <c r="AE244" s="81"/>
      <c r="AF244" s="81"/>
      <c r="AG244" s="81"/>
      <c r="AH244" s="81"/>
      <c r="AI244" s="81"/>
      <c r="AJ244" s="184"/>
      <c r="AK244" s="160"/>
    </row>
    <row r="245" spans="1:46" s="81" customFormat="1" ht="38.25" hidden="1" customHeight="1" x14ac:dyDescent="0.2">
      <c r="A245" s="217"/>
      <c r="B245" s="392"/>
      <c r="C245" s="392"/>
      <c r="D245" s="392"/>
      <c r="E245" s="392"/>
      <c r="F245" s="392"/>
      <c r="G245" s="392"/>
      <c r="H245" s="392"/>
      <c r="I245" s="392"/>
      <c r="J245" s="172"/>
      <c r="K245" s="172"/>
      <c r="L245" s="172"/>
      <c r="M245" s="172"/>
      <c r="N245" s="172"/>
      <c r="O245" s="172"/>
      <c r="P245" s="172"/>
      <c r="Q245" s="172"/>
      <c r="R245" s="136"/>
      <c r="S245" s="172"/>
      <c r="T245" s="172"/>
      <c r="U245" s="172"/>
      <c r="V245" s="117"/>
      <c r="W245" s="137"/>
      <c r="X245" s="150"/>
      <c r="AD245" s="197"/>
      <c r="AE245" s="199"/>
      <c r="AF245" s="184"/>
      <c r="AG245" s="184"/>
      <c r="AH245" s="184"/>
      <c r="AJ245" s="184"/>
      <c r="AK245" s="161"/>
    </row>
    <row r="246" spans="1:46" s="81" customFormat="1" ht="39" hidden="1" customHeight="1" x14ac:dyDescent="0.2">
      <c r="A246" s="217"/>
      <c r="B246" s="392"/>
      <c r="C246" s="392"/>
      <c r="D246" s="392"/>
      <c r="E246" s="392"/>
      <c r="F246" s="392"/>
      <c r="G246" s="392"/>
      <c r="H246" s="392"/>
      <c r="I246" s="392"/>
      <c r="J246" s="172"/>
      <c r="K246" s="172"/>
      <c r="L246" s="172"/>
      <c r="M246" s="172"/>
      <c r="N246" s="172"/>
      <c r="O246" s="172"/>
      <c r="P246" s="172"/>
      <c r="Q246" s="172"/>
      <c r="R246" s="136"/>
      <c r="S246" s="172"/>
      <c r="T246" s="172"/>
      <c r="U246" s="172"/>
      <c r="V246" s="117"/>
      <c r="W246" s="137"/>
      <c r="X246" s="150"/>
      <c r="Z246" s="190"/>
      <c r="AE246" s="199"/>
      <c r="AF246" s="184"/>
      <c r="AG246" s="184"/>
      <c r="AH246" s="184"/>
      <c r="AJ246" s="184"/>
      <c r="AK246" s="161"/>
    </row>
    <row r="247" spans="1:46" s="81" customFormat="1" ht="51" hidden="1" customHeight="1" x14ac:dyDescent="0.2">
      <c r="A247" s="217"/>
      <c r="B247" s="392"/>
      <c r="C247" s="392"/>
      <c r="D247" s="392"/>
      <c r="E247" s="392"/>
      <c r="F247" s="392"/>
      <c r="G247" s="392"/>
      <c r="H247" s="392"/>
      <c r="I247" s="392"/>
      <c r="J247" s="172"/>
      <c r="K247" s="172"/>
      <c r="L247" s="172"/>
      <c r="M247" s="172"/>
      <c r="N247" s="172"/>
      <c r="O247" s="172"/>
      <c r="P247" s="172"/>
      <c r="Q247" s="172"/>
      <c r="R247" s="136"/>
      <c r="S247" s="172"/>
      <c r="T247" s="172"/>
      <c r="U247" s="172"/>
      <c r="V247" s="117"/>
      <c r="W247" s="137"/>
      <c r="X247" s="150"/>
      <c r="Z247" s="190"/>
      <c r="AE247" s="199"/>
      <c r="AF247" s="184"/>
      <c r="AG247" s="184"/>
      <c r="AH247" s="184"/>
      <c r="AJ247" s="184"/>
      <c r="AK247" s="161"/>
    </row>
    <row r="248" spans="1:46" s="81" customFormat="1" ht="7.5" hidden="1" customHeight="1" x14ac:dyDescent="0.2">
      <c r="A248" s="118"/>
      <c r="B248" s="17"/>
      <c r="C248" s="17"/>
      <c r="D248" s="16"/>
      <c r="E248" s="16"/>
      <c r="F248" s="16"/>
      <c r="G248" s="16"/>
      <c r="H248" s="16"/>
      <c r="I248" s="16"/>
      <c r="J248" s="12"/>
      <c r="K248" s="18"/>
      <c r="L248" s="18"/>
      <c r="M248" s="18"/>
      <c r="N248" s="18"/>
      <c r="O248" s="18"/>
      <c r="P248" s="18"/>
      <c r="Q248" s="18"/>
      <c r="R248" s="18"/>
      <c r="S248" s="18"/>
      <c r="T248" s="18"/>
      <c r="U248" s="19"/>
      <c r="V248" s="117"/>
      <c r="W248" s="137"/>
      <c r="X248" s="150"/>
      <c r="Z248" s="190"/>
      <c r="AJ248" s="184"/>
      <c r="AK248" s="157"/>
      <c r="AL248" s="74"/>
      <c r="AM248" s="74"/>
      <c r="AN248" s="74"/>
      <c r="AO248" s="74"/>
      <c r="AP248" s="74"/>
      <c r="AQ248" s="74"/>
      <c r="AR248" s="74"/>
    </row>
    <row r="249" spans="1:46" s="81" customFormat="1" ht="15" hidden="1" customHeight="1" x14ac:dyDescent="0.2">
      <c r="A249" s="1716"/>
      <c r="B249" s="1760"/>
      <c r="C249" s="1760"/>
      <c r="D249" s="1760"/>
      <c r="E249" s="1760"/>
      <c r="F249" s="1760"/>
      <c r="G249" s="1760"/>
      <c r="H249" s="1760"/>
      <c r="I249" s="1760"/>
      <c r="J249" s="1760"/>
      <c r="K249" s="1760"/>
      <c r="L249" s="1760"/>
      <c r="M249" s="1760"/>
      <c r="N249" s="1760"/>
      <c r="O249" s="1760"/>
      <c r="P249" s="1760"/>
      <c r="Q249" s="1760"/>
      <c r="R249" s="1760"/>
      <c r="S249" s="1760"/>
      <c r="T249" s="1760"/>
      <c r="U249" s="1760"/>
      <c r="V249" s="1761"/>
      <c r="W249" s="137"/>
      <c r="X249" s="150"/>
      <c r="AK249" s="161"/>
      <c r="AT249" s="74"/>
    </row>
    <row r="250" spans="1:46" s="81" customFormat="1" ht="11.25" hidden="1" customHeight="1" x14ac:dyDescent="0.2">
      <c r="A250" s="1765" t="str">
        <f>Home!$A$39</f>
        <v xml:space="preserve"> </v>
      </c>
      <c r="B250" s="1766"/>
      <c r="C250" s="1766"/>
      <c r="D250" s="1766"/>
      <c r="E250" s="1766"/>
      <c r="F250" s="1766"/>
      <c r="G250" s="1766"/>
      <c r="H250" s="1766"/>
      <c r="I250" s="1767"/>
      <c r="J250" s="1766"/>
      <c r="K250" s="1766"/>
      <c r="L250" s="1766"/>
      <c r="M250" s="1766"/>
      <c r="N250" s="1766"/>
      <c r="O250" s="1766"/>
      <c r="P250" s="1768"/>
      <c r="Q250" s="1766"/>
      <c r="R250" s="1766"/>
      <c r="S250" s="1766"/>
      <c r="T250" s="1767"/>
      <c r="U250" s="1766"/>
      <c r="V250" s="1769"/>
      <c r="W250" s="137"/>
      <c r="X250" s="150"/>
      <c r="AJ250" s="184"/>
      <c r="AK250" s="160"/>
      <c r="AL250" s="87"/>
      <c r="AT250" s="74"/>
    </row>
    <row r="251" spans="1:46" ht="11.25" customHeight="1" x14ac:dyDescent="0.2">
      <c r="A251" s="112"/>
      <c r="B251" s="113"/>
      <c r="C251" s="113"/>
      <c r="D251" s="113"/>
      <c r="E251" s="113"/>
      <c r="F251" s="113"/>
      <c r="G251" s="113"/>
      <c r="H251" s="113"/>
      <c r="I251" s="113"/>
      <c r="J251" s="114"/>
      <c r="K251" s="113"/>
      <c r="L251" s="113"/>
      <c r="M251" s="113"/>
      <c r="N251" s="113"/>
      <c r="O251" s="113"/>
      <c r="P251" s="113"/>
      <c r="Q251" s="113"/>
      <c r="R251" s="113"/>
      <c r="S251" s="113"/>
      <c r="T251" s="113"/>
      <c r="U251" s="113"/>
      <c r="V251" s="115"/>
      <c r="W251" s="137"/>
      <c r="X251" s="150"/>
      <c r="Y251" s="198"/>
      <c r="Z251" s="196"/>
      <c r="AA251" s="188"/>
      <c r="AJ251" s="184"/>
      <c r="AK251" s="160"/>
    </row>
    <row r="252" spans="1:46" s="76" customFormat="1" ht="15" customHeight="1" x14ac:dyDescent="0.2">
      <c r="A252" s="119"/>
      <c r="B252" s="1770" t="str">
        <f>"Children Looked After"&amp;Z1&amp;" who were Unaccompanied Asylum Seeking Children (UASC)"</f>
        <v>Children Looked After at 31st March who were Unaccompanied Asylum Seeking Children (UASC)</v>
      </c>
      <c r="C252" s="1770"/>
      <c r="D252" s="1770"/>
      <c r="E252" s="1770"/>
      <c r="F252" s="1770"/>
      <c r="G252" s="1770"/>
      <c r="H252" s="1770"/>
      <c r="I252" s="1770"/>
      <c r="J252" s="70"/>
      <c r="K252" s="70"/>
      <c r="L252" s="70"/>
      <c r="M252" s="70"/>
      <c r="N252" s="415"/>
      <c r="O252" s="70"/>
      <c r="P252" s="70"/>
      <c r="Q252" s="70"/>
      <c r="R252" s="70"/>
      <c r="S252" s="70"/>
      <c r="T252" s="70"/>
      <c r="U252" s="70"/>
      <c r="V252" s="120"/>
      <c r="W252" s="138"/>
      <c r="X252" s="151"/>
      <c r="Y252" s="381" t="s">
        <v>179</v>
      </c>
      <c r="Z252" s="382"/>
      <c r="AA252" s="383"/>
      <c r="AB252" s="383"/>
      <c r="AC252" s="383"/>
      <c r="AD252" s="81"/>
      <c r="AE252" s="755" t="s">
        <v>777</v>
      </c>
      <c r="AF252" s="81"/>
      <c r="AG252" s="81"/>
      <c r="AH252" s="81"/>
      <c r="AI252" s="81"/>
      <c r="AJ252" s="184"/>
      <c r="AK252" s="160"/>
    </row>
    <row r="253" spans="1:46" ht="15" customHeight="1" thickBot="1" x14ac:dyDescent="0.25">
      <c r="A253" s="118"/>
      <c r="B253" s="1770"/>
      <c r="C253" s="1770"/>
      <c r="D253" s="1770"/>
      <c r="E253" s="1770"/>
      <c r="F253" s="1770"/>
      <c r="G253" s="1770"/>
      <c r="H253" s="1770"/>
      <c r="I253" s="1770"/>
      <c r="J253" s="70"/>
      <c r="K253" s="70"/>
      <c r="L253" s="70"/>
      <c r="M253" s="70"/>
      <c r="N253" s="415"/>
      <c r="O253" s="70"/>
      <c r="P253" s="70"/>
      <c r="Q253" s="70"/>
      <c r="R253" s="10"/>
      <c r="S253" s="70"/>
      <c r="T253" s="70"/>
      <c r="U253" s="70"/>
      <c r="V253" s="117"/>
      <c r="W253" s="137"/>
      <c r="X253" s="150"/>
      <c r="Y253" s="383"/>
      <c r="Z253" s="382"/>
      <c r="AA253" s="383"/>
      <c r="AB253" s="383"/>
      <c r="AC253" s="383"/>
      <c r="AJ253" s="184"/>
      <c r="AK253" s="160"/>
    </row>
    <row r="254" spans="1:46" ht="13.5" customHeight="1" x14ac:dyDescent="0.2">
      <c r="A254" s="278"/>
      <c r="B254" s="1771" t="s">
        <v>205</v>
      </c>
      <c r="C254" s="921"/>
      <c r="D254" s="789" t="str">
        <f>Sheet1!$D$27</f>
        <v>2015-16</v>
      </c>
      <c r="E254" s="790" t="str">
        <f>Sheet1!$E$27</f>
        <v>2016-17</v>
      </c>
      <c r="F254" s="790" t="str">
        <f>Sheet1!$F$27</f>
        <v>2017-18</v>
      </c>
      <c r="G254" s="790" t="str">
        <f>Sheet1!$G$27</f>
        <v>2018-19</v>
      </c>
      <c r="H254" s="791" t="str">
        <f>Sheet1!$H$27</f>
        <v>2019-20</v>
      </c>
      <c r="I254" s="921"/>
      <c r="J254" s="70"/>
      <c r="K254" s="70"/>
      <c r="L254" s="70"/>
      <c r="M254" s="70"/>
      <c r="N254" s="918"/>
      <c r="O254" s="70"/>
      <c r="P254" s="70"/>
      <c r="Q254" s="70"/>
      <c r="R254" s="10"/>
      <c r="S254" s="70"/>
      <c r="T254" s="70"/>
      <c r="U254" s="70"/>
      <c r="V254" s="117"/>
      <c r="W254" s="137"/>
      <c r="X254" s="150"/>
      <c r="Y254" s="383"/>
      <c r="Z254" s="382"/>
      <c r="AA254" s="383"/>
      <c r="AB254" s="383"/>
      <c r="AC254" s="383"/>
      <c r="AE254" s="800" t="str">
        <f>IF(Sheet1!$C$3="Annual","",Sheet1!$D$28)</f>
        <v/>
      </c>
      <c r="AF254" s="801" t="str">
        <f>IF(Sheet1!$C$3="Annual","",Sheet1!$E$28)</f>
        <v/>
      </c>
      <c r="AG254" s="801" t="str">
        <f>IF(Sheet1!$C$3="Annual","",Sheet1!$F$28)</f>
        <v/>
      </c>
      <c r="AH254" s="801" t="str">
        <f>IF(Sheet1!$C$3="Annual","",Sheet1!$G$28)</f>
        <v/>
      </c>
      <c r="AI254" s="802" t="str">
        <f>IF(Sheet1!$C$3="Annual","",Sheet1!$H$28)</f>
        <v/>
      </c>
      <c r="AJ254" s="184"/>
      <c r="AK254" s="160"/>
    </row>
    <row r="255" spans="1:46" s="87" customFormat="1" ht="13.5" customHeight="1" thickBot="1" x14ac:dyDescent="0.25">
      <c r="A255" s="121"/>
      <c r="B255" s="1772"/>
      <c r="C255" s="85"/>
      <c r="D255" s="792" t="e">
        <f>Sheet1!$D$28</f>
        <v>#N/A</v>
      </c>
      <c r="E255" s="792" t="e">
        <f>Sheet1!$E$28</f>
        <v>#N/A</v>
      </c>
      <c r="F255" s="792" t="e">
        <f>Sheet1!$F$28</f>
        <v>#N/A</v>
      </c>
      <c r="G255" s="792" t="e">
        <f>Sheet1!$G$28</f>
        <v>#N/A</v>
      </c>
      <c r="H255" s="793" t="e">
        <f>Sheet1!$H$28</f>
        <v>#N/A</v>
      </c>
      <c r="I255" s="96"/>
      <c r="J255" s="96"/>
      <c r="K255" s="61"/>
      <c r="L255" s="61"/>
      <c r="M255" s="61"/>
      <c r="N255" s="61"/>
      <c r="O255" s="61"/>
      <c r="P255" s="61"/>
      <c r="Q255" s="393"/>
      <c r="R255" s="393"/>
      <c r="S255" s="159"/>
      <c r="T255" s="159"/>
      <c r="U255" s="391"/>
      <c r="V255" s="122"/>
      <c r="W255" s="139"/>
      <c r="X255" s="152"/>
      <c r="Y255" s="372"/>
      <c r="Z255" s="435" t="e">
        <f>D255</f>
        <v>#N/A</v>
      </c>
      <c r="AA255" s="435" t="e">
        <f t="shared" ref="AA255" si="83">E255</f>
        <v>#N/A</v>
      </c>
      <c r="AB255" s="435" t="e">
        <f t="shared" ref="AB255" si="84">F255</f>
        <v>#N/A</v>
      </c>
      <c r="AC255" s="435" t="e">
        <f t="shared" ref="AC255" si="85">G255</f>
        <v>#N/A</v>
      </c>
      <c r="AD255" s="578" t="e">
        <f t="shared" ref="AD255" si="86">H255</f>
        <v>#N/A</v>
      </c>
      <c r="AE255" s="803" t="str">
        <f>Sheet1!$D$27</f>
        <v>2015-16</v>
      </c>
      <c r="AF255" s="804" t="str">
        <f>Sheet1!$E$27</f>
        <v>2016-17</v>
      </c>
      <c r="AG255" s="804" t="str">
        <f>Sheet1!$F$27</f>
        <v>2017-18</v>
      </c>
      <c r="AH255" s="804" t="str">
        <f>Sheet1!$G$27</f>
        <v>2018-19</v>
      </c>
      <c r="AI255" s="805" t="str">
        <f>Sheet1!$H$27</f>
        <v>2019-20</v>
      </c>
      <c r="AJ255" s="184"/>
      <c r="AK255" s="160"/>
    </row>
    <row r="256" spans="1:46" s="87" customFormat="1" ht="12.75" customHeight="1" x14ac:dyDescent="0.2">
      <c r="A256" s="488">
        <f>VLOOKUP(B256,Sheet1!$AQ$4:$AR$25,2,FALSE)</f>
        <v>0</v>
      </c>
      <c r="B256" s="93" t="str">
        <f t="shared" ref="B256:B279" si="87">B184</f>
        <v>Bracknell Forest</v>
      </c>
      <c r="C256" s="85"/>
      <c r="D256" s="162" t="e">
        <f t="shared" ref="D256:D279" si="88">IF(AND(ISNUMBER(D10),ISNUMBER(Z256)),Z256/D10,NA())</f>
        <v>#N/A</v>
      </c>
      <c r="E256" s="162" t="e">
        <f t="shared" ref="E256:E279" si="89">IF(AND(ISNUMBER(E10),ISNUMBER(AA256)),AA256/E10,NA())</f>
        <v>#N/A</v>
      </c>
      <c r="F256" s="162" t="e">
        <f t="shared" ref="F256:F279" si="90">IF(AND(ISNUMBER(F10),ISNUMBER(AB256)),AB256/F10,NA())</f>
        <v>#N/A</v>
      </c>
      <c r="G256" s="162" t="e">
        <f t="shared" ref="G256:G277" si="91">IF(AND(ISNUMBER(G10),ISNUMBER(AC256)),AC256/G10,NA())</f>
        <v>#N/A</v>
      </c>
      <c r="H256" s="164" t="e">
        <f t="shared" ref="H256:H277" si="92">IF(AND(ISNUMBER(H10),ISNUMBER(AD256)),AD256/H10,NA())</f>
        <v>#N/A</v>
      </c>
      <c r="I256" s="96"/>
      <c r="J256" s="96"/>
      <c r="K256" s="166"/>
      <c r="L256" s="166"/>
      <c r="M256" s="166"/>
      <c r="N256" s="166"/>
      <c r="O256" s="166"/>
      <c r="P256" s="166"/>
      <c r="Q256" s="166"/>
      <c r="R256" s="167"/>
      <c r="S256" s="159"/>
      <c r="T256" s="159"/>
      <c r="U256" s="166"/>
      <c r="V256" s="122"/>
      <c r="W256" s="139"/>
      <c r="X256" s="152"/>
      <c r="Y256" s="436" t="str">
        <f>B256</f>
        <v>Bracknell Forest</v>
      </c>
      <c r="Z256" s="489" t="str">
        <f>IF(Year1_Bracknell_Forest Year1_LAC_UASC="","",Year1_Bracknell_Forest Year1_LAC_UASC)</f>
        <v>c</v>
      </c>
      <c r="AA256" s="372" t="str">
        <f>IF(Year2_Bracknell_Forest Year2_LAC_UASC="","",Year2_Bracknell_Forest Year2_LAC_UASC)</f>
        <v>c</v>
      </c>
      <c r="AB256" s="372" t="str">
        <f>IF(Year3_Bracknell_Forest Year3_LAC_UASC="","",Year3_Bracknell_Forest Year3_LAC_UASC)</f>
        <v>c</v>
      </c>
      <c r="AC256" s="372" t="str">
        <f>IF(Year4_Bracknell_Forest Year4_LAC_UASC="","",Year4_Bracknell_Forest Year4_LAC_UASC)</f>
        <v>x</v>
      </c>
      <c r="AD256" s="577" t="str">
        <f>IF(Year5_Bracknell_Forest Year5_LAC_UASC="","",Year5_Bracknell_Forest Year5_LAC_UASC)</f>
        <v>c</v>
      </c>
      <c r="AE256" s="489">
        <f>IF(ISNUMBER(Z256),D10,0)</f>
        <v>0</v>
      </c>
      <c r="AF256" s="489">
        <f t="shared" ref="AF256:AI256" si="93">IF(ISNUMBER(AA256),E10,0)</f>
        <v>0</v>
      </c>
      <c r="AG256" s="489">
        <f t="shared" si="93"/>
        <v>0</v>
      </c>
      <c r="AH256" s="489">
        <f t="shared" si="93"/>
        <v>0</v>
      </c>
      <c r="AI256" s="489">
        <f t="shared" si="93"/>
        <v>0</v>
      </c>
      <c r="AJ256" s="184"/>
      <c r="AK256" s="160"/>
    </row>
    <row r="257" spans="1:45" s="87" customFormat="1" ht="12.75" customHeight="1" x14ac:dyDescent="0.2">
      <c r="A257" s="488">
        <f>VLOOKUP(B257,Sheet1!$AQ$4:$AR$25,2,FALSE)</f>
        <v>0</v>
      </c>
      <c r="B257" s="93" t="str">
        <f t="shared" si="87"/>
        <v>Brighton &amp; Hove</v>
      </c>
      <c r="C257" s="85"/>
      <c r="D257" s="162">
        <f t="shared" si="88"/>
        <v>7.7625570776255703E-2</v>
      </c>
      <c r="E257" s="162">
        <f t="shared" si="89"/>
        <v>8.3333333333333329E-2</v>
      </c>
      <c r="F257" s="162">
        <f t="shared" si="90"/>
        <v>7.1599045346062054E-2</v>
      </c>
      <c r="G257" s="162">
        <f t="shared" si="91"/>
        <v>9.718670076726342E-2</v>
      </c>
      <c r="H257" s="164">
        <f t="shared" si="92"/>
        <v>8.6486486486486491E-2</v>
      </c>
      <c r="I257" s="96"/>
      <c r="J257" s="96"/>
      <c r="K257" s="166"/>
      <c r="L257" s="166"/>
      <c r="M257" s="166"/>
      <c r="N257" s="166"/>
      <c r="O257" s="166"/>
      <c r="P257" s="166"/>
      <c r="Q257" s="166"/>
      <c r="R257" s="167"/>
      <c r="S257" s="159"/>
      <c r="T257" s="159"/>
      <c r="U257" s="166"/>
      <c r="V257" s="122"/>
      <c r="W257" s="139"/>
      <c r="X257" s="152"/>
      <c r="Y257" s="436" t="str">
        <f t="shared" ref="Y257:Y279" si="94">B257</f>
        <v>Brighton &amp; Hove</v>
      </c>
      <c r="Z257" s="489">
        <f>IF(Year1_Brighton_Hove Year1_LAC_UASC="","",Year1_Brighton_Hove Year1_LAC_UASC)</f>
        <v>34</v>
      </c>
      <c r="AA257" s="372">
        <f>IF(Year2_Brighton_Hove Year2_LAC_UASC="","",Year2_Brighton_Hove Year2_LAC_UASC)</f>
        <v>38</v>
      </c>
      <c r="AB257" s="372">
        <f>IF(Year3_Brighton_Hove Year3_LAC_UASC="","",Year3_Brighton_Hove Year3_LAC_UASC)</f>
        <v>30</v>
      </c>
      <c r="AC257" s="372">
        <f>IF(Year4_Brighton_Hove Year4_LAC_UASC="","",Year4_Brighton_Hove Year4_LAC_UASC)</f>
        <v>38</v>
      </c>
      <c r="AD257" s="577">
        <f>IF(Year5_Brighton_Hove Year5_LAC_UASC="","",Year5_Brighton_Hove Year5_LAC_UASC)</f>
        <v>32</v>
      </c>
      <c r="AE257" s="489">
        <f t="shared" ref="AE257:AE277" si="95">IF(ISNUMBER(Z257),D11,0)</f>
        <v>438</v>
      </c>
      <c r="AF257" s="489">
        <f t="shared" ref="AF257:AF277" si="96">IF(ISNUMBER(AA257),E11,0)</f>
        <v>456</v>
      </c>
      <c r="AG257" s="489">
        <f t="shared" ref="AG257:AG277" si="97">IF(ISNUMBER(AB257),F11,0)</f>
        <v>419</v>
      </c>
      <c r="AH257" s="489">
        <f t="shared" ref="AH257:AH277" si="98">IF(ISNUMBER(AC257),G11,0)</f>
        <v>391</v>
      </c>
      <c r="AI257" s="489">
        <f t="shared" ref="AI257:AI277" si="99">IF(ISNUMBER(AD257),H11,0)</f>
        <v>370</v>
      </c>
      <c r="AJ257" s="184"/>
      <c r="AK257" s="160"/>
    </row>
    <row r="258" spans="1:45" s="87" customFormat="1" ht="12.75" customHeight="1" x14ac:dyDescent="0.2">
      <c r="A258" s="488">
        <f>VLOOKUP(B258,Sheet1!$AQ$4:$AR$25,2,FALSE)</f>
        <v>0</v>
      </c>
      <c r="B258" s="93" t="str">
        <f t="shared" si="87"/>
        <v>Buckinghamshire</v>
      </c>
      <c r="C258" s="85"/>
      <c r="D258" s="162">
        <f t="shared" si="88"/>
        <v>4.1394335511982572E-2</v>
      </c>
      <c r="E258" s="162">
        <f t="shared" si="89"/>
        <v>5.2863436123348019E-2</v>
      </c>
      <c r="F258" s="162">
        <f t="shared" si="90"/>
        <v>7.4152542372881353E-2</v>
      </c>
      <c r="G258" s="162">
        <f t="shared" si="91"/>
        <v>6.0194174757281553E-2</v>
      </c>
      <c r="H258" s="164">
        <f t="shared" si="92"/>
        <v>5.1652892561983473E-2</v>
      </c>
      <c r="I258" s="96"/>
      <c r="J258" s="96"/>
      <c r="K258" s="166"/>
      <c r="L258" s="166"/>
      <c r="M258" s="166"/>
      <c r="N258" s="166"/>
      <c r="O258" s="166"/>
      <c r="P258" s="166"/>
      <c r="Q258" s="166"/>
      <c r="R258" s="167"/>
      <c r="S258" s="159"/>
      <c r="T258" s="159"/>
      <c r="U258" s="166"/>
      <c r="V258" s="122"/>
      <c r="W258" s="139"/>
      <c r="X258" s="152"/>
      <c r="Y258" s="436" t="str">
        <f t="shared" si="94"/>
        <v>Buckinghamshire</v>
      </c>
      <c r="Z258" s="489">
        <f>IF(Year1_Buckinghamshire Year1_LAC_UASC="","",Year1_Buckinghamshire Year1_LAC_UASC)</f>
        <v>19</v>
      </c>
      <c r="AA258" s="372">
        <f>IF(Year2_Buckinghamshire Year2_LAC_UASC="","",Year2_Buckinghamshire Year2_LAC_UASC)</f>
        <v>24</v>
      </c>
      <c r="AB258" s="372">
        <f>IF(Year3_Buckinghamshire Year3_LAC_UASC="","",Year3_Buckinghamshire Year3_LAC_UASC)</f>
        <v>35</v>
      </c>
      <c r="AC258" s="372">
        <f>IF(Year4_Buckinghamshire Year4_LAC_UASC="","",Year4_Buckinghamshire Year4_LAC_UASC)</f>
        <v>31</v>
      </c>
      <c r="AD258" s="577">
        <f>IF(Year5_Buckinghamshire Year5_LAC_UASC="","",Year5_Buckinghamshire Year5_LAC_UASC)</f>
        <v>25</v>
      </c>
      <c r="AE258" s="489">
        <f t="shared" si="95"/>
        <v>459</v>
      </c>
      <c r="AF258" s="489">
        <f t="shared" si="96"/>
        <v>454</v>
      </c>
      <c r="AG258" s="489">
        <f t="shared" si="97"/>
        <v>472</v>
      </c>
      <c r="AH258" s="489">
        <f t="shared" si="98"/>
        <v>515</v>
      </c>
      <c r="AI258" s="489">
        <f t="shared" si="99"/>
        <v>484</v>
      </c>
      <c r="AJ258" s="184"/>
      <c r="AK258" s="160"/>
    </row>
    <row r="259" spans="1:45" s="87" customFormat="1" ht="12.75" customHeight="1" x14ac:dyDescent="0.2">
      <c r="A259" s="488">
        <f>VLOOKUP(B259,Sheet1!$AQ$4:$AR$25,2,FALSE)</f>
        <v>0</v>
      </c>
      <c r="B259" s="93" t="str">
        <f t="shared" si="87"/>
        <v>East Sussex</v>
      </c>
      <c r="C259" s="85"/>
      <c r="D259" s="162">
        <f t="shared" si="88"/>
        <v>3.1307550644567222E-2</v>
      </c>
      <c r="E259" s="162">
        <f t="shared" si="89"/>
        <v>4.3243243243243246E-2</v>
      </c>
      <c r="F259" s="162">
        <f t="shared" si="90"/>
        <v>3.3222591362126248E-2</v>
      </c>
      <c r="G259" s="162">
        <f t="shared" si="91"/>
        <v>0.06</v>
      </c>
      <c r="H259" s="164">
        <f t="shared" si="92"/>
        <v>5.2364864864864864E-2</v>
      </c>
      <c r="I259" s="96"/>
      <c r="J259" s="96"/>
      <c r="K259" s="166"/>
      <c r="L259" s="166"/>
      <c r="M259" s="166"/>
      <c r="N259" s="166"/>
      <c r="O259" s="166"/>
      <c r="P259" s="166"/>
      <c r="Q259" s="166"/>
      <c r="R259" s="167"/>
      <c r="S259" s="159"/>
      <c r="T259" s="159"/>
      <c r="U259" s="166"/>
      <c r="V259" s="122"/>
      <c r="W259" s="139"/>
      <c r="X259" s="152"/>
      <c r="Y259" s="436" t="str">
        <f t="shared" si="94"/>
        <v>East Sussex</v>
      </c>
      <c r="Z259" s="489">
        <f>IF(Year1_East_Sussex Year1_LAC_UASC="","",Year1_East_Sussex Year1_LAC_UASC)</f>
        <v>17</v>
      </c>
      <c r="AA259" s="372">
        <f>IF(Year2_East_Sussex Year2_LAC_UASC="","",Year2_East_Sussex Year2_LAC_UASC)</f>
        <v>24</v>
      </c>
      <c r="AB259" s="372">
        <f>IF(Year3_East_Sussex Year3_LAC_UASC="","",Year3_East_Sussex Year3_LAC_UASC)</f>
        <v>20</v>
      </c>
      <c r="AC259" s="372">
        <f>IF(Year4_East_Sussex Year4_LAC_UASC="","",Year4_East_Sussex Year4_LAC_UASC)</f>
        <v>36</v>
      </c>
      <c r="AD259" s="577">
        <f>IF(Year5_East_Sussex Year5_LAC_UASC="","",Year5_East_Sussex Year5_LAC_UASC)</f>
        <v>31</v>
      </c>
      <c r="AE259" s="489">
        <f t="shared" si="95"/>
        <v>543</v>
      </c>
      <c r="AF259" s="489">
        <f t="shared" si="96"/>
        <v>555</v>
      </c>
      <c r="AG259" s="489">
        <f t="shared" si="97"/>
        <v>602</v>
      </c>
      <c r="AH259" s="489">
        <f t="shared" si="98"/>
        <v>600</v>
      </c>
      <c r="AI259" s="489">
        <f t="shared" si="99"/>
        <v>592</v>
      </c>
      <c r="AJ259" s="184"/>
      <c r="AK259" s="160"/>
    </row>
    <row r="260" spans="1:45" s="87" customFormat="1" ht="12.75" customHeight="1" x14ac:dyDescent="0.2">
      <c r="A260" s="488">
        <f>VLOOKUP(B260,Sheet1!$AQ$4:$AR$25,2,FALSE)</f>
        <v>0</v>
      </c>
      <c r="B260" s="93" t="str">
        <f t="shared" si="87"/>
        <v>Hampshire</v>
      </c>
      <c r="C260" s="85"/>
      <c r="D260" s="162">
        <f t="shared" si="88"/>
        <v>2.2222222222222223E-2</v>
      </c>
      <c r="E260" s="162">
        <f t="shared" si="89"/>
        <v>5.5555555555555552E-2</v>
      </c>
      <c r="F260" s="162">
        <f t="shared" si="90"/>
        <v>7.0890840652446677E-2</v>
      </c>
      <c r="G260" s="162">
        <f t="shared" si="91"/>
        <v>7.9927884615384609E-2</v>
      </c>
      <c r="H260" s="164">
        <f t="shared" si="92"/>
        <v>5.305867665418227E-2</v>
      </c>
      <c r="I260" s="96"/>
      <c r="J260" s="96"/>
      <c r="K260" s="166"/>
      <c r="L260" s="166"/>
      <c r="M260" s="166"/>
      <c r="N260" s="166"/>
      <c r="O260" s="166"/>
      <c r="P260" s="166"/>
      <c r="Q260" s="166"/>
      <c r="R260" s="167"/>
      <c r="S260" s="159"/>
      <c r="T260" s="159"/>
      <c r="U260" s="166"/>
      <c r="V260" s="122"/>
      <c r="W260" s="139"/>
      <c r="X260" s="152"/>
      <c r="Y260" s="436" t="str">
        <f t="shared" si="94"/>
        <v>Hampshire</v>
      </c>
      <c r="Z260" s="489">
        <f>IF(Year1_Hampshire Year1_LAC_UASC="","",Year1_Hampshire Year1_LAC_UASC)</f>
        <v>29</v>
      </c>
      <c r="AA260" s="372">
        <f>IF(Year2_Hampshire Year2_LAC_UASC="","",Year2_Hampshire Year2_LAC_UASC)</f>
        <v>80</v>
      </c>
      <c r="AB260" s="372">
        <f>IF(Year3_Hampshire Year3_LAC_UASC="","",Year3_Hampshire Year3_LAC_UASC)</f>
        <v>113</v>
      </c>
      <c r="AC260" s="372">
        <f>IF(Year4_Hampshire Year4_LAC_UASC="","",Year4_Hampshire Year4_LAC_UASC)</f>
        <v>133</v>
      </c>
      <c r="AD260" s="577">
        <f>IF(Year5_Hampshire Year5_LAC_UASC="","",Year5_Hampshire Year5_LAC_UASC)</f>
        <v>85</v>
      </c>
      <c r="AE260" s="489">
        <f t="shared" si="95"/>
        <v>1305</v>
      </c>
      <c r="AF260" s="489">
        <f t="shared" si="96"/>
        <v>1440</v>
      </c>
      <c r="AG260" s="489">
        <f t="shared" si="97"/>
        <v>1594</v>
      </c>
      <c r="AH260" s="489">
        <f t="shared" si="98"/>
        <v>1664</v>
      </c>
      <c r="AI260" s="489">
        <f t="shared" si="99"/>
        <v>1602</v>
      </c>
      <c r="AJ260" s="184"/>
      <c r="AK260" s="160"/>
    </row>
    <row r="261" spans="1:45" s="87" customFormat="1" ht="12.75" customHeight="1" x14ac:dyDescent="0.2">
      <c r="A261" s="488">
        <f>VLOOKUP(B261,Sheet1!$AQ$4:$AR$25,2,FALSE)</f>
        <v>0</v>
      </c>
      <c r="B261" s="93" t="str">
        <f t="shared" si="87"/>
        <v>Isle of Wight</v>
      </c>
      <c r="C261" s="85"/>
      <c r="D261" s="162">
        <f t="shared" si="88"/>
        <v>0</v>
      </c>
      <c r="E261" s="162" t="e">
        <f t="shared" si="89"/>
        <v>#N/A</v>
      </c>
      <c r="F261" s="162">
        <f t="shared" si="90"/>
        <v>3.0973451327433628E-2</v>
      </c>
      <c r="G261" s="162">
        <f t="shared" si="91"/>
        <v>2.4691358024691357E-2</v>
      </c>
      <c r="H261" s="164" t="e">
        <f t="shared" si="92"/>
        <v>#N/A</v>
      </c>
      <c r="I261" s="96"/>
      <c r="J261" s="96"/>
      <c r="K261" s="166"/>
      <c r="L261" s="166"/>
      <c r="M261" s="166"/>
      <c r="N261" s="166"/>
      <c r="O261" s="166"/>
      <c r="P261" s="166"/>
      <c r="Q261" s="166"/>
      <c r="R261" s="167"/>
      <c r="S261" s="159"/>
      <c r="T261" s="159"/>
      <c r="U261" s="166"/>
      <c r="V261" s="122"/>
      <c r="W261" s="139"/>
      <c r="X261" s="152"/>
      <c r="Y261" s="436" t="str">
        <f t="shared" si="94"/>
        <v>Isle of Wight</v>
      </c>
      <c r="Z261" s="489">
        <f>IF(Year1_Isle_of_Wight Year1_LAC_UASC="","",Year1_Isle_of_Wight Year1_LAC_UASC)</f>
        <v>0</v>
      </c>
      <c r="AA261" s="372" t="str">
        <f>IF(Year2_Isle_of_Wight Year2_LAC_UASC="","",Year2_Isle_of_Wight Year2_LAC_UASC)</f>
        <v>c</v>
      </c>
      <c r="AB261" s="372">
        <f>IF(Year3_Isle_of_Wight Year3_LAC_UASC="","",Year3_Isle_of_Wight Year3_LAC_UASC)</f>
        <v>7</v>
      </c>
      <c r="AC261" s="372">
        <f>IF(Year4_Isle_of_Wight Year4_LAC_UASC="","",Year4_Isle_of_Wight Year4_LAC_UASC)</f>
        <v>6</v>
      </c>
      <c r="AD261" s="577" t="str">
        <f>IF(Year5_Isle_of_Wight Year5_LAC_UASC="","",Year5_Isle_of_Wight Year5_LAC_UASC)</f>
        <v>c</v>
      </c>
      <c r="AE261" s="489">
        <f t="shared" si="95"/>
        <v>204</v>
      </c>
      <c r="AF261" s="489">
        <f t="shared" si="96"/>
        <v>0</v>
      </c>
      <c r="AG261" s="489">
        <f t="shared" si="97"/>
        <v>226</v>
      </c>
      <c r="AH261" s="489">
        <f t="shared" si="98"/>
        <v>243</v>
      </c>
      <c r="AI261" s="489">
        <f t="shared" si="99"/>
        <v>0</v>
      </c>
      <c r="AJ261" s="184"/>
      <c r="AK261" s="160"/>
      <c r="AS261" s="87" t="s">
        <v>102</v>
      </c>
    </row>
    <row r="262" spans="1:45" s="87" customFormat="1" ht="12.75" customHeight="1" x14ac:dyDescent="0.2">
      <c r="A262" s="488">
        <f>VLOOKUP(B262,Sheet1!$AQ$4:$AR$25,2,FALSE)</f>
        <v>0</v>
      </c>
      <c r="B262" s="93" t="str">
        <f t="shared" si="87"/>
        <v>Kent</v>
      </c>
      <c r="C262" s="85"/>
      <c r="D262" s="162">
        <f t="shared" si="88"/>
        <v>0.37510803802938636</v>
      </c>
      <c r="E262" s="162">
        <f t="shared" si="89"/>
        <v>0.25460284061020516</v>
      </c>
      <c r="F262" s="162">
        <f t="shared" si="90"/>
        <v>0.14259597806215721</v>
      </c>
      <c r="G262" s="162">
        <f t="shared" si="91"/>
        <v>0.16037735849056603</v>
      </c>
      <c r="H262" s="164">
        <f t="shared" si="92"/>
        <v>0.23574986164914222</v>
      </c>
      <c r="I262" s="96"/>
      <c r="J262" s="96"/>
      <c r="K262" s="166"/>
      <c r="L262" s="166"/>
      <c r="M262" s="166"/>
      <c r="N262" s="166"/>
      <c r="O262" s="166"/>
      <c r="P262" s="166"/>
      <c r="Q262" s="166"/>
      <c r="R262" s="167"/>
      <c r="S262" s="159"/>
      <c r="T262" s="159"/>
      <c r="U262" s="166"/>
      <c r="V262" s="122"/>
      <c r="W262" s="139"/>
      <c r="X262" s="152"/>
      <c r="Y262" s="436" t="str">
        <f t="shared" si="94"/>
        <v>Kent</v>
      </c>
      <c r="Z262" s="489">
        <f>IF(Year1_Kent Year1_LAC_UASC="","",Year1_Kent Year1_LAC_UASC)</f>
        <v>868</v>
      </c>
      <c r="AA262" s="372">
        <f>IF(Year2_Kent Year2_LAC_UASC="","",Year2_Kent Year2_LAC_UASC)</f>
        <v>484</v>
      </c>
      <c r="AB262" s="372">
        <f>IF(Year3_Kent Year3_LAC_UASC="","",Year3_Kent Year3_LAC_UASC)</f>
        <v>234</v>
      </c>
      <c r="AC262" s="372">
        <f>IF(Year4_Kent Year4_LAC_UASC="","",Year4_Kent Year4_LAC_UASC)</f>
        <v>255</v>
      </c>
      <c r="AD262" s="577">
        <f>IF(Year5_Kent Year5_LAC_UASC="","",Year5_Kent Year5_LAC_UASC)</f>
        <v>426</v>
      </c>
      <c r="AE262" s="489">
        <f t="shared" si="95"/>
        <v>2314</v>
      </c>
      <c r="AF262" s="489">
        <f t="shared" si="96"/>
        <v>1901</v>
      </c>
      <c r="AG262" s="489">
        <f t="shared" si="97"/>
        <v>1641</v>
      </c>
      <c r="AH262" s="489">
        <f t="shared" si="98"/>
        <v>1590</v>
      </c>
      <c r="AI262" s="489">
        <f t="shared" si="99"/>
        <v>1807</v>
      </c>
      <c r="AJ262" s="184"/>
      <c r="AK262" s="160"/>
    </row>
    <row r="263" spans="1:45" s="87" customFormat="1" ht="12.75" customHeight="1" x14ac:dyDescent="0.2">
      <c r="A263" s="488">
        <f>VLOOKUP(B263,Sheet1!$AQ$4:$AR$25,2,FALSE)</f>
        <v>0</v>
      </c>
      <c r="B263" s="93" t="str">
        <f t="shared" si="87"/>
        <v>Medway</v>
      </c>
      <c r="C263" s="85"/>
      <c r="D263" s="162" t="e">
        <f t="shared" si="88"/>
        <v>#N/A</v>
      </c>
      <c r="E263" s="162" t="e">
        <f t="shared" si="89"/>
        <v>#N/A</v>
      </c>
      <c r="F263" s="162" t="e">
        <f t="shared" si="90"/>
        <v>#N/A</v>
      </c>
      <c r="G263" s="162">
        <f t="shared" si="91"/>
        <v>2.5943396226415096E-2</v>
      </c>
      <c r="H263" s="164">
        <f t="shared" si="92"/>
        <v>1.8779342723004695E-2</v>
      </c>
      <c r="I263" s="96"/>
      <c r="J263" s="96"/>
      <c r="K263" s="166"/>
      <c r="L263" s="166"/>
      <c r="M263" s="166"/>
      <c r="N263" s="166"/>
      <c r="O263" s="166"/>
      <c r="P263" s="166"/>
      <c r="Q263" s="166"/>
      <c r="R263" s="167"/>
      <c r="S263" s="159"/>
      <c r="T263" s="159"/>
      <c r="U263" s="166"/>
      <c r="V263" s="122"/>
      <c r="W263" s="139"/>
      <c r="X263" s="152"/>
      <c r="Y263" s="436" t="str">
        <f t="shared" si="94"/>
        <v>Medway</v>
      </c>
      <c r="Z263" s="489" t="str">
        <f>IF(Year1_Medway Year1_LAC_UASC="","",Year1_Medway Year1_LAC_UASC)</f>
        <v>c</v>
      </c>
      <c r="AA263" s="372" t="str">
        <f>IF(Year2_Medway Year2_LAC_UASC="","",Year2_Medway Year2_LAC_UASC)</f>
        <v>c</v>
      </c>
      <c r="AB263" s="372" t="str">
        <f>IF(Year3_Medway Year3_LAC_UASC="","",Year3_Medway Year3_LAC_UASC)</f>
        <v>c</v>
      </c>
      <c r="AC263" s="372">
        <f>IF(Year4_Medway Year4_LAC_UASC="","",Year4_Medway Year4_LAC_UASC)</f>
        <v>11</v>
      </c>
      <c r="AD263" s="577">
        <f>IF(Year5_Medway Year5_LAC_UASC="","",Year5_Medway Year5_LAC_UASC)</f>
        <v>8</v>
      </c>
      <c r="AE263" s="489">
        <f t="shared" si="95"/>
        <v>0</v>
      </c>
      <c r="AF263" s="489">
        <f t="shared" si="96"/>
        <v>0</v>
      </c>
      <c r="AG263" s="489">
        <f t="shared" si="97"/>
        <v>0</v>
      </c>
      <c r="AH263" s="489">
        <f t="shared" si="98"/>
        <v>424</v>
      </c>
      <c r="AI263" s="489">
        <f t="shared" si="99"/>
        <v>426</v>
      </c>
      <c r="AJ263" s="184"/>
      <c r="AK263" s="160"/>
    </row>
    <row r="264" spans="1:45" s="87" customFormat="1" ht="12.75" customHeight="1" x14ac:dyDescent="0.2">
      <c r="A264" s="488">
        <f>VLOOKUP(B264,Sheet1!$AQ$4:$AR$25,2,FALSE)</f>
        <v>0</v>
      </c>
      <c r="B264" s="93" t="str">
        <f t="shared" si="87"/>
        <v>Milton Keynes</v>
      </c>
      <c r="C264" s="85"/>
      <c r="D264" s="162">
        <f t="shared" si="88"/>
        <v>0.11884057971014493</v>
      </c>
      <c r="E264" s="162">
        <f t="shared" si="89"/>
        <v>0.10353535353535354</v>
      </c>
      <c r="F264" s="162">
        <f t="shared" si="90"/>
        <v>7.6142131979695438E-2</v>
      </c>
      <c r="G264" s="162">
        <f t="shared" si="91"/>
        <v>6.0367454068241469E-2</v>
      </c>
      <c r="H264" s="164">
        <f t="shared" si="92"/>
        <v>7.9404466501240695E-2</v>
      </c>
      <c r="I264" s="96"/>
      <c r="J264" s="96"/>
      <c r="K264" s="166"/>
      <c r="L264" s="166"/>
      <c r="M264" s="166"/>
      <c r="N264" s="166"/>
      <c r="O264" s="166"/>
      <c r="P264" s="166"/>
      <c r="Q264" s="166"/>
      <c r="R264" s="167"/>
      <c r="S264" s="159"/>
      <c r="T264" s="159"/>
      <c r="U264" s="166"/>
      <c r="V264" s="122"/>
      <c r="W264" s="139"/>
      <c r="X264" s="152"/>
      <c r="Y264" s="436" t="str">
        <f t="shared" si="94"/>
        <v>Milton Keynes</v>
      </c>
      <c r="Z264" s="489">
        <f>IF(Year1_Milton_Keynes Year1_LAC_UASC="","",Year1_Milton_Keynes Year1_LAC_UASC)</f>
        <v>41</v>
      </c>
      <c r="AA264" s="372">
        <f>IF(Year2_Milton_Keynes Year2_LAC_UASC="","",Year2_Milton_Keynes Year2_LAC_UASC)</f>
        <v>41</v>
      </c>
      <c r="AB264" s="372">
        <f>IF(Year3_Milton_Keynes Year3_LAC_UASC="","",Year3_Milton_Keynes Year3_LAC_UASC)</f>
        <v>30</v>
      </c>
      <c r="AC264" s="372">
        <f>IF(Year4_Milton_Keynes Year4_LAC_UASC="","",Year4_Milton_Keynes Year4_LAC_UASC)</f>
        <v>23</v>
      </c>
      <c r="AD264" s="577">
        <f>IF(Year5_Milton_Keynes Year5_LAC_UASC="","",Year5_Milton_Keynes Year5_LAC_UASC)</f>
        <v>32</v>
      </c>
      <c r="AE264" s="489">
        <f t="shared" si="95"/>
        <v>345</v>
      </c>
      <c r="AF264" s="489">
        <f t="shared" si="96"/>
        <v>396</v>
      </c>
      <c r="AG264" s="489">
        <f t="shared" si="97"/>
        <v>394</v>
      </c>
      <c r="AH264" s="489">
        <f t="shared" si="98"/>
        <v>381</v>
      </c>
      <c r="AI264" s="489">
        <f t="shared" si="99"/>
        <v>403</v>
      </c>
      <c r="AJ264" s="184"/>
      <c r="AK264" s="160"/>
    </row>
    <row r="265" spans="1:45" s="87" customFormat="1" ht="12.75" customHeight="1" x14ac:dyDescent="0.2">
      <c r="A265" s="488">
        <f>VLOOKUP(B265,Sheet1!$AQ$4:$AR$25,2,FALSE)</f>
        <v>0</v>
      </c>
      <c r="B265" s="93" t="str">
        <f t="shared" si="87"/>
        <v>Oxfordshire</v>
      </c>
      <c r="C265" s="85"/>
      <c r="D265" s="162">
        <f t="shared" si="88"/>
        <v>9.7807757166947729E-2</v>
      </c>
      <c r="E265" s="162">
        <f t="shared" si="89"/>
        <v>8.1081081081081086E-2</v>
      </c>
      <c r="F265" s="162">
        <f t="shared" si="90"/>
        <v>8.3333333333333329E-2</v>
      </c>
      <c r="G265" s="162">
        <f t="shared" si="91"/>
        <v>8.2156611039794603E-2</v>
      </c>
      <c r="H265" s="164">
        <f t="shared" si="92"/>
        <v>6.6492829204693613E-2</v>
      </c>
      <c r="I265" s="96"/>
      <c r="J265" s="96"/>
      <c r="K265" s="166"/>
      <c r="L265" s="166"/>
      <c r="M265" s="166"/>
      <c r="N265" s="166"/>
      <c r="O265" s="166"/>
      <c r="P265" s="166"/>
      <c r="Q265" s="166"/>
      <c r="R265" s="167"/>
      <c r="S265" s="159"/>
      <c r="T265" s="159"/>
      <c r="U265" s="166"/>
      <c r="V265" s="122"/>
      <c r="W265" s="139"/>
      <c r="X265" s="152"/>
      <c r="Y265" s="436" t="str">
        <f t="shared" si="94"/>
        <v>Oxfordshire</v>
      </c>
      <c r="Z265" s="489">
        <f>IF(Year1_Oxfordshire Year1_LAC_UASC="","",Year1_Oxfordshire Year1_LAC_UASC)</f>
        <v>58</v>
      </c>
      <c r="AA265" s="372">
        <f>IF(Year2_Oxfordshire Year2_LAC_UASC="","",Year2_Oxfordshire Year2_LAC_UASC)</f>
        <v>54</v>
      </c>
      <c r="AB265" s="372">
        <f>IF(Year3_Oxfordshire Year3_LAC_UASC="","",Year3_Oxfordshire Year3_LAC_UASC)</f>
        <v>57</v>
      </c>
      <c r="AC265" s="372">
        <f>IF(Year4_Oxfordshire Year4_LAC_UASC="","",Year4_Oxfordshire Year4_LAC_UASC)</f>
        <v>64</v>
      </c>
      <c r="AD265" s="577">
        <f>IF(Year5_Oxfordshire Year5_LAC_UASC="","",Year5_Oxfordshire Year5_LAC_UASC)</f>
        <v>51</v>
      </c>
      <c r="AE265" s="489">
        <f t="shared" si="95"/>
        <v>593</v>
      </c>
      <c r="AF265" s="489">
        <f t="shared" si="96"/>
        <v>666</v>
      </c>
      <c r="AG265" s="489">
        <f t="shared" si="97"/>
        <v>684</v>
      </c>
      <c r="AH265" s="489">
        <f t="shared" si="98"/>
        <v>779</v>
      </c>
      <c r="AI265" s="489">
        <f t="shared" si="99"/>
        <v>767</v>
      </c>
      <c r="AJ265" s="184"/>
      <c r="AK265" s="160"/>
    </row>
    <row r="266" spans="1:45" s="87" customFormat="1" ht="12.75" customHeight="1" x14ac:dyDescent="0.2">
      <c r="A266" s="488">
        <f>VLOOKUP(B266,Sheet1!$AQ$4:$AR$25,2,FALSE)</f>
        <v>0</v>
      </c>
      <c r="B266" s="93" t="str">
        <f t="shared" si="87"/>
        <v>Portsmouth</v>
      </c>
      <c r="C266" s="85"/>
      <c r="D266" s="162">
        <f t="shared" si="88"/>
        <v>9.9378881987577633E-2</v>
      </c>
      <c r="E266" s="162">
        <f t="shared" si="89"/>
        <v>0.12569832402234637</v>
      </c>
      <c r="F266" s="162">
        <f t="shared" si="90"/>
        <v>0.17349397590361446</v>
      </c>
      <c r="G266" s="162">
        <f t="shared" si="91"/>
        <v>0.20781893004115226</v>
      </c>
      <c r="H266" s="164">
        <f t="shared" si="92"/>
        <v>0.21244635193133046</v>
      </c>
      <c r="I266" s="96"/>
      <c r="J266" s="96"/>
      <c r="K266" s="166"/>
      <c r="L266" s="166"/>
      <c r="M266" s="166"/>
      <c r="N266" s="166"/>
      <c r="O266" s="166"/>
      <c r="P266" s="166"/>
      <c r="Q266" s="166"/>
      <c r="R266" s="167"/>
      <c r="S266" s="159"/>
      <c r="T266" s="159"/>
      <c r="U266" s="166"/>
      <c r="V266" s="122"/>
      <c r="W266" s="139"/>
      <c r="X266" s="152"/>
      <c r="Y266" s="436" t="str">
        <f t="shared" si="94"/>
        <v>Portsmouth</v>
      </c>
      <c r="Z266" s="489">
        <f>IF(Year1_Portsmouth Year1_LAC_UASC="","",Year1_Portsmouth Year1_LAC_UASC)</f>
        <v>32</v>
      </c>
      <c r="AA266" s="372">
        <f>IF(Year2_Portsmouth Year2_LAC_UASC="","",Year2_Portsmouth Year2_LAC_UASC)</f>
        <v>45</v>
      </c>
      <c r="AB266" s="372">
        <f>IF(Year3_Portsmouth Year3_LAC_UASC="","",Year3_Portsmouth Year3_LAC_UASC)</f>
        <v>72</v>
      </c>
      <c r="AC266" s="372">
        <f>IF(Year4_Portsmouth Year4_LAC_UASC="","",Year4_Portsmouth Year4_LAC_UASC)</f>
        <v>101</v>
      </c>
      <c r="AD266" s="577">
        <f>IF(Year5_Portsmouth Year5_LAC_UASC="","",Year5_Portsmouth Year5_LAC_UASC)</f>
        <v>99</v>
      </c>
      <c r="AE266" s="489">
        <f t="shared" si="95"/>
        <v>322</v>
      </c>
      <c r="AF266" s="489">
        <f t="shared" si="96"/>
        <v>358</v>
      </c>
      <c r="AG266" s="489">
        <f t="shared" si="97"/>
        <v>415</v>
      </c>
      <c r="AH266" s="489">
        <f t="shared" si="98"/>
        <v>486</v>
      </c>
      <c r="AI266" s="489">
        <f t="shared" si="99"/>
        <v>466</v>
      </c>
      <c r="AJ266" s="184"/>
      <c r="AK266" s="160"/>
    </row>
    <row r="267" spans="1:45" s="87" customFormat="1" ht="12.75" customHeight="1" x14ac:dyDescent="0.2">
      <c r="A267" s="488">
        <f>VLOOKUP(B267,Sheet1!$AQ$4:$AR$25,2,FALSE)</f>
        <v>0</v>
      </c>
      <c r="B267" s="93" t="str">
        <f t="shared" si="87"/>
        <v>Reading</v>
      </c>
      <c r="C267" s="85"/>
      <c r="D267" s="162">
        <f t="shared" si="88"/>
        <v>2.7272727272727271E-2</v>
      </c>
      <c r="E267" s="162">
        <f t="shared" si="89"/>
        <v>4.1825095057034217E-2</v>
      </c>
      <c r="F267" s="162">
        <f t="shared" si="90"/>
        <v>3.2258064516129031E-2</v>
      </c>
      <c r="G267" s="162" t="e">
        <f t="shared" si="91"/>
        <v>#N/A</v>
      </c>
      <c r="H267" s="164">
        <f t="shared" si="92"/>
        <v>3.5714285714285712E-2</v>
      </c>
      <c r="I267" s="96"/>
      <c r="J267" s="96"/>
      <c r="K267" s="166"/>
      <c r="L267" s="166"/>
      <c r="M267" s="166"/>
      <c r="N267" s="166"/>
      <c r="O267" s="166"/>
      <c r="P267" s="166"/>
      <c r="Q267" s="166"/>
      <c r="R267" s="167"/>
      <c r="S267" s="159"/>
      <c r="T267" s="159"/>
      <c r="U267" s="166"/>
      <c r="V267" s="122"/>
      <c r="W267" s="139"/>
      <c r="X267" s="152"/>
      <c r="Y267" s="436" t="str">
        <f t="shared" si="94"/>
        <v>Reading</v>
      </c>
      <c r="Z267" s="489">
        <f>IF(Year1_Reading Year1_LAC_UASC="","",Year1_Reading Year1_LAC_UASC)</f>
        <v>6</v>
      </c>
      <c r="AA267" s="372">
        <f>IF(Year2_Reading Year2_LAC_UASC="","",Year2_Reading Year2_LAC_UASC)</f>
        <v>11</v>
      </c>
      <c r="AB267" s="372">
        <f>IF(Year3_Reading Year3_LAC_UASC="","",Year3_Reading Year3_LAC_UASC)</f>
        <v>9</v>
      </c>
      <c r="AC267" s="372" t="str">
        <f>IF(Year4_Reading Year4_LAC_UASC="","",Year4_Reading Year4_LAC_UASC)</f>
        <v>x</v>
      </c>
      <c r="AD267" s="577">
        <f>IF(Year5_Reading Year5_LAC_UASC="","",Year5_Reading Year5_LAC_UASC)</f>
        <v>10</v>
      </c>
      <c r="AE267" s="489">
        <f t="shared" si="95"/>
        <v>220</v>
      </c>
      <c r="AF267" s="489">
        <f t="shared" si="96"/>
        <v>263</v>
      </c>
      <c r="AG267" s="489">
        <f t="shared" si="97"/>
        <v>279</v>
      </c>
      <c r="AH267" s="489">
        <f t="shared" si="98"/>
        <v>0</v>
      </c>
      <c r="AI267" s="489">
        <f t="shared" si="99"/>
        <v>280</v>
      </c>
      <c r="AJ267" s="184"/>
      <c r="AK267" s="160"/>
    </row>
    <row r="268" spans="1:45" s="87" customFormat="1" ht="12.75" customHeight="1" x14ac:dyDescent="0.2">
      <c r="A268" s="488">
        <f>VLOOKUP(B268,Sheet1!$AQ$4:$AR$25,2,FALSE)</f>
        <v>0</v>
      </c>
      <c r="B268" s="93" t="str">
        <f t="shared" si="87"/>
        <v>Slough</v>
      </c>
      <c r="C268" s="85"/>
      <c r="D268" s="162">
        <f t="shared" si="88"/>
        <v>6.7039106145251395E-2</v>
      </c>
      <c r="E268" s="162">
        <f t="shared" si="89"/>
        <v>7.3684210526315783E-2</v>
      </c>
      <c r="F268" s="162">
        <f t="shared" si="90"/>
        <v>3.8834951456310676E-2</v>
      </c>
      <c r="G268" s="162" t="e">
        <f t="shared" si="91"/>
        <v>#N/A</v>
      </c>
      <c r="H268" s="164" t="e">
        <f t="shared" si="92"/>
        <v>#N/A</v>
      </c>
      <c r="I268" s="96"/>
      <c r="J268" s="96"/>
      <c r="K268" s="166"/>
      <c r="L268" s="166"/>
      <c r="M268" s="166"/>
      <c r="N268" s="166"/>
      <c r="O268" s="166"/>
      <c r="P268" s="166"/>
      <c r="Q268" s="166"/>
      <c r="R268" s="167"/>
      <c r="S268" s="159"/>
      <c r="T268" s="159"/>
      <c r="U268" s="166"/>
      <c r="V268" s="122"/>
      <c r="W268" s="139"/>
      <c r="X268" s="152"/>
      <c r="Y268" s="436" t="str">
        <f t="shared" si="94"/>
        <v>Slough</v>
      </c>
      <c r="Z268" s="489">
        <f>IF(Year1_Slough Year1_LAC_UASC="","",Year1_Slough Year1_LAC_UASC)</f>
        <v>12</v>
      </c>
      <c r="AA268" s="372">
        <f>IF(Year2_Slough Year2_LAC_UASC="","",Year2_Slough Year2_LAC_UASC)</f>
        <v>14</v>
      </c>
      <c r="AB268" s="372">
        <f>IF(Year3_Slough Year3_LAC_UASC="","",Year3_Slough Year3_LAC_UASC)</f>
        <v>8</v>
      </c>
      <c r="AC268" s="372" t="str">
        <f>IF(Year4_Slough Year4_LAC_UASC="","",Year4_Slough Year4_LAC_UASC)</f>
        <v>x</v>
      </c>
      <c r="AD268" s="577" t="str">
        <f>IF(Year5_Slough Year5_LAC_UASC="","",Year5_Slough Year5_LAC_UASC)</f>
        <v>c</v>
      </c>
      <c r="AE268" s="489">
        <f t="shared" si="95"/>
        <v>179</v>
      </c>
      <c r="AF268" s="489">
        <f t="shared" si="96"/>
        <v>190</v>
      </c>
      <c r="AG268" s="489">
        <f t="shared" si="97"/>
        <v>206</v>
      </c>
      <c r="AH268" s="489">
        <f t="shared" si="98"/>
        <v>0</v>
      </c>
      <c r="AI268" s="489">
        <f t="shared" si="99"/>
        <v>0</v>
      </c>
      <c r="AJ268" s="184"/>
      <c r="AK268" s="160"/>
    </row>
    <row r="269" spans="1:45" s="87" customFormat="1" ht="12.75" customHeight="1" x14ac:dyDescent="0.2">
      <c r="A269" s="488">
        <f>VLOOKUP(B269,Sheet1!$AQ$4:$AR$25,2,FALSE)</f>
        <v>0</v>
      </c>
      <c r="B269" s="93" t="str">
        <f t="shared" si="87"/>
        <v>Somerset</v>
      </c>
      <c r="C269" s="85"/>
      <c r="D269" s="162" t="e">
        <f t="shared" si="88"/>
        <v>#N/A</v>
      </c>
      <c r="E269" s="162">
        <f t="shared" si="89"/>
        <v>2.9411764705882353E-2</v>
      </c>
      <c r="F269" s="162">
        <f t="shared" si="90"/>
        <v>5.4158607350096713E-2</v>
      </c>
      <c r="G269" s="162">
        <f t="shared" si="91"/>
        <v>2.4344569288389514E-2</v>
      </c>
      <c r="H269" s="164">
        <f t="shared" si="92"/>
        <v>2.0793950850661626E-2</v>
      </c>
      <c r="I269" s="96"/>
      <c r="J269" s="96"/>
      <c r="K269" s="166"/>
      <c r="L269" s="166"/>
      <c r="M269" s="166"/>
      <c r="N269" s="166"/>
      <c r="O269" s="166"/>
      <c r="P269" s="166"/>
      <c r="Q269" s="166"/>
      <c r="R269" s="167"/>
      <c r="S269" s="159"/>
      <c r="T269" s="159"/>
      <c r="U269" s="166"/>
      <c r="V269" s="122"/>
      <c r="W269" s="139"/>
      <c r="X269" s="152"/>
      <c r="Y269" s="436" t="str">
        <f t="shared" si="94"/>
        <v>Somerset</v>
      </c>
      <c r="Z269" s="489" t="str">
        <f>IF(Year1_Somerset Year1_LAC_UASC="","",Year1_Somerset Year1_LAC_UASC)</f>
        <v>c</v>
      </c>
      <c r="AA269" s="372">
        <f>IF(Year2_Somerset Year2_LAC_UASC="","",Year2_Somerset Year2_LAC_UASC)</f>
        <v>14</v>
      </c>
      <c r="AB269" s="372">
        <f>IF(Year3_Somerset Year3_LAC_UASC="","",Year3_Somerset Year3_LAC_UASC)</f>
        <v>28</v>
      </c>
      <c r="AC269" s="372">
        <f>IF(Year4_Somerset Year4_LAC_UASC="","",Year4_Somerset Year4_LAC_UASC)</f>
        <v>13</v>
      </c>
      <c r="AD269" s="577">
        <f>IF(Year5_Somerset Year5_LAC_UASC="","",Year5_Somerset Year5_LAC_UASC)</f>
        <v>11</v>
      </c>
      <c r="AE269" s="489">
        <f t="shared" si="95"/>
        <v>0</v>
      </c>
      <c r="AF269" s="489">
        <f t="shared" si="96"/>
        <v>476</v>
      </c>
      <c r="AG269" s="489">
        <f t="shared" si="97"/>
        <v>517</v>
      </c>
      <c r="AH269" s="489">
        <f t="shared" si="98"/>
        <v>534</v>
      </c>
      <c r="AI269" s="489">
        <f t="shared" si="99"/>
        <v>529</v>
      </c>
      <c r="AJ269" s="184"/>
      <c r="AK269" s="160"/>
    </row>
    <row r="270" spans="1:45" s="87" customFormat="1" ht="12.75" customHeight="1" x14ac:dyDescent="0.2">
      <c r="A270" s="488">
        <f>VLOOKUP(B270,Sheet1!$AQ$4:$AR$25,2,FALSE)</f>
        <v>0</v>
      </c>
      <c r="B270" s="93" t="str">
        <f t="shared" si="87"/>
        <v>Southampton</v>
      </c>
      <c r="C270" s="85"/>
      <c r="D270" s="162" t="e">
        <f t="shared" si="88"/>
        <v>#N/A</v>
      </c>
      <c r="E270" s="162">
        <f t="shared" si="89"/>
        <v>2.0370370370370372E-2</v>
      </c>
      <c r="F270" s="162">
        <f t="shared" si="90"/>
        <v>2.8735632183908046E-2</v>
      </c>
      <c r="G270" s="162">
        <f t="shared" si="91"/>
        <v>3.1185031185031187E-2</v>
      </c>
      <c r="H270" s="164">
        <f t="shared" si="92"/>
        <v>3.0864197530864196E-2</v>
      </c>
      <c r="I270" s="96"/>
      <c r="J270" s="96"/>
      <c r="K270" s="166"/>
      <c r="L270" s="166"/>
      <c r="M270" s="166"/>
      <c r="N270" s="166"/>
      <c r="O270" s="166"/>
      <c r="P270" s="166"/>
      <c r="Q270" s="166"/>
      <c r="R270" s="167"/>
      <c r="S270" s="159"/>
      <c r="T270" s="159"/>
      <c r="U270" s="166"/>
      <c r="V270" s="122"/>
      <c r="W270" s="139"/>
      <c r="X270" s="152"/>
      <c r="Y270" s="436" t="str">
        <f t="shared" si="94"/>
        <v>Southampton</v>
      </c>
      <c r="Z270" s="489" t="str">
        <f>IF(Year1_Southampton Year1_LAC_UASC="","",Year1_Southampton Year1_LAC_UASC)</f>
        <v>c</v>
      </c>
      <c r="AA270" s="372">
        <f>IF(Year2_Southampton Year2_LAC_UASC="","",Year2_Southampton Year2_LAC_UASC)</f>
        <v>11</v>
      </c>
      <c r="AB270" s="372">
        <f>IF(Year3_Southampton Year3_LAC_UASC="","",Year3_Southampton Year3_LAC_UASC)</f>
        <v>15</v>
      </c>
      <c r="AC270" s="372">
        <f>IF(Year4_Southampton Year4_LAC_UASC="","",Year4_Southampton Year4_LAC_UASC)</f>
        <v>15</v>
      </c>
      <c r="AD270" s="577">
        <f>IF(Year5_Southampton Year5_LAC_UASC="","",Year5_Southampton Year5_LAC_UASC)</f>
        <v>15</v>
      </c>
      <c r="AE270" s="489">
        <f t="shared" si="95"/>
        <v>0</v>
      </c>
      <c r="AF270" s="489">
        <f t="shared" si="96"/>
        <v>540</v>
      </c>
      <c r="AG270" s="489">
        <f t="shared" si="97"/>
        <v>522</v>
      </c>
      <c r="AH270" s="489">
        <f t="shared" si="98"/>
        <v>481</v>
      </c>
      <c r="AI270" s="489">
        <f t="shared" si="99"/>
        <v>486</v>
      </c>
      <c r="AJ270" s="184"/>
      <c r="AK270" s="160"/>
    </row>
    <row r="271" spans="1:45" s="87" customFormat="1" ht="12.75" customHeight="1" x14ac:dyDescent="0.2">
      <c r="A271" s="488">
        <f>VLOOKUP(B271,Sheet1!$AQ$4:$AR$25,2,FALSE)</f>
        <v>0</v>
      </c>
      <c r="B271" s="93" t="str">
        <f t="shared" si="87"/>
        <v>Surrey</v>
      </c>
      <c r="C271" s="85"/>
      <c r="D271" s="162">
        <f t="shared" si="88"/>
        <v>0.17416378316032297</v>
      </c>
      <c r="E271" s="162">
        <f t="shared" si="89"/>
        <v>0.16340621403912542</v>
      </c>
      <c r="F271" s="162">
        <f t="shared" si="90"/>
        <v>0.11935483870967742</v>
      </c>
      <c r="G271" s="162">
        <f t="shared" si="91"/>
        <v>0.1171634121274409</v>
      </c>
      <c r="H271" s="164">
        <f t="shared" si="92"/>
        <v>0.11009174311926606</v>
      </c>
      <c r="I271" s="96"/>
      <c r="J271" s="96"/>
      <c r="K271" s="166"/>
      <c r="L271" s="166"/>
      <c r="M271" s="166"/>
      <c r="N271" s="166"/>
      <c r="O271" s="166"/>
      <c r="P271" s="166"/>
      <c r="Q271" s="166"/>
      <c r="R271" s="167"/>
      <c r="S271" s="159"/>
      <c r="T271" s="159"/>
      <c r="U271" s="166"/>
      <c r="V271" s="122"/>
      <c r="W271" s="139"/>
      <c r="X271" s="152"/>
      <c r="Y271" s="436" t="str">
        <f t="shared" si="94"/>
        <v>Surrey</v>
      </c>
      <c r="Z271" s="489">
        <f>IF(Year1_Surrey Year1_LAC_UASC="","",Year1_Surrey Year1_LAC_UASC)</f>
        <v>151</v>
      </c>
      <c r="AA271" s="372">
        <f>IF(Year2_Surrey Year2_LAC_UASC="","",Year2_Surrey Year2_LAC_UASC)</f>
        <v>142</v>
      </c>
      <c r="AB271" s="372">
        <f>IF(Year3_Surrey Year3_LAC_UASC="","",Year3_Surrey Year3_LAC_UASC)</f>
        <v>111</v>
      </c>
      <c r="AC271" s="372">
        <f>IF(Year4_Surrey Year4_LAC_UASC="","",Year4_Surrey Year4_LAC_UASC)</f>
        <v>114</v>
      </c>
      <c r="AD271" s="577">
        <f>IF(Year5_Surrey Year5_LAC_UASC="","",Year5_Surrey Year5_LAC_UASC)</f>
        <v>108</v>
      </c>
      <c r="AE271" s="489">
        <f t="shared" si="95"/>
        <v>867</v>
      </c>
      <c r="AF271" s="489">
        <f t="shared" si="96"/>
        <v>869</v>
      </c>
      <c r="AG271" s="489">
        <f t="shared" si="97"/>
        <v>930</v>
      </c>
      <c r="AH271" s="489">
        <f t="shared" si="98"/>
        <v>973</v>
      </c>
      <c r="AI271" s="489">
        <f t="shared" si="99"/>
        <v>981</v>
      </c>
      <c r="AJ271" s="184"/>
      <c r="AK271" s="160"/>
    </row>
    <row r="272" spans="1:45" s="87" customFormat="1" ht="12.75" customHeight="1" x14ac:dyDescent="0.2">
      <c r="A272" s="488">
        <f>VLOOKUP(B272,Sheet1!$AQ$4:$AR$25,2,FALSE)</f>
        <v>0</v>
      </c>
      <c r="B272" s="93" t="str">
        <f t="shared" si="87"/>
        <v>Swindon</v>
      </c>
      <c r="C272" s="85"/>
      <c r="D272" s="162">
        <f t="shared" si="88"/>
        <v>4.778156996587031E-2</v>
      </c>
      <c r="E272" s="162">
        <f t="shared" si="89"/>
        <v>6.363636363636363E-2</v>
      </c>
      <c r="F272" s="162">
        <f t="shared" si="90"/>
        <v>7.2222222222222215E-2</v>
      </c>
      <c r="G272" s="162">
        <f t="shared" si="91"/>
        <v>6.8965517241379309E-2</v>
      </c>
      <c r="H272" s="164">
        <f t="shared" si="92"/>
        <v>4.9833887043189369E-2</v>
      </c>
      <c r="I272" s="96"/>
      <c r="J272" s="96"/>
      <c r="K272" s="166"/>
      <c r="L272" s="166"/>
      <c r="M272" s="166"/>
      <c r="N272" s="166"/>
      <c r="O272" s="166"/>
      <c r="P272" s="166"/>
      <c r="Q272" s="166"/>
      <c r="R272" s="167"/>
      <c r="S272" s="159"/>
      <c r="T272" s="159"/>
      <c r="U272" s="166"/>
      <c r="V272" s="122"/>
      <c r="W272" s="139"/>
      <c r="X272" s="152"/>
      <c r="Y272" s="436" t="str">
        <f t="shared" si="94"/>
        <v>Swindon</v>
      </c>
      <c r="Z272" s="489">
        <f>IF(Year1_Swindon Year1_LAC_UASC="","",Year1_Swindon Year1_LAC_UASC)</f>
        <v>14</v>
      </c>
      <c r="AA272" s="372">
        <f>IF(Year2_Swindon Year2_LAC_UASC="","",Year2_Swindon Year2_LAC_UASC)</f>
        <v>21</v>
      </c>
      <c r="AB272" s="372">
        <f>IF(Year3_Swindon Year3_LAC_UASC="","",Year3_Swindon Year3_LAC_UASC)</f>
        <v>26</v>
      </c>
      <c r="AC272" s="580">
        <f>IF(Year4_Swindon Year4_LAC_UASC="","",Year4_Swindon Year4_LAC_UASC)</f>
        <v>24</v>
      </c>
      <c r="AD272" s="604">
        <f>IF(Year5_Swindon Year5_LAC_UASC="","",Year5_Swindon Year5_LAC_UASC)</f>
        <v>15</v>
      </c>
      <c r="AE272" s="489">
        <f t="shared" si="95"/>
        <v>293</v>
      </c>
      <c r="AF272" s="489">
        <f t="shared" si="96"/>
        <v>330</v>
      </c>
      <c r="AG272" s="489">
        <f t="shared" si="97"/>
        <v>360</v>
      </c>
      <c r="AH272" s="489">
        <f t="shared" si="98"/>
        <v>348</v>
      </c>
      <c r="AI272" s="489">
        <f t="shared" si="99"/>
        <v>301</v>
      </c>
      <c r="AJ272" s="184"/>
      <c r="AK272" s="160"/>
    </row>
    <row r="273" spans="1:46" s="87" customFormat="1" ht="12.75" customHeight="1" x14ac:dyDescent="0.2">
      <c r="A273" s="488">
        <f>VLOOKUP(B273,Sheet1!$AQ$4:$AR$25,2,FALSE)</f>
        <v>0</v>
      </c>
      <c r="B273" s="93" t="str">
        <f t="shared" si="87"/>
        <v>Torbay</v>
      </c>
      <c r="C273" s="85"/>
      <c r="D273" s="162">
        <f t="shared" si="88"/>
        <v>0</v>
      </c>
      <c r="E273" s="162" t="e">
        <f t="shared" si="89"/>
        <v>#N/A</v>
      </c>
      <c r="F273" s="162" t="e">
        <f t="shared" si="90"/>
        <v>#N/A</v>
      </c>
      <c r="G273" s="162" t="e">
        <f t="shared" si="91"/>
        <v>#N/A</v>
      </c>
      <c r="H273" s="164" t="e">
        <f t="shared" si="92"/>
        <v>#N/A</v>
      </c>
      <c r="I273" s="96"/>
      <c r="J273" s="96"/>
      <c r="K273" s="166"/>
      <c r="L273" s="166"/>
      <c r="M273" s="166"/>
      <c r="N273" s="166"/>
      <c r="O273" s="166"/>
      <c r="P273" s="166"/>
      <c r="Q273" s="166"/>
      <c r="R273" s="167"/>
      <c r="S273" s="159"/>
      <c r="T273" s="159"/>
      <c r="U273" s="166"/>
      <c r="V273" s="122"/>
      <c r="W273" s="139"/>
      <c r="X273" s="152"/>
      <c r="Y273" s="436" t="str">
        <f t="shared" si="94"/>
        <v>Torbay</v>
      </c>
      <c r="Z273" s="489">
        <f>IF(Year1_Torbay Year1_LAC_UASC="","",Year1_Torbay Year1_LAC_UASC)</f>
        <v>0</v>
      </c>
      <c r="AA273" s="372" t="str">
        <f>IF(Year2_Torbay Year2_LAC_UASC="","",Year2_Torbay Year2_LAC_UASC)</f>
        <v>c</v>
      </c>
      <c r="AB273" s="372" t="str">
        <f>IF(Year3_Torbay Year3_LAC_UASC="","",Year3_Torbay Year3_LAC_UASC)</f>
        <v>c</v>
      </c>
      <c r="AC273" s="580" t="str">
        <f>IF(Year4_Torbay Year4_LAC_UASC="","",Year4_Torbay Year4_LAC_UASC)</f>
        <v>x</v>
      </c>
      <c r="AD273" s="604" t="str">
        <f>IF(Year5_Torbay Year5_LAC_UASC="","",Year5_Torbay Year5_LAC_UASC)</f>
        <v>c</v>
      </c>
      <c r="AE273" s="489">
        <f t="shared" si="95"/>
        <v>279</v>
      </c>
      <c r="AF273" s="489">
        <f t="shared" si="96"/>
        <v>0</v>
      </c>
      <c r="AG273" s="489">
        <f t="shared" si="97"/>
        <v>0</v>
      </c>
      <c r="AH273" s="489">
        <f t="shared" si="98"/>
        <v>0</v>
      </c>
      <c r="AI273" s="489">
        <f t="shared" si="99"/>
        <v>0</v>
      </c>
      <c r="AJ273" s="184"/>
      <c r="AK273" s="160"/>
    </row>
    <row r="274" spans="1:46" s="87" customFormat="1" ht="12.75" customHeight="1" x14ac:dyDescent="0.2">
      <c r="A274" s="488">
        <f>VLOOKUP(B274,Sheet1!$AQ$4:$AR$25,2,FALSE)</f>
        <v>0</v>
      </c>
      <c r="B274" s="93" t="str">
        <f t="shared" si="87"/>
        <v>West Berkshire</v>
      </c>
      <c r="C274" s="85"/>
      <c r="D274" s="162">
        <f t="shared" si="88"/>
        <v>8.2802547770700632E-2</v>
      </c>
      <c r="E274" s="162">
        <f t="shared" si="89"/>
        <v>9.9378881987577633E-2</v>
      </c>
      <c r="F274" s="162">
        <f t="shared" si="90"/>
        <v>0.1103448275862069</v>
      </c>
      <c r="G274" s="162">
        <f t="shared" si="91"/>
        <v>0.1744186046511628</v>
      </c>
      <c r="H274" s="164">
        <f t="shared" si="92"/>
        <v>9.5541401273885357E-2</v>
      </c>
      <c r="I274" s="96"/>
      <c r="J274" s="96"/>
      <c r="K274" s="166"/>
      <c r="L274" s="166"/>
      <c r="M274" s="166"/>
      <c r="N274" s="166"/>
      <c r="O274" s="166"/>
      <c r="P274" s="166"/>
      <c r="Q274" s="166"/>
      <c r="R274" s="167"/>
      <c r="S274" s="159"/>
      <c r="T274" s="159"/>
      <c r="U274" s="166"/>
      <c r="V274" s="122"/>
      <c r="W274" s="139"/>
      <c r="X274" s="152"/>
      <c r="Y274" s="436" t="str">
        <f t="shared" si="94"/>
        <v>West Berkshire</v>
      </c>
      <c r="Z274" s="489">
        <f>IF(Year1_West_Berkshire Year1_LAC_UASC="","",Year1_West_Berkshire Year1_LAC_UASC)</f>
        <v>13</v>
      </c>
      <c r="AA274" s="372">
        <f>IF(Year2_West_Berkshire Year2_LAC_UASC="","",Year2_West_Berkshire Year2_LAC_UASC)</f>
        <v>16</v>
      </c>
      <c r="AB274" s="372">
        <f>IF(Year3_West_Berkshire Year3_LAC_UASC="","",Year3_West_Berkshire Year3_LAC_UASC)</f>
        <v>16</v>
      </c>
      <c r="AC274" s="372">
        <f>IF(Year4_West_Berkshire Year4_LAC_UASC="","",Year4_West_Berkshire Year4_LAC_UASC)</f>
        <v>30</v>
      </c>
      <c r="AD274" s="577">
        <f>IF(Year5_West_Berkshire Year5_LAC_UASC="","",Year5_West_Berkshire Year5_LAC_UASC)</f>
        <v>15</v>
      </c>
      <c r="AE274" s="489">
        <f t="shared" si="95"/>
        <v>157</v>
      </c>
      <c r="AF274" s="489">
        <f t="shared" si="96"/>
        <v>161</v>
      </c>
      <c r="AG274" s="489">
        <f t="shared" si="97"/>
        <v>145</v>
      </c>
      <c r="AH274" s="489">
        <f t="shared" si="98"/>
        <v>172</v>
      </c>
      <c r="AI274" s="489">
        <f t="shared" si="99"/>
        <v>157</v>
      </c>
      <c r="AJ274" s="184"/>
      <c r="AK274" s="160"/>
    </row>
    <row r="275" spans="1:46" s="87" customFormat="1" ht="12.75" customHeight="1" x14ac:dyDescent="0.2">
      <c r="A275" s="488">
        <f>VLOOKUP(B275,Sheet1!$AQ$4:$AR$25,2,FALSE)</f>
        <v>0</v>
      </c>
      <c r="B275" s="93" t="str">
        <f t="shared" si="87"/>
        <v>West Sussex</v>
      </c>
      <c r="C275" s="85"/>
      <c r="D275" s="162">
        <f t="shared" si="88"/>
        <v>0.10015649452269171</v>
      </c>
      <c r="E275" s="162">
        <f t="shared" si="89"/>
        <v>0.11010558069381599</v>
      </c>
      <c r="F275" s="162">
        <f t="shared" si="90"/>
        <v>9.8011363636363633E-2</v>
      </c>
      <c r="G275" s="162">
        <f t="shared" si="91"/>
        <v>0.10227272727272728</v>
      </c>
      <c r="H275" s="164">
        <f t="shared" si="92"/>
        <v>9.6534653465346537E-2</v>
      </c>
      <c r="I275" s="96"/>
      <c r="J275" s="96"/>
      <c r="K275" s="166"/>
      <c r="L275" s="166"/>
      <c r="M275" s="166"/>
      <c r="N275" s="166"/>
      <c r="O275" s="166"/>
      <c r="P275" s="166"/>
      <c r="Q275" s="166"/>
      <c r="R275" s="167"/>
      <c r="S275" s="159"/>
      <c r="T275" s="159"/>
      <c r="U275" s="166"/>
      <c r="V275" s="122"/>
      <c r="W275" s="139"/>
      <c r="X275" s="152"/>
      <c r="Y275" s="436" t="str">
        <f t="shared" si="94"/>
        <v>West Sussex</v>
      </c>
      <c r="Z275" s="489">
        <f>IF(Year1_West_Sussex Year1_LAC_UASC="","",Year1_West_Sussex Year1_LAC_UASC)</f>
        <v>64</v>
      </c>
      <c r="AA275" s="372">
        <f>IF(Year2_West_Sussex Year2_LAC_UASC="","",Year2_West_Sussex Year2_LAC_UASC)</f>
        <v>73</v>
      </c>
      <c r="AB275" s="372">
        <f>IF(Year3_West_Sussex Year3_LAC_UASC="","",Year3_West_Sussex Year3_LAC_UASC)</f>
        <v>69</v>
      </c>
      <c r="AC275" s="372">
        <f>IF(Year4_West_Sussex Year4_LAC_UASC="","",Year4_West_Sussex Year4_LAC_UASC)</f>
        <v>72</v>
      </c>
      <c r="AD275" s="577">
        <f>IF(Year5_West_Sussex Year5_LAC_UASC="","",Year5_West_Sussex Year5_LAC_UASC)</f>
        <v>78</v>
      </c>
      <c r="AE275" s="489">
        <f t="shared" si="95"/>
        <v>639</v>
      </c>
      <c r="AF275" s="489">
        <f t="shared" si="96"/>
        <v>663</v>
      </c>
      <c r="AG275" s="489">
        <f t="shared" si="97"/>
        <v>704</v>
      </c>
      <c r="AH275" s="489">
        <f t="shared" si="98"/>
        <v>704</v>
      </c>
      <c r="AI275" s="489">
        <f t="shared" si="99"/>
        <v>808</v>
      </c>
      <c r="AJ275" s="184"/>
      <c r="AK275" s="160"/>
    </row>
    <row r="276" spans="1:46" s="87" customFormat="1" ht="12.75" customHeight="1" x14ac:dyDescent="0.2">
      <c r="A276" s="488">
        <f>VLOOKUP(B276,Sheet1!$AQ$4:$AR$25,2,FALSE)</f>
        <v>0</v>
      </c>
      <c r="B276" s="93" t="str">
        <f t="shared" si="87"/>
        <v>Windsor &amp; Maidenhead</v>
      </c>
      <c r="C276" s="85"/>
      <c r="D276" s="162" t="e">
        <f t="shared" si="88"/>
        <v>#N/A</v>
      </c>
      <c r="E276" s="162">
        <f t="shared" si="89"/>
        <v>6.4220183486238536E-2</v>
      </c>
      <c r="F276" s="162">
        <f t="shared" si="90"/>
        <v>6.5420560747663545E-2</v>
      </c>
      <c r="G276" s="162">
        <f t="shared" si="91"/>
        <v>8.0645161290322578E-2</v>
      </c>
      <c r="H276" s="164" t="e">
        <f t="shared" si="92"/>
        <v>#N/A</v>
      </c>
      <c r="I276" s="96"/>
      <c r="J276" s="96"/>
      <c r="K276" s="166"/>
      <c r="L276" s="166"/>
      <c r="M276" s="166"/>
      <c r="N276" s="166"/>
      <c r="O276" s="166"/>
      <c r="P276" s="166"/>
      <c r="Q276" s="166"/>
      <c r="R276" s="167"/>
      <c r="S276" s="159"/>
      <c r="T276" s="159"/>
      <c r="U276" s="166"/>
      <c r="V276" s="122"/>
      <c r="W276" s="139"/>
      <c r="X276" s="152"/>
      <c r="Y276" s="436" t="str">
        <f t="shared" si="94"/>
        <v>Windsor &amp; Maidenhead</v>
      </c>
      <c r="Z276" s="489" t="str">
        <f>IF(Year1_Windsor_Maidenhead Year1_LAC_UASC="","",Year1_Windsor_Maidenhead Year1_LAC_UASC)</f>
        <v>c</v>
      </c>
      <c r="AA276" s="372">
        <f>IF(Year2_Windsor_Maidenhead Year2_LAC_UASC="","",Year2_Windsor_Maidenhead Year2_LAC_UASC)</f>
        <v>7</v>
      </c>
      <c r="AB276" s="372">
        <f>IF(Year3_Windsor_Maidenhead Year3_LAC_UASC="","",Year3_Windsor_Maidenhead Year3_LAC_UASC)</f>
        <v>7</v>
      </c>
      <c r="AC276" s="372">
        <f>IF(Year4_Windsor_Maidenhead Year4_LAC_UASC="","",Year4_Windsor_Maidenhead Year4_LAC_UASC)</f>
        <v>10</v>
      </c>
      <c r="AD276" s="577" t="str">
        <f>IF(Year5_Windsor_Maidenhead Year5_LAC_UASC="","",Year5_Windsor_Maidenhead Year5_LAC_UASC)</f>
        <v>c</v>
      </c>
      <c r="AE276" s="489">
        <f t="shared" si="95"/>
        <v>0</v>
      </c>
      <c r="AF276" s="489">
        <f t="shared" si="96"/>
        <v>109</v>
      </c>
      <c r="AG276" s="489">
        <f t="shared" si="97"/>
        <v>107</v>
      </c>
      <c r="AH276" s="489">
        <f t="shared" si="98"/>
        <v>124</v>
      </c>
      <c r="AI276" s="489">
        <f t="shared" si="99"/>
        <v>0</v>
      </c>
      <c r="AJ276" s="184"/>
      <c r="AK276" s="160"/>
    </row>
    <row r="277" spans="1:46" s="87" customFormat="1" ht="12.75" customHeight="1" x14ac:dyDescent="0.2">
      <c r="A277" s="488">
        <f>VLOOKUP(B277,Sheet1!$AQ$4:$AR$25,2,FALSE)</f>
        <v>0</v>
      </c>
      <c r="B277" s="93" t="str">
        <f t="shared" si="87"/>
        <v>Wokingham</v>
      </c>
      <c r="C277" s="85"/>
      <c r="D277" s="162" t="e">
        <f t="shared" si="88"/>
        <v>#N/A</v>
      </c>
      <c r="E277" s="162">
        <f t="shared" si="89"/>
        <v>0.10666666666666667</v>
      </c>
      <c r="F277" s="162">
        <f t="shared" si="90"/>
        <v>0.13207547169811321</v>
      </c>
      <c r="G277" s="162">
        <f t="shared" si="91"/>
        <v>0.10909090909090909</v>
      </c>
      <c r="H277" s="164">
        <f t="shared" si="92"/>
        <v>7.1428571428571425E-2</v>
      </c>
      <c r="I277" s="96"/>
      <c r="J277" s="96"/>
      <c r="K277" s="166"/>
      <c r="L277" s="166"/>
      <c r="M277" s="166"/>
      <c r="N277" s="166"/>
      <c r="O277" s="166"/>
      <c r="P277" s="166"/>
      <c r="Q277" s="166"/>
      <c r="R277" s="167"/>
      <c r="S277" s="159"/>
      <c r="T277" s="159"/>
      <c r="U277" s="166"/>
      <c r="V277" s="122"/>
      <c r="W277" s="139"/>
      <c r="X277" s="152"/>
      <c r="Y277" s="436" t="str">
        <f t="shared" si="94"/>
        <v>Wokingham</v>
      </c>
      <c r="Z277" s="489" t="str">
        <f>IF(Year1_Wokingham Year1_LAC_UASC="","",Year1_Wokingham Year1_LAC_UASC)</f>
        <v>c</v>
      </c>
      <c r="AA277" s="372">
        <f>IF(Year2_Wokingham Year2_LAC_UASC="","",Year2_Wokingham Year2_LAC_UASC)</f>
        <v>8</v>
      </c>
      <c r="AB277" s="372">
        <f>IF(Year3_Wokingham Year3_LAC_UASC="","",Year3_Wokingham Year3_LAC_UASC)</f>
        <v>14</v>
      </c>
      <c r="AC277" s="372">
        <f>IF(Year4_Wokingham Year4_LAC_UASC="","",Year4_Wokingham Year4_LAC_UASC)</f>
        <v>12</v>
      </c>
      <c r="AD277" s="577">
        <f>IF(Year5_Wokingham Year5_LAC_UASC="","",Year5_Wokingham Year5_LAC_UASC)</f>
        <v>7</v>
      </c>
      <c r="AE277" s="489">
        <f t="shared" si="95"/>
        <v>0</v>
      </c>
      <c r="AF277" s="489">
        <f t="shared" si="96"/>
        <v>75</v>
      </c>
      <c r="AG277" s="489">
        <f t="shared" si="97"/>
        <v>106</v>
      </c>
      <c r="AH277" s="489">
        <f t="shared" si="98"/>
        <v>110</v>
      </c>
      <c r="AI277" s="489">
        <f t="shared" si="99"/>
        <v>98</v>
      </c>
      <c r="AJ277" s="184"/>
      <c r="AK277" s="160"/>
    </row>
    <row r="278" spans="1:46" s="87" customFormat="1" ht="12.75" x14ac:dyDescent="0.2">
      <c r="A278" s="121"/>
      <c r="B278" s="129" t="str">
        <f t="shared" si="87"/>
        <v>South East</v>
      </c>
      <c r="C278" s="85"/>
      <c r="D278" s="163">
        <f>IF(AND(ISNUMBER(AE278),ISNUMBER(Z278)),Z278/AE278,NA())</f>
        <v>0.15841584158415842</v>
      </c>
      <c r="E278" s="163">
        <f t="shared" ref="E278:H278" si="100">IF(AND(ISNUMBER(AF278),ISNUMBER(AA278)),AA278/AF278,NA())</f>
        <v>0.11873350923482849</v>
      </c>
      <c r="F278" s="163">
        <f t="shared" si="100"/>
        <v>8.9985178911708666E-2</v>
      </c>
      <c r="G278" s="163">
        <f t="shared" si="100"/>
        <v>9.961606309017329E-2</v>
      </c>
      <c r="H278" s="165">
        <f t="shared" si="100"/>
        <v>0.10691888557623111</v>
      </c>
      <c r="I278" s="96"/>
      <c r="J278" s="96"/>
      <c r="K278" s="168"/>
      <c r="L278" s="168"/>
      <c r="M278" s="168"/>
      <c r="N278" s="168"/>
      <c r="O278" s="168"/>
      <c r="P278" s="168"/>
      <c r="Q278" s="168"/>
      <c r="R278" s="169"/>
      <c r="S278" s="159"/>
      <c r="T278" s="159"/>
      <c r="U278" s="170"/>
      <c r="V278" s="122"/>
      <c r="W278" s="139"/>
      <c r="X278" s="152"/>
      <c r="Y278" s="436" t="str">
        <f t="shared" si="94"/>
        <v>South East</v>
      </c>
      <c r="Z278" s="607">
        <f>IF(Year1_SouthEast Year1_LAC_UASC="","",Year1_SouthEast Year1_LAC_UASC)</f>
        <v>1360</v>
      </c>
      <c r="AA278" s="607">
        <f>IF(Year2_SouthEast Year2_LAC_UASC="","",Year2_SouthEast Year2_LAC_UASC)</f>
        <v>1080</v>
      </c>
      <c r="AB278" s="607">
        <f>IF(Year3_SouthEast Year3_LAC_UASC="","",Year3_SouthEast Year3_LAC_UASC)</f>
        <v>850</v>
      </c>
      <c r="AC278" s="372">
        <f>IF(Year4_SouthEast Year4_LAC_UASC="","",Year4_SouthEast Year4_LAC_UASC)</f>
        <v>960</v>
      </c>
      <c r="AD278" s="577">
        <f>IF(Year5_SouthEast Year5_LAC_UASC="","",Year5_SouthEast Year5_LAC_UASC)</f>
        <v>1040</v>
      </c>
      <c r="AE278" s="607">
        <f>SUM(AE256:AE268,AE270:AE271,AE274:AE277)</f>
        <v>8585</v>
      </c>
      <c r="AF278" s="607">
        <f t="shared" ref="AF278" si="101">SUM(AF256:AF268,AF270:AF271,AF274:AF277)</f>
        <v>9096</v>
      </c>
      <c r="AG278" s="607">
        <f t="shared" ref="AG278" si="102">SUM(AG256:AG268,AG270:AG271,AG274:AG277)</f>
        <v>9446</v>
      </c>
      <c r="AH278" s="607">
        <f t="shared" ref="AH278" si="103">SUM(AH256:AH268,AH270:AH271,AH274:AH277)</f>
        <v>9637</v>
      </c>
      <c r="AI278" s="607">
        <f>SUM(AI256:AI268,AI270:AI271,AI274:AI277)</f>
        <v>9727</v>
      </c>
      <c r="AJ278" s="184"/>
      <c r="AK278" s="160"/>
    </row>
    <row r="279" spans="1:46" s="87" customFormat="1" ht="12.75" x14ac:dyDescent="0.2">
      <c r="A279" s="121"/>
      <c r="B279" s="329" t="str">
        <f t="shared" si="87"/>
        <v>England</v>
      </c>
      <c r="C279" s="85"/>
      <c r="D279" s="351">
        <f t="shared" si="88"/>
        <v>6.1638971736969181E-2</v>
      </c>
      <c r="E279" s="351">
        <f t="shared" si="89"/>
        <v>6.4729376118991877E-2</v>
      </c>
      <c r="F279" s="351">
        <f t="shared" si="90"/>
        <v>6.0368847021361284E-2</v>
      </c>
      <c r="G279" s="351">
        <f>IF(AND(ISNUMBER(G33),ISNUMBER(AC279)),AC279/G33,NA())</f>
        <v>6.4875239923224567E-2</v>
      </c>
      <c r="H279" s="352">
        <f>IF(AND(ISNUMBER(H33),ISNUMBER(AD279)),AD279/H33,NA())</f>
        <v>6.243756243756244E-2</v>
      </c>
      <c r="I279" s="96"/>
      <c r="J279" s="96"/>
      <c r="K279" s="168"/>
      <c r="L279" s="168"/>
      <c r="M279" s="168"/>
      <c r="N279" s="168"/>
      <c r="O279" s="168"/>
      <c r="P279" s="168"/>
      <c r="Q279" s="168"/>
      <c r="R279" s="169"/>
      <c r="S279" s="159"/>
      <c r="T279" s="159"/>
      <c r="U279" s="170"/>
      <c r="V279" s="122"/>
      <c r="W279" s="139"/>
      <c r="X279" s="152"/>
      <c r="Y279" s="436" t="str">
        <f t="shared" si="94"/>
        <v>England</v>
      </c>
      <c r="Z279" s="607">
        <f>IF(Year1_England Year1_LAC_UASC="","",Year1_England Year1_LAC_UASC)</f>
        <v>4340</v>
      </c>
      <c r="AA279" s="607">
        <f>IF(Year2_England Year2_LAC_UASC="","",Year2_England Year2_LAC_UASC)</f>
        <v>4700</v>
      </c>
      <c r="AB279" s="607">
        <f>IF(Year3_England Year3_LAC_UASC="","",Year3_England Year3_LAC_UASC)</f>
        <v>4550</v>
      </c>
      <c r="AC279" s="372">
        <f>IF(Year4_England Year4_LAC_UASC="","",Year4_England Year4_LAC_UASC)</f>
        <v>5070</v>
      </c>
      <c r="AD279" s="577">
        <f>IF(Year5_England Year5_LAC_UASC="","",Year5_England Year5_LAC_UASC)</f>
        <v>5000</v>
      </c>
      <c r="AE279" s="1496">
        <f t="shared" ref="AE279" si="104">IF(ISNUMBER(Z279),D33,0)</f>
        <v>70410</v>
      </c>
      <c r="AF279" s="1496">
        <f t="shared" ref="AF279" si="105">IF(ISNUMBER(AA279),E33,0)</f>
        <v>72610</v>
      </c>
      <c r="AG279" s="1496">
        <f t="shared" ref="AG279" si="106">IF(ISNUMBER(AB279),F33,0)</f>
        <v>75370</v>
      </c>
      <c r="AH279" s="1496">
        <f t="shared" ref="AH279" si="107">IF(ISNUMBER(AC279),G33,0)</f>
        <v>78150</v>
      </c>
      <c r="AI279" s="1496">
        <f t="shared" ref="AI279" si="108">IF(ISNUMBER(AD279),H33,0)</f>
        <v>80080</v>
      </c>
      <c r="AJ279" s="184"/>
      <c r="AK279" s="160"/>
    </row>
    <row r="280" spans="1:46" s="87" customFormat="1" ht="7.5" customHeight="1" x14ac:dyDescent="0.2">
      <c r="A280" s="292"/>
      <c r="B280" s="96"/>
      <c r="C280" s="96"/>
      <c r="D280" s="96"/>
      <c r="E280" s="96"/>
      <c r="F280" s="96"/>
      <c r="G280" s="96"/>
      <c r="H280" s="96"/>
      <c r="I280" s="96"/>
      <c r="J280" s="96"/>
      <c r="K280" s="168"/>
      <c r="L280" s="168"/>
      <c r="M280" s="168"/>
      <c r="N280" s="168"/>
      <c r="O280" s="168"/>
      <c r="P280" s="168"/>
      <c r="Q280" s="168"/>
      <c r="R280" s="169"/>
      <c r="S280" s="159"/>
      <c r="T280" s="159"/>
      <c r="U280" s="170"/>
      <c r="V280" s="122"/>
      <c r="W280" s="139"/>
      <c r="X280" s="152"/>
      <c r="Y280" s="81"/>
      <c r="Z280" s="81"/>
      <c r="AA280" s="196"/>
      <c r="AB280" s="196"/>
      <c r="AC280" s="197"/>
      <c r="AD280" s="81"/>
      <c r="AE280" s="81"/>
      <c r="AF280" s="81"/>
      <c r="AG280" s="81"/>
      <c r="AH280" s="81"/>
      <c r="AI280" s="81"/>
      <c r="AJ280" s="184"/>
      <c r="AK280" s="160"/>
    </row>
    <row r="281" spans="1:46" s="81" customFormat="1" ht="36.75" customHeight="1" x14ac:dyDescent="0.2">
      <c r="A281" s="217"/>
      <c r="B281" s="392"/>
      <c r="C281" s="392"/>
      <c r="D281" s="392"/>
      <c r="E281" s="392"/>
      <c r="F281" s="392"/>
      <c r="G281" s="392"/>
      <c r="H281" s="392"/>
      <c r="I281" s="392"/>
      <c r="J281" s="172"/>
      <c r="K281" s="172"/>
      <c r="L281" s="172"/>
      <c r="M281" s="172"/>
      <c r="N281" s="172"/>
      <c r="O281" s="172"/>
      <c r="P281" s="172"/>
      <c r="Q281" s="172"/>
      <c r="R281" s="136"/>
      <c r="S281" s="172"/>
      <c r="T281" s="172"/>
      <c r="U281" s="172"/>
      <c r="V281" s="117"/>
      <c r="W281" s="137"/>
      <c r="X281" s="150"/>
      <c r="AD281" s="197"/>
      <c r="AE281" s="199"/>
      <c r="AF281" s="184"/>
      <c r="AG281" s="184"/>
      <c r="AH281" s="184"/>
      <c r="AJ281" s="184"/>
      <c r="AK281" s="161"/>
    </row>
    <row r="282" spans="1:46" s="81" customFormat="1" ht="42" customHeight="1" x14ac:dyDescent="0.2">
      <c r="A282" s="217"/>
      <c r="B282" s="392"/>
      <c r="C282" s="392"/>
      <c r="D282" s="392"/>
      <c r="E282" s="392"/>
      <c r="F282" s="392"/>
      <c r="G282" s="392"/>
      <c r="H282" s="392"/>
      <c r="I282" s="392"/>
      <c r="J282" s="172"/>
      <c r="K282" s="172"/>
      <c r="L282" s="172"/>
      <c r="M282" s="172"/>
      <c r="N282" s="172"/>
      <c r="O282" s="172"/>
      <c r="P282" s="172"/>
      <c r="Q282" s="172"/>
      <c r="R282" s="136"/>
      <c r="S282" s="172"/>
      <c r="T282" s="172"/>
      <c r="U282" s="172"/>
      <c r="V282" s="117"/>
      <c r="W282" s="137"/>
      <c r="X282" s="150"/>
      <c r="Z282" s="190"/>
      <c r="AE282" s="199"/>
      <c r="AF282" s="184"/>
      <c r="AG282" s="184"/>
      <c r="AH282" s="184"/>
      <c r="AJ282" s="184"/>
      <c r="AK282" s="161"/>
    </row>
    <row r="283" spans="1:46" s="81" customFormat="1" ht="36.75" customHeight="1" x14ac:dyDescent="0.2">
      <c r="A283" s="217"/>
      <c r="B283" s="392"/>
      <c r="C283" s="392"/>
      <c r="D283" s="392"/>
      <c r="E283" s="392"/>
      <c r="F283" s="392"/>
      <c r="G283" s="392"/>
      <c r="H283" s="392"/>
      <c r="I283" s="392"/>
      <c r="J283" s="172"/>
      <c r="K283" s="172"/>
      <c r="L283" s="172"/>
      <c r="M283" s="172"/>
      <c r="N283" s="172"/>
      <c r="O283" s="172"/>
      <c r="P283" s="172"/>
      <c r="Q283" s="172"/>
      <c r="R283" s="136"/>
      <c r="S283" s="172"/>
      <c r="T283" s="172"/>
      <c r="U283" s="172"/>
      <c r="V283" s="117"/>
      <c r="W283" s="137"/>
      <c r="X283" s="150"/>
      <c r="Z283" s="190"/>
      <c r="AE283" s="199"/>
      <c r="AF283" s="184"/>
      <c r="AG283" s="184"/>
      <c r="AH283" s="184"/>
      <c r="AJ283" s="184"/>
      <c r="AK283" s="161"/>
    </row>
    <row r="284" spans="1:46" s="81" customFormat="1" ht="7.5" customHeight="1" x14ac:dyDescent="0.2">
      <c r="A284" s="118"/>
      <c r="B284" s="17"/>
      <c r="C284" s="17"/>
      <c r="D284" s="16"/>
      <c r="E284" s="16"/>
      <c r="F284" s="16"/>
      <c r="G284" s="16"/>
      <c r="H284" s="16"/>
      <c r="I284" s="16"/>
      <c r="J284" s="12"/>
      <c r="K284" s="18"/>
      <c r="L284" s="18"/>
      <c r="M284" s="18"/>
      <c r="N284" s="18"/>
      <c r="O284" s="18"/>
      <c r="P284" s="18"/>
      <c r="Q284" s="18"/>
      <c r="R284" s="18"/>
      <c r="S284" s="18"/>
      <c r="T284" s="18"/>
      <c r="U284" s="19"/>
      <c r="V284" s="117"/>
      <c r="W284" s="137"/>
      <c r="X284" s="150"/>
      <c r="Z284" s="190"/>
      <c r="AJ284" s="184"/>
      <c r="AK284" s="157"/>
      <c r="AL284" s="74"/>
      <c r="AM284" s="74"/>
      <c r="AN284" s="74"/>
      <c r="AO284" s="74"/>
      <c r="AP284" s="74"/>
      <c r="AQ284" s="74"/>
      <c r="AR284" s="74"/>
    </row>
    <row r="285" spans="1:46" s="81" customFormat="1" ht="15" customHeight="1" x14ac:dyDescent="0.2">
      <c r="A285" s="1716"/>
      <c r="B285" s="1760"/>
      <c r="C285" s="1760"/>
      <c r="D285" s="1760"/>
      <c r="E285" s="1760"/>
      <c r="F285" s="1760"/>
      <c r="G285" s="1760"/>
      <c r="H285" s="1760"/>
      <c r="I285" s="1760"/>
      <c r="J285" s="1760"/>
      <c r="K285" s="1760"/>
      <c r="L285" s="1760"/>
      <c r="M285" s="1760"/>
      <c r="N285" s="1760"/>
      <c r="O285" s="1760"/>
      <c r="P285" s="1760"/>
      <c r="Q285" s="1760"/>
      <c r="R285" s="1760"/>
      <c r="S285" s="1760"/>
      <c r="T285" s="1760"/>
      <c r="U285" s="1760"/>
      <c r="V285" s="1761"/>
      <c r="W285" s="137"/>
      <c r="X285" s="150"/>
      <c r="AK285" s="161"/>
      <c r="AT285" s="74"/>
    </row>
    <row r="286" spans="1:46" s="81" customFormat="1" ht="11.25" customHeight="1" x14ac:dyDescent="0.2">
      <c r="A286" s="1765" t="str">
        <f>Home!$A$39</f>
        <v xml:space="preserve"> </v>
      </c>
      <c r="B286" s="1766"/>
      <c r="C286" s="1766"/>
      <c r="D286" s="1766"/>
      <c r="E286" s="1766"/>
      <c r="F286" s="1766"/>
      <c r="G286" s="1766"/>
      <c r="H286" s="1766"/>
      <c r="I286" s="1767"/>
      <c r="J286" s="1766"/>
      <c r="K286" s="1766"/>
      <c r="L286" s="1766"/>
      <c r="M286" s="1766"/>
      <c r="N286" s="1766"/>
      <c r="O286" s="1766"/>
      <c r="P286" s="1768"/>
      <c r="Q286" s="1766"/>
      <c r="R286" s="1766"/>
      <c r="S286" s="1766"/>
      <c r="T286" s="1767"/>
      <c r="U286" s="1766"/>
      <c r="V286" s="1769"/>
      <c r="W286" s="137"/>
      <c r="X286" s="150"/>
      <c r="AJ286" s="184"/>
      <c r="AK286" s="160"/>
      <c r="AL286" s="87"/>
      <c r="AT286" s="74"/>
    </row>
    <row r="287" spans="1:46" ht="11.25" customHeight="1" x14ac:dyDescent="0.2">
      <c r="A287" s="112"/>
      <c r="B287" s="113"/>
      <c r="C287" s="113"/>
      <c r="D287" s="113"/>
      <c r="E287" s="113"/>
      <c r="F287" s="113"/>
      <c r="G287" s="113"/>
      <c r="H287" s="113"/>
      <c r="I287" s="113"/>
      <c r="J287" s="114"/>
      <c r="K287" s="113"/>
      <c r="L287" s="113"/>
      <c r="M287" s="113"/>
      <c r="N287" s="113"/>
      <c r="O287" s="113"/>
      <c r="P287" s="113"/>
      <c r="Q287" s="113"/>
      <c r="R287" s="113"/>
      <c r="S287" s="113"/>
      <c r="T287" s="113"/>
      <c r="U287" s="113"/>
      <c r="V287" s="115"/>
      <c r="W287" s="137"/>
      <c r="X287" s="150"/>
      <c r="Y287" s="198"/>
      <c r="Z287" s="196"/>
      <c r="AA287" s="188"/>
      <c r="AJ287" s="184"/>
      <c r="AK287" s="160"/>
    </row>
    <row r="288" spans="1:46" s="76" customFormat="1" ht="21" customHeight="1" x14ac:dyDescent="0.2">
      <c r="A288" s="119"/>
      <c r="B288" s="1770" t="str">
        <f>"Age breakdown of Children Looked After"&amp;Z1&amp;" ("&amp;Y288&amp;")"</f>
        <v>Age breakdown of Children Looked After at 31st March (2019-20)</v>
      </c>
      <c r="C288" s="1770"/>
      <c r="D288" s="1770"/>
      <c r="E288" s="1770"/>
      <c r="F288" s="1770"/>
      <c r="G288" s="1770"/>
      <c r="H288" s="1770"/>
      <c r="I288" s="1770"/>
      <c r="J288" s="1770"/>
      <c r="K288" s="1770"/>
      <c r="L288" s="1770"/>
      <c r="M288" s="1770"/>
      <c r="N288" s="1770"/>
      <c r="O288" s="1770"/>
      <c r="P288" s="921"/>
      <c r="Q288" s="166"/>
      <c r="R288" s="70"/>
      <c r="S288" s="70"/>
      <c r="T288" s="70"/>
      <c r="U288" s="70"/>
      <c r="V288" s="120"/>
      <c r="W288" s="138"/>
      <c r="X288" s="151"/>
      <c r="Y288" s="1040" t="str">
        <f>IF(Sheet1!C3="Annual",'Looked After Children'!AD3,(AD3&amp;" "&amp;AD2))</f>
        <v>2019-20</v>
      </c>
      <c r="Z288" s="382"/>
      <c r="AA288" s="383"/>
      <c r="AB288" s="383"/>
      <c r="AC288" s="383"/>
      <c r="AD288" s="81"/>
      <c r="AE288" s="81"/>
      <c r="AF288" s="81"/>
      <c r="AG288" s="81"/>
      <c r="AH288" s="81"/>
      <c r="AI288" s="81"/>
      <c r="AJ288" s="184"/>
      <c r="AK288" s="160"/>
    </row>
    <row r="289" spans="1:45" ht="25.5" customHeight="1" x14ac:dyDescent="0.2">
      <c r="A289" s="118"/>
      <c r="B289" s="1867" t="s">
        <v>205</v>
      </c>
      <c r="C289" s="226"/>
      <c r="D289" s="1696" t="s">
        <v>164</v>
      </c>
      <c r="E289" s="1928"/>
      <c r="F289" s="1928"/>
      <c r="G289" s="1928"/>
      <c r="H289" s="1929"/>
      <c r="I289" s="1936" t="s">
        <v>165</v>
      </c>
      <c r="J289" s="1937"/>
      <c r="K289" s="1937"/>
      <c r="L289" s="1937"/>
      <c r="M289" s="1937"/>
      <c r="N289" s="1938"/>
      <c r="O289" s="394"/>
      <c r="P289" s="395"/>
      <c r="Q289" s="395"/>
      <c r="R289" s="395"/>
      <c r="S289" s="395"/>
      <c r="T289" s="396"/>
      <c r="U289" s="397"/>
      <c r="V289" s="117"/>
      <c r="W289" s="137"/>
      <c r="X289" s="150"/>
      <c r="Y289" s="381" t="s">
        <v>180</v>
      </c>
      <c r="Z289" s="382"/>
      <c r="AA289" s="383"/>
      <c r="AB289" s="383"/>
      <c r="AC289" s="383"/>
      <c r="AJ289" s="184"/>
      <c r="AK289" s="160"/>
    </row>
    <row r="290" spans="1:45" s="87" customFormat="1" ht="12" customHeight="1" x14ac:dyDescent="0.2">
      <c r="A290" s="121"/>
      <c r="B290" s="1927"/>
      <c r="C290" s="85"/>
      <c r="D290" s="345" t="s">
        <v>154</v>
      </c>
      <c r="E290" s="345" t="s">
        <v>156</v>
      </c>
      <c r="F290" s="345" t="s">
        <v>157</v>
      </c>
      <c r="G290" s="345" t="s">
        <v>158</v>
      </c>
      <c r="H290" s="346" t="s">
        <v>155</v>
      </c>
      <c r="I290" s="347" t="s">
        <v>159</v>
      </c>
      <c r="J290" s="1934" t="s">
        <v>160</v>
      </c>
      <c r="K290" s="1935"/>
      <c r="L290" s="388" t="s">
        <v>161</v>
      </c>
      <c r="M290" s="389" t="s">
        <v>162</v>
      </c>
      <c r="N290" s="390" t="s">
        <v>163</v>
      </c>
      <c r="O290" s="398"/>
      <c r="P290" s="392"/>
      <c r="Q290" s="387"/>
      <c r="R290" s="387"/>
      <c r="S290" s="387"/>
      <c r="T290" s="172"/>
      <c r="U290" s="399"/>
      <c r="V290" s="122"/>
      <c r="W290" s="139"/>
      <c r="X290" s="152"/>
      <c r="Y290" s="372"/>
      <c r="Z290" s="435" t="str">
        <f>D290</f>
        <v>Under 1</v>
      </c>
      <c r="AA290" s="435" t="str">
        <f t="shared" ref="AA290" si="109">E290</f>
        <v xml:space="preserve">      1 - 4    </v>
      </c>
      <c r="AB290" s="435" t="str">
        <f t="shared" ref="AB290" si="110">F290</f>
        <v xml:space="preserve">      5 - 9    </v>
      </c>
      <c r="AC290" s="435" t="str">
        <f>G290</f>
        <v xml:space="preserve">   10 - 15  </v>
      </c>
      <c r="AD290" s="435" t="str">
        <f>H290</f>
        <v>16 +</v>
      </c>
      <c r="AE290" s="81"/>
      <c r="AF290" s="81" t="s">
        <v>188</v>
      </c>
      <c r="AG290" s="81"/>
      <c r="AH290" s="81"/>
      <c r="AI290" s="81"/>
      <c r="AJ290" s="184"/>
      <c r="AK290" s="160"/>
    </row>
    <row r="291" spans="1:45" s="87" customFormat="1" ht="15" customHeight="1" x14ac:dyDescent="0.2">
      <c r="A291" s="488">
        <f>VLOOKUP(B291,Sheet1!$AQ$4:$AR$25,2,FALSE)</f>
        <v>0</v>
      </c>
      <c r="B291" s="93" t="str">
        <f t="shared" ref="B291:B313" si="111">B184</f>
        <v>Bracknell Forest</v>
      </c>
      <c r="C291" s="85"/>
      <c r="D291" s="603">
        <f>IF(ISNUMBER(Z291),Z291,NA())</f>
        <v>8</v>
      </c>
      <c r="E291" s="603">
        <f t="shared" ref="E291:H291" si="112">IF(ISNUMBER(AA291),AA291,NA())</f>
        <v>7</v>
      </c>
      <c r="F291" s="603">
        <f t="shared" si="112"/>
        <v>23</v>
      </c>
      <c r="G291" s="603">
        <f t="shared" si="112"/>
        <v>63</v>
      </c>
      <c r="H291" s="628">
        <f t="shared" si="112"/>
        <v>41</v>
      </c>
      <c r="I291" s="629">
        <f>IF($AF291&gt;0,Z291/$AF291,NA())</f>
        <v>5.6338028169014086E-2</v>
      </c>
      <c r="J291" s="1930">
        <f>IF($AF291&gt;0,AA291/$AF291,NA())</f>
        <v>4.9295774647887321E-2</v>
      </c>
      <c r="K291" s="1931"/>
      <c r="L291" s="629">
        <f>IF($AF291&gt;0,AB291/$AF291,NA())</f>
        <v>0.1619718309859155</v>
      </c>
      <c r="M291" s="629">
        <f t="shared" ref="M291:N291" si="113">IF($AF291&gt;0,AC291/$AF291,NA())</f>
        <v>0.44366197183098594</v>
      </c>
      <c r="N291" s="630">
        <f t="shared" si="113"/>
        <v>0.28873239436619719</v>
      </c>
      <c r="O291" s="398"/>
      <c r="P291" s="392"/>
      <c r="Q291" s="387"/>
      <c r="R291" s="387"/>
      <c r="S291" s="387"/>
      <c r="T291" s="172"/>
      <c r="U291" s="399"/>
      <c r="V291" s="122"/>
      <c r="W291" s="139"/>
      <c r="X291" s="152"/>
      <c r="Y291" s="372" t="str">
        <f>B291</f>
        <v>Bracknell Forest</v>
      </c>
      <c r="Z291" s="372">
        <f>IF(Year5_Bracknell_Forest Year5_LAC_Under1="","",Year5_Bracknell_Forest Year5_LAC_Under1)</f>
        <v>8</v>
      </c>
      <c r="AA291" s="372">
        <f>IF(Year5_Bracknell_Forest Year5_LAC_1to4="","",Year5_Bracknell_Forest Year5_LAC_1to4)</f>
        <v>7</v>
      </c>
      <c r="AB291" s="372">
        <f>IF(Year5_Bracknell_Forest Year5_LAC_5to9="","",Year5_Bracknell_Forest Year5_LAC_5to9)</f>
        <v>23</v>
      </c>
      <c r="AC291" s="372">
        <f>IF(Year5_Bracknell_Forest Year5_LAC_10to15="","",Year5_Bracknell_Forest Year5_LAC_10to15)</f>
        <v>63</v>
      </c>
      <c r="AD291" s="372">
        <f>IF(Year5_Bracknell_Forest Year5_LAC_16plus="","",Year5_Bracknell_Forest Year5_LAC_16plus)</f>
        <v>41</v>
      </c>
      <c r="AE291" s="81" t="e">
        <f>IF(Y291=$Z$4,1,NA())</f>
        <v>#N/A</v>
      </c>
      <c r="AF291" s="81">
        <f>IF(SUM(Z291:AD291)&gt;0,SUM(Z291:AD291),NA())</f>
        <v>142</v>
      </c>
      <c r="AG291" s="81"/>
      <c r="AH291" s="81"/>
      <c r="AI291" s="81"/>
      <c r="AJ291" s="184"/>
      <c r="AK291" s="160"/>
    </row>
    <row r="292" spans="1:45" s="87" customFormat="1" ht="15" customHeight="1" x14ac:dyDescent="0.2">
      <c r="A292" s="488">
        <f>VLOOKUP(B292,Sheet1!$AQ$4:$AR$25,2,FALSE)</f>
        <v>0</v>
      </c>
      <c r="B292" s="93" t="str">
        <f t="shared" si="111"/>
        <v>Brighton &amp; Hove</v>
      </c>
      <c r="C292" s="85"/>
      <c r="D292" s="603">
        <f t="shared" ref="D292:D314" si="114">IF(ISNUMBER(Z292),Z292,NA())</f>
        <v>15</v>
      </c>
      <c r="E292" s="603">
        <f t="shared" ref="E292:E314" si="115">IF(ISNUMBER(AA292),AA292,NA())</f>
        <v>44</v>
      </c>
      <c r="F292" s="603">
        <f t="shared" ref="F292:F314" si="116">IF(ISNUMBER(AB292),AB292,NA())</f>
        <v>51</v>
      </c>
      <c r="G292" s="603">
        <f t="shared" ref="G292:G314" si="117">IF(ISNUMBER(AC292),AC292,NA())</f>
        <v>156</v>
      </c>
      <c r="H292" s="628">
        <f t="shared" ref="H292:H314" si="118">IF(ISNUMBER(AD292),AD292,NA())</f>
        <v>104</v>
      </c>
      <c r="I292" s="629">
        <f t="shared" ref="I292:J314" si="119">IF($AF292&gt;0,Z292/$AF292,NA())</f>
        <v>4.0540540540540543E-2</v>
      </c>
      <c r="J292" s="1930">
        <f t="shared" si="119"/>
        <v>0.11891891891891893</v>
      </c>
      <c r="K292" s="1931"/>
      <c r="L292" s="629">
        <f t="shared" ref="L292:L314" si="120">IF($AF292&gt;0,AB292/$AF292,NA())</f>
        <v>0.13783783783783785</v>
      </c>
      <c r="M292" s="629">
        <f t="shared" ref="M292:M314" si="121">IF($AF292&gt;0,AC292/$AF292,NA())</f>
        <v>0.42162162162162165</v>
      </c>
      <c r="N292" s="630">
        <f t="shared" ref="N292:N314" si="122">IF($AF292&gt;0,AD292/$AF292,NA())</f>
        <v>0.2810810810810811</v>
      </c>
      <c r="O292" s="398"/>
      <c r="P292" s="392"/>
      <c r="Q292" s="387"/>
      <c r="R292" s="387"/>
      <c r="S292" s="387"/>
      <c r="T292" s="172"/>
      <c r="U292" s="399"/>
      <c r="V292" s="122"/>
      <c r="W292" s="139"/>
      <c r="X292" s="152"/>
      <c r="Y292" s="372" t="str">
        <f t="shared" ref="Y292:Y314" si="123">B292</f>
        <v>Brighton &amp; Hove</v>
      </c>
      <c r="Z292" s="372">
        <f>IF(Year5_Brighton_Hove Year5_LAC_Under1="","",Year5_Brighton_Hove Year5_LAC_Under1)</f>
        <v>15</v>
      </c>
      <c r="AA292" s="372">
        <f>IF(Year5_Brighton_Hove Year5_LAC_1to4="","",Year5_Brighton_Hove Year5_LAC_1to4)</f>
        <v>44</v>
      </c>
      <c r="AB292" s="372">
        <f>IF(Year5_Brighton_Hove Year5_LAC_5to9="","",Year5_Brighton_Hove Year5_LAC_5to9)</f>
        <v>51</v>
      </c>
      <c r="AC292" s="372">
        <f>IF(Year5_Brighton_Hove Year5_LAC_10to15="","",Year5_Brighton_Hove Year5_LAC_10to15)</f>
        <v>156</v>
      </c>
      <c r="AD292" s="372">
        <f>IF(Year5_Brighton_Hove Year5_LAC_16plus="","",Year5_Brighton_Hove Year5_LAC_16plus)</f>
        <v>104</v>
      </c>
      <c r="AE292" s="81" t="e">
        <f>IF(Y292=$Z$4,1,NA())</f>
        <v>#N/A</v>
      </c>
      <c r="AF292" s="81">
        <f t="shared" ref="AF292:AF314" si="124">IF(SUM(Z292:AD292)&gt;0,SUM(Z292:AD292),NA())</f>
        <v>370</v>
      </c>
      <c r="AG292" s="81"/>
      <c r="AH292" s="81"/>
      <c r="AI292" s="81"/>
      <c r="AJ292" s="184"/>
      <c r="AK292" s="160"/>
    </row>
    <row r="293" spans="1:45" s="87" customFormat="1" ht="15" customHeight="1" x14ac:dyDescent="0.2">
      <c r="A293" s="488">
        <f>VLOOKUP(B293,Sheet1!$AQ$4:$AR$25,2,FALSE)</f>
        <v>0</v>
      </c>
      <c r="B293" s="93" t="str">
        <f t="shared" si="111"/>
        <v>Buckinghamshire</v>
      </c>
      <c r="C293" s="85"/>
      <c r="D293" s="603">
        <f t="shared" si="114"/>
        <v>29</v>
      </c>
      <c r="E293" s="603">
        <f t="shared" si="115"/>
        <v>49</v>
      </c>
      <c r="F293" s="603">
        <f t="shared" si="116"/>
        <v>68</v>
      </c>
      <c r="G293" s="603">
        <f t="shared" si="117"/>
        <v>208</v>
      </c>
      <c r="H293" s="628">
        <f t="shared" si="118"/>
        <v>130</v>
      </c>
      <c r="I293" s="629">
        <f t="shared" si="119"/>
        <v>5.9917355371900828E-2</v>
      </c>
      <c r="J293" s="1930">
        <f t="shared" si="119"/>
        <v>0.1012396694214876</v>
      </c>
      <c r="K293" s="1931"/>
      <c r="L293" s="629">
        <f t="shared" si="120"/>
        <v>0.14049586776859505</v>
      </c>
      <c r="M293" s="629">
        <f t="shared" si="121"/>
        <v>0.42975206611570249</v>
      </c>
      <c r="N293" s="630">
        <f t="shared" si="122"/>
        <v>0.26859504132231404</v>
      </c>
      <c r="O293" s="398"/>
      <c r="P293" s="392"/>
      <c r="Q293" s="387"/>
      <c r="R293" s="387"/>
      <c r="S293" s="387"/>
      <c r="T293" s="172"/>
      <c r="U293" s="399"/>
      <c r="V293" s="122"/>
      <c r="W293" s="139"/>
      <c r="X293" s="152"/>
      <c r="Y293" s="372" t="str">
        <f t="shared" si="123"/>
        <v>Buckinghamshire</v>
      </c>
      <c r="Z293" s="372">
        <f>IF(Year5_Buckinghamshire Year5_LAC_Under1="","",Year5_Buckinghamshire Year5_LAC_Under1)</f>
        <v>29</v>
      </c>
      <c r="AA293" s="372">
        <f>IF(Year5_Buckinghamshire Year5_LAC_1to4="","",Year5_Buckinghamshire Year5_LAC_1to4)</f>
        <v>49</v>
      </c>
      <c r="AB293" s="372">
        <f>IF(Year5_Buckinghamshire Year5_LAC_5to9="","",Year5_Buckinghamshire Year5_LAC_5to9)</f>
        <v>68</v>
      </c>
      <c r="AC293" s="372">
        <f>IF(Year5_Buckinghamshire Year5_LAC_10to15="","",Year5_Buckinghamshire Year5_LAC_10to15)</f>
        <v>208</v>
      </c>
      <c r="AD293" s="372">
        <f>IF(Year5_Buckinghamshire Year5_LAC_16plus="","",Year5_Buckinghamshire Year5_LAC_16plus)</f>
        <v>130</v>
      </c>
      <c r="AE293" s="81" t="e">
        <f t="shared" ref="AE293:AE314" si="125">IF(Y293=$Z$4,1,NA())</f>
        <v>#N/A</v>
      </c>
      <c r="AF293" s="81">
        <f t="shared" si="124"/>
        <v>484</v>
      </c>
      <c r="AG293" s="81"/>
      <c r="AH293" s="81"/>
      <c r="AI293" s="81"/>
      <c r="AJ293" s="184"/>
      <c r="AK293" s="160"/>
    </row>
    <row r="294" spans="1:45" s="87" customFormat="1" ht="15" customHeight="1" x14ac:dyDescent="0.2">
      <c r="A294" s="488">
        <f>VLOOKUP(B294,Sheet1!$AQ$4:$AR$25,2,FALSE)</f>
        <v>0</v>
      </c>
      <c r="B294" s="93" t="str">
        <f t="shared" si="111"/>
        <v>East Sussex</v>
      </c>
      <c r="C294" s="85"/>
      <c r="D294" s="603">
        <f t="shared" si="114"/>
        <v>24</v>
      </c>
      <c r="E294" s="603">
        <f t="shared" si="115"/>
        <v>72</v>
      </c>
      <c r="F294" s="603">
        <f t="shared" si="116"/>
        <v>125</v>
      </c>
      <c r="G294" s="603">
        <f t="shared" si="117"/>
        <v>241</v>
      </c>
      <c r="H294" s="628">
        <f t="shared" si="118"/>
        <v>130</v>
      </c>
      <c r="I294" s="629">
        <f t="shared" si="119"/>
        <v>4.0540540540540543E-2</v>
      </c>
      <c r="J294" s="1930">
        <f t="shared" si="119"/>
        <v>0.12162162162162163</v>
      </c>
      <c r="K294" s="1931"/>
      <c r="L294" s="629">
        <f t="shared" si="120"/>
        <v>0.21114864864864866</v>
      </c>
      <c r="M294" s="629">
        <f t="shared" si="121"/>
        <v>0.40709459459459457</v>
      </c>
      <c r="N294" s="630">
        <f t="shared" si="122"/>
        <v>0.2195945945945946</v>
      </c>
      <c r="O294" s="398"/>
      <c r="P294" s="392"/>
      <c r="Q294" s="387"/>
      <c r="R294" s="387"/>
      <c r="S294" s="387"/>
      <c r="T294" s="172"/>
      <c r="U294" s="399"/>
      <c r="V294" s="122"/>
      <c r="W294" s="139"/>
      <c r="X294" s="152"/>
      <c r="Y294" s="372" t="str">
        <f t="shared" si="123"/>
        <v>East Sussex</v>
      </c>
      <c r="Z294" s="372">
        <f>IF(Year5_East_Sussex Year5_LAC_Under1="","",Year5_East_Sussex Year5_LAC_Under1)</f>
        <v>24</v>
      </c>
      <c r="AA294" s="372">
        <f>IF(Year5_East_Sussex Year5_LAC_1to4="","",Year5_East_Sussex Year5_LAC_1to4)</f>
        <v>72</v>
      </c>
      <c r="AB294" s="372">
        <f>IF(Year5_East_Sussex Year5_LAC_5to9="","",Year5_East_Sussex Year5_LAC_5to9)</f>
        <v>125</v>
      </c>
      <c r="AC294" s="372">
        <f>IF(Year5_East_Sussex Year5_LAC_10to15="","",Year5_East_Sussex Year5_LAC_10to15)</f>
        <v>241</v>
      </c>
      <c r="AD294" s="372">
        <f>IF(Year5_East_Sussex Year5_LAC_16plus="","",Year5_East_Sussex Year5_LAC_16plus)</f>
        <v>130</v>
      </c>
      <c r="AE294" s="81" t="e">
        <f t="shared" si="125"/>
        <v>#N/A</v>
      </c>
      <c r="AF294" s="81">
        <f t="shared" si="124"/>
        <v>592</v>
      </c>
      <c r="AG294" s="81"/>
      <c r="AH294" s="81"/>
      <c r="AI294" s="81"/>
      <c r="AJ294" s="184"/>
      <c r="AK294" s="160"/>
    </row>
    <row r="295" spans="1:45" s="87" customFormat="1" ht="15" customHeight="1" x14ac:dyDescent="0.2">
      <c r="A295" s="488">
        <f>VLOOKUP(B295,Sheet1!$AQ$4:$AR$25,2,FALSE)</f>
        <v>0</v>
      </c>
      <c r="B295" s="93" t="str">
        <f t="shared" si="111"/>
        <v>Hampshire</v>
      </c>
      <c r="C295" s="85"/>
      <c r="D295" s="603">
        <f t="shared" si="114"/>
        <v>69</v>
      </c>
      <c r="E295" s="603">
        <f t="shared" si="115"/>
        <v>156</v>
      </c>
      <c r="F295" s="603">
        <f t="shared" si="116"/>
        <v>345</v>
      </c>
      <c r="G295" s="603">
        <f t="shared" si="117"/>
        <v>669</v>
      </c>
      <c r="H295" s="628">
        <f t="shared" si="118"/>
        <v>363</v>
      </c>
      <c r="I295" s="629">
        <f t="shared" si="119"/>
        <v>4.307116104868914E-2</v>
      </c>
      <c r="J295" s="1930">
        <f t="shared" si="119"/>
        <v>9.7378277153558054E-2</v>
      </c>
      <c r="K295" s="1931"/>
      <c r="L295" s="629">
        <f t="shared" si="120"/>
        <v>0.21535580524344569</v>
      </c>
      <c r="M295" s="629">
        <f t="shared" si="121"/>
        <v>0.41760299625468167</v>
      </c>
      <c r="N295" s="630">
        <f t="shared" si="122"/>
        <v>0.22659176029962547</v>
      </c>
      <c r="O295" s="398"/>
      <c r="P295" s="392"/>
      <c r="Q295" s="387"/>
      <c r="R295" s="387"/>
      <c r="S295" s="387"/>
      <c r="T295" s="172"/>
      <c r="U295" s="399"/>
      <c r="V295" s="122"/>
      <c r="W295" s="139"/>
      <c r="X295" s="152"/>
      <c r="Y295" s="372" t="str">
        <f t="shared" si="123"/>
        <v>Hampshire</v>
      </c>
      <c r="Z295" s="372">
        <f>IF(Year5_Hampshire Year5_LAC_Under1="","",Year5_Hampshire Year5_LAC_Under1)</f>
        <v>69</v>
      </c>
      <c r="AA295" s="372">
        <f>IF(Year5_Hampshire Year5_LAC_1to4="","",Year5_Hampshire Year5_LAC_1to4)</f>
        <v>156</v>
      </c>
      <c r="AB295" s="372">
        <f>IF(Year5_Hampshire Year5_LAC_5to9="","",Year5_Hampshire Year5_LAC_5to9)</f>
        <v>345</v>
      </c>
      <c r="AC295" s="372">
        <f>IF(Year5_Hampshire Year5_LAC_10to15="","",Year5_Hampshire Year5_LAC_10to15)</f>
        <v>669</v>
      </c>
      <c r="AD295" s="372">
        <f>IF(Year5_Hampshire Year5_LAC_16plus="","",Year5_Hampshire Year5_LAC_16plus)</f>
        <v>363</v>
      </c>
      <c r="AE295" s="81" t="e">
        <f t="shared" si="125"/>
        <v>#N/A</v>
      </c>
      <c r="AF295" s="81">
        <f t="shared" si="124"/>
        <v>1602</v>
      </c>
      <c r="AG295" s="81"/>
      <c r="AH295" s="81"/>
      <c r="AI295" s="81"/>
      <c r="AJ295" s="184"/>
      <c r="AK295" s="160"/>
    </row>
    <row r="296" spans="1:45" s="87" customFormat="1" ht="15" customHeight="1" x14ac:dyDescent="0.2">
      <c r="A296" s="488">
        <f>VLOOKUP(B296,Sheet1!$AQ$4:$AR$25,2,FALSE)</f>
        <v>0</v>
      </c>
      <c r="B296" s="93" t="str">
        <f t="shared" si="111"/>
        <v>Isle of Wight</v>
      </c>
      <c r="C296" s="85"/>
      <c r="D296" s="603">
        <f t="shared" si="114"/>
        <v>8</v>
      </c>
      <c r="E296" s="603">
        <f t="shared" si="115"/>
        <v>43</v>
      </c>
      <c r="F296" s="603">
        <f t="shared" si="116"/>
        <v>67</v>
      </c>
      <c r="G296" s="603">
        <f t="shared" si="117"/>
        <v>99</v>
      </c>
      <c r="H296" s="628">
        <f t="shared" si="118"/>
        <v>47</v>
      </c>
      <c r="I296" s="629">
        <f t="shared" si="119"/>
        <v>3.0303030303030304E-2</v>
      </c>
      <c r="J296" s="1930">
        <f t="shared" si="119"/>
        <v>0.16287878787878787</v>
      </c>
      <c r="K296" s="1931"/>
      <c r="L296" s="629">
        <f t="shared" si="120"/>
        <v>0.25378787878787878</v>
      </c>
      <c r="M296" s="629">
        <f t="shared" si="121"/>
        <v>0.375</v>
      </c>
      <c r="N296" s="630">
        <f t="shared" si="122"/>
        <v>0.17803030303030304</v>
      </c>
      <c r="O296" s="398"/>
      <c r="P296" s="392"/>
      <c r="Q296" s="387"/>
      <c r="R296" s="387"/>
      <c r="S296" s="387"/>
      <c r="T296" s="172"/>
      <c r="U296" s="399"/>
      <c r="V296" s="122"/>
      <c r="W296" s="139"/>
      <c r="X296" s="152"/>
      <c r="Y296" s="372" t="str">
        <f t="shared" si="123"/>
        <v>Isle of Wight</v>
      </c>
      <c r="Z296" s="372">
        <f>IF(Year5_Isle_of_Wight Year5_LAC_Under1="","",Year5_Isle_of_Wight Year5_LAC_Under1)</f>
        <v>8</v>
      </c>
      <c r="AA296" s="372">
        <f>IF(Year5_Isle_of_Wight Year5_LAC_1to4="","",Year5_Isle_of_Wight Year5_LAC_1to4)</f>
        <v>43</v>
      </c>
      <c r="AB296" s="372">
        <f>IF(Year5_Isle_of_Wight Year5_LAC_5to9="","",Year5_Isle_of_Wight Year5_LAC_5to9)</f>
        <v>67</v>
      </c>
      <c r="AC296" s="372">
        <f>IF(Year5_Isle_of_Wight Year5_LAC_10to15="","",Year5_Isle_of_Wight Year5_LAC_10to15)</f>
        <v>99</v>
      </c>
      <c r="AD296" s="372">
        <f>IF(Year5_Isle_of_Wight Year5_LAC_16plus="","",Year5_Isle_of_Wight Year5_LAC_16plus)</f>
        <v>47</v>
      </c>
      <c r="AE296" s="81" t="e">
        <f t="shared" si="125"/>
        <v>#N/A</v>
      </c>
      <c r="AF296" s="81">
        <f t="shared" si="124"/>
        <v>264</v>
      </c>
      <c r="AG296" s="81"/>
      <c r="AH296" s="81"/>
      <c r="AI296" s="81"/>
      <c r="AJ296" s="184"/>
      <c r="AK296" s="160"/>
      <c r="AS296" s="87" t="s">
        <v>102</v>
      </c>
    </row>
    <row r="297" spans="1:45" s="87" customFormat="1" ht="15" customHeight="1" x14ac:dyDescent="0.2">
      <c r="A297" s="488">
        <f>VLOOKUP(B297,Sheet1!$AQ$4:$AR$25,2,FALSE)</f>
        <v>0</v>
      </c>
      <c r="B297" s="93" t="str">
        <f t="shared" si="111"/>
        <v>Kent</v>
      </c>
      <c r="C297" s="85"/>
      <c r="D297" s="603">
        <f t="shared" si="114"/>
        <v>75</v>
      </c>
      <c r="E297" s="603">
        <f t="shared" si="115"/>
        <v>113</v>
      </c>
      <c r="F297" s="603">
        <f t="shared" si="116"/>
        <v>190</v>
      </c>
      <c r="G297" s="603">
        <f t="shared" si="117"/>
        <v>713</v>
      </c>
      <c r="H297" s="628">
        <f t="shared" si="118"/>
        <v>716</v>
      </c>
      <c r="I297" s="629">
        <f t="shared" si="119"/>
        <v>4.1505257332595462E-2</v>
      </c>
      <c r="J297" s="1930">
        <f t="shared" si="119"/>
        <v>6.2534587714443826E-2</v>
      </c>
      <c r="K297" s="1931"/>
      <c r="L297" s="629">
        <f t="shared" si="120"/>
        <v>0.10514665190924184</v>
      </c>
      <c r="M297" s="629">
        <f t="shared" si="121"/>
        <v>0.39457664637520751</v>
      </c>
      <c r="N297" s="630">
        <f t="shared" si="122"/>
        <v>0.39623685666851133</v>
      </c>
      <c r="O297" s="398"/>
      <c r="P297" s="392"/>
      <c r="Q297" s="387"/>
      <c r="R297" s="387"/>
      <c r="S297" s="387"/>
      <c r="T297" s="172"/>
      <c r="U297" s="399"/>
      <c r="V297" s="122"/>
      <c r="W297" s="139"/>
      <c r="X297" s="152"/>
      <c r="Y297" s="372" t="str">
        <f t="shared" si="123"/>
        <v>Kent</v>
      </c>
      <c r="Z297" s="372">
        <f>IF(Year5_Kent Year5_LAC_Under1="","",Year5_Kent Year5_LAC_Under1)</f>
        <v>75</v>
      </c>
      <c r="AA297" s="372">
        <f>IF(Year5_Kent Year5_LAC_1to4="","",Year5_Kent Year5_LAC_1to4)</f>
        <v>113</v>
      </c>
      <c r="AB297" s="372">
        <f>IF(Year5_Kent Year5_LAC_5to9="","",Year5_Kent Year5_LAC_5to9)</f>
        <v>190</v>
      </c>
      <c r="AC297" s="372">
        <f>IF(Year5_Kent Year5_LAC_10to15="","",Year5_Kent Year5_LAC_10to15)</f>
        <v>713</v>
      </c>
      <c r="AD297" s="372">
        <f>IF(Year5_Kent Year5_LAC_16plus="","",Year5_Kent Year5_LAC_16plus)</f>
        <v>716</v>
      </c>
      <c r="AE297" s="81" t="e">
        <f t="shared" si="125"/>
        <v>#N/A</v>
      </c>
      <c r="AF297" s="81">
        <f t="shared" si="124"/>
        <v>1807</v>
      </c>
      <c r="AG297" s="81"/>
      <c r="AH297" s="81"/>
      <c r="AI297" s="81"/>
      <c r="AJ297" s="184"/>
      <c r="AK297" s="160"/>
    </row>
    <row r="298" spans="1:45" s="87" customFormat="1" ht="15" customHeight="1" x14ac:dyDescent="0.2">
      <c r="A298" s="488">
        <f>VLOOKUP(B298,Sheet1!$AQ$4:$AR$25,2,FALSE)</f>
        <v>0</v>
      </c>
      <c r="B298" s="93" t="str">
        <f t="shared" si="111"/>
        <v>Medway</v>
      </c>
      <c r="C298" s="85"/>
      <c r="D298" s="603">
        <f t="shared" si="114"/>
        <v>28</v>
      </c>
      <c r="E298" s="603">
        <f t="shared" si="115"/>
        <v>50</v>
      </c>
      <c r="F298" s="603">
        <f t="shared" si="116"/>
        <v>75</v>
      </c>
      <c r="G298" s="603">
        <f t="shared" si="117"/>
        <v>187</v>
      </c>
      <c r="H298" s="628">
        <f t="shared" si="118"/>
        <v>86</v>
      </c>
      <c r="I298" s="629">
        <f t="shared" si="119"/>
        <v>6.5727699530516437E-2</v>
      </c>
      <c r="J298" s="1930">
        <f t="shared" si="119"/>
        <v>0.11737089201877934</v>
      </c>
      <c r="K298" s="1931"/>
      <c r="L298" s="629">
        <f t="shared" si="120"/>
        <v>0.176056338028169</v>
      </c>
      <c r="M298" s="629">
        <f t="shared" si="121"/>
        <v>0.43896713615023475</v>
      </c>
      <c r="N298" s="630">
        <f t="shared" si="122"/>
        <v>0.20187793427230047</v>
      </c>
      <c r="O298" s="398"/>
      <c r="P298" s="392"/>
      <c r="Q298" s="387"/>
      <c r="R298" s="387"/>
      <c r="S298" s="387"/>
      <c r="T298" s="172"/>
      <c r="U298" s="399"/>
      <c r="V298" s="122"/>
      <c r="W298" s="139"/>
      <c r="X298" s="152"/>
      <c r="Y298" s="372" t="str">
        <f t="shared" si="123"/>
        <v>Medway</v>
      </c>
      <c r="Z298" s="372">
        <f>IF(Year5_Medway Year5_LAC_Under1="","",Year5_Medway Year5_LAC_Under1)</f>
        <v>28</v>
      </c>
      <c r="AA298" s="372">
        <f>IF(Year5_Medway Year5_LAC_1to4="","",Year5_Medway Year5_LAC_1to4)</f>
        <v>50</v>
      </c>
      <c r="AB298" s="372">
        <f>IF(Year5_Medway Year5_LAC_5to9="","",Year5_Medway Year5_LAC_5to9)</f>
        <v>75</v>
      </c>
      <c r="AC298" s="372">
        <f>IF(Year5_Medway Year5_LAC_10to15="","",Year5_Medway Year5_LAC_10to15)</f>
        <v>187</v>
      </c>
      <c r="AD298" s="372">
        <f>IF(Year5_Medway Year5_LAC_16plus="","",Year5_Medway Year5_LAC_16plus)</f>
        <v>86</v>
      </c>
      <c r="AE298" s="81" t="e">
        <f t="shared" si="125"/>
        <v>#N/A</v>
      </c>
      <c r="AF298" s="81">
        <f t="shared" si="124"/>
        <v>426</v>
      </c>
      <c r="AG298" s="81"/>
      <c r="AH298" s="81"/>
      <c r="AI298" s="81"/>
      <c r="AJ298" s="184"/>
      <c r="AK298" s="160"/>
    </row>
    <row r="299" spans="1:45" s="87" customFormat="1" ht="15" customHeight="1" x14ac:dyDescent="0.2">
      <c r="A299" s="488">
        <f>VLOOKUP(B299,Sheet1!$AQ$4:$AR$25,2,FALSE)</f>
        <v>0</v>
      </c>
      <c r="B299" s="93" t="str">
        <f t="shared" si="111"/>
        <v>Milton Keynes</v>
      </c>
      <c r="C299" s="85"/>
      <c r="D299" s="603">
        <f t="shared" si="114"/>
        <v>22</v>
      </c>
      <c r="E299" s="603">
        <f t="shared" si="115"/>
        <v>71</v>
      </c>
      <c r="F299" s="603">
        <f t="shared" si="116"/>
        <v>69</v>
      </c>
      <c r="G299" s="603">
        <f t="shared" si="117"/>
        <v>144</v>
      </c>
      <c r="H299" s="628">
        <f t="shared" si="118"/>
        <v>97</v>
      </c>
      <c r="I299" s="629">
        <f t="shared" si="119"/>
        <v>5.4590570719602979E-2</v>
      </c>
      <c r="J299" s="1930">
        <f t="shared" si="119"/>
        <v>0.17617866004962779</v>
      </c>
      <c r="K299" s="1931"/>
      <c r="L299" s="629">
        <f t="shared" si="120"/>
        <v>0.17121588089330025</v>
      </c>
      <c r="M299" s="629">
        <f t="shared" si="121"/>
        <v>0.35732009925558311</v>
      </c>
      <c r="N299" s="630">
        <f t="shared" si="122"/>
        <v>0.24069478908188585</v>
      </c>
      <c r="O299" s="398"/>
      <c r="P299" s="392"/>
      <c r="Q299" s="387"/>
      <c r="R299" s="387"/>
      <c r="S299" s="387"/>
      <c r="T299" s="172"/>
      <c r="U299" s="399"/>
      <c r="V299" s="122"/>
      <c r="W299" s="139"/>
      <c r="X299" s="152"/>
      <c r="Y299" s="372" t="str">
        <f t="shared" si="123"/>
        <v>Milton Keynes</v>
      </c>
      <c r="Z299" s="372">
        <f>IF(Year5_Milton_Keynes Year5_LAC_Under1="","",Year5_Milton_Keynes Year5_LAC_Under1)</f>
        <v>22</v>
      </c>
      <c r="AA299" s="372">
        <f>IF(Year5_Milton_Keynes Year5_LAC_1to4="","",Year5_Milton_Keynes Year5_LAC_1to4)</f>
        <v>71</v>
      </c>
      <c r="AB299" s="372">
        <f>IF(Year5_Milton_Keynes Year5_LAC_5to9="","",Year5_Milton_Keynes Year5_LAC_5to9)</f>
        <v>69</v>
      </c>
      <c r="AC299" s="372">
        <f>IF(Year5_Milton_Keynes Year5_LAC_10to15="","",Year5_Milton_Keynes Year5_LAC_10to15)</f>
        <v>144</v>
      </c>
      <c r="AD299" s="372">
        <f>IF(Year5_Milton_Keynes Year5_LAC_16plus="","",Year5_Milton_Keynes Year5_LAC_16plus)</f>
        <v>97</v>
      </c>
      <c r="AE299" s="81" t="e">
        <f t="shared" si="125"/>
        <v>#N/A</v>
      </c>
      <c r="AF299" s="81">
        <f t="shared" si="124"/>
        <v>403</v>
      </c>
      <c r="AG299" s="81"/>
      <c r="AH299" s="81"/>
      <c r="AI299" s="81"/>
      <c r="AJ299" s="184"/>
      <c r="AK299" s="160"/>
    </row>
    <row r="300" spans="1:45" s="87" customFormat="1" ht="15" customHeight="1" x14ac:dyDescent="0.2">
      <c r="A300" s="488">
        <f>VLOOKUP(B300,Sheet1!$AQ$4:$AR$25,2,FALSE)</f>
        <v>0</v>
      </c>
      <c r="B300" s="93" t="str">
        <f t="shared" si="111"/>
        <v>Oxfordshire</v>
      </c>
      <c r="C300" s="85"/>
      <c r="D300" s="603">
        <f t="shared" si="114"/>
        <v>29</v>
      </c>
      <c r="E300" s="603">
        <f t="shared" si="115"/>
        <v>84</v>
      </c>
      <c r="F300" s="603">
        <f t="shared" si="116"/>
        <v>137</v>
      </c>
      <c r="G300" s="603">
        <f t="shared" si="117"/>
        <v>310</v>
      </c>
      <c r="H300" s="628">
        <f t="shared" si="118"/>
        <v>207</v>
      </c>
      <c r="I300" s="629">
        <f t="shared" si="119"/>
        <v>3.7809647979139507E-2</v>
      </c>
      <c r="J300" s="1930">
        <f t="shared" si="119"/>
        <v>0.10951760104302477</v>
      </c>
      <c r="K300" s="1931"/>
      <c r="L300" s="629">
        <f t="shared" si="120"/>
        <v>0.17861799217731422</v>
      </c>
      <c r="M300" s="629">
        <f t="shared" si="121"/>
        <v>0.4041720990873533</v>
      </c>
      <c r="N300" s="630">
        <f t="shared" si="122"/>
        <v>0.26988265971316816</v>
      </c>
      <c r="O300" s="398"/>
      <c r="P300" s="392"/>
      <c r="Q300" s="387"/>
      <c r="R300" s="387"/>
      <c r="S300" s="387"/>
      <c r="T300" s="172"/>
      <c r="U300" s="399"/>
      <c r="V300" s="122"/>
      <c r="W300" s="139"/>
      <c r="X300" s="152"/>
      <c r="Y300" s="372" t="str">
        <f t="shared" si="123"/>
        <v>Oxfordshire</v>
      </c>
      <c r="Z300" s="372">
        <f>IF(Year5_Oxfordshire Year5_LAC_Under1="","",Year5_Oxfordshire Year5_LAC_Under1)</f>
        <v>29</v>
      </c>
      <c r="AA300" s="372">
        <f>IF(Year5_Oxfordshire Year5_LAC_1to4="","",Year5_Oxfordshire Year5_LAC_1to4)</f>
        <v>84</v>
      </c>
      <c r="AB300" s="372">
        <f>IF(Year5_Oxfordshire Year5_LAC_5to9="","",Year5_Oxfordshire Year5_LAC_5to9)</f>
        <v>137</v>
      </c>
      <c r="AC300" s="372">
        <f>IF(Year5_Oxfordshire Year5_LAC_10to15="","",Year5_Oxfordshire Year5_LAC_10to15)</f>
        <v>310</v>
      </c>
      <c r="AD300" s="372">
        <f>IF(Year5_Oxfordshire Year5_LAC_16plus="","",Year5_Oxfordshire Year5_LAC_16plus)</f>
        <v>207</v>
      </c>
      <c r="AE300" s="81" t="e">
        <f t="shared" si="125"/>
        <v>#N/A</v>
      </c>
      <c r="AF300" s="81">
        <f t="shared" si="124"/>
        <v>767</v>
      </c>
      <c r="AG300" s="81"/>
      <c r="AH300" s="81"/>
      <c r="AI300" s="81"/>
      <c r="AJ300" s="184"/>
      <c r="AK300" s="160"/>
    </row>
    <row r="301" spans="1:45" s="87" customFormat="1" ht="15" customHeight="1" x14ac:dyDescent="0.2">
      <c r="A301" s="488">
        <f>VLOOKUP(B301,Sheet1!$AQ$4:$AR$25,2,FALSE)</f>
        <v>0</v>
      </c>
      <c r="B301" s="93" t="str">
        <f t="shared" si="111"/>
        <v>Portsmouth</v>
      </c>
      <c r="C301" s="85"/>
      <c r="D301" s="603">
        <f t="shared" si="114"/>
        <v>27</v>
      </c>
      <c r="E301" s="603">
        <f t="shared" si="115"/>
        <v>40</v>
      </c>
      <c r="F301" s="603">
        <f t="shared" si="116"/>
        <v>68</v>
      </c>
      <c r="G301" s="603">
        <f t="shared" si="117"/>
        <v>173</v>
      </c>
      <c r="H301" s="628">
        <f t="shared" si="118"/>
        <v>158</v>
      </c>
      <c r="I301" s="629">
        <f t="shared" si="119"/>
        <v>5.7939914163090127E-2</v>
      </c>
      <c r="J301" s="1930">
        <f t="shared" si="119"/>
        <v>8.5836909871244635E-2</v>
      </c>
      <c r="K301" s="1931"/>
      <c r="L301" s="629">
        <f t="shared" si="120"/>
        <v>0.14592274678111589</v>
      </c>
      <c r="M301" s="629">
        <f t="shared" si="121"/>
        <v>0.37124463519313305</v>
      </c>
      <c r="N301" s="630">
        <f t="shared" si="122"/>
        <v>0.33905579399141633</v>
      </c>
      <c r="O301" s="398"/>
      <c r="P301" s="392"/>
      <c r="Q301" s="387"/>
      <c r="R301" s="387"/>
      <c r="S301" s="387"/>
      <c r="T301" s="172"/>
      <c r="U301" s="399"/>
      <c r="V301" s="122"/>
      <c r="W301" s="139"/>
      <c r="X301" s="152"/>
      <c r="Y301" s="372" t="str">
        <f t="shared" si="123"/>
        <v>Portsmouth</v>
      </c>
      <c r="Z301" s="372">
        <f>IF(Year5_Portsmouth Year5_LAC_Under1="","",Year5_Portsmouth Year5_LAC_Under1)</f>
        <v>27</v>
      </c>
      <c r="AA301" s="372">
        <f>IF(Year5_Portsmouth Year5_LAC_1to4="","",Year5_Portsmouth Year5_LAC_1to4)</f>
        <v>40</v>
      </c>
      <c r="AB301" s="372">
        <f>IF(Year5_Portsmouth Year5_LAC_5to9="","",Year5_Portsmouth Year5_LAC_5to9)</f>
        <v>68</v>
      </c>
      <c r="AC301" s="372">
        <f>IF(Year5_Portsmouth Year5_LAC_10to15="","",Year5_Portsmouth Year5_LAC_10to15)</f>
        <v>173</v>
      </c>
      <c r="AD301" s="372">
        <f>IF(Year5_Portsmouth Year5_LAC_16plus="","",Year5_Portsmouth Year5_LAC_16plus)</f>
        <v>158</v>
      </c>
      <c r="AE301" s="81" t="e">
        <f t="shared" si="125"/>
        <v>#N/A</v>
      </c>
      <c r="AF301" s="81">
        <f t="shared" si="124"/>
        <v>466</v>
      </c>
      <c r="AG301" s="81"/>
      <c r="AH301" s="81"/>
      <c r="AI301" s="81"/>
      <c r="AJ301" s="184"/>
      <c r="AK301" s="160"/>
    </row>
    <row r="302" spans="1:45" s="87" customFormat="1" ht="15" customHeight="1" x14ac:dyDescent="0.2">
      <c r="A302" s="488">
        <f>VLOOKUP(B302,Sheet1!$AQ$4:$AR$25,2,FALSE)</f>
        <v>0</v>
      </c>
      <c r="B302" s="93" t="str">
        <f t="shared" si="111"/>
        <v>Reading</v>
      </c>
      <c r="C302" s="85"/>
      <c r="D302" s="603">
        <f t="shared" si="114"/>
        <v>13</v>
      </c>
      <c r="E302" s="603">
        <f t="shared" si="115"/>
        <v>32</v>
      </c>
      <c r="F302" s="603">
        <f t="shared" si="116"/>
        <v>61</v>
      </c>
      <c r="G302" s="603">
        <f t="shared" si="117"/>
        <v>108</v>
      </c>
      <c r="H302" s="628">
        <f t="shared" si="118"/>
        <v>66</v>
      </c>
      <c r="I302" s="629">
        <f t="shared" si="119"/>
        <v>4.642857142857143E-2</v>
      </c>
      <c r="J302" s="1930">
        <f t="shared" si="119"/>
        <v>0.11428571428571428</v>
      </c>
      <c r="K302" s="1931"/>
      <c r="L302" s="629">
        <f t="shared" si="120"/>
        <v>0.21785714285714286</v>
      </c>
      <c r="M302" s="629">
        <f t="shared" si="121"/>
        <v>0.38571428571428573</v>
      </c>
      <c r="N302" s="630">
        <f t="shared" si="122"/>
        <v>0.23571428571428571</v>
      </c>
      <c r="O302" s="398"/>
      <c r="P302" s="392"/>
      <c r="Q302" s="387"/>
      <c r="R302" s="387"/>
      <c r="S302" s="387"/>
      <c r="T302" s="172"/>
      <c r="U302" s="399"/>
      <c r="V302" s="122"/>
      <c r="W302" s="139"/>
      <c r="X302" s="152"/>
      <c r="Y302" s="372" t="str">
        <f t="shared" si="123"/>
        <v>Reading</v>
      </c>
      <c r="Z302" s="372">
        <f>IF(Year5_Reading Year5_LAC_Under1="","",Year5_Reading Year5_LAC_Under1)</f>
        <v>13</v>
      </c>
      <c r="AA302" s="372">
        <f>IF(Year5_Reading Year5_LAC_1to4="","",Year5_Reading Year5_LAC_1to4)</f>
        <v>32</v>
      </c>
      <c r="AB302" s="372">
        <f>IF(Year5_Reading Year5_LAC_5to9="","",Year5_Reading Year5_LAC_5to9)</f>
        <v>61</v>
      </c>
      <c r="AC302" s="372">
        <f>IF(Year5_Reading Year5_LAC_10to15="","",Year5_Reading Year5_LAC_10to15)</f>
        <v>108</v>
      </c>
      <c r="AD302" s="372">
        <f>IF(Year5_Reading Year5_LAC_16plus="","",Year5_Reading Year5_LAC_16plus)</f>
        <v>66</v>
      </c>
      <c r="AE302" s="81" t="e">
        <f t="shared" si="125"/>
        <v>#N/A</v>
      </c>
      <c r="AF302" s="81">
        <f t="shared" si="124"/>
        <v>280</v>
      </c>
      <c r="AG302" s="81"/>
      <c r="AH302" s="81"/>
      <c r="AI302" s="81"/>
      <c r="AJ302" s="184"/>
      <c r="AK302" s="160"/>
    </row>
    <row r="303" spans="1:45" s="87" customFormat="1" ht="15" customHeight="1" x14ac:dyDescent="0.2">
      <c r="A303" s="488">
        <f>VLOOKUP(B303,Sheet1!$AQ$4:$AR$25,2,FALSE)</f>
        <v>0</v>
      </c>
      <c r="B303" s="93" t="str">
        <f t="shared" si="111"/>
        <v>Slough</v>
      </c>
      <c r="C303" s="85"/>
      <c r="D303" s="603">
        <f t="shared" si="114"/>
        <v>11</v>
      </c>
      <c r="E303" s="603">
        <f t="shared" si="115"/>
        <v>31</v>
      </c>
      <c r="F303" s="603">
        <f t="shared" si="116"/>
        <v>31</v>
      </c>
      <c r="G303" s="603">
        <f t="shared" si="117"/>
        <v>78</v>
      </c>
      <c r="H303" s="628">
        <f t="shared" si="118"/>
        <v>45</v>
      </c>
      <c r="I303" s="629">
        <f t="shared" si="119"/>
        <v>5.6122448979591837E-2</v>
      </c>
      <c r="J303" s="1930">
        <f t="shared" si="119"/>
        <v>0.15816326530612246</v>
      </c>
      <c r="K303" s="1931"/>
      <c r="L303" s="629">
        <f t="shared" si="120"/>
        <v>0.15816326530612246</v>
      </c>
      <c r="M303" s="629">
        <f t="shared" si="121"/>
        <v>0.39795918367346939</v>
      </c>
      <c r="N303" s="630">
        <f t="shared" si="122"/>
        <v>0.22959183673469388</v>
      </c>
      <c r="O303" s="398"/>
      <c r="P303" s="392"/>
      <c r="Q303" s="387"/>
      <c r="R303" s="387"/>
      <c r="S303" s="387"/>
      <c r="T303" s="172"/>
      <c r="U303" s="399"/>
      <c r="V303" s="122"/>
      <c r="W303" s="139"/>
      <c r="X303" s="152"/>
      <c r="Y303" s="372" t="str">
        <f t="shared" si="123"/>
        <v>Slough</v>
      </c>
      <c r="Z303" s="372">
        <f>IF(Year5_Slough Year5_LAC_Under1="","",Year5_Slough Year5_LAC_Under1)</f>
        <v>11</v>
      </c>
      <c r="AA303" s="372">
        <f>IF(Year5_Slough Year5_LAC_1to4="","",Year5_Slough Year5_LAC_1to4)</f>
        <v>31</v>
      </c>
      <c r="AB303" s="372">
        <f>IF(Year5_Slough Year5_LAC_5to9="","",Year5_Slough Year5_LAC_5to9)</f>
        <v>31</v>
      </c>
      <c r="AC303" s="372">
        <f>IF(Year5_Slough Year5_LAC_10to15="","",Year5_Slough Year5_LAC_10to15)</f>
        <v>78</v>
      </c>
      <c r="AD303" s="372">
        <f>IF(Year5_Slough Year5_LAC_16plus="","",Year5_Slough Year5_LAC_16plus)</f>
        <v>45</v>
      </c>
      <c r="AE303" s="81" t="e">
        <f t="shared" si="125"/>
        <v>#N/A</v>
      </c>
      <c r="AF303" s="81">
        <f t="shared" si="124"/>
        <v>196</v>
      </c>
      <c r="AG303" s="81"/>
      <c r="AH303" s="81"/>
      <c r="AI303" s="81"/>
      <c r="AJ303" s="184"/>
      <c r="AK303" s="160"/>
    </row>
    <row r="304" spans="1:45" s="87" customFormat="1" ht="15" customHeight="1" x14ac:dyDescent="0.2">
      <c r="A304" s="488">
        <f>VLOOKUP(B304,Sheet1!$AQ$4:$AR$25,2,FALSE)</f>
        <v>0</v>
      </c>
      <c r="B304" s="93" t="str">
        <f t="shared" si="111"/>
        <v>Somerset</v>
      </c>
      <c r="C304" s="85"/>
      <c r="D304" s="603">
        <f t="shared" si="114"/>
        <v>35</v>
      </c>
      <c r="E304" s="603">
        <f t="shared" si="115"/>
        <v>70</v>
      </c>
      <c r="F304" s="603">
        <f t="shared" si="116"/>
        <v>69</v>
      </c>
      <c r="G304" s="603">
        <f t="shared" si="117"/>
        <v>201</v>
      </c>
      <c r="H304" s="628">
        <f t="shared" si="118"/>
        <v>154</v>
      </c>
      <c r="I304" s="629">
        <f t="shared" si="119"/>
        <v>6.6162570888468802E-2</v>
      </c>
      <c r="J304" s="1930">
        <f t="shared" si="119"/>
        <v>0.1323251417769376</v>
      </c>
      <c r="K304" s="1931"/>
      <c r="L304" s="629">
        <f t="shared" si="120"/>
        <v>0.13043478260869565</v>
      </c>
      <c r="M304" s="629">
        <f t="shared" si="121"/>
        <v>0.37996219281663518</v>
      </c>
      <c r="N304" s="630">
        <f t="shared" si="122"/>
        <v>0.29111531190926276</v>
      </c>
      <c r="O304" s="398"/>
      <c r="P304" s="392"/>
      <c r="Q304" s="387"/>
      <c r="R304" s="387"/>
      <c r="S304" s="387"/>
      <c r="T304" s="172"/>
      <c r="U304" s="399"/>
      <c r="V304" s="122"/>
      <c r="W304" s="139"/>
      <c r="X304" s="152"/>
      <c r="Y304" s="372" t="str">
        <f t="shared" si="123"/>
        <v>Somerset</v>
      </c>
      <c r="Z304" s="372">
        <f>IF(Year5_Somerset Year5_LAC_Under1="","",Year5_Somerset Year5_LAC_Under1)</f>
        <v>35</v>
      </c>
      <c r="AA304" s="372">
        <f>IF(Year5_Somerset Year5_LAC_1to4="","",Year5_Somerset Year5_LAC_1to4)</f>
        <v>70</v>
      </c>
      <c r="AB304" s="372">
        <f>IF(Year5_Somerset Year5_LAC_5to9="","",Year5_Somerset Year5_LAC_5to9)</f>
        <v>69</v>
      </c>
      <c r="AC304" s="372">
        <f>IF(Year5_Somerset Year5_LAC_10to15="","",Year5_Somerset Year5_LAC_10to15)</f>
        <v>201</v>
      </c>
      <c r="AD304" s="372">
        <f>IF(Year5_Somerset Year5_LAC_16plus="","",Year5_Somerset Year5_LAC_16plus)</f>
        <v>154</v>
      </c>
      <c r="AE304" s="81" t="e">
        <f t="shared" si="125"/>
        <v>#N/A</v>
      </c>
      <c r="AF304" s="81">
        <f t="shared" si="124"/>
        <v>529</v>
      </c>
      <c r="AG304" s="81"/>
      <c r="AH304" s="81"/>
      <c r="AI304" s="81"/>
      <c r="AJ304" s="184"/>
      <c r="AK304" s="160"/>
    </row>
    <row r="305" spans="1:46" s="87" customFormat="1" ht="15" customHeight="1" x14ac:dyDescent="0.2">
      <c r="A305" s="488">
        <f>VLOOKUP(B305,Sheet1!$AQ$4:$AR$25,2,FALSE)</f>
        <v>0</v>
      </c>
      <c r="B305" s="93" t="str">
        <f t="shared" si="111"/>
        <v>Southampton</v>
      </c>
      <c r="C305" s="85"/>
      <c r="D305" s="603">
        <f t="shared" si="114"/>
        <v>29</v>
      </c>
      <c r="E305" s="603">
        <f t="shared" si="115"/>
        <v>47</v>
      </c>
      <c r="F305" s="603">
        <f t="shared" si="116"/>
        <v>105</v>
      </c>
      <c r="G305" s="603">
        <f t="shared" si="117"/>
        <v>218</v>
      </c>
      <c r="H305" s="628">
        <f t="shared" si="118"/>
        <v>87</v>
      </c>
      <c r="I305" s="629">
        <f t="shared" si="119"/>
        <v>5.9670781893004114E-2</v>
      </c>
      <c r="J305" s="1930">
        <f t="shared" si="119"/>
        <v>9.6707818930041156E-2</v>
      </c>
      <c r="K305" s="1931"/>
      <c r="L305" s="629">
        <f t="shared" si="120"/>
        <v>0.21604938271604937</v>
      </c>
      <c r="M305" s="629">
        <f t="shared" si="121"/>
        <v>0.44855967078189302</v>
      </c>
      <c r="N305" s="630">
        <f t="shared" si="122"/>
        <v>0.17901234567901234</v>
      </c>
      <c r="O305" s="398"/>
      <c r="P305" s="392"/>
      <c r="Q305" s="387"/>
      <c r="R305" s="387"/>
      <c r="S305" s="387"/>
      <c r="T305" s="172"/>
      <c r="U305" s="399"/>
      <c r="V305" s="122"/>
      <c r="W305" s="139"/>
      <c r="X305" s="152"/>
      <c r="Y305" s="372" t="str">
        <f t="shared" si="123"/>
        <v>Southampton</v>
      </c>
      <c r="Z305" s="372">
        <f>IF(Year5_Southampton Year5_LAC_Under1="","",Year5_Southampton Year5_LAC_Under1)</f>
        <v>29</v>
      </c>
      <c r="AA305" s="372">
        <f>IF(Year5_Southampton Year5_LAC_1to4="","",Year5_Southampton Year5_LAC_1to4)</f>
        <v>47</v>
      </c>
      <c r="AB305" s="372">
        <f>IF(Year5_Southampton Year5_LAC_5to9="","",Year5_Southampton Year5_LAC_5to9)</f>
        <v>105</v>
      </c>
      <c r="AC305" s="372">
        <f>IF(Year5_Southampton Year5_LAC_10to15="","",Year5_Southampton Year5_LAC_10to15)</f>
        <v>218</v>
      </c>
      <c r="AD305" s="372">
        <f>IF(Year5_Southampton Year5_LAC_16plus="","",Year5_Southampton Year5_LAC_16plus)</f>
        <v>87</v>
      </c>
      <c r="AE305" s="81" t="e">
        <f t="shared" si="125"/>
        <v>#N/A</v>
      </c>
      <c r="AF305" s="81">
        <f t="shared" si="124"/>
        <v>486</v>
      </c>
      <c r="AG305" s="81"/>
      <c r="AH305" s="81"/>
      <c r="AI305" s="81"/>
      <c r="AJ305" s="184"/>
      <c r="AK305" s="160"/>
    </row>
    <row r="306" spans="1:46" s="87" customFormat="1" ht="15" customHeight="1" x14ac:dyDescent="0.2">
      <c r="A306" s="488">
        <f>VLOOKUP(B306,Sheet1!$AQ$4:$AR$25,2,FALSE)</f>
        <v>0</v>
      </c>
      <c r="B306" s="93" t="str">
        <f t="shared" si="111"/>
        <v>Surrey</v>
      </c>
      <c r="C306" s="85"/>
      <c r="D306" s="603">
        <f t="shared" si="114"/>
        <v>39</v>
      </c>
      <c r="E306" s="603">
        <f t="shared" si="115"/>
        <v>92</v>
      </c>
      <c r="F306" s="603">
        <f t="shared" si="116"/>
        <v>168</v>
      </c>
      <c r="G306" s="603">
        <f t="shared" si="117"/>
        <v>383</v>
      </c>
      <c r="H306" s="628">
        <f t="shared" si="118"/>
        <v>299</v>
      </c>
      <c r="I306" s="629">
        <f t="shared" si="119"/>
        <v>3.9755351681957186E-2</v>
      </c>
      <c r="J306" s="1930">
        <f t="shared" si="119"/>
        <v>9.3781855249745152E-2</v>
      </c>
      <c r="K306" s="1931"/>
      <c r="L306" s="629">
        <f t="shared" si="120"/>
        <v>0.17125382262996941</v>
      </c>
      <c r="M306" s="629">
        <f t="shared" si="121"/>
        <v>0.39041794087665649</v>
      </c>
      <c r="N306" s="630">
        <f t="shared" si="122"/>
        <v>0.30479102956167176</v>
      </c>
      <c r="O306" s="398"/>
      <c r="P306" s="392"/>
      <c r="Q306" s="387"/>
      <c r="R306" s="387"/>
      <c r="S306" s="387"/>
      <c r="T306" s="172"/>
      <c r="U306" s="399"/>
      <c r="V306" s="122"/>
      <c r="W306" s="139"/>
      <c r="X306" s="152"/>
      <c r="Y306" s="372" t="str">
        <f t="shared" si="123"/>
        <v>Surrey</v>
      </c>
      <c r="Z306" s="372">
        <f>IF(Year5_Surrey Year5_LAC_Under1="","",Year5_Surrey Year5_LAC_Under1)</f>
        <v>39</v>
      </c>
      <c r="AA306" s="372">
        <f>IF(Year5_Surrey Year5_LAC_1to4="","",Year5_Surrey Year5_LAC_1to4)</f>
        <v>92</v>
      </c>
      <c r="AB306" s="372">
        <f>IF(Year5_Surrey Year5_LAC_5to9="","",Year5_Surrey Year5_LAC_5to9)</f>
        <v>168</v>
      </c>
      <c r="AC306" s="372">
        <f>IF(Year5_Surrey Year5_LAC_10to15="","",Year5_Surrey Year5_LAC_10to15)</f>
        <v>383</v>
      </c>
      <c r="AD306" s="372">
        <f>IF(Year5_Surrey Year5_LAC_16plus="","",Year5_Surrey Year5_LAC_16plus)</f>
        <v>299</v>
      </c>
      <c r="AE306" s="81" t="e">
        <f t="shared" si="125"/>
        <v>#N/A</v>
      </c>
      <c r="AF306" s="81">
        <f t="shared" si="124"/>
        <v>981</v>
      </c>
      <c r="AG306" s="81"/>
      <c r="AH306" s="81"/>
      <c r="AI306" s="81"/>
      <c r="AJ306" s="184"/>
      <c r="AK306" s="160"/>
    </row>
    <row r="307" spans="1:46" s="87" customFormat="1" ht="15" customHeight="1" x14ac:dyDescent="0.2">
      <c r="A307" s="488">
        <f>VLOOKUP(B307,Sheet1!$AQ$4:$AR$25,2,FALSE)</f>
        <v>0</v>
      </c>
      <c r="B307" s="93" t="str">
        <f t="shared" si="111"/>
        <v>Swindon</v>
      </c>
      <c r="C307" s="85"/>
      <c r="D307" s="603">
        <f t="shared" si="114"/>
        <v>18</v>
      </c>
      <c r="E307" s="603">
        <f t="shared" si="115"/>
        <v>35</v>
      </c>
      <c r="F307" s="603">
        <f t="shared" si="116"/>
        <v>60</v>
      </c>
      <c r="G307" s="603">
        <f t="shared" si="117"/>
        <v>113</v>
      </c>
      <c r="H307" s="628">
        <f t="shared" si="118"/>
        <v>75</v>
      </c>
      <c r="I307" s="629">
        <f t="shared" si="119"/>
        <v>5.9800664451827246E-2</v>
      </c>
      <c r="J307" s="1930">
        <f t="shared" si="119"/>
        <v>0.11627906976744186</v>
      </c>
      <c r="K307" s="1931"/>
      <c r="L307" s="629">
        <f t="shared" si="120"/>
        <v>0.19933554817275748</v>
      </c>
      <c r="M307" s="629">
        <f t="shared" si="121"/>
        <v>0.37541528239202659</v>
      </c>
      <c r="N307" s="630">
        <f t="shared" si="122"/>
        <v>0.24916943521594684</v>
      </c>
      <c r="O307" s="398"/>
      <c r="P307" s="392"/>
      <c r="Q307" s="387"/>
      <c r="R307" s="387"/>
      <c r="S307" s="387"/>
      <c r="T307" s="172"/>
      <c r="U307" s="399"/>
      <c r="V307" s="122"/>
      <c r="W307" s="139"/>
      <c r="X307" s="152"/>
      <c r="Y307" s="372" t="str">
        <f t="shared" si="123"/>
        <v>Swindon</v>
      </c>
      <c r="Z307" s="605">
        <f>IF(Year5_Swindon Year5_LAC_Under1="","",Year5_Swindon Year5_LAC_Under1)</f>
        <v>18</v>
      </c>
      <c r="AA307" s="605">
        <f>IF(Year5_Swindon Year5_LAC_1to4="","",Year5_Swindon Year5_LAC_1to4)</f>
        <v>35</v>
      </c>
      <c r="AB307" s="605">
        <f>IF(Year5_Swindon Year5_LAC_5to9="","",Year5_Swindon Year5_LAC_5to9)</f>
        <v>60</v>
      </c>
      <c r="AC307" s="605">
        <f>IF(Year5_Swindon Year5_LAC_10to15="","",Year5_Swindon Year5_LAC_10to15)</f>
        <v>113</v>
      </c>
      <c r="AD307" s="605">
        <f>IF(Year5_Swindon Year5_LAC_16plus="","",Year5_Swindon Year5_LAC_16plus)</f>
        <v>75</v>
      </c>
      <c r="AE307" s="81" t="e">
        <f t="shared" si="125"/>
        <v>#N/A</v>
      </c>
      <c r="AF307" s="81">
        <f t="shared" si="124"/>
        <v>301</v>
      </c>
      <c r="AG307" s="81"/>
      <c r="AH307" s="81"/>
      <c r="AI307" s="81"/>
      <c r="AJ307" s="184"/>
      <c r="AK307" s="160"/>
    </row>
    <row r="308" spans="1:46" s="87" customFormat="1" ht="15" customHeight="1" x14ac:dyDescent="0.2">
      <c r="A308" s="488">
        <f>VLOOKUP(B308,Sheet1!$AQ$4:$AR$25,2,FALSE)</f>
        <v>0</v>
      </c>
      <c r="B308" s="93" t="str">
        <f t="shared" si="111"/>
        <v>Torbay</v>
      </c>
      <c r="C308" s="85"/>
      <c r="D308" s="603">
        <f t="shared" si="114"/>
        <v>20</v>
      </c>
      <c r="E308" s="603">
        <f t="shared" si="115"/>
        <v>48</v>
      </c>
      <c r="F308" s="603">
        <f t="shared" si="116"/>
        <v>61</v>
      </c>
      <c r="G308" s="603">
        <f t="shared" si="117"/>
        <v>157</v>
      </c>
      <c r="H308" s="628">
        <f t="shared" si="118"/>
        <v>71</v>
      </c>
      <c r="I308" s="629">
        <f t="shared" si="119"/>
        <v>5.6022408963585436E-2</v>
      </c>
      <c r="J308" s="1930">
        <f t="shared" si="119"/>
        <v>0.13445378151260504</v>
      </c>
      <c r="K308" s="1931"/>
      <c r="L308" s="629">
        <f t="shared" si="120"/>
        <v>0.17086834733893558</v>
      </c>
      <c r="M308" s="629">
        <f t="shared" si="121"/>
        <v>0.43977591036414565</v>
      </c>
      <c r="N308" s="630">
        <f t="shared" si="122"/>
        <v>0.19887955182072828</v>
      </c>
      <c r="O308" s="398"/>
      <c r="P308" s="392"/>
      <c r="Q308" s="387"/>
      <c r="R308" s="387"/>
      <c r="S308" s="387"/>
      <c r="T308" s="172"/>
      <c r="U308" s="399"/>
      <c r="V308" s="122"/>
      <c r="W308" s="139"/>
      <c r="X308" s="152"/>
      <c r="Y308" s="372" t="str">
        <f t="shared" si="123"/>
        <v>Torbay</v>
      </c>
      <c r="Z308" s="605">
        <f>IF(Year5_Torbay Year5_LAC_Under1="","",Year5_Torbay Year5_LAC_Under1)</f>
        <v>20</v>
      </c>
      <c r="AA308" s="605">
        <f>IF(Year5_Torbay Year5_LAC_1to4="","",Year5_Torbay Year5_LAC_1to4)</f>
        <v>48</v>
      </c>
      <c r="AB308" s="605">
        <f>IF(Year5_Torbay Year5_LAC_5to9="","",Year5_Torbay Year5_LAC_5to9)</f>
        <v>61</v>
      </c>
      <c r="AC308" s="605">
        <f>IF(Year5_Torbay Year5_LAC_10to15="","",Year5_Torbay Year5_LAC_10to15)</f>
        <v>157</v>
      </c>
      <c r="AD308" s="605">
        <f>IF(Year5_Torbay Year5_LAC_16plus="","",Year5_Torbay Year5_LAC_16plus)</f>
        <v>71</v>
      </c>
      <c r="AE308" s="81" t="e">
        <f t="shared" si="125"/>
        <v>#N/A</v>
      </c>
      <c r="AF308" s="81">
        <f t="shared" si="124"/>
        <v>357</v>
      </c>
      <c r="AG308" s="81"/>
      <c r="AH308" s="81"/>
      <c r="AI308" s="81"/>
      <c r="AJ308" s="184"/>
      <c r="AK308" s="160"/>
    </row>
    <row r="309" spans="1:46" s="87" customFormat="1" ht="15" customHeight="1" x14ac:dyDescent="0.2">
      <c r="A309" s="488">
        <f>VLOOKUP(B309,Sheet1!$AQ$4:$AR$25,2,FALSE)</f>
        <v>0</v>
      </c>
      <c r="B309" s="93" t="str">
        <f t="shared" si="111"/>
        <v>West Berkshire</v>
      </c>
      <c r="C309" s="85"/>
      <c r="D309" s="603">
        <f t="shared" si="114"/>
        <v>7</v>
      </c>
      <c r="E309" s="603">
        <f t="shared" si="115"/>
        <v>12</v>
      </c>
      <c r="F309" s="603">
        <f t="shared" si="116"/>
        <v>18</v>
      </c>
      <c r="G309" s="603">
        <f t="shared" si="117"/>
        <v>65</v>
      </c>
      <c r="H309" s="628">
        <f t="shared" si="118"/>
        <v>55</v>
      </c>
      <c r="I309" s="629">
        <f t="shared" si="119"/>
        <v>4.4585987261146494E-2</v>
      </c>
      <c r="J309" s="1930">
        <f t="shared" si="119"/>
        <v>7.6433121019108277E-2</v>
      </c>
      <c r="K309" s="1931"/>
      <c r="L309" s="629">
        <f t="shared" si="120"/>
        <v>0.11464968152866242</v>
      </c>
      <c r="M309" s="629">
        <f t="shared" si="121"/>
        <v>0.4140127388535032</v>
      </c>
      <c r="N309" s="630">
        <f t="shared" si="122"/>
        <v>0.3503184713375796</v>
      </c>
      <c r="O309" s="398"/>
      <c r="P309" s="392"/>
      <c r="Q309" s="387"/>
      <c r="R309" s="387"/>
      <c r="S309" s="387"/>
      <c r="T309" s="172"/>
      <c r="U309" s="399"/>
      <c r="V309" s="122"/>
      <c r="W309" s="139"/>
      <c r="X309" s="152"/>
      <c r="Y309" s="372" t="str">
        <f t="shared" si="123"/>
        <v>West Berkshire</v>
      </c>
      <c r="Z309" s="372">
        <f>IF(Year5_West_Berkshire Year5_LAC_Under1="","",Year5_West_Berkshire Year5_LAC_Under1)</f>
        <v>7</v>
      </c>
      <c r="AA309" s="372">
        <f>IF(Year5_West_Berkshire Year5_LAC_1to4="","",Year5_West_Berkshire Year5_LAC_1to4)</f>
        <v>12</v>
      </c>
      <c r="AB309" s="372">
        <f>IF(Year5_West_Berkshire Year5_LAC_5to9="","",Year5_West_Berkshire Year5_LAC_5to9)</f>
        <v>18</v>
      </c>
      <c r="AC309" s="372">
        <f>IF(Year5_West_Berkshire Year5_LAC_10to15="","",Year5_West_Berkshire Year5_LAC_10to15)</f>
        <v>65</v>
      </c>
      <c r="AD309" s="372">
        <f>IF(Year5_West_Berkshire Year5_LAC_16plus="","",Year5_West_Berkshire Year5_LAC_16plus)</f>
        <v>55</v>
      </c>
      <c r="AE309" s="81" t="e">
        <f t="shared" si="125"/>
        <v>#N/A</v>
      </c>
      <c r="AF309" s="81">
        <f t="shared" si="124"/>
        <v>157</v>
      </c>
      <c r="AG309" s="81"/>
      <c r="AH309" s="81"/>
      <c r="AI309" s="81"/>
      <c r="AJ309" s="184"/>
      <c r="AK309" s="160"/>
    </row>
    <row r="310" spans="1:46" s="87" customFormat="1" ht="15" customHeight="1" x14ac:dyDescent="0.2">
      <c r="A310" s="488">
        <f>VLOOKUP(B310,Sheet1!$AQ$4:$AR$25,2,FALSE)</f>
        <v>0</v>
      </c>
      <c r="B310" s="93" t="str">
        <f t="shared" si="111"/>
        <v>West Sussex</v>
      </c>
      <c r="C310" s="85"/>
      <c r="D310" s="603">
        <f t="shared" si="114"/>
        <v>47</v>
      </c>
      <c r="E310" s="603">
        <f t="shared" si="115"/>
        <v>112</v>
      </c>
      <c r="F310" s="603">
        <f t="shared" si="116"/>
        <v>117</v>
      </c>
      <c r="G310" s="603">
        <f t="shared" si="117"/>
        <v>298</v>
      </c>
      <c r="H310" s="628">
        <f t="shared" si="118"/>
        <v>234</v>
      </c>
      <c r="I310" s="629">
        <f t="shared" si="119"/>
        <v>5.8168316831683171E-2</v>
      </c>
      <c r="J310" s="1930">
        <f t="shared" si="119"/>
        <v>0.13861386138613863</v>
      </c>
      <c r="K310" s="1931"/>
      <c r="L310" s="629">
        <f t="shared" si="120"/>
        <v>0.14480198019801979</v>
      </c>
      <c r="M310" s="629">
        <f t="shared" si="121"/>
        <v>0.36881188118811881</v>
      </c>
      <c r="N310" s="630">
        <f t="shared" si="122"/>
        <v>0.28960396039603958</v>
      </c>
      <c r="O310" s="398"/>
      <c r="P310" s="392"/>
      <c r="Q310" s="387"/>
      <c r="R310" s="387"/>
      <c r="S310" s="387"/>
      <c r="T310" s="172"/>
      <c r="U310" s="399"/>
      <c r="V310" s="122"/>
      <c r="W310" s="139"/>
      <c r="X310" s="152"/>
      <c r="Y310" s="372" t="str">
        <f t="shared" si="123"/>
        <v>West Sussex</v>
      </c>
      <c r="Z310" s="372">
        <f>IF(Year5_West_Sussex Year5_LAC_Under1="","",Year5_West_Sussex Year5_LAC_Under1)</f>
        <v>47</v>
      </c>
      <c r="AA310" s="372">
        <f>IF(Year5_West_Sussex Year5_LAC_1to4="","",Year5_West_Sussex Year5_LAC_1to4)</f>
        <v>112</v>
      </c>
      <c r="AB310" s="372">
        <f>IF(Year5_West_Sussex Year5_LAC_5to9="","",Year5_West_Sussex Year5_LAC_5to9)</f>
        <v>117</v>
      </c>
      <c r="AC310" s="372">
        <f>IF(Year5_West_Sussex Year5_LAC_10to15="","",Year5_West_Sussex Year5_LAC_10to15)</f>
        <v>298</v>
      </c>
      <c r="AD310" s="372">
        <f>IF(Year5_West_Sussex Year5_LAC_16plus="","",Year5_West_Sussex Year5_LAC_16plus)</f>
        <v>234</v>
      </c>
      <c r="AE310" s="81" t="e">
        <f t="shared" si="125"/>
        <v>#N/A</v>
      </c>
      <c r="AF310" s="81">
        <f t="shared" si="124"/>
        <v>808</v>
      </c>
      <c r="AG310" s="81"/>
      <c r="AH310" s="81"/>
      <c r="AI310" s="81"/>
      <c r="AJ310" s="184"/>
      <c r="AK310" s="160"/>
    </row>
    <row r="311" spans="1:46" s="87" customFormat="1" ht="15" customHeight="1" x14ac:dyDescent="0.2">
      <c r="A311" s="488">
        <f>VLOOKUP(B311,Sheet1!$AQ$4:$AR$25,2,FALSE)</f>
        <v>0</v>
      </c>
      <c r="B311" s="93" t="str">
        <f t="shared" si="111"/>
        <v>Windsor &amp; Maidenhead</v>
      </c>
      <c r="C311" s="85"/>
      <c r="D311" s="603" t="e">
        <f t="shared" si="114"/>
        <v>#N/A</v>
      </c>
      <c r="E311" s="603" t="e">
        <f t="shared" si="115"/>
        <v>#N/A</v>
      </c>
      <c r="F311" s="603">
        <f t="shared" si="116"/>
        <v>17</v>
      </c>
      <c r="G311" s="603">
        <f t="shared" si="117"/>
        <v>47</v>
      </c>
      <c r="H311" s="628">
        <f t="shared" si="118"/>
        <v>35</v>
      </c>
      <c r="I311" s="629" t="e">
        <f t="shared" si="119"/>
        <v>#VALUE!</v>
      </c>
      <c r="J311" s="1930" t="e">
        <f t="shared" si="119"/>
        <v>#VALUE!</v>
      </c>
      <c r="K311" s="1931"/>
      <c r="L311" s="629">
        <f t="shared" si="120"/>
        <v>0.17171717171717171</v>
      </c>
      <c r="M311" s="629">
        <f t="shared" si="121"/>
        <v>0.47474747474747475</v>
      </c>
      <c r="N311" s="630">
        <f t="shared" si="122"/>
        <v>0.35353535353535354</v>
      </c>
      <c r="O311" s="398"/>
      <c r="P311" s="392"/>
      <c r="Q311" s="387"/>
      <c r="R311" s="387"/>
      <c r="S311" s="387"/>
      <c r="T311" s="172"/>
      <c r="U311" s="399"/>
      <c r="V311" s="122"/>
      <c r="W311" s="139"/>
      <c r="X311" s="152"/>
      <c r="Y311" s="372" t="str">
        <f t="shared" si="123"/>
        <v>Windsor &amp; Maidenhead</v>
      </c>
      <c r="Z311" s="372" t="str">
        <f>IF(Year5_Windsor_Maidenhead Year5_LAC_Under1="","",Year5_Windsor_Maidenhead Year5_LAC_Under1)</f>
        <v>c</v>
      </c>
      <c r="AA311" s="372" t="str">
        <f>IF(Year5_Windsor_Maidenhead Year5_LAC_1to4="","",Year5_Windsor_Maidenhead Year5_LAC_1to4)</f>
        <v>c</v>
      </c>
      <c r="AB311" s="372">
        <f>IF(Year5_Windsor_Maidenhead Year5_LAC_5to9="","",Year5_Windsor_Maidenhead Year5_LAC_5to9)</f>
        <v>17</v>
      </c>
      <c r="AC311" s="372">
        <f>IF(Year5_Windsor_Maidenhead Year5_LAC_10to15="","",Year5_Windsor_Maidenhead Year5_LAC_10to15)</f>
        <v>47</v>
      </c>
      <c r="AD311" s="372">
        <f>IF(Year5_Windsor_Maidenhead Year5_LAC_16plus="","",Year5_Windsor_Maidenhead Year5_LAC_16plus)</f>
        <v>35</v>
      </c>
      <c r="AE311" s="81" t="e">
        <f t="shared" si="125"/>
        <v>#N/A</v>
      </c>
      <c r="AF311" s="81">
        <f t="shared" si="124"/>
        <v>99</v>
      </c>
      <c r="AG311" s="81"/>
      <c r="AH311" s="81"/>
      <c r="AI311" s="81"/>
      <c r="AJ311" s="184"/>
      <c r="AK311" s="160"/>
    </row>
    <row r="312" spans="1:46" s="87" customFormat="1" ht="15" customHeight="1" x14ac:dyDescent="0.2">
      <c r="A312" s="488">
        <f>VLOOKUP(B312,Sheet1!$AQ$4:$AR$25,2,FALSE)</f>
        <v>0</v>
      </c>
      <c r="B312" s="93" t="str">
        <f t="shared" si="111"/>
        <v>Wokingham</v>
      </c>
      <c r="C312" s="85"/>
      <c r="D312" s="603" t="e">
        <f t="shared" si="114"/>
        <v>#N/A</v>
      </c>
      <c r="E312" s="603" t="e">
        <f t="shared" si="115"/>
        <v>#N/A</v>
      </c>
      <c r="F312" s="603">
        <f t="shared" si="116"/>
        <v>16</v>
      </c>
      <c r="G312" s="603">
        <f t="shared" si="117"/>
        <v>33</v>
      </c>
      <c r="H312" s="628">
        <f t="shared" si="118"/>
        <v>33</v>
      </c>
      <c r="I312" s="629" t="e">
        <f t="shared" si="119"/>
        <v>#VALUE!</v>
      </c>
      <c r="J312" s="1930" t="e">
        <f t="shared" si="119"/>
        <v>#VALUE!</v>
      </c>
      <c r="K312" s="1931"/>
      <c r="L312" s="629">
        <f t="shared" si="120"/>
        <v>0.1951219512195122</v>
      </c>
      <c r="M312" s="629">
        <f t="shared" si="121"/>
        <v>0.40243902439024393</v>
      </c>
      <c r="N312" s="630">
        <f t="shared" si="122"/>
        <v>0.40243902439024393</v>
      </c>
      <c r="O312" s="398"/>
      <c r="P312" s="392"/>
      <c r="Q312" s="387"/>
      <c r="R312" s="387"/>
      <c r="S312" s="387"/>
      <c r="T312" s="172"/>
      <c r="U312" s="399"/>
      <c r="V312" s="122"/>
      <c r="W312" s="139"/>
      <c r="X312" s="152"/>
      <c r="Y312" s="372" t="str">
        <f t="shared" si="123"/>
        <v>Wokingham</v>
      </c>
      <c r="Z312" s="372" t="str">
        <f>IF(Year5_Wokingham Year5_LAC_Under1="","",Year5_Wokingham Year5_LAC_Under1)</f>
        <v>c</v>
      </c>
      <c r="AA312" s="372" t="str">
        <f>IF(Year5_Wokingham Year5_LAC_1to4="","",Year5_Wokingham Year5_LAC_1to4)</f>
        <v>c</v>
      </c>
      <c r="AB312" s="372">
        <f>IF(Year5_Wokingham Year5_LAC_5to9="","",Year5_Wokingham Year5_LAC_5to9)</f>
        <v>16</v>
      </c>
      <c r="AC312" s="372">
        <f>IF(Year5_Wokingham Year5_LAC_10to15="","",Year5_Wokingham Year5_LAC_10to15)</f>
        <v>33</v>
      </c>
      <c r="AD312" s="372">
        <f>IF(Year5_Wokingham Year5_LAC_16plus="","",Year5_Wokingham Year5_LAC_16plus)</f>
        <v>33</v>
      </c>
      <c r="AE312" s="81" t="e">
        <f t="shared" si="125"/>
        <v>#N/A</v>
      </c>
      <c r="AF312" s="81">
        <f t="shared" si="124"/>
        <v>82</v>
      </c>
      <c r="AG312" s="81"/>
      <c r="AH312" s="81"/>
      <c r="AI312" s="81"/>
      <c r="AJ312" s="184"/>
      <c r="AK312" s="160"/>
    </row>
    <row r="313" spans="1:46" s="87" customFormat="1" ht="15" customHeight="1" x14ac:dyDescent="0.2">
      <c r="A313" s="121"/>
      <c r="B313" s="129" t="str">
        <f t="shared" si="111"/>
        <v>South East</v>
      </c>
      <c r="C313" s="85"/>
      <c r="D313" s="404">
        <f t="shared" si="114"/>
        <v>490</v>
      </c>
      <c r="E313" s="404">
        <f t="shared" si="115"/>
        <v>1080</v>
      </c>
      <c r="F313" s="404">
        <f t="shared" si="116"/>
        <v>1750</v>
      </c>
      <c r="G313" s="404">
        <f t="shared" si="117"/>
        <v>4190</v>
      </c>
      <c r="H313" s="405">
        <f t="shared" si="118"/>
        <v>2930</v>
      </c>
      <c r="I313" s="163">
        <f t="shared" si="119"/>
        <v>4.6934865900383142E-2</v>
      </c>
      <c r="J313" s="1941">
        <f t="shared" si="119"/>
        <v>0.10344827586206896</v>
      </c>
      <c r="K313" s="1942"/>
      <c r="L313" s="163">
        <f t="shared" si="120"/>
        <v>0.16762452107279693</v>
      </c>
      <c r="M313" s="163">
        <f t="shared" si="121"/>
        <v>0.40134099616858238</v>
      </c>
      <c r="N313" s="165">
        <f t="shared" si="122"/>
        <v>0.28065134099616856</v>
      </c>
      <c r="O313" s="398"/>
      <c r="P313" s="392"/>
      <c r="Q313" s="387"/>
      <c r="R313" s="387"/>
      <c r="S313" s="387"/>
      <c r="T313" s="172"/>
      <c r="U313" s="399"/>
      <c r="V313" s="122"/>
      <c r="W313" s="139"/>
      <c r="X313" s="152"/>
      <c r="Y313" s="372" t="str">
        <f t="shared" si="123"/>
        <v>South East</v>
      </c>
      <c r="Z313" s="372">
        <f>IF(Year5_SouthEast Year5_LAC_Under1="","",Year5_SouthEast Year5_LAC_Under1)</f>
        <v>490</v>
      </c>
      <c r="AA313" s="372">
        <f>IF(Year5_SouthEast Year5_LAC_1to4="","",Year5_SouthEast Year5_LAC_1to4)</f>
        <v>1080</v>
      </c>
      <c r="AB313" s="372">
        <f>IF(Year5_SouthEast Year5_LAC_5to9="","",Year5_SouthEast Year5_LAC_5to9)</f>
        <v>1750</v>
      </c>
      <c r="AC313" s="372">
        <f>IF(Year5_SouthEast Year5_LAC_10to15="","",Year5_SouthEast Year5_LAC_10to15)</f>
        <v>4190</v>
      </c>
      <c r="AD313" s="372">
        <f>IF(Year5_SouthEast Year5_LAC_16plus="","",Year5_SouthEast Year5_LAC_16plus)</f>
        <v>2930</v>
      </c>
      <c r="AE313" s="81" t="e">
        <f t="shared" si="125"/>
        <v>#N/A</v>
      </c>
      <c r="AF313" s="81">
        <f t="shared" si="124"/>
        <v>10440</v>
      </c>
      <c r="AG313" s="81"/>
      <c r="AH313" s="81"/>
      <c r="AI313" s="81"/>
      <c r="AJ313" s="184"/>
      <c r="AK313" s="160"/>
    </row>
    <row r="314" spans="1:46" s="87" customFormat="1" ht="15.75" customHeight="1" x14ac:dyDescent="0.2">
      <c r="A314" s="121"/>
      <c r="B314" s="329" t="s">
        <v>127</v>
      </c>
      <c r="C314" s="85"/>
      <c r="D314" s="406">
        <f t="shared" si="114"/>
        <v>4130</v>
      </c>
      <c r="E314" s="406">
        <f t="shared" si="115"/>
        <v>10850</v>
      </c>
      <c r="F314" s="406">
        <f t="shared" si="116"/>
        <v>14700</v>
      </c>
      <c r="G314" s="406">
        <f t="shared" si="117"/>
        <v>31370</v>
      </c>
      <c r="H314" s="407">
        <f t="shared" si="118"/>
        <v>19030</v>
      </c>
      <c r="I314" s="351">
        <f t="shared" si="119"/>
        <v>5.1573426573426576E-2</v>
      </c>
      <c r="J314" s="1932">
        <f t="shared" si="119"/>
        <v>0.1354895104895105</v>
      </c>
      <c r="K314" s="1933"/>
      <c r="L314" s="351">
        <f t="shared" si="120"/>
        <v>0.18356643356643357</v>
      </c>
      <c r="M314" s="351">
        <f t="shared" si="121"/>
        <v>0.39173326673326675</v>
      </c>
      <c r="N314" s="352">
        <f t="shared" si="122"/>
        <v>0.23763736263736263</v>
      </c>
      <c r="O314" s="400"/>
      <c r="P314" s="954"/>
      <c r="Q314" s="401"/>
      <c r="R314" s="401"/>
      <c r="S314" s="401"/>
      <c r="T314" s="402"/>
      <c r="U314" s="403"/>
      <c r="V314" s="122"/>
      <c r="W314" s="139"/>
      <c r="X314" s="152"/>
      <c r="Y314" s="372" t="str">
        <f t="shared" si="123"/>
        <v>England</v>
      </c>
      <c r="Z314" s="372">
        <f>IF(Year5_England Year5_LAC_Under1="","",Year5_England Year5_LAC_Under1)</f>
        <v>4130</v>
      </c>
      <c r="AA314" s="372">
        <f>IF(Year5_England Year5_LAC_1to4="","",Year5_England Year5_LAC_1to4)</f>
        <v>10850</v>
      </c>
      <c r="AB314" s="372">
        <f>IF(Year5_England Year5_LAC_5to9="","",Year5_England Year5_LAC_5to9)</f>
        <v>14700</v>
      </c>
      <c r="AC314" s="372">
        <f>IF(Year5_England Year5_LAC_10to15="","",Year5_England Year5_LAC_10to15)</f>
        <v>31370</v>
      </c>
      <c r="AD314" s="372">
        <f>IF(Year5_England Year5_LAC_16plus="","",Year5_England Year5_LAC_16plus)</f>
        <v>19030</v>
      </c>
      <c r="AE314" s="81" t="e">
        <f t="shared" si="125"/>
        <v>#N/A</v>
      </c>
      <c r="AF314" s="81">
        <f t="shared" si="124"/>
        <v>80080</v>
      </c>
      <c r="AG314" s="81"/>
      <c r="AH314" s="81"/>
      <c r="AI314" s="81"/>
      <c r="AJ314" s="184"/>
      <c r="AK314" s="160"/>
    </row>
    <row r="315" spans="1:46" s="87" customFormat="1" ht="15" customHeight="1" x14ac:dyDescent="0.2">
      <c r="A315" s="292"/>
      <c r="B315" s="96"/>
      <c r="C315" s="96"/>
      <c r="D315" s="96"/>
      <c r="E315" s="96"/>
      <c r="F315" s="96"/>
      <c r="G315" s="96"/>
      <c r="H315" s="96"/>
      <c r="I315" s="96"/>
      <c r="J315" s="96"/>
      <c r="K315" s="168"/>
      <c r="L315" s="168"/>
      <c r="M315" s="168"/>
      <c r="N315" s="168"/>
      <c r="O315" s="387"/>
      <c r="P315" s="392"/>
      <c r="Q315" s="387"/>
      <c r="R315" s="387"/>
      <c r="S315" s="387"/>
      <c r="T315" s="172"/>
      <c r="U315" s="399"/>
      <c r="V315" s="122"/>
      <c r="W315" s="139"/>
      <c r="X315" s="152"/>
      <c r="Y315" s="81"/>
      <c r="Z315" s="81"/>
      <c r="AA315" s="196"/>
      <c r="AB315" s="196"/>
      <c r="AC315" s="197"/>
      <c r="AD315" s="81"/>
      <c r="AE315" s="81"/>
      <c r="AF315" s="81"/>
      <c r="AG315" s="81"/>
      <c r="AH315" s="81"/>
      <c r="AI315" s="81"/>
      <c r="AJ315" s="184"/>
      <c r="AK315" s="160"/>
    </row>
    <row r="316" spans="1:46" s="81" customFormat="1" ht="15" customHeight="1" x14ac:dyDescent="0.2">
      <c r="A316" s="217"/>
      <c r="B316" s="386"/>
      <c r="C316" s="386"/>
      <c r="D316" s="386"/>
      <c r="E316" s="386"/>
      <c r="F316" s="386"/>
      <c r="G316" s="386"/>
      <c r="H316" s="386"/>
      <c r="I316" s="386"/>
      <c r="J316" s="172"/>
      <c r="K316" s="172"/>
      <c r="L316" s="172"/>
      <c r="M316" s="172"/>
      <c r="N316" s="172"/>
      <c r="O316" s="387"/>
      <c r="P316" s="392"/>
      <c r="Q316" s="387"/>
      <c r="R316" s="387"/>
      <c r="S316" s="387"/>
      <c r="T316" s="172"/>
      <c r="U316" s="399"/>
      <c r="V316" s="117"/>
      <c r="W316" s="137"/>
      <c r="X316" s="150"/>
      <c r="AD316" s="197"/>
      <c r="AE316" s="199"/>
      <c r="AF316" s="184"/>
      <c r="AG316" s="184"/>
      <c r="AH316" s="184"/>
      <c r="AJ316" s="184"/>
      <c r="AK316" s="161"/>
    </row>
    <row r="317" spans="1:46" s="81" customFormat="1" ht="15.75" customHeight="1" x14ac:dyDescent="0.2">
      <c r="A317" s="217"/>
      <c r="B317" s="386"/>
      <c r="C317" s="386"/>
      <c r="D317" s="386"/>
      <c r="E317" s="386"/>
      <c r="F317" s="386"/>
      <c r="G317" s="386"/>
      <c r="H317" s="386"/>
      <c r="I317" s="386"/>
      <c r="J317" s="172"/>
      <c r="K317" s="172"/>
      <c r="L317" s="172"/>
      <c r="M317" s="172"/>
      <c r="N317" s="172"/>
      <c r="O317" s="387"/>
      <c r="P317" s="392"/>
      <c r="Q317" s="387"/>
      <c r="R317" s="387"/>
      <c r="S317" s="387"/>
      <c r="T317" s="172"/>
      <c r="U317" s="399"/>
      <c r="V317" s="117"/>
      <c r="W317" s="137"/>
      <c r="X317" s="150"/>
      <c r="Z317" s="190"/>
      <c r="AE317" s="199"/>
      <c r="AF317" s="184"/>
      <c r="AG317" s="184"/>
      <c r="AH317" s="184"/>
      <c r="AJ317" s="184"/>
      <c r="AK317" s="161"/>
    </row>
    <row r="318" spans="1:46" s="81" customFormat="1" ht="21.75" customHeight="1" x14ac:dyDescent="0.2">
      <c r="A318" s="217"/>
      <c r="B318" s="386"/>
      <c r="C318" s="386"/>
      <c r="D318" s="386"/>
      <c r="E318" s="386"/>
      <c r="F318" s="386"/>
      <c r="G318" s="386"/>
      <c r="H318" s="386"/>
      <c r="I318" s="387"/>
      <c r="J318" s="387"/>
      <c r="K318" s="387"/>
      <c r="L318" s="387"/>
      <c r="M318" s="387"/>
      <c r="N318" s="387"/>
      <c r="O318" s="387"/>
      <c r="P318" s="392"/>
      <c r="Q318" s="387"/>
      <c r="R318" s="387"/>
      <c r="S318" s="387"/>
      <c r="T318" s="172"/>
      <c r="U318" s="399"/>
      <c r="V318" s="117"/>
      <c r="W318" s="137"/>
      <c r="X318" s="150"/>
      <c r="Z318" s="190"/>
      <c r="AE318" s="199"/>
      <c r="AF318" s="184"/>
      <c r="AG318" s="184"/>
      <c r="AH318" s="184"/>
      <c r="AJ318" s="184"/>
      <c r="AK318" s="161"/>
    </row>
    <row r="319" spans="1:46" s="81" customFormat="1" ht="7.5" customHeight="1" x14ac:dyDescent="0.2">
      <c r="A319" s="118"/>
      <c r="B319" s="17"/>
      <c r="C319" s="17"/>
      <c r="D319" s="16"/>
      <c r="E319" s="16"/>
      <c r="F319" s="16"/>
      <c r="G319" s="16"/>
      <c r="H319" s="16"/>
      <c r="I319" s="16"/>
      <c r="J319" s="12"/>
      <c r="K319" s="18"/>
      <c r="L319" s="18"/>
      <c r="M319" s="18"/>
      <c r="N319" s="18"/>
      <c r="O319" s="18"/>
      <c r="P319" s="18"/>
      <c r="Q319" s="18"/>
      <c r="R319" s="18"/>
      <c r="S319" s="18"/>
      <c r="T319" s="18"/>
      <c r="U319" s="19"/>
      <c r="V319" s="117"/>
      <c r="W319" s="137"/>
      <c r="X319" s="150"/>
      <c r="Z319" s="190"/>
      <c r="AJ319" s="184"/>
      <c r="AK319" s="157"/>
      <c r="AL319" s="74"/>
      <c r="AM319" s="74"/>
      <c r="AN319" s="74"/>
      <c r="AO319" s="74"/>
      <c r="AP319" s="74"/>
      <c r="AQ319" s="74"/>
      <c r="AR319" s="74"/>
    </row>
    <row r="320" spans="1:46" s="81" customFormat="1" ht="15" customHeight="1" x14ac:dyDescent="0.2">
      <c r="A320" s="1716"/>
      <c r="B320" s="1760"/>
      <c r="C320" s="1760"/>
      <c r="D320" s="1760"/>
      <c r="E320" s="1760"/>
      <c r="F320" s="1760"/>
      <c r="G320" s="1760"/>
      <c r="H320" s="1760"/>
      <c r="I320" s="1760"/>
      <c r="J320" s="1760"/>
      <c r="K320" s="1760"/>
      <c r="L320" s="1760"/>
      <c r="M320" s="1760"/>
      <c r="N320" s="1760"/>
      <c r="O320" s="1760"/>
      <c r="P320" s="1760"/>
      <c r="Q320" s="1760"/>
      <c r="R320" s="1760"/>
      <c r="S320" s="1760"/>
      <c r="T320" s="1760"/>
      <c r="U320" s="1760"/>
      <c r="V320" s="1761"/>
      <c r="W320" s="137"/>
      <c r="X320" s="150"/>
      <c r="AK320" s="161"/>
      <c r="AT320" s="74"/>
    </row>
    <row r="321" spans="1:46" s="81" customFormat="1" ht="11.25" customHeight="1" x14ac:dyDescent="0.2">
      <c r="A321" s="1765" t="str">
        <f>Home!$A$39</f>
        <v xml:space="preserve"> </v>
      </c>
      <c r="B321" s="1766"/>
      <c r="C321" s="1766"/>
      <c r="D321" s="1766"/>
      <c r="E321" s="1766"/>
      <c r="F321" s="1766"/>
      <c r="G321" s="1766"/>
      <c r="H321" s="1766"/>
      <c r="I321" s="1767"/>
      <c r="J321" s="1766"/>
      <c r="K321" s="1766"/>
      <c r="L321" s="1766"/>
      <c r="M321" s="1766"/>
      <c r="N321" s="1766"/>
      <c r="O321" s="1766"/>
      <c r="P321" s="1768"/>
      <c r="Q321" s="1766"/>
      <c r="R321" s="1766"/>
      <c r="S321" s="1766"/>
      <c r="T321" s="1767"/>
      <c r="U321" s="1766"/>
      <c r="V321" s="1769"/>
      <c r="W321" s="137"/>
      <c r="X321" s="150"/>
      <c r="AJ321" s="184"/>
      <c r="AK321" s="160"/>
      <c r="AL321" s="87"/>
      <c r="AT321" s="74"/>
    </row>
    <row r="322" spans="1:46" ht="11.25" customHeight="1" x14ac:dyDescent="0.2">
      <c r="A322" s="112"/>
      <c r="B322" s="113"/>
      <c r="C322" s="113"/>
      <c r="D322" s="113"/>
      <c r="E322" s="113"/>
      <c r="F322" s="113"/>
      <c r="G322" s="113"/>
      <c r="H322" s="113"/>
      <c r="I322" s="113"/>
      <c r="J322" s="114"/>
      <c r="K322" s="113"/>
      <c r="L322" s="113"/>
      <c r="M322" s="113"/>
      <c r="N322" s="113"/>
      <c r="O322" s="113"/>
      <c r="P322" s="113"/>
      <c r="Q322" s="113"/>
      <c r="R322" s="113"/>
      <c r="S322" s="113"/>
      <c r="T322" s="113"/>
      <c r="U322" s="113"/>
      <c r="V322" s="115"/>
      <c r="W322" s="137"/>
      <c r="X322" s="150"/>
      <c r="Y322" s="198"/>
      <c r="Z322" s="196"/>
      <c r="AA322" s="188"/>
      <c r="AJ322" s="184"/>
      <c r="AK322" s="160"/>
    </row>
    <row r="323" spans="1:46" s="76" customFormat="1" ht="21" customHeight="1" x14ac:dyDescent="0.2">
      <c r="A323" s="119"/>
      <c r="B323" s="1770" t="str">
        <f>"Age breakdown of Children Looked After"&amp;Z1&amp;" ("&amp;Y288&amp;")"&amp;" (groups)"</f>
        <v>Age breakdown of Children Looked After at 31st March (2019-20) (groups)</v>
      </c>
      <c r="C323" s="1770"/>
      <c r="D323" s="1770"/>
      <c r="E323" s="1770"/>
      <c r="F323" s="1770"/>
      <c r="G323" s="1770"/>
      <c r="H323" s="1770"/>
      <c r="I323" s="1770"/>
      <c r="J323" s="1770"/>
      <c r="K323" s="1770"/>
      <c r="L323" s="1770"/>
      <c r="M323" s="1770"/>
      <c r="N323" s="1770"/>
      <c r="O323" s="1770"/>
      <c r="P323" s="921"/>
      <c r="Q323" s="166"/>
      <c r="R323" s="70"/>
      <c r="S323" s="70"/>
      <c r="T323" s="70"/>
      <c r="U323" s="70"/>
      <c r="V323" s="120"/>
      <c r="W323" s="138"/>
      <c r="X323" s="151"/>
      <c r="Y323" s="381" t="s">
        <v>1282</v>
      </c>
      <c r="Z323" s="382"/>
      <c r="AA323" s="383"/>
      <c r="AB323" s="383"/>
      <c r="AC323" s="383"/>
      <c r="AD323" s="81"/>
      <c r="AE323" s="81"/>
      <c r="AF323" s="81"/>
      <c r="AG323" s="81"/>
      <c r="AH323" s="81"/>
      <c r="AI323" s="81"/>
      <c r="AJ323" s="184"/>
      <c r="AK323" s="160"/>
    </row>
    <row r="324" spans="1:46" ht="25.5" customHeight="1" x14ac:dyDescent="0.2">
      <c r="A324" s="118"/>
      <c r="B324" s="1867" t="s">
        <v>205</v>
      </c>
      <c r="C324" s="226"/>
      <c r="D324" s="1857" t="s">
        <v>166</v>
      </c>
      <c r="E324" s="1925"/>
      <c r="F324" s="1925"/>
      <c r="G324" s="1925"/>
      <c r="H324" s="1925"/>
      <c r="I324" s="1925"/>
      <c r="J324" s="1925"/>
      <c r="K324" s="1925"/>
      <c r="L324" s="1925"/>
      <c r="M324" s="1925"/>
      <c r="N324" s="1925"/>
      <c r="O324" s="1925"/>
      <c r="P324" s="1925"/>
      <c r="Q324" s="1925"/>
      <c r="R324" s="1925"/>
      <c r="S324" s="1925"/>
      <c r="T324" s="1925"/>
      <c r="U324" s="1926"/>
      <c r="V324" s="117"/>
      <c r="W324" s="137"/>
      <c r="X324" s="150"/>
      <c r="Y324" s="383"/>
      <c r="Z324" s="382"/>
      <c r="AA324" s="383"/>
      <c r="AB324" s="383"/>
      <c r="AC324" s="383"/>
      <c r="AJ324" s="184"/>
      <c r="AK324" s="160"/>
    </row>
    <row r="325" spans="1:46" s="87" customFormat="1" ht="14.25" customHeight="1" x14ac:dyDescent="0.2">
      <c r="A325" s="121"/>
      <c r="B325" s="1927"/>
      <c r="C325" s="85"/>
      <c r="D325" s="413" t="s">
        <v>154</v>
      </c>
      <c r="E325" s="413" t="s">
        <v>156</v>
      </c>
      <c r="F325" s="413" t="s">
        <v>157</v>
      </c>
      <c r="G325" s="413" t="s">
        <v>158</v>
      </c>
      <c r="H325" s="414" t="s">
        <v>167</v>
      </c>
      <c r="I325" s="392"/>
      <c r="J325" s="172"/>
      <c r="K325" s="172"/>
      <c r="L325" s="172"/>
      <c r="M325" s="172"/>
      <c r="N325" s="172"/>
      <c r="O325" s="392"/>
      <c r="P325" s="392"/>
      <c r="Q325" s="392"/>
      <c r="R325" s="392"/>
      <c r="S325" s="392"/>
      <c r="T325" s="172"/>
      <c r="U325" s="399"/>
      <c r="V325" s="122"/>
      <c r="W325" s="139"/>
      <c r="X325" s="152"/>
      <c r="Y325" s="372"/>
      <c r="Z325" s="489" t="str">
        <f>D325</f>
        <v>Under 1</v>
      </c>
      <c r="AA325" s="489" t="str">
        <f t="shared" ref="AA325" si="126">E325</f>
        <v xml:space="preserve">      1 - 4    </v>
      </c>
      <c r="AB325" s="489" t="str">
        <f t="shared" ref="AB325" si="127">F325</f>
        <v xml:space="preserve">      5 - 9    </v>
      </c>
      <c r="AC325" s="489" t="str">
        <f t="shared" ref="AC325" si="128">G325</f>
        <v xml:space="preserve">   10 - 15  </v>
      </c>
      <c r="AD325" s="489" t="str">
        <f t="shared" ref="AD325" si="129">H325</f>
        <v>16-17</v>
      </c>
      <c r="AE325" s="81"/>
      <c r="AF325" s="81"/>
      <c r="AG325" s="81"/>
      <c r="AH325" s="81"/>
      <c r="AI325" s="81"/>
      <c r="AJ325" s="184"/>
      <c r="AK325" s="160"/>
    </row>
    <row r="326" spans="1:46" s="87" customFormat="1" ht="15.75" customHeight="1" x14ac:dyDescent="0.2">
      <c r="A326" s="488">
        <f>VLOOKUP(B326,Sheet1!$AQ$4:$AR$25,2,FALSE)</f>
        <v>0</v>
      </c>
      <c r="B326" s="93" t="str">
        <f>B291</f>
        <v>Bracknell Forest</v>
      </c>
      <c r="C326" s="85"/>
      <c r="D326" s="234">
        <f>IF(SUM($Z291:$AD291)&gt;0,Z291/Z326*10000,NA())</f>
        <v>58.737151248164459</v>
      </c>
      <c r="E326" s="234">
        <f t="shared" ref="E326:H326" si="130">IF(SUM($Z291:$AD291)&gt;0,AA291/AA326*10000,NA())</f>
        <v>11.854360711261641</v>
      </c>
      <c r="F326" s="234">
        <f t="shared" si="130"/>
        <v>27.926177756192327</v>
      </c>
      <c r="G326" s="234">
        <f t="shared" si="130"/>
        <v>64.030897448927746</v>
      </c>
      <c r="H326" s="408">
        <f t="shared" si="130"/>
        <v>134.77975016436554</v>
      </c>
      <c r="I326" s="392"/>
      <c r="J326" s="172"/>
      <c r="K326" s="172"/>
      <c r="L326" s="172"/>
      <c r="M326" s="172"/>
      <c r="N326" s="172"/>
      <c r="O326" s="392"/>
      <c r="P326" s="392"/>
      <c r="Q326" s="392"/>
      <c r="R326" s="392"/>
      <c r="S326" s="392"/>
      <c r="T326" s="172"/>
      <c r="U326" s="399"/>
      <c r="V326" s="122"/>
      <c r="W326" s="139"/>
      <c r="X326" s="152"/>
      <c r="Y326" s="372" t="str">
        <f>B326</f>
        <v>Bracknell Forest</v>
      </c>
      <c r="Z326" s="489">
        <f>Sheet1!D314</f>
        <v>1362</v>
      </c>
      <c r="AA326" s="1496">
        <f>Sheet1!E314</f>
        <v>5905</v>
      </c>
      <c r="AB326" s="1496">
        <f>Sheet1!F314</f>
        <v>8236</v>
      </c>
      <c r="AC326" s="1496">
        <f>Sheet1!G314</f>
        <v>9839</v>
      </c>
      <c r="AD326" s="1496">
        <f>Sheet1!H314</f>
        <v>3042</v>
      </c>
      <c r="AE326" s="81" t="e">
        <f>IF($Y326=$Z$4,150,NA())</f>
        <v>#N/A</v>
      </c>
      <c r="AF326" s="81" t="e">
        <f>IF($Y326=$Z$4,100,NA())</f>
        <v>#N/A</v>
      </c>
      <c r="AG326" s="81" t="e">
        <f>IF($Y326=$Z$4,100,NA())</f>
        <v>#N/A</v>
      </c>
      <c r="AH326" s="81" t="e">
        <f>IF($Y326=$Z$4,200,NA())</f>
        <v>#N/A</v>
      </c>
      <c r="AI326" s="81" t="e">
        <f>IF($Y326=$Z$4,250,NA())</f>
        <v>#N/A</v>
      </c>
      <c r="AJ326" s="184"/>
      <c r="AK326" s="160"/>
    </row>
    <row r="327" spans="1:46" s="87" customFormat="1" ht="15.75" customHeight="1" x14ac:dyDescent="0.2">
      <c r="A327" s="488">
        <f>VLOOKUP(B327,Sheet1!$AQ$4:$AR$25,2,FALSE)</f>
        <v>0</v>
      </c>
      <c r="B327" s="93" t="str">
        <f t="shared" ref="B327:B348" si="131">B292</f>
        <v>Brighton &amp; Hove</v>
      </c>
      <c r="C327" s="85"/>
      <c r="D327" s="234">
        <f>IF(SUM($Z292:$AD292)&gt;0,Z292/Z327*10000,NA())</f>
        <v>61.957868649318463</v>
      </c>
      <c r="E327" s="234">
        <f t="shared" ref="E327:E328" si="132">IF(SUM($Z292:$AD292)&gt;0,AA292/AA327*10000,NA())</f>
        <v>40.329972502291476</v>
      </c>
      <c r="F327" s="234">
        <f t="shared" ref="F327:F328" si="133">IF(SUM($Z292:$AD292)&gt;0,AB292/AB327*10000,NA())</f>
        <v>35.323452001662275</v>
      </c>
      <c r="G327" s="234">
        <f t="shared" ref="G327:G328" si="134">IF(SUM($Z292:$AD292)&gt;0,AC292/AC327*10000,NA())</f>
        <v>91.500967798697872</v>
      </c>
      <c r="H327" s="408">
        <f t="shared" ref="H327:H328" si="135">IF(SUM($Z292:$AD292)&gt;0,AD292/AD327*10000,NA())</f>
        <v>190.86070838685995</v>
      </c>
      <c r="I327" s="392"/>
      <c r="J327" s="172"/>
      <c r="K327" s="172"/>
      <c r="L327" s="172"/>
      <c r="M327" s="172"/>
      <c r="N327" s="172"/>
      <c r="O327" s="392"/>
      <c r="P327" s="392"/>
      <c r="Q327" s="392"/>
      <c r="R327" s="392"/>
      <c r="S327" s="392"/>
      <c r="T327" s="172"/>
      <c r="U327" s="399"/>
      <c r="V327" s="122"/>
      <c r="W327" s="139"/>
      <c r="X327" s="152"/>
      <c r="Y327" s="372" t="str">
        <f t="shared" ref="Y327:Y348" si="136">B327</f>
        <v>Brighton &amp; Hove</v>
      </c>
      <c r="Z327" s="1496">
        <f>Sheet1!D315</f>
        <v>2421</v>
      </c>
      <c r="AA327" s="1496">
        <f>Sheet1!E315</f>
        <v>10910</v>
      </c>
      <c r="AB327" s="1496">
        <f>Sheet1!F315</f>
        <v>14438</v>
      </c>
      <c r="AC327" s="1496">
        <f>Sheet1!G315</f>
        <v>17049</v>
      </c>
      <c r="AD327" s="1496">
        <f>Sheet1!H315</f>
        <v>5449</v>
      </c>
      <c r="AE327" s="81" t="e">
        <f t="shared" ref="AE327:AE349" si="137">IF($Y327=$Z$4,150,NA())</f>
        <v>#N/A</v>
      </c>
      <c r="AF327" s="81" t="e">
        <f t="shared" ref="AF327:AG349" si="138">IF($Y327=$Z$4,100,NA())</f>
        <v>#N/A</v>
      </c>
      <c r="AG327" s="81" t="e">
        <f t="shared" si="138"/>
        <v>#N/A</v>
      </c>
      <c r="AH327" s="81" t="e">
        <f t="shared" ref="AH327:AH349" si="139">IF($Y327=$Z$4,200,NA())</f>
        <v>#N/A</v>
      </c>
      <c r="AI327" s="81" t="e">
        <f t="shared" ref="AI327:AI349" si="140">IF($Y327=$Z$4,250,NA())</f>
        <v>#N/A</v>
      </c>
      <c r="AJ327" s="184"/>
      <c r="AK327" s="160"/>
    </row>
    <row r="328" spans="1:46" s="87" customFormat="1" ht="15.75" customHeight="1" x14ac:dyDescent="0.2">
      <c r="A328" s="488">
        <f>VLOOKUP(B328,Sheet1!$AQ$4:$AR$25,2,FALSE)</f>
        <v>0</v>
      </c>
      <c r="B328" s="93" t="str">
        <f t="shared" si="131"/>
        <v>Buckinghamshire</v>
      </c>
      <c r="C328" s="85"/>
      <c r="D328" s="234">
        <f t="shared" ref="D328:D349" si="141">IF(SUM($Z293:$AD293)&gt;0,Z293/Z328*10000,NA())</f>
        <v>49.905351918774741</v>
      </c>
      <c r="E328" s="234">
        <f t="shared" si="132"/>
        <v>18.540941425760558</v>
      </c>
      <c r="F328" s="234">
        <f t="shared" si="133"/>
        <v>18.378875104732561</v>
      </c>
      <c r="G328" s="234">
        <f t="shared" si="134"/>
        <v>47.924058799133682</v>
      </c>
      <c r="H328" s="408">
        <f t="shared" si="135"/>
        <v>99.282113945318471</v>
      </c>
      <c r="I328" s="392"/>
      <c r="J328" s="172"/>
      <c r="K328" s="172"/>
      <c r="L328" s="172"/>
      <c r="M328" s="172"/>
      <c r="N328" s="172"/>
      <c r="O328" s="392"/>
      <c r="P328" s="392"/>
      <c r="Q328" s="392"/>
      <c r="R328" s="392"/>
      <c r="S328" s="392"/>
      <c r="T328" s="172"/>
      <c r="U328" s="399"/>
      <c r="V328" s="122"/>
      <c r="W328" s="139"/>
      <c r="X328" s="152"/>
      <c r="Y328" s="372" t="str">
        <f t="shared" si="136"/>
        <v>Buckinghamshire</v>
      </c>
      <c r="Z328" s="1496">
        <f>Sheet1!D316</f>
        <v>5811</v>
      </c>
      <c r="AA328" s="1496">
        <f>Sheet1!E316</f>
        <v>26428</v>
      </c>
      <c r="AB328" s="1496">
        <f>Sheet1!F316</f>
        <v>36999</v>
      </c>
      <c r="AC328" s="1496">
        <f>Sheet1!G316</f>
        <v>43402</v>
      </c>
      <c r="AD328" s="1496">
        <f>Sheet1!H316</f>
        <v>13094</v>
      </c>
      <c r="AE328" s="81" t="e">
        <f t="shared" si="137"/>
        <v>#N/A</v>
      </c>
      <c r="AF328" s="81" t="e">
        <f t="shared" si="138"/>
        <v>#N/A</v>
      </c>
      <c r="AG328" s="81" t="e">
        <f t="shared" si="138"/>
        <v>#N/A</v>
      </c>
      <c r="AH328" s="81" t="e">
        <f t="shared" si="139"/>
        <v>#N/A</v>
      </c>
      <c r="AI328" s="81" t="e">
        <f t="shared" si="140"/>
        <v>#N/A</v>
      </c>
      <c r="AJ328" s="184"/>
      <c r="AK328" s="160"/>
    </row>
    <row r="329" spans="1:46" s="87" customFormat="1" ht="15.75" customHeight="1" x14ac:dyDescent="0.2">
      <c r="A329" s="488">
        <f>VLOOKUP(B329,Sheet1!$AQ$4:$AR$25,2,FALSE)</f>
        <v>0</v>
      </c>
      <c r="B329" s="93" t="str">
        <f t="shared" si="131"/>
        <v>East Sussex</v>
      </c>
      <c r="C329" s="85"/>
      <c r="D329" s="234">
        <f t="shared" si="141"/>
        <v>50.377833753148614</v>
      </c>
      <c r="E329" s="234">
        <f t="shared" ref="E329:E349" si="142">IF(SUM($Z294:$AD294)&gt;0,AA294/AA329*10000,NA())</f>
        <v>32.986667888395104</v>
      </c>
      <c r="F329" s="234">
        <f t="shared" ref="F329:F349" si="143">IF(SUM($Z294:$AD294)&gt;0,AB294/AB329*10000,NA())</f>
        <v>40.262835792050502</v>
      </c>
      <c r="G329" s="234">
        <f t="shared" ref="G329:G349" si="144">IF(SUM($Z294:$AD294)&gt;0,AC294/AC329*10000,NA())</f>
        <v>64.891354102156768</v>
      </c>
      <c r="H329" s="408">
        <f t="shared" ref="H329:H349" si="145">IF(SUM($Z294:$AD294)&gt;0,AD294/AD329*10000,NA())</f>
        <v>112.43729458571183</v>
      </c>
      <c r="I329" s="392"/>
      <c r="J329" s="172"/>
      <c r="K329" s="172"/>
      <c r="L329" s="172"/>
      <c r="M329" s="172"/>
      <c r="N329" s="172"/>
      <c r="O329" s="392"/>
      <c r="P329" s="392"/>
      <c r="Q329" s="392"/>
      <c r="R329" s="392"/>
      <c r="S329" s="392"/>
      <c r="T329" s="172"/>
      <c r="U329" s="399"/>
      <c r="V329" s="122"/>
      <c r="W329" s="139"/>
      <c r="X329" s="152"/>
      <c r="Y329" s="372" t="str">
        <f t="shared" si="136"/>
        <v>East Sussex</v>
      </c>
      <c r="Z329" s="1496">
        <f>Sheet1!D317</f>
        <v>4764</v>
      </c>
      <c r="AA329" s="1496">
        <f>Sheet1!E317</f>
        <v>21827</v>
      </c>
      <c r="AB329" s="1496">
        <f>Sheet1!F317</f>
        <v>31046</v>
      </c>
      <c r="AC329" s="1496">
        <f>Sheet1!G317</f>
        <v>37139</v>
      </c>
      <c r="AD329" s="1496">
        <f>Sheet1!H317</f>
        <v>11562</v>
      </c>
      <c r="AE329" s="81" t="e">
        <f t="shared" si="137"/>
        <v>#N/A</v>
      </c>
      <c r="AF329" s="81" t="e">
        <f t="shared" si="138"/>
        <v>#N/A</v>
      </c>
      <c r="AG329" s="81" t="e">
        <f t="shared" si="138"/>
        <v>#N/A</v>
      </c>
      <c r="AH329" s="81" t="e">
        <f t="shared" si="139"/>
        <v>#N/A</v>
      </c>
      <c r="AI329" s="81" t="e">
        <f t="shared" si="140"/>
        <v>#N/A</v>
      </c>
      <c r="AJ329" s="184"/>
      <c r="AK329" s="160"/>
    </row>
    <row r="330" spans="1:46" s="87" customFormat="1" ht="15.75" customHeight="1" x14ac:dyDescent="0.2">
      <c r="A330" s="488">
        <f>VLOOKUP(B330,Sheet1!$AQ$4:$AR$25,2,FALSE)</f>
        <v>0</v>
      </c>
      <c r="B330" s="93" t="str">
        <f t="shared" si="131"/>
        <v>Hampshire</v>
      </c>
      <c r="C330" s="85"/>
      <c r="D330" s="234">
        <f t="shared" si="141"/>
        <v>51.251578400059422</v>
      </c>
      <c r="E330" s="234">
        <f t="shared" si="142"/>
        <v>26.094811147168045</v>
      </c>
      <c r="F330" s="234">
        <f t="shared" si="143"/>
        <v>41.160609892863114</v>
      </c>
      <c r="G330" s="234">
        <f t="shared" si="144"/>
        <v>68.675255350818659</v>
      </c>
      <c r="H330" s="408">
        <f t="shared" si="145"/>
        <v>121.59581951562657</v>
      </c>
      <c r="I330" s="392"/>
      <c r="J330" s="172"/>
      <c r="K330" s="172"/>
      <c r="L330" s="172"/>
      <c r="M330" s="172"/>
      <c r="N330" s="172"/>
      <c r="O330" s="392"/>
      <c r="P330" s="392"/>
      <c r="Q330" s="392"/>
      <c r="R330" s="392"/>
      <c r="S330" s="392"/>
      <c r="T330" s="172"/>
      <c r="U330" s="399"/>
      <c r="V330" s="122"/>
      <c r="W330" s="139"/>
      <c r="X330" s="152"/>
      <c r="Y330" s="372" t="str">
        <f t="shared" si="136"/>
        <v>Hampshire</v>
      </c>
      <c r="Z330" s="1496">
        <f>Sheet1!D318</f>
        <v>13463</v>
      </c>
      <c r="AA330" s="1496">
        <f>Sheet1!E318</f>
        <v>59782</v>
      </c>
      <c r="AB330" s="1496">
        <f>Sheet1!F318</f>
        <v>83818</v>
      </c>
      <c r="AC330" s="1496">
        <f>Sheet1!G318</f>
        <v>97415</v>
      </c>
      <c r="AD330" s="1496">
        <f>Sheet1!H318</f>
        <v>29853</v>
      </c>
      <c r="AE330" s="81" t="e">
        <f t="shared" si="137"/>
        <v>#N/A</v>
      </c>
      <c r="AF330" s="81" t="e">
        <f t="shared" si="138"/>
        <v>#N/A</v>
      </c>
      <c r="AG330" s="81" t="e">
        <f t="shared" si="138"/>
        <v>#N/A</v>
      </c>
      <c r="AH330" s="81" t="e">
        <f t="shared" si="139"/>
        <v>#N/A</v>
      </c>
      <c r="AI330" s="81" t="e">
        <f t="shared" si="140"/>
        <v>#N/A</v>
      </c>
      <c r="AJ330" s="184"/>
      <c r="AK330" s="160"/>
    </row>
    <row r="331" spans="1:46" s="87" customFormat="1" ht="15.75" customHeight="1" x14ac:dyDescent="0.2">
      <c r="A331" s="488">
        <f>VLOOKUP(B331,Sheet1!$AQ$4:$AR$25,2,FALSE)</f>
        <v>0</v>
      </c>
      <c r="B331" s="93" t="str">
        <f t="shared" si="131"/>
        <v>Isle of Wight</v>
      </c>
      <c r="C331" s="85"/>
      <c r="D331" s="234">
        <f t="shared" si="141"/>
        <v>71.301247771836003</v>
      </c>
      <c r="E331" s="234">
        <f t="shared" si="142"/>
        <v>84.346802667712822</v>
      </c>
      <c r="F331" s="234">
        <f t="shared" si="143"/>
        <v>93.418851087562743</v>
      </c>
      <c r="G331" s="234">
        <f t="shared" si="144"/>
        <v>114.7294008575733</v>
      </c>
      <c r="H331" s="408">
        <f t="shared" si="145"/>
        <v>172.98490982701509</v>
      </c>
      <c r="I331" s="392"/>
      <c r="J331" s="172"/>
      <c r="K331" s="172"/>
      <c r="L331" s="172"/>
      <c r="M331" s="172"/>
      <c r="N331" s="172"/>
      <c r="O331" s="392"/>
      <c r="P331" s="392"/>
      <c r="Q331" s="392"/>
      <c r="R331" s="392"/>
      <c r="S331" s="392"/>
      <c r="T331" s="172"/>
      <c r="U331" s="399"/>
      <c r="V331" s="122"/>
      <c r="W331" s="139"/>
      <c r="X331" s="152"/>
      <c r="Y331" s="372" t="str">
        <f t="shared" si="136"/>
        <v>Isle of Wight</v>
      </c>
      <c r="Z331" s="1496">
        <f>Sheet1!D319</f>
        <v>1122</v>
      </c>
      <c r="AA331" s="1496">
        <f>Sheet1!E319</f>
        <v>5098</v>
      </c>
      <c r="AB331" s="1496">
        <f>Sheet1!F319</f>
        <v>7172</v>
      </c>
      <c r="AC331" s="1496">
        <f>Sheet1!G319</f>
        <v>8629</v>
      </c>
      <c r="AD331" s="1496">
        <f>Sheet1!H319</f>
        <v>2717</v>
      </c>
      <c r="AE331" s="81" t="e">
        <f t="shared" si="137"/>
        <v>#N/A</v>
      </c>
      <c r="AF331" s="81" t="e">
        <f t="shared" si="138"/>
        <v>#N/A</v>
      </c>
      <c r="AG331" s="81" t="e">
        <f t="shared" si="138"/>
        <v>#N/A</v>
      </c>
      <c r="AH331" s="81" t="e">
        <f t="shared" si="139"/>
        <v>#N/A</v>
      </c>
      <c r="AI331" s="81" t="e">
        <f t="shared" si="140"/>
        <v>#N/A</v>
      </c>
      <c r="AJ331" s="184"/>
      <c r="AK331" s="160"/>
      <c r="AS331" s="87" t="s">
        <v>102</v>
      </c>
    </row>
    <row r="332" spans="1:46" s="87" customFormat="1" ht="15.75" customHeight="1" x14ac:dyDescent="0.2">
      <c r="A332" s="488">
        <f>VLOOKUP(B332,Sheet1!$AQ$4:$AR$25,2,FALSE)</f>
        <v>0</v>
      </c>
      <c r="B332" s="93" t="str">
        <f t="shared" si="131"/>
        <v>Kent</v>
      </c>
      <c r="C332" s="85"/>
      <c r="D332" s="234">
        <f t="shared" si="141"/>
        <v>44.605685738075415</v>
      </c>
      <c r="E332" s="234">
        <f t="shared" si="142"/>
        <v>15.256868966448389</v>
      </c>
      <c r="F332" s="234">
        <f t="shared" si="143"/>
        <v>18.91827306037916</v>
      </c>
      <c r="G332" s="234">
        <f t="shared" si="144"/>
        <v>60.985519146715937</v>
      </c>
      <c r="H332" s="408">
        <f t="shared" si="145"/>
        <v>201.03888810894287</v>
      </c>
      <c r="I332" s="392"/>
      <c r="J332" s="172"/>
      <c r="K332" s="172"/>
      <c r="L332" s="172"/>
      <c r="M332" s="172"/>
      <c r="N332" s="172"/>
      <c r="O332" s="392"/>
      <c r="P332" s="392"/>
      <c r="Q332" s="392"/>
      <c r="R332" s="392"/>
      <c r="S332" s="392"/>
      <c r="T332" s="172"/>
      <c r="U332" s="399"/>
      <c r="V332" s="122"/>
      <c r="W332" s="139"/>
      <c r="X332" s="152"/>
      <c r="Y332" s="372" t="str">
        <f t="shared" si="136"/>
        <v>Kent</v>
      </c>
      <c r="Z332" s="1496">
        <f>Sheet1!D320</f>
        <v>16814</v>
      </c>
      <c r="AA332" s="1496">
        <f>Sheet1!E320</f>
        <v>74065</v>
      </c>
      <c r="AB332" s="1496">
        <f>Sheet1!F320</f>
        <v>100432</v>
      </c>
      <c r="AC332" s="1496">
        <f>Sheet1!G320</f>
        <v>116913</v>
      </c>
      <c r="AD332" s="1496">
        <f>Sheet1!H320</f>
        <v>35615</v>
      </c>
      <c r="AE332" s="81" t="e">
        <f t="shared" si="137"/>
        <v>#N/A</v>
      </c>
      <c r="AF332" s="81" t="e">
        <f t="shared" si="138"/>
        <v>#N/A</v>
      </c>
      <c r="AG332" s="81" t="e">
        <f t="shared" si="138"/>
        <v>#N/A</v>
      </c>
      <c r="AH332" s="81" t="e">
        <f t="shared" si="139"/>
        <v>#N/A</v>
      </c>
      <c r="AI332" s="81" t="e">
        <f t="shared" si="140"/>
        <v>#N/A</v>
      </c>
      <c r="AJ332" s="184"/>
      <c r="AK332" s="160"/>
    </row>
    <row r="333" spans="1:46" s="87" customFormat="1" ht="15.75" customHeight="1" x14ac:dyDescent="0.2">
      <c r="A333" s="488">
        <f>VLOOKUP(B333,Sheet1!$AQ$4:$AR$25,2,FALSE)</f>
        <v>0</v>
      </c>
      <c r="B333" s="93" t="str">
        <f t="shared" si="131"/>
        <v>Medway</v>
      </c>
      <c r="C333" s="85"/>
      <c r="D333" s="234">
        <f t="shared" si="141"/>
        <v>80.367393800229621</v>
      </c>
      <c r="E333" s="234">
        <f t="shared" si="142"/>
        <v>33.688182185689257</v>
      </c>
      <c r="F333" s="234">
        <f t="shared" si="143"/>
        <v>39.252629926205053</v>
      </c>
      <c r="G333" s="234">
        <f t="shared" si="144"/>
        <v>89.064583730234318</v>
      </c>
      <c r="H333" s="408">
        <f t="shared" si="145"/>
        <v>131.29770992366412</v>
      </c>
      <c r="I333" s="392"/>
      <c r="J333" s="172"/>
      <c r="K333" s="172"/>
      <c r="L333" s="172"/>
      <c r="M333" s="172"/>
      <c r="N333" s="172"/>
      <c r="O333" s="392"/>
      <c r="P333" s="392"/>
      <c r="Q333" s="392"/>
      <c r="R333" s="392"/>
      <c r="S333" s="392"/>
      <c r="T333" s="172"/>
      <c r="U333" s="399"/>
      <c r="V333" s="122"/>
      <c r="W333" s="139"/>
      <c r="X333" s="152"/>
      <c r="Y333" s="372" t="str">
        <f t="shared" si="136"/>
        <v>Medway</v>
      </c>
      <c r="Z333" s="1496">
        <f>Sheet1!D321</f>
        <v>3484</v>
      </c>
      <c r="AA333" s="1496">
        <f>Sheet1!E321</f>
        <v>14842</v>
      </c>
      <c r="AB333" s="1496">
        <f>Sheet1!F321</f>
        <v>19107</v>
      </c>
      <c r="AC333" s="1496">
        <f>Sheet1!G321</f>
        <v>20996</v>
      </c>
      <c r="AD333" s="1496">
        <f>Sheet1!H321</f>
        <v>6550</v>
      </c>
      <c r="AE333" s="81" t="e">
        <f t="shared" si="137"/>
        <v>#N/A</v>
      </c>
      <c r="AF333" s="81" t="e">
        <f t="shared" si="138"/>
        <v>#N/A</v>
      </c>
      <c r="AG333" s="81" t="e">
        <f t="shared" si="138"/>
        <v>#N/A</v>
      </c>
      <c r="AH333" s="81" t="e">
        <f t="shared" si="139"/>
        <v>#N/A</v>
      </c>
      <c r="AI333" s="81" t="e">
        <f t="shared" si="140"/>
        <v>#N/A</v>
      </c>
      <c r="AJ333" s="184"/>
      <c r="AK333" s="160"/>
    </row>
    <row r="334" spans="1:46" s="87" customFormat="1" ht="15.75" customHeight="1" x14ac:dyDescent="0.2">
      <c r="A334" s="488">
        <f>VLOOKUP(B334,Sheet1!$AQ$4:$AR$25,2,FALSE)</f>
        <v>0</v>
      </c>
      <c r="B334" s="93" t="str">
        <f t="shared" si="131"/>
        <v>Milton Keynes</v>
      </c>
      <c r="C334" s="85"/>
      <c r="D334" s="234">
        <f t="shared" si="141"/>
        <v>64.440538957234921</v>
      </c>
      <c r="E334" s="234">
        <f t="shared" si="142"/>
        <v>46.520770541213473</v>
      </c>
      <c r="F334" s="234">
        <f t="shared" si="143"/>
        <v>32.706071953358297</v>
      </c>
      <c r="G334" s="234">
        <f t="shared" si="144"/>
        <v>63.385861431464036</v>
      </c>
      <c r="H334" s="408">
        <f t="shared" si="145"/>
        <v>153.6268609439341</v>
      </c>
      <c r="I334" s="392"/>
      <c r="J334" s="172"/>
      <c r="K334" s="172"/>
      <c r="L334" s="172"/>
      <c r="M334" s="172"/>
      <c r="N334" s="172"/>
      <c r="O334" s="392"/>
      <c r="P334" s="392"/>
      <c r="Q334" s="392"/>
      <c r="R334" s="392"/>
      <c r="S334" s="392"/>
      <c r="T334" s="172"/>
      <c r="U334" s="399"/>
      <c r="V334" s="122"/>
      <c r="W334" s="139"/>
      <c r="X334" s="152"/>
      <c r="Y334" s="372" t="str">
        <f t="shared" si="136"/>
        <v>Milton Keynes</v>
      </c>
      <c r="Z334" s="1496">
        <f>Sheet1!D322</f>
        <v>3414</v>
      </c>
      <c r="AA334" s="1496">
        <f>Sheet1!E322</f>
        <v>15262</v>
      </c>
      <c r="AB334" s="1496">
        <f>Sheet1!F322</f>
        <v>21097</v>
      </c>
      <c r="AC334" s="1496">
        <f>Sheet1!G322</f>
        <v>22718</v>
      </c>
      <c r="AD334" s="1496">
        <f>Sheet1!H322</f>
        <v>6314</v>
      </c>
      <c r="AE334" s="81" t="e">
        <f t="shared" si="137"/>
        <v>#N/A</v>
      </c>
      <c r="AF334" s="81" t="e">
        <f t="shared" si="138"/>
        <v>#N/A</v>
      </c>
      <c r="AG334" s="81" t="e">
        <f t="shared" si="138"/>
        <v>#N/A</v>
      </c>
      <c r="AH334" s="81" t="e">
        <f t="shared" si="139"/>
        <v>#N/A</v>
      </c>
      <c r="AI334" s="81" t="e">
        <f t="shared" si="140"/>
        <v>#N/A</v>
      </c>
      <c r="AJ334" s="184"/>
      <c r="AK334" s="160"/>
    </row>
    <row r="335" spans="1:46" s="87" customFormat="1" ht="15.75" customHeight="1" x14ac:dyDescent="0.2">
      <c r="A335" s="488">
        <f>VLOOKUP(B335,Sheet1!$AQ$4:$AR$25,2,FALSE)</f>
        <v>0</v>
      </c>
      <c r="B335" s="93" t="str">
        <f t="shared" si="131"/>
        <v>Oxfordshire</v>
      </c>
      <c r="C335" s="85"/>
      <c r="D335" s="234">
        <f t="shared" si="141"/>
        <v>39.115187483140005</v>
      </c>
      <c r="E335" s="234">
        <f t="shared" si="142"/>
        <v>26.235242675994755</v>
      </c>
      <c r="F335" s="234">
        <f t="shared" si="143"/>
        <v>31.922825985646377</v>
      </c>
      <c r="G335" s="234">
        <f t="shared" si="144"/>
        <v>63.233044365119838</v>
      </c>
      <c r="H335" s="408">
        <f t="shared" si="145"/>
        <v>140.33898305084745</v>
      </c>
      <c r="I335" s="392"/>
      <c r="J335" s="172"/>
      <c r="K335" s="172"/>
      <c r="L335" s="172"/>
      <c r="M335" s="172"/>
      <c r="N335" s="172"/>
      <c r="O335" s="392"/>
      <c r="P335" s="392"/>
      <c r="Q335" s="392"/>
      <c r="R335" s="392"/>
      <c r="S335" s="392"/>
      <c r="T335" s="172"/>
      <c r="U335" s="399"/>
      <c r="V335" s="122"/>
      <c r="W335" s="139"/>
      <c r="X335" s="152"/>
      <c r="Y335" s="372" t="str">
        <f t="shared" si="136"/>
        <v>Oxfordshire</v>
      </c>
      <c r="Z335" s="1496">
        <f>Sheet1!D323</f>
        <v>7414</v>
      </c>
      <c r="AA335" s="1496">
        <f>Sheet1!E323</f>
        <v>32018</v>
      </c>
      <c r="AB335" s="1496">
        <f>Sheet1!F323</f>
        <v>42916</v>
      </c>
      <c r="AC335" s="1496">
        <f>Sheet1!G323</f>
        <v>49025</v>
      </c>
      <c r="AD335" s="1496">
        <f>Sheet1!H323</f>
        <v>14750</v>
      </c>
      <c r="AE335" s="81" t="e">
        <f t="shared" si="137"/>
        <v>#N/A</v>
      </c>
      <c r="AF335" s="81" t="e">
        <f t="shared" si="138"/>
        <v>#N/A</v>
      </c>
      <c r="AG335" s="81" t="e">
        <f t="shared" si="138"/>
        <v>#N/A</v>
      </c>
      <c r="AH335" s="81" t="e">
        <f t="shared" si="139"/>
        <v>#N/A</v>
      </c>
      <c r="AI335" s="81" t="e">
        <f t="shared" si="140"/>
        <v>#N/A</v>
      </c>
      <c r="AJ335" s="184"/>
      <c r="AK335" s="160"/>
    </row>
    <row r="336" spans="1:46" s="87" customFormat="1" ht="15.75" customHeight="1" x14ac:dyDescent="0.2">
      <c r="A336" s="488">
        <f>VLOOKUP(B336,Sheet1!$AQ$4:$AR$25,2,FALSE)</f>
        <v>0</v>
      </c>
      <c r="B336" s="93" t="str">
        <f t="shared" si="131"/>
        <v>Portsmouth</v>
      </c>
      <c r="C336" s="85"/>
      <c r="D336" s="234">
        <f t="shared" si="141"/>
        <v>118.26544021024968</v>
      </c>
      <c r="E336" s="234">
        <f t="shared" si="142"/>
        <v>40.286030818813579</v>
      </c>
      <c r="F336" s="234">
        <f t="shared" si="143"/>
        <v>52.323791935980303</v>
      </c>
      <c r="G336" s="234">
        <f t="shared" si="144"/>
        <v>120.11386516697911</v>
      </c>
      <c r="H336" s="408">
        <f t="shared" si="145"/>
        <v>381.18214716525932</v>
      </c>
      <c r="I336" s="392"/>
      <c r="J336" s="172"/>
      <c r="K336" s="172"/>
      <c r="L336" s="172"/>
      <c r="M336" s="172"/>
      <c r="N336" s="172"/>
      <c r="O336" s="392"/>
      <c r="P336" s="392"/>
      <c r="Q336" s="392"/>
      <c r="R336" s="392"/>
      <c r="S336" s="392"/>
      <c r="T336" s="172"/>
      <c r="U336" s="399"/>
      <c r="V336" s="122"/>
      <c r="W336" s="139"/>
      <c r="X336" s="152"/>
      <c r="Y336" s="372" t="str">
        <f t="shared" si="136"/>
        <v>Portsmouth</v>
      </c>
      <c r="Z336" s="1496">
        <f>Sheet1!D324</f>
        <v>2283</v>
      </c>
      <c r="AA336" s="1496">
        <f>Sheet1!E324</f>
        <v>9929</v>
      </c>
      <c r="AB336" s="1496">
        <f>Sheet1!F324</f>
        <v>12996</v>
      </c>
      <c r="AC336" s="1496">
        <f>Sheet1!G324</f>
        <v>14403</v>
      </c>
      <c r="AD336" s="1496">
        <f>Sheet1!H324</f>
        <v>4145</v>
      </c>
      <c r="AE336" s="81" t="e">
        <f t="shared" si="137"/>
        <v>#N/A</v>
      </c>
      <c r="AF336" s="81" t="e">
        <f t="shared" si="138"/>
        <v>#N/A</v>
      </c>
      <c r="AG336" s="81" t="e">
        <f t="shared" si="138"/>
        <v>#N/A</v>
      </c>
      <c r="AH336" s="81" t="e">
        <f t="shared" si="139"/>
        <v>#N/A</v>
      </c>
      <c r="AI336" s="81" t="e">
        <f t="shared" si="140"/>
        <v>#N/A</v>
      </c>
      <c r="AJ336" s="184"/>
      <c r="AK336" s="160"/>
    </row>
    <row r="337" spans="1:37" s="87" customFormat="1" ht="15.75" customHeight="1" x14ac:dyDescent="0.2">
      <c r="A337" s="488">
        <f>VLOOKUP(B337,Sheet1!$AQ$4:$AR$25,2,FALSE)</f>
        <v>0</v>
      </c>
      <c r="B337" s="93" t="str">
        <f t="shared" si="131"/>
        <v>Reading</v>
      </c>
      <c r="C337" s="85"/>
      <c r="D337" s="234">
        <f t="shared" si="141"/>
        <v>61.032863849765256</v>
      </c>
      <c r="E337" s="234">
        <f t="shared" si="142"/>
        <v>34.938312042799431</v>
      </c>
      <c r="F337" s="234">
        <f t="shared" si="143"/>
        <v>54.782218230803771</v>
      </c>
      <c r="G337" s="234">
        <f t="shared" si="144"/>
        <v>94.82001755926251</v>
      </c>
      <c r="H337" s="408">
        <f t="shared" si="145"/>
        <v>206.57276995305165</v>
      </c>
      <c r="I337" s="392"/>
      <c r="J337" s="172"/>
      <c r="K337" s="172"/>
      <c r="L337" s="172"/>
      <c r="M337" s="172"/>
      <c r="N337" s="172"/>
      <c r="O337" s="392"/>
      <c r="P337" s="392"/>
      <c r="Q337" s="392"/>
      <c r="R337" s="392"/>
      <c r="S337" s="392"/>
      <c r="T337" s="172"/>
      <c r="U337" s="399"/>
      <c r="V337" s="122"/>
      <c r="W337" s="139"/>
      <c r="X337" s="152"/>
      <c r="Y337" s="372" t="str">
        <f t="shared" si="136"/>
        <v>Reading</v>
      </c>
      <c r="Z337" s="1496">
        <f>Sheet1!D325</f>
        <v>2130</v>
      </c>
      <c r="AA337" s="1496">
        <f>Sheet1!E325</f>
        <v>9159</v>
      </c>
      <c r="AB337" s="1496">
        <f>Sheet1!F325</f>
        <v>11135</v>
      </c>
      <c r="AC337" s="1496">
        <f>Sheet1!G325</f>
        <v>11390</v>
      </c>
      <c r="AD337" s="1496">
        <f>Sheet1!H325</f>
        <v>3195</v>
      </c>
      <c r="AE337" s="81" t="e">
        <f t="shared" si="137"/>
        <v>#N/A</v>
      </c>
      <c r="AF337" s="81" t="e">
        <f t="shared" si="138"/>
        <v>#N/A</v>
      </c>
      <c r="AG337" s="81" t="e">
        <f t="shared" si="138"/>
        <v>#N/A</v>
      </c>
      <c r="AH337" s="81" t="e">
        <f t="shared" si="139"/>
        <v>#N/A</v>
      </c>
      <c r="AI337" s="81" t="e">
        <f t="shared" si="140"/>
        <v>#N/A</v>
      </c>
      <c r="AJ337" s="184"/>
      <c r="AK337" s="160"/>
    </row>
    <row r="338" spans="1:37" s="87" customFormat="1" ht="15.75" customHeight="1" x14ac:dyDescent="0.2">
      <c r="A338" s="488">
        <f>VLOOKUP(B338,Sheet1!$AQ$4:$AR$25,2,FALSE)</f>
        <v>0</v>
      </c>
      <c r="B338" s="93" t="str">
        <f t="shared" si="131"/>
        <v>Slough</v>
      </c>
      <c r="C338" s="85"/>
      <c r="D338" s="234">
        <f t="shared" si="141"/>
        <v>46.531302876480538</v>
      </c>
      <c r="E338" s="234">
        <f t="shared" si="142"/>
        <v>30.126336248785229</v>
      </c>
      <c r="F338" s="234">
        <f t="shared" si="143"/>
        <v>23.727516264829699</v>
      </c>
      <c r="G338" s="234">
        <f t="shared" si="144"/>
        <v>56.776823409521029</v>
      </c>
      <c r="H338" s="408">
        <f t="shared" si="145"/>
        <v>123.11901504787961</v>
      </c>
      <c r="I338" s="392"/>
      <c r="J338" s="172"/>
      <c r="K338" s="172"/>
      <c r="L338" s="172"/>
      <c r="M338" s="172"/>
      <c r="N338" s="172"/>
      <c r="O338" s="392"/>
      <c r="P338" s="392"/>
      <c r="Q338" s="392"/>
      <c r="R338" s="392"/>
      <c r="S338" s="392"/>
      <c r="T338" s="172"/>
      <c r="U338" s="399"/>
      <c r="V338" s="122"/>
      <c r="W338" s="139"/>
      <c r="X338" s="152"/>
      <c r="Y338" s="372" t="str">
        <f t="shared" si="136"/>
        <v>Slough</v>
      </c>
      <c r="Z338" s="1496">
        <f>Sheet1!D326</f>
        <v>2364</v>
      </c>
      <c r="AA338" s="1496">
        <f>Sheet1!E326</f>
        <v>10290</v>
      </c>
      <c r="AB338" s="1496">
        <f>Sheet1!F326</f>
        <v>13065</v>
      </c>
      <c r="AC338" s="1496">
        <f>Sheet1!G326</f>
        <v>13738</v>
      </c>
      <c r="AD338" s="1496">
        <f>Sheet1!H326</f>
        <v>3655</v>
      </c>
      <c r="AE338" s="81" t="e">
        <f t="shared" si="137"/>
        <v>#N/A</v>
      </c>
      <c r="AF338" s="81" t="e">
        <f t="shared" si="138"/>
        <v>#N/A</v>
      </c>
      <c r="AG338" s="81" t="e">
        <f t="shared" si="138"/>
        <v>#N/A</v>
      </c>
      <c r="AH338" s="81" t="e">
        <f t="shared" si="139"/>
        <v>#N/A</v>
      </c>
      <c r="AI338" s="81" t="e">
        <f t="shared" si="140"/>
        <v>#N/A</v>
      </c>
      <c r="AJ338" s="184"/>
      <c r="AK338" s="160"/>
    </row>
    <row r="339" spans="1:37" s="87" customFormat="1" ht="15.75" customHeight="1" x14ac:dyDescent="0.2">
      <c r="A339" s="488">
        <f>VLOOKUP(B339,Sheet1!$AQ$4:$AR$25,2,FALSE)</f>
        <v>0</v>
      </c>
      <c r="B339" s="93" t="str">
        <f t="shared" si="131"/>
        <v>Somerset</v>
      </c>
      <c r="C339" s="85"/>
      <c r="D339" s="234">
        <f t="shared" si="141"/>
        <v>67.737565318366563</v>
      </c>
      <c r="E339" s="234">
        <f t="shared" si="142"/>
        <v>30.022302281694973</v>
      </c>
      <c r="F339" s="234">
        <f t="shared" si="143"/>
        <v>21.418593822753376</v>
      </c>
      <c r="G339" s="234">
        <f t="shared" si="144"/>
        <v>52.494123792112823</v>
      </c>
      <c r="H339" s="408">
        <f t="shared" si="145"/>
        <v>126.20881822652025</v>
      </c>
      <c r="I339" s="392"/>
      <c r="J339" s="172"/>
      <c r="K339" s="172"/>
      <c r="L339" s="172"/>
      <c r="M339" s="172"/>
      <c r="N339" s="172"/>
      <c r="O339" s="392"/>
      <c r="P339" s="392"/>
      <c r="Q339" s="392"/>
      <c r="R339" s="392"/>
      <c r="S339" s="392"/>
      <c r="T339" s="172"/>
      <c r="U339" s="399"/>
      <c r="V339" s="122"/>
      <c r="W339" s="139"/>
      <c r="X339" s="152"/>
      <c r="Y339" s="372" t="str">
        <f t="shared" si="136"/>
        <v>Somerset</v>
      </c>
      <c r="Z339" s="1496">
        <f>Sheet1!D327</f>
        <v>5167</v>
      </c>
      <c r="AA339" s="1496">
        <f>Sheet1!E327</f>
        <v>23316</v>
      </c>
      <c r="AB339" s="1496">
        <f>Sheet1!F327</f>
        <v>32215</v>
      </c>
      <c r="AC339" s="1496">
        <f>Sheet1!G327</f>
        <v>38290</v>
      </c>
      <c r="AD339" s="1496">
        <f>Sheet1!H327</f>
        <v>12202</v>
      </c>
      <c r="AE339" s="81" t="e">
        <f t="shared" si="137"/>
        <v>#N/A</v>
      </c>
      <c r="AF339" s="81" t="e">
        <f t="shared" si="138"/>
        <v>#N/A</v>
      </c>
      <c r="AG339" s="81" t="e">
        <f t="shared" si="138"/>
        <v>#N/A</v>
      </c>
      <c r="AH339" s="81" t="e">
        <f t="shared" si="139"/>
        <v>#N/A</v>
      </c>
      <c r="AI339" s="81" t="e">
        <f t="shared" si="140"/>
        <v>#N/A</v>
      </c>
      <c r="AJ339" s="184"/>
      <c r="AK339" s="160"/>
    </row>
    <row r="340" spans="1:37" s="87" customFormat="1" ht="15.75" customHeight="1" x14ac:dyDescent="0.2">
      <c r="A340" s="488">
        <f>VLOOKUP(B340,Sheet1!$AQ$4:$AR$25,2,FALSE)</f>
        <v>0</v>
      </c>
      <c r="B340" s="93" t="str">
        <f t="shared" si="131"/>
        <v>Southampton</v>
      </c>
      <c r="C340" s="85"/>
      <c r="D340" s="234">
        <f t="shared" si="141"/>
        <v>98.20521503555706</v>
      </c>
      <c r="E340" s="234">
        <f t="shared" si="142"/>
        <v>37.772241420879212</v>
      </c>
      <c r="F340" s="234">
        <f t="shared" si="143"/>
        <v>67.307692307692307</v>
      </c>
      <c r="G340" s="234">
        <f t="shared" si="144"/>
        <v>138.45665290568434</v>
      </c>
      <c r="H340" s="408">
        <f t="shared" si="145"/>
        <v>191.88354653727393</v>
      </c>
      <c r="I340" s="392"/>
      <c r="J340" s="172"/>
      <c r="K340" s="172"/>
      <c r="L340" s="172"/>
      <c r="M340" s="172"/>
      <c r="N340" s="172"/>
      <c r="O340" s="392"/>
      <c r="P340" s="392"/>
      <c r="Q340" s="392"/>
      <c r="R340" s="392"/>
      <c r="S340" s="392"/>
      <c r="T340" s="172"/>
      <c r="U340" s="399"/>
      <c r="V340" s="122"/>
      <c r="W340" s="139"/>
      <c r="X340" s="152"/>
      <c r="Y340" s="372" t="str">
        <f t="shared" si="136"/>
        <v>Southampton</v>
      </c>
      <c r="Z340" s="1496">
        <f>Sheet1!D328</f>
        <v>2953</v>
      </c>
      <c r="AA340" s="1496">
        <f>Sheet1!E328</f>
        <v>12443</v>
      </c>
      <c r="AB340" s="1496">
        <f>Sheet1!F328</f>
        <v>15600</v>
      </c>
      <c r="AC340" s="1496">
        <f>Sheet1!G328</f>
        <v>15745</v>
      </c>
      <c r="AD340" s="1496">
        <f>Sheet1!H328</f>
        <v>4534</v>
      </c>
      <c r="AE340" s="81" t="e">
        <f t="shared" si="137"/>
        <v>#N/A</v>
      </c>
      <c r="AF340" s="81" t="e">
        <f t="shared" si="138"/>
        <v>#N/A</v>
      </c>
      <c r="AG340" s="81" t="e">
        <f t="shared" si="138"/>
        <v>#N/A</v>
      </c>
      <c r="AH340" s="81" t="e">
        <f t="shared" si="139"/>
        <v>#N/A</v>
      </c>
      <c r="AI340" s="81" t="e">
        <f t="shared" si="140"/>
        <v>#N/A</v>
      </c>
      <c r="AJ340" s="184"/>
      <c r="AK340" s="160"/>
    </row>
    <row r="341" spans="1:37" s="87" customFormat="1" ht="15.75" customHeight="1" x14ac:dyDescent="0.2">
      <c r="A341" s="488">
        <f>VLOOKUP(B341,Sheet1!$AQ$4:$AR$25,2,FALSE)</f>
        <v>0</v>
      </c>
      <c r="B341" s="93" t="str">
        <f t="shared" si="131"/>
        <v>Surrey</v>
      </c>
      <c r="C341" s="85"/>
      <c r="D341" s="234">
        <f t="shared" si="141"/>
        <v>30.696576151121604</v>
      </c>
      <c r="E341" s="234">
        <f t="shared" si="142"/>
        <v>16.214025131738953</v>
      </c>
      <c r="F341" s="234">
        <f t="shared" si="143"/>
        <v>21.597716812794076</v>
      </c>
      <c r="G341" s="234">
        <f t="shared" si="144"/>
        <v>42.940108079018763</v>
      </c>
      <c r="H341" s="408">
        <f t="shared" si="145"/>
        <v>109.38757591278261</v>
      </c>
      <c r="I341" s="392"/>
      <c r="J341" s="172"/>
      <c r="K341" s="172"/>
      <c r="L341" s="172"/>
      <c r="M341" s="172"/>
      <c r="N341" s="172"/>
      <c r="O341" s="392"/>
      <c r="P341" s="392"/>
      <c r="Q341" s="392"/>
      <c r="R341" s="392"/>
      <c r="S341" s="392"/>
      <c r="T341" s="172"/>
      <c r="U341" s="399"/>
      <c r="V341" s="122"/>
      <c r="W341" s="139"/>
      <c r="X341" s="152"/>
      <c r="Y341" s="372" t="str">
        <f t="shared" si="136"/>
        <v>Surrey</v>
      </c>
      <c r="Z341" s="1496">
        <f>Sheet1!D329</f>
        <v>12705</v>
      </c>
      <c r="AA341" s="1496">
        <f>Sheet1!E329</f>
        <v>56741</v>
      </c>
      <c r="AB341" s="1496">
        <f>Sheet1!F329</f>
        <v>77786</v>
      </c>
      <c r="AC341" s="1496">
        <f>Sheet1!G329</f>
        <v>89194</v>
      </c>
      <c r="AD341" s="1496">
        <f>Sheet1!H329</f>
        <v>27334</v>
      </c>
      <c r="AE341" s="81" t="e">
        <f t="shared" si="137"/>
        <v>#N/A</v>
      </c>
      <c r="AF341" s="81" t="e">
        <f t="shared" si="138"/>
        <v>#N/A</v>
      </c>
      <c r="AG341" s="81" t="e">
        <f t="shared" si="138"/>
        <v>#N/A</v>
      </c>
      <c r="AH341" s="81" t="e">
        <f t="shared" si="139"/>
        <v>#N/A</v>
      </c>
      <c r="AI341" s="81" t="e">
        <f t="shared" si="140"/>
        <v>#N/A</v>
      </c>
      <c r="AJ341" s="184"/>
      <c r="AK341" s="160"/>
    </row>
    <row r="342" spans="1:37" s="87" customFormat="1" ht="15.75" customHeight="1" x14ac:dyDescent="0.2">
      <c r="A342" s="488">
        <f>VLOOKUP(B342,Sheet1!$AQ$4:$AR$25,2,FALSE)</f>
        <v>0</v>
      </c>
      <c r="B342" s="93" t="str">
        <f t="shared" si="131"/>
        <v>Swindon</v>
      </c>
      <c r="C342" s="85"/>
      <c r="D342" s="234">
        <f t="shared" si="141"/>
        <v>68.807339449541288</v>
      </c>
      <c r="E342" s="234">
        <f t="shared" si="142"/>
        <v>30.339805825242717</v>
      </c>
      <c r="F342" s="234">
        <f t="shared" si="143"/>
        <v>39.398515989231079</v>
      </c>
      <c r="G342" s="234">
        <f t="shared" si="144"/>
        <v>69.934397821512562</v>
      </c>
      <c r="H342" s="408">
        <f t="shared" si="145"/>
        <v>155.6662515566625</v>
      </c>
      <c r="I342" s="392"/>
      <c r="J342" s="172"/>
      <c r="K342" s="172"/>
      <c r="L342" s="172"/>
      <c r="M342" s="172"/>
      <c r="N342" s="172"/>
      <c r="O342" s="392"/>
      <c r="P342" s="392"/>
      <c r="Q342" s="392"/>
      <c r="R342" s="392"/>
      <c r="S342" s="392"/>
      <c r="T342" s="172"/>
      <c r="U342" s="399"/>
      <c r="V342" s="122"/>
      <c r="W342" s="139"/>
      <c r="X342" s="152"/>
      <c r="Y342" s="372" t="str">
        <f t="shared" si="136"/>
        <v>Swindon</v>
      </c>
      <c r="Z342" s="1496">
        <f>Sheet1!D330</f>
        <v>2616</v>
      </c>
      <c r="AA342" s="1496">
        <f>Sheet1!E330</f>
        <v>11536</v>
      </c>
      <c r="AB342" s="1496">
        <f>Sheet1!F330</f>
        <v>15229</v>
      </c>
      <c r="AC342" s="1496">
        <f>Sheet1!G330</f>
        <v>16158</v>
      </c>
      <c r="AD342" s="1496">
        <f>Sheet1!H330</f>
        <v>4818</v>
      </c>
      <c r="AE342" s="81" t="e">
        <f t="shared" si="137"/>
        <v>#N/A</v>
      </c>
      <c r="AF342" s="81" t="e">
        <f t="shared" si="138"/>
        <v>#N/A</v>
      </c>
      <c r="AG342" s="81" t="e">
        <f t="shared" si="138"/>
        <v>#N/A</v>
      </c>
      <c r="AH342" s="81" t="e">
        <f t="shared" si="139"/>
        <v>#N/A</v>
      </c>
      <c r="AI342" s="81" t="e">
        <f t="shared" si="140"/>
        <v>#N/A</v>
      </c>
      <c r="AJ342" s="184"/>
      <c r="AK342" s="160"/>
    </row>
    <row r="343" spans="1:37" s="87" customFormat="1" ht="15.75" customHeight="1" x14ac:dyDescent="0.2">
      <c r="A343" s="488">
        <f>VLOOKUP(B343,Sheet1!$AQ$4:$AR$25,2,FALSE)</f>
        <v>0</v>
      </c>
      <c r="B343" s="93" t="str">
        <f t="shared" si="131"/>
        <v>Torbay</v>
      </c>
      <c r="C343" s="85"/>
      <c r="D343" s="234">
        <f t="shared" si="141"/>
        <v>159.23566878980893</v>
      </c>
      <c r="E343" s="234">
        <f t="shared" si="142"/>
        <v>87.639218550301251</v>
      </c>
      <c r="F343" s="234">
        <f t="shared" si="143"/>
        <v>79.541009258051901</v>
      </c>
      <c r="G343" s="234">
        <f t="shared" si="144"/>
        <v>185.51341131986291</v>
      </c>
      <c r="H343" s="408">
        <f t="shared" si="145"/>
        <v>263.5486265775798</v>
      </c>
      <c r="I343" s="392"/>
      <c r="J343" s="172"/>
      <c r="K343" s="172"/>
      <c r="L343" s="172"/>
      <c r="M343" s="172"/>
      <c r="N343" s="172"/>
      <c r="O343" s="392"/>
      <c r="P343" s="392"/>
      <c r="Q343" s="392"/>
      <c r="R343" s="392"/>
      <c r="S343" s="392"/>
      <c r="T343" s="172"/>
      <c r="U343" s="399"/>
      <c r="V343" s="122"/>
      <c r="W343" s="139"/>
      <c r="X343" s="152"/>
      <c r="Y343" s="372" t="str">
        <f t="shared" si="136"/>
        <v>Torbay</v>
      </c>
      <c r="Z343" s="1496">
        <f>Sheet1!D331</f>
        <v>1256</v>
      </c>
      <c r="AA343" s="1496">
        <f>Sheet1!E331</f>
        <v>5477</v>
      </c>
      <c r="AB343" s="1496">
        <f>Sheet1!F331</f>
        <v>7669</v>
      </c>
      <c r="AC343" s="1496">
        <f>Sheet1!G331</f>
        <v>8463</v>
      </c>
      <c r="AD343" s="1496">
        <f>Sheet1!H331</f>
        <v>2694</v>
      </c>
      <c r="AE343" s="81" t="e">
        <f t="shared" si="137"/>
        <v>#N/A</v>
      </c>
      <c r="AF343" s="81" t="e">
        <f t="shared" si="138"/>
        <v>#N/A</v>
      </c>
      <c r="AG343" s="81" t="e">
        <f t="shared" si="138"/>
        <v>#N/A</v>
      </c>
      <c r="AH343" s="81" t="e">
        <f t="shared" si="139"/>
        <v>#N/A</v>
      </c>
      <c r="AI343" s="81" t="e">
        <f t="shared" si="140"/>
        <v>#N/A</v>
      </c>
      <c r="AJ343" s="184"/>
      <c r="AK343" s="160"/>
    </row>
    <row r="344" spans="1:37" s="87" customFormat="1" ht="15.75" customHeight="1" x14ac:dyDescent="0.2">
      <c r="A344" s="488">
        <f>VLOOKUP(B344,Sheet1!$AQ$4:$AR$25,2,FALSE)</f>
        <v>0</v>
      </c>
      <c r="B344" s="93" t="str">
        <f t="shared" si="131"/>
        <v>West Berkshire</v>
      </c>
      <c r="C344" s="85"/>
      <c r="D344" s="234">
        <f t="shared" si="141"/>
        <v>45.484080571799865</v>
      </c>
      <c r="E344" s="234">
        <f t="shared" si="142"/>
        <v>16.524373450839988</v>
      </c>
      <c r="F344" s="234">
        <f t="shared" si="143"/>
        <v>17.552413456850317</v>
      </c>
      <c r="G344" s="234">
        <f t="shared" si="144"/>
        <v>51.941825155825477</v>
      </c>
      <c r="H344" s="408">
        <f t="shared" si="145"/>
        <v>136.64596273291926</v>
      </c>
      <c r="I344" s="392"/>
      <c r="J344" s="172"/>
      <c r="K344" s="172"/>
      <c r="L344" s="172"/>
      <c r="M344" s="172"/>
      <c r="N344" s="172"/>
      <c r="O344" s="392"/>
      <c r="P344" s="392"/>
      <c r="Q344" s="392"/>
      <c r="R344" s="392"/>
      <c r="S344" s="392"/>
      <c r="T344" s="172"/>
      <c r="U344" s="399"/>
      <c r="V344" s="122"/>
      <c r="W344" s="139"/>
      <c r="X344" s="152"/>
      <c r="Y344" s="372" t="str">
        <f t="shared" si="136"/>
        <v>West Berkshire</v>
      </c>
      <c r="Z344" s="1496">
        <f>Sheet1!D332</f>
        <v>1539</v>
      </c>
      <c r="AA344" s="1496">
        <f>Sheet1!E332</f>
        <v>7262</v>
      </c>
      <c r="AB344" s="1496">
        <f>Sheet1!F332</f>
        <v>10255</v>
      </c>
      <c r="AC344" s="1496">
        <f>Sheet1!G332</f>
        <v>12514</v>
      </c>
      <c r="AD344" s="1496">
        <f>Sheet1!H332</f>
        <v>4025</v>
      </c>
      <c r="AE344" s="81" t="e">
        <f t="shared" si="137"/>
        <v>#N/A</v>
      </c>
      <c r="AF344" s="81" t="e">
        <f t="shared" si="138"/>
        <v>#N/A</v>
      </c>
      <c r="AG344" s="81" t="e">
        <f t="shared" si="138"/>
        <v>#N/A</v>
      </c>
      <c r="AH344" s="81" t="e">
        <f t="shared" si="139"/>
        <v>#N/A</v>
      </c>
      <c r="AI344" s="81" t="e">
        <f t="shared" si="140"/>
        <v>#N/A</v>
      </c>
      <c r="AJ344" s="184"/>
      <c r="AK344" s="160"/>
    </row>
    <row r="345" spans="1:37" s="87" customFormat="1" ht="15.75" customHeight="1" x14ac:dyDescent="0.2">
      <c r="A345" s="488">
        <f>VLOOKUP(B345,Sheet1!$AQ$4:$AR$25,2,FALSE)</f>
        <v>0</v>
      </c>
      <c r="B345" s="93" t="str">
        <f t="shared" si="131"/>
        <v>West Sussex</v>
      </c>
      <c r="C345" s="85"/>
      <c r="D345" s="234">
        <f t="shared" si="141"/>
        <v>55.720213396561945</v>
      </c>
      <c r="E345" s="234">
        <f t="shared" si="142"/>
        <v>29.689322447248436</v>
      </c>
      <c r="F345" s="234">
        <f t="shared" si="143"/>
        <v>22.374359366633517</v>
      </c>
      <c r="G345" s="234">
        <f t="shared" si="144"/>
        <v>49.885330699566438</v>
      </c>
      <c r="H345" s="408">
        <f t="shared" si="145"/>
        <v>130.58764439979907</v>
      </c>
      <c r="I345" s="392"/>
      <c r="J345" s="172"/>
      <c r="K345" s="172"/>
      <c r="L345" s="172"/>
      <c r="M345" s="172"/>
      <c r="N345" s="172"/>
      <c r="O345" s="392"/>
      <c r="P345" s="392"/>
      <c r="Q345" s="392"/>
      <c r="R345" s="392"/>
      <c r="S345" s="392"/>
      <c r="T345" s="172"/>
      <c r="U345" s="399"/>
      <c r="V345" s="122"/>
      <c r="W345" s="139"/>
      <c r="X345" s="152"/>
      <c r="Y345" s="372" t="str">
        <f t="shared" si="136"/>
        <v>West Sussex</v>
      </c>
      <c r="Z345" s="1496">
        <f>Sheet1!D333</f>
        <v>8435</v>
      </c>
      <c r="AA345" s="1496">
        <f>Sheet1!E333</f>
        <v>37724</v>
      </c>
      <c r="AB345" s="1496">
        <f>Sheet1!F333</f>
        <v>52292</v>
      </c>
      <c r="AC345" s="1496">
        <f>Sheet1!G333</f>
        <v>59737</v>
      </c>
      <c r="AD345" s="1496">
        <f>Sheet1!H333</f>
        <v>17919</v>
      </c>
      <c r="AE345" s="81" t="e">
        <f t="shared" si="137"/>
        <v>#N/A</v>
      </c>
      <c r="AF345" s="81" t="e">
        <f t="shared" si="138"/>
        <v>#N/A</v>
      </c>
      <c r="AG345" s="81" t="e">
        <f t="shared" si="138"/>
        <v>#N/A</v>
      </c>
      <c r="AH345" s="81" t="e">
        <f t="shared" si="139"/>
        <v>#N/A</v>
      </c>
      <c r="AI345" s="81" t="e">
        <f t="shared" si="140"/>
        <v>#N/A</v>
      </c>
      <c r="AJ345" s="184"/>
      <c r="AK345" s="160"/>
    </row>
    <row r="346" spans="1:37" s="87" customFormat="1" ht="15.75" customHeight="1" x14ac:dyDescent="0.2">
      <c r="A346" s="488">
        <f>VLOOKUP(B346,Sheet1!$AQ$4:$AR$25,2,FALSE)</f>
        <v>0</v>
      </c>
      <c r="B346" s="93" t="str">
        <f t="shared" si="131"/>
        <v>Windsor &amp; Maidenhead</v>
      </c>
      <c r="C346" s="85"/>
      <c r="D346" s="234" t="e">
        <f t="shared" si="141"/>
        <v>#VALUE!</v>
      </c>
      <c r="E346" s="234" t="e">
        <f t="shared" si="142"/>
        <v>#VALUE!</v>
      </c>
      <c r="F346" s="234">
        <f t="shared" si="143"/>
        <v>17.426960533059969</v>
      </c>
      <c r="G346" s="234">
        <f t="shared" si="144"/>
        <v>38.038200064745872</v>
      </c>
      <c r="H346" s="408">
        <f t="shared" si="145"/>
        <v>87.456271864067972</v>
      </c>
      <c r="I346" s="392"/>
      <c r="J346" s="172"/>
      <c r="K346" s="172"/>
      <c r="L346" s="172"/>
      <c r="M346" s="172"/>
      <c r="N346" s="172"/>
      <c r="O346" s="392"/>
      <c r="P346" s="392"/>
      <c r="Q346" s="392"/>
      <c r="R346" s="392"/>
      <c r="S346" s="392"/>
      <c r="T346" s="172"/>
      <c r="U346" s="399"/>
      <c r="V346" s="122"/>
      <c r="W346" s="139"/>
      <c r="X346" s="152"/>
      <c r="Y346" s="372" t="str">
        <f t="shared" si="136"/>
        <v>Windsor &amp; Maidenhead</v>
      </c>
      <c r="Z346" s="1496">
        <f>Sheet1!D334</f>
        <v>1571</v>
      </c>
      <c r="AA346" s="1496">
        <f>Sheet1!E334</f>
        <v>7044</v>
      </c>
      <c r="AB346" s="1496">
        <f>Sheet1!F334</f>
        <v>9755</v>
      </c>
      <c r="AC346" s="1496">
        <f>Sheet1!G334</f>
        <v>12356</v>
      </c>
      <c r="AD346" s="1496">
        <f>Sheet1!H334</f>
        <v>4002</v>
      </c>
      <c r="AE346" s="81" t="e">
        <f t="shared" si="137"/>
        <v>#N/A</v>
      </c>
      <c r="AF346" s="81" t="e">
        <f t="shared" si="138"/>
        <v>#N/A</v>
      </c>
      <c r="AG346" s="81" t="e">
        <f t="shared" si="138"/>
        <v>#N/A</v>
      </c>
      <c r="AH346" s="81" t="e">
        <f t="shared" si="139"/>
        <v>#N/A</v>
      </c>
      <c r="AI346" s="81" t="e">
        <f t="shared" si="140"/>
        <v>#N/A</v>
      </c>
      <c r="AJ346" s="184"/>
      <c r="AK346" s="160"/>
    </row>
    <row r="347" spans="1:37" s="87" customFormat="1" ht="15.75" customHeight="1" x14ac:dyDescent="0.2">
      <c r="A347" s="488">
        <f>VLOOKUP(B347,Sheet1!$AQ$4:$AR$25,2,FALSE)</f>
        <v>0</v>
      </c>
      <c r="B347" s="93" t="str">
        <f t="shared" si="131"/>
        <v>Wokingham</v>
      </c>
      <c r="C347" s="85"/>
      <c r="D347" s="234" t="e">
        <f t="shared" si="141"/>
        <v>#VALUE!</v>
      </c>
      <c r="E347" s="234" t="e">
        <f t="shared" si="142"/>
        <v>#VALUE!</v>
      </c>
      <c r="F347" s="234">
        <f t="shared" si="143"/>
        <v>12.955465587044534</v>
      </c>
      <c r="G347" s="234">
        <f t="shared" si="144"/>
        <v>23.490888382687924</v>
      </c>
      <c r="H347" s="408">
        <f t="shared" si="145"/>
        <v>80.135988343856226</v>
      </c>
      <c r="I347" s="392"/>
      <c r="J347" s="172"/>
      <c r="K347" s="172"/>
      <c r="L347" s="172"/>
      <c r="M347" s="172"/>
      <c r="N347" s="172"/>
      <c r="O347" s="392"/>
      <c r="P347" s="392"/>
      <c r="Q347" s="392"/>
      <c r="R347" s="392"/>
      <c r="S347" s="392"/>
      <c r="T347" s="172"/>
      <c r="U347" s="399"/>
      <c r="V347" s="122"/>
      <c r="W347" s="139"/>
      <c r="X347" s="152"/>
      <c r="Y347" s="372" t="str">
        <f t="shared" si="136"/>
        <v>Wokingham</v>
      </c>
      <c r="Z347" s="1496">
        <f>Sheet1!D335</f>
        <v>1776</v>
      </c>
      <c r="AA347" s="1496">
        <f>Sheet1!E335</f>
        <v>8125</v>
      </c>
      <c r="AB347" s="1496">
        <f>Sheet1!F335</f>
        <v>12350</v>
      </c>
      <c r="AC347" s="1496">
        <f>Sheet1!G335</f>
        <v>14048</v>
      </c>
      <c r="AD347" s="1496">
        <f>Sheet1!H335</f>
        <v>4118</v>
      </c>
      <c r="AE347" s="81" t="e">
        <f t="shared" si="137"/>
        <v>#N/A</v>
      </c>
      <c r="AF347" s="81" t="e">
        <f t="shared" si="138"/>
        <v>#N/A</v>
      </c>
      <c r="AG347" s="81" t="e">
        <f t="shared" si="138"/>
        <v>#N/A</v>
      </c>
      <c r="AH347" s="81" t="e">
        <f t="shared" si="139"/>
        <v>#N/A</v>
      </c>
      <c r="AI347" s="81" t="e">
        <f t="shared" si="140"/>
        <v>#N/A</v>
      </c>
      <c r="AJ347" s="184"/>
      <c r="AK347" s="160"/>
    </row>
    <row r="348" spans="1:37" s="87" customFormat="1" ht="15.75" customHeight="1" x14ac:dyDescent="0.2">
      <c r="A348" s="121"/>
      <c r="B348" s="129" t="str">
        <f t="shared" si="131"/>
        <v>South East</v>
      </c>
      <c r="C348" s="85"/>
      <c r="D348" s="409">
        <f t="shared" si="141"/>
        <v>51.134881294025568</v>
      </c>
      <c r="E348" s="409">
        <f t="shared" si="142"/>
        <v>25.420497394399018</v>
      </c>
      <c r="F348" s="409">
        <f t="shared" si="143"/>
        <v>30.146685156633559</v>
      </c>
      <c r="G348" s="409">
        <f t="shared" si="144"/>
        <v>62.889305816135078</v>
      </c>
      <c r="H348" s="410">
        <f t="shared" si="145"/>
        <v>145.1407568124514</v>
      </c>
      <c r="I348" s="392"/>
      <c r="J348" s="172"/>
      <c r="K348" s="172"/>
      <c r="L348" s="172"/>
      <c r="M348" s="172"/>
      <c r="N348" s="172"/>
      <c r="O348" s="392"/>
      <c r="P348" s="392"/>
      <c r="Q348" s="392"/>
      <c r="R348" s="392"/>
      <c r="S348" s="392"/>
      <c r="T348" s="172"/>
      <c r="U348" s="399"/>
      <c r="V348" s="122"/>
      <c r="W348" s="139"/>
      <c r="X348" s="152"/>
      <c r="Y348" s="372" t="str">
        <f t="shared" si="136"/>
        <v>South East</v>
      </c>
      <c r="Z348" s="1496">
        <f>Sheet1!D336</f>
        <v>95825</v>
      </c>
      <c r="AA348" s="1496">
        <f>Sheet1!E336</f>
        <v>424854</v>
      </c>
      <c r="AB348" s="1496">
        <f>Sheet1!F336</f>
        <v>580495</v>
      </c>
      <c r="AC348" s="1496">
        <f>Sheet1!G336</f>
        <v>666250</v>
      </c>
      <c r="AD348" s="1496">
        <f>Sheet1!H336</f>
        <v>201873</v>
      </c>
      <c r="AE348" s="81" t="e">
        <f t="shared" si="137"/>
        <v>#N/A</v>
      </c>
      <c r="AF348" s="81" t="e">
        <f t="shared" si="138"/>
        <v>#N/A</v>
      </c>
      <c r="AG348" s="81" t="e">
        <f t="shared" si="138"/>
        <v>#N/A</v>
      </c>
      <c r="AH348" s="81" t="e">
        <f t="shared" si="139"/>
        <v>#N/A</v>
      </c>
      <c r="AI348" s="81" t="e">
        <f t="shared" si="140"/>
        <v>#N/A</v>
      </c>
      <c r="AJ348" s="184"/>
      <c r="AK348" s="160"/>
    </row>
    <row r="349" spans="1:37" s="87" customFormat="1" ht="15.75" customHeight="1" x14ac:dyDescent="0.2">
      <c r="A349" s="121"/>
      <c r="B349" s="329" t="s">
        <v>127</v>
      </c>
      <c r="C349" s="85"/>
      <c r="D349" s="411">
        <f t="shared" si="141"/>
        <v>66.735826312336584</v>
      </c>
      <c r="E349" s="411">
        <f t="shared" si="142"/>
        <v>40.473310183345966</v>
      </c>
      <c r="F349" s="411">
        <f t="shared" si="143"/>
        <v>41.546478639174765</v>
      </c>
      <c r="G349" s="411">
        <f t="shared" si="144"/>
        <v>78.842153835945993</v>
      </c>
      <c r="H349" s="412">
        <f t="shared" si="145"/>
        <v>157.67812947172439</v>
      </c>
      <c r="I349" s="392"/>
      <c r="J349" s="172"/>
      <c r="K349" s="172"/>
      <c r="L349" s="172"/>
      <c r="M349" s="172"/>
      <c r="N349" s="172"/>
      <c r="O349" s="392"/>
      <c r="P349" s="392"/>
      <c r="Q349" s="392"/>
      <c r="R349" s="392"/>
      <c r="S349" s="392"/>
      <c r="T349" s="172"/>
      <c r="U349" s="399"/>
      <c r="V349" s="122"/>
      <c r="W349" s="139"/>
      <c r="X349" s="152"/>
      <c r="Y349" s="372" t="str">
        <f>B349</f>
        <v>England</v>
      </c>
      <c r="Z349" s="1496">
        <f>Sheet1!D337</f>
        <v>618858</v>
      </c>
      <c r="AA349" s="1496">
        <f>Sheet1!E337</f>
        <v>2680779</v>
      </c>
      <c r="AB349" s="1496">
        <f>Sheet1!F337</f>
        <v>3538206</v>
      </c>
      <c r="AC349" s="1496">
        <f>Sheet1!G337</f>
        <v>3978836</v>
      </c>
      <c r="AD349" s="1496">
        <f>Sheet1!H337</f>
        <v>1206889</v>
      </c>
      <c r="AE349" s="81" t="e">
        <f t="shared" si="137"/>
        <v>#N/A</v>
      </c>
      <c r="AF349" s="81" t="e">
        <f t="shared" si="138"/>
        <v>#N/A</v>
      </c>
      <c r="AG349" s="81" t="e">
        <f t="shared" si="138"/>
        <v>#N/A</v>
      </c>
      <c r="AH349" s="81" t="e">
        <f t="shared" si="139"/>
        <v>#N/A</v>
      </c>
      <c r="AI349" s="81" t="e">
        <f t="shared" si="140"/>
        <v>#N/A</v>
      </c>
      <c r="AJ349" s="184"/>
      <c r="AK349" s="160"/>
    </row>
    <row r="350" spans="1:37" s="87" customFormat="1" ht="15.75" customHeight="1" x14ac:dyDescent="0.2">
      <c r="A350" s="292"/>
      <c r="B350" s="96"/>
      <c r="C350" s="96"/>
      <c r="D350" s="96"/>
      <c r="E350" s="96"/>
      <c r="F350" s="96"/>
      <c r="G350" s="96"/>
      <c r="H350" s="96"/>
      <c r="I350" s="392"/>
      <c r="J350" s="172"/>
      <c r="K350" s="172"/>
      <c r="L350" s="172"/>
      <c r="M350" s="172"/>
      <c r="N350" s="172"/>
      <c r="O350" s="392"/>
      <c r="P350" s="392"/>
      <c r="Q350" s="392"/>
      <c r="R350" s="392"/>
      <c r="S350" s="392"/>
      <c r="T350" s="172"/>
      <c r="U350" s="399"/>
      <c r="V350" s="122"/>
      <c r="W350" s="139"/>
      <c r="X350" s="152"/>
      <c r="Y350" s="81"/>
      <c r="Z350" s="81"/>
      <c r="AA350" s="196"/>
      <c r="AB350" s="196"/>
      <c r="AC350" s="197"/>
      <c r="AD350" s="81"/>
      <c r="AE350" s="81"/>
      <c r="AF350" s="81"/>
      <c r="AG350" s="81"/>
      <c r="AH350" s="81"/>
      <c r="AI350" s="81"/>
      <c r="AJ350" s="184"/>
      <c r="AK350" s="160"/>
    </row>
    <row r="351" spans="1:37" s="81" customFormat="1" ht="32.25" customHeight="1" x14ac:dyDescent="0.2">
      <c r="A351" s="217"/>
      <c r="B351" s="387"/>
      <c r="C351" s="387"/>
      <c r="D351" s="392"/>
      <c r="E351" s="392"/>
      <c r="F351" s="392"/>
      <c r="G351" s="392"/>
      <c r="H351" s="392"/>
      <c r="I351" s="392"/>
      <c r="J351" s="172"/>
      <c r="K351" s="172"/>
      <c r="L351" s="172"/>
      <c r="M351" s="172"/>
      <c r="N351" s="172"/>
      <c r="O351" s="392"/>
      <c r="P351" s="392"/>
      <c r="Q351" s="392"/>
      <c r="R351" s="392"/>
      <c r="S351" s="392"/>
      <c r="T351" s="172"/>
      <c r="U351" s="399"/>
      <c r="V351" s="117"/>
      <c r="W351" s="137"/>
      <c r="X351" s="150"/>
      <c r="AD351" s="197"/>
      <c r="AE351" s="199"/>
      <c r="AF351" s="184"/>
      <c r="AG351" s="184"/>
      <c r="AH351" s="184"/>
      <c r="AJ351" s="184"/>
      <c r="AK351" s="161"/>
    </row>
    <row r="352" spans="1:37" s="81" customFormat="1" ht="15" hidden="1" customHeight="1" x14ac:dyDescent="0.2">
      <c r="A352" s="217"/>
      <c r="B352" s="387"/>
      <c r="C352" s="387"/>
      <c r="D352" s="387"/>
      <c r="E352" s="387"/>
      <c r="F352" s="387"/>
      <c r="G352" s="387"/>
      <c r="H352" s="387"/>
      <c r="I352" s="387"/>
      <c r="J352" s="172"/>
      <c r="K352" s="172"/>
      <c r="L352" s="172"/>
      <c r="M352" s="172"/>
      <c r="N352" s="172"/>
      <c r="O352" s="387"/>
      <c r="P352" s="392"/>
      <c r="Q352" s="387"/>
      <c r="R352" s="387"/>
      <c r="S352" s="387"/>
      <c r="T352" s="172"/>
      <c r="U352" s="172"/>
      <c r="V352" s="117"/>
      <c r="W352" s="137"/>
      <c r="X352" s="150"/>
      <c r="Z352" s="190"/>
      <c r="AE352" s="199"/>
      <c r="AF352" s="184"/>
      <c r="AG352" s="184"/>
      <c r="AH352" s="184"/>
      <c r="AJ352" s="184"/>
      <c r="AK352" s="161"/>
    </row>
    <row r="353" spans="1:66" s="81" customFormat="1" ht="16.5" hidden="1" customHeight="1" x14ac:dyDescent="0.2">
      <c r="A353" s="217"/>
      <c r="B353" s="387"/>
      <c r="C353" s="387"/>
      <c r="D353" s="387"/>
      <c r="E353" s="387"/>
      <c r="F353" s="387"/>
      <c r="G353" s="387"/>
      <c r="H353" s="387"/>
      <c r="I353" s="387"/>
      <c r="J353" s="387"/>
      <c r="K353" s="387"/>
      <c r="L353" s="387"/>
      <c r="M353" s="387"/>
      <c r="N353" s="387"/>
      <c r="O353" s="387"/>
      <c r="P353" s="392"/>
      <c r="Q353" s="387"/>
      <c r="R353" s="387"/>
      <c r="S353" s="387"/>
      <c r="T353" s="172"/>
      <c r="U353" s="172"/>
      <c r="V353" s="117"/>
      <c r="W353" s="137"/>
      <c r="X353" s="150"/>
      <c r="Z353" s="190"/>
      <c r="AE353" s="199"/>
      <c r="AF353" s="184"/>
      <c r="AG353" s="184"/>
      <c r="AH353" s="184"/>
      <c r="AJ353" s="184"/>
      <c r="AK353" s="161"/>
    </row>
    <row r="354" spans="1:66" s="81" customFormat="1" ht="7.5" customHeight="1" x14ac:dyDescent="0.2">
      <c r="A354" s="118"/>
      <c r="B354" s="17"/>
      <c r="C354" s="17"/>
      <c r="D354" s="16"/>
      <c r="E354" s="16"/>
      <c r="F354" s="16"/>
      <c r="G354" s="16"/>
      <c r="H354" s="16"/>
      <c r="I354" s="16"/>
      <c r="J354" s="12"/>
      <c r="K354" s="18"/>
      <c r="L354" s="18"/>
      <c r="M354" s="18"/>
      <c r="N354" s="18"/>
      <c r="O354" s="18"/>
      <c r="P354" s="18"/>
      <c r="Q354" s="18"/>
      <c r="R354" s="18"/>
      <c r="S354" s="18"/>
      <c r="T354" s="18"/>
      <c r="U354" s="19"/>
      <c r="V354" s="117"/>
      <c r="W354" s="137"/>
      <c r="X354" s="150"/>
      <c r="Z354" s="190"/>
      <c r="AJ354" s="184"/>
      <c r="AK354" s="157"/>
      <c r="AL354" s="74"/>
      <c r="AM354" s="74"/>
      <c r="AN354" s="74"/>
      <c r="AO354" s="74"/>
      <c r="AP354" s="74"/>
      <c r="AQ354" s="74"/>
      <c r="AR354" s="74"/>
    </row>
    <row r="355" spans="1:66" s="81" customFormat="1" ht="15" customHeight="1" x14ac:dyDescent="0.2">
      <c r="A355" s="1716"/>
      <c r="B355" s="1760"/>
      <c r="C355" s="1760"/>
      <c r="D355" s="1760"/>
      <c r="E355" s="1760"/>
      <c r="F355" s="1760"/>
      <c r="G355" s="1760"/>
      <c r="H355" s="1760"/>
      <c r="I355" s="1760"/>
      <c r="J355" s="1760"/>
      <c r="K355" s="1760"/>
      <c r="L355" s="1760"/>
      <c r="M355" s="1760"/>
      <c r="N355" s="1760"/>
      <c r="O355" s="1760"/>
      <c r="P355" s="1760"/>
      <c r="Q355" s="1760"/>
      <c r="R355" s="1760"/>
      <c r="S355" s="1760"/>
      <c r="T355" s="1760"/>
      <c r="U355" s="1760"/>
      <c r="V355" s="1761"/>
      <c r="W355" s="137"/>
      <c r="X355" s="150"/>
      <c r="AK355" s="161"/>
      <c r="AT355" s="74"/>
    </row>
    <row r="356" spans="1:66" s="81" customFormat="1" ht="11.25" customHeight="1" x14ac:dyDescent="0.2">
      <c r="A356" s="1765" t="str">
        <f>Home!$A$39</f>
        <v xml:space="preserve"> </v>
      </c>
      <c r="B356" s="1766"/>
      <c r="C356" s="1766"/>
      <c r="D356" s="1766"/>
      <c r="E356" s="1766"/>
      <c r="F356" s="1766"/>
      <c r="G356" s="1766"/>
      <c r="H356" s="1766"/>
      <c r="I356" s="1767"/>
      <c r="J356" s="1766"/>
      <c r="K356" s="1766"/>
      <c r="L356" s="1766"/>
      <c r="M356" s="1766"/>
      <c r="N356" s="1766"/>
      <c r="O356" s="1766"/>
      <c r="P356" s="1768"/>
      <c r="Q356" s="1766"/>
      <c r="R356" s="1766"/>
      <c r="S356" s="1766"/>
      <c r="T356" s="1767"/>
      <c r="U356" s="1766"/>
      <c r="V356" s="1769"/>
      <c r="W356" s="137"/>
      <c r="X356" s="150"/>
      <c r="AJ356" s="184"/>
      <c r="AK356" s="160"/>
      <c r="AL356" s="87"/>
      <c r="AT356" s="74"/>
    </row>
    <row r="357" spans="1:66" ht="11.25" customHeight="1" x14ac:dyDescent="0.2">
      <c r="A357" s="142"/>
      <c r="B357" s="9"/>
      <c r="C357" s="9"/>
      <c r="D357" s="9"/>
      <c r="E357" s="9"/>
      <c r="F357" s="58"/>
      <c r="G357" s="58"/>
      <c r="H357" s="58"/>
      <c r="I357" s="58"/>
      <c r="J357" s="114"/>
      <c r="K357" s="113"/>
      <c r="L357" s="113"/>
      <c r="M357" s="113"/>
      <c r="N357" s="113"/>
      <c r="O357" s="113"/>
      <c r="P357" s="113"/>
      <c r="Q357" s="113"/>
      <c r="R357" s="113"/>
      <c r="S357" s="113"/>
      <c r="T357" s="113"/>
      <c r="U357" s="113"/>
      <c r="V357" s="113"/>
      <c r="W357" s="137"/>
      <c r="X357" s="150"/>
      <c r="AJ357" s="81"/>
      <c r="AK357" s="161"/>
      <c r="AL357" s="82"/>
      <c r="AM357" s="81"/>
      <c r="AN357" s="81"/>
      <c r="AO357" s="184"/>
      <c r="AP357" s="184"/>
      <c r="AQ357" s="184"/>
      <c r="AR357" s="157"/>
      <c r="AZ357" s="81"/>
      <c r="BA357" s="81"/>
      <c r="BB357" s="81"/>
      <c r="BC357" s="81"/>
      <c r="BD357" s="81"/>
      <c r="BE357" s="81"/>
      <c r="BF357" s="81"/>
      <c r="BG357" s="81"/>
      <c r="BH357" s="81"/>
      <c r="BI357" s="81"/>
      <c r="BJ357" s="81"/>
      <c r="BK357" s="81"/>
      <c r="BL357" s="81"/>
      <c r="BM357" s="81"/>
      <c r="BN357" s="81"/>
    </row>
    <row r="358" spans="1:66" ht="11.25" customHeight="1" x14ac:dyDescent="0.2">
      <c r="A358" s="142"/>
      <c r="B358" s="1685" t="s">
        <v>82</v>
      </c>
      <c r="C358" s="1685"/>
      <c r="D358" s="1685"/>
      <c r="E358" s="1685"/>
      <c r="F358" s="1685"/>
      <c r="G358" s="1685"/>
      <c r="H358" s="1685"/>
      <c r="I358" s="1685"/>
      <c r="J358" s="12"/>
      <c r="K358" s="9"/>
      <c r="L358" s="9"/>
      <c r="M358" s="9"/>
      <c r="N358" s="9"/>
      <c r="O358" s="9"/>
      <c r="P358" s="9"/>
      <c r="Q358" s="9"/>
      <c r="R358" s="9"/>
      <c r="S358" s="9"/>
      <c r="T358" s="9"/>
      <c r="U358" s="9"/>
      <c r="V358" s="9"/>
      <c r="W358" s="137"/>
      <c r="X358" s="150"/>
      <c r="AJ358" s="81"/>
      <c r="AK358" s="161"/>
      <c r="AL358" s="82"/>
      <c r="AM358" s="81"/>
      <c r="AN358" s="81"/>
      <c r="AO358" s="184"/>
      <c r="AP358" s="184"/>
      <c r="AQ358" s="184"/>
      <c r="AR358" s="157"/>
      <c r="AT358" s="81"/>
      <c r="AU358" s="81"/>
      <c r="AV358" s="81"/>
      <c r="AW358" s="81"/>
      <c r="AX358" s="81"/>
      <c r="AY358" s="81"/>
    </row>
    <row r="359" spans="1:66" ht="11.25" customHeight="1" x14ac:dyDescent="0.2">
      <c r="A359" s="142"/>
      <c r="B359" s="1685"/>
      <c r="C359" s="1685"/>
      <c r="D359" s="1685"/>
      <c r="E359" s="1685"/>
      <c r="F359" s="1685"/>
      <c r="G359" s="1685"/>
      <c r="H359" s="1685"/>
      <c r="I359" s="1685"/>
      <c r="J359" s="12"/>
      <c r="K359" s="9"/>
      <c r="L359" s="9"/>
      <c r="M359" s="9"/>
      <c r="N359" s="9"/>
      <c r="O359" s="9"/>
      <c r="P359" s="9"/>
      <c r="Q359" s="9"/>
      <c r="R359" s="9"/>
      <c r="S359" s="9"/>
      <c r="T359" s="9"/>
      <c r="U359" s="9"/>
      <c r="V359" s="9"/>
      <c r="W359" s="137"/>
      <c r="X359" s="150"/>
      <c r="AJ359" s="81"/>
      <c r="AK359" s="161"/>
      <c r="AL359" s="82"/>
      <c r="AM359" s="81"/>
      <c r="AN359" s="81"/>
      <c r="AO359" s="184"/>
      <c r="AP359" s="184"/>
      <c r="AQ359" s="184"/>
      <c r="AR359" s="157"/>
    </row>
    <row r="360" spans="1:66" ht="11.25" customHeight="1" x14ac:dyDescent="0.2">
      <c r="A360" s="142"/>
      <c r="B360" s="1680" t="s">
        <v>800</v>
      </c>
      <c r="C360" s="1680"/>
      <c r="D360" s="1680"/>
      <c r="E360" s="1680"/>
      <c r="F360" s="1680"/>
      <c r="G360" s="1680"/>
      <c r="H360" s="1680"/>
      <c r="I360" s="1680"/>
      <c r="J360" s="12"/>
      <c r="K360" s="9"/>
      <c r="L360" s="9"/>
      <c r="M360" s="9"/>
      <c r="N360" s="9"/>
      <c r="O360" s="9"/>
      <c r="P360" s="9"/>
      <c r="Q360" s="9"/>
      <c r="R360" s="9"/>
      <c r="S360" s="9"/>
      <c r="T360" s="9"/>
      <c r="U360" s="9"/>
      <c r="V360" s="9"/>
      <c r="W360" s="137"/>
      <c r="X360" s="150"/>
      <c r="AJ360" s="81"/>
      <c r="AK360" s="161"/>
      <c r="AL360" s="82"/>
      <c r="AM360" s="81"/>
      <c r="AN360" s="81"/>
      <c r="AO360" s="184"/>
      <c r="AP360" s="184"/>
      <c r="AQ360" s="184"/>
      <c r="AR360" s="157"/>
    </row>
    <row r="361" spans="1:66" ht="11.25" customHeight="1" x14ac:dyDescent="0.2">
      <c r="A361" s="142"/>
      <c r="B361" s="1680"/>
      <c r="C361" s="1680"/>
      <c r="D361" s="1680"/>
      <c r="E361" s="1680"/>
      <c r="F361" s="1680"/>
      <c r="G361" s="1680"/>
      <c r="H361" s="1680"/>
      <c r="I361" s="1680"/>
      <c r="J361" s="12"/>
      <c r="K361" s="9"/>
      <c r="L361" s="9"/>
      <c r="M361" s="9"/>
      <c r="N361" s="9"/>
      <c r="O361" s="9"/>
      <c r="P361" s="9"/>
      <c r="Q361" s="9"/>
      <c r="R361" s="9"/>
      <c r="S361" s="9"/>
      <c r="T361" s="9"/>
      <c r="U361" s="9"/>
      <c r="V361" s="9"/>
      <c r="W361" s="137"/>
      <c r="X361" s="150"/>
      <c r="AJ361" s="81"/>
      <c r="AK361" s="161"/>
      <c r="AL361" s="82"/>
      <c r="AM361" s="81"/>
      <c r="AN361" s="81"/>
      <c r="AO361" s="188"/>
      <c r="AP361" s="188"/>
      <c r="AQ361" s="188"/>
      <c r="AR361" s="158"/>
    </row>
    <row r="362" spans="1:66" s="76" customFormat="1" ht="11.25" hidden="1" customHeight="1" x14ac:dyDescent="0.2">
      <c r="A362" s="142"/>
      <c r="B362" s="1680" t="s">
        <v>81</v>
      </c>
      <c r="C362" s="1680"/>
      <c r="D362" s="1680"/>
      <c r="E362" s="1680"/>
      <c r="F362" s="1680"/>
      <c r="G362" s="1680"/>
      <c r="H362" s="1680"/>
      <c r="I362" s="1680"/>
      <c r="J362" s="14"/>
      <c r="K362" s="14"/>
      <c r="L362" s="14"/>
      <c r="M362" s="14"/>
      <c r="N362" s="14"/>
      <c r="O362" s="14"/>
      <c r="P362" s="14"/>
      <c r="Q362" s="14"/>
      <c r="R362" s="14"/>
      <c r="S362" s="14"/>
      <c r="T362" s="14"/>
      <c r="U362" s="14"/>
      <c r="V362" s="14"/>
      <c r="W362" s="140"/>
      <c r="X362" s="154"/>
      <c r="Y362" s="81"/>
      <c r="Z362" s="81"/>
      <c r="AA362" s="81"/>
      <c r="AB362" s="81"/>
      <c r="AC362" s="81"/>
      <c r="AD362" s="81"/>
      <c r="AE362" s="81"/>
      <c r="AF362" s="81"/>
      <c r="AG362" s="81"/>
      <c r="AH362" s="81"/>
      <c r="AI362" s="81"/>
      <c r="AJ362" s="81"/>
      <c r="AK362" s="161"/>
      <c r="AL362" s="82"/>
      <c r="AM362" s="81"/>
      <c r="AN362" s="81"/>
      <c r="AO362" s="184"/>
      <c r="AP362" s="184"/>
      <c r="AQ362" s="184"/>
      <c r="AR362" s="157"/>
    </row>
    <row r="363" spans="1:66" ht="11.25" hidden="1" customHeight="1" x14ac:dyDescent="0.2">
      <c r="A363" s="142"/>
      <c r="B363" s="1680"/>
      <c r="C363" s="1680"/>
      <c r="D363" s="1680"/>
      <c r="E363" s="1680"/>
      <c r="F363" s="1680"/>
      <c r="G363" s="1680"/>
      <c r="H363" s="1680"/>
      <c r="I363" s="1680"/>
      <c r="J363" s="12"/>
      <c r="K363" s="9"/>
      <c r="L363" s="9"/>
      <c r="M363" s="9"/>
      <c r="N363" s="9"/>
      <c r="O363" s="9"/>
      <c r="P363" s="9"/>
      <c r="Q363" s="9"/>
      <c r="R363" s="9"/>
      <c r="S363" s="9"/>
      <c r="T363" s="9"/>
      <c r="U363" s="9"/>
      <c r="V363" s="9"/>
      <c r="W363" s="137"/>
      <c r="X363" s="150"/>
      <c r="AJ363" s="81"/>
      <c r="AK363" s="161"/>
      <c r="AL363" s="82"/>
      <c r="AM363" s="81"/>
      <c r="AN363" s="81"/>
      <c r="AO363" s="184"/>
      <c r="AP363" s="184"/>
      <c r="AQ363" s="184"/>
      <c r="AR363" s="157"/>
    </row>
    <row r="364" spans="1:66" ht="11.25" customHeight="1" x14ac:dyDescent="0.2">
      <c r="A364" s="142"/>
      <c r="B364" s="1680" t="s">
        <v>78</v>
      </c>
      <c r="C364" s="1680"/>
      <c r="D364" s="1680"/>
      <c r="E364" s="1680"/>
      <c r="F364" s="1680"/>
      <c r="G364" s="1680"/>
      <c r="H364" s="1680"/>
      <c r="I364" s="1680"/>
      <c r="J364" s="12"/>
      <c r="K364" s="9"/>
      <c r="L364" s="9"/>
      <c r="M364" s="9"/>
      <c r="N364" s="9"/>
      <c r="O364" s="9"/>
      <c r="P364" s="9"/>
      <c r="Q364" s="9"/>
      <c r="R364" s="9"/>
      <c r="S364" s="9"/>
      <c r="T364" s="9"/>
      <c r="U364" s="9"/>
      <c r="V364" s="9"/>
      <c r="W364" s="137"/>
      <c r="X364" s="150"/>
      <c r="AJ364" s="81"/>
      <c r="AK364" s="161"/>
      <c r="AL364" s="82"/>
      <c r="AM364" s="81"/>
      <c r="AN364" s="81"/>
      <c r="AO364" s="184"/>
      <c r="AP364" s="184"/>
      <c r="AQ364" s="184"/>
      <c r="AR364" s="157"/>
      <c r="AS364" s="76"/>
      <c r="AT364" s="76"/>
    </row>
    <row r="365" spans="1:66" ht="11.25" customHeight="1" x14ac:dyDescent="0.2">
      <c r="A365" s="142"/>
      <c r="B365" s="1680"/>
      <c r="C365" s="1680"/>
      <c r="D365" s="1680"/>
      <c r="E365" s="1680"/>
      <c r="F365" s="1680"/>
      <c r="G365" s="1680"/>
      <c r="H365" s="1680"/>
      <c r="I365" s="1680"/>
      <c r="J365" s="12"/>
      <c r="K365" s="9"/>
      <c r="L365" s="9"/>
      <c r="M365" s="9"/>
      <c r="N365" s="9"/>
      <c r="O365" s="9"/>
      <c r="P365" s="9"/>
      <c r="Q365" s="9"/>
      <c r="R365" s="9"/>
      <c r="S365" s="9"/>
      <c r="T365" s="9"/>
      <c r="U365" s="9"/>
      <c r="V365" s="9"/>
      <c r="W365" s="137"/>
      <c r="X365" s="150"/>
      <c r="AJ365" s="81"/>
      <c r="AK365" s="161"/>
      <c r="AL365" s="82"/>
      <c r="AM365" s="81"/>
      <c r="AN365" s="81"/>
      <c r="AO365" s="184"/>
      <c r="AP365" s="184"/>
      <c r="AQ365" s="184"/>
      <c r="AR365" s="157"/>
    </row>
    <row r="366" spans="1:66" ht="11.25" customHeight="1" x14ac:dyDescent="0.2">
      <c r="A366" s="142"/>
      <c r="B366" s="1680" t="s">
        <v>17</v>
      </c>
      <c r="C366" s="1680"/>
      <c r="D366" s="1680"/>
      <c r="E366" s="1680"/>
      <c r="F366" s="1680"/>
      <c r="G366" s="1680"/>
      <c r="H366" s="1680"/>
      <c r="I366" s="1680"/>
      <c r="J366" s="12"/>
      <c r="K366" s="9"/>
      <c r="L366" s="9"/>
      <c r="M366" s="9"/>
      <c r="N366" s="9"/>
      <c r="O366" s="9"/>
      <c r="P366" s="9"/>
      <c r="Q366" s="9"/>
      <c r="R366" s="9"/>
      <c r="S366" s="9"/>
      <c r="T366" s="9"/>
      <c r="U366" s="9"/>
      <c r="V366" s="11"/>
      <c r="W366" s="252"/>
      <c r="X366" s="150"/>
      <c r="AA366" s="74"/>
      <c r="AB366" s="74"/>
      <c r="AJ366" s="81"/>
      <c r="AK366" s="161"/>
      <c r="AL366" s="82"/>
      <c r="AM366" s="81"/>
      <c r="AN366" s="81"/>
      <c r="AO366" s="184"/>
      <c r="AP366" s="184"/>
      <c r="AQ366" s="184"/>
      <c r="AR366" s="157"/>
      <c r="AS366" s="76"/>
      <c r="AT366" s="76"/>
    </row>
    <row r="367" spans="1:66" ht="11.25" customHeight="1" x14ac:dyDescent="0.2">
      <c r="A367" s="142"/>
      <c r="B367" s="1680"/>
      <c r="C367" s="1680"/>
      <c r="D367" s="1680"/>
      <c r="E367" s="1680"/>
      <c r="F367" s="1680"/>
      <c r="G367" s="1680"/>
      <c r="H367" s="1680"/>
      <c r="I367" s="1680"/>
      <c r="J367" s="12"/>
      <c r="K367" s="9"/>
      <c r="L367" s="9"/>
      <c r="M367" s="9"/>
      <c r="N367" s="9"/>
      <c r="O367" s="9"/>
      <c r="P367" s="9"/>
      <c r="Q367" s="9"/>
      <c r="R367" s="9"/>
      <c r="S367" s="9"/>
      <c r="T367" s="9"/>
      <c r="U367" s="9"/>
      <c r="V367" s="11"/>
      <c r="W367" s="252"/>
      <c r="X367" s="150"/>
      <c r="AA367" s="74"/>
      <c r="AB367" s="74"/>
      <c r="AJ367" s="81"/>
      <c r="AK367" s="161"/>
      <c r="AL367" s="82"/>
      <c r="AM367" s="81"/>
      <c r="AN367" s="81"/>
      <c r="AO367" s="184"/>
      <c r="AP367" s="184"/>
      <c r="AQ367" s="184"/>
      <c r="AR367" s="157"/>
    </row>
    <row r="368" spans="1:66" ht="11.25" customHeight="1" x14ac:dyDescent="0.2">
      <c r="A368" s="142"/>
      <c r="B368" s="1680" t="s">
        <v>80</v>
      </c>
      <c r="C368" s="1680"/>
      <c r="D368" s="1680"/>
      <c r="E368" s="1680"/>
      <c r="F368" s="1680"/>
      <c r="G368" s="1680"/>
      <c r="H368" s="1680"/>
      <c r="I368" s="1680"/>
      <c r="J368" s="12"/>
      <c r="K368" s="9"/>
      <c r="L368" s="9"/>
      <c r="M368" s="9"/>
      <c r="N368" s="9"/>
      <c r="O368" s="9"/>
      <c r="P368" s="9"/>
      <c r="Q368" s="9"/>
      <c r="R368" s="9"/>
      <c r="S368" s="9"/>
      <c r="T368" s="9"/>
      <c r="U368" s="9"/>
      <c r="V368" s="11"/>
      <c r="W368" s="252"/>
      <c r="X368" s="150"/>
      <c r="AA368" s="74"/>
      <c r="AB368" s="74"/>
      <c r="AJ368" s="81"/>
      <c r="AK368" s="161"/>
      <c r="AL368" s="82"/>
      <c r="AM368" s="81"/>
      <c r="AN368" s="81"/>
      <c r="AO368" s="184"/>
      <c r="AP368" s="184"/>
      <c r="AQ368" s="184"/>
      <c r="AR368" s="157"/>
      <c r="AS368" s="76"/>
      <c r="AT368" s="76"/>
    </row>
    <row r="369" spans="1:46" ht="11.25" customHeight="1" x14ac:dyDescent="0.2">
      <c r="A369" s="142"/>
      <c r="B369" s="1680"/>
      <c r="C369" s="1680"/>
      <c r="D369" s="1680"/>
      <c r="E369" s="1680"/>
      <c r="F369" s="1680"/>
      <c r="G369" s="1680"/>
      <c r="H369" s="1680"/>
      <c r="I369" s="1680"/>
      <c r="J369" s="12"/>
      <c r="K369" s="9"/>
      <c r="L369" s="9"/>
      <c r="M369" s="9"/>
      <c r="N369" s="9"/>
      <c r="O369" s="9"/>
      <c r="P369" s="9"/>
      <c r="Q369" s="9"/>
      <c r="R369" s="9"/>
      <c r="S369" s="9"/>
      <c r="T369" s="9"/>
      <c r="U369" s="9"/>
      <c r="V369" s="11"/>
      <c r="W369" s="252"/>
      <c r="X369" s="150"/>
      <c r="AA369" s="74"/>
      <c r="AB369" s="74"/>
      <c r="AJ369" s="81"/>
      <c r="AK369" s="161"/>
      <c r="AL369" s="82"/>
      <c r="AM369" s="81"/>
      <c r="AN369" s="81"/>
      <c r="AO369" s="184"/>
      <c r="AP369" s="184"/>
      <c r="AQ369" s="184"/>
      <c r="AR369" s="157"/>
    </row>
    <row r="370" spans="1:46" ht="11.25" customHeight="1" x14ac:dyDescent="0.2">
      <c r="A370" s="142"/>
      <c r="B370" s="1680" t="s">
        <v>69</v>
      </c>
      <c r="C370" s="1680"/>
      <c r="D370" s="1680"/>
      <c r="E370" s="1680"/>
      <c r="F370" s="1680"/>
      <c r="G370" s="1680"/>
      <c r="H370" s="1680"/>
      <c r="I370" s="1680"/>
      <c r="J370" s="12"/>
      <c r="K370" s="9"/>
      <c r="L370" s="9"/>
      <c r="M370" s="9"/>
      <c r="N370" s="9"/>
      <c r="O370" s="9"/>
      <c r="P370" s="9"/>
      <c r="Q370" s="9"/>
      <c r="R370" s="9"/>
      <c r="S370" s="9"/>
      <c r="T370" s="9"/>
      <c r="U370" s="9"/>
      <c r="V370" s="11"/>
      <c r="W370" s="252"/>
      <c r="X370" s="150"/>
      <c r="AA370" s="74"/>
      <c r="AB370" s="74"/>
      <c r="AJ370" s="81"/>
      <c r="AK370" s="161"/>
      <c r="AL370" s="82"/>
      <c r="AM370" s="81"/>
      <c r="AN370" s="81"/>
      <c r="AO370" s="184"/>
      <c r="AP370" s="184"/>
      <c r="AQ370" s="184"/>
      <c r="AR370" s="157"/>
      <c r="AS370" s="76"/>
      <c r="AT370" s="76"/>
    </row>
    <row r="371" spans="1:46" ht="11.25" customHeight="1" x14ac:dyDescent="0.2">
      <c r="A371" s="142"/>
      <c r="B371" s="1680"/>
      <c r="C371" s="1680"/>
      <c r="D371" s="1680"/>
      <c r="E371" s="1680"/>
      <c r="F371" s="1680"/>
      <c r="G371" s="1680"/>
      <c r="H371" s="1680"/>
      <c r="I371" s="1680"/>
      <c r="J371" s="12"/>
      <c r="K371" s="9"/>
      <c r="L371" s="9"/>
      <c r="M371" s="9"/>
      <c r="N371" s="9"/>
      <c r="O371" s="9"/>
      <c r="P371" s="9"/>
      <c r="Q371" s="9"/>
      <c r="R371" s="9"/>
      <c r="S371" s="9"/>
      <c r="T371" s="9"/>
      <c r="U371" s="9"/>
      <c r="V371" s="11"/>
      <c r="W371" s="252"/>
      <c r="X371" s="150"/>
      <c r="AA371" s="74"/>
      <c r="AB371" s="74"/>
      <c r="AJ371" s="81"/>
      <c r="AK371" s="161"/>
      <c r="AL371" s="82"/>
      <c r="AM371" s="81"/>
      <c r="AN371" s="81"/>
      <c r="AO371" s="184"/>
      <c r="AP371" s="184"/>
      <c r="AQ371" s="184"/>
      <c r="AR371" s="157"/>
    </row>
    <row r="372" spans="1:46" ht="11.25" customHeight="1" x14ac:dyDescent="0.2">
      <c r="A372" s="142"/>
      <c r="B372" s="1680" t="s">
        <v>24</v>
      </c>
      <c r="C372" s="1680"/>
      <c r="D372" s="1680"/>
      <c r="E372" s="1680"/>
      <c r="F372" s="1680"/>
      <c r="G372" s="1680"/>
      <c r="H372" s="1680"/>
      <c r="I372" s="1680"/>
      <c r="J372" s="12"/>
      <c r="K372" s="9"/>
      <c r="L372" s="9"/>
      <c r="M372" s="9"/>
      <c r="N372" s="9"/>
      <c r="O372" s="9"/>
      <c r="P372" s="9"/>
      <c r="Q372" s="9"/>
      <c r="R372" s="9"/>
      <c r="S372" s="9"/>
      <c r="T372" s="9"/>
      <c r="U372" s="9"/>
      <c r="V372" s="9"/>
      <c r="W372" s="137"/>
      <c r="X372" s="150"/>
      <c r="AJ372" s="81"/>
      <c r="AK372" s="161"/>
      <c r="AL372" s="82"/>
      <c r="AM372" s="81"/>
      <c r="AN372" s="81"/>
      <c r="AO372" s="184"/>
      <c r="AP372" s="184"/>
      <c r="AQ372" s="184"/>
      <c r="AR372" s="157"/>
      <c r="AS372" s="76"/>
      <c r="AT372" s="76"/>
    </row>
    <row r="373" spans="1:46" ht="11.25" customHeight="1" x14ac:dyDescent="0.2">
      <c r="A373" s="142"/>
      <c r="B373" s="1680"/>
      <c r="C373" s="1680"/>
      <c r="D373" s="1680"/>
      <c r="E373" s="1680"/>
      <c r="F373" s="1680"/>
      <c r="G373" s="1680"/>
      <c r="H373" s="1680"/>
      <c r="I373" s="1680"/>
      <c r="J373" s="12"/>
      <c r="K373" s="9"/>
      <c r="L373" s="9"/>
      <c r="M373" s="9"/>
      <c r="N373" s="9"/>
      <c r="O373" s="9"/>
      <c r="P373" s="9"/>
      <c r="Q373" s="9"/>
      <c r="R373" s="9"/>
      <c r="S373" s="9"/>
      <c r="T373" s="9"/>
      <c r="U373" s="9"/>
      <c r="V373" s="9"/>
      <c r="W373" s="137"/>
      <c r="X373" s="150"/>
      <c r="AJ373" s="81"/>
      <c r="AK373" s="161"/>
      <c r="AL373" s="82"/>
      <c r="AM373" s="81"/>
      <c r="AN373" s="81"/>
      <c r="AO373" s="184"/>
      <c r="AP373" s="184"/>
      <c r="AQ373" s="184"/>
      <c r="AR373" s="157"/>
    </row>
    <row r="374" spans="1:46" ht="11.25" customHeight="1" x14ac:dyDescent="0.2">
      <c r="A374" s="142"/>
      <c r="B374" s="1680" t="s">
        <v>22</v>
      </c>
      <c r="C374" s="1680"/>
      <c r="D374" s="1680"/>
      <c r="E374" s="1680"/>
      <c r="F374" s="1680"/>
      <c r="G374" s="1680"/>
      <c r="H374" s="1680"/>
      <c r="I374" s="1680"/>
      <c r="J374" s="12"/>
      <c r="K374" s="9"/>
      <c r="L374" s="9"/>
      <c r="M374" s="9"/>
      <c r="N374" s="9"/>
      <c r="O374" s="9"/>
      <c r="P374" s="9"/>
      <c r="Q374" s="9"/>
      <c r="R374" s="9"/>
      <c r="S374" s="9"/>
      <c r="T374" s="9"/>
      <c r="U374" s="9"/>
      <c r="V374" s="9"/>
      <c r="W374" s="137"/>
      <c r="X374" s="150"/>
      <c r="AJ374" s="81"/>
      <c r="AK374" s="161"/>
      <c r="AL374" s="82"/>
      <c r="AM374" s="81"/>
      <c r="AN374" s="81"/>
      <c r="AO374" s="184"/>
      <c r="AP374" s="184"/>
      <c r="AQ374" s="184"/>
      <c r="AR374" s="157"/>
      <c r="AS374" s="76"/>
      <c r="AT374" s="76"/>
    </row>
    <row r="375" spans="1:46" ht="11.25" customHeight="1" x14ac:dyDescent="0.2">
      <c r="A375" s="142"/>
      <c r="B375" s="1680"/>
      <c r="C375" s="1680"/>
      <c r="D375" s="1680"/>
      <c r="E375" s="1680"/>
      <c r="F375" s="1680"/>
      <c r="G375" s="1680"/>
      <c r="H375" s="1680"/>
      <c r="I375" s="1680"/>
      <c r="J375" s="12"/>
      <c r="K375" s="9"/>
      <c r="L375" s="9"/>
      <c r="M375" s="9"/>
      <c r="N375" s="9"/>
      <c r="O375" s="9"/>
      <c r="P375" s="9"/>
      <c r="Q375" s="9"/>
      <c r="R375" s="9"/>
      <c r="S375" s="9"/>
      <c r="T375" s="9"/>
      <c r="U375" s="9"/>
      <c r="V375" s="9"/>
      <c r="W375" s="137"/>
      <c r="X375" s="150"/>
      <c r="AJ375" s="81"/>
      <c r="AK375" s="161"/>
      <c r="AL375" s="82"/>
      <c r="AM375" s="81"/>
      <c r="AN375" s="81"/>
      <c r="AO375" s="184"/>
      <c r="AP375" s="184"/>
      <c r="AQ375" s="184"/>
      <c r="AR375" s="157"/>
    </row>
    <row r="376" spans="1:46" ht="11.25" customHeight="1" x14ac:dyDescent="0.2">
      <c r="A376" s="142"/>
      <c r="B376" s="1680" t="s">
        <v>25</v>
      </c>
      <c r="C376" s="1680"/>
      <c r="D376" s="1680"/>
      <c r="E376" s="1680"/>
      <c r="F376" s="1680"/>
      <c r="G376" s="1680"/>
      <c r="H376" s="1680"/>
      <c r="I376" s="1680"/>
      <c r="J376" s="12"/>
      <c r="K376" s="9"/>
      <c r="L376" s="9"/>
      <c r="M376" s="9"/>
      <c r="N376" s="9"/>
      <c r="O376" s="9"/>
      <c r="P376" s="9"/>
      <c r="Q376" s="9"/>
      <c r="R376" s="9"/>
      <c r="S376" s="9"/>
      <c r="T376" s="9"/>
      <c r="U376" s="9"/>
      <c r="V376" s="9"/>
      <c r="W376" s="137"/>
      <c r="X376" s="150"/>
      <c r="AJ376" s="81"/>
      <c r="AK376" s="161"/>
      <c r="AL376" s="82"/>
      <c r="AM376" s="81"/>
      <c r="AN376" s="81"/>
      <c r="AO376" s="184"/>
      <c r="AP376" s="184"/>
      <c r="AQ376" s="184"/>
      <c r="AR376" s="157"/>
      <c r="AS376" s="76"/>
      <c r="AT376" s="76"/>
    </row>
    <row r="377" spans="1:46" ht="11.25" customHeight="1" x14ac:dyDescent="0.2">
      <c r="A377" s="142"/>
      <c r="B377" s="1680"/>
      <c r="C377" s="1680"/>
      <c r="D377" s="1680"/>
      <c r="E377" s="1680"/>
      <c r="F377" s="1680"/>
      <c r="G377" s="1680"/>
      <c r="H377" s="1680"/>
      <c r="I377" s="1680"/>
      <c r="J377" s="12"/>
      <c r="K377" s="9"/>
      <c r="L377" s="9"/>
      <c r="M377" s="9"/>
      <c r="N377" s="9"/>
      <c r="O377" s="9"/>
      <c r="P377" s="9"/>
      <c r="Q377" s="9"/>
      <c r="R377" s="9"/>
      <c r="S377" s="9"/>
      <c r="T377" s="9"/>
      <c r="U377" s="9"/>
      <c r="V377" s="9"/>
      <c r="W377" s="137"/>
      <c r="X377" s="150"/>
      <c r="AJ377" s="81"/>
      <c r="AK377" s="161"/>
      <c r="AL377" s="82"/>
      <c r="AM377" s="81"/>
      <c r="AN377" s="81"/>
      <c r="AO377" s="184"/>
      <c r="AP377" s="184"/>
      <c r="AQ377" s="184"/>
      <c r="AR377" s="157"/>
    </row>
    <row r="378" spans="1:46" ht="11.25" customHeight="1" x14ac:dyDescent="0.2">
      <c r="A378" s="142"/>
      <c r="B378" s="1680" t="s">
        <v>18</v>
      </c>
      <c r="C378" s="1680"/>
      <c r="D378" s="1680"/>
      <c r="E378" s="1680"/>
      <c r="F378" s="1680"/>
      <c r="G378" s="1680"/>
      <c r="H378" s="1680"/>
      <c r="I378" s="1680"/>
      <c r="J378" s="12"/>
      <c r="K378" s="9"/>
      <c r="L378" s="9"/>
      <c r="M378" s="9"/>
      <c r="N378" s="9"/>
      <c r="O378" s="9"/>
      <c r="P378" s="9"/>
      <c r="Q378" s="9"/>
      <c r="R378" s="9"/>
      <c r="S378" s="9"/>
      <c r="T378" s="9"/>
      <c r="U378" s="9"/>
      <c r="V378" s="9"/>
      <c r="W378" s="137"/>
      <c r="X378" s="150"/>
      <c r="AJ378" s="81"/>
      <c r="AK378" s="161"/>
      <c r="AL378" s="82"/>
      <c r="AM378" s="81"/>
      <c r="AN378" s="81"/>
      <c r="AO378" s="184"/>
      <c r="AP378" s="184"/>
      <c r="AQ378" s="184"/>
      <c r="AR378" s="157"/>
    </row>
    <row r="379" spans="1:46" ht="11.25" customHeight="1" x14ac:dyDescent="0.2">
      <c r="A379" s="142"/>
      <c r="B379" s="1680"/>
      <c r="C379" s="1680"/>
      <c r="D379" s="1680"/>
      <c r="E379" s="1680"/>
      <c r="F379" s="1680"/>
      <c r="G379" s="1680"/>
      <c r="H379" s="1680"/>
      <c r="I379" s="1680"/>
      <c r="J379" s="12"/>
      <c r="K379" s="9"/>
      <c r="L379" s="9"/>
      <c r="M379" s="9"/>
      <c r="N379" s="9"/>
      <c r="O379" s="9"/>
      <c r="P379" s="9"/>
      <c r="Q379" s="9"/>
      <c r="R379" s="9"/>
      <c r="S379" s="9"/>
      <c r="T379" s="9"/>
      <c r="U379" s="9"/>
      <c r="V379" s="9"/>
      <c r="W379" s="137"/>
      <c r="X379" s="150"/>
      <c r="AJ379" s="81"/>
      <c r="AK379" s="161"/>
      <c r="AL379" s="82"/>
      <c r="AM379" s="81"/>
      <c r="AN379" s="81"/>
      <c r="AO379" s="184"/>
      <c r="AP379" s="184"/>
      <c r="AQ379" s="184"/>
      <c r="AR379" s="157"/>
    </row>
    <row r="380" spans="1:46" ht="11.25" customHeight="1" x14ac:dyDescent="0.2">
      <c r="A380" s="142"/>
      <c r="B380" s="1680" t="s">
        <v>19</v>
      </c>
      <c r="C380" s="1680"/>
      <c r="D380" s="1680"/>
      <c r="E380" s="1680"/>
      <c r="F380" s="1680"/>
      <c r="G380" s="1680"/>
      <c r="H380" s="1680"/>
      <c r="I380" s="1680"/>
      <c r="J380" s="12"/>
      <c r="K380" s="9"/>
      <c r="L380" s="9"/>
      <c r="M380" s="9"/>
      <c r="N380" s="9"/>
      <c r="O380" s="9"/>
      <c r="P380" s="9"/>
      <c r="Q380" s="9"/>
      <c r="R380" s="9"/>
      <c r="S380" s="9"/>
      <c r="T380" s="9"/>
      <c r="U380" s="9"/>
      <c r="V380" s="9"/>
      <c r="W380" s="137"/>
      <c r="X380" s="150"/>
      <c r="AJ380" s="81"/>
      <c r="AK380" s="161"/>
      <c r="AL380" s="82"/>
      <c r="AM380" s="81"/>
      <c r="AN380" s="81"/>
      <c r="AO380" s="184"/>
      <c r="AP380" s="184"/>
      <c r="AQ380" s="184"/>
      <c r="AR380" s="157"/>
    </row>
    <row r="381" spans="1:46" ht="11.25" customHeight="1" x14ac:dyDescent="0.2">
      <c r="A381" s="142"/>
      <c r="B381" s="1680"/>
      <c r="C381" s="1680"/>
      <c r="D381" s="1680"/>
      <c r="E381" s="1680"/>
      <c r="F381" s="1680"/>
      <c r="G381" s="1680"/>
      <c r="H381" s="1680"/>
      <c r="I381" s="1680"/>
      <c r="J381" s="12"/>
      <c r="K381" s="9"/>
      <c r="L381" s="9"/>
      <c r="M381" s="9"/>
      <c r="N381" s="9"/>
      <c r="O381" s="9"/>
      <c r="P381" s="9"/>
      <c r="Q381" s="9"/>
      <c r="R381" s="9"/>
      <c r="S381" s="9"/>
      <c r="T381" s="9"/>
      <c r="U381" s="9"/>
      <c r="V381" s="9"/>
      <c r="W381" s="137"/>
      <c r="X381" s="150"/>
      <c r="AJ381" s="81"/>
      <c r="AK381" s="161"/>
      <c r="AL381" s="82"/>
      <c r="AM381" s="81"/>
      <c r="AN381" s="81"/>
      <c r="AO381" s="184"/>
      <c r="AP381" s="184"/>
      <c r="AQ381" s="184"/>
      <c r="AR381" s="157"/>
    </row>
    <row r="382" spans="1:46" ht="11.25" customHeight="1" x14ac:dyDescent="0.2">
      <c r="A382" s="142"/>
      <c r="B382" s="1680" t="s">
        <v>20</v>
      </c>
      <c r="C382" s="1680"/>
      <c r="D382" s="1680"/>
      <c r="E382" s="1680"/>
      <c r="F382" s="1680"/>
      <c r="G382" s="1680"/>
      <c r="H382" s="1680"/>
      <c r="I382" s="1680"/>
      <c r="J382" s="12"/>
      <c r="K382" s="9"/>
      <c r="L382" s="9"/>
      <c r="M382" s="9"/>
      <c r="N382" s="9"/>
      <c r="O382" s="9"/>
      <c r="P382" s="9"/>
      <c r="Q382" s="9"/>
      <c r="R382" s="9"/>
      <c r="S382" s="9"/>
      <c r="T382" s="9"/>
      <c r="U382" s="9"/>
      <c r="V382" s="9"/>
      <c r="W382" s="137"/>
      <c r="X382" s="150"/>
      <c r="AJ382" s="81"/>
      <c r="AK382" s="161"/>
      <c r="AL382" s="82"/>
      <c r="AM382" s="81"/>
      <c r="AN382" s="81"/>
      <c r="AO382" s="184"/>
      <c r="AP382" s="184"/>
      <c r="AQ382" s="184"/>
      <c r="AR382" s="157"/>
    </row>
    <row r="383" spans="1:46" ht="11.25" customHeight="1" x14ac:dyDescent="0.2">
      <c r="A383" s="142"/>
      <c r="B383" s="1680"/>
      <c r="C383" s="1680"/>
      <c r="D383" s="1680"/>
      <c r="E383" s="1680"/>
      <c r="F383" s="1680"/>
      <c r="G383" s="1680"/>
      <c r="H383" s="1680"/>
      <c r="I383" s="1680"/>
      <c r="J383" s="12"/>
      <c r="K383" s="9"/>
      <c r="L383" s="9"/>
      <c r="M383" s="9"/>
      <c r="N383" s="9"/>
      <c r="O383" s="9"/>
      <c r="P383" s="9"/>
      <c r="Q383" s="9"/>
      <c r="R383" s="9"/>
      <c r="S383" s="9"/>
      <c r="T383" s="9"/>
      <c r="U383" s="9"/>
      <c r="V383" s="9"/>
      <c r="W383" s="137"/>
      <c r="X383" s="150"/>
      <c r="AJ383" s="81"/>
      <c r="AK383" s="161"/>
      <c r="AL383" s="82"/>
      <c r="AM383" s="81"/>
      <c r="AN383" s="81"/>
      <c r="AO383" s="184"/>
      <c r="AP383" s="184"/>
      <c r="AQ383" s="184"/>
      <c r="AR383" s="157"/>
    </row>
    <row r="384" spans="1:46" ht="11.25" customHeight="1" x14ac:dyDescent="0.2">
      <c r="A384" s="142"/>
      <c r="B384" s="1680" t="s">
        <v>26</v>
      </c>
      <c r="C384" s="1680"/>
      <c r="D384" s="1680"/>
      <c r="E384" s="1680"/>
      <c r="F384" s="1680"/>
      <c r="G384" s="1680"/>
      <c r="H384" s="1680"/>
      <c r="I384" s="1680"/>
      <c r="J384" s="12"/>
      <c r="K384" s="9"/>
      <c r="L384" s="9"/>
      <c r="M384" s="9"/>
      <c r="N384" s="9"/>
      <c r="O384" s="9"/>
      <c r="P384" s="9"/>
      <c r="Q384" s="9"/>
      <c r="R384" s="9"/>
      <c r="S384" s="9"/>
      <c r="T384" s="9"/>
      <c r="U384" s="9"/>
      <c r="V384" s="9"/>
      <c r="W384" s="137"/>
      <c r="X384" s="150"/>
      <c r="AJ384" s="81"/>
      <c r="AK384" s="161"/>
      <c r="AL384" s="82"/>
      <c r="AM384" s="81"/>
      <c r="AN384" s="81"/>
      <c r="AO384" s="184"/>
      <c r="AP384" s="184"/>
      <c r="AQ384" s="184"/>
      <c r="AR384" s="157"/>
    </row>
    <row r="385" spans="1:58" ht="11.25" customHeight="1" x14ac:dyDescent="0.2">
      <c r="A385" s="142"/>
      <c r="B385" s="1680"/>
      <c r="C385" s="1680"/>
      <c r="D385" s="1680"/>
      <c r="E385" s="1680"/>
      <c r="F385" s="1680"/>
      <c r="G385" s="1680"/>
      <c r="H385" s="1680"/>
      <c r="I385" s="1680"/>
      <c r="J385" s="12"/>
      <c r="K385" s="9"/>
      <c r="L385" s="9"/>
      <c r="M385" s="9"/>
      <c r="N385" s="9"/>
      <c r="O385" s="9"/>
      <c r="P385" s="9"/>
      <c r="Q385" s="9"/>
      <c r="R385" s="9"/>
      <c r="S385" s="9"/>
      <c r="T385" s="9"/>
      <c r="U385" s="9"/>
      <c r="V385" s="9"/>
      <c r="W385" s="137"/>
      <c r="X385" s="150"/>
      <c r="AJ385" s="81"/>
      <c r="AK385" s="161"/>
      <c r="AL385" s="82"/>
      <c r="AM385" s="81"/>
      <c r="AN385" s="81"/>
      <c r="AO385" s="184"/>
      <c r="AP385" s="184"/>
      <c r="AQ385" s="184"/>
      <c r="AR385" s="157"/>
    </row>
    <row r="386" spans="1:58" ht="11.25" customHeight="1" x14ac:dyDescent="0.2">
      <c r="A386" s="142"/>
      <c r="B386" s="1680" t="s">
        <v>21</v>
      </c>
      <c r="C386" s="1680"/>
      <c r="D386" s="1680"/>
      <c r="E386" s="1680"/>
      <c r="F386" s="1680"/>
      <c r="G386" s="1680"/>
      <c r="H386" s="1680"/>
      <c r="I386" s="1680"/>
      <c r="J386" s="12"/>
      <c r="K386" s="9"/>
      <c r="L386" s="9"/>
      <c r="M386" s="9"/>
      <c r="N386" s="9"/>
      <c r="O386" s="9"/>
      <c r="P386" s="9"/>
      <c r="Q386" s="9"/>
      <c r="R386" s="9"/>
      <c r="S386" s="9"/>
      <c r="T386" s="9"/>
      <c r="U386" s="9"/>
      <c r="V386" s="9"/>
      <c r="W386" s="137"/>
      <c r="X386" s="150"/>
      <c r="AJ386" s="81"/>
      <c r="AK386" s="161"/>
      <c r="AL386" s="82"/>
      <c r="AM386" s="81"/>
      <c r="AN386" s="81"/>
      <c r="AO386" s="184"/>
      <c r="AP386" s="184"/>
      <c r="AQ386" s="184"/>
      <c r="AR386" s="157"/>
    </row>
    <row r="387" spans="1:58" ht="11.25" customHeight="1" x14ac:dyDescent="0.2">
      <c r="A387" s="142"/>
      <c r="B387" s="1680"/>
      <c r="C387" s="1680"/>
      <c r="D387" s="1680"/>
      <c r="E387" s="1680"/>
      <c r="F387" s="1680"/>
      <c r="G387" s="1680"/>
      <c r="H387" s="1680"/>
      <c r="I387" s="1680"/>
      <c r="J387" s="12"/>
      <c r="K387" s="9"/>
      <c r="L387" s="9"/>
      <c r="M387" s="9"/>
      <c r="N387" s="9"/>
      <c r="O387" s="9"/>
      <c r="P387" s="9"/>
      <c r="Q387" s="9"/>
      <c r="R387" s="9"/>
      <c r="S387" s="9"/>
      <c r="T387" s="9"/>
      <c r="U387" s="9"/>
      <c r="V387" s="9"/>
      <c r="W387" s="137"/>
      <c r="X387" s="150"/>
      <c r="AJ387" s="81"/>
      <c r="AK387" s="161"/>
      <c r="AL387" s="82"/>
      <c r="AM387" s="81"/>
      <c r="AN387" s="81"/>
      <c r="AO387" s="184"/>
      <c r="AP387" s="184"/>
      <c r="AQ387" s="184"/>
      <c r="AR387" s="157"/>
    </row>
    <row r="388" spans="1:58" ht="11.25" customHeight="1" x14ac:dyDescent="0.2">
      <c r="A388" s="142"/>
      <c r="B388" s="1680" t="s">
        <v>905</v>
      </c>
      <c r="C388" s="1680"/>
      <c r="D388" s="1680"/>
      <c r="E388" s="1680"/>
      <c r="F388" s="1680"/>
      <c r="G388" s="1680"/>
      <c r="H388" s="1680"/>
      <c r="I388" s="1680"/>
      <c r="J388" s="12"/>
      <c r="K388" s="9"/>
      <c r="L388" s="9"/>
      <c r="M388" s="9"/>
      <c r="N388" s="9"/>
      <c r="O388" s="9"/>
      <c r="P388" s="9"/>
      <c r="Q388" s="9"/>
      <c r="R388" s="9"/>
      <c r="S388" s="9"/>
      <c r="T388" s="9"/>
      <c r="U388" s="9"/>
      <c r="V388" s="9"/>
      <c r="W388" s="137"/>
      <c r="X388" s="150"/>
      <c r="AJ388" s="81"/>
      <c r="AK388" s="161"/>
      <c r="AL388" s="82"/>
      <c r="AM388" s="81"/>
      <c r="AN388" s="81"/>
      <c r="AO388" s="184"/>
      <c r="AP388" s="184"/>
      <c r="AQ388" s="184"/>
      <c r="AR388" s="157"/>
    </row>
    <row r="389" spans="1:58" ht="11.25" customHeight="1" x14ac:dyDescent="0.2">
      <c r="A389" s="142"/>
      <c r="B389" s="1680"/>
      <c r="C389" s="1680"/>
      <c r="D389" s="1680"/>
      <c r="E389" s="1680"/>
      <c r="F389" s="1680"/>
      <c r="G389" s="1680"/>
      <c r="H389" s="1680"/>
      <c r="I389" s="1680"/>
      <c r="J389" s="12"/>
      <c r="K389" s="9"/>
      <c r="L389" s="9"/>
      <c r="M389" s="9"/>
      <c r="N389" s="9"/>
      <c r="O389" s="9"/>
      <c r="P389" s="9"/>
      <c r="Q389" s="9"/>
      <c r="R389" s="9"/>
      <c r="S389" s="9"/>
      <c r="T389" s="9"/>
      <c r="U389" s="9"/>
      <c r="V389" s="9"/>
      <c r="W389" s="137"/>
      <c r="X389" s="150"/>
      <c r="AJ389" s="81"/>
      <c r="AK389" s="161"/>
      <c r="AL389" s="82"/>
      <c r="AM389" s="81"/>
      <c r="AN389" s="81"/>
      <c r="AO389" s="184"/>
      <c r="AP389" s="184"/>
      <c r="AQ389" s="184"/>
      <c r="AR389" s="157"/>
    </row>
    <row r="390" spans="1:58" ht="11.25" customHeight="1" x14ac:dyDescent="0.2">
      <c r="A390" s="142"/>
      <c r="B390" s="1680" t="s">
        <v>32</v>
      </c>
      <c r="C390" s="1680"/>
      <c r="D390" s="1680"/>
      <c r="E390" s="1680"/>
      <c r="F390" s="1680"/>
      <c r="G390" s="1680"/>
      <c r="H390" s="1680"/>
      <c r="I390" s="1680"/>
      <c r="J390" s="12"/>
      <c r="K390" s="9"/>
      <c r="L390" s="9"/>
      <c r="M390" s="9"/>
      <c r="N390" s="9"/>
      <c r="O390" s="9"/>
      <c r="P390" s="9"/>
      <c r="Q390" s="9"/>
      <c r="R390" s="9"/>
      <c r="S390" s="9"/>
      <c r="T390" s="9"/>
      <c r="U390" s="9"/>
      <c r="V390" s="9"/>
      <c r="W390" s="137"/>
      <c r="X390" s="150"/>
      <c r="AJ390" s="81"/>
      <c r="AK390" s="161"/>
      <c r="AL390" s="82"/>
      <c r="AM390" s="81"/>
      <c r="AN390" s="81"/>
      <c r="AO390" s="184"/>
      <c r="AP390" s="184"/>
      <c r="AQ390" s="184"/>
      <c r="AR390" s="157"/>
    </row>
    <row r="391" spans="1:58" ht="11.25" customHeight="1" x14ac:dyDescent="0.2">
      <c r="A391" s="142"/>
      <c r="B391" s="1680"/>
      <c r="C391" s="1680"/>
      <c r="D391" s="1680"/>
      <c r="E391" s="1680"/>
      <c r="F391" s="1680"/>
      <c r="G391" s="1680"/>
      <c r="H391" s="1680"/>
      <c r="I391" s="1680"/>
      <c r="J391" s="12"/>
      <c r="K391" s="9"/>
      <c r="L391" s="9"/>
      <c r="M391" s="9"/>
      <c r="N391" s="9"/>
      <c r="O391" s="9"/>
      <c r="P391" s="9"/>
      <c r="Q391" s="9"/>
      <c r="R391" s="9"/>
      <c r="S391" s="9"/>
      <c r="T391" s="9"/>
      <c r="U391" s="9"/>
      <c r="V391" s="9"/>
      <c r="W391" s="137"/>
      <c r="X391" s="150"/>
      <c r="AJ391" s="81"/>
      <c r="AK391" s="161"/>
      <c r="AL391" s="82"/>
      <c r="AM391" s="81"/>
      <c r="AN391" s="81"/>
      <c r="AO391" s="184"/>
      <c r="AP391" s="184"/>
      <c r="AQ391" s="184"/>
      <c r="AR391" s="157"/>
    </row>
    <row r="392" spans="1:58" ht="11.25" customHeight="1" x14ac:dyDescent="0.2">
      <c r="A392" s="142"/>
      <c r="B392" s="1680" t="s">
        <v>666</v>
      </c>
      <c r="C392" s="1680"/>
      <c r="D392" s="1680"/>
      <c r="E392" s="1680"/>
      <c r="F392" s="1680"/>
      <c r="G392" s="1680"/>
      <c r="H392" s="1680"/>
      <c r="I392" s="1680"/>
      <c r="J392" s="12"/>
      <c r="K392" s="9"/>
      <c r="L392" s="9"/>
      <c r="M392" s="9"/>
      <c r="N392" s="9"/>
      <c r="O392" s="9"/>
      <c r="P392" s="9"/>
      <c r="Q392" s="9"/>
      <c r="R392" s="9"/>
      <c r="S392" s="9"/>
      <c r="T392" s="9"/>
      <c r="U392" s="9"/>
      <c r="V392" s="9"/>
      <c r="W392" s="137"/>
      <c r="X392" s="150"/>
      <c r="AJ392" s="81"/>
      <c r="AK392" s="161"/>
      <c r="AL392" s="82"/>
      <c r="AM392" s="81"/>
      <c r="AN392" s="81"/>
      <c r="AO392" s="184"/>
      <c r="AP392" s="184"/>
      <c r="AQ392" s="184"/>
      <c r="AR392" s="157"/>
    </row>
    <row r="393" spans="1:58" ht="11.25" customHeight="1" x14ac:dyDescent="0.2">
      <c r="A393" s="142"/>
      <c r="B393" s="1680"/>
      <c r="C393" s="1680"/>
      <c r="D393" s="1680"/>
      <c r="E393" s="1680"/>
      <c r="F393" s="1680"/>
      <c r="G393" s="1680"/>
      <c r="H393" s="1680"/>
      <c r="I393" s="1680"/>
      <c r="J393" s="12"/>
      <c r="K393" s="9"/>
      <c r="L393" s="9"/>
      <c r="M393" s="9"/>
      <c r="N393" s="9"/>
      <c r="O393" s="9"/>
      <c r="P393" s="9"/>
      <c r="Q393" s="9"/>
      <c r="R393" s="9"/>
      <c r="S393" s="9"/>
      <c r="T393" s="9"/>
      <c r="U393" s="9"/>
      <c r="V393" s="9"/>
      <c r="W393" s="137"/>
      <c r="X393" s="150"/>
      <c r="AJ393" s="81"/>
      <c r="AK393" s="161"/>
      <c r="AL393" s="82"/>
      <c r="AM393" s="81"/>
      <c r="AN393" s="81"/>
      <c r="AO393" s="184"/>
      <c r="AP393" s="184"/>
      <c r="AQ393" s="184"/>
      <c r="AR393" s="157"/>
    </row>
    <row r="394" spans="1:58" ht="11.25" customHeight="1" x14ac:dyDescent="0.2">
      <c r="A394" s="142"/>
      <c r="B394" s="1680" t="s">
        <v>906</v>
      </c>
      <c r="C394" s="1680"/>
      <c r="D394" s="1680"/>
      <c r="E394" s="1680"/>
      <c r="F394" s="1680"/>
      <c r="G394" s="1680"/>
      <c r="H394" s="1680"/>
      <c r="I394" s="1680"/>
      <c r="J394" s="12"/>
      <c r="K394" s="9"/>
      <c r="L394" s="9"/>
      <c r="M394" s="9"/>
      <c r="N394" s="9"/>
      <c r="O394" s="9"/>
      <c r="P394" s="9"/>
      <c r="Q394" s="9"/>
      <c r="R394" s="9"/>
      <c r="S394" s="9"/>
      <c r="T394" s="9"/>
      <c r="U394" s="9"/>
      <c r="V394" s="9"/>
      <c r="W394" s="137"/>
      <c r="X394" s="150"/>
      <c r="AJ394" s="81"/>
      <c r="AK394" s="161"/>
      <c r="AL394" s="82"/>
      <c r="AM394" s="81"/>
      <c r="AN394" s="81"/>
      <c r="AO394" s="184"/>
      <c r="AP394" s="184"/>
      <c r="AQ394" s="184"/>
      <c r="AR394" s="157"/>
    </row>
    <row r="395" spans="1:58" ht="11.25" customHeight="1" x14ac:dyDescent="0.2">
      <c r="A395" s="142"/>
      <c r="B395" s="1680"/>
      <c r="C395" s="1680"/>
      <c r="D395" s="1680"/>
      <c r="E395" s="1680"/>
      <c r="F395" s="1680"/>
      <c r="G395" s="1680"/>
      <c r="H395" s="1680"/>
      <c r="I395" s="1680"/>
      <c r="J395" s="12"/>
      <c r="K395" s="9"/>
      <c r="L395" s="9"/>
      <c r="M395" s="9"/>
      <c r="N395" s="9"/>
      <c r="O395" s="9"/>
      <c r="P395" s="9"/>
      <c r="Q395" s="9"/>
      <c r="R395" s="9"/>
      <c r="S395" s="9"/>
      <c r="T395" s="9"/>
      <c r="U395" s="9"/>
      <c r="V395" s="9"/>
      <c r="W395" s="137"/>
      <c r="X395" s="150"/>
      <c r="AJ395" s="81"/>
      <c r="AK395" s="161"/>
      <c r="AL395" s="82"/>
      <c r="AM395" s="81"/>
      <c r="AN395" s="81"/>
      <c r="AO395" s="184"/>
      <c r="AP395" s="184"/>
      <c r="AQ395" s="184"/>
      <c r="AR395" s="157"/>
    </row>
    <row r="396" spans="1:58" ht="11.25" customHeight="1" x14ac:dyDescent="0.2">
      <c r="A396" s="142"/>
      <c r="B396" s="1680" t="s">
        <v>672</v>
      </c>
      <c r="C396" s="1680"/>
      <c r="D396" s="1680"/>
      <c r="E396" s="1680"/>
      <c r="F396" s="1680"/>
      <c r="G396" s="1680"/>
      <c r="H396" s="1680"/>
      <c r="I396" s="1680"/>
      <c r="J396" s="12"/>
      <c r="K396" s="9"/>
      <c r="L396" s="9"/>
      <c r="M396" s="9"/>
      <c r="N396" s="9"/>
      <c r="O396" s="9"/>
      <c r="P396" s="9"/>
      <c r="Q396" s="9"/>
      <c r="R396" s="9"/>
      <c r="S396" s="9"/>
      <c r="T396" s="9"/>
      <c r="U396" s="9"/>
      <c r="V396" s="9"/>
      <c r="W396" s="137"/>
      <c r="X396" s="150"/>
      <c r="AJ396" s="81"/>
      <c r="AK396" s="161"/>
      <c r="AL396" s="82"/>
      <c r="AM396" s="81"/>
      <c r="AN396" s="81"/>
      <c r="AO396" s="184"/>
      <c r="AP396" s="184"/>
      <c r="AQ396" s="184"/>
      <c r="AR396" s="157"/>
    </row>
    <row r="397" spans="1:58" s="80" customFormat="1" ht="11.25" customHeight="1" x14ac:dyDescent="0.2">
      <c r="A397" s="142"/>
      <c r="B397" s="1680"/>
      <c r="C397" s="1680"/>
      <c r="D397" s="1680"/>
      <c r="E397" s="1680"/>
      <c r="F397" s="1680"/>
      <c r="G397" s="1680"/>
      <c r="H397" s="1680"/>
      <c r="I397" s="1680"/>
      <c r="J397" s="12"/>
      <c r="K397" s="9"/>
      <c r="L397" s="9"/>
      <c r="M397" s="9"/>
      <c r="N397" s="9"/>
      <c r="O397" s="9"/>
      <c r="P397" s="9"/>
      <c r="Q397" s="9"/>
      <c r="R397" s="9"/>
      <c r="S397" s="9"/>
      <c r="T397" s="9"/>
      <c r="U397" s="9"/>
      <c r="V397" s="9"/>
      <c r="W397" s="137"/>
      <c r="X397" s="150"/>
      <c r="Y397" s="81"/>
      <c r="Z397" s="81"/>
      <c r="AA397" s="81"/>
      <c r="AB397" s="81"/>
      <c r="AC397" s="81"/>
      <c r="AD397" s="81"/>
      <c r="AE397" s="81"/>
      <c r="AF397" s="81"/>
      <c r="AG397" s="81"/>
      <c r="AH397" s="81"/>
      <c r="AI397" s="81"/>
      <c r="AJ397" s="81"/>
      <c r="AK397" s="161"/>
      <c r="AL397" s="82"/>
      <c r="AM397" s="81"/>
      <c r="AN397" s="81"/>
      <c r="AO397" s="184"/>
      <c r="AP397" s="184"/>
      <c r="AQ397" s="184"/>
      <c r="AR397" s="157"/>
      <c r="AS397" s="74"/>
      <c r="AT397" s="74"/>
      <c r="AU397" s="74"/>
      <c r="AV397" s="74"/>
      <c r="AW397" s="74"/>
      <c r="AX397" s="74"/>
      <c r="AY397" s="74"/>
      <c r="AZ397" s="74"/>
      <c r="BA397" s="74"/>
      <c r="BB397" s="74"/>
      <c r="BC397" s="74"/>
      <c r="BD397" s="74"/>
      <c r="BE397" s="74"/>
      <c r="BF397" s="74"/>
    </row>
    <row r="398" spans="1:58" ht="11.25" customHeight="1" x14ac:dyDescent="0.2">
      <c r="A398" s="1273"/>
      <c r="B398" s="1274"/>
      <c r="C398" s="1275"/>
      <c r="D398" s="1275"/>
      <c r="E398" s="1275"/>
      <c r="F398" s="1275"/>
      <c r="G398" s="1275"/>
      <c r="H398" s="1275"/>
      <c r="I398" s="1275"/>
      <c r="J398" s="1276"/>
      <c r="K398" s="201"/>
      <c r="L398" s="201"/>
      <c r="M398" s="201"/>
      <c r="N398" s="201"/>
      <c r="O398" s="201"/>
      <c r="P398" s="201"/>
      <c r="Q398" s="201"/>
      <c r="R398" s="201"/>
      <c r="S398" s="201"/>
      <c r="T398" s="201"/>
      <c r="U398" s="201"/>
      <c r="V398" s="201"/>
      <c r="W398" s="1277"/>
      <c r="X398" s="1271"/>
      <c r="Y398" s="200"/>
      <c r="Z398" s="200"/>
      <c r="AA398" s="200"/>
      <c r="AB398" s="200"/>
      <c r="AC398" s="200"/>
      <c r="AD398" s="200"/>
      <c r="AE398" s="200"/>
      <c r="AF398" s="200"/>
      <c r="AG398" s="200"/>
      <c r="AH398" s="200"/>
      <c r="AI398" s="200"/>
      <c r="AJ398" s="200"/>
      <c r="AK398" s="1614"/>
      <c r="AL398" s="1278"/>
      <c r="AM398" s="200"/>
      <c r="AN398" s="200"/>
      <c r="AO398" s="201"/>
      <c r="AP398" s="201"/>
      <c r="AQ398" s="201"/>
      <c r="AR398" s="251"/>
    </row>
    <row r="399" spans="1:58" ht="11.25" customHeight="1" x14ac:dyDescent="0.2">
      <c r="AJ399" s="81"/>
      <c r="AK399" s="81"/>
      <c r="AL399" s="81"/>
      <c r="AM399" s="81"/>
      <c r="AN399" s="81"/>
      <c r="AO399" s="81"/>
      <c r="AR399" s="184"/>
    </row>
    <row r="400" spans="1:58" ht="11.25" customHeight="1" x14ac:dyDescent="0.2">
      <c r="AJ400" s="81"/>
      <c r="AK400" s="81"/>
      <c r="AL400" s="81"/>
      <c r="AM400" s="81"/>
      <c r="AN400" s="81"/>
      <c r="AO400" s="81"/>
      <c r="AR400" s="184"/>
    </row>
    <row r="401" spans="36:44" ht="11.25" customHeight="1" x14ac:dyDescent="0.2">
      <c r="AJ401" s="81"/>
      <c r="AK401" s="81"/>
      <c r="AL401" s="81"/>
      <c r="AM401" s="81"/>
      <c r="AN401" s="81"/>
      <c r="AO401" s="81"/>
      <c r="AR401" s="184"/>
    </row>
    <row r="402" spans="36:44" ht="11.25" customHeight="1" x14ac:dyDescent="0.2">
      <c r="AJ402" s="81"/>
      <c r="AK402" s="81"/>
      <c r="AL402" s="81"/>
      <c r="AM402" s="81"/>
      <c r="AN402" s="81"/>
      <c r="AO402" s="81"/>
      <c r="AR402" s="184"/>
    </row>
    <row r="403" spans="36:44" ht="11.25" customHeight="1" x14ac:dyDescent="0.2">
      <c r="AJ403" s="81"/>
      <c r="AK403" s="81"/>
      <c r="AL403" s="81"/>
      <c r="AM403" s="81"/>
      <c r="AN403" s="81"/>
      <c r="AO403" s="81"/>
      <c r="AR403" s="184"/>
    </row>
    <row r="404" spans="36:44" ht="11.25" customHeight="1" x14ac:dyDescent="0.2">
      <c r="AJ404" s="81"/>
      <c r="AK404" s="81"/>
      <c r="AL404" s="81"/>
      <c r="AM404" s="81"/>
      <c r="AN404" s="81"/>
      <c r="AO404" s="81"/>
      <c r="AR404" s="184"/>
    </row>
    <row r="405" spans="36:44" ht="11.25" customHeight="1" x14ac:dyDescent="0.2">
      <c r="AJ405" s="81"/>
      <c r="AK405" s="81"/>
      <c r="AL405" s="81"/>
      <c r="AM405" s="81"/>
      <c r="AN405" s="81"/>
      <c r="AO405" s="81"/>
      <c r="AR405" s="184"/>
    </row>
    <row r="406" spans="36:44" ht="11.25" customHeight="1" x14ac:dyDescent="0.2">
      <c r="AJ406" s="81"/>
      <c r="AK406" s="81"/>
      <c r="AL406" s="81"/>
      <c r="AM406" s="81"/>
      <c r="AN406" s="81"/>
      <c r="AO406" s="81"/>
      <c r="AR406" s="184"/>
    </row>
    <row r="407" spans="36:44" ht="11.25" customHeight="1" x14ac:dyDescent="0.2">
      <c r="AJ407" s="81"/>
      <c r="AK407" s="81"/>
      <c r="AL407" s="81"/>
      <c r="AM407" s="81"/>
      <c r="AN407" s="81"/>
      <c r="AO407" s="81"/>
      <c r="AR407" s="184"/>
    </row>
    <row r="408" spans="36:44" ht="11.25" customHeight="1" x14ac:dyDescent="0.2">
      <c r="AJ408" s="81"/>
      <c r="AK408" s="81"/>
      <c r="AL408" s="81"/>
      <c r="AM408" s="81"/>
      <c r="AN408" s="81"/>
      <c r="AO408" s="81"/>
      <c r="AR408" s="184"/>
    </row>
    <row r="409" spans="36:44" ht="11.25" customHeight="1" x14ac:dyDescent="0.2">
      <c r="AJ409" s="81"/>
      <c r="AK409" s="81"/>
      <c r="AL409" s="81"/>
      <c r="AM409" s="81"/>
      <c r="AN409" s="81"/>
      <c r="AO409" s="81"/>
      <c r="AR409" s="184"/>
    </row>
    <row r="410" spans="36:44" ht="11.25" customHeight="1" x14ac:dyDescent="0.2">
      <c r="AJ410" s="81"/>
      <c r="AK410" s="81"/>
      <c r="AL410" s="81"/>
      <c r="AM410" s="81"/>
      <c r="AN410" s="81"/>
      <c r="AO410" s="81"/>
      <c r="AR410" s="184"/>
    </row>
    <row r="411" spans="36:44" ht="11.25" customHeight="1" x14ac:dyDescent="0.2">
      <c r="AJ411" s="81"/>
      <c r="AK411" s="81"/>
      <c r="AL411" s="81"/>
      <c r="AM411" s="81"/>
      <c r="AN411" s="81"/>
      <c r="AO411" s="81"/>
      <c r="AR411" s="184"/>
    </row>
    <row r="412" spans="36:44" ht="11.25" customHeight="1" x14ac:dyDescent="0.2">
      <c r="AJ412" s="81"/>
      <c r="AK412" s="81"/>
      <c r="AL412" s="81"/>
      <c r="AM412" s="81"/>
      <c r="AN412" s="81"/>
      <c r="AO412" s="81"/>
      <c r="AR412" s="184"/>
    </row>
    <row r="413" spans="36:44" ht="11.25" customHeight="1" x14ac:dyDescent="0.2">
      <c r="AJ413" s="81"/>
      <c r="AK413" s="81"/>
      <c r="AL413" s="81"/>
      <c r="AM413" s="81"/>
      <c r="AN413" s="81"/>
      <c r="AO413" s="81"/>
      <c r="AR413" s="184"/>
    </row>
    <row r="414" spans="36:44" ht="11.25" customHeight="1" x14ac:dyDescent="0.2">
      <c r="AJ414" s="81"/>
      <c r="AK414" s="81"/>
      <c r="AL414" s="81"/>
      <c r="AM414" s="81"/>
      <c r="AN414" s="81"/>
      <c r="AO414" s="81"/>
      <c r="AR414" s="184"/>
    </row>
    <row r="415" spans="36:44" ht="11.25" customHeight="1" x14ac:dyDescent="0.2">
      <c r="AJ415" s="81"/>
      <c r="AK415" s="81"/>
      <c r="AL415" s="81"/>
      <c r="AM415" s="81"/>
      <c r="AN415" s="81"/>
      <c r="AO415" s="81"/>
      <c r="AR415" s="184"/>
    </row>
    <row r="416" spans="36:44" ht="11.25" customHeight="1" x14ac:dyDescent="0.2">
      <c r="AJ416" s="81"/>
      <c r="AK416" s="81"/>
      <c r="AL416" s="81"/>
      <c r="AM416" s="81"/>
      <c r="AN416" s="81"/>
      <c r="AO416" s="81"/>
      <c r="AR416" s="184"/>
    </row>
    <row r="417" spans="36:44" ht="11.25" customHeight="1" x14ac:dyDescent="0.2">
      <c r="AJ417" s="81"/>
      <c r="AK417" s="81"/>
      <c r="AL417" s="81"/>
      <c r="AM417" s="81"/>
      <c r="AN417" s="81"/>
      <c r="AO417" s="81"/>
      <c r="AR417" s="184"/>
    </row>
    <row r="418" spans="36:44" ht="11.25" customHeight="1" x14ac:dyDescent="0.2">
      <c r="AJ418" s="81"/>
      <c r="AK418" s="81"/>
      <c r="AL418" s="81"/>
      <c r="AM418" s="81"/>
      <c r="AN418" s="81"/>
      <c r="AO418" s="81"/>
      <c r="AR418" s="184"/>
    </row>
    <row r="419" spans="36:44" ht="11.25" customHeight="1" x14ac:dyDescent="0.2">
      <c r="AJ419" s="81"/>
      <c r="AK419" s="81"/>
      <c r="AL419" s="81"/>
      <c r="AM419" s="81"/>
      <c r="AN419" s="81"/>
      <c r="AO419" s="81"/>
      <c r="AR419" s="184"/>
    </row>
    <row r="420" spans="36:44" ht="11.25" customHeight="1" x14ac:dyDescent="0.2">
      <c r="AJ420" s="81"/>
      <c r="AK420" s="81"/>
      <c r="AL420" s="81"/>
      <c r="AM420" s="81"/>
      <c r="AN420" s="81"/>
      <c r="AO420" s="81"/>
      <c r="AR420" s="184"/>
    </row>
    <row r="421" spans="36:44" ht="11.25" customHeight="1" x14ac:dyDescent="0.2">
      <c r="AJ421" s="81"/>
      <c r="AK421" s="81"/>
      <c r="AL421" s="81"/>
      <c r="AM421" s="81"/>
      <c r="AN421" s="81"/>
      <c r="AO421" s="81"/>
      <c r="AR421" s="184"/>
    </row>
    <row r="422" spans="36:44" ht="11.25" customHeight="1" x14ac:dyDescent="0.2">
      <c r="AJ422" s="81"/>
      <c r="AK422" s="81"/>
      <c r="AL422" s="81"/>
      <c r="AM422" s="81"/>
      <c r="AN422" s="81"/>
      <c r="AO422" s="81"/>
      <c r="AR422" s="184"/>
    </row>
    <row r="423" spans="36:44" ht="11.25" customHeight="1" x14ac:dyDescent="0.2">
      <c r="AJ423" s="81"/>
      <c r="AK423" s="81"/>
      <c r="AL423" s="81"/>
      <c r="AM423" s="81"/>
      <c r="AN423" s="81"/>
      <c r="AO423" s="81"/>
      <c r="AR423" s="184"/>
    </row>
    <row r="424" spans="36:44" ht="11.25" customHeight="1" x14ac:dyDescent="0.2">
      <c r="AJ424" s="81"/>
      <c r="AK424" s="81"/>
      <c r="AL424" s="81"/>
      <c r="AM424" s="81"/>
      <c r="AN424" s="81"/>
      <c r="AO424" s="81"/>
      <c r="AR424" s="184"/>
    </row>
    <row r="425" spans="36:44" ht="11.25" customHeight="1" x14ac:dyDescent="0.2">
      <c r="AJ425" s="81"/>
      <c r="AK425" s="81"/>
      <c r="AL425" s="81"/>
      <c r="AM425" s="81"/>
      <c r="AN425" s="81"/>
      <c r="AO425" s="81"/>
      <c r="AR425" s="184"/>
    </row>
    <row r="426" spans="36:44" ht="11.25" customHeight="1" x14ac:dyDescent="0.2">
      <c r="AJ426" s="81"/>
      <c r="AK426" s="81"/>
      <c r="AL426" s="81"/>
      <c r="AM426" s="81"/>
      <c r="AN426" s="81"/>
      <c r="AO426" s="81"/>
      <c r="AR426" s="184"/>
    </row>
    <row r="427" spans="36:44" ht="11.25" customHeight="1" x14ac:dyDescent="0.2">
      <c r="AJ427" s="81"/>
      <c r="AK427" s="81"/>
      <c r="AL427" s="81"/>
      <c r="AM427" s="81"/>
      <c r="AN427" s="81"/>
      <c r="AO427" s="81"/>
      <c r="AR427" s="184"/>
    </row>
    <row r="428" spans="36:44" ht="11.25" customHeight="1" x14ac:dyDescent="0.2">
      <c r="AJ428" s="81"/>
      <c r="AK428" s="81"/>
      <c r="AL428" s="81"/>
      <c r="AM428" s="81"/>
      <c r="AN428" s="81"/>
      <c r="AO428" s="81"/>
      <c r="AR428" s="184"/>
    </row>
    <row r="429" spans="36:44" ht="11.25" customHeight="1" x14ac:dyDescent="0.2">
      <c r="AJ429" s="81"/>
      <c r="AK429" s="81"/>
      <c r="AL429" s="81"/>
      <c r="AM429" s="81"/>
      <c r="AN429" s="81"/>
      <c r="AO429" s="81"/>
      <c r="AR429" s="184"/>
    </row>
    <row r="430" spans="36:44" ht="11.25" customHeight="1" x14ac:dyDescent="0.2">
      <c r="AJ430" s="81"/>
      <c r="AK430" s="81"/>
      <c r="AL430" s="81"/>
      <c r="AM430" s="81"/>
      <c r="AN430" s="81"/>
      <c r="AO430" s="81"/>
      <c r="AR430" s="184"/>
    </row>
    <row r="431" spans="36:44" ht="11.25" customHeight="1" x14ac:dyDescent="0.2">
      <c r="AJ431" s="81"/>
      <c r="AK431" s="81"/>
      <c r="AL431" s="81"/>
      <c r="AM431" s="81"/>
      <c r="AN431" s="81"/>
      <c r="AO431" s="81"/>
      <c r="AR431" s="184"/>
    </row>
    <row r="524" spans="38:38" ht="11.25" customHeight="1" x14ac:dyDescent="0.2">
      <c r="AL524" s="74" t="b">
        <v>1</v>
      </c>
    </row>
  </sheetData>
  <sheetProtection sheet="1" objects="1" scenarios="1"/>
  <mergeCells count="98">
    <mergeCell ref="B5:N6"/>
    <mergeCell ref="Z8:Z9"/>
    <mergeCell ref="D7:H7"/>
    <mergeCell ref="I7:I9"/>
    <mergeCell ref="Q7:Q9"/>
    <mergeCell ref="B7:B9"/>
    <mergeCell ref="K7:P7"/>
    <mergeCell ref="A214:V214"/>
    <mergeCell ref="B110:B111"/>
    <mergeCell ref="J312:K312"/>
    <mergeCell ref="B182:B183"/>
    <mergeCell ref="B146:B147"/>
    <mergeCell ref="B216:I217"/>
    <mergeCell ref="A249:V249"/>
    <mergeCell ref="A250:V250"/>
    <mergeCell ref="B289:B290"/>
    <mergeCell ref="B254:B255"/>
    <mergeCell ref="B218:B219"/>
    <mergeCell ref="J299:K299"/>
    <mergeCell ref="B252:I253"/>
    <mergeCell ref="A285:V285"/>
    <mergeCell ref="A286:V286"/>
    <mergeCell ref="J297:K297"/>
    <mergeCell ref="S7:U8"/>
    <mergeCell ref="O8:P8"/>
    <mergeCell ref="O9:P9"/>
    <mergeCell ref="A38:V38"/>
    <mergeCell ref="A213:V213"/>
    <mergeCell ref="B35:U35"/>
    <mergeCell ref="A37:V37"/>
    <mergeCell ref="AA8:AA9"/>
    <mergeCell ref="B180:I181"/>
    <mergeCell ref="A70:V70"/>
    <mergeCell ref="A71:V71"/>
    <mergeCell ref="A105:V105"/>
    <mergeCell ref="A106:V106"/>
    <mergeCell ref="B108:I109"/>
    <mergeCell ref="A141:V141"/>
    <mergeCell ref="A142:V142"/>
    <mergeCell ref="B144:I145"/>
    <mergeCell ref="A177:V177"/>
    <mergeCell ref="A178:V178"/>
    <mergeCell ref="R64:U64"/>
    <mergeCell ref="M64:P64"/>
    <mergeCell ref="M65:P65"/>
    <mergeCell ref="R65:U65"/>
    <mergeCell ref="J314:K314"/>
    <mergeCell ref="J290:K290"/>
    <mergeCell ref="I289:N289"/>
    <mergeCell ref="J307:K307"/>
    <mergeCell ref="J308:K308"/>
    <mergeCell ref="J309:K309"/>
    <mergeCell ref="J310:K310"/>
    <mergeCell ref="J311:K311"/>
    <mergeCell ref="J313:K313"/>
    <mergeCell ref="J292:K292"/>
    <mergeCell ref="J298:K298"/>
    <mergeCell ref="J302:K302"/>
    <mergeCell ref="J303:K303"/>
    <mergeCell ref="J304:K304"/>
    <mergeCell ref="J305:K305"/>
    <mergeCell ref="J306:K306"/>
    <mergeCell ref="D289:H289"/>
    <mergeCell ref="B288:O288"/>
    <mergeCell ref="J291:K291"/>
    <mergeCell ref="J300:K300"/>
    <mergeCell ref="J301:K301"/>
    <mergeCell ref="J293:K293"/>
    <mergeCell ref="J294:K294"/>
    <mergeCell ref="J295:K295"/>
    <mergeCell ref="J296:K296"/>
    <mergeCell ref="B323:O323"/>
    <mergeCell ref="D324:U324"/>
    <mergeCell ref="B324:B325"/>
    <mergeCell ref="A320:V320"/>
    <mergeCell ref="A321:V321"/>
    <mergeCell ref="B380:I381"/>
    <mergeCell ref="B382:I383"/>
    <mergeCell ref="B384:I385"/>
    <mergeCell ref="B386:I387"/>
    <mergeCell ref="A355:V355"/>
    <mergeCell ref="A356:V356"/>
    <mergeCell ref="B358:I359"/>
    <mergeCell ref="B360:I361"/>
    <mergeCell ref="B362:I363"/>
    <mergeCell ref="B364:I365"/>
    <mergeCell ref="B366:I367"/>
    <mergeCell ref="B368:I369"/>
    <mergeCell ref="B370:I371"/>
    <mergeCell ref="B372:I373"/>
    <mergeCell ref="B374:I375"/>
    <mergeCell ref="B376:I377"/>
    <mergeCell ref="B378:I379"/>
    <mergeCell ref="B388:I389"/>
    <mergeCell ref="B390:I391"/>
    <mergeCell ref="B392:I393"/>
    <mergeCell ref="B394:I395"/>
    <mergeCell ref="B396:I397"/>
  </mergeCells>
  <conditionalFormatting sqref="B10:B31 K10:O31 B51:C66 B148:B169 L291:N312 B291:B312 D291:J312 D10:I31 D148:H169">
    <cfRule type="containsErrors" dxfId="492" priority="121">
      <formula>ISERROR(B10)</formula>
    </cfRule>
  </conditionalFormatting>
  <conditionalFormatting sqref="B112:B133 B184:B205 D112:H133 D184:H205 B256:B277 D256:H277 B220:B241">
    <cfRule type="expression" dxfId="491" priority="113">
      <formula>$B112=$Z$4</formula>
    </cfRule>
    <cfRule type="containsErrors" dxfId="490" priority="114">
      <formula>ISERROR(B112)</formula>
    </cfRule>
  </conditionalFormatting>
  <conditionalFormatting sqref="B10:B31 K10:O31 D10:I31 P10:Q32 S10:U31 B51:C66 B148:B169 D148:H169 B291:B312 D291:N312 D326:H347 B326:B347 D220:H241 P33">
    <cfRule type="expression" dxfId="489" priority="120">
      <formula>$B10=$Z$4</formula>
    </cfRule>
  </conditionalFormatting>
  <conditionalFormatting sqref="B326:B347 D326:H347">
    <cfRule type="containsErrors" dxfId="488" priority="96">
      <formula>ISERROR(B326)</formula>
    </cfRule>
  </conditionalFormatting>
  <conditionalFormatting sqref="S10:T31 D220:H241">
    <cfRule type="containsErrors" dxfId="487" priority="82">
      <formula>ISERROR(D10)</formula>
    </cfRule>
  </conditionalFormatting>
  <conditionalFormatting sqref="A10:A31">
    <cfRule type="cellIs" dxfId="486" priority="80" operator="equal">
      <formula>0</formula>
    </cfRule>
  </conditionalFormatting>
  <conditionalFormatting sqref="A112:A133">
    <cfRule type="cellIs" dxfId="485" priority="79" operator="equal">
      <formula>0</formula>
    </cfRule>
  </conditionalFormatting>
  <conditionalFormatting sqref="A148:A169">
    <cfRule type="cellIs" dxfId="484" priority="78" operator="equal">
      <formula>0</formula>
    </cfRule>
  </conditionalFormatting>
  <conditionalFormatting sqref="A184:A205">
    <cfRule type="cellIs" dxfId="483" priority="77" operator="equal">
      <formula>0</formula>
    </cfRule>
  </conditionalFormatting>
  <conditionalFormatting sqref="A220:A241">
    <cfRule type="cellIs" dxfId="482" priority="76" operator="equal">
      <formula>0</formula>
    </cfRule>
  </conditionalFormatting>
  <conditionalFormatting sqref="A256:A277">
    <cfRule type="cellIs" dxfId="481" priority="75" operator="equal">
      <formula>0</formula>
    </cfRule>
  </conditionalFormatting>
  <conditionalFormatting sqref="A291:A312">
    <cfRule type="cellIs" dxfId="480" priority="74" operator="equal">
      <formula>0</formula>
    </cfRule>
  </conditionalFormatting>
  <conditionalFormatting sqref="A326:A347">
    <cfRule type="cellIs" dxfId="479" priority="73" operator="equal">
      <formula>0</formula>
    </cfRule>
  </conditionalFormatting>
  <conditionalFormatting sqref="A1:A37 A39:A70 A72:A105 A107:A141 A143:A177 A179:A213 A215:A249 A251:A285 A287:A320 A322:A355 A432:A1048576">
    <cfRule type="containsErrors" dxfId="478" priority="72">
      <formula>ISERROR(A1)</formula>
    </cfRule>
  </conditionalFormatting>
  <conditionalFormatting sqref="AG10:AH28">
    <cfRule type="containsErrors" dxfId="477" priority="71">
      <formula>ISERROR(AG10)</formula>
    </cfRule>
  </conditionalFormatting>
  <conditionalFormatting sqref="AG10:AH21 AH11:AH28">
    <cfRule type="expression" dxfId="476" priority="70">
      <formula>$B10=$X$4</formula>
    </cfRule>
  </conditionalFormatting>
  <conditionalFormatting sqref="D171:H171">
    <cfRule type="containsErrors" dxfId="475" priority="69">
      <formula>ISERROR(D171)</formula>
    </cfRule>
  </conditionalFormatting>
  <conditionalFormatting sqref="D207:H207">
    <cfRule type="containsErrors" dxfId="474" priority="68">
      <formula>ISERROR(D207)</formula>
    </cfRule>
  </conditionalFormatting>
  <conditionalFormatting sqref="D135:H135">
    <cfRule type="containsErrors" dxfId="473" priority="67">
      <formula>ISERROR(D135)</formula>
    </cfRule>
  </conditionalFormatting>
  <conditionalFormatting sqref="A38">
    <cfRule type="cellIs" dxfId="472" priority="62" operator="equal">
      <formula>0</formula>
    </cfRule>
    <cfRule type="containsErrors" dxfId="471" priority="63">
      <formula>ISERROR(A38)</formula>
    </cfRule>
  </conditionalFormatting>
  <conditionalFormatting sqref="A71">
    <cfRule type="cellIs" dxfId="470" priority="60" operator="equal">
      <formula>0</formula>
    </cfRule>
    <cfRule type="containsErrors" dxfId="469" priority="61">
      <formula>ISERROR(A71)</formula>
    </cfRule>
  </conditionalFormatting>
  <conditionalFormatting sqref="A106">
    <cfRule type="cellIs" dxfId="468" priority="58" operator="equal">
      <formula>0</formula>
    </cfRule>
    <cfRule type="containsErrors" dxfId="467" priority="59">
      <formula>ISERROR(A106)</formula>
    </cfRule>
  </conditionalFormatting>
  <conditionalFormatting sqref="A142">
    <cfRule type="cellIs" dxfId="466" priority="56" operator="equal">
      <formula>0</formula>
    </cfRule>
    <cfRule type="containsErrors" dxfId="465" priority="57">
      <formula>ISERROR(A142)</formula>
    </cfRule>
  </conditionalFormatting>
  <conditionalFormatting sqref="A178">
    <cfRule type="cellIs" dxfId="464" priority="54" operator="equal">
      <formula>0</formula>
    </cfRule>
    <cfRule type="containsErrors" dxfId="463" priority="55">
      <formula>ISERROR(A178)</formula>
    </cfRule>
  </conditionalFormatting>
  <conditionalFormatting sqref="A214">
    <cfRule type="cellIs" dxfId="462" priority="52" operator="equal">
      <formula>0</formula>
    </cfRule>
    <cfRule type="containsErrors" dxfId="461" priority="53">
      <formula>ISERROR(A214)</formula>
    </cfRule>
  </conditionalFormatting>
  <conditionalFormatting sqref="A250">
    <cfRule type="cellIs" dxfId="460" priority="50" operator="equal">
      <formula>0</formula>
    </cfRule>
    <cfRule type="containsErrors" dxfId="459" priority="51">
      <formula>ISERROR(A250)</formula>
    </cfRule>
  </conditionalFormatting>
  <conditionalFormatting sqref="A286">
    <cfRule type="cellIs" dxfId="458" priority="48" operator="equal">
      <formula>0</formula>
    </cfRule>
    <cfRule type="containsErrors" dxfId="457" priority="49">
      <formula>ISERROR(A286)</formula>
    </cfRule>
  </conditionalFormatting>
  <conditionalFormatting sqref="A321">
    <cfRule type="cellIs" dxfId="456" priority="46" operator="equal">
      <formula>0</formula>
    </cfRule>
    <cfRule type="containsErrors" dxfId="455" priority="47">
      <formula>ISERROR(A321)</formula>
    </cfRule>
  </conditionalFormatting>
  <conditionalFormatting sqref="A356">
    <cfRule type="cellIs" dxfId="454" priority="44" operator="equal">
      <formula>0</formula>
    </cfRule>
    <cfRule type="containsErrors" dxfId="453" priority="45">
      <formula>ISERROR(A356)</formula>
    </cfRule>
  </conditionalFormatting>
  <conditionalFormatting sqref="Z3:AD3">
    <cfRule type="containsErrors" dxfId="452" priority="43">
      <formula>ISERROR(Z3)</formula>
    </cfRule>
  </conditionalFormatting>
  <conditionalFormatting sqref="Z2:AD2">
    <cfRule type="containsErrors" dxfId="451" priority="42">
      <formula>ISERROR(Z2)</formula>
    </cfRule>
  </conditionalFormatting>
  <conditionalFormatting sqref="Y3">
    <cfRule type="containsErrors" dxfId="450" priority="41">
      <formula>ISERROR(Y3)</formula>
    </cfRule>
  </conditionalFormatting>
  <conditionalFormatting sqref="P32:P33">
    <cfRule type="containsErrors" dxfId="449" priority="37">
      <formula>ISERROR(P32)</formula>
    </cfRule>
  </conditionalFormatting>
  <conditionalFormatting sqref="P10:P33">
    <cfRule type="containsErrors" dxfId="448" priority="35">
      <formula>ISERROR(P10)</formula>
    </cfRule>
    <cfRule type="dataBar" priority="36">
      <dataBar showValue="0">
        <cfvo type="min"/>
        <cfvo type="max"/>
        <color theme="9"/>
      </dataBar>
      <extLst>
        <ext xmlns:x14="http://schemas.microsoft.com/office/spreadsheetml/2009/9/main" uri="{B025F937-C7B1-47D3-B67F-A62EFF666E3E}">
          <x14:id>{FA58FA61-3D29-4CED-AD83-3B9FDDEAD1BF}</x14:id>
        </ext>
      </extLst>
    </cfRule>
  </conditionalFormatting>
  <conditionalFormatting sqref="D8:H8">
    <cfRule type="containsErrors" dxfId="447" priority="32">
      <formula>ISERROR(D8)</formula>
    </cfRule>
  </conditionalFormatting>
  <conditionalFormatting sqref="D9:H9">
    <cfRule type="containsErrors" dxfId="446" priority="34">
      <formula>ISERROR(D9)</formula>
    </cfRule>
  </conditionalFormatting>
  <conditionalFormatting sqref="K8:O8">
    <cfRule type="containsErrors" dxfId="445" priority="31">
      <formula>ISERROR(K8)</formula>
    </cfRule>
  </conditionalFormatting>
  <conditionalFormatting sqref="K9:O9">
    <cfRule type="containsErrors" dxfId="444" priority="122">
      <formula>ISERROR(K9)</formula>
    </cfRule>
  </conditionalFormatting>
  <conditionalFormatting sqref="Q10:Q31">
    <cfRule type="containsErrors" dxfId="443" priority="30">
      <formula>ISERROR(Q10)</formula>
    </cfRule>
  </conditionalFormatting>
  <conditionalFormatting sqref="D254:H254">
    <cfRule type="containsErrors" dxfId="442" priority="28">
      <formula>ISERROR(D254)</formula>
    </cfRule>
  </conditionalFormatting>
  <conditionalFormatting sqref="D255:H255">
    <cfRule type="containsErrors" dxfId="441" priority="29">
      <formula>ISERROR(D255)</formula>
    </cfRule>
  </conditionalFormatting>
  <conditionalFormatting sqref="D218:H218">
    <cfRule type="containsErrors" dxfId="440" priority="26">
      <formula>ISERROR(D218)</formula>
    </cfRule>
  </conditionalFormatting>
  <conditionalFormatting sqref="D219:H219">
    <cfRule type="containsErrors" dxfId="439" priority="27">
      <formula>ISERROR(D219)</formula>
    </cfRule>
  </conditionalFormatting>
  <conditionalFormatting sqref="D182:H182">
    <cfRule type="containsErrors" dxfId="438" priority="24">
      <formula>ISERROR(D182)</formula>
    </cfRule>
  </conditionalFormatting>
  <conditionalFormatting sqref="D183:H183">
    <cfRule type="containsErrors" dxfId="437" priority="25">
      <formula>ISERROR(D183)</formula>
    </cfRule>
  </conditionalFormatting>
  <conditionalFormatting sqref="D146:H146">
    <cfRule type="containsErrors" dxfId="436" priority="22">
      <formula>ISERROR(D146)</formula>
    </cfRule>
  </conditionalFormatting>
  <conditionalFormatting sqref="D147:H147">
    <cfRule type="containsErrors" dxfId="435" priority="23">
      <formula>ISERROR(D147)</formula>
    </cfRule>
  </conditionalFormatting>
  <conditionalFormatting sqref="D110:H110">
    <cfRule type="containsErrors" dxfId="434" priority="20">
      <formula>ISERROR(D110)</formula>
    </cfRule>
  </conditionalFormatting>
  <conditionalFormatting sqref="D111:H111">
    <cfRule type="containsErrors" dxfId="433" priority="21">
      <formula>ISERROR(D111)</formula>
    </cfRule>
  </conditionalFormatting>
  <conditionalFormatting sqref="U10:U31">
    <cfRule type="containsErrors" dxfId="432" priority="19">
      <formula>ISERROR(U10)</formula>
    </cfRule>
  </conditionalFormatting>
  <conditionalFormatting sqref="U32">
    <cfRule type="containsErrors" dxfId="431" priority="17">
      <formula>ISERROR(U32)</formula>
    </cfRule>
  </conditionalFormatting>
  <conditionalFormatting sqref="D33:O33 Q33:U33">
    <cfRule type="containsErrors" dxfId="430" priority="16">
      <formula>ISERROR(D33)</formula>
    </cfRule>
  </conditionalFormatting>
  <conditionalFormatting sqref="AB9:AF9">
    <cfRule type="cellIs" dxfId="429" priority="15" stopIfTrue="1" operator="equal">
      <formula>0</formula>
    </cfRule>
  </conditionalFormatting>
  <conditionalFormatting sqref="Y2">
    <cfRule type="containsErrors" dxfId="428" priority="14">
      <formula>ISERROR(Y2)</formula>
    </cfRule>
  </conditionalFormatting>
  <conditionalFormatting sqref="Z111:AD111">
    <cfRule type="containsErrors" dxfId="427" priority="13">
      <formula>ISERROR(Z111)</formula>
    </cfRule>
  </conditionalFormatting>
  <conditionalFormatting sqref="Z110:AD110">
    <cfRule type="containsErrors" dxfId="426" priority="12">
      <formula>ISERROR(Z110)</formula>
    </cfRule>
  </conditionalFormatting>
  <conditionalFormatting sqref="AF111:AJ111">
    <cfRule type="containsErrors" dxfId="425" priority="11">
      <formula>ISERROR(AF111)</formula>
    </cfRule>
  </conditionalFormatting>
  <conditionalFormatting sqref="AF110:AJ110">
    <cfRule type="containsErrors" dxfId="424" priority="10">
      <formula>ISERROR(AF110)</formula>
    </cfRule>
  </conditionalFormatting>
  <conditionalFormatting sqref="Z147:AD147">
    <cfRule type="containsErrors" dxfId="423" priority="9">
      <formula>ISERROR(Z147)</formula>
    </cfRule>
  </conditionalFormatting>
  <conditionalFormatting sqref="Z146:AD146">
    <cfRule type="containsErrors" dxfId="422" priority="8">
      <formula>ISERROR(Z146)</formula>
    </cfRule>
  </conditionalFormatting>
  <conditionalFormatting sqref="Z183:AD183">
    <cfRule type="containsErrors" dxfId="421" priority="7">
      <formula>ISERROR(Z183)</formula>
    </cfRule>
  </conditionalFormatting>
  <conditionalFormatting sqref="Z182:AD182">
    <cfRule type="containsErrors" dxfId="420" priority="6">
      <formula>ISERROR(Z182)</formula>
    </cfRule>
  </conditionalFormatting>
  <conditionalFormatting sqref="AE183:AI183">
    <cfRule type="containsErrors" dxfId="419" priority="5">
      <formula>ISERROR(AE183)</formula>
    </cfRule>
  </conditionalFormatting>
  <conditionalFormatting sqref="AE182:AI182">
    <cfRule type="containsErrors" dxfId="418" priority="4">
      <formula>ISERROR(AE182)</formula>
    </cfRule>
  </conditionalFormatting>
  <conditionalFormatting sqref="AE254:AI254">
    <cfRule type="containsErrors" dxfId="417" priority="2">
      <formula>ISERROR(AE254)</formula>
    </cfRule>
  </conditionalFormatting>
  <conditionalFormatting sqref="AE255:AI255">
    <cfRule type="containsErrors" dxfId="416" priority="3">
      <formula>ISERROR(AE255)</formula>
    </cfRule>
  </conditionalFormatting>
  <conditionalFormatting sqref="A399:A431">
    <cfRule type="containsErrors" dxfId="415" priority="1">
      <formula>ISERROR(A399)</formula>
    </cfRule>
  </conditionalFormatting>
  <hyperlinks>
    <hyperlink ref="B362:H363" location="IDACI!A1" display="IDACI" xr:uid="{AEEF720E-A4A6-44DD-BF57-2EF879703EDF}"/>
    <hyperlink ref="B386:I387" location="ROSGO!A1" display="Child Arrangement &amp; Special Guardianship Orders" xr:uid="{227EF47D-DD96-4650-A32F-BE6B6873FBE1}"/>
    <hyperlink ref="B366:G367" location="EH_Referrals!A1" display="Early Help Referrals" xr:uid="{9B09F916-A9DB-40A3-9D49-BDDA4CB597D4}"/>
    <hyperlink ref="B386:E387" location="ROSGO!A1" display="Child Arrangement &amp; Special Guardianship Orders" xr:uid="{8968211B-5002-4463-8B7F-A09BAF2F0DE5}"/>
    <hyperlink ref="B366:E367" location="EH_Referrals!A1" display="Early Help Referrals" xr:uid="{18775C29-3B79-4F72-8828-AE06A5AFA069}"/>
    <hyperlink ref="B364:D365" location="IDACI!A1" display="IDACI" xr:uid="{7CBBDFA2-B96C-4AD5-8219-537C1C21CF62}"/>
    <hyperlink ref="B360:D361" location="Indicators!A1" display="Indicators" xr:uid="{5DDC21AD-9D2F-4006-9B3B-9FA58D4FE299}"/>
    <hyperlink ref="B388:D389" location="New_Ceased_LAC!A1" display="New/ Ceased Looked After Children" xr:uid="{4BF46313-4B56-4FFB-92F6-4785166A538C}"/>
    <hyperlink ref="B392:D393" location="Care_Leavers!A1" display="Care Leavers" xr:uid="{EE6887BF-010C-49CA-87CA-BF0607988958}"/>
    <hyperlink ref="B396:D397" location="Offending!A1" display="Offending" xr:uid="{C3D664E8-6489-45C5-8B9F-D0425E85A558}"/>
    <hyperlink ref="B394:D395" location="EHCP!A1" display="Education Health and Care Plans (EHCP)" xr:uid="{ABB3BD73-60D4-49D4-9C2B-F148565C4072}"/>
    <hyperlink ref="B362:B363" location="Coverage!A1" display="Participating LA's" xr:uid="{FADCC2DD-CA47-4A5F-9F9E-C3D3AE4F3055}"/>
    <hyperlink ref="B364:B365" location="IDACI!A1" display="IDACI" xr:uid="{81594F42-6CC1-4C17-931E-4BDA03017587}"/>
    <hyperlink ref="B390:B391" location="Adoption!A1" display="Adoption" xr:uid="{E5C85A20-299E-4998-87A5-A8616BA1DF8E}"/>
    <hyperlink ref="B386:B387" location="'Looked After Children'!A1" display="Looked After Children" xr:uid="{C3A98EA1-4C0A-4B61-82A3-E05D25AD2CB2}"/>
    <hyperlink ref="B384:B385" location="'Court Applications'!A1" display="Court Applications" xr:uid="{2F96BAF7-1CC6-4918-9435-BFB500D5E141}"/>
    <hyperlink ref="B382:B383" location="'Child Protection Plans'!A1" display="Child Protection Plans" xr:uid="{ABB8F22E-B6E8-46F7-8F46-9CAEDE8EB83C}"/>
    <hyperlink ref="B380:B381" location="'Initial CP Conferences'!A1" display="Initial Child Protection Conferences" xr:uid="{E6B95BDD-73F4-426C-A263-3575DAE46782}"/>
    <hyperlink ref="B378:B379" location="'Section 47 Enquiries'!A1" display="Section 47 Enquiries" xr:uid="{2DB11DFD-C54D-4788-AAAF-6008A0DD0297}"/>
    <hyperlink ref="B376:B377" location="'Children in Need'!A1" display="Children in Need" xr:uid="{A053D952-05AA-452E-8A6D-44ED61E662D6}"/>
    <hyperlink ref="B374:B375" location="Assessments!A1" display="Assessments" xr:uid="{23D7E1D0-A6CB-49A3-8763-585CA803DE34}"/>
    <hyperlink ref="B372:B373" location="'Re-referrals'!A1" display="Re-referrals" xr:uid="{97FE133A-EC4B-4D7D-8918-E51E949D5EAF}"/>
    <hyperlink ref="B370:B371" location="Referral_Source!A1" display="Referral Source" xr:uid="{3271FA13-A5B7-4DE3-B224-B15DF11A8BBA}"/>
    <hyperlink ref="B368:B369" location="Referrals!A1" display="Referrals" xr:uid="{DCDCE850-995C-4313-B659-44F027FADFD6}"/>
    <hyperlink ref="B366:B367" location="Population!A1" display="Population" xr:uid="{72EFC72D-614E-4B63-B116-DA84078C0CFE}"/>
    <hyperlink ref="B364:C365" location="IDACI!A1" display="IDACI" xr:uid="{667F79C6-407C-411C-A3BF-88BA163398A2}"/>
    <hyperlink ref="B360:B361" location="Coverage!A1" display="Participating LA's" xr:uid="{422D6B59-968B-4CF5-B30A-005A56E72B95}"/>
    <hyperlink ref="B360:C361" location="Indicators!A1" display="Indicators" xr:uid="{B4CF9C14-6885-4C80-910D-DBBC9273B3DE}"/>
    <hyperlink ref="B392:B393" location="'Looked After Children'!A1" display="Looked After Children" xr:uid="{46F1C643-8C28-4A2C-9A9A-43E6F42E8289}"/>
    <hyperlink ref="B388:B389" location="'Court Applications'!A1" display="Court Applications" xr:uid="{4621FA3E-816C-43AD-8AB6-CC0B2C4AC2D3}"/>
    <hyperlink ref="B388:C389" location="New_Ceased_LAC!A1" display="New/ Ceased Looked After Children" xr:uid="{4E0C6360-72A6-4B35-9EC5-E089EF45F3CD}"/>
    <hyperlink ref="B392:C393" location="Care_Leavers!A1" display="Care Leavers" xr:uid="{B0AC0571-CC9C-4215-B7A6-E3D14F20865E}"/>
    <hyperlink ref="B395:B397" location="Adoption!A1" display="Adoption" xr:uid="{65796036-719D-4848-AF17-809BD908AB83}"/>
    <hyperlink ref="B396:B397" location="'Looked After Children'!A1" display="Looked After Children" xr:uid="{25F0876F-9D72-411D-9134-2E2FA88614F3}"/>
    <hyperlink ref="B396:C397" location="Offending!A1" display="Offending" xr:uid="{7F5B9D90-5F97-4049-99C3-222BE8500BBA}"/>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8" manualBreakCount="8">
    <brk id="38" max="21" man="1"/>
    <brk id="71" max="21" man="1"/>
    <brk id="106" max="21" man="1"/>
    <brk id="142" max="21" man="1"/>
    <brk id="178" max="21" man="1"/>
    <brk id="250" max="21" man="1"/>
    <brk id="286" max="21" man="1"/>
    <brk id="321" max="20" man="1"/>
  </rowBreaks>
  <ignoredErrors>
    <ignoredError sqref="A326:A347 A291:A312 A256:A277 A220:A241 A184:A205 A148:A169 A112:A133 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Check Box 1">
              <controlPr defaultSize="0" autoFill="0" autoLine="0" autoPict="0" macro="[0]!CheckBox1_Click" altText="">
                <anchor>
                  <from>
                    <xdr:col>23</xdr:col>
                    <xdr:colOff>76200</xdr:colOff>
                    <xdr:row>39</xdr:row>
                    <xdr:rowOff>38100</xdr:rowOff>
                  </from>
                  <to>
                    <xdr:col>36</xdr:col>
                    <xdr:colOff>47625</xdr:colOff>
                    <xdr:row>41</xdr:row>
                    <xdr:rowOff>9525</xdr:rowOff>
                  </to>
                </anchor>
              </controlPr>
            </control>
          </mc:Choice>
        </mc:AlternateContent>
        <mc:AlternateContent xmlns:mc="http://schemas.openxmlformats.org/markup-compatibility/2006">
          <mc:Choice Requires="x14">
            <control shapeId="105474" r:id="rId5" name="Check Box 2">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105475" r:id="rId6" name="Check Box 3">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mc:AlternateContent xmlns:mc="http://schemas.openxmlformats.org/markup-compatibility/2006">
          <mc:Choice Requires="x14">
            <control shapeId="105476" r:id="rId7" name="Check Box 4">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105477" r:id="rId8" name="Check Box 5">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105478" r:id="rId9" name="Check Box 6">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105479" r:id="rId10" name="Check Box 7">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105480" r:id="rId11" name="Check Box 8">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105481" r:id="rId12" name="Check Box 9">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105482" r:id="rId13" name="Check Box 10">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105483" r:id="rId14" name="Check Box 11">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105484" r:id="rId15" name="Check Box 12">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105485" r:id="rId16" name="Check Box 13">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105486" r:id="rId17" name="Check Box 14">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105487" r:id="rId18" name="Check Box 15">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105488" r:id="rId19" name="Check Box 16">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105489" r:id="rId20" name="Check Box 17">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105490" r:id="rId21" name="Check Box 18">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105491" r:id="rId22" name="Check Box 19">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105492" r:id="rId23" name="Check Box 20">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mc:AlternateContent xmlns:mc="http://schemas.openxmlformats.org/markup-compatibility/2006">
          <mc:Choice Requires="x14">
            <control shapeId="105493" r:id="rId24" name="Check Box 21">
              <controlPr defaultSize="0" autoFill="0" autoLine="0" autoPict="0" macro="[0]!CheckBox1_Click" altText="">
                <anchor>
                  <from>
                    <xdr:col>23</xdr:col>
                    <xdr:colOff>76200</xdr:colOff>
                    <xdr:row>61</xdr:row>
                    <xdr:rowOff>152400</xdr:rowOff>
                  </from>
                  <to>
                    <xdr:col>36</xdr:col>
                    <xdr:colOff>47625</xdr:colOff>
                    <xdr:row>63</xdr:row>
                    <xdr:rowOff>9525</xdr:rowOff>
                  </to>
                </anchor>
              </controlPr>
            </control>
          </mc:Choice>
        </mc:AlternateContent>
        <mc:AlternateContent xmlns:mc="http://schemas.openxmlformats.org/markup-compatibility/2006">
          <mc:Choice Requires="x14">
            <control shapeId="105494" r:id="rId25" name="Check Box 22">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105495" r:id="rId26" name="Check Box 23">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105496" r:id="rId27" name="Check Box 24">
              <controlPr defaultSize="0" autoFill="0" autoLine="0" autoPict="0" macro="[0]!CheckBox1_Click" altText="">
                <anchor>
                  <from>
                    <xdr:col>23</xdr:col>
                    <xdr:colOff>76200</xdr:colOff>
                    <xdr:row>62</xdr:row>
                    <xdr:rowOff>152400</xdr:rowOff>
                  </from>
                  <to>
                    <xdr:col>36</xdr:col>
                    <xdr:colOff>47625</xdr:colOff>
                    <xdr:row>64</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FA58FA61-3D29-4CED-AD83-3B9FDDEAD1BF}">
            <x14:dataBar minLength="0" maxLength="100" gradient="0" negativeBarColorSameAsPositive="1">
              <x14:cfvo type="autoMin"/>
              <x14:cfvo type="autoMax"/>
              <x14:axisColor rgb="FF000000"/>
            </x14:dataBar>
          </x14:cfRule>
          <xm:sqref>P10:P33</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0">
    <tabColor rgb="FFFFC000"/>
  </sheetPr>
  <dimension ref="A1:BR489"/>
  <sheetViews>
    <sheetView showRowColHeaders="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8" width="6.85546875" style="74" customWidth="1"/>
    <col min="9" max="9" width="7.42578125" style="74" customWidth="1"/>
    <col min="10" max="10" width="1.42578125" style="88" customWidth="1"/>
    <col min="11" max="15" width="6.85546875" style="74" customWidth="1"/>
    <col min="16" max="16" width="7.140625" style="74" customWidth="1"/>
    <col min="17" max="17" width="7.42578125" style="74" customWidth="1"/>
    <col min="18" max="18" width="1.42578125" style="74" customWidth="1"/>
    <col min="19" max="19" width="5.7109375" style="74" customWidth="1"/>
    <col min="20" max="20" width="8.28515625" style="74" customWidth="1"/>
    <col min="21" max="21" width="7.7109375" style="74" customWidth="1"/>
    <col min="22" max="22" width="2.140625" style="74" customWidth="1"/>
    <col min="23" max="23" width="6.42578125" style="80" customWidth="1"/>
    <col min="24" max="24" width="4.85546875" style="80" customWidth="1"/>
    <col min="25" max="25" width="17.85546875" style="1392" hidden="1" customWidth="1"/>
    <col min="26" max="26" width="19.42578125" style="1392" hidden="1" customWidth="1"/>
    <col min="27" max="27" width="19.85546875" style="1392" hidden="1" customWidth="1"/>
    <col min="28" max="29" width="16.5703125" style="1392" hidden="1" customWidth="1"/>
    <col min="30" max="30" width="8.5703125" style="1392" hidden="1" customWidth="1"/>
    <col min="31" max="31" width="17" style="1392" hidden="1" customWidth="1"/>
    <col min="32" max="32" width="8.5703125" style="81" hidden="1" customWidth="1"/>
    <col min="33" max="33" width="14.42578125" style="81" hidden="1" customWidth="1"/>
    <col min="34" max="35" width="6.5703125" style="81" hidden="1" customWidth="1"/>
    <col min="36" max="36" width="6.5703125" style="74" hidden="1" customWidth="1"/>
    <col min="37" max="37" width="31.5703125" style="184" customWidth="1"/>
    <col min="38" max="38" width="17" style="74" hidden="1" customWidth="1"/>
    <col min="39" max="43" width="13.5703125" style="74" hidden="1" customWidth="1"/>
    <col min="44" max="59" width="9.140625" style="74" hidden="1" customWidth="1"/>
    <col min="60" max="69" width="9.140625" style="74" customWidth="1"/>
    <col min="70" max="16384" width="9.140625" style="74"/>
  </cols>
  <sheetData>
    <row r="1" spans="1:50" ht="18.75" customHeight="1" thickBot="1" x14ac:dyDescent="0.25">
      <c r="A1" s="112"/>
      <c r="B1" s="113"/>
      <c r="C1" s="113"/>
      <c r="D1" s="113"/>
      <c r="E1" s="113"/>
      <c r="F1" s="113"/>
      <c r="G1" s="113"/>
      <c r="H1" s="113"/>
      <c r="I1" s="113"/>
      <c r="J1" s="114"/>
      <c r="K1" s="113"/>
      <c r="L1" s="113"/>
      <c r="M1" s="113"/>
      <c r="N1" s="113"/>
      <c r="O1" s="113"/>
      <c r="P1" s="113"/>
      <c r="Q1" s="113"/>
      <c r="R1" s="113"/>
      <c r="S1" s="113"/>
      <c r="T1" s="113"/>
      <c r="U1" s="113"/>
      <c r="V1" s="115"/>
      <c r="W1" s="275"/>
      <c r="X1" s="155"/>
      <c r="Y1" s="1386"/>
      <c r="Z1" s="1387" t="str">
        <f>IF(Sheet1!$C$3="Annual"," the year ending 31st March"," the quarter")</f>
        <v xml:space="preserve"> the year ending 31st March</v>
      </c>
      <c r="AA1" s="1386"/>
      <c r="AB1" s="1386"/>
      <c r="AC1" s="1386"/>
      <c r="AD1" s="1386"/>
      <c r="AE1" s="1386"/>
      <c r="AF1" s="180"/>
      <c r="AG1" s="180"/>
      <c r="AH1" s="180"/>
      <c r="AI1" s="180"/>
      <c r="AJ1" s="181"/>
      <c r="AK1" s="419"/>
    </row>
    <row r="2" spans="1:50" ht="18.75" customHeight="1" x14ac:dyDescent="0.2">
      <c r="A2" s="118"/>
      <c r="B2" s="128" t="s">
        <v>732</v>
      </c>
      <c r="C2" s="9"/>
      <c r="D2" s="9"/>
      <c r="E2" s="9"/>
      <c r="F2" s="9"/>
      <c r="G2" s="9"/>
      <c r="H2" s="9"/>
      <c r="I2" s="9"/>
      <c r="J2" s="12"/>
      <c r="K2" s="9"/>
      <c r="L2" s="9"/>
      <c r="M2" s="9"/>
      <c r="N2" s="9"/>
      <c r="O2" s="9"/>
      <c r="P2" s="9"/>
      <c r="Q2" s="9"/>
      <c r="R2" s="9"/>
      <c r="S2" s="9"/>
      <c r="T2" s="9"/>
      <c r="U2" s="9"/>
      <c r="V2" s="117"/>
      <c r="W2" s="161"/>
      <c r="X2" s="150"/>
      <c r="Y2" s="1388">
        <f>IF(Sheet1!$C$3="Annual",1,4)</f>
        <v>1</v>
      </c>
      <c r="Z2" s="1389" t="str">
        <f>IF(Sheet1!$C$3="Annual","",Sheet1!$D$28)</f>
        <v/>
      </c>
      <c r="AA2" s="1390" t="str">
        <f>IF(Sheet1!$C$3="Annual","",Sheet1!$E$28)</f>
        <v/>
      </c>
      <c r="AB2" s="1390" t="str">
        <f>IF(Sheet1!$C$3="Annual","",Sheet1!$F$28)</f>
        <v/>
      </c>
      <c r="AC2" s="1390" t="str">
        <f>IF(Sheet1!$C$3="Annual","",Sheet1!$G$28)</f>
        <v/>
      </c>
      <c r="AD2" s="1391" t="str">
        <f>IF(Sheet1!$C$3="Annual","",Sheet1!$H$28)</f>
        <v/>
      </c>
      <c r="AJ2" s="184"/>
      <c r="AK2" s="157"/>
    </row>
    <row r="3" spans="1:50" ht="18.75" customHeight="1" thickBot="1" x14ac:dyDescent="0.25">
      <c r="A3" s="124"/>
      <c r="B3" s="125"/>
      <c r="C3" s="125"/>
      <c r="D3" s="125"/>
      <c r="E3" s="125"/>
      <c r="F3" s="125"/>
      <c r="G3" s="125"/>
      <c r="H3" s="125"/>
      <c r="I3" s="267"/>
      <c r="J3" s="126"/>
      <c r="K3" s="125"/>
      <c r="L3" s="125"/>
      <c r="M3" s="125"/>
      <c r="N3" s="125"/>
      <c r="O3" s="125"/>
      <c r="P3" s="553"/>
      <c r="Q3" s="125"/>
      <c r="R3" s="125"/>
      <c r="S3" s="125"/>
      <c r="T3" s="267"/>
      <c r="U3" s="125"/>
      <c r="V3" s="127"/>
      <c r="W3" s="161"/>
      <c r="X3" s="150"/>
      <c r="Y3" s="1393"/>
      <c r="Z3" s="1393" t="str">
        <f>Sheet1!$D$27</f>
        <v>2015-16</v>
      </c>
      <c r="AA3" s="1394" t="str">
        <f>Sheet1!$E$27</f>
        <v>2016-17</v>
      </c>
      <c r="AB3" s="1394" t="str">
        <f>Sheet1!$F$27</f>
        <v>2017-18</v>
      </c>
      <c r="AC3" s="1394" t="str">
        <f>Sheet1!$G$27</f>
        <v>2018-19</v>
      </c>
      <c r="AD3" s="1395" t="str">
        <f>Sheet1!$H$27</f>
        <v>2019-20</v>
      </c>
      <c r="AJ3" s="184"/>
      <c r="AK3" s="157"/>
      <c r="AR3" s="74">
        <v>0</v>
      </c>
    </row>
    <row r="4" spans="1:50" ht="11.25" customHeight="1" x14ac:dyDescent="0.2">
      <c r="A4" s="112"/>
      <c r="B4" s="113"/>
      <c r="C4" s="113"/>
      <c r="D4" s="113"/>
      <c r="E4" s="113"/>
      <c r="F4" s="113"/>
      <c r="G4" s="113"/>
      <c r="H4" s="113"/>
      <c r="I4" s="113"/>
      <c r="J4" s="114"/>
      <c r="K4" s="113"/>
      <c r="L4" s="113"/>
      <c r="M4" s="113"/>
      <c r="N4" s="113"/>
      <c r="O4" s="113"/>
      <c r="P4" s="113"/>
      <c r="Q4" s="113"/>
      <c r="R4" s="113"/>
      <c r="S4" s="113"/>
      <c r="T4" s="113"/>
      <c r="U4" s="113"/>
      <c r="V4" s="115"/>
      <c r="W4" s="137"/>
      <c r="X4" s="150"/>
      <c r="Y4" s="1396"/>
      <c r="Z4" s="1397" t="str">
        <f>Home!$D$10</f>
        <v>(none)</v>
      </c>
      <c r="AA4" s="1398" t="str">
        <f>"Selected LA- "&amp;Z4</f>
        <v>Selected LA- (none)</v>
      </c>
      <c r="AJ4" s="184"/>
      <c r="AK4" s="157"/>
    </row>
    <row r="5" spans="1:50" s="76" customFormat="1" ht="15" customHeight="1" x14ac:dyDescent="0.2">
      <c r="A5" s="119"/>
      <c r="B5" s="1746" t="str">
        <f>"Number of Children who Started to be Looked After in"&amp;$Z1</f>
        <v>Number of Children who Started to be Looked After in the year ending 31st March</v>
      </c>
      <c r="C5" s="1746"/>
      <c r="D5" s="1746"/>
      <c r="E5" s="1746"/>
      <c r="F5" s="1746"/>
      <c r="G5" s="1746"/>
      <c r="H5" s="1746"/>
      <c r="I5" s="1746"/>
      <c r="J5" s="1746"/>
      <c r="K5" s="1746"/>
      <c r="L5" s="1746"/>
      <c r="M5" s="1746"/>
      <c r="N5" s="1746"/>
      <c r="O5" s="1746"/>
      <c r="P5" s="1746"/>
      <c r="Q5" s="1746"/>
      <c r="R5" s="1746"/>
      <c r="S5" s="1746"/>
      <c r="T5" s="1746"/>
      <c r="U5" s="1746"/>
      <c r="V5" s="120"/>
      <c r="W5" s="138"/>
      <c r="X5" s="151"/>
      <c r="Y5" s="1396"/>
      <c r="Z5" s="1396"/>
      <c r="AA5" s="1396"/>
      <c r="AB5" s="1396"/>
      <c r="AC5" s="1396"/>
      <c r="AD5" s="1396"/>
      <c r="AE5" s="1396"/>
      <c r="AF5" s="188"/>
      <c r="AG5" s="188"/>
      <c r="AH5" s="188"/>
      <c r="AI5" s="188"/>
      <c r="AJ5" s="188"/>
      <c r="AK5" s="158"/>
      <c r="AL5" s="188" t="str">
        <f>CONCATENATE($I$7,"in Number of "&amp;$B2)</f>
        <v>Average Annual Change in Number of Children Starting to be Looked After</v>
      </c>
      <c r="AR5" s="935" t="s">
        <v>682</v>
      </c>
    </row>
    <row r="6" spans="1:50" ht="13.5" customHeight="1" x14ac:dyDescent="0.2">
      <c r="A6" s="118"/>
      <c r="B6" s="1746"/>
      <c r="C6" s="1746"/>
      <c r="D6" s="1746"/>
      <c r="E6" s="1746"/>
      <c r="F6" s="1746"/>
      <c r="G6" s="1746"/>
      <c r="H6" s="1746"/>
      <c r="I6" s="1746"/>
      <c r="J6" s="1746"/>
      <c r="K6" s="1746"/>
      <c r="L6" s="1746"/>
      <c r="M6" s="1746"/>
      <c r="N6" s="1746"/>
      <c r="O6" s="1746"/>
      <c r="P6" s="1746"/>
      <c r="Q6" s="1746"/>
      <c r="R6" s="1746"/>
      <c r="S6" s="1746"/>
      <c r="T6" s="1746"/>
      <c r="U6" s="1746"/>
      <c r="V6" s="117"/>
      <c r="W6" s="137"/>
      <c r="X6" s="150"/>
      <c r="Z6" s="1399"/>
      <c r="AJ6" s="184"/>
      <c r="AK6" s="157"/>
    </row>
    <row r="7" spans="1:50" s="87" customFormat="1" ht="12.75" customHeight="1" x14ac:dyDescent="0.2">
      <c r="A7" s="121"/>
      <c r="B7" s="1789" t="s">
        <v>205</v>
      </c>
      <c r="C7" s="85"/>
      <c r="D7" s="1851" t="s">
        <v>88</v>
      </c>
      <c r="E7" s="1911"/>
      <c r="F7" s="1911"/>
      <c r="G7" s="1911"/>
      <c r="H7" s="1912"/>
      <c r="I7" s="1811" t="str">
        <f>"Average "&amp;Sheet1!C3&amp;" Change "</f>
        <v xml:space="preserve">Average Annual Change </v>
      </c>
      <c r="J7" s="96"/>
      <c r="K7" s="1913" t="s">
        <v>89</v>
      </c>
      <c r="L7" s="1914"/>
      <c r="M7" s="1914"/>
      <c r="N7" s="1914"/>
      <c r="O7" s="1914"/>
      <c r="P7" s="1914"/>
      <c r="Q7" s="1744" t="str">
        <f>IF(ISNA(O9),"SE Rank "&amp;O8,"SE Rank "&amp;O9)</f>
        <v>SE Rank 2019-20</v>
      </c>
      <c r="R7" s="70"/>
      <c r="S7" s="1817" t="str">
        <f>"Distance from Expected "&amp;Sheet1!$B$8</f>
        <v>Distance from Expected 2020</v>
      </c>
      <c r="T7" s="1818"/>
      <c r="U7" s="1819"/>
      <c r="V7" s="122"/>
      <c r="W7" s="139"/>
      <c r="X7" s="152"/>
      <c r="Y7" s="1043"/>
      <c r="Z7" s="1943" t="s">
        <v>767</v>
      </c>
      <c r="AA7" s="1944"/>
      <c r="AB7" s="1945" t="s">
        <v>79</v>
      </c>
      <c r="AC7" s="1946"/>
      <c r="AD7" s="1946"/>
      <c r="AE7" s="1946"/>
      <c r="AF7" s="1947"/>
      <c r="AG7" s="204" t="s">
        <v>94</v>
      </c>
      <c r="AH7" s="190"/>
      <c r="AI7" s="190"/>
      <c r="AJ7" s="202"/>
      <c r="AK7" s="160"/>
      <c r="AL7" s="575"/>
      <c r="AM7" s="575"/>
      <c r="AN7" s="575"/>
      <c r="AO7" s="575"/>
      <c r="AP7" s="575"/>
      <c r="AQ7" s="74"/>
    </row>
    <row r="8" spans="1:50" s="87" customFormat="1" ht="12.75" customHeight="1" x14ac:dyDescent="0.2">
      <c r="A8" s="292"/>
      <c r="B8" s="1789"/>
      <c r="C8" s="85"/>
      <c r="D8" s="789" t="str">
        <f>Sheet1!$D$27</f>
        <v>2015-16</v>
      </c>
      <c r="E8" s="790" t="str">
        <f>Sheet1!$E$27</f>
        <v>2016-17</v>
      </c>
      <c r="F8" s="790" t="str">
        <f>Sheet1!$F$27</f>
        <v>2017-18</v>
      </c>
      <c r="G8" s="790" t="str">
        <f>Sheet1!$G$27</f>
        <v>2018-19</v>
      </c>
      <c r="H8" s="791" t="str">
        <f>Sheet1!$H$27</f>
        <v>2019-20</v>
      </c>
      <c r="I8" s="1812"/>
      <c r="J8" s="96"/>
      <c r="K8" s="820" t="str">
        <f>Sheet1!$D$27</f>
        <v>2015-16</v>
      </c>
      <c r="L8" s="821" t="str">
        <f>Sheet1!$E$27</f>
        <v>2016-17</v>
      </c>
      <c r="M8" s="821" t="str">
        <f>Sheet1!$F$27</f>
        <v>2017-18</v>
      </c>
      <c r="N8" s="821" t="str">
        <f>Sheet1!$G$27</f>
        <v>2018-19</v>
      </c>
      <c r="O8" s="1741" t="str">
        <f>Sheet1!$H$27</f>
        <v>2019-20</v>
      </c>
      <c r="P8" s="1742"/>
      <c r="Q8" s="1816"/>
      <c r="R8" s="70"/>
      <c r="S8" s="1820"/>
      <c r="T8" s="1821"/>
      <c r="U8" s="1822"/>
      <c r="V8" s="122"/>
      <c r="W8" s="139"/>
      <c r="X8" s="152"/>
      <c r="Y8" s="1043"/>
      <c r="Z8" s="1948" t="s">
        <v>76</v>
      </c>
      <c r="AA8" s="1948" t="s">
        <v>77</v>
      </c>
      <c r="AB8" s="580" t="str">
        <f>IF(Sheet1!$C$3="Annual","",Sheet1!$D$28)</f>
        <v/>
      </c>
      <c r="AC8" s="580" t="str">
        <f>IF(Sheet1!$C$3="Annual","",Sheet1!$E$28)</f>
        <v/>
      </c>
      <c r="AD8" s="580" t="str">
        <f>IF(Sheet1!$C$3="Annual","",Sheet1!$F$28)</f>
        <v/>
      </c>
      <c r="AE8" s="580" t="str">
        <f>IF(Sheet1!$C$3="Annual","",Sheet1!$G$28)</f>
        <v/>
      </c>
      <c r="AF8" s="758" t="str">
        <f>IF(Sheet1!$C$3="Annual","",Sheet1!$H$28)</f>
        <v/>
      </c>
      <c r="AG8" s="204"/>
      <c r="AH8" s="190"/>
      <c r="AI8" s="190"/>
      <c r="AJ8" s="202"/>
      <c r="AK8" s="160"/>
      <c r="AL8" s="922"/>
      <c r="AM8" s="922"/>
      <c r="AN8" s="922"/>
      <c r="AO8" s="922"/>
      <c r="AP8" s="922"/>
    </row>
    <row r="9" spans="1:50" s="87" customFormat="1" ht="12.75" customHeight="1" x14ac:dyDescent="0.2">
      <c r="A9" s="121"/>
      <c r="B9" s="1790"/>
      <c r="C9" s="85"/>
      <c r="D9" s="792" t="e">
        <f>Sheet1!$D$28</f>
        <v>#N/A</v>
      </c>
      <c r="E9" s="792" t="e">
        <f>Sheet1!$E$28</f>
        <v>#N/A</v>
      </c>
      <c r="F9" s="792" t="e">
        <f>Sheet1!$F$28</f>
        <v>#N/A</v>
      </c>
      <c r="G9" s="792" t="e">
        <f>Sheet1!$G$28</f>
        <v>#N/A</v>
      </c>
      <c r="H9" s="793" t="e">
        <f>Sheet1!$H$28</f>
        <v>#N/A</v>
      </c>
      <c r="I9" s="1813"/>
      <c r="J9" s="96"/>
      <c r="K9" s="792" t="e">
        <f>Sheet1!$D$28</f>
        <v>#N/A</v>
      </c>
      <c r="L9" s="792" t="e">
        <f>Sheet1!$E$28</f>
        <v>#N/A</v>
      </c>
      <c r="M9" s="792" t="e">
        <f>Sheet1!$F$28</f>
        <v>#N/A</v>
      </c>
      <c r="N9" s="792" t="e">
        <f>Sheet1!$G$28</f>
        <v>#N/A</v>
      </c>
      <c r="O9" s="1739" t="e">
        <f>Sheet1!$H$28</f>
        <v>#N/A</v>
      </c>
      <c r="P9" s="1827"/>
      <c r="Q9" s="1745"/>
      <c r="R9" s="70"/>
      <c r="S9" s="919" t="s">
        <v>78</v>
      </c>
      <c r="T9" s="856" t="s">
        <v>128</v>
      </c>
      <c r="U9" s="857" t="s">
        <v>129</v>
      </c>
      <c r="V9" s="122"/>
      <c r="W9" s="139"/>
      <c r="X9" s="152"/>
      <c r="Y9" s="1043"/>
      <c r="Z9" s="1949"/>
      <c r="AA9" s="1949"/>
      <c r="AB9" s="580" t="str">
        <f>Sheet1!$D$27</f>
        <v>2015-16</v>
      </c>
      <c r="AC9" s="580" t="str">
        <f>Sheet1!$E$27</f>
        <v>2016-17</v>
      </c>
      <c r="AD9" s="580" t="str">
        <f>Sheet1!$F$27</f>
        <v>2017-18</v>
      </c>
      <c r="AE9" s="580" t="str">
        <f>Sheet1!$G$27</f>
        <v>2018-19</v>
      </c>
      <c r="AF9" s="758" t="str">
        <f>Sheet1!$H$27</f>
        <v>2019-20</v>
      </c>
      <c r="AG9" s="190"/>
      <c r="AH9" s="190">
        <f>COLUMNS($B$4:O$4)</f>
        <v>14</v>
      </c>
      <c r="AI9" s="190"/>
      <c r="AJ9" s="202"/>
      <c r="AK9" s="160"/>
      <c r="AL9" s="926" t="s">
        <v>676</v>
      </c>
      <c r="AM9" s="926" t="s">
        <v>677</v>
      </c>
      <c r="AN9" s="926" t="s">
        <v>678</v>
      </c>
      <c r="AO9" s="926" t="s">
        <v>679</v>
      </c>
      <c r="AP9" s="926" t="s">
        <v>680</v>
      </c>
      <c r="AR9" s="937" t="s">
        <v>683</v>
      </c>
      <c r="AS9" s="937" t="s">
        <v>684</v>
      </c>
      <c r="AT9" s="937" t="s">
        <v>685</v>
      </c>
      <c r="AU9" s="937" t="s">
        <v>686</v>
      </c>
      <c r="AV9" s="938" t="s">
        <v>687</v>
      </c>
      <c r="AW9" s="938" t="s">
        <v>688</v>
      </c>
      <c r="AX9" s="938" t="s">
        <v>689</v>
      </c>
    </row>
    <row r="10" spans="1:50" s="87" customFormat="1" ht="13.5" customHeight="1" x14ac:dyDescent="0.2">
      <c r="A10" s="488">
        <f>VLOOKUP(B10,Sheet1!$AQ$4:$AR$25,2,FALSE)</f>
        <v>0</v>
      </c>
      <c r="B10" s="93" t="str">
        <f>Sheet1!$K$4</f>
        <v>Bracknell Forest</v>
      </c>
      <c r="C10" s="85"/>
      <c r="D10" s="94">
        <f>IF(Year1_Bracknell_Forest Year1_LAC_Start="","",Year1_Bracknell_Forest Year1_LAC_Start)</f>
        <v>60</v>
      </c>
      <c r="E10" s="94">
        <f>IF(Year2_Bracknell_Forest Year2_LAC_Start="","",Year2_Bracknell_Forest Year2_LAC_Start)</f>
        <v>67</v>
      </c>
      <c r="F10" s="94">
        <f>IF(Year3_Bracknell_Forest Year3_LAC_Start="","",Year3_Bracknell_Forest Year3_LAC_Start)</f>
        <v>84</v>
      </c>
      <c r="G10" s="94">
        <f>IF(Year4_Bracknell_Forest Year4_LAC_Start="","",Year4_Bracknell_Forest Year4_LAC_Start)</f>
        <v>84</v>
      </c>
      <c r="H10" s="95">
        <f>IF(Year5_Bracknell_Forest Year5_LAC_Start="","",Year5_Bracknell_Forest Year5_LAC_Start)</f>
        <v>47</v>
      </c>
      <c r="I10" s="344">
        <f>AP10</f>
        <v>-1.7519545131485431E-2</v>
      </c>
      <c r="J10" s="96"/>
      <c r="K10" s="97">
        <f>IF(ISNUMBER(D10),D10/Population!D10*10000,NA())</f>
        <v>21.276595744680851</v>
      </c>
      <c r="L10" s="97">
        <f>IF(ISNUMBER(E10),E10/Population!E10*10000,NA())</f>
        <v>23.75886524822695</v>
      </c>
      <c r="M10" s="97">
        <f>IF(ISNUMBER(F10),F10/Population!F10*10000,NA())</f>
        <v>29.893238434163699</v>
      </c>
      <c r="N10" s="97">
        <f>IF(ISNUMBER(G10),G10/Population!G10*10000,NA())</f>
        <v>29.681978798586574</v>
      </c>
      <c r="O10" s="98">
        <f>IF(ISNUMBER(H10),H10/Population!H10*10000,NA())</f>
        <v>16.549295774647888</v>
      </c>
      <c r="P10" s="99">
        <f>IF(ISNUMBER(O10),O10,"")</f>
        <v>16.549295774647888</v>
      </c>
      <c r="Q10" s="934">
        <f>IF(ISNA(VLOOKUP(B10,$AG$10:$AI$28,3,FALSE)),"--",IF(ISNUMBER(H10),VLOOKUP(B10,$AG$10:$AI$28,3,FALSE),NA()))</f>
        <v>6</v>
      </c>
      <c r="R10" s="70"/>
      <c r="S10" s="340">
        <f>IDACI!C9</f>
        <v>8.9</v>
      </c>
      <c r="T10" s="341">
        <f t="shared" ref="T10:T33" si="0">((S10*$Z$44)+$AA$44)/$Y$2</f>
        <v>19.585420899839917</v>
      </c>
      <c r="U10" s="342">
        <f>O10-T10</f>
        <v>-3.0361251251920294</v>
      </c>
      <c r="V10" s="122"/>
      <c r="W10" s="139"/>
      <c r="X10" s="152"/>
      <c r="Y10" s="1400" t="str">
        <f t="shared" ref="Y10:Y33" si="1">B10</f>
        <v>Bracknell Forest</v>
      </c>
      <c r="Z10" s="1401">
        <f>IF(ISNUMBER(H10),IDACI!D9,0)</f>
        <v>24849</v>
      </c>
      <c r="AA10" s="1401">
        <f>IF(ISNUMBER(H10),IDACI!E9,0)</f>
        <v>2211.5610000000001</v>
      </c>
      <c r="AB10" s="1402">
        <f>IF(ISNUMBER(D10),Population!D10,"")</f>
        <v>28200</v>
      </c>
      <c r="AC10" s="1402">
        <f>IF(ISNUMBER(E10),Population!E10,"")</f>
        <v>28200</v>
      </c>
      <c r="AD10" s="1402">
        <f>IF(ISNUMBER(F10),Population!F10,"")</f>
        <v>28100</v>
      </c>
      <c r="AE10" s="1402">
        <f>IF(ISNUMBER(G10),Population!G10,"")</f>
        <v>28300</v>
      </c>
      <c r="AF10" s="205">
        <f>IF(ISNUMBER(H10),Population!H10,"")</f>
        <v>28400</v>
      </c>
      <c r="AG10" s="93" t="str">
        <f>B10</f>
        <v>Bracknell Forest</v>
      </c>
      <c r="AH10" s="231">
        <f>IFERROR(VLOOKUP(AG10,$B$10:$O$31,AH$9,FALSE),"")</f>
        <v>16.549295774647888</v>
      </c>
      <c r="AI10" s="206">
        <f>RANK(AH10,$AH$10:$AH$28,1)</f>
        <v>6</v>
      </c>
      <c r="AJ10" s="202"/>
      <c r="AK10" s="160"/>
      <c r="AL10" s="853">
        <f>IF(ISERROR((E10-D10)/D10),"x",(E10-D10)/D10)</f>
        <v>0.11666666666666667</v>
      </c>
      <c r="AM10" s="853">
        <f>IF(ISERROR((F10-E10)/E10),"x",(F10-E10)/E10)</f>
        <v>0.2537313432835821</v>
      </c>
      <c r="AN10" s="853">
        <f>IF(ISERROR((G10-F10)/F10),"x",(G10-F10)/F10)</f>
        <v>0</v>
      </c>
      <c r="AO10" s="853">
        <f>IF(ISERROR((H10-G10)/G10),"x",(H10-G10)/G10)</f>
        <v>-0.44047619047619047</v>
      </c>
      <c r="AP10" s="853">
        <f>AVERAGE(AL10:AO10)</f>
        <v>-1.7519545131485431E-2</v>
      </c>
      <c r="AR10" s="936">
        <f>IF(ISNUMBER(L10),L10,"")</f>
        <v>23.75886524822695</v>
      </c>
      <c r="AS10" s="936">
        <f t="shared" ref="AR10:AU25" si="2">IF(ISNUMBER(M10),M10,"")</f>
        <v>29.893238434163699</v>
      </c>
      <c r="AT10" s="936">
        <f t="shared" si="2"/>
        <v>29.681978798586574</v>
      </c>
      <c r="AU10" s="936">
        <f t="shared" si="2"/>
        <v>16.549295774647888</v>
      </c>
      <c r="AV10" s="936">
        <f t="shared" ref="AV10:AV22" si="3">SUM(AR10:AU10)</f>
        <v>99.883378255625104</v>
      </c>
      <c r="AW10" s="575">
        <f t="shared" ref="AW10:AW22" si="4">COUNTBLANK(AR10:AU10)</f>
        <v>0</v>
      </c>
      <c r="AX10" s="936">
        <f>AV10/(4-AW10)*4</f>
        <v>99.883378255625104</v>
      </c>
    </row>
    <row r="11" spans="1:50" s="87" customFormat="1" ht="13.5" customHeight="1" x14ac:dyDescent="0.2">
      <c r="A11" s="488">
        <f>VLOOKUP(B11,Sheet1!$AQ$4:$AR$25,2,FALSE)</f>
        <v>0</v>
      </c>
      <c r="B11" s="93" t="str">
        <f>Sheet1!$K$5</f>
        <v>Brighton &amp; Hove</v>
      </c>
      <c r="C11" s="85"/>
      <c r="D11" s="94">
        <f>IF(Year1_Brighton_Hove Year1_LAC_Start="","",Year1_Brighton_Hove Year1_LAC_Start)</f>
        <v>204</v>
      </c>
      <c r="E11" s="94">
        <f>IF(Year2_Brighton_Hove Year2_LAC_Start="","",Year2_Brighton_Hove Year2_LAC_Start)</f>
        <v>194</v>
      </c>
      <c r="F11" s="94">
        <f>IF(Year3_Brighton_Hove Year3_LAC_Start="","",Year3_Brighton_Hove Year3_LAC_Start)</f>
        <v>140</v>
      </c>
      <c r="G11" s="94">
        <f>IF(Year4_Brighton_Hove Year4_LAC_Start="","",Year4_Brighton_Hove Year4_LAC_Start)</f>
        <v>157</v>
      </c>
      <c r="H11" s="95">
        <f>IF(Year5_Brighton_Hove Year5_LAC_Start="","",Year5_Brighton_Hove Year5_LAC_Start)</f>
        <v>154</v>
      </c>
      <c r="I11" s="344">
        <f t="shared" ref="I11:I33" si="5">AP11</f>
        <v>-5.6262458033315102E-2</v>
      </c>
      <c r="J11" s="96"/>
      <c r="K11" s="97">
        <f>IF(ISNUMBER(D11),D11/Population!D11*10000,NA())</f>
        <v>39.84375</v>
      </c>
      <c r="L11" s="97">
        <f>IF(ISNUMBER(E11),E11/Population!E11*10000,NA())</f>
        <v>37.816764132553608</v>
      </c>
      <c r="M11" s="97">
        <f>IF(ISNUMBER(F11),F11/Population!F11*10000,NA())</f>
        <v>27.450980392156865</v>
      </c>
      <c r="N11" s="97">
        <f>IF(ISNUMBER(G11),G11/Population!G11*10000,NA())</f>
        <v>30.784313725490197</v>
      </c>
      <c r="O11" s="98">
        <f>IF(ISNUMBER(H11),H11/Population!H11*10000,NA())</f>
        <v>30.616302186878727</v>
      </c>
      <c r="P11" s="99">
        <f t="shared" ref="P11:P33" si="6">IF(ISNUMBER(O11),O11,"")</f>
        <v>30.616302186878727</v>
      </c>
      <c r="Q11" s="934">
        <f t="shared" ref="Q11:Q33" si="7">IF(ISNA(VLOOKUP(B11,$AG$10:$AI$28,3,FALSE)),"--",IF(ISNUMBER(H11),VLOOKUP(B11,$AG$10:$AI$28,3,FALSE),NA()))</f>
        <v>16</v>
      </c>
      <c r="R11" s="70"/>
      <c r="S11" s="340">
        <f>IDACI!C10</f>
        <v>15.299999999999999</v>
      </c>
      <c r="T11" s="341">
        <f t="shared" si="0"/>
        <v>26.73806309668279</v>
      </c>
      <c r="U11" s="342">
        <f t="shared" ref="U11:U33" si="8">O11-T11</f>
        <v>3.8782390901959367</v>
      </c>
      <c r="V11" s="122"/>
      <c r="W11" s="139"/>
      <c r="X11" s="152"/>
      <c r="Y11" s="1400" t="str">
        <f t="shared" si="1"/>
        <v>Brighton &amp; Hove</v>
      </c>
      <c r="Z11" s="1401">
        <f>IF(ISNUMBER(H11),IDACI!D10,0)</f>
        <v>45576</v>
      </c>
      <c r="AA11" s="1401">
        <f>IF(ISNUMBER(H11),IDACI!E10,0)</f>
        <v>6973.1279999999997</v>
      </c>
      <c r="AB11" s="1402">
        <f>IF(ISNUMBER(D11),Population!D11,"")</f>
        <v>51200</v>
      </c>
      <c r="AC11" s="1402">
        <f>IF(ISNUMBER(E11),Population!E11,"")</f>
        <v>51300</v>
      </c>
      <c r="AD11" s="1402">
        <f>IF(ISNUMBER(F11),Population!F11,"")</f>
        <v>51000</v>
      </c>
      <c r="AE11" s="1402">
        <f>IF(ISNUMBER(G11),Population!G11,"")</f>
        <v>51000</v>
      </c>
      <c r="AF11" s="205">
        <f>IF(ISNUMBER(H11),Population!H11,"")</f>
        <v>50300</v>
      </c>
      <c r="AG11" s="93" t="s">
        <v>31</v>
      </c>
      <c r="AH11" s="231">
        <f t="shared" ref="AH11:AH28" si="9">IFERROR(VLOOKUP(AG11,$B$10:$O$31,AH$9,FALSE),"")</f>
        <v>30.616302186878727</v>
      </c>
      <c r="AI11" s="206">
        <f t="shared" ref="AI11:AI28" si="10">RANK(AH11,$AH$10:$AH$28,1)</f>
        <v>16</v>
      </c>
      <c r="AJ11" s="202"/>
      <c r="AK11" s="160"/>
      <c r="AL11" s="853">
        <f t="shared" ref="AL11:AO33" si="11">IF(ISERROR((E11-D11)/D11),"x",(E11-D11)/D11)</f>
        <v>-4.9019607843137254E-2</v>
      </c>
      <c r="AM11" s="853">
        <f t="shared" si="11"/>
        <v>-0.27835051546391754</v>
      </c>
      <c r="AN11" s="853">
        <f t="shared" si="11"/>
        <v>0.12142857142857143</v>
      </c>
      <c r="AO11" s="853">
        <f t="shared" si="11"/>
        <v>-1.9108280254777069E-2</v>
      </c>
      <c r="AP11" s="853">
        <f t="shared" ref="AP11:AP32" si="12">AVERAGE(AL11:AO11)</f>
        <v>-5.6262458033315102E-2</v>
      </c>
      <c r="AR11" s="936">
        <f t="shared" si="2"/>
        <v>37.816764132553608</v>
      </c>
      <c r="AS11" s="936">
        <f t="shared" si="2"/>
        <v>27.450980392156865</v>
      </c>
      <c r="AT11" s="936">
        <f t="shared" si="2"/>
        <v>30.784313725490197</v>
      </c>
      <c r="AU11" s="936">
        <f t="shared" si="2"/>
        <v>30.616302186878727</v>
      </c>
      <c r="AV11" s="936">
        <f t="shared" si="3"/>
        <v>126.6683604370794</v>
      </c>
      <c r="AW11" s="575">
        <f t="shared" si="4"/>
        <v>0</v>
      </c>
      <c r="AX11" s="936">
        <f t="shared" ref="AX11:AX33" si="13">AV11/(4-AW11)*4</f>
        <v>126.6683604370794</v>
      </c>
    </row>
    <row r="12" spans="1:50" s="87" customFormat="1" ht="13.5" customHeight="1" x14ac:dyDescent="0.2">
      <c r="A12" s="488">
        <f>VLOOKUP(B12,Sheet1!$AQ$4:$AR$25,2,FALSE)</f>
        <v>0</v>
      </c>
      <c r="B12" s="93" t="str">
        <f>Sheet1!$K$6</f>
        <v>Buckinghamshire</v>
      </c>
      <c r="C12" s="85"/>
      <c r="D12" s="94">
        <f>IF(Year1_Buckinghamshire Year1_LAC_Start="","",Year1_Buckinghamshire Year1_LAC_Start)</f>
        <v>249</v>
      </c>
      <c r="E12" s="94">
        <f>IF(Year2_Buckinghamshire Year2_LAC_Start="","",Year2_Buckinghamshire Year2_LAC_Start)</f>
        <v>207</v>
      </c>
      <c r="F12" s="94">
        <f>IF(Year3_Buckinghamshire Year3_LAC_Start="","",Year3_Buckinghamshire Year3_LAC_Start)</f>
        <v>193</v>
      </c>
      <c r="G12" s="94">
        <f>IF(Year4_Buckinghamshire Year4_LAC_Start="","",Year4_Buckinghamshire Year4_LAC_Start)</f>
        <v>209</v>
      </c>
      <c r="H12" s="95">
        <f>IF(Year5_Buckinghamshire Year5_LAC_Start="","",Year5_Buckinghamshire Year5_LAC_Start)</f>
        <v>203</v>
      </c>
      <c r="I12" s="344">
        <f t="shared" si="5"/>
        <v>-4.5528532150968352E-2</v>
      </c>
      <c r="J12" s="96"/>
      <c r="K12" s="97">
        <f>IF(ISNUMBER(D12),D12/Population!D12*10000,NA())</f>
        <v>20.64676616915423</v>
      </c>
      <c r="L12" s="97">
        <f>IF(ISNUMBER(E12),E12/Population!E12*10000,NA())</f>
        <v>16.939443535188214</v>
      </c>
      <c r="M12" s="97">
        <f>IF(ISNUMBER(F12),F12/Population!F12*10000,NA())</f>
        <v>15.678310316815598</v>
      </c>
      <c r="N12" s="97">
        <f>IF(ISNUMBER(G12),G12/Population!G12*10000,NA())</f>
        <v>16.814159292035399</v>
      </c>
      <c r="O12" s="98">
        <f>IF(ISNUMBER(H12),H12/Population!H12*10000,NA())</f>
        <v>16.149562450278442</v>
      </c>
      <c r="P12" s="99">
        <f t="shared" si="6"/>
        <v>16.149562450278442</v>
      </c>
      <c r="Q12" s="934">
        <f t="shared" si="7"/>
        <v>4</v>
      </c>
      <c r="R12" s="70"/>
      <c r="S12" s="340">
        <f>IDACI!C11</f>
        <v>8.5</v>
      </c>
      <c r="T12" s="341">
        <f t="shared" si="0"/>
        <v>19.138380762537238</v>
      </c>
      <c r="U12" s="342">
        <f t="shared" si="8"/>
        <v>-2.9888183122587968</v>
      </c>
      <c r="V12" s="122"/>
      <c r="W12" s="139"/>
      <c r="X12" s="152"/>
      <c r="Y12" s="1400" t="str">
        <f t="shared" si="1"/>
        <v>Buckinghamshire</v>
      </c>
      <c r="Z12" s="1401">
        <f>IF(ISNUMBER(H12),IDACI!D11,0)</f>
        <v>107385</v>
      </c>
      <c r="AA12" s="1401">
        <f>IF(ISNUMBER(H12),IDACI!E11,0)</f>
        <v>9127.7250000000004</v>
      </c>
      <c r="AB12" s="1402">
        <f>IF(ISNUMBER(D12),Population!D12,"")</f>
        <v>120600</v>
      </c>
      <c r="AC12" s="1402">
        <f>IF(ISNUMBER(E12),Population!E12,"")</f>
        <v>122200</v>
      </c>
      <c r="AD12" s="1402">
        <f>IF(ISNUMBER(F12),Population!F12,"")</f>
        <v>123100</v>
      </c>
      <c r="AE12" s="1402">
        <f>IF(ISNUMBER(G12),Population!G12,"")</f>
        <v>124300</v>
      </c>
      <c r="AF12" s="205">
        <f>IF(ISNUMBER(H12),Population!H12,"")</f>
        <v>125700</v>
      </c>
      <c r="AG12" s="93" t="s">
        <v>8</v>
      </c>
      <c r="AH12" s="231">
        <f t="shared" si="9"/>
        <v>16.149562450278442</v>
      </c>
      <c r="AI12" s="206">
        <f t="shared" si="10"/>
        <v>4</v>
      </c>
      <c r="AJ12" s="202"/>
      <c r="AK12" s="160"/>
      <c r="AL12" s="853">
        <f t="shared" si="11"/>
        <v>-0.16867469879518071</v>
      </c>
      <c r="AM12" s="853">
        <f t="shared" si="11"/>
        <v>-6.7632850241545889E-2</v>
      </c>
      <c r="AN12" s="853">
        <f t="shared" si="11"/>
        <v>8.2901554404145081E-2</v>
      </c>
      <c r="AO12" s="853">
        <f t="shared" si="11"/>
        <v>-2.8708133971291867E-2</v>
      </c>
      <c r="AP12" s="853">
        <f t="shared" si="12"/>
        <v>-4.5528532150968352E-2</v>
      </c>
      <c r="AR12" s="936">
        <f t="shared" si="2"/>
        <v>16.939443535188214</v>
      </c>
      <c r="AS12" s="936">
        <f t="shared" si="2"/>
        <v>15.678310316815598</v>
      </c>
      <c r="AT12" s="936">
        <f t="shared" si="2"/>
        <v>16.814159292035399</v>
      </c>
      <c r="AU12" s="936">
        <f t="shared" si="2"/>
        <v>16.149562450278442</v>
      </c>
      <c r="AV12" s="936">
        <f t="shared" si="3"/>
        <v>65.581475594317652</v>
      </c>
      <c r="AW12" s="575">
        <f t="shared" si="4"/>
        <v>0</v>
      </c>
      <c r="AX12" s="936">
        <f t="shared" si="13"/>
        <v>65.581475594317652</v>
      </c>
    </row>
    <row r="13" spans="1:50" s="87" customFormat="1" ht="13.5" customHeight="1" x14ac:dyDescent="0.2">
      <c r="A13" s="488">
        <f>VLOOKUP(B13,Sheet1!$AQ$4:$AR$25,2,FALSE)</f>
        <v>0</v>
      </c>
      <c r="B13" s="93" t="str">
        <f>Sheet1!$K$7</f>
        <v>East Sussex</v>
      </c>
      <c r="C13" s="85"/>
      <c r="D13" s="94">
        <f>IF(Year1_East_Sussex Year1_LAC_Start="","",Year1_East_Sussex Year1_LAC_Start)</f>
        <v>184</v>
      </c>
      <c r="E13" s="100">
        <f>IF(Year2_East_Sussex Year2_LAC_Start="","",Year2_East_Sussex Year2_LAC_Start)</f>
        <v>198</v>
      </c>
      <c r="F13" s="94">
        <f>IF(Year3_East_Sussex Year3_LAC_Start="","",Year3_East_Sussex Year3_LAC_Start)</f>
        <v>203</v>
      </c>
      <c r="G13" s="94">
        <f>IF(Year4_East_Sussex Year4_LAC_Start="","",Year4_East_Sussex Year4_LAC_Start)</f>
        <v>192</v>
      </c>
      <c r="H13" s="95">
        <f>IF(Year5_East_Sussex Year5_LAC_Start="","",Year5_East_Sussex Year5_LAC_Start)</f>
        <v>174</v>
      </c>
      <c r="I13" s="344">
        <f t="shared" si="5"/>
        <v>-1.1649427585990555E-2</v>
      </c>
      <c r="J13" s="96"/>
      <c r="K13" s="97">
        <f>IF(ISNUMBER(D13),D13/Population!D13*10000,NA())</f>
        <v>17.37488196411709</v>
      </c>
      <c r="L13" s="97">
        <f>IF(ISNUMBER(E13),E13/Population!E13*10000,NA())</f>
        <v>18.696883852691219</v>
      </c>
      <c r="M13" s="97">
        <f>IF(ISNUMBER(F13),F13/Population!F13*10000,NA())</f>
        <v>19.150943396226413</v>
      </c>
      <c r="N13" s="97">
        <f>IF(ISNUMBER(G13),G13/Population!G13*10000,NA())</f>
        <v>18.045112781954888</v>
      </c>
      <c r="O13" s="98">
        <f>IF(ISNUMBER(H13),H13/Population!H13*10000,NA())</f>
        <v>16.368767638758232</v>
      </c>
      <c r="P13" s="99">
        <f t="shared" si="6"/>
        <v>16.368767638758232</v>
      </c>
      <c r="Q13" s="934">
        <f t="shared" si="7"/>
        <v>5</v>
      </c>
      <c r="R13" s="70"/>
      <c r="S13" s="340">
        <f>IDACI!C12</f>
        <v>16.100000000000001</v>
      </c>
      <c r="T13" s="341">
        <f t="shared" si="0"/>
        <v>27.632143371288151</v>
      </c>
      <c r="U13" s="342">
        <f t="shared" si="8"/>
        <v>-11.263375732529919</v>
      </c>
      <c r="V13" s="122"/>
      <c r="W13" s="139"/>
      <c r="X13" s="152"/>
      <c r="Y13" s="1400" t="str">
        <f t="shared" si="1"/>
        <v>East Sussex</v>
      </c>
      <c r="Z13" s="1401">
        <f>IF(ISNUMBER(H13),IDACI!D12,0)</f>
        <v>93130</v>
      </c>
      <c r="AA13" s="1401">
        <f>IF(ISNUMBER(H13),IDACI!E12,0)</f>
        <v>14993.93</v>
      </c>
      <c r="AB13" s="1402">
        <f>IF(ISNUMBER(D13),Population!D13,"")</f>
        <v>105900</v>
      </c>
      <c r="AC13" s="1402">
        <f>IF(ISNUMBER(E13),Population!E13,"")</f>
        <v>105900</v>
      </c>
      <c r="AD13" s="1402">
        <f>IF(ISNUMBER(F13),Population!F13,"")</f>
        <v>106000</v>
      </c>
      <c r="AE13" s="1402">
        <f>IF(ISNUMBER(G13),Population!G13,"")</f>
        <v>106400</v>
      </c>
      <c r="AF13" s="205">
        <f>IF(ISNUMBER(H13),Population!H13,"")</f>
        <v>106300</v>
      </c>
      <c r="AG13" s="93" t="s">
        <v>4</v>
      </c>
      <c r="AH13" s="231">
        <f t="shared" si="9"/>
        <v>16.368767638758232</v>
      </c>
      <c r="AI13" s="206">
        <f t="shared" si="10"/>
        <v>5</v>
      </c>
      <c r="AJ13" s="202"/>
      <c r="AK13" s="160"/>
      <c r="AL13" s="853">
        <f t="shared" si="11"/>
        <v>7.6086956521739135E-2</v>
      </c>
      <c r="AM13" s="853">
        <f t="shared" si="11"/>
        <v>2.5252525252525252E-2</v>
      </c>
      <c r="AN13" s="853">
        <f t="shared" si="11"/>
        <v>-5.4187192118226604E-2</v>
      </c>
      <c r="AO13" s="853">
        <f t="shared" si="11"/>
        <v>-9.375E-2</v>
      </c>
      <c r="AP13" s="853">
        <f t="shared" si="12"/>
        <v>-1.1649427585990555E-2</v>
      </c>
      <c r="AR13" s="936">
        <f t="shared" si="2"/>
        <v>18.696883852691219</v>
      </c>
      <c r="AS13" s="936">
        <f t="shared" si="2"/>
        <v>19.150943396226413</v>
      </c>
      <c r="AT13" s="936">
        <f t="shared" si="2"/>
        <v>18.045112781954888</v>
      </c>
      <c r="AU13" s="936">
        <f t="shared" si="2"/>
        <v>16.368767638758232</v>
      </c>
      <c r="AV13" s="936">
        <f t="shared" si="3"/>
        <v>72.261707669630752</v>
      </c>
      <c r="AW13" s="575">
        <f t="shared" si="4"/>
        <v>0</v>
      </c>
      <c r="AX13" s="936">
        <f t="shared" si="13"/>
        <v>72.261707669630752</v>
      </c>
    </row>
    <row r="14" spans="1:50" s="87" customFormat="1" ht="13.5" customHeight="1" x14ac:dyDescent="0.2">
      <c r="A14" s="488">
        <f>VLOOKUP(B14,Sheet1!$AQ$4:$AR$25,2,FALSE)</f>
        <v>0</v>
      </c>
      <c r="B14" s="93" t="str">
        <f>Sheet1!$K$8</f>
        <v>Hampshire</v>
      </c>
      <c r="C14" s="85"/>
      <c r="D14" s="94">
        <f>IF(Year1_Hampshire Year1_LAC_Start="","",Year1_Hampshire Year1_LAC_Start)</f>
        <v>507</v>
      </c>
      <c r="E14" s="94">
        <f>IF(Year2_Hampshire Year2_LAC_Start="","",Year2_Hampshire Year2_LAC_Start)</f>
        <v>647</v>
      </c>
      <c r="F14" s="101">
        <f>IF(Year3_Hampshire Year3_LAC_Start="","",Year3_Hampshire Year3_LAC_Start)</f>
        <v>629</v>
      </c>
      <c r="G14" s="101">
        <f>IF(Year4_Hampshire Year4_LAC_Start="","",Year4_Hampshire Year4_LAC_Start)</f>
        <v>652</v>
      </c>
      <c r="H14" s="95">
        <f>IF(Year5_Hampshire Year5_LAC_Start="","",Year5_Hampshire Year5_LAC_Start)</f>
        <v>549</v>
      </c>
      <c r="I14" s="344">
        <f t="shared" si="5"/>
        <v>3.172598223349813E-2</v>
      </c>
      <c r="J14" s="96"/>
      <c r="K14" s="97">
        <f>IF(ISNUMBER(D14),D14/Population!D14*10000,NA())</f>
        <v>17.985101099680737</v>
      </c>
      <c r="L14" s="97">
        <f>IF(ISNUMBER(E14),E14/Population!E14*10000,NA())</f>
        <v>22.878359264497877</v>
      </c>
      <c r="M14" s="97">
        <f>IF(ISNUMBER(F14),F14/Population!F14*10000,NA())</f>
        <v>22.202612072008471</v>
      </c>
      <c r="N14" s="97">
        <f>IF(ISNUMBER(G14),G14/Population!G14*10000,NA())</f>
        <v>22.95774647887324</v>
      </c>
      <c r="O14" s="98">
        <f>IF(ISNUMBER(H14),H14/Population!H14*10000,NA())</f>
        <v>19.310587407667956</v>
      </c>
      <c r="P14" s="99">
        <f t="shared" si="6"/>
        <v>19.310587407667956</v>
      </c>
      <c r="Q14" s="934">
        <f t="shared" si="7"/>
        <v>8</v>
      </c>
      <c r="R14" s="70"/>
      <c r="S14" s="340">
        <f>IDACI!C13</f>
        <v>10.100000000000001</v>
      </c>
      <c r="T14" s="341">
        <f t="shared" si="0"/>
        <v>20.926541311747961</v>
      </c>
      <c r="U14" s="342">
        <f t="shared" si="8"/>
        <v>-1.6159539040800048</v>
      </c>
      <c r="V14" s="122"/>
      <c r="W14" s="139"/>
      <c r="X14" s="152"/>
      <c r="Y14" s="1400" t="str">
        <f t="shared" si="1"/>
        <v>Hampshire</v>
      </c>
      <c r="Z14" s="1401">
        <f>IF(ISNUMBER(H14),IDACI!D13,0)</f>
        <v>249483</v>
      </c>
      <c r="AA14" s="1401">
        <f>IF(ISNUMBER(H14),IDACI!E13,0)</f>
        <v>25197.783000000007</v>
      </c>
      <c r="AB14" s="1402">
        <f>IF(ISNUMBER(D14),Population!D14,"")</f>
        <v>281900</v>
      </c>
      <c r="AC14" s="1402">
        <f>IF(ISNUMBER(E14),Population!E14,"")</f>
        <v>282800</v>
      </c>
      <c r="AD14" s="1402">
        <f>IF(ISNUMBER(F14),Population!F14,"")</f>
        <v>283300</v>
      </c>
      <c r="AE14" s="1402">
        <f>IF(ISNUMBER(G14),Population!G14,"")</f>
        <v>284000</v>
      </c>
      <c r="AF14" s="205">
        <f>IF(ISNUMBER(H14),Population!H14,"")</f>
        <v>284300</v>
      </c>
      <c r="AG14" s="93" t="s">
        <v>6</v>
      </c>
      <c r="AH14" s="231">
        <f t="shared" si="9"/>
        <v>19.310587407667956</v>
      </c>
      <c r="AI14" s="206">
        <f t="shared" si="10"/>
        <v>8</v>
      </c>
      <c r="AJ14" s="202"/>
      <c r="AK14" s="160"/>
      <c r="AL14" s="853">
        <f t="shared" si="11"/>
        <v>0.27613412228796846</v>
      </c>
      <c r="AM14" s="853">
        <f t="shared" si="11"/>
        <v>-2.7820710973724884E-2</v>
      </c>
      <c r="AN14" s="853">
        <f t="shared" si="11"/>
        <v>3.6565977742448331E-2</v>
      </c>
      <c r="AO14" s="853">
        <f t="shared" si="11"/>
        <v>-0.15797546012269939</v>
      </c>
      <c r="AP14" s="853">
        <f t="shared" si="12"/>
        <v>3.172598223349813E-2</v>
      </c>
      <c r="AR14" s="936">
        <f t="shared" si="2"/>
        <v>22.878359264497877</v>
      </c>
      <c r="AS14" s="936">
        <f t="shared" si="2"/>
        <v>22.202612072008471</v>
      </c>
      <c r="AT14" s="936">
        <f t="shared" si="2"/>
        <v>22.95774647887324</v>
      </c>
      <c r="AU14" s="936">
        <f t="shared" si="2"/>
        <v>19.310587407667956</v>
      </c>
      <c r="AV14" s="936">
        <f t="shared" si="3"/>
        <v>87.349305223047537</v>
      </c>
      <c r="AW14" s="575">
        <f t="shared" si="4"/>
        <v>0</v>
      </c>
      <c r="AX14" s="936">
        <f t="shared" si="13"/>
        <v>87.349305223047537</v>
      </c>
    </row>
    <row r="15" spans="1:50" s="87" customFormat="1" ht="13.5" customHeight="1" x14ac:dyDescent="0.2">
      <c r="A15" s="488">
        <f>VLOOKUP(B15,Sheet1!$AQ$4:$AR$25,2,FALSE)</f>
        <v>0</v>
      </c>
      <c r="B15" s="93" t="str">
        <f>Sheet1!$K$9</f>
        <v>Isle of Wight</v>
      </c>
      <c r="C15" s="85"/>
      <c r="D15" s="94">
        <f>IF(Year1_Isle_of_Wight Year1_LAC_Start="","",Year1_Isle_of_Wight Year1_LAC_Start)</f>
        <v>73</v>
      </c>
      <c r="E15" s="94">
        <f>IF(Year2_Isle_of_Wight Year2_LAC_Start="","",Year2_Isle_of_Wight Year2_LAC_Start)</f>
        <v>99</v>
      </c>
      <c r="F15" s="94">
        <f>IF(Year3_Isle_of_Wight Year3_LAC_Start="","",Year3_Isle_of_Wight Year3_LAC_Start)</f>
        <v>76</v>
      </c>
      <c r="G15" s="94">
        <f>IF(Year4_Isle_of_Wight Year4_LAC_Start="","",Year4_Isle_of_Wight Year4_LAC_Start)</f>
        <v>74</v>
      </c>
      <c r="H15" s="95">
        <f>IF(Year5_Isle_of_Wight Year5_LAC_Start="","",Year5_Isle_of_Wight Year5_LAC_Start)</f>
        <v>72</v>
      </c>
      <c r="I15" s="344">
        <f t="shared" si="5"/>
        <v>1.7624583684425064E-2</v>
      </c>
      <c r="J15" s="96"/>
      <c r="K15" s="97">
        <f>IF(ISNUMBER(D15),D15/Population!D15*10000,NA())</f>
        <v>28.853754940711465</v>
      </c>
      <c r="L15" s="97">
        <f>IF(ISNUMBER(E15),E15/Population!E15*10000,NA())</f>
        <v>39.285714285714292</v>
      </c>
      <c r="M15" s="97">
        <f>IF(ISNUMBER(F15),F15/Population!F15*10000,NA())</f>
        <v>30.278884462151392</v>
      </c>
      <c r="N15" s="97">
        <f>IF(ISNUMBER(G15),G15/Population!G15*10000,NA())</f>
        <v>29.718875502008032</v>
      </c>
      <c r="O15" s="98">
        <f>IF(ISNUMBER(H15),H15/Population!H15*10000,NA())</f>
        <v>29.149797570850204</v>
      </c>
      <c r="P15" s="99">
        <f t="shared" si="6"/>
        <v>29.149797570850204</v>
      </c>
      <c r="Q15" s="934">
        <f>IF(ISNA(VLOOKUP(B15,$AG$10:$AI$28,3,FALSE)),"--",IF(ISNUMBER(H15),VLOOKUP(B15,$AG$10:$AI$28,3,FALSE),NA()))</f>
        <v>15</v>
      </c>
      <c r="R15" s="70"/>
      <c r="S15" s="340">
        <f>IDACI!C14</f>
        <v>18</v>
      </c>
      <c r="T15" s="341">
        <f t="shared" si="0"/>
        <v>29.75558402347588</v>
      </c>
      <c r="U15" s="342">
        <f t="shared" si="8"/>
        <v>-0.60578645262567576</v>
      </c>
      <c r="V15" s="122"/>
      <c r="W15" s="139"/>
      <c r="X15" s="152"/>
      <c r="Y15" s="1400" t="str">
        <f t="shared" si="1"/>
        <v>Isle of Wight</v>
      </c>
      <c r="Z15" s="1401">
        <f>IF(ISNUMBER(H15),IDACI!D14,0)</f>
        <v>22123</v>
      </c>
      <c r="AA15" s="1401">
        <f>IF(ISNUMBER(H15),IDACI!E14,0)</f>
        <v>3982.14</v>
      </c>
      <c r="AB15" s="1402">
        <f>IF(ISNUMBER(D15),Population!D15,"")</f>
        <v>25300</v>
      </c>
      <c r="AC15" s="1402">
        <f>IF(ISNUMBER(E15),Population!E15,"")</f>
        <v>25200</v>
      </c>
      <c r="AD15" s="1402">
        <f>IF(ISNUMBER(F15),Population!F15,"")</f>
        <v>25100</v>
      </c>
      <c r="AE15" s="1402">
        <f>IF(ISNUMBER(G15),Population!G15,"")</f>
        <v>24900</v>
      </c>
      <c r="AF15" s="205">
        <f>IF(ISNUMBER(H15),Population!H15,"")</f>
        <v>24700</v>
      </c>
      <c r="AG15" s="93" t="s">
        <v>1</v>
      </c>
      <c r="AH15" s="231">
        <f t="shared" si="9"/>
        <v>29.149797570850204</v>
      </c>
      <c r="AI15" s="206">
        <f t="shared" si="10"/>
        <v>15</v>
      </c>
      <c r="AJ15" s="202"/>
      <c r="AK15" s="160"/>
      <c r="AL15" s="853">
        <f t="shared" si="11"/>
        <v>0.35616438356164382</v>
      </c>
      <c r="AM15" s="853">
        <f t="shared" si="11"/>
        <v>-0.23232323232323232</v>
      </c>
      <c r="AN15" s="853">
        <f t="shared" si="11"/>
        <v>-2.6315789473684209E-2</v>
      </c>
      <c r="AO15" s="853">
        <f t="shared" si="11"/>
        <v>-2.7027027027027029E-2</v>
      </c>
      <c r="AP15" s="853">
        <f t="shared" si="12"/>
        <v>1.7624583684425064E-2</v>
      </c>
      <c r="AR15" s="936">
        <f t="shared" si="2"/>
        <v>39.285714285714292</v>
      </c>
      <c r="AS15" s="936">
        <f t="shared" si="2"/>
        <v>30.278884462151392</v>
      </c>
      <c r="AT15" s="936">
        <f t="shared" si="2"/>
        <v>29.718875502008032</v>
      </c>
      <c r="AU15" s="936">
        <f t="shared" si="2"/>
        <v>29.149797570850204</v>
      </c>
      <c r="AV15" s="936">
        <f t="shared" si="3"/>
        <v>128.43327182072392</v>
      </c>
      <c r="AW15" s="575">
        <f t="shared" si="4"/>
        <v>0</v>
      </c>
      <c r="AX15" s="936">
        <f t="shared" si="13"/>
        <v>128.43327182072392</v>
      </c>
    </row>
    <row r="16" spans="1:50" s="87" customFormat="1" ht="13.5" customHeight="1" x14ac:dyDescent="0.2">
      <c r="A16" s="488">
        <f>VLOOKUP(B16,Sheet1!$AQ$4:$AR$25,2,FALSE)</f>
        <v>0</v>
      </c>
      <c r="B16" s="93" t="str">
        <f>Sheet1!$K$10</f>
        <v>Kent</v>
      </c>
      <c r="C16" s="85"/>
      <c r="D16" s="94">
        <f>IF(Year1_Kent Year1_LAC_Start="","",Year1_Kent Year1_LAC_Start)</f>
        <v>1504</v>
      </c>
      <c r="E16" s="94">
        <f>IF(Year2_Kent Year2_LAC_Start="","",Year2_Kent Year2_LAC_Start)</f>
        <v>890</v>
      </c>
      <c r="F16" s="94">
        <f>IF(Year3_Kent Year3_LAC_Start="","",Year3_Kent Year3_LAC_Start)</f>
        <v>768</v>
      </c>
      <c r="G16" s="94">
        <f>IF(Year4_Kent Year4_LAC_Start="","",Year4_Kent Year4_LAC_Start)</f>
        <v>696</v>
      </c>
      <c r="H16" s="95">
        <f>IF(Year5_Kent Year5_LAC_Start="","",Year5_Kent Year5_LAC_Start)</f>
        <v>946</v>
      </c>
      <c r="I16" s="344">
        <f t="shared" si="5"/>
        <v>-6.996948255940165E-2</v>
      </c>
      <c r="J16" s="96"/>
      <c r="K16" s="97">
        <f>IF(ISNUMBER(D16),D16/Population!D16*10000,NA())</f>
        <v>45.520581113801448</v>
      </c>
      <c r="L16" s="97">
        <f>IF(ISNUMBER(E16),E16/Population!E16*10000,NA())</f>
        <v>26.726726726726728</v>
      </c>
      <c r="M16" s="97">
        <f>IF(ISNUMBER(F16),F16/Population!F16*10000,NA())</f>
        <v>22.850342160071406</v>
      </c>
      <c r="N16" s="97">
        <f>IF(ISNUMBER(G16),G16/Population!G16*10000,NA())</f>
        <v>20.464569244339902</v>
      </c>
      <c r="O16" s="98">
        <f>IF(ISNUMBER(H16),H16/Population!H16*10000,NA())</f>
        <v>27.515997673065737</v>
      </c>
      <c r="P16" s="99">
        <f t="shared" si="6"/>
        <v>27.515997673065737</v>
      </c>
      <c r="Q16" s="934">
        <f t="shared" si="7"/>
        <v>14</v>
      </c>
      <c r="R16" s="70"/>
      <c r="S16" s="340">
        <f>IDACI!C15</f>
        <v>15.8</v>
      </c>
      <c r="T16" s="341">
        <f t="shared" si="0"/>
        <v>27.296863268311142</v>
      </c>
      <c r="U16" s="342">
        <f t="shared" si="8"/>
        <v>0.21913440475459467</v>
      </c>
      <c r="V16" s="122"/>
      <c r="W16" s="139"/>
      <c r="X16" s="152"/>
      <c r="Y16" s="1400" t="str">
        <f t="shared" si="1"/>
        <v>Kent</v>
      </c>
      <c r="Z16" s="1401">
        <f>IF(ISNUMBER(H16),IDACI!D15,0)</f>
        <v>291866</v>
      </c>
      <c r="AA16" s="1401">
        <f>IF(ISNUMBER(H16),IDACI!E15,0)</f>
        <v>46114.828000000001</v>
      </c>
      <c r="AB16" s="1402">
        <f>IF(ISNUMBER(D16),Population!D16,"")</f>
        <v>330400</v>
      </c>
      <c r="AC16" s="1402">
        <f>IF(ISNUMBER(E16),Population!E16,"")</f>
        <v>333000</v>
      </c>
      <c r="AD16" s="1402">
        <f>IF(ISNUMBER(F16),Population!F16,"")</f>
        <v>336100</v>
      </c>
      <c r="AE16" s="1402">
        <f>IF(ISNUMBER(G16),Population!G16,"")</f>
        <v>340100</v>
      </c>
      <c r="AF16" s="205">
        <f>IF(ISNUMBER(H16),Population!H16,"")</f>
        <v>343800</v>
      </c>
      <c r="AG16" s="93" t="s">
        <v>9</v>
      </c>
      <c r="AH16" s="231">
        <f t="shared" si="9"/>
        <v>27.515997673065737</v>
      </c>
      <c r="AI16" s="206">
        <f t="shared" si="10"/>
        <v>14</v>
      </c>
      <c r="AJ16" s="202"/>
      <c r="AK16" s="160"/>
      <c r="AL16" s="853">
        <f t="shared" si="11"/>
        <v>-0.40824468085106386</v>
      </c>
      <c r="AM16" s="853">
        <f t="shared" si="11"/>
        <v>-0.13707865168539327</v>
      </c>
      <c r="AN16" s="853">
        <f t="shared" si="11"/>
        <v>-9.375E-2</v>
      </c>
      <c r="AO16" s="853">
        <f t="shared" si="11"/>
        <v>0.35919540229885055</v>
      </c>
      <c r="AP16" s="853">
        <f t="shared" si="12"/>
        <v>-6.996948255940165E-2</v>
      </c>
      <c r="AR16" s="936">
        <f t="shared" si="2"/>
        <v>26.726726726726728</v>
      </c>
      <c r="AS16" s="936">
        <f t="shared" si="2"/>
        <v>22.850342160071406</v>
      </c>
      <c r="AT16" s="936">
        <f t="shared" si="2"/>
        <v>20.464569244339902</v>
      </c>
      <c r="AU16" s="936">
        <f t="shared" si="2"/>
        <v>27.515997673065737</v>
      </c>
      <c r="AV16" s="936">
        <f t="shared" si="3"/>
        <v>97.55763580420377</v>
      </c>
      <c r="AW16" s="575">
        <f t="shared" si="4"/>
        <v>0</v>
      </c>
      <c r="AX16" s="936">
        <f t="shared" si="13"/>
        <v>97.55763580420377</v>
      </c>
    </row>
    <row r="17" spans="1:50" s="87" customFormat="1" ht="13.5" customHeight="1" x14ac:dyDescent="0.2">
      <c r="A17" s="488">
        <f>VLOOKUP(B17,Sheet1!$AQ$4:$AR$25,2,FALSE)</f>
        <v>0</v>
      </c>
      <c r="B17" s="93" t="str">
        <f>Sheet1!$K$11</f>
        <v>Medway</v>
      </c>
      <c r="C17" s="85"/>
      <c r="D17" s="94">
        <f>IF(Year1_Medway Year1_LAC_Start="","",Year1_Medway Year1_LAC_Start)</f>
        <v>208</v>
      </c>
      <c r="E17" s="301">
        <f>IF(Year2_Medway Year2_LAC_Start="","",Year2_Medway Year2_LAC_Start)</f>
        <v>145</v>
      </c>
      <c r="F17" s="301">
        <f>IF(Year3_Medway Year3_LAC_Start="","",Year3_Medway Year3_LAC_Start)</f>
        <v>175</v>
      </c>
      <c r="G17" s="301">
        <f>IF(Year4_Medway Year4_LAC_Start="","",Year4_Medway Year4_LAC_Start)</f>
        <v>167</v>
      </c>
      <c r="H17" s="302">
        <f>IF(Year5_Medway Year5_LAC_Start="","",Year5_Medway Year5_LAC_Start)</f>
        <v>174</v>
      </c>
      <c r="I17" s="344">
        <f t="shared" si="5"/>
        <v>-2.4946545427523122E-2</v>
      </c>
      <c r="J17" s="96"/>
      <c r="K17" s="97">
        <f>IF(ISNUMBER(D17),D17/Population!D17*10000,NA())</f>
        <v>32.911392405063289</v>
      </c>
      <c r="L17" s="97">
        <f>IF(ISNUMBER(E17),E17/Population!E17*10000,NA())</f>
        <v>22.762951334379906</v>
      </c>
      <c r="M17" s="97">
        <f>IF(ISNUMBER(F17),F17/Population!F17*10000,NA())</f>
        <v>27.386541471048513</v>
      </c>
      <c r="N17" s="97">
        <f>IF(ISNUMBER(G17),G17/Population!G17*10000,NA())</f>
        <v>25.93167701863354</v>
      </c>
      <c r="O17" s="98">
        <f>IF(ISNUMBER(H17),H17/Population!H17*10000,NA())</f>
        <v>26.769230769230766</v>
      </c>
      <c r="P17" s="99">
        <f t="shared" si="6"/>
        <v>26.769230769230766</v>
      </c>
      <c r="Q17" s="934">
        <f t="shared" si="7"/>
        <v>13</v>
      </c>
      <c r="R17" s="70"/>
      <c r="S17" s="340">
        <f>IDACI!C16</f>
        <v>18.899999999999999</v>
      </c>
      <c r="T17" s="341">
        <f t="shared" si="0"/>
        <v>30.761424332406907</v>
      </c>
      <c r="U17" s="342">
        <f t="shared" si="8"/>
        <v>-3.9921935631761407</v>
      </c>
      <c r="V17" s="122"/>
      <c r="W17" s="139"/>
      <c r="X17" s="152"/>
      <c r="Y17" s="1400" t="str">
        <f t="shared" si="1"/>
        <v>Medway</v>
      </c>
      <c r="Z17" s="1401">
        <f>IF(ISNUMBER(H17),IDACI!D16,0)</f>
        <v>55993</v>
      </c>
      <c r="AA17" s="1401">
        <f>IF(ISNUMBER(H17),IDACI!E16,0)</f>
        <v>10582.676999999998</v>
      </c>
      <c r="AB17" s="1402">
        <f>IF(ISNUMBER(D17),Population!D17,"")</f>
        <v>63200</v>
      </c>
      <c r="AC17" s="1402">
        <f>IF(ISNUMBER(E17),Population!E17,"")</f>
        <v>63700</v>
      </c>
      <c r="AD17" s="1402">
        <f>IF(ISNUMBER(F17),Population!F17,"")</f>
        <v>63900</v>
      </c>
      <c r="AE17" s="1402">
        <f>IF(ISNUMBER(G17),Population!G17,"")</f>
        <v>64400</v>
      </c>
      <c r="AF17" s="205">
        <f>IF(ISNUMBER(H17),Population!H17,"")</f>
        <v>65000</v>
      </c>
      <c r="AG17" s="93" t="s">
        <v>2</v>
      </c>
      <c r="AH17" s="231">
        <f t="shared" si="9"/>
        <v>26.769230769230766</v>
      </c>
      <c r="AI17" s="206">
        <f t="shared" si="10"/>
        <v>13</v>
      </c>
      <c r="AJ17" s="202"/>
      <c r="AK17" s="160"/>
      <c r="AL17" s="853">
        <f t="shared" si="11"/>
        <v>-0.30288461538461536</v>
      </c>
      <c r="AM17" s="853">
        <f t="shared" si="11"/>
        <v>0.20689655172413793</v>
      </c>
      <c r="AN17" s="853">
        <f t="shared" si="11"/>
        <v>-4.5714285714285714E-2</v>
      </c>
      <c r="AO17" s="853">
        <f t="shared" si="11"/>
        <v>4.1916167664670656E-2</v>
      </c>
      <c r="AP17" s="853">
        <f t="shared" si="12"/>
        <v>-2.4946545427523122E-2</v>
      </c>
      <c r="AR17" s="936">
        <f t="shared" si="2"/>
        <v>22.762951334379906</v>
      </c>
      <c r="AS17" s="936">
        <f t="shared" si="2"/>
        <v>27.386541471048513</v>
      </c>
      <c r="AT17" s="936">
        <f t="shared" si="2"/>
        <v>25.93167701863354</v>
      </c>
      <c r="AU17" s="936">
        <f t="shared" si="2"/>
        <v>26.769230769230766</v>
      </c>
      <c r="AV17" s="936">
        <f t="shared" si="3"/>
        <v>102.85040059329273</v>
      </c>
      <c r="AW17" s="575">
        <f t="shared" si="4"/>
        <v>0</v>
      </c>
      <c r="AX17" s="936">
        <f t="shared" si="13"/>
        <v>102.85040059329273</v>
      </c>
    </row>
    <row r="18" spans="1:50" s="87" customFormat="1" ht="13.5" customHeight="1" x14ac:dyDescent="0.2">
      <c r="A18" s="488">
        <f>VLOOKUP(B18,Sheet1!$AQ$4:$AR$25,2,FALSE)</f>
        <v>0</v>
      </c>
      <c r="B18" s="93" t="str">
        <f>Sheet1!$K$12</f>
        <v>Milton Keynes</v>
      </c>
      <c r="C18" s="85"/>
      <c r="D18" s="94">
        <f>IF(Year1_Milton_Keynes Year1_LAC_Start="","",Year1_Milton_Keynes Year1_LAC_Start)</f>
        <v>183</v>
      </c>
      <c r="E18" s="94">
        <f>IF(Year2_Milton_Keynes Year2_LAC_Start="","",Year2_Milton_Keynes Year2_LAC_Start)</f>
        <v>197</v>
      </c>
      <c r="F18" s="94">
        <f>IF(Year3_Milton_Keynes Year3_LAC_Start="","",Year3_Milton_Keynes Year3_LAC_Start)</f>
        <v>140</v>
      </c>
      <c r="G18" s="94">
        <f>IF(Year4_Milton_Keynes Year4_LAC_Start="","",Year4_Milton_Keynes Year4_LAC_Start)</f>
        <v>162</v>
      </c>
      <c r="H18" s="95">
        <f>IF(Year5_Milton_Keynes Year5_LAC_Start="","",Year5_Milton_Keynes Year5_LAC_Start)</f>
        <v>168</v>
      </c>
      <c r="I18" s="344">
        <f t="shared" si="5"/>
        <v>-4.664368775627821E-3</v>
      </c>
      <c r="J18" s="96"/>
      <c r="K18" s="97">
        <f>IF(ISNUMBER(D18),D18/Population!D18*10000,NA())</f>
        <v>27.685325264750379</v>
      </c>
      <c r="L18" s="97">
        <f>IF(ISNUMBER(E18),E18/Population!E18*10000,NA())</f>
        <v>29.359165424739196</v>
      </c>
      <c r="M18" s="97">
        <f>IF(ISNUMBER(F18),F18/Population!F18*10000,NA())</f>
        <v>20.710059171597635</v>
      </c>
      <c r="N18" s="97">
        <f>IF(ISNUMBER(G18),G18/Population!G18*10000,NA())</f>
        <v>23.718887262079061</v>
      </c>
      <c r="O18" s="98">
        <f>IF(ISNUMBER(H18),H18/Population!H18*10000,NA())</f>
        <v>24.418604651162788</v>
      </c>
      <c r="P18" s="99">
        <f t="shared" si="6"/>
        <v>24.418604651162788</v>
      </c>
      <c r="Q18" s="934">
        <f t="shared" si="7"/>
        <v>10</v>
      </c>
      <c r="R18" s="70"/>
      <c r="S18" s="340">
        <f>IDACI!C17</f>
        <v>15</v>
      </c>
      <c r="T18" s="341">
        <f t="shared" si="0"/>
        <v>26.402782993705785</v>
      </c>
      <c r="U18" s="342">
        <f t="shared" si="8"/>
        <v>-1.9841783425429966</v>
      </c>
      <c r="V18" s="122"/>
      <c r="W18" s="139"/>
      <c r="X18" s="152"/>
      <c r="Y18" s="1400" t="str">
        <f t="shared" si="1"/>
        <v>Milton Keynes</v>
      </c>
      <c r="Z18" s="1401">
        <f>IF(ISNUMBER(H18),IDACI!D17,0)</f>
        <v>59903</v>
      </c>
      <c r="AA18" s="1401">
        <f>IF(ISNUMBER(H18),IDACI!E17,0)</f>
        <v>8985.4499999999989</v>
      </c>
      <c r="AB18" s="1402">
        <f>IF(ISNUMBER(D18),Population!D18,"")</f>
        <v>66100</v>
      </c>
      <c r="AC18" s="1402">
        <f>IF(ISNUMBER(E18),Population!E18,"")</f>
        <v>67100</v>
      </c>
      <c r="AD18" s="1402">
        <f>IF(ISNUMBER(F18),Population!F18,"")</f>
        <v>67600</v>
      </c>
      <c r="AE18" s="1402">
        <f>IF(ISNUMBER(G18),Population!G18,"")</f>
        <v>68300</v>
      </c>
      <c r="AF18" s="205">
        <f>IF(ISNUMBER(H18),Population!H18,"")</f>
        <v>68800</v>
      </c>
      <c r="AG18" s="93" t="s">
        <v>10</v>
      </c>
      <c r="AH18" s="231">
        <f t="shared" si="9"/>
        <v>24.418604651162788</v>
      </c>
      <c r="AI18" s="206">
        <f t="shared" si="10"/>
        <v>10</v>
      </c>
      <c r="AJ18" s="202"/>
      <c r="AK18" s="160"/>
      <c r="AL18" s="853">
        <f t="shared" si="11"/>
        <v>7.650273224043716E-2</v>
      </c>
      <c r="AM18" s="853">
        <f t="shared" si="11"/>
        <v>-0.28934010152284262</v>
      </c>
      <c r="AN18" s="853">
        <f t="shared" si="11"/>
        <v>0.15714285714285714</v>
      </c>
      <c r="AO18" s="853">
        <f t="shared" si="11"/>
        <v>3.7037037037037035E-2</v>
      </c>
      <c r="AP18" s="853">
        <f t="shared" si="12"/>
        <v>-4.664368775627821E-3</v>
      </c>
      <c r="AR18" s="936">
        <f t="shared" si="2"/>
        <v>29.359165424739196</v>
      </c>
      <c r="AS18" s="936">
        <f t="shared" si="2"/>
        <v>20.710059171597635</v>
      </c>
      <c r="AT18" s="936">
        <f t="shared" si="2"/>
        <v>23.718887262079061</v>
      </c>
      <c r="AU18" s="936">
        <f t="shared" si="2"/>
        <v>24.418604651162788</v>
      </c>
      <c r="AV18" s="936">
        <f t="shared" si="3"/>
        <v>98.206716509578683</v>
      </c>
      <c r="AW18" s="575">
        <f t="shared" si="4"/>
        <v>0</v>
      </c>
      <c r="AX18" s="936">
        <f t="shared" si="13"/>
        <v>98.206716509578683</v>
      </c>
    </row>
    <row r="19" spans="1:50" s="87" customFormat="1" ht="13.5" customHeight="1" x14ac:dyDescent="0.2">
      <c r="A19" s="488">
        <f>VLOOKUP(B19,Sheet1!$AQ$4:$AR$25,2,FALSE)</f>
        <v>0</v>
      </c>
      <c r="B19" s="93" t="str">
        <f>Sheet1!$K$13</f>
        <v>Oxfordshire</v>
      </c>
      <c r="C19" s="85"/>
      <c r="D19" s="94">
        <f>IF(Year1_Oxfordshire Year1_LAC_Start="","",Year1_Oxfordshire Year1_LAC_Start)</f>
        <v>357</v>
      </c>
      <c r="E19" s="94">
        <f>IF(Year2_Oxfordshire Year2_LAC_Start="","",Year2_Oxfordshire Year2_LAC_Start)</f>
        <v>353</v>
      </c>
      <c r="F19" s="94">
        <f>IF(Year3_Oxfordshire Year3_LAC_Start="","",Year3_Oxfordshire Year3_LAC_Start)</f>
        <v>303</v>
      </c>
      <c r="G19" s="94">
        <f>IF(Year4_Oxfordshire Year4_LAC_Start="","",Year4_Oxfordshire Year4_LAC_Start)</f>
        <v>355</v>
      </c>
      <c r="H19" s="95">
        <f>IF(Year5_Oxfordshire Year5_LAC_Start="","",Year5_Oxfordshire Year5_LAC_Start)</f>
        <v>309</v>
      </c>
      <c r="I19" s="344">
        <f t="shared" si="5"/>
        <v>-2.770196108884071E-2</v>
      </c>
      <c r="J19" s="96"/>
      <c r="K19" s="97">
        <f>IF(ISNUMBER(D19),D19/Population!D19*10000,NA())</f>
        <v>25.176304654442877</v>
      </c>
      <c r="L19" s="97">
        <f>IF(ISNUMBER(E19),E19/Population!E19*10000,NA())</f>
        <v>24.70258922323303</v>
      </c>
      <c r="M19" s="97">
        <f>IF(ISNUMBER(F19),F19/Population!F19*10000,NA())</f>
        <v>21.129707112970713</v>
      </c>
      <c r="N19" s="97">
        <f>IF(ISNUMBER(G19),G19/Population!G19*10000,NA())</f>
        <v>24.516574585635361</v>
      </c>
      <c r="O19" s="98">
        <f>IF(ISNUMBER(H19),H19/Population!H19*10000,NA())</f>
        <v>21.149897330595483</v>
      </c>
      <c r="P19" s="99">
        <f t="shared" si="6"/>
        <v>21.149897330595483</v>
      </c>
      <c r="Q19" s="934">
        <f t="shared" si="7"/>
        <v>9</v>
      </c>
      <c r="R19" s="70"/>
      <c r="S19" s="340">
        <f>IDACI!C18</f>
        <v>10.100000000000001</v>
      </c>
      <c r="T19" s="341">
        <f t="shared" si="0"/>
        <v>20.926541311747961</v>
      </c>
      <c r="U19" s="342">
        <f t="shared" si="8"/>
        <v>0.22335601884752165</v>
      </c>
      <c r="V19" s="122"/>
      <c r="W19" s="139"/>
      <c r="X19" s="152"/>
      <c r="Y19" s="1400" t="str">
        <f t="shared" si="1"/>
        <v>Oxfordshire</v>
      </c>
      <c r="Z19" s="1401">
        <f>IF(ISNUMBER(H19),IDACI!D18,0)</f>
        <v>126119</v>
      </c>
      <c r="AA19" s="1401">
        <f>IF(ISNUMBER(H19),IDACI!E18,0)</f>
        <v>12738.019000000002</v>
      </c>
      <c r="AB19" s="1402">
        <f>IF(ISNUMBER(D19),Population!D19,"")</f>
        <v>141800</v>
      </c>
      <c r="AC19" s="1402">
        <f>IF(ISNUMBER(E19),Population!E19,"")</f>
        <v>142900</v>
      </c>
      <c r="AD19" s="1402">
        <f>IF(ISNUMBER(F19),Population!F19,"")</f>
        <v>143400</v>
      </c>
      <c r="AE19" s="1402">
        <f>IF(ISNUMBER(G19),Population!G19,"")</f>
        <v>144800</v>
      </c>
      <c r="AF19" s="205">
        <f>IF(ISNUMBER(H19),Population!H19,"")</f>
        <v>146100</v>
      </c>
      <c r="AG19" s="93" t="s">
        <v>11</v>
      </c>
      <c r="AH19" s="231">
        <f t="shared" si="9"/>
        <v>21.149897330595483</v>
      </c>
      <c r="AI19" s="206">
        <f t="shared" si="10"/>
        <v>9</v>
      </c>
      <c r="AJ19" s="202"/>
      <c r="AK19" s="160"/>
      <c r="AL19" s="853">
        <f t="shared" si="11"/>
        <v>-1.1204481792717087E-2</v>
      </c>
      <c r="AM19" s="853">
        <f t="shared" si="11"/>
        <v>-0.14164305949008499</v>
      </c>
      <c r="AN19" s="853">
        <f t="shared" si="11"/>
        <v>0.17161716171617161</v>
      </c>
      <c r="AO19" s="853">
        <f t="shared" si="11"/>
        <v>-0.12957746478873239</v>
      </c>
      <c r="AP19" s="853">
        <f t="shared" si="12"/>
        <v>-2.770196108884071E-2</v>
      </c>
      <c r="AR19" s="936">
        <f t="shared" si="2"/>
        <v>24.70258922323303</v>
      </c>
      <c r="AS19" s="936">
        <f t="shared" si="2"/>
        <v>21.129707112970713</v>
      </c>
      <c r="AT19" s="936">
        <f t="shared" si="2"/>
        <v>24.516574585635361</v>
      </c>
      <c r="AU19" s="936">
        <f t="shared" si="2"/>
        <v>21.149897330595483</v>
      </c>
      <c r="AV19" s="936">
        <f t="shared" si="3"/>
        <v>91.498768252434587</v>
      </c>
      <c r="AW19" s="575">
        <f t="shared" si="4"/>
        <v>0</v>
      </c>
      <c r="AX19" s="936">
        <f t="shared" si="13"/>
        <v>91.498768252434587</v>
      </c>
    </row>
    <row r="20" spans="1:50" s="87" customFormat="1" ht="13.5" customHeight="1" x14ac:dyDescent="0.2">
      <c r="A20" s="488">
        <f>VLOOKUP(B20,Sheet1!$AQ$4:$AR$25,2,FALSE)</f>
        <v>0</v>
      </c>
      <c r="B20" s="93" t="str">
        <f>Sheet1!$K$14</f>
        <v>Portsmouth</v>
      </c>
      <c r="C20" s="85"/>
      <c r="D20" s="94">
        <f>IF(Year1_Portsmouth Year1_LAC_Start="","",Year1_Portsmouth Year1_LAC_Start)</f>
        <v>128</v>
      </c>
      <c r="E20" s="94">
        <f>IF(Year2_Portsmouth Year2_LAC_Start="","",Year2_Portsmouth Year2_LAC_Start)</f>
        <v>159</v>
      </c>
      <c r="F20" s="94">
        <f>IF(Year3_Portsmouth Year3_LAC_Start="","",Year3_Portsmouth Year3_LAC_Start)</f>
        <v>237</v>
      </c>
      <c r="G20" s="94">
        <f>IF(Year4_Portsmouth Year4_LAC_Start="","",Year4_Portsmouth Year4_LAC_Start)</f>
        <v>229</v>
      </c>
      <c r="H20" s="95">
        <f>IF(Year5_Portsmouth Year5_LAC_Start="","",Year5_Portsmouth Year5_LAC_Start)</f>
        <v>179</v>
      </c>
      <c r="I20" s="344">
        <f t="shared" si="5"/>
        <v>0.12016441303013346</v>
      </c>
      <c r="J20" s="96"/>
      <c r="K20" s="97">
        <f>IF(ISNUMBER(D20),D20/Population!D20*10000,NA())</f>
        <v>29.223744292237445</v>
      </c>
      <c r="L20" s="97">
        <f>IF(ISNUMBER(E20),E20/Population!E20*10000,NA())</f>
        <v>36.136363636363633</v>
      </c>
      <c r="M20" s="97">
        <f>IF(ISNUMBER(F20),F20/Population!F20*10000,NA())</f>
        <v>53.619909502262445</v>
      </c>
      <c r="N20" s="97">
        <f>IF(ISNUMBER(G20),G20/Population!G20*10000,NA())</f>
        <v>52.045454545454547</v>
      </c>
      <c r="O20" s="98">
        <f>IF(ISNUMBER(H20),H20/Population!H20*10000,NA())</f>
        <v>40.8675799086758</v>
      </c>
      <c r="P20" s="99">
        <f t="shared" si="6"/>
        <v>40.8675799086758</v>
      </c>
      <c r="Q20" s="934">
        <f t="shared" si="7"/>
        <v>19</v>
      </c>
      <c r="R20" s="70"/>
      <c r="S20" s="340">
        <f>IDACI!C19</f>
        <v>20.200000000000003</v>
      </c>
      <c r="T20" s="341">
        <f t="shared" si="0"/>
        <v>32.214304778640624</v>
      </c>
      <c r="U20" s="342">
        <f t="shared" si="8"/>
        <v>8.6532751300351762</v>
      </c>
      <c r="V20" s="122"/>
      <c r="W20" s="139"/>
      <c r="X20" s="152"/>
      <c r="Y20" s="1400" t="str">
        <f t="shared" si="1"/>
        <v>Portsmouth</v>
      </c>
      <c r="Z20" s="1401">
        <f>IF(ISNUMBER(H20),IDACI!D19,0)</f>
        <v>39325</v>
      </c>
      <c r="AA20" s="1401">
        <f>IF(ISNUMBER(H20),IDACI!E19,0)</f>
        <v>7943.6500000000015</v>
      </c>
      <c r="AB20" s="1402">
        <f>IF(ISNUMBER(D20),Population!D20,"")</f>
        <v>43800</v>
      </c>
      <c r="AC20" s="1402">
        <f>IF(ISNUMBER(E20),Population!E20,"")</f>
        <v>44000</v>
      </c>
      <c r="AD20" s="1402">
        <f>IF(ISNUMBER(F20),Population!F20,"")</f>
        <v>44200</v>
      </c>
      <c r="AE20" s="1402">
        <f>IF(ISNUMBER(G20),Population!G20,"")</f>
        <v>44000</v>
      </c>
      <c r="AF20" s="205">
        <f>IF(ISNUMBER(H20),Population!H20,"")</f>
        <v>43800</v>
      </c>
      <c r="AG20" s="93" t="s">
        <v>12</v>
      </c>
      <c r="AH20" s="231">
        <f t="shared" si="9"/>
        <v>40.8675799086758</v>
      </c>
      <c r="AI20" s="206">
        <f t="shared" si="10"/>
        <v>19</v>
      </c>
      <c r="AJ20" s="202"/>
      <c r="AK20" s="160"/>
      <c r="AL20" s="853">
        <f t="shared" si="11"/>
        <v>0.2421875</v>
      </c>
      <c r="AM20" s="853">
        <f t="shared" si="11"/>
        <v>0.49056603773584906</v>
      </c>
      <c r="AN20" s="853">
        <f t="shared" si="11"/>
        <v>-3.3755274261603373E-2</v>
      </c>
      <c r="AO20" s="853">
        <f t="shared" si="11"/>
        <v>-0.2183406113537118</v>
      </c>
      <c r="AP20" s="853">
        <f t="shared" si="12"/>
        <v>0.12016441303013346</v>
      </c>
      <c r="AR20" s="936">
        <f t="shared" si="2"/>
        <v>36.136363636363633</v>
      </c>
      <c r="AS20" s="936">
        <f t="shared" si="2"/>
        <v>53.619909502262445</v>
      </c>
      <c r="AT20" s="936">
        <f t="shared" si="2"/>
        <v>52.045454545454547</v>
      </c>
      <c r="AU20" s="936">
        <f t="shared" si="2"/>
        <v>40.8675799086758</v>
      </c>
      <c r="AV20" s="936">
        <f t="shared" si="3"/>
        <v>182.66930759275641</v>
      </c>
      <c r="AW20" s="575">
        <f t="shared" si="4"/>
        <v>0</v>
      </c>
      <c r="AX20" s="936">
        <f t="shared" si="13"/>
        <v>182.66930759275641</v>
      </c>
    </row>
    <row r="21" spans="1:50" s="87" customFormat="1" ht="13.5" customHeight="1" x14ac:dyDescent="0.2">
      <c r="A21" s="488">
        <f>VLOOKUP(B21,Sheet1!$AQ$4:$AR$25,2,FALSE)</f>
        <v>0</v>
      </c>
      <c r="B21" s="93" t="str">
        <f>Sheet1!$K$15</f>
        <v>Reading</v>
      </c>
      <c r="C21" s="85"/>
      <c r="D21" s="94">
        <f>IF(Year1_Reading Year1_LAC_Start="","",Year1_Reading Year1_LAC_Start)</f>
        <v>130</v>
      </c>
      <c r="E21" s="94">
        <f>IF(Year2_Reading Year2_LAC_Start="","",Year2_Reading Year2_LAC_Start)</f>
        <v>142</v>
      </c>
      <c r="F21" s="94">
        <f>IF(Year3_Reading Year3_LAC_Start="","",Year3_Reading Year3_LAC_Start)</f>
        <v>107</v>
      </c>
      <c r="G21" s="94">
        <f>IF(Year4_Reading Year4_LAC_Start="","",Year4_Reading Year4_LAC_Start)</f>
        <v>89</v>
      </c>
      <c r="H21" s="95">
        <f>IF(Year5_Reading Year5_LAC_Start="","",Year5_Reading Year5_LAC_Start)</f>
        <v>116</v>
      </c>
      <c r="I21" s="344">
        <f t="shared" si="5"/>
        <v>-4.7561733700777348E-3</v>
      </c>
      <c r="J21" s="96"/>
      <c r="K21" s="97">
        <f>IF(ISNUMBER(D21),D21/Population!D21*10000,NA())</f>
        <v>35.714285714285715</v>
      </c>
      <c r="L21" s="97">
        <f>IF(ISNUMBER(E21),E21/Population!E21*10000,NA())</f>
        <v>38.797814207650276</v>
      </c>
      <c r="M21" s="97">
        <f>IF(ISNUMBER(F21),F21/Population!F21*10000,NA())</f>
        <v>28.840970350404316</v>
      </c>
      <c r="N21" s="97">
        <f>IF(ISNUMBER(G21),G21/Population!G21*10000,NA())</f>
        <v>23.989218328840973</v>
      </c>
      <c r="O21" s="98">
        <f>IF(ISNUMBER(H21),H21/Population!H21*10000,NA())</f>
        <v>31.351351351351351</v>
      </c>
      <c r="P21" s="99">
        <f t="shared" si="6"/>
        <v>31.351351351351351</v>
      </c>
      <c r="Q21" s="934">
        <f t="shared" si="7"/>
        <v>17</v>
      </c>
      <c r="R21" s="70"/>
      <c r="S21" s="340">
        <f>IDACI!C20</f>
        <v>16</v>
      </c>
      <c r="T21" s="341">
        <f t="shared" si="0"/>
        <v>27.520383336962482</v>
      </c>
      <c r="U21" s="342">
        <f t="shared" si="8"/>
        <v>3.8309680143888691</v>
      </c>
      <c r="V21" s="122"/>
      <c r="W21" s="139"/>
      <c r="X21" s="152"/>
      <c r="Y21" s="1400" t="str">
        <f t="shared" si="1"/>
        <v>Reading</v>
      </c>
      <c r="Z21" s="1401">
        <f>IF(ISNUMBER(H21),IDACI!D20,0)</f>
        <v>33203</v>
      </c>
      <c r="AA21" s="1401">
        <f>IF(ISNUMBER(H21),IDACI!E20,0)</f>
        <v>5312.4800000000005</v>
      </c>
      <c r="AB21" s="1402">
        <f>IF(ISNUMBER(D21),Population!D21,"")</f>
        <v>36400</v>
      </c>
      <c r="AC21" s="1402">
        <f>IF(ISNUMBER(E21),Population!E21,"")</f>
        <v>36600</v>
      </c>
      <c r="AD21" s="1402">
        <f>IF(ISNUMBER(F21),Population!F21,"")</f>
        <v>37100</v>
      </c>
      <c r="AE21" s="1402">
        <f>IF(ISNUMBER(G21),Population!G21,"")</f>
        <v>37100</v>
      </c>
      <c r="AF21" s="205">
        <f>IF(ISNUMBER(H21),Population!H21,"")</f>
        <v>37000</v>
      </c>
      <c r="AG21" s="93" t="s">
        <v>3</v>
      </c>
      <c r="AH21" s="231">
        <f t="shared" si="9"/>
        <v>31.351351351351351</v>
      </c>
      <c r="AI21" s="206">
        <f t="shared" si="10"/>
        <v>17</v>
      </c>
      <c r="AJ21" s="202"/>
      <c r="AK21" s="160"/>
      <c r="AL21" s="853">
        <f t="shared" si="11"/>
        <v>9.2307692307692313E-2</v>
      </c>
      <c r="AM21" s="853">
        <f t="shared" si="11"/>
        <v>-0.24647887323943662</v>
      </c>
      <c r="AN21" s="853">
        <f t="shared" si="11"/>
        <v>-0.16822429906542055</v>
      </c>
      <c r="AO21" s="853">
        <f t="shared" si="11"/>
        <v>0.30337078651685395</v>
      </c>
      <c r="AP21" s="853">
        <f t="shared" si="12"/>
        <v>-4.7561733700777348E-3</v>
      </c>
      <c r="AR21" s="936">
        <f t="shared" si="2"/>
        <v>38.797814207650276</v>
      </c>
      <c r="AS21" s="936">
        <f t="shared" si="2"/>
        <v>28.840970350404316</v>
      </c>
      <c r="AT21" s="936">
        <f t="shared" si="2"/>
        <v>23.989218328840973</v>
      </c>
      <c r="AU21" s="936">
        <f t="shared" si="2"/>
        <v>31.351351351351351</v>
      </c>
      <c r="AV21" s="936">
        <f t="shared" si="3"/>
        <v>122.97935423824693</v>
      </c>
      <c r="AW21" s="575">
        <f t="shared" si="4"/>
        <v>0</v>
      </c>
      <c r="AX21" s="936">
        <f t="shared" si="13"/>
        <v>122.97935423824693</v>
      </c>
    </row>
    <row r="22" spans="1:50" s="87" customFormat="1" ht="13.5" customHeight="1" x14ac:dyDescent="0.2">
      <c r="A22" s="488">
        <f>VLOOKUP(B22,Sheet1!$AQ$4:$AR$25,2,FALSE)</f>
        <v>0</v>
      </c>
      <c r="B22" s="93" t="str">
        <f>Sheet1!$K$16</f>
        <v>Slough</v>
      </c>
      <c r="C22" s="85"/>
      <c r="D22" s="94">
        <f>IF(Year1_Slough Year1_LAC_Start="","",Year1_Slough Year1_LAC_Start)</f>
        <v>129</v>
      </c>
      <c r="E22" s="94">
        <f>IF(Year2_Slough Year2_LAC_Start="","",Year2_Slough Year2_LAC_Start)</f>
        <v>118</v>
      </c>
      <c r="F22" s="94">
        <f>IF(Year3_Slough Year3_LAC_Start="","",Year3_Slough Year3_LAC_Start)</f>
        <v>125</v>
      </c>
      <c r="G22" s="94">
        <f>IF(Year4_Slough Year4_LAC_Start="","",Year4_Slough Year4_LAC_Start)</f>
        <v>134</v>
      </c>
      <c r="H22" s="95">
        <f>IF(Year5_Slough Year5_LAC_Start="","",Year5_Slough Year5_LAC_Start)</f>
        <v>107</v>
      </c>
      <c r="I22" s="344">
        <f t="shared" si="5"/>
        <v>-3.8860455311146277E-2</v>
      </c>
      <c r="J22" s="96"/>
      <c r="K22" s="97">
        <f>IF(ISNUMBER(D22),D22/Population!D22*10000,NA())</f>
        <v>31.773399014778324</v>
      </c>
      <c r="L22" s="97">
        <f>IF(ISNUMBER(E22),E22/Population!E22*10000,NA())</f>
        <v>28.5024154589372</v>
      </c>
      <c r="M22" s="97">
        <f>IF(ISNUMBER(F22),F22/Population!F22*10000,NA())</f>
        <v>29.620853080568718</v>
      </c>
      <c r="N22" s="97">
        <f>IF(ISNUMBER(G22),G22/Population!G22*10000,NA())</f>
        <v>31.381733021077284</v>
      </c>
      <c r="O22" s="98">
        <f>IF(ISNUMBER(H22),H22/Population!H22*10000,NA())</f>
        <v>24.825986078886313</v>
      </c>
      <c r="P22" s="99">
        <f t="shared" si="6"/>
        <v>24.825986078886313</v>
      </c>
      <c r="Q22" s="934">
        <f t="shared" si="7"/>
        <v>11</v>
      </c>
      <c r="R22" s="70"/>
      <c r="S22" s="340">
        <f>IDACI!C21</f>
        <v>14.7</v>
      </c>
      <c r="T22" s="341">
        <f t="shared" si="0"/>
        <v>26.067502890728772</v>
      </c>
      <c r="U22" s="342">
        <f t="shared" si="8"/>
        <v>-1.2415168118424589</v>
      </c>
      <c r="V22" s="122"/>
      <c r="W22" s="139"/>
      <c r="X22" s="152"/>
      <c r="Y22" s="1400" t="str">
        <f t="shared" si="1"/>
        <v>Slough</v>
      </c>
      <c r="Z22" s="1401">
        <f>IF(ISNUMBER(H22),IDACI!D21,0)</f>
        <v>37031</v>
      </c>
      <c r="AA22" s="1401">
        <f>IF(ISNUMBER(H22),IDACI!E21,0)</f>
        <v>5443.5569999999998</v>
      </c>
      <c r="AB22" s="1402">
        <f>IF(ISNUMBER(D22),Population!D22,"")</f>
        <v>40600</v>
      </c>
      <c r="AC22" s="1402">
        <f>IF(ISNUMBER(E22),Population!E22,"")</f>
        <v>41400</v>
      </c>
      <c r="AD22" s="1402">
        <f>IF(ISNUMBER(F22),Population!F22,"")</f>
        <v>42200</v>
      </c>
      <c r="AE22" s="1402">
        <f>IF(ISNUMBER(G22),Population!G22,"")</f>
        <v>42700</v>
      </c>
      <c r="AF22" s="205">
        <f>IF(ISNUMBER(H22),Population!H22,"")</f>
        <v>43100</v>
      </c>
      <c r="AG22" s="93" t="s">
        <v>13</v>
      </c>
      <c r="AH22" s="231">
        <f t="shared" si="9"/>
        <v>24.825986078886313</v>
      </c>
      <c r="AI22" s="206">
        <f t="shared" si="10"/>
        <v>11</v>
      </c>
      <c r="AJ22" s="202"/>
      <c r="AK22" s="160"/>
      <c r="AL22" s="853">
        <f t="shared" si="11"/>
        <v>-8.5271317829457363E-2</v>
      </c>
      <c r="AM22" s="853">
        <f t="shared" si="11"/>
        <v>5.9322033898305086E-2</v>
      </c>
      <c r="AN22" s="853">
        <f t="shared" si="11"/>
        <v>7.1999999999999995E-2</v>
      </c>
      <c r="AO22" s="853">
        <f t="shared" si="11"/>
        <v>-0.20149253731343283</v>
      </c>
      <c r="AP22" s="853">
        <f t="shared" si="12"/>
        <v>-3.8860455311146277E-2</v>
      </c>
      <c r="AR22" s="936">
        <f t="shared" si="2"/>
        <v>28.5024154589372</v>
      </c>
      <c r="AS22" s="936">
        <f t="shared" si="2"/>
        <v>29.620853080568718</v>
      </c>
      <c r="AT22" s="936">
        <f t="shared" si="2"/>
        <v>31.381733021077284</v>
      </c>
      <c r="AU22" s="936">
        <f t="shared" si="2"/>
        <v>24.825986078886313</v>
      </c>
      <c r="AV22" s="936">
        <f t="shared" si="3"/>
        <v>114.33098763946951</v>
      </c>
      <c r="AW22" s="575">
        <f t="shared" si="4"/>
        <v>0</v>
      </c>
      <c r="AX22" s="936">
        <f t="shared" si="13"/>
        <v>114.33098763946951</v>
      </c>
    </row>
    <row r="23" spans="1:50" s="87" customFormat="1" ht="13.5" customHeight="1" x14ac:dyDescent="0.2">
      <c r="A23" s="488">
        <f>VLOOKUP(B23,Sheet1!$AQ$4:$AR$25,2,FALSE)</f>
        <v>0</v>
      </c>
      <c r="B23" s="93" t="str">
        <f>Sheet1!$K$17</f>
        <v>Somerset</v>
      </c>
      <c r="C23" s="85"/>
      <c r="D23" s="94">
        <f>IF(Year1_Somerset Year1_LAC_Start="","",Year1_Somerset Year1_LAC_Start)</f>
        <v>235</v>
      </c>
      <c r="E23" s="94">
        <f>IF(Year2_Somerset Year2_LAC_Start="","",Year2_Somerset Year2_LAC_Start)</f>
        <v>230</v>
      </c>
      <c r="F23" s="94">
        <f>IF(Year3_Somerset Year3_LAC_Start="","",Year3_Somerset Year3_LAC_Start)</f>
        <v>258</v>
      </c>
      <c r="G23" s="94">
        <f>IF(Year4_Somerset Year4_LAC_Start="","",Year4_Somerset Year4_LAC_Start)</f>
        <v>194</v>
      </c>
      <c r="H23" s="95">
        <f>IF(Year5_Somerset Year5_LAC_Start="","",Year5_Somerset Year5_LAC_Start)</f>
        <v>191</v>
      </c>
      <c r="I23" s="344">
        <f t="shared" si="5"/>
        <v>-4.0765849584886854E-2</v>
      </c>
      <c r="J23" s="96"/>
      <c r="K23" s="97">
        <f>IF(ISNUMBER(D23),D23/Population!D23*10000,NA())</f>
        <v>21.520146520146522</v>
      </c>
      <c r="L23" s="97">
        <f>IF(ISNUMBER(E23),E23/Population!E23*10000,NA())</f>
        <v>20.966271649954422</v>
      </c>
      <c r="M23" s="97">
        <f>IF(ISNUMBER(F23),F23/Population!F23*10000,NA())</f>
        <v>23.43324250681199</v>
      </c>
      <c r="N23" s="97">
        <f>IF(ISNUMBER(G23),G23/Population!G23*10000,NA())</f>
        <v>17.524841915085815</v>
      </c>
      <c r="O23" s="98">
        <f>IF(ISNUMBER(H23),H23/Population!H23*10000,NA())</f>
        <v>17.176258992805757</v>
      </c>
      <c r="P23" s="99">
        <f t="shared" si="6"/>
        <v>17.176258992805757</v>
      </c>
      <c r="Q23" s="370" t="str">
        <f t="shared" si="7"/>
        <v>--</v>
      </c>
      <c r="R23" s="70"/>
      <c r="S23" s="340">
        <f>IDACI!C22</f>
        <v>13.600000000000001</v>
      </c>
      <c r="T23" s="341">
        <f t="shared" si="0"/>
        <v>24.838142513146405</v>
      </c>
      <c r="U23" s="342">
        <f t="shared" si="8"/>
        <v>-7.6618835203406483</v>
      </c>
      <c r="V23" s="122"/>
      <c r="W23" s="139"/>
      <c r="X23" s="152"/>
      <c r="Y23" s="1400" t="str">
        <f t="shared" si="1"/>
        <v>Somerset</v>
      </c>
      <c r="Z23" s="1401">
        <f>IF(ISNUMBER(H23),IDACI!D22,0)</f>
        <v>95875</v>
      </c>
      <c r="AA23" s="1401">
        <f>IF(ISNUMBER(H23),IDACI!E22,0)</f>
        <v>13039.000000000002</v>
      </c>
      <c r="AB23" s="1402">
        <f>IF(ISNUMBER(D23),Population!D23,"")</f>
        <v>109200</v>
      </c>
      <c r="AC23" s="1402">
        <f>IF(ISNUMBER(E23),Population!E23,"")</f>
        <v>109700</v>
      </c>
      <c r="AD23" s="1402">
        <f>IF(ISNUMBER(F23),Population!F23,"")</f>
        <v>110100</v>
      </c>
      <c r="AE23" s="1402">
        <f>IF(ISNUMBER(G23),Population!G23,"")</f>
        <v>110700</v>
      </c>
      <c r="AF23" s="205">
        <f>IF(ISNUMBER(H23),Population!H23,"")</f>
        <v>111200</v>
      </c>
      <c r="AG23" s="93" t="s">
        <v>14</v>
      </c>
      <c r="AH23" s="231">
        <f t="shared" si="9"/>
        <v>38.40155945419103</v>
      </c>
      <c r="AI23" s="206">
        <f t="shared" si="10"/>
        <v>18</v>
      </c>
      <c r="AJ23" s="202"/>
      <c r="AK23" s="160"/>
      <c r="AL23" s="853">
        <f t="shared" si="11"/>
        <v>-2.1276595744680851E-2</v>
      </c>
      <c r="AM23" s="853">
        <f t="shared" si="11"/>
        <v>0.12173913043478261</v>
      </c>
      <c r="AN23" s="853">
        <f t="shared" si="11"/>
        <v>-0.24806201550387597</v>
      </c>
      <c r="AO23" s="853">
        <f t="shared" si="11"/>
        <v>-1.5463917525773196E-2</v>
      </c>
      <c r="AP23" s="853">
        <f t="shared" si="12"/>
        <v>-4.0765849584886854E-2</v>
      </c>
      <c r="AR23" s="936">
        <f t="shared" si="2"/>
        <v>20.966271649954422</v>
      </c>
      <c r="AS23" s="936">
        <f t="shared" si="2"/>
        <v>23.43324250681199</v>
      </c>
      <c r="AT23" s="936">
        <f t="shared" si="2"/>
        <v>17.524841915085815</v>
      </c>
      <c r="AU23" s="936">
        <f>IF(ISNUMBER(O23),O23,"")</f>
        <v>17.176258992805757</v>
      </c>
      <c r="AV23" s="936">
        <f>SUM(AR23:AU23)</f>
        <v>79.100615064657987</v>
      </c>
      <c r="AW23" s="575">
        <f>COUNTBLANK(AR23:AU23)</f>
        <v>0</v>
      </c>
      <c r="AX23" s="936">
        <f>AV23/(4-AW23)*4</f>
        <v>79.100615064657987</v>
      </c>
    </row>
    <row r="24" spans="1:50" s="87" customFormat="1" ht="13.5" customHeight="1" x14ac:dyDescent="0.2">
      <c r="A24" s="488">
        <f>VLOOKUP(B24,Sheet1!$AQ$4:$AR$25,2,FALSE)</f>
        <v>0</v>
      </c>
      <c r="B24" s="93" t="str">
        <f>Sheet1!$K$18</f>
        <v>Southampton</v>
      </c>
      <c r="C24" s="85"/>
      <c r="D24" s="94">
        <f>IF(Year1_Southampton Year1_LAC_Start="","",Year1_Southampton Year1_LAC_Start)</f>
        <v>214</v>
      </c>
      <c r="E24" s="94">
        <f>IF(Year2_Southampton Year2_LAC_Start="","",Year2_Southampton Year2_LAC_Start)</f>
        <v>168</v>
      </c>
      <c r="F24" s="94">
        <f>IF(Year3_Southampton Year3_LAC_Start="","",Year3_Southampton Year3_LAC_Start)</f>
        <v>178</v>
      </c>
      <c r="G24" s="94">
        <f>IF(Year4_Southampton Year4_LAC_Start="","",Year4_Southampton Year4_LAC_Start)</f>
        <v>170</v>
      </c>
      <c r="H24" s="95">
        <f>IF(Year5_Southampton Year5_LAC_Start="","",Year5_Southampton Year5_LAC_Start)</f>
        <v>197</v>
      </c>
      <c r="I24" s="344">
        <f t="shared" si="5"/>
        <v>-1.0387438079295569E-2</v>
      </c>
      <c r="J24" s="96"/>
      <c r="K24" s="97">
        <f>IF(ISNUMBER(D24),D24/Population!D24*10000,NA())</f>
        <v>43.495934959349597</v>
      </c>
      <c r="L24" s="97">
        <f>IF(ISNUMBER(E24),E24/Population!E24*10000,NA())</f>
        <v>33.667334669338679</v>
      </c>
      <c r="M24" s="97">
        <f>IF(ISNUMBER(F24),F24/Population!F24*10000,NA())</f>
        <v>35.387673956262425</v>
      </c>
      <c r="N24" s="97">
        <f>IF(ISNUMBER(G24),G24/Population!G24*10000,NA())</f>
        <v>33.464566929133859</v>
      </c>
      <c r="O24" s="98">
        <f>IF(ISNUMBER(H24),H24/Population!H24*10000,NA())</f>
        <v>38.40155945419103</v>
      </c>
      <c r="P24" s="99">
        <f t="shared" si="6"/>
        <v>38.40155945419103</v>
      </c>
      <c r="Q24" s="934">
        <f t="shared" si="7"/>
        <v>18</v>
      </c>
      <c r="R24" s="70"/>
      <c r="S24" s="340">
        <f>IDACI!C23</f>
        <v>20.5</v>
      </c>
      <c r="T24" s="341">
        <f t="shared" si="0"/>
        <v>32.549584881617626</v>
      </c>
      <c r="U24" s="342">
        <f t="shared" si="8"/>
        <v>5.851974572573404</v>
      </c>
      <c r="V24" s="122"/>
      <c r="W24" s="139"/>
      <c r="X24" s="152"/>
      <c r="Y24" s="1400" t="str">
        <f t="shared" si="1"/>
        <v>Southampton</v>
      </c>
      <c r="Z24" s="1401">
        <f>IF(ISNUMBER(H24),IDACI!D23,0)</f>
        <v>44295</v>
      </c>
      <c r="AA24" s="1401">
        <f>IF(ISNUMBER(H24),IDACI!E23,0)</f>
        <v>9080.4750000000004</v>
      </c>
      <c r="AB24" s="1402">
        <f>IF(ISNUMBER(D24),Population!D24,"")</f>
        <v>49200</v>
      </c>
      <c r="AC24" s="1402">
        <f>IF(ISNUMBER(E24),Population!E24,"")</f>
        <v>49900</v>
      </c>
      <c r="AD24" s="1402">
        <f>IF(ISNUMBER(F24),Population!F24,"")</f>
        <v>50300</v>
      </c>
      <c r="AE24" s="1402">
        <f>IF(ISNUMBER(G24),Population!G24,"")</f>
        <v>50800</v>
      </c>
      <c r="AF24" s="205">
        <f>IF(ISNUMBER(H24),Population!H24,"")</f>
        <v>51300</v>
      </c>
      <c r="AG24" s="93" t="s">
        <v>7</v>
      </c>
      <c r="AH24" s="231">
        <f t="shared" si="9"/>
        <v>14.139499620924942</v>
      </c>
      <c r="AI24" s="206">
        <f t="shared" si="10"/>
        <v>2</v>
      </c>
      <c r="AJ24" s="202"/>
      <c r="AK24" s="160"/>
      <c r="AL24" s="853">
        <f t="shared" si="11"/>
        <v>-0.21495327102803738</v>
      </c>
      <c r="AM24" s="853">
        <f t="shared" si="11"/>
        <v>5.9523809523809521E-2</v>
      </c>
      <c r="AN24" s="853">
        <f t="shared" si="11"/>
        <v>-4.49438202247191E-2</v>
      </c>
      <c r="AO24" s="853">
        <f t="shared" si="11"/>
        <v>0.1588235294117647</v>
      </c>
      <c r="AP24" s="853">
        <f t="shared" si="12"/>
        <v>-1.0387438079295569E-2</v>
      </c>
      <c r="AR24" s="936">
        <f t="shared" si="2"/>
        <v>33.667334669338679</v>
      </c>
      <c r="AS24" s="936">
        <f t="shared" si="2"/>
        <v>35.387673956262425</v>
      </c>
      <c r="AT24" s="936">
        <f t="shared" si="2"/>
        <v>33.464566929133859</v>
      </c>
      <c r="AU24" s="936">
        <f t="shared" si="2"/>
        <v>38.40155945419103</v>
      </c>
      <c r="AV24" s="936">
        <f t="shared" ref="AV24:AV33" si="14">SUM(AR24:AU24)</f>
        <v>140.921135008926</v>
      </c>
      <c r="AW24" s="575">
        <f t="shared" ref="AW24:AW33" si="15">COUNTBLANK(AR24:AU24)</f>
        <v>0</v>
      </c>
      <c r="AX24" s="936">
        <f t="shared" si="13"/>
        <v>140.921135008926</v>
      </c>
    </row>
    <row r="25" spans="1:50" s="87" customFormat="1" ht="13.5" customHeight="1" x14ac:dyDescent="0.2">
      <c r="A25" s="488">
        <f>VLOOKUP(B25,Sheet1!$AQ$4:$AR$25,2,FALSE)</f>
        <v>0</v>
      </c>
      <c r="B25" s="93" t="str">
        <f>Sheet1!$K$19</f>
        <v>Surrey</v>
      </c>
      <c r="C25" s="85"/>
      <c r="D25" s="94">
        <f>IF(Year1_Surrey Year1_LAC_Start="","",Year1_Surrey Year1_LAC_Start)</f>
        <v>489</v>
      </c>
      <c r="E25" s="94">
        <f>IF(Year2_Surrey Year2_LAC_Start="","",Year2_Surrey Year2_LAC_Start)</f>
        <v>410</v>
      </c>
      <c r="F25" s="94">
        <f>IF(Year3_Surrey Year3_LAC_Start="","",Year3_Surrey Year3_LAC_Start)</f>
        <v>456</v>
      </c>
      <c r="G25" s="94">
        <f>IF(Year4_Surrey Year4_LAC_Start="","",Year4_Surrey Year4_LAC_Start)</f>
        <v>435</v>
      </c>
      <c r="H25" s="95">
        <f>IF(Year5_Surrey Year5_LAC_Start="","",Year5_Surrey Year5_LAC_Start)</f>
        <v>373</v>
      </c>
      <c r="I25" s="344">
        <f t="shared" si="5"/>
        <v>-5.9485109372237652E-2</v>
      </c>
      <c r="J25" s="96"/>
      <c r="K25" s="97">
        <f>IF(ISNUMBER(D25),D25/Population!D25*10000,NA())</f>
        <v>19.071762870514821</v>
      </c>
      <c r="L25" s="97">
        <f>IF(ISNUMBER(E25),E25/Population!E25*10000,NA())</f>
        <v>15.830115830115831</v>
      </c>
      <c r="M25" s="97">
        <f>IF(ISNUMBER(F25),F25/Population!F25*10000,NA())</f>
        <v>17.518248175182482</v>
      </c>
      <c r="N25" s="97">
        <f>IF(ISNUMBER(G25),G25/Population!G25*10000,NA())</f>
        <v>16.60939289805269</v>
      </c>
      <c r="O25" s="98">
        <f>IF(ISNUMBER(H25),H25/Population!H25*10000,NA())</f>
        <v>14.139499620924942</v>
      </c>
      <c r="P25" s="99">
        <f t="shared" si="6"/>
        <v>14.139499620924942</v>
      </c>
      <c r="Q25" s="934">
        <f t="shared" si="7"/>
        <v>2</v>
      </c>
      <c r="R25" s="70"/>
      <c r="S25" s="340">
        <f>IDACI!C24</f>
        <v>8.3000000000000007</v>
      </c>
      <c r="T25" s="341">
        <f t="shared" si="0"/>
        <v>18.914860693885899</v>
      </c>
      <c r="U25" s="342">
        <f t="shared" si="8"/>
        <v>-4.7753610729609566</v>
      </c>
      <c r="V25" s="122"/>
      <c r="W25" s="139"/>
      <c r="X25" s="152"/>
      <c r="Y25" s="1400" t="str">
        <f t="shared" si="1"/>
        <v>Surrey</v>
      </c>
      <c r="Z25" s="1401">
        <f>IF(ISNUMBER(H25),IDACI!D24,0)</f>
        <v>228466</v>
      </c>
      <c r="AA25" s="1401">
        <f>IF(ISNUMBER(H25),IDACI!E24,0)</f>
        <v>18962.678</v>
      </c>
      <c r="AB25" s="1402">
        <f>IF(ISNUMBER(D25),Population!D25,"")</f>
        <v>256400</v>
      </c>
      <c r="AC25" s="1402">
        <f>IF(ISNUMBER(E25),Population!E25,"")</f>
        <v>259000</v>
      </c>
      <c r="AD25" s="1402">
        <f>IF(ISNUMBER(F25),Population!F25,"")</f>
        <v>260300</v>
      </c>
      <c r="AE25" s="1402">
        <f>IF(ISNUMBER(G25),Population!G25,"")</f>
        <v>261900</v>
      </c>
      <c r="AF25" s="205">
        <f>IF(ISNUMBER(H25),Population!H25,"")</f>
        <v>263800</v>
      </c>
      <c r="AG25" s="93" t="s">
        <v>15</v>
      </c>
      <c r="AH25" s="231">
        <f t="shared" si="9"/>
        <v>16.573033707865168</v>
      </c>
      <c r="AI25" s="206">
        <f t="shared" si="10"/>
        <v>7</v>
      </c>
      <c r="AJ25" s="202"/>
      <c r="AK25" s="160"/>
      <c r="AL25" s="853">
        <f t="shared" si="11"/>
        <v>-0.16155419222903886</v>
      </c>
      <c r="AM25" s="853">
        <f t="shared" si="11"/>
        <v>0.11219512195121951</v>
      </c>
      <c r="AN25" s="853">
        <f t="shared" si="11"/>
        <v>-4.6052631578947366E-2</v>
      </c>
      <c r="AO25" s="853">
        <f t="shared" si="11"/>
        <v>-0.14252873563218391</v>
      </c>
      <c r="AP25" s="853">
        <f t="shared" si="12"/>
        <v>-5.9485109372237652E-2</v>
      </c>
      <c r="AR25" s="936">
        <f t="shared" si="2"/>
        <v>15.830115830115831</v>
      </c>
      <c r="AS25" s="936">
        <f t="shared" si="2"/>
        <v>17.518248175182482</v>
      </c>
      <c r="AT25" s="936">
        <f t="shared" si="2"/>
        <v>16.60939289805269</v>
      </c>
      <c r="AU25" s="936">
        <f t="shared" si="2"/>
        <v>14.139499620924942</v>
      </c>
      <c r="AV25" s="936">
        <f t="shared" si="14"/>
        <v>64.097256524275949</v>
      </c>
      <c r="AW25" s="575">
        <f t="shared" si="15"/>
        <v>0</v>
      </c>
      <c r="AX25" s="936">
        <f t="shared" si="13"/>
        <v>64.097256524275949</v>
      </c>
    </row>
    <row r="26" spans="1:50" s="87" customFormat="1" ht="13.5" customHeight="1" x14ac:dyDescent="0.2">
      <c r="A26" s="488">
        <f>VLOOKUP(B26,Sheet1!$AQ$4:$AR$25,2,FALSE)</f>
        <v>0</v>
      </c>
      <c r="B26" s="93" t="str">
        <f>Sheet1!$K$20</f>
        <v>Swindon</v>
      </c>
      <c r="C26" s="85"/>
      <c r="D26" s="94">
        <f>IF(Year1_Swindon Year1_LAC_Start="","",Year1_Swindon Year1_LAC_Start)</f>
        <v>181</v>
      </c>
      <c r="E26" s="94">
        <f>IF(Year2_Swindon Year2_LAC_Start="","",Year2_Swindon Year2_LAC_Start)</f>
        <v>182</v>
      </c>
      <c r="F26" s="94">
        <f>IF(Year3_Swindon Year3_LAC_Start="","",Year3_Swindon Year3_LAC_Start)</f>
        <v>178</v>
      </c>
      <c r="G26" s="94">
        <f>IF(Year4_Swindon Year4_LAC_Start="","",Year4_Swindon Year4_LAC_Start)</f>
        <v>137</v>
      </c>
      <c r="H26" s="95">
        <f>IF(Year5_Swindon Year5_LAC_Start="","",Year5_Swindon Year5_LAC_Start)</f>
        <v>107</v>
      </c>
      <c r="I26" s="344">
        <f t="shared" si="5"/>
        <v>-0.11644208523525884</v>
      </c>
      <c r="J26" s="96"/>
      <c r="K26" s="97">
        <f>IF(ISNUMBER(D26),D26/Population!D26*10000,NA())</f>
        <v>36.938775510204081</v>
      </c>
      <c r="L26" s="97">
        <f>IF(ISNUMBER(E26),E26/Population!E26*10000,NA())</f>
        <v>36.767676767676768</v>
      </c>
      <c r="M26" s="97">
        <f>IF(ISNUMBER(F26),F26/Population!F26*10000,NA())</f>
        <v>35.671342685370739</v>
      </c>
      <c r="N26" s="97">
        <f>IF(ISNUMBER(G26),G26/Population!G26*10000,NA())</f>
        <v>27.290836653386457</v>
      </c>
      <c r="O26" s="98">
        <f>IF(ISNUMBER(H26),H26/Population!H26*10000,NA())</f>
        <v>21.230158730158728</v>
      </c>
      <c r="P26" s="99">
        <f t="shared" si="6"/>
        <v>21.230158730158728</v>
      </c>
      <c r="Q26" s="370" t="str">
        <f t="shared" si="7"/>
        <v>--</v>
      </c>
      <c r="R26" s="70"/>
      <c r="S26" s="340">
        <f>IDACI!C25</f>
        <v>14.899999999999999</v>
      </c>
      <c r="T26" s="341">
        <f t="shared" si="0"/>
        <v>26.291022959380111</v>
      </c>
      <c r="U26" s="342">
        <f t="shared" si="8"/>
        <v>-5.0608642292213837</v>
      </c>
      <c r="V26" s="122"/>
      <c r="W26" s="139"/>
      <c r="X26" s="152"/>
      <c r="Y26" s="1400" t="str">
        <f t="shared" si="1"/>
        <v>Swindon</v>
      </c>
      <c r="Z26" s="1401">
        <f>IF(ISNUMBER(H26),IDACI!D25,0)</f>
        <v>43899</v>
      </c>
      <c r="AA26" s="1401">
        <f>IF(ISNUMBER(H26),IDACI!E25,0)</f>
        <v>6540.951</v>
      </c>
      <c r="AB26" s="1402">
        <f>IF(ISNUMBER(D26),Population!D26,"")</f>
        <v>49000</v>
      </c>
      <c r="AC26" s="1402">
        <f>IF(ISNUMBER(E26),Population!E26,"")</f>
        <v>49500</v>
      </c>
      <c r="AD26" s="1402">
        <f>IF(ISNUMBER(F26),Population!F26,"")</f>
        <v>49900</v>
      </c>
      <c r="AE26" s="1402">
        <f>IF(ISNUMBER(G26),Population!G26,"")</f>
        <v>50200</v>
      </c>
      <c r="AF26" s="205">
        <f>IF(ISNUMBER(H26),Population!H26,"")</f>
        <v>50400</v>
      </c>
      <c r="AG26" s="93" t="s">
        <v>5</v>
      </c>
      <c r="AH26" s="231">
        <f t="shared" si="9"/>
        <v>25.9511641113004</v>
      </c>
      <c r="AI26" s="206">
        <f t="shared" si="10"/>
        <v>12</v>
      </c>
      <c r="AJ26" s="202"/>
      <c r="AK26" s="160"/>
      <c r="AL26" s="853">
        <f t="shared" si="11"/>
        <v>5.5248618784530384E-3</v>
      </c>
      <c r="AM26" s="853">
        <f t="shared" si="11"/>
        <v>-2.197802197802198E-2</v>
      </c>
      <c r="AN26" s="853">
        <f t="shared" si="11"/>
        <v>-0.2303370786516854</v>
      </c>
      <c r="AO26" s="853">
        <f t="shared" si="11"/>
        <v>-0.21897810218978103</v>
      </c>
      <c r="AP26" s="853">
        <f t="shared" si="12"/>
        <v>-0.11644208523525884</v>
      </c>
      <c r="AR26" s="936">
        <f t="shared" ref="AR26:AU33" si="16">IF(ISNUMBER(L26),L26,"")</f>
        <v>36.767676767676768</v>
      </c>
      <c r="AS26" s="936">
        <f t="shared" si="16"/>
        <v>35.671342685370739</v>
      </c>
      <c r="AT26" s="936">
        <f t="shared" si="16"/>
        <v>27.290836653386457</v>
      </c>
      <c r="AU26" s="936">
        <f t="shared" si="16"/>
        <v>21.230158730158728</v>
      </c>
      <c r="AV26" s="936">
        <f t="shared" si="14"/>
        <v>120.96001483659271</v>
      </c>
      <c r="AW26" s="575">
        <f t="shared" si="15"/>
        <v>0</v>
      </c>
      <c r="AX26" s="936">
        <f t="shared" si="13"/>
        <v>120.96001483659271</v>
      </c>
    </row>
    <row r="27" spans="1:50" s="87" customFormat="1" ht="13.5" customHeight="1" x14ac:dyDescent="0.2">
      <c r="A27" s="488">
        <f>VLOOKUP(B27,Sheet1!$AQ$4:$AR$25,2,FALSE)</f>
        <v>0</v>
      </c>
      <c r="B27" s="93" t="str">
        <f>Sheet1!$K$21</f>
        <v>Torbay</v>
      </c>
      <c r="C27" s="85"/>
      <c r="D27" s="94">
        <f>IF(Year1_Torbay Year1_LAC_Start="","",Year1_Torbay Year1_LAC_Start)</f>
        <v>96</v>
      </c>
      <c r="E27" s="94">
        <f>IF(Year2_Torbay Year2_LAC_Start="","",Year2_Torbay Year2_LAC_Start)</f>
        <v>115</v>
      </c>
      <c r="F27" s="94">
        <f>IF(Year3_Torbay Year3_LAC_Start="","",Year3_Torbay Year3_LAC_Start)</f>
        <v>138</v>
      </c>
      <c r="G27" s="94">
        <f>IF(Year4_Torbay Year4_LAC_Start="","",Year4_Torbay Year4_LAC_Start)</f>
        <v>147</v>
      </c>
      <c r="H27" s="95">
        <f>IF(Year5_Torbay Year5_LAC_Start="","",Year5_Torbay Year5_LAC_Start)</f>
        <v>135</v>
      </c>
      <c r="I27" s="344">
        <f t="shared" si="5"/>
        <v>9.5375351227447516E-2</v>
      </c>
      <c r="J27" s="96"/>
      <c r="K27" s="97">
        <f>IF(ISNUMBER(D27),D27/Population!D27*10000,NA())</f>
        <v>38.095238095238095</v>
      </c>
      <c r="L27" s="97">
        <f>IF(ISNUMBER(E27),E27/Population!E27*10000,NA())</f>
        <v>45.275590551181104</v>
      </c>
      <c r="M27" s="97">
        <f>IF(ISNUMBER(F27),F27/Population!F27*10000,NA())</f>
        <v>54.330708661417319</v>
      </c>
      <c r="N27" s="97">
        <f>IF(ISNUMBER(G27),G27/Population!G27*10000,NA())</f>
        <v>57.874015748031496</v>
      </c>
      <c r="O27" s="98">
        <f>IF(ISNUMBER(H27),H27/Population!H27*10000,NA())</f>
        <v>52.734375</v>
      </c>
      <c r="P27" s="99">
        <f t="shared" si="6"/>
        <v>52.734375</v>
      </c>
      <c r="Q27" s="370" t="str">
        <f t="shared" si="7"/>
        <v>--</v>
      </c>
      <c r="R27" s="70"/>
      <c r="S27" s="340">
        <f>IDACI!C26</f>
        <v>21.9</v>
      </c>
      <c r="T27" s="341">
        <f t="shared" si="0"/>
        <v>34.11422536217701</v>
      </c>
      <c r="U27" s="342">
        <f t="shared" si="8"/>
        <v>18.62014963782299</v>
      </c>
      <c r="V27" s="122"/>
      <c r="W27" s="139"/>
      <c r="X27" s="152"/>
      <c r="Y27" s="1400" t="str">
        <f t="shared" si="1"/>
        <v>Torbay</v>
      </c>
      <c r="Z27" s="1401">
        <f>IF(ISNUMBER(H27),IDACI!D26,0)</f>
        <v>22257</v>
      </c>
      <c r="AA27" s="1401">
        <f>IF(ISNUMBER(H27),IDACI!E26,0)</f>
        <v>4874.2829999999994</v>
      </c>
      <c r="AB27" s="1402">
        <f>IF(ISNUMBER(D27),Population!D27,"")</f>
        <v>25200</v>
      </c>
      <c r="AC27" s="1402">
        <f>IF(ISNUMBER(E27),Population!E27,"")</f>
        <v>25400</v>
      </c>
      <c r="AD27" s="1402">
        <f>IF(ISNUMBER(F27),Population!F27,"")</f>
        <v>25400</v>
      </c>
      <c r="AE27" s="1402">
        <f>IF(ISNUMBER(G27),Population!G27,"")</f>
        <v>25400</v>
      </c>
      <c r="AF27" s="205">
        <f>IF(ISNUMBER(H27),Population!H27,"")</f>
        <v>25600</v>
      </c>
      <c r="AG27" s="93" t="s">
        <v>30</v>
      </c>
      <c r="AH27" s="231">
        <f t="shared" si="9"/>
        <v>14.985590778097983</v>
      </c>
      <c r="AI27" s="206">
        <f t="shared" si="10"/>
        <v>3</v>
      </c>
      <c r="AJ27" s="202"/>
      <c r="AK27" s="160"/>
      <c r="AL27" s="853">
        <f t="shared" si="11"/>
        <v>0.19791666666666666</v>
      </c>
      <c r="AM27" s="853">
        <f t="shared" si="11"/>
        <v>0.2</v>
      </c>
      <c r="AN27" s="853">
        <f t="shared" si="11"/>
        <v>6.5217391304347824E-2</v>
      </c>
      <c r="AO27" s="853">
        <f t="shared" si="11"/>
        <v>-8.1632653061224483E-2</v>
      </c>
      <c r="AP27" s="853">
        <f t="shared" si="12"/>
        <v>9.5375351227447516E-2</v>
      </c>
      <c r="AR27" s="936">
        <f t="shared" si="16"/>
        <v>45.275590551181104</v>
      </c>
      <c r="AS27" s="936">
        <f t="shared" si="16"/>
        <v>54.330708661417319</v>
      </c>
      <c r="AT27" s="936">
        <f t="shared" si="16"/>
        <v>57.874015748031496</v>
      </c>
      <c r="AU27" s="936">
        <f t="shared" si="16"/>
        <v>52.734375</v>
      </c>
      <c r="AV27" s="936">
        <f t="shared" si="14"/>
        <v>210.21468996062993</v>
      </c>
      <c r="AW27" s="575">
        <f t="shared" si="15"/>
        <v>0</v>
      </c>
      <c r="AX27" s="936">
        <f t="shared" si="13"/>
        <v>210.21468996062993</v>
      </c>
    </row>
    <row r="28" spans="1:50" s="87" customFormat="1" ht="13.5" customHeight="1" x14ac:dyDescent="0.2">
      <c r="A28" s="488">
        <f>VLOOKUP(B28,Sheet1!$AQ$4:$AR$25,2,FALSE)</f>
        <v>0</v>
      </c>
      <c r="B28" s="93" t="str">
        <f>Sheet1!$K$22</f>
        <v>West Berkshire</v>
      </c>
      <c r="C28" s="85"/>
      <c r="D28" s="94">
        <f>IF(Year1_West_Berkshire Year1_LAC_Start="","",Year1_West_Berkshire Year1_LAC_Start)</f>
        <v>54</v>
      </c>
      <c r="E28" s="100">
        <f>IF(Year2_West_Berkshire Year2_LAC_Start="","",Year2_West_Berkshire Year2_LAC_Start)</f>
        <v>74</v>
      </c>
      <c r="F28" s="94">
        <f>IF(Year3_West_Berkshire Year3_LAC_Start="","",Year3_West_Berkshire Year3_LAC_Start)</f>
        <v>68</v>
      </c>
      <c r="G28" s="94">
        <f>IF(Year4_West_Berkshire Year4_LAC_Start="","",Year4_West_Berkshire Year4_LAC_Start)</f>
        <v>79</v>
      </c>
      <c r="H28" s="95">
        <f>IF(Year5_West_Berkshire Year5_LAC_Start="","",Year5_West_Berkshire Year5_LAC_Start)</f>
        <v>59</v>
      </c>
      <c r="I28" s="344">
        <f t="shared" si="5"/>
        <v>4.9472359552404227E-2</v>
      </c>
      <c r="J28" s="96"/>
      <c r="K28" s="97">
        <f>IF(ISNUMBER(D28),D28/Population!D28*10000,NA())</f>
        <v>15.126050420168067</v>
      </c>
      <c r="L28" s="97">
        <f>IF(ISNUMBER(E28),E28/Population!E28*10000,NA())</f>
        <v>20.612813370473539</v>
      </c>
      <c r="M28" s="97">
        <f>IF(ISNUMBER(F28),F28/Population!F28*10000,NA())</f>
        <v>18.994413407821231</v>
      </c>
      <c r="N28" s="97">
        <f>IF(ISNUMBER(G28),G28/Population!G28*10000,NA())</f>
        <v>22.191011235955056</v>
      </c>
      <c r="O28" s="98">
        <f>IF(ISNUMBER(H28),H28/Population!H28*10000,NA())</f>
        <v>16.573033707865168</v>
      </c>
      <c r="P28" s="99">
        <f t="shared" si="6"/>
        <v>16.573033707865168</v>
      </c>
      <c r="Q28" s="934">
        <f t="shared" si="7"/>
        <v>7</v>
      </c>
      <c r="R28" s="70"/>
      <c r="S28" s="340">
        <f>IDACI!C27</f>
        <v>8.6999999999999993</v>
      </c>
      <c r="T28" s="341">
        <f t="shared" si="0"/>
        <v>19.361900831188578</v>
      </c>
      <c r="U28" s="342">
        <f t="shared" si="8"/>
        <v>-2.7888671233234099</v>
      </c>
      <c r="V28" s="122"/>
      <c r="W28" s="139"/>
      <c r="X28" s="152"/>
      <c r="Y28" s="1400" t="str">
        <f t="shared" si="1"/>
        <v>West Berkshire</v>
      </c>
      <c r="Z28" s="1401">
        <f>IF(ISNUMBER(H28),IDACI!D27,0)</f>
        <v>31625</v>
      </c>
      <c r="AA28" s="1401">
        <f>IF(ISNUMBER(H28),IDACI!E27,0)</f>
        <v>2751.375</v>
      </c>
      <c r="AB28" s="1402">
        <f>IF(ISNUMBER(D28),Population!D28,"")</f>
        <v>35700</v>
      </c>
      <c r="AC28" s="1402">
        <f>IF(ISNUMBER(E28),Population!E28,"")</f>
        <v>35900</v>
      </c>
      <c r="AD28" s="1402">
        <f>IF(ISNUMBER(F28),Population!F28,"")</f>
        <v>35800</v>
      </c>
      <c r="AE28" s="1402">
        <f>IF(ISNUMBER(G28),Population!G28,"")</f>
        <v>35600</v>
      </c>
      <c r="AF28" s="205">
        <f>IF(ISNUMBER(H28),Population!H28,"")</f>
        <v>35600</v>
      </c>
      <c r="AG28" s="93" t="s">
        <v>16</v>
      </c>
      <c r="AH28" s="231">
        <f t="shared" si="9"/>
        <v>10.891089108910892</v>
      </c>
      <c r="AI28" s="206">
        <f t="shared" si="10"/>
        <v>1</v>
      </c>
      <c r="AJ28" s="202"/>
      <c r="AK28" s="160"/>
      <c r="AL28" s="853">
        <f t="shared" si="11"/>
        <v>0.37037037037037035</v>
      </c>
      <c r="AM28" s="853">
        <f t="shared" si="11"/>
        <v>-8.1081081081081086E-2</v>
      </c>
      <c r="AN28" s="853">
        <f t="shared" si="11"/>
        <v>0.16176470588235295</v>
      </c>
      <c r="AO28" s="853">
        <f t="shared" si="11"/>
        <v>-0.25316455696202533</v>
      </c>
      <c r="AP28" s="853">
        <f t="shared" si="12"/>
        <v>4.9472359552404227E-2</v>
      </c>
      <c r="AR28" s="936">
        <f t="shared" si="16"/>
        <v>20.612813370473539</v>
      </c>
      <c r="AS28" s="936">
        <f t="shared" si="16"/>
        <v>18.994413407821231</v>
      </c>
      <c r="AT28" s="936">
        <f t="shared" si="16"/>
        <v>22.191011235955056</v>
      </c>
      <c r="AU28" s="936">
        <f t="shared" si="16"/>
        <v>16.573033707865168</v>
      </c>
      <c r="AV28" s="936">
        <f t="shared" si="14"/>
        <v>78.371271722114997</v>
      </c>
      <c r="AW28" s="575">
        <f t="shared" si="15"/>
        <v>0</v>
      </c>
      <c r="AX28" s="936">
        <f t="shared" si="13"/>
        <v>78.371271722114997</v>
      </c>
    </row>
    <row r="29" spans="1:50" s="87" customFormat="1" ht="13.5" customHeight="1" x14ac:dyDescent="0.2">
      <c r="A29" s="488">
        <f>VLOOKUP(B29,Sheet1!$AQ$4:$AR$25,2,FALSE)</f>
        <v>0</v>
      </c>
      <c r="B29" s="93" t="str">
        <f>Sheet1!$K$23</f>
        <v>West Sussex</v>
      </c>
      <c r="C29" s="85"/>
      <c r="D29" s="94">
        <f>IF(Year1_West_Sussex Year1_LAC_Start="","",Year1_West_Sussex Year1_LAC_Start)</f>
        <v>380</v>
      </c>
      <c r="E29" s="100">
        <f>IF(Year2_West_Sussex Year2_LAC_Start="","",Year2_West_Sussex Year2_LAC_Start)</f>
        <v>377</v>
      </c>
      <c r="F29" s="94">
        <f>IF(Year3_West_Sussex Year3_LAC_Start="","",Year3_West_Sussex Year3_LAC_Start)</f>
        <v>378</v>
      </c>
      <c r="G29" s="94">
        <f>IF(Year4_West_Sussex Year4_LAC_Start="","",Year4_West_Sussex Year4_LAC_Start)</f>
        <v>346</v>
      </c>
      <c r="H29" s="95">
        <f>IF(Year5_West_Sussex Year5_LAC_Start="","",Year5_West_Sussex Year5_LAC_Start)</f>
        <v>457</v>
      </c>
      <c r="I29" s="344">
        <f t="shared" si="5"/>
        <v>5.772773673765564E-2</v>
      </c>
      <c r="J29" s="96"/>
      <c r="K29" s="97">
        <f>IF(ISNUMBER(D29),D29/Population!D29*10000,NA())</f>
        <v>22.300469483568076</v>
      </c>
      <c r="L29" s="97">
        <f>IF(ISNUMBER(E29),E29/Population!E29*10000,NA())</f>
        <v>21.944121071012809</v>
      </c>
      <c r="M29" s="97">
        <f>IF(ISNUMBER(F29),F29/Population!F29*10000,NA())</f>
        <v>21.811886901327181</v>
      </c>
      <c r="N29" s="97">
        <f>IF(ISNUMBER(G29),G29/Population!G29*10000,NA())</f>
        <v>19.805380652547221</v>
      </c>
      <c r="O29" s="98">
        <f>IF(ISNUMBER(H29),H29/Population!H29*10000,NA())</f>
        <v>25.9511641113004</v>
      </c>
      <c r="P29" s="99">
        <f t="shared" si="6"/>
        <v>25.9511641113004</v>
      </c>
      <c r="Q29" s="934">
        <f t="shared" si="7"/>
        <v>12</v>
      </c>
      <c r="R29" s="70"/>
      <c r="S29" s="340">
        <f>IDACI!C28</f>
        <v>11</v>
      </c>
      <c r="T29" s="341">
        <f t="shared" si="0"/>
        <v>21.932381620678989</v>
      </c>
      <c r="U29" s="342">
        <f t="shared" si="8"/>
        <v>4.0187824906214118</v>
      </c>
      <c r="V29" s="122"/>
      <c r="W29" s="139"/>
      <c r="X29" s="152"/>
      <c r="Y29" s="1400" t="str">
        <f t="shared" si="1"/>
        <v>West Sussex</v>
      </c>
      <c r="Z29" s="1401">
        <f>IF(ISNUMBER(H29),IDACI!D28,0)</f>
        <v>151487</v>
      </c>
      <c r="AA29" s="1401">
        <f>IF(ISNUMBER(H29),IDACI!E28,0)</f>
        <v>16663.57</v>
      </c>
      <c r="AB29" s="1402">
        <f>IF(ISNUMBER(D29),Population!D29,"")</f>
        <v>170400</v>
      </c>
      <c r="AC29" s="1402">
        <f>IF(ISNUMBER(E29),Population!E29,"")</f>
        <v>171800</v>
      </c>
      <c r="AD29" s="1402">
        <f>IF(ISNUMBER(F29),Population!F29,"")</f>
        <v>173300</v>
      </c>
      <c r="AE29" s="1402">
        <f>IF(ISNUMBER(G29),Population!G29,"")</f>
        <v>174700</v>
      </c>
      <c r="AF29" s="205">
        <f>IF(ISNUMBER(H29),Population!H29,"")</f>
        <v>176100</v>
      </c>
      <c r="AG29" s="202"/>
      <c r="AH29" s="202"/>
      <c r="AI29" s="190"/>
      <c r="AJ29" s="202"/>
      <c r="AK29" s="160"/>
      <c r="AL29" s="853">
        <f t="shared" si="11"/>
        <v>-7.8947368421052634E-3</v>
      </c>
      <c r="AM29" s="853">
        <f t="shared" si="11"/>
        <v>2.6525198938992041E-3</v>
      </c>
      <c r="AN29" s="853">
        <f t="shared" si="11"/>
        <v>-8.4656084656084651E-2</v>
      </c>
      <c r="AO29" s="853">
        <f t="shared" si="11"/>
        <v>0.32080924855491327</v>
      </c>
      <c r="AP29" s="853">
        <f t="shared" si="12"/>
        <v>5.772773673765564E-2</v>
      </c>
      <c r="AR29" s="936">
        <f t="shared" si="16"/>
        <v>21.944121071012809</v>
      </c>
      <c r="AS29" s="936">
        <f t="shared" si="16"/>
        <v>21.811886901327181</v>
      </c>
      <c r="AT29" s="936">
        <f t="shared" si="16"/>
        <v>19.805380652547221</v>
      </c>
      <c r="AU29" s="936">
        <f t="shared" si="16"/>
        <v>25.9511641113004</v>
      </c>
      <c r="AV29" s="936">
        <f t="shared" si="14"/>
        <v>89.512552736187615</v>
      </c>
      <c r="AW29" s="575">
        <f t="shared" si="15"/>
        <v>0</v>
      </c>
      <c r="AX29" s="936">
        <f t="shared" si="13"/>
        <v>89.512552736187615</v>
      </c>
    </row>
    <row r="30" spans="1:50" s="87" customFormat="1" ht="13.5" customHeight="1" x14ac:dyDescent="0.2">
      <c r="A30" s="488">
        <f>VLOOKUP(B30,Sheet1!$AQ$4:$AR$25,2,FALSE)</f>
        <v>0</v>
      </c>
      <c r="B30" s="93" t="str">
        <f>Sheet1!$K$24</f>
        <v>Windsor &amp; Maidenhead</v>
      </c>
      <c r="C30" s="85"/>
      <c r="D30" s="100">
        <f>IF(Year1_Windsor_Maidenhead Year1_LAC_Start="","",Year1_Windsor_Maidenhead Year1_LAC_Start)</f>
        <v>32</v>
      </c>
      <c r="E30" s="94">
        <f>IF(Year2_Windsor_Maidenhead Year2_LAC_Start="","",Year2_Windsor_Maidenhead Year2_LAC_Start)</f>
        <v>53</v>
      </c>
      <c r="F30" s="94">
        <f>IF(Year3_Windsor_Maidenhead Year3_LAC_Start="","",Year3_Windsor_Maidenhead Year3_LAC_Start)</f>
        <v>46</v>
      </c>
      <c r="G30" s="94">
        <f>IF(Year4_Windsor_Maidenhead Year4_LAC_Start="","",Year4_Windsor_Maidenhead Year4_LAC_Start)</f>
        <v>65</v>
      </c>
      <c r="H30" s="95">
        <f>IF(Year5_Windsor_Maidenhead Year5_LAC_Start="","",Year5_Windsor_Maidenhead Year5_LAC_Start)</f>
        <v>52</v>
      </c>
      <c r="I30" s="344">
        <f t="shared" si="5"/>
        <v>0.18430450164068912</v>
      </c>
      <c r="J30" s="96"/>
      <c r="K30" s="97">
        <f>IF(ISNUMBER(D30),D30/Population!D30*10000,NA())</f>
        <v>9.4955489614243334</v>
      </c>
      <c r="L30" s="97">
        <f>IF(ISNUMBER(E30),E30/Population!E30*10000,NA())</f>
        <v>15.497076023391813</v>
      </c>
      <c r="M30" s="97">
        <f>IF(ISNUMBER(F30),F30/Population!F30*10000,NA())</f>
        <v>13.372093023255815</v>
      </c>
      <c r="N30" s="97">
        <f>IF(ISNUMBER(G30),G30/Population!G30*10000,NA())</f>
        <v>18.786127167630056</v>
      </c>
      <c r="O30" s="98">
        <f>IF(ISNUMBER(H30),H30/Population!H30*10000,NA())</f>
        <v>14.985590778097983</v>
      </c>
      <c r="P30" s="99">
        <f t="shared" si="6"/>
        <v>14.985590778097983</v>
      </c>
      <c r="Q30" s="934">
        <f t="shared" si="7"/>
        <v>3</v>
      </c>
      <c r="R30" s="70"/>
      <c r="S30" s="340">
        <f>IDACI!C29</f>
        <v>6.7</v>
      </c>
      <c r="T30" s="341">
        <f t="shared" si="0"/>
        <v>17.126700144675183</v>
      </c>
      <c r="U30" s="342">
        <f t="shared" si="8"/>
        <v>-2.1411093665772007</v>
      </c>
      <c r="V30" s="122"/>
      <c r="W30" s="139"/>
      <c r="X30" s="152"/>
      <c r="Y30" s="1400" t="str">
        <f t="shared" si="1"/>
        <v>Windsor &amp; Maidenhead</v>
      </c>
      <c r="Z30" s="1401">
        <f>IF(ISNUMBER(H30),IDACI!D29,0)</f>
        <v>29792</v>
      </c>
      <c r="AA30" s="1401">
        <f>IF(ISNUMBER(H30),IDACI!E29,0)</f>
        <v>1996.0640000000001</v>
      </c>
      <c r="AB30" s="1402">
        <f>IF(ISNUMBER(D30),Population!D30,"")</f>
        <v>33700</v>
      </c>
      <c r="AC30" s="1402">
        <f>IF(ISNUMBER(E30),Population!E30,"")</f>
        <v>34200</v>
      </c>
      <c r="AD30" s="1402">
        <f>IF(ISNUMBER(F30),Population!F30,"")</f>
        <v>34400</v>
      </c>
      <c r="AE30" s="1402">
        <f>IF(ISNUMBER(G30),Population!G30,"")</f>
        <v>34600</v>
      </c>
      <c r="AF30" s="205">
        <f>IF(ISNUMBER(H30),Population!H30,"")</f>
        <v>34700</v>
      </c>
      <c r="AG30" s="202"/>
      <c r="AH30" s="202"/>
      <c r="AI30" s="190"/>
      <c r="AJ30" s="202"/>
      <c r="AK30" s="160"/>
      <c r="AL30" s="853">
        <f t="shared" si="11"/>
        <v>0.65625</v>
      </c>
      <c r="AM30" s="853">
        <f t="shared" si="11"/>
        <v>-0.13207547169811321</v>
      </c>
      <c r="AN30" s="853">
        <f t="shared" si="11"/>
        <v>0.41304347826086957</v>
      </c>
      <c r="AO30" s="853">
        <f t="shared" si="11"/>
        <v>-0.2</v>
      </c>
      <c r="AP30" s="853">
        <f t="shared" si="12"/>
        <v>0.18430450164068912</v>
      </c>
      <c r="AR30" s="936">
        <f t="shared" si="16"/>
        <v>15.497076023391813</v>
      </c>
      <c r="AS30" s="936">
        <f t="shared" si="16"/>
        <v>13.372093023255815</v>
      </c>
      <c r="AT30" s="936">
        <f t="shared" si="16"/>
        <v>18.786127167630056</v>
      </c>
      <c r="AU30" s="936">
        <f t="shared" si="16"/>
        <v>14.985590778097983</v>
      </c>
      <c r="AV30" s="936">
        <f t="shared" si="14"/>
        <v>62.64088699237567</v>
      </c>
      <c r="AW30" s="575">
        <f t="shared" si="15"/>
        <v>0</v>
      </c>
      <c r="AX30" s="936">
        <f>AV30/(4-AW30)*4</f>
        <v>62.64088699237567</v>
      </c>
    </row>
    <row r="31" spans="1:50" s="87" customFormat="1" ht="13.5" customHeight="1" x14ac:dyDescent="0.2">
      <c r="A31" s="488">
        <f>VLOOKUP(B31,Sheet1!$AQ$4:$AR$25,2,FALSE)</f>
        <v>0</v>
      </c>
      <c r="B31" s="93" t="str">
        <f>Sheet1!$K$25</f>
        <v>Wokingham</v>
      </c>
      <c r="C31" s="85"/>
      <c r="D31" s="100">
        <f>IF(Year1_Wokingham Year1_LAC_Start="","",Year1_Wokingham Year1_LAC_Start)</f>
        <v>38</v>
      </c>
      <c r="E31" s="94">
        <f>IF(Year2_Wokingham Year2_LAC_Start="","",Year2_Wokingham Year2_LAC_Start)</f>
        <v>25</v>
      </c>
      <c r="F31" s="94">
        <f>IF(Year3_Wokingham Year3_LAC_Start="","",Year3_Wokingham Year3_LAC_Start)</f>
        <v>66</v>
      </c>
      <c r="G31" s="94">
        <f>IF(Year4_Wokingham Year4_LAC_Start="","",Year4_Wokingham Year4_LAC_Start)</f>
        <v>62</v>
      </c>
      <c r="H31" s="95">
        <f>IF(Year5_Wokingham Year5_LAC_Start="","",Year5_Wokingham Year5_LAC_Start)</f>
        <v>44</v>
      </c>
      <c r="I31" s="344">
        <f t="shared" si="5"/>
        <v>0.23674152389772085</v>
      </c>
      <c r="J31" s="96"/>
      <c r="K31" s="97">
        <f>IF(ISNUMBER(D31),D31/Population!D31*10000,NA())</f>
        <v>10.187667560321715</v>
      </c>
      <c r="L31" s="97">
        <f>IF(ISNUMBER(E31),E31/Population!E31*10000,NA())</f>
        <v>6.5789473684210522</v>
      </c>
      <c r="M31" s="97">
        <f>IF(ISNUMBER(F31),F31/Population!F31*10000,NA())</f>
        <v>17.054263565891471</v>
      </c>
      <c r="N31" s="97">
        <f>IF(ISNUMBER(G31),G31/Population!G31*10000,NA())</f>
        <v>15.69620253164557</v>
      </c>
      <c r="O31" s="98">
        <f>IF(ISNUMBER(H31),H31/Population!H31*10000,NA())</f>
        <v>10.891089108910892</v>
      </c>
      <c r="P31" s="99">
        <f t="shared" si="6"/>
        <v>10.891089108910892</v>
      </c>
      <c r="Q31" s="934">
        <f t="shared" si="7"/>
        <v>1</v>
      </c>
      <c r="R31" s="70"/>
      <c r="S31" s="340">
        <f>IDACI!C30</f>
        <v>5.6000000000000005</v>
      </c>
      <c r="T31" s="341">
        <f t="shared" si="0"/>
        <v>15.897339767092813</v>
      </c>
      <c r="U31" s="342">
        <f t="shared" si="8"/>
        <v>-5.0062506581819211</v>
      </c>
      <c r="V31" s="122"/>
      <c r="W31" s="139"/>
      <c r="X31" s="152"/>
      <c r="Y31" s="1400" t="str">
        <f t="shared" si="1"/>
        <v>Wokingham</v>
      </c>
      <c r="Z31" s="1401">
        <f>IF(ISNUMBER(H31),IDACI!D30,0)</f>
        <v>33327</v>
      </c>
      <c r="AA31" s="1401">
        <f>IF(ISNUMBER(H31),IDACI!E30,0)</f>
        <v>1866.3120000000004</v>
      </c>
      <c r="AB31" s="1402">
        <f>IF(ISNUMBER(D31),Population!D31,"")</f>
        <v>37300</v>
      </c>
      <c r="AC31" s="1402">
        <f>IF(ISNUMBER(E31),Population!E31,"")</f>
        <v>38000</v>
      </c>
      <c r="AD31" s="1402">
        <f>IF(ISNUMBER(F31),Population!F31,"")</f>
        <v>38700</v>
      </c>
      <c r="AE31" s="1402">
        <f>IF(ISNUMBER(G31),Population!G31,"")</f>
        <v>39500</v>
      </c>
      <c r="AF31" s="205">
        <f>IF(ISNUMBER(H31),Population!H31,"")</f>
        <v>40400</v>
      </c>
      <c r="AG31" s="202"/>
      <c r="AH31" s="202"/>
      <c r="AI31" s="190"/>
      <c r="AJ31" s="202"/>
      <c r="AK31" s="160"/>
      <c r="AL31" s="853">
        <f t="shared" si="11"/>
        <v>-0.34210526315789475</v>
      </c>
      <c r="AM31" s="853">
        <f t="shared" si="11"/>
        <v>1.64</v>
      </c>
      <c r="AN31" s="853">
        <f t="shared" si="11"/>
        <v>-6.0606060606060608E-2</v>
      </c>
      <c r="AO31" s="853">
        <f t="shared" si="11"/>
        <v>-0.29032258064516131</v>
      </c>
      <c r="AP31" s="853">
        <f t="shared" si="12"/>
        <v>0.23674152389772085</v>
      </c>
      <c r="AR31" s="936">
        <f t="shared" si="16"/>
        <v>6.5789473684210522</v>
      </c>
      <c r="AS31" s="936">
        <f t="shared" si="16"/>
        <v>17.054263565891471</v>
      </c>
      <c r="AT31" s="936">
        <f t="shared" si="16"/>
        <v>15.69620253164557</v>
      </c>
      <c r="AU31" s="936">
        <f t="shared" si="16"/>
        <v>10.891089108910892</v>
      </c>
      <c r="AV31" s="936">
        <f t="shared" si="14"/>
        <v>50.220502574868981</v>
      </c>
      <c r="AW31" s="575">
        <f t="shared" si="15"/>
        <v>0</v>
      </c>
      <c r="AX31" s="936">
        <f t="shared" si="13"/>
        <v>50.220502574868981</v>
      </c>
    </row>
    <row r="32" spans="1:50" s="87" customFormat="1" ht="13.5" customHeight="1" x14ac:dyDescent="0.2">
      <c r="A32" s="121"/>
      <c r="B32" s="129" t="str">
        <f>Sheet1!$K$26</f>
        <v>South East</v>
      </c>
      <c r="C32" s="85"/>
      <c r="D32" s="130">
        <f>IF(Year1_SouthEast Year1_LAC_Start="","",Year1_SouthEast Year1_LAC_Start)</f>
        <v>5120</v>
      </c>
      <c r="E32" s="130">
        <f>IF(Year2_SouthEast Year2_LAC_Start="","",Year2_SouthEast Year2_LAC_Start)</f>
        <v>4520</v>
      </c>
      <c r="F32" s="130">
        <f>IF(Year3_SouthEast Year3_LAC_Start="","",Year3_SouthEast Year3_LAC_Start)</f>
        <v>4370</v>
      </c>
      <c r="G32" s="130">
        <f>IF(Year4_SouthEast Year4_LAC_Start="","",Year4_SouthEast Year4_LAC_Start)</f>
        <v>4360</v>
      </c>
      <c r="H32" s="131">
        <f>IF(Year5_SouthEast Year5_LAC_Start="","",Year5_SouthEast Year5_LAC_Start)</f>
        <v>4380</v>
      </c>
      <c r="I32" s="357">
        <f t="shared" si="5"/>
        <v>-4.3299276188170373E-2</v>
      </c>
      <c r="J32" s="96"/>
      <c r="K32" s="132">
        <f>IF(ISNUMBER(D32),D32/AB32*10000,NA())</f>
        <v>26.693081695427765</v>
      </c>
      <c r="L32" s="132">
        <f>IF(ISNUMBER(E32),E32/AC32*10000,NA())</f>
        <v>23.382132326315244</v>
      </c>
      <c r="M32" s="132">
        <f>IF(ISNUMBER(F32),F32/AD32*10000,NA())</f>
        <v>22.480580276763206</v>
      </c>
      <c r="N32" s="132">
        <f>IF(ISNUMBER(G32),G32/AE32*10000,NA())</f>
        <v>22.274445693266578</v>
      </c>
      <c r="O32" s="133">
        <f>IF(ISNUMBER(H32),H32/AF32*10000,NA())</f>
        <v>22.242535039609994</v>
      </c>
      <c r="P32" s="99">
        <f t="shared" si="6"/>
        <v>22.242535039609994</v>
      </c>
      <c r="Q32" s="336" t="str">
        <f t="shared" si="7"/>
        <v>--</v>
      </c>
      <c r="R32" s="70"/>
      <c r="S32" s="338">
        <f>AA32/Z32*100</f>
        <v>12.371268250968637</v>
      </c>
      <c r="T32" s="338">
        <f t="shared" si="0"/>
        <v>23.464911488658551</v>
      </c>
      <c r="U32" s="343">
        <f t="shared" si="8"/>
        <v>-1.2223764490485571</v>
      </c>
      <c r="V32" s="122"/>
      <c r="W32" s="139"/>
      <c r="X32" s="152"/>
      <c r="Y32" s="1400" t="str">
        <f t="shared" si="1"/>
        <v>South East</v>
      </c>
      <c r="Z32" s="1401">
        <f>SUM(Z24:Z25,Z10:Z22,Z28:Z31)</f>
        <v>1704978</v>
      </c>
      <c r="AA32" s="1401">
        <f>SUM(AA24:AA25,AA10:AA22,AA28:AA31)</f>
        <v>210927.40200000003</v>
      </c>
      <c r="AB32" s="1402">
        <f>SUM(AB10:AB22,AB24:AB25,AB28:AB31)</f>
        <v>1918100</v>
      </c>
      <c r="AC32" s="1402">
        <f t="shared" ref="AC32:AF32" si="17">SUM(AC10:AC22,AC24:AC25,AC28:AC31)</f>
        <v>1933100</v>
      </c>
      <c r="AD32" s="1402">
        <f t="shared" si="17"/>
        <v>1943900</v>
      </c>
      <c r="AE32" s="1402">
        <f t="shared" si="17"/>
        <v>1957400</v>
      </c>
      <c r="AF32" s="205">
        <f t="shared" si="17"/>
        <v>1969200</v>
      </c>
      <c r="AG32" s="202"/>
      <c r="AH32" s="202"/>
      <c r="AI32" s="190"/>
      <c r="AJ32" s="202"/>
      <c r="AK32" s="160"/>
      <c r="AL32" s="1025">
        <f>IF(ISERROR((L32-K32)/K32),"x",(L32-K32)/K32)</f>
        <v>-0.12403773407997513</v>
      </c>
      <c r="AM32" s="1025">
        <f t="shared" ref="AM32:AO32" si="18">IF(ISERROR((M32-L32)/L32),"x",(M32-L32)/L32)</f>
        <v>-3.8557306791793013E-2</v>
      </c>
      <c r="AN32" s="1025">
        <f t="shared" si="18"/>
        <v>-9.169451186706961E-3</v>
      </c>
      <c r="AO32" s="1025">
        <f t="shared" si="18"/>
        <v>-1.4326126942063985E-3</v>
      </c>
      <c r="AP32" s="853">
        <f t="shared" si="12"/>
        <v>-4.3299276188170373E-2</v>
      </c>
      <c r="AR32" s="936">
        <f t="shared" si="16"/>
        <v>23.382132326315244</v>
      </c>
      <c r="AS32" s="936">
        <f t="shared" si="16"/>
        <v>22.480580276763206</v>
      </c>
      <c r="AT32" s="936">
        <f t="shared" si="16"/>
        <v>22.274445693266578</v>
      </c>
      <c r="AU32" s="936">
        <f t="shared" si="16"/>
        <v>22.242535039609994</v>
      </c>
      <c r="AV32" s="936">
        <f t="shared" si="14"/>
        <v>90.379693335955025</v>
      </c>
      <c r="AW32" s="575">
        <f t="shared" si="15"/>
        <v>0</v>
      </c>
      <c r="AX32" s="936">
        <f t="shared" si="13"/>
        <v>90.379693335955025</v>
      </c>
    </row>
    <row r="33" spans="1:70" s="87" customFormat="1" ht="13.5" customHeight="1" x14ac:dyDescent="0.2">
      <c r="A33" s="292"/>
      <c r="B33" s="329" t="str">
        <f>Sheet1!$K$27</f>
        <v>England</v>
      </c>
      <c r="C33" s="85"/>
      <c r="D33" s="330">
        <f>IF(Year1_England Year1_LAC_Start="","",Year1_England Year1_LAC_Start)</f>
        <v>32170</v>
      </c>
      <c r="E33" s="330">
        <f>IF(Year2_England Year2_LAC_Start="","",Year2_England Year2_LAC_Start)</f>
        <v>32940</v>
      </c>
      <c r="F33" s="330">
        <f>IF(Year3_England Year3_LAC_Start="","",Year3_England Year3_LAC_Start)</f>
        <v>32190</v>
      </c>
      <c r="G33" s="330">
        <f>IF(Year4_England Year4_LAC_Start="","",Year4_England Year4_LAC_Start)</f>
        <v>31680</v>
      </c>
      <c r="H33" s="331">
        <f>IF(Year5_England Year5_LAC_Start="","",Year5_England Year5_LAC_Start)</f>
        <v>30970</v>
      </c>
      <c r="I33" s="358">
        <f t="shared" si="5"/>
        <v>-9.2720931550204205E-3</v>
      </c>
      <c r="J33" s="96"/>
      <c r="K33" s="332">
        <f>IF(ISNUMBER(D33),D33/Population!D33*10000,NA())</f>
        <v>27.54776115568724</v>
      </c>
      <c r="L33" s="332">
        <f>IF(ISNUMBER(E33),E33/Population!E33*10000,NA())</f>
        <v>27.950073396519393</v>
      </c>
      <c r="M33" s="332">
        <f>IF(ISNUMBER(F33),F33/Population!F33*10000,NA())</f>
        <v>27.125642538130954</v>
      </c>
      <c r="N33" s="332">
        <f>IF(ISNUMBER(G33),G33/Population!G33*10000,NA())</f>
        <v>26.500259314406172</v>
      </c>
      <c r="O33" s="352">
        <f>IF(ISNUMBER(H33),H33/Population!H33*10000,NA())</f>
        <v>25.757676569413487</v>
      </c>
      <c r="P33" s="99">
        <f t="shared" si="6"/>
        <v>25.757676569413487</v>
      </c>
      <c r="Q33" s="337" t="str">
        <f t="shared" si="7"/>
        <v>--</v>
      </c>
      <c r="R33" s="70"/>
      <c r="S33" s="339">
        <f>IDACI!C32</f>
        <v>17.084413405029373</v>
      </c>
      <c r="T33" s="339">
        <f t="shared" si="0"/>
        <v>28.732324130655474</v>
      </c>
      <c r="U33" s="624">
        <f t="shared" si="8"/>
        <v>-2.9746475612419871</v>
      </c>
      <c r="V33" s="122"/>
      <c r="W33" s="139"/>
      <c r="X33" s="152"/>
      <c r="Y33" s="1400" t="str">
        <f t="shared" si="1"/>
        <v>England</v>
      </c>
      <c r="Z33" s="1401">
        <f>IF(H33&gt;0,IDACI!D32,0)</f>
        <v>10405050</v>
      </c>
      <c r="AA33" s="1401">
        <f>IF(H33&gt;0,IDACI!E32,0)</f>
        <v>1777641.7570000088</v>
      </c>
      <c r="AB33" s="1402">
        <f>IF(ISNUMBER(D33),Population!D33,"")</f>
        <v>11677900</v>
      </c>
      <c r="AC33" s="1402">
        <f>IF(ISNUMBER(E33),Population!E33,"")</f>
        <v>11785300</v>
      </c>
      <c r="AD33" s="1402">
        <f>IF(ISNUMBER(F33),Population!F33,"")</f>
        <v>11867000</v>
      </c>
      <c r="AE33" s="1402">
        <f>IF(ISNUMBER(G33),Population!G33,"")</f>
        <v>11954600</v>
      </c>
      <c r="AF33" s="205">
        <f>IF(ISNUMBER(H33),Population!H33,"")</f>
        <v>12023600</v>
      </c>
      <c r="AG33" s="202"/>
      <c r="AH33" s="202"/>
      <c r="AI33" s="190"/>
      <c r="AJ33" s="202"/>
      <c r="AK33" s="160"/>
      <c r="AL33" s="853">
        <f t="shared" si="11"/>
        <v>2.3935343487721479E-2</v>
      </c>
      <c r="AM33" s="853">
        <f t="shared" si="11"/>
        <v>-2.2768670309653915E-2</v>
      </c>
      <c r="AN33" s="853">
        <f t="shared" si="11"/>
        <v>-1.5843429636533086E-2</v>
      </c>
      <c r="AO33" s="853">
        <f t="shared" si="11"/>
        <v>-2.241161616161616E-2</v>
      </c>
      <c r="AP33" s="853">
        <f>AVERAGE(AL33:AO33)</f>
        <v>-9.2720931550204205E-3</v>
      </c>
      <c r="AR33" s="936">
        <f t="shared" si="16"/>
        <v>27.950073396519393</v>
      </c>
      <c r="AS33" s="936">
        <f t="shared" si="16"/>
        <v>27.125642538130954</v>
      </c>
      <c r="AT33" s="936">
        <f t="shared" si="16"/>
        <v>26.500259314406172</v>
      </c>
      <c r="AU33" s="936">
        <f t="shared" si="16"/>
        <v>25.757676569413487</v>
      </c>
      <c r="AV33" s="936">
        <f t="shared" si="14"/>
        <v>107.33365181847</v>
      </c>
      <c r="AW33" s="575">
        <f t="shared" si="15"/>
        <v>0</v>
      </c>
      <c r="AX33" s="936">
        <f t="shared" si="13"/>
        <v>107.33365181847</v>
      </c>
    </row>
    <row r="34" spans="1:70" s="81" customFormat="1" ht="13.5" customHeight="1" x14ac:dyDescent="0.2">
      <c r="A34" s="118"/>
      <c r="B34" s="123" t="s">
        <v>90</v>
      </c>
      <c r="C34" s="63"/>
      <c r="D34" s="63"/>
      <c r="E34" s="63"/>
      <c r="F34" s="63"/>
      <c r="G34" s="63"/>
      <c r="H34" s="63"/>
      <c r="I34" s="63"/>
      <c r="J34" s="63"/>
      <c r="K34" s="63"/>
      <c r="L34" s="63"/>
      <c r="M34" s="63"/>
      <c r="N34" s="63"/>
      <c r="O34" s="63"/>
      <c r="P34" s="63"/>
      <c r="Q34" s="136" t="s">
        <v>108</v>
      </c>
      <c r="S34" s="63"/>
      <c r="T34" s="63"/>
      <c r="U34" s="63"/>
      <c r="V34" s="117"/>
      <c r="W34" s="137"/>
      <c r="X34" s="150"/>
      <c r="Y34" s="1403"/>
      <c r="Z34" s="1403"/>
      <c r="AA34" s="1403"/>
      <c r="AB34" s="1403"/>
      <c r="AC34" s="1403"/>
      <c r="AD34" s="1403"/>
      <c r="AE34" s="1403"/>
      <c r="AF34" s="184"/>
      <c r="AG34" s="184"/>
      <c r="AH34" s="184"/>
      <c r="AJ34" s="184"/>
      <c r="AK34" s="161"/>
      <c r="BC34" s="87"/>
      <c r="BD34" s="87"/>
      <c r="BE34" s="87"/>
      <c r="BF34" s="87"/>
      <c r="BG34" s="87"/>
      <c r="BH34" s="87"/>
      <c r="BI34" s="87"/>
      <c r="BJ34" s="87"/>
      <c r="BK34" s="87"/>
      <c r="BL34" s="87"/>
      <c r="BM34" s="87"/>
      <c r="BN34" s="87"/>
      <c r="BO34" s="87"/>
      <c r="BP34" s="87"/>
      <c r="BQ34" s="87"/>
      <c r="BR34" s="87"/>
    </row>
    <row r="35" spans="1:70" s="81" customFormat="1" ht="26.25" customHeight="1" x14ac:dyDescent="0.2">
      <c r="A35" s="118"/>
      <c r="B35" s="1923"/>
      <c r="C35" s="1763"/>
      <c r="D35" s="1763"/>
      <c r="E35" s="1763"/>
      <c r="F35" s="1763"/>
      <c r="G35" s="1763"/>
      <c r="H35" s="1763"/>
      <c r="I35" s="1763"/>
      <c r="J35" s="1763"/>
      <c r="K35" s="1763"/>
      <c r="L35" s="1763"/>
      <c r="M35" s="1763"/>
      <c r="N35" s="1763"/>
      <c r="O35" s="1763"/>
      <c r="P35" s="1763"/>
      <c r="Q35" s="1763"/>
      <c r="R35" s="1763"/>
      <c r="S35" s="1763"/>
      <c r="T35" s="1763"/>
      <c r="U35" s="1764"/>
      <c r="V35" s="117"/>
      <c r="W35" s="137"/>
      <c r="X35" s="150"/>
      <c r="Y35" s="1403"/>
      <c r="Z35" s="1403"/>
      <c r="AA35" s="1403"/>
      <c r="AB35" s="1403"/>
      <c r="AC35" s="1403"/>
      <c r="AD35" s="1403"/>
      <c r="AE35" s="1403"/>
      <c r="AF35" s="184"/>
      <c r="AG35" s="184"/>
      <c r="AH35" s="184"/>
      <c r="AJ35" s="184"/>
      <c r="AK35" s="157"/>
      <c r="AL35" s="74"/>
      <c r="AM35" s="74"/>
      <c r="AN35" s="74"/>
      <c r="AO35" s="74"/>
      <c r="AP35" s="74"/>
      <c r="AQ35" s="74"/>
      <c r="AR35" s="74"/>
      <c r="BC35" s="87"/>
      <c r="BD35" s="87"/>
      <c r="BE35" s="87"/>
      <c r="BF35" s="87"/>
      <c r="BG35" s="87"/>
      <c r="BH35" s="87"/>
      <c r="BI35" s="87"/>
      <c r="BJ35" s="87"/>
      <c r="BK35" s="87"/>
      <c r="BL35" s="87"/>
      <c r="BM35" s="87"/>
      <c r="BN35" s="87"/>
      <c r="BO35" s="87"/>
      <c r="BP35" s="87"/>
      <c r="BQ35" s="87"/>
      <c r="BR35" s="87"/>
    </row>
    <row r="36" spans="1:70" s="81" customFormat="1" ht="7.5" customHeight="1" x14ac:dyDescent="0.2">
      <c r="A36" s="118"/>
      <c r="B36" s="17"/>
      <c r="C36" s="17"/>
      <c r="D36" s="16"/>
      <c r="E36" s="16"/>
      <c r="F36" s="16"/>
      <c r="G36" s="16"/>
      <c r="H36" s="16"/>
      <c r="I36" s="16"/>
      <c r="J36" s="12"/>
      <c r="K36" s="18"/>
      <c r="L36" s="18"/>
      <c r="M36" s="18"/>
      <c r="N36" s="18"/>
      <c r="O36" s="18"/>
      <c r="P36" s="18"/>
      <c r="Q36" s="18"/>
      <c r="R36" s="18"/>
      <c r="S36" s="18"/>
      <c r="T36" s="18"/>
      <c r="U36" s="19"/>
      <c r="V36" s="117"/>
      <c r="W36" s="137"/>
      <c r="X36" s="150"/>
      <c r="Y36" s="1392"/>
      <c r="Z36" s="1399"/>
      <c r="AA36" s="1392"/>
      <c r="AB36" s="1392"/>
      <c r="AC36" s="1392"/>
      <c r="AD36" s="1392"/>
      <c r="AE36" s="1392"/>
      <c r="AJ36" s="184"/>
      <c r="AK36" s="157"/>
      <c r="AL36" s="74"/>
      <c r="AM36" s="74"/>
      <c r="AN36" s="74"/>
      <c r="AO36" s="74"/>
      <c r="AP36" s="74"/>
      <c r="AQ36" s="74"/>
      <c r="AR36" s="74"/>
      <c r="BC36" s="87"/>
      <c r="BD36" s="87"/>
      <c r="BE36" s="87"/>
      <c r="BF36" s="87"/>
      <c r="BG36" s="87"/>
      <c r="BH36" s="87"/>
      <c r="BI36" s="87"/>
      <c r="BJ36" s="87"/>
      <c r="BK36" s="87"/>
      <c r="BL36" s="87"/>
      <c r="BM36" s="87"/>
      <c r="BN36" s="87"/>
      <c r="BO36" s="87"/>
      <c r="BP36" s="87"/>
      <c r="BQ36" s="87"/>
      <c r="BR36" s="87"/>
    </row>
    <row r="37" spans="1:70" s="81" customFormat="1" ht="15" customHeight="1" x14ac:dyDescent="0.2">
      <c r="A37" s="1716"/>
      <c r="B37" s="1760"/>
      <c r="C37" s="1760"/>
      <c r="D37" s="1760"/>
      <c r="E37" s="1760"/>
      <c r="F37" s="1760"/>
      <c r="G37" s="1760"/>
      <c r="H37" s="1760"/>
      <c r="I37" s="1760"/>
      <c r="J37" s="1760"/>
      <c r="K37" s="1760"/>
      <c r="L37" s="1760"/>
      <c r="M37" s="1760"/>
      <c r="N37" s="1760"/>
      <c r="O37" s="1760"/>
      <c r="P37" s="1760"/>
      <c r="Q37" s="1760"/>
      <c r="R37" s="1760"/>
      <c r="S37" s="1760"/>
      <c r="T37" s="1760"/>
      <c r="U37" s="1760"/>
      <c r="V37" s="1761"/>
      <c r="W37" s="137"/>
      <c r="X37" s="150"/>
      <c r="Y37" s="1392"/>
      <c r="Z37" s="1399"/>
      <c r="AA37" s="1392"/>
      <c r="AB37" s="1392"/>
      <c r="AC37" s="1392"/>
      <c r="AD37" s="1392"/>
      <c r="AE37" s="1392"/>
      <c r="AK37" s="161"/>
      <c r="AM37" s="81">
        <f>COLUMNS($B$4:K$4)</f>
        <v>10</v>
      </c>
      <c r="AN37" s="81">
        <f>COLUMNS($B$4:L$4)</f>
        <v>11</v>
      </c>
      <c r="AO37" s="81">
        <f>COLUMNS($B$4:M$4)</f>
        <v>12</v>
      </c>
      <c r="AP37" s="81">
        <f>COLUMNS($B$4:N$4)</f>
        <v>13</v>
      </c>
      <c r="AQ37" s="81">
        <f>COLUMNS($B$4:O$4)</f>
        <v>14</v>
      </c>
      <c r="AR37" s="81">
        <f>COLUMNS($B$4:S$4)</f>
        <v>18</v>
      </c>
      <c r="AS37" s="81">
        <v>3</v>
      </c>
      <c r="AT37" s="24">
        <v>4</v>
      </c>
      <c r="AU37" s="24">
        <v>5</v>
      </c>
      <c r="AV37" s="24">
        <v>6</v>
      </c>
      <c r="AW37" s="23">
        <v>7</v>
      </c>
      <c r="AX37" s="81">
        <v>3</v>
      </c>
      <c r="AY37" s="24">
        <v>4</v>
      </c>
      <c r="AZ37" s="24">
        <v>5</v>
      </c>
      <c r="BA37" s="24">
        <v>6</v>
      </c>
      <c r="BB37" s="23">
        <v>7</v>
      </c>
      <c r="BD37" s="24"/>
      <c r="BE37" s="24"/>
      <c r="BF37" s="24"/>
      <c r="BG37" s="23"/>
      <c r="BM37" s="87"/>
      <c r="BN37" s="87"/>
      <c r="BO37" s="87"/>
      <c r="BP37" s="87"/>
      <c r="BQ37" s="87"/>
      <c r="BR37" s="87"/>
    </row>
    <row r="38" spans="1:70" s="81" customFormat="1" ht="11.25" customHeight="1" x14ac:dyDescent="0.2">
      <c r="A38" s="1765" t="str">
        <f>Home!$A$39</f>
        <v xml:space="preserve"> </v>
      </c>
      <c r="B38" s="1766"/>
      <c r="C38" s="1766"/>
      <c r="D38" s="1766"/>
      <c r="E38" s="1766"/>
      <c r="F38" s="1766"/>
      <c r="G38" s="1766"/>
      <c r="H38" s="1766"/>
      <c r="I38" s="1767"/>
      <c r="J38" s="1766"/>
      <c r="K38" s="1766"/>
      <c r="L38" s="1766"/>
      <c r="M38" s="1766"/>
      <c r="N38" s="1766"/>
      <c r="O38" s="1766"/>
      <c r="P38" s="1768"/>
      <c r="Q38" s="1766"/>
      <c r="R38" s="1766"/>
      <c r="S38" s="1766"/>
      <c r="T38" s="1767"/>
      <c r="U38" s="1766"/>
      <c r="V38" s="1769"/>
      <c r="W38" s="137"/>
      <c r="X38" s="150"/>
      <c r="Y38" s="1392"/>
      <c r="Z38" s="1399"/>
      <c r="AA38" s="1392"/>
      <c r="AB38" s="1392"/>
      <c r="AC38" s="1392"/>
      <c r="AD38" s="1392"/>
      <c r="AE38" s="1392"/>
      <c r="AJ38" s="184"/>
      <c r="AK38" s="160"/>
      <c r="AL38" s="87"/>
      <c r="AM38" s="826" t="s">
        <v>89</v>
      </c>
      <c r="AN38" s="827"/>
      <c r="AO38" s="827"/>
      <c r="AP38" s="827"/>
      <c r="AQ38" s="827"/>
      <c r="AR38" s="826" t="s">
        <v>1213</v>
      </c>
      <c r="AS38" s="55" t="s">
        <v>703</v>
      </c>
      <c r="AT38" s="24"/>
      <c r="AU38" s="24"/>
      <c r="AV38" s="24"/>
      <c r="AW38" s="23"/>
      <c r="AX38" s="55" t="s">
        <v>704</v>
      </c>
      <c r="AY38" s="24"/>
      <c r="AZ38" s="24"/>
      <c r="BA38" s="24"/>
      <c r="BB38" s="23"/>
      <c r="BC38" s="55"/>
      <c r="BD38" s="24"/>
      <c r="BE38" s="24"/>
      <c r="BF38" s="24"/>
      <c r="BG38" s="23"/>
      <c r="BM38" s="87"/>
      <c r="BN38" s="87"/>
      <c r="BO38" s="87"/>
      <c r="BP38" s="87"/>
      <c r="BQ38" s="87"/>
      <c r="BR38" s="87"/>
    </row>
    <row r="39" spans="1:70" s="81" customFormat="1" ht="11.25" customHeight="1" x14ac:dyDescent="0.2">
      <c r="A39" s="112"/>
      <c r="B39" s="113"/>
      <c r="C39" s="113"/>
      <c r="D39" s="113"/>
      <c r="E39" s="113"/>
      <c r="F39" s="113"/>
      <c r="G39" s="113"/>
      <c r="H39" s="113"/>
      <c r="I39" s="113"/>
      <c r="J39" s="114"/>
      <c r="K39" s="113"/>
      <c r="L39" s="113"/>
      <c r="M39" s="113"/>
      <c r="N39" s="113"/>
      <c r="O39" s="113"/>
      <c r="P39" s="113"/>
      <c r="Q39" s="113"/>
      <c r="R39" s="113"/>
      <c r="S39" s="113"/>
      <c r="T39" s="113"/>
      <c r="U39" s="113"/>
      <c r="V39" s="115"/>
      <c r="W39" s="137"/>
      <c r="X39" s="149" t="s">
        <v>101</v>
      </c>
      <c r="Y39" s="1392"/>
      <c r="Z39" s="1399"/>
      <c r="AA39" s="1392"/>
      <c r="AB39" s="1392"/>
      <c r="AC39" s="1392"/>
      <c r="AD39" s="1392"/>
      <c r="AE39" s="1392"/>
      <c r="AJ39" s="184"/>
      <c r="AK39" s="160"/>
      <c r="AL39" s="87"/>
      <c r="AM39" s="826"/>
      <c r="AN39" s="826"/>
      <c r="AO39" s="826"/>
      <c r="AP39" s="826"/>
      <c r="AQ39" s="826"/>
      <c r="AR39" s="827"/>
      <c r="AS39" s="826"/>
      <c r="AT39" s="826"/>
      <c r="AU39" s="826"/>
      <c r="AV39" s="826"/>
      <c r="AW39" s="826"/>
      <c r="AX39" s="826"/>
      <c r="AY39" s="826"/>
      <c r="AZ39" s="826"/>
      <c r="BA39" s="826"/>
      <c r="BB39" s="1116"/>
      <c r="BC39" s="1540"/>
      <c r="BD39" s="1540"/>
      <c r="BE39" s="1540"/>
      <c r="BF39" s="1540"/>
      <c r="BG39" s="1542"/>
      <c r="BM39" s="87"/>
      <c r="BN39" s="87"/>
      <c r="BO39" s="87"/>
      <c r="BP39" s="87"/>
      <c r="BQ39" s="87"/>
      <c r="BR39" s="87"/>
    </row>
    <row r="40" spans="1:70" s="81" customFormat="1" ht="3.75" customHeight="1" x14ac:dyDescent="0.25">
      <c r="A40" s="116"/>
      <c r="B40" s="9"/>
      <c r="C40" s="9"/>
      <c r="D40" s="9"/>
      <c r="E40" s="9"/>
      <c r="F40" s="9"/>
      <c r="G40" s="9"/>
      <c r="H40" s="9"/>
      <c r="I40" s="9"/>
      <c r="J40" s="12"/>
      <c r="K40" s="9"/>
      <c r="L40" s="9"/>
      <c r="M40" s="9"/>
      <c r="N40" s="9"/>
      <c r="O40" s="9"/>
      <c r="P40" s="9"/>
      <c r="Q40" s="9"/>
      <c r="R40" s="9"/>
      <c r="S40" s="9"/>
      <c r="T40" s="9"/>
      <c r="U40" s="9"/>
      <c r="V40" s="117"/>
      <c r="W40" s="137"/>
      <c r="X40" s="294"/>
      <c r="Y40" s="1392"/>
      <c r="Z40" s="1392"/>
      <c r="AA40" s="1392"/>
      <c r="AB40" s="1392"/>
      <c r="AC40" s="1392"/>
      <c r="AD40" s="631" t="s">
        <v>977</v>
      </c>
      <c r="AE40" s="1392"/>
      <c r="AK40" s="160"/>
      <c r="AL40" s="87"/>
      <c r="AM40" s="826" t="e">
        <f>D9</f>
        <v>#N/A</v>
      </c>
      <c r="AN40" s="826" t="e">
        <f>E9</f>
        <v>#N/A</v>
      </c>
      <c r="AO40" s="826" t="e">
        <f>F9</f>
        <v>#N/A</v>
      </c>
      <c r="AP40" s="826" t="e">
        <f>G9</f>
        <v>#N/A</v>
      </c>
      <c r="AQ40" s="826" t="e">
        <f>H9</f>
        <v>#N/A</v>
      </c>
      <c r="AR40" s="827"/>
      <c r="AS40" s="826" t="e">
        <f>K9</f>
        <v>#N/A</v>
      </c>
      <c r="AT40" s="826" t="e">
        <f>L9</f>
        <v>#N/A</v>
      </c>
      <c r="AU40" s="826" t="e">
        <f>M9</f>
        <v>#N/A</v>
      </c>
      <c r="AV40" s="826" t="e">
        <f>N9</f>
        <v>#N/A</v>
      </c>
      <c r="AW40" s="826" t="e">
        <f>O9</f>
        <v>#N/A</v>
      </c>
      <c r="AX40" s="826" t="e">
        <f>AS40</f>
        <v>#N/A</v>
      </c>
      <c r="AY40" s="826" t="e">
        <f t="shared" ref="AY40:BB40" si="19">AT40</f>
        <v>#N/A</v>
      </c>
      <c r="AZ40" s="826" t="e">
        <f t="shared" si="19"/>
        <v>#N/A</v>
      </c>
      <c r="BA40" s="826" t="e">
        <f t="shared" si="19"/>
        <v>#N/A</v>
      </c>
      <c r="BB40" s="1116" t="e">
        <f t="shared" si="19"/>
        <v>#N/A</v>
      </c>
      <c r="BC40" s="1540"/>
      <c r="BD40" s="1540"/>
      <c r="BE40" s="1540"/>
      <c r="BF40" s="1540"/>
      <c r="BG40" s="1542"/>
      <c r="BM40" s="87"/>
      <c r="BN40" s="87"/>
      <c r="BO40" s="87"/>
      <c r="BP40" s="87"/>
      <c r="BQ40" s="87"/>
      <c r="BR40" s="87"/>
    </row>
    <row r="41" spans="1:70" s="81" customFormat="1" ht="14.25" customHeight="1" x14ac:dyDescent="0.2">
      <c r="A41" s="118"/>
      <c r="B41" s="9"/>
      <c r="C41" s="9"/>
      <c r="D41" s="9"/>
      <c r="E41" s="9"/>
      <c r="F41" s="9"/>
      <c r="G41" s="9"/>
      <c r="H41" s="9"/>
      <c r="I41" s="9"/>
      <c r="J41" s="12"/>
      <c r="K41" s="9"/>
      <c r="L41" s="9"/>
      <c r="M41" s="9"/>
      <c r="N41" s="9"/>
      <c r="O41" s="9"/>
      <c r="P41" s="9"/>
      <c r="Q41" s="9"/>
      <c r="R41" s="9"/>
      <c r="S41" s="9"/>
      <c r="T41" s="9"/>
      <c r="U41" s="9"/>
      <c r="V41" s="117"/>
      <c r="W41" s="137"/>
      <c r="X41" s="294"/>
      <c r="Y41" s="1404" t="s">
        <v>72</v>
      </c>
      <c r="Z41" s="1404" t="s">
        <v>70</v>
      </c>
      <c r="AA41" s="1404" t="s">
        <v>71</v>
      </c>
      <c r="AB41" s="1405">
        <v>5</v>
      </c>
      <c r="AC41" s="1406">
        <f>(AB41*Z42)+AA42</f>
        <v>11.061250921421056</v>
      </c>
      <c r="AD41" s="1407">
        <f>ROUND(ChartLabels!$AA17,3)</f>
        <v>0.75700000000000001</v>
      </c>
      <c r="AE41" s="1392"/>
      <c r="AJ41" s="585" t="b">
        <v>1</v>
      </c>
      <c r="AK41" s="160" t="s">
        <v>0</v>
      </c>
      <c r="AL41" s="87" t="str">
        <f t="shared" ref="AL41:AL64" si="20">IF(AJ41=TRUE,B10,"")</f>
        <v>Bracknell Forest</v>
      </c>
      <c r="AM41" s="146">
        <f t="shared" ref="AM41:AQ50" si="21">VLOOKUP($AL41,$B$10:$O$33,AM$37,FALSE)</f>
        <v>21.276595744680851</v>
      </c>
      <c r="AN41" s="146">
        <f t="shared" si="21"/>
        <v>23.75886524822695</v>
      </c>
      <c r="AO41" s="146">
        <f t="shared" si="21"/>
        <v>29.893238434163699</v>
      </c>
      <c r="AP41" s="146">
        <f t="shared" si="21"/>
        <v>29.681978798586574</v>
      </c>
      <c r="AQ41" s="146">
        <f t="shared" si="21"/>
        <v>16.549295774647888</v>
      </c>
      <c r="AR41" s="147">
        <f>VLOOKUP(AL41,$B$10:$U$33,$AR$37,FALSE)</f>
        <v>8.9</v>
      </c>
      <c r="AS41" s="348" t="e">
        <f>VLOOKUP($AL41,#REF!,AS$37,FALSE)</f>
        <v>#REF!</v>
      </c>
      <c r="AT41" s="348" t="e">
        <f>VLOOKUP($AL41,#REF!,AT$37,FALSE)</f>
        <v>#REF!</v>
      </c>
      <c r="AU41" s="348" t="e">
        <f>VLOOKUP($AL41,#REF!,AU$37,FALSE)</f>
        <v>#REF!</v>
      </c>
      <c r="AV41" s="348" t="e">
        <f>VLOOKUP($AL41,#REF!,AV$37,FALSE)</f>
        <v>#REF!</v>
      </c>
      <c r="AW41" s="348" t="e">
        <f>VLOOKUP($AL41,#REF!,AW$37,FALSE)</f>
        <v>#REF!</v>
      </c>
      <c r="AX41" s="348" t="e">
        <f>VLOOKUP($AL41,$B$77:$H$100,AX$37,FALSE)</f>
        <v>#N/A</v>
      </c>
      <c r="AY41" s="348" t="e">
        <f>VLOOKUP($AL41,$B$77:$H$100,AY$37,FALSE)</f>
        <v>#N/A</v>
      </c>
      <c r="AZ41" s="348" t="e">
        <f>VLOOKUP($AL41,$B$77:$H$100,AZ$37,FALSE)</f>
        <v>#N/A</v>
      </c>
      <c r="BA41" s="348" t="e">
        <f>VLOOKUP($AL41,$B$77:$H$100,BA$37,FALSE)</f>
        <v>#N/A</v>
      </c>
      <c r="BB41" s="348">
        <f>VLOOKUP($AL41,$B$77:$H$100,BB$37,FALSE)</f>
        <v>0</v>
      </c>
      <c r="BC41" s="348"/>
      <c r="BD41" s="348"/>
      <c r="BE41" s="348"/>
      <c r="BF41" s="348"/>
      <c r="BG41" s="348"/>
      <c r="BM41" s="87"/>
      <c r="BN41" s="87"/>
      <c r="BO41" s="87"/>
      <c r="BP41" s="87"/>
      <c r="BQ41" s="87"/>
      <c r="BR41" s="87"/>
    </row>
    <row r="42" spans="1:70" s="81" customFormat="1" ht="14.25" customHeight="1" x14ac:dyDescent="0.2">
      <c r="A42" s="118"/>
      <c r="B42" s="9"/>
      <c r="C42" s="9"/>
      <c r="D42" s="9"/>
      <c r="E42" s="9"/>
      <c r="F42" s="9"/>
      <c r="G42" s="9"/>
      <c r="H42" s="9"/>
      <c r="I42" s="9"/>
      <c r="J42" s="12"/>
      <c r="K42" s="9"/>
      <c r="L42" s="9"/>
      <c r="M42" s="9"/>
      <c r="N42" s="9"/>
      <c r="O42" s="9"/>
      <c r="P42" s="9"/>
      <c r="Q42" s="9"/>
      <c r="R42" s="9"/>
      <c r="S42" s="9"/>
      <c r="T42" s="9"/>
      <c r="U42" s="9"/>
      <c r="V42" s="117"/>
      <c r="W42" s="137"/>
      <c r="X42" s="294"/>
      <c r="Y42" s="580" t="str">
        <f>"Y= "&amp;Z42&amp;"x + "&amp;AA42</f>
        <v>Y= 1.53729550238814x + 3.37477340948038</v>
      </c>
      <c r="Z42" s="1408">
        <f>ChartLabels!$Y17</f>
        <v>1.5372955023881361</v>
      </c>
      <c r="AA42" s="1408">
        <f>ChartLabels!$Z17</f>
        <v>3.3747734094803761</v>
      </c>
      <c r="AB42" s="1407">
        <v>35</v>
      </c>
      <c r="AC42" s="1406">
        <f>(AB42*Z42)+AA42</f>
        <v>57.180115993065137</v>
      </c>
      <c r="AD42" s="1407" t="str">
        <f>AD40&amp;" = "&amp;AD41</f>
        <v>r² = 0.757</v>
      </c>
      <c r="AE42" s="1392"/>
      <c r="AJ42" s="585" t="b">
        <v>1</v>
      </c>
      <c r="AK42" s="160" t="s">
        <v>31</v>
      </c>
      <c r="AL42" s="87" t="str">
        <f t="shared" si="20"/>
        <v>Brighton &amp; Hove</v>
      </c>
      <c r="AM42" s="146">
        <f t="shared" si="21"/>
        <v>39.84375</v>
      </c>
      <c r="AN42" s="146">
        <f t="shared" si="21"/>
        <v>37.816764132553608</v>
      </c>
      <c r="AO42" s="146">
        <f t="shared" si="21"/>
        <v>27.450980392156865</v>
      </c>
      <c r="AP42" s="146">
        <f t="shared" si="21"/>
        <v>30.784313725490197</v>
      </c>
      <c r="AQ42" s="146">
        <f t="shared" si="21"/>
        <v>30.616302186878727</v>
      </c>
      <c r="AR42" s="147">
        <f t="shared" ref="AR42:AR64" si="22">VLOOKUP(AL42,$B$10:$U$33,$AR$37,FALSE)</f>
        <v>15.299999999999999</v>
      </c>
      <c r="AS42" s="348" t="e">
        <f>VLOOKUP($AL42,#REF!,AS$37,FALSE)</f>
        <v>#REF!</v>
      </c>
      <c r="AT42" s="348" t="e">
        <f>VLOOKUP($AL42,#REF!,AT$37,FALSE)</f>
        <v>#REF!</v>
      </c>
      <c r="AU42" s="348" t="e">
        <f>VLOOKUP($AL42,#REF!,AU$37,FALSE)</f>
        <v>#REF!</v>
      </c>
      <c r="AV42" s="348" t="e">
        <f>VLOOKUP($AL42,#REF!,AV$37,FALSE)</f>
        <v>#REF!</v>
      </c>
      <c r="AW42" s="348" t="e">
        <f>VLOOKUP($AL42,#REF!,AW$37,FALSE)</f>
        <v>#REF!</v>
      </c>
      <c r="AX42" s="348" t="e">
        <f>VLOOKUP($AL42,$B$77:$H$100,AX$37,FALSE)</f>
        <v>#N/A</v>
      </c>
      <c r="AY42" s="348" t="e">
        <f>VLOOKUP($AL42,$B$77:$H$100,AY$37,FALSE)</f>
        <v>#N/A</v>
      </c>
      <c r="AZ42" s="348" t="e">
        <f>VLOOKUP($AL42,$B$77:$H$100,AZ$37,FALSE)</f>
        <v>#N/A</v>
      </c>
      <c r="BA42" s="348" t="e">
        <f>VLOOKUP($AL42,$B$77:$H$100,BA$37,FALSE)</f>
        <v>#N/A</v>
      </c>
      <c r="BB42" s="348" t="e">
        <f>VLOOKUP($AL42,$B$77:$H$100,BB$37,FALSE)</f>
        <v>#N/A</v>
      </c>
      <c r="BC42" s="348"/>
      <c r="BD42" s="348"/>
      <c r="BE42" s="348"/>
      <c r="BF42" s="348"/>
      <c r="BG42" s="348"/>
      <c r="BM42" s="348"/>
      <c r="BN42" s="348"/>
      <c r="BO42" s="348"/>
      <c r="BP42" s="348"/>
      <c r="BQ42" s="348"/>
    </row>
    <row r="43" spans="1:70" ht="14.25" customHeight="1" x14ac:dyDescent="0.2">
      <c r="A43" s="118"/>
      <c r="B43" s="9"/>
      <c r="C43" s="9"/>
      <c r="D43" s="9"/>
      <c r="E43" s="9"/>
      <c r="F43" s="9"/>
      <c r="G43" s="9"/>
      <c r="H43" s="9"/>
      <c r="I43" s="9"/>
      <c r="J43" s="12"/>
      <c r="K43" s="9"/>
      <c r="L43" s="9"/>
      <c r="M43" s="9"/>
      <c r="N43" s="9"/>
      <c r="O43" s="9"/>
      <c r="P43" s="9"/>
      <c r="Q43" s="9"/>
      <c r="R43" s="9"/>
      <c r="S43" s="9"/>
      <c r="T43" s="9"/>
      <c r="U43" s="9"/>
      <c r="V43" s="117"/>
      <c r="W43" s="137"/>
      <c r="X43" s="294"/>
      <c r="Y43" s="1404" t="str">
        <f>"National Trend "&amp;Sheet1!$B$8</f>
        <v>National Trend 2020</v>
      </c>
      <c r="Z43" s="1409" t="s">
        <v>70</v>
      </c>
      <c r="AA43" s="1404" t="s">
        <v>71</v>
      </c>
      <c r="AB43" s="1405">
        <v>5</v>
      </c>
      <c r="AC43" s="1410">
        <f>((AB43*Z44)+AA44)/$Y$2</f>
        <v>15.226779561138793</v>
      </c>
      <c r="AD43" s="1319" t="str">
        <f>$AD$40&amp;" = "&amp;AD44</f>
        <v>r² = 0.16</v>
      </c>
      <c r="AJ43" s="585" t="b">
        <v>1</v>
      </c>
      <c r="AK43" s="160" t="s">
        <v>8</v>
      </c>
      <c r="AL43" s="87" t="str">
        <f t="shared" si="20"/>
        <v>Buckinghamshire</v>
      </c>
      <c r="AM43" s="146">
        <f t="shared" si="21"/>
        <v>20.64676616915423</v>
      </c>
      <c r="AN43" s="146">
        <f t="shared" si="21"/>
        <v>16.939443535188214</v>
      </c>
      <c r="AO43" s="146">
        <f t="shared" si="21"/>
        <v>15.678310316815598</v>
      </c>
      <c r="AP43" s="146">
        <f t="shared" si="21"/>
        <v>16.814159292035399</v>
      </c>
      <c r="AQ43" s="146">
        <f t="shared" si="21"/>
        <v>16.149562450278442</v>
      </c>
      <c r="AR43" s="147">
        <f t="shared" si="22"/>
        <v>8.5</v>
      </c>
      <c r="AS43" s="348" t="e">
        <f>VLOOKUP($AL43,#REF!,AS$37,FALSE)</f>
        <v>#REF!</v>
      </c>
      <c r="AT43" s="348" t="e">
        <f>VLOOKUP($AL43,#REF!,AT$37,FALSE)</f>
        <v>#REF!</v>
      </c>
      <c r="AU43" s="348" t="e">
        <f>VLOOKUP($AL43,#REF!,AU$37,FALSE)</f>
        <v>#REF!</v>
      </c>
      <c r="AV43" s="348" t="e">
        <f>VLOOKUP($AL43,#REF!,AV$37,FALSE)</f>
        <v>#REF!</v>
      </c>
      <c r="AW43" s="348" t="e">
        <f>VLOOKUP($AL43,#REF!,AW$37,FALSE)</f>
        <v>#REF!</v>
      </c>
      <c r="AX43" s="348" t="e">
        <f>VLOOKUP($AL43,$B$77:$H$100,AX$37,FALSE)</f>
        <v>#N/A</v>
      </c>
      <c r="AY43" s="348" t="e">
        <f>VLOOKUP($AL43,$B$77:$H$100,AY$37,FALSE)</f>
        <v>#N/A</v>
      </c>
      <c r="AZ43" s="348" t="e">
        <f>VLOOKUP($AL43,$B$77:$H$100,AZ$37,FALSE)</f>
        <v>#N/A</v>
      </c>
      <c r="BA43" s="348" t="e">
        <f>VLOOKUP($AL43,$B$77:$H$100,BA$37,FALSE)</f>
        <v>#N/A</v>
      </c>
      <c r="BB43" s="348" t="e">
        <f>VLOOKUP($AL43,$B$77:$H$100,BB$37,FALSE)</f>
        <v>#N/A</v>
      </c>
      <c r="BC43" s="348"/>
      <c r="BD43" s="348"/>
      <c r="BE43" s="348"/>
      <c r="BF43" s="348"/>
      <c r="BG43" s="348"/>
      <c r="BM43" s="348"/>
      <c r="BN43" s="348"/>
      <c r="BO43" s="348"/>
      <c r="BP43" s="348"/>
      <c r="BQ43" s="348"/>
    </row>
    <row r="44" spans="1:70" ht="14.25" customHeight="1" x14ac:dyDescent="0.2">
      <c r="A44" s="118"/>
      <c r="B44" s="9"/>
      <c r="C44" s="9"/>
      <c r="D44" s="9"/>
      <c r="E44" s="9"/>
      <c r="F44" s="9"/>
      <c r="G44" s="9"/>
      <c r="H44" s="9"/>
      <c r="I44" s="9"/>
      <c r="J44" s="12"/>
      <c r="K44" s="13"/>
      <c r="L44" s="13"/>
      <c r="M44" s="13"/>
      <c r="N44" s="13"/>
      <c r="O44" s="14"/>
      <c r="P44" s="14"/>
      <c r="Q44" s="14"/>
      <c r="R44" s="14"/>
      <c r="S44" s="14"/>
      <c r="T44" s="14"/>
      <c r="U44" s="14"/>
      <c r="V44" s="117"/>
      <c r="W44" s="137"/>
      <c r="X44" s="294"/>
      <c r="Y44" s="1400" t="str">
        <f>"Y= "&amp;Z44&amp;"x + "&amp;AA44</f>
        <v>Y= 1.1176003432567x + 9.6387778448553</v>
      </c>
      <c r="Z44" s="1411">
        <f>Sheet1!$C$15</f>
        <v>1.117600343256699</v>
      </c>
      <c r="AA44" s="1412">
        <f>Sheet1!$C$16</f>
        <v>9.6387778448552979</v>
      </c>
      <c r="AB44" s="1407">
        <v>35</v>
      </c>
      <c r="AC44" s="1406">
        <f>((AB44*Z44)+AA44)/$Y$2</f>
        <v>48.754789858839764</v>
      </c>
      <c r="AD44" s="1195">
        <f>ROUND(Sheet1!$C$17,3)</f>
        <v>0.16</v>
      </c>
      <c r="AJ44" s="585" t="b">
        <v>1</v>
      </c>
      <c r="AK44" s="160" t="s">
        <v>4</v>
      </c>
      <c r="AL44" s="87" t="str">
        <f t="shared" si="20"/>
        <v>East Sussex</v>
      </c>
      <c r="AM44" s="146">
        <f t="shared" si="21"/>
        <v>17.37488196411709</v>
      </c>
      <c r="AN44" s="146">
        <f t="shared" si="21"/>
        <v>18.696883852691219</v>
      </c>
      <c r="AO44" s="146">
        <f t="shared" si="21"/>
        <v>19.150943396226413</v>
      </c>
      <c r="AP44" s="146">
        <f t="shared" si="21"/>
        <v>18.045112781954888</v>
      </c>
      <c r="AQ44" s="146">
        <f t="shared" si="21"/>
        <v>16.368767638758232</v>
      </c>
      <c r="AR44" s="147">
        <f t="shared" si="22"/>
        <v>16.100000000000001</v>
      </c>
      <c r="AS44" s="348" t="e">
        <f>VLOOKUP($AL44,#REF!,AS$37,FALSE)</f>
        <v>#REF!</v>
      </c>
      <c r="AT44" s="348" t="e">
        <f>VLOOKUP($AL44,#REF!,AT$37,FALSE)</f>
        <v>#REF!</v>
      </c>
      <c r="AU44" s="348" t="e">
        <f>VLOOKUP($AL44,#REF!,AU$37,FALSE)</f>
        <v>#REF!</v>
      </c>
      <c r="AV44" s="348" t="e">
        <f>VLOOKUP($AL44,#REF!,AV$37,FALSE)</f>
        <v>#REF!</v>
      </c>
      <c r="AW44" s="348" t="e">
        <f>VLOOKUP($AL44,#REF!,AW$37,FALSE)</f>
        <v>#REF!</v>
      </c>
      <c r="AX44" s="348" t="e">
        <f>VLOOKUP($AL44,$B$77:$H$100,AX$37,FALSE)</f>
        <v>#N/A</v>
      </c>
      <c r="AY44" s="348" t="e">
        <f>VLOOKUP($AL44,$B$77:$H$100,AY$37,FALSE)</f>
        <v>#N/A</v>
      </c>
      <c r="AZ44" s="348" t="e">
        <f>VLOOKUP($AL44,$B$77:$H$100,AZ$37,FALSE)</f>
        <v>#N/A</v>
      </c>
      <c r="BA44" s="348" t="e">
        <f>VLOOKUP($AL44,$B$77:$H$100,BA$37,FALSE)</f>
        <v>#N/A</v>
      </c>
      <c r="BB44" s="348" t="e">
        <f>VLOOKUP($AL44,$B$77:$H$100,BB$37,FALSE)</f>
        <v>#N/A</v>
      </c>
      <c r="BC44" s="348"/>
      <c r="BD44" s="348"/>
      <c r="BE44" s="348"/>
      <c r="BF44" s="348"/>
      <c r="BG44" s="348"/>
      <c r="BM44" s="348"/>
      <c r="BN44" s="348"/>
      <c r="BO44" s="348"/>
      <c r="BP44" s="348"/>
      <c r="BQ44" s="348"/>
    </row>
    <row r="45" spans="1:70" s="76" customFormat="1" ht="14.25" customHeight="1" x14ac:dyDescent="0.2">
      <c r="A45" s="119"/>
      <c r="B45" s="226"/>
      <c r="C45" s="226"/>
      <c r="D45" s="227"/>
      <c r="E45" s="227"/>
      <c r="F45" s="227"/>
      <c r="G45" s="227"/>
      <c r="H45" s="227"/>
      <c r="I45" s="227"/>
      <c r="J45" s="15"/>
      <c r="K45" s="9"/>
      <c r="L45" s="9"/>
      <c r="M45" s="9"/>
      <c r="N45" s="9"/>
      <c r="O45" s="9"/>
      <c r="P45" s="9"/>
      <c r="Q45" s="9"/>
      <c r="R45" s="9"/>
      <c r="S45" s="9"/>
      <c r="T45" s="9"/>
      <c r="U45" s="9"/>
      <c r="V45" s="120"/>
      <c r="W45" s="138"/>
      <c r="X45" s="295"/>
      <c r="Y45" s="1392"/>
      <c r="Z45" s="1399"/>
      <c r="AA45" s="1392"/>
      <c r="AB45" s="1392"/>
      <c r="AC45" s="1392"/>
      <c r="AD45" s="1392"/>
      <c r="AE45" s="1392"/>
      <c r="AF45" s="81"/>
      <c r="AG45" s="81"/>
      <c r="AH45" s="81"/>
      <c r="AI45" s="81"/>
      <c r="AJ45" s="585" t="b">
        <v>1</v>
      </c>
      <c r="AK45" s="160" t="s">
        <v>6</v>
      </c>
      <c r="AL45" s="87" t="str">
        <f t="shared" si="20"/>
        <v>Hampshire</v>
      </c>
      <c r="AM45" s="146">
        <f t="shared" si="21"/>
        <v>17.985101099680737</v>
      </c>
      <c r="AN45" s="146">
        <f t="shared" si="21"/>
        <v>22.878359264497877</v>
      </c>
      <c r="AO45" s="146">
        <f t="shared" si="21"/>
        <v>22.202612072008471</v>
      </c>
      <c r="AP45" s="146">
        <f t="shared" si="21"/>
        <v>22.95774647887324</v>
      </c>
      <c r="AQ45" s="146">
        <f t="shared" si="21"/>
        <v>19.310587407667956</v>
      </c>
      <c r="AR45" s="147">
        <f t="shared" si="22"/>
        <v>10.100000000000001</v>
      </c>
      <c r="AS45" s="348" t="e">
        <f>VLOOKUP($AL45,#REF!,AS$37,FALSE)</f>
        <v>#REF!</v>
      </c>
      <c r="AT45" s="348" t="e">
        <f>VLOOKUP($AL45,#REF!,AT$37,FALSE)</f>
        <v>#REF!</v>
      </c>
      <c r="AU45" s="348" t="e">
        <f>VLOOKUP($AL45,#REF!,AU$37,FALSE)</f>
        <v>#REF!</v>
      </c>
      <c r="AV45" s="348" t="e">
        <f>VLOOKUP($AL45,#REF!,AV$37,FALSE)</f>
        <v>#REF!</v>
      </c>
      <c r="AW45" s="348" t="e">
        <f>VLOOKUP($AL45,#REF!,AW$37,FALSE)</f>
        <v>#REF!</v>
      </c>
      <c r="AX45" s="348" t="e">
        <f>VLOOKUP($AL45,$B$77:$H$100,AX$37,FALSE)</f>
        <v>#N/A</v>
      </c>
      <c r="AY45" s="348" t="e">
        <f>VLOOKUP($AL45,$B$77:$H$100,AY$37,FALSE)</f>
        <v>#N/A</v>
      </c>
      <c r="AZ45" s="348" t="e">
        <f>VLOOKUP($AL45,$B$77:$H$100,AZ$37,FALSE)</f>
        <v>#N/A</v>
      </c>
      <c r="BA45" s="348">
        <f>VLOOKUP($AL45,$B$77:$H$100,BA$37,FALSE)</f>
        <v>1.8404907975460124E-2</v>
      </c>
      <c r="BB45" s="348">
        <f>VLOOKUP($AL45,$B$77:$H$100,BB$37,FALSE)</f>
        <v>1.8214936247723135E-2</v>
      </c>
      <c r="BC45" s="348"/>
      <c r="BD45" s="348"/>
      <c r="BE45" s="348"/>
      <c r="BF45" s="348"/>
      <c r="BG45" s="348"/>
      <c r="BM45" s="348"/>
      <c r="BN45" s="348"/>
      <c r="BO45" s="348"/>
      <c r="BP45" s="348"/>
      <c r="BQ45" s="348"/>
    </row>
    <row r="46" spans="1:70" ht="14.25" customHeight="1" x14ac:dyDescent="0.2">
      <c r="A46" s="118"/>
      <c r="B46" s="227"/>
      <c r="C46" s="227"/>
      <c r="D46" s="227"/>
      <c r="E46" s="227"/>
      <c r="F46" s="227"/>
      <c r="G46" s="227"/>
      <c r="H46" s="227"/>
      <c r="I46" s="227"/>
      <c r="J46" s="12"/>
      <c r="K46" s="14"/>
      <c r="L46" s="14"/>
      <c r="M46" s="14"/>
      <c r="N46" s="14"/>
      <c r="O46" s="9"/>
      <c r="P46" s="9"/>
      <c r="Q46" s="9"/>
      <c r="R46" s="9"/>
      <c r="S46" s="9"/>
      <c r="T46" s="9"/>
      <c r="U46" s="9"/>
      <c r="V46" s="117"/>
      <c r="W46" s="137"/>
      <c r="X46" s="294"/>
      <c r="Z46" s="1399"/>
      <c r="AJ46" s="585" t="b">
        <v>1</v>
      </c>
      <c r="AK46" s="160" t="s">
        <v>1</v>
      </c>
      <c r="AL46" s="87" t="str">
        <f t="shared" si="20"/>
        <v>Isle of Wight</v>
      </c>
      <c r="AM46" s="146">
        <f t="shared" si="21"/>
        <v>28.853754940711465</v>
      </c>
      <c r="AN46" s="146">
        <f t="shared" si="21"/>
        <v>39.285714285714292</v>
      </c>
      <c r="AO46" s="146">
        <f t="shared" si="21"/>
        <v>30.278884462151392</v>
      </c>
      <c r="AP46" s="146">
        <f t="shared" si="21"/>
        <v>29.718875502008032</v>
      </c>
      <c r="AQ46" s="146">
        <f t="shared" si="21"/>
        <v>29.149797570850204</v>
      </c>
      <c r="AR46" s="147">
        <f t="shared" si="22"/>
        <v>18</v>
      </c>
      <c r="AS46" s="348" t="e">
        <f>VLOOKUP($AL46,#REF!,AS$37,FALSE)</f>
        <v>#REF!</v>
      </c>
      <c r="AT46" s="348" t="e">
        <f>VLOOKUP($AL46,#REF!,AT$37,FALSE)</f>
        <v>#REF!</v>
      </c>
      <c r="AU46" s="348" t="e">
        <f>VLOOKUP($AL46,#REF!,AU$37,FALSE)</f>
        <v>#REF!</v>
      </c>
      <c r="AV46" s="348" t="e">
        <f>VLOOKUP($AL46,#REF!,AV$37,FALSE)</f>
        <v>#REF!</v>
      </c>
      <c r="AW46" s="348" t="e">
        <f>VLOOKUP($AL46,#REF!,AW$37,FALSE)</f>
        <v>#REF!</v>
      </c>
      <c r="AX46" s="348" t="e">
        <f>VLOOKUP($AL46,$B$77:$H$100,AX$37,FALSE)</f>
        <v>#N/A</v>
      </c>
      <c r="AY46" s="348" t="e">
        <f>VLOOKUP($AL46,$B$77:$H$100,AY$37,FALSE)</f>
        <v>#N/A</v>
      </c>
      <c r="AZ46" s="348" t="e">
        <f>VLOOKUP($AL46,$B$77:$H$100,AZ$37,FALSE)</f>
        <v>#N/A</v>
      </c>
      <c r="BA46" s="348" t="e">
        <f>VLOOKUP($AL46,$B$77:$H$100,BA$37,FALSE)</f>
        <v>#N/A</v>
      </c>
      <c r="BB46" s="348" t="e">
        <f>VLOOKUP($AL46,$B$77:$H$100,BB$37,FALSE)</f>
        <v>#N/A</v>
      </c>
      <c r="BC46" s="348"/>
      <c r="BD46" s="348"/>
      <c r="BE46" s="348"/>
      <c r="BF46" s="348"/>
      <c r="BG46" s="348"/>
      <c r="BM46" s="348"/>
      <c r="BN46" s="348"/>
      <c r="BO46" s="348"/>
      <c r="BP46" s="348"/>
      <c r="BQ46" s="348"/>
    </row>
    <row r="47" spans="1:70" ht="14.25" customHeight="1" x14ac:dyDescent="0.2">
      <c r="A47" s="118"/>
      <c r="B47" s="227"/>
      <c r="C47" s="227"/>
      <c r="D47" s="227"/>
      <c r="E47" s="227"/>
      <c r="F47" s="227"/>
      <c r="G47" s="227"/>
      <c r="H47" s="227"/>
      <c r="I47" s="227"/>
      <c r="J47" s="12"/>
      <c r="K47" s="14"/>
      <c r="L47" s="14"/>
      <c r="M47" s="14"/>
      <c r="N47" s="14"/>
      <c r="O47" s="9"/>
      <c r="P47" s="9"/>
      <c r="Q47" s="9"/>
      <c r="R47" s="9"/>
      <c r="S47" s="9"/>
      <c r="T47" s="9"/>
      <c r="U47" s="9"/>
      <c r="V47" s="117"/>
      <c r="W47" s="137"/>
      <c r="X47" s="294"/>
      <c r="Z47" s="1399"/>
      <c r="AD47" s="1413"/>
      <c r="AJ47" s="585" t="b">
        <v>1</v>
      </c>
      <c r="AK47" s="160" t="s">
        <v>9</v>
      </c>
      <c r="AL47" s="87" t="str">
        <f t="shared" si="20"/>
        <v>Kent</v>
      </c>
      <c r="AM47" s="146">
        <f t="shared" si="21"/>
        <v>45.520581113801448</v>
      </c>
      <c r="AN47" s="146">
        <f t="shared" si="21"/>
        <v>26.726726726726728</v>
      </c>
      <c r="AO47" s="146">
        <f t="shared" si="21"/>
        <v>22.850342160071406</v>
      </c>
      <c r="AP47" s="146">
        <f t="shared" si="21"/>
        <v>20.464569244339902</v>
      </c>
      <c r="AQ47" s="146">
        <f t="shared" si="21"/>
        <v>27.515997673065737</v>
      </c>
      <c r="AR47" s="147">
        <f t="shared" si="22"/>
        <v>15.8</v>
      </c>
      <c r="AS47" s="348" t="e">
        <f>VLOOKUP($AL47,#REF!,AS$37,FALSE)</f>
        <v>#REF!</v>
      </c>
      <c r="AT47" s="348" t="e">
        <f>VLOOKUP($AL47,#REF!,AT$37,FALSE)</f>
        <v>#REF!</v>
      </c>
      <c r="AU47" s="348" t="e">
        <f>VLOOKUP($AL47,#REF!,AU$37,FALSE)</f>
        <v>#REF!</v>
      </c>
      <c r="AV47" s="348" t="e">
        <f>VLOOKUP($AL47,#REF!,AV$37,FALSE)</f>
        <v>#REF!</v>
      </c>
      <c r="AW47" s="348" t="e">
        <f>VLOOKUP($AL47,#REF!,AW$37,FALSE)</f>
        <v>#REF!</v>
      </c>
      <c r="AX47" s="348" t="e">
        <f>VLOOKUP($AL47,$B$77:$H$100,AX$37,FALSE)</f>
        <v>#N/A</v>
      </c>
      <c r="AY47" s="348" t="e">
        <f>VLOOKUP($AL47,$B$77:$H$100,AY$37,FALSE)</f>
        <v>#N/A</v>
      </c>
      <c r="AZ47" s="348" t="e">
        <f>VLOOKUP($AL47,$B$77:$H$100,AZ$37,FALSE)</f>
        <v>#N/A</v>
      </c>
      <c r="BA47" s="348" t="e">
        <f>VLOOKUP($AL47,$B$77:$H$100,BA$37,FALSE)</f>
        <v>#N/A</v>
      </c>
      <c r="BB47" s="348" t="e">
        <f>VLOOKUP($AL47,$B$77:$H$100,BB$37,FALSE)</f>
        <v>#N/A</v>
      </c>
      <c r="BC47" s="348"/>
      <c r="BD47" s="348"/>
      <c r="BE47" s="348"/>
      <c r="BF47" s="348"/>
      <c r="BG47" s="348"/>
      <c r="BM47" s="348"/>
      <c r="BN47" s="348"/>
      <c r="BO47" s="348"/>
      <c r="BP47" s="348"/>
      <c r="BQ47" s="348"/>
    </row>
    <row r="48" spans="1:70" ht="14.25" customHeight="1" x14ac:dyDescent="0.2">
      <c r="A48" s="118"/>
      <c r="B48" s="58"/>
      <c r="C48" s="58"/>
      <c r="D48" s="58"/>
      <c r="E48" s="58"/>
      <c r="F48" s="58"/>
      <c r="G48" s="58"/>
      <c r="H48" s="58"/>
      <c r="I48" s="58"/>
      <c r="J48" s="12"/>
      <c r="K48" s="14"/>
      <c r="L48" s="14"/>
      <c r="M48" s="14"/>
      <c r="N48" s="14"/>
      <c r="O48" s="9"/>
      <c r="P48" s="9"/>
      <c r="Q48" s="9"/>
      <c r="R48" s="9"/>
      <c r="S48" s="9"/>
      <c r="T48" s="9"/>
      <c r="U48" s="9"/>
      <c r="V48" s="117"/>
      <c r="W48" s="137"/>
      <c r="X48" s="294"/>
      <c r="Z48" s="1399"/>
      <c r="AD48" s="1403"/>
      <c r="AJ48" s="585" t="b">
        <v>1</v>
      </c>
      <c r="AK48" s="160" t="s">
        <v>2</v>
      </c>
      <c r="AL48" s="87" t="str">
        <f t="shared" si="20"/>
        <v>Medway</v>
      </c>
      <c r="AM48" s="146">
        <f t="shared" si="21"/>
        <v>32.911392405063289</v>
      </c>
      <c r="AN48" s="146">
        <f t="shared" si="21"/>
        <v>22.762951334379906</v>
      </c>
      <c r="AO48" s="146">
        <f t="shared" si="21"/>
        <v>27.386541471048513</v>
      </c>
      <c r="AP48" s="146">
        <f t="shared" si="21"/>
        <v>25.93167701863354</v>
      </c>
      <c r="AQ48" s="146">
        <f t="shared" si="21"/>
        <v>26.769230769230766</v>
      </c>
      <c r="AR48" s="147">
        <f t="shared" si="22"/>
        <v>18.899999999999999</v>
      </c>
      <c r="AS48" s="348" t="e">
        <f>VLOOKUP($AL48,#REF!,AS$37,FALSE)</f>
        <v>#REF!</v>
      </c>
      <c r="AT48" s="348" t="e">
        <f>VLOOKUP($AL48,#REF!,AT$37,FALSE)</f>
        <v>#REF!</v>
      </c>
      <c r="AU48" s="348" t="e">
        <f>VLOOKUP($AL48,#REF!,AU$37,FALSE)</f>
        <v>#REF!</v>
      </c>
      <c r="AV48" s="348" t="e">
        <f>VLOOKUP($AL48,#REF!,AV$37,FALSE)</f>
        <v>#REF!</v>
      </c>
      <c r="AW48" s="348" t="e">
        <f>VLOOKUP($AL48,#REF!,AW$37,FALSE)</f>
        <v>#REF!</v>
      </c>
      <c r="AX48" s="348" t="e">
        <f>VLOOKUP($AL48,$B$77:$H$100,AX$37,FALSE)</f>
        <v>#N/A</v>
      </c>
      <c r="AY48" s="348" t="e">
        <f>VLOOKUP($AL48,$B$77:$H$100,AY$37,FALSE)</f>
        <v>#N/A</v>
      </c>
      <c r="AZ48" s="348" t="e">
        <f>VLOOKUP($AL48,$B$77:$H$100,AZ$37,FALSE)</f>
        <v>#N/A</v>
      </c>
      <c r="BA48" s="348" t="e">
        <f>VLOOKUP($AL48,$B$77:$H$100,BA$37,FALSE)</f>
        <v>#N/A</v>
      </c>
      <c r="BB48" s="348" t="e">
        <f>VLOOKUP($AL48,$B$77:$H$100,BB$37,FALSE)</f>
        <v>#N/A</v>
      </c>
      <c r="BC48" s="348"/>
      <c r="BD48" s="348"/>
      <c r="BE48" s="348"/>
      <c r="BF48" s="348"/>
      <c r="BG48" s="348"/>
      <c r="BM48" s="348"/>
      <c r="BN48" s="348"/>
      <c r="BO48" s="348"/>
      <c r="BP48" s="348"/>
      <c r="BQ48" s="348"/>
    </row>
    <row r="49" spans="1:69" ht="14.25" customHeight="1" x14ac:dyDescent="0.2">
      <c r="A49" s="118"/>
      <c r="B49" s="58"/>
      <c r="C49" s="58"/>
      <c r="D49" s="69"/>
      <c r="E49" s="70"/>
      <c r="F49" s="69"/>
      <c r="G49" s="70"/>
      <c r="H49" s="70"/>
      <c r="I49" s="70"/>
      <c r="J49" s="12"/>
      <c r="K49" s="14"/>
      <c r="L49" s="14"/>
      <c r="M49" s="14"/>
      <c r="N49" s="14"/>
      <c r="O49" s="9"/>
      <c r="P49" s="9"/>
      <c r="Q49" s="9"/>
      <c r="R49" s="9"/>
      <c r="S49" s="9"/>
      <c r="T49" s="9"/>
      <c r="U49" s="9"/>
      <c r="V49" s="117"/>
      <c r="W49" s="137"/>
      <c r="X49" s="294"/>
      <c r="Z49" s="1399"/>
      <c r="AJ49" s="585" t="b">
        <v>1</v>
      </c>
      <c r="AK49" s="160" t="s">
        <v>10</v>
      </c>
      <c r="AL49" s="87" t="str">
        <f t="shared" si="20"/>
        <v>Milton Keynes</v>
      </c>
      <c r="AM49" s="146">
        <f t="shared" si="21"/>
        <v>27.685325264750379</v>
      </c>
      <c r="AN49" s="146">
        <f t="shared" si="21"/>
        <v>29.359165424739196</v>
      </c>
      <c r="AO49" s="146">
        <f t="shared" si="21"/>
        <v>20.710059171597635</v>
      </c>
      <c r="AP49" s="146">
        <f t="shared" si="21"/>
        <v>23.718887262079061</v>
      </c>
      <c r="AQ49" s="146">
        <f t="shared" si="21"/>
        <v>24.418604651162788</v>
      </c>
      <c r="AR49" s="147">
        <f t="shared" si="22"/>
        <v>15</v>
      </c>
      <c r="AS49" s="348" t="e">
        <f>VLOOKUP($AL49,#REF!,AS$37,FALSE)</f>
        <v>#REF!</v>
      </c>
      <c r="AT49" s="348" t="e">
        <f>VLOOKUP($AL49,#REF!,AT$37,FALSE)</f>
        <v>#REF!</v>
      </c>
      <c r="AU49" s="348" t="e">
        <f>VLOOKUP($AL49,#REF!,AU$37,FALSE)</f>
        <v>#REF!</v>
      </c>
      <c r="AV49" s="348" t="e">
        <f>VLOOKUP($AL49,#REF!,AV$37,FALSE)</f>
        <v>#REF!</v>
      </c>
      <c r="AW49" s="348" t="e">
        <f>VLOOKUP($AL49,#REF!,AW$37,FALSE)</f>
        <v>#REF!</v>
      </c>
      <c r="AX49" s="348" t="e">
        <f>VLOOKUP($AL49,$B$77:$H$100,AX$37,FALSE)</f>
        <v>#N/A</v>
      </c>
      <c r="AY49" s="348" t="e">
        <f>VLOOKUP($AL49,$B$77:$H$100,AY$37,FALSE)</f>
        <v>#N/A</v>
      </c>
      <c r="AZ49" s="348" t="e">
        <f>VLOOKUP($AL49,$B$77:$H$100,AZ$37,FALSE)</f>
        <v>#N/A</v>
      </c>
      <c r="BA49" s="348" t="e">
        <f>VLOOKUP($AL49,$B$77:$H$100,BA$37,FALSE)</f>
        <v>#N/A</v>
      </c>
      <c r="BB49" s="348" t="e">
        <f>VLOOKUP($AL49,$B$77:$H$100,BB$37,FALSE)</f>
        <v>#N/A</v>
      </c>
      <c r="BC49" s="348"/>
      <c r="BD49" s="348"/>
      <c r="BE49" s="348"/>
      <c r="BF49" s="348"/>
      <c r="BG49" s="348"/>
      <c r="BM49" s="348"/>
      <c r="BN49" s="348"/>
      <c r="BO49" s="348"/>
      <c r="BP49" s="348"/>
      <c r="BQ49" s="348"/>
    </row>
    <row r="50" spans="1:69" ht="14.25" customHeight="1" x14ac:dyDescent="0.2">
      <c r="A50" s="118"/>
      <c r="B50" s="58"/>
      <c r="C50" s="58"/>
      <c r="D50" s="61"/>
      <c r="E50" s="61"/>
      <c r="F50" s="61"/>
      <c r="G50" s="61"/>
      <c r="H50" s="61"/>
      <c r="I50" s="61"/>
      <c r="J50" s="12"/>
      <c r="K50" s="14"/>
      <c r="L50" s="14"/>
      <c r="M50" s="14"/>
      <c r="N50" s="14"/>
      <c r="O50" s="9"/>
      <c r="P50" s="9"/>
      <c r="Q50" s="9"/>
      <c r="R50" s="9"/>
      <c r="S50" s="9"/>
      <c r="T50" s="9"/>
      <c r="U50" s="9"/>
      <c r="V50" s="117"/>
      <c r="W50" s="137"/>
      <c r="X50" s="294"/>
      <c r="Z50" s="1399"/>
      <c r="AJ50" s="585" t="b">
        <v>1</v>
      </c>
      <c r="AK50" s="160" t="s">
        <v>11</v>
      </c>
      <c r="AL50" s="87" t="str">
        <f t="shared" si="20"/>
        <v>Oxfordshire</v>
      </c>
      <c r="AM50" s="146">
        <f t="shared" si="21"/>
        <v>25.176304654442877</v>
      </c>
      <c r="AN50" s="146">
        <f t="shared" si="21"/>
        <v>24.70258922323303</v>
      </c>
      <c r="AO50" s="146">
        <f t="shared" si="21"/>
        <v>21.129707112970713</v>
      </c>
      <c r="AP50" s="146">
        <f t="shared" si="21"/>
        <v>24.516574585635361</v>
      </c>
      <c r="AQ50" s="146">
        <f t="shared" si="21"/>
        <v>21.149897330595483</v>
      </c>
      <c r="AR50" s="147">
        <f t="shared" si="22"/>
        <v>10.100000000000001</v>
      </c>
      <c r="AS50" s="348" t="e">
        <f>VLOOKUP($AL50,#REF!,AS$37,FALSE)</f>
        <v>#REF!</v>
      </c>
      <c r="AT50" s="348" t="e">
        <f>VLOOKUP($AL50,#REF!,AT$37,FALSE)</f>
        <v>#REF!</v>
      </c>
      <c r="AU50" s="348" t="e">
        <f>VLOOKUP($AL50,#REF!,AU$37,FALSE)</f>
        <v>#REF!</v>
      </c>
      <c r="AV50" s="348" t="e">
        <f>VLOOKUP($AL50,#REF!,AV$37,FALSE)</f>
        <v>#REF!</v>
      </c>
      <c r="AW50" s="348" t="e">
        <f>VLOOKUP($AL50,#REF!,AW$37,FALSE)</f>
        <v>#REF!</v>
      </c>
      <c r="AX50" s="348" t="e">
        <f>VLOOKUP($AL50,$B$77:$H$100,AX$37,FALSE)</f>
        <v>#N/A</v>
      </c>
      <c r="AY50" s="348" t="e">
        <f>VLOOKUP($AL50,$B$77:$H$100,AY$37,FALSE)</f>
        <v>#N/A</v>
      </c>
      <c r="AZ50" s="348" t="e">
        <f>VLOOKUP($AL50,$B$77:$H$100,AZ$37,FALSE)</f>
        <v>#N/A</v>
      </c>
      <c r="BA50" s="348" t="e">
        <f>VLOOKUP($AL50,$B$77:$H$100,BA$37,FALSE)</f>
        <v>#N/A</v>
      </c>
      <c r="BB50" s="348" t="e">
        <f>VLOOKUP($AL50,$B$77:$H$100,BB$37,FALSE)</f>
        <v>#N/A</v>
      </c>
      <c r="BC50" s="348"/>
      <c r="BD50" s="348"/>
      <c r="BE50" s="348"/>
      <c r="BF50" s="348"/>
      <c r="BG50" s="348"/>
      <c r="BM50" s="348"/>
      <c r="BN50" s="348"/>
      <c r="BO50" s="348"/>
      <c r="BP50" s="348"/>
      <c r="BQ50" s="348"/>
    </row>
    <row r="51" spans="1:69" ht="14.25" customHeight="1" x14ac:dyDescent="0.2">
      <c r="A51" s="118"/>
      <c r="B51" s="421"/>
      <c r="C51" s="421"/>
      <c r="D51" s="58"/>
      <c r="E51" s="58"/>
      <c r="F51" s="58"/>
      <c r="G51" s="58"/>
      <c r="H51" s="58"/>
      <c r="I51" s="58"/>
      <c r="J51" s="12"/>
      <c r="K51" s="14"/>
      <c r="L51" s="14"/>
      <c r="M51" s="14"/>
      <c r="N51" s="14"/>
      <c r="O51" s="9"/>
      <c r="P51" s="9"/>
      <c r="Q51" s="9"/>
      <c r="R51" s="9"/>
      <c r="S51" s="9"/>
      <c r="T51" s="9"/>
      <c r="U51" s="9"/>
      <c r="V51" s="117"/>
      <c r="W51" s="137"/>
      <c r="X51" s="294"/>
      <c r="Z51" s="1399"/>
      <c r="AJ51" s="585" t="b">
        <v>1</v>
      </c>
      <c r="AK51" s="160" t="s">
        <v>12</v>
      </c>
      <c r="AL51" s="87" t="str">
        <f t="shared" si="20"/>
        <v>Portsmouth</v>
      </c>
      <c r="AM51" s="146">
        <f t="shared" ref="AM51:AQ64" si="23">VLOOKUP($AL51,$B$10:$O$33,AM$37,FALSE)</f>
        <v>29.223744292237445</v>
      </c>
      <c r="AN51" s="146">
        <f t="shared" si="23"/>
        <v>36.136363636363633</v>
      </c>
      <c r="AO51" s="146">
        <f t="shared" si="23"/>
        <v>53.619909502262445</v>
      </c>
      <c r="AP51" s="146">
        <f t="shared" si="23"/>
        <v>52.045454545454547</v>
      </c>
      <c r="AQ51" s="146">
        <f t="shared" si="23"/>
        <v>40.8675799086758</v>
      </c>
      <c r="AR51" s="147">
        <f t="shared" si="22"/>
        <v>20.200000000000003</v>
      </c>
      <c r="AS51" s="348" t="e">
        <f>VLOOKUP($AL51,#REF!,AS$37,FALSE)</f>
        <v>#REF!</v>
      </c>
      <c r="AT51" s="348" t="e">
        <f>VLOOKUP($AL51,#REF!,AT$37,FALSE)</f>
        <v>#REF!</v>
      </c>
      <c r="AU51" s="348" t="e">
        <f>VLOOKUP($AL51,#REF!,AU$37,FALSE)</f>
        <v>#REF!</v>
      </c>
      <c r="AV51" s="348" t="e">
        <f>VLOOKUP($AL51,#REF!,AV$37,FALSE)</f>
        <v>#REF!</v>
      </c>
      <c r="AW51" s="348" t="e">
        <f>VLOOKUP($AL51,#REF!,AW$37,FALSE)</f>
        <v>#REF!</v>
      </c>
      <c r="AX51" s="348" t="e">
        <f>VLOOKUP($AL51,$B$77:$H$100,AX$37,FALSE)</f>
        <v>#N/A</v>
      </c>
      <c r="AY51" s="348" t="e">
        <f>VLOOKUP($AL51,$B$77:$H$100,AY$37,FALSE)</f>
        <v>#N/A</v>
      </c>
      <c r="AZ51" s="348" t="e">
        <f>VLOOKUP($AL51,$B$77:$H$100,AZ$37,FALSE)</f>
        <v>#N/A</v>
      </c>
      <c r="BA51" s="348" t="e">
        <f>VLOOKUP($AL51,$B$77:$H$100,BA$37,FALSE)</f>
        <v>#N/A</v>
      </c>
      <c r="BB51" s="348" t="e">
        <f>VLOOKUP($AL51,$B$77:$H$100,BB$37,FALSE)</f>
        <v>#N/A</v>
      </c>
      <c r="BC51" s="348"/>
      <c r="BD51" s="348"/>
      <c r="BE51" s="348"/>
      <c r="BF51" s="348"/>
      <c r="BG51" s="348"/>
      <c r="BM51" s="348"/>
      <c r="BN51" s="348"/>
      <c r="BO51" s="348"/>
      <c r="BP51" s="348"/>
      <c r="BQ51" s="348"/>
    </row>
    <row r="52" spans="1:69" ht="14.25" customHeight="1" x14ac:dyDescent="0.2">
      <c r="A52" s="118"/>
      <c r="B52" s="421"/>
      <c r="C52" s="421"/>
      <c r="D52" s="58"/>
      <c r="E52" s="58"/>
      <c r="F52" s="58"/>
      <c r="G52" s="58"/>
      <c r="H52" s="58"/>
      <c r="I52" s="58"/>
      <c r="J52" s="12"/>
      <c r="K52" s="14"/>
      <c r="L52" s="14"/>
      <c r="M52" s="14"/>
      <c r="N52" s="14"/>
      <c r="O52" s="9"/>
      <c r="P52" s="9"/>
      <c r="Q52" s="9"/>
      <c r="R52" s="9"/>
      <c r="S52" s="9"/>
      <c r="T52" s="9"/>
      <c r="U52" s="9"/>
      <c r="V52" s="117"/>
      <c r="W52" s="137"/>
      <c r="X52" s="294"/>
      <c r="Z52" s="1399"/>
      <c r="AJ52" s="585" t="b">
        <v>1</v>
      </c>
      <c r="AK52" s="160" t="s">
        <v>3</v>
      </c>
      <c r="AL52" s="87" t="str">
        <f t="shared" si="20"/>
        <v>Reading</v>
      </c>
      <c r="AM52" s="146">
        <f t="shared" si="23"/>
        <v>35.714285714285715</v>
      </c>
      <c r="AN52" s="146">
        <f t="shared" si="23"/>
        <v>38.797814207650276</v>
      </c>
      <c r="AO52" s="146">
        <f t="shared" si="23"/>
        <v>28.840970350404316</v>
      </c>
      <c r="AP52" s="146">
        <f t="shared" si="23"/>
        <v>23.989218328840973</v>
      </c>
      <c r="AQ52" s="146">
        <f t="shared" si="23"/>
        <v>31.351351351351351</v>
      </c>
      <c r="AR52" s="147">
        <f t="shared" si="22"/>
        <v>16</v>
      </c>
      <c r="AS52" s="348" t="e">
        <f>VLOOKUP($AL52,#REF!,AS$37,FALSE)</f>
        <v>#REF!</v>
      </c>
      <c r="AT52" s="348" t="e">
        <f>VLOOKUP($AL52,#REF!,AT$37,FALSE)</f>
        <v>#REF!</v>
      </c>
      <c r="AU52" s="348" t="e">
        <f>VLOOKUP($AL52,#REF!,AU$37,FALSE)</f>
        <v>#REF!</v>
      </c>
      <c r="AV52" s="348" t="e">
        <f>VLOOKUP($AL52,#REF!,AV$37,FALSE)</f>
        <v>#REF!</v>
      </c>
      <c r="AW52" s="348" t="e">
        <f>VLOOKUP($AL52,#REF!,AW$37,FALSE)</f>
        <v>#REF!</v>
      </c>
      <c r="AX52" s="348" t="e">
        <f>VLOOKUP($AL52,$B$77:$H$100,AX$37,FALSE)</f>
        <v>#N/A</v>
      </c>
      <c r="AY52" s="348" t="e">
        <f>VLOOKUP($AL52,$B$77:$H$100,AY$37,FALSE)</f>
        <v>#N/A</v>
      </c>
      <c r="AZ52" s="348" t="e">
        <f>VLOOKUP($AL52,$B$77:$H$100,AZ$37,FALSE)</f>
        <v>#N/A</v>
      </c>
      <c r="BA52" s="348" t="e">
        <f>VLOOKUP($AL52,$B$77:$H$100,BA$37,FALSE)</f>
        <v>#N/A</v>
      </c>
      <c r="BB52" s="348" t="e">
        <f>VLOOKUP($AL52,$B$77:$H$100,BB$37,FALSE)</f>
        <v>#N/A</v>
      </c>
      <c r="BC52" s="348"/>
      <c r="BD52" s="348"/>
      <c r="BE52" s="348"/>
      <c r="BF52" s="348"/>
      <c r="BG52" s="348"/>
      <c r="BM52" s="348"/>
      <c r="BN52" s="348"/>
      <c r="BO52" s="348"/>
      <c r="BP52" s="348"/>
      <c r="BQ52" s="348"/>
    </row>
    <row r="53" spans="1:69" ht="14.25" customHeight="1" x14ac:dyDescent="0.2">
      <c r="A53" s="118"/>
      <c r="B53" s="421"/>
      <c r="C53" s="421"/>
      <c r="D53" s="58"/>
      <c r="E53" s="58"/>
      <c r="F53" s="58"/>
      <c r="G53" s="58"/>
      <c r="H53" s="58"/>
      <c r="I53" s="58"/>
      <c r="J53" s="12"/>
      <c r="K53" s="14"/>
      <c r="L53" s="14"/>
      <c r="M53" s="14"/>
      <c r="N53" s="14"/>
      <c r="O53" s="9"/>
      <c r="P53" s="9"/>
      <c r="Q53" s="9"/>
      <c r="R53" s="9"/>
      <c r="S53" s="9"/>
      <c r="T53" s="9"/>
      <c r="U53" s="9"/>
      <c r="V53" s="117"/>
      <c r="W53" s="137"/>
      <c r="X53" s="294"/>
      <c r="Z53" s="1399"/>
      <c r="AJ53" s="585" t="b">
        <v>1</v>
      </c>
      <c r="AK53" s="160" t="s">
        <v>13</v>
      </c>
      <c r="AL53" s="87" t="str">
        <f t="shared" si="20"/>
        <v>Slough</v>
      </c>
      <c r="AM53" s="146">
        <f t="shared" si="23"/>
        <v>31.773399014778324</v>
      </c>
      <c r="AN53" s="146">
        <f t="shared" si="23"/>
        <v>28.5024154589372</v>
      </c>
      <c r="AO53" s="146">
        <f t="shared" si="23"/>
        <v>29.620853080568718</v>
      </c>
      <c r="AP53" s="146">
        <f t="shared" si="23"/>
        <v>31.381733021077284</v>
      </c>
      <c r="AQ53" s="146">
        <f t="shared" si="23"/>
        <v>24.825986078886313</v>
      </c>
      <c r="AR53" s="147">
        <f t="shared" si="22"/>
        <v>14.7</v>
      </c>
      <c r="AS53" s="348" t="e">
        <f>VLOOKUP($AL53,#REF!,AS$37,FALSE)</f>
        <v>#REF!</v>
      </c>
      <c r="AT53" s="348" t="e">
        <f>VLOOKUP($AL53,#REF!,AT$37,FALSE)</f>
        <v>#REF!</v>
      </c>
      <c r="AU53" s="348" t="e">
        <f>VLOOKUP($AL53,#REF!,AU$37,FALSE)</f>
        <v>#REF!</v>
      </c>
      <c r="AV53" s="348" t="e">
        <f>VLOOKUP($AL53,#REF!,AV$37,FALSE)</f>
        <v>#REF!</v>
      </c>
      <c r="AW53" s="348" t="e">
        <f>VLOOKUP($AL53,#REF!,AW$37,FALSE)</f>
        <v>#REF!</v>
      </c>
      <c r="AX53" s="348" t="e">
        <f>VLOOKUP($AL53,$B$77:$H$100,AX$37,FALSE)</f>
        <v>#N/A</v>
      </c>
      <c r="AY53" s="348" t="e">
        <f>VLOOKUP($AL53,$B$77:$H$100,AY$37,FALSE)</f>
        <v>#N/A</v>
      </c>
      <c r="AZ53" s="348" t="e">
        <f>VLOOKUP($AL53,$B$77:$H$100,AZ$37,FALSE)</f>
        <v>#N/A</v>
      </c>
      <c r="BA53" s="348">
        <f>VLOOKUP($AL53,$B$77:$H$100,BA$37,FALSE)</f>
        <v>5.9701492537313432E-2</v>
      </c>
      <c r="BB53" s="348" t="e">
        <f>VLOOKUP($AL53,$B$77:$H$100,BB$37,FALSE)</f>
        <v>#N/A</v>
      </c>
      <c r="BC53" s="348"/>
      <c r="BD53" s="348"/>
      <c r="BE53" s="348"/>
      <c r="BF53" s="348"/>
      <c r="BG53" s="348"/>
      <c r="BM53" s="348"/>
      <c r="BN53" s="348"/>
      <c r="BO53" s="348"/>
      <c r="BP53" s="348"/>
      <c r="BQ53" s="348"/>
    </row>
    <row r="54" spans="1:69" ht="14.25" customHeight="1" x14ac:dyDescent="0.2">
      <c r="A54" s="118"/>
      <c r="B54" s="421"/>
      <c r="C54" s="421"/>
      <c r="D54" s="58"/>
      <c r="E54" s="58"/>
      <c r="F54" s="58"/>
      <c r="G54" s="58"/>
      <c r="H54" s="58"/>
      <c r="I54" s="58"/>
      <c r="J54" s="12"/>
      <c r="K54" s="14"/>
      <c r="L54" s="14"/>
      <c r="M54" s="14"/>
      <c r="N54" s="14"/>
      <c r="O54" s="9"/>
      <c r="P54" s="9"/>
      <c r="Q54" s="9"/>
      <c r="R54" s="9"/>
      <c r="S54" s="9"/>
      <c r="T54" s="9"/>
      <c r="U54" s="9"/>
      <c r="V54" s="117"/>
      <c r="W54" s="137"/>
      <c r="X54" s="294"/>
      <c r="Z54" s="1399"/>
      <c r="AJ54" s="585" t="b">
        <v>1</v>
      </c>
      <c r="AK54" s="160" t="s">
        <v>95</v>
      </c>
      <c r="AL54" s="87" t="str">
        <f t="shared" si="20"/>
        <v>Somerset</v>
      </c>
      <c r="AM54" s="146">
        <f t="shared" si="23"/>
        <v>21.520146520146522</v>
      </c>
      <c r="AN54" s="146">
        <f t="shared" si="23"/>
        <v>20.966271649954422</v>
      </c>
      <c r="AO54" s="146">
        <f t="shared" si="23"/>
        <v>23.43324250681199</v>
      </c>
      <c r="AP54" s="146">
        <f t="shared" si="23"/>
        <v>17.524841915085815</v>
      </c>
      <c r="AQ54" s="146">
        <f t="shared" si="23"/>
        <v>17.176258992805757</v>
      </c>
      <c r="AR54" s="147">
        <f t="shared" si="22"/>
        <v>13.600000000000001</v>
      </c>
      <c r="AS54" s="348" t="e">
        <f>VLOOKUP($AL54,#REF!,AS$37,FALSE)</f>
        <v>#REF!</v>
      </c>
      <c r="AT54" s="348" t="e">
        <f>VLOOKUP($AL54,#REF!,AT$37,FALSE)</f>
        <v>#REF!</v>
      </c>
      <c r="AU54" s="348" t="e">
        <f>VLOOKUP($AL54,#REF!,AU$37,FALSE)</f>
        <v>#REF!</v>
      </c>
      <c r="AV54" s="348" t="e">
        <f>VLOOKUP($AL54,#REF!,AV$37,FALSE)</f>
        <v>#REF!</v>
      </c>
      <c r="AW54" s="348" t="e">
        <f>VLOOKUP($AL54,#REF!,AW$37,FALSE)</f>
        <v>#REF!</v>
      </c>
      <c r="AX54" s="348" t="e">
        <f>VLOOKUP($AL54,$B$77:$H$100,AX$37,FALSE)</f>
        <v>#N/A</v>
      </c>
      <c r="AY54" s="348" t="e">
        <f>VLOOKUP($AL54,$B$77:$H$100,AY$37,FALSE)</f>
        <v>#N/A</v>
      </c>
      <c r="AZ54" s="348" t="e">
        <f>VLOOKUP($AL54,$B$77:$H$100,AZ$37,FALSE)</f>
        <v>#N/A</v>
      </c>
      <c r="BA54" s="348" t="e">
        <f>VLOOKUP($AL54,$B$77:$H$100,BA$37,FALSE)</f>
        <v>#N/A</v>
      </c>
      <c r="BB54" s="348">
        <f>VLOOKUP($AL54,$B$77:$H$100,BB$37,FALSE)</f>
        <v>0</v>
      </c>
      <c r="BC54" s="348"/>
      <c r="BD54" s="348"/>
      <c r="BE54" s="348"/>
      <c r="BF54" s="348"/>
      <c r="BG54" s="348"/>
      <c r="BM54" s="348"/>
      <c r="BN54" s="348"/>
      <c r="BO54" s="348"/>
      <c r="BP54" s="348"/>
      <c r="BQ54" s="348"/>
    </row>
    <row r="55" spans="1:69" ht="14.25" customHeight="1" x14ac:dyDescent="0.2">
      <c r="A55" s="118"/>
      <c r="B55" s="421"/>
      <c r="C55" s="421"/>
      <c r="D55" s="58"/>
      <c r="E55" s="58"/>
      <c r="F55" s="58"/>
      <c r="G55" s="58"/>
      <c r="H55" s="58"/>
      <c r="I55" s="58"/>
      <c r="J55" s="12"/>
      <c r="K55" s="14"/>
      <c r="L55" s="14"/>
      <c r="M55" s="14"/>
      <c r="N55" s="14"/>
      <c r="O55" s="9"/>
      <c r="P55" s="9"/>
      <c r="Q55" s="9"/>
      <c r="R55" s="9"/>
      <c r="S55" s="9"/>
      <c r="T55" s="9"/>
      <c r="U55" s="9"/>
      <c r="V55" s="117"/>
      <c r="W55" s="137"/>
      <c r="X55" s="294"/>
      <c r="Z55" s="1399"/>
      <c r="AJ55" s="585" t="b">
        <v>1</v>
      </c>
      <c r="AK55" s="160" t="s">
        <v>14</v>
      </c>
      <c r="AL55" s="87" t="str">
        <f t="shared" si="20"/>
        <v>Southampton</v>
      </c>
      <c r="AM55" s="146">
        <f t="shared" si="23"/>
        <v>43.495934959349597</v>
      </c>
      <c r="AN55" s="146">
        <f t="shared" si="23"/>
        <v>33.667334669338679</v>
      </c>
      <c r="AO55" s="146">
        <f t="shared" si="23"/>
        <v>35.387673956262425</v>
      </c>
      <c r="AP55" s="146">
        <f t="shared" si="23"/>
        <v>33.464566929133859</v>
      </c>
      <c r="AQ55" s="146">
        <f t="shared" si="23"/>
        <v>38.40155945419103</v>
      </c>
      <c r="AR55" s="147">
        <f t="shared" si="22"/>
        <v>20.5</v>
      </c>
      <c r="AS55" s="348" t="e">
        <f>VLOOKUP($AL55,#REF!,AS$37,FALSE)</f>
        <v>#REF!</v>
      </c>
      <c r="AT55" s="348" t="e">
        <f>VLOOKUP($AL55,#REF!,AT$37,FALSE)</f>
        <v>#REF!</v>
      </c>
      <c r="AU55" s="348" t="e">
        <f>VLOOKUP($AL55,#REF!,AU$37,FALSE)</f>
        <v>#REF!</v>
      </c>
      <c r="AV55" s="348" t="e">
        <f>VLOOKUP($AL55,#REF!,AV$37,FALSE)</f>
        <v>#REF!</v>
      </c>
      <c r="AW55" s="348" t="e">
        <f>VLOOKUP($AL55,#REF!,AW$37,FALSE)</f>
        <v>#REF!</v>
      </c>
      <c r="AX55" s="348" t="e">
        <f>VLOOKUP($AL55,$B$77:$H$100,AX$37,FALSE)</f>
        <v>#N/A</v>
      </c>
      <c r="AY55" s="348" t="e">
        <f>VLOOKUP($AL55,$B$77:$H$100,AY$37,FALSE)</f>
        <v>#N/A</v>
      </c>
      <c r="AZ55" s="348" t="e">
        <f>VLOOKUP($AL55,$B$77:$H$100,AZ$37,FALSE)</f>
        <v>#N/A</v>
      </c>
      <c r="BA55" s="348">
        <f>VLOOKUP($AL55,$B$77:$H$100,BA$37,FALSE)</f>
        <v>4.7058823529411764E-2</v>
      </c>
      <c r="BB55" s="348" t="e">
        <f>VLOOKUP($AL55,$B$77:$H$100,BB$37,FALSE)</f>
        <v>#N/A</v>
      </c>
      <c r="BC55" s="348"/>
      <c r="BD55" s="348"/>
      <c r="BE55" s="348"/>
      <c r="BF55" s="348"/>
      <c r="BG55" s="348"/>
      <c r="BM55" s="348"/>
      <c r="BN55" s="348"/>
      <c r="BO55" s="348"/>
      <c r="BP55" s="348"/>
      <c r="BQ55" s="348"/>
    </row>
    <row r="56" spans="1:69" ht="14.25" customHeight="1" x14ac:dyDescent="0.2">
      <c r="A56" s="118"/>
      <c r="B56" s="421"/>
      <c r="C56" s="421"/>
      <c r="D56" s="58"/>
      <c r="E56" s="58"/>
      <c r="F56" s="58"/>
      <c r="G56" s="58"/>
      <c r="H56" s="58"/>
      <c r="I56" s="58"/>
      <c r="J56" s="12"/>
      <c r="K56" s="14"/>
      <c r="L56" s="14"/>
      <c r="M56" s="14"/>
      <c r="N56" s="14"/>
      <c r="O56" s="9"/>
      <c r="P56" s="9"/>
      <c r="Q56" s="9"/>
      <c r="R56" s="9"/>
      <c r="S56" s="9"/>
      <c r="T56" s="9"/>
      <c r="U56" s="9"/>
      <c r="V56" s="117"/>
      <c r="W56" s="137"/>
      <c r="X56" s="294"/>
      <c r="Z56" s="1399"/>
      <c r="AJ56" s="585" t="b">
        <v>1</v>
      </c>
      <c r="AK56" s="160" t="s">
        <v>7</v>
      </c>
      <c r="AL56" s="87" t="str">
        <f t="shared" si="20"/>
        <v>Surrey</v>
      </c>
      <c r="AM56" s="146">
        <f t="shared" si="23"/>
        <v>19.071762870514821</v>
      </c>
      <c r="AN56" s="146">
        <f t="shared" si="23"/>
        <v>15.830115830115831</v>
      </c>
      <c r="AO56" s="146">
        <f t="shared" si="23"/>
        <v>17.518248175182482</v>
      </c>
      <c r="AP56" s="146">
        <f t="shared" si="23"/>
        <v>16.60939289805269</v>
      </c>
      <c r="AQ56" s="146">
        <f t="shared" si="23"/>
        <v>14.139499620924942</v>
      </c>
      <c r="AR56" s="147">
        <f t="shared" si="22"/>
        <v>8.3000000000000007</v>
      </c>
      <c r="AS56" s="348" t="e">
        <f>VLOOKUP($AL56,#REF!,AS$37,FALSE)</f>
        <v>#REF!</v>
      </c>
      <c r="AT56" s="348" t="e">
        <f>VLOOKUP($AL56,#REF!,AT$37,FALSE)</f>
        <v>#REF!</v>
      </c>
      <c r="AU56" s="348" t="e">
        <f>VLOOKUP($AL56,#REF!,AU$37,FALSE)</f>
        <v>#REF!</v>
      </c>
      <c r="AV56" s="348" t="e">
        <f>VLOOKUP($AL56,#REF!,AV$37,FALSE)</f>
        <v>#REF!</v>
      </c>
      <c r="AW56" s="348" t="e">
        <f>VLOOKUP($AL56,#REF!,AW$37,FALSE)</f>
        <v>#REF!</v>
      </c>
      <c r="AX56" s="348" t="e">
        <f>VLOOKUP($AL56,$B$77:$H$100,AX$37,FALSE)</f>
        <v>#N/A</v>
      </c>
      <c r="AY56" s="348" t="e">
        <f>VLOOKUP($AL56,$B$77:$H$100,AY$37,FALSE)</f>
        <v>#N/A</v>
      </c>
      <c r="AZ56" s="348" t="e">
        <f>VLOOKUP($AL56,$B$77:$H$100,AZ$37,FALSE)</f>
        <v>#N/A</v>
      </c>
      <c r="BA56" s="348" t="e">
        <f>VLOOKUP($AL56,$B$77:$H$100,BA$37,FALSE)</f>
        <v>#N/A</v>
      </c>
      <c r="BB56" s="348" t="e">
        <f>VLOOKUP($AL56,$B$77:$H$100,BB$37,FALSE)</f>
        <v>#N/A</v>
      </c>
      <c r="BC56" s="348"/>
      <c r="BD56" s="348"/>
      <c r="BE56" s="348"/>
      <c r="BF56" s="348"/>
      <c r="BG56" s="348"/>
      <c r="BM56" s="348"/>
      <c r="BN56" s="348"/>
      <c r="BO56" s="348"/>
      <c r="BP56" s="348"/>
      <c r="BQ56" s="348"/>
    </row>
    <row r="57" spans="1:69" ht="14.25" customHeight="1" x14ac:dyDescent="0.2">
      <c r="A57" s="278"/>
      <c r="B57" s="421"/>
      <c r="C57" s="421"/>
      <c r="D57" s="58"/>
      <c r="E57" s="58"/>
      <c r="F57" s="58"/>
      <c r="G57" s="58"/>
      <c r="H57" s="58"/>
      <c r="I57" s="58"/>
      <c r="J57" s="12"/>
      <c r="K57" s="14"/>
      <c r="L57" s="14"/>
      <c r="M57" s="14"/>
      <c r="N57" s="14"/>
      <c r="O57" s="9"/>
      <c r="P57" s="9"/>
      <c r="Q57" s="9"/>
      <c r="R57" s="9"/>
      <c r="S57" s="9"/>
      <c r="T57" s="9"/>
      <c r="U57" s="9"/>
      <c r="V57" s="117"/>
      <c r="W57" s="137"/>
      <c r="X57" s="294"/>
      <c r="Z57" s="1399"/>
      <c r="AJ57" s="585" t="b">
        <v>1</v>
      </c>
      <c r="AK57" s="160" t="s">
        <v>113</v>
      </c>
      <c r="AL57" s="87" t="str">
        <f t="shared" si="20"/>
        <v>Swindon</v>
      </c>
      <c r="AM57" s="146">
        <f t="shared" si="23"/>
        <v>36.938775510204081</v>
      </c>
      <c r="AN57" s="146">
        <f t="shared" si="23"/>
        <v>36.767676767676768</v>
      </c>
      <c r="AO57" s="146">
        <f t="shared" si="23"/>
        <v>35.671342685370739</v>
      </c>
      <c r="AP57" s="146">
        <f t="shared" si="23"/>
        <v>27.290836653386457</v>
      </c>
      <c r="AQ57" s="146">
        <f t="shared" si="23"/>
        <v>21.230158730158728</v>
      </c>
      <c r="AR57" s="147">
        <f t="shared" si="22"/>
        <v>14.899999999999999</v>
      </c>
      <c r="AS57" s="348" t="e">
        <f>VLOOKUP($AL57,#REF!,AS$37,FALSE)</f>
        <v>#REF!</v>
      </c>
      <c r="AT57" s="348" t="e">
        <f>VLOOKUP($AL57,#REF!,AT$37,FALSE)</f>
        <v>#REF!</v>
      </c>
      <c r="AU57" s="348" t="e">
        <f>VLOOKUP($AL57,#REF!,AU$37,FALSE)</f>
        <v>#REF!</v>
      </c>
      <c r="AV57" s="348" t="e">
        <f>VLOOKUP($AL57,#REF!,AV$37,FALSE)</f>
        <v>#REF!</v>
      </c>
      <c r="AW57" s="348" t="e">
        <f>VLOOKUP($AL57,#REF!,AW$37,FALSE)</f>
        <v>#REF!</v>
      </c>
      <c r="AX57" s="348" t="e">
        <f>VLOOKUP($AL57,$B$77:$H$100,AX$37,FALSE)</f>
        <v>#N/A</v>
      </c>
      <c r="AY57" s="348" t="e">
        <f>VLOOKUP($AL57,$B$77:$H$100,AY$37,FALSE)</f>
        <v>#N/A</v>
      </c>
      <c r="AZ57" s="348" t="e">
        <f>VLOOKUP($AL57,$B$77:$H$100,AZ$37,FALSE)</f>
        <v>#N/A</v>
      </c>
      <c r="BA57" s="348" t="e">
        <f>VLOOKUP($AL57,$B$77:$H$100,BA$37,FALSE)</f>
        <v>#N/A</v>
      </c>
      <c r="BB57" s="348" t="e">
        <f>VLOOKUP($AL57,$B$77:$H$100,BB$37,FALSE)</f>
        <v>#N/A</v>
      </c>
      <c r="BC57" s="348"/>
      <c r="BD57" s="348"/>
      <c r="BE57" s="348"/>
      <c r="BF57" s="348"/>
      <c r="BG57" s="348"/>
      <c r="BM57" s="348"/>
      <c r="BN57" s="348"/>
      <c r="BO57" s="348"/>
      <c r="BP57" s="348"/>
      <c r="BQ57" s="348"/>
    </row>
    <row r="58" spans="1:69" ht="14.25" customHeight="1" x14ac:dyDescent="0.2">
      <c r="A58" s="278"/>
      <c r="B58" s="421"/>
      <c r="C58" s="421"/>
      <c r="D58" s="58"/>
      <c r="E58" s="58"/>
      <c r="F58" s="58"/>
      <c r="G58" s="58"/>
      <c r="H58" s="58"/>
      <c r="I58" s="58"/>
      <c r="J58" s="12"/>
      <c r="K58" s="14"/>
      <c r="L58" s="14"/>
      <c r="M58" s="14"/>
      <c r="N58" s="14"/>
      <c r="O58" s="9"/>
      <c r="P58" s="9"/>
      <c r="Q58" s="9"/>
      <c r="R58" s="9"/>
      <c r="S58" s="9"/>
      <c r="T58" s="9"/>
      <c r="U58" s="9"/>
      <c r="V58" s="117"/>
      <c r="W58" s="137"/>
      <c r="X58" s="294"/>
      <c r="Z58" s="1399"/>
      <c r="AJ58" s="585" t="b">
        <v>1</v>
      </c>
      <c r="AK58" s="160" t="s">
        <v>114</v>
      </c>
      <c r="AL58" s="87" t="str">
        <f t="shared" si="20"/>
        <v>Torbay</v>
      </c>
      <c r="AM58" s="146">
        <f t="shared" si="23"/>
        <v>38.095238095238095</v>
      </c>
      <c r="AN58" s="146">
        <f t="shared" si="23"/>
        <v>45.275590551181104</v>
      </c>
      <c r="AO58" s="146">
        <f t="shared" si="23"/>
        <v>54.330708661417319</v>
      </c>
      <c r="AP58" s="146">
        <f t="shared" si="23"/>
        <v>57.874015748031496</v>
      </c>
      <c r="AQ58" s="146">
        <f t="shared" si="23"/>
        <v>52.734375</v>
      </c>
      <c r="AR58" s="147">
        <f t="shared" si="22"/>
        <v>21.9</v>
      </c>
      <c r="AS58" s="348" t="e">
        <f>VLOOKUP($AL58,#REF!,AS$37,FALSE)</f>
        <v>#REF!</v>
      </c>
      <c r="AT58" s="348" t="e">
        <f>VLOOKUP($AL58,#REF!,AT$37,FALSE)</f>
        <v>#REF!</v>
      </c>
      <c r="AU58" s="348" t="e">
        <f>VLOOKUP($AL58,#REF!,AU$37,FALSE)</f>
        <v>#REF!</v>
      </c>
      <c r="AV58" s="348" t="e">
        <f>VLOOKUP($AL58,#REF!,AV$37,FALSE)</f>
        <v>#REF!</v>
      </c>
      <c r="AW58" s="348" t="e">
        <f>VLOOKUP($AL58,#REF!,AW$37,FALSE)</f>
        <v>#REF!</v>
      </c>
      <c r="AX58" s="348" t="e">
        <f>VLOOKUP($AL58,$B$77:$H$100,AX$37,FALSE)</f>
        <v>#N/A</v>
      </c>
      <c r="AY58" s="348" t="e">
        <f>VLOOKUP($AL58,$B$77:$H$100,AY$37,FALSE)</f>
        <v>#N/A</v>
      </c>
      <c r="AZ58" s="348" t="e">
        <f>VLOOKUP($AL58,$B$77:$H$100,AZ$37,FALSE)</f>
        <v>#N/A</v>
      </c>
      <c r="BA58" s="348">
        <f>VLOOKUP($AL58,$B$77:$H$100,BA$37,FALSE)</f>
        <v>0</v>
      </c>
      <c r="BB58" s="348" t="e">
        <f>VLOOKUP($AL58,$B$77:$H$100,BB$37,FALSE)</f>
        <v>#N/A</v>
      </c>
      <c r="BC58" s="348"/>
      <c r="BD58" s="348"/>
      <c r="BE58" s="348"/>
      <c r="BF58" s="348"/>
      <c r="BG58" s="348"/>
      <c r="BM58" s="348"/>
      <c r="BN58" s="348"/>
      <c r="BO58" s="348"/>
      <c r="BP58" s="348"/>
      <c r="BQ58" s="348"/>
    </row>
    <row r="59" spans="1:69" ht="14.25" customHeight="1" x14ac:dyDescent="0.2">
      <c r="A59" s="118"/>
      <c r="B59" s="421"/>
      <c r="C59" s="421"/>
      <c r="D59" s="58"/>
      <c r="E59" s="58"/>
      <c r="F59" s="58"/>
      <c r="G59" s="58"/>
      <c r="H59" s="58"/>
      <c r="I59" s="58"/>
      <c r="J59" s="12"/>
      <c r="K59" s="14"/>
      <c r="L59" s="14"/>
      <c r="M59" s="14"/>
      <c r="N59" s="14"/>
      <c r="O59" s="9"/>
      <c r="P59" s="9"/>
      <c r="Q59" s="9"/>
      <c r="R59" s="9"/>
      <c r="S59" s="9"/>
      <c r="T59" s="9"/>
      <c r="U59" s="9"/>
      <c r="V59" s="117"/>
      <c r="W59" s="137"/>
      <c r="X59" s="294"/>
      <c r="Z59" s="1399"/>
      <c r="AJ59" s="585" t="b">
        <v>1</v>
      </c>
      <c r="AK59" s="160" t="s">
        <v>15</v>
      </c>
      <c r="AL59" s="87" t="str">
        <f t="shared" si="20"/>
        <v>West Berkshire</v>
      </c>
      <c r="AM59" s="146">
        <f t="shared" si="23"/>
        <v>15.126050420168067</v>
      </c>
      <c r="AN59" s="146">
        <f t="shared" si="23"/>
        <v>20.612813370473539</v>
      </c>
      <c r="AO59" s="146">
        <f t="shared" si="23"/>
        <v>18.994413407821231</v>
      </c>
      <c r="AP59" s="146">
        <f t="shared" si="23"/>
        <v>22.191011235955056</v>
      </c>
      <c r="AQ59" s="146">
        <f t="shared" si="23"/>
        <v>16.573033707865168</v>
      </c>
      <c r="AR59" s="147">
        <f t="shared" si="22"/>
        <v>8.6999999999999993</v>
      </c>
      <c r="AS59" s="348" t="e">
        <f>VLOOKUP($AL59,#REF!,AS$37,FALSE)</f>
        <v>#REF!</v>
      </c>
      <c r="AT59" s="348" t="e">
        <f>VLOOKUP($AL59,#REF!,AT$37,FALSE)</f>
        <v>#REF!</v>
      </c>
      <c r="AU59" s="348" t="e">
        <f>VLOOKUP($AL59,#REF!,AU$37,FALSE)</f>
        <v>#REF!</v>
      </c>
      <c r="AV59" s="348" t="e">
        <f>VLOOKUP($AL59,#REF!,AV$37,FALSE)</f>
        <v>#REF!</v>
      </c>
      <c r="AW59" s="348" t="e">
        <f>VLOOKUP($AL59,#REF!,AW$37,FALSE)</f>
        <v>#REF!</v>
      </c>
      <c r="AX59" s="348" t="e">
        <f>VLOOKUP($AL59,$B$77:$H$100,AX$37,FALSE)</f>
        <v>#N/A</v>
      </c>
      <c r="AY59" s="348" t="e">
        <f>VLOOKUP($AL59,$B$77:$H$100,AY$37,FALSE)</f>
        <v>#N/A</v>
      </c>
      <c r="AZ59" s="348" t="e">
        <f>VLOOKUP($AL59,$B$77:$H$100,AZ$37,FALSE)</f>
        <v>#N/A</v>
      </c>
      <c r="BA59" s="348">
        <f>VLOOKUP($AL59,$B$77:$H$100,BA$37,FALSE)</f>
        <v>0</v>
      </c>
      <c r="BB59" s="348" t="e">
        <f>VLOOKUP($AL59,$B$77:$H$100,BB$37,FALSE)</f>
        <v>#N/A</v>
      </c>
      <c r="BC59" s="348"/>
      <c r="BD59" s="348"/>
      <c r="BE59" s="348"/>
      <c r="BF59" s="348"/>
      <c r="BG59" s="348"/>
      <c r="BM59" s="348"/>
      <c r="BN59" s="348"/>
      <c r="BO59" s="348"/>
      <c r="BP59" s="348"/>
      <c r="BQ59" s="348"/>
    </row>
    <row r="60" spans="1:69" ht="14.25" customHeight="1" x14ac:dyDescent="0.2">
      <c r="A60" s="118"/>
      <c r="B60" s="421"/>
      <c r="C60" s="421"/>
      <c r="D60" s="58"/>
      <c r="E60" s="58"/>
      <c r="F60" s="58"/>
      <c r="G60" s="58"/>
      <c r="H60" s="58"/>
      <c r="I60" s="58"/>
      <c r="J60" s="12"/>
      <c r="K60" s="14"/>
      <c r="L60" s="14"/>
      <c r="M60" s="14"/>
      <c r="N60" s="14"/>
      <c r="O60" s="9"/>
      <c r="P60" s="9"/>
      <c r="Q60" s="9"/>
      <c r="R60" s="9"/>
      <c r="S60" s="9"/>
      <c r="T60" s="9"/>
      <c r="U60" s="9"/>
      <c r="V60" s="117"/>
      <c r="W60" s="137"/>
      <c r="X60" s="294"/>
      <c r="Z60" s="1399"/>
      <c r="AJ60" s="585" t="b">
        <v>1</v>
      </c>
      <c r="AK60" s="160" t="s">
        <v>5</v>
      </c>
      <c r="AL60" s="87" t="str">
        <f t="shared" si="20"/>
        <v>West Sussex</v>
      </c>
      <c r="AM60" s="146">
        <f t="shared" si="23"/>
        <v>22.300469483568076</v>
      </c>
      <c r="AN60" s="146">
        <f t="shared" si="23"/>
        <v>21.944121071012809</v>
      </c>
      <c r="AO60" s="146">
        <f t="shared" si="23"/>
        <v>21.811886901327181</v>
      </c>
      <c r="AP60" s="146">
        <f t="shared" si="23"/>
        <v>19.805380652547221</v>
      </c>
      <c r="AQ60" s="146">
        <f t="shared" si="23"/>
        <v>25.9511641113004</v>
      </c>
      <c r="AR60" s="147">
        <f t="shared" si="22"/>
        <v>11</v>
      </c>
      <c r="AS60" s="348" t="e">
        <f>VLOOKUP($AL60,#REF!,AS$37,FALSE)</f>
        <v>#REF!</v>
      </c>
      <c r="AT60" s="348" t="e">
        <f>VLOOKUP($AL60,#REF!,AT$37,FALSE)</f>
        <v>#REF!</v>
      </c>
      <c r="AU60" s="348" t="e">
        <f>VLOOKUP($AL60,#REF!,AU$37,FALSE)</f>
        <v>#REF!</v>
      </c>
      <c r="AV60" s="348" t="e">
        <f>VLOOKUP($AL60,#REF!,AV$37,FALSE)</f>
        <v>#REF!</v>
      </c>
      <c r="AW60" s="348" t="e">
        <f>VLOOKUP($AL60,#REF!,AW$37,FALSE)</f>
        <v>#REF!</v>
      </c>
      <c r="AX60" s="348" t="e">
        <f>VLOOKUP($AL60,$B$77:$H$100,AX$37,FALSE)</f>
        <v>#N/A</v>
      </c>
      <c r="AY60" s="348" t="e">
        <f>VLOOKUP($AL60,$B$77:$H$100,AY$37,FALSE)</f>
        <v>#N/A</v>
      </c>
      <c r="AZ60" s="348" t="e">
        <f>VLOOKUP($AL60,$B$77:$H$100,AZ$37,FALSE)</f>
        <v>#N/A</v>
      </c>
      <c r="BA60" s="348" t="e">
        <f>VLOOKUP($AL60,$B$77:$H$100,BA$37,FALSE)</f>
        <v>#N/A</v>
      </c>
      <c r="BB60" s="348" t="e">
        <f>VLOOKUP($AL60,$B$77:$H$100,BB$37,FALSE)</f>
        <v>#N/A</v>
      </c>
      <c r="BC60" s="348"/>
      <c r="BD60" s="348"/>
      <c r="BE60" s="348"/>
      <c r="BF60" s="348"/>
      <c r="BG60" s="348"/>
      <c r="BM60" s="348"/>
      <c r="BN60" s="348"/>
      <c r="BO60" s="348"/>
      <c r="BP60" s="348"/>
      <c r="BQ60" s="348"/>
    </row>
    <row r="61" spans="1:69" s="81" customFormat="1" ht="14.25" customHeight="1" x14ac:dyDescent="0.2">
      <c r="A61" s="118"/>
      <c r="B61" s="421"/>
      <c r="C61" s="421"/>
      <c r="D61" s="58"/>
      <c r="E61" s="58"/>
      <c r="F61" s="58"/>
      <c r="G61" s="58"/>
      <c r="H61" s="58"/>
      <c r="I61" s="58"/>
      <c r="J61" s="12"/>
      <c r="K61" s="14"/>
      <c r="L61" s="14"/>
      <c r="M61" s="14"/>
      <c r="N61" s="14"/>
      <c r="O61" s="9"/>
      <c r="P61" s="9"/>
      <c r="Q61" s="9"/>
      <c r="R61" s="9"/>
      <c r="S61" s="9"/>
      <c r="T61" s="9"/>
      <c r="U61" s="9"/>
      <c r="V61" s="117"/>
      <c r="W61" s="137"/>
      <c r="X61" s="294"/>
      <c r="Y61" s="1392"/>
      <c r="Z61" s="1399"/>
      <c r="AA61" s="1392"/>
      <c r="AB61" s="1392"/>
      <c r="AC61" s="1392"/>
      <c r="AD61" s="1392"/>
      <c r="AE61" s="1392"/>
      <c r="AJ61" s="585" t="b">
        <v>1</v>
      </c>
      <c r="AK61" s="160" t="s">
        <v>30</v>
      </c>
      <c r="AL61" s="87" t="str">
        <f t="shared" si="20"/>
        <v>Windsor &amp; Maidenhead</v>
      </c>
      <c r="AM61" s="146">
        <f t="shared" si="23"/>
        <v>9.4955489614243334</v>
      </c>
      <c r="AN61" s="146">
        <f t="shared" si="23"/>
        <v>15.497076023391813</v>
      </c>
      <c r="AO61" s="146">
        <f t="shared" si="23"/>
        <v>13.372093023255815</v>
      </c>
      <c r="AP61" s="146">
        <f t="shared" si="23"/>
        <v>18.786127167630056</v>
      </c>
      <c r="AQ61" s="146">
        <f t="shared" si="23"/>
        <v>14.985590778097983</v>
      </c>
      <c r="AR61" s="147">
        <f t="shared" si="22"/>
        <v>6.7</v>
      </c>
      <c r="AS61" s="348" t="e">
        <f>VLOOKUP($AL61,#REF!,AS$37,FALSE)</f>
        <v>#REF!</v>
      </c>
      <c r="AT61" s="348" t="e">
        <f>VLOOKUP($AL61,#REF!,AT$37,FALSE)</f>
        <v>#REF!</v>
      </c>
      <c r="AU61" s="348" t="e">
        <f>VLOOKUP($AL61,#REF!,AU$37,FALSE)</f>
        <v>#REF!</v>
      </c>
      <c r="AV61" s="348" t="e">
        <f>VLOOKUP($AL61,#REF!,AV$37,FALSE)</f>
        <v>#REF!</v>
      </c>
      <c r="AW61" s="348" t="e">
        <f>VLOOKUP($AL61,#REF!,AW$37,FALSE)</f>
        <v>#REF!</v>
      </c>
      <c r="AX61" s="348" t="e">
        <f>VLOOKUP($AL61,$B$77:$H$100,AX$37,FALSE)</f>
        <v>#N/A</v>
      </c>
      <c r="AY61" s="348" t="e">
        <f>VLOOKUP($AL61,$B$77:$H$100,AY$37,FALSE)</f>
        <v>#N/A</v>
      </c>
      <c r="AZ61" s="348" t="e">
        <f>VLOOKUP($AL61,$B$77:$H$100,AZ$37,FALSE)</f>
        <v>#N/A</v>
      </c>
      <c r="BA61" s="348">
        <f>VLOOKUP($AL61,$B$77:$H$100,BA$37,FALSE)</f>
        <v>0</v>
      </c>
      <c r="BB61" s="348">
        <f>VLOOKUP($AL61,$B$77:$H$100,BB$37,FALSE)</f>
        <v>0</v>
      </c>
      <c r="BC61" s="348"/>
      <c r="BD61" s="348"/>
      <c r="BE61" s="348"/>
      <c r="BF61" s="348"/>
      <c r="BG61" s="348"/>
      <c r="BM61" s="348"/>
      <c r="BN61" s="348"/>
      <c r="BO61" s="348"/>
      <c r="BP61" s="348"/>
      <c r="BQ61" s="348"/>
    </row>
    <row r="62" spans="1:69" s="81" customFormat="1" ht="14.25" customHeight="1" x14ac:dyDescent="0.2">
      <c r="A62" s="118"/>
      <c r="B62" s="421"/>
      <c r="C62" s="421"/>
      <c r="D62" s="58"/>
      <c r="E62" s="58"/>
      <c r="F62" s="58"/>
      <c r="G62" s="58"/>
      <c r="H62" s="58"/>
      <c r="I62" s="58"/>
      <c r="J62" s="12"/>
      <c r="K62" s="14"/>
      <c r="L62" s="14"/>
      <c r="M62" s="14"/>
      <c r="N62" s="14"/>
      <c r="O62" s="9"/>
      <c r="P62" s="9"/>
      <c r="Q62" s="9"/>
      <c r="R62" s="9"/>
      <c r="S62" s="9"/>
      <c r="T62" s="9"/>
      <c r="U62" s="9"/>
      <c r="V62" s="117"/>
      <c r="W62" s="137"/>
      <c r="X62" s="294"/>
      <c r="Y62" s="1392"/>
      <c r="Z62" s="1399"/>
      <c r="AA62" s="1392"/>
      <c r="AB62" s="1392"/>
      <c r="AC62" s="1392"/>
      <c r="AD62" s="1392"/>
      <c r="AE62" s="1392"/>
      <c r="AJ62" s="585" t="b">
        <v>1</v>
      </c>
      <c r="AK62" s="160" t="s">
        <v>16</v>
      </c>
      <c r="AL62" s="87" t="str">
        <f t="shared" si="20"/>
        <v>Wokingham</v>
      </c>
      <c r="AM62" s="146">
        <f t="shared" si="23"/>
        <v>10.187667560321715</v>
      </c>
      <c r="AN62" s="146">
        <f t="shared" si="23"/>
        <v>6.5789473684210522</v>
      </c>
      <c r="AO62" s="146">
        <f t="shared" si="23"/>
        <v>17.054263565891471</v>
      </c>
      <c r="AP62" s="146">
        <f t="shared" si="23"/>
        <v>15.69620253164557</v>
      </c>
      <c r="AQ62" s="146">
        <f t="shared" si="23"/>
        <v>10.891089108910892</v>
      </c>
      <c r="AR62" s="147">
        <f t="shared" si="22"/>
        <v>5.6000000000000005</v>
      </c>
      <c r="AS62" s="348" t="e">
        <f>VLOOKUP($AL62,#REF!,AS$37,FALSE)</f>
        <v>#REF!</v>
      </c>
      <c r="AT62" s="348" t="e">
        <f>VLOOKUP($AL62,#REF!,AT$37,FALSE)</f>
        <v>#REF!</v>
      </c>
      <c r="AU62" s="348" t="e">
        <f>VLOOKUP($AL62,#REF!,AU$37,FALSE)</f>
        <v>#REF!</v>
      </c>
      <c r="AV62" s="348" t="e">
        <f>VLOOKUP($AL62,#REF!,AV$37,FALSE)</f>
        <v>#REF!</v>
      </c>
      <c r="AW62" s="348" t="e">
        <f>VLOOKUP($AL62,#REF!,AW$37,FALSE)</f>
        <v>#REF!</v>
      </c>
      <c r="AX62" s="348" t="e">
        <f>VLOOKUP($AL62,$B$77:$H$100,AX$37,FALSE)</f>
        <v>#N/A</v>
      </c>
      <c r="AY62" s="348" t="e">
        <f>VLOOKUP($AL62,$B$77:$H$100,AY$37,FALSE)</f>
        <v>#N/A</v>
      </c>
      <c r="AZ62" s="348" t="e">
        <f>VLOOKUP($AL62,$B$77:$H$100,AZ$37,FALSE)</f>
        <v>#N/A</v>
      </c>
      <c r="BA62" s="348" t="e">
        <f>VLOOKUP($AL62,$B$77:$H$100,BA$37,FALSE)</f>
        <v>#N/A</v>
      </c>
      <c r="BB62" s="348">
        <f>VLOOKUP($AL62,$B$77:$H$100,BB$37,FALSE)</f>
        <v>0</v>
      </c>
      <c r="BC62" s="348"/>
      <c r="BD62" s="348"/>
      <c r="BE62" s="348"/>
      <c r="BF62" s="348"/>
      <c r="BG62" s="348"/>
      <c r="BM62" s="348"/>
      <c r="BN62" s="348"/>
      <c r="BO62" s="348"/>
      <c r="BP62" s="348"/>
      <c r="BQ62" s="348"/>
    </row>
    <row r="63" spans="1:69" s="81" customFormat="1" ht="14.25" customHeight="1" x14ac:dyDescent="0.2">
      <c r="A63" s="118"/>
      <c r="B63" s="421"/>
      <c r="C63" s="421"/>
      <c r="D63" s="58"/>
      <c r="E63" s="58"/>
      <c r="F63" s="58"/>
      <c r="G63" s="58"/>
      <c r="H63" s="58"/>
      <c r="I63" s="58"/>
      <c r="J63" s="12"/>
      <c r="K63" s="14"/>
      <c r="L63" s="14"/>
      <c r="M63" s="14"/>
      <c r="N63" s="14"/>
      <c r="O63" s="9"/>
      <c r="P63" s="9"/>
      <c r="Q63" s="9"/>
      <c r="R63" s="9"/>
      <c r="S63" s="9"/>
      <c r="T63" s="9"/>
      <c r="U63" s="9"/>
      <c r="V63" s="117"/>
      <c r="W63" s="137"/>
      <c r="X63" s="294"/>
      <c r="Y63" s="1392"/>
      <c r="Z63" s="1399"/>
      <c r="AA63" s="1392"/>
      <c r="AB63" s="1392"/>
      <c r="AC63" s="1392"/>
      <c r="AD63" s="1392"/>
      <c r="AE63" s="1392"/>
      <c r="AJ63" s="585" t="b">
        <v>1</v>
      </c>
      <c r="AK63" s="160" t="s">
        <v>74</v>
      </c>
      <c r="AL63" s="87" t="str">
        <f t="shared" si="20"/>
        <v>South East</v>
      </c>
      <c r="AM63" s="146">
        <f t="shared" si="23"/>
        <v>26.693081695427765</v>
      </c>
      <c r="AN63" s="146">
        <f t="shared" si="23"/>
        <v>23.382132326315244</v>
      </c>
      <c r="AO63" s="146">
        <f t="shared" si="23"/>
        <v>22.480580276763206</v>
      </c>
      <c r="AP63" s="146">
        <f t="shared" si="23"/>
        <v>22.274445693266578</v>
      </c>
      <c r="AQ63" s="146">
        <f t="shared" si="23"/>
        <v>22.242535039609994</v>
      </c>
      <c r="AR63" s="147">
        <f t="shared" si="22"/>
        <v>12.371268250968637</v>
      </c>
      <c r="AS63" s="348" t="e">
        <f>VLOOKUP($AL63,#REF!,AS$37,FALSE)</f>
        <v>#REF!</v>
      </c>
      <c r="AT63" s="348" t="e">
        <f>VLOOKUP($AL63,#REF!,AT$37,FALSE)</f>
        <v>#REF!</v>
      </c>
      <c r="AU63" s="348" t="e">
        <f>VLOOKUP($AL63,#REF!,AU$37,FALSE)</f>
        <v>#REF!</v>
      </c>
      <c r="AV63" s="348" t="e">
        <f>VLOOKUP($AL63,#REF!,AV$37,FALSE)</f>
        <v>#REF!</v>
      </c>
      <c r="AW63" s="348" t="e">
        <f>VLOOKUP($AL63,#REF!,AW$37,FALSE)</f>
        <v>#REF!</v>
      </c>
      <c r="AX63" s="348" t="e">
        <f>VLOOKUP($AL63,$B$77:$H$100,AX$37,FALSE)</f>
        <v>#N/A</v>
      </c>
      <c r="AY63" s="348" t="e">
        <f>VLOOKUP($AL63,$B$77:$H$100,AY$37,FALSE)</f>
        <v>#N/A</v>
      </c>
      <c r="AZ63" s="348" t="e">
        <f>VLOOKUP($AL63,$B$77:$H$100,AZ$37,FALSE)</f>
        <v>#N/A</v>
      </c>
      <c r="BA63" s="348">
        <f>VLOOKUP($AL63,$B$77:$H$100,BA$37,FALSE)</f>
        <v>1.6055045871559634E-2</v>
      </c>
      <c r="BB63" s="348">
        <f>VLOOKUP($AL63,$B$77:$H$100,BB$37,FALSE)</f>
        <v>1.3698630136986301E-2</v>
      </c>
      <c r="BC63" s="348"/>
      <c r="BD63" s="348"/>
      <c r="BE63" s="348"/>
      <c r="BF63" s="348"/>
      <c r="BG63" s="348"/>
      <c r="BM63" s="348"/>
      <c r="BN63" s="348"/>
      <c r="BO63" s="348"/>
      <c r="BP63" s="348"/>
      <c r="BQ63" s="348"/>
    </row>
    <row r="64" spans="1:69" s="81" customFormat="1" ht="14.25" customHeight="1" x14ac:dyDescent="0.2">
      <c r="A64" s="118"/>
      <c r="B64" s="421"/>
      <c r="C64" s="421"/>
      <c r="D64" s="58"/>
      <c r="E64" s="58"/>
      <c r="F64" s="58"/>
      <c r="G64" s="58"/>
      <c r="H64" s="58"/>
      <c r="I64" s="58"/>
      <c r="J64" s="12"/>
      <c r="K64" s="9"/>
      <c r="L64" s="110"/>
      <c r="M64" s="1796" t="s">
        <v>72</v>
      </c>
      <c r="N64" s="1797"/>
      <c r="O64" s="1797"/>
      <c r="P64" s="1798"/>
      <c r="Q64" s="928"/>
      <c r="R64" s="1802" t="s">
        <v>100</v>
      </c>
      <c r="S64" s="1803"/>
      <c r="T64" s="1803"/>
      <c r="U64" s="1804"/>
      <c r="V64" s="117"/>
      <c r="W64" s="137"/>
      <c r="X64" s="294"/>
      <c r="Y64" s="1392"/>
      <c r="Z64" s="1399"/>
      <c r="AA64" s="1392"/>
      <c r="AB64" s="1392"/>
      <c r="AC64" s="1392"/>
      <c r="AD64" s="1392"/>
      <c r="AE64" s="1392"/>
      <c r="AJ64" s="585" t="b">
        <v>1</v>
      </c>
      <c r="AK64" s="160" t="s">
        <v>127</v>
      </c>
      <c r="AL64" s="87" t="str">
        <f t="shared" si="20"/>
        <v>England</v>
      </c>
      <c r="AM64" s="146">
        <f t="shared" si="23"/>
        <v>27.54776115568724</v>
      </c>
      <c r="AN64" s="146">
        <f t="shared" si="23"/>
        <v>27.950073396519393</v>
      </c>
      <c r="AO64" s="146">
        <f t="shared" si="23"/>
        <v>27.125642538130954</v>
      </c>
      <c r="AP64" s="146">
        <f t="shared" si="23"/>
        <v>26.500259314406172</v>
      </c>
      <c r="AQ64" s="146">
        <f t="shared" si="23"/>
        <v>25.757676569413487</v>
      </c>
      <c r="AR64" s="147">
        <f t="shared" si="22"/>
        <v>17.084413405029373</v>
      </c>
      <c r="AS64" s="348" t="e">
        <f>VLOOKUP($AL64,#REF!,AS$37,FALSE)</f>
        <v>#REF!</v>
      </c>
      <c r="AT64" s="348" t="e">
        <f>VLOOKUP($AL64,#REF!,AT$37,FALSE)</f>
        <v>#REF!</v>
      </c>
      <c r="AU64" s="348" t="e">
        <f>VLOOKUP($AL64,#REF!,AU$37,FALSE)</f>
        <v>#REF!</v>
      </c>
      <c r="AV64" s="348" t="e">
        <f>VLOOKUP($AL64,#REF!,AV$37,FALSE)</f>
        <v>#REF!</v>
      </c>
      <c r="AW64" s="348" t="e">
        <f>VLOOKUP($AL64,#REF!,AW$37,FALSE)</f>
        <v>#REF!</v>
      </c>
      <c r="AX64" s="348" t="e">
        <f>VLOOKUP($AL64,$B$77:$H$100,AX$37,FALSE)</f>
        <v>#N/A</v>
      </c>
      <c r="AY64" s="348" t="e">
        <f>VLOOKUP($AL64,$B$77:$H$100,AY$37,FALSE)</f>
        <v>#N/A</v>
      </c>
      <c r="AZ64" s="348" t="e">
        <f>VLOOKUP($AL64,$B$77:$H$100,AZ$37,FALSE)</f>
        <v>#N/A</v>
      </c>
      <c r="BA64" s="348">
        <f>VLOOKUP($AL64,$B$77:$H$100,BA$37,FALSE)</f>
        <v>2.462121212121212E-2</v>
      </c>
      <c r="BB64" s="348">
        <f>VLOOKUP($AL64,$B$77:$H$100,BB$37,FALSE)</f>
        <v>2.292541168873103E-2</v>
      </c>
      <c r="BC64" s="348"/>
      <c r="BD64" s="348"/>
      <c r="BE64" s="348"/>
      <c r="BF64" s="348"/>
      <c r="BG64" s="348"/>
      <c r="BM64" s="348"/>
      <c r="BN64" s="348"/>
      <c r="BO64" s="348"/>
      <c r="BP64" s="348"/>
      <c r="BQ64" s="348"/>
    </row>
    <row r="65" spans="1:69" s="81" customFormat="1" ht="14.25" customHeight="1" x14ac:dyDescent="0.2">
      <c r="A65" s="118"/>
      <c r="B65" s="421"/>
      <c r="C65" s="421"/>
      <c r="D65" s="58"/>
      <c r="E65" s="58"/>
      <c r="F65" s="58"/>
      <c r="G65" s="58"/>
      <c r="H65" s="58"/>
      <c r="I65" s="58"/>
      <c r="J65" s="12"/>
      <c r="K65" s="9"/>
      <c r="L65" s="111"/>
      <c r="M65" s="1802" t="str">
        <f>AA4</f>
        <v>Selected LA- (none)</v>
      </c>
      <c r="N65" s="1803"/>
      <c r="O65" s="1803"/>
      <c r="P65" s="1803"/>
      <c r="Q65" s="110"/>
      <c r="R65" s="1939" t="s">
        <v>187</v>
      </c>
      <c r="S65" s="1939"/>
      <c r="T65" s="1939"/>
      <c r="U65" s="1940"/>
      <c r="V65" s="117"/>
      <c r="W65" s="137"/>
      <c r="X65" s="150"/>
      <c r="Y65" s="1392"/>
      <c r="Z65" s="1399"/>
      <c r="AA65" s="1392"/>
      <c r="AB65" s="1392"/>
      <c r="AC65" s="1392"/>
      <c r="AD65" s="1392"/>
      <c r="AE65" s="1392"/>
      <c r="AK65" s="161"/>
      <c r="AL65" s="74" t="str">
        <f>AA4</f>
        <v>Selected LA- (none)</v>
      </c>
      <c r="AM65" s="148" t="e">
        <f>VLOOKUP($Z4,$B$10:$O$32,AM$37,FALSE)</f>
        <v>#N/A</v>
      </c>
      <c r="AN65" s="148" t="e">
        <f>VLOOKUP($Z4,$B$10:$O$32,AN$37,FALSE)</f>
        <v>#N/A</v>
      </c>
      <c r="AO65" s="148" t="e">
        <f>VLOOKUP($Z4,$B$10:$O$32,AO$37,FALSE)</f>
        <v>#N/A</v>
      </c>
      <c r="AP65" s="148" t="e">
        <f>VLOOKUP($Z4,$B$10:$O$32,AP$37,FALSE)</f>
        <v>#N/A</v>
      </c>
      <c r="AQ65" s="148" t="e">
        <f>VLOOKUP($Z4,$B$10:$O$32,AQ$37,FALSE)</f>
        <v>#N/A</v>
      </c>
      <c r="AR65" s="147" t="e">
        <f>VLOOKUP(Z4,$B$10:$U$32,$AR$37,FALSE)</f>
        <v>#N/A</v>
      </c>
      <c r="AS65" s="171" t="e">
        <f>VLOOKUP($Z$4,#REF!,AS$37,FALSE)</f>
        <v>#REF!</v>
      </c>
      <c r="AT65" s="171" t="e">
        <f>VLOOKUP($Z$4,#REF!,AT$37,FALSE)</f>
        <v>#REF!</v>
      </c>
      <c r="AU65" s="171" t="e">
        <f>VLOOKUP($Z$4,#REF!,AU$37,FALSE)</f>
        <v>#REF!</v>
      </c>
      <c r="AV65" s="171" t="e">
        <f>VLOOKUP($Z$4,#REF!,AV$37,FALSE)</f>
        <v>#REF!</v>
      </c>
      <c r="AW65" s="171" t="e">
        <f>VLOOKUP($Z$4,#REF!,AW$37,FALSE)</f>
        <v>#REF!</v>
      </c>
      <c r="AX65" s="171" t="e">
        <f>VLOOKUP($Z$4,$B$77:$H$100,AX$37,FALSE)</f>
        <v>#N/A</v>
      </c>
      <c r="AY65" s="171" t="e">
        <f>VLOOKUP($Z$4,$B$77:$H$100,AY$37,FALSE)</f>
        <v>#N/A</v>
      </c>
      <c r="AZ65" s="171" t="e">
        <f>VLOOKUP($Z$4,$B$77:$H$100,AZ$37,FALSE)</f>
        <v>#N/A</v>
      </c>
      <c r="BA65" s="171" t="e">
        <f>VLOOKUP($Z$4,$B$77:$H$100,BA$37,FALSE)</f>
        <v>#N/A</v>
      </c>
      <c r="BB65" s="171" t="e">
        <f>VLOOKUP($Z$4,$B$77:$H$100,BB$37,FALSE)</f>
        <v>#N/A</v>
      </c>
      <c r="BC65" s="171"/>
      <c r="BD65" s="171"/>
      <c r="BE65" s="171"/>
      <c r="BF65" s="171"/>
      <c r="BG65" s="171"/>
      <c r="BM65" s="348"/>
      <c r="BN65" s="348"/>
      <c r="BO65" s="348"/>
      <c r="BP65" s="348"/>
      <c r="BQ65" s="348"/>
    </row>
    <row r="66" spans="1:69" s="81" customFormat="1" ht="42" customHeight="1" x14ac:dyDescent="0.2">
      <c r="A66" s="118"/>
      <c r="B66" s="421"/>
      <c r="C66" s="421"/>
      <c r="D66" s="58"/>
      <c r="E66" s="58"/>
      <c r="F66" s="58"/>
      <c r="G66" s="58"/>
      <c r="H66" s="58"/>
      <c r="I66" s="58"/>
      <c r="J66" s="12"/>
      <c r="K66" s="9"/>
      <c r="L66" s="9"/>
      <c r="M66" s="9"/>
      <c r="N66" s="9"/>
      <c r="O66" s="9"/>
      <c r="P66" s="9"/>
      <c r="Q66" s="9"/>
      <c r="R66" s="9"/>
      <c r="S66" s="9"/>
      <c r="T66" s="9"/>
      <c r="U66" s="9"/>
      <c r="V66" s="117"/>
      <c r="W66" s="137"/>
      <c r="X66" s="150"/>
      <c r="Y66" s="1392"/>
      <c r="Z66" s="1392"/>
      <c r="AA66" s="1392"/>
      <c r="AB66" s="1392"/>
      <c r="AC66" s="1392"/>
      <c r="AD66" s="1392"/>
      <c r="AE66" s="1392"/>
      <c r="AK66" s="161"/>
    </row>
    <row r="67" spans="1:69" s="87" customFormat="1" ht="42" customHeight="1" x14ac:dyDescent="0.2">
      <c r="A67" s="121"/>
      <c r="B67" s="109"/>
      <c r="C67" s="109"/>
      <c r="D67" s="109"/>
      <c r="E67" s="109"/>
      <c r="F67" s="109"/>
      <c r="G67" s="109"/>
      <c r="H67" s="109"/>
      <c r="I67" s="109"/>
      <c r="J67" s="96"/>
      <c r="K67" s="85"/>
      <c r="L67" s="85"/>
      <c r="M67" s="85"/>
      <c r="N67" s="85"/>
      <c r="O67" s="85"/>
      <c r="P67" s="85"/>
      <c r="Q67" s="85"/>
      <c r="R67" s="85"/>
      <c r="S67" s="85"/>
      <c r="T67" s="85"/>
      <c r="U67" s="85"/>
      <c r="V67" s="122"/>
      <c r="W67" s="139"/>
      <c r="X67" s="152"/>
      <c r="Y67" s="1414"/>
      <c r="Z67" s="1414"/>
      <c r="AA67" s="1414"/>
      <c r="AB67" s="1414"/>
      <c r="AC67" s="1414"/>
      <c r="AD67" s="1414"/>
      <c r="AE67" s="1399"/>
      <c r="AF67" s="190"/>
      <c r="AG67" s="190"/>
      <c r="AH67" s="190"/>
      <c r="AI67" s="190"/>
      <c r="AJ67" s="202"/>
      <c r="AK67" s="160"/>
    </row>
    <row r="68" spans="1:69" s="87" customFormat="1" ht="42.75" customHeight="1" x14ac:dyDescent="0.2">
      <c r="A68" s="121"/>
      <c r="B68" s="109"/>
      <c r="C68" s="109"/>
      <c r="D68" s="109"/>
      <c r="E68" s="109"/>
      <c r="F68" s="109"/>
      <c r="G68" s="109"/>
      <c r="H68" s="109"/>
      <c r="I68" s="109"/>
      <c r="J68" s="96"/>
      <c r="K68" s="85"/>
      <c r="L68" s="85"/>
      <c r="M68" s="85"/>
      <c r="N68" s="85"/>
      <c r="O68" s="85"/>
      <c r="P68" s="85"/>
      <c r="Q68" s="85"/>
      <c r="R68" s="85"/>
      <c r="S68" s="85"/>
      <c r="T68" s="85"/>
      <c r="U68" s="85"/>
      <c r="V68" s="122"/>
      <c r="W68" s="139"/>
      <c r="X68" s="152"/>
      <c r="Y68" s="1414"/>
      <c r="Z68" s="1414"/>
      <c r="AA68" s="1414"/>
      <c r="AB68" s="1414"/>
      <c r="AC68" s="1414"/>
      <c r="AD68" s="1414"/>
      <c r="AE68" s="1399"/>
      <c r="AF68" s="190"/>
      <c r="AG68" s="190"/>
      <c r="AH68" s="190"/>
      <c r="AI68" s="190"/>
      <c r="AJ68" s="202"/>
      <c r="AK68" s="160"/>
    </row>
    <row r="69" spans="1:69" ht="7.5" customHeight="1" x14ac:dyDescent="0.2">
      <c r="A69" s="118"/>
      <c r="B69" s="17"/>
      <c r="C69" s="17"/>
      <c r="D69" s="16"/>
      <c r="E69" s="16"/>
      <c r="F69" s="16"/>
      <c r="G69" s="16"/>
      <c r="H69" s="16"/>
      <c r="I69" s="16"/>
      <c r="J69" s="12"/>
      <c r="K69" s="18"/>
      <c r="L69" s="18"/>
      <c r="M69" s="18"/>
      <c r="N69" s="18"/>
      <c r="O69" s="18"/>
      <c r="P69" s="18"/>
      <c r="Q69" s="18"/>
      <c r="R69" s="18"/>
      <c r="S69" s="18"/>
      <c r="T69" s="18"/>
      <c r="U69" s="19"/>
      <c r="V69" s="117"/>
      <c r="W69" s="137"/>
      <c r="X69" s="150"/>
      <c r="Y69" s="1414"/>
      <c r="Z69" s="1414"/>
      <c r="AA69" s="1414"/>
      <c r="AB69" s="1414"/>
      <c r="AC69" s="1414"/>
      <c r="AJ69" s="184"/>
      <c r="AK69" s="157"/>
    </row>
    <row r="70" spans="1:69" ht="15" customHeight="1" x14ac:dyDescent="0.2">
      <c r="A70" s="1716"/>
      <c r="B70" s="1760"/>
      <c r="C70" s="1760"/>
      <c r="D70" s="1760"/>
      <c r="E70" s="1760"/>
      <c r="F70" s="1760"/>
      <c r="G70" s="1760"/>
      <c r="H70" s="1760"/>
      <c r="I70" s="1760"/>
      <c r="J70" s="1760"/>
      <c r="K70" s="1760"/>
      <c r="L70" s="1760"/>
      <c r="M70" s="1760"/>
      <c r="N70" s="1760"/>
      <c r="O70" s="1760"/>
      <c r="P70" s="1760"/>
      <c r="Q70" s="1760"/>
      <c r="R70" s="1760"/>
      <c r="S70" s="1760"/>
      <c r="T70" s="1760"/>
      <c r="U70" s="1760"/>
      <c r="V70" s="1761"/>
      <c r="W70" s="137"/>
      <c r="X70" s="150"/>
      <c r="Y70" s="1414"/>
      <c r="Z70" s="1414"/>
      <c r="AA70" s="1414"/>
      <c r="AB70" s="1414"/>
      <c r="AC70" s="1414"/>
      <c r="AJ70" s="184"/>
      <c r="AK70" s="157"/>
    </row>
    <row r="71" spans="1:69" ht="11.25" customHeight="1" x14ac:dyDescent="0.2">
      <c r="A71" s="1765" t="str">
        <f>Home!$A$39</f>
        <v xml:space="preserve"> </v>
      </c>
      <c r="B71" s="1766"/>
      <c r="C71" s="1766"/>
      <c r="D71" s="1766"/>
      <c r="E71" s="1766"/>
      <c r="F71" s="1766"/>
      <c r="G71" s="1766"/>
      <c r="H71" s="1766"/>
      <c r="I71" s="1767"/>
      <c r="J71" s="1766"/>
      <c r="K71" s="1766"/>
      <c r="L71" s="1766"/>
      <c r="M71" s="1766"/>
      <c r="N71" s="1766"/>
      <c r="O71" s="1766"/>
      <c r="P71" s="1768"/>
      <c r="Q71" s="1766"/>
      <c r="R71" s="1766"/>
      <c r="S71" s="1766"/>
      <c r="T71" s="1767"/>
      <c r="U71" s="1766"/>
      <c r="V71" s="1769"/>
      <c r="W71" s="137"/>
      <c r="X71" s="150"/>
      <c r="Y71" s="1414"/>
      <c r="Z71" s="1414"/>
      <c r="AA71" s="1414"/>
      <c r="AB71" s="1414"/>
      <c r="AC71" s="1414"/>
      <c r="AJ71" s="184"/>
      <c r="AK71" s="157"/>
    </row>
    <row r="72" spans="1:69" ht="11.25" customHeight="1" x14ac:dyDescent="0.2">
      <c r="A72" s="112"/>
      <c r="B72" s="113"/>
      <c r="C72" s="113"/>
      <c r="D72" s="113"/>
      <c r="E72" s="113"/>
      <c r="F72" s="113"/>
      <c r="G72" s="113"/>
      <c r="H72" s="113"/>
      <c r="I72" s="113"/>
      <c r="J72" s="114"/>
      <c r="K72" s="113"/>
      <c r="L72" s="113"/>
      <c r="M72" s="113"/>
      <c r="N72" s="113"/>
      <c r="O72" s="113"/>
      <c r="P72" s="113"/>
      <c r="Q72" s="113"/>
      <c r="R72" s="113"/>
      <c r="S72" s="113"/>
      <c r="T72" s="113"/>
      <c r="U72" s="113"/>
      <c r="V72" s="115"/>
      <c r="W72" s="137"/>
      <c r="X72" s="150"/>
      <c r="Y72" s="1416"/>
      <c r="AA72" s="1396"/>
      <c r="AJ72" s="184"/>
      <c r="AK72" s="161"/>
    </row>
    <row r="73" spans="1:69" s="76" customFormat="1" ht="15" customHeight="1" x14ac:dyDescent="0.2">
      <c r="A73" s="119"/>
      <c r="B73" s="1770" t="s">
        <v>702</v>
      </c>
      <c r="C73" s="1770"/>
      <c r="D73" s="1770"/>
      <c r="E73" s="1770"/>
      <c r="F73" s="1770"/>
      <c r="G73" s="1770"/>
      <c r="H73" s="1770"/>
      <c r="I73" s="1770"/>
      <c r="J73" s="70"/>
      <c r="K73" s="70"/>
      <c r="L73" s="70"/>
      <c r="M73" s="70"/>
      <c r="N73" s="825"/>
      <c r="O73" s="70"/>
      <c r="P73" s="70"/>
      <c r="Q73" s="70"/>
      <c r="R73" s="70"/>
      <c r="S73" s="70"/>
      <c r="T73" s="70"/>
      <c r="U73" s="70"/>
      <c r="V73" s="120"/>
      <c r="W73" s="138"/>
      <c r="X73" s="151"/>
      <c r="Y73" s="1415" t="s">
        <v>705</v>
      </c>
      <c r="Z73" s="1415"/>
      <c r="AA73" s="1415"/>
      <c r="AB73" s="1415"/>
      <c r="AC73" s="1415"/>
      <c r="AD73" s="1415"/>
      <c r="AE73" s="381"/>
      <c r="AF73" s="382"/>
      <c r="AG73" s="383"/>
      <c r="AH73" s="383"/>
      <c r="AI73" s="383"/>
      <c r="AJ73" s="596"/>
      <c r="AK73" s="160"/>
    </row>
    <row r="74" spans="1:69" ht="15" customHeight="1" x14ac:dyDescent="0.2">
      <c r="A74" s="118"/>
      <c r="B74" s="1770"/>
      <c r="C74" s="1770"/>
      <c r="D74" s="1770"/>
      <c r="E74" s="1770"/>
      <c r="F74" s="1770"/>
      <c r="G74" s="1770"/>
      <c r="H74" s="1770"/>
      <c r="I74" s="1770"/>
      <c r="J74" s="70"/>
      <c r="K74" s="70"/>
      <c r="L74" s="70"/>
      <c r="M74" s="70"/>
      <c r="N74" s="825"/>
      <c r="O74" s="70"/>
      <c r="P74" s="70"/>
      <c r="Q74" s="70"/>
      <c r="R74" s="10"/>
      <c r="S74" s="70"/>
      <c r="T74" s="70"/>
      <c r="U74" s="70"/>
      <c r="V74" s="117"/>
      <c r="W74" s="137"/>
      <c r="X74" s="150"/>
      <c r="Y74" s="383"/>
      <c r="Z74" s="382"/>
      <c r="AA74" s="383"/>
      <c r="AB74" s="383"/>
      <c r="AC74" s="383"/>
      <c r="AD74" s="383"/>
      <c r="AE74" s="381"/>
      <c r="AF74" s="382"/>
      <c r="AG74" s="383"/>
      <c r="AH74" s="383"/>
      <c r="AI74" s="383"/>
      <c r="AJ74" s="596"/>
      <c r="AK74" s="161"/>
    </row>
    <row r="75" spans="1:69" ht="13.5" customHeight="1" x14ac:dyDescent="0.2">
      <c r="A75" s="278"/>
      <c r="B75" s="1771" t="s">
        <v>205</v>
      </c>
      <c r="C75" s="921"/>
      <c r="D75" s="789" t="str">
        <f>Sheet1!$D$27</f>
        <v>2015-16</v>
      </c>
      <c r="E75" s="790" t="str">
        <f>Sheet1!$E$27</f>
        <v>2016-17</v>
      </c>
      <c r="F75" s="790" t="str">
        <f>Sheet1!$F$27</f>
        <v>2017-18</v>
      </c>
      <c r="G75" s="790" t="str">
        <f>Sheet1!$G$27</f>
        <v>2018-19</v>
      </c>
      <c r="H75" s="791" t="str">
        <f>Sheet1!$H$27</f>
        <v>2019-20</v>
      </c>
      <c r="I75" s="921"/>
      <c r="J75" s="70"/>
      <c r="K75" s="70"/>
      <c r="L75" s="70"/>
      <c r="M75" s="70"/>
      <c r="N75" s="918"/>
      <c r="O75" s="70"/>
      <c r="P75" s="70"/>
      <c r="Q75" s="70"/>
      <c r="R75" s="10"/>
      <c r="S75" s="70"/>
      <c r="T75" s="70"/>
      <c r="U75" s="70"/>
      <c r="V75" s="117"/>
      <c r="W75" s="137"/>
      <c r="X75" s="150"/>
      <c r="Y75" s="383"/>
      <c r="Z75" s="580" t="str">
        <f>IF(Sheet1!$C$3="Annual","",Sheet1!$D$28)</f>
        <v/>
      </c>
      <c r="AA75" s="580" t="str">
        <f>IF(Sheet1!$C$3="Annual","",Sheet1!$E$28)</f>
        <v/>
      </c>
      <c r="AB75" s="580" t="str">
        <f>IF(Sheet1!$C$3="Annual","",Sheet1!$F$28)</f>
        <v/>
      </c>
      <c r="AC75" s="580" t="str">
        <f>IF(Sheet1!$C$3="Annual","",Sheet1!$G$28)</f>
        <v/>
      </c>
      <c r="AD75" s="580" t="str">
        <f>IF(Sheet1!$C$3="Annual","",Sheet1!$H$28)</f>
        <v/>
      </c>
      <c r="AE75" s="381"/>
      <c r="AF75" s="382"/>
      <c r="AG75" s="383"/>
      <c r="AH75" s="383"/>
      <c r="AI75" s="383"/>
      <c r="AJ75" s="596"/>
      <c r="AK75" s="161"/>
    </row>
    <row r="76" spans="1:69" s="87" customFormat="1" ht="13.5" customHeight="1" x14ac:dyDescent="0.2">
      <c r="A76" s="121"/>
      <c r="B76" s="1772"/>
      <c r="C76" s="85"/>
      <c r="D76" s="792" t="e">
        <f>Sheet1!$D$28</f>
        <v>#N/A</v>
      </c>
      <c r="E76" s="792" t="e">
        <f>Sheet1!$E$28</f>
        <v>#N/A</v>
      </c>
      <c r="F76" s="792" t="e">
        <f>Sheet1!$F$28</f>
        <v>#N/A</v>
      </c>
      <c r="G76" s="792" t="e">
        <f>Sheet1!$G$28</f>
        <v>#N/A</v>
      </c>
      <c r="H76" s="793" t="e">
        <f>Sheet1!$H$28</f>
        <v>#N/A</v>
      </c>
      <c r="I76" s="96"/>
      <c r="J76" s="96"/>
      <c r="K76" s="61"/>
      <c r="L76" s="61"/>
      <c r="M76" s="61"/>
      <c r="N76" s="61"/>
      <c r="O76" s="61"/>
      <c r="P76" s="61"/>
      <c r="Q76" s="828"/>
      <c r="R76" s="828"/>
      <c r="S76" s="159"/>
      <c r="T76" s="159"/>
      <c r="U76" s="829"/>
      <c r="V76" s="122"/>
      <c r="W76" s="139"/>
      <c r="X76" s="152"/>
      <c r="Y76" s="577"/>
      <c r="Z76" s="580" t="str">
        <f>Sheet1!$D$27</f>
        <v>2015-16</v>
      </c>
      <c r="AA76" s="580" t="str">
        <f>Sheet1!$E$27</f>
        <v>2016-17</v>
      </c>
      <c r="AB76" s="580" t="str">
        <f>Sheet1!$F$27</f>
        <v>2017-18</v>
      </c>
      <c r="AC76" s="580" t="str">
        <f>Sheet1!$G$27</f>
        <v>2018-19</v>
      </c>
      <c r="AD76" s="580" t="str">
        <f>Sheet1!$H$27</f>
        <v>2019-20</v>
      </c>
      <c r="AE76" s="381"/>
      <c r="AF76" s="382"/>
      <c r="AG76" s="383"/>
      <c r="AH76" s="383"/>
      <c r="AI76" s="383"/>
      <c r="AJ76" s="596"/>
      <c r="AK76" s="160"/>
    </row>
    <row r="77" spans="1:69" s="87" customFormat="1" ht="12.75" customHeight="1" x14ac:dyDescent="0.2">
      <c r="A77" s="488">
        <f>VLOOKUP(B77,Sheet1!$AQ$4:$AR$25,2,FALSE)</f>
        <v>0</v>
      </c>
      <c r="B77" s="93" t="str">
        <f>B10</f>
        <v>Bracknell Forest</v>
      </c>
      <c r="C77" s="85"/>
      <c r="D77" s="162" t="e">
        <f>IF(AND(ISNUMBER(Z77),ISNUMBER(D10)),Z77/D10,NA())</f>
        <v>#N/A</v>
      </c>
      <c r="E77" s="162" t="e">
        <f>IF(AND(ISNUMBER(AA77),ISNUMBER(E10)),AA77/E10,NA())</f>
        <v>#N/A</v>
      </c>
      <c r="F77" s="162" t="e">
        <f>IF(AND(ISNUMBER(AB77),ISNUMBER(F10)),AB77/F10,NA())</f>
        <v>#N/A</v>
      </c>
      <c r="G77" s="162" t="e">
        <f>IF(AND(ISNUMBER(AC77),ISNUMBER(G10)),AC77/G10,NA())</f>
        <v>#N/A</v>
      </c>
      <c r="H77" s="164">
        <f>IF(AND(ISNUMBER(AD77),ISNUMBER(H10)),AD77/H10,NA())</f>
        <v>0</v>
      </c>
      <c r="I77" s="96"/>
      <c r="J77" s="96"/>
      <c r="K77" s="166"/>
      <c r="L77" s="166"/>
      <c r="M77" s="166"/>
      <c r="N77" s="166"/>
      <c r="O77" s="166"/>
      <c r="P77" s="166"/>
      <c r="Q77" s="166"/>
      <c r="R77" s="167"/>
      <c r="S77" s="159"/>
      <c r="T77" s="159"/>
      <c r="U77" s="166"/>
      <c r="V77" s="122"/>
      <c r="W77" s="139"/>
      <c r="X77" s="152"/>
      <c r="Y77" s="577" t="str">
        <f>B77</f>
        <v>Bracknell Forest</v>
      </c>
      <c r="Z77" s="581" t="str">
        <f>IF(Year1_Bracknell_Forest Year1_LAC_Remanded="","",Year1_Bracknell_Forest Year1_LAC_Remanded)</f>
        <v/>
      </c>
      <c r="AA77" s="372" t="str">
        <f>IF(Year2_Bracknell_Forest Year2_LAC_Remanded="","",Year2_Bracknell_Forest Year2_LAC_Remanded)</f>
        <v/>
      </c>
      <c r="AB77" s="372" t="str">
        <f>IF(Year3_Bracknell_Forest Year3_LAC_Remanded="","",Year3_Bracknell_Forest Year3_LAC_Remanded)</f>
        <v/>
      </c>
      <c r="AC77" s="372" t="str">
        <f>IF(Year4_Bracknell_Forest Year4_LAC_Remanded="","",Year4_Bracknell_Forest Year4_LAC_Remanded)</f>
        <v>x</v>
      </c>
      <c r="AD77" s="577">
        <f>IF(Year5_Bracknell_Forest Year5_LAC_Remanded="","",Year5_Bracknell_Forest Year5_LAC_Remanded)</f>
        <v>0</v>
      </c>
      <c r="AE77" s="381"/>
      <c r="AF77" s="382"/>
      <c r="AG77" s="383"/>
      <c r="AH77" s="383"/>
      <c r="AI77" s="383"/>
      <c r="AJ77" s="596"/>
      <c r="AK77" s="161"/>
    </row>
    <row r="78" spans="1:69" s="87" customFormat="1" ht="12.75" customHeight="1" x14ac:dyDescent="0.2">
      <c r="A78" s="488">
        <f>VLOOKUP(B78,Sheet1!$AQ$4:$AR$25,2,FALSE)</f>
        <v>0</v>
      </c>
      <c r="B78" s="93" t="str">
        <f>B11</f>
        <v>Brighton &amp; Hove</v>
      </c>
      <c r="C78" s="85"/>
      <c r="D78" s="162" t="e">
        <f>IF(AND(ISNUMBER(Z78),ISNUMBER(D11)),Z78/D11,NA())</f>
        <v>#N/A</v>
      </c>
      <c r="E78" s="162" t="e">
        <f>IF(AND(ISNUMBER(AA78),ISNUMBER(E11)),AA78/E11,NA())</f>
        <v>#N/A</v>
      </c>
      <c r="F78" s="162" t="e">
        <f>IF(AND(ISNUMBER(AB78),ISNUMBER(F11)),AB78/F11,NA())</f>
        <v>#N/A</v>
      </c>
      <c r="G78" s="162" t="e">
        <f>IF(AND(ISNUMBER(AC78),ISNUMBER(G11)),AC78/G11,NA())</f>
        <v>#N/A</v>
      </c>
      <c r="H78" s="164" t="e">
        <f>IF(AND(ISNUMBER(AD78),ISNUMBER(H11)),AD78/H11,NA())</f>
        <v>#N/A</v>
      </c>
      <c r="I78" s="96"/>
      <c r="J78" s="96"/>
      <c r="K78" s="166"/>
      <c r="L78" s="166"/>
      <c r="M78" s="166"/>
      <c r="N78" s="166"/>
      <c r="O78" s="166"/>
      <c r="P78" s="166"/>
      <c r="Q78" s="166"/>
      <c r="R78" s="167"/>
      <c r="S78" s="159"/>
      <c r="T78" s="159"/>
      <c r="U78" s="166"/>
      <c r="V78" s="122"/>
      <c r="W78" s="139"/>
      <c r="X78" s="152"/>
      <c r="Y78" s="577" t="str">
        <f t="shared" ref="Y78:Y98" si="24">B78</f>
        <v>Brighton &amp; Hove</v>
      </c>
      <c r="Z78" s="581" t="str">
        <f>IF(Year1_Brighton_Hove Year1_LAC_Remanded="","",Year1_Brighton_Hove Year1_LAC_Remanded)</f>
        <v/>
      </c>
      <c r="AA78" s="372" t="str">
        <f>IF(Year2_Brighton_Hove Year2_LAC_Remanded="","",Year2_Brighton_Hove Year2_LAC_Remanded)</f>
        <v/>
      </c>
      <c r="AB78" s="372" t="str">
        <f>IF(Year3_Brighton_Hove Year3_LAC_Remanded="","",Year3_Brighton_Hove Year3_LAC_Remanded)</f>
        <v/>
      </c>
      <c r="AC78" s="372" t="str">
        <f>IF(Year4_Brighton_Hove Year4_LAC_Remanded="","",Year4_Brighton_Hove Year4_LAC_Remanded)</f>
        <v>x</v>
      </c>
      <c r="AD78" s="577" t="str">
        <f>IF(Year5_Brighton_Hove Year5_LAC_Remanded="","",Year5_Brighton_Hove Year5_LAC_Remanded)</f>
        <v>c</v>
      </c>
      <c r="AE78" s="381"/>
      <c r="AF78" s="612"/>
      <c r="AG78" s="383"/>
      <c r="AH78" s="383"/>
      <c r="AI78" s="383"/>
      <c r="AJ78" s="596"/>
      <c r="AK78" s="160"/>
    </row>
    <row r="79" spans="1:69" s="87" customFormat="1" ht="12.75" customHeight="1" x14ac:dyDescent="0.2">
      <c r="A79" s="488">
        <f>VLOOKUP(B79,Sheet1!$AQ$4:$AR$25,2,FALSE)</f>
        <v>0</v>
      </c>
      <c r="B79" s="93" t="str">
        <f>B12</f>
        <v>Buckinghamshire</v>
      </c>
      <c r="C79" s="85"/>
      <c r="D79" s="162" t="e">
        <f>IF(AND(ISNUMBER(Z79),ISNUMBER(D12)),Z79/D12,NA())</f>
        <v>#N/A</v>
      </c>
      <c r="E79" s="162" t="e">
        <f>IF(AND(ISNUMBER(AA79),ISNUMBER(E12)),AA79/E12,NA())</f>
        <v>#N/A</v>
      </c>
      <c r="F79" s="162" t="e">
        <f>IF(AND(ISNUMBER(AB79),ISNUMBER(F12)),AB79/F12,NA())</f>
        <v>#N/A</v>
      </c>
      <c r="G79" s="162" t="e">
        <f>IF(AND(ISNUMBER(AC79),ISNUMBER(G12)),AC79/G12,NA())</f>
        <v>#N/A</v>
      </c>
      <c r="H79" s="164" t="e">
        <f>IF(AND(ISNUMBER(AD79),ISNUMBER(H12)),AD79/H12,NA())</f>
        <v>#N/A</v>
      </c>
      <c r="I79" s="96"/>
      <c r="J79" s="96"/>
      <c r="K79" s="166"/>
      <c r="L79" s="166"/>
      <c r="M79" s="166"/>
      <c r="N79" s="166"/>
      <c r="O79" s="166"/>
      <c r="P79" s="166"/>
      <c r="Q79" s="166"/>
      <c r="R79" s="167"/>
      <c r="S79" s="159"/>
      <c r="T79" s="159"/>
      <c r="U79" s="166"/>
      <c r="V79" s="122"/>
      <c r="W79" s="139"/>
      <c r="X79" s="152"/>
      <c r="Y79" s="577" t="str">
        <f t="shared" si="24"/>
        <v>Buckinghamshire</v>
      </c>
      <c r="Z79" s="581" t="str">
        <f>IF(Year1_Buckinghamshire Year1_LAC_Remanded="","",Year1_Buckinghamshire Year1_LAC_Remanded)</f>
        <v/>
      </c>
      <c r="AA79" s="372" t="str">
        <f>IF(Year2_Buckinghamshire Year2_LAC_Remanded="","",Year2_Buckinghamshire Year2_LAC_Remanded)</f>
        <v/>
      </c>
      <c r="AB79" s="372" t="str">
        <f>IF(Year3_Buckinghamshire Year3_LAC_Remanded="","",Year3_Buckinghamshire Year3_LAC_Remanded)</f>
        <v/>
      </c>
      <c r="AC79" s="372" t="str">
        <f>IF(Year4_Buckinghamshire Year4_LAC_Remanded="","",Year4_Buckinghamshire Year4_LAC_Remanded)</f>
        <v>x</v>
      </c>
      <c r="AD79" s="577" t="str">
        <f>IF(Year5_Buckinghamshire Year5_LAC_Remanded="","",Year5_Buckinghamshire Year5_LAC_Remanded)</f>
        <v>c</v>
      </c>
      <c r="AE79" s="381"/>
      <c r="AF79" s="612"/>
      <c r="AG79" s="383"/>
      <c r="AH79" s="383"/>
      <c r="AI79" s="383"/>
      <c r="AJ79" s="596"/>
      <c r="AK79" s="161"/>
    </row>
    <row r="80" spans="1:69" s="87" customFormat="1" ht="12.75" customHeight="1" x14ac:dyDescent="0.2">
      <c r="A80" s="488">
        <f>VLOOKUP(B80,Sheet1!$AQ$4:$AR$25,2,FALSE)</f>
        <v>0</v>
      </c>
      <c r="B80" s="93" t="str">
        <f>B13</f>
        <v>East Sussex</v>
      </c>
      <c r="C80" s="85"/>
      <c r="D80" s="162" t="e">
        <f>IF(AND(ISNUMBER(Z80),ISNUMBER(D13)),Z80/D13,NA())</f>
        <v>#N/A</v>
      </c>
      <c r="E80" s="162" t="e">
        <f>IF(AND(ISNUMBER(AA80),ISNUMBER(E13)),AA80/E13,NA())</f>
        <v>#N/A</v>
      </c>
      <c r="F80" s="162" t="e">
        <f>IF(AND(ISNUMBER(AB80),ISNUMBER(F13)),AB80/F13,NA())</f>
        <v>#N/A</v>
      </c>
      <c r="G80" s="162" t="e">
        <f>IF(AND(ISNUMBER(AC80),ISNUMBER(G13)),AC80/G13,NA())</f>
        <v>#N/A</v>
      </c>
      <c r="H80" s="164" t="e">
        <f>IF(AND(ISNUMBER(AD80),ISNUMBER(H13)),AD80/H13,NA())</f>
        <v>#N/A</v>
      </c>
      <c r="I80" s="96"/>
      <c r="J80" s="96"/>
      <c r="K80" s="166"/>
      <c r="L80" s="166"/>
      <c r="M80" s="166"/>
      <c r="N80" s="166"/>
      <c r="O80" s="166"/>
      <c r="P80" s="166"/>
      <c r="Q80" s="166"/>
      <c r="R80" s="167"/>
      <c r="S80" s="159"/>
      <c r="T80" s="159"/>
      <c r="U80" s="166"/>
      <c r="V80" s="122"/>
      <c r="W80" s="139"/>
      <c r="X80" s="152"/>
      <c r="Y80" s="577" t="str">
        <f t="shared" si="24"/>
        <v>East Sussex</v>
      </c>
      <c r="Z80" s="581" t="str">
        <f>IF(Year1_East_Sussex Year1_LAC_Remanded="","",Year1_East_Sussex Year1_LAC_Remanded)</f>
        <v/>
      </c>
      <c r="AA80" s="372" t="str">
        <f>IF(Year2_East_Sussex Year2_LAC_Remanded="","",Year2_East_Sussex Year2_LAC_Remanded)</f>
        <v/>
      </c>
      <c r="AB80" s="372" t="str">
        <f>IF(Year3_East_Sussex Year3_LAC_Remanded="","",Year3_East_Sussex Year3_LAC_Remanded)</f>
        <v/>
      </c>
      <c r="AC80" s="372" t="str">
        <f>IF(Year4_East_Sussex Year4_LAC_Remanded="","",Year4_East_Sussex Year4_LAC_Remanded)</f>
        <v>x</v>
      </c>
      <c r="AD80" s="577" t="str">
        <f>IF(Year5_East_Sussex Year5_LAC_Remanded="","",Year5_East_Sussex Year5_LAC_Remanded)</f>
        <v>c</v>
      </c>
      <c r="AE80" s="381"/>
      <c r="AF80" s="612"/>
      <c r="AG80" s="383"/>
      <c r="AH80" s="383"/>
      <c r="AI80" s="383"/>
      <c r="AJ80" s="596"/>
      <c r="AK80" s="160"/>
    </row>
    <row r="81" spans="1:45" s="87" customFormat="1" ht="12.75" customHeight="1" x14ac:dyDescent="0.2">
      <c r="A81" s="488">
        <f>VLOOKUP(B81,Sheet1!$AQ$4:$AR$25,2,FALSE)</f>
        <v>0</v>
      </c>
      <c r="B81" s="93" t="str">
        <f>B14</f>
        <v>Hampshire</v>
      </c>
      <c r="C81" s="85"/>
      <c r="D81" s="162" t="e">
        <f>IF(AND(ISNUMBER(Z81),ISNUMBER(D14)),Z81/D14,NA())</f>
        <v>#N/A</v>
      </c>
      <c r="E81" s="162" t="e">
        <f>IF(AND(ISNUMBER(AA81),ISNUMBER(E14)),AA81/E14,NA())</f>
        <v>#N/A</v>
      </c>
      <c r="F81" s="162" t="e">
        <f>IF(AND(ISNUMBER(AB81),ISNUMBER(F14)),AB81/F14,NA())</f>
        <v>#N/A</v>
      </c>
      <c r="G81" s="162">
        <f>IF(AND(ISNUMBER(AC81),ISNUMBER(G14)),AC81/G14,NA())</f>
        <v>1.8404907975460124E-2</v>
      </c>
      <c r="H81" s="164">
        <f>IF(AND(ISNUMBER(AD81),ISNUMBER(H14)),AD81/H14,NA())</f>
        <v>1.8214936247723135E-2</v>
      </c>
      <c r="I81" s="96"/>
      <c r="J81" s="96"/>
      <c r="K81" s="166"/>
      <c r="L81" s="166"/>
      <c r="M81" s="166"/>
      <c r="N81" s="166"/>
      <c r="O81" s="166"/>
      <c r="P81" s="166"/>
      <c r="Q81" s="166"/>
      <c r="R81" s="167"/>
      <c r="S81" s="159"/>
      <c r="T81" s="159"/>
      <c r="U81" s="166"/>
      <c r="V81" s="122"/>
      <c r="W81" s="139"/>
      <c r="X81" s="152"/>
      <c r="Y81" s="577" t="str">
        <f t="shared" si="24"/>
        <v>Hampshire</v>
      </c>
      <c r="Z81" s="581" t="str">
        <f>IF(Year1_Hampshire Year1_LAC_Remanded="","",Year1_Hampshire Year1_LAC_Remanded)</f>
        <v/>
      </c>
      <c r="AA81" s="372" t="str">
        <f>IF(Year2_Hampshire Year2_LAC_Remanded="","",Year2_Hampshire Year2_LAC_Remanded)</f>
        <v/>
      </c>
      <c r="AB81" s="372" t="str">
        <f>IF(Year3_Hampshire Year3_LAC_Remanded="","",Year3_Hampshire Year3_LAC_Remanded)</f>
        <v/>
      </c>
      <c r="AC81" s="372">
        <f>IF(Year4_Hampshire Year4_LAC_Remanded="","",Year4_Hampshire Year4_LAC_Remanded)</f>
        <v>12</v>
      </c>
      <c r="AD81" s="577">
        <f>IF(Year5_Hampshire Year5_LAC_Remanded="","",Year5_Hampshire Year5_LAC_Remanded)</f>
        <v>10</v>
      </c>
      <c r="AE81" s="381"/>
      <c r="AF81" s="612"/>
      <c r="AG81" s="383"/>
      <c r="AH81" s="383"/>
      <c r="AI81" s="383"/>
      <c r="AJ81" s="596"/>
      <c r="AK81" s="161"/>
    </row>
    <row r="82" spans="1:45" s="87" customFormat="1" ht="12.75" customHeight="1" x14ac:dyDescent="0.2">
      <c r="A82" s="488">
        <f>VLOOKUP(B82,Sheet1!$AQ$4:$AR$25,2,FALSE)</f>
        <v>0</v>
      </c>
      <c r="B82" s="93" t="str">
        <f>B15</f>
        <v>Isle of Wight</v>
      </c>
      <c r="C82" s="85"/>
      <c r="D82" s="162" t="e">
        <f>IF(AND(ISNUMBER(Z82),ISNUMBER(D15)),Z82/D15,NA())</f>
        <v>#N/A</v>
      </c>
      <c r="E82" s="162" t="e">
        <f>IF(AND(ISNUMBER(AA82),ISNUMBER(E15)),AA82/E15,NA())</f>
        <v>#N/A</v>
      </c>
      <c r="F82" s="162" t="e">
        <f>IF(AND(ISNUMBER(AB82),ISNUMBER(F15)),AB82/F15,NA())</f>
        <v>#N/A</v>
      </c>
      <c r="G82" s="162" t="e">
        <f>IF(AND(ISNUMBER(AC82),ISNUMBER(G15)),AC82/G15,NA())</f>
        <v>#N/A</v>
      </c>
      <c r="H82" s="164" t="e">
        <f>IF(AND(ISNUMBER(AD82),ISNUMBER(H15)),AD82/H15,NA())</f>
        <v>#N/A</v>
      </c>
      <c r="I82" s="96"/>
      <c r="J82" s="96"/>
      <c r="K82" s="166"/>
      <c r="L82" s="166"/>
      <c r="M82" s="166"/>
      <c r="N82" s="166"/>
      <c r="O82" s="166"/>
      <c r="P82" s="166"/>
      <c r="Q82" s="166"/>
      <c r="R82" s="167"/>
      <c r="S82" s="159"/>
      <c r="T82" s="159"/>
      <c r="U82" s="166"/>
      <c r="V82" s="122"/>
      <c r="W82" s="139"/>
      <c r="X82" s="152"/>
      <c r="Y82" s="577" t="str">
        <f t="shared" si="24"/>
        <v>Isle of Wight</v>
      </c>
      <c r="Z82" s="581" t="str">
        <f>IF(Year1_Isle_of_Wight Year1_LAC_Remanded="","",Year1_Isle_of_Wight Year1_LAC_Remanded)</f>
        <v/>
      </c>
      <c r="AA82" s="372" t="str">
        <f>IF(Year2_Isle_of_Wight Year2_LAC_Remanded="","",Year2_Isle_of_Wight Year2_LAC_Remanded)</f>
        <v/>
      </c>
      <c r="AB82" s="372" t="str">
        <f>IF(Year3_Isle_of_Wight Year3_LAC_Remanded="","",Year3_Isle_of_Wight Year3_LAC_Remanded)</f>
        <v/>
      </c>
      <c r="AC82" s="372" t="str">
        <f>IF(Year4_Isle_of_Wight Year4_LAC_Remanded="","",Year4_Isle_of_Wight Year4_LAC_Remanded)</f>
        <v>x</v>
      </c>
      <c r="AD82" s="577" t="str">
        <f>IF(Year5_Isle_of_Wight Year5_LAC_Remanded="","",Year5_Isle_of_Wight Year5_LAC_Remanded)</f>
        <v>c</v>
      </c>
      <c r="AE82" s="381"/>
      <c r="AF82" s="612"/>
      <c r="AG82" s="383"/>
      <c r="AH82" s="383"/>
      <c r="AI82" s="383"/>
      <c r="AJ82" s="596"/>
      <c r="AK82" s="160"/>
      <c r="AS82" s="87" t="s">
        <v>102</v>
      </c>
    </row>
    <row r="83" spans="1:45" s="87" customFormat="1" ht="12.75" customHeight="1" x14ac:dyDescent="0.2">
      <c r="A83" s="488">
        <f>VLOOKUP(B83,Sheet1!$AQ$4:$AR$25,2,FALSE)</f>
        <v>0</v>
      </c>
      <c r="B83" s="93" t="str">
        <f>B16</f>
        <v>Kent</v>
      </c>
      <c r="C83" s="85"/>
      <c r="D83" s="162" t="e">
        <f>IF(AND(ISNUMBER(Z83),ISNUMBER(D16)),Z83/D16,NA())</f>
        <v>#N/A</v>
      </c>
      <c r="E83" s="162" t="e">
        <f>IF(AND(ISNUMBER(AA83),ISNUMBER(E16)),AA83/E16,NA())</f>
        <v>#N/A</v>
      </c>
      <c r="F83" s="162" t="e">
        <f>IF(AND(ISNUMBER(AB83),ISNUMBER(F16)),AB83/F16,NA())</f>
        <v>#N/A</v>
      </c>
      <c r="G83" s="162" t="e">
        <f>IF(AND(ISNUMBER(AC83),ISNUMBER(G16)),AC83/G16,NA())</f>
        <v>#N/A</v>
      </c>
      <c r="H83" s="164" t="e">
        <f>IF(AND(ISNUMBER(AD83),ISNUMBER(H16)),AD83/H16,NA())</f>
        <v>#N/A</v>
      </c>
      <c r="I83" s="96"/>
      <c r="J83" s="96"/>
      <c r="K83" s="166"/>
      <c r="L83" s="166"/>
      <c r="M83" s="166"/>
      <c r="N83" s="166"/>
      <c r="O83" s="166"/>
      <c r="P83" s="166"/>
      <c r="Q83" s="166"/>
      <c r="R83" s="167"/>
      <c r="S83" s="159"/>
      <c r="T83" s="159"/>
      <c r="U83" s="166"/>
      <c r="V83" s="122"/>
      <c r="W83" s="139"/>
      <c r="X83" s="152"/>
      <c r="Y83" s="577" t="str">
        <f t="shared" si="24"/>
        <v>Kent</v>
      </c>
      <c r="Z83" s="581" t="str">
        <f>IF(Year1_Kent Year1_LAC_Remanded="","",Year1_Kent Year1_LAC_Remanded)</f>
        <v/>
      </c>
      <c r="AA83" s="372" t="str">
        <f>IF(Year2_Kent Year2_LAC_Remanded="","",Year2_Kent Year2_LAC_Remanded)</f>
        <v/>
      </c>
      <c r="AB83" s="372" t="str">
        <f>IF(Year3_Kent Year3_LAC_Remanded="","",Year3_Kent Year3_LAC_Remanded)</f>
        <v/>
      </c>
      <c r="AC83" s="372" t="str">
        <f>IF(Year4_Kent Year4_LAC_Remanded="","",Year4_Kent Year4_LAC_Remanded)</f>
        <v>x</v>
      </c>
      <c r="AD83" s="577" t="str">
        <f>IF(Year5_Kent Year5_LAC_Remanded="","",Year5_Kent Year5_LAC_Remanded)</f>
        <v>c</v>
      </c>
      <c r="AE83" s="381"/>
      <c r="AF83" s="382"/>
      <c r="AG83" s="383"/>
      <c r="AH83" s="383"/>
      <c r="AI83" s="383"/>
      <c r="AJ83" s="596"/>
      <c r="AK83" s="161"/>
    </row>
    <row r="84" spans="1:45" s="87" customFormat="1" ht="12.75" customHeight="1" x14ac:dyDescent="0.2">
      <c r="A84" s="488">
        <f>VLOOKUP(B84,Sheet1!$AQ$4:$AR$25,2,FALSE)</f>
        <v>0</v>
      </c>
      <c r="B84" s="93" t="str">
        <f>B17</f>
        <v>Medway</v>
      </c>
      <c r="C84" s="85"/>
      <c r="D84" s="162" t="e">
        <f>IF(AND(ISNUMBER(Z84),ISNUMBER(D17)),Z84/D17,NA())</f>
        <v>#N/A</v>
      </c>
      <c r="E84" s="162" t="e">
        <f>IF(AND(ISNUMBER(AA84),ISNUMBER(E17)),AA84/E17,NA())</f>
        <v>#N/A</v>
      </c>
      <c r="F84" s="162" t="e">
        <f>IF(AND(ISNUMBER(AB84),ISNUMBER(F17)),AB84/F17,NA())</f>
        <v>#N/A</v>
      </c>
      <c r="G84" s="162" t="e">
        <f>IF(AND(ISNUMBER(AC84),ISNUMBER(G17)),AC84/G17,NA())</f>
        <v>#N/A</v>
      </c>
      <c r="H84" s="164" t="e">
        <f>IF(AND(ISNUMBER(AD84),ISNUMBER(H17)),AD84/H17,NA())</f>
        <v>#N/A</v>
      </c>
      <c r="I84" s="96"/>
      <c r="J84" s="96"/>
      <c r="K84" s="166"/>
      <c r="L84" s="166"/>
      <c r="M84" s="166"/>
      <c r="N84" s="166"/>
      <c r="O84" s="166"/>
      <c r="P84" s="166"/>
      <c r="Q84" s="166"/>
      <c r="R84" s="167"/>
      <c r="S84" s="159"/>
      <c r="T84" s="159"/>
      <c r="U84" s="166"/>
      <c r="V84" s="122"/>
      <c r="W84" s="139"/>
      <c r="X84" s="152"/>
      <c r="Y84" s="577" t="str">
        <f t="shared" si="24"/>
        <v>Medway</v>
      </c>
      <c r="Z84" s="581" t="str">
        <f>IF(Year1_Medway Year1_LAC_Remanded="","",Year1_Medway Year1_LAC_Remanded)</f>
        <v/>
      </c>
      <c r="AA84" s="372" t="str">
        <f>IF(Year2_Medway Year2_LAC_Remanded="","",Year2_Medway Year2_LAC_Remanded)</f>
        <v/>
      </c>
      <c r="AB84" s="372" t="str">
        <f>IF(Year3_Medway Year3_LAC_Remanded="","",Year3_Medway Year3_LAC_Remanded)</f>
        <v/>
      </c>
      <c r="AC84" s="372" t="str">
        <f>IF(Year4_Medway Year4_LAC_Remanded="","",Year4_Medway Year4_LAC_Remanded)</f>
        <v>x</v>
      </c>
      <c r="AD84" s="577" t="str">
        <f>IF(Year5_Medway Year5_LAC_Remanded="","",Year5_Medway Year5_LAC_Remanded)</f>
        <v>c</v>
      </c>
      <c r="AE84" s="381"/>
      <c r="AF84" s="382"/>
      <c r="AG84" s="383"/>
      <c r="AH84" s="383"/>
      <c r="AI84" s="383"/>
      <c r="AJ84" s="596"/>
      <c r="AK84" s="160"/>
    </row>
    <row r="85" spans="1:45" s="87" customFormat="1" ht="12.75" customHeight="1" x14ac:dyDescent="0.2">
      <c r="A85" s="488">
        <f>VLOOKUP(B85,Sheet1!$AQ$4:$AR$25,2,FALSE)</f>
        <v>0</v>
      </c>
      <c r="B85" s="93" t="str">
        <f>B18</f>
        <v>Milton Keynes</v>
      </c>
      <c r="C85" s="85"/>
      <c r="D85" s="162" t="e">
        <f>IF(AND(ISNUMBER(Z85),ISNUMBER(D18)),Z85/D18,NA())</f>
        <v>#N/A</v>
      </c>
      <c r="E85" s="162" t="e">
        <f>IF(AND(ISNUMBER(AA85),ISNUMBER(E18)),AA85/E18,NA())</f>
        <v>#N/A</v>
      </c>
      <c r="F85" s="162" t="e">
        <f>IF(AND(ISNUMBER(AB85),ISNUMBER(F18)),AB85/F18,NA())</f>
        <v>#N/A</v>
      </c>
      <c r="G85" s="162" t="e">
        <f>IF(AND(ISNUMBER(AC85),ISNUMBER(G18)),AC85/G18,NA())</f>
        <v>#N/A</v>
      </c>
      <c r="H85" s="164" t="e">
        <f>IF(AND(ISNUMBER(AD85),ISNUMBER(H18)),AD85/H18,NA())</f>
        <v>#N/A</v>
      </c>
      <c r="I85" s="96"/>
      <c r="J85" s="96"/>
      <c r="K85" s="166"/>
      <c r="L85" s="166"/>
      <c r="M85" s="166"/>
      <c r="N85" s="166"/>
      <c r="O85" s="166"/>
      <c r="P85" s="166"/>
      <c r="Q85" s="166"/>
      <c r="R85" s="167"/>
      <c r="S85" s="159"/>
      <c r="T85" s="159"/>
      <c r="U85" s="166"/>
      <c r="V85" s="122"/>
      <c r="W85" s="139"/>
      <c r="X85" s="152"/>
      <c r="Y85" s="577" t="str">
        <f t="shared" si="24"/>
        <v>Milton Keynes</v>
      </c>
      <c r="Z85" s="581" t="str">
        <f>IF(Year1_Milton_Keynes Year1_LAC_Remanded="","",Year1_Milton_Keynes Year1_LAC_Remanded)</f>
        <v/>
      </c>
      <c r="AA85" s="372" t="str">
        <f>IF(Year2_Milton_Keynes Year2_LAC_Remanded="","",Year2_Milton_Keynes Year2_LAC_Remanded)</f>
        <v/>
      </c>
      <c r="AB85" s="372" t="str">
        <f>IF(Year3_Milton_Keynes Year3_LAC_Remanded="","",Year3_Milton_Keynes Year3_LAC_Remanded)</f>
        <v/>
      </c>
      <c r="AC85" s="372" t="str">
        <f>IF(Year4_Milton_Keynes Year4_LAC_Remanded="","",Year4_Milton_Keynes Year4_LAC_Remanded)</f>
        <v>x</v>
      </c>
      <c r="AD85" s="577" t="str">
        <f>IF(Year5_Milton_Keynes Year5_LAC_Remanded="","",Year5_Milton_Keynes Year5_LAC_Remanded)</f>
        <v>c</v>
      </c>
      <c r="AE85" s="381"/>
      <c r="AF85" s="382"/>
      <c r="AG85" s="383"/>
      <c r="AH85" s="383"/>
      <c r="AI85" s="383"/>
      <c r="AJ85" s="596"/>
      <c r="AK85" s="161"/>
    </row>
    <row r="86" spans="1:45" s="87" customFormat="1" ht="12.75" customHeight="1" x14ac:dyDescent="0.2">
      <c r="A86" s="488">
        <f>VLOOKUP(B86,Sheet1!$AQ$4:$AR$25,2,FALSE)</f>
        <v>0</v>
      </c>
      <c r="B86" s="93" t="str">
        <f>B19</f>
        <v>Oxfordshire</v>
      </c>
      <c r="C86" s="85"/>
      <c r="D86" s="162" t="e">
        <f>IF(AND(ISNUMBER(Z86),ISNUMBER(D19)),Z86/D19,NA())</f>
        <v>#N/A</v>
      </c>
      <c r="E86" s="162" t="e">
        <f>IF(AND(ISNUMBER(AA86),ISNUMBER(E19)),AA86/E19,NA())</f>
        <v>#N/A</v>
      </c>
      <c r="F86" s="162" t="e">
        <f>IF(AND(ISNUMBER(AB86),ISNUMBER(F19)),AB86/F19,NA())</f>
        <v>#N/A</v>
      </c>
      <c r="G86" s="162" t="e">
        <f>IF(AND(ISNUMBER(AC86),ISNUMBER(G19)),AC86/G19,NA())</f>
        <v>#N/A</v>
      </c>
      <c r="H86" s="164" t="e">
        <f>IF(AND(ISNUMBER(AD86),ISNUMBER(H19)),AD86/H19,NA())</f>
        <v>#N/A</v>
      </c>
      <c r="I86" s="96"/>
      <c r="J86" s="96"/>
      <c r="K86" s="166"/>
      <c r="L86" s="166"/>
      <c r="M86" s="166"/>
      <c r="N86" s="166"/>
      <c r="O86" s="166"/>
      <c r="P86" s="166"/>
      <c r="Q86" s="166"/>
      <c r="R86" s="167"/>
      <c r="S86" s="159"/>
      <c r="T86" s="159"/>
      <c r="U86" s="166"/>
      <c r="V86" s="122"/>
      <c r="W86" s="139"/>
      <c r="X86" s="152"/>
      <c r="Y86" s="577" t="str">
        <f t="shared" si="24"/>
        <v>Oxfordshire</v>
      </c>
      <c r="Z86" s="581" t="str">
        <f>IF(Year1_Oxfordshire Year1_LAC_Remanded="","",Year1_Oxfordshire Year1_LAC_Remanded)</f>
        <v/>
      </c>
      <c r="AA86" s="372" t="str">
        <f>IF(Year2_Oxfordshire Year2_LAC_Remanded="","",Year2_Oxfordshire Year2_LAC_Remanded)</f>
        <v/>
      </c>
      <c r="AB86" s="372" t="str">
        <f>IF(Year3_Oxfordshire Year3_LAC_Remanded="","",Year3_Oxfordshire Year3_LAC_Remanded)</f>
        <v/>
      </c>
      <c r="AC86" s="372" t="str">
        <f>IF(Year4_Oxfordshire Year4_LAC_Remanded="","",Year4_Oxfordshire Year4_LAC_Remanded)</f>
        <v>x</v>
      </c>
      <c r="AD86" s="577" t="str">
        <f>IF(Year5_Oxfordshire Year5_LAC_Remanded="","",Year5_Oxfordshire Year5_LAC_Remanded)</f>
        <v>c</v>
      </c>
      <c r="AE86" s="381"/>
      <c r="AF86" s="382"/>
      <c r="AG86" s="383"/>
      <c r="AH86" s="383"/>
      <c r="AI86" s="383"/>
      <c r="AJ86" s="596"/>
      <c r="AK86" s="160"/>
    </row>
    <row r="87" spans="1:45" s="87" customFormat="1" ht="12.75" customHeight="1" x14ac:dyDescent="0.2">
      <c r="A87" s="488">
        <f>VLOOKUP(B87,Sheet1!$AQ$4:$AR$25,2,FALSE)</f>
        <v>0</v>
      </c>
      <c r="B87" s="93" t="str">
        <f>B20</f>
        <v>Portsmouth</v>
      </c>
      <c r="C87" s="85"/>
      <c r="D87" s="162" t="e">
        <f>IF(AND(ISNUMBER(Z87),ISNUMBER(D20)),Z87/D20,NA())</f>
        <v>#N/A</v>
      </c>
      <c r="E87" s="162" t="e">
        <f>IF(AND(ISNUMBER(AA87),ISNUMBER(E20)),AA87/E20,NA())</f>
        <v>#N/A</v>
      </c>
      <c r="F87" s="162" t="e">
        <f>IF(AND(ISNUMBER(AB87),ISNUMBER(F20)),AB87/F20,NA())</f>
        <v>#N/A</v>
      </c>
      <c r="G87" s="162" t="e">
        <f>IF(AND(ISNUMBER(AC87),ISNUMBER(G20)),AC87/G20,NA())</f>
        <v>#N/A</v>
      </c>
      <c r="H87" s="164" t="e">
        <f>IF(AND(ISNUMBER(AD87),ISNUMBER(H20)),AD87/H20,NA())</f>
        <v>#N/A</v>
      </c>
      <c r="I87" s="96"/>
      <c r="J87" s="96"/>
      <c r="K87" s="166"/>
      <c r="L87" s="166"/>
      <c r="M87" s="166"/>
      <c r="N87" s="166"/>
      <c r="O87" s="166"/>
      <c r="P87" s="166"/>
      <c r="Q87" s="166"/>
      <c r="R87" s="167"/>
      <c r="S87" s="159"/>
      <c r="T87" s="159"/>
      <c r="U87" s="166"/>
      <c r="V87" s="122"/>
      <c r="W87" s="139"/>
      <c r="X87" s="152"/>
      <c r="Y87" s="577" t="str">
        <f t="shared" si="24"/>
        <v>Portsmouth</v>
      </c>
      <c r="Z87" s="581" t="str">
        <f>IF(Year1_Portsmouth Year1_LAC_Remanded="","",Year1_Portsmouth Year1_LAC_Remanded)</f>
        <v/>
      </c>
      <c r="AA87" s="372" t="str">
        <f>IF(Year2_Portsmouth Year2_LAC_Remanded="","",Year2_Portsmouth Year2_LAC_Remanded)</f>
        <v/>
      </c>
      <c r="AB87" s="372" t="str">
        <f>IF(Year3_Portsmouth Year3_LAC_Remanded="","",Year3_Portsmouth Year3_LAC_Remanded)</f>
        <v/>
      </c>
      <c r="AC87" s="372" t="str">
        <f>IF(Year4_Portsmouth Year4_LAC_Remanded="","",Year4_Portsmouth Year4_LAC_Remanded)</f>
        <v>x</v>
      </c>
      <c r="AD87" s="577" t="str">
        <f>IF(Year5_Portsmouth Year5_LAC_Remanded="","",Year5_Portsmouth Year5_LAC_Remanded)</f>
        <v>c</v>
      </c>
      <c r="AE87" s="381"/>
      <c r="AF87" s="382"/>
      <c r="AG87" s="383"/>
      <c r="AH87" s="383"/>
      <c r="AI87" s="383"/>
      <c r="AJ87" s="596"/>
      <c r="AK87" s="161"/>
    </row>
    <row r="88" spans="1:45" s="87" customFormat="1" ht="12.75" customHeight="1" x14ac:dyDescent="0.2">
      <c r="A88" s="488">
        <f>VLOOKUP(B88,Sheet1!$AQ$4:$AR$25,2,FALSE)</f>
        <v>0</v>
      </c>
      <c r="B88" s="93" t="str">
        <f>B21</f>
        <v>Reading</v>
      </c>
      <c r="C88" s="85"/>
      <c r="D88" s="162" t="e">
        <f>IF(AND(ISNUMBER(Z88),ISNUMBER(D21)),Z88/D21,NA())</f>
        <v>#N/A</v>
      </c>
      <c r="E88" s="162" t="e">
        <f>IF(AND(ISNUMBER(AA88),ISNUMBER(E21)),AA88/E21,NA())</f>
        <v>#N/A</v>
      </c>
      <c r="F88" s="162" t="e">
        <f>IF(AND(ISNUMBER(AB88),ISNUMBER(F21)),AB88/F21,NA())</f>
        <v>#N/A</v>
      </c>
      <c r="G88" s="162" t="e">
        <f>IF(AND(ISNUMBER(AC88),ISNUMBER(G21)),AC88/G21,NA())</f>
        <v>#N/A</v>
      </c>
      <c r="H88" s="164" t="e">
        <f>IF(AND(ISNUMBER(AD88),ISNUMBER(H21)),AD88/H21,NA())</f>
        <v>#N/A</v>
      </c>
      <c r="I88" s="96"/>
      <c r="J88" s="96"/>
      <c r="K88" s="166"/>
      <c r="L88" s="166"/>
      <c r="M88" s="166"/>
      <c r="N88" s="166"/>
      <c r="O88" s="166"/>
      <c r="P88" s="166"/>
      <c r="Q88" s="166"/>
      <c r="R88" s="167"/>
      <c r="S88" s="159"/>
      <c r="T88" s="159"/>
      <c r="U88" s="166"/>
      <c r="V88" s="122"/>
      <c r="W88" s="139"/>
      <c r="X88" s="152"/>
      <c r="Y88" s="577" t="str">
        <f t="shared" si="24"/>
        <v>Reading</v>
      </c>
      <c r="Z88" s="581" t="str">
        <f>IF(Year1_Reading Year1_LAC_Remanded="","",Year1_Reading Year1_LAC_Remanded)</f>
        <v/>
      </c>
      <c r="AA88" s="372" t="str">
        <f>IF(Year2_Reading Year2_LAC_Remanded="","",Year2_Reading Year2_LAC_Remanded)</f>
        <v/>
      </c>
      <c r="AB88" s="372" t="str">
        <f>IF(Year3_Reading Year3_LAC_Remanded="","",Year3_Reading Year3_LAC_Remanded)</f>
        <v/>
      </c>
      <c r="AC88" s="372" t="str">
        <f>IF(Year4_Reading Year4_LAC_Remanded="","",Year4_Reading Year4_LAC_Remanded)</f>
        <v>x</v>
      </c>
      <c r="AD88" s="577" t="str">
        <f>IF(Year5_Reading Year5_LAC_Remanded="","",Year5_Reading Year5_LAC_Remanded)</f>
        <v>c</v>
      </c>
      <c r="AE88" s="381"/>
      <c r="AF88" s="382"/>
      <c r="AG88" s="383"/>
      <c r="AH88" s="383"/>
      <c r="AI88" s="383"/>
      <c r="AJ88" s="596"/>
      <c r="AK88" s="160"/>
    </row>
    <row r="89" spans="1:45" s="87" customFormat="1" ht="12.75" customHeight="1" x14ac:dyDescent="0.2">
      <c r="A89" s="488">
        <f>VLOOKUP(B89,Sheet1!$AQ$4:$AR$25,2,FALSE)</f>
        <v>0</v>
      </c>
      <c r="B89" s="93" t="str">
        <f>B22</f>
        <v>Slough</v>
      </c>
      <c r="C89" s="85"/>
      <c r="D89" s="162" t="e">
        <f>IF(AND(ISNUMBER(Z89),ISNUMBER(D22)),Z89/D22,NA())</f>
        <v>#N/A</v>
      </c>
      <c r="E89" s="162" t="e">
        <f>IF(AND(ISNUMBER(AA89),ISNUMBER(E22)),AA89/E22,NA())</f>
        <v>#N/A</v>
      </c>
      <c r="F89" s="162" t="e">
        <f>IF(AND(ISNUMBER(AB89),ISNUMBER(F22)),AB89/F22,NA())</f>
        <v>#N/A</v>
      </c>
      <c r="G89" s="162">
        <f>IF(AND(ISNUMBER(AC89),ISNUMBER(G22)),AC89/G22,NA())</f>
        <v>5.9701492537313432E-2</v>
      </c>
      <c r="H89" s="164" t="e">
        <f>IF(AND(ISNUMBER(AD89),ISNUMBER(H22)),AD89/H22,NA())</f>
        <v>#N/A</v>
      </c>
      <c r="I89" s="96"/>
      <c r="J89" s="96"/>
      <c r="K89" s="166"/>
      <c r="L89" s="166"/>
      <c r="M89" s="166"/>
      <c r="N89" s="166"/>
      <c r="O89" s="166"/>
      <c r="P89" s="166"/>
      <c r="Q89" s="166"/>
      <c r="R89" s="167"/>
      <c r="S89" s="159"/>
      <c r="T89" s="159"/>
      <c r="U89" s="166"/>
      <c r="V89" s="122"/>
      <c r="W89" s="139"/>
      <c r="X89" s="152"/>
      <c r="Y89" s="577" t="str">
        <f t="shared" si="24"/>
        <v>Slough</v>
      </c>
      <c r="Z89" s="581" t="str">
        <f>IF(Year1_Slough Year1_LAC_Remanded="","",Year1_Slough Year1_LAC_Remanded)</f>
        <v/>
      </c>
      <c r="AA89" s="372" t="str">
        <f>IF(Year2_Slough Year2_LAC_Remanded="","",Year2_Slough Year2_LAC_Remanded)</f>
        <v/>
      </c>
      <c r="AB89" s="372" t="str">
        <f>IF(Year3_Slough Year3_LAC_Remanded="","",Year3_Slough Year3_LAC_Remanded)</f>
        <v/>
      </c>
      <c r="AC89" s="372">
        <f>IF(Year4_Slough Year4_LAC_Remanded="","",Year4_Slough Year4_LAC_Remanded)</f>
        <v>8</v>
      </c>
      <c r="AD89" s="577" t="str">
        <f>IF(Year5_Slough Year5_LAC_Remanded="","",Year5_Slough Year5_LAC_Remanded)</f>
        <v>c</v>
      </c>
      <c r="AE89" s="381"/>
      <c r="AF89" s="382"/>
      <c r="AG89" s="383"/>
      <c r="AH89" s="383"/>
      <c r="AI89" s="383"/>
      <c r="AJ89" s="596"/>
      <c r="AK89" s="161"/>
    </row>
    <row r="90" spans="1:45" s="87" customFormat="1" ht="12.75" customHeight="1" x14ac:dyDescent="0.2">
      <c r="A90" s="488">
        <f>VLOOKUP(B90,Sheet1!$AQ$4:$AR$25,2,FALSE)</f>
        <v>0</v>
      </c>
      <c r="B90" s="93" t="str">
        <f>B23</f>
        <v>Somerset</v>
      </c>
      <c r="C90" s="85"/>
      <c r="D90" s="162" t="e">
        <f>IF(AND(ISNUMBER(Z90),ISNUMBER(D23)),Z90/D23,NA())</f>
        <v>#N/A</v>
      </c>
      <c r="E90" s="162" t="e">
        <f>IF(AND(ISNUMBER(AA90),ISNUMBER(E23)),AA90/E23,NA())</f>
        <v>#N/A</v>
      </c>
      <c r="F90" s="162" t="e">
        <f>IF(AND(ISNUMBER(AB90),ISNUMBER(F23)),AB90/F23,NA())</f>
        <v>#N/A</v>
      </c>
      <c r="G90" s="162" t="e">
        <f>IF(AND(ISNUMBER(AC90),ISNUMBER(G23)),AC90/G23,NA())</f>
        <v>#N/A</v>
      </c>
      <c r="H90" s="164">
        <f>IF(AND(ISNUMBER(AD90),ISNUMBER(H23)),AD90/H23,NA())</f>
        <v>0</v>
      </c>
      <c r="I90" s="96"/>
      <c r="J90" s="96"/>
      <c r="K90" s="166"/>
      <c r="L90" s="166"/>
      <c r="M90" s="166"/>
      <c r="N90" s="166"/>
      <c r="O90" s="166"/>
      <c r="P90" s="166"/>
      <c r="Q90" s="166"/>
      <c r="R90" s="167"/>
      <c r="S90" s="159"/>
      <c r="T90" s="159"/>
      <c r="U90" s="166"/>
      <c r="V90" s="122"/>
      <c r="W90" s="139"/>
      <c r="X90" s="152"/>
      <c r="Y90" s="577" t="str">
        <f t="shared" si="24"/>
        <v>Somerset</v>
      </c>
      <c r="Z90" s="581" t="str">
        <f>IF(Year1_Somerset Year1_LAC_Remanded="","",Year1_Somerset Year1_LAC_Remanded)</f>
        <v/>
      </c>
      <c r="AA90" s="372" t="str">
        <f>IF(Year2_Somerset Year2_LAC_Remanded="","",Year2_Somerset Year2_LAC_Remanded)</f>
        <v/>
      </c>
      <c r="AB90" s="372" t="str">
        <f>IF(Year3_Somerset Year3_LAC_Remanded="","",Year3_Somerset Year3_LAC_Remanded)</f>
        <v/>
      </c>
      <c r="AC90" s="372" t="str">
        <f>IF(Year4_Somerset Year4_LAC_Remanded="","",Year4_Somerset Year4_LAC_Remanded)</f>
        <v>x</v>
      </c>
      <c r="AD90" s="577">
        <f>IF(Year5_Somerset Year5_LAC_Remanded="","",Year5_Somerset Year5_LAC_Remanded)</f>
        <v>0</v>
      </c>
      <c r="AE90" s="381"/>
      <c r="AF90" s="382"/>
      <c r="AG90" s="383"/>
      <c r="AH90" s="383"/>
      <c r="AI90" s="383"/>
      <c r="AJ90" s="596"/>
      <c r="AK90" s="160"/>
    </row>
    <row r="91" spans="1:45" s="87" customFormat="1" ht="12.75" customHeight="1" x14ac:dyDescent="0.2">
      <c r="A91" s="488">
        <f>VLOOKUP(B91,Sheet1!$AQ$4:$AR$25,2,FALSE)</f>
        <v>0</v>
      </c>
      <c r="B91" s="93" t="str">
        <f>B24</f>
        <v>Southampton</v>
      </c>
      <c r="C91" s="85"/>
      <c r="D91" s="162" t="e">
        <f>IF(AND(ISNUMBER(Z91),ISNUMBER(D24)),Z91/D24,NA())</f>
        <v>#N/A</v>
      </c>
      <c r="E91" s="162" t="e">
        <f>IF(AND(ISNUMBER(AA91),ISNUMBER(E24)),AA91/E24,NA())</f>
        <v>#N/A</v>
      </c>
      <c r="F91" s="162" t="e">
        <f>IF(AND(ISNUMBER(AB91),ISNUMBER(F24)),AB91/F24,NA())</f>
        <v>#N/A</v>
      </c>
      <c r="G91" s="162">
        <f>IF(AND(ISNUMBER(AC91),ISNUMBER(G24)),AC91/G24,NA())</f>
        <v>4.7058823529411764E-2</v>
      </c>
      <c r="H91" s="164" t="e">
        <f>IF(AND(ISNUMBER(AD91),ISNUMBER(H24)),AD91/H24,NA())</f>
        <v>#N/A</v>
      </c>
      <c r="I91" s="96"/>
      <c r="J91" s="96"/>
      <c r="K91" s="166"/>
      <c r="L91" s="166"/>
      <c r="M91" s="166"/>
      <c r="N91" s="166"/>
      <c r="O91" s="166"/>
      <c r="P91" s="166"/>
      <c r="Q91" s="166"/>
      <c r="R91" s="167"/>
      <c r="S91" s="159"/>
      <c r="T91" s="159"/>
      <c r="U91" s="166"/>
      <c r="V91" s="122"/>
      <c r="W91" s="139"/>
      <c r="X91" s="152"/>
      <c r="Y91" s="577" t="str">
        <f t="shared" si="24"/>
        <v>Southampton</v>
      </c>
      <c r="Z91" s="581" t="str">
        <f>IF(Year1_Southampton Year1_LAC_Remanded="","",Year1_Southampton Year1_LAC_Remanded)</f>
        <v/>
      </c>
      <c r="AA91" s="372" t="str">
        <f>IF(Year2_Southampton Year2_LAC_Remanded="","",Year2_Southampton Year2_LAC_Remanded)</f>
        <v/>
      </c>
      <c r="AB91" s="372" t="str">
        <f>IF(Year3_Southampton Year3_LAC_Remanded="","",Year3_Southampton Year3_LAC_Remanded)</f>
        <v/>
      </c>
      <c r="AC91" s="372">
        <f>IF(Year4_Southampton Year4_LAC_Remanded="","",Year4_Southampton Year4_LAC_Remanded)</f>
        <v>8</v>
      </c>
      <c r="AD91" s="577" t="str">
        <f>IF(Year5_Southampton Year5_LAC_Remanded="","",Year5_Southampton Year5_LAC_Remanded)</f>
        <v>c</v>
      </c>
      <c r="AE91" s="381"/>
      <c r="AF91" s="382"/>
      <c r="AG91" s="383"/>
      <c r="AH91" s="383"/>
      <c r="AI91" s="383"/>
      <c r="AJ91" s="596"/>
      <c r="AK91" s="161"/>
    </row>
    <row r="92" spans="1:45" s="87" customFormat="1" ht="12.75" customHeight="1" x14ac:dyDescent="0.2">
      <c r="A92" s="488">
        <f>VLOOKUP(B92,Sheet1!$AQ$4:$AR$25,2,FALSE)</f>
        <v>0</v>
      </c>
      <c r="B92" s="93" t="str">
        <f>B25</f>
        <v>Surrey</v>
      </c>
      <c r="C92" s="85"/>
      <c r="D92" s="162" t="e">
        <f>IF(AND(ISNUMBER(Z92),ISNUMBER(D25)),Z92/D25,NA())</f>
        <v>#N/A</v>
      </c>
      <c r="E92" s="162" t="e">
        <f>IF(AND(ISNUMBER(AA92),ISNUMBER(E25)),AA92/E25,NA())</f>
        <v>#N/A</v>
      </c>
      <c r="F92" s="162" t="e">
        <f>IF(AND(ISNUMBER(AB92),ISNUMBER(F25)),AB92/F25,NA())</f>
        <v>#N/A</v>
      </c>
      <c r="G92" s="162" t="e">
        <f>IF(AND(ISNUMBER(AC92),ISNUMBER(G25)),AC92/G25,NA())</f>
        <v>#N/A</v>
      </c>
      <c r="H92" s="164" t="e">
        <f>IF(AND(ISNUMBER(AD92),ISNUMBER(H25)),AD92/H25,NA())</f>
        <v>#N/A</v>
      </c>
      <c r="I92" s="96"/>
      <c r="J92" s="96"/>
      <c r="K92" s="166"/>
      <c r="L92" s="166"/>
      <c r="M92" s="166"/>
      <c r="N92" s="166"/>
      <c r="O92" s="166"/>
      <c r="P92" s="166"/>
      <c r="Q92" s="166"/>
      <c r="R92" s="167"/>
      <c r="S92" s="159"/>
      <c r="T92" s="159"/>
      <c r="U92" s="166"/>
      <c r="V92" s="122"/>
      <c r="W92" s="139"/>
      <c r="X92" s="152"/>
      <c r="Y92" s="577" t="str">
        <f t="shared" si="24"/>
        <v>Surrey</v>
      </c>
      <c r="Z92" s="581" t="str">
        <f>IF(Year1_Surrey Year1_LAC_Remanded="","",Year1_Surrey Year1_LAC_Remanded)</f>
        <v/>
      </c>
      <c r="AA92" s="372" t="str">
        <f>IF(Year2_Surrey Year2_LAC_Remanded="","",Year2_Surrey Year2_LAC_Remanded)</f>
        <v/>
      </c>
      <c r="AB92" s="372" t="str">
        <f>IF(Year3_Surrey Year3_LAC_Remanded="","",Year3_Surrey Year3_LAC_Remanded)</f>
        <v/>
      </c>
      <c r="AC92" s="372" t="str">
        <f>IF(Year4_Surrey Year4_LAC_Remanded="","",Year4_Surrey Year4_LAC_Remanded)</f>
        <v>x</v>
      </c>
      <c r="AD92" s="577" t="str">
        <f>IF(Year5_Surrey Year5_LAC_Remanded="","",Year5_Surrey Year5_LAC_Remanded)</f>
        <v>c</v>
      </c>
      <c r="AE92" s="381"/>
      <c r="AF92" s="382"/>
      <c r="AG92" s="383"/>
      <c r="AH92" s="383"/>
      <c r="AI92" s="383"/>
      <c r="AJ92" s="596"/>
      <c r="AK92" s="160"/>
    </row>
    <row r="93" spans="1:45" s="87" customFormat="1" ht="12.75" customHeight="1" x14ac:dyDescent="0.2">
      <c r="A93" s="488">
        <f>VLOOKUP(B93,Sheet1!$AQ$4:$AR$25,2,FALSE)</f>
        <v>0</v>
      </c>
      <c r="B93" s="93" t="str">
        <f>B26</f>
        <v>Swindon</v>
      </c>
      <c r="C93" s="85"/>
      <c r="D93" s="162" t="e">
        <f>IF(AND(ISNUMBER(Z93),ISNUMBER(D26)),Z93/D26,NA())</f>
        <v>#N/A</v>
      </c>
      <c r="E93" s="162" t="e">
        <f>IF(AND(ISNUMBER(AA93),ISNUMBER(E26)),AA93/E26,NA())</f>
        <v>#N/A</v>
      </c>
      <c r="F93" s="162" t="e">
        <f>IF(AND(ISNUMBER(AB93),ISNUMBER(F26)),AB93/F26,NA())</f>
        <v>#N/A</v>
      </c>
      <c r="G93" s="162" t="e">
        <f>IF(AND(ISNUMBER(AC93),ISNUMBER(G26)),AC93/G26,NA())</f>
        <v>#N/A</v>
      </c>
      <c r="H93" s="164" t="e">
        <f>IF(AND(ISNUMBER(AD93),ISNUMBER(H26)),AD93/H26,NA())</f>
        <v>#N/A</v>
      </c>
      <c r="I93" s="96"/>
      <c r="J93" s="96"/>
      <c r="K93" s="166"/>
      <c r="L93" s="166"/>
      <c r="M93" s="166"/>
      <c r="N93" s="166"/>
      <c r="O93" s="166"/>
      <c r="P93" s="166"/>
      <c r="Q93" s="166"/>
      <c r="R93" s="167"/>
      <c r="S93" s="159"/>
      <c r="T93" s="159"/>
      <c r="U93" s="166"/>
      <c r="V93" s="122"/>
      <c r="W93" s="139"/>
      <c r="X93" s="152"/>
      <c r="Y93" s="577" t="str">
        <f t="shared" si="24"/>
        <v>Swindon</v>
      </c>
      <c r="Z93" s="581" t="str">
        <f>IF(Year1_Swindon Year1_LAC_Remanded="","",Year1_Swindon Year1_LAC_Remanded)</f>
        <v/>
      </c>
      <c r="AA93" s="372" t="str">
        <f>IF(Year2_Swindon Year2_LAC_Remanded="","",Year2_Swindon Year2_LAC_Remanded)</f>
        <v/>
      </c>
      <c r="AB93" s="372" t="str">
        <f>IF(Year3_Swindon Year3_LAC_Remanded="","",Year3_Swindon Year3_LAC_Remanded)</f>
        <v/>
      </c>
      <c r="AC93" s="580" t="str">
        <f>IF(Year4_Swindon Year4_LAC_Remanded="","",Year4_Swindon Year4_LAC_Remanded)</f>
        <v>x</v>
      </c>
      <c r="AD93" s="582" t="str">
        <f>IF(Year5_Swindon Year5_LAC_Remanded="","",Year5_Swindon Year5_LAC_Remanded)</f>
        <v>c</v>
      </c>
      <c r="AE93" s="381"/>
      <c r="AF93" s="382"/>
      <c r="AG93" s="383"/>
      <c r="AH93" s="383"/>
      <c r="AI93" s="383"/>
      <c r="AJ93" s="596"/>
      <c r="AK93" s="161"/>
    </row>
    <row r="94" spans="1:45" s="87" customFormat="1" ht="12.75" customHeight="1" x14ac:dyDescent="0.2">
      <c r="A94" s="488">
        <f>VLOOKUP(B94,Sheet1!$AQ$4:$AR$25,2,FALSE)</f>
        <v>0</v>
      </c>
      <c r="B94" s="93" t="str">
        <f>B27</f>
        <v>Torbay</v>
      </c>
      <c r="C94" s="85"/>
      <c r="D94" s="162" t="e">
        <f>IF(AND(ISNUMBER(Z94),ISNUMBER(D27)),Z94/D27,NA())</f>
        <v>#N/A</v>
      </c>
      <c r="E94" s="162" t="e">
        <f>IF(AND(ISNUMBER(AA94),ISNUMBER(E27)),AA94/E27,NA())</f>
        <v>#N/A</v>
      </c>
      <c r="F94" s="162" t="e">
        <f>IF(AND(ISNUMBER(AB94),ISNUMBER(F27)),AB94/F27,NA())</f>
        <v>#N/A</v>
      </c>
      <c r="G94" s="162">
        <f>IF(AND(ISNUMBER(AC94),ISNUMBER(G27)),AC94/G27,NA())</f>
        <v>0</v>
      </c>
      <c r="H94" s="164" t="e">
        <f>IF(AND(ISNUMBER(AD94),ISNUMBER(H27)),AD94/H27,NA())</f>
        <v>#N/A</v>
      </c>
      <c r="I94" s="96"/>
      <c r="J94" s="96"/>
      <c r="K94" s="166"/>
      <c r="L94" s="166"/>
      <c r="M94" s="166"/>
      <c r="N94" s="166"/>
      <c r="O94" s="166"/>
      <c r="P94" s="166"/>
      <c r="Q94" s="166"/>
      <c r="R94" s="167"/>
      <c r="S94" s="159"/>
      <c r="T94" s="159"/>
      <c r="U94" s="166"/>
      <c r="V94" s="122"/>
      <c r="W94" s="139"/>
      <c r="X94" s="152"/>
      <c r="Y94" s="577" t="str">
        <f t="shared" si="24"/>
        <v>Torbay</v>
      </c>
      <c r="Z94" s="581" t="str">
        <f>IF(Year1_Torbay Year1_LAC_Remanded="","",Year1_Torbay Year1_LAC_Remanded)</f>
        <v/>
      </c>
      <c r="AA94" s="372" t="str">
        <f>IF(Year2_Torbay Year2_LAC_Remanded="","",Year2_Torbay Year2_LAC_Remanded)</f>
        <v/>
      </c>
      <c r="AB94" s="372" t="str">
        <f>IF(Year3_Torbay Year3_LAC_Remanded="","",Year3_Torbay Year3_LAC_Remanded)</f>
        <v/>
      </c>
      <c r="AC94" s="580">
        <f>IF(Year4_Torbay Year4_LAC_Remanded="","",Year4_Torbay Year4_LAC_Remanded)</f>
        <v>0</v>
      </c>
      <c r="AD94" s="582" t="str">
        <f>IF(Year5_Torbay Year5_LAC_Remanded="","",Year5_Torbay Year5_LAC_Remanded)</f>
        <v>c</v>
      </c>
      <c r="AE94" s="381"/>
      <c r="AF94" s="382"/>
      <c r="AG94" s="383"/>
      <c r="AH94" s="383"/>
      <c r="AI94" s="383"/>
      <c r="AJ94" s="596"/>
      <c r="AK94" s="160"/>
    </row>
    <row r="95" spans="1:45" s="87" customFormat="1" ht="12.75" customHeight="1" x14ac:dyDescent="0.2">
      <c r="A95" s="488">
        <f>VLOOKUP(B95,Sheet1!$AQ$4:$AR$25,2,FALSE)</f>
        <v>0</v>
      </c>
      <c r="B95" s="93" t="str">
        <f>B28</f>
        <v>West Berkshire</v>
      </c>
      <c r="C95" s="85"/>
      <c r="D95" s="162" t="e">
        <f>IF(AND(ISNUMBER(Z95),ISNUMBER(D28)),Z95/D28,NA())</f>
        <v>#N/A</v>
      </c>
      <c r="E95" s="162" t="e">
        <f>IF(AND(ISNUMBER(AA95),ISNUMBER(E28)),AA95/E28,NA())</f>
        <v>#N/A</v>
      </c>
      <c r="F95" s="162" t="e">
        <f>IF(AND(ISNUMBER(AB95),ISNUMBER(F28)),AB95/F28,NA())</f>
        <v>#N/A</v>
      </c>
      <c r="G95" s="162">
        <f>IF(AND(ISNUMBER(AC95),ISNUMBER(G28)),AC95/G28,NA())</f>
        <v>0</v>
      </c>
      <c r="H95" s="164" t="e">
        <f>IF(AND(ISNUMBER(AD95),ISNUMBER(H28)),AD95/H28,NA())</f>
        <v>#N/A</v>
      </c>
      <c r="I95" s="96"/>
      <c r="J95" s="96"/>
      <c r="K95" s="166"/>
      <c r="L95" s="166"/>
      <c r="M95" s="166"/>
      <c r="N95" s="166"/>
      <c r="O95" s="166"/>
      <c r="P95" s="166"/>
      <c r="Q95" s="166"/>
      <c r="R95" s="167"/>
      <c r="S95" s="159"/>
      <c r="T95" s="159"/>
      <c r="U95" s="166"/>
      <c r="V95" s="122"/>
      <c r="W95" s="139"/>
      <c r="X95" s="152"/>
      <c r="Y95" s="577" t="str">
        <f t="shared" si="24"/>
        <v>West Berkshire</v>
      </c>
      <c r="Z95" s="581" t="str">
        <f>IF(Year1_West_Berkshire Year1_LAC_Remanded="","",Year1_West_Berkshire Year1_LAC_Remanded)</f>
        <v/>
      </c>
      <c r="AA95" s="372" t="str">
        <f>IF(Year2_West_Berkshire Year2_LAC_Remanded="","",Year2_West_Berkshire Year2_LAC_Remanded)</f>
        <v/>
      </c>
      <c r="AB95" s="372" t="str">
        <f>IF(Year3_West_Berkshire Year3_LAC_Remanded="","",Year3_West_Berkshire Year3_LAC_Remanded)</f>
        <v/>
      </c>
      <c r="AC95" s="372">
        <f>IF(Year4_West_Berkshire Year4_LAC_Remanded="","",Year4_West_Berkshire Year4_LAC_Remanded)</f>
        <v>0</v>
      </c>
      <c r="AD95" s="577" t="str">
        <f>IF(Year5_West_Berkshire Year5_LAC_Remanded="","",Year5_West_Berkshire Year5_LAC_Remanded)</f>
        <v>c</v>
      </c>
      <c r="AE95" s="381"/>
      <c r="AF95" s="382"/>
      <c r="AG95" s="383"/>
      <c r="AH95" s="383"/>
      <c r="AI95" s="383"/>
      <c r="AJ95" s="596"/>
      <c r="AK95" s="161"/>
    </row>
    <row r="96" spans="1:45" s="87" customFormat="1" ht="12.75" customHeight="1" x14ac:dyDescent="0.2">
      <c r="A96" s="488">
        <f>VLOOKUP(B96,Sheet1!$AQ$4:$AR$25,2,FALSE)</f>
        <v>0</v>
      </c>
      <c r="B96" s="93" t="str">
        <f>B29</f>
        <v>West Sussex</v>
      </c>
      <c r="C96" s="85"/>
      <c r="D96" s="162" t="e">
        <f>IF(AND(ISNUMBER(Z96),ISNUMBER(D29)),Z96/D29,NA())</f>
        <v>#N/A</v>
      </c>
      <c r="E96" s="162" t="e">
        <f>IF(AND(ISNUMBER(AA96),ISNUMBER(E29)),AA96/E29,NA())</f>
        <v>#N/A</v>
      </c>
      <c r="F96" s="162" t="e">
        <f>IF(AND(ISNUMBER(AB96),ISNUMBER(F29)),AB96/F29,NA())</f>
        <v>#N/A</v>
      </c>
      <c r="G96" s="162" t="e">
        <f>IF(AND(ISNUMBER(AC96),ISNUMBER(G29)),AC96/G29,NA())</f>
        <v>#N/A</v>
      </c>
      <c r="H96" s="164" t="e">
        <f>IF(AND(ISNUMBER(AD96),ISNUMBER(H29)),AD96/H29,NA())</f>
        <v>#N/A</v>
      </c>
      <c r="I96" s="96"/>
      <c r="J96" s="96"/>
      <c r="K96" s="166"/>
      <c r="L96" s="166"/>
      <c r="M96" s="166"/>
      <c r="N96" s="166"/>
      <c r="O96" s="166"/>
      <c r="P96" s="166"/>
      <c r="Q96" s="166"/>
      <c r="R96" s="167"/>
      <c r="S96" s="159"/>
      <c r="T96" s="159"/>
      <c r="U96" s="166"/>
      <c r="V96" s="122"/>
      <c r="W96" s="139"/>
      <c r="X96" s="152"/>
      <c r="Y96" s="577" t="str">
        <f t="shared" si="24"/>
        <v>West Sussex</v>
      </c>
      <c r="Z96" s="581" t="str">
        <f>IF(Year1_West_Sussex Year1_LAC_Remanded="","",Year1_West_Sussex Year1_LAC_Remanded)</f>
        <v/>
      </c>
      <c r="AA96" s="372" t="str">
        <f>IF(Year2_West_Sussex Year2_LAC_Remanded="","",Year2_West_Sussex Year2_LAC_Remanded)</f>
        <v/>
      </c>
      <c r="AB96" s="372" t="str">
        <f>IF(Year3_West_Sussex Year3_LAC_Remanded="","",Year3_West_Sussex Year3_LAC_Remanded)</f>
        <v/>
      </c>
      <c r="AC96" s="372" t="str">
        <f>IF(Year4_West_Sussex Year4_LAC_Remanded="","",Year4_West_Sussex Year4_LAC_Remanded)</f>
        <v>x</v>
      </c>
      <c r="AD96" s="577" t="str">
        <f>IF(Year5_West_Sussex Year5_LAC_Remanded="","",Year5_West_Sussex Year5_LAC_Remanded)</f>
        <v>c</v>
      </c>
      <c r="AE96" s="381"/>
      <c r="AF96" s="382"/>
      <c r="AG96" s="383"/>
      <c r="AH96" s="383"/>
      <c r="AI96" s="383"/>
      <c r="AJ96" s="596"/>
      <c r="AK96" s="160"/>
    </row>
    <row r="97" spans="1:50" s="87" customFormat="1" ht="12.75" customHeight="1" x14ac:dyDescent="0.2">
      <c r="A97" s="488">
        <f>VLOOKUP(B97,Sheet1!$AQ$4:$AR$25,2,FALSE)</f>
        <v>0</v>
      </c>
      <c r="B97" s="93" t="str">
        <f>B30</f>
        <v>Windsor &amp; Maidenhead</v>
      </c>
      <c r="C97" s="85"/>
      <c r="D97" s="162" t="e">
        <f>IF(AND(ISNUMBER(Z97),ISNUMBER(D30)),Z97/D30,NA())</f>
        <v>#N/A</v>
      </c>
      <c r="E97" s="162" t="e">
        <f>IF(AND(ISNUMBER(AA97),ISNUMBER(E30)),AA97/E30,NA())</f>
        <v>#N/A</v>
      </c>
      <c r="F97" s="162" t="e">
        <f>IF(AND(ISNUMBER(AB97),ISNUMBER(F30)),AB97/F30,NA())</f>
        <v>#N/A</v>
      </c>
      <c r="G97" s="162">
        <f>IF(AND(ISNUMBER(AC97),ISNUMBER(G30)),AC97/G30,NA())</f>
        <v>0</v>
      </c>
      <c r="H97" s="164">
        <f>IF(AND(ISNUMBER(AD97),ISNUMBER(H30)),AD97/H30,NA())</f>
        <v>0</v>
      </c>
      <c r="I97" s="96"/>
      <c r="J97" s="96"/>
      <c r="K97" s="166"/>
      <c r="L97" s="166"/>
      <c r="M97" s="166"/>
      <c r="N97" s="166"/>
      <c r="O97" s="166"/>
      <c r="P97" s="166"/>
      <c r="Q97" s="166"/>
      <c r="R97" s="167"/>
      <c r="S97" s="159"/>
      <c r="T97" s="159"/>
      <c r="U97" s="166"/>
      <c r="V97" s="122"/>
      <c r="W97" s="139"/>
      <c r="X97" s="152"/>
      <c r="Y97" s="577" t="str">
        <f t="shared" si="24"/>
        <v>Windsor &amp; Maidenhead</v>
      </c>
      <c r="Z97" s="581" t="str">
        <f>IF(Year1_Windsor_Maidenhead Year1_LAC_Remanded="","",Year1_Windsor_Maidenhead Year1_LAC_Remanded)</f>
        <v/>
      </c>
      <c r="AA97" s="372" t="str">
        <f>IF(Year2_Windsor_Maidenhead Year2_LAC_Remanded="","",Year2_Windsor_Maidenhead Year2_LAC_Remanded)</f>
        <v/>
      </c>
      <c r="AB97" s="372" t="str">
        <f>IF(Year3_Windsor_Maidenhead Year3_LAC_Remanded="","",Year3_Windsor_Maidenhead Year3_LAC_Remanded)</f>
        <v/>
      </c>
      <c r="AC97" s="372">
        <f>IF(Year4_Windsor_Maidenhead Year4_LAC_Remanded="","",Year4_Windsor_Maidenhead Year4_LAC_Remanded)</f>
        <v>0</v>
      </c>
      <c r="AD97" s="577">
        <f>IF(Year5_Windsor_Maidenhead Year5_LAC_Remanded="","",Year5_Windsor_Maidenhead Year5_LAC_Remanded)</f>
        <v>0</v>
      </c>
      <c r="AE97" s="381"/>
      <c r="AF97" s="382"/>
      <c r="AG97" s="383"/>
      <c r="AH97" s="383"/>
      <c r="AI97" s="383"/>
      <c r="AJ97" s="596"/>
      <c r="AK97" s="161"/>
    </row>
    <row r="98" spans="1:50" s="87" customFormat="1" ht="12.75" customHeight="1" x14ac:dyDescent="0.2">
      <c r="A98" s="488">
        <f>VLOOKUP(B98,Sheet1!$AQ$4:$AR$25,2,FALSE)</f>
        <v>0</v>
      </c>
      <c r="B98" s="93" t="str">
        <f>B31</f>
        <v>Wokingham</v>
      </c>
      <c r="C98" s="85"/>
      <c r="D98" s="162" t="e">
        <f>IF(AND(ISNUMBER(Z98),ISNUMBER(D31)),Z98/D31,NA())</f>
        <v>#N/A</v>
      </c>
      <c r="E98" s="162" t="e">
        <f>IF(AND(ISNUMBER(AA98),ISNUMBER(E31)),AA98/E31,NA())</f>
        <v>#N/A</v>
      </c>
      <c r="F98" s="162" t="e">
        <f>IF(AND(ISNUMBER(AB98),ISNUMBER(F31)),AB98/F31,NA())</f>
        <v>#N/A</v>
      </c>
      <c r="G98" s="162" t="e">
        <f>IF(AND(ISNUMBER(AC98),ISNUMBER(G31)),AC98/G31,NA())</f>
        <v>#N/A</v>
      </c>
      <c r="H98" s="164">
        <f>IF(AND(ISNUMBER(AD98),ISNUMBER(H31)),AD98/H31,NA())</f>
        <v>0</v>
      </c>
      <c r="I98" s="96"/>
      <c r="J98" s="96"/>
      <c r="K98" s="166"/>
      <c r="L98" s="166"/>
      <c r="M98" s="166"/>
      <c r="N98" s="166"/>
      <c r="O98" s="166"/>
      <c r="P98" s="166"/>
      <c r="Q98" s="166"/>
      <c r="R98" s="167"/>
      <c r="S98" s="159"/>
      <c r="T98" s="159"/>
      <c r="U98" s="166"/>
      <c r="V98" s="122"/>
      <c r="W98" s="139"/>
      <c r="X98" s="152"/>
      <c r="Y98" s="577" t="str">
        <f t="shared" si="24"/>
        <v>Wokingham</v>
      </c>
      <c r="Z98" s="581" t="str">
        <f>IF(Year1_Wokingham Year1_LAC_Remanded="","",Year1_Wokingham Year1_LAC_Remanded)</f>
        <v/>
      </c>
      <c r="AA98" s="372" t="str">
        <f>IF(Year2_Wokingham Year2_LAC_Remanded="","",Year2_Wokingham Year2_LAC_Remanded)</f>
        <v/>
      </c>
      <c r="AB98" s="372" t="str">
        <f>IF(Year3_Wokingham Year3_LAC_Remanded="","",Year3_Wokingham Year3_LAC_Remanded)</f>
        <v/>
      </c>
      <c r="AC98" s="372" t="str">
        <f>IF(Year4_Wokingham Year4_LAC_Remanded="","",Year4_Wokingham Year4_LAC_Remanded)</f>
        <v>x</v>
      </c>
      <c r="AD98" s="577">
        <f>IF(Year5_Wokingham Year5_LAC_Remanded="","",Year5_Wokingham Year5_LAC_Remanded)</f>
        <v>0</v>
      </c>
      <c r="AE98" s="381"/>
      <c r="AF98" s="382"/>
      <c r="AG98" s="383"/>
      <c r="AH98" s="383"/>
      <c r="AI98" s="383"/>
      <c r="AJ98" s="596"/>
      <c r="AK98" s="160"/>
    </row>
    <row r="99" spans="1:50" s="87" customFormat="1" ht="12.75" customHeight="1" x14ac:dyDescent="0.2">
      <c r="A99" s="121"/>
      <c r="B99" s="129" t="str">
        <f>B32</f>
        <v>South East</v>
      </c>
      <c r="C99" s="85"/>
      <c r="D99" s="2014" t="e">
        <f>IF(AND(ISNUMBER(Z99),ISNUMBER(D32)),Z99/D32,NA())</f>
        <v>#N/A</v>
      </c>
      <c r="E99" s="2014" t="e">
        <f>IF(AND(ISNUMBER(AA99),ISNUMBER(E32)),AA99/E32,NA())</f>
        <v>#N/A</v>
      </c>
      <c r="F99" s="2014" t="e">
        <f>IF(AND(ISNUMBER(AB99),ISNUMBER(F32)),AB99/F32,NA())</f>
        <v>#N/A</v>
      </c>
      <c r="G99" s="163">
        <f>IF(AND(ISNUMBER(AC99),ISNUMBER(G32)),AC99/G32,NA())</f>
        <v>1.6055045871559634E-2</v>
      </c>
      <c r="H99" s="165">
        <f>IF(AND(ISNUMBER(AD99),ISNUMBER(H32)),AD99/H32,NA())</f>
        <v>1.3698630136986301E-2</v>
      </c>
      <c r="I99" s="96"/>
      <c r="J99" s="96"/>
      <c r="K99" s="168"/>
      <c r="L99" s="168"/>
      <c r="M99" s="168"/>
      <c r="N99" s="168"/>
      <c r="O99" s="168"/>
      <c r="P99" s="168"/>
      <c r="Q99" s="168"/>
      <c r="R99" s="169"/>
      <c r="S99" s="159"/>
      <c r="T99" s="159"/>
      <c r="U99" s="170"/>
      <c r="V99" s="122"/>
      <c r="W99" s="139"/>
      <c r="X99" s="152"/>
      <c r="Y99" s="577" t="str">
        <f>B99</f>
        <v>South East</v>
      </c>
      <c r="Z99" s="606" t="str">
        <f>IF(Year1_SouthEast Year1_LAC_Remanded="","",Year1_SouthEast Year1_LAC_Remanded)</f>
        <v/>
      </c>
      <c r="AA99" s="607" t="str">
        <f>IF(Year2_SouthEast Year2_LAC_Remanded="","",Year2_SouthEast Year2_LAC_Remanded)</f>
        <v/>
      </c>
      <c r="AB99" s="607" t="str">
        <f>IF(Year3_SouthEast Year3_LAC_Remanded="","",Year3_SouthEast Year3_LAC_Remanded)</f>
        <v/>
      </c>
      <c r="AC99" s="372">
        <f>IF(Year4_SouthEast Year4_LAC_Remanded="","",Year4_SouthEast Year4_LAC_Remanded)</f>
        <v>70</v>
      </c>
      <c r="AD99" s="577">
        <f>IF(Year5_SouthEast Year5_LAC_Remanded="","",Year5_SouthEast Year5_LAC_Remanded)</f>
        <v>60</v>
      </c>
      <c r="AE99" s="381"/>
      <c r="AF99" s="382"/>
      <c r="AG99" s="383"/>
      <c r="AH99" s="383"/>
      <c r="AI99" s="383"/>
      <c r="AJ99" s="596"/>
      <c r="AK99" s="161"/>
    </row>
    <row r="100" spans="1:50" s="87" customFormat="1" ht="12.75" customHeight="1" x14ac:dyDescent="0.2">
      <c r="A100" s="121"/>
      <c r="B100" s="329" t="str">
        <f>B33</f>
        <v>England</v>
      </c>
      <c r="C100" s="85"/>
      <c r="D100" s="351" t="e">
        <f>IF(AND(ISNUMBER(Z100),ISNUMBER(D33)),Z100/D33,NA())</f>
        <v>#N/A</v>
      </c>
      <c r="E100" s="351" t="e">
        <f>IF(AND(ISNUMBER(AA100),ISNUMBER(E33)),AA100/E33,NA())</f>
        <v>#N/A</v>
      </c>
      <c r="F100" s="351" t="e">
        <f>IF(AND(ISNUMBER(AB100),ISNUMBER(F33)),AB100/F33,NA())</f>
        <v>#N/A</v>
      </c>
      <c r="G100" s="351">
        <f>IF(AND(ISNUMBER(AC100),ISNUMBER(G33)),AC100/G33,NA())</f>
        <v>2.462121212121212E-2</v>
      </c>
      <c r="H100" s="352">
        <f>IF(AND(ISNUMBER(AD100),ISNUMBER(H33)),AD100/H33,NA())</f>
        <v>2.292541168873103E-2</v>
      </c>
      <c r="I100" s="96"/>
      <c r="J100" s="96"/>
      <c r="K100" s="168"/>
      <c r="L100" s="168"/>
      <c r="M100" s="168"/>
      <c r="N100" s="168"/>
      <c r="O100" s="168"/>
      <c r="P100" s="168"/>
      <c r="Q100" s="168"/>
      <c r="R100" s="169"/>
      <c r="S100" s="159"/>
      <c r="T100" s="159"/>
      <c r="U100" s="170"/>
      <c r="V100" s="122"/>
      <c r="W100" s="139"/>
      <c r="X100" s="152"/>
      <c r="Y100" s="577" t="str">
        <f t="shared" ref="Y100" si="25">B100</f>
        <v>England</v>
      </c>
      <c r="Z100" s="606" t="str">
        <f>IF(Year1_England Year1_LAC_Remanded="","",Year1_England Year1_LAC_Remanded)</f>
        <v/>
      </c>
      <c r="AA100" s="607" t="str">
        <f>IF(Year2_England Year2_LAC_Remanded="","",Year2_England Year2_LAC_Remanded)</f>
        <v/>
      </c>
      <c r="AB100" s="607" t="str">
        <f>IF(Year3_England Year3_LAC_Remanded="","",Year3_England Year3_LAC_Remanded)</f>
        <v/>
      </c>
      <c r="AC100" s="372">
        <f>IF(Year4_England Year4_LAC_Remanded="","",Year4_England Year4_LAC_Remanded)</f>
        <v>780</v>
      </c>
      <c r="AD100" s="577">
        <f>IF(Year5_England Year5_LAC_Remanded="","",Year5_England Year5_LAC_Remanded)</f>
        <v>710</v>
      </c>
      <c r="AE100" s="381"/>
      <c r="AF100" s="382"/>
      <c r="AG100" s="383"/>
      <c r="AH100" s="383"/>
      <c r="AI100" s="383"/>
      <c r="AJ100" s="596"/>
      <c r="AK100" s="160"/>
    </row>
    <row r="101" spans="1:50" s="87" customFormat="1" ht="7.5" customHeight="1" x14ac:dyDescent="0.2">
      <c r="A101" s="292"/>
      <c r="B101" s="96"/>
      <c r="C101" s="96"/>
      <c r="D101" s="96"/>
      <c r="E101" s="96"/>
      <c r="F101" s="96"/>
      <c r="G101" s="96"/>
      <c r="H101" s="96"/>
      <c r="I101" s="96"/>
      <c r="J101" s="96"/>
      <c r="K101" s="168"/>
      <c r="L101" s="168"/>
      <c r="M101" s="168"/>
      <c r="N101" s="168"/>
      <c r="O101" s="168"/>
      <c r="P101" s="168"/>
      <c r="Q101" s="168"/>
      <c r="R101" s="169"/>
      <c r="S101" s="159"/>
      <c r="T101" s="159"/>
      <c r="U101" s="170"/>
      <c r="V101" s="122"/>
      <c r="W101" s="139"/>
      <c r="X101" s="152"/>
      <c r="Y101" s="1392"/>
      <c r="Z101" s="1392"/>
      <c r="AA101" s="1392"/>
      <c r="AB101" s="1392"/>
      <c r="AC101" s="1413"/>
      <c r="AD101" s="1413"/>
      <c r="AE101" s="1042"/>
      <c r="AF101" s="202"/>
      <c r="AG101" s="202"/>
      <c r="AH101" s="202"/>
      <c r="AI101" s="190"/>
      <c r="AJ101" s="202"/>
      <c r="AK101" s="160"/>
    </row>
    <row r="102" spans="1:50" s="81" customFormat="1" ht="38.25" customHeight="1" x14ac:dyDescent="0.2">
      <c r="A102" s="217"/>
      <c r="B102" s="392"/>
      <c r="C102" s="392"/>
      <c r="D102" s="392"/>
      <c r="E102" s="392"/>
      <c r="F102" s="392"/>
      <c r="G102" s="392"/>
      <c r="H102" s="392"/>
      <c r="I102" s="392"/>
      <c r="J102" s="172"/>
      <c r="K102" s="172"/>
      <c r="L102" s="172"/>
      <c r="M102" s="172"/>
      <c r="N102" s="172"/>
      <c r="O102" s="172"/>
      <c r="P102" s="172"/>
      <c r="Q102" s="172"/>
      <c r="R102" s="136"/>
      <c r="S102" s="172"/>
      <c r="T102" s="172"/>
      <c r="U102" s="172"/>
      <c r="V102" s="117"/>
      <c r="W102" s="137"/>
      <c r="X102" s="150"/>
      <c r="Y102" s="1392"/>
      <c r="Z102" s="1392"/>
      <c r="AA102" s="1392"/>
      <c r="AB102" s="1392"/>
      <c r="AC102" s="1392"/>
      <c r="AD102" s="1413"/>
      <c r="AE102" s="1042"/>
      <c r="AF102" s="184"/>
      <c r="AG102" s="184"/>
      <c r="AH102" s="184"/>
      <c r="AJ102" s="184"/>
      <c r="AK102" s="161"/>
    </row>
    <row r="103" spans="1:50" s="81" customFormat="1" ht="39" customHeight="1" x14ac:dyDescent="0.2">
      <c r="A103" s="217"/>
      <c r="B103" s="392"/>
      <c r="C103" s="392"/>
      <c r="D103" s="392"/>
      <c r="E103" s="392"/>
      <c r="F103" s="392"/>
      <c r="G103" s="392"/>
      <c r="H103" s="392"/>
      <c r="I103" s="392"/>
      <c r="J103" s="172"/>
      <c r="K103" s="172"/>
      <c r="L103" s="172"/>
      <c r="M103" s="172"/>
      <c r="N103" s="172"/>
      <c r="O103" s="172"/>
      <c r="P103" s="172"/>
      <c r="Q103" s="172"/>
      <c r="R103" s="136"/>
      <c r="S103" s="172"/>
      <c r="T103" s="172"/>
      <c r="U103" s="172"/>
      <c r="V103" s="117"/>
      <c r="W103" s="137"/>
      <c r="X103" s="1339"/>
      <c r="Y103" s="1392"/>
      <c r="Z103" s="1399"/>
      <c r="AA103" s="1392"/>
      <c r="AB103" s="1392"/>
      <c r="AC103" s="1392"/>
      <c r="AD103" s="1392"/>
      <c r="AE103" s="1042"/>
      <c r="AF103" s="1343"/>
      <c r="AG103" s="1343"/>
      <c r="AH103" s="1343"/>
      <c r="AI103" s="1340"/>
      <c r="AJ103" s="1343"/>
      <c r="AK103" s="1344"/>
    </row>
    <row r="104" spans="1:50" s="81" customFormat="1" ht="38.25" customHeight="1" x14ac:dyDescent="0.2">
      <c r="A104" s="217"/>
      <c r="B104" s="392"/>
      <c r="C104" s="392"/>
      <c r="D104" s="392"/>
      <c r="E104" s="392"/>
      <c r="F104" s="392"/>
      <c r="G104" s="392"/>
      <c r="H104" s="392"/>
      <c r="I104" s="392"/>
      <c r="J104" s="172"/>
      <c r="K104" s="172"/>
      <c r="L104" s="172"/>
      <c r="M104" s="172"/>
      <c r="N104" s="172"/>
      <c r="O104" s="172"/>
      <c r="P104" s="172"/>
      <c r="Q104" s="172"/>
      <c r="R104" s="136"/>
      <c r="S104" s="172"/>
      <c r="T104" s="172"/>
      <c r="U104" s="172"/>
      <c r="V104" s="117"/>
      <c r="W104" s="137"/>
      <c r="X104" s="1339"/>
      <c r="Y104" s="1392"/>
      <c r="Z104" s="1399"/>
      <c r="AA104" s="1392"/>
      <c r="AB104" s="1392"/>
      <c r="AC104" s="1392"/>
      <c r="AD104" s="1392"/>
      <c r="AE104" s="1042"/>
      <c r="AF104" s="1343"/>
      <c r="AG104" s="1343"/>
      <c r="AH104" s="1343"/>
      <c r="AI104" s="1340"/>
      <c r="AJ104" s="1343"/>
      <c r="AK104" s="1344"/>
    </row>
    <row r="105" spans="1:50" s="81" customFormat="1" ht="7.5" customHeight="1" x14ac:dyDescent="0.2">
      <c r="A105" s="118"/>
      <c r="B105" s="17"/>
      <c r="C105" s="17"/>
      <c r="D105" s="16"/>
      <c r="E105" s="16"/>
      <c r="F105" s="16"/>
      <c r="G105" s="16"/>
      <c r="H105" s="16"/>
      <c r="I105" s="16"/>
      <c r="J105" s="12"/>
      <c r="K105" s="18"/>
      <c r="L105" s="18"/>
      <c r="M105" s="18"/>
      <c r="N105" s="18"/>
      <c r="O105" s="18"/>
      <c r="P105" s="18"/>
      <c r="Q105" s="18"/>
      <c r="R105" s="18"/>
      <c r="S105" s="18"/>
      <c r="T105" s="18"/>
      <c r="U105" s="19"/>
      <c r="V105" s="117"/>
      <c r="W105" s="137"/>
      <c r="X105" s="1339"/>
      <c r="Y105" s="1392"/>
      <c r="Z105" s="1399"/>
      <c r="AA105" s="1392"/>
      <c r="AB105" s="1392"/>
      <c r="AC105" s="1392"/>
      <c r="AD105" s="1392"/>
      <c r="AE105" s="1392"/>
      <c r="AF105" s="1340"/>
      <c r="AG105" s="1340"/>
      <c r="AH105" s="1340"/>
      <c r="AI105" s="1340"/>
      <c r="AJ105" s="1343"/>
      <c r="AK105" s="1345"/>
      <c r="AL105" s="74"/>
      <c r="AM105" s="74"/>
      <c r="AN105" s="74"/>
      <c r="AO105" s="74"/>
      <c r="AP105" s="74"/>
      <c r="AQ105" s="74"/>
      <c r="AR105" s="74"/>
    </row>
    <row r="106" spans="1:50" s="81" customFormat="1" ht="15" customHeight="1" x14ac:dyDescent="0.2">
      <c r="A106" s="1716"/>
      <c r="B106" s="1760"/>
      <c r="C106" s="1760"/>
      <c r="D106" s="1760"/>
      <c r="E106" s="1760"/>
      <c r="F106" s="1760"/>
      <c r="G106" s="1760"/>
      <c r="H106" s="1760"/>
      <c r="I106" s="1760"/>
      <c r="J106" s="1760"/>
      <c r="K106" s="1760"/>
      <c r="L106" s="1760"/>
      <c r="M106" s="1760"/>
      <c r="N106" s="1760"/>
      <c r="O106" s="1760"/>
      <c r="P106" s="1760"/>
      <c r="Q106" s="1760"/>
      <c r="R106" s="1760"/>
      <c r="S106" s="1760"/>
      <c r="T106" s="1760"/>
      <c r="U106" s="1760"/>
      <c r="V106" s="1761"/>
      <c r="W106" s="137"/>
      <c r="X106" s="1339"/>
      <c r="Y106" s="1392"/>
      <c r="Z106" s="1399"/>
      <c r="AA106" s="1392"/>
      <c r="AB106" s="1392"/>
      <c r="AC106" s="1392"/>
      <c r="AD106" s="1392"/>
      <c r="AE106" s="1392"/>
      <c r="AF106" s="1340"/>
      <c r="AG106" s="1340"/>
      <c r="AH106" s="1340"/>
      <c r="AI106" s="1340"/>
      <c r="AJ106" s="1340"/>
      <c r="AK106" s="1344"/>
      <c r="AT106" s="74"/>
    </row>
    <row r="107" spans="1:50" s="81" customFormat="1" ht="11.25" customHeight="1" x14ac:dyDescent="0.2">
      <c r="A107" s="1765" t="str">
        <f>Home!$A$39</f>
        <v xml:space="preserve"> </v>
      </c>
      <c r="B107" s="1766"/>
      <c r="C107" s="1766"/>
      <c r="D107" s="1766"/>
      <c r="E107" s="1766"/>
      <c r="F107" s="1766"/>
      <c r="G107" s="1766"/>
      <c r="H107" s="1766"/>
      <c r="I107" s="1767"/>
      <c r="J107" s="1766"/>
      <c r="K107" s="1766"/>
      <c r="L107" s="1766"/>
      <c r="M107" s="1766"/>
      <c r="N107" s="1766"/>
      <c r="O107" s="1766"/>
      <c r="P107" s="1768"/>
      <c r="Q107" s="1766"/>
      <c r="R107" s="1766"/>
      <c r="S107" s="1766"/>
      <c r="T107" s="1767"/>
      <c r="U107" s="1766"/>
      <c r="V107" s="1769"/>
      <c r="W107" s="137"/>
      <c r="X107" s="1339"/>
      <c r="Y107" s="1392"/>
      <c r="Z107" s="1399"/>
      <c r="AA107" s="1392"/>
      <c r="AB107" s="1392"/>
      <c r="AC107" s="1392"/>
      <c r="AD107" s="1392"/>
      <c r="AE107" s="1392"/>
      <c r="AF107" s="1340"/>
      <c r="AG107" s="1340"/>
      <c r="AH107" s="1340"/>
      <c r="AI107" s="1340"/>
      <c r="AJ107" s="1343"/>
      <c r="AK107" s="1346"/>
      <c r="AL107" s="74"/>
      <c r="AM107" s="74"/>
      <c r="AN107" s="74"/>
      <c r="AO107" s="74"/>
      <c r="AP107" s="74"/>
      <c r="AQ107" s="74"/>
      <c r="AR107" s="74">
        <v>0</v>
      </c>
      <c r="AS107" s="74"/>
      <c r="AT107" s="74"/>
      <c r="AU107" s="74"/>
      <c r="AV107" s="74"/>
      <c r="AW107" s="74"/>
      <c r="AX107" s="74"/>
    </row>
    <row r="108" spans="1:50" ht="18.75" customHeight="1" x14ac:dyDescent="0.2">
      <c r="A108" s="112"/>
      <c r="B108" s="113"/>
      <c r="C108" s="113"/>
      <c r="D108" s="113"/>
      <c r="E108" s="113"/>
      <c r="F108" s="113"/>
      <c r="G108" s="113"/>
      <c r="H108" s="113"/>
      <c r="I108" s="113"/>
      <c r="J108" s="114"/>
      <c r="K108" s="113"/>
      <c r="L108" s="113"/>
      <c r="M108" s="113"/>
      <c r="N108" s="113"/>
      <c r="O108" s="113"/>
      <c r="P108" s="113"/>
      <c r="Q108" s="113"/>
      <c r="R108" s="113"/>
      <c r="S108" s="113"/>
      <c r="T108" s="113"/>
      <c r="U108" s="113"/>
      <c r="V108" s="115"/>
      <c r="W108" s="137"/>
      <c r="X108" s="1339"/>
      <c r="Z108" s="1399"/>
      <c r="AF108" s="1340"/>
      <c r="AG108" s="1340"/>
      <c r="AH108" s="1340"/>
      <c r="AI108" s="1340"/>
      <c r="AJ108" s="1343"/>
      <c r="AK108" s="1345"/>
    </row>
    <row r="109" spans="1:50" ht="18.75" customHeight="1" x14ac:dyDescent="0.2">
      <c r="A109" s="118"/>
      <c r="B109" s="128" t="s">
        <v>731</v>
      </c>
      <c r="C109" s="9"/>
      <c r="D109" s="9"/>
      <c r="E109" s="9"/>
      <c r="F109" s="9"/>
      <c r="G109" s="9"/>
      <c r="H109" s="9"/>
      <c r="I109" s="9"/>
      <c r="J109" s="12"/>
      <c r="K109" s="9"/>
      <c r="L109" s="9"/>
      <c r="M109" s="9"/>
      <c r="N109" s="9"/>
      <c r="O109" s="9"/>
      <c r="P109" s="9"/>
      <c r="Q109" s="9"/>
      <c r="R109" s="9"/>
      <c r="S109" s="9"/>
      <c r="T109" s="9"/>
      <c r="U109" s="9"/>
      <c r="V109" s="117"/>
      <c r="W109" s="161"/>
      <c r="X109" s="1339"/>
      <c r="Z109" s="1399"/>
      <c r="AF109" s="1340"/>
      <c r="AG109" s="1340"/>
      <c r="AH109" s="1340"/>
      <c r="AI109" s="1340"/>
      <c r="AJ109" s="1343"/>
      <c r="AK109" s="1345"/>
    </row>
    <row r="110" spans="1:50" ht="18.75" customHeight="1" x14ac:dyDescent="0.2">
      <c r="A110" s="124"/>
      <c r="B110" s="125"/>
      <c r="C110" s="125"/>
      <c r="D110" s="125"/>
      <c r="E110" s="125"/>
      <c r="F110" s="125"/>
      <c r="G110" s="125"/>
      <c r="H110" s="125"/>
      <c r="I110" s="267"/>
      <c r="J110" s="126"/>
      <c r="K110" s="125"/>
      <c r="L110" s="125"/>
      <c r="M110" s="125"/>
      <c r="N110" s="125"/>
      <c r="O110" s="125"/>
      <c r="P110" s="553"/>
      <c r="Q110" s="125"/>
      <c r="R110" s="125"/>
      <c r="S110" s="125"/>
      <c r="T110" s="267"/>
      <c r="U110" s="125"/>
      <c r="V110" s="127"/>
      <c r="W110" s="161"/>
      <c r="X110" s="1339"/>
      <c r="Z110" s="1399"/>
      <c r="AF110" s="1340"/>
      <c r="AG110" s="1340"/>
      <c r="AH110" s="1340"/>
      <c r="AI110" s="1340"/>
      <c r="AJ110" s="1343"/>
      <c r="AK110" s="1345"/>
      <c r="AR110" s="74">
        <v>0</v>
      </c>
    </row>
    <row r="111" spans="1:50" ht="11.25" customHeight="1" x14ac:dyDescent="0.2">
      <c r="A111" s="112"/>
      <c r="B111" s="113"/>
      <c r="C111" s="113"/>
      <c r="D111" s="113"/>
      <c r="E111" s="113"/>
      <c r="F111" s="113"/>
      <c r="G111" s="113"/>
      <c r="H111" s="113"/>
      <c r="I111" s="113"/>
      <c r="J111" s="114"/>
      <c r="K111" s="113"/>
      <c r="L111" s="113"/>
      <c r="M111" s="113"/>
      <c r="N111" s="113"/>
      <c r="O111" s="113"/>
      <c r="P111" s="113"/>
      <c r="Q111" s="113"/>
      <c r="R111" s="113"/>
      <c r="S111" s="113"/>
      <c r="T111" s="113"/>
      <c r="U111" s="113"/>
      <c r="V111" s="115"/>
      <c r="W111" s="137"/>
      <c r="X111" s="1339"/>
      <c r="AF111" s="1340"/>
      <c r="AG111" s="1340"/>
      <c r="AH111" s="1340"/>
      <c r="AI111" s="1340"/>
      <c r="AJ111" s="1343"/>
      <c r="AK111" s="1345"/>
    </row>
    <row r="112" spans="1:50" s="76" customFormat="1" ht="15" customHeight="1" x14ac:dyDescent="0.2">
      <c r="A112" s="119"/>
      <c r="B112" s="1746" t="str">
        <f>"Number of Children who Ceased to be Looked After in"&amp;$Z1</f>
        <v>Number of Children who Ceased to be Looked After in the year ending 31st March</v>
      </c>
      <c r="C112" s="1746"/>
      <c r="D112" s="1746"/>
      <c r="E112" s="1746"/>
      <c r="F112" s="1746"/>
      <c r="G112" s="1746"/>
      <c r="H112" s="1746"/>
      <c r="I112" s="1746"/>
      <c r="J112" s="1746"/>
      <c r="K112" s="1746"/>
      <c r="L112" s="1746"/>
      <c r="M112" s="1746"/>
      <c r="N112" s="1746"/>
      <c r="O112" s="1746"/>
      <c r="P112" s="1746"/>
      <c r="Q112" s="1746"/>
      <c r="R112" s="1746"/>
      <c r="S112" s="1746"/>
      <c r="T112" s="1746"/>
      <c r="U112" s="1746"/>
      <c r="V112" s="120"/>
      <c r="W112" s="138"/>
      <c r="X112" s="1347"/>
      <c r="Y112" s="1392"/>
      <c r="Z112" s="1392"/>
      <c r="AA112" s="1392"/>
      <c r="AB112" s="1392"/>
      <c r="AC112" s="1396"/>
      <c r="AD112" s="1396"/>
      <c r="AE112" s="1396"/>
      <c r="AF112" s="1348"/>
      <c r="AG112" s="1348"/>
      <c r="AH112" s="1348"/>
      <c r="AI112" s="1348"/>
      <c r="AJ112" s="1348"/>
      <c r="AK112" s="1349"/>
      <c r="AL112" s="188" t="str">
        <f>CONCATENATE($I$7,"in Number of "&amp;$B112)</f>
        <v>Average Annual Change in Number of Number of Children who Ceased to be Looked After in the year ending 31st March</v>
      </c>
      <c r="AR112" s="935" t="s">
        <v>682</v>
      </c>
    </row>
    <row r="113" spans="1:50" ht="13.5" customHeight="1" x14ac:dyDescent="0.2">
      <c r="A113" s="118"/>
      <c r="B113" s="1746"/>
      <c r="C113" s="1746"/>
      <c r="D113" s="1746"/>
      <c r="E113" s="1746"/>
      <c r="F113" s="1746"/>
      <c r="G113" s="1746"/>
      <c r="H113" s="1746"/>
      <c r="I113" s="1746"/>
      <c r="J113" s="1746"/>
      <c r="K113" s="1746"/>
      <c r="L113" s="1746"/>
      <c r="M113" s="1746"/>
      <c r="N113" s="1746"/>
      <c r="O113" s="1746"/>
      <c r="P113" s="1746"/>
      <c r="Q113" s="1746"/>
      <c r="R113" s="1746"/>
      <c r="S113" s="1746"/>
      <c r="T113" s="1746"/>
      <c r="U113" s="1746"/>
      <c r="V113" s="117"/>
      <c r="W113" s="137"/>
      <c r="X113" s="1339"/>
      <c r="Z113" s="1399"/>
      <c r="AF113" s="1340"/>
      <c r="AG113" s="1340"/>
      <c r="AH113" s="1340"/>
      <c r="AI113" s="1340"/>
      <c r="AJ113" s="1343"/>
      <c r="AK113" s="1345"/>
    </row>
    <row r="114" spans="1:50" s="87" customFormat="1" ht="12.75" customHeight="1" x14ac:dyDescent="0.2">
      <c r="A114" s="121"/>
      <c r="B114" s="1789" t="s">
        <v>205</v>
      </c>
      <c r="C114" s="85"/>
      <c r="D114" s="1851" t="s">
        <v>88</v>
      </c>
      <c r="E114" s="1911"/>
      <c r="F114" s="1911"/>
      <c r="G114" s="1911"/>
      <c r="H114" s="1912"/>
      <c r="I114" s="1811" t="str">
        <f>"Average "&amp;Sheet1!C3&amp;" Change "</f>
        <v xml:space="preserve">Average Annual Change </v>
      </c>
      <c r="J114" s="96"/>
      <c r="K114" s="1913" t="s">
        <v>89</v>
      </c>
      <c r="L114" s="1914"/>
      <c r="M114" s="1914"/>
      <c r="N114" s="1914"/>
      <c r="O114" s="1914"/>
      <c r="P114" s="1914"/>
      <c r="Q114" s="1744" t="str">
        <f>IF(ISNA(O116),"SE Rank "&amp;O115,"SE Rank "&amp;O116)</f>
        <v>SE Rank 2019-20</v>
      </c>
      <c r="R114" s="70"/>
      <c r="S114" s="1817" t="str">
        <f>"Distance from Expected "&amp;Sheet1!$B$8</f>
        <v>Distance from Expected 2020</v>
      </c>
      <c r="T114" s="1818"/>
      <c r="U114" s="1819"/>
      <c r="V114" s="122"/>
      <c r="W114" s="139"/>
      <c r="X114" s="1350"/>
      <c r="Y114" s="1043"/>
      <c r="Z114" s="1043"/>
      <c r="AA114" s="1414"/>
      <c r="AB114" s="1417" t="s">
        <v>79</v>
      </c>
      <c r="AC114" s="1399"/>
      <c r="AD114" s="1399"/>
      <c r="AE114" s="1042"/>
      <c r="AF114" s="1342"/>
      <c r="AG114" s="1352" t="s">
        <v>94</v>
      </c>
      <c r="AH114" s="1341"/>
      <c r="AI114" s="1341"/>
      <c r="AJ114" s="1351"/>
      <c r="AK114" s="1346"/>
      <c r="AL114" s="575"/>
      <c r="AM114" s="575"/>
      <c r="AN114" s="575"/>
      <c r="AO114" s="575"/>
      <c r="AP114" s="575"/>
      <c r="AQ114" s="74"/>
    </row>
    <row r="115" spans="1:50" s="87" customFormat="1" ht="12.75" customHeight="1" x14ac:dyDescent="0.2">
      <c r="A115" s="292"/>
      <c r="B115" s="1789"/>
      <c r="C115" s="85"/>
      <c r="D115" s="789" t="str">
        <f>Sheet1!$D$27</f>
        <v>2015-16</v>
      </c>
      <c r="E115" s="790" t="str">
        <f>Sheet1!$E$27</f>
        <v>2016-17</v>
      </c>
      <c r="F115" s="790" t="str">
        <f>Sheet1!$F$27</f>
        <v>2017-18</v>
      </c>
      <c r="G115" s="790" t="str">
        <f>Sheet1!$G$27</f>
        <v>2018-19</v>
      </c>
      <c r="H115" s="791" t="str">
        <f>Sheet1!$H$27</f>
        <v>2019-20</v>
      </c>
      <c r="I115" s="1812"/>
      <c r="J115" s="96"/>
      <c r="K115" s="820" t="str">
        <f>Sheet1!$D$27</f>
        <v>2015-16</v>
      </c>
      <c r="L115" s="821" t="str">
        <f>Sheet1!$E$27</f>
        <v>2016-17</v>
      </c>
      <c r="M115" s="821" t="str">
        <f>Sheet1!$F$27</f>
        <v>2017-18</v>
      </c>
      <c r="N115" s="821" t="str">
        <f>Sheet1!$G$27</f>
        <v>2018-19</v>
      </c>
      <c r="O115" s="1741" t="str">
        <f>Sheet1!$H$27</f>
        <v>2019-20</v>
      </c>
      <c r="P115" s="1742"/>
      <c r="Q115" s="1816"/>
      <c r="R115" s="70"/>
      <c r="S115" s="1820"/>
      <c r="T115" s="1821"/>
      <c r="U115" s="1822"/>
      <c r="V115" s="122"/>
      <c r="W115" s="139"/>
      <c r="X115" s="1350"/>
      <c r="Y115" s="1043"/>
      <c r="Z115" s="1948" t="s">
        <v>76</v>
      </c>
      <c r="AA115" s="1948" t="s">
        <v>77</v>
      </c>
      <c r="AB115" s="580" t="str">
        <f>IF(Sheet1!$C$3="Annual","",Sheet1!$D$28)</f>
        <v/>
      </c>
      <c r="AC115" s="580" t="str">
        <f>IF(Sheet1!$C$3="Annual","",Sheet1!$E$28)</f>
        <v/>
      </c>
      <c r="AD115" s="580" t="str">
        <f>IF(Sheet1!$C$3="Annual","",Sheet1!$F$28)</f>
        <v/>
      </c>
      <c r="AE115" s="580" t="str">
        <f>IF(Sheet1!$C$3="Annual","",Sheet1!$G$28)</f>
        <v/>
      </c>
      <c r="AF115" s="1353" t="str">
        <f>IF(Sheet1!$C$3="Annual","",Sheet1!$H$28)</f>
        <v/>
      </c>
      <c r="AG115" s="1352"/>
      <c r="AH115" s="1341"/>
      <c r="AI115" s="1341"/>
      <c r="AJ115" s="1351"/>
      <c r="AK115" s="1346"/>
      <c r="AL115" s="922"/>
      <c r="AM115" s="922"/>
      <c r="AN115" s="922"/>
      <c r="AO115" s="922"/>
      <c r="AP115" s="922"/>
    </row>
    <row r="116" spans="1:50" s="87" customFormat="1" ht="12.75" customHeight="1" x14ac:dyDescent="0.2">
      <c r="A116" s="121"/>
      <c r="B116" s="1790"/>
      <c r="C116" s="85"/>
      <c r="D116" s="792" t="e">
        <f>Sheet1!$D$28</f>
        <v>#N/A</v>
      </c>
      <c r="E116" s="792" t="e">
        <f>Sheet1!$E$28</f>
        <v>#N/A</v>
      </c>
      <c r="F116" s="792" t="e">
        <f>Sheet1!$F$28</f>
        <v>#N/A</v>
      </c>
      <c r="G116" s="792" t="e">
        <f>Sheet1!$G$28</f>
        <v>#N/A</v>
      </c>
      <c r="H116" s="793" t="e">
        <f>Sheet1!$H$28</f>
        <v>#N/A</v>
      </c>
      <c r="I116" s="1813"/>
      <c r="J116" s="96"/>
      <c r="K116" s="792" t="e">
        <f>Sheet1!$D$28</f>
        <v>#N/A</v>
      </c>
      <c r="L116" s="792" t="e">
        <f>Sheet1!$E$28</f>
        <v>#N/A</v>
      </c>
      <c r="M116" s="792" t="e">
        <f>Sheet1!$F$28</f>
        <v>#N/A</v>
      </c>
      <c r="N116" s="792" t="e">
        <f>Sheet1!$G$28</f>
        <v>#N/A</v>
      </c>
      <c r="O116" s="1739" t="e">
        <f>Sheet1!$H$28</f>
        <v>#N/A</v>
      </c>
      <c r="P116" s="1827"/>
      <c r="Q116" s="1745"/>
      <c r="R116" s="70"/>
      <c r="S116" s="919" t="s">
        <v>78</v>
      </c>
      <c r="T116" s="856" t="s">
        <v>128</v>
      </c>
      <c r="U116" s="857" t="s">
        <v>129</v>
      </c>
      <c r="V116" s="122"/>
      <c r="W116" s="139"/>
      <c r="X116" s="1350"/>
      <c r="Y116" s="1043"/>
      <c r="Z116" s="1949"/>
      <c r="AA116" s="1949"/>
      <c r="AB116" s="580" t="str">
        <f>Sheet1!$D$27</f>
        <v>2015-16</v>
      </c>
      <c r="AC116" s="580" t="str">
        <f>Sheet1!$E$27</f>
        <v>2016-17</v>
      </c>
      <c r="AD116" s="580" t="str">
        <f>Sheet1!$F$27</f>
        <v>2017-18</v>
      </c>
      <c r="AE116" s="580" t="str">
        <f>Sheet1!$G$27</f>
        <v>2018-19</v>
      </c>
      <c r="AF116" s="1353" t="str">
        <f>Sheet1!$H$27</f>
        <v>2019-20</v>
      </c>
      <c r="AG116" s="1341"/>
      <c r="AH116" s="1341">
        <f>COLUMNS($B$4:O$4)</f>
        <v>14</v>
      </c>
      <c r="AI116" s="1341"/>
      <c r="AJ116" s="1351"/>
      <c r="AK116" s="1346"/>
      <c r="AL116" s="926" t="s">
        <v>676</v>
      </c>
      <c r="AM116" s="926" t="s">
        <v>677</v>
      </c>
      <c r="AN116" s="926" t="s">
        <v>678</v>
      </c>
      <c r="AO116" s="926" t="s">
        <v>679</v>
      </c>
      <c r="AP116" s="926" t="s">
        <v>680</v>
      </c>
      <c r="AR116" s="937" t="s">
        <v>683</v>
      </c>
      <c r="AS116" s="937" t="s">
        <v>684</v>
      </c>
      <c r="AT116" s="937" t="s">
        <v>685</v>
      </c>
      <c r="AU116" s="937" t="s">
        <v>686</v>
      </c>
      <c r="AV116" s="938" t="s">
        <v>687</v>
      </c>
      <c r="AW116" s="938" t="s">
        <v>688</v>
      </c>
      <c r="AX116" s="938" t="s">
        <v>689</v>
      </c>
    </row>
    <row r="117" spans="1:50" s="87" customFormat="1" ht="13.5" customHeight="1" x14ac:dyDescent="0.2">
      <c r="A117" s="488">
        <f>VLOOKUP(B117,Sheet1!$AQ$4:$AR$25,2,FALSE)</f>
        <v>0</v>
      </c>
      <c r="B117" s="93" t="str">
        <f>Sheet1!$K$4</f>
        <v>Bracknell Forest</v>
      </c>
      <c r="C117" s="85"/>
      <c r="D117" s="94">
        <f>IF(Year1_Bracknell_Forest Year1_Adoption_ceased_LAC="","",Year1_Bracknell_Forest Year1_Adoption_ceased_LAC)</f>
        <v>68</v>
      </c>
      <c r="E117" s="94">
        <f>IF(Year2_Bracknell_Forest Year2_Adoption_ceased_LAC="","",Year2_Bracknell_Forest Year2_Adoption_ceased_LAC)</f>
        <v>49</v>
      </c>
      <c r="F117" s="94">
        <f>IF(Year3_Bracknell_Forest Year3_Adoption_ceased_LAC="","",Year3_Bracknell_Forest Year3_Adoption_ceased_LAC)</f>
        <v>67</v>
      </c>
      <c r="G117" s="94">
        <f>IF(Year4_Bracknell_Forest Year4_Adoption_ceased_LAC="","",Year4_Bracknell_Forest Year4_Adoption_ceased_LAC)</f>
        <v>65</v>
      </c>
      <c r="H117" s="95">
        <f>IF(Year5_Bracknell_Forest Year5_Adoption_ceased_LAC="","",Year5_Bracknell_Forest Year5_Adoption_ceased_LAC)</f>
        <v>62</v>
      </c>
      <c r="I117" s="344">
        <f>AP117</f>
        <v>2.982645411781247E-3</v>
      </c>
      <c r="J117" s="96"/>
      <c r="K117" s="97">
        <f>IF(ISNUMBER(D117),D117/Population!D10*10000,NA())</f>
        <v>24.113475177304963</v>
      </c>
      <c r="L117" s="97">
        <f>IF(ISNUMBER(E117),E117/Population!E10*10000,NA())</f>
        <v>17.375886524822697</v>
      </c>
      <c r="M117" s="97">
        <f>IF(ISNUMBER(F117),F117/Population!F10*10000,NA())</f>
        <v>23.843416370106763</v>
      </c>
      <c r="N117" s="97">
        <f>IF(ISNUMBER(G117),G117/Population!G10*10000,NA())</f>
        <v>22.968197879858657</v>
      </c>
      <c r="O117" s="98">
        <f>IF(ISNUMBER(H117),H117/Population!H10*10000,NA())</f>
        <v>21.830985915492956</v>
      </c>
      <c r="P117" s="99">
        <f>IF(ISNUMBER(O117),O117,"")</f>
        <v>21.830985915492956</v>
      </c>
      <c r="Q117" s="934">
        <f>IF(ISNA(VLOOKUP(B117,$AG$10:$AI$28,3,FALSE)),"--",IF(ISNUMBER(H117),VLOOKUP(B117,$AG$10:$AI$28,3,FALSE),NA()))</f>
        <v>6</v>
      </c>
      <c r="R117" s="70"/>
      <c r="S117" s="340">
        <f>IDACI!C9</f>
        <v>8.9</v>
      </c>
      <c r="T117" s="341">
        <f>((S117*$Z$176)+$AA$176)/$Y$2</f>
        <v>19.62004858157006</v>
      </c>
      <c r="U117" s="342">
        <f>O117-T117</f>
        <v>2.2109373339228959</v>
      </c>
      <c r="V117" s="122"/>
      <c r="W117" s="139"/>
      <c r="X117" s="1350"/>
      <c r="Y117" s="1400" t="str">
        <f t="shared" ref="Y117:Y140" si="26">B117</f>
        <v>Bracknell Forest</v>
      </c>
      <c r="Z117" s="1401">
        <f>IF(ISNUMBER(H117),IDACI!D9,0)</f>
        <v>24849</v>
      </c>
      <c r="AA117" s="1401">
        <f>IF(ISNUMBER(H117),IDACI!E9,0)</f>
        <v>2211.5610000000001</v>
      </c>
      <c r="AB117" s="1402">
        <f>IF(ISNUMBER(D117),Population!D10,"")</f>
        <v>28200</v>
      </c>
      <c r="AC117" s="1402">
        <f>IF(ISNUMBER(E117),Population!E10,"")</f>
        <v>28200</v>
      </c>
      <c r="AD117" s="1402">
        <f>IF(ISNUMBER(F117),Population!F10,"")</f>
        <v>28100</v>
      </c>
      <c r="AE117" s="1402">
        <f>IF(ISNUMBER(G117),Population!G10,"")</f>
        <v>28300</v>
      </c>
      <c r="AF117" s="1354">
        <f>IF(ISNUMBER(H117),Population!H10,"")</f>
        <v>28400</v>
      </c>
      <c r="AG117" s="1355" t="str">
        <f>B117</f>
        <v>Bracknell Forest</v>
      </c>
      <c r="AH117" s="1356">
        <f>IFERROR(VLOOKUP(AG117,$B$117:$O$140,$AH$116,FALSE),"")</f>
        <v>21.830985915492956</v>
      </c>
      <c r="AI117" s="1357">
        <f>RANK(AH117,$AH$117:$AH$135,1)</f>
        <v>11</v>
      </c>
      <c r="AJ117" s="1351"/>
      <c r="AK117" s="1346"/>
      <c r="AL117" s="853">
        <f>IF(ISERROR((E117-D117)/D117),"x",(E117-D117)/D117)</f>
        <v>-0.27941176470588236</v>
      </c>
      <c r="AM117" s="853">
        <f>IF(ISERROR((F117-E117)/E117),"x",(F117-E117)/E117)</f>
        <v>0.36734693877551022</v>
      </c>
      <c r="AN117" s="853">
        <f>IF(ISERROR((G117-F117)/F117),"x",(G117-F117)/F117)</f>
        <v>-2.9850746268656716E-2</v>
      </c>
      <c r="AO117" s="853">
        <f>IF(ISERROR((H117-G117)/G117),"x",(H117-G117)/G117)</f>
        <v>-4.6153846153846156E-2</v>
      </c>
      <c r="AP117" s="853">
        <f>AVERAGE(AL117:AO117)</f>
        <v>2.982645411781247E-3</v>
      </c>
      <c r="AR117" s="936">
        <f>IF(ISNUMBER(L117),L117,"")</f>
        <v>17.375886524822697</v>
      </c>
      <c r="AS117" s="936">
        <f t="shared" ref="AS117:AS140" si="27">IF(ISNUMBER(M117),M117,"")</f>
        <v>23.843416370106763</v>
      </c>
      <c r="AT117" s="936">
        <f t="shared" ref="AT117:AT140" si="28">IF(ISNUMBER(N117),N117,"")</f>
        <v>22.968197879858657</v>
      </c>
      <c r="AU117" s="936">
        <f t="shared" ref="AU117:AU129" si="29">IF(ISNUMBER(O117),O117,"")</f>
        <v>21.830985915492956</v>
      </c>
      <c r="AV117" s="936">
        <f t="shared" ref="AV117:AV129" si="30">SUM(AR117:AU117)</f>
        <v>86.018486690281065</v>
      </c>
      <c r="AW117" s="575">
        <f t="shared" ref="AW117:AW129" si="31">COUNTBLANK(AR117:AU117)</f>
        <v>0</v>
      </c>
      <c r="AX117" s="936">
        <f>AV117/(4-AW117)*4</f>
        <v>86.018486690281065</v>
      </c>
    </row>
    <row r="118" spans="1:50" s="87" customFormat="1" ht="13.5" customHeight="1" x14ac:dyDescent="0.2">
      <c r="A118" s="488">
        <f>VLOOKUP(B118,Sheet1!$AQ$4:$AR$25,2,FALSE)</f>
        <v>0</v>
      </c>
      <c r="B118" s="93" t="str">
        <f>Sheet1!$K$5</f>
        <v>Brighton &amp; Hove</v>
      </c>
      <c r="C118" s="85"/>
      <c r="D118" s="94">
        <f>IF(Year1_Brighton_Hove Year1_Adoption_ceased_LAC="","",Year1_Brighton_Hove Year1_Adoption_ceased_LAC)</f>
        <v>245</v>
      </c>
      <c r="E118" s="94">
        <f>IF(Year2_Brighton_Hove Year2_Adoption_ceased_LAC="","",Year2_Brighton_Hove Year2_Adoption_ceased_LAC)</f>
        <v>179</v>
      </c>
      <c r="F118" s="94">
        <f>IF(Year3_Brighton_Hove Year3_Adoption_ceased_LAC="","",Year3_Brighton_Hove Year3_Adoption_ceased_LAC)</f>
        <v>176</v>
      </c>
      <c r="G118" s="94">
        <f>IF(Year4_Brighton_Hove Year4_Adoption_ceased_LAC="","",Year4_Brighton_Hove Year4_Adoption_ceased_LAC)</f>
        <v>187</v>
      </c>
      <c r="H118" s="95">
        <f>IF(Year5_Brighton_Hove Year5_Adoption_ceased_LAC="","",Year5_Brighton_Hove Year5_Adoption_ceased_LAC)</f>
        <v>178</v>
      </c>
      <c r="I118" s="344">
        <f t="shared" ref="I118:I140" si="32">AP118</f>
        <v>-6.7943968471085747E-2</v>
      </c>
      <c r="J118" s="96"/>
      <c r="K118" s="97">
        <f>IF(ISNUMBER(D118),D118/Population!D11*10000,NA())</f>
        <v>47.8515625</v>
      </c>
      <c r="L118" s="97">
        <f>IF(ISNUMBER(E118),E118/Population!E11*10000,NA())</f>
        <v>34.892787524366469</v>
      </c>
      <c r="M118" s="97">
        <f>IF(ISNUMBER(F118),F118/Population!F11*10000,NA())</f>
        <v>34.509803921568626</v>
      </c>
      <c r="N118" s="97">
        <f>IF(ISNUMBER(G118),G118/Population!G11*10000,NA())</f>
        <v>36.666666666666664</v>
      </c>
      <c r="O118" s="98">
        <f>IF(ISNUMBER(H118),H118/Population!H11*10000,NA())</f>
        <v>35.387673956262425</v>
      </c>
      <c r="P118" s="99">
        <f t="shared" ref="P118:P140" si="33">IF(ISNUMBER(O118),O118,"")</f>
        <v>35.387673956262425</v>
      </c>
      <c r="Q118" s="934">
        <f t="shared" ref="Q118:Q121" si="34">IF(ISNA(VLOOKUP(B118,$AG$10:$AI$28,3,FALSE)),"--",IF(ISNUMBER(H118),VLOOKUP(B118,$AG$10:$AI$28,3,FALSE),NA()))</f>
        <v>16</v>
      </c>
      <c r="R118" s="70"/>
      <c r="S118" s="340">
        <f>IDACI!C10</f>
        <v>15.299999999999999</v>
      </c>
      <c r="T118" s="341">
        <f t="shared" ref="T118:T140" si="35">((S118*$Z$44)+$AA$44)/$Y$2</f>
        <v>26.73806309668279</v>
      </c>
      <c r="U118" s="342">
        <f t="shared" ref="U118:U140" si="36">O118-T118</f>
        <v>8.649610859579635</v>
      </c>
      <c r="V118" s="122"/>
      <c r="W118" s="139"/>
      <c r="X118" s="1350"/>
      <c r="Y118" s="1400" t="str">
        <f t="shared" si="26"/>
        <v>Brighton &amp; Hove</v>
      </c>
      <c r="Z118" s="1401">
        <f>IF(ISNUMBER(H118),IDACI!D10,0)</f>
        <v>45576</v>
      </c>
      <c r="AA118" s="1401">
        <f>IF(ISNUMBER(H118),IDACI!E10,0)</f>
        <v>6973.1279999999997</v>
      </c>
      <c r="AB118" s="1402">
        <f>IF(ISNUMBER(D118),Population!D11,"")</f>
        <v>51200</v>
      </c>
      <c r="AC118" s="1402">
        <f>IF(ISNUMBER(E118),Population!E11,"")</f>
        <v>51300</v>
      </c>
      <c r="AD118" s="1402">
        <f>IF(ISNUMBER(F118),Population!F11,"")</f>
        <v>51000</v>
      </c>
      <c r="AE118" s="1402">
        <f>IF(ISNUMBER(G118),Population!G11,"")</f>
        <v>51000</v>
      </c>
      <c r="AF118" s="1354">
        <f>IF(ISNUMBER(H118),Population!H11,"")</f>
        <v>50300</v>
      </c>
      <c r="AG118" s="1355" t="s">
        <v>31</v>
      </c>
      <c r="AH118" s="1356">
        <f t="shared" ref="AH118:AH135" si="37">IFERROR(VLOOKUP(AG118,$B$117:$O$140,$AH$116,FALSE),"")</f>
        <v>35.387673956262425</v>
      </c>
      <c r="AI118" s="1357">
        <f t="shared" ref="AI118:AI135" si="38">RANK(AH118,$AH$117:$AH$135,1)</f>
        <v>17</v>
      </c>
      <c r="AJ118" s="1351"/>
      <c r="AK118" s="1346"/>
      <c r="AL118" s="853">
        <f t="shared" ref="AL118:AL140" si="39">IF(ISERROR((E118-D118)/D118),"x",(E118-D118)/D118)</f>
        <v>-0.26938775510204083</v>
      </c>
      <c r="AM118" s="853">
        <f t="shared" ref="AM118:AM140" si="40">IF(ISERROR((F118-E118)/E118),"x",(F118-E118)/E118)</f>
        <v>-1.6759776536312849E-2</v>
      </c>
      <c r="AN118" s="853">
        <f t="shared" ref="AN118:AN140" si="41">IF(ISERROR((G118-F118)/F118),"x",(G118-F118)/F118)</f>
        <v>6.25E-2</v>
      </c>
      <c r="AO118" s="853">
        <f t="shared" ref="AO118:AO140" si="42">IF(ISERROR((H118-G118)/G118),"x",(H118-G118)/G118)</f>
        <v>-4.8128342245989303E-2</v>
      </c>
      <c r="AP118" s="853">
        <f t="shared" ref="AP118:AP139" si="43">AVERAGE(AL118:AO118)</f>
        <v>-6.7943968471085747E-2</v>
      </c>
      <c r="AR118" s="936">
        <f t="shared" ref="AR118:AR140" si="44">IF(ISNUMBER(L118),L118,"")</f>
        <v>34.892787524366469</v>
      </c>
      <c r="AS118" s="936">
        <f t="shared" si="27"/>
        <v>34.509803921568626</v>
      </c>
      <c r="AT118" s="936">
        <f t="shared" si="28"/>
        <v>36.666666666666664</v>
      </c>
      <c r="AU118" s="936">
        <f t="shared" si="29"/>
        <v>35.387673956262425</v>
      </c>
      <c r="AV118" s="936">
        <f t="shared" si="30"/>
        <v>141.45693206886418</v>
      </c>
      <c r="AW118" s="575">
        <f t="shared" si="31"/>
        <v>0</v>
      </c>
      <c r="AX118" s="936">
        <f t="shared" ref="AX118:AX129" si="45">AV118/(4-AW118)*4</f>
        <v>141.45693206886418</v>
      </c>
    </row>
    <row r="119" spans="1:50" s="87" customFormat="1" ht="13.5" customHeight="1" x14ac:dyDescent="0.2">
      <c r="A119" s="488">
        <f>VLOOKUP(B119,Sheet1!$AQ$4:$AR$25,2,FALSE)</f>
        <v>0</v>
      </c>
      <c r="B119" s="93" t="str">
        <f>Sheet1!$K$6</f>
        <v>Buckinghamshire</v>
      </c>
      <c r="C119" s="85"/>
      <c r="D119" s="94">
        <f>IF(Year1_Buckinghamshire Year1_Adoption_ceased_LAC="","",Year1_Buckinghamshire Year1_Adoption_ceased_LAC)</f>
        <v>227</v>
      </c>
      <c r="E119" s="94">
        <f>IF(Year2_Buckinghamshire Year2_Adoption_ceased_LAC="","",Year2_Buckinghamshire Year2_Adoption_ceased_LAC)</f>
        <v>215</v>
      </c>
      <c r="F119" s="94">
        <f>IF(Year3_Buckinghamshire Year3_Adoption_ceased_LAC="","",Year3_Buckinghamshire Year3_Adoption_ceased_LAC)</f>
        <v>180</v>
      </c>
      <c r="G119" s="94">
        <f>IF(Year4_Buckinghamshire Year4_Adoption_ceased_LAC="","",Year4_Buckinghamshire Year4_Adoption_ceased_LAC)</f>
        <v>170</v>
      </c>
      <c r="H119" s="95">
        <f>IF(Year5_Buckinghamshire Year5_Adoption_ceased_LAC="","",Year5_Buckinghamshire Year5_Adoption_ceased_LAC)</f>
        <v>235</v>
      </c>
      <c r="I119" s="344">
        <f t="shared" si="32"/>
        <v>2.7785812955787095E-2</v>
      </c>
      <c r="J119" s="96"/>
      <c r="K119" s="97">
        <f>IF(ISNUMBER(D119),D119/Population!D12*10000,NA())</f>
        <v>18.822553897180764</v>
      </c>
      <c r="L119" s="97">
        <f>IF(ISNUMBER(E119),E119/Population!E12*10000,NA())</f>
        <v>17.594108019639933</v>
      </c>
      <c r="M119" s="97">
        <f>IF(ISNUMBER(F119),F119/Population!F12*10000,NA())</f>
        <v>14.62225832656377</v>
      </c>
      <c r="N119" s="97">
        <f>IF(ISNUMBER(G119),G119/Population!G12*10000,NA())</f>
        <v>13.676588897827836</v>
      </c>
      <c r="O119" s="98">
        <f>IF(ISNUMBER(H119),H119/Population!H12*10000,NA())</f>
        <v>18.695306284805092</v>
      </c>
      <c r="P119" s="99">
        <f t="shared" si="33"/>
        <v>18.695306284805092</v>
      </c>
      <c r="Q119" s="934">
        <f t="shared" si="34"/>
        <v>4</v>
      </c>
      <c r="R119" s="70"/>
      <c r="S119" s="340">
        <f>IDACI!C11</f>
        <v>8.5</v>
      </c>
      <c r="T119" s="341">
        <f t="shared" si="35"/>
        <v>19.138380762537238</v>
      </c>
      <c r="U119" s="342">
        <f t="shared" si="36"/>
        <v>-0.44307447773214648</v>
      </c>
      <c r="V119" s="122"/>
      <c r="W119" s="139"/>
      <c r="X119" s="1350"/>
      <c r="Y119" s="1400" t="str">
        <f t="shared" si="26"/>
        <v>Buckinghamshire</v>
      </c>
      <c r="Z119" s="1401">
        <f>IF(ISNUMBER(H119),IDACI!D11,0)</f>
        <v>107385</v>
      </c>
      <c r="AA119" s="1401">
        <f>IF(ISNUMBER(H119),IDACI!E11,0)</f>
        <v>9127.7250000000004</v>
      </c>
      <c r="AB119" s="1402">
        <f>IF(ISNUMBER(D119),Population!D12,"")</f>
        <v>120600</v>
      </c>
      <c r="AC119" s="1402">
        <f>IF(ISNUMBER(E119),Population!E12,"")</f>
        <v>122200</v>
      </c>
      <c r="AD119" s="1402">
        <f>IF(ISNUMBER(F119),Population!F12,"")</f>
        <v>123100</v>
      </c>
      <c r="AE119" s="1402">
        <f>IF(ISNUMBER(G119),Population!G12,"")</f>
        <v>124300</v>
      </c>
      <c r="AF119" s="1354">
        <f>IF(ISNUMBER(H119),Population!H12,"")</f>
        <v>125700</v>
      </c>
      <c r="AG119" s="1355" t="s">
        <v>8</v>
      </c>
      <c r="AH119" s="1356">
        <f t="shared" si="37"/>
        <v>18.695306284805092</v>
      </c>
      <c r="AI119" s="1357">
        <f t="shared" si="38"/>
        <v>5</v>
      </c>
      <c r="AJ119" s="1351"/>
      <c r="AK119" s="1346"/>
      <c r="AL119" s="853">
        <f t="shared" si="39"/>
        <v>-5.2863436123348019E-2</v>
      </c>
      <c r="AM119" s="853">
        <f t="shared" si="40"/>
        <v>-0.16279069767441862</v>
      </c>
      <c r="AN119" s="853">
        <f t="shared" si="41"/>
        <v>-5.5555555555555552E-2</v>
      </c>
      <c r="AO119" s="853">
        <f t="shared" si="42"/>
        <v>0.38235294117647056</v>
      </c>
      <c r="AP119" s="853">
        <f t="shared" si="43"/>
        <v>2.7785812955787095E-2</v>
      </c>
      <c r="AR119" s="936">
        <f t="shared" si="44"/>
        <v>17.594108019639933</v>
      </c>
      <c r="AS119" s="936">
        <f t="shared" si="27"/>
        <v>14.62225832656377</v>
      </c>
      <c r="AT119" s="936">
        <f t="shared" si="28"/>
        <v>13.676588897827836</v>
      </c>
      <c r="AU119" s="936">
        <f t="shared" si="29"/>
        <v>18.695306284805092</v>
      </c>
      <c r="AV119" s="936">
        <f t="shared" si="30"/>
        <v>64.588261528836625</v>
      </c>
      <c r="AW119" s="575">
        <f t="shared" si="31"/>
        <v>0</v>
      </c>
      <c r="AX119" s="936">
        <f t="shared" si="45"/>
        <v>64.588261528836625</v>
      </c>
    </row>
    <row r="120" spans="1:50" s="87" customFormat="1" ht="13.5" customHeight="1" x14ac:dyDescent="0.2">
      <c r="A120" s="488">
        <f>VLOOKUP(B120,Sheet1!$AQ$4:$AR$25,2,FALSE)</f>
        <v>0</v>
      </c>
      <c r="B120" s="93" t="str">
        <f>Sheet1!$K$7</f>
        <v>East Sussex</v>
      </c>
      <c r="C120" s="85"/>
      <c r="D120" s="94">
        <f>IF(Year1_East_Sussex Year1_Adoption_ceased_LAC="","",Year1_East_Sussex Year1_Adoption_ceased_LAC)</f>
        <v>192</v>
      </c>
      <c r="E120" s="100">
        <f>IF(Year2_East_Sussex Year2_Adoption_ceased_LAC="","",Year2_East_Sussex Year2_Adoption_ceased_LAC)</f>
        <v>185</v>
      </c>
      <c r="F120" s="94">
        <f>IF(Year3_East_Sussex Year3_Adoption_ceased_LAC="","",Year3_East_Sussex Year3_Adoption_ceased_LAC)</f>
        <v>162</v>
      </c>
      <c r="G120" s="94">
        <f>IF(Year4_East_Sussex Year4_Adoption_ceased_LAC="","",Year4_East_Sussex Year4_Adoption_ceased_LAC)</f>
        <v>192</v>
      </c>
      <c r="H120" s="95">
        <f>IF(Year5_East_Sussex Year5_Adoption_ceased_LAC="","",Year5_East_Sussex Year5_Adoption_ceased_LAC)</f>
        <v>176</v>
      </c>
      <c r="I120" s="344">
        <f t="shared" si="32"/>
        <v>-1.4732701451451457E-2</v>
      </c>
      <c r="J120" s="96"/>
      <c r="K120" s="97">
        <f>IF(ISNUMBER(D120),D120/Population!D13*10000,NA())</f>
        <v>18.130311614730878</v>
      </c>
      <c r="L120" s="97">
        <f>IF(ISNUMBER(E120),E120/Population!E13*10000,NA())</f>
        <v>17.469310670443814</v>
      </c>
      <c r="M120" s="97">
        <f>IF(ISNUMBER(F120),F120/Population!F13*10000,NA())</f>
        <v>15.283018867924527</v>
      </c>
      <c r="N120" s="97">
        <f>IF(ISNUMBER(G120),G120/Population!G13*10000,NA())</f>
        <v>18.045112781954888</v>
      </c>
      <c r="O120" s="98">
        <f>IF(ISNUMBER(H120),H120/Population!H13*10000,NA())</f>
        <v>16.556914393226716</v>
      </c>
      <c r="P120" s="99">
        <f t="shared" si="33"/>
        <v>16.556914393226716</v>
      </c>
      <c r="Q120" s="934">
        <f t="shared" si="34"/>
        <v>5</v>
      </c>
      <c r="R120" s="70"/>
      <c r="S120" s="340">
        <f>IDACI!C12</f>
        <v>16.100000000000001</v>
      </c>
      <c r="T120" s="341">
        <f t="shared" si="35"/>
        <v>27.632143371288151</v>
      </c>
      <c r="U120" s="342">
        <f t="shared" si="36"/>
        <v>-11.075228978061435</v>
      </c>
      <c r="V120" s="122"/>
      <c r="W120" s="139"/>
      <c r="X120" s="1350"/>
      <c r="Y120" s="1400" t="str">
        <f t="shared" si="26"/>
        <v>East Sussex</v>
      </c>
      <c r="Z120" s="1401">
        <f>IF(ISNUMBER(H120),IDACI!D12,0)</f>
        <v>93130</v>
      </c>
      <c r="AA120" s="1401">
        <f>IF(ISNUMBER(H120),IDACI!E12,0)</f>
        <v>14993.93</v>
      </c>
      <c r="AB120" s="1402">
        <f>IF(ISNUMBER(D120),Population!D13,"")</f>
        <v>105900</v>
      </c>
      <c r="AC120" s="1402">
        <f>IF(ISNUMBER(E120),Population!E13,"")</f>
        <v>105900</v>
      </c>
      <c r="AD120" s="1402">
        <f>IF(ISNUMBER(F120),Population!F13,"")</f>
        <v>106000</v>
      </c>
      <c r="AE120" s="1402">
        <f>IF(ISNUMBER(G120),Population!G13,"")</f>
        <v>106400</v>
      </c>
      <c r="AF120" s="1354">
        <f>IF(ISNUMBER(H120),Population!H13,"")</f>
        <v>106300</v>
      </c>
      <c r="AG120" s="1355" t="s">
        <v>4</v>
      </c>
      <c r="AH120" s="1356">
        <f t="shared" si="37"/>
        <v>16.556914393226716</v>
      </c>
      <c r="AI120" s="1357">
        <f t="shared" si="38"/>
        <v>3</v>
      </c>
      <c r="AJ120" s="1351"/>
      <c r="AK120" s="1346"/>
      <c r="AL120" s="853">
        <f t="shared" si="39"/>
        <v>-3.6458333333333336E-2</v>
      </c>
      <c r="AM120" s="853">
        <f t="shared" si="40"/>
        <v>-0.12432432432432433</v>
      </c>
      <c r="AN120" s="853">
        <f t="shared" si="41"/>
        <v>0.18518518518518517</v>
      </c>
      <c r="AO120" s="853">
        <f t="shared" si="42"/>
        <v>-8.3333333333333329E-2</v>
      </c>
      <c r="AP120" s="853">
        <f t="shared" si="43"/>
        <v>-1.4732701451451457E-2</v>
      </c>
      <c r="AR120" s="936">
        <f t="shared" si="44"/>
        <v>17.469310670443814</v>
      </c>
      <c r="AS120" s="936">
        <f t="shared" si="27"/>
        <v>15.283018867924527</v>
      </c>
      <c r="AT120" s="936">
        <f t="shared" si="28"/>
        <v>18.045112781954888</v>
      </c>
      <c r="AU120" s="936">
        <f t="shared" si="29"/>
        <v>16.556914393226716</v>
      </c>
      <c r="AV120" s="936">
        <f t="shared" si="30"/>
        <v>67.354356713549947</v>
      </c>
      <c r="AW120" s="575">
        <f t="shared" si="31"/>
        <v>0</v>
      </c>
      <c r="AX120" s="936">
        <f t="shared" si="45"/>
        <v>67.354356713549947</v>
      </c>
    </row>
    <row r="121" spans="1:50" s="87" customFormat="1" ht="13.5" customHeight="1" x14ac:dyDescent="0.2">
      <c r="A121" s="488">
        <f>VLOOKUP(B121,Sheet1!$AQ$4:$AR$25,2,FALSE)</f>
        <v>0</v>
      </c>
      <c r="B121" s="93" t="str">
        <f>Sheet1!$K$8</f>
        <v>Hampshire</v>
      </c>
      <c r="C121" s="85"/>
      <c r="D121" s="94">
        <f>IF(Year1_Hampshire Year1_Adoption_ceased_LAC="","",Year1_Hampshire Year1_Adoption_ceased_LAC)</f>
        <v>545</v>
      </c>
      <c r="E121" s="94">
        <f>IF(Year2_Hampshire Year2_Adoption_ceased_LAC="","",Year2_Hampshire Year2_Adoption_ceased_LAC)</f>
        <v>532</v>
      </c>
      <c r="F121" s="101">
        <f>IF(Year3_Hampshire Year3_Adoption_ceased_LAC="","",Year3_Hampshire Year3_Adoption_ceased_LAC)</f>
        <v>486</v>
      </c>
      <c r="G121" s="101">
        <f>IF(Year4_Hampshire Year4_Adoption_ceased_LAC="","",Year4_Hampshire Year4_Adoption_ceased_LAC)</f>
        <v>593</v>
      </c>
      <c r="H121" s="95">
        <f>IF(Year5_Hampshire Year5_Adoption_ceased_LAC="","",Year5_Hampshire Year5_Adoption_ceased_LAC)</f>
        <v>624</v>
      </c>
      <c r="I121" s="344">
        <f t="shared" si="32"/>
        <v>4.0530448123970636E-2</v>
      </c>
      <c r="J121" s="96"/>
      <c r="K121" s="97">
        <f>IF(ISNUMBER(D121),D121/Population!D14*10000,NA())</f>
        <v>19.333096842852076</v>
      </c>
      <c r="L121" s="97">
        <f>IF(ISNUMBER(E121),E121/Population!E14*10000,NA())</f>
        <v>18.811881188118811</v>
      </c>
      <c r="M121" s="97">
        <f>IF(ISNUMBER(F121),F121/Population!F14*10000,NA())</f>
        <v>17.154959406989057</v>
      </c>
      <c r="N121" s="97">
        <f>IF(ISNUMBER(G121),G121/Population!G14*10000,NA())</f>
        <v>20.880281690140844</v>
      </c>
      <c r="O121" s="98">
        <f>IF(ISNUMBER(H121),H121/Population!H14*10000,NA())</f>
        <v>21.948645796693633</v>
      </c>
      <c r="P121" s="99">
        <f t="shared" si="33"/>
        <v>21.948645796693633</v>
      </c>
      <c r="Q121" s="934">
        <f t="shared" si="34"/>
        <v>8</v>
      </c>
      <c r="R121" s="70"/>
      <c r="S121" s="340">
        <f>IDACI!C13</f>
        <v>10.100000000000001</v>
      </c>
      <c r="T121" s="341">
        <f t="shared" si="35"/>
        <v>20.926541311747961</v>
      </c>
      <c r="U121" s="342">
        <f t="shared" si="36"/>
        <v>1.0221044849456717</v>
      </c>
      <c r="V121" s="122"/>
      <c r="W121" s="139"/>
      <c r="X121" s="1350"/>
      <c r="Y121" s="1400" t="str">
        <f t="shared" si="26"/>
        <v>Hampshire</v>
      </c>
      <c r="Z121" s="1401">
        <f>IF(ISNUMBER(H121),IDACI!D13,0)</f>
        <v>249483</v>
      </c>
      <c r="AA121" s="1401">
        <f>IF(ISNUMBER(H121),IDACI!E13,0)</f>
        <v>25197.783000000007</v>
      </c>
      <c r="AB121" s="1402">
        <f>IF(ISNUMBER(D121),Population!D14,"")</f>
        <v>281900</v>
      </c>
      <c r="AC121" s="1402">
        <f>IF(ISNUMBER(E121),Population!E14,"")</f>
        <v>282800</v>
      </c>
      <c r="AD121" s="1402">
        <f>IF(ISNUMBER(F121),Population!F14,"")</f>
        <v>283300</v>
      </c>
      <c r="AE121" s="1402">
        <f>IF(ISNUMBER(G121),Population!G14,"")</f>
        <v>284000</v>
      </c>
      <c r="AF121" s="1354">
        <f>IF(ISNUMBER(H121),Population!H14,"")</f>
        <v>284300</v>
      </c>
      <c r="AG121" s="1355" t="s">
        <v>6</v>
      </c>
      <c r="AH121" s="1356">
        <f t="shared" si="37"/>
        <v>21.948645796693633</v>
      </c>
      <c r="AI121" s="1357">
        <f t="shared" si="38"/>
        <v>12</v>
      </c>
      <c r="AJ121" s="1351"/>
      <c r="AK121" s="1346"/>
      <c r="AL121" s="853">
        <f t="shared" si="39"/>
        <v>-2.3853211009174313E-2</v>
      </c>
      <c r="AM121" s="853">
        <f t="shared" si="40"/>
        <v>-8.646616541353383E-2</v>
      </c>
      <c r="AN121" s="853">
        <f t="shared" si="41"/>
        <v>0.22016460905349794</v>
      </c>
      <c r="AO121" s="853">
        <f t="shared" si="42"/>
        <v>5.2276559865092748E-2</v>
      </c>
      <c r="AP121" s="853">
        <f t="shared" si="43"/>
        <v>4.0530448123970636E-2</v>
      </c>
      <c r="AR121" s="936">
        <f t="shared" si="44"/>
        <v>18.811881188118811</v>
      </c>
      <c r="AS121" s="936">
        <f t="shared" si="27"/>
        <v>17.154959406989057</v>
      </c>
      <c r="AT121" s="936">
        <f t="shared" si="28"/>
        <v>20.880281690140844</v>
      </c>
      <c r="AU121" s="936">
        <f t="shared" si="29"/>
        <v>21.948645796693633</v>
      </c>
      <c r="AV121" s="936">
        <f t="shared" si="30"/>
        <v>78.795768081942356</v>
      </c>
      <c r="AW121" s="575">
        <f t="shared" si="31"/>
        <v>0</v>
      </c>
      <c r="AX121" s="936">
        <f t="shared" si="45"/>
        <v>78.795768081942356</v>
      </c>
    </row>
    <row r="122" spans="1:50" s="87" customFormat="1" ht="13.5" customHeight="1" x14ac:dyDescent="0.2">
      <c r="A122" s="488">
        <f>VLOOKUP(B122,Sheet1!$AQ$4:$AR$25,2,FALSE)</f>
        <v>0</v>
      </c>
      <c r="B122" s="93" t="str">
        <f>Sheet1!$K$9</f>
        <v>Isle of Wight</v>
      </c>
      <c r="C122" s="85"/>
      <c r="D122" s="94">
        <f>IF(Year1_Isle_of_Wight Year1_Adoption_ceased_LAC="","",Year1_Isle_of_Wight Year1_Adoption_ceased_LAC)</f>
        <v>73</v>
      </c>
      <c r="E122" s="94">
        <f>IF(Year2_Isle_of_Wight Year2_Adoption_ceased_LAC="","",Year2_Isle_of_Wight Year2_Adoption_ceased_LAC)</f>
        <v>76</v>
      </c>
      <c r="F122" s="94">
        <f>IF(Year3_Isle_of_Wight Year3_Adoption_ceased_LAC="","",Year3_Isle_of_Wight Year3_Adoption_ceased_LAC)</f>
        <v>82</v>
      </c>
      <c r="G122" s="94">
        <f>IF(Year4_Isle_of_Wight Year4_Adoption_ceased_LAC="","",Year4_Isle_of_Wight Year4_Adoption_ceased_LAC)</f>
        <v>61</v>
      </c>
      <c r="H122" s="95">
        <f>IF(Year5_Isle_of_Wight Year5_Adoption_ceased_LAC="","",Year5_Isle_of_Wight Year5_Adoption_ceased_LAC)</f>
        <v>53</v>
      </c>
      <c r="I122" s="344">
        <f t="shared" si="32"/>
        <v>-6.6800460781801199E-2</v>
      </c>
      <c r="J122" s="96"/>
      <c r="K122" s="97">
        <f>IF(ISNUMBER(D122),D122/Population!D15*10000,NA())</f>
        <v>28.853754940711465</v>
      </c>
      <c r="L122" s="97">
        <f>IF(ISNUMBER(E122),E122/Population!E15*10000,NA())</f>
        <v>30.158730158730162</v>
      </c>
      <c r="M122" s="97">
        <f>IF(ISNUMBER(F122),F122/Population!F15*10000,NA())</f>
        <v>32.669322709163346</v>
      </c>
      <c r="N122" s="97">
        <f>IF(ISNUMBER(G122),G122/Population!G15*10000,NA())</f>
        <v>24.497991967871485</v>
      </c>
      <c r="O122" s="98">
        <f>IF(ISNUMBER(H122),H122/Population!H15*10000,NA())</f>
        <v>21.457489878542511</v>
      </c>
      <c r="P122" s="99">
        <f t="shared" si="33"/>
        <v>21.457489878542511</v>
      </c>
      <c r="Q122" s="934">
        <f>IF(ISNA(VLOOKUP(B122,$AG$10:$AI$28,3,FALSE)),"--",IF(ISNUMBER(H122),VLOOKUP(B122,$AG$10:$AI$28,3,FALSE),NA()))</f>
        <v>15</v>
      </c>
      <c r="R122" s="70"/>
      <c r="S122" s="340">
        <f>IDACI!C14</f>
        <v>18</v>
      </c>
      <c r="T122" s="341">
        <f t="shared" si="35"/>
        <v>29.75558402347588</v>
      </c>
      <c r="U122" s="342">
        <f t="shared" si="36"/>
        <v>-8.2980941449333692</v>
      </c>
      <c r="V122" s="122"/>
      <c r="W122" s="139"/>
      <c r="X122" s="1350"/>
      <c r="Y122" s="1400" t="str">
        <f t="shared" si="26"/>
        <v>Isle of Wight</v>
      </c>
      <c r="Z122" s="1401">
        <f>IF(ISNUMBER(H122),IDACI!D14,0)</f>
        <v>22123</v>
      </c>
      <c r="AA122" s="1401">
        <f>IF(ISNUMBER(H122),IDACI!E14,0)</f>
        <v>3982.14</v>
      </c>
      <c r="AB122" s="1402">
        <f>IF(ISNUMBER(D122),Population!D15,"")</f>
        <v>25300</v>
      </c>
      <c r="AC122" s="1402">
        <f>IF(ISNUMBER(E122),Population!E15,"")</f>
        <v>25200</v>
      </c>
      <c r="AD122" s="1402">
        <f>IF(ISNUMBER(F122),Population!F15,"")</f>
        <v>25100</v>
      </c>
      <c r="AE122" s="1402">
        <f>IF(ISNUMBER(G122),Population!G15,"")</f>
        <v>24900</v>
      </c>
      <c r="AF122" s="1354">
        <f>IF(ISNUMBER(H122),Population!H15,"")</f>
        <v>24700</v>
      </c>
      <c r="AG122" s="1355" t="s">
        <v>1</v>
      </c>
      <c r="AH122" s="1356">
        <f t="shared" si="37"/>
        <v>21.457489878542511</v>
      </c>
      <c r="AI122" s="1357">
        <f t="shared" si="38"/>
        <v>8</v>
      </c>
      <c r="AJ122" s="1351"/>
      <c r="AK122" s="1346"/>
      <c r="AL122" s="853">
        <f t="shared" si="39"/>
        <v>4.1095890410958902E-2</v>
      </c>
      <c r="AM122" s="853">
        <f t="shared" si="40"/>
        <v>7.8947368421052627E-2</v>
      </c>
      <c r="AN122" s="853">
        <f t="shared" si="41"/>
        <v>-0.25609756097560976</v>
      </c>
      <c r="AO122" s="853">
        <f t="shared" si="42"/>
        <v>-0.13114754098360656</v>
      </c>
      <c r="AP122" s="853">
        <f t="shared" si="43"/>
        <v>-6.6800460781801199E-2</v>
      </c>
      <c r="AR122" s="936">
        <f t="shared" si="44"/>
        <v>30.158730158730162</v>
      </c>
      <c r="AS122" s="936">
        <f t="shared" si="27"/>
        <v>32.669322709163346</v>
      </c>
      <c r="AT122" s="936">
        <f t="shared" si="28"/>
        <v>24.497991967871485</v>
      </c>
      <c r="AU122" s="936">
        <f t="shared" si="29"/>
        <v>21.457489878542511</v>
      </c>
      <c r="AV122" s="936">
        <f t="shared" si="30"/>
        <v>108.78353471430751</v>
      </c>
      <c r="AW122" s="575">
        <f t="shared" si="31"/>
        <v>0</v>
      </c>
      <c r="AX122" s="936">
        <f t="shared" si="45"/>
        <v>108.78353471430751</v>
      </c>
    </row>
    <row r="123" spans="1:50" s="87" customFormat="1" ht="13.5" customHeight="1" x14ac:dyDescent="0.2">
      <c r="A123" s="488">
        <f>VLOOKUP(B123,Sheet1!$AQ$4:$AR$25,2,FALSE)</f>
        <v>0</v>
      </c>
      <c r="B123" s="93" t="str">
        <f>Sheet1!$K$10</f>
        <v>Kent</v>
      </c>
      <c r="C123" s="85"/>
      <c r="D123" s="94">
        <f>IF(Year1_Kent Year1_Adoption_ceased_LAC="","",Year1_Kent Year1_Adoption_ceased_LAC)</f>
        <v>1079</v>
      </c>
      <c r="E123" s="94">
        <f>IF(Year2_Kent Year2_Adoption_ceased_LAC="","",Year2_Kent Year2_Adoption_ceased_LAC)</f>
        <v>1316</v>
      </c>
      <c r="F123" s="94">
        <f>IF(Year3_Kent Year3_Adoption_ceased_LAC="","",Year3_Kent Year3_Adoption_ceased_LAC)</f>
        <v>1049</v>
      </c>
      <c r="G123" s="94">
        <f>IF(Year4_Kent Year4_Adoption_ceased_LAC="","",Year4_Kent Year4_Adoption_ceased_LAC)</f>
        <v>763</v>
      </c>
      <c r="H123" s="95">
        <f>IF(Year5_Kent Year5_Adoption_ceased_LAC="","",Year5_Kent Year5_Adoption_ceased_LAC)</f>
        <v>738</v>
      </c>
      <c r="I123" s="344">
        <f t="shared" si="32"/>
        <v>-7.2161431444799737E-2</v>
      </c>
      <c r="J123" s="96"/>
      <c r="K123" s="97">
        <f>IF(ISNUMBER(D123),D123/Population!D16*10000,NA())</f>
        <v>32.657384987893465</v>
      </c>
      <c r="L123" s="97">
        <f>IF(ISNUMBER(E123),E123/Population!E16*10000,NA())</f>
        <v>39.51951951951952</v>
      </c>
      <c r="M123" s="97">
        <f>IF(ISNUMBER(F123),F123/Population!F16*10000,NA())</f>
        <v>31.210949122285033</v>
      </c>
      <c r="N123" s="97">
        <f>IF(ISNUMBER(G123),G123/Population!G16*10000,NA())</f>
        <v>22.43457806527492</v>
      </c>
      <c r="O123" s="98">
        <f>IF(ISNUMBER(H123),H123/Population!H16*10000,NA())</f>
        <v>21.465968586387437</v>
      </c>
      <c r="P123" s="99">
        <f t="shared" si="33"/>
        <v>21.465968586387437</v>
      </c>
      <c r="Q123" s="934">
        <f t="shared" ref="Q123:Q140" si="46">IF(ISNA(VLOOKUP(B123,$AG$10:$AI$28,3,FALSE)),"--",IF(ISNUMBER(H123),VLOOKUP(B123,$AG$10:$AI$28,3,FALSE),NA()))</f>
        <v>14</v>
      </c>
      <c r="R123" s="70"/>
      <c r="S123" s="340">
        <f>IDACI!C15</f>
        <v>15.8</v>
      </c>
      <c r="T123" s="341">
        <f t="shared" si="35"/>
        <v>27.296863268311142</v>
      </c>
      <c r="U123" s="342">
        <f t="shared" si="36"/>
        <v>-5.8308946819237057</v>
      </c>
      <c r="V123" s="122"/>
      <c r="W123" s="139"/>
      <c r="X123" s="1350"/>
      <c r="Y123" s="1400" t="str">
        <f t="shared" si="26"/>
        <v>Kent</v>
      </c>
      <c r="Z123" s="1401">
        <f>IF(ISNUMBER(H123),IDACI!D15,0)</f>
        <v>291866</v>
      </c>
      <c r="AA123" s="1401">
        <f>IF(ISNUMBER(H123),IDACI!E15,0)</f>
        <v>46114.828000000001</v>
      </c>
      <c r="AB123" s="1402">
        <f>IF(ISNUMBER(D123),Population!D16,"")</f>
        <v>330400</v>
      </c>
      <c r="AC123" s="1402">
        <f>IF(ISNUMBER(E123),Population!E16,"")</f>
        <v>333000</v>
      </c>
      <c r="AD123" s="1402">
        <f>IF(ISNUMBER(F123),Population!F16,"")</f>
        <v>336100</v>
      </c>
      <c r="AE123" s="1402">
        <f>IF(ISNUMBER(G123),Population!G16,"")</f>
        <v>340100</v>
      </c>
      <c r="AF123" s="1354">
        <f>IF(ISNUMBER(H123),Population!H16,"")</f>
        <v>343800</v>
      </c>
      <c r="AG123" s="1355" t="s">
        <v>9</v>
      </c>
      <c r="AH123" s="1356">
        <f t="shared" si="37"/>
        <v>21.465968586387437</v>
      </c>
      <c r="AI123" s="1357">
        <f t="shared" si="38"/>
        <v>9</v>
      </c>
      <c r="AJ123" s="1351"/>
      <c r="AK123" s="1346"/>
      <c r="AL123" s="853">
        <f t="shared" si="39"/>
        <v>0.21964782205746061</v>
      </c>
      <c r="AM123" s="853">
        <f t="shared" si="40"/>
        <v>-0.20288753799392098</v>
      </c>
      <c r="AN123" s="853">
        <f t="shared" si="41"/>
        <v>-0.27264061010486179</v>
      </c>
      <c r="AO123" s="853">
        <f t="shared" si="42"/>
        <v>-3.2765399737876802E-2</v>
      </c>
      <c r="AP123" s="853">
        <f t="shared" si="43"/>
        <v>-7.2161431444799737E-2</v>
      </c>
      <c r="AR123" s="936">
        <f t="shared" si="44"/>
        <v>39.51951951951952</v>
      </c>
      <c r="AS123" s="936">
        <f t="shared" si="27"/>
        <v>31.210949122285033</v>
      </c>
      <c r="AT123" s="936">
        <f t="shared" si="28"/>
        <v>22.43457806527492</v>
      </c>
      <c r="AU123" s="936">
        <f t="shared" si="29"/>
        <v>21.465968586387437</v>
      </c>
      <c r="AV123" s="936">
        <f t="shared" si="30"/>
        <v>114.6310152934669</v>
      </c>
      <c r="AW123" s="575">
        <f t="shared" si="31"/>
        <v>0</v>
      </c>
      <c r="AX123" s="936">
        <f t="shared" si="45"/>
        <v>114.6310152934669</v>
      </c>
    </row>
    <row r="124" spans="1:50" s="87" customFormat="1" ht="13.5" customHeight="1" x14ac:dyDescent="0.2">
      <c r="A124" s="488">
        <f>VLOOKUP(B124,Sheet1!$AQ$4:$AR$25,2,FALSE)</f>
        <v>0</v>
      </c>
      <c r="B124" s="93" t="str">
        <f>Sheet1!$K$11</f>
        <v>Medway</v>
      </c>
      <c r="C124" s="85"/>
      <c r="D124" s="94">
        <f>IF(Year1_Medway Year1_Adoption_ceased_LAC="","",Year1_Medway Year1_Adoption_ceased_LAC)</f>
        <v>210</v>
      </c>
      <c r="E124" s="301">
        <f>IF(Year2_Medway Year2_Adoption_ceased_LAC="","",Year2_Medway Year2_Adoption_ceased_LAC)</f>
        <v>187</v>
      </c>
      <c r="F124" s="301">
        <f>IF(Year3_Medway Year3_Adoption_ceased_LAC="","",Year3_Medway Year3_Adoption_ceased_LAC)</f>
        <v>159</v>
      </c>
      <c r="G124" s="301">
        <f>IF(Year4_Medway Year4_Adoption_ceased_LAC="","",Year4_Medway Year4_Adoption_ceased_LAC)</f>
        <v>158</v>
      </c>
      <c r="H124" s="302">
        <f>IF(Year5_Medway Year5_Adoption_ceased_LAC="","",Year5_Medway Year5_Adoption_ceased_LAC)</f>
        <v>180</v>
      </c>
      <c r="I124" s="344">
        <f t="shared" si="32"/>
        <v>-3.1576307922912959E-2</v>
      </c>
      <c r="J124" s="96"/>
      <c r="K124" s="97">
        <f>IF(ISNUMBER(D124),D124/Population!D17*10000,NA())</f>
        <v>33.22784810126582</v>
      </c>
      <c r="L124" s="97">
        <f>IF(ISNUMBER(E124),E124/Population!E17*10000,NA())</f>
        <v>29.356357927786497</v>
      </c>
      <c r="M124" s="97">
        <f>IF(ISNUMBER(F124),F124/Population!F17*10000,NA())</f>
        <v>24.88262910798122</v>
      </c>
      <c r="N124" s="97">
        <f>IF(ISNUMBER(G124),G124/Population!G17*10000,NA())</f>
        <v>24.534161490683232</v>
      </c>
      <c r="O124" s="98">
        <f>IF(ISNUMBER(H124),H124/Population!H17*10000,NA())</f>
        <v>27.69230769230769</v>
      </c>
      <c r="P124" s="99">
        <f t="shared" si="33"/>
        <v>27.69230769230769</v>
      </c>
      <c r="Q124" s="934">
        <f t="shared" si="46"/>
        <v>13</v>
      </c>
      <c r="R124" s="70"/>
      <c r="S124" s="340">
        <f>IDACI!C16</f>
        <v>18.899999999999999</v>
      </c>
      <c r="T124" s="341">
        <f t="shared" si="35"/>
        <v>30.761424332406907</v>
      </c>
      <c r="U124" s="342">
        <f t="shared" si="36"/>
        <v>-3.0691166400992174</v>
      </c>
      <c r="V124" s="122"/>
      <c r="W124" s="139"/>
      <c r="X124" s="1350"/>
      <c r="Y124" s="1400" t="str">
        <f t="shared" si="26"/>
        <v>Medway</v>
      </c>
      <c r="Z124" s="1401">
        <f>IF(ISNUMBER(H124),IDACI!D16,0)</f>
        <v>55993</v>
      </c>
      <c r="AA124" s="1401">
        <f>IF(ISNUMBER(H124),IDACI!E16,0)</f>
        <v>10582.676999999998</v>
      </c>
      <c r="AB124" s="1402">
        <f>IF(ISNUMBER(D124),Population!D17,"")</f>
        <v>63200</v>
      </c>
      <c r="AC124" s="1402">
        <f>IF(ISNUMBER(E124),Population!E17,"")</f>
        <v>63700</v>
      </c>
      <c r="AD124" s="1402">
        <f>IF(ISNUMBER(F124),Population!F17,"")</f>
        <v>63900</v>
      </c>
      <c r="AE124" s="1402">
        <f>IF(ISNUMBER(G124),Population!G17,"")</f>
        <v>64400</v>
      </c>
      <c r="AF124" s="1354">
        <f>IF(ISNUMBER(H124),Population!H17,"")</f>
        <v>65000</v>
      </c>
      <c r="AG124" s="1355" t="s">
        <v>2</v>
      </c>
      <c r="AH124" s="1356">
        <f t="shared" si="37"/>
        <v>27.69230769230769</v>
      </c>
      <c r="AI124" s="1357">
        <f t="shared" si="38"/>
        <v>14</v>
      </c>
      <c r="AJ124" s="1351"/>
      <c r="AK124" s="1346"/>
      <c r="AL124" s="853">
        <f t="shared" si="39"/>
        <v>-0.10952380952380952</v>
      </c>
      <c r="AM124" s="853">
        <f t="shared" si="40"/>
        <v>-0.1497326203208556</v>
      </c>
      <c r="AN124" s="853">
        <f t="shared" si="41"/>
        <v>-6.2893081761006293E-3</v>
      </c>
      <c r="AO124" s="853">
        <f t="shared" si="42"/>
        <v>0.13924050632911392</v>
      </c>
      <c r="AP124" s="853">
        <f t="shared" si="43"/>
        <v>-3.1576307922912959E-2</v>
      </c>
      <c r="AR124" s="936">
        <f t="shared" si="44"/>
        <v>29.356357927786497</v>
      </c>
      <c r="AS124" s="936">
        <f t="shared" si="27"/>
        <v>24.88262910798122</v>
      </c>
      <c r="AT124" s="936">
        <f t="shared" si="28"/>
        <v>24.534161490683232</v>
      </c>
      <c r="AU124" s="936">
        <f t="shared" si="29"/>
        <v>27.69230769230769</v>
      </c>
      <c r="AV124" s="936">
        <f t="shared" si="30"/>
        <v>106.46545621875865</v>
      </c>
      <c r="AW124" s="575">
        <f t="shared" si="31"/>
        <v>0</v>
      </c>
      <c r="AX124" s="936">
        <f t="shared" si="45"/>
        <v>106.46545621875865</v>
      </c>
    </row>
    <row r="125" spans="1:50" s="87" customFormat="1" ht="13.5" customHeight="1" x14ac:dyDescent="0.2">
      <c r="A125" s="488">
        <f>VLOOKUP(B125,Sheet1!$AQ$4:$AR$25,2,FALSE)</f>
        <v>0</v>
      </c>
      <c r="B125" s="93" t="str">
        <f>Sheet1!$K$12</f>
        <v>Milton Keynes</v>
      </c>
      <c r="C125" s="85"/>
      <c r="D125" s="94">
        <f>IF(Year1_Milton_Keynes Year1_Adoption_ceased_LAC="","",Year1_Milton_Keynes Year1_Adoption_ceased_LAC)</f>
        <v>186</v>
      </c>
      <c r="E125" s="94">
        <f>IF(Year2_Milton_Keynes Year2_Adoption_ceased_LAC="","",Year2_Milton_Keynes Year2_Adoption_ceased_LAC)</f>
        <v>152</v>
      </c>
      <c r="F125" s="94">
        <f>IF(Year3_Milton_Keynes Year3_Adoption_ceased_LAC="","",Year3_Milton_Keynes Year3_Adoption_ceased_LAC)</f>
        <v>145</v>
      </c>
      <c r="G125" s="94">
        <f>IF(Year4_Milton_Keynes Year4_Adoption_ceased_LAC="","",Year4_Milton_Keynes Year4_Adoption_ceased_LAC)</f>
        <v>173</v>
      </c>
      <c r="H125" s="95">
        <f>IF(Year5_Milton_Keynes Year5_Adoption_ceased_LAC="","",Year5_Milton_Keynes Year5_Adoption_ceased_LAC)</f>
        <v>148</v>
      </c>
      <c r="I125" s="344">
        <f t="shared" si="32"/>
        <v>-4.506338818701193E-2</v>
      </c>
      <c r="J125" s="96"/>
      <c r="K125" s="97">
        <f>IF(ISNUMBER(D125),D125/Population!D18*10000,NA())</f>
        <v>28.139183055975792</v>
      </c>
      <c r="L125" s="97">
        <f>IF(ISNUMBER(E125),E125/Population!E18*10000,NA())</f>
        <v>22.652757078986586</v>
      </c>
      <c r="M125" s="97">
        <f>IF(ISNUMBER(F125),F125/Population!F18*10000,NA())</f>
        <v>21.449704142011832</v>
      </c>
      <c r="N125" s="97">
        <f>IF(ISNUMBER(G125),G125/Population!G18*10000,NA())</f>
        <v>25.329428989751101</v>
      </c>
      <c r="O125" s="98">
        <f>IF(ISNUMBER(H125),H125/Population!H18*10000,NA())</f>
        <v>21.511627906976742</v>
      </c>
      <c r="P125" s="99">
        <f t="shared" si="33"/>
        <v>21.511627906976742</v>
      </c>
      <c r="Q125" s="934">
        <f t="shared" si="46"/>
        <v>10</v>
      </c>
      <c r="R125" s="70"/>
      <c r="S125" s="340">
        <f>IDACI!C17</f>
        <v>15</v>
      </c>
      <c r="T125" s="341">
        <f t="shared" si="35"/>
        <v>26.402782993705785</v>
      </c>
      <c r="U125" s="342">
        <f t="shared" si="36"/>
        <v>-4.891155086729043</v>
      </c>
      <c r="V125" s="122"/>
      <c r="W125" s="139"/>
      <c r="X125" s="1350"/>
      <c r="Y125" s="1400" t="str">
        <f t="shared" si="26"/>
        <v>Milton Keynes</v>
      </c>
      <c r="Z125" s="1401">
        <f>IF(ISNUMBER(H125),IDACI!D17,0)</f>
        <v>59903</v>
      </c>
      <c r="AA125" s="1401">
        <f>IF(ISNUMBER(H125),IDACI!E17,0)</f>
        <v>8985.4499999999989</v>
      </c>
      <c r="AB125" s="1402">
        <f>IF(ISNUMBER(D125),Population!D18,"")</f>
        <v>66100</v>
      </c>
      <c r="AC125" s="1402">
        <f>IF(ISNUMBER(E125),Population!E18,"")</f>
        <v>67100</v>
      </c>
      <c r="AD125" s="1402">
        <f>IF(ISNUMBER(F125),Population!F18,"")</f>
        <v>67600</v>
      </c>
      <c r="AE125" s="1402">
        <f>IF(ISNUMBER(G125),Population!G18,"")</f>
        <v>68300</v>
      </c>
      <c r="AF125" s="1354">
        <f>IF(ISNUMBER(H125),Population!H18,"")</f>
        <v>68800</v>
      </c>
      <c r="AG125" s="1355" t="s">
        <v>10</v>
      </c>
      <c r="AH125" s="1356">
        <f t="shared" si="37"/>
        <v>21.511627906976742</v>
      </c>
      <c r="AI125" s="1357">
        <f t="shared" si="38"/>
        <v>10</v>
      </c>
      <c r="AJ125" s="1351"/>
      <c r="AK125" s="1346"/>
      <c r="AL125" s="853">
        <f t="shared" si="39"/>
        <v>-0.18279569892473119</v>
      </c>
      <c r="AM125" s="853">
        <f t="shared" si="40"/>
        <v>-4.6052631578947366E-2</v>
      </c>
      <c r="AN125" s="853">
        <f t="shared" si="41"/>
        <v>0.19310344827586207</v>
      </c>
      <c r="AO125" s="853">
        <f t="shared" si="42"/>
        <v>-0.14450867052023122</v>
      </c>
      <c r="AP125" s="853">
        <f t="shared" si="43"/>
        <v>-4.506338818701193E-2</v>
      </c>
      <c r="AR125" s="936">
        <f t="shared" si="44"/>
        <v>22.652757078986586</v>
      </c>
      <c r="AS125" s="936">
        <f t="shared" si="27"/>
        <v>21.449704142011832</v>
      </c>
      <c r="AT125" s="936">
        <f t="shared" si="28"/>
        <v>25.329428989751101</v>
      </c>
      <c r="AU125" s="936">
        <f t="shared" si="29"/>
        <v>21.511627906976742</v>
      </c>
      <c r="AV125" s="936">
        <f t="shared" si="30"/>
        <v>90.943518117726256</v>
      </c>
      <c r="AW125" s="575">
        <f t="shared" si="31"/>
        <v>0</v>
      </c>
      <c r="AX125" s="936">
        <f t="shared" si="45"/>
        <v>90.943518117726256</v>
      </c>
    </row>
    <row r="126" spans="1:50" s="87" customFormat="1" ht="13.5" customHeight="1" x14ac:dyDescent="0.2">
      <c r="A126" s="488">
        <f>VLOOKUP(B126,Sheet1!$AQ$4:$AR$25,2,FALSE)</f>
        <v>0</v>
      </c>
      <c r="B126" s="93" t="str">
        <f>Sheet1!$K$13</f>
        <v>Oxfordshire</v>
      </c>
      <c r="C126" s="85"/>
      <c r="D126" s="94">
        <f>IF(Year1_Oxfordshire Year1_Adoption_ceased_LAC="","",Year1_Oxfordshire Year1_Adoption_ceased_LAC)</f>
        <v>280</v>
      </c>
      <c r="E126" s="94">
        <f>IF(Year2_Oxfordshire Year2_Adoption_ceased_LAC="","",Year2_Oxfordshire Year2_Adoption_ceased_LAC)</f>
        <v>286</v>
      </c>
      <c r="F126" s="94">
        <f>IF(Year3_Oxfordshire Year3_Adoption_ceased_LAC="","",Year3_Oxfordshire Year3_Adoption_ceased_LAC)</f>
        <v>298</v>
      </c>
      <c r="G126" s="94">
        <f>IF(Year4_Oxfordshire Year4_Adoption_ceased_LAC="","",Year4_Oxfordshire Year4_Adoption_ceased_LAC)</f>
        <v>273</v>
      </c>
      <c r="H126" s="95">
        <f>IF(Year5_Oxfordshire Year5_Adoption_ceased_LAC="","",Year5_Oxfordshire Year5_Adoption_ceased_LAC)</f>
        <v>322</v>
      </c>
      <c r="I126" s="344">
        <f t="shared" si="32"/>
        <v>3.9745293856032107E-2</v>
      </c>
      <c r="J126" s="96"/>
      <c r="K126" s="97">
        <f>IF(ISNUMBER(D126),D126/Population!D19*10000,NA())</f>
        <v>19.746121297602258</v>
      </c>
      <c r="L126" s="97">
        <f>IF(ISNUMBER(E126),E126/Population!E19*10000,NA())</f>
        <v>20.013995801259622</v>
      </c>
      <c r="M126" s="97">
        <f>IF(ISNUMBER(F126),F126/Population!F19*10000,NA())</f>
        <v>20.781032078103205</v>
      </c>
      <c r="N126" s="97">
        <f>IF(ISNUMBER(G126),G126/Population!G19*10000,NA())</f>
        <v>18.853591160220994</v>
      </c>
      <c r="O126" s="98">
        <f>IF(ISNUMBER(H126),H126/Population!H19*10000,NA())</f>
        <v>22.039698836413415</v>
      </c>
      <c r="P126" s="99">
        <f t="shared" si="33"/>
        <v>22.039698836413415</v>
      </c>
      <c r="Q126" s="934">
        <f t="shared" si="46"/>
        <v>9</v>
      </c>
      <c r="R126" s="70"/>
      <c r="S126" s="340">
        <f>IDACI!C18</f>
        <v>10.100000000000001</v>
      </c>
      <c r="T126" s="341">
        <f t="shared" si="35"/>
        <v>20.926541311747961</v>
      </c>
      <c r="U126" s="342">
        <f t="shared" si="36"/>
        <v>1.1131575246654535</v>
      </c>
      <c r="V126" s="122"/>
      <c r="W126" s="139"/>
      <c r="X126" s="1350"/>
      <c r="Y126" s="1400" t="str">
        <f t="shared" si="26"/>
        <v>Oxfordshire</v>
      </c>
      <c r="Z126" s="1401">
        <f>IF(ISNUMBER(H126),IDACI!D18,0)</f>
        <v>126119</v>
      </c>
      <c r="AA126" s="1401">
        <f>IF(ISNUMBER(H126),IDACI!E18,0)</f>
        <v>12738.019000000002</v>
      </c>
      <c r="AB126" s="1402">
        <f>IF(ISNUMBER(D126),Population!D19,"")</f>
        <v>141800</v>
      </c>
      <c r="AC126" s="1402">
        <f>IF(ISNUMBER(E126),Population!E19,"")</f>
        <v>142900</v>
      </c>
      <c r="AD126" s="1402">
        <f>IF(ISNUMBER(F126),Population!F19,"")</f>
        <v>143400</v>
      </c>
      <c r="AE126" s="1402">
        <f>IF(ISNUMBER(G126),Population!G19,"")</f>
        <v>144800</v>
      </c>
      <c r="AF126" s="1354">
        <f>IF(ISNUMBER(H126),Population!H19,"")</f>
        <v>146100</v>
      </c>
      <c r="AG126" s="1355" t="s">
        <v>11</v>
      </c>
      <c r="AH126" s="1356">
        <f t="shared" si="37"/>
        <v>22.039698836413415</v>
      </c>
      <c r="AI126" s="1357">
        <f t="shared" si="38"/>
        <v>13</v>
      </c>
      <c r="AJ126" s="1351"/>
      <c r="AK126" s="1346"/>
      <c r="AL126" s="853">
        <f t="shared" si="39"/>
        <v>2.1428571428571429E-2</v>
      </c>
      <c r="AM126" s="853">
        <f t="shared" si="40"/>
        <v>4.195804195804196E-2</v>
      </c>
      <c r="AN126" s="853">
        <f t="shared" si="41"/>
        <v>-8.3892617449664433E-2</v>
      </c>
      <c r="AO126" s="853">
        <f t="shared" si="42"/>
        <v>0.17948717948717949</v>
      </c>
      <c r="AP126" s="853">
        <f t="shared" si="43"/>
        <v>3.9745293856032107E-2</v>
      </c>
      <c r="AR126" s="936">
        <f t="shared" si="44"/>
        <v>20.013995801259622</v>
      </c>
      <c r="AS126" s="936">
        <f t="shared" si="27"/>
        <v>20.781032078103205</v>
      </c>
      <c r="AT126" s="936">
        <f t="shared" si="28"/>
        <v>18.853591160220994</v>
      </c>
      <c r="AU126" s="936">
        <f t="shared" si="29"/>
        <v>22.039698836413415</v>
      </c>
      <c r="AV126" s="936">
        <f t="shared" si="30"/>
        <v>81.688317875997228</v>
      </c>
      <c r="AW126" s="575">
        <f t="shared" si="31"/>
        <v>0</v>
      </c>
      <c r="AX126" s="936">
        <f t="shared" si="45"/>
        <v>81.688317875997228</v>
      </c>
    </row>
    <row r="127" spans="1:50" s="87" customFormat="1" ht="13.5" customHeight="1" x14ac:dyDescent="0.2">
      <c r="A127" s="488">
        <f>VLOOKUP(B127,Sheet1!$AQ$4:$AR$25,2,FALSE)</f>
        <v>0</v>
      </c>
      <c r="B127" s="93" t="str">
        <f>Sheet1!$K$14</f>
        <v>Portsmouth</v>
      </c>
      <c r="C127" s="85"/>
      <c r="D127" s="94">
        <f>IF(Year1_Portsmouth Year1_Adoption_ceased_LAC="","",Year1_Portsmouth Year1_Adoption_ceased_LAC)</f>
        <v>126</v>
      </c>
      <c r="E127" s="94">
        <f>IF(Year2_Portsmouth Year2_Adoption_ceased_LAC="","",Year2_Portsmouth Year2_Adoption_ceased_LAC)</f>
        <v>123</v>
      </c>
      <c r="F127" s="94">
        <f>IF(Year3_Portsmouth Year3_Adoption_ceased_LAC="","",Year3_Portsmouth Year3_Adoption_ceased_LAC)</f>
        <v>186</v>
      </c>
      <c r="G127" s="94">
        <f>IF(Year4_Portsmouth Year4_Adoption_ceased_LAC="","",Year4_Portsmouth Year4_Adoption_ceased_LAC)</f>
        <v>161</v>
      </c>
      <c r="H127" s="95">
        <f>IF(Year5_Portsmouth Year5_Adoption_ceased_LAC="","",Year5_Portsmouth Year5_Adoption_ceased_LAC)</f>
        <v>204</v>
      </c>
      <c r="I127" s="344">
        <f t="shared" si="32"/>
        <v>0.15526443533319323</v>
      </c>
      <c r="J127" s="96"/>
      <c r="K127" s="97">
        <f>IF(ISNUMBER(D127),D127/Population!D20*10000,NA())</f>
        <v>28.767123287671232</v>
      </c>
      <c r="L127" s="97">
        <f>IF(ISNUMBER(E127),E127/Population!E20*10000,NA())</f>
        <v>27.954545454545453</v>
      </c>
      <c r="M127" s="97">
        <f>IF(ISNUMBER(F127),F127/Population!F20*10000,NA())</f>
        <v>42.081447963800905</v>
      </c>
      <c r="N127" s="97">
        <f>IF(ISNUMBER(G127),G127/Population!G20*10000,NA())</f>
        <v>36.590909090909093</v>
      </c>
      <c r="O127" s="98">
        <f>IF(ISNUMBER(H127),H127/Population!H20*10000,NA())</f>
        <v>46.575342465753423</v>
      </c>
      <c r="P127" s="99">
        <f t="shared" si="33"/>
        <v>46.575342465753423</v>
      </c>
      <c r="Q127" s="934">
        <f t="shared" si="46"/>
        <v>19</v>
      </c>
      <c r="R127" s="70"/>
      <c r="S127" s="340">
        <f>IDACI!C19</f>
        <v>20.200000000000003</v>
      </c>
      <c r="T127" s="341">
        <f t="shared" si="35"/>
        <v>32.214304778640624</v>
      </c>
      <c r="U127" s="342">
        <f t="shared" si="36"/>
        <v>14.361037687112798</v>
      </c>
      <c r="V127" s="122"/>
      <c r="W127" s="139"/>
      <c r="X127" s="1350"/>
      <c r="Y127" s="1400" t="str">
        <f t="shared" si="26"/>
        <v>Portsmouth</v>
      </c>
      <c r="Z127" s="1401">
        <f>IF(ISNUMBER(H127),IDACI!D19,0)</f>
        <v>39325</v>
      </c>
      <c r="AA127" s="1401">
        <f>IF(ISNUMBER(H127),IDACI!E19,0)</f>
        <v>7943.6500000000015</v>
      </c>
      <c r="AB127" s="1402">
        <f>IF(ISNUMBER(D127),Population!D20,"")</f>
        <v>43800</v>
      </c>
      <c r="AC127" s="1402">
        <f>IF(ISNUMBER(E127),Population!E20,"")</f>
        <v>44000</v>
      </c>
      <c r="AD127" s="1402">
        <f>IF(ISNUMBER(F127),Population!F20,"")</f>
        <v>44200</v>
      </c>
      <c r="AE127" s="1402">
        <f>IF(ISNUMBER(G127),Population!G20,"")</f>
        <v>44000</v>
      </c>
      <c r="AF127" s="1354">
        <f>IF(ISNUMBER(H127),Population!H20,"")</f>
        <v>43800</v>
      </c>
      <c r="AG127" s="1355" t="s">
        <v>12</v>
      </c>
      <c r="AH127" s="1356">
        <f t="shared" si="37"/>
        <v>46.575342465753423</v>
      </c>
      <c r="AI127" s="1357">
        <f t="shared" si="38"/>
        <v>19</v>
      </c>
      <c r="AJ127" s="1351"/>
      <c r="AK127" s="1346"/>
      <c r="AL127" s="853">
        <f t="shared" si="39"/>
        <v>-2.3809523809523808E-2</v>
      </c>
      <c r="AM127" s="853">
        <f t="shared" si="40"/>
        <v>0.51219512195121952</v>
      </c>
      <c r="AN127" s="853">
        <f t="shared" si="41"/>
        <v>-0.13440860215053763</v>
      </c>
      <c r="AO127" s="853">
        <f t="shared" si="42"/>
        <v>0.26708074534161491</v>
      </c>
      <c r="AP127" s="853">
        <f t="shared" si="43"/>
        <v>0.15526443533319323</v>
      </c>
      <c r="AR127" s="936">
        <f t="shared" si="44"/>
        <v>27.954545454545453</v>
      </c>
      <c r="AS127" s="936">
        <f t="shared" si="27"/>
        <v>42.081447963800905</v>
      </c>
      <c r="AT127" s="936">
        <f t="shared" si="28"/>
        <v>36.590909090909093</v>
      </c>
      <c r="AU127" s="936">
        <f t="shared" si="29"/>
        <v>46.575342465753423</v>
      </c>
      <c r="AV127" s="936">
        <f t="shared" si="30"/>
        <v>153.20224497500885</v>
      </c>
      <c r="AW127" s="575">
        <f t="shared" si="31"/>
        <v>0</v>
      </c>
      <c r="AX127" s="936">
        <f t="shared" si="45"/>
        <v>153.20224497500885</v>
      </c>
    </row>
    <row r="128" spans="1:50" s="87" customFormat="1" ht="13.5" customHeight="1" x14ac:dyDescent="0.2">
      <c r="A128" s="488">
        <f>VLOOKUP(B128,Sheet1!$AQ$4:$AR$25,2,FALSE)</f>
        <v>0</v>
      </c>
      <c r="B128" s="93" t="str">
        <f>Sheet1!$K$15</f>
        <v>Reading</v>
      </c>
      <c r="C128" s="85"/>
      <c r="D128" s="94">
        <f>IF(Year1_Reading Year1_Adoption_ceased_LAC="","",Year1_Reading Year1_Adoption_ceased_LAC)</f>
        <v>123</v>
      </c>
      <c r="E128" s="94">
        <f>IF(Year2_Reading Year2_Adoption_ceased_LAC="","",Year2_Reading Year2_Adoption_ceased_LAC)</f>
        <v>100</v>
      </c>
      <c r="F128" s="94">
        <f>IF(Year3_Reading Year3_Adoption_ceased_LAC="","",Year3_Reading Year3_Adoption_ceased_LAC)</f>
        <v>92</v>
      </c>
      <c r="G128" s="94">
        <f>IF(Year4_Reading Year4_Adoption_ceased_LAC="","",Year4_Reading Year4_Adoption_ceased_LAC)</f>
        <v>95</v>
      </c>
      <c r="H128" s="95">
        <f>IF(Year5_Reading Year5_Adoption_ceased_LAC="","",Year5_Reading Year5_Adoption_ceased_LAC)</f>
        <v>109</v>
      </c>
      <c r="I128" s="344">
        <f t="shared" si="32"/>
        <v>-2.175368830347342E-2</v>
      </c>
      <c r="J128" s="96"/>
      <c r="K128" s="97">
        <f>IF(ISNUMBER(D128),D128/Population!D21*10000,NA())</f>
        <v>33.791208791208788</v>
      </c>
      <c r="L128" s="97">
        <f>IF(ISNUMBER(E128),E128/Population!E21*10000,NA())</f>
        <v>27.3224043715847</v>
      </c>
      <c r="M128" s="97">
        <f>IF(ISNUMBER(F128),F128/Population!F21*10000,NA())</f>
        <v>24.797843665768195</v>
      </c>
      <c r="N128" s="97">
        <f>IF(ISNUMBER(G128),G128/Population!G21*10000,NA())</f>
        <v>25.60646900269542</v>
      </c>
      <c r="O128" s="98">
        <f>IF(ISNUMBER(H128),H128/Population!H21*10000,NA())</f>
        <v>29.45945945945946</v>
      </c>
      <c r="P128" s="99">
        <f t="shared" si="33"/>
        <v>29.45945945945946</v>
      </c>
      <c r="Q128" s="934">
        <f t="shared" si="46"/>
        <v>17</v>
      </c>
      <c r="R128" s="70"/>
      <c r="S128" s="340">
        <f>IDACI!C20</f>
        <v>16</v>
      </c>
      <c r="T128" s="341">
        <f t="shared" si="35"/>
        <v>27.520383336962482</v>
      </c>
      <c r="U128" s="342">
        <f t="shared" si="36"/>
        <v>1.9390761224969779</v>
      </c>
      <c r="V128" s="122"/>
      <c r="W128" s="139"/>
      <c r="X128" s="1350"/>
      <c r="Y128" s="1400" t="str">
        <f t="shared" si="26"/>
        <v>Reading</v>
      </c>
      <c r="Z128" s="1401">
        <f>IF(ISNUMBER(H128),IDACI!D20,0)</f>
        <v>33203</v>
      </c>
      <c r="AA128" s="1401">
        <f>IF(ISNUMBER(H128),IDACI!E20,0)</f>
        <v>5312.4800000000005</v>
      </c>
      <c r="AB128" s="1402">
        <f>IF(ISNUMBER(D128),Population!D21,"")</f>
        <v>36400</v>
      </c>
      <c r="AC128" s="1402">
        <f>IF(ISNUMBER(E128),Population!E21,"")</f>
        <v>36600</v>
      </c>
      <c r="AD128" s="1402">
        <f>IF(ISNUMBER(F128),Population!F21,"")</f>
        <v>37100</v>
      </c>
      <c r="AE128" s="1402">
        <f>IF(ISNUMBER(G128),Population!G21,"")</f>
        <v>37100</v>
      </c>
      <c r="AF128" s="1354">
        <f>IF(ISNUMBER(H128),Population!H21,"")</f>
        <v>37000</v>
      </c>
      <c r="AG128" s="1355" t="s">
        <v>3</v>
      </c>
      <c r="AH128" s="1356">
        <f t="shared" si="37"/>
        <v>29.45945945945946</v>
      </c>
      <c r="AI128" s="1357">
        <f t="shared" si="38"/>
        <v>16</v>
      </c>
      <c r="AJ128" s="1351"/>
      <c r="AK128" s="1346"/>
      <c r="AL128" s="853">
        <f t="shared" si="39"/>
        <v>-0.18699186991869918</v>
      </c>
      <c r="AM128" s="853">
        <f t="shared" si="40"/>
        <v>-0.08</v>
      </c>
      <c r="AN128" s="853">
        <f t="shared" si="41"/>
        <v>3.2608695652173912E-2</v>
      </c>
      <c r="AO128" s="853">
        <f t="shared" si="42"/>
        <v>0.14736842105263157</v>
      </c>
      <c r="AP128" s="853">
        <f t="shared" si="43"/>
        <v>-2.175368830347342E-2</v>
      </c>
      <c r="AR128" s="936">
        <f t="shared" si="44"/>
        <v>27.3224043715847</v>
      </c>
      <c r="AS128" s="936">
        <f t="shared" si="27"/>
        <v>24.797843665768195</v>
      </c>
      <c r="AT128" s="936">
        <f t="shared" si="28"/>
        <v>25.60646900269542</v>
      </c>
      <c r="AU128" s="936">
        <f t="shared" si="29"/>
        <v>29.45945945945946</v>
      </c>
      <c r="AV128" s="936">
        <f t="shared" si="30"/>
        <v>107.18617649950778</v>
      </c>
      <c r="AW128" s="575">
        <f t="shared" si="31"/>
        <v>0</v>
      </c>
      <c r="AX128" s="936">
        <f t="shared" si="45"/>
        <v>107.18617649950778</v>
      </c>
    </row>
    <row r="129" spans="1:55" s="87" customFormat="1" ht="13.5" customHeight="1" x14ac:dyDescent="0.2">
      <c r="A129" s="488">
        <f>VLOOKUP(B129,Sheet1!$AQ$4:$AR$25,2,FALSE)</f>
        <v>0</v>
      </c>
      <c r="B129" s="93" t="str">
        <f>Sheet1!$K$16</f>
        <v>Slough</v>
      </c>
      <c r="C129" s="85"/>
      <c r="D129" s="94">
        <f>IF(Year1_Slough Year1_Adoption_ceased_LAC="","",Year1_Slough Year1_Adoption_ceased_LAC)</f>
        <v>154</v>
      </c>
      <c r="E129" s="94">
        <f>IF(Year2_Slough Year2_Adoption_ceased_LAC="","",Year2_Slough Year2_Adoption_ceased_LAC)</f>
        <v>112</v>
      </c>
      <c r="F129" s="94">
        <f>IF(Year3_Slough Year3_Adoption_ceased_LAC="","",Year3_Slough Year3_Adoption_ceased_LAC)</f>
        <v>112</v>
      </c>
      <c r="G129" s="94">
        <f>IF(Year4_Slough Year4_Adoption_ceased_LAC="","",Year4_Slough Year4_Adoption_ceased_LAC)</f>
        <v>127</v>
      </c>
      <c r="H129" s="95">
        <f>IF(Year5_Slough Year5_Adoption_ceased_LAC="","",Year5_Slough Year5_Adoption_ceased_LAC)</f>
        <v>125</v>
      </c>
      <c r="I129" s="344">
        <f t="shared" si="32"/>
        <v>-3.8636683198691069E-2</v>
      </c>
      <c r="J129" s="96"/>
      <c r="K129" s="97">
        <f>IF(ISNUMBER(D129),D129/Population!D22*10000,NA())</f>
        <v>37.931034482758619</v>
      </c>
      <c r="L129" s="97">
        <f>IF(ISNUMBER(E129),E129/Population!E22*10000,NA())</f>
        <v>27.05314009661836</v>
      </c>
      <c r="M129" s="97">
        <f>IF(ISNUMBER(F129),F129/Population!F22*10000,NA())</f>
        <v>26.54028436018957</v>
      </c>
      <c r="N129" s="97">
        <f>IF(ISNUMBER(G129),G129/Population!G22*10000,NA())</f>
        <v>29.742388758782205</v>
      </c>
      <c r="O129" s="98">
        <f>IF(ISNUMBER(H129),H129/Population!H22*10000,NA())</f>
        <v>29.002320185614849</v>
      </c>
      <c r="P129" s="99">
        <f t="shared" si="33"/>
        <v>29.002320185614849</v>
      </c>
      <c r="Q129" s="934">
        <f t="shared" si="46"/>
        <v>11</v>
      </c>
      <c r="R129" s="70"/>
      <c r="S129" s="340">
        <f>IDACI!C21</f>
        <v>14.7</v>
      </c>
      <c r="T129" s="341">
        <f t="shared" si="35"/>
        <v>26.067502890728772</v>
      </c>
      <c r="U129" s="342">
        <f t="shared" si="36"/>
        <v>2.9348172948860771</v>
      </c>
      <c r="V129" s="122"/>
      <c r="W129" s="139"/>
      <c r="X129" s="1350"/>
      <c r="Y129" s="1400" t="str">
        <f t="shared" si="26"/>
        <v>Slough</v>
      </c>
      <c r="Z129" s="1401">
        <f>IF(ISNUMBER(H129),IDACI!D21,0)</f>
        <v>37031</v>
      </c>
      <c r="AA129" s="1401">
        <f>IF(ISNUMBER(H129),IDACI!E21,0)</f>
        <v>5443.5569999999998</v>
      </c>
      <c r="AB129" s="1402">
        <f>IF(ISNUMBER(D129),Population!D22,"")</f>
        <v>40600</v>
      </c>
      <c r="AC129" s="1402">
        <f>IF(ISNUMBER(E129),Population!E22,"")</f>
        <v>41400</v>
      </c>
      <c r="AD129" s="1402">
        <f>IF(ISNUMBER(F129),Population!F22,"")</f>
        <v>42200</v>
      </c>
      <c r="AE129" s="1402">
        <f>IF(ISNUMBER(G129),Population!G22,"")</f>
        <v>42700</v>
      </c>
      <c r="AF129" s="1354">
        <f>IF(ISNUMBER(H129),Population!H22,"")</f>
        <v>43100</v>
      </c>
      <c r="AG129" s="1355" t="s">
        <v>13</v>
      </c>
      <c r="AH129" s="1356">
        <f t="shared" si="37"/>
        <v>29.002320185614849</v>
      </c>
      <c r="AI129" s="1357">
        <f t="shared" si="38"/>
        <v>15</v>
      </c>
      <c r="AJ129" s="1351"/>
      <c r="AK129" s="1346"/>
      <c r="AL129" s="853">
        <f t="shared" si="39"/>
        <v>-0.27272727272727271</v>
      </c>
      <c r="AM129" s="853">
        <f t="shared" si="40"/>
        <v>0</v>
      </c>
      <c r="AN129" s="853">
        <f t="shared" si="41"/>
        <v>0.13392857142857142</v>
      </c>
      <c r="AO129" s="853">
        <f t="shared" si="42"/>
        <v>-1.5748031496062992E-2</v>
      </c>
      <c r="AP129" s="853">
        <f t="shared" si="43"/>
        <v>-3.8636683198691069E-2</v>
      </c>
      <c r="AR129" s="936">
        <f t="shared" si="44"/>
        <v>27.05314009661836</v>
      </c>
      <c r="AS129" s="936">
        <f t="shared" si="27"/>
        <v>26.54028436018957</v>
      </c>
      <c r="AT129" s="936">
        <f t="shared" si="28"/>
        <v>29.742388758782205</v>
      </c>
      <c r="AU129" s="936">
        <f t="shared" si="29"/>
        <v>29.002320185614849</v>
      </c>
      <c r="AV129" s="936">
        <f t="shared" si="30"/>
        <v>112.33813340120498</v>
      </c>
      <c r="AW129" s="575">
        <f t="shared" si="31"/>
        <v>0</v>
      </c>
      <c r="AX129" s="936">
        <f t="shared" si="45"/>
        <v>112.33813340120498</v>
      </c>
    </row>
    <row r="130" spans="1:55" s="87" customFormat="1" ht="13.5" customHeight="1" x14ac:dyDescent="0.2">
      <c r="A130" s="488">
        <f>VLOOKUP(B130,Sheet1!$AQ$4:$AR$25,2,FALSE)</f>
        <v>0</v>
      </c>
      <c r="B130" s="93" t="str">
        <f>Sheet1!$K$17</f>
        <v>Somerset</v>
      </c>
      <c r="C130" s="85"/>
      <c r="D130" s="94">
        <f>IF(Year1_Somerset Year1_Adoption_ceased_LAC="","",Year1_Somerset Year1_Adoption_ceased_LAC)</f>
        <v>229</v>
      </c>
      <c r="E130" s="94">
        <f>IF(Year2_Somerset Year2_Adoption_ceased_LAC="","",Year2_Somerset Year2_Adoption_ceased_LAC)</f>
        <v>261</v>
      </c>
      <c r="F130" s="94">
        <f>IF(Year3_Somerset Year3_Adoption_ceased_LAC="","",Year3_Somerset Year3_Adoption_ceased_LAC)</f>
        <v>223</v>
      </c>
      <c r="G130" s="94">
        <f>IF(Year4_Somerset Year4_Adoption_ceased_LAC="","",Year4_Somerset Year4_Adoption_ceased_LAC)</f>
        <v>184</v>
      </c>
      <c r="H130" s="95">
        <f>IF(Year5_Somerset Year5_Adoption_ceased_LAC="","",Year5_Somerset Year5_Adoption_ceased_LAC)</f>
        <v>197</v>
      </c>
      <c r="I130" s="344">
        <f t="shared" si="32"/>
        <v>-2.7522899232265845E-2</v>
      </c>
      <c r="J130" s="96"/>
      <c r="K130" s="97">
        <f>IF(ISNUMBER(D130),D130/Population!D23*10000,NA())</f>
        <v>20.970695970695971</v>
      </c>
      <c r="L130" s="97">
        <f>IF(ISNUMBER(E130),E130/Population!E23*10000,NA())</f>
        <v>23.792160437556973</v>
      </c>
      <c r="M130" s="97">
        <f>IF(ISNUMBER(F130),F130/Population!F23*10000,NA())</f>
        <v>20.254314259763852</v>
      </c>
      <c r="N130" s="97">
        <f>IF(ISNUMBER(G130),G130/Population!G23*10000,NA())</f>
        <v>16.621499548328817</v>
      </c>
      <c r="O130" s="98">
        <f>IF(ISNUMBER(H130),H130/Population!H23*10000,NA())</f>
        <v>17.715827338129497</v>
      </c>
      <c r="P130" s="99">
        <f t="shared" si="33"/>
        <v>17.715827338129497</v>
      </c>
      <c r="Q130" s="370" t="str">
        <f t="shared" si="46"/>
        <v>--</v>
      </c>
      <c r="R130" s="70"/>
      <c r="S130" s="340">
        <f>IDACI!C22</f>
        <v>13.600000000000001</v>
      </c>
      <c r="T130" s="341">
        <f t="shared" si="35"/>
        <v>24.838142513146405</v>
      </c>
      <c r="U130" s="342">
        <f t="shared" si="36"/>
        <v>-7.122315175016908</v>
      </c>
      <c r="V130" s="122"/>
      <c r="W130" s="139"/>
      <c r="X130" s="1350"/>
      <c r="Y130" s="1400" t="str">
        <f t="shared" si="26"/>
        <v>Somerset</v>
      </c>
      <c r="Z130" s="1401">
        <f>IF(ISNUMBER(H130),IDACI!D22,0)</f>
        <v>95875</v>
      </c>
      <c r="AA130" s="1401">
        <f>IF(ISNUMBER(H130),IDACI!E22,0)</f>
        <v>13039.000000000002</v>
      </c>
      <c r="AB130" s="1402">
        <f>IF(ISNUMBER(D130),Population!D23,"")</f>
        <v>109200</v>
      </c>
      <c r="AC130" s="1402">
        <f>IF(ISNUMBER(E130),Population!E23,"")</f>
        <v>109700</v>
      </c>
      <c r="AD130" s="1402">
        <f>IF(ISNUMBER(F130),Population!F23,"")</f>
        <v>110100</v>
      </c>
      <c r="AE130" s="1402">
        <f>IF(ISNUMBER(G130),Population!G23,"")</f>
        <v>110700</v>
      </c>
      <c r="AF130" s="1354">
        <f>IF(ISNUMBER(H130),Population!H23,"")</f>
        <v>111200</v>
      </c>
      <c r="AG130" s="1355" t="s">
        <v>14</v>
      </c>
      <c r="AH130" s="1356">
        <f t="shared" si="37"/>
        <v>38.791423001949319</v>
      </c>
      <c r="AI130" s="1357">
        <f t="shared" si="38"/>
        <v>18</v>
      </c>
      <c r="AJ130" s="1351"/>
      <c r="AK130" s="1346"/>
      <c r="AL130" s="853">
        <f t="shared" si="39"/>
        <v>0.13973799126637554</v>
      </c>
      <c r="AM130" s="853">
        <f t="shared" si="40"/>
        <v>-0.14559386973180077</v>
      </c>
      <c r="AN130" s="853">
        <f t="shared" si="41"/>
        <v>-0.17488789237668162</v>
      </c>
      <c r="AO130" s="853">
        <f t="shared" si="42"/>
        <v>7.0652173913043473E-2</v>
      </c>
      <c r="AP130" s="853">
        <f t="shared" si="43"/>
        <v>-2.7522899232265845E-2</v>
      </c>
      <c r="AR130" s="936">
        <f t="shared" si="44"/>
        <v>23.792160437556973</v>
      </c>
      <c r="AS130" s="936">
        <f t="shared" si="27"/>
        <v>20.254314259763852</v>
      </c>
      <c r="AT130" s="936">
        <f t="shared" si="28"/>
        <v>16.621499548328817</v>
      </c>
      <c r="AU130" s="936">
        <f>IF(ISNUMBER(O130),O130,"")</f>
        <v>17.715827338129497</v>
      </c>
      <c r="AV130" s="936">
        <f>SUM(AR130:AU130)</f>
        <v>78.383801583779146</v>
      </c>
      <c r="AW130" s="575">
        <f>COUNTBLANK(AR130:AU130)</f>
        <v>0</v>
      </c>
      <c r="AX130" s="936">
        <f>AV130/(4-AW130)*4</f>
        <v>78.383801583779146</v>
      </c>
    </row>
    <row r="131" spans="1:55" s="87" customFormat="1" ht="13.5" customHeight="1" x14ac:dyDescent="0.2">
      <c r="A131" s="488">
        <f>VLOOKUP(B131,Sheet1!$AQ$4:$AR$25,2,FALSE)</f>
        <v>0</v>
      </c>
      <c r="B131" s="93" t="str">
        <f>Sheet1!$K$18</f>
        <v>Southampton</v>
      </c>
      <c r="C131" s="85"/>
      <c r="D131" s="94">
        <f>IF(Year1_Southampton Year1_Adoption_ceased_LAC="","",Year1_Southampton Year1_Adoption_ceased_LAC)</f>
        <v>205</v>
      </c>
      <c r="E131" s="94">
        <f>IF(Year2_Southampton Year2_Adoption_ceased_LAC="","",Year2_Southampton Year2_Adoption_ceased_LAC)</f>
        <v>221</v>
      </c>
      <c r="F131" s="94">
        <f>IF(Year3_Southampton Year3_Adoption_ceased_LAC="","",Year3_Southampton Year3_Adoption_ceased_LAC)</f>
        <v>197</v>
      </c>
      <c r="G131" s="94">
        <f>IF(Year4_Southampton Year4_Adoption_ceased_LAC="","",Year4_Southampton Year4_Adoption_ceased_LAC)</f>
        <v>214</v>
      </c>
      <c r="H131" s="95">
        <f>IF(Year5_Southampton Year5_Adoption_ceased_LAC="","",Year5_Southampton Year5_Adoption_ceased_LAC)</f>
        <v>199</v>
      </c>
      <c r="I131" s="344">
        <f t="shared" si="32"/>
        <v>-3.5868865700847095E-3</v>
      </c>
      <c r="J131" s="96"/>
      <c r="K131" s="97">
        <f>IF(ISNUMBER(D131),D131/Population!D24*10000,NA())</f>
        <v>41.666666666666664</v>
      </c>
      <c r="L131" s="97">
        <f>IF(ISNUMBER(E131),E131/Population!E24*10000,NA())</f>
        <v>44.288577154308619</v>
      </c>
      <c r="M131" s="97">
        <f>IF(ISNUMBER(F131),F131/Population!F24*10000,NA())</f>
        <v>39.165009940357848</v>
      </c>
      <c r="N131" s="97">
        <f>IF(ISNUMBER(G131),G131/Population!G24*10000,NA())</f>
        <v>42.125984251968504</v>
      </c>
      <c r="O131" s="98">
        <f>IF(ISNUMBER(H131),H131/Population!H24*10000,NA())</f>
        <v>38.791423001949319</v>
      </c>
      <c r="P131" s="99">
        <f t="shared" si="33"/>
        <v>38.791423001949319</v>
      </c>
      <c r="Q131" s="934">
        <f t="shared" si="46"/>
        <v>18</v>
      </c>
      <c r="R131" s="70"/>
      <c r="S131" s="340">
        <f>IDACI!C23</f>
        <v>20.5</v>
      </c>
      <c r="T131" s="341">
        <f t="shared" si="35"/>
        <v>32.549584881617626</v>
      </c>
      <c r="U131" s="342">
        <f t="shared" si="36"/>
        <v>6.2418381203316926</v>
      </c>
      <c r="V131" s="122"/>
      <c r="W131" s="139"/>
      <c r="X131" s="1350"/>
      <c r="Y131" s="1400" t="str">
        <f t="shared" si="26"/>
        <v>Southampton</v>
      </c>
      <c r="Z131" s="1401">
        <f>IF(ISNUMBER(H131),IDACI!D23,0)</f>
        <v>44295</v>
      </c>
      <c r="AA131" s="1401">
        <f>IF(ISNUMBER(H131),IDACI!E23,0)</f>
        <v>9080.4750000000004</v>
      </c>
      <c r="AB131" s="1402">
        <f>IF(ISNUMBER(D131),Population!D24,"")</f>
        <v>49200</v>
      </c>
      <c r="AC131" s="1402">
        <f>IF(ISNUMBER(E131),Population!E24,"")</f>
        <v>49900</v>
      </c>
      <c r="AD131" s="1402">
        <f>IF(ISNUMBER(F131),Population!F24,"")</f>
        <v>50300</v>
      </c>
      <c r="AE131" s="1402">
        <f>IF(ISNUMBER(G131),Population!G24,"")</f>
        <v>50800</v>
      </c>
      <c r="AF131" s="1354">
        <f>IF(ISNUMBER(H131),Population!H24,"")</f>
        <v>51300</v>
      </c>
      <c r="AG131" s="1355" t="s">
        <v>7</v>
      </c>
      <c r="AH131" s="1356">
        <f t="shared" si="37"/>
        <v>13.836239575435938</v>
      </c>
      <c r="AI131" s="1357">
        <f t="shared" si="38"/>
        <v>2</v>
      </c>
      <c r="AJ131" s="1351"/>
      <c r="AK131" s="1346"/>
      <c r="AL131" s="853">
        <f t="shared" si="39"/>
        <v>7.8048780487804878E-2</v>
      </c>
      <c r="AM131" s="853">
        <f t="shared" si="40"/>
        <v>-0.10859728506787331</v>
      </c>
      <c r="AN131" s="853">
        <f t="shared" si="41"/>
        <v>8.6294416243654817E-2</v>
      </c>
      <c r="AO131" s="853">
        <f t="shared" si="42"/>
        <v>-7.0093457943925228E-2</v>
      </c>
      <c r="AP131" s="853">
        <f t="shared" si="43"/>
        <v>-3.5868865700847095E-3</v>
      </c>
      <c r="AR131" s="936">
        <f t="shared" si="44"/>
        <v>44.288577154308619</v>
      </c>
      <c r="AS131" s="936">
        <f t="shared" si="27"/>
        <v>39.165009940357848</v>
      </c>
      <c r="AT131" s="936">
        <f t="shared" si="28"/>
        <v>42.125984251968504</v>
      </c>
      <c r="AU131" s="936">
        <f t="shared" ref="AU131:AU140" si="47">IF(ISNUMBER(O131),O131,"")</f>
        <v>38.791423001949319</v>
      </c>
      <c r="AV131" s="936">
        <f t="shared" ref="AV131:AV140" si="48">SUM(AR131:AU131)</f>
        <v>164.37099434858428</v>
      </c>
      <c r="AW131" s="575">
        <f t="shared" ref="AW131:AW140" si="49">COUNTBLANK(AR131:AU131)</f>
        <v>0</v>
      </c>
      <c r="AX131" s="936">
        <f t="shared" ref="AX131:AX136" si="50">AV131/(4-AW131)*4</f>
        <v>164.37099434858428</v>
      </c>
    </row>
    <row r="132" spans="1:55" s="87" customFormat="1" ht="13.5" customHeight="1" x14ac:dyDescent="0.2">
      <c r="A132" s="488">
        <f>VLOOKUP(B132,Sheet1!$AQ$4:$AR$25,2,FALSE)</f>
        <v>0</v>
      </c>
      <c r="B132" s="93" t="str">
        <f>Sheet1!$K$19</f>
        <v>Surrey</v>
      </c>
      <c r="C132" s="85"/>
      <c r="D132" s="94">
        <f>IF(Year1_Surrey Year1_Adoption_ceased_LAC="","",Year1_Surrey Year1_Adoption_ceased_LAC)</f>
        <v>405</v>
      </c>
      <c r="E132" s="94">
        <f>IF(Year2_Surrey Year2_Adoption_ceased_LAC="","",Year2_Surrey Year2_Adoption_ceased_LAC)</f>
        <v>419</v>
      </c>
      <c r="F132" s="94">
        <f>IF(Year3_Surrey Year3_Adoption_ceased_LAC="","",Year3_Surrey Year3_Adoption_ceased_LAC)</f>
        <v>409</v>
      </c>
      <c r="G132" s="94">
        <f>IF(Year4_Surrey Year4_Adoption_ceased_LAC="","",Year4_Surrey Year4_Adoption_ceased_LAC)</f>
        <v>394</v>
      </c>
      <c r="H132" s="95">
        <f>IF(Year5_Surrey Year5_Adoption_ceased_LAC="","",Year5_Surrey Year5_Adoption_ceased_LAC)</f>
        <v>365</v>
      </c>
      <c r="I132" s="344">
        <f t="shared" si="32"/>
        <v>-2.4894331188435478E-2</v>
      </c>
      <c r="J132" s="96"/>
      <c r="K132" s="97">
        <f>IF(ISNUMBER(D132),D132/Population!D25*10000,NA())</f>
        <v>15.795631825273011</v>
      </c>
      <c r="L132" s="97">
        <f>IF(ISNUMBER(E132),E132/Population!E25*10000,NA())</f>
        <v>16.177606177606179</v>
      </c>
      <c r="M132" s="97">
        <f>IF(ISNUMBER(F132),F132/Population!F25*10000,NA())</f>
        <v>15.712639262389551</v>
      </c>
      <c r="N132" s="97">
        <f>IF(ISNUMBER(G132),G132/Population!G25*10000,NA())</f>
        <v>15.043909889270715</v>
      </c>
      <c r="O132" s="98">
        <f>IF(ISNUMBER(H132),H132/Population!H25*10000,NA())</f>
        <v>13.836239575435938</v>
      </c>
      <c r="P132" s="99">
        <f t="shared" si="33"/>
        <v>13.836239575435938</v>
      </c>
      <c r="Q132" s="934">
        <f t="shared" si="46"/>
        <v>2</v>
      </c>
      <c r="R132" s="70"/>
      <c r="S132" s="340">
        <f>IDACI!C24</f>
        <v>8.3000000000000007</v>
      </c>
      <c r="T132" s="341">
        <f t="shared" si="35"/>
        <v>18.914860693885899</v>
      </c>
      <c r="U132" s="342">
        <f t="shared" si="36"/>
        <v>-5.078621118449961</v>
      </c>
      <c r="V132" s="122"/>
      <c r="W132" s="139"/>
      <c r="X132" s="1350"/>
      <c r="Y132" s="1400" t="str">
        <f t="shared" si="26"/>
        <v>Surrey</v>
      </c>
      <c r="Z132" s="1401">
        <f>IF(ISNUMBER(H132),IDACI!D24,0)</f>
        <v>228466</v>
      </c>
      <c r="AA132" s="1401">
        <f>IF(ISNUMBER(H132),IDACI!E24,0)</f>
        <v>18962.678</v>
      </c>
      <c r="AB132" s="1402">
        <f>IF(ISNUMBER(D132),Population!D25,"")</f>
        <v>256400</v>
      </c>
      <c r="AC132" s="1402">
        <f>IF(ISNUMBER(E132),Population!E25,"")</f>
        <v>259000</v>
      </c>
      <c r="AD132" s="1402">
        <f>IF(ISNUMBER(F132),Population!F25,"")</f>
        <v>260300</v>
      </c>
      <c r="AE132" s="1402">
        <f>IF(ISNUMBER(G132),Population!G25,"")</f>
        <v>261900</v>
      </c>
      <c r="AF132" s="1354">
        <f>IF(ISNUMBER(H132),Population!H25,"")</f>
        <v>263800</v>
      </c>
      <c r="AG132" s="1355" t="s">
        <v>15</v>
      </c>
      <c r="AH132" s="1356">
        <f t="shared" si="37"/>
        <v>20.786516853932586</v>
      </c>
      <c r="AI132" s="1357">
        <f t="shared" si="38"/>
        <v>7</v>
      </c>
      <c r="AJ132" s="1351"/>
      <c r="AK132" s="1346"/>
      <c r="AL132" s="853">
        <f t="shared" si="39"/>
        <v>3.4567901234567898E-2</v>
      </c>
      <c r="AM132" s="853">
        <f t="shared" si="40"/>
        <v>-2.386634844868735E-2</v>
      </c>
      <c r="AN132" s="853">
        <f t="shared" si="41"/>
        <v>-3.6674816625916873E-2</v>
      </c>
      <c r="AO132" s="853">
        <f t="shared" si="42"/>
        <v>-7.3604060913705582E-2</v>
      </c>
      <c r="AP132" s="853">
        <f t="shared" si="43"/>
        <v>-2.4894331188435478E-2</v>
      </c>
      <c r="AR132" s="936">
        <f t="shared" si="44"/>
        <v>16.177606177606179</v>
      </c>
      <c r="AS132" s="936">
        <f t="shared" si="27"/>
        <v>15.712639262389551</v>
      </c>
      <c r="AT132" s="936">
        <f t="shared" si="28"/>
        <v>15.043909889270715</v>
      </c>
      <c r="AU132" s="936">
        <f t="shared" si="47"/>
        <v>13.836239575435938</v>
      </c>
      <c r="AV132" s="936">
        <f t="shared" si="48"/>
        <v>60.770394904702385</v>
      </c>
      <c r="AW132" s="575">
        <f t="shared" si="49"/>
        <v>0</v>
      </c>
      <c r="AX132" s="936">
        <f t="shared" si="50"/>
        <v>60.770394904702385</v>
      </c>
    </row>
    <row r="133" spans="1:55" s="87" customFormat="1" ht="13.5" customHeight="1" x14ac:dyDescent="0.2">
      <c r="A133" s="488">
        <f>VLOOKUP(B133,Sheet1!$AQ$4:$AR$25,2,FALSE)</f>
        <v>0</v>
      </c>
      <c r="B133" s="93" t="str">
        <f>Sheet1!$K$20</f>
        <v>Swindon</v>
      </c>
      <c r="C133" s="85"/>
      <c r="D133" s="94">
        <f>IF(Year1_Swindon Year1_Adoption_ceased_LAC="","",Year1_Swindon Year1_Adoption_ceased_LAC)</f>
        <v>139</v>
      </c>
      <c r="E133" s="94">
        <f>IF(Year2_Swindon Year2_Adoption_ceased_LAC="","",Year2_Swindon Year2_Adoption_ceased_LAC)</f>
        <v>150</v>
      </c>
      <c r="F133" s="94">
        <f>IF(Year3_Swindon Year3_Adoption_ceased_LAC="","",Year3_Swindon Year3_Adoption_ceased_LAC)</f>
        <v>155</v>
      </c>
      <c r="G133" s="94">
        <f>IF(Year4_Swindon Year4_Adoption_ceased_LAC="","",Year4_Swindon Year4_Adoption_ceased_LAC)</f>
        <v>149</v>
      </c>
      <c r="H133" s="95">
        <f>IF(Year5_Swindon Year5_Adoption_ceased_LAC="","",Year5_Swindon Year5_Adoption_ceased_LAC)</f>
        <v>155</v>
      </c>
      <c r="I133" s="344">
        <f t="shared" si="32"/>
        <v>2.8507200734324858E-2</v>
      </c>
      <c r="J133" s="96"/>
      <c r="K133" s="97">
        <f>IF(ISNUMBER(D133),D133/Population!D26*10000,NA())</f>
        <v>28.367346938775508</v>
      </c>
      <c r="L133" s="97">
        <f>IF(ISNUMBER(E133),E133/Population!E26*10000,NA())</f>
        <v>30.303030303030305</v>
      </c>
      <c r="M133" s="97">
        <f>IF(ISNUMBER(F133),F133/Population!F26*10000,NA())</f>
        <v>31.062124248496993</v>
      </c>
      <c r="N133" s="97">
        <f>IF(ISNUMBER(G133),G133/Population!G26*10000,NA())</f>
        <v>29.681274900398407</v>
      </c>
      <c r="O133" s="98">
        <f>IF(ISNUMBER(H133),H133/Population!H26*10000,NA())</f>
        <v>30.753968253968253</v>
      </c>
      <c r="P133" s="99">
        <f t="shared" si="33"/>
        <v>30.753968253968253</v>
      </c>
      <c r="Q133" s="370" t="str">
        <f t="shared" si="46"/>
        <v>--</v>
      </c>
      <c r="R133" s="70"/>
      <c r="S133" s="340">
        <f>IDACI!C25</f>
        <v>14.899999999999999</v>
      </c>
      <c r="T133" s="341">
        <f t="shared" si="35"/>
        <v>26.291022959380111</v>
      </c>
      <c r="U133" s="342">
        <f t="shared" si="36"/>
        <v>4.4629452945881418</v>
      </c>
      <c r="V133" s="122"/>
      <c r="W133" s="139"/>
      <c r="X133" s="1350"/>
      <c r="Y133" s="1400" t="str">
        <f t="shared" si="26"/>
        <v>Swindon</v>
      </c>
      <c r="Z133" s="1401">
        <f>IF(ISNUMBER(H133),IDACI!D25,0)</f>
        <v>43899</v>
      </c>
      <c r="AA133" s="1401">
        <f>IF(ISNUMBER(H133),IDACI!E25,0)</f>
        <v>6540.951</v>
      </c>
      <c r="AB133" s="1402">
        <f>IF(ISNUMBER(D133),Population!D26,"")</f>
        <v>49000</v>
      </c>
      <c r="AC133" s="1402">
        <f>IF(ISNUMBER(E133),Population!E26,"")</f>
        <v>49500</v>
      </c>
      <c r="AD133" s="1402">
        <f>IF(ISNUMBER(F133),Population!F26,"")</f>
        <v>49900</v>
      </c>
      <c r="AE133" s="1402">
        <f>IF(ISNUMBER(G133),Population!G26,"")</f>
        <v>50200</v>
      </c>
      <c r="AF133" s="1354">
        <f>IF(ISNUMBER(H133),Population!H26,"")</f>
        <v>50400</v>
      </c>
      <c r="AG133" s="1355" t="s">
        <v>5</v>
      </c>
      <c r="AH133" s="1356">
        <f t="shared" si="37"/>
        <v>20.159000567859174</v>
      </c>
      <c r="AI133" s="1357">
        <f t="shared" si="38"/>
        <v>6</v>
      </c>
      <c r="AJ133" s="1351"/>
      <c r="AK133" s="1346"/>
      <c r="AL133" s="853">
        <f t="shared" si="39"/>
        <v>7.9136690647482008E-2</v>
      </c>
      <c r="AM133" s="853">
        <f t="shared" si="40"/>
        <v>3.3333333333333333E-2</v>
      </c>
      <c r="AN133" s="853">
        <f t="shared" si="41"/>
        <v>-3.870967741935484E-2</v>
      </c>
      <c r="AO133" s="853">
        <f t="shared" si="42"/>
        <v>4.0268456375838924E-2</v>
      </c>
      <c r="AP133" s="853">
        <f t="shared" si="43"/>
        <v>2.8507200734324858E-2</v>
      </c>
      <c r="AR133" s="936">
        <f t="shared" si="44"/>
        <v>30.303030303030305</v>
      </c>
      <c r="AS133" s="936">
        <f t="shared" si="27"/>
        <v>31.062124248496993</v>
      </c>
      <c r="AT133" s="936">
        <f t="shared" si="28"/>
        <v>29.681274900398407</v>
      </c>
      <c r="AU133" s="936">
        <f t="shared" si="47"/>
        <v>30.753968253968253</v>
      </c>
      <c r="AV133" s="936">
        <f t="shared" si="48"/>
        <v>121.80039770589396</v>
      </c>
      <c r="AW133" s="575">
        <f t="shared" si="49"/>
        <v>0</v>
      </c>
      <c r="AX133" s="936">
        <f t="shared" si="50"/>
        <v>121.80039770589396</v>
      </c>
    </row>
    <row r="134" spans="1:55" s="87" customFormat="1" ht="13.5" customHeight="1" x14ac:dyDescent="0.2">
      <c r="A134" s="488">
        <f>VLOOKUP(B134,Sheet1!$AQ$4:$AR$25,2,FALSE)</f>
        <v>0</v>
      </c>
      <c r="B134" s="93" t="str">
        <f>Sheet1!$K$21</f>
        <v>Torbay</v>
      </c>
      <c r="C134" s="85"/>
      <c r="D134" s="94">
        <f>IF(Year1_Torbay Year1_Adoption_ceased_LAC="","",Year1_Torbay Year1_Adoption_ceased_LAC)</f>
        <v>125</v>
      </c>
      <c r="E134" s="94">
        <f>IF(Year2_Torbay Year2_Adoption_ceased_LAC="","",Year2_Torbay Year2_Adoption_ceased_LAC)</f>
        <v>108</v>
      </c>
      <c r="F134" s="94">
        <f>IF(Year3_Torbay Year3_Adoption_ceased_LAC="","",Year3_Torbay Year3_Adoption_ceased_LAC)</f>
        <v>102</v>
      </c>
      <c r="G134" s="94">
        <f>IF(Year4_Torbay Year4_Adoption_ceased_LAC="","",Year4_Torbay Year4_Adoption_ceased_LAC)</f>
        <v>118</v>
      </c>
      <c r="H134" s="95">
        <f>IF(Year5_Torbay Year5_Adoption_ceased_LAC="","",Year5_Torbay Year5_Adoption_ceased_LAC)</f>
        <v>141</v>
      </c>
      <c r="I134" s="344">
        <f t="shared" si="32"/>
        <v>4.0055610944942949E-2</v>
      </c>
      <c r="J134" s="96"/>
      <c r="K134" s="97">
        <f>IF(ISNUMBER(D134),D134/Population!D27*10000,NA())</f>
        <v>49.603174603174601</v>
      </c>
      <c r="L134" s="97">
        <f>IF(ISNUMBER(E134),E134/Population!E27*10000,NA())</f>
        <v>42.519685039370074</v>
      </c>
      <c r="M134" s="97">
        <f>IF(ISNUMBER(F134),F134/Population!F27*10000,NA())</f>
        <v>40.15748031496063</v>
      </c>
      <c r="N134" s="97">
        <f>IF(ISNUMBER(G134),G134/Population!G27*10000,NA())</f>
        <v>46.456692913385822</v>
      </c>
      <c r="O134" s="98">
        <f>IF(ISNUMBER(H134),H134/Population!H27*10000,NA())</f>
        <v>55.078125</v>
      </c>
      <c r="P134" s="99">
        <f t="shared" si="33"/>
        <v>55.078125</v>
      </c>
      <c r="Q134" s="370" t="str">
        <f t="shared" si="46"/>
        <v>--</v>
      </c>
      <c r="R134" s="70"/>
      <c r="S134" s="340">
        <f>IDACI!C26</f>
        <v>21.9</v>
      </c>
      <c r="T134" s="341">
        <f t="shared" si="35"/>
        <v>34.11422536217701</v>
      </c>
      <c r="U134" s="342">
        <f t="shared" si="36"/>
        <v>20.96389963782299</v>
      </c>
      <c r="V134" s="122"/>
      <c r="W134" s="139"/>
      <c r="X134" s="1350"/>
      <c r="Y134" s="1400" t="str">
        <f t="shared" si="26"/>
        <v>Torbay</v>
      </c>
      <c r="Z134" s="1401">
        <f>IF(ISNUMBER(H134),IDACI!D26,0)</f>
        <v>22257</v>
      </c>
      <c r="AA134" s="1401">
        <f>IF(ISNUMBER(H134),IDACI!E26,0)</f>
        <v>4874.2829999999994</v>
      </c>
      <c r="AB134" s="1402">
        <f>IF(ISNUMBER(D134),Population!D27,"")</f>
        <v>25200</v>
      </c>
      <c r="AC134" s="1402">
        <f>IF(ISNUMBER(E134),Population!E27,"")</f>
        <v>25400</v>
      </c>
      <c r="AD134" s="1402">
        <f>IF(ISNUMBER(F134),Population!F27,"")</f>
        <v>25400</v>
      </c>
      <c r="AE134" s="1402">
        <f>IF(ISNUMBER(G134),Population!G27,"")</f>
        <v>25400</v>
      </c>
      <c r="AF134" s="1354">
        <f>IF(ISNUMBER(H134),Population!H27,"")</f>
        <v>25600</v>
      </c>
      <c r="AG134" s="1355" t="s">
        <v>30</v>
      </c>
      <c r="AH134" s="1356">
        <f t="shared" si="37"/>
        <v>17.86743515850144</v>
      </c>
      <c r="AI134" s="1357">
        <f t="shared" si="38"/>
        <v>4</v>
      </c>
      <c r="AJ134" s="1351"/>
      <c r="AK134" s="1346"/>
      <c r="AL134" s="853">
        <f t="shared" si="39"/>
        <v>-0.13600000000000001</v>
      </c>
      <c r="AM134" s="853">
        <f t="shared" si="40"/>
        <v>-5.5555555555555552E-2</v>
      </c>
      <c r="AN134" s="853">
        <f t="shared" si="41"/>
        <v>0.15686274509803921</v>
      </c>
      <c r="AO134" s="853">
        <f t="shared" si="42"/>
        <v>0.19491525423728814</v>
      </c>
      <c r="AP134" s="853">
        <f t="shared" si="43"/>
        <v>4.0055610944942949E-2</v>
      </c>
      <c r="AR134" s="936">
        <f t="shared" si="44"/>
        <v>42.519685039370074</v>
      </c>
      <c r="AS134" s="936">
        <f t="shared" si="27"/>
        <v>40.15748031496063</v>
      </c>
      <c r="AT134" s="936">
        <f t="shared" si="28"/>
        <v>46.456692913385822</v>
      </c>
      <c r="AU134" s="936">
        <f t="shared" si="47"/>
        <v>55.078125</v>
      </c>
      <c r="AV134" s="936">
        <f t="shared" si="48"/>
        <v>184.2119832677165</v>
      </c>
      <c r="AW134" s="575">
        <f t="shared" si="49"/>
        <v>0</v>
      </c>
      <c r="AX134" s="936">
        <f t="shared" si="50"/>
        <v>184.2119832677165</v>
      </c>
    </row>
    <row r="135" spans="1:55" s="87" customFormat="1" ht="13.5" customHeight="1" x14ac:dyDescent="0.2">
      <c r="A135" s="488">
        <f>VLOOKUP(B135,Sheet1!$AQ$4:$AR$25,2,FALSE)</f>
        <v>0</v>
      </c>
      <c r="B135" s="93" t="str">
        <f>Sheet1!$K$22</f>
        <v>West Berkshire</v>
      </c>
      <c r="C135" s="85"/>
      <c r="D135" s="94">
        <f>IF(Year1_West_Berkshire Year1_Adoption_ceased_LAC="","",Year1_West_Berkshire Year1_Adoption_ceased_LAC)</f>
        <v>69</v>
      </c>
      <c r="E135" s="100">
        <f>IF(Year2_West_Berkshire Year2_Adoption_ceased_LAC="","",Year2_West_Berkshire Year2_Adoption_ceased_LAC)</f>
        <v>74</v>
      </c>
      <c r="F135" s="94">
        <f>IF(Year3_West_Berkshire Year3_Adoption_ceased_LAC="","",Year3_West_Berkshire Year3_Adoption_ceased_LAC)</f>
        <v>86</v>
      </c>
      <c r="G135" s="94">
        <f>IF(Year4_West_Berkshire Year4_Adoption_ceased_LAC="","",Year4_West_Berkshire Year4_Adoption_ceased_LAC)</f>
        <v>53</v>
      </c>
      <c r="H135" s="95">
        <f>IF(Year5_West_Berkshire Year5_Adoption_ceased_LAC="","",Year5_West_Berkshire Year5_Adoption_ceased_LAC)</f>
        <v>74</v>
      </c>
      <c r="I135" s="344">
        <f t="shared" si="32"/>
        <v>6.178285378497142E-2</v>
      </c>
      <c r="J135" s="96"/>
      <c r="K135" s="97">
        <f>IF(ISNUMBER(D135),D135/Population!D28*10000,NA())</f>
        <v>19.327731092436974</v>
      </c>
      <c r="L135" s="97">
        <f>IF(ISNUMBER(E135),E135/Population!E28*10000,NA())</f>
        <v>20.612813370473539</v>
      </c>
      <c r="M135" s="97">
        <f>IF(ISNUMBER(F135),F135/Population!F28*10000,NA())</f>
        <v>24.022346368715084</v>
      </c>
      <c r="N135" s="97">
        <f>IF(ISNUMBER(G135),G135/Population!G28*10000,NA())</f>
        <v>14.887640449438202</v>
      </c>
      <c r="O135" s="98">
        <f>IF(ISNUMBER(H135),H135/Population!H28*10000,NA())</f>
        <v>20.786516853932586</v>
      </c>
      <c r="P135" s="99">
        <f t="shared" si="33"/>
        <v>20.786516853932586</v>
      </c>
      <c r="Q135" s="934">
        <f t="shared" si="46"/>
        <v>7</v>
      </c>
      <c r="R135" s="70"/>
      <c r="S135" s="340">
        <f>IDACI!C27</f>
        <v>8.6999999999999993</v>
      </c>
      <c r="T135" s="341">
        <f t="shared" si="35"/>
        <v>19.361900831188578</v>
      </c>
      <c r="U135" s="342">
        <f t="shared" si="36"/>
        <v>1.4246160227440079</v>
      </c>
      <c r="V135" s="122"/>
      <c r="W135" s="139"/>
      <c r="X135" s="1350"/>
      <c r="Y135" s="1400" t="str">
        <f t="shared" si="26"/>
        <v>West Berkshire</v>
      </c>
      <c r="Z135" s="1401">
        <f>IF(ISNUMBER(H135),IDACI!D27,0)</f>
        <v>31625</v>
      </c>
      <c r="AA135" s="1401">
        <f>IF(ISNUMBER(H135),IDACI!E27,0)</f>
        <v>2751.375</v>
      </c>
      <c r="AB135" s="1402">
        <f>IF(ISNUMBER(D135),Population!D28,"")</f>
        <v>35700</v>
      </c>
      <c r="AC135" s="1402">
        <f>IF(ISNUMBER(E135),Population!E28,"")</f>
        <v>35900</v>
      </c>
      <c r="AD135" s="1402">
        <f>IF(ISNUMBER(F135),Population!F28,"")</f>
        <v>35800</v>
      </c>
      <c r="AE135" s="1402">
        <f>IF(ISNUMBER(G135),Population!G28,"")</f>
        <v>35600</v>
      </c>
      <c r="AF135" s="1354">
        <f>IF(ISNUMBER(H135),Population!H28,"")</f>
        <v>35600</v>
      </c>
      <c r="AG135" s="1355" t="s">
        <v>16</v>
      </c>
      <c r="AH135" s="1356">
        <f t="shared" si="37"/>
        <v>13.613861386138613</v>
      </c>
      <c r="AI135" s="1357">
        <f t="shared" si="38"/>
        <v>1</v>
      </c>
      <c r="AJ135" s="1351"/>
      <c r="AK135" s="1346"/>
      <c r="AL135" s="853">
        <f t="shared" si="39"/>
        <v>7.2463768115942032E-2</v>
      </c>
      <c r="AM135" s="853">
        <f t="shared" si="40"/>
        <v>0.16216216216216217</v>
      </c>
      <c r="AN135" s="853">
        <f t="shared" si="41"/>
        <v>-0.38372093023255816</v>
      </c>
      <c r="AO135" s="853">
        <f t="shared" si="42"/>
        <v>0.39622641509433965</v>
      </c>
      <c r="AP135" s="853">
        <f t="shared" si="43"/>
        <v>6.178285378497142E-2</v>
      </c>
      <c r="AR135" s="936">
        <f t="shared" si="44"/>
        <v>20.612813370473539</v>
      </c>
      <c r="AS135" s="936">
        <f t="shared" si="27"/>
        <v>24.022346368715084</v>
      </c>
      <c r="AT135" s="936">
        <f t="shared" si="28"/>
        <v>14.887640449438202</v>
      </c>
      <c r="AU135" s="936">
        <f t="shared" si="47"/>
        <v>20.786516853932586</v>
      </c>
      <c r="AV135" s="936">
        <f t="shared" si="48"/>
        <v>80.309317042559414</v>
      </c>
      <c r="AW135" s="575">
        <f t="shared" si="49"/>
        <v>0</v>
      </c>
      <c r="AX135" s="936">
        <f t="shared" si="50"/>
        <v>80.309317042559414</v>
      </c>
    </row>
    <row r="136" spans="1:55" s="87" customFormat="1" ht="13.5" customHeight="1" x14ac:dyDescent="0.2">
      <c r="A136" s="488">
        <f>VLOOKUP(B136,Sheet1!$AQ$4:$AR$25,2,FALSE)</f>
        <v>0</v>
      </c>
      <c r="B136" s="93" t="str">
        <f>Sheet1!$K$23</f>
        <v>West Sussex</v>
      </c>
      <c r="C136" s="85"/>
      <c r="D136" s="94">
        <f>IF(Year1_West_Sussex Year1_Adoption_ceased_LAC="","",Year1_West_Sussex Year1_Adoption_ceased_LAC)</f>
        <v>386</v>
      </c>
      <c r="E136" s="100">
        <f>IF(Year2_West_Sussex Year2_Adoption_ceased_LAC="","",Year2_West_Sussex Year2_Adoption_ceased_LAC)</f>
        <v>357</v>
      </c>
      <c r="F136" s="94">
        <f>IF(Year3_West_Sussex Year3_Adoption_ceased_LAC="","",Year3_West_Sussex Year3_Adoption_ceased_LAC)</f>
        <v>338</v>
      </c>
      <c r="G136" s="94">
        <f>IF(Year4_West_Sussex Year4_Adoption_ceased_LAC="","",Year4_West_Sussex Year4_Adoption_ceased_LAC)</f>
        <v>354</v>
      </c>
      <c r="H136" s="95">
        <f>IF(Year5_West_Sussex Year5_Adoption_ceased_LAC="","",Year5_West_Sussex Year5_Adoption_ceased_LAC)</f>
        <v>355</v>
      </c>
      <c r="I136" s="344">
        <f t="shared" si="32"/>
        <v>-1.9547171332647904E-2</v>
      </c>
      <c r="J136" s="96"/>
      <c r="K136" s="97">
        <f>IF(ISNUMBER(D136),D136/Population!D29*10000,NA())</f>
        <v>22.652582159624412</v>
      </c>
      <c r="L136" s="97">
        <f>IF(ISNUMBER(E136),E136/Population!E29*10000,NA())</f>
        <v>20.779976717112923</v>
      </c>
      <c r="M136" s="97">
        <f>IF(ISNUMBER(F136),F136/Population!F29*10000,NA())</f>
        <v>19.503750721292555</v>
      </c>
      <c r="N136" s="97">
        <f>IF(ISNUMBER(G136),G136/Population!G29*10000,NA())</f>
        <v>20.263308528906698</v>
      </c>
      <c r="O136" s="98">
        <f>IF(ISNUMBER(H136),H136/Population!H29*10000,NA())</f>
        <v>20.159000567859174</v>
      </c>
      <c r="P136" s="99">
        <f t="shared" si="33"/>
        <v>20.159000567859174</v>
      </c>
      <c r="Q136" s="934">
        <f t="shared" si="46"/>
        <v>12</v>
      </c>
      <c r="R136" s="70"/>
      <c r="S136" s="340">
        <f>IDACI!C28</f>
        <v>11</v>
      </c>
      <c r="T136" s="341">
        <f t="shared" si="35"/>
        <v>21.932381620678989</v>
      </c>
      <c r="U136" s="342">
        <f t="shared" si="36"/>
        <v>-1.7733810528198148</v>
      </c>
      <c r="V136" s="122"/>
      <c r="W136" s="139"/>
      <c r="X136" s="1350"/>
      <c r="Y136" s="1400" t="str">
        <f t="shared" si="26"/>
        <v>West Sussex</v>
      </c>
      <c r="Z136" s="1401">
        <f>IF(ISNUMBER(H136),IDACI!D28,0)</f>
        <v>151487</v>
      </c>
      <c r="AA136" s="1401">
        <f>IF(ISNUMBER(H136),IDACI!E28,0)</f>
        <v>16663.57</v>
      </c>
      <c r="AB136" s="1402">
        <f>IF(ISNUMBER(D136),Population!D29,"")</f>
        <v>170400</v>
      </c>
      <c r="AC136" s="1402">
        <f>IF(ISNUMBER(E136),Population!E29,"")</f>
        <v>171800</v>
      </c>
      <c r="AD136" s="1402">
        <f>IF(ISNUMBER(F136),Population!F29,"")</f>
        <v>173300</v>
      </c>
      <c r="AE136" s="1402">
        <f>IF(ISNUMBER(G136),Population!G29,"")</f>
        <v>174700</v>
      </c>
      <c r="AF136" s="1354">
        <f>IF(ISNUMBER(H136),Population!H29,"")</f>
        <v>176100</v>
      </c>
      <c r="AG136" s="1351"/>
      <c r="AH136" s="1351"/>
      <c r="AI136" s="1341"/>
      <c r="AJ136" s="1351"/>
      <c r="AK136" s="1346"/>
      <c r="AL136" s="853">
        <f t="shared" si="39"/>
        <v>-7.512953367875648E-2</v>
      </c>
      <c r="AM136" s="853">
        <f t="shared" si="40"/>
        <v>-5.3221288515406161E-2</v>
      </c>
      <c r="AN136" s="853">
        <f t="shared" si="41"/>
        <v>4.7337278106508875E-2</v>
      </c>
      <c r="AO136" s="853">
        <f t="shared" si="42"/>
        <v>2.8248587570621469E-3</v>
      </c>
      <c r="AP136" s="853">
        <f t="shared" si="43"/>
        <v>-1.9547171332647904E-2</v>
      </c>
      <c r="AR136" s="936">
        <f t="shared" si="44"/>
        <v>20.779976717112923</v>
      </c>
      <c r="AS136" s="936">
        <f t="shared" si="27"/>
        <v>19.503750721292555</v>
      </c>
      <c r="AT136" s="936">
        <f t="shared" si="28"/>
        <v>20.263308528906698</v>
      </c>
      <c r="AU136" s="936">
        <f t="shared" si="47"/>
        <v>20.159000567859174</v>
      </c>
      <c r="AV136" s="936">
        <f t="shared" si="48"/>
        <v>80.70603653517135</v>
      </c>
      <c r="AW136" s="575">
        <f t="shared" si="49"/>
        <v>0</v>
      </c>
      <c r="AX136" s="936">
        <f t="shared" si="50"/>
        <v>80.70603653517135</v>
      </c>
    </row>
    <row r="137" spans="1:55" s="87" customFormat="1" ht="13.5" customHeight="1" x14ac:dyDescent="0.2">
      <c r="A137" s="488">
        <f>VLOOKUP(B137,Sheet1!$AQ$4:$AR$25,2,FALSE)</f>
        <v>0</v>
      </c>
      <c r="B137" s="93" t="str">
        <f>Sheet1!$K$24</f>
        <v>Windsor &amp; Maidenhead</v>
      </c>
      <c r="C137" s="85"/>
      <c r="D137" s="100">
        <f>IF(Year1_Windsor_Maidenhead Year1_Adoption_ceased_LAC="","",Year1_Windsor_Maidenhead Year1_Adoption_ceased_LAC)</f>
        <v>43</v>
      </c>
      <c r="E137" s="94">
        <f>IF(Year2_Windsor_Maidenhead Year2_Adoption_ceased_LAC="","",Year2_Windsor_Maidenhead Year2_Adoption_ceased_LAC)</f>
        <v>35</v>
      </c>
      <c r="F137" s="94">
        <f>IF(Year3_Windsor_Maidenhead Year3_Adoption_ceased_LAC="","",Year3_Windsor_Maidenhead Year3_Adoption_ceased_LAC)</f>
        <v>49</v>
      </c>
      <c r="G137" s="94">
        <f>IF(Year4_Windsor_Maidenhead Year4_Adoption_ceased_LAC="","",Year4_Windsor_Maidenhead Year4_Adoption_ceased_LAC)</f>
        <v>52</v>
      </c>
      <c r="H137" s="95">
        <f>IF(Year5_Windsor_Maidenhead Year5_Adoption_ceased_LAC="","",Year5_Windsor_Maidenhead Year5_Adoption_ceased_LAC)</f>
        <v>62</v>
      </c>
      <c r="I137" s="344">
        <f t="shared" si="32"/>
        <v>0.11687141761892594</v>
      </c>
      <c r="J137" s="96"/>
      <c r="K137" s="97">
        <f>IF(ISNUMBER(D137),D137/Population!D30*10000,NA())</f>
        <v>12.759643916913946</v>
      </c>
      <c r="L137" s="97">
        <f>IF(ISNUMBER(E137),E137/Population!E30*10000,NA())</f>
        <v>10.233918128654972</v>
      </c>
      <c r="M137" s="97">
        <f>IF(ISNUMBER(F137),F137/Population!F30*10000,NA())</f>
        <v>14.244186046511627</v>
      </c>
      <c r="N137" s="97">
        <f>IF(ISNUMBER(G137),G137/Population!G30*10000,NA())</f>
        <v>15.028901734104045</v>
      </c>
      <c r="O137" s="98">
        <f>IF(ISNUMBER(H137),H137/Population!H30*10000,NA())</f>
        <v>17.86743515850144</v>
      </c>
      <c r="P137" s="99">
        <f t="shared" si="33"/>
        <v>17.86743515850144</v>
      </c>
      <c r="Q137" s="934">
        <f t="shared" si="46"/>
        <v>3</v>
      </c>
      <c r="R137" s="70"/>
      <c r="S137" s="340">
        <f>IDACI!C29</f>
        <v>6.7</v>
      </c>
      <c r="T137" s="341">
        <f t="shared" si="35"/>
        <v>17.126700144675183</v>
      </c>
      <c r="U137" s="342">
        <f t="shared" si="36"/>
        <v>0.74073501382625651</v>
      </c>
      <c r="V137" s="122"/>
      <c r="W137" s="139"/>
      <c r="X137" s="1350"/>
      <c r="Y137" s="1400" t="str">
        <f t="shared" si="26"/>
        <v>Windsor &amp; Maidenhead</v>
      </c>
      <c r="Z137" s="1401">
        <f>IF(ISNUMBER(H137),IDACI!D29,0)</f>
        <v>29792</v>
      </c>
      <c r="AA137" s="1401">
        <f>IF(ISNUMBER(H137),IDACI!E29,0)</f>
        <v>1996.0640000000001</v>
      </c>
      <c r="AB137" s="1402">
        <f>IF(ISNUMBER(D137),Population!D30,"")</f>
        <v>33700</v>
      </c>
      <c r="AC137" s="1402">
        <f>IF(ISNUMBER(E137),Population!E30,"")</f>
        <v>34200</v>
      </c>
      <c r="AD137" s="1402">
        <f>IF(ISNUMBER(F137),Population!F30,"")</f>
        <v>34400</v>
      </c>
      <c r="AE137" s="1402">
        <f>IF(ISNUMBER(G137),Population!G30,"")</f>
        <v>34600</v>
      </c>
      <c r="AF137" s="1354">
        <f>IF(ISNUMBER(H137),Population!H30,"")</f>
        <v>34700</v>
      </c>
      <c r="AG137" s="1351"/>
      <c r="AH137" s="1351"/>
      <c r="AI137" s="1341"/>
      <c r="AJ137" s="1351"/>
      <c r="AK137" s="1346"/>
      <c r="AL137" s="853">
        <f t="shared" si="39"/>
        <v>-0.18604651162790697</v>
      </c>
      <c r="AM137" s="853">
        <f t="shared" si="40"/>
        <v>0.4</v>
      </c>
      <c r="AN137" s="853">
        <f t="shared" si="41"/>
        <v>6.1224489795918366E-2</v>
      </c>
      <c r="AO137" s="853">
        <f t="shared" si="42"/>
        <v>0.19230769230769232</v>
      </c>
      <c r="AP137" s="853">
        <f t="shared" si="43"/>
        <v>0.11687141761892594</v>
      </c>
      <c r="AR137" s="936">
        <f t="shared" si="44"/>
        <v>10.233918128654972</v>
      </c>
      <c r="AS137" s="936">
        <f t="shared" si="27"/>
        <v>14.244186046511627</v>
      </c>
      <c r="AT137" s="936">
        <f t="shared" si="28"/>
        <v>15.028901734104045</v>
      </c>
      <c r="AU137" s="936">
        <f t="shared" si="47"/>
        <v>17.86743515850144</v>
      </c>
      <c r="AV137" s="936">
        <f t="shared" si="48"/>
        <v>57.374441067772082</v>
      </c>
      <c r="AW137" s="575">
        <f t="shared" si="49"/>
        <v>0</v>
      </c>
      <c r="AX137" s="936">
        <f>AV137/(4-AW137)*4</f>
        <v>57.374441067772082</v>
      </c>
    </row>
    <row r="138" spans="1:55" s="87" customFormat="1" ht="13.5" customHeight="1" x14ac:dyDescent="0.2">
      <c r="A138" s="488">
        <f>VLOOKUP(B138,Sheet1!$AQ$4:$AR$25,2,FALSE)</f>
        <v>0</v>
      </c>
      <c r="B138" s="93" t="str">
        <f>Sheet1!$K$25</f>
        <v>Wokingham</v>
      </c>
      <c r="C138" s="85"/>
      <c r="D138" s="100">
        <f>IF(Year1_Wokingham Year1_Adoption_ceased_LAC="","",Year1_Wokingham Year1_Adoption_ceased_LAC)</f>
        <v>34</v>
      </c>
      <c r="E138" s="94">
        <f>IF(Year2_Wokingham Year2_Adoption_ceased_LAC="","",Year2_Wokingham Year2_Adoption_ceased_LAC)</f>
        <v>31</v>
      </c>
      <c r="F138" s="94">
        <f>IF(Year3_Wokingham Year3_Adoption_ceased_LAC="","",Year3_Wokingham Year3_Adoption_ceased_LAC)</f>
        <v>36</v>
      </c>
      <c r="G138" s="94">
        <f>IF(Year4_Wokingham Year4_Adoption_ceased_LAC="","",Year4_Wokingham Year4_Adoption_ceased_LAC)</f>
        <v>58</v>
      </c>
      <c r="H138" s="95">
        <f>IF(Year5_Wokingham Year5_Adoption_ceased_LAC="","",Year5_Wokingham Year5_Adoption_ceased_LAC)</f>
        <v>55</v>
      </c>
      <c r="I138" s="344">
        <f t="shared" si="32"/>
        <v>0.15811050041076868</v>
      </c>
      <c r="J138" s="96"/>
      <c r="K138" s="97">
        <f>IF(ISNUMBER(D138),D138/Population!D31*10000,NA())</f>
        <v>9.1152815013404833</v>
      </c>
      <c r="L138" s="97">
        <f>IF(ISNUMBER(E138),E138/Population!E31*10000,NA())</f>
        <v>8.1578947368421044</v>
      </c>
      <c r="M138" s="97">
        <f>IF(ISNUMBER(F138),F138/Population!F31*10000,NA())</f>
        <v>9.3023255813953494</v>
      </c>
      <c r="N138" s="97">
        <f>IF(ISNUMBER(G138),G138/Population!G31*10000,NA())</f>
        <v>14.683544303797468</v>
      </c>
      <c r="O138" s="98">
        <f>IF(ISNUMBER(H138),H138/Population!H31*10000,NA())</f>
        <v>13.613861386138613</v>
      </c>
      <c r="P138" s="99">
        <f t="shared" si="33"/>
        <v>13.613861386138613</v>
      </c>
      <c r="Q138" s="934">
        <f t="shared" si="46"/>
        <v>1</v>
      </c>
      <c r="R138" s="70"/>
      <c r="S138" s="340">
        <f>IDACI!C30</f>
        <v>5.6000000000000005</v>
      </c>
      <c r="T138" s="341">
        <f t="shared" si="35"/>
        <v>15.897339767092813</v>
      </c>
      <c r="U138" s="342">
        <f t="shared" si="36"/>
        <v>-2.2834783809542003</v>
      </c>
      <c r="V138" s="122"/>
      <c r="W138" s="139"/>
      <c r="X138" s="1350"/>
      <c r="Y138" s="1400" t="str">
        <f t="shared" si="26"/>
        <v>Wokingham</v>
      </c>
      <c r="Z138" s="1401">
        <f>IF(ISNUMBER(H138),IDACI!D30,0)</f>
        <v>33327</v>
      </c>
      <c r="AA138" s="1401">
        <f>IF(ISNUMBER(H138),IDACI!E30,0)</f>
        <v>1866.3120000000004</v>
      </c>
      <c r="AB138" s="1402">
        <f>IF(ISNUMBER(D138),Population!D31,"")</f>
        <v>37300</v>
      </c>
      <c r="AC138" s="1402">
        <f>IF(ISNUMBER(E138),Population!E31,"")</f>
        <v>38000</v>
      </c>
      <c r="AD138" s="1402">
        <f>IF(ISNUMBER(F138),Population!F31,"")</f>
        <v>38700</v>
      </c>
      <c r="AE138" s="1402">
        <f>IF(ISNUMBER(G138),Population!G31,"")</f>
        <v>39500</v>
      </c>
      <c r="AF138" s="1354">
        <f>IF(ISNUMBER(H138),Population!H31,"")</f>
        <v>40400</v>
      </c>
      <c r="AG138" s="1351"/>
      <c r="AH138" s="1351"/>
      <c r="AI138" s="1341"/>
      <c r="AJ138" s="1351"/>
      <c r="AK138" s="1346"/>
      <c r="AL138" s="853">
        <f t="shared" si="39"/>
        <v>-8.8235294117647065E-2</v>
      </c>
      <c r="AM138" s="853">
        <f t="shared" si="40"/>
        <v>0.16129032258064516</v>
      </c>
      <c r="AN138" s="853">
        <f t="shared" si="41"/>
        <v>0.61111111111111116</v>
      </c>
      <c r="AO138" s="853">
        <f t="shared" si="42"/>
        <v>-5.1724137931034482E-2</v>
      </c>
      <c r="AP138" s="853">
        <f t="shared" si="43"/>
        <v>0.15811050041076868</v>
      </c>
      <c r="AR138" s="936">
        <f t="shared" si="44"/>
        <v>8.1578947368421044</v>
      </c>
      <c r="AS138" s="936">
        <f t="shared" si="27"/>
        <v>9.3023255813953494</v>
      </c>
      <c r="AT138" s="936">
        <f t="shared" si="28"/>
        <v>14.683544303797468</v>
      </c>
      <c r="AU138" s="936">
        <f t="shared" si="47"/>
        <v>13.613861386138613</v>
      </c>
      <c r="AV138" s="936">
        <f t="shared" si="48"/>
        <v>45.757626008173531</v>
      </c>
      <c r="AW138" s="575">
        <f t="shared" si="49"/>
        <v>0</v>
      </c>
      <c r="AX138" s="936">
        <f t="shared" ref="AX138:AX140" si="51">AV138/(4-AW138)*4</f>
        <v>45.757626008173531</v>
      </c>
    </row>
    <row r="139" spans="1:55" s="87" customFormat="1" ht="13.5" customHeight="1" x14ac:dyDescent="0.2">
      <c r="A139" s="121"/>
      <c r="B139" s="129" t="str">
        <f>Sheet1!$K$26</f>
        <v>South East</v>
      </c>
      <c r="C139" s="85"/>
      <c r="D139" s="130">
        <f>IF(Year1_SouthEast Year1_Adoption_ceased_LAC="","",Year1_SouthEast Year1_Adoption_ceased_LAC)</f>
        <v>4650</v>
      </c>
      <c r="E139" s="130">
        <f>IF(Year2_SouthEast Year2_Adoption_ceased_LAC="","",Year2_SouthEast Year2_Adoption_ceased_LAC)</f>
        <v>4650</v>
      </c>
      <c r="F139" s="130">
        <f>IF(Year3_SouthEast Year3_Adoption_ceased_LAC="","",Year3_SouthEast Year3_Adoption_ceased_LAC)</f>
        <v>4310</v>
      </c>
      <c r="G139" s="130">
        <f>IF(Year4_SouthEast Year4_Adoption_ceased_LAC="","",Year4_SouthEast Year4_Adoption_ceased_LAC)</f>
        <v>4140</v>
      </c>
      <c r="H139" s="131">
        <f>IF(Year5_SouthEast Year5_Adoption_ceased_LAC="","",Year5_SouthEast Year5_Adoption_ceased_LAC)</f>
        <v>4260</v>
      </c>
      <c r="I139" s="357">
        <f t="shared" si="32"/>
        <v>-2.0893981943987963E-2</v>
      </c>
      <c r="J139" s="96"/>
      <c r="K139" s="132">
        <f>IF(ISNUMBER(D139),D139/Population!D32*10000,NA())</f>
        <v>24.242740211667797</v>
      </c>
      <c r="L139" s="132">
        <f>IF(ISNUMBER(E139),E139/Population!E32*10000,NA())</f>
        <v>24.05338299193048</v>
      </c>
      <c r="M139" s="132">
        <f>IF(ISNUMBER(F139),F139/Population!F32*10000,NA())</f>
        <v>22.171922423993006</v>
      </c>
      <c r="N139" s="132">
        <f>IF(ISNUMBER(G139),G139/Population!G32*10000,NA())</f>
        <v>21.149425287356323</v>
      </c>
      <c r="O139" s="133">
        <f>IF(ISNUMBER(H139),H139/Population!H32*10000,NA())</f>
        <v>21.632051998171942</v>
      </c>
      <c r="P139" s="99">
        <f t="shared" si="33"/>
        <v>21.632051998171942</v>
      </c>
      <c r="Q139" s="336" t="str">
        <f t="shared" si="46"/>
        <v>--</v>
      </c>
      <c r="R139" s="70"/>
      <c r="S139" s="338">
        <f>AA139/Z139*100</f>
        <v>12.371268250968637</v>
      </c>
      <c r="T139" s="338">
        <f t="shared" si="35"/>
        <v>23.464911488658551</v>
      </c>
      <c r="U139" s="343">
        <f t="shared" si="36"/>
        <v>-1.8328594904866087</v>
      </c>
      <c r="V139" s="122"/>
      <c r="W139" s="139"/>
      <c r="X139" s="1350"/>
      <c r="Y139" s="1400" t="str">
        <f t="shared" si="26"/>
        <v>South East</v>
      </c>
      <c r="Z139" s="1401">
        <f>SUM(Z131:Z132,Z117:Z129,Z135:Z138)</f>
        <v>1704978</v>
      </c>
      <c r="AA139" s="1401">
        <f>SUM(AA131:AA132,AA117:AA129,AA135:AA138)</f>
        <v>210927.40200000003</v>
      </c>
      <c r="AB139" s="1402">
        <f>SUM(AB117:AB129,AB131:AB132,AB135:AB138)</f>
        <v>1918100</v>
      </c>
      <c r="AC139" s="1402">
        <f t="shared" ref="AC139:AF139" si="52">SUM(AC117:AC129,AC131:AC132,AC135:AC138)</f>
        <v>1933100</v>
      </c>
      <c r="AD139" s="1402">
        <f t="shared" si="52"/>
        <v>1943900</v>
      </c>
      <c r="AE139" s="1402">
        <f t="shared" si="52"/>
        <v>1957400</v>
      </c>
      <c r="AF139" s="1354">
        <f t="shared" si="52"/>
        <v>1969200</v>
      </c>
      <c r="AG139" s="1351"/>
      <c r="AH139" s="1351"/>
      <c r="AI139" s="1341"/>
      <c r="AJ139" s="1351"/>
      <c r="AK139" s="1346"/>
      <c r="AL139" s="853">
        <f t="shared" si="39"/>
        <v>0</v>
      </c>
      <c r="AM139" s="853">
        <f t="shared" si="40"/>
        <v>-7.3118279569892475E-2</v>
      </c>
      <c r="AN139" s="853">
        <f t="shared" si="41"/>
        <v>-3.9443155452436193E-2</v>
      </c>
      <c r="AO139" s="853">
        <f t="shared" si="42"/>
        <v>2.8985507246376812E-2</v>
      </c>
      <c r="AP139" s="853">
        <f t="shared" si="43"/>
        <v>-2.0893981943987963E-2</v>
      </c>
      <c r="AR139" s="936">
        <f t="shared" si="44"/>
        <v>24.05338299193048</v>
      </c>
      <c r="AS139" s="936">
        <f t="shared" si="27"/>
        <v>22.171922423993006</v>
      </c>
      <c r="AT139" s="936">
        <f t="shared" si="28"/>
        <v>21.149425287356323</v>
      </c>
      <c r="AU139" s="936">
        <f t="shared" si="47"/>
        <v>21.632051998171942</v>
      </c>
      <c r="AV139" s="936">
        <f t="shared" si="48"/>
        <v>89.006782701451755</v>
      </c>
      <c r="AW139" s="575">
        <f t="shared" si="49"/>
        <v>0</v>
      </c>
      <c r="AX139" s="936">
        <f t="shared" si="51"/>
        <v>89.006782701451755</v>
      </c>
    </row>
    <row r="140" spans="1:55" s="87" customFormat="1" ht="13.5" customHeight="1" x14ac:dyDescent="0.2">
      <c r="A140" s="292"/>
      <c r="B140" s="329" t="str">
        <f>Sheet1!$K$27</f>
        <v>England</v>
      </c>
      <c r="C140" s="85"/>
      <c r="D140" s="330">
        <f>IF(Year1_England Year1_Adoption_ceased_LAC="","",Year1_England Year1_Adoption_ceased_LAC)</f>
        <v>31860</v>
      </c>
      <c r="E140" s="330">
        <f>IF(Year2_England Year2_Adoption_ceased_LAC="","",Year2_England Year2_Adoption_ceased_LAC)</f>
        <v>31400</v>
      </c>
      <c r="F140" s="330">
        <f>IF(Year3_England Year3_Adoption_ceased_LAC="","",Year3_England Year3_Adoption_ceased_LAC)</f>
        <v>30050</v>
      </c>
      <c r="G140" s="330">
        <f>IF(Year4_England Year4_Adoption_ceased_LAC="","",Year4_England Year4_Adoption_ceased_LAC)</f>
        <v>29460</v>
      </c>
      <c r="H140" s="331">
        <f>IF(Year5_England Year5_Adoption_ceased_LAC="","",Year5_England Year5_Adoption_ceased_LAC)</f>
        <v>29590</v>
      </c>
      <c r="I140" s="358">
        <f t="shared" si="32"/>
        <v>-1.8163244478210334E-2</v>
      </c>
      <c r="J140" s="96"/>
      <c r="K140" s="332">
        <f>IF(ISNUMBER(D140),D140/Population!D33*10000,NA())</f>
        <v>27.282302468765788</v>
      </c>
      <c r="L140" s="332">
        <f>IF(ISNUMBER(E140),E140/Population!E33*10000,NA())</f>
        <v>26.643360796924984</v>
      </c>
      <c r="M140" s="332">
        <f>IF(ISNUMBER(F140),F140/Population!F33*10000,NA())</f>
        <v>25.322322406673972</v>
      </c>
      <c r="N140" s="332">
        <f>IF(ISNUMBER(G140),G140/Population!G33*10000,NA())</f>
        <v>24.643233566995132</v>
      </c>
      <c r="O140" s="412">
        <f>IF(ISNUMBER(H140),H140/Population!H33*10000,NA())</f>
        <v>24.609933796866162</v>
      </c>
      <c r="P140" s="99">
        <f t="shared" si="33"/>
        <v>24.609933796866162</v>
      </c>
      <c r="Q140" s="337" t="str">
        <f t="shared" si="46"/>
        <v>--</v>
      </c>
      <c r="R140" s="70"/>
      <c r="S140" s="339">
        <f>IDACI!C32</f>
        <v>17.084413405029373</v>
      </c>
      <c r="T140" s="339">
        <f t="shared" si="35"/>
        <v>28.732324130655474</v>
      </c>
      <c r="U140" s="624">
        <f t="shared" si="36"/>
        <v>-4.122390333789312</v>
      </c>
      <c r="V140" s="122"/>
      <c r="W140" s="139"/>
      <c r="X140" s="1350"/>
      <c r="Y140" s="1400" t="str">
        <f t="shared" si="26"/>
        <v>England</v>
      </c>
      <c r="Z140" s="1401">
        <f>IF(H140&gt;0,IDACI!D168,0)</f>
        <v>0</v>
      </c>
      <c r="AA140" s="1401">
        <f>IF(H140&gt;0,IDACI!E168,0)</f>
        <v>0</v>
      </c>
      <c r="AB140" s="1402">
        <f>IF(ISNUMBER(D140),Population!D33,"")</f>
        <v>11677900</v>
      </c>
      <c r="AC140" s="1402">
        <f>IF(ISNUMBER(E140),Population!E33,"")</f>
        <v>11785300</v>
      </c>
      <c r="AD140" s="1402">
        <f>IF(ISNUMBER(F140),Population!F33,"")</f>
        <v>11867000</v>
      </c>
      <c r="AE140" s="1402">
        <f>IF(ISNUMBER(G140),Population!G33,"")</f>
        <v>11954600</v>
      </c>
      <c r="AF140" s="1354">
        <f>IF(ISNUMBER(H140),Population!H33,"")</f>
        <v>12023600</v>
      </c>
      <c r="AG140" s="1351"/>
      <c r="AH140" s="1351"/>
      <c r="AI140" s="1341"/>
      <c r="AJ140" s="1351"/>
      <c r="AK140" s="1346"/>
      <c r="AL140" s="853">
        <f t="shared" si="39"/>
        <v>-1.4438166980539862E-2</v>
      </c>
      <c r="AM140" s="853">
        <f t="shared" si="40"/>
        <v>-4.2993630573248405E-2</v>
      </c>
      <c r="AN140" s="853">
        <f t="shared" si="41"/>
        <v>-1.9633943427620631E-2</v>
      </c>
      <c r="AO140" s="853">
        <f t="shared" si="42"/>
        <v>4.4127630685675493E-3</v>
      </c>
      <c r="AP140" s="853">
        <f>AVERAGE(AL140:AO140)</f>
        <v>-1.8163244478210334E-2</v>
      </c>
      <c r="AR140" s="936">
        <f t="shared" si="44"/>
        <v>26.643360796924984</v>
      </c>
      <c r="AS140" s="936">
        <f t="shared" si="27"/>
        <v>25.322322406673972</v>
      </c>
      <c r="AT140" s="936">
        <f t="shared" si="28"/>
        <v>24.643233566995132</v>
      </c>
      <c r="AU140" s="936">
        <f t="shared" si="47"/>
        <v>24.609933796866162</v>
      </c>
      <c r="AV140" s="936">
        <f t="shared" si="48"/>
        <v>101.21885056746025</v>
      </c>
      <c r="AW140" s="575">
        <f t="shared" si="49"/>
        <v>0</v>
      </c>
      <c r="AX140" s="936">
        <f t="shared" si="51"/>
        <v>101.21885056746025</v>
      </c>
    </row>
    <row r="141" spans="1:55" s="81" customFormat="1" ht="13.5" customHeight="1" x14ac:dyDescent="0.2">
      <c r="A141" s="118"/>
      <c r="B141" s="123" t="s">
        <v>90</v>
      </c>
      <c r="C141" s="63"/>
      <c r="D141" s="63"/>
      <c r="E141" s="63"/>
      <c r="F141" s="63"/>
      <c r="G141" s="63"/>
      <c r="H141" s="63"/>
      <c r="I141" s="63"/>
      <c r="J141" s="63"/>
      <c r="K141" s="63"/>
      <c r="L141" s="63"/>
      <c r="M141" s="63"/>
      <c r="N141" s="63"/>
      <c r="O141" s="63"/>
      <c r="P141" s="63"/>
      <c r="Q141" s="136" t="s">
        <v>108</v>
      </c>
      <c r="S141" s="63"/>
      <c r="T141" s="63"/>
      <c r="U141" s="63"/>
      <c r="V141" s="117"/>
      <c r="W141" s="137"/>
      <c r="X141" s="1339"/>
      <c r="Y141" s="1403"/>
      <c r="Z141" s="1403"/>
      <c r="AA141" s="1403"/>
      <c r="AB141" s="1403"/>
      <c r="AC141" s="1403"/>
      <c r="AD141" s="1403"/>
      <c r="AE141" s="1403"/>
      <c r="AF141" s="1343"/>
      <c r="AG141" s="1343"/>
      <c r="AH141" s="1343"/>
      <c r="AI141" s="1340"/>
      <c r="AJ141" s="1343"/>
      <c r="AK141" s="1344"/>
    </row>
    <row r="142" spans="1:55" s="81" customFormat="1" ht="26.25" customHeight="1" x14ac:dyDescent="0.2">
      <c r="A142" s="118"/>
      <c r="B142" s="1923"/>
      <c r="C142" s="1763"/>
      <c r="D142" s="1763"/>
      <c r="E142" s="1763"/>
      <c r="F142" s="1763"/>
      <c r="G142" s="1763"/>
      <c r="H142" s="1763"/>
      <c r="I142" s="1763"/>
      <c r="J142" s="1763"/>
      <c r="K142" s="1763"/>
      <c r="L142" s="1763"/>
      <c r="M142" s="1763"/>
      <c r="N142" s="1763"/>
      <c r="O142" s="1763"/>
      <c r="P142" s="1763"/>
      <c r="Q142" s="1763"/>
      <c r="R142" s="1763"/>
      <c r="S142" s="1763"/>
      <c r="T142" s="1763"/>
      <c r="U142" s="1764"/>
      <c r="V142" s="117"/>
      <c r="W142" s="137"/>
      <c r="X142" s="1339"/>
      <c r="Y142" s="1403"/>
      <c r="Z142" s="1403"/>
      <c r="AA142" s="1403"/>
      <c r="AB142" s="1403"/>
      <c r="AC142" s="1403"/>
      <c r="AD142" s="1403"/>
      <c r="AE142" s="1403"/>
      <c r="AF142" s="1343"/>
      <c r="AG142" s="1343"/>
      <c r="AH142" s="1343"/>
      <c r="AI142" s="1340"/>
      <c r="AJ142" s="1343"/>
      <c r="AK142" s="1345"/>
      <c r="AL142" s="74"/>
      <c r="AM142" s="74"/>
      <c r="AN142" s="74"/>
      <c r="AO142" s="74"/>
      <c r="AP142" s="74"/>
      <c r="AQ142" s="74"/>
      <c r="AR142" s="74"/>
    </row>
    <row r="143" spans="1:55" s="81" customFormat="1" ht="7.5" customHeight="1" x14ac:dyDescent="0.2">
      <c r="A143" s="118"/>
      <c r="B143" s="17"/>
      <c r="C143" s="17"/>
      <c r="D143" s="16"/>
      <c r="E143" s="16"/>
      <c r="F143" s="16"/>
      <c r="G143" s="16"/>
      <c r="H143" s="16"/>
      <c r="I143" s="16"/>
      <c r="J143" s="12"/>
      <c r="K143" s="18"/>
      <c r="L143" s="18"/>
      <c r="M143" s="18"/>
      <c r="N143" s="18"/>
      <c r="O143" s="18"/>
      <c r="P143" s="18"/>
      <c r="Q143" s="18"/>
      <c r="R143" s="18"/>
      <c r="S143" s="18"/>
      <c r="T143" s="18"/>
      <c r="U143" s="19"/>
      <c r="V143" s="117"/>
      <c r="W143" s="137"/>
      <c r="X143" s="1339"/>
      <c r="Y143" s="1392"/>
      <c r="Z143" s="1399"/>
      <c r="AA143" s="1392"/>
      <c r="AB143" s="1392"/>
      <c r="AC143" s="1392"/>
      <c r="AD143" s="1392"/>
      <c r="AE143" s="1392"/>
      <c r="AF143" s="1340"/>
      <c r="AG143" s="1340"/>
      <c r="AH143" s="1340"/>
      <c r="AI143" s="1340"/>
      <c r="AJ143" s="1343"/>
      <c r="AK143" s="1345"/>
      <c r="AL143" s="74"/>
      <c r="AM143" s="74"/>
      <c r="AN143" s="74"/>
      <c r="AO143" s="74"/>
      <c r="AP143" s="74"/>
      <c r="AQ143" s="74"/>
      <c r="AR143" s="74"/>
    </row>
    <row r="144" spans="1:55" s="81" customFormat="1" ht="15" customHeight="1" x14ac:dyDescent="0.2">
      <c r="A144" s="1716"/>
      <c r="B144" s="1760"/>
      <c r="C144" s="1760"/>
      <c r="D144" s="1760"/>
      <c r="E144" s="1760"/>
      <c r="F144" s="1760"/>
      <c r="G144" s="1760"/>
      <c r="H144" s="1760"/>
      <c r="I144" s="1760"/>
      <c r="J144" s="1760"/>
      <c r="K144" s="1760"/>
      <c r="L144" s="1760"/>
      <c r="M144" s="1760"/>
      <c r="N144" s="1760"/>
      <c r="O144" s="1760"/>
      <c r="P144" s="1760"/>
      <c r="Q144" s="1760"/>
      <c r="R144" s="1760"/>
      <c r="S144" s="1760"/>
      <c r="T144" s="1760"/>
      <c r="U144" s="1760"/>
      <c r="V144" s="1761"/>
      <c r="W144" s="137"/>
      <c r="X144" s="1339"/>
      <c r="Y144" s="1392"/>
      <c r="Z144" s="1399"/>
      <c r="AA144" s="1392"/>
      <c r="AB144" s="1392"/>
      <c r="AC144" s="1392"/>
      <c r="AD144" s="1392"/>
      <c r="AE144" s="1392"/>
      <c r="AF144" s="1340"/>
      <c r="AG144" s="1340"/>
      <c r="AH144" s="1340"/>
      <c r="AI144" s="1340"/>
      <c r="AJ144" s="1340"/>
      <c r="AK144" s="1344"/>
      <c r="AM144" s="81">
        <f>COLUMNS($B$4:K$4)</f>
        <v>10</v>
      </c>
      <c r="AN144" s="81">
        <f>COLUMNS($B$4:L$4)</f>
        <v>11</v>
      </c>
      <c r="AO144" s="81">
        <f>COLUMNS($B$4:M$4)</f>
        <v>12</v>
      </c>
      <c r="AP144" s="81">
        <f>COLUMNS($B$4:N$4)</f>
        <v>13</v>
      </c>
      <c r="AQ144" s="81">
        <f>COLUMNS($B$4:O$4)</f>
        <v>14</v>
      </c>
      <c r="AR144" s="81">
        <f>COLUMNS($B$4:S$4)</f>
        <v>18</v>
      </c>
      <c r="AS144" s="81">
        <v>3</v>
      </c>
      <c r="AT144" s="24">
        <v>4</v>
      </c>
      <c r="AU144" s="24">
        <v>5</v>
      </c>
      <c r="AV144" s="24">
        <v>6</v>
      </c>
      <c r="AW144" s="23">
        <v>7</v>
      </c>
      <c r="AY144" s="81">
        <v>3</v>
      </c>
      <c r="AZ144" s="24">
        <v>4</v>
      </c>
      <c r="BA144" s="24">
        <v>5</v>
      </c>
      <c r="BB144" s="24">
        <v>6</v>
      </c>
      <c r="BC144" s="23">
        <v>7</v>
      </c>
    </row>
    <row r="145" spans="1:69" s="81" customFormat="1" ht="11.25" customHeight="1" x14ac:dyDescent="0.2">
      <c r="A145" s="1765" t="str">
        <f>Home!$A$39</f>
        <v xml:space="preserve"> </v>
      </c>
      <c r="B145" s="1766"/>
      <c r="C145" s="1766"/>
      <c r="D145" s="1766"/>
      <c r="E145" s="1766"/>
      <c r="F145" s="1766"/>
      <c r="G145" s="1766"/>
      <c r="H145" s="1766"/>
      <c r="I145" s="1767"/>
      <c r="J145" s="1766"/>
      <c r="K145" s="1766"/>
      <c r="L145" s="1766"/>
      <c r="M145" s="1766"/>
      <c r="N145" s="1766"/>
      <c r="O145" s="1766"/>
      <c r="P145" s="1768"/>
      <c r="Q145" s="1766"/>
      <c r="R145" s="1766"/>
      <c r="S145" s="1766"/>
      <c r="T145" s="1767"/>
      <c r="U145" s="1766"/>
      <c r="V145" s="1769"/>
      <c r="W145" s="137"/>
      <c r="X145" s="1339"/>
      <c r="Y145" s="1392"/>
      <c r="Z145" s="1418" t="s">
        <v>776</v>
      </c>
      <c r="AA145" s="1392"/>
      <c r="AB145" s="1392"/>
      <c r="AC145" s="1392"/>
      <c r="AD145" s="1392"/>
      <c r="AE145" s="1392"/>
      <c r="AF145" s="1340"/>
      <c r="AG145" s="1340"/>
      <c r="AH145" s="1340"/>
      <c r="AI145" s="1340"/>
      <c r="AJ145" s="1343"/>
      <c r="AK145" s="1346"/>
      <c r="AL145" s="87"/>
      <c r="AM145" s="826" t="s">
        <v>89</v>
      </c>
      <c r="AN145" s="827"/>
      <c r="AO145" s="827"/>
      <c r="AP145" s="827"/>
      <c r="AQ145" s="827"/>
      <c r="AR145" s="826" t="s">
        <v>1213</v>
      </c>
      <c r="AS145" s="55" t="s">
        <v>1298</v>
      </c>
      <c r="AT145" s="24"/>
      <c r="AU145" s="24"/>
      <c r="AV145" s="24"/>
      <c r="AW145" s="23"/>
      <c r="AY145" s="55" t="s">
        <v>1295</v>
      </c>
      <c r="AZ145" s="24"/>
      <c r="BA145" s="24"/>
      <c r="BB145" s="24"/>
      <c r="BC145" s="23"/>
    </row>
    <row r="146" spans="1:69" s="81" customFormat="1" ht="11.25" customHeight="1" x14ac:dyDescent="0.2">
      <c r="A146" s="112"/>
      <c r="B146" s="113"/>
      <c r="C146" s="113"/>
      <c r="D146" s="113"/>
      <c r="E146" s="113"/>
      <c r="F146" s="113"/>
      <c r="G146" s="113"/>
      <c r="H146" s="113"/>
      <c r="I146" s="113"/>
      <c r="J146" s="114"/>
      <c r="K146" s="113"/>
      <c r="L146" s="113"/>
      <c r="M146" s="113"/>
      <c r="N146" s="113"/>
      <c r="O146" s="113"/>
      <c r="P146" s="113"/>
      <c r="Q146" s="113"/>
      <c r="R146" s="113"/>
      <c r="S146" s="113"/>
      <c r="T146" s="113"/>
      <c r="U146" s="113"/>
      <c r="V146" s="115"/>
      <c r="W146" s="137"/>
      <c r="X146" s="1358"/>
      <c r="Y146" s="1413"/>
      <c r="Z146" s="580" t="str">
        <f>IF(Sheet1!$C$3="Annual","",Sheet1!$D$28)</f>
        <v/>
      </c>
      <c r="AA146" s="580" t="str">
        <f>IF(Sheet1!$C$3="Annual","",Sheet1!$E$28)</f>
        <v/>
      </c>
      <c r="AB146" s="580" t="str">
        <f>IF(Sheet1!$C$3="Annual","",Sheet1!$F$28)</f>
        <v/>
      </c>
      <c r="AC146" s="580" t="str">
        <f>IF(Sheet1!$C$3="Annual","",Sheet1!$G$28)</f>
        <v/>
      </c>
      <c r="AD146" s="580" t="str">
        <f>IF(Sheet1!$C$3="Annual","",Sheet1!$H$28)</f>
        <v/>
      </c>
      <c r="AE146" s="1392"/>
      <c r="AF146" s="1340"/>
      <c r="AG146" s="1340"/>
      <c r="AH146" s="1340"/>
      <c r="AI146" s="1340"/>
      <c r="AJ146" s="1343"/>
      <c r="AK146" s="1346"/>
      <c r="AL146" s="87"/>
      <c r="AM146" s="758" t="str">
        <f>IF(Sheet1!$C$3="Annual","",Sheet1!$D$28)</f>
        <v/>
      </c>
      <c r="AN146" s="758" t="str">
        <f>IF(Sheet1!$C$3="Annual","",Sheet1!$E$28)</f>
        <v/>
      </c>
      <c r="AO146" s="758" t="str">
        <f>IF(Sheet1!$C$3="Annual","",Sheet1!$F$28)</f>
        <v/>
      </c>
      <c r="AP146" s="758" t="str">
        <f>IF(Sheet1!$C$3="Annual","",Sheet1!$G$28)</f>
        <v/>
      </c>
      <c r="AQ146" s="758" t="str">
        <f>IF(Sheet1!$C$3="Annual","",Sheet1!$H$28)</f>
        <v/>
      </c>
      <c r="AR146" s="827"/>
      <c r="AS146" s="758" t="str">
        <f>IF(Sheet1!$C$3="Annual","",Sheet1!$D$28)</f>
        <v/>
      </c>
      <c r="AT146" s="758" t="str">
        <f>IF(Sheet1!$C$3="Annual","",Sheet1!$E$28)</f>
        <v/>
      </c>
      <c r="AU146" s="758" t="str">
        <f>IF(Sheet1!$C$3="Annual","",Sheet1!$F$28)</f>
        <v/>
      </c>
      <c r="AV146" s="758" t="str">
        <f>IF(Sheet1!$C$3="Annual","",Sheet1!$G$28)</f>
        <v/>
      </c>
      <c r="AW146" s="758" t="str">
        <f>IF(Sheet1!$C$3="Annual","",Sheet1!$H$28)</f>
        <v/>
      </c>
      <c r="AY146" s="1540"/>
      <c r="AZ146" s="1540"/>
      <c r="BA146" s="1540"/>
      <c r="BB146" s="1540"/>
      <c r="BC146" s="1542"/>
    </row>
    <row r="147" spans="1:69" s="81" customFormat="1" ht="22.5" customHeight="1" x14ac:dyDescent="0.25">
      <c r="A147" s="116"/>
      <c r="B147" s="9"/>
      <c r="C147" s="9"/>
      <c r="D147" s="9"/>
      <c r="E147" s="9"/>
      <c r="F147" s="9"/>
      <c r="G147" s="9"/>
      <c r="H147" s="9"/>
      <c r="I147" s="9"/>
      <c r="J147" s="12"/>
      <c r="K147" s="9"/>
      <c r="L147" s="9"/>
      <c r="M147" s="9"/>
      <c r="N147" s="9"/>
      <c r="O147" s="9"/>
      <c r="P147" s="9"/>
      <c r="Q147" s="9"/>
      <c r="R147" s="9"/>
      <c r="S147" s="9"/>
      <c r="T147" s="9"/>
      <c r="U147" s="9"/>
      <c r="V147" s="117"/>
      <c r="W147" s="137"/>
      <c r="X147" s="1359"/>
      <c r="Y147" s="1392"/>
      <c r="Z147" s="580" t="str">
        <f>Sheet1!$D$27</f>
        <v>2015-16</v>
      </c>
      <c r="AA147" s="580" t="str">
        <f>Sheet1!$E$27</f>
        <v>2016-17</v>
      </c>
      <c r="AB147" s="580" t="str">
        <f>Sheet1!$F$27</f>
        <v>2017-18</v>
      </c>
      <c r="AC147" s="580" t="str">
        <f>Sheet1!$G$27</f>
        <v>2018-19</v>
      </c>
      <c r="AD147" s="580" t="str">
        <f>Sheet1!$H$27</f>
        <v>2019-20</v>
      </c>
      <c r="AE147" s="1392"/>
      <c r="AF147" s="1340"/>
      <c r="AG147" s="1340"/>
      <c r="AH147" s="1340"/>
      <c r="AI147" s="1340"/>
      <c r="AJ147" s="1340"/>
      <c r="AK147" s="1346"/>
      <c r="AL147" s="87"/>
      <c r="AM147" s="758" t="str">
        <f>Sheet1!$D$27</f>
        <v>2015-16</v>
      </c>
      <c r="AN147" s="758" t="str">
        <f>Sheet1!$E$27</f>
        <v>2016-17</v>
      </c>
      <c r="AO147" s="758" t="str">
        <f>Sheet1!$F$27</f>
        <v>2017-18</v>
      </c>
      <c r="AP147" s="758" t="str">
        <f>Sheet1!$G$27</f>
        <v>2018-19</v>
      </c>
      <c r="AQ147" s="758" t="str">
        <f>Sheet1!$H$27</f>
        <v>2019-20</v>
      </c>
      <c r="AR147" s="827"/>
      <c r="AS147" s="758" t="str">
        <f>Sheet1!$D$27</f>
        <v>2015-16</v>
      </c>
      <c r="AT147" s="758" t="str">
        <f>Sheet1!$E$27</f>
        <v>2016-17</v>
      </c>
      <c r="AU147" s="758" t="str">
        <f>Sheet1!$F$27</f>
        <v>2017-18</v>
      </c>
      <c r="AV147" s="758" t="str">
        <f>Sheet1!$G$27</f>
        <v>2018-19</v>
      </c>
      <c r="AW147" s="758" t="str">
        <f>Sheet1!$H$27</f>
        <v>2019-20</v>
      </c>
      <c r="AY147" s="1540">
        <f>BC40</f>
        <v>0</v>
      </c>
      <c r="AZ147" s="1540">
        <f>BD40</f>
        <v>0</v>
      </c>
      <c r="BA147" s="1540">
        <f>BE40</f>
        <v>0</v>
      </c>
      <c r="BB147" s="1540">
        <f>BF40</f>
        <v>0</v>
      </c>
      <c r="BC147" s="1542">
        <f>BG40</f>
        <v>0</v>
      </c>
    </row>
    <row r="148" spans="1:69" s="81" customFormat="1" ht="13.5" customHeight="1" x14ac:dyDescent="0.2">
      <c r="A148" s="118"/>
      <c r="B148" s="9"/>
      <c r="C148" s="9"/>
      <c r="D148" s="9"/>
      <c r="E148" s="9"/>
      <c r="F148" s="9"/>
      <c r="G148" s="9"/>
      <c r="H148" s="9"/>
      <c r="I148" s="9"/>
      <c r="J148" s="12"/>
      <c r="K148" s="9"/>
      <c r="L148" s="9"/>
      <c r="M148" s="9"/>
      <c r="N148" s="9"/>
      <c r="O148" s="9"/>
      <c r="P148" s="9"/>
      <c r="Q148" s="9"/>
      <c r="R148" s="9"/>
      <c r="S148" s="9"/>
      <c r="T148" s="9"/>
      <c r="U148" s="9"/>
      <c r="V148" s="117"/>
      <c r="W148" s="137"/>
      <c r="X148" s="1359"/>
      <c r="Y148" s="1400" t="s">
        <v>0</v>
      </c>
      <c r="Z148" s="631">
        <f>IF(ISNUMBER(D10),D117,0)</f>
        <v>68</v>
      </c>
      <c r="AA148" s="631">
        <f>IF(ISNUMBER(E10),E117,0)</f>
        <v>49</v>
      </c>
      <c r="AB148" s="631">
        <f>IF(ISNUMBER(F10),F117,0)</f>
        <v>67</v>
      </c>
      <c r="AC148" s="631">
        <f>IF(ISNUMBER(G10),G117,0)</f>
        <v>65</v>
      </c>
      <c r="AD148" s="631">
        <f>IF(ISNUMBER(H10),H117,0)</f>
        <v>62</v>
      </c>
      <c r="AE148" s="1392"/>
      <c r="AF148" s="1340"/>
      <c r="AG148" s="1340"/>
      <c r="AH148" s="1340"/>
      <c r="AI148" s="1340"/>
      <c r="AJ148" s="1360" t="b">
        <f>AJ41</f>
        <v>1</v>
      </c>
      <c r="AK148" s="1346" t="s">
        <v>0</v>
      </c>
      <c r="AL148" s="87" t="str">
        <f t="shared" ref="AL148:AL171" si="53">IF(AJ148=TRUE,B117,"")</f>
        <v>Bracknell Forest</v>
      </c>
      <c r="AM148" s="146">
        <f>VLOOKUP($AL148,$B$117:$O$140,AM$144,FALSE)</f>
        <v>24.113475177304963</v>
      </c>
      <c r="AN148" s="146">
        <f t="shared" ref="AN148:AQ163" si="54">VLOOKUP($AL148,$B$117:$O$140,AN$144,FALSE)</f>
        <v>17.375886524822697</v>
      </c>
      <c r="AO148" s="146">
        <f t="shared" si="54"/>
        <v>23.843416370106763</v>
      </c>
      <c r="AP148" s="146">
        <f t="shared" si="54"/>
        <v>22.968197879858657</v>
      </c>
      <c r="AQ148" s="146">
        <f t="shared" si="54"/>
        <v>21.830985915492956</v>
      </c>
      <c r="AR148" s="147">
        <f>VLOOKUP(AL148,$B$10:$U$33,$AR$144,FALSE)</f>
        <v>8.9</v>
      </c>
      <c r="AS148" s="348" t="e">
        <f>VLOOKUP($AL148,$B$184:$H$207,AS$37,FALSE)</f>
        <v>#N/A</v>
      </c>
      <c r="AT148" s="348" t="e">
        <f>VLOOKUP($AL148,$B$184:$H$207,AT$37,FALSE)</f>
        <v>#N/A</v>
      </c>
      <c r="AU148" s="348" t="e">
        <f>VLOOKUP($AL148,$B$184:$H$207,AU$37,FALSE)</f>
        <v>#N/A</v>
      </c>
      <c r="AV148" s="348" t="e">
        <f>VLOOKUP($AL148,$B$184:$H$207,AV$37,FALSE)</f>
        <v>#N/A</v>
      </c>
      <c r="AW148" s="348">
        <f>VLOOKUP($AL148,$B$184:$H$207,AW$37,FALSE)</f>
        <v>0</v>
      </c>
      <c r="AX148" s="81" t="b">
        <f>IF($Z$4=$AL148,AW148)</f>
        <v>0</v>
      </c>
      <c r="AY148" s="348">
        <f>VLOOKUP($AL148,$B$220:$H$243,AY$144,FALSE)</f>
        <v>0.14705882352941177</v>
      </c>
      <c r="AZ148" s="348">
        <f t="shared" ref="AZ148:BC163" si="55">VLOOKUP($AL148,$B$220:$H$243,AZ$144,FALSE)</f>
        <v>0.20408163265306123</v>
      </c>
      <c r="BA148" s="348" t="e">
        <f t="shared" si="55"/>
        <v>#N/A</v>
      </c>
      <c r="BB148" s="348">
        <f t="shared" si="55"/>
        <v>0</v>
      </c>
      <c r="BC148" s="348">
        <f t="shared" si="55"/>
        <v>0</v>
      </c>
    </row>
    <row r="149" spans="1:69" s="81" customFormat="1" ht="13.5" customHeight="1" x14ac:dyDescent="0.2">
      <c r="A149" s="118"/>
      <c r="B149" s="9"/>
      <c r="C149" s="9"/>
      <c r="D149" s="9"/>
      <c r="E149" s="9"/>
      <c r="F149" s="9"/>
      <c r="G149" s="9"/>
      <c r="H149" s="9"/>
      <c r="I149" s="9"/>
      <c r="J149" s="12"/>
      <c r="K149" s="9"/>
      <c r="L149" s="9"/>
      <c r="M149" s="9"/>
      <c r="N149" s="9"/>
      <c r="O149" s="9"/>
      <c r="P149" s="9"/>
      <c r="Q149" s="9"/>
      <c r="R149" s="9"/>
      <c r="S149" s="9"/>
      <c r="T149" s="9"/>
      <c r="U149" s="9"/>
      <c r="V149" s="117"/>
      <c r="W149" s="137"/>
      <c r="X149" s="1359"/>
      <c r="Y149" s="1400" t="s">
        <v>31</v>
      </c>
      <c r="Z149" s="631">
        <f>IF(ISNUMBER(D11),D118,0)</f>
        <v>245</v>
      </c>
      <c r="AA149" s="631">
        <f>IF(ISNUMBER(E11),E118,0)</f>
        <v>179</v>
      </c>
      <c r="AB149" s="631">
        <f>IF(ISNUMBER(F11),F118,0)</f>
        <v>176</v>
      </c>
      <c r="AC149" s="631">
        <f>IF(ISNUMBER(G11),G118,0)</f>
        <v>187</v>
      </c>
      <c r="AD149" s="631">
        <f>IF(ISNUMBER(H11),H118,0)</f>
        <v>178</v>
      </c>
      <c r="AE149" s="1392"/>
      <c r="AF149" s="1340"/>
      <c r="AG149" s="1340"/>
      <c r="AH149" s="1340"/>
      <c r="AI149" s="1340"/>
      <c r="AJ149" s="1360" t="b">
        <f>AJ42</f>
        <v>1</v>
      </c>
      <c r="AK149" s="1346" t="s">
        <v>31</v>
      </c>
      <c r="AL149" s="87" t="str">
        <f t="shared" si="53"/>
        <v>Brighton &amp; Hove</v>
      </c>
      <c r="AM149" s="146">
        <f t="shared" ref="AM149:AQ171" si="56">VLOOKUP($AL149,$B$117:$O$140,AM$144,FALSE)</f>
        <v>47.8515625</v>
      </c>
      <c r="AN149" s="146">
        <f t="shared" si="54"/>
        <v>34.892787524366469</v>
      </c>
      <c r="AO149" s="146">
        <f t="shared" si="54"/>
        <v>34.509803921568626</v>
      </c>
      <c r="AP149" s="146">
        <f t="shared" si="54"/>
        <v>36.666666666666664</v>
      </c>
      <c r="AQ149" s="146">
        <f t="shared" si="54"/>
        <v>35.387673956262425</v>
      </c>
      <c r="AR149" s="147">
        <f>VLOOKUP(AL149,$B$10:$U$33,$AR$144,FALSE)</f>
        <v>15.299999999999999</v>
      </c>
      <c r="AS149" s="348" t="e">
        <f>VLOOKUP($AL149,$B$184:$H$207,AS$37,FALSE)</f>
        <v>#N/A</v>
      </c>
      <c r="AT149" s="348" t="e">
        <f>VLOOKUP($AL149,$B$184:$H$207,AT$37,FALSE)</f>
        <v>#N/A</v>
      </c>
      <c r="AU149" s="348">
        <f>VLOOKUP($AL149,$B$184:$H$207,AU$37,FALSE)</f>
        <v>3.9772727272727272E-2</v>
      </c>
      <c r="AV149" s="348" t="e">
        <f>VLOOKUP($AL149,$B$184:$H$207,AV$37,FALSE)</f>
        <v>#N/A</v>
      </c>
      <c r="AW149" s="348">
        <f>VLOOKUP($AL149,$B$184:$H$207,AW$37,FALSE)</f>
        <v>3.3707865168539325E-2</v>
      </c>
      <c r="AX149" s="81" t="b">
        <f t="shared" ref="AX149:AX172" si="57">IF($Z$4=$AL149,AW149)</f>
        <v>0</v>
      </c>
      <c r="AY149" s="348">
        <f t="shared" ref="AY149:BC171" si="58">VLOOKUP($AL149,$B$220:$H$243,AY$144,FALSE)</f>
        <v>0.16326530612244897</v>
      </c>
      <c r="AZ149" s="348">
        <f t="shared" si="55"/>
        <v>9.4972067039106142E-2</v>
      </c>
      <c r="BA149" s="348">
        <f t="shared" si="55"/>
        <v>0.14204545454545456</v>
      </c>
      <c r="BB149" s="348">
        <f t="shared" si="55"/>
        <v>0.13368983957219252</v>
      </c>
      <c r="BC149" s="348">
        <f t="shared" si="55"/>
        <v>0.16292134831460675</v>
      </c>
      <c r="BD149" s="348"/>
      <c r="BE149" s="348"/>
      <c r="BF149" s="348"/>
      <c r="BG149" s="348"/>
      <c r="BH149" s="348"/>
      <c r="BI149" s="348"/>
      <c r="BJ149" s="348"/>
      <c r="BK149" s="348"/>
      <c r="BL149" s="348"/>
      <c r="BM149" s="348"/>
      <c r="BN149" s="348"/>
      <c r="BO149" s="348"/>
      <c r="BP149" s="348"/>
      <c r="BQ149" s="348"/>
    </row>
    <row r="150" spans="1:69" ht="13.5" customHeight="1" x14ac:dyDescent="0.2">
      <c r="A150" s="118"/>
      <c r="B150" s="9"/>
      <c r="C150" s="9"/>
      <c r="D150" s="9"/>
      <c r="E150" s="9"/>
      <c r="F150" s="9"/>
      <c r="G150" s="9"/>
      <c r="H150" s="9"/>
      <c r="I150" s="9"/>
      <c r="J150" s="12"/>
      <c r="K150" s="9"/>
      <c r="L150" s="9"/>
      <c r="M150" s="9"/>
      <c r="N150" s="9"/>
      <c r="O150" s="9"/>
      <c r="P150" s="9"/>
      <c r="Q150" s="9"/>
      <c r="R150" s="9"/>
      <c r="S150" s="9"/>
      <c r="T150" s="9"/>
      <c r="U150" s="9"/>
      <c r="V150" s="117"/>
      <c r="W150" s="137"/>
      <c r="X150" s="1359"/>
      <c r="Y150" s="1400" t="s">
        <v>8</v>
      </c>
      <c r="Z150" s="631">
        <f>IF(ISNUMBER(D12),D119,0)</f>
        <v>227</v>
      </c>
      <c r="AA150" s="631">
        <f>IF(ISNUMBER(E12),E119,0)</f>
        <v>215</v>
      </c>
      <c r="AB150" s="631">
        <f>IF(ISNUMBER(F12),F119,0)</f>
        <v>180</v>
      </c>
      <c r="AC150" s="631">
        <f>IF(ISNUMBER(G12),G119,0)</f>
        <v>170</v>
      </c>
      <c r="AD150" s="631">
        <f>IF(ISNUMBER(H12),H119,0)</f>
        <v>235</v>
      </c>
      <c r="AF150" s="1340"/>
      <c r="AG150" s="1340"/>
      <c r="AH150" s="1340"/>
      <c r="AI150" s="1340"/>
      <c r="AJ150" s="1360" t="b">
        <f>AJ43</f>
        <v>1</v>
      </c>
      <c r="AK150" s="1346" t="s">
        <v>8</v>
      </c>
      <c r="AL150" s="87" t="str">
        <f t="shared" si="53"/>
        <v>Buckinghamshire</v>
      </c>
      <c r="AM150" s="146">
        <f t="shared" si="56"/>
        <v>18.822553897180764</v>
      </c>
      <c r="AN150" s="146">
        <f t="shared" si="54"/>
        <v>17.594108019639933</v>
      </c>
      <c r="AO150" s="146">
        <f t="shared" si="54"/>
        <v>14.62225832656377</v>
      </c>
      <c r="AP150" s="146">
        <f t="shared" si="54"/>
        <v>13.676588897827836</v>
      </c>
      <c r="AQ150" s="146">
        <f t="shared" si="54"/>
        <v>18.695306284805092</v>
      </c>
      <c r="AR150" s="147">
        <f>VLOOKUP(AL150,$B$10:$U$33,$AR$144,FALSE)</f>
        <v>8.5</v>
      </c>
      <c r="AS150" s="348">
        <f>VLOOKUP($AL150,$B$184:$H$207,AS$37,FALSE)</f>
        <v>2.2026431718061675E-2</v>
      </c>
      <c r="AT150" s="348">
        <f>VLOOKUP($AL150,$B$184:$H$207,AT$37,FALSE)</f>
        <v>3.7209302325581395E-2</v>
      </c>
      <c r="AU150" s="348" t="e">
        <f>VLOOKUP($AL150,$B$184:$H$207,AU$37,FALSE)</f>
        <v>#N/A</v>
      </c>
      <c r="AV150" s="348" t="e">
        <f>VLOOKUP($AL150,$B$184:$H$207,AV$37,FALSE)</f>
        <v>#N/A</v>
      </c>
      <c r="AW150" s="348">
        <f>VLOOKUP($AL150,$B$184:$H$207,AW$37,FALSE)</f>
        <v>2.9787234042553193E-2</v>
      </c>
      <c r="AX150" s="81" t="b">
        <f t="shared" si="57"/>
        <v>0</v>
      </c>
      <c r="AY150" s="348">
        <f t="shared" si="58"/>
        <v>8.8105726872246701E-2</v>
      </c>
      <c r="AZ150" s="348">
        <f t="shared" si="55"/>
        <v>8.3720930232558138E-2</v>
      </c>
      <c r="BA150" s="348">
        <f t="shared" si="55"/>
        <v>0.17222222222222222</v>
      </c>
      <c r="BB150" s="348">
        <f t="shared" si="55"/>
        <v>8.2352941176470587E-2</v>
      </c>
      <c r="BC150" s="348">
        <f t="shared" si="55"/>
        <v>7.6595744680851063E-2</v>
      </c>
      <c r="BD150" s="348"/>
      <c r="BE150" s="348"/>
      <c r="BF150" s="348"/>
      <c r="BG150" s="348"/>
      <c r="BH150" s="348"/>
      <c r="BI150" s="348"/>
      <c r="BJ150" s="348"/>
      <c r="BK150" s="348"/>
      <c r="BL150" s="348"/>
      <c r="BM150" s="348"/>
      <c r="BN150" s="348"/>
      <c r="BO150" s="348"/>
      <c r="BP150" s="348"/>
      <c r="BQ150" s="348"/>
    </row>
    <row r="151" spans="1:69" ht="13.5" customHeight="1" x14ac:dyDescent="0.2">
      <c r="A151" s="118"/>
      <c r="B151" s="9"/>
      <c r="C151" s="9"/>
      <c r="D151" s="9"/>
      <c r="E151" s="9"/>
      <c r="F151" s="9"/>
      <c r="G151" s="9"/>
      <c r="H151" s="9"/>
      <c r="I151" s="9"/>
      <c r="J151" s="12"/>
      <c r="K151" s="13"/>
      <c r="L151" s="13"/>
      <c r="M151" s="13"/>
      <c r="N151" s="13"/>
      <c r="O151" s="14"/>
      <c r="P151" s="14"/>
      <c r="Q151" s="14"/>
      <c r="R151" s="14"/>
      <c r="S151" s="14"/>
      <c r="T151" s="14"/>
      <c r="U151" s="14"/>
      <c r="V151" s="117"/>
      <c r="W151" s="137"/>
      <c r="X151" s="1359"/>
      <c r="Y151" s="1400" t="s">
        <v>4</v>
      </c>
      <c r="Z151" s="631">
        <f>IF(ISNUMBER(D13),D120,0)</f>
        <v>192</v>
      </c>
      <c r="AA151" s="631">
        <f>IF(ISNUMBER(E13),E120,0)</f>
        <v>185</v>
      </c>
      <c r="AB151" s="631">
        <f>IF(ISNUMBER(F13),F120,0)</f>
        <v>162</v>
      </c>
      <c r="AC151" s="631">
        <f>IF(ISNUMBER(G13),G120,0)</f>
        <v>192</v>
      </c>
      <c r="AD151" s="631">
        <f>IF(ISNUMBER(H13),H120,0)</f>
        <v>176</v>
      </c>
      <c r="AF151" s="1340"/>
      <c r="AG151" s="1340"/>
      <c r="AH151" s="1340"/>
      <c r="AI151" s="1340"/>
      <c r="AJ151" s="1360" t="b">
        <f>AJ44</f>
        <v>1</v>
      </c>
      <c r="AK151" s="1346" t="s">
        <v>4</v>
      </c>
      <c r="AL151" s="87" t="str">
        <f t="shared" si="53"/>
        <v>East Sussex</v>
      </c>
      <c r="AM151" s="146">
        <f t="shared" si="56"/>
        <v>18.130311614730878</v>
      </c>
      <c r="AN151" s="146">
        <f t="shared" si="54"/>
        <v>17.469310670443814</v>
      </c>
      <c r="AO151" s="146">
        <f t="shared" si="54"/>
        <v>15.283018867924527</v>
      </c>
      <c r="AP151" s="146">
        <f t="shared" si="54"/>
        <v>18.045112781954888</v>
      </c>
      <c r="AQ151" s="146">
        <f t="shared" si="54"/>
        <v>16.556914393226716</v>
      </c>
      <c r="AR151" s="147">
        <f>VLOOKUP(AL151,$B$10:$U$33,$AR$144,FALSE)</f>
        <v>16.100000000000001</v>
      </c>
      <c r="AS151" s="348" t="e">
        <f>VLOOKUP($AL151,$B$184:$H$207,AS$37,FALSE)</f>
        <v>#N/A</v>
      </c>
      <c r="AT151" s="348" t="e">
        <f>VLOOKUP($AL151,$B$184:$H$207,AT$37,FALSE)</f>
        <v>#N/A</v>
      </c>
      <c r="AU151" s="348" t="e">
        <f>VLOOKUP($AL151,$B$184:$H$207,AU$37,FALSE)</f>
        <v>#N/A</v>
      </c>
      <c r="AV151" s="348" t="e">
        <f>VLOOKUP($AL151,$B$184:$H$207,AV$37,FALSE)</f>
        <v>#N/A</v>
      </c>
      <c r="AW151" s="348">
        <f>VLOOKUP($AL151,$B$184:$H$207,AW$37,FALSE)</f>
        <v>0</v>
      </c>
      <c r="AX151" s="81" t="b">
        <f t="shared" si="57"/>
        <v>0</v>
      </c>
      <c r="AY151" s="348">
        <f t="shared" si="58"/>
        <v>0.10416666666666667</v>
      </c>
      <c r="AZ151" s="348">
        <f t="shared" si="55"/>
        <v>0.16216216216216217</v>
      </c>
      <c r="BA151" s="348">
        <f t="shared" si="55"/>
        <v>0.1111111111111111</v>
      </c>
      <c r="BB151" s="348">
        <f t="shared" si="55"/>
        <v>0.125</v>
      </c>
      <c r="BC151" s="348">
        <f t="shared" si="55"/>
        <v>0.125</v>
      </c>
      <c r="BD151" s="348"/>
      <c r="BE151" s="348"/>
      <c r="BF151" s="348"/>
      <c r="BG151" s="348"/>
      <c r="BH151" s="348"/>
      <c r="BI151" s="348"/>
      <c r="BJ151" s="348"/>
      <c r="BK151" s="348"/>
      <c r="BL151" s="348"/>
      <c r="BM151" s="348"/>
      <c r="BN151" s="348"/>
      <c r="BO151" s="348"/>
      <c r="BP151" s="348"/>
      <c r="BQ151" s="348"/>
    </row>
    <row r="152" spans="1:69" s="76" customFormat="1" ht="13.5" customHeight="1" x14ac:dyDescent="0.2">
      <c r="A152" s="119"/>
      <c r="B152" s="226"/>
      <c r="C152" s="226"/>
      <c r="D152" s="227"/>
      <c r="E152" s="227"/>
      <c r="F152" s="227"/>
      <c r="G152" s="227"/>
      <c r="H152" s="227"/>
      <c r="I152" s="227"/>
      <c r="J152" s="15"/>
      <c r="K152" s="9"/>
      <c r="L152" s="9"/>
      <c r="M152" s="9"/>
      <c r="N152" s="9"/>
      <c r="O152" s="9"/>
      <c r="P152" s="9"/>
      <c r="Q152" s="9"/>
      <c r="R152" s="9"/>
      <c r="S152" s="9"/>
      <c r="T152" s="9"/>
      <c r="U152" s="9"/>
      <c r="V152" s="120"/>
      <c r="W152" s="138"/>
      <c r="X152" s="1361"/>
      <c r="Y152" s="1400" t="s">
        <v>6</v>
      </c>
      <c r="Z152" s="631">
        <f>IF(ISNUMBER(D14),D121,0)</f>
        <v>545</v>
      </c>
      <c r="AA152" s="631">
        <f>IF(ISNUMBER(E14),E121,0)</f>
        <v>532</v>
      </c>
      <c r="AB152" s="631">
        <f>IF(ISNUMBER(F14),F121,0)</f>
        <v>486</v>
      </c>
      <c r="AC152" s="631">
        <f>IF(ISNUMBER(G14),G121,0)</f>
        <v>593</v>
      </c>
      <c r="AD152" s="631">
        <f>IF(ISNUMBER(H14),H121,0)</f>
        <v>624</v>
      </c>
      <c r="AE152" s="1392"/>
      <c r="AF152" s="1340"/>
      <c r="AG152" s="1340"/>
      <c r="AH152" s="1340"/>
      <c r="AI152" s="1340"/>
      <c r="AJ152" s="1360" t="b">
        <f>AJ45</f>
        <v>1</v>
      </c>
      <c r="AK152" s="1346" t="s">
        <v>6</v>
      </c>
      <c r="AL152" s="87" t="str">
        <f t="shared" si="53"/>
        <v>Hampshire</v>
      </c>
      <c r="AM152" s="146">
        <f t="shared" si="56"/>
        <v>19.333096842852076</v>
      </c>
      <c r="AN152" s="146">
        <f t="shared" si="54"/>
        <v>18.811881188118811</v>
      </c>
      <c r="AO152" s="146">
        <f t="shared" si="54"/>
        <v>17.154959406989057</v>
      </c>
      <c r="AP152" s="146">
        <f t="shared" si="54"/>
        <v>20.880281690140844</v>
      </c>
      <c r="AQ152" s="146">
        <f t="shared" si="54"/>
        <v>21.948645796693633</v>
      </c>
      <c r="AR152" s="147">
        <f>VLOOKUP(AL152,$B$10:$U$33,$AR$144,FALSE)</f>
        <v>10.100000000000001</v>
      </c>
      <c r="AS152" s="348">
        <f>VLOOKUP($AL152,$B$184:$H$207,AS$37,FALSE)</f>
        <v>9.1743119266055051E-3</v>
      </c>
      <c r="AT152" s="348">
        <f>VLOOKUP($AL152,$B$184:$H$207,AT$37,FALSE)</f>
        <v>3.9473684210526314E-2</v>
      </c>
      <c r="AU152" s="348">
        <f>VLOOKUP($AL152,$B$184:$H$207,AU$37,FALSE)</f>
        <v>4.1152263374485597E-2</v>
      </c>
      <c r="AV152" s="348">
        <f>VLOOKUP($AL152,$B$184:$H$207,AV$37,FALSE)</f>
        <v>3.0354131534569982E-2</v>
      </c>
      <c r="AW152" s="348">
        <f>VLOOKUP($AL152,$B$184:$H$207,AW$37,FALSE)</f>
        <v>4.3269230769230768E-2</v>
      </c>
      <c r="AX152" s="81" t="b">
        <f t="shared" si="57"/>
        <v>0</v>
      </c>
      <c r="AY152" s="348">
        <f t="shared" si="58"/>
        <v>8.2568807339449546E-2</v>
      </c>
      <c r="AZ152" s="348">
        <f t="shared" si="55"/>
        <v>9.5864661654135333E-2</v>
      </c>
      <c r="BA152" s="348">
        <f t="shared" si="55"/>
        <v>0.11522633744855967</v>
      </c>
      <c r="BB152" s="348">
        <f t="shared" si="55"/>
        <v>0.1551433389544688</v>
      </c>
      <c r="BC152" s="348">
        <f t="shared" si="55"/>
        <v>0.14423076923076922</v>
      </c>
      <c r="BD152" s="348"/>
      <c r="BE152" s="348"/>
      <c r="BF152" s="348"/>
      <c r="BG152" s="348"/>
      <c r="BH152" s="348"/>
      <c r="BI152" s="348"/>
      <c r="BJ152" s="348"/>
      <c r="BK152" s="348"/>
      <c r="BL152" s="348"/>
      <c r="BM152" s="348"/>
      <c r="BN152" s="348"/>
      <c r="BO152" s="348"/>
      <c r="BP152" s="348"/>
      <c r="BQ152" s="348"/>
    </row>
    <row r="153" spans="1:69" ht="13.5" customHeight="1" x14ac:dyDescent="0.2">
      <c r="A153" s="118"/>
      <c r="B153" s="227"/>
      <c r="C153" s="227"/>
      <c r="D153" s="227"/>
      <c r="E153" s="227"/>
      <c r="F153" s="227"/>
      <c r="G153" s="227"/>
      <c r="H153" s="227"/>
      <c r="I153" s="227"/>
      <c r="J153" s="12"/>
      <c r="K153" s="14"/>
      <c r="L153" s="14"/>
      <c r="M153" s="14"/>
      <c r="N153" s="14"/>
      <c r="O153" s="9"/>
      <c r="P153" s="9"/>
      <c r="Q153" s="9"/>
      <c r="R153" s="9"/>
      <c r="S153" s="9"/>
      <c r="T153" s="9"/>
      <c r="U153" s="9"/>
      <c r="V153" s="117"/>
      <c r="W153" s="137"/>
      <c r="X153" s="1359"/>
      <c r="Y153" s="1400" t="s">
        <v>1</v>
      </c>
      <c r="Z153" s="631">
        <f>IF(ISNUMBER(D15),D122,0)</f>
        <v>73</v>
      </c>
      <c r="AA153" s="631">
        <f>IF(ISNUMBER(E15),E122,0)</f>
        <v>76</v>
      </c>
      <c r="AB153" s="631">
        <f>IF(ISNUMBER(F15),F122,0)</f>
        <v>82</v>
      </c>
      <c r="AC153" s="631">
        <f>IF(ISNUMBER(G15),G122,0)</f>
        <v>61</v>
      </c>
      <c r="AD153" s="631">
        <f>IF(ISNUMBER(H15),H122,0)</f>
        <v>53</v>
      </c>
      <c r="AF153" s="1340"/>
      <c r="AG153" s="1340"/>
      <c r="AH153" s="1340"/>
      <c r="AI153" s="1340"/>
      <c r="AJ153" s="1360" t="b">
        <f>AJ46</f>
        <v>1</v>
      </c>
      <c r="AK153" s="1346" t="s">
        <v>1</v>
      </c>
      <c r="AL153" s="87" t="str">
        <f t="shared" si="53"/>
        <v>Isle of Wight</v>
      </c>
      <c r="AM153" s="146">
        <f t="shared" si="56"/>
        <v>28.853754940711465</v>
      </c>
      <c r="AN153" s="146">
        <f t="shared" si="54"/>
        <v>30.158730158730162</v>
      </c>
      <c r="AO153" s="146">
        <f t="shared" si="54"/>
        <v>32.669322709163346</v>
      </c>
      <c r="AP153" s="146">
        <f t="shared" si="54"/>
        <v>24.497991967871485</v>
      </c>
      <c r="AQ153" s="146">
        <f t="shared" si="54"/>
        <v>21.457489878542511</v>
      </c>
      <c r="AR153" s="147">
        <f>VLOOKUP(AL153,$B$10:$U$33,$AR$144,FALSE)</f>
        <v>18</v>
      </c>
      <c r="AS153" s="348" t="e">
        <f>VLOOKUP($AL153,$B$184:$H$207,AS$37,FALSE)</f>
        <v>#N/A</v>
      </c>
      <c r="AT153" s="348" t="e">
        <f>VLOOKUP($AL153,$B$184:$H$207,AT$37,FALSE)</f>
        <v>#N/A</v>
      </c>
      <c r="AU153" s="348" t="e">
        <f>VLOOKUP($AL153,$B$184:$H$207,AU$37,FALSE)</f>
        <v>#N/A</v>
      </c>
      <c r="AV153" s="348" t="e">
        <f>VLOOKUP($AL153,$B$184:$H$207,AV$37,FALSE)</f>
        <v>#N/A</v>
      </c>
      <c r="AW153" s="348">
        <f>VLOOKUP($AL153,$B$184:$H$207,AW$37,FALSE)</f>
        <v>0</v>
      </c>
      <c r="AX153" s="81" t="b">
        <f t="shared" si="57"/>
        <v>0</v>
      </c>
      <c r="AY153" s="348">
        <f t="shared" si="58"/>
        <v>0.13698630136986301</v>
      </c>
      <c r="AZ153" s="348" t="e">
        <f t="shared" si="55"/>
        <v>#N/A</v>
      </c>
      <c r="BA153" s="348" t="e">
        <f t="shared" si="55"/>
        <v>#N/A</v>
      </c>
      <c r="BB153" s="348">
        <f t="shared" si="55"/>
        <v>0</v>
      </c>
      <c r="BC153" s="348">
        <f t="shared" si="55"/>
        <v>0</v>
      </c>
      <c r="BD153" s="348"/>
      <c r="BE153" s="348"/>
      <c r="BF153" s="348"/>
      <c r="BG153" s="348"/>
      <c r="BH153" s="348"/>
      <c r="BI153" s="348"/>
      <c r="BJ153" s="348"/>
      <c r="BK153" s="348"/>
      <c r="BL153" s="348"/>
      <c r="BM153" s="348"/>
      <c r="BN153" s="348"/>
      <c r="BO153" s="348"/>
      <c r="BP153" s="348"/>
      <c r="BQ153" s="348"/>
    </row>
    <row r="154" spans="1:69" ht="13.5" customHeight="1" x14ac:dyDescent="0.2">
      <c r="A154" s="118"/>
      <c r="B154" s="227"/>
      <c r="C154" s="227"/>
      <c r="D154" s="227"/>
      <c r="E154" s="227"/>
      <c r="F154" s="227"/>
      <c r="G154" s="227"/>
      <c r="H154" s="227"/>
      <c r="I154" s="227"/>
      <c r="J154" s="12"/>
      <c r="K154" s="14"/>
      <c r="L154" s="14"/>
      <c r="M154" s="14"/>
      <c r="N154" s="14"/>
      <c r="O154" s="9"/>
      <c r="P154" s="9"/>
      <c r="Q154" s="9"/>
      <c r="R154" s="9"/>
      <c r="S154" s="9"/>
      <c r="T154" s="9"/>
      <c r="U154" s="9"/>
      <c r="V154" s="117"/>
      <c r="W154" s="137"/>
      <c r="X154" s="1359"/>
      <c r="Y154" s="1400" t="s">
        <v>9</v>
      </c>
      <c r="Z154" s="631">
        <f>IF(ISNUMBER(D16),D123,0)</f>
        <v>1079</v>
      </c>
      <c r="AA154" s="631">
        <f>IF(ISNUMBER(E16),E123,0)</f>
        <v>1316</v>
      </c>
      <c r="AB154" s="631">
        <f>IF(ISNUMBER(F16),F123,0)</f>
        <v>1049</v>
      </c>
      <c r="AC154" s="631">
        <f>IF(ISNUMBER(G16),G123,0)</f>
        <v>763</v>
      </c>
      <c r="AD154" s="631">
        <f>IF(ISNUMBER(H16),H123,0)</f>
        <v>738</v>
      </c>
      <c r="AF154" s="1340"/>
      <c r="AG154" s="1340"/>
      <c r="AH154" s="1340"/>
      <c r="AI154" s="1340"/>
      <c r="AJ154" s="1360" t="b">
        <f>AJ47</f>
        <v>1</v>
      </c>
      <c r="AK154" s="1346" t="s">
        <v>9</v>
      </c>
      <c r="AL154" s="87" t="str">
        <f t="shared" si="53"/>
        <v>Kent</v>
      </c>
      <c r="AM154" s="146">
        <f t="shared" si="56"/>
        <v>32.657384987893465</v>
      </c>
      <c r="AN154" s="146">
        <f t="shared" si="54"/>
        <v>39.51951951951952</v>
      </c>
      <c r="AO154" s="146">
        <f t="shared" si="54"/>
        <v>31.210949122285033</v>
      </c>
      <c r="AP154" s="146">
        <f t="shared" si="54"/>
        <v>22.43457806527492</v>
      </c>
      <c r="AQ154" s="146">
        <f t="shared" si="54"/>
        <v>21.465968586387437</v>
      </c>
      <c r="AR154" s="147">
        <f>VLOOKUP(AL154,$B$10:$U$33,$AR$144,FALSE)</f>
        <v>15.8</v>
      </c>
      <c r="AS154" s="348">
        <f>VLOOKUP($AL154,$B$184:$H$207,AS$37,FALSE)</f>
        <v>9.2678405931417972E-3</v>
      </c>
      <c r="AT154" s="348">
        <f>VLOOKUP($AL154,$B$184:$H$207,AT$37,FALSE)</f>
        <v>8.3586626139817623E-3</v>
      </c>
      <c r="AU154" s="348">
        <f>VLOOKUP($AL154,$B$184:$H$207,AU$37,FALSE)</f>
        <v>1.5252621544327931E-2</v>
      </c>
      <c r="AV154" s="348">
        <f>VLOOKUP($AL154,$B$184:$H$207,AV$37,FALSE)</f>
        <v>1.310615989515072E-2</v>
      </c>
      <c r="AW154" s="348">
        <f>VLOOKUP($AL154,$B$184:$H$207,AW$37,FALSE)</f>
        <v>2.4390243902439025E-2</v>
      </c>
      <c r="AX154" s="81" t="b">
        <f t="shared" si="57"/>
        <v>0</v>
      </c>
      <c r="AY154" s="348">
        <f t="shared" si="58"/>
        <v>4.1705282669138088E-2</v>
      </c>
      <c r="AZ154" s="348">
        <f t="shared" si="55"/>
        <v>4.1033434650455926E-2</v>
      </c>
      <c r="BA154" s="348">
        <f t="shared" si="55"/>
        <v>4.0991420400381312E-2</v>
      </c>
      <c r="BB154" s="348">
        <f t="shared" si="55"/>
        <v>5.8977719528178242E-2</v>
      </c>
      <c r="BC154" s="348">
        <f t="shared" si="55"/>
        <v>6.6395663956639567E-2</v>
      </c>
      <c r="BD154" s="348"/>
      <c r="BE154" s="348"/>
      <c r="BF154" s="348"/>
      <c r="BG154" s="348"/>
      <c r="BH154" s="348"/>
      <c r="BI154" s="348"/>
      <c r="BJ154" s="348"/>
      <c r="BK154" s="348"/>
      <c r="BL154" s="348"/>
      <c r="BM154" s="348"/>
      <c r="BN154" s="348"/>
      <c r="BO154" s="348"/>
      <c r="BP154" s="348"/>
      <c r="BQ154" s="348"/>
    </row>
    <row r="155" spans="1:69" ht="13.5" customHeight="1" x14ac:dyDescent="0.2">
      <c r="A155" s="118"/>
      <c r="B155" s="58"/>
      <c r="C155" s="58"/>
      <c r="D155" s="58"/>
      <c r="E155" s="58"/>
      <c r="F155" s="58"/>
      <c r="G155" s="58"/>
      <c r="H155" s="58"/>
      <c r="I155" s="58"/>
      <c r="J155" s="12"/>
      <c r="K155" s="14"/>
      <c r="L155" s="14"/>
      <c r="M155" s="14"/>
      <c r="N155" s="14"/>
      <c r="O155" s="9"/>
      <c r="P155" s="9"/>
      <c r="Q155" s="9"/>
      <c r="R155" s="9"/>
      <c r="S155" s="9"/>
      <c r="T155" s="9"/>
      <c r="U155" s="9"/>
      <c r="V155" s="117"/>
      <c r="W155" s="137"/>
      <c r="X155" s="1359"/>
      <c r="Y155" s="1400" t="s">
        <v>2</v>
      </c>
      <c r="Z155" s="631">
        <f>IF(ISNUMBER(D17),D124,0)</f>
        <v>210</v>
      </c>
      <c r="AA155" s="631">
        <f>IF(ISNUMBER(E17),E124,0)</f>
        <v>187</v>
      </c>
      <c r="AB155" s="631">
        <f>IF(ISNUMBER(F17),F124,0)</f>
        <v>159</v>
      </c>
      <c r="AC155" s="631">
        <f>IF(ISNUMBER(G17),G124,0)</f>
        <v>158</v>
      </c>
      <c r="AD155" s="631">
        <f>IF(ISNUMBER(H17),H124,0)</f>
        <v>180</v>
      </c>
      <c r="AF155" s="1340"/>
      <c r="AG155" s="1340"/>
      <c r="AH155" s="1340"/>
      <c r="AI155" s="1340"/>
      <c r="AJ155" s="1360" t="b">
        <f>AJ48</f>
        <v>1</v>
      </c>
      <c r="AK155" s="1346" t="s">
        <v>2</v>
      </c>
      <c r="AL155" s="87" t="str">
        <f t="shared" si="53"/>
        <v>Medway</v>
      </c>
      <c r="AM155" s="146">
        <f t="shared" si="56"/>
        <v>33.22784810126582</v>
      </c>
      <c r="AN155" s="146">
        <f t="shared" si="54"/>
        <v>29.356357927786497</v>
      </c>
      <c r="AO155" s="146">
        <f t="shared" si="54"/>
        <v>24.88262910798122</v>
      </c>
      <c r="AP155" s="146">
        <f t="shared" si="54"/>
        <v>24.534161490683232</v>
      </c>
      <c r="AQ155" s="146">
        <f t="shared" si="54"/>
        <v>27.69230769230769</v>
      </c>
      <c r="AR155" s="147">
        <f>VLOOKUP(AL155,$B$10:$U$33,$AR$144,FALSE)</f>
        <v>18.899999999999999</v>
      </c>
      <c r="AS155" s="348">
        <f>VLOOKUP($AL155,$B$184:$H$207,AS$37,FALSE)</f>
        <v>9.5238095238095233E-2</v>
      </c>
      <c r="AT155" s="348">
        <f>VLOOKUP($AL155,$B$184:$H$207,AT$37,FALSE)</f>
        <v>6.4171122994652413E-2</v>
      </c>
      <c r="AU155" s="348" t="e">
        <f>VLOOKUP($AL155,$B$184:$H$207,AU$37,FALSE)</f>
        <v>#N/A</v>
      </c>
      <c r="AV155" s="348" t="e">
        <f>VLOOKUP($AL155,$B$184:$H$207,AV$37,FALSE)</f>
        <v>#N/A</v>
      </c>
      <c r="AW155" s="348">
        <f>VLOOKUP($AL155,$B$184:$H$207,AW$37,FALSE)</f>
        <v>7.7777777777777779E-2</v>
      </c>
      <c r="AX155" s="81" t="b">
        <f t="shared" si="57"/>
        <v>0</v>
      </c>
      <c r="AY155" s="348">
        <f t="shared" si="58"/>
        <v>0.11904761904761904</v>
      </c>
      <c r="AZ155" s="348">
        <f t="shared" si="55"/>
        <v>0.1497326203208556</v>
      </c>
      <c r="BA155" s="348">
        <f t="shared" si="55"/>
        <v>0.11949685534591195</v>
      </c>
      <c r="BB155" s="348">
        <f t="shared" si="55"/>
        <v>0.15822784810126583</v>
      </c>
      <c r="BC155" s="348">
        <f t="shared" si="55"/>
        <v>0.12777777777777777</v>
      </c>
      <c r="BD155" s="348"/>
      <c r="BE155" s="348"/>
      <c r="BF155" s="348"/>
      <c r="BG155" s="348"/>
      <c r="BH155" s="348"/>
      <c r="BI155" s="348"/>
      <c r="BJ155" s="348"/>
      <c r="BK155" s="348"/>
      <c r="BL155" s="348"/>
      <c r="BM155" s="348"/>
      <c r="BN155" s="348"/>
      <c r="BO155" s="348"/>
      <c r="BP155" s="348"/>
      <c r="BQ155" s="348"/>
    </row>
    <row r="156" spans="1:69" ht="13.5" customHeight="1" x14ac:dyDescent="0.2">
      <c r="A156" s="118"/>
      <c r="B156" s="58"/>
      <c r="C156" s="58"/>
      <c r="D156" s="69"/>
      <c r="E156" s="70"/>
      <c r="F156" s="69"/>
      <c r="G156" s="70"/>
      <c r="H156" s="70"/>
      <c r="I156" s="70"/>
      <c r="J156" s="12"/>
      <c r="K156" s="14"/>
      <c r="L156" s="14"/>
      <c r="M156" s="14"/>
      <c r="N156" s="14"/>
      <c r="O156" s="9"/>
      <c r="P156" s="9"/>
      <c r="Q156" s="9"/>
      <c r="R156" s="9"/>
      <c r="S156" s="9"/>
      <c r="T156" s="9"/>
      <c r="U156" s="9"/>
      <c r="V156" s="117"/>
      <c r="W156" s="137"/>
      <c r="X156" s="1359"/>
      <c r="Y156" s="1400" t="s">
        <v>10</v>
      </c>
      <c r="Z156" s="631">
        <f>IF(ISNUMBER(D18),D125,0)</f>
        <v>186</v>
      </c>
      <c r="AA156" s="631">
        <f>IF(ISNUMBER(E18),E125,0)</f>
        <v>152</v>
      </c>
      <c r="AB156" s="631">
        <f>IF(ISNUMBER(F18),F125,0)</f>
        <v>145</v>
      </c>
      <c r="AC156" s="631">
        <f>IF(ISNUMBER(G18),G125,0)</f>
        <v>173</v>
      </c>
      <c r="AD156" s="631">
        <f>IF(ISNUMBER(H18),H125,0)</f>
        <v>148</v>
      </c>
      <c r="AF156" s="1340"/>
      <c r="AG156" s="1340"/>
      <c r="AH156" s="1340"/>
      <c r="AI156" s="1340"/>
      <c r="AJ156" s="1360" t="b">
        <f>AJ49</f>
        <v>1</v>
      </c>
      <c r="AK156" s="1346" t="s">
        <v>10</v>
      </c>
      <c r="AL156" s="87" t="str">
        <f t="shared" si="53"/>
        <v>Milton Keynes</v>
      </c>
      <c r="AM156" s="146">
        <f t="shared" si="56"/>
        <v>28.139183055975792</v>
      </c>
      <c r="AN156" s="146">
        <f t="shared" si="54"/>
        <v>22.652757078986586</v>
      </c>
      <c r="AO156" s="146">
        <f t="shared" si="54"/>
        <v>21.449704142011832</v>
      </c>
      <c r="AP156" s="146">
        <f t="shared" si="54"/>
        <v>25.329428989751101</v>
      </c>
      <c r="AQ156" s="146">
        <f t="shared" si="54"/>
        <v>21.511627906976742</v>
      </c>
      <c r="AR156" s="147">
        <f>VLOOKUP(AL156,$B$10:$U$33,$AR$144,FALSE)</f>
        <v>15</v>
      </c>
      <c r="AS156" s="348">
        <f>VLOOKUP($AL156,$B$184:$H$207,AS$37,FALSE)</f>
        <v>2.6881720430107527E-2</v>
      </c>
      <c r="AT156" s="348" t="e">
        <f>VLOOKUP($AL156,$B$184:$H$207,AT$37,FALSE)</f>
        <v>#N/A</v>
      </c>
      <c r="AU156" s="348" t="e">
        <f>VLOOKUP($AL156,$B$184:$H$207,AU$37,FALSE)</f>
        <v>#N/A</v>
      </c>
      <c r="AV156" s="348" t="e">
        <f>VLOOKUP($AL156,$B$184:$H$207,AV$37,FALSE)</f>
        <v>#N/A</v>
      </c>
      <c r="AW156" s="348">
        <f>VLOOKUP($AL156,$B$184:$H$207,AW$37,FALSE)</f>
        <v>6.0810810810810814E-2</v>
      </c>
      <c r="AX156" s="81" t="b">
        <f t="shared" si="57"/>
        <v>0</v>
      </c>
      <c r="AY156" s="348">
        <f t="shared" si="58"/>
        <v>0.10752688172043011</v>
      </c>
      <c r="AZ156" s="348">
        <f t="shared" si="55"/>
        <v>0.17763157894736842</v>
      </c>
      <c r="BA156" s="348">
        <f t="shared" si="55"/>
        <v>0.24827586206896551</v>
      </c>
      <c r="BB156" s="348">
        <f t="shared" si="55"/>
        <v>0.15028901734104047</v>
      </c>
      <c r="BC156" s="348">
        <f t="shared" si="55"/>
        <v>0.13513513513513514</v>
      </c>
      <c r="BD156" s="348"/>
      <c r="BE156" s="348"/>
      <c r="BF156" s="348"/>
      <c r="BG156" s="348"/>
      <c r="BH156" s="348"/>
      <c r="BI156" s="348"/>
      <c r="BJ156" s="348"/>
      <c r="BK156" s="348"/>
      <c r="BL156" s="348"/>
      <c r="BM156" s="348"/>
      <c r="BN156" s="348"/>
      <c r="BO156" s="348"/>
      <c r="BP156" s="348"/>
      <c r="BQ156" s="348"/>
    </row>
    <row r="157" spans="1:69" ht="13.5" customHeight="1" x14ac:dyDescent="0.2">
      <c r="A157" s="118"/>
      <c r="B157" s="58"/>
      <c r="C157" s="58"/>
      <c r="D157" s="61"/>
      <c r="E157" s="61"/>
      <c r="F157" s="61"/>
      <c r="G157" s="61"/>
      <c r="H157" s="61"/>
      <c r="I157" s="61"/>
      <c r="J157" s="12"/>
      <c r="K157" s="14"/>
      <c r="L157" s="14"/>
      <c r="M157" s="14"/>
      <c r="N157" s="14"/>
      <c r="O157" s="9"/>
      <c r="P157" s="9"/>
      <c r="Q157" s="9"/>
      <c r="R157" s="9"/>
      <c r="S157" s="9"/>
      <c r="T157" s="9"/>
      <c r="U157" s="9"/>
      <c r="V157" s="117"/>
      <c r="W157" s="137"/>
      <c r="X157" s="1359"/>
      <c r="Y157" s="1400" t="s">
        <v>11</v>
      </c>
      <c r="Z157" s="631">
        <f>IF(ISNUMBER(D19),D126,0)</f>
        <v>280</v>
      </c>
      <c r="AA157" s="631">
        <f>IF(ISNUMBER(E19),E126,0)</f>
        <v>286</v>
      </c>
      <c r="AB157" s="631">
        <f>IF(ISNUMBER(F19),F126,0)</f>
        <v>298</v>
      </c>
      <c r="AC157" s="631">
        <f>IF(ISNUMBER(G19),G126,0)</f>
        <v>273</v>
      </c>
      <c r="AD157" s="631">
        <f>IF(ISNUMBER(H19),H126,0)</f>
        <v>322</v>
      </c>
      <c r="AF157" s="1340"/>
      <c r="AG157" s="1340"/>
      <c r="AH157" s="1340"/>
      <c r="AI157" s="1340"/>
      <c r="AJ157" s="1360" t="b">
        <f>AJ50</f>
        <v>1</v>
      </c>
      <c r="AK157" s="1346" t="s">
        <v>11</v>
      </c>
      <c r="AL157" s="87" t="str">
        <f t="shared" si="53"/>
        <v>Oxfordshire</v>
      </c>
      <c r="AM157" s="146">
        <f t="shared" si="56"/>
        <v>19.746121297602258</v>
      </c>
      <c r="AN157" s="146">
        <f t="shared" si="54"/>
        <v>20.013995801259622</v>
      </c>
      <c r="AO157" s="146">
        <f t="shared" si="54"/>
        <v>20.781032078103205</v>
      </c>
      <c r="AP157" s="146">
        <f t="shared" si="54"/>
        <v>18.853591160220994</v>
      </c>
      <c r="AQ157" s="146">
        <f t="shared" si="54"/>
        <v>22.039698836413415</v>
      </c>
      <c r="AR157" s="147">
        <f>VLOOKUP(AL157,$B$10:$U$33,$AR$144,FALSE)</f>
        <v>10.100000000000001</v>
      </c>
      <c r="AS157" s="348">
        <f>VLOOKUP($AL157,$B$184:$H$207,AS$37,FALSE)</f>
        <v>3.5714285714285712E-2</v>
      </c>
      <c r="AT157" s="348">
        <f>VLOOKUP($AL157,$B$184:$H$207,AT$37,FALSE)</f>
        <v>6.9930069930069935E-2</v>
      </c>
      <c r="AU157" s="348">
        <f>VLOOKUP($AL157,$B$184:$H$207,AU$37,FALSE)</f>
        <v>2.6845637583892617E-2</v>
      </c>
      <c r="AV157" s="348">
        <f>VLOOKUP($AL157,$B$184:$H$207,AV$37,FALSE)</f>
        <v>6.95970695970696E-2</v>
      </c>
      <c r="AW157" s="348">
        <f>VLOOKUP($AL157,$B$184:$H$207,AW$37,FALSE)</f>
        <v>5.2795031055900624E-2</v>
      </c>
      <c r="AX157" s="81" t="b">
        <f t="shared" si="57"/>
        <v>0</v>
      </c>
      <c r="AY157" s="348">
        <f t="shared" si="58"/>
        <v>0.10714285714285714</v>
      </c>
      <c r="AZ157" s="348">
        <f t="shared" si="55"/>
        <v>5.5944055944055944E-2</v>
      </c>
      <c r="BA157" s="348">
        <f t="shared" si="55"/>
        <v>0.1476510067114094</v>
      </c>
      <c r="BB157" s="348">
        <f t="shared" si="55"/>
        <v>9.5238095238095233E-2</v>
      </c>
      <c r="BC157" s="348">
        <f t="shared" si="55"/>
        <v>0.13664596273291926</v>
      </c>
      <c r="BD157" s="348"/>
      <c r="BE157" s="348"/>
      <c r="BF157" s="348"/>
      <c r="BG157" s="348"/>
      <c r="BH157" s="348"/>
      <c r="BI157" s="348"/>
      <c r="BJ157" s="348"/>
      <c r="BK157" s="348"/>
      <c r="BL157" s="348"/>
      <c r="BM157" s="348"/>
      <c r="BN157" s="348"/>
      <c r="BO157" s="348"/>
      <c r="BP157" s="348"/>
      <c r="BQ157" s="348"/>
    </row>
    <row r="158" spans="1:69" ht="13.5" customHeight="1" x14ac:dyDescent="0.2">
      <c r="A158" s="118"/>
      <c r="B158" s="421"/>
      <c r="C158" s="421"/>
      <c r="D158" s="58"/>
      <c r="E158" s="58"/>
      <c r="F158" s="58"/>
      <c r="G158" s="58"/>
      <c r="H158" s="58"/>
      <c r="I158" s="58"/>
      <c r="J158" s="12"/>
      <c r="K158" s="14"/>
      <c r="L158" s="14"/>
      <c r="M158" s="14"/>
      <c r="N158" s="14"/>
      <c r="O158" s="9"/>
      <c r="P158" s="9"/>
      <c r="Q158" s="9"/>
      <c r="R158" s="9"/>
      <c r="S158" s="9"/>
      <c r="T158" s="9"/>
      <c r="U158" s="9"/>
      <c r="V158" s="117"/>
      <c r="W158" s="137"/>
      <c r="X158" s="1359"/>
      <c r="Y158" s="1400" t="s">
        <v>12</v>
      </c>
      <c r="Z158" s="631">
        <f>IF(ISNUMBER(D20),D127,0)</f>
        <v>126</v>
      </c>
      <c r="AA158" s="631">
        <f>IF(ISNUMBER(E20),E127,0)</f>
        <v>123</v>
      </c>
      <c r="AB158" s="631">
        <f>IF(ISNUMBER(F20),F127,0)</f>
        <v>186</v>
      </c>
      <c r="AC158" s="631">
        <f>IF(ISNUMBER(G20),G127,0)</f>
        <v>161</v>
      </c>
      <c r="AD158" s="631">
        <f>IF(ISNUMBER(H20),H127,0)</f>
        <v>204</v>
      </c>
      <c r="AF158" s="1340"/>
      <c r="AG158" s="1340"/>
      <c r="AH158" s="1340"/>
      <c r="AI158" s="1340"/>
      <c r="AJ158" s="1360" t="b">
        <f>AJ51</f>
        <v>1</v>
      </c>
      <c r="AK158" s="1346" t="s">
        <v>12</v>
      </c>
      <c r="AL158" s="87" t="str">
        <f t="shared" si="53"/>
        <v>Portsmouth</v>
      </c>
      <c r="AM158" s="146">
        <f t="shared" si="56"/>
        <v>28.767123287671232</v>
      </c>
      <c r="AN158" s="146">
        <f t="shared" si="54"/>
        <v>27.954545454545453</v>
      </c>
      <c r="AO158" s="146">
        <f t="shared" si="54"/>
        <v>42.081447963800905</v>
      </c>
      <c r="AP158" s="146">
        <f t="shared" si="54"/>
        <v>36.590909090909093</v>
      </c>
      <c r="AQ158" s="146">
        <f t="shared" si="54"/>
        <v>46.575342465753423</v>
      </c>
      <c r="AR158" s="147">
        <f>VLOOKUP(AL158,$B$10:$U$33,$AR$144,FALSE)</f>
        <v>20.200000000000003</v>
      </c>
      <c r="AS158" s="348">
        <f>VLOOKUP($AL158,$B$184:$H$207,AS$37,FALSE)</f>
        <v>0.11904761904761904</v>
      </c>
      <c r="AT158" s="348" t="e">
        <f>VLOOKUP($AL158,$B$184:$H$207,AT$37,FALSE)</f>
        <v>#N/A</v>
      </c>
      <c r="AU158" s="348">
        <f>VLOOKUP($AL158,$B$184:$H$207,AU$37,FALSE)</f>
        <v>4.3010752688172046E-2</v>
      </c>
      <c r="AV158" s="348">
        <f>VLOOKUP($AL158,$B$184:$H$207,AV$37,FALSE)</f>
        <v>6.2111801242236024E-2</v>
      </c>
      <c r="AW158" s="348">
        <f>VLOOKUP($AL158,$B$184:$H$207,AW$37,FALSE)</f>
        <v>0</v>
      </c>
      <c r="AX158" s="81" t="b">
        <f t="shared" si="57"/>
        <v>0</v>
      </c>
      <c r="AY158" s="348">
        <f t="shared" si="58"/>
        <v>0.11904761904761904</v>
      </c>
      <c r="AZ158" s="348">
        <f t="shared" si="55"/>
        <v>9.7560975609756101E-2</v>
      </c>
      <c r="BA158" s="348">
        <f t="shared" si="55"/>
        <v>0.11827956989247312</v>
      </c>
      <c r="BB158" s="348">
        <f t="shared" si="55"/>
        <v>4.3478260869565216E-2</v>
      </c>
      <c r="BC158" s="348">
        <f t="shared" si="55"/>
        <v>3.4313725490196081E-2</v>
      </c>
      <c r="BD158" s="348"/>
      <c r="BE158" s="348"/>
      <c r="BF158" s="348"/>
      <c r="BG158" s="348"/>
      <c r="BH158" s="348"/>
      <c r="BI158" s="348"/>
      <c r="BJ158" s="348"/>
      <c r="BK158" s="348"/>
      <c r="BL158" s="348"/>
      <c r="BM158" s="348"/>
      <c r="BN158" s="348"/>
      <c r="BO158" s="348"/>
      <c r="BP158" s="348"/>
      <c r="BQ158" s="348"/>
    </row>
    <row r="159" spans="1:69" ht="13.5" customHeight="1" x14ac:dyDescent="0.2">
      <c r="A159" s="118"/>
      <c r="B159" s="421"/>
      <c r="C159" s="421"/>
      <c r="D159" s="58"/>
      <c r="E159" s="58"/>
      <c r="F159" s="58"/>
      <c r="G159" s="58"/>
      <c r="H159" s="58"/>
      <c r="I159" s="58"/>
      <c r="J159" s="12"/>
      <c r="K159" s="14"/>
      <c r="L159" s="14"/>
      <c r="M159" s="14"/>
      <c r="N159" s="14"/>
      <c r="O159" s="9"/>
      <c r="P159" s="9"/>
      <c r="Q159" s="9"/>
      <c r="R159" s="9"/>
      <c r="S159" s="9"/>
      <c r="T159" s="9"/>
      <c r="U159" s="9"/>
      <c r="V159" s="117"/>
      <c r="W159" s="137"/>
      <c r="X159" s="1359"/>
      <c r="Y159" s="1400" t="s">
        <v>3</v>
      </c>
      <c r="Z159" s="631">
        <f>IF(ISNUMBER(D21),D128,0)</f>
        <v>123</v>
      </c>
      <c r="AA159" s="631">
        <f>IF(ISNUMBER(E21),E128,0)</f>
        <v>100</v>
      </c>
      <c r="AB159" s="631">
        <f>IF(ISNUMBER(F21),F128,0)</f>
        <v>92</v>
      </c>
      <c r="AC159" s="631">
        <f>IF(ISNUMBER(G21),G128,0)</f>
        <v>95</v>
      </c>
      <c r="AD159" s="631">
        <f>IF(ISNUMBER(H21),H128,0)</f>
        <v>109</v>
      </c>
      <c r="AF159" s="1340"/>
      <c r="AG159" s="1340"/>
      <c r="AH159" s="1340"/>
      <c r="AI159" s="1340"/>
      <c r="AJ159" s="1360" t="b">
        <f>AJ52</f>
        <v>1</v>
      </c>
      <c r="AK159" s="1346" t="s">
        <v>3</v>
      </c>
      <c r="AL159" s="87" t="str">
        <f t="shared" si="53"/>
        <v>Reading</v>
      </c>
      <c r="AM159" s="146">
        <f t="shared" si="56"/>
        <v>33.791208791208788</v>
      </c>
      <c r="AN159" s="146">
        <f t="shared" si="54"/>
        <v>27.3224043715847</v>
      </c>
      <c r="AO159" s="146">
        <f t="shared" si="54"/>
        <v>24.797843665768195</v>
      </c>
      <c r="AP159" s="146">
        <f t="shared" si="54"/>
        <v>25.60646900269542</v>
      </c>
      <c r="AQ159" s="146">
        <f t="shared" si="54"/>
        <v>29.45945945945946</v>
      </c>
      <c r="AR159" s="147">
        <f>VLOOKUP(AL159,$B$10:$U$33,$AR$144,FALSE)</f>
        <v>16</v>
      </c>
      <c r="AS159" s="348">
        <f>VLOOKUP($AL159,$B$184:$H$207,AS$37,FALSE)</f>
        <v>8.1300813008130079E-2</v>
      </c>
      <c r="AT159" s="348">
        <f>VLOOKUP($AL159,$B$184:$H$207,AT$37,FALSE)</f>
        <v>0</v>
      </c>
      <c r="AU159" s="348" t="e">
        <f>VLOOKUP($AL159,$B$184:$H$207,AU$37,FALSE)</f>
        <v>#N/A</v>
      </c>
      <c r="AV159" s="348">
        <f>VLOOKUP($AL159,$B$184:$H$207,AV$37,FALSE)</f>
        <v>0</v>
      </c>
      <c r="AW159" s="348">
        <f>VLOOKUP($AL159,$B$184:$H$207,AW$37,FALSE)</f>
        <v>0</v>
      </c>
      <c r="AX159" s="81" t="b">
        <f t="shared" si="57"/>
        <v>0</v>
      </c>
      <c r="AY159" s="348">
        <f t="shared" si="58"/>
        <v>0.16260162601626016</v>
      </c>
      <c r="AZ159" s="348">
        <f t="shared" si="55"/>
        <v>0.08</v>
      </c>
      <c r="BA159" s="348">
        <f t="shared" si="55"/>
        <v>0.15217391304347827</v>
      </c>
      <c r="BB159" s="348">
        <f t="shared" si="55"/>
        <v>0.14736842105263157</v>
      </c>
      <c r="BC159" s="348">
        <f t="shared" si="55"/>
        <v>0.15596330275229359</v>
      </c>
      <c r="BD159" s="348"/>
      <c r="BE159" s="348"/>
      <c r="BF159" s="348"/>
      <c r="BG159" s="348"/>
      <c r="BH159" s="348"/>
      <c r="BI159" s="348"/>
      <c r="BJ159" s="348"/>
      <c r="BK159" s="348"/>
      <c r="BL159" s="348"/>
      <c r="BM159" s="348"/>
      <c r="BN159" s="348"/>
      <c r="BO159" s="348"/>
      <c r="BP159" s="348"/>
      <c r="BQ159" s="348"/>
    </row>
    <row r="160" spans="1:69" ht="13.5" customHeight="1" x14ac:dyDescent="0.2">
      <c r="A160" s="118"/>
      <c r="B160" s="421"/>
      <c r="C160" s="421"/>
      <c r="D160" s="58"/>
      <c r="E160" s="58"/>
      <c r="F160" s="58"/>
      <c r="G160" s="58"/>
      <c r="H160" s="58"/>
      <c r="I160" s="58"/>
      <c r="J160" s="12"/>
      <c r="K160" s="14"/>
      <c r="L160" s="14"/>
      <c r="M160" s="14"/>
      <c r="N160" s="14"/>
      <c r="O160" s="9"/>
      <c r="P160" s="9"/>
      <c r="Q160" s="9"/>
      <c r="R160" s="9"/>
      <c r="S160" s="9"/>
      <c r="T160" s="9"/>
      <c r="U160" s="9"/>
      <c r="V160" s="117"/>
      <c r="W160" s="137"/>
      <c r="X160" s="1359"/>
      <c r="Y160" s="1400" t="s">
        <v>13</v>
      </c>
      <c r="Z160" s="631">
        <f>IF(ISNUMBER(D22),D129,0)</f>
        <v>154</v>
      </c>
      <c r="AA160" s="631">
        <f>IF(ISNUMBER(E22),E129,0)</f>
        <v>112</v>
      </c>
      <c r="AB160" s="631">
        <f>IF(ISNUMBER(F22),F129,0)</f>
        <v>112</v>
      </c>
      <c r="AC160" s="631">
        <f>IF(ISNUMBER(G22),G129,0)</f>
        <v>127</v>
      </c>
      <c r="AD160" s="631">
        <f>IF(ISNUMBER(H22),H129,0)</f>
        <v>125</v>
      </c>
      <c r="AF160" s="1340"/>
      <c r="AG160" s="1340"/>
      <c r="AH160" s="1340"/>
      <c r="AI160" s="1340"/>
      <c r="AJ160" s="1360" t="b">
        <f>AJ53</f>
        <v>1</v>
      </c>
      <c r="AK160" s="1346" t="s">
        <v>13</v>
      </c>
      <c r="AL160" s="87" t="str">
        <f t="shared" si="53"/>
        <v>Slough</v>
      </c>
      <c r="AM160" s="146">
        <f t="shared" si="56"/>
        <v>37.931034482758619</v>
      </c>
      <c r="AN160" s="146">
        <f t="shared" si="54"/>
        <v>27.05314009661836</v>
      </c>
      <c r="AO160" s="146">
        <f t="shared" si="54"/>
        <v>26.54028436018957</v>
      </c>
      <c r="AP160" s="146">
        <f t="shared" si="54"/>
        <v>29.742388758782205</v>
      </c>
      <c r="AQ160" s="146">
        <f t="shared" si="54"/>
        <v>29.002320185614849</v>
      </c>
      <c r="AR160" s="147">
        <f>VLOOKUP(AL160,$B$10:$U$33,$AR$144,FALSE)</f>
        <v>14.7</v>
      </c>
      <c r="AS160" s="348">
        <f>VLOOKUP($AL160,$B$184:$H$207,AS$37,FALSE)</f>
        <v>6.4935064935064929E-2</v>
      </c>
      <c r="AT160" s="348">
        <f>VLOOKUP($AL160,$B$184:$H$207,AT$37,FALSE)</f>
        <v>8.0357142857142863E-2</v>
      </c>
      <c r="AU160" s="348" t="e">
        <f>VLOOKUP($AL160,$B$184:$H$207,AU$37,FALSE)</f>
        <v>#N/A</v>
      </c>
      <c r="AV160" s="348" t="e">
        <f>VLOOKUP($AL160,$B$184:$H$207,AV$37,FALSE)</f>
        <v>#N/A</v>
      </c>
      <c r="AW160" s="348">
        <f>VLOOKUP($AL160,$B$184:$H$207,AW$37,FALSE)</f>
        <v>0</v>
      </c>
      <c r="AX160" s="81" t="b">
        <f t="shared" si="57"/>
        <v>0</v>
      </c>
      <c r="AY160" s="348">
        <f t="shared" si="58"/>
        <v>0.16233766233766234</v>
      </c>
      <c r="AZ160" s="348">
        <f t="shared" si="55"/>
        <v>8.9285714285714288E-2</v>
      </c>
      <c r="BA160" s="348">
        <f t="shared" si="55"/>
        <v>0.125</v>
      </c>
      <c r="BB160" s="348">
        <f t="shared" si="55"/>
        <v>7.0866141732283464E-2</v>
      </c>
      <c r="BC160" s="348">
        <f t="shared" si="55"/>
        <v>0</v>
      </c>
      <c r="BD160" s="348"/>
      <c r="BE160" s="348"/>
      <c r="BF160" s="348"/>
      <c r="BG160" s="348"/>
      <c r="BH160" s="348"/>
      <c r="BI160" s="348"/>
      <c r="BJ160" s="348"/>
      <c r="BK160" s="348"/>
      <c r="BL160" s="348"/>
      <c r="BM160" s="348"/>
      <c r="BN160" s="348"/>
      <c r="BO160" s="348"/>
      <c r="BP160" s="348"/>
      <c r="BQ160" s="348"/>
    </row>
    <row r="161" spans="1:69" ht="13.5" customHeight="1" x14ac:dyDescent="0.2">
      <c r="A161" s="118"/>
      <c r="B161" s="421"/>
      <c r="C161" s="421"/>
      <c r="D161" s="58"/>
      <c r="E161" s="58"/>
      <c r="F161" s="58"/>
      <c r="G161" s="58"/>
      <c r="H161" s="58"/>
      <c r="I161" s="58"/>
      <c r="J161" s="12"/>
      <c r="K161" s="14"/>
      <c r="L161" s="14"/>
      <c r="M161" s="14"/>
      <c r="N161" s="14"/>
      <c r="O161" s="9"/>
      <c r="P161" s="9"/>
      <c r="Q161" s="9"/>
      <c r="R161" s="9"/>
      <c r="S161" s="9"/>
      <c r="T161" s="9"/>
      <c r="U161" s="9"/>
      <c r="V161" s="117"/>
      <c r="W161" s="137"/>
      <c r="X161" s="1359"/>
      <c r="Y161" s="1400" t="s">
        <v>95</v>
      </c>
      <c r="Z161" s="631">
        <f>IF(ISNUMBER(D23),D130,0)</f>
        <v>229</v>
      </c>
      <c r="AA161" s="631">
        <f>IF(ISNUMBER(E23),E130,0)</f>
        <v>261</v>
      </c>
      <c r="AB161" s="631">
        <f>IF(ISNUMBER(F23),F130,0)</f>
        <v>223</v>
      </c>
      <c r="AC161" s="631">
        <f>IF(ISNUMBER(G23),G130,0)</f>
        <v>184</v>
      </c>
      <c r="AD161" s="631">
        <f>IF(ISNUMBER(H23),H130,0)</f>
        <v>197</v>
      </c>
      <c r="AF161" s="1340"/>
      <c r="AG161" s="1340"/>
      <c r="AH161" s="1340"/>
      <c r="AI161" s="1340"/>
      <c r="AJ161" s="1360" t="b">
        <f>AJ54</f>
        <v>1</v>
      </c>
      <c r="AK161" s="1346" t="s">
        <v>95</v>
      </c>
      <c r="AL161" s="87" t="str">
        <f t="shared" si="53"/>
        <v>Somerset</v>
      </c>
      <c r="AM161" s="146">
        <f t="shared" si="56"/>
        <v>20.970695970695971</v>
      </c>
      <c r="AN161" s="146">
        <f t="shared" si="54"/>
        <v>23.792160437556973</v>
      </c>
      <c r="AO161" s="146">
        <f t="shared" si="54"/>
        <v>20.254314259763852</v>
      </c>
      <c r="AP161" s="146">
        <f t="shared" si="54"/>
        <v>16.621499548328817</v>
      </c>
      <c r="AQ161" s="146">
        <f t="shared" si="54"/>
        <v>17.715827338129497</v>
      </c>
      <c r="AR161" s="147">
        <f>VLOOKUP(AL161,$B$10:$U$33,$AR$144,FALSE)</f>
        <v>13.600000000000001</v>
      </c>
      <c r="AS161" s="348" t="e">
        <f>VLOOKUP($AL161,$B$184:$H$207,AS$37,FALSE)</f>
        <v>#N/A</v>
      </c>
      <c r="AT161" s="348">
        <f>VLOOKUP($AL161,$B$184:$H$207,AT$37,FALSE)</f>
        <v>4.5977011494252873E-2</v>
      </c>
      <c r="AU161" s="348">
        <f>VLOOKUP($AL161,$B$184:$H$207,AU$37,FALSE)</f>
        <v>2.6905829596412557E-2</v>
      </c>
      <c r="AV161" s="348" t="e">
        <f>VLOOKUP($AL161,$B$184:$H$207,AV$37,FALSE)</f>
        <v>#N/A</v>
      </c>
      <c r="AW161" s="348">
        <f>VLOOKUP($AL161,$B$184:$H$207,AW$37,FALSE)</f>
        <v>5.5837563451776651E-2</v>
      </c>
      <c r="AX161" s="81" t="b">
        <f t="shared" si="57"/>
        <v>0</v>
      </c>
      <c r="AY161" s="348">
        <f t="shared" si="58"/>
        <v>6.5502183406113537E-2</v>
      </c>
      <c r="AZ161" s="348">
        <f t="shared" si="55"/>
        <v>0.11494252873563218</v>
      </c>
      <c r="BA161" s="348">
        <f t="shared" si="55"/>
        <v>0.12556053811659193</v>
      </c>
      <c r="BB161" s="348">
        <f t="shared" si="55"/>
        <v>7.0652173913043473E-2</v>
      </c>
      <c r="BC161" s="348">
        <f t="shared" si="55"/>
        <v>0.10152284263959391</v>
      </c>
      <c r="BD161" s="348"/>
      <c r="BE161" s="348"/>
      <c r="BF161" s="348"/>
      <c r="BG161" s="348"/>
      <c r="BH161" s="348"/>
      <c r="BI161" s="348"/>
      <c r="BJ161" s="348"/>
      <c r="BK161" s="348"/>
      <c r="BL161" s="348"/>
      <c r="BM161" s="348"/>
      <c r="BN161" s="348"/>
      <c r="BO161" s="348"/>
      <c r="BP161" s="348"/>
      <c r="BQ161" s="348"/>
    </row>
    <row r="162" spans="1:69" ht="13.5" customHeight="1" x14ac:dyDescent="0.2">
      <c r="A162" s="118"/>
      <c r="B162" s="421"/>
      <c r="C162" s="421"/>
      <c r="D162" s="58"/>
      <c r="E162" s="58"/>
      <c r="F162" s="58"/>
      <c r="G162" s="58"/>
      <c r="H162" s="58"/>
      <c r="I162" s="58"/>
      <c r="J162" s="12"/>
      <c r="K162" s="14"/>
      <c r="L162" s="14"/>
      <c r="M162" s="14"/>
      <c r="N162" s="14"/>
      <c r="O162" s="9"/>
      <c r="P162" s="9"/>
      <c r="Q162" s="9"/>
      <c r="R162" s="9"/>
      <c r="S162" s="9"/>
      <c r="T162" s="9"/>
      <c r="U162" s="9"/>
      <c r="V162" s="117"/>
      <c r="W162" s="137"/>
      <c r="X162" s="1359"/>
      <c r="Y162" s="1400" t="s">
        <v>14</v>
      </c>
      <c r="Z162" s="631">
        <f>IF(ISNUMBER(D24),D131,0)</f>
        <v>205</v>
      </c>
      <c r="AA162" s="631">
        <f>IF(ISNUMBER(E24),E131,0)</f>
        <v>221</v>
      </c>
      <c r="AB162" s="631">
        <f>IF(ISNUMBER(F24),F131,0)</f>
        <v>197</v>
      </c>
      <c r="AC162" s="631">
        <f>IF(ISNUMBER(G24),G131,0)</f>
        <v>214</v>
      </c>
      <c r="AD162" s="631">
        <f>IF(ISNUMBER(H24),H131,0)</f>
        <v>199</v>
      </c>
      <c r="AF162" s="1340"/>
      <c r="AG162" s="1340"/>
      <c r="AH162" s="1340"/>
      <c r="AI162" s="1340"/>
      <c r="AJ162" s="1360" t="b">
        <f>AJ55</f>
        <v>1</v>
      </c>
      <c r="AK162" s="1346" t="s">
        <v>14</v>
      </c>
      <c r="AL162" s="87" t="str">
        <f t="shared" si="53"/>
        <v>Southampton</v>
      </c>
      <c r="AM162" s="146">
        <f t="shared" si="56"/>
        <v>41.666666666666664</v>
      </c>
      <c r="AN162" s="146">
        <f t="shared" si="54"/>
        <v>44.288577154308619</v>
      </c>
      <c r="AO162" s="146">
        <f t="shared" si="54"/>
        <v>39.165009940357848</v>
      </c>
      <c r="AP162" s="146">
        <f t="shared" si="54"/>
        <v>42.125984251968504</v>
      </c>
      <c r="AQ162" s="146">
        <f t="shared" si="54"/>
        <v>38.791423001949319</v>
      </c>
      <c r="AR162" s="147">
        <f>VLOOKUP(AL162,$B$10:$U$33,$AR$144,FALSE)</f>
        <v>20.5</v>
      </c>
      <c r="AS162" s="348" t="e">
        <f>VLOOKUP($AL162,$B$184:$H$207,AS$37,FALSE)</f>
        <v>#N/A</v>
      </c>
      <c r="AT162" s="348" t="e">
        <f>VLOOKUP($AL162,$B$184:$H$207,AT$37,FALSE)</f>
        <v>#N/A</v>
      </c>
      <c r="AU162" s="348">
        <f>VLOOKUP($AL162,$B$184:$H$207,AU$37,FALSE)</f>
        <v>6.5989847715736044E-2</v>
      </c>
      <c r="AV162" s="348">
        <f>VLOOKUP($AL162,$B$184:$H$207,AV$37,FALSE)</f>
        <v>3.7383177570093455E-2</v>
      </c>
      <c r="AW162" s="348">
        <f>VLOOKUP($AL162,$B$184:$H$207,AW$37,FALSE)</f>
        <v>0.10552763819095477</v>
      </c>
      <c r="AX162" s="81" t="b">
        <f t="shared" si="57"/>
        <v>0</v>
      </c>
      <c r="AY162" s="348">
        <f t="shared" si="58"/>
        <v>0.14634146341463414</v>
      </c>
      <c r="AZ162" s="348">
        <f t="shared" si="55"/>
        <v>0.15837104072398189</v>
      </c>
      <c r="BA162" s="348">
        <f t="shared" si="55"/>
        <v>0.19796954314720813</v>
      </c>
      <c r="BB162" s="348">
        <f t="shared" si="55"/>
        <v>0.17289719626168223</v>
      </c>
      <c r="BC162" s="348">
        <f t="shared" si="55"/>
        <v>8.5427135678391955E-2</v>
      </c>
      <c r="BD162" s="348"/>
      <c r="BE162" s="348"/>
      <c r="BF162" s="348"/>
      <c r="BG162" s="348"/>
      <c r="BH162" s="348"/>
      <c r="BI162" s="348"/>
      <c r="BJ162" s="348"/>
      <c r="BK162" s="348"/>
      <c r="BL162" s="348"/>
      <c r="BM162" s="348"/>
      <c r="BN162" s="348"/>
      <c r="BO162" s="348"/>
      <c r="BP162" s="348"/>
      <c r="BQ162" s="348"/>
    </row>
    <row r="163" spans="1:69" ht="13.5" customHeight="1" x14ac:dyDescent="0.2">
      <c r="A163" s="118"/>
      <c r="B163" s="421"/>
      <c r="C163" s="421"/>
      <c r="D163" s="58"/>
      <c r="E163" s="58"/>
      <c r="F163" s="58"/>
      <c r="G163" s="58"/>
      <c r="H163" s="58"/>
      <c r="I163" s="58"/>
      <c r="J163" s="12"/>
      <c r="K163" s="14"/>
      <c r="L163" s="14"/>
      <c r="M163" s="14"/>
      <c r="N163" s="14"/>
      <c r="O163" s="9"/>
      <c r="P163" s="9"/>
      <c r="Q163" s="9"/>
      <c r="R163" s="9"/>
      <c r="S163" s="9"/>
      <c r="T163" s="9"/>
      <c r="U163" s="9"/>
      <c r="V163" s="117"/>
      <c r="W163" s="137"/>
      <c r="X163" s="1359"/>
      <c r="Y163" s="1400" t="s">
        <v>7</v>
      </c>
      <c r="Z163" s="631">
        <f>IF(ISNUMBER(D25),D132,0)</f>
        <v>405</v>
      </c>
      <c r="AA163" s="631">
        <f>IF(ISNUMBER(E25),E132,0)</f>
        <v>419</v>
      </c>
      <c r="AB163" s="631">
        <f>IF(ISNUMBER(F25),F132,0)</f>
        <v>409</v>
      </c>
      <c r="AC163" s="631">
        <f>IF(ISNUMBER(G25),G132,0)</f>
        <v>394</v>
      </c>
      <c r="AD163" s="631">
        <f>IF(ISNUMBER(H25),H132,0)</f>
        <v>365</v>
      </c>
      <c r="AF163" s="1340"/>
      <c r="AG163" s="1340"/>
      <c r="AH163" s="1340"/>
      <c r="AI163" s="1340"/>
      <c r="AJ163" s="1360" t="b">
        <f>AJ56</f>
        <v>1</v>
      </c>
      <c r="AK163" s="1346" t="s">
        <v>7</v>
      </c>
      <c r="AL163" s="87" t="str">
        <f t="shared" si="53"/>
        <v>Surrey</v>
      </c>
      <c r="AM163" s="146">
        <f t="shared" si="56"/>
        <v>15.795631825273011</v>
      </c>
      <c r="AN163" s="146">
        <f t="shared" si="54"/>
        <v>16.177606177606179</v>
      </c>
      <c r="AO163" s="146">
        <f t="shared" si="54"/>
        <v>15.712639262389551</v>
      </c>
      <c r="AP163" s="146">
        <f t="shared" si="54"/>
        <v>15.043909889270715</v>
      </c>
      <c r="AQ163" s="146">
        <f t="shared" si="54"/>
        <v>13.836239575435938</v>
      </c>
      <c r="AR163" s="147">
        <f>VLOOKUP(AL163,$B$10:$U$33,$AR$144,FALSE)</f>
        <v>8.3000000000000007</v>
      </c>
      <c r="AS163" s="348">
        <f>VLOOKUP($AL163,$B$184:$H$207,AS$37,FALSE)</f>
        <v>3.7037037037037035E-2</v>
      </c>
      <c r="AT163" s="348">
        <f>VLOOKUP($AL163,$B$184:$H$207,AT$37,FALSE)</f>
        <v>1.6706443914081145E-2</v>
      </c>
      <c r="AU163" s="348">
        <f>VLOOKUP($AL163,$B$184:$H$207,AU$37,FALSE)</f>
        <v>3.1784841075794622E-2</v>
      </c>
      <c r="AV163" s="348">
        <f>VLOOKUP($AL163,$B$184:$H$207,AV$37,FALSE)</f>
        <v>2.7918781725888325E-2</v>
      </c>
      <c r="AW163" s="348">
        <f>VLOOKUP($AL163,$B$184:$H$207,AW$37,FALSE)</f>
        <v>2.7397260273972601E-2</v>
      </c>
      <c r="AX163" s="81" t="b">
        <f t="shared" si="57"/>
        <v>0</v>
      </c>
      <c r="AY163" s="348">
        <f t="shared" si="58"/>
        <v>9.8765432098765427E-2</v>
      </c>
      <c r="AZ163" s="348">
        <f t="shared" si="55"/>
        <v>0.13365155131264916</v>
      </c>
      <c r="BA163" s="348">
        <f t="shared" si="55"/>
        <v>0.12469437652811736</v>
      </c>
      <c r="BB163" s="348">
        <f t="shared" si="55"/>
        <v>0.10913705583756345</v>
      </c>
      <c r="BC163" s="348">
        <f t="shared" si="55"/>
        <v>9.8630136986301367E-2</v>
      </c>
      <c r="BD163" s="348"/>
      <c r="BE163" s="348"/>
      <c r="BF163" s="348"/>
      <c r="BG163" s="348"/>
      <c r="BH163" s="348"/>
      <c r="BI163" s="348"/>
      <c r="BJ163" s="348"/>
      <c r="BK163" s="348"/>
      <c r="BL163" s="348"/>
      <c r="BM163" s="348"/>
      <c r="BN163" s="348"/>
      <c r="BO163" s="348"/>
      <c r="BP163" s="348"/>
      <c r="BQ163" s="348"/>
    </row>
    <row r="164" spans="1:69" ht="13.5" customHeight="1" x14ac:dyDescent="0.2">
      <c r="A164" s="278"/>
      <c r="B164" s="421"/>
      <c r="C164" s="421"/>
      <c r="D164" s="58"/>
      <c r="E164" s="58"/>
      <c r="F164" s="58"/>
      <c r="G164" s="58"/>
      <c r="H164" s="58"/>
      <c r="I164" s="58"/>
      <c r="J164" s="12"/>
      <c r="K164" s="14"/>
      <c r="L164" s="14"/>
      <c r="M164" s="14"/>
      <c r="N164" s="14"/>
      <c r="O164" s="9"/>
      <c r="P164" s="9"/>
      <c r="Q164" s="9"/>
      <c r="R164" s="9"/>
      <c r="S164" s="9"/>
      <c r="T164" s="9"/>
      <c r="U164" s="9"/>
      <c r="V164" s="117"/>
      <c r="W164" s="137"/>
      <c r="X164" s="1359"/>
      <c r="Y164" s="1400" t="s">
        <v>113</v>
      </c>
      <c r="Z164" s="631">
        <f>IF(ISNUMBER(D26),D133,0)</f>
        <v>139</v>
      </c>
      <c r="AA164" s="631">
        <f>IF(ISNUMBER(E26),E133,0)</f>
        <v>150</v>
      </c>
      <c r="AB164" s="631">
        <f>IF(ISNUMBER(F26),F133,0)</f>
        <v>155</v>
      </c>
      <c r="AC164" s="631">
        <f>IF(ISNUMBER(G26),G133,0)</f>
        <v>149</v>
      </c>
      <c r="AD164" s="631">
        <f>IF(ISNUMBER(H26),H133,0)</f>
        <v>155</v>
      </c>
      <c r="AF164" s="1340"/>
      <c r="AG164" s="1340"/>
      <c r="AH164" s="1340"/>
      <c r="AI164" s="1340"/>
      <c r="AJ164" s="1360" t="b">
        <f>AJ57</f>
        <v>1</v>
      </c>
      <c r="AK164" s="1346" t="s">
        <v>113</v>
      </c>
      <c r="AL164" s="87" t="str">
        <f t="shared" si="53"/>
        <v>Swindon</v>
      </c>
      <c r="AM164" s="146">
        <f t="shared" si="56"/>
        <v>28.367346938775508</v>
      </c>
      <c r="AN164" s="146">
        <f t="shared" si="56"/>
        <v>30.303030303030305</v>
      </c>
      <c r="AO164" s="146">
        <f t="shared" si="56"/>
        <v>31.062124248496993</v>
      </c>
      <c r="AP164" s="146">
        <f t="shared" si="56"/>
        <v>29.681274900398407</v>
      </c>
      <c r="AQ164" s="146">
        <f t="shared" si="56"/>
        <v>30.753968253968253</v>
      </c>
      <c r="AR164" s="147">
        <f>VLOOKUP(AL164,$B$10:$U$33,$AR$144,FALSE)</f>
        <v>14.899999999999999</v>
      </c>
      <c r="AS164" s="348" t="e">
        <f>VLOOKUP($AL164,$B$184:$H$207,AS$37,FALSE)</f>
        <v>#N/A</v>
      </c>
      <c r="AT164" s="348">
        <f>VLOOKUP($AL164,$B$184:$H$207,AT$37,FALSE)</f>
        <v>6.6666666666666666E-2</v>
      </c>
      <c r="AU164" s="348">
        <f>VLOOKUP($AL164,$B$184:$H$207,AU$37,FALSE)</f>
        <v>5.1612903225806452E-2</v>
      </c>
      <c r="AV164" s="348" t="e">
        <f>VLOOKUP($AL164,$B$184:$H$207,AV$37,FALSE)</f>
        <v>#N/A</v>
      </c>
      <c r="AW164" s="348">
        <f>VLOOKUP($AL164,$B$184:$H$207,AW$37,FALSE)</f>
        <v>0</v>
      </c>
      <c r="AX164" s="81" t="b">
        <f t="shared" si="57"/>
        <v>0</v>
      </c>
      <c r="AY164" s="348">
        <f t="shared" si="58"/>
        <v>7.1942446043165464E-2</v>
      </c>
      <c r="AZ164" s="348">
        <f t="shared" si="58"/>
        <v>0.12666666666666668</v>
      </c>
      <c r="BA164" s="348">
        <f t="shared" si="58"/>
        <v>0.18064516129032257</v>
      </c>
      <c r="BB164" s="348">
        <f t="shared" si="58"/>
        <v>0.21476510067114093</v>
      </c>
      <c r="BC164" s="348">
        <f t="shared" si="58"/>
        <v>9.6774193548387094E-2</v>
      </c>
      <c r="BD164" s="348"/>
      <c r="BE164" s="348"/>
      <c r="BF164" s="348"/>
      <c r="BG164" s="348"/>
      <c r="BH164" s="348"/>
      <c r="BI164" s="348"/>
      <c r="BJ164" s="348"/>
      <c r="BK164" s="348"/>
      <c r="BL164" s="348"/>
      <c r="BM164" s="348"/>
      <c r="BN164" s="348"/>
      <c r="BO164" s="348"/>
      <c r="BP164" s="348"/>
      <c r="BQ164" s="348"/>
    </row>
    <row r="165" spans="1:69" ht="13.5" customHeight="1" x14ac:dyDescent="0.2">
      <c r="A165" s="278"/>
      <c r="B165" s="421"/>
      <c r="C165" s="421"/>
      <c r="D165" s="58"/>
      <c r="E165" s="58"/>
      <c r="F165" s="58"/>
      <c r="G165" s="58"/>
      <c r="H165" s="58"/>
      <c r="I165" s="58"/>
      <c r="J165" s="12"/>
      <c r="K165" s="14"/>
      <c r="L165" s="14"/>
      <c r="M165" s="14"/>
      <c r="N165" s="14"/>
      <c r="O165" s="9"/>
      <c r="P165" s="9"/>
      <c r="Q165" s="9"/>
      <c r="R165" s="9"/>
      <c r="S165" s="9"/>
      <c r="T165" s="9"/>
      <c r="U165" s="9"/>
      <c r="V165" s="117"/>
      <c r="W165" s="137"/>
      <c r="X165" s="1359"/>
      <c r="Y165" s="1400" t="s">
        <v>114</v>
      </c>
      <c r="Z165" s="631">
        <f>IF(ISNUMBER(D27),D134,0)</f>
        <v>125</v>
      </c>
      <c r="AA165" s="631">
        <f>IF(ISNUMBER(E27),E134,0)</f>
        <v>108</v>
      </c>
      <c r="AB165" s="631">
        <f>IF(ISNUMBER(F27),F134,0)</f>
        <v>102</v>
      </c>
      <c r="AC165" s="631">
        <f>IF(ISNUMBER(G27),G134,0)</f>
        <v>118</v>
      </c>
      <c r="AD165" s="631">
        <f>IF(ISNUMBER(H27),H134,0)</f>
        <v>141</v>
      </c>
      <c r="AF165" s="1340"/>
      <c r="AG165" s="1340"/>
      <c r="AH165" s="1340"/>
      <c r="AI165" s="1340"/>
      <c r="AJ165" s="1360" t="b">
        <f>AJ58</f>
        <v>1</v>
      </c>
      <c r="AK165" s="1346" t="s">
        <v>114</v>
      </c>
      <c r="AL165" s="87" t="str">
        <f t="shared" si="53"/>
        <v>Torbay</v>
      </c>
      <c r="AM165" s="146">
        <f t="shared" si="56"/>
        <v>49.603174603174601</v>
      </c>
      <c r="AN165" s="146">
        <f t="shared" si="56"/>
        <v>42.519685039370074</v>
      </c>
      <c r="AO165" s="146">
        <f t="shared" si="56"/>
        <v>40.15748031496063</v>
      </c>
      <c r="AP165" s="146">
        <f t="shared" si="56"/>
        <v>46.456692913385822</v>
      </c>
      <c r="AQ165" s="146">
        <f t="shared" si="56"/>
        <v>55.078125</v>
      </c>
      <c r="AR165" s="147">
        <f>VLOOKUP(AL165,$B$10:$U$33,$AR$144,FALSE)</f>
        <v>21.9</v>
      </c>
      <c r="AS165" s="348">
        <f>VLOOKUP($AL165,$B$184:$H$207,AS$37,FALSE)</f>
        <v>0.04</v>
      </c>
      <c r="AT165" s="348">
        <f>VLOOKUP($AL165,$B$184:$H$207,AT$37,FALSE)</f>
        <v>0.1111111111111111</v>
      </c>
      <c r="AU165" s="348">
        <f>VLOOKUP($AL165,$B$184:$H$207,AU$37,FALSE)</f>
        <v>5.8823529411764705E-2</v>
      </c>
      <c r="AV165" s="348">
        <f>VLOOKUP($AL165,$B$184:$H$207,AV$37,FALSE)</f>
        <v>6.7796610169491525E-2</v>
      </c>
      <c r="AW165" s="348">
        <f>VLOOKUP($AL165,$B$184:$H$207,AW$37,FALSE)</f>
        <v>0</v>
      </c>
      <c r="AX165" s="81" t="b">
        <f t="shared" si="57"/>
        <v>0</v>
      </c>
      <c r="AY165" s="348">
        <f t="shared" si="58"/>
        <v>0.08</v>
      </c>
      <c r="AZ165" s="348">
        <f t="shared" si="58"/>
        <v>0.14814814814814814</v>
      </c>
      <c r="BA165" s="348">
        <f t="shared" si="58"/>
        <v>9.8039215686274508E-2</v>
      </c>
      <c r="BB165" s="348">
        <f t="shared" si="58"/>
        <v>0.10169491525423729</v>
      </c>
      <c r="BC165" s="348">
        <f t="shared" si="58"/>
        <v>0.1276595744680851</v>
      </c>
      <c r="BD165" s="348"/>
      <c r="BE165" s="348"/>
      <c r="BF165" s="348"/>
      <c r="BG165" s="348"/>
      <c r="BH165" s="348"/>
      <c r="BI165" s="348"/>
      <c r="BJ165" s="348"/>
      <c r="BK165" s="348"/>
      <c r="BL165" s="348"/>
      <c r="BM165" s="348"/>
      <c r="BN165" s="348"/>
      <c r="BO165" s="348"/>
      <c r="BP165" s="348"/>
      <c r="BQ165" s="348"/>
    </row>
    <row r="166" spans="1:69" ht="13.5" customHeight="1" x14ac:dyDescent="0.2">
      <c r="A166" s="118"/>
      <c r="B166" s="421"/>
      <c r="C166" s="421"/>
      <c r="D166" s="58"/>
      <c r="E166" s="58"/>
      <c r="F166" s="58"/>
      <c r="G166" s="58"/>
      <c r="H166" s="58"/>
      <c r="I166" s="58"/>
      <c r="J166" s="12"/>
      <c r="K166" s="14"/>
      <c r="L166" s="14"/>
      <c r="M166" s="14"/>
      <c r="N166" s="14"/>
      <c r="O166" s="9"/>
      <c r="P166" s="9"/>
      <c r="Q166" s="9"/>
      <c r="R166" s="9"/>
      <c r="S166" s="9"/>
      <c r="T166" s="9"/>
      <c r="U166" s="9"/>
      <c r="V166" s="117"/>
      <c r="W166" s="137"/>
      <c r="X166" s="1359"/>
      <c r="Y166" s="1400" t="s">
        <v>15</v>
      </c>
      <c r="Z166" s="631">
        <f>IF(ISNUMBER(D28),D135,0)</f>
        <v>69</v>
      </c>
      <c r="AA166" s="631">
        <f>IF(ISNUMBER(E28),E135,0)</f>
        <v>74</v>
      </c>
      <c r="AB166" s="631">
        <f>IF(ISNUMBER(F28),F135,0)</f>
        <v>86</v>
      </c>
      <c r="AC166" s="631">
        <f>IF(ISNUMBER(G28),G135,0)</f>
        <v>53</v>
      </c>
      <c r="AD166" s="631">
        <f>IF(ISNUMBER(H28),H135,0)</f>
        <v>74</v>
      </c>
      <c r="AF166" s="1340"/>
      <c r="AG166" s="1340"/>
      <c r="AH166" s="1340"/>
      <c r="AI166" s="1340"/>
      <c r="AJ166" s="1360" t="b">
        <f>AJ59</f>
        <v>1</v>
      </c>
      <c r="AK166" s="1346" t="s">
        <v>15</v>
      </c>
      <c r="AL166" s="87" t="str">
        <f t="shared" si="53"/>
        <v>West Berkshire</v>
      </c>
      <c r="AM166" s="146">
        <f t="shared" si="56"/>
        <v>19.327731092436974</v>
      </c>
      <c r="AN166" s="146">
        <f t="shared" si="56"/>
        <v>20.612813370473539</v>
      </c>
      <c r="AO166" s="146">
        <f t="shared" si="56"/>
        <v>24.022346368715084</v>
      </c>
      <c r="AP166" s="146">
        <f t="shared" si="56"/>
        <v>14.887640449438202</v>
      </c>
      <c r="AQ166" s="146">
        <f t="shared" si="56"/>
        <v>20.786516853932586</v>
      </c>
      <c r="AR166" s="147">
        <f>VLOOKUP(AL166,$B$10:$U$33,$AR$144,FALSE)</f>
        <v>8.6999999999999993</v>
      </c>
      <c r="AS166" s="348">
        <f>VLOOKUP($AL166,$B$184:$H$207,AS$37,FALSE)</f>
        <v>0.14492753623188406</v>
      </c>
      <c r="AT166" s="348">
        <f>VLOOKUP($AL166,$B$184:$H$207,AT$37,FALSE)</f>
        <v>9.45945945945946E-2</v>
      </c>
      <c r="AU166" s="348">
        <f>VLOOKUP($AL166,$B$184:$H$207,AU$37,FALSE)</f>
        <v>0.10465116279069768</v>
      </c>
      <c r="AV166" s="348" t="e">
        <f>VLOOKUP($AL166,$B$184:$H$207,AV$37,FALSE)</f>
        <v>#N/A</v>
      </c>
      <c r="AW166" s="348">
        <f>VLOOKUP($AL166,$B$184:$H$207,AW$37,FALSE)</f>
        <v>0</v>
      </c>
      <c r="AX166" s="81" t="b">
        <f t="shared" si="57"/>
        <v>0</v>
      </c>
      <c r="AY166" s="348">
        <f t="shared" si="58"/>
        <v>0.14492753623188406</v>
      </c>
      <c r="AZ166" s="348" t="e">
        <f t="shared" si="58"/>
        <v>#N/A</v>
      </c>
      <c r="BA166" s="348">
        <f t="shared" si="58"/>
        <v>0.23255813953488372</v>
      </c>
      <c r="BB166" s="348">
        <f t="shared" si="58"/>
        <v>0.30188679245283018</v>
      </c>
      <c r="BC166" s="348">
        <f t="shared" si="58"/>
        <v>0</v>
      </c>
      <c r="BD166" s="348"/>
      <c r="BE166" s="348"/>
      <c r="BF166" s="348"/>
      <c r="BG166" s="348"/>
      <c r="BH166" s="348"/>
      <c r="BI166" s="348"/>
      <c r="BJ166" s="348"/>
      <c r="BK166" s="348"/>
      <c r="BL166" s="348"/>
      <c r="BM166" s="348"/>
      <c r="BN166" s="348"/>
      <c r="BO166" s="348"/>
      <c r="BP166" s="348"/>
      <c r="BQ166" s="348"/>
    </row>
    <row r="167" spans="1:69" ht="13.5" customHeight="1" x14ac:dyDescent="0.2">
      <c r="A167" s="118"/>
      <c r="B167" s="421"/>
      <c r="C167" s="421"/>
      <c r="D167" s="58"/>
      <c r="E167" s="58"/>
      <c r="F167" s="58"/>
      <c r="G167" s="58"/>
      <c r="H167" s="58"/>
      <c r="I167" s="58"/>
      <c r="J167" s="12"/>
      <c r="K167" s="14"/>
      <c r="L167" s="14"/>
      <c r="M167" s="14"/>
      <c r="N167" s="14"/>
      <c r="O167" s="9"/>
      <c r="P167" s="9"/>
      <c r="Q167" s="9"/>
      <c r="R167" s="9"/>
      <c r="S167" s="9"/>
      <c r="T167" s="9"/>
      <c r="U167" s="9"/>
      <c r="V167" s="117"/>
      <c r="W167" s="137"/>
      <c r="X167" s="1359"/>
      <c r="Y167" s="1400" t="s">
        <v>5</v>
      </c>
      <c r="Z167" s="631">
        <f>IF(ISNUMBER(D29),D136,0)</f>
        <v>386</v>
      </c>
      <c r="AA167" s="631">
        <f>IF(ISNUMBER(E29),E136,0)</f>
        <v>357</v>
      </c>
      <c r="AB167" s="631">
        <f>IF(ISNUMBER(F29),F136,0)</f>
        <v>338</v>
      </c>
      <c r="AC167" s="631">
        <f>IF(ISNUMBER(G29),G136,0)</f>
        <v>354</v>
      </c>
      <c r="AD167" s="631">
        <f>IF(ISNUMBER(H29),H136,0)</f>
        <v>355</v>
      </c>
      <c r="AF167" s="1340"/>
      <c r="AG167" s="1340"/>
      <c r="AH167" s="1340"/>
      <c r="AI167" s="1340"/>
      <c r="AJ167" s="1360" t="b">
        <f>AJ60</f>
        <v>1</v>
      </c>
      <c r="AK167" s="1346" t="s">
        <v>5</v>
      </c>
      <c r="AL167" s="87" t="str">
        <f t="shared" si="53"/>
        <v>West Sussex</v>
      </c>
      <c r="AM167" s="146">
        <f t="shared" si="56"/>
        <v>22.652582159624412</v>
      </c>
      <c r="AN167" s="146">
        <f t="shared" si="56"/>
        <v>20.779976717112923</v>
      </c>
      <c r="AO167" s="146">
        <f t="shared" si="56"/>
        <v>19.503750721292555</v>
      </c>
      <c r="AP167" s="146">
        <f t="shared" si="56"/>
        <v>20.263308528906698</v>
      </c>
      <c r="AQ167" s="146">
        <f t="shared" si="56"/>
        <v>20.159000567859174</v>
      </c>
      <c r="AR167" s="147">
        <f>VLOOKUP(AL167,$B$10:$U$33,$AR$144,FALSE)</f>
        <v>11</v>
      </c>
      <c r="AS167" s="348" t="e">
        <f>VLOOKUP($AL167,$B$184:$H$207,AS$37,FALSE)</f>
        <v>#N/A</v>
      </c>
      <c r="AT167" s="348">
        <f>VLOOKUP($AL167,$B$184:$H$207,AT$37,FALSE)</f>
        <v>0</v>
      </c>
      <c r="AU167" s="348">
        <f>VLOOKUP($AL167,$B$184:$H$207,AU$37,FALSE)</f>
        <v>0</v>
      </c>
      <c r="AV167" s="348" t="e">
        <f>VLOOKUP($AL167,$B$184:$H$207,AV$37,FALSE)</f>
        <v>#N/A</v>
      </c>
      <c r="AW167" s="348">
        <f>VLOOKUP($AL167,$B$184:$H$207,AW$37,FALSE)</f>
        <v>0</v>
      </c>
      <c r="AX167" s="81" t="b">
        <f t="shared" si="57"/>
        <v>0</v>
      </c>
      <c r="AY167" s="348">
        <f t="shared" si="58"/>
        <v>0.11658031088082901</v>
      </c>
      <c r="AZ167" s="348">
        <f t="shared" si="58"/>
        <v>8.4033613445378158E-2</v>
      </c>
      <c r="BA167" s="348">
        <f t="shared" si="58"/>
        <v>0.10946745562130178</v>
      </c>
      <c r="BB167" s="348">
        <f t="shared" si="58"/>
        <v>9.6045197740112997E-2</v>
      </c>
      <c r="BC167" s="348">
        <f t="shared" si="58"/>
        <v>6.1971830985915494E-2</v>
      </c>
      <c r="BD167" s="348"/>
      <c r="BE167" s="348"/>
      <c r="BF167" s="348"/>
      <c r="BG167" s="348"/>
      <c r="BH167" s="348"/>
      <c r="BI167" s="348"/>
      <c r="BJ167" s="348"/>
      <c r="BK167" s="348"/>
      <c r="BL167" s="348"/>
      <c r="BM167" s="348"/>
      <c r="BN167" s="348"/>
      <c r="BO167" s="348"/>
      <c r="BP167" s="348"/>
      <c r="BQ167" s="348"/>
    </row>
    <row r="168" spans="1:69" s="81" customFormat="1" ht="13.5" customHeight="1" x14ac:dyDescent="0.2">
      <c r="A168" s="118"/>
      <c r="B168" s="421"/>
      <c r="C168" s="421"/>
      <c r="D168" s="58"/>
      <c r="E168" s="58"/>
      <c r="F168" s="58"/>
      <c r="G168" s="58"/>
      <c r="H168" s="58"/>
      <c r="I168" s="58"/>
      <c r="J168" s="12"/>
      <c r="K168" s="14"/>
      <c r="L168" s="14"/>
      <c r="M168" s="14"/>
      <c r="N168" s="14"/>
      <c r="O168" s="9"/>
      <c r="P168" s="9"/>
      <c r="Q168" s="9"/>
      <c r="R168" s="9"/>
      <c r="S168" s="9"/>
      <c r="T168" s="9"/>
      <c r="U168" s="9"/>
      <c r="V168" s="117"/>
      <c r="W168" s="137"/>
      <c r="X168" s="1359"/>
      <c r="Y168" s="1400" t="s">
        <v>30</v>
      </c>
      <c r="Z168" s="631">
        <f>IF(ISNUMBER(D30),D137,0)</f>
        <v>43</v>
      </c>
      <c r="AA168" s="631">
        <f>IF(ISNUMBER(E30),E137,0)</f>
        <v>35</v>
      </c>
      <c r="AB168" s="631">
        <f>IF(ISNUMBER(F30),F137,0)</f>
        <v>49</v>
      </c>
      <c r="AC168" s="631">
        <f>IF(ISNUMBER(G30),G137,0)</f>
        <v>52</v>
      </c>
      <c r="AD168" s="631">
        <f>IF(ISNUMBER(H30),H137,0)</f>
        <v>62</v>
      </c>
      <c r="AE168" s="1392"/>
      <c r="AF168" s="1340"/>
      <c r="AG168" s="1340"/>
      <c r="AH168" s="1340"/>
      <c r="AI168" s="1340"/>
      <c r="AJ168" s="1360" t="b">
        <f>AJ61</f>
        <v>1</v>
      </c>
      <c r="AK168" s="1346" t="s">
        <v>30</v>
      </c>
      <c r="AL168" s="87" t="str">
        <f t="shared" si="53"/>
        <v>Windsor &amp; Maidenhead</v>
      </c>
      <c r="AM168" s="146">
        <f t="shared" si="56"/>
        <v>12.759643916913946</v>
      </c>
      <c r="AN168" s="146">
        <f t="shared" si="56"/>
        <v>10.233918128654972</v>
      </c>
      <c r="AO168" s="146">
        <f t="shared" si="56"/>
        <v>14.244186046511627</v>
      </c>
      <c r="AP168" s="146">
        <f t="shared" si="56"/>
        <v>15.028901734104045</v>
      </c>
      <c r="AQ168" s="146">
        <f t="shared" si="56"/>
        <v>17.86743515850144</v>
      </c>
      <c r="AR168" s="147">
        <f>VLOOKUP(AL168,$B$10:$U$33,$AR$144,FALSE)</f>
        <v>6.7</v>
      </c>
      <c r="AS168" s="348" t="e">
        <f>VLOOKUP($AL168,$B$184:$H$207,AS$37,FALSE)</f>
        <v>#N/A</v>
      </c>
      <c r="AT168" s="348" t="e">
        <f>VLOOKUP($AL168,$B$184:$H$207,AT$37,FALSE)</f>
        <v>#N/A</v>
      </c>
      <c r="AU168" s="348" t="e">
        <f>VLOOKUP($AL168,$B$184:$H$207,AU$37,FALSE)</f>
        <v>#N/A</v>
      </c>
      <c r="AV168" s="348">
        <f>VLOOKUP($AL168,$B$184:$H$207,AV$37,FALSE)</f>
        <v>0</v>
      </c>
      <c r="AW168" s="348">
        <f>VLOOKUP($AL168,$B$184:$H$207,AW$37,FALSE)</f>
        <v>0</v>
      </c>
      <c r="AX168" s="81" t="b">
        <f t="shared" si="57"/>
        <v>0</v>
      </c>
      <c r="AY168" s="348" t="e">
        <f t="shared" si="58"/>
        <v>#N/A</v>
      </c>
      <c r="AZ168" s="348" t="e">
        <f t="shared" si="58"/>
        <v>#N/A</v>
      </c>
      <c r="BA168" s="348" t="e">
        <f t="shared" si="58"/>
        <v>#N/A</v>
      </c>
      <c r="BB168" s="348">
        <f t="shared" si="58"/>
        <v>0</v>
      </c>
      <c r="BC168" s="348">
        <f t="shared" si="58"/>
        <v>9.6774193548387094E-2</v>
      </c>
      <c r="BD168" s="348"/>
      <c r="BE168" s="348"/>
      <c r="BF168" s="348"/>
      <c r="BG168" s="348"/>
      <c r="BH168" s="348"/>
      <c r="BI168" s="348"/>
      <c r="BJ168" s="348"/>
      <c r="BK168" s="348"/>
      <c r="BL168" s="348"/>
      <c r="BM168" s="348"/>
      <c r="BN168" s="348"/>
      <c r="BO168" s="348"/>
      <c r="BP168" s="348"/>
      <c r="BQ168" s="348"/>
    </row>
    <row r="169" spans="1:69" s="81" customFormat="1" ht="13.5" customHeight="1" x14ac:dyDescent="0.2">
      <c r="A169" s="118"/>
      <c r="B169" s="421"/>
      <c r="C169" s="421"/>
      <c r="D169" s="58"/>
      <c r="E169" s="58"/>
      <c r="F169" s="58"/>
      <c r="G169" s="58"/>
      <c r="H169" s="58"/>
      <c r="I169" s="58"/>
      <c r="J169" s="12"/>
      <c r="K169" s="14"/>
      <c r="L169" s="14"/>
      <c r="M169" s="14"/>
      <c r="N169" s="14"/>
      <c r="O169" s="9"/>
      <c r="P169" s="9"/>
      <c r="Q169" s="9"/>
      <c r="R169" s="9"/>
      <c r="S169" s="9"/>
      <c r="T169" s="9"/>
      <c r="U169" s="9"/>
      <c r="V169" s="117"/>
      <c r="W169" s="137"/>
      <c r="X169" s="1359"/>
      <c r="Y169" s="1400" t="s">
        <v>16</v>
      </c>
      <c r="Z169" s="631">
        <f>IF(ISNUMBER(D31),D138,0)</f>
        <v>34</v>
      </c>
      <c r="AA169" s="631">
        <f>IF(ISNUMBER(E31),E138,0)</f>
        <v>31</v>
      </c>
      <c r="AB169" s="631">
        <f>IF(ISNUMBER(F31),F138,0)</f>
        <v>36</v>
      </c>
      <c r="AC169" s="631">
        <f>IF(ISNUMBER(G31),G138,0)</f>
        <v>58</v>
      </c>
      <c r="AD169" s="631">
        <f>IF(ISNUMBER(H31),H138,0)</f>
        <v>55</v>
      </c>
      <c r="AE169" s="1392"/>
      <c r="AF169" s="1340"/>
      <c r="AG169" s="1340"/>
      <c r="AH169" s="1340"/>
      <c r="AI169" s="1340"/>
      <c r="AJ169" s="1360" t="b">
        <f>AJ62</f>
        <v>1</v>
      </c>
      <c r="AK169" s="1346" t="s">
        <v>16</v>
      </c>
      <c r="AL169" s="87" t="str">
        <f t="shared" si="53"/>
        <v>Wokingham</v>
      </c>
      <c r="AM169" s="146">
        <f t="shared" si="56"/>
        <v>9.1152815013404833</v>
      </c>
      <c r="AN169" s="146">
        <f t="shared" si="56"/>
        <v>8.1578947368421044</v>
      </c>
      <c r="AO169" s="146">
        <f t="shared" si="56"/>
        <v>9.3023255813953494</v>
      </c>
      <c r="AP169" s="146">
        <f t="shared" si="56"/>
        <v>14.683544303797468</v>
      </c>
      <c r="AQ169" s="146">
        <f t="shared" si="56"/>
        <v>13.613861386138613</v>
      </c>
      <c r="AR169" s="147">
        <f>VLOOKUP(AL169,$B$10:$U$33,$AR$144,FALSE)</f>
        <v>5.6000000000000005</v>
      </c>
      <c r="AS169" s="348">
        <f>VLOOKUP($AL169,$B$184:$H$207,AS$37,FALSE)</f>
        <v>0</v>
      </c>
      <c r="AT169" s="348" t="e">
        <f>VLOOKUP($AL169,$B$184:$H$207,AT$37,FALSE)</f>
        <v>#N/A</v>
      </c>
      <c r="AU169" s="348">
        <f>VLOOKUP($AL169,$B$184:$H$207,AU$37,FALSE)</f>
        <v>0</v>
      </c>
      <c r="AV169" s="348" t="e">
        <f>VLOOKUP($AL169,$B$184:$H$207,AV$37,FALSE)</f>
        <v>#N/A</v>
      </c>
      <c r="AW169" s="348">
        <f>VLOOKUP($AL169,$B$184:$H$207,AW$37,FALSE)</f>
        <v>0.10909090909090909</v>
      </c>
      <c r="AX169" s="81" t="b">
        <f t="shared" si="57"/>
        <v>0</v>
      </c>
      <c r="AY169" s="348" t="e">
        <f t="shared" si="58"/>
        <v>#N/A</v>
      </c>
      <c r="AZ169" s="348" t="e">
        <f t="shared" si="58"/>
        <v>#N/A</v>
      </c>
      <c r="BA169" s="348" t="e">
        <f t="shared" si="58"/>
        <v>#N/A</v>
      </c>
      <c r="BB169" s="348">
        <f t="shared" si="58"/>
        <v>0.15517241379310345</v>
      </c>
      <c r="BC169" s="348">
        <f t="shared" si="58"/>
        <v>0.16363636363636364</v>
      </c>
      <c r="BD169" s="348"/>
      <c r="BE169" s="348"/>
      <c r="BF169" s="348"/>
      <c r="BG169" s="348"/>
      <c r="BH169" s="348"/>
      <c r="BI169" s="348"/>
      <c r="BJ169" s="348"/>
      <c r="BK169" s="348"/>
      <c r="BL169" s="348"/>
      <c r="BM169" s="348"/>
      <c r="BN169" s="348"/>
      <c r="BO169" s="348"/>
      <c r="BP169" s="348"/>
      <c r="BQ169" s="348"/>
    </row>
    <row r="170" spans="1:69" s="81" customFormat="1" ht="13.5" customHeight="1" x14ac:dyDescent="0.2">
      <c r="A170" s="118"/>
      <c r="B170" s="421"/>
      <c r="C170" s="421"/>
      <c r="D170" s="58"/>
      <c r="E170" s="58"/>
      <c r="F170" s="58"/>
      <c r="G170" s="58"/>
      <c r="H170" s="58"/>
      <c r="I170" s="58"/>
      <c r="J170" s="12"/>
      <c r="K170" s="14"/>
      <c r="L170" s="14"/>
      <c r="M170" s="14"/>
      <c r="N170" s="14"/>
      <c r="O170" s="9"/>
      <c r="P170" s="9"/>
      <c r="Q170" s="9"/>
      <c r="R170" s="9"/>
      <c r="S170" s="9"/>
      <c r="T170" s="9"/>
      <c r="U170" s="9"/>
      <c r="V170" s="117"/>
      <c r="W170" s="137"/>
      <c r="X170" s="1359"/>
      <c r="Y170" s="1400" t="s">
        <v>74</v>
      </c>
      <c r="Z170" s="1401">
        <f>SUM(Z162:Z163,Z148:Z160,Z166:Z169)</f>
        <v>4650</v>
      </c>
      <c r="AA170" s="1401">
        <f>SUM(AA162:AA163,AA148:AA160,AA166:AA169)</f>
        <v>4649</v>
      </c>
      <c r="AB170" s="1401">
        <f t="shared" ref="AB170:AD170" si="59">SUM(AB162:AB163,AB148:AB160,AB166:AB169)</f>
        <v>4309</v>
      </c>
      <c r="AC170" s="1401">
        <f t="shared" si="59"/>
        <v>4143</v>
      </c>
      <c r="AD170" s="1401">
        <f t="shared" si="59"/>
        <v>4264</v>
      </c>
      <c r="AE170" s="1392"/>
      <c r="AF170" s="1340"/>
      <c r="AG170" s="1340"/>
      <c r="AH170" s="1340"/>
      <c r="AI170" s="1340"/>
      <c r="AJ170" s="1360" t="b">
        <f>AJ63</f>
        <v>1</v>
      </c>
      <c r="AK170" s="1346" t="s">
        <v>74</v>
      </c>
      <c r="AL170" s="87" t="str">
        <f t="shared" si="53"/>
        <v>South East</v>
      </c>
      <c r="AM170" s="146">
        <f t="shared" si="56"/>
        <v>24.242740211667797</v>
      </c>
      <c r="AN170" s="146">
        <f t="shared" si="56"/>
        <v>24.05338299193048</v>
      </c>
      <c r="AO170" s="146">
        <f t="shared" si="56"/>
        <v>22.171922423993006</v>
      </c>
      <c r="AP170" s="146">
        <f t="shared" si="56"/>
        <v>21.149425287356323</v>
      </c>
      <c r="AQ170" s="146">
        <f t="shared" si="56"/>
        <v>21.632051998171942</v>
      </c>
      <c r="AR170" s="147">
        <f>VLOOKUP(AL170,$B$10:$U$33,$AR$144,FALSE)</f>
        <v>12.371268250968637</v>
      </c>
      <c r="AS170" s="348">
        <f>VLOOKUP($AL170,$B$184:$H$207,AS$37,FALSE)</f>
        <v>2.7956989247311829E-2</v>
      </c>
      <c r="AT170" s="348">
        <f>VLOOKUP($AL170,$B$184:$H$207,AT$37,FALSE)</f>
        <v>2.7956989247311829E-2</v>
      </c>
      <c r="AU170" s="348">
        <f>VLOOKUP($AL170,$B$184:$H$207,AU$37,FALSE)</f>
        <v>2.7842227378190254E-2</v>
      </c>
      <c r="AV170" s="348">
        <f>VLOOKUP($AL170,$B$184:$H$207,AV$37,FALSE)</f>
        <v>2.6570048309178744E-2</v>
      </c>
      <c r="AW170" s="348">
        <f>VLOOKUP($AL170,$B$184:$H$207,AW$37,FALSE)</f>
        <v>3.7558685446009391E-2</v>
      </c>
      <c r="AX170" s="81" t="b">
        <f t="shared" si="57"/>
        <v>0</v>
      </c>
      <c r="AY170" s="348">
        <f t="shared" si="58"/>
        <v>9.6774193548387094E-2</v>
      </c>
      <c r="AZ170" s="348">
        <f t="shared" si="58"/>
        <v>9.8924731182795697E-2</v>
      </c>
      <c r="BA170" s="348">
        <f t="shared" si="58"/>
        <v>0.11600928074245939</v>
      </c>
      <c r="BB170" s="348">
        <f t="shared" si="58"/>
        <v>0.11835748792270531</v>
      </c>
      <c r="BC170" s="348">
        <f t="shared" si="58"/>
        <v>0.11267605633802817</v>
      </c>
      <c r="BD170" s="348"/>
      <c r="BE170" s="348"/>
      <c r="BF170" s="348"/>
      <c r="BG170" s="348"/>
      <c r="BH170" s="348"/>
      <c r="BI170" s="348"/>
      <c r="BJ170" s="348"/>
      <c r="BK170" s="348"/>
      <c r="BL170" s="348"/>
      <c r="BM170" s="348"/>
      <c r="BN170" s="348"/>
      <c r="BO170" s="348"/>
      <c r="BP170" s="348"/>
      <c r="BQ170" s="348"/>
    </row>
    <row r="171" spans="1:69" s="81" customFormat="1" ht="13.5" customHeight="1" x14ac:dyDescent="0.2">
      <c r="A171" s="118"/>
      <c r="B171" s="421"/>
      <c r="C171" s="421"/>
      <c r="D171" s="58"/>
      <c r="E171" s="58"/>
      <c r="F171" s="58"/>
      <c r="G171" s="58"/>
      <c r="H171" s="58"/>
      <c r="I171" s="58"/>
      <c r="J171" s="12"/>
      <c r="K171" s="9"/>
      <c r="L171" s="110"/>
      <c r="M171" s="1796" t="s">
        <v>72</v>
      </c>
      <c r="N171" s="1797"/>
      <c r="O171" s="1797"/>
      <c r="P171" s="1798"/>
      <c r="Q171" s="928"/>
      <c r="R171" s="1802" t="s">
        <v>100</v>
      </c>
      <c r="S171" s="1803"/>
      <c r="T171" s="1803"/>
      <c r="U171" s="1804"/>
      <c r="V171" s="117"/>
      <c r="W171" s="137"/>
      <c r="X171" s="1359"/>
      <c r="Y171" s="1400" t="s">
        <v>127</v>
      </c>
      <c r="Z171" s="1392"/>
      <c r="AA171" s="1392"/>
      <c r="AB171" s="1392"/>
      <c r="AC171" s="1392"/>
      <c r="AD171" s="1392"/>
      <c r="AE171" s="1392"/>
      <c r="AF171" s="1340"/>
      <c r="AG171" s="1340"/>
      <c r="AH171" s="1340"/>
      <c r="AI171" s="1340"/>
      <c r="AJ171" s="1360" t="b">
        <f>AJ64</f>
        <v>1</v>
      </c>
      <c r="AK171" s="1346" t="s">
        <v>127</v>
      </c>
      <c r="AL171" s="87" t="str">
        <f t="shared" si="53"/>
        <v>England</v>
      </c>
      <c r="AM171" s="146">
        <f t="shared" si="56"/>
        <v>27.282302468765788</v>
      </c>
      <c r="AN171" s="146">
        <f t="shared" si="56"/>
        <v>26.643360796924984</v>
      </c>
      <c r="AO171" s="146">
        <f t="shared" si="56"/>
        <v>25.322322406673972</v>
      </c>
      <c r="AP171" s="146">
        <f t="shared" si="56"/>
        <v>24.643233566995132</v>
      </c>
      <c r="AQ171" s="146">
        <f t="shared" si="56"/>
        <v>24.609933796866162</v>
      </c>
      <c r="AR171" s="147">
        <f>VLOOKUP(AL171,$B$10:$U$33,$AR$144,FALSE)</f>
        <v>17.084413405029373</v>
      </c>
      <c r="AS171" s="348">
        <f>VLOOKUP($AL171,$B$184:$H$207,AS$37,FALSE)</f>
        <v>3.5153797865662272E-2</v>
      </c>
      <c r="AT171" s="348">
        <f>VLOOKUP($AL171,$B$184:$H$207,AT$37,FALSE)</f>
        <v>3.8216560509554139E-2</v>
      </c>
      <c r="AU171" s="348">
        <f>VLOOKUP($AL171,$B$184:$H$207,AU$37,FALSE)</f>
        <v>3.8935108153078206E-2</v>
      </c>
      <c r="AV171" s="348">
        <f>VLOOKUP($AL171,$B$184:$H$207,AV$37,FALSE)</f>
        <v>3.8017651052274268E-2</v>
      </c>
      <c r="AW171" s="348">
        <f>VLOOKUP($AL171,$B$184:$H$207,AW$37,FALSE)</f>
        <v>3.9202433254477864E-2</v>
      </c>
      <c r="AX171" s="81" t="b">
        <f t="shared" si="57"/>
        <v>0</v>
      </c>
      <c r="AY171" s="348">
        <f t="shared" si="58"/>
        <v>0.12115505335844319</v>
      </c>
      <c r="AZ171" s="348">
        <f t="shared" si="58"/>
        <v>0.11751592356687898</v>
      </c>
      <c r="BA171" s="348">
        <f t="shared" si="58"/>
        <v>0.11414309484193012</v>
      </c>
      <c r="BB171" s="348">
        <f t="shared" si="58"/>
        <v>0.13034623217922606</v>
      </c>
      <c r="BC171" s="348">
        <f t="shared" si="58"/>
        <v>0.1250422440013518</v>
      </c>
      <c r="BD171" s="348"/>
      <c r="BE171" s="348"/>
      <c r="BF171" s="348"/>
      <c r="BG171" s="348"/>
      <c r="BH171" s="348"/>
      <c r="BI171" s="348"/>
      <c r="BJ171" s="348"/>
      <c r="BK171" s="348"/>
      <c r="BL171" s="348"/>
      <c r="BM171" s="348"/>
      <c r="BN171" s="348"/>
      <c r="BO171" s="348"/>
      <c r="BP171" s="348"/>
      <c r="BQ171" s="348"/>
    </row>
    <row r="172" spans="1:69" s="81" customFormat="1" ht="13.5" customHeight="1" x14ac:dyDescent="0.2">
      <c r="A172" s="118"/>
      <c r="B172" s="421"/>
      <c r="C172" s="421"/>
      <c r="D172" s="58"/>
      <c r="E172" s="58"/>
      <c r="F172" s="58"/>
      <c r="G172" s="58"/>
      <c r="H172" s="58"/>
      <c r="I172" s="58"/>
      <c r="J172" s="12"/>
      <c r="K172" s="9"/>
      <c r="L172" s="111"/>
      <c r="M172" s="1802" t="str">
        <f>AA4</f>
        <v>Selected LA- (none)</v>
      </c>
      <c r="N172" s="1803"/>
      <c r="O172" s="1803"/>
      <c r="P172" s="1803"/>
      <c r="Q172" s="110"/>
      <c r="R172" s="1939" t="s">
        <v>187</v>
      </c>
      <c r="S172" s="1939"/>
      <c r="T172" s="1939"/>
      <c r="U172" s="1940"/>
      <c r="V172" s="117"/>
      <c r="W172" s="137"/>
      <c r="X172" s="1339"/>
      <c r="Y172" s="1392"/>
      <c r="Z172" s="1392"/>
      <c r="AA172" s="1392"/>
      <c r="AB172" s="1392"/>
      <c r="AC172" s="1392"/>
      <c r="AD172" s="631" t="s">
        <v>977</v>
      </c>
      <c r="AE172" s="1392"/>
      <c r="AF172" s="1340"/>
      <c r="AG172" s="1340"/>
      <c r="AH172" s="1340"/>
      <c r="AI172" s="1340"/>
      <c r="AJ172" s="1340"/>
      <c r="AK172" s="1344"/>
      <c r="AL172" s="74" t="str">
        <f>AA4</f>
        <v>Selected LA- (none)</v>
      </c>
      <c r="AM172" s="146" t="e">
        <f>VLOOKUP($Z4,$B$117:$O$140,AM$144,FALSE)</f>
        <v>#N/A</v>
      </c>
      <c r="AN172" s="146" t="e">
        <f>VLOOKUP($Z4,$B$117:$O$140,AN$144,FALSE)</f>
        <v>#N/A</v>
      </c>
      <c r="AO172" s="146" t="e">
        <f>VLOOKUP($Z4,$B$117:$O$140,AO$144,FALSE)</f>
        <v>#N/A</v>
      </c>
      <c r="AP172" s="146" t="e">
        <f>VLOOKUP($Z4,$B$117:$O$140,AP$144,FALSE)</f>
        <v>#N/A</v>
      </c>
      <c r="AQ172" s="146" t="e">
        <f>VLOOKUP($Z4,$B$117:$O$140,AQ$144,FALSE)</f>
        <v>#N/A</v>
      </c>
      <c r="AR172" s="147" t="e">
        <f>VLOOKUP(Z4,$B$10:$U$32,$AR$144,FALSE)</f>
        <v>#N/A</v>
      </c>
      <c r="AS172" s="348" t="e">
        <f>VLOOKUP($Z4,$B$184:$H$207,AS$37,FALSE)</f>
        <v>#N/A</v>
      </c>
      <c r="AT172" s="348" t="e">
        <f>VLOOKUP($Z4,$B$184:$H$207,AT$37,FALSE)</f>
        <v>#N/A</v>
      </c>
      <c r="AU172" s="348" t="e">
        <f>VLOOKUP($Z4,$B$184:$H$207,AU$37,FALSE)</f>
        <v>#N/A</v>
      </c>
      <c r="AV172" s="348" t="e">
        <f>VLOOKUP($Z4,$B$184:$H$207,AV$37,FALSE)</f>
        <v>#N/A</v>
      </c>
      <c r="AW172" s="348" t="e">
        <f>VLOOKUP($Z4,$B$184:$H$207,AW$37,FALSE)</f>
        <v>#N/A</v>
      </c>
      <c r="AX172" s="81" t="b">
        <f t="shared" si="57"/>
        <v>0</v>
      </c>
      <c r="AY172" s="348" t="e">
        <f>VLOOKUP($Z4,$B$220:$H$243,AY$144,FALSE)</f>
        <v>#N/A</v>
      </c>
      <c r="AZ172" s="348" t="e">
        <f>VLOOKUP($Z4,$B$220:$H$243,AZ$144,FALSE)</f>
        <v>#N/A</v>
      </c>
      <c r="BA172" s="348" t="e">
        <f>VLOOKUP($Z4,$B$220:$H$243,BA$144,FALSE)</f>
        <v>#N/A</v>
      </c>
      <c r="BB172" s="348" t="e">
        <f>VLOOKUP($Z4,$B$220:$H$243,BB$144,FALSE)</f>
        <v>#N/A</v>
      </c>
      <c r="BC172" s="348" t="e">
        <f>VLOOKUP($Z4,$B$220:$H$243,BC$144,FALSE)</f>
        <v>#N/A</v>
      </c>
      <c r="BD172" s="171"/>
      <c r="BE172" s="171"/>
      <c r="BF172" s="171"/>
      <c r="BG172" s="171"/>
      <c r="BH172" s="348"/>
      <c r="BI172" s="348"/>
      <c r="BJ172" s="348"/>
      <c r="BK172" s="348"/>
      <c r="BL172" s="348"/>
      <c r="BM172" s="348"/>
      <c r="BN172" s="348"/>
      <c r="BO172" s="348"/>
      <c r="BP172" s="348"/>
      <c r="BQ172" s="348"/>
    </row>
    <row r="173" spans="1:69" s="81" customFormat="1" ht="42" customHeight="1" x14ac:dyDescent="0.2">
      <c r="A173" s="118"/>
      <c r="B173" s="421"/>
      <c r="C173" s="421"/>
      <c r="D173" s="58"/>
      <c r="E173" s="58"/>
      <c r="F173" s="58"/>
      <c r="G173" s="58"/>
      <c r="H173" s="58"/>
      <c r="I173" s="58"/>
      <c r="J173" s="12"/>
      <c r="K173" s="9"/>
      <c r="L173" s="9"/>
      <c r="M173" s="9"/>
      <c r="N173" s="9"/>
      <c r="O173" s="9"/>
      <c r="P173" s="9"/>
      <c r="Q173" s="9"/>
      <c r="R173" s="9"/>
      <c r="S173" s="9"/>
      <c r="T173" s="9"/>
      <c r="U173" s="9"/>
      <c r="V173" s="117"/>
      <c r="W173" s="137"/>
      <c r="X173" s="1339"/>
      <c r="Y173" s="1404" t="s">
        <v>72</v>
      </c>
      <c r="Z173" s="1404" t="s">
        <v>70</v>
      </c>
      <c r="AA173" s="1404" t="s">
        <v>71</v>
      </c>
      <c r="AB173" s="1405">
        <v>5</v>
      </c>
      <c r="AC173" s="1406">
        <f>(AB173*Z174)+AA174</f>
        <v>13.477292339527386</v>
      </c>
      <c r="AD173" s="1407">
        <f>ROUND(ChartLabels!$AA18,3)</f>
        <v>0.53</v>
      </c>
      <c r="AE173" s="1392"/>
      <c r="AF173" s="1340"/>
      <c r="AG173" s="1340"/>
      <c r="AH173" s="1340"/>
      <c r="AI173" s="1340"/>
      <c r="AJ173" s="1340"/>
      <c r="AK173" s="1344"/>
    </row>
    <row r="174" spans="1:69" s="87" customFormat="1" ht="42" customHeight="1" x14ac:dyDescent="0.2">
      <c r="A174" s="121"/>
      <c r="B174" s="109"/>
      <c r="C174" s="109"/>
      <c r="D174" s="109"/>
      <c r="E174" s="109"/>
      <c r="F174" s="109"/>
      <c r="G174" s="109"/>
      <c r="H174" s="109"/>
      <c r="I174" s="109"/>
      <c r="J174" s="96"/>
      <c r="K174" s="85"/>
      <c r="L174" s="85"/>
      <c r="M174" s="85"/>
      <c r="N174" s="85"/>
      <c r="O174" s="85"/>
      <c r="P174" s="85"/>
      <c r="Q174" s="85"/>
      <c r="R174" s="85"/>
      <c r="S174" s="85"/>
      <c r="T174" s="85"/>
      <c r="U174" s="85"/>
      <c r="V174" s="122"/>
      <c r="W174" s="139"/>
      <c r="X174" s="1350"/>
      <c r="Y174" s="580" t="str">
        <f>"Y= "&amp;Z174&amp;"x + "&amp;AA174</f>
        <v>Y= 1.32079311245589x + 6.87332677724795</v>
      </c>
      <c r="Z174" s="1408">
        <f>ChartLabels!$Y18</f>
        <v>1.3207931124558878</v>
      </c>
      <c r="AA174" s="1408">
        <f>ChartLabels!$Z18</f>
        <v>6.8733267772479465</v>
      </c>
      <c r="AB174" s="1407">
        <v>35</v>
      </c>
      <c r="AC174" s="1406">
        <f>(AB174*Z174)+AA174</f>
        <v>53.101085713204021</v>
      </c>
      <c r="AD174" s="1407" t="str">
        <f>AD172&amp;" = "&amp;AD173</f>
        <v>r² = 0.53</v>
      </c>
      <c r="AE174" s="1399"/>
      <c r="AF174" s="1341"/>
      <c r="AG174" s="1341"/>
      <c r="AH174" s="1341"/>
      <c r="AI174" s="1341"/>
      <c r="AJ174" s="1351"/>
      <c r="AK174" s="1346"/>
    </row>
    <row r="175" spans="1:69" s="87" customFormat="1" ht="42.75" customHeight="1" x14ac:dyDescent="0.2">
      <c r="A175" s="121"/>
      <c r="B175" s="109"/>
      <c r="C175" s="109"/>
      <c r="D175" s="109"/>
      <c r="E175" s="109"/>
      <c r="F175" s="109"/>
      <c r="G175" s="109"/>
      <c r="H175" s="109"/>
      <c r="I175" s="109"/>
      <c r="J175" s="96"/>
      <c r="K175" s="85"/>
      <c r="L175" s="85"/>
      <c r="M175" s="85"/>
      <c r="N175" s="85"/>
      <c r="O175" s="85"/>
      <c r="P175" s="85"/>
      <c r="Q175" s="85"/>
      <c r="R175" s="85"/>
      <c r="S175" s="85"/>
      <c r="T175" s="85"/>
      <c r="U175" s="85"/>
      <c r="V175" s="122"/>
      <c r="W175" s="139"/>
      <c r="X175" s="1350"/>
      <c r="Y175" s="1404" t="str">
        <f>"National Trend "&amp;Sheet1!$B$8</f>
        <v>National Trend 2020</v>
      </c>
      <c r="Z175" s="1409" t="s">
        <v>70</v>
      </c>
      <c r="AA175" s="1404" t="s">
        <v>71</v>
      </c>
      <c r="AB175" s="1405">
        <v>5</v>
      </c>
      <c r="AC175" s="1410">
        <f>((AB175*Z176)+AA176)/$Y$2</f>
        <v>16.122394603683567</v>
      </c>
      <c r="AD175" s="1319" t="str">
        <f>$AD$40&amp;" = "&amp;AD176</f>
        <v>r² = 0.177</v>
      </c>
      <c r="AE175" s="1399"/>
      <c r="AF175" s="1341"/>
      <c r="AG175" s="1341"/>
      <c r="AH175" s="1341"/>
      <c r="AI175" s="1341"/>
      <c r="AJ175" s="1351"/>
      <c r="AK175" s="1346"/>
    </row>
    <row r="176" spans="1:69" ht="7.5" customHeight="1" x14ac:dyDescent="0.2">
      <c r="A176" s="118"/>
      <c r="B176" s="17"/>
      <c r="C176" s="17"/>
      <c r="D176" s="16"/>
      <c r="E176" s="16"/>
      <c r="F176" s="16"/>
      <c r="G176" s="16"/>
      <c r="H176" s="16"/>
      <c r="I176" s="16"/>
      <c r="J176" s="12"/>
      <c r="K176" s="18"/>
      <c r="L176" s="18"/>
      <c r="M176" s="18"/>
      <c r="N176" s="18"/>
      <c r="O176" s="18"/>
      <c r="P176" s="18"/>
      <c r="Q176" s="18"/>
      <c r="R176" s="18"/>
      <c r="S176" s="18"/>
      <c r="T176" s="18"/>
      <c r="U176" s="19"/>
      <c r="V176" s="117"/>
      <c r="W176" s="137"/>
      <c r="X176" s="1339"/>
      <c r="Y176" s="580" t="str">
        <f>"Y= "&amp;Z176&amp;"x + "&amp;AA176</f>
        <v>Y= 0.896834353304228x + 11.6382228371624</v>
      </c>
      <c r="Z176" s="1411">
        <f>Sheet1!$D$15</f>
        <v>0.89683435330422845</v>
      </c>
      <c r="AA176" s="1412">
        <f>Sheet1!$D$16</f>
        <v>11.638222837162425</v>
      </c>
      <c r="AB176" s="1407">
        <v>35</v>
      </c>
      <c r="AC176" s="1406">
        <f>((AB176*Z176)+AA176)/$Y$2</f>
        <v>43.02742520281042</v>
      </c>
      <c r="AD176" s="1195">
        <f>ROUND(Sheet1!$D$17,3)</f>
        <v>0.17699999999999999</v>
      </c>
      <c r="AF176" s="1340"/>
      <c r="AG176" s="1340"/>
      <c r="AH176" s="1340"/>
      <c r="AI176" s="1340"/>
      <c r="AJ176" s="1343"/>
      <c r="AK176" s="1345"/>
    </row>
    <row r="177" spans="1:45" ht="15" customHeight="1" x14ac:dyDescent="0.2">
      <c r="A177" s="1716"/>
      <c r="B177" s="1760"/>
      <c r="C177" s="1760"/>
      <c r="D177" s="1760"/>
      <c r="E177" s="1760"/>
      <c r="F177" s="1760"/>
      <c r="G177" s="1760"/>
      <c r="H177" s="1760"/>
      <c r="I177" s="1760"/>
      <c r="J177" s="1760"/>
      <c r="K177" s="1760"/>
      <c r="L177" s="1760"/>
      <c r="M177" s="1760"/>
      <c r="N177" s="1760"/>
      <c r="O177" s="1760"/>
      <c r="P177" s="1760"/>
      <c r="Q177" s="1760"/>
      <c r="R177" s="1760"/>
      <c r="S177" s="1760"/>
      <c r="T177" s="1760"/>
      <c r="U177" s="1760"/>
      <c r="V177" s="1761"/>
      <c r="W177" s="137"/>
      <c r="X177" s="1339"/>
      <c r="Y177" s="1416"/>
      <c r="AA177" s="1396"/>
      <c r="AF177" s="1340"/>
      <c r="AG177" s="1340"/>
      <c r="AH177" s="1340"/>
      <c r="AI177" s="1340"/>
      <c r="AJ177" s="1343"/>
      <c r="AK177" s="1345"/>
    </row>
    <row r="178" spans="1:45" ht="11.25" customHeight="1" x14ac:dyDescent="0.2">
      <c r="A178" s="1765" t="str">
        <f>Home!$A$39</f>
        <v xml:space="preserve"> </v>
      </c>
      <c r="B178" s="1766"/>
      <c r="C178" s="1766"/>
      <c r="D178" s="1766"/>
      <c r="E178" s="1766"/>
      <c r="F178" s="1766"/>
      <c r="G178" s="1766"/>
      <c r="H178" s="1766"/>
      <c r="I178" s="1767"/>
      <c r="J178" s="1766"/>
      <c r="K178" s="1766"/>
      <c r="L178" s="1766"/>
      <c r="M178" s="1766"/>
      <c r="N178" s="1766"/>
      <c r="O178" s="1766"/>
      <c r="P178" s="1768"/>
      <c r="Q178" s="1766"/>
      <c r="R178" s="1766"/>
      <c r="S178" s="1766"/>
      <c r="T178" s="1767"/>
      <c r="U178" s="1766"/>
      <c r="V178" s="1769"/>
      <c r="W178" s="137"/>
      <c r="X178" s="1339"/>
      <c r="Y178" s="1416"/>
      <c r="AA178" s="1396"/>
      <c r="AF178" s="1340"/>
      <c r="AG178" s="1340"/>
      <c r="AH178" s="1340"/>
      <c r="AI178" s="1340"/>
      <c r="AJ178" s="1343"/>
      <c r="AK178" s="1345"/>
    </row>
    <row r="179" spans="1:45" ht="11.25" customHeight="1" x14ac:dyDescent="0.2">
      <c r="A179" s="112"/>
      <c r="B179" s="113"/>
      <c r="C179" s="113"/>
      <c r="D179" s="113"/>
      <c r="E179" s="113"/>
      <c r="F179" s="113"/>
      <c r="G179" s="113"/>
      <c r="H179" s="113"/>
      <c r="I179" s="113"/>
      <c r="J179" s="114"/>
      <c r="K179" s="113"/>
      <c r="L179" s="113"/>
      <c r="M179" s="113"/>
      <c r="N179" s="113"/>
      <c r="O179" s="113"/>
      <c r="P179" s="113"/>
      <c r="Q179" s="113"/>
      <c r="R179" s="113"/>
      <c r="S179" s="113"/>
      <c r="T179" s="113"/>
      <c r="U179" s="113"/>
      <c r="V179" s="115"/>
      <c r="W179" s="137"/>
      <c r="X179" s="1339"/>
      <c r="Y179" s="1416"/>
      <c r="AA179" s="1396"/>
      <c r="AF179" s="1340"/>
      <c r="AG179" s="1340"/>
      <c r="AH179" s="1340"/>
      <c r="AI179" s="1340"/>
      <c r="AJ179" s="1343"/>
      <c r="AK179" s="1344"/>
    </row>
    <row r="180" spans="1:45" s="76" customFormat="1" ht="15" customHeight="1" x14ac:dyDescent="0.2">
      <c r="A180" s="119"/>
      <c r="B180" s="1770" t="s">
        <v>1296</v>
      </c>
      <c r="C180" s="1770"/>
      <c r="D180" s="1770"/>
      <c r="E180" s="1770"/>
      <c r="F180" s="1770"/>
      <c r="G180" s="1770"/>
      <c r="H180" s="1770"/>
      <c r="I180" s="1770"/>
      <c r="J180" s="70"/>
      <c r="K180" s="70"/>
      <c r="L180" s="70"/>
      <c r="M180" s="70"/>
      <c r="N180" s="825"/>
      <c r="O180" s="70"/>
      <c r="P180" s="70"/>
      <c r="Q180" s="70"/>
      <c r="R180" s="70"/>
      <c r="S180" s="70"/>
      <c r="T180" s="70"/>
      <c r="U180" s="70"/>
      <c r="V180" s="120"/>
      <c r="W180" s="138"/>
      <c r="X180" s="1347"/>
      <c r="Y180" s="951" t="s">
        <v>1294</v>
      </c>
      <c r="Z180" s="382"/>
      <c r="AA180" s="383"/>
      <c r="AB180" s="383"/>
      <c r="AC180" s="383"/>
      <c r="AD180" s="383"/>
      <c r="AE180" s="1418" t="s">
        <v>759</v>
      </c>
      <c r="AF180" s="1340"/>
      <c r="AG180" s="1340"/>
      <c r="AH180" s="1340"/>
      <c r="AI180" s="1340"/>
      <c r="AJ180" s="1363"/>
      <c r="AK180" s="1346"/>
    </row>
    <row r="181" spans="1:45" ht="15" customHeight="1" x14ac:dyDescent="0.2">
      <c r="A181" s="118"/>
      <c r="B181" s="1770"/>
      <c r="C181" s="1770"/>
      <c r="D181" s="1770"/>
      <c r="E181" s="1770"/>
      <c r="F181" s="1770"/>
      <c r="G181" s="1770"/>
      <c r="H181" s="1770"/>
      <c r="I181" s="1770"/>
      <c r="J181" s="70"/>
      <c r="K181" s="70"/>
      <c r="L181" s="70"/>
      <c r="M181" s="70"/>
      <c r="N181" s="825"/>
      <c r="O181" s="70"/>
      <c r="P181" s="70"/>
      <c r="Q181" s="70"/>
      <c r="R181" s="10"/>
      <c r="S181" s="70"/>
      <c r="T181" s="70"/>
      <c r="U181" s="70"/>
      <c r="V181" s="117"/>
      <c r="W181" s="137"/>
      <c r="X181" s="1339"/>
      <c r="Y181" s="383"/>
      <c r="Z181" s="382"/>
      <c r="AA181" s="383"/>
      <c r="AB181" s="383"/>
      <c r="AC181" s="383"/>
      <c r="AD181" s="383"/>
      <c r="AE181" s="1419" t="s">
        <v>1236</v>
      </c>
      <c r="AF181" s="1340"/>
      <c r="AG181" s="1340"/>
      <c r="AH181" s="1340"/>
      <c r="AI181" s="1340"/>
      <c r="AJ181" s="1363"/>
      <c r="AK181" s="1344"/>
    </row>
    <row r="182" spans="1:45" s="87" customFormat="1" ht="13.5" customHeight="1" x14ac:dyDescent="0.2">
      <c r="A182" s="121"/>
      <c r="B182" s="1771" t="s">
        <v>205</v>
      </c>
      <c r="C182" s="921"/>
      <c r="D182" s="789" t="str">
        <f>Sheet1!$D$27</f>
        <v>2015-16</v>
      </c>
      <c r="E182" s="790" t="str">
        <f>Sheet1!$E$27</f>
        <v>2016-17</v>
      </c>
      <c r="F182" s="790" t="str">
        <f>Sheet1!$F$27</f>
        <v>2017-18</v>
      </c>
      <c r="G182" s="790" t="str">
        <f>Sheet1!$G$27</f>
        <v>2018-19</v>
      </c>
      <c r="H182" s="791" t="str">
        <f>Sheet1!$H$27</f>
        <v>2019-20</v>
      </c>
      <c r="I182" s="96"/>
      <c r="J182" s="96"/>
      <c r="K182" s="61"/>
      <c r="L182" s="61"/>
      <c r="M182" s="61"/>
      <c r="N182" s="61"/>
      <c r="O182" s="61"/>
      <c r="P182" s="61"/>
      <c r="Q182" s="828"/>
      <c r="R182" s="828"/>
      <c r="S182" s="159"/>
      <c r="T182" s="159"/>
      <c r="U182" s="829"/>
      <c r="V182" s="122"/>
      <c r="W182" s="139"/>
      <c r="X182" s="1350"/>
      <c r="Y182" s="372"/>
      <c r="Z182" s="1384" t="str">
        <f>IF(Sheet1!$C$3="Annual","",Sheet1!AD227)</f>
        <v/>
      </c>
      <c r="AA182" s="1384" t="str">
        <f>IF(Sheet1!$C$3="Annual","",Sheet1!AE227)</f>
        <v/>
      </c>
      <c r="AB182" s="1384" t="str">
        <f>IF(Sheet1!$C$3="Annual","",Sheet1!AF227)</f>
        <v/>
      </c>
      <c r="AC182" s="1384" t="str">
        <f>IF(Sheet1!$C$3="Annual","",Sheet1!AG227)</f>
        <v/>
      </c>
      <c r="AD182" s="1384" t="str">
        <f>IF(Sheet1!$C$3="Annual","",Sheet1!AH227)</f>
        <v/>
      </c>
      <c r="AE182" s="580" t="str">
        <f>IF(Sheet1!$C$3="Annual","",Sheet1!$D$28)</f>
        <v/>
      </c>
      <c r="AF182" s="1353" t="str">
        <f>IF(Sheet1!$C$3="Annual","",Sheet1!$E$28)</f>
        <v/>
      </c>
      <c r="AG182" s="1353" t="str">
        <f>IF(Sheet1!$C$3="Annual","",Sheet1!$F$28)</f>
        <v/>
      </c>
      <c r="AH182" s="1353" t="str">
        <f>IF(Sheet1!$C$3="Annual","",Sheet1!$G$28)</f>
        <v/>
      </c>
      <c r="AI182" s="1353" t="str">
        <f>IF(Sheet1!$C$3="Annual","",Sheet1!$H$28)</f>
        <v/>
      </c>
      <c r="AJ182" s="1363"/>
      <c r="AK182" s="1346"/>
    </row>
    <row r="183" spans="1:45" s="87" customFormat="1" ht="13.5" customHeight="1" x14ac:dyDescent="0.2">
      <c r="A183" s="292"/>
      <c r="B183" s="1772"/>
      <c r="C183" s="85"/>
      <c r="D183" s="792" t="e">
        <f>Sheet1!$D$28</f>
        <v>#N/A</v>
      </c>
      <c r="E183" s="792" t="e">
        <f>Sheet1!$E$28</f>
        <v>#N/A</v>
      </c>
      <c r="F183" s="792" t="e">
        <f>Sheet1!$F$28</f>
        <v>#N/A</v>
      </c>
      <c r="G183" s="792" t="e">
        <f>Sheet1!$G$28</f>
        <v>#N/A</v>
      </c>
      <c r="H183" s="793" t="e">
        <f>Sheet1!$H$28</f>
        <v>#N/A</v>
      </c>
      <c r="I183" s="96"/>
      <c r="J183" s="96"/>
      <c r="K183" s="61"/>
      <c r="L183" s="61"/>
      <c r="M183" s="61"/>
      <c r="N183" s="61"/>
      <c r="O183" s="61"/>
      <c r="P183" s="61"/>
      <c r="Q183" s="923"/>
      <c r="R183" s="923"/>
      <c r="S183" s="159"/>
      <c r="T183" s="159"/>
      <c r="U183" s="924"/>
      <c r="V183" s="122"/>
      <c r="W183" s="139"/>
      <c r="X183" s="1350"/>
      <c r="Y183" s="372"/>
      <c r="Z183" s="1547" t="str">
        <f>Sheet1!$D$27</f>
        <v>2015-16</v>
      </c>
      <c r="AA183" s="1547" t="str">
        <f>Sheet1!$E$27</f>
        <v>2016-17</v>
      </c>
      <c r="AB183" s="1547" t="str">
        <f>Sheet1!$F$27</f>
        <v>2017-18</v>
      </c>
      <c r="AC183" s="1547" t="str">
        <f>Sheet1!$G$27</f>
        <v>2018-19</v>
      </c>
      <c r="AD183" s="1547" t="str">
        <f>Sheet1!$H$27</f>
        <v>2019-20</v>
      </c>
      <c r="AE183" s="580" t="str">
        <f>Sheet1!$D$27</f>
        <v>2015-16</v>
      </c>
      <c r="AF183" s="1353" t="str">
        <f>Sheet1!$E$27</f>
        <v>2016-17</v>
      </c>
      <c r="AG183" s="1353" t="str">
        <f>Sheet1!$F$27</f>
        <v>2017-18</v>
      </c>
      <c r="AH183" s="1353" t="str">
        <f>Sheet1!$G$27</f>
        <v>2018-19</v>
      </c>
      <c r="AI183" s="1353" t="str">
        <f>Sheet1!$H$27</f>
        <v>2019-20</v>
      </c>
      <c r="AJ183" s="1363"/>
      <c r="AK183" s="1346"/>
    </row>
    <row r="184" spans="1:45" s="87" customFormat="1" ht="12.75" customHeight="1" x14ac:dyDescent="0.2">
      <c r="A184" s="488">
        <f>VLOOKUP(B184,Sheet1!$AQ$4:$AR$25,2,FALSE)</f>
        <v>0</v>
      </c>
      <c r="B184" s="93" t="str">
        <f>B117</f>
        <v>Bracknell Forest</v>
      </c>
      <c r="C184" s="85"/>
      <c r="D184" s="162" t="e">
        <f t="shared" ref="D184:D205" si="60">IF(AND(ISNUMBER(Z184),ISNUMBER(AE184)),Z184/AE184,NA())</f>
        <v>#N/A</v>
      </c>
      <c r="E184" s="162" t="e">
        <f t="shared" ref="E184:E205" si="61">IF(AND(ISNUMBER(AA184),ISNUMBER(AF184)),AA184/AF184,NA())</f>
        <v>#N/A</v>
      </c>
      <c r="F184" s="162" t="e">
        <f t="shared" ref="F184:F205" si="62">IF(AND(ISNUMBER(AB184),ISNUMBER(AG184)),AB184/AG184,NA())</f>
        <v>#N/A</v>
      </c>
      <c r="G184" s="162" t="e">
        <f t="shared" ref="G184:G205" si="63">IF(AND(ISNUMBER(AC184),ISNUMBER(AH184)),AC184/AH184,NA())</f>
        <v>#N/A</v>
      </c>
      <c r="H184" s="164">
        <f>IF(AND(ISNUMBER(AD184),ISNUMBER(AI184)),AD184/AI184,NA())</f>
        <v>0</v>
      </c>
      <c r="I184" s="96"/>
      <c r="J184" s="96"/>
      <c r="K184" s="166"/>
      <c r="L184" s="166"/>
      <c r="M184" s="166"/>
      <c r="N184" s="166"/>
      <c r="O184" s="166"/>
      <c r="P184" s="166"/>
      <c r="Q184" s="166"/>
      <c r="R184" s="167"/>
      <c r="S184" s="159"/>
      <c r="T184" s="159"/>
      <c r="U184" s="166"/>
      <c r="V184" s="122"/>
      <c r="W184" s="139"/>
      <c r="X184" s="1350"/>
      <c r="Y184" s="372" t="str">
        <f>B184</f>
        <v>Bracknell Forest</v>
      </c>
      <c r="Z184" s="372" t="str">
        <f>IF(Year1_Bracknell_Forest Year1_ROSGO_ceased_LAC_CAO="","",Year1_Bracknell_Forest Year1_ROSGO_ceased_LAC_CAO)</f>
        <v>x</v>
      </c>
      <c r="AA184" s="372" t="str">
        <f>IF(Year2_Bracknell_Forest Year2_ROSGO_ceased_LAC_CAO="","",Year2_Bracknell_Forest Year2_ROSGO_ceased_LAC_CAO)</f>
        <v>x</v>
      </c>
      <c r="AB184" s="372" t="str">
        <f>IF(Year3_Bracknell_Forest Year3_ROSGO_ceased_LAC_CAO="","",Year3_Bracknell_Forest Year3_ROSGO_ceased_LAC_CAO)</f>
        <v>x</v>
      </c>
      <c r="AC184" s="372" t="str">
        <f>IF(Year4_Bracknell_Forest Year4_ROSGO_ceased_LAC_CAO="","",Year4_Bracknell_Forest Year4_ROSGO_ceased_LAC_CAO)</f>
        <v>x</v>
      </c>
      <c r="AD184" s="372">
        <f>IF(Year5_Bracknell_Forest Year5_ROSGO_ceased_LAC_CAO="","",Year5_Bracknell_Forest Year5_ROSGO_ceased_LAC_CAO)</f>
        <v>0</v>
      </c>
      <c r="AE184" s="94">
        <f>IF(Year1_Bracknell_Forest Year1_Adoption_ceased_LAC="","",Year1_Bracknell_Forest Year1_Adoption_ceased_LAC)</f>
        <v>68</v>
      </c>
      <c r="AF184" s="94">
        <f>IF(Year2_Bracknell_Forest Year2_Adoption_ceased_LAC="","",Year2_Bracknell_Forest Year2_Adoption_ceased_LAC)</f>
        <v>49</v>
      </c>
      <c r="AG184" s="94">
        <f>IF(Year3_Bracknell_Forest Year3_Adoption_ceased_LAC="","",Year3_Bracknell_Forest Year3_Adoption_ceased_LAC)</f>
        <v>67</v>
      </c>
      <c r="AH184" s="94">
        <f>IF(Year4_Bracknell_Forest Year4_Adoption_ceased_LAC="","",Year4_Bracknell_Forest Year4_Adoption_ceased_LAC)</f>
        <v>65</v>
      </c>
      <c r="AI184" s="95">
        <f>IF(Year5_Bracknell_Forest Year5_Adoption_ceased_LAC="","",Year5_Bracknell_Forest Year5_Adoption_ceased_LAC)</f>
        <v>62</v>
      </c>
      <c r="AJ184" s="1363"/>
      <c r="AK184" s="1344"/>
    </row>
    <row r="185" spans="1:45" s="87" customFormat="1" ht="12.75" customHeight="1" x14ac:dyDescent="0.2">
      <c r="A185" s="488">
        <f>VLOOKUP(B185,Sheet1!$AQ$4:$AR$25,2,FALSE)</f>
        <v>0</v>
      </c>
      <c r="B185" s="93" t="str">
        <f t="shared" ref="B185:B207" si="64">B118</f>
        <v>Brighton &amp; Hove</v>
      </c>
      <c r="C185" s="85"/>
      <c r="D185" s="162" t="e">
        <f t="shared" si="60"/>
        <v>#N/A</v>
      </c>
      <c r="E185" s="162" t="e">
        <f t="shared" si="61"/>
        <v>#N/A</v>
      </c>
      <c r="F185" s="162">
        <f t="shared" si="62"/>
        <v>3.9772727272727272E-2</v>
      </c>
      <c r="G185" s="162" t="e">
        <f t="shared" si="63"/>
        <v>#N/A</v>
      </c>
      <c r="H185" s="164">
        <f t="shared" ref="H185:H205" si="65">IF(AND(ISNUMBER(AD185),ISNUMBER(AI185)),AD185/AI185,NA())</f>
        <v>3.3707865168539325E-2</v>
      </c>
      <c r="I185" s="96"/>
      <c r="J185" s="96"/>
      <c r="K185" s="166"/>
      <c r="L185" s="166"/>
      <c r="M185" s="166"/>
      <c r="N185" s="166"/>
      <c r="O185" s="166"/>
      <c r="P185" s="166"/>
      <c r="Q185" s="166"/>
      <c r="R185" s="167"/>
      <c r="S185" s="159"/>
      <c r="T185" s="159"/>
      <c r="U185" s="166"/>
      <c r="V185" s="122"/>
      <c r="W185" s="139"/>
      <c r="X185" s="1350"/>
      <c r="Y185" s="372" t="str">
        <f t="shared" ref="Y185:Y207" si="66">B185</f>
        <v>Brighton &amp; Hove</v>
      </c>
      <c r="Z185" s="372" t="str">
        <f>IF(Year1_Brighton_Hove Year1_ROSGO_ceased_LAC_CAO="","",Year1_Brighton_Hove Year1_ROSGO_ceased_LAC_CAO)</f>
        <v>x</v>
      </c>
      <c r="AA185" s="372" t="str">
        <f>IF(Year2_Brighton_Hove Year2_ROSGO_ceased_LAC_CAO="","",Year2_Brighton_Hove Year2_ROSGO_ceased_LAC_CAO)</f>
        <v>x</v>
      </c>
      <c r="AB185" s="372">
        <f>IF(Year3_Brighton_Hove Year3_ROSGO_ceased_LAC_CAO="","",Year3_Brighton_Hove Year3_ROSGO_ceased_LAC_CAO)</f>
        <v>7</v>
      </c>
      <c r="AC185" s="372" t="str">
        <f>IF(Year4_Brighton_Hove Year4_ROSGO_ceased_LAC_CAO="","",Year4_Brighton_Hove Year4_ROSGO_ceased_LAC_CAO)</f>
        <v>x</v>
      </c>
      <c r="AD185" s="372">
        <f>IF(Year5_Brighton_Hove Year5_ROSGO_ceased_LAC_CAO="","",Year5_Brighton_Hove Year5_ROSGO_ceased_LAC_CAO)</f>
        <v>6</v>
      </c>
      <c r="AE185" s="94">
        <f>IF(Year1_Brighton_Hove Year1_Adoption_ceased_LAC="","",Year1_Brighton_Hove Year1_Adoption_ceased_LAC)</f>
        <v>245</v>
      </c>
      <c r="AF185" s="94">
        <f>IF(Year2_Brighton_Hove Year2_Adoption_ceased_LAC="","",Year2_Brighton_Hove Year2_Adoption_ceased_LAC)</f>
        <v>179</v>
      </c>
      <c r="AG185" s="94">
        <f>IF(Year3_Brighton_Hove Year3_Adoption_ceased_LAC="","",Year3_Brighton_Hove Year3_Adoption_ceased_LAC)</f>
        <v>176</v>
      </c>
      <c r="AH185" s="94">
        <f>IF(Year4_Brighton_Hove Year4_Adoption_ceased_LAC="","",Year4_Brighton_Hove Year4_Adoption_ceased_LAC)</f>
        <v>187</v>
      </c>
      <c r="AI185" s="95">
        <f>IF(Year5_Brighton_Hove Year5_Adoption_ceased_LAC="","",Year5_Brighton_Hove Year5_Adoption_ceased_LAC)</f>
        <v>178</v>
      </c>
      <c r="AJ185" s="1363"/>
      <c r="AK185" s="1346"/>
    </row>
    <row r="186" spans="1:45" s="87" customFormat="1" ht="12.75" customHeight="1" x14ac:dyDescent="0.2">
      <c r="A186" s="488">
        <f>VLOOKUP(B186,Sheet1!$AQ$4:$AR$25,2,FALSE)</f>
        <v>0</v>
      </c>
      <c r="B186" s="93" t="str">
        <f t="shared" si="64"/>
        <v>Buckinghamshire</v>
      </c>
      <c r="C186" s="85"/>
      <c r="D186" s="162">
        <f t="shared" si="60"/>
        <v>2.2026431718061675E-2</v>
      </c>
      <c r="E186" s="162">
        <f t="shared" si="61"/>
        <v>3.7209302325581395E-2</v>
      </c>
      <c r="F186" s="162" t="e">
        <f t="shared" si="62"/>
        <v>#N/A</v>
      </c>
      <c r="G186" s="162" t="e">
        <f t="shared" si="63"/>
        <v>#N/A</v>
      </c>
      <c r="H186" s="164">
        <f t="shared" si="65"/>
        <v>2.9787234042553193E-2</v>
      </c>
      <c r="I186" s="96"/>
      <c r="J186" s="96"/>
      <c r="K186" s="166"/>
      <c r="L186" s="166"/>
      <c r="M186" s="166"/>
      <c r="N186" s="166"/>
      <c r="O186" s="166"/>
      <c r="P186" s="166"/>
      <c r="Q186" s="166"/>
      <c r="R186" s="167"/>
      <c r="S186" s="159"/>
      <c r="T186" s="159"/>
      <c r="U186" s="166"/>
      <c r="V186" s="122"/>
      <c r="W186" s="139"/>
      <c r="X186" s="1350"/>
      <c r="Y186" s="372" t="str">
        <f t="shared" si="66"/>
        <v>Buckinghamshire</v>
      </c>
      <c r="Z186" s="372">
        <f>IF(Year1_Buckinghamshire Year1_ROSGO_ceased_LAC_CAO="","",Year1_Buckinghamshire Year1_ROSGO_ceased_LAC_CAO)</f>
        <v>5</v>
      </c>
      <c r="AA186" s="372">
        <f>IF(Year2_Buckinghamshire Year2_ROSGO_ceased_LAC_CAO="","",Year2_Buckinghamshire Year2_ROSGO_ceased_LAC_CAO)</f>
        <v>8</v>
      </c>
      <c r="AB186" s="372" t="str">
        <f>IF(Year3_Buckinghamshire Year3_ROSGO_ceased_LAC_CAO="","",Year3_Buckinghamshire Year3_ROSGO_ceased_LAC_CAO)</f>
        <v>x</v>
      </c>
      <c r="AC186" s="372" t="str">
        <f>IF(Year4_Buckinghamshire Year4_ROSGO_ceased_LAC_CAO="","",Year4_Buckinghamshire Year4_ROSGO_ceased_LAC_CAO)</f>
        <v>x</v>
      </c>
      <c r="AD186" s="372">
        <f>IF(Year5_Buckinghamshire Year5_ROSGO_ceased_LAC_CAO="","",Year5_Buckinghamshire Year5_ROSGO_ceased_LAC_CAO)</f>
        <v>7</v>
      </c>
      <c r="AE186" s="94">
        <f>IF(Year1_Buckinghamshire Year1_Adoption_ceased_LAC="","",Year1_Buckinghamshire Year1_Adoption_ceased_LAC)</f>
        <v>227</v>
      </c>
      <c r="AF186" s="94">
        <f>IF(Year2_Buckinghamshire Year2_Adoption_ceased_LAC="","",Year2_Buckinghamshire Year2_Adoption_ceased_LAC)</f>
        <v>215</v>
      </c>
      <c r="AG186" s="94">
        <f>IF(Year3_Buckinghamshire Year3_Adoption_ceased_LAC="","",Year3_Buckinghamshire Year3_Adoption_ceased_LAC)</f>
        <v>180</v>
      </c>
      <c r="AH186" s="94">
        <f>IF(Year4_Buckinghamshire Year4_Adoption_ceased_LAC="","",Year4_Buckinghamshire Year4_Adoption_ceased_LAC)</f>
        <v>170</v>
      </c>
      <c r="AI186" s="95">
        <f>IF(Year5_Buckinghamshire Year5_Adoption_ceased_LAC="","",Year5_Buckinghamshire Year5_Adoption_ceased_LAC)</f>
        <v>235</v>
      </c>
      <c r="AJ186" s="1363"/>
      <c r="AK186" s="1344"/>
    </row>
    <row r="187" spans="1:45" s="87" customFormat="1" ht="12.75" customHeight="1" x14ac:dyDescent="0.2">
      <c r="A187" s="488">
        <f>VLOOKUP(B187,Sheet1!$AQ$4:$AR$25,2,FALSE)</f>
        <v>0</v>
      </c>
      <c r="B187" s="93" t="str">
        <f t="shared" si="64"/>
        <v>East Sussex</v>
      </c>
      <c r="C187" s="85"/>
      <c r="D187" s="162" t="e">
        <f t="shared" si="60"/>
        <v>#N/A</v>
      </c>
      <c r="E187" s="162" t="e">
        <f t="shared" si="61"/>
        <v>#N/A</v>
      </c>
      <c r="F187" s="162" t="e">
        <f t="shared" si="62"/>
        <v>#N/A</v>
      </c>
      <c r="G187" s="162" t="e">
        <f t="shared" si="63"/>
        <v>#N/A</v>
      </c>
      <c r="H187" s="164">
        <f t="shared" si="65"/>
        <v>0</v>
      </c>
      <c r="I187" s="96"/>
      <c r="J187" s="96"/>
      <c r="K187" s="166"/>
      <c r="L187" s="166"/>
      <c r="M187" s="166"/>
      <c r="N187" s="166"/>
      <c r="O187" s="166"/>
      <c r="P187" s="166"/>
      <c r="Q187" s="166"/>
      <c r="R187" s="167"/>
      <c r="S187" s="159"/>
      <c r="T187" s="159"/>
      <c r="U187" s="166"/>
      <c r="V187" s="122"/>
      <c r="W187" s="139"/>
      <c r="X187" s="1350"/>
      <c r="Y187" s="372" t="str">
        <f t="shared" si="66"/>
        <v>East Sussex</v>
      </c>
      <c r="Z187" s="372" t="str">
        <f>IF(Year1_East_Sussex Year1_ROSGO_ceased_LAC_CAO="","",Year1_East_Sussex Year1_ROSGO_ceased_LAC_CAO)</f>
        <v>x</v>
      </c>
      <c r="AA187" s="372" t="str">
        <f>IF(Year2_East_Sussex Year2_ROSGO_ceased_LAC_CAO="","",Year2_East_Sussex Year2_ROSGO_ceased_LAC_CAO)</f>
        <v>x</v>
      </c>
      <c r="AB187" s="372" t="str">
        <f>IF(Year3_East_Sussex Year3_ROSGO_ceased_LAC_CAO="","",Year3_East_Sussex Year3_ROSGO_ceased_LAC_CAO)</f>
        <v>x</v>
      </c>
      <c r="AC187" s="372" t="str">
        <f>IF(Year4_East_Sussex Year4_ROSGO_ceased_LAC_CAO="","",Year4_East_Sussex Year4_ROSGO_ceased_LAC_CAO)</f>
        <v>x</v>
      </c>
      <c r="AD187" s="372">
        <f>IF(Year5_East_Sussex Year5_ROSGO_ceased_LAC_CAO="","",Year5_East_Sussex Year5_ROSGO_ceased_LAC_CAO)</f>
        <v>0</v>
      </c>
      <c r="AE187" s="94">
        <f>IF(Year1_East_Sussex Year1_Adoption_ceased_LAC="","",Year1_East_Sussex Year1_Adoption_ceased_LAC)</f>
        <v>192</v>
      </c>
      <c r="AF187" s="100">
        <f>IF(Year2_East_Sussex Year2_Adoption_ceased_LAC="","",Year2_East_Sussex Year2_Adoption_ceased_LAC)</f>
        <v>185</v>
      </c>
      <c r="AG187" s="94">
        <f>IF(Year3_East_Sussex Year3_Adoption_ceased_LAC="","",Year3_East_Sussex Year3_Adoption_ceased_LAC)</f>
        <v>162</v>
      </c>
      <c r="AH187" s="94">
        <f>IF(Year4_East_Sussex Year4_Adoption_ceased_LAC="","",Year4_East_Sussex Year4_Adoption_ceased_LAC)</f>
        <v>192</v>
      </c>
      <c r="AI187" s="95">
        <f>IF(Year5_East_Sussex Year5_Adoption_ceased_LAC="","",Year5_East_Sussex Year5_Adoption_ceased_LAC)</f>
        <v>176</v>
      </c>
      <c r="AJ187" s="1363"/>
      <c r="AK187" s="1346"/>
    </row>
    <row r="188" spans="1:45" s="87" customFormat="1" ht="12.75" customHeight="1" x14ac:dyDescent="0.2">
      <c r="A188" s="488">
        <f>VLOOKUP(B188,Sheet1!$AQ$4:$AR$25,2,FALSE)</f>
        <v>0</v>
      </c>
      <c r="B188" s="93" t="str">
        <f t="shared" si="64"/>
        <v>Hampshire</v>
      </c>
      <c r="C188" s="85"/>
      <c r="D188" s="162">
        <f t="shared" si="60"/>
        <v>9.1743119266055051E-3</v>
      </c>
      <c r="E188" s="162">
        <f t="shared" si="61"/>
        <v>3.9473684210526314E-2</v>
      </c>
      <c r="F188" s="162">
        <f t="shared" si="62"/>
        <v>4.1152263374485597E-2</v>
      </c>
      <c r="G188" s="162">
        <f t="shared" si="63"/>
        <v>3.0354131534569982E-2</v>
      </c>
      <c r="H188" s="164">
        <f t="shared" si="65"/>
        <v>4.3269230769230768E-2</v>
      </c>
      <c r="I188" s="96"/>
      <c r="J188" s="96"/>
      <c r="K188" s="166"/>
      <c r="L188" s="166"/>
      <c r="M188" s="166"/>
      <c r="N188" s="166"/>
      <c r="O188" s="166"/>
      <c r="P188" s="166"/>
      <c r="Q188" s="166"/>
      <c r="R188" s="167"/>
      <c r="S188" s="159"/>
      <c r="T188" s="159"/>
      <c r="U188" s="166"/>
      <c r="V188" s="122"/>
      <c r="W188" s="139"/>
      <c r="X188" s="1350"/>
      <c r="Y188" s="372" t="str">
        <f t="shared" si="66"/>
        <v>Hampshire</v>
      </c>
      <c r="Z188" s="372">
        <f>IF(Year1_Hampshire Year1_ROSGO_ceased_LAC_CAO="","",Year1_Hampshire Year1_ROSGO_ceased_LAC_CAO)</f>
        <v>5</v>
      </c>
      <c r="AA188" s="372">
        <f>IF(Year2_Hampshire Year2_ROSGO_ceased_LAC_CAO="","",Year2_Hampshire Year2_ROSGO_ceased_LAC_CAO)</f>
        <v>21</v>
      </c>
      <c r="AB188" s="372">
        <f>IF(Year3_Hampshire Year3_ROSGO_ceased_LAC_CAO="","",Year3_Hampshire Year3_ROSGO_ceased_LAC_CAO)</f>
        <v>20</v>
      </c>
      <c r="AC188" s="372">
        <f>IF(Year4_Hampshire Year4_ROSGO_ceased_LAC_CAO="","",Year4_Hampshire Year4_ROSGO_ceased_LAC_CAO)</f>
        <v>18</v>
      </c>
      <c r="AD188" s="372">
        <f>IF(Year5_Hampshire Year5_ROSGO_ceased_LAC_CAO="","",Year5_Hampshire Year5_ROSGO_ceased_LAC_CAO)</f>
        <v>27</v>
      </c>
      <c r="AE188" s="94">
        <f>IF(Year1_Hampshire Year1_Adoption_ceased_LAC="","",Year1_Hampshire Year1_Adoption_ceased_LAC)</f>
        <v>545</v>
      </c>
      <c r="AF188" s="94">
        <f>IF(Year2_Hampshire Year2_Adoption_ceased_LAC="","",Year2_Hampshire Year2_Adoption_ceased_LAC)</f>
        <v>532</v>
      </c>
      <c r="AG188" s="101">
        <f>IF(Year3_Hampshire Year3_Adoption_ceased_LAC="","",Year3_Hampshire Year3_Adoption_ceased_LAC)</f>
        <v>486</v>
      </c>
      <c r="AH188" s="101">
        <f>IF(Year4_Hampshire Year4_Adoption_ceased_LAC="","",Year4_Hampshire Year4_Adoption_ceased_LAC)</f>
        <v>593</v>
      </c>
      <c r="AI188" s="95">
        <f>IF(Year5_Hampshire Year5_Adoption_ceased_LAC="","",Year5_Hampshire Year5_Adoption_ceased_LAC)</f>
        <v>624</v>
      </c>
      <c r="AJ188" s="1363"/>
      <c r="AK188" s="1344"/>
    </row>
    <row r="189" spans="1:45" s="87" customFormat="1" ht="12.75" customHeight="1" x14ac:dyDescent="0.2">
      <c r="A189" s="488">
        <f>VLOOKUP(B189,Sheet1!$AQ$4:$AR$25,2,FALSE)</f>
        <v>0</v>
      </c>
      <c r="B189" s="93" t="str">
        <f t="shared" si="64"/>
        <v>Isle of Wight</v>
      </c>
      <c r="C189" s="85"/>
      <c r="D189" s="162" t="e">
        <f t="shared" si="60"/>
        <v>#N/A</v>
      </c>
      <c r="E189" s="162" t="e">
        <f t="shared" si="61"/>
        <v>#N/A</v>
      </c>
      <c r="F189" s="162" t="e">
        <f t="shared" si="62"/>
        <v>#N/A</v>
      </c>
      <c r="G189" s="162" t="e">
        <f t="shared" si="63"/>
        <v>#N/A</v>
      </c>
      <c r="H189" s="164">
        <f t="shared" si="65"/>
        <v>0</v>
      </c>
      <c r="I189" s="96"/>
      <c r="J189" s="96"/>
      <c r="K189" s="166"/>
      <c r="L189" s="166"/>
      <c r="M189" s="166"/>
      <c r="N189" s="166"/>
      <c r="O189" s="166"/>
      <c r="P189" s="166"/>
      <c r="Q189" s="166"/>
      <c r="R189" s="167"/>
      <c r="S189" s="159"/>
      <c r="T189" s="159"/>
      <c r="U189" s="166"/>
      <c r="V189" s="122"/>
      <c r="W189" s="139"/>
      <c r="X189" s="1350"/>
      <c r="Y189" s="372" t="str">
        <f t="shared" si="66"/>
        <v>Isle of Wight</v>
      </c>
      <c r="Z189" s="372" t="str">
        <f>IF(Year1_Isle_of_Wight Year1_ROSGO_ceased_LAC_CAO="","",Year1_Isle_of_Wight Year1_ROSGO_ceased_LAC_CAO)</f>
        <v>x</v>
      </c>
      <c r="AA189" s="372" t="str">
        <f>IF(Year2_Isle_of_Wight Year2_ROSGO_ceased_LAC_CAO="","",Year2_Isle_of_Wight Year2_ROSGO_ceased_LAC_CAO)</f>
        <v>x</v>
      </c>
      <c r="AB189" s="372" t="str">
        <f>IF(Year3_Isle_of_Wight Year3_ROSGO_ceased_LAC_CAO="","",Year3_Isle_of_Wight Year3_ROSGO_ceased_LAC_CAO)</f>
        <v>x</v>
      </c>
      <c r="AC189" s="372" t="str">
        <f>IF(Year4_Isle_of_Wight Year4_ROSGO_ceased_LAC_CAO="","",Year4_Isle_of_Wight Year4_ROSGO_ceased_LAC_CAO)</f>
        <v>x</v>
      </c>
      <c r="AD189" s="372">
        <f>IF(Year5_Isle_of_Wight Year5_ROSGO_ceased_LAC_CAO="","",Year5_Isle_of_Wight Year5_ROSGO_ceased_LAC_CAO)</f>
        <v>0</v>
      </c>
      <c r="AE189" s="94">
        <f>IF(Year1_Isle_of_Wight Year1_Adoption_ceased_LAC="","",Year1_Isle_of_Wight Year1_Adoption_ceased_LAC)</f>
        <v>73</v>
      </c>
      <c r="AF189" s="94">
        <f>IF(Year2_Isle_of_Wight Year2_Adoption_ceased_LAC="","",Year2_Isle_of_Wight Year2_Adoption_ceased_LAC)</f>
        <v>76</v>
      </c>
      <c r="AG189" s="94">
        <f>IF(Year3_Isle_of_Wight Year3_Adoption_ceased_LAC="","",Year3_Isle_of_Wight Year3_Adoption_ceased_LAC)</f>
        <v>82</v>
      </c>
      <c r="AH189" s="94">
        <f>IF(Year4_Isle_of_Wight Year4_Adoption_ceased_LAC="","",Year4_Isle_of_Wight Year4_Adoption_ceased_LAC)</f>
        <v>61</v>
      </c>
      <c r="AI189" s="95">
        <f>IF(Year5_Isle_of_Wight Year5_Adoption_ceased_LAC="","",Year5_Isle_of_Wight Year5_Adoption_ceased_LAC)</f>
        <v>53</v>
      </c>
      <c r="AJ189" s="1363"/>
      <c r="AK189" s="1346"/>
      <c r="AS189" s="87" t="s">
        <v>102</v>
      </c>
    </row>
    <row r="190" spans="1:45" s="87" customFormat="1" ht="12.75" customHeight="1" x14ac:dyDescent="0.2">
      <c r="A190" s="488">
        <f>VLOOKUP(B190,Sheet1!$AQ$4:$AR$25,2,FALSE)</f>
        <v>0</v>
      </c>
      <c r="B190" s="93" t="str">
        <f t="shared" si="64"/>
        <v>Kent</v>
      </c>
      <c r="C190" s="85"/>
      <c r="D190" s="162">
        <f t="shared" si="60"/>
        <v>9.2678405931417972E-3</v>
      </c>
      <c r="E190" s="162">
        <f t="shared" si="61"/>
        <v>8.3586626139817623E-3</v>
      </c>
      <c r="F190" s="162">
        <f t="shared" si="62"/>
        <v>1.5252621544327931E-2</v>
      </c>
      <c r="G190" s="162">
        <f t="shared" si="63"/>
        <v>1.310615989515072E-2</v>
      </c>
      <c r="H190" s="164">
        <f t="shared" si="65"/>
        <v>2.4390243902439025E-2</v>
      </c>
      <c r="I190" s="96"/>
      <c r="J190" s="96"/>
      <c r="K190" s="166"/>
      <c r="L190" s="166"/>
      <c r="M190" s="166"/>
      <c r="N190" s="166"/>
      <c r="O190" s="166"/>
      <c r="P190" s="166"/>
      <c r="Q190" s="166"/>
      <c r="R190" s="167"/>
      <c r="S190" s="159"/>
      <c r="T190" s="159"/>
      <c r="U190" s="166"/>
      <c r="V190" s="122"/>
      <c r="W190" s="139"/>
      <c r="X190" s="1350"/>
      <c r="Y190" s="372" t="str">
        <f t="shared" si="66"/>
        <v>Kent</v>
      </c>
      <c r="Z190" s="372">
        <f>IF(Year1_Kent Year1_ROSGO_ceased_LAC_CAO="","",Year1_Kent Year1_ROSGO_ceased_LAC_CAO)</f>
        <v>10</v>
      </c>
      <c r="AA190" s="372">
        <f>IF(Year2_Kent Year2_ROSGO_ceased_LAC_CAO="","",Year2_Kent Year2_ROSGO_ceased_LAC_CAO)</f>
        <v>11</v>
      </c>
      <c r="AB190" s="372">
        <f>IF(Year3_Kent Year3_ROSGO_ceased_LAC_CAO="","",Year3_Kent Year3_ROSGO_ceased_LAC_CAO)</f>
        <v>16</v>
      </c>
      <c r="AC190" s="372">
        <f>IF(Year4_Kent Year4_ROSGO_ceased_LAC_CAO="","",Year4_Kent Year4_ROSGO_ceased_LAC_CAO)</f>
        <v>10</v>
      </c>
      <c r="AD190" s="372">
        <f>IF(Year5_Kent Year5_ROSGO_ceased_LAC_CAO="","",Year5_Kent Year5_ROSGO_ceased_LAC_CAO)</f>
        <v>18</v>
      </c>
      <c r="AE190" s="94">
        <f>IF(Year1_Kent Year1_Adoption_ceased_LAC="","",Year1_Kent Year1_Adoption_ceased_LAC)</f>
        <v>1079</v>
      </c>
      <c r="AF190" s="94">
        <f>IF(Year2_Kent Year2_Adoption_ceased_LAC="","",Year2_Kent Year2_Adoption_ceased_LAC)</f>
        <v>1316</v>
      </c>
      <c r="AG190" s="94">
        <f>IF(Year3_Kent Year3_Adoption_ceased_LAC="","",Year3_Kent Year3_Adoption_ceased_LAC)</f>
        <v>1049</v>
      </c>
      <c r="AH190" s="94">
        <f>IF(Year4_Kent Year4_Adoption_ceased_LAC="","",Year4_Kent Year4_Adoption_ceased_LAC)</f>
        <v>763</v>
      </c>
      <c r="AI190" s="95">
        <f>IF(Year5_Kent Year5_Adoption_ceased_LAC="","",Year5_Kent Year5_Adoption_ceased_LAC)</f>
        <v>738</v>
      </c>
      <c r="AJ190" s="1363"/>
      <c r="AK190" s="1344"/>
    </row>
    <row r="191" spans="1:45" s="87" customFormat="1" ht="12.75" customHeight="1" x14ac:dyDescent="0.2">
      <c r="A191" s="488">
        <f>VLOOKUP(B191,Sheet1!$AQ$4:$AR$25,2,FALSE)</f>
        <v>0</v>
      </c>
      <c r="B191" s="93" t="str">
        <f t="shared" si="64"/>
        <v>Medway</v>
      </c>
      <c r="C191" s="85"/>
      <c r="D191" s="162">
        <f t="shared" si="60"/>
        <v>9.5238095238095233E-2</v>
      </c>
      <c r="E191" s="162">
        <f t="shared" si="61"/>
        <v>6.4171122994652413E-2</v>
      </c>
      <c r="F191" s="162" t="e">
        <f t="shared" si="62"/>
        <v>#N/A</v>
      </c>
      <c r="G191" s="162" t="e">
        <f t="shared" si="63"/>
        <v>#N/A</v>
      </c>
      <c r="H191" s="164">
        <f t="shared" si="65"/>
        <v>7.7777777777777779E-2</v>
      </c>
      <c r="I191" s="96"/>
      <c r="J191" s="96"/>
      <c r="K191" s="166"/>
      <c r="L191" s="166"/>
      <c r="M191" s="166"/>
      <c r="N191" s="166"/>
      <c r="O191" s="166"/>
      <c r="P191" s="166"/>
      <c r="Q191" s="166"/>
      <c r="R191" s="167"/>
      <c r="S191" s="159"/>
      <c r="T191" s="159"/>
      <c r="U191" s="166"/>
      <c r="V191" s="122"/>
      <c r="W191" s="139"/>
      <c r="X191" s="1350"/>
      <c r="Y191" s="372" t="str">
        <f t="shared" si="66"/>
        <v>Medway</v>
      </c>
      <c r="Z191" s="372">
        <f>IF(Year1_Medway Year1_ROSGO_ceased_LAC_CAO="","",Year1_Medway Year1_ROSGO_ceased_LAC_CAO)</f>
        <v>20</v>
      </c>
      <c r="AA191" s="372">
        <f>IF(Year2_Medway Year2_ROSGO_ceased_LAC_CAO="","",Year2_Medway Year2_ROSGO_ceased_LAC_CAO)</f>
        <v>12</v>
      </c>
      <c r="AB191" s="372" t="str">
        <f>IF(Year3_Medway Year3_ROSGO_ceased_LAC_CAO="","",Year3_Medway Year3_ROSGO_ceased_LAC_CAO)</f>
        <v>x</v>
      </c>
      <c r="AC191" s="372" t="str">
        <f>IF(Year4_Medway Year4_ROSGO_ceased_LAC_CAO="","",Year4_Medway Year4_ROSGO_ceased_LAC_CAO)</f>
        <v>x</v>
      </c>
      <c r="AD191" s="372">
        <f>IF(Year5_Medway Year5_ROSGO_ceased_LAC_CAO="","",Year5_Medway Year5_ROSGO_ceased_LAC_CAO)</f>
        <v>14</v>
      </c>
      <c r="AE191" s="94">
        <f>IF(Year1_Medway Year1_Adoption_ceased_LAC="","",Year1_Medway Year1_Adoption_ceased_LAC)</f>
        <v>210</v>
      </c>
      <c r="AF191" s="301">
        <f>IF(Year2_Medway Year2_Adoption_ceased_LAC="","",Year2_Medway Year2_Adoption_ceased_LAC)</f>
        <v>187</v>
      </c>
      <c r="AG191" s="301">
        <f>IF(Year3_Medway Year3_Adoption_ceased_LAC="","",Year3_Medway Year3_Adoption_ceased_LAC)</f>
        <v>159</v>
      </c>
      <c r="AH191" s="301">
        <f>IF(Year4_Medway Year4_Adoption_ceased_LAC="","",Year4_Medway Year4_Adoption_ceased_LAC)</f>
        <v>158</v>
      </c>
      <c r="AI191" s="302">
        <f>IF(Year5_Medway Year5_Adoption_ceased_LAC="","",Year5_Medway Year5_Adoption_ceased_LAC)</f>
        <v>180</v>
      </c>
      <c r="AJ191" s="1363"/>
      <c r="AK191" s="1346"/>
    </row>
    <row r="192" spans="1:45" s="87" customFormat="1" ht="12.75" customHeight="1" x14ac:dyDescent="0.2">
      <c r="A192" s="488">
        <f>VLOOKUP(B192,Sheet1!$AQ$4:$AR$25,2,FALSE)</f>
        <v>0</v>
      </c>
      <c r="B192" s="93" t="str">
        <f t="shared" si="64"/>
        <v>Milton Keynes</v>
      </c>
      <c r="C192" s="85"/>
      <c r="D192" s="162">
        <f t="shared" si="60"/>
        <v>2.6881720430107527E-2</v>
      </c>
      <c r="E192" s="162" t="e">
        <f t="shared" si="61"/>
        <v>#N/A</v>
      </c>
      <c r="F192" s="162" t="e">
        <f t="shared" si="62"/>
        <v>#N/A</v>
      </c>
      <c r="G192" s="162" t="e">
        <f t="shared" si="63"/>
        <v>#N/A</v>
      </c>
      <c r="H192" s="164">
        <f t="shared" si="65"/>
        <v>6.0810810810810814E-2</v>
      </c>
      <c r="I192" s="96"/>
      <c r="J192" s="96"/>
      <c r="K192" s="166"/>
      <c r="L192" s="166"/>
      <c r="M192" s="166"/>
      <c r="N192" s="166"/>
      <c r="O192" s="166"/>
      <c r="P192" s="166"/>
      <c r="Q192" s="166"/>
      <c r="R192" s="167"/>
      <c r="S192" s="159"/>
      <c r="T192" s="159"/>
      <c r="U192" s="166"/>
      <c r="V192" s="122"/>
      <c r="W192" s="139"/>
      <c r="X192" s="1350"/>
      <c r="Y192" s="372" t="str">
        <f t="shared" si="66"/>
        <v>Milton Keynes</v>
      </c>
      <c r="Z192" s="372">
        <f>IF(Year1_Milton_Keynes Year1_ROSGO_ceased_LAC_CAO="","",Year1_Milton_Keynes Year1_ROSGO_ceased_LAC_CAO)</f>
        <v>5</v>
      </c>
      <c r="AA192" s="372" t="str">
        <f>IF(Year2_Milton_Keynes Year2_ROSGO_ceased_LAC_CAO="","",Year2_Milton_Keynes Year2_ROSGO_ceased_LAC_CAO)</f>
        <v>x</v>
      </c>
      <c r="AB192" s="372" t="str">
        <f>IF(Year3_Milton_Keynes Year3_ROSGO_ceased_LAC_CAO="","",Year3_Milton_Keynes Year3_ROSGO_ceased_LAC_CAO)</f>
        <v>x</v>
      </c>
      <c r="AC192" s="372" t="str">
        <f>IF(Year4_Milton_Keynes Year4_ROSGO_ceased_LAC_CAO="","",Year4_Milton_Keynes Year4_ROSGO_ceased_LAC_CAO)</f>
        <v>x</v>
      </c>
      <c r="AD192" s="372">
        <f>IF(Year5_Milton_Keynes Year5_ROSGO_ceased_LAC_CAO="","",Year5_Milton_Keynes Year5_ROSGO_ceased_LAC_CAO)</f>
        <v>9</v>
      </c>
      <c r="AE192" s="94">
        <f>IF(Year1_Milton_Keynes Year1_Adoption_ceased_LAC="","",Year1_Milton_Keynes Year1_Adoption_ceased_LAC)</f>
        <v>186</v>
      </c>
      <c r="AF192" s="94">
        <f>IF(Year2_Milton_Keynes Year2_Adoption_ceased_LAC="","",Year2_Milton_Keynes Year2_Adoption_ceased_LAC)</f>
        <v>152</v>
      </c>
      <c r="AG192" s="94">
        <f>IF(Year3_Milton_Keynes Year3_Adoption_ceased_LAC="","",Year3_Milton_Keynes Year3_Adoption_ceased_LAC)</f>
        <v>145</v>
      </c>
      <c r="AH192" s="94">
        <f>IF(Year4_Milton_Keynes Year4_Adoption_ceased_LAC="","",Year4_Milton_Keynes Year4_Adoption_ceased_LAC)</f>
        <v>173</v>
      </c>
      <c r="AI192" s="95">
        <f>IF(Year5_Milton_Keynes Year5_Adoption_ceased_LAC="","",Year5_Milton_Keynes Year5_Adoption_ceased_LAC)</f>
        <v>148</v>
      </c>
      <c r="AJ192" s="1363"/>
      <c r="AK192" s="1344"/>
    </row>
    <row r="193" spans="1:37" s="87" customFormat="1" ht="12.75" customHeight="1" x14ac:dyDescent="0.2">
      <c r="A193" s="488">
        <f>VLOOKUP(B193,Sheet1!$AQ$4:$AR$25,2,FALSE)</f>
        <v>0</v>
      </c>
      <c r="B193" s="93" t="str">
        <f t="shared" si="64"/>
        <v>Oxfordshire</v>
      </c>
      <c r="C193" s="85"/>
      <c r="D193" s="162">
        <f t="shared" si="60"/>
        <v>3.5714285714285712E-2</v>
      </c>
      <c r="E193" s="162">
        <f t="shared" si="61"/>
        <v>6.9930069930069935E-2</v>
      </c>
      <c r="F193" s="162">
        <f t="shared" si="62"/>
        <v>2.6845637583892617E-2</v>
      </c>
      <c r="G193" s="162">
        <f t="shared" si="63"/>
        <v>6.95970695970696E-2</v>
      </c>
      <c r="H193" s="164">
        <f t="shared" si="65"/>
        <v>5.2795031055900624E-2</v>
      </c>
      <c r="I193" s="96"/>
      <c r="J193" s="96"/>
      <c r="K193" s="166"/>
      <c r="L193" s="166"/>
      <c r="M193" s="166"/>
      <c r="N193" s="166"/>
      <c r="O193" s="166"/>
      <c r="P193" s="166"/>
      <c r="Q193" s="166"/>
      <c r="R193" s="167"/>
      <c r="S193" s="159"/>
      <c r="T193" s="159"/>
      <c r="U193" s="166"/>
      <c r="V193" s="122"/>
      <c r="W193" s="139"/>
      <c r="X193" s="1350"/>
      <c r="Y193" s="372" t="str">
        <f t="shared" si="66"/>
        <v>Oxfordshire</v>
      </c>
      <c r="Z193" s="372">
        <f>IF(Year1_Oxfordshire Year1_ROSGO_ceased_LAC_CAO="","",Year1_Oxfordshire Year1_ROSGO_ceased_LAC_CAO)</f>
        <v>10</v>
      </c>
      <c r="AA193" s="372">
        <f>IF(Year2_Oxfordshire Year2_ROSGO_ceased_LAC_CAO="","",Year2_Oxfordshire Year2_ROSGO_ceased_LAC_CAO)</f>
        <v>20</v>
      </c>
      <c r="AB193" s="372">
        <f>IF(Year3_Oxfordshire Year3_ROSGO_ceased_LAC_CAO="","",Year3_Oxfordshire Year3_ROSGO_ceased_LAC_CAO)</f>
        <v>8</v>
      </c>
      <c r="AC193" s="372">
        <f>IF(Year4_Oxfordshire Year4_ROSGO_ceased_LAC_CAO="","",Year4_Oxfordshire Year4_ROSGO_ceased_LAC_CAO)</f>
        <v>19</v>
      </c>
      <c r="AD193" s="372">
        <f>IF(Year5_Oxfordshire Year5_ROSGO_ceased_LAC_CAO="","",Year5_Oxfordshire Year5_ROSGO_ceased_LAC_CAO)</f>
        <v>17</v>
      </c>
      <c r="AE193" s="94">
        <f>IF(Year1_Oxfordshire Year1_Adoption_ceased_LAC="","",Year1_Oxfordshire Year1_Adoption_ceased_LAC)</f>
        <v>280</v>
      </c>
      <c r="AF193" s="94">
        <f>IF(Year2_Oxfordshire Year2_Adoption_ceased_LAC="","",Year2_Oxfordshire Year2_Adoption_ceased_LAC)</f>
        <v>286</v>
      </c>
      <c r="AG193" s="94">
        <f>IF(Year3_Oxfordshire Year3_Adoption_ceased_LAC="","",Year3_Oxfordshire Year3_Adoption_ceased_LAC)</f>
        <v>298</v>
      </c>
      <c r="AH193" s="94">
        <f>IF(Year4_Oxfordshire Year4_Adoption_ceased_LAC="","",Year4_Oxfordshire Year4_Adoption_ceased_LAC)</f>
        <v>273</v>
      </c>
      <c r="AI193" s="95">
        <f>IF(Year5_Oxfordshire Year5_Adoption_ceased_LAC="","",Year5_Oxfordshire Year5_Adoption_ceased_LAC)</f>
        <v>322</v>
      </c>
      <c r="AJ193" s="1363"/>
      <c r="AK193" s="1346"/>
    </row>
    <row r="194" spans="1:37" s="87" customFormat="1" ht="12.75" customHeight="1" x14ac:dyDescent="0.2">
      <c r="A194" s="488">
        <f>VLOOKUP(B194,Sheet1!$AQ$4:$AR$25,2,FALSE)</f>
        <v>0</v>
      </c>
      <c r="B194" s="93" t="str">
        <f t="shared" si="64"/>
        <v>Portsmouth</v>
      </c>
      <c r="C194" s="85"/>
      <c r="D194" s="162">
        <f t="shared" si="60"/>
        <v>0.11904761904761904</v>
      </c>
      <c r="E194" s="162" t="e">
        <f t="shared" si="61"/>
        <v>#N/A</v>
      </c>
      <c r="F194" s="162">
        <f t="shared" si="62"/>
        <v>4.3010752688172046E-2</v>
      </c>
      <c r="G194" s="162">
        <f t="shared" si="63"/>
        <v>6.2111801242236024E-2</v>
      </c>
      <c r="H194" s="164">
        <f t="shared" si="65"/>
        <v>0</v>
      </c>
      <c r="I194" s="96"/>
      <c r="J194" s="96"/>
      <c r="K194" s="166"/>
      <c r="L194" s="166"/>
      <c r="M194" s="166"/>
      <c r="N194" s="166"/>
      <c r="O194" s="166"/>
      <c r="P194" s="166"/>
      <c r="Q194" s="166"/>
      <c r="R194" s="167"/>
      <c r="S194" s="159"/>
      <c r="T194" s="159"/>
      <c r="U194" s="166"/>
      <c r="V194" s="122"/>
      <c r="W194" s="139"/>
      <c r="X194" s="1350"/>
      <c r="Y194" s="372" t="str">
        <f t="shared" si="66"/>
        <v>Portsmouth</v>
      </c>
      <c r="Z194" s="372">
        <f>IF(Year1_Portsmouth Year1_ROSGO_ceased_LAC_CAO="","",Year1_Portsmouth Year1_ROSGO_ceased_LAC_CAO)</f>
        <v>15</v>
      </c>
      <c r="AA194" s="372" t="str">
        <f>IF(Year2_Portsmouth Year2_ROSGO_ceased_LAC_CAO="","",Year2_Portsmouth Year2_ROSGO_ceased_LAC_CAO)</f>
        <v>x</v>
      </c>
      <c r="AB194" s="372">
        <f>IF(Year3_Portsmouth Year3_ROSGO_ceased_LAC_CAO="","",Year3_Portsmouth Year3_ROSGO_ceased_LAC_CAO)</f>
        <v>8</v>
      </c>
      <c r="AC194" s="372">
        <f>IF(Year4_Portsmouth Year4_ROSGO_ceased_LAC_CAO="","",Year4_Portsmouth Year4_ROSGO_ceased_LAC_CAO)</f>
        <v>10</v>
      </c>
      <c r="AD194" s="372">
        <f>IF(Year5_Portsmouth Year5_ROSGO_ceased_LAC_CAO="","",Year5_Portsmouth Year5_ROSGO_ceased_LAC_CAO)</f>
        <v>0</v>
      </c>
      <c r="AE194" s="94">
        <f>IF(Year1_Portsmouth Year1_Adoption_ceased_LAC="","",Year1_Portsmouth Year1_Adoption_ceased_LAC)</f>
        <v>126</v>
      </c>
      <c r="AF194" s="94">
        <f>IF(Year2_Portsmouth Year2_Adoption_ceased_LAC="","",Year2_Portsmouth Year2_Adoption_ceased_LAC)</f>
        <v>123</v>
      </c>
      <c r="AG194" s="94">
        <f>IF(Year3_Portsmouth Year3_Adoption_ceased_LAC="","",Year3_Portsmouth Year3_Adoption_ceased_LAC)</f>
        <v>186</v>
      </c>
      <c r="AH194" s="94">
        <f>IF(Year4_Portsmouth Year4_Adoption_ceased_LAC="","",Year4_Portsmouth Year4_Adoption_ceased_LAC)</f>
        <v>161</v>
      </c>
      <c r="AI194" s="95">
        <f>IF(Year5_Portsmouth Year5_Adoption_ceased_LAC="","",Year5_Portsmouth Year5_Adoption_ceased_LAC)</f>
        <v>204</v>
      </c>
      <c r="AJ194" s="1363"/>
      <c r="AK194" s="1344"/>
    </row>
    <row r="195" spans="1:37" s="87" customFormat="1" ht="12.75" customHeight="1" x14ac:dyDescent="0.2">
      <c r="A195" s="488">
        <f>VLOOKUP(B195,Sheet1!$AQ$4:$AR$25,2,FALSE)</f>
        <v>0</v>
      </c>
      <c r="B195" s="93" t="str">
        <f t="shared" si="64"/>
        <v>Reading</v>
      </c>
      <c r="C195" s="85"/>
      <c r="D195" s="162">
        <f t="shared" si="60"/>
        <v>8.1300813008130079E-2</v>
      </c>
      <c r="E195" s="162">
        <f t="shared" si="61"/>
        <v>0</v>
      </c>
      <c r="F195" s="162" t="e">
        <f t="shared" si="62"/>
        <v>#N/A</v>
      </c>
      <c r="G195" s="162">
        <f t="shared" si="63"/>
        <v>0</v>
      </c>
      <c r="H195" s="164">
        <f t="shared" si="65"/>
        <v>0</v>
      </c>
      <c r="I195" s="96"/>
      <c r="J195" s="96"/>
      <c r="K195" s="166"/>
      <c r="L195" s="166"/>
      <c r="M195" s="166"/>
      <c r="N195" s="166"/>
      <c r="O195" s="166"/>
      <c r="P195" s="166"/>
      <c r="Q195" s="166"/>
      <c r="R195" s="167"/>
      <c r="S195" s="159"/>
      <c r="T195" s="159"/>
      <c r="U195" s="166"/>
      <c r="V195" s="122"/>
      <c r="W195" s="139"/>
      <c r="X195" s="1350"/>
      <c r="Y195" s="372" t="str">
        <f t="shared" si="66"/>
        <v>Reading</v>
      </c>
      <c r="Z195" s="372">
        <f>IF(Year1_Reading Year1_ROSGO_ceased_LAC_CAO="","",Year1_Reading Year1_ROSGO_ceased_LAC_CAO)</f>
        <v>10</v>
      </c>
      <c r="AA195" s="372">
        <f>IF(Year2_Reading Year2_ROSGO_ceased_LAC_CAO="","",Year2_Reading Year2_ROSGO_ceased_LAC_CAO)</f>
        <v>0</v>
      </c>
      <c r="AB195" s="372" t="str">
        <f>IF(Year3_Reading Year3_ROSGO_ceased_LAC_CAO="","",Year3_Reading Year3_ROSGO_ceased_LAC_CAO)</f>
        <v>x</v>
      </c>
      <c r="AC195" s="372">
        <f>IF(Year4_Reading Year4_ROSGO_ceased_LAC_CAO="","",Year4_Reading Year4_ROSGO_ceased_LAC_CAO)</f>
        <v>0</v>
      </c>
      <c r="AD195" s="372">
        <f>IF(Year5_Reading Year5_ROSGO_ceased_LAC_CAO="","",Year5_Reading Year5_ROSGO_ceased_LAC_CAO)</f>
        <v>0</v>
      </c>
      <c r="AE195" s="94">
        <f>IF(Year1_Reading Year1_Adoption_ceased_LAC="","",Year1_Reading Year1_Adoption_ceased_LAC)</f>
        <v>123</v>
      </c>
      <c r="AF195" s="94">
        <f>IF(Year2_Reading Year2_Adoption_ceased_LAC="","",Year2_Reading Year2_Adoption_ceased_LAC)</f>
        <v>100</v>
      </c>
      <c r="AG195" s="94">
        <f>IF(Year3_Reading Year3_Adoption_ceased_LAC="","",Year3_Reading Year3_Adoption_ceased_LAC)</f>
        <v>92</v>
      </c>
      <c r="AH195" s="94">
        <f>IF(Year4_Reading Year4_Adoption_ceased_LAC="","",Year4_Reading Year4_Adoption_ceased_LAC)</f>
        <v>95</v>
      </c>
      <c r="AI195" s="95">
        <f>IF(Year5_Reading Year5_Adoption_ceased_LAC="","",Year5_Reading Year5_Adoption_ceased_LAC)</f>
        <v>109</v>
      </c>
      <c r="AJ195" s="1363"/>
      <c r="AK195" s="1346"/>
    </row>
    <row r="196" spans="1:37" s="87" customFormat="1" ht="12.75" customHeight="1" x14ac:dyDescent="0.2">
      <c r="A196" s="488">
        <f>VLOOKUP(B196,Sheet1!$AQ$4:$AR$25,2,FALSE)</f>
        <v>0</v>
      </c>
      <c r="B196" s="93" t="str">
        <f t="shared" si="64"/>
        <v>Slough</v>
      </c>
      <c r="C196" s="85"/>
      <c r="D196" s="162">
        <f t="shared" si="60"/>
        <v>6.4935064935064929E-2</v>
      </c>
      <c r="E196" s="162">
        <f t="shared" si="61"/>
        <v>8.0357142857142863E-2</v>
      </c>
      <c r="F196" s="162" t="e">
        <f t="shared" si="62"/>
        <v>#N/A</v>
      </c>
      <c r="G196" s="162" t="e">
        <f t="shared" si="63"/>
        <v>#N/A</v>
      </c>
      <c r="H196" s="164">
        <f t="shared" si="65"/>
        <v>0</v>
      </c>
      <c r="I196" s="96"/>
      <c r="J196" s="96"/>
      <c r="K196" s="166"/>
      <c r="L196" s="166"/>
      <c r="M196" s="166"/>
      <c r="N196" s="166"/>
      <c r="O196" s="166"/>
      <c r="P196" s="166"/>
      <c r="Q196" s="166"/>
      <c r="R196" s="167"/>
      <c r="S196" s="159"/>
      <c r="T196" s="159"/>
      <c r="U196" s="166"/>
      <c r="V196" s="122"/>
      <c r="W196" s="139"/>
      <c r="X196" s="1350"/>
      <c r="Y196" s="372" t="str">
        <f t="shared" si="66"/>
        <v>Slough</v>
      </c>
      <c r="Z196" s="372">
        <f>IF(Year1_Slough Year1_ROSGO_ceased_LAC_CAO="","",Year1_Slough Year1_ROSGO_ceased_LAC_CAO)</f>
        <v>10</v>
      </c>
      <c r="AA196" s="372">
        <f>IF(Year2_Slough Year2_ROSGO_ceased_LAC_CAO="","",Year2_Slough Year2_ROSGO_ceased_LAC_CAO)</f>
        <v>9</v>
      </c>
      <c r="AB196" s="372" t="str">
        <f>IF(Year3_Slough Year3_ROSGO_ceased_LAC_CAO="","",Year3_Slough Year3_ROSGO_ceased_LAC_CAO)</f>
        <v>x</v>
      </c>
      <c r="AC196" s="372" t="str">
        <f>IF(Year4_Slough Year4_ROSGO_ceased_LAC_CAO="","",Year4_Slough Year4_ROSGO_ceased_LAC_CAO)</f>
        <v>x</v>
      </c>
      <c r="AD196" s="372">
        <f>IF(Year5_Slough Year5_ROSGO_ceased_LAC_CAO="","",Year5_Slough Year5_ROSGO_ceased_LAC_CAO)</f>
        <v>0</v>
      </c>
      <c r="AE196" s="94">
        <f>IF(Year1_Slough Year1_Adoption_ceased_LAC="","",Year1_Slough Year1_Adoption_ceased_LAC)</f>
        <v>154</v>
      </c>
      <c r="AF196" s="94">
        <f>IF(Year2_Slough Year2_Adoption_ceased_LAC="","",Year2_Slough Year2_Adoption_ceased_LAC)</f>
        <v>112</v>
      </c>
      <c r="AG196" s="94">
        <f>IF(Year3_Slough Year3_Adoption_ceased_LAC="","",Year3_Slough Year3_Adoption_ceased_LAC)</f>
        <v>112</v>
      </c>
      <c r="AH196" s="94">
        <f>IF(Year4_Slough Year4_Adoption_ceased_LAC="","",Year4_Slough Year4_Adoption_ceased_LAC)</f>
        <v>127</v>
      </c>
      <c r="AI196" s="95">
        <f>IF(Year5_Slough Year5_Adoption_ceased_LAC="","",Year5_Slough Year5_Adoption_ceased_LAC)</f>
        <v>125</v>
      </c>
      <c r="AJ196" s="1363"/>
      <c r="AK196" s="1344"/>
    </row>
    <row r="197" spans="1:37" s="87" customFormat="1" ht="12.75" customHeight="1" x14ac:dyDescent="0.2">
      <c r="A197" s="488">
        <f>VLOOKUP(B197,Sheet1!$AQ$4:$AR$25,2,FALSE)</f>
        <v>0</v>
      </c>
      <c r="B197" s="93" t="str">
        <f t="shared" si="64"/>
        <v>Somerset</v>
      </c>
      <c r="C197" s="85"/>
      <c r="D197" s="162" t="e">
        <f t="shared" si="60"/>
        <v>#N/A</v>
      </c>
      <c r="E197" s="162">
        <f t="shared" si="61"/>
        <v>4.5977011494252873E-2</v>
      </c>
      <c r="F197" s="162">
        <f t="shared" si="62"/>
        <v>2.6905829596412557E-2</v>
      </c>
      <c r="G197" s="162" t="e">
        <f t="shared" si="63"/>
        <v>#N/A</v>
      </c>
      <c r="H197" s="164">
        <f t="shared" si="65"/>
        <v>5.5837563451776651E-2</v>
      </c>
      <c r="I197" s="96"/>
      <c r="J197" s="96"/>
      <c r="K197" s="166"/>
      <c r="L197" s="166"/>
      <c r="M197" s="166"/>
      <c r="N197" s="166"/>
      <c r="O197" s="166"/>
      <c r="P197" s="166"/>
      <c r="Q197" s="166"/>
      <c r="R197" s="167"/>
      <c r="S197" s="159"/>
      <c r="T197" s="159"/>
      <c r="U197" s="166"/>
      <c r="V197" s="122"/>
      <c r="W197" s="139"/>
      <c r="X197" s="1350"/>
      <c r="Y197" s="372" t="str">
        <f t="shared" si="66"/>
        <v>Somerset</v>
      </c>
      <c r="Z197" s="372" t="str">
        <f>IF(Year1_Somerset Year1_ROSGO_ceased_LAC_CAO="","",Year1_Somerset Year1_ROSGO_ceased_LAC_CAO)</f>
        <v>x</v>
      </c>
      <c r="AA197" s="372">
        <f>IF(Year2_Somerset Year2_ROSGO_ceased_LAC_CAO="","",Year2_Somerset Year2_ROSGO_ceased_LAC_CAO)</f>
        <v>12</v>
      </c>
      <c r="AB197" s="372">
        <f>IF(Year3_Somerset Year3_ROSGO_ceased_LAC_CAO="","",Year3_Somerset Year3_ROSGO_ceased_LAC_CAO)</f>
        <v>6</v>
      </c>
      <c r="AC197" s="372" t="str">
        <f>IF(Year4_Somerset Year4_ROSGO_ceased_LAC_CAO="","",Year4_Somerset Year4_ROSGO_ceased_LAC_CAO)</f>
        <v>x</v>
      </c>
      <c r="AD197" s="372">
        <f>IF(Year5_Somerset Year5_ROSGO_ceased_LAC_CAO="","",Year5_Somerset Year5_ROSGO_ceased_LAC_CAO)</f>
        <v>11</v>
      </c>
      <c r="AE197" s="94">
        <f>IF(Year1_Somerset Year1_Adoption_ceased_LAC="","",Year1_Somerset Year1_Adoption_ceased_LAC)</f>
        <v>229</v>
      </c>
      <c r="AF197" s="94">
        <f>IF(Year2_Somerset Year2_Adoption_ceased_LAC="","",Year2_Somerset Year2_Adoption_ceased_LAC)</f>
        <v>261</v>
      </c>
      <c r="AG197" s="94">
        <f>IF(Year3_Somerset Year3_Adoption_ceased_LAC="","",Year3_Somerset Year3_Adoption_ceased_LAC)</f>
        <v>223</v>
      </c>
      <c r="AH197" s="94">
        <f>IF(Year4_Somerset Year4_Adoption_ceased_LAC="","",Year4_Somerset Year4_Adoption_ceased_LAC)</f>
        <v>184</v>
      </c>
      <c r="AI197" s="95">
        <f>IF(Year5_Somerset Year5_Adoption_ceased_LAC="","",Year5_Somerset Year5_Adoption_ceased_LAC)</f>
        <v>197</v>
      </c>
      <c r="AJ197" s="1363"/>
      <c r="AK197" s="1346"/>
    </row>
    <row r="198" spans="1:37" s="87" customFormat="1" ht="12.75" customHeight="1" x14ac:dyDescent="0.2">
      <c r="A198" s="488">
        <f>VLOOKUP(B198,Sheet1!$AQ$4:$AR$25,2,FALSE)</f>
        <v>0</v>
      </c>
      <c r="B198" s="93" t="str">
        <f t="shared" si="64"/>
        <v>Southampton</v>
      </c>
      <c r="C198" s="85"/>
      <c r="D198" s="162" t="e">
        <f t="shared" si="60"/>
        <v>#N/A</v>
      </c>
      <c r="E198" s="162" t="e">
        <f t="shared" si="61"/>
        <v>#N/A</v>
      </c>
      <c r="F198" s="162">
        <f t="shared" si="62"/>
        <v>6.5989847715736044E-2</v>
      </c>
      <c r="G198" s="162">
        <f t="shared" si="63"/>
        <v>3.7383177570093455E-2</v>
      </c>
      <c r="H198" s="164">
        <f t="shared" si="65"/>
        <v>0.10552763819095477</v>
      </c>
      <c r="I198" s="96"/>
      <c r="J198" s="96"/>
      <c r="K198" s="166"/>
      <c r="L198" s="166"/>
      <c r="M198" s="166"/>
      <c r="N198" s="166"/>
      <c r="O198" s="166"/>
      <c r="P198" s="166"/>
      <c r="Q198" s="166"/>
      <c r="R198" s="167"/>
      <c r="S198" s="159"/>
      <c r="T198" s="159"/>
      <c r="U198" s="166"/>
      <c r="V198" s="122"/>
      <c r="W198" s="139"/>
      <c r="X198" s="1350"/>
      <c r="Y198" s="372" t="str">
        <f t="shared" si="66"/>
        <v>Southampton</v>
      </c>
      <c r="Z198" s="372" t="str">
        <f>IF(Year1_Southampton Year1_ROSGO_ceased_LAC_CAO="","",Year1_Southampton Year1_ROSGO_ceased_LAC_CAO)</f>
        <v>x</v>
      </c>
      <c r="AA198" s="372" t="str">
        <f>IF(Year2_Southampton Year2_ROSGO_ceased_LAC_CAO="","",Year2_Southampton Year2_ROSGO_ceased_LAC_CAO)</f>
        <v>x</v>
      </c>
      <c r="AB198" s="372">
        <f>IF(Year3_Southampton Year3_ROSGO_ceased_LAC_CAO="","",Year3_Southampton Year3_ROSGO_ceased_LAC_CAO)</f>
        <v>13</v>
      </c>
      <c r="AC198" s="372">
        <f>IF(Year4_Southampton Year4_ROSGO_ceased_LAC_CAO="","",Year4_Southampton Year4_ROSGO_ceased_LAC_CAO)</f>
        <v>8</v>
      </c>
      <c r="AD198" s="372">
        <f>IF(Year5_Southampton Year5_ROSGO_ceased_LAC_CAO="","",Year5_Southampton Year5_ROSGO_ceased_LAC_CAO)</f>
        <v>21</v>
      </c>
      <c r="AE198" s="94">
        <f>IF(Year1_Southampton Year1_Adoption_ceased_LAC="","",Year1_Southampton Year1_Adoption_ceased_LAC)</f>
        <v>205</v>
      </c>
      <c r="AF198" s="94">
        <f>IF(Year2_Southampton Year2_Adoption_ceased_LAC="","",Year2_Southampton Year2_Adoption_ceased_LAC)</f>
        <v>221</v>
      </c>
      <c r="AG198" s="94">
        <f>IF(Year3_Southampton Year3_Adoption_ceased_LAC="","",Year3_Southampton Year3_Adoption_ceased_LAC)</f>
        <v>197</v>
      </c>
      <c r="AH198" s="94">
        <f>IF(Year4_Southampton Year4_Adoption_ceased_LAC="","",Year4_Southampton Year4_Adoption_ceased_LAC)</f>
        <v>214</v>
      </c>
      <c r="AI198" s="95">
        <f>IF(Year5_Southampton Year5_Adoption_ceased_LAC="","",Year5_Southampton Year5_Adoption_ceased_LAC)</f>
        <v>199</v>
      </c>
      <c r="AJ198" s="1363"/>
      <c r="AK198" s="1344"/>
    </row>
    <row r="199" spans="1:37" s="87" customFormat="1" ht="12.75" customHeight="1" x14ac:dyDescent="0.2">
      <c r="A199" s="488">
        <f>VLOOKUP(B199,Sheet1!$AQ$4:$AR$25,2,FALSE)</f>
        <v>0</v>
      </c>
      <c r="B199" s="93" t="str">
        <f t="shared" si="64"/>
        <v>Surrey</v>
      </c>
      <c r="C199" s="85"/>
      <c r="D199" s="162">
        <f t="shared" si="60"/>
        <v>3.7037037037037035E-2</v>
      </c>
      <c r="E199" s="162">
        <f t="shared" si="61"/>
        <v>1.6706443914081145E-2</v>
      </c>
      <c r="F199" s="162">
        <f t="shared" si="62"/>
        <v>3.1784841075794622E-2</v>
      </c>
      <c r="G199" s="162">
        <f t="shared" si="63"/>
        <v>2.7918781725888325E-2</v>
      </c>
      <c r="H199" s="164">
        <f t="shared" si="65"/>
        <v>2.7397260273972601E-2</v>
      </c>
      <c r="I199" s="96"/>
      <c r="J199" s="96"/>
      <c r="K199" s="166"/>
      <c r="L199" s="166"/>
      <c r="M199" s="166"/>
      <c r="N199" s="166"/>
      <c r="O199" s="166"/>
      <c r="P199" s="166"/>
      <c r="Q199" s="166"/>
      <c r="R199" s="167"/>
      <c r="S199" s="159"/>
      <c r="T199" s="159"/>
      <c r="U199" s="166"/>
      <c r="V199" s="122"/>
      <c r="W199" s="139"/>
      <c r="X199" s="1350"/>
      <c r="Y199" s="372" t="str">
        <f t="shared" si="66"/>
        <v>Surrey</v>
      </c>
      <c r="Z199" s="372">
        <f>IF(Year1_Surrey Year1_ROSGO_ceased_LAC_CAO="","",Year1_Surrey Year1_ROSGO_ceased_LAC_CAO)</f>
        <v>15</v>
      </c>
      <c r="AA199" s="372">
        <f>IF(Year2_Surrey Year2_ROSGO_ceased_LAC_CAO="","",Year2_Surrey Year2_ROSGO_ceased_LAC_CAO)</f>
        <v>7</v>
      </c>
      <c r="AB199" s="372">
        <f>IF(Year3_Surrey Year3_ROSGO_ceased_LAC_CAO="","",Year3_Surrey Year3_ROSGO_ceased_LAC_CAO)</f>
        <v>13</v>
      </c>
      <c r="AC199" s="372">
        <f>IF(Year4_Surrey Year4_ROSGO_ceased_LAC_CAO="","",Year4_Surrey Year4_ROSGO_ceased_LAC_CAO)</f>
        <v>11</v>
      </c>
      <c r="AD199" s="372">
        <f>IF(Year5_Surrey Year5_ROSGO_ceased_LAC_CAO="","",Year5_Surrey Year5_ROSGO_ceased_LAC_CAO)</f>
        <v>10</v>
      </c>
      <c r="AE199" s="94">
        <f>IF(Year1_Surrey Year1_Adoption_ceased_LAC="","",Year1_Surrey Year1_Adoption_ceased_LAC)</f>
        <v>405</v>
      </c>
      <c r="AF199" s="94">
        <f>IF(Year2_Surrey Year2_Adoption_ceased_LAC="","",Year2_Surrey Year2_Adoption_ceased_LAC)</f>
        <v>419</v>
      </c>
      <c r="AG199" s="94">
        <f>IF(Year3_Surrey Year3_Adoption_ceased_LAC="","",Year3_Surrey Year3_Adoption_ceased_LAC)</f>
        <v>409</v>
      </c>
      <c r="AH199" s="94">
        <f>IF(Year4_Surrey Year4_Adoption_ceased_LAC="","",Year4_Surrey Year4_Adoption_ceased_LAC)</f>
        <v>394</v>
      </c>
      <c r="AI199" s="95">
        <f>IF(Year5_Surrey Year5_Adoption_ceased_LAC="","",Year5_Surrey Year5_Adoption_ceased_LAC)</f>
        <v>365</v>
      </c>
      <c r="AJ199" s="1363"/>
      <c r="AK199" s="1346"/>
    </row>
    <row r="200" spans="1:37" s="87" customFormat="1" ht="12.75" customHeight="1" x14ac:dyDescent="0.2">
      <c r="A200" s="488">
        <f>VLOOKUP(B200,Sheet1!$AQ$4:$AR$25,2,FALSE)</f>
        <v>0</v>
      </c>
      <c r="B200" s="93" t="str">
        <f t="shared" si="64"/>
        <v>Swindon</v>
      </c>
      <c r="C200" s="85"/>
      <c r="D200" s="162" t="e">
        <f t="shared" si="60"/>
        <v>#N/A</v>
      </c>
      <c r="E200" s="162">
        <f t="shared" si="61"/>
        <v>6.6666666666666666E-2</v>
      </c>
      <c r="F200" s="162">
        <f t="shared" si="62"/>
        <v>5.1612903225806452E-2</v>
      </c>
      <c r="G200" s="162" t="e">
        <f t="shared" si="63"/>
        <v>#N/A</v>
      </c>
      <c r="H200" s="164">
        <f t="shared" si="65"/>
        <v>0</v>
      </c>
      <c r="I200" s="96"/>
      <c r="J200" s="96"/>
      <c r="K200" s="166"/>
      <c r="L200" s="166"/>
      <c r="M200" s="166"/>
      <c r="N200" s="166"/>
      <c r="O200" s="166"/>
      <c r="P200" s="166"/>
      <c r="Q200" s="166"/>
      <c r="R200" s="167"/>
      <c r="S200" s="159"/>
      <c r="T200" s="159"/>
      <c r="U200" s="166"/>
      <c r="V200" s="122"/>
      <c r="W200" s="139"/>
      <c r="X200" s="1350"/>
      <c r="Y200" s="372" t="str">
        <f t="shared" si="66"/>
        <v>Swindon</v>
      </c>
      <c r="Z200" s="372" t="str">
        <f>IF(Year1_Swindon Year1_ROSGO_ceased_LAC_CAO="","",Year1_Swindon Year1_ROSGO_ceased_LAC_CAO)</f>
        <v>x</v>
      </c>
      <c r="AA200" s="372">
        <f>IF(Year2_Swindon Year2_ROSGO_ceased_LAC_CAO="","",Year2_Swindon Year2_ROSGO_ceased_LAC_CAO)</f>
        <v>10</v>
      </c>
      <c r="AB200" s="372">
        <f>IF(Year3_Swindon Year3_ROSGO_ceased_LAC_CAO="","",Year3_Swindon Year3_ROSGO_ceased_LAC_CAO)</f>
        <v>8</v>
      </c>
      <c r="AC200" s="605" t="str">
        <f>IF(Year4_Swindon Year4_ROSGO_ceased_LAC_CAO="","",Year4_Swindon Year4_ROSGO_ceased_LAC_CAO)</f>
        <v>x</v>
      </c>
      <c r="AD200" s="605">
        <f>IF(Year5_Swindon Year5_ROSGO_ceased_LAC_CAO="","",Year5_Swindon Year5_ROSGO_ceased_LAC_CAO)</f>
        <v>0</v>
      </c>
      <c r="AE200" s="94">
        <f>IF(Year1_Swindon Year1_Adoption_ceased_LAC="","",Year1_Swindon Year1_Adoption_ceased_LAC)</f>
        <v>139</v>
      </c>
      <c r="AF200" s="94">
        <f>IF(Year2_Swindon Year2_Adoption_ceased_LAC="","",Year2_Swindon Year2_Adoption_ceased_LAC)</f>
        <v>150</v>
      </c>
      <c r="AG200" s="94">
        <f>IF(Year3_Swindon Year3_Adoption_ceased_LAC="","",Year3_Swindon Year3_Adoption_ceased_LAC)</f>
        <v>155</v>
      </c>
      <c r="AH200" s="94">
        <f>IF(Year4_Swindon Year4_Adoption_ceased_LAC="","",Year4_Swindon Year4_Adoption_ceased_LAC)</f>
        <v>149</v>
      </c>
      <c r="AI200" s="95">
        <f>IF(Year5_Swindon Year5_Adoption_ceased_LAC="","",Year5_Swindon Year5_Adoption_ceased_LAC)</f>
        <v>155</v>
      </c>
      <c r="AJ200" s="1363"/>
      <c r="AK200" s="1344"/>
    </row>
    <row r="201" spans="1:37" s="87" customFormat="1" ht="12.75" customHeight="1" x14ac:dyDescent="0.2">
      <c r="A201" s="488">
        <f>VLOOKUP(B201,Sheet1!$AQ$4:$AR$25,2,FALSE)</f>
        <v>0</v>
      </c>
      <c r="B201" s="93" t="str">
        <f t="shared" si="64"/>
        <v>Torbay</v>
      </c>
      <c r="C201" s="85"/>
      <c r="D201" s="162">
        <f t="shared" si="60"/>
        <v>0.04</v>
      </c>
      <c r="E201" s="162">
        <f t="shared" si="61"/>
        <v>0.1111111111111111</v>
      </c>
      <c r="F201" s="162">
        <f t="shared" si="62"/>
        <v>5.8823529411764705E-2</v>
      </c>
      <c r="G201" s="162">
        <f t="shared" si="63"/>
        <v>6.7796610169491525E-2</v>
      </c>
      <c r="H201" s="164">
        <f t="shared" si="65"/>
        <v>0</v>
      </c>
      <c r="I201" s="96"/>
      <c r="J201" s="96"/>
      <c r="K201" s="166"/>
      <c r="L201" s="166"/>
      <c r="M201" s="166"/>
      <c r="N201" s="166"/>
      <c r="O201" s="166"/>
      <c r="P201" s="166"/>
      <c r="Q201" s="166"/>
      <c r="R201" s="167"/>
      <c r="S201" s="159"/>
      <c r="T201" s="159"/>
      <c r="U201" s="166"/>
      <c r="V201" s="122"/>
      <c r="W201" s="139"/>
      <c r="X201" s="1350"/>
      <c r="Y201" s="372" t="str">
        <f t="shared" si="66"/>
        <v>Torbay</v>
      </c>
      <c r="Z201" s="372">
        <f>IF(Year1_Torbay Year1_ROSGO_ceased_LAC_CAO="","",Year1_Torbay Year1_ROSGO_ceased_LAC_CAO)</f>
        <v>5</v>
      </c>
      <c r="AA201" s="372">
        <f>IF(Year2_Torbay Year2_ROSGO_ceased_LAC_CAO="","",Year2_Torbay Year2_ROSGO_ceased_LAC_CAO)</f>
        <v>12</v>
      </c>
      <c r="AB201" s="372">
        <f>IF(Year3_Torbay Year3_ROSGO_ceased_LAC_CAO="","",Year3_Torbay Year3_ROSGO_ceased_LAC_CAO)</f>
        <v>6</v>
      </c>
      <c r="AC201" s="605">
        <f>IF(Year4_Torbay Year4_ROSGO_ceased_LAC_CAO="","",Year4_Torbay Year4_ROSGO_ceased_LAC_CAO)</f>
        <v>8</v>
      </c>
      <c r="AD201" s="605">
        <f>IF(Year5_Torbay Year5_ROSGO_ceased_LAC_CAO="","",Year5_Torbay Year5_ROSGO_ceased_LAC_CAO)</f>
        <v>0</v>
      </c>
      <c r="AE201" s="94">
        <f>IF(Year1_Torbay Year1_Adoption_ceased_LAC="","",Year1_Torbay Year1_Adoption_ceased_LAC)</f>
        <v>125</v>
      </c>
      <c r="AF201" s="94">
        <f>IF(Year2_Torbay Year2_Adoption_ceased_LAC="","",Year2_Torbay Year2_Adoption_ceased_LAC)</f>
        <v>108</v>
      </c>
      <c r="AG201" s="94">
        <f>IF(Year3_Torbay Year3_Adoption_ceased_LAC="","",Year3_Torbay Year3_Adoption_ceased_LAC)</f>
        <v>102</v>
      </c>
      <c r="AH201" s="94">
        <f>IF(Year4_Torbay Year4_Adoption_ceased_LAC="","",Year4_Torbay Year4_Adoption_ceased_LAC)</f>
        <v>118</v>
      </c>
      <c r="AI201" s="95">
        <f>IF(Year5_Torbay Year5_Adoption_ceased_LAC="","",Year5_Torbay Year5_Adoption_ceased_LAC)</f>
        <v>141</v>
      </c>
      <c r="AJ201" s="1363"/>
      <c r="AK201" s="1346"/>
    </row>
    <row r="202" spans="1:37" s="87" customFormat="1" ht="12.75" customHeight="1" x14ac:dyDescent="0.2">
      <c r="A202" s="488">
        <f>VLOOKUP(B202,Sheet1!$AQ$4:$AR$25,2,FALSE)</f>
        <v>0</v>
      </c>
      <c r="B202" s="93" t="str">
        <f t="shared" si="64"/>
        <v>West Berkshire</v>
      </c>
      <c r="C202" s="85"/>
      <c r="D202" s="162">
        <f t="shared" si="60"/>
        <v>0.14492753623188406</v>
      </c>
      <c r="E202" s="162">
        <f t="shared" si="61"/>
        <v>9.45945945945946E-2</v>
      </c>
      <c r="F202" s="162">
        <f t="shared" si="62"/>
        <v>0.10465116279069768</v>
      </c>
      <c r="G202" s="162" t="e">
        <f t="shared" si="63"/>
        <v>#N/A</v>
      </c>
      <c r="H202" s="164">
        <f t="shared" si="65"/>
        <v>0</v>
      </c>
      <c r="I202" s="96"/>
      <c r="J202" s="96"/>
      <c r="K202" s="166"/>
      <c r="L202" s="166"/>
      <c r="M202" s="166"/>
      <c r="N202" s="166"/>
      <c r="O202" s="166"/>
      <c r="P202" s="166"/>
      <c r="Q202" s="166"/>
      <c r="R202" s="167"/>
      <c r="S202" s="159"/>
      <c r="T202" s="159"/>
      <c r="U202" s="166"/>
      <c r="V202" s="122"/>
      <c r="W202" s="139"/>
      <c r="X202" s="1350"/>
      <c r="Y202" s="372" t="str">
        <f t="shared" si="66"/>
        <v>West Berkshire</v>
      </c>
      <c r="Z202" s="372">
        <f>IF(Year1_West_Berkshire Year1_ROSGO_ceased_LAC_CAO="","",Year1_West_Berkshire Year1_ROSGO_ceased_LAC_CAO)</f>
        <v>10</v>
      </c>
      <c r="AA202" s="372">
        <f>IF(Year2_West_Berkshire Year2_ROSGO_ceased_LAC_CAO="","",Year2_West_Berkshire Year2_ROSGO_ceased_LAC_CAO)</f>
        <v>7</v>
      </c>
      <c r="AB202" s="372">
        <f>IF(Year3_West_Berkshire Year3_ROSGO_ceased_LAC_CAO="","",Year3_West_Berkshire Year3_ROSGO_ceased_LAC_CAO)</f>
        <v>9</v>
      </c>
      <c r="AC202" s="372" t="str">
        <f>IF(Year4_West_Berkshire Year4_ROSGO_ceased_LAC_CAO="","",Year4_West_Berkshire Year4_ROSGO_ceased_LAC_CAO)</f>
        <v>x</v>
      </c>
      <c r="AD202" s="372">
        <f>IF(Year5_West_Berkshire Year5_ROSGO_ceased_LAC_CAO="","",Year5_West_Berkshire Year5_ROSGO_ceased_LAC_CAO)</f>
        <v>0</v>
      </c>
      <c r="AE202" s="94">
        <f>IF(Year1_West_Berkshire Year1_Adoption_ceased_LAC="","",Year1_West_Berkshire Year1_Adoption_ceased_LAC)</f>
        <v>69</v>
      </c>
      <c r="AF202" s="100">
        <f>IF(Year2_West_Berkshire Year2_Adoption_ceased_LAC="","",Year2_West_Berkshire Year2_Adoption_ceased_LAC)</f>
        <v>74</v>
      </c>
      <c r="AG202" s="94">
        <f>IF(Year3_West_Berkshire Year3_Adoption_ceased_LAC="","",Year3_West_Berkshire Year3_Adoption_ceased_LAC)</f>
        <v>86</v>
      </c>
      <c r="AH202" s="94">
        <f>IF(Year4_West_Berkshire Year4_Adoption_ceased_LAC="","",Year4_West_Berkshire Year4_Adoption_ceased_LAC)</f>
        <v>53</v>
      </c>
      <c r="AI202" s="95">
        <f>IF(Year5_West_Berkshire Year5_Adoption_ceased_LAC="","",Year5_West_Berkshire Year5_Adoption_ceased_LAC)</f>
        <v>74</v>
      </c>
      <c r="AJ202" s="1363"/>
      <c r="AK202" s="1344"/>
    </row>
    <row r="203" spans="1:37" s="87" customFormat="1" ht="12.75" customHeight="1" x14ac:dyDescent="0.2">
      <c r="A203" s="488">
        <f>VLOOKUP(B203,Sheet1!$AQ$4:$AR$25,2,FALSE)</f>
        <v>0</v>
      </c>
      <c r="B203" s="93" t="str">
        <f t="shared" si="64"/>
        <v>West Sussex</v>
      </c>
      <c r="C203" s="85"/>
      <c r="D203" s="162" t="e">
        <f t="shared" si="60"/>
        <v>#N/A</v>
      </c>
      <c r="E203" s="162">
        <f t="shared" si="61"/>
        <v>0</v>
      </c>
      <c r="F203" s="162">
        <f t="shared" si="62"/>
        <v>0</v>
      </c>
      <c r="G203" s="162" t="e">
        <f t="shared" si="63"/>
        <v>#N/A</v>
      </c>
      <c r="H203" s="164">
        <f t="shared" si="65"/>
        <v>0</v>
      </c>
      <c r="I203" s="96"/>
      <c r="J203" s="96"/>
      <c r="K203" s="166"/>
      <c r="L203" s="166"/>
      <c r="M203" s="166"/>
      <c r="N203" s="166"/>
      <c r="O203" s="166"/>
      <c r="P203" s="166"/>
      <c r="Q203" s="166"/>
      <c r="R203" s="167"/>
      <c r="S203" s="159"/>
      <c r="T203" s="159"/>
      <c r="U203" s="166"/>
      <c r="V203" s="122"/>
      <c r="W203" s="139"/>
      <c r="X203" s="1350"/>
      <c r="Y203" s="372" t="str">
        <f t="shared" si="66"/>
        <v>West Sussex</v>
      </c>
      <c r="Z203" s="372" t="str">
        <f>IF(Year1_West_Sussex Year1_ROSGO_ceased_LAC_CAO="","",Year1_West_Sussex Year1_ROSGO_ceased_LAC_CAO)</f>
        <v>x</v>
      </c>
      <c r="AA203" s="372">
        <f>IF(Year2_West_Sussex Year2_ROSGO_ceased_LAC_CAO="","",Year2_West_Sussex Year2_ROSGO_ceased_LAC_CAO)</f>
        <v>0</v>
      </c>
      <c r="AB203" s="372">
        <f>IF(Year3_West_Sussex Year3_ROSGO_ceased_LAC_CAO="","",Year3_West_Sussex Year3_ROSGO_ceased_LAC_CAO)</f>
        <v>0</v>
      </c>
      <c r="AC203" s="372" t="str">
        <f>IF(Year4_West_Sussex Year4_ROSGO_ceased_LAC_CAO="","",Year4_West_Sussex Year4_ROSGO_ceased_LAC_CAO)</f>
        <v>x</v>
      </c>
      <c r="AD203" s="372">
        <f>IF(Year5_West_Sussex Year5_ROSGO_ceased_LAC_CAO="","",Year5_West_Sussex Year5_ROSGO_ceased_LAC_CAO)</f>
        <v>0</v>
      </c>
      <c r="AE203" s="94">
        <f>IF(Year1_West_Sussex Year1_Adoption_ceased_LAC="","",Year1_West_Sussex Year1_Adoption_ceased_LAC)</f>
        <v>386</v>
      </c>
      <c r="AF203" s="100">
        <f>IF(Year2_West_Sussex Year2_Adoption_ceased_LAC="","",Year2_West_Sussex Year2_Adoption_ceased_LAC)</f>
        <v>357</v>
      </c>
      <c r="AG203" s="94">
        <f>IF(Year3_West_Sussex Year3_Adoption_ceased_LAC="","",Year3_West_Sussex Year3_Adoption_ceased_LAC)</f>
        <v>338</v>
      </c>
      <c r="AH203" s="94">
        <f>IF(Year4_West_Sussex Year4_Adoption_ceased_LAC="","",Year4_West_Sussex Year4_Adoption_ceased_LAC)</f>
        <v>354</v>
      </c>
      <c r="AI203" s="95">
        <f>IF(Year5_West_Sussex Year5_Adoption_ceased_LAC="","",Year5_West_Sussex Year5_Adoption_ceased_LAC)</f>
        <v>355</v>
      </c>
      <c r="AJ203" s="1363"/>
      <c r="AK203" s="1346"/>
    </row>
    <row r="204" spans="1:37" s="87" customFormat="1" ht="12.75" customHeight="1" x14ac:dyDescent="0.2">
      <c r="A204" s="488">
        <f>VLOOKUP(B204,Sheet1!$AQ$4:$AR$25,2,FALSE)</f>
        <v>0</v>
      </c>
      <c r="B204" s="93" t="str">
        <f t="shared" si="64"/>
        <v>Windsor &amp; Maidenhead</v>
      </c>
      <c r="C204" s="85"/>
      <c r="D204" s="162" t="e">
        <f t="shared" si="60"/>
        <v>#N/A</v>
      </c>
      <c r="E204" s="162" t="e">
        <f t="shared" si="61"/>
        <v>#N/A</v>
      </c>
      <c r="F204" s="162" t="e">
        <f t="shared" si="62"/>
        <v>#N/A</v>
      </c>
      <c r="G204" s="162">
        <f t="shared" si="63"/>
        <v>0</v>
      </c>
      <c r="H204" s="164">
        <f t="shared" si="65"/>
        <v>0</v>
      </c>
      <c r="I204" s="96"/>
      <c r="J204" s="96"/>
      <c r="K204" s="166"/>
      <c r="L204" s="166"/>
      <c r="M204" s="166"/>
      <c r="N204" s="166"/>
      <c r="O204" s="166"/>
      <c r="P204" s="166"/>
      <c r="Q204" s="166"/>
      <c r="R204" s="167"/>
      <c r="S204" s="159"/>
      <c r="T204" s="159"/>
      <c r="U204" s="166"/>
      <c r="V204" s="122"/>
      <c r="W204" s="139"/>
      <c r="X204" s="1350"/>
      <c r="Y204" s="372" t="str">
        <f t="shared" si="66"/>
        <v>Windsor &amp; Maidenhead</v>
      </c>
      <c r="Z204" s="372" t="str">
        <f>IF(Year1_Windsor_Maidenhead Year1_ROSGO_ceased_LAC_CAO="","",Year1_Windsor_Maidenhead Year1_ROSGO_ceased_LAC_CAO)</f>
        <v>x</v>
      </c>
      <c r="AA204" s="372" t="str">
        <f>IF(Year2_Windsor_Maidenhead Year2_ROSGO_ceased_LAC_CAO="","",Year2_Windsor_Maidenhead Year2_ROSGO_ceased_LAC_CAO)</f>
        <v>x</v>
      </c>
      <c r="AB204" s="372" t="str">
        <f>IF(Year3_Windsor_Maidenhead Year3_ROSGO_ceased_LAC_CAO="","",Year3_Windsor_Maidenhead Year3_ROSGO_ceased_LAC_CAO)</f>
        <v>x</v>
      </c>
      <c r="AC204" s="372">
        <f>IF(Year4_Windsor_Maidenhead Year4_ROSGO_ceased_LAC_CAO="","",Year4_Windsor_Maidenhead Year4_ROSGO_ceased_LAC_CAO)</f>
        <v>0</v>
      </c>
      <c r="AD204" s="372">
        <f>IF(Year5_Windsor_Maidenhead Year5_ROSGO_ceased_LAC_CAO="","",Year5_Windsor_Maidenhead Year5_ROSGO_ceased_LAC_CAO)</f>
        <v>0</v>
      </c>
      <c r="AE204" s="100">
        <f>IF(Year1_Windsor_Maidenhead Year1_Adoption_ceased_LAC="","",Year1_Windsor_Maidenhead Year1_Adoption_ceased_LAC)</f>
        <v>43</v>
      </c>
      <c r="AF204" s="94">
        <f>IF(Year2_Windsor_Maidenhead Year2_Adoption_ceased_LAC="","",Year2_Windsor_Maidenhead Year2_Adoption_ceased_LAC)</f>
        <v>35</v>
      </c>
      <c r="AG204" s="94">
        <f>IF(Year3_Windsor_Maidenhead Year3_Adoption_ceased_LAC="","",Year3_Windsor_Maidenhead Year3_Adoption_ceased_LAC)</f>
        <v>49</v>
      </c>
      <c r="AH204" s="94">
        <f>IF(Year4_Windsor_Maidenhead Year4_Adoption_ceased_LAC="","",Year4_Windsor_Maidenhead Year4_Adoption_ceased_LAC)</f>
        <v>52</v>
      </c>
      <c r="AI204" s="95">
        <f>IF(Year5_Windsor_Maidenhead Year5_Adoption_ceased_LAC="","",Year5_Windsor_Maidenhead Year5_Adoption_ceased_LAC)</f>
        <v>62</v>
      </c>
      <c r="AJ204" s="1363"/>
      <c r="AK204" s="1344"/>
    </row>
    <row r="205" spans="1:37" s="87" customFormat="1" ht="12.75" customHeight="1" x14ac:dyDescent="0.2">
      <c r="A205" s="488">
        <f>VLOOKUP(B205,Sheet1!$AQ$4:$AR$25,2,FALSE)</f>
        <v>0</v>
      </c>
      <c r="B205" s="93" t="str">
        <f t="shared" si="64"/>
        <v>Wokingham</v>
      </c>
      <c r="C205" s="85"/>
      <c r="D205" s="162">
        <f t="shared" si="60"/>
        <v>0</v>
      </c>
      <c r="E205" s="162" t="e">
        <f t="shared" si="61"/>
        <v>#N/A</v>
      </c>
      <c r="F205" s="162">
        <f t="shared" si="62"/>
        <v>0</v>
      </c>
      <c r="G205" s="162" t="e">
        <f t="shared" si="63"/>
        <v>#N/A</v>
      </c>
      <c r="H205" s="164">
        <f t="shared" si="65"/>
        <v>0.10909090909090909</v>
      </c>
      <c r="I205" s="96"/>
      <c r="J205" s="96"/>
      <c r="K205" s="166"/>
      <c r="L205" s="166"/>
      <c r="M205" s="166"/>
      <c r="N205" s="166"/>
      <c r="O205" s="166"/>
      <c r="P205" s="166"/>
      <c r="Q205" s="166"/>
      <c r="R205" s="167"/>
      <c r="S205" s="159"/>
      <c r="T205" s="159"/>
      <c r="U205" s="166"/>
      <c r="V205" s="122"/>
      <c r="W205" s="139"/>
      <c r="X205" s="1350"/>
      <c r="Y205" s="372" t="str">
        <f t="shared" si="66"/>
        <v>Wokingham</v>
      </c>
      <c r="Z205" s="372">
        <f>IF(Year1_Wokingham Year1_ROSGO_ceased_LAC_CAO="","",Year1_Wokingham Year1_ROSGO_ceased_LAC_CAO)</f>
        <v>0</v>
      </c>
      <c r="AA205" s="372" t="str">
        <f>IF(Year2_Wokingham Year2_ROSGO_ceased_LAC_CAO="","",Year2_Wokingham Year2_ROSGO_ceased_LAC_CAO)</f>
        <v>x</v>
      </c>
      <c r="AB205" s="372">
        <f>IF(Year3_Wokingham Year3_ROSGO_ceased_LAC_CAO="","",Year3_Wokingham Year3_ROSGO_ceased_LAC_CAO)</f>
        <v>0</v>
      </c>
      <c r="AC205" s="372" t="str">
        <f>IF(Year4_Wokingham Year4_ROSGO_ceased_LAC_CAO="","",Year4_Wokingham Year4_ROSGO_ceased_LAC_CAO)</f>
        <v>x</v>
      </c>
      <c r="AD205" s="372">
        <f>IF(Year5_Wokingham Year5_ROSGO_ceased_LAC_CAO="","",Year5_Wokingham Year5_ROSGO_ceased_LAC_CAO)</f>
        <v>6</v>
      </c>
      <c r="AE205" s="100">
        <f>IF(Year1_Wokingham Year1_Adoption_ceased_LAC="","",Year1_Wokingham Year1_Adoption_ceased_LAC)</f>
        <v>34</v>
      </c>
      <c r="AF205" s="94">
        <f>IF(Year2_Wokingham Year2_Adoption_ceased_LAC="","",Year2_Wokingham Year2_Adoption_ceased_LAC)</f>
        <v>31</v>
      </c>
      <c r="AG205" s="94">
        <f>IF(Year3_Wokingham Year3_Adoption_ceased_LAC="","",Year3_Wokingham Year3_Adoption_ceased_LAC)</f>
        <v>36</v>
      </c>
      <c r="AH205" s="94">
        <f>IF(Year4_Wokingham Year4_Adoption_ceased_LAC="","",Year4_Wokingham Year4_Adoption_ceased_LAC)</f>
        <v>58</v>
      </c>
      <c r="AI205" s="95">
        <f>IF(Year5_Wokingham Year5_Adoption_ceased_LAC="","",Year5_Wokingham Year5_Adoption_ceased_LAC)</f>
        <v>55</v>
      </c>
      <c r="AJ205" s="1363"/>
      <c r="AK205" s="1346"/>
    </row>
    <row r="206" spans="1:37" s="87" customFormat="1" ht="12.75" customHeight="1" x14ac:dyDescent="0.2">
      <c r="A206" s="121"/>
      <c r="B206" s="129" t="str">
        <f t="shared" si="64"/>
        <v>South East</v>
      </c>
      <c r="C206" s="85"/>
      <c r="D206" s="163">
        <f>IF(AND(ISNUMBER(Z206),ISNUMBER(AE206)),Z206/AE206,NA())</f>
        <v>2.7956989247311829E-2</v>
      </c>
      <c r="E206" s="163">
        <f t="shared" ref="E206:H206" si="67">IF(AND(ISNUMBER(AA206),ISNUMBER(AF206)),AA206/AF206,NA())</f>
        <v>2.7956989247311829E-2</v>
      </c>
      <c r="F206" s="163">
        <f t="shared" si="67"/>
        <v>2.7842227378190254E-2</v>
      </c>
      <c r="G206" s="163">
        <f t="shared" si="67"/>
        <v>2.6570048309178744E-2</v>
      </c>
      <c r="H206" s="165">
        <f t="shared" si="67"/>
        <v>3.7558685446009391E-2</v>
      </c>
      <c r="I206" s="96"/>
      <c r="J206" s="96"/>
      <c r="K206" s="168"/>
      <c r="L206" s="168"/>
      <c r="M206" s="168"/>
      <c r="N206" s="168"/>
      <c r="O206" s="168"/>
      <c r="P206" s="168"/>
      <c r="Q206" s="168"/>
      <c r="R206" s="169"/>
      <c r="S206" s="159"/>
      <c r="T206" s="159"/>
      <c r="U206" s="170"/>
      <c r="V206" s="122"/>
      <c r="W206" s="139"/>
      <c r="X206" s="1350"/>
      <c r="Y206" s="372" t="str">
        <f t="shared" si="66"/>
        <v>South East</v>
      </c>
      <c r="Z206" s="632">
        <f>IF(Year1_SouthEast Year1_ROSGO_ceased_LAC_CAO=0,NA(),Year1_SouthEast Year1_ROSGO_ceased_LAC_CAO)</f>
        <v>130</v>
      </c>
      <c r="AA206" s="631">
        <f>IF(Year2_SouthEast Year2_ROSGO_ceased_LAC_CAO=0,NA(),Year2_SouthEast Year2_ROSGO_ceased_LAC_CAO)</f>
        <v>130</v>
      </c>
      <c r="AB206" s="631">
        <f>IF(Year3_SouthEast Year3_ROSGO_ceased_LAC_CAO=0,NA(),Year3_SouthEast Year3_ROSGO_ceased_LAC_CAO)</f>
        <v>120</v>
      </c>
      <c r="AC206" s="372">
        <f>IF(Year4_SouthEast Year4_ROSGO_ceased_LAC_CAO=0,NA(),Year4_SouthEast Year4_ROSGO_ceased_LAC_CAO)</f>
        <v>110</v>
      </c>
      <c r="AD206" s="372">
        <f>IF(Year5_SouthEast Year5_ROSGO_ceased_LAC_CAO=0,NA(),Year5_SouthEast Year5_ROSGO_ceased_LAC_CAO)</f>
        <v>160</v>
      </c>
      <c r="AE206" s="130">
        <f>IF(Year1_SouthEast Year1_Adoption_ceased_LAC="","",Year1_SouthEast Year1_Adoption_ceased_LAC)</f>
        <v>4650</v>
      </c>
      <c r="AF206" s="130">
        <f>IF(Year2_SouthEast Year2_Adoption_ceased_LAC="","",Year2_SouthEast Year2_Adoption_ceased_LAC)</f>
        <v>4650</v>
      </c>
      <c r="AG206" s="130">
        <f>IF(Year3_SouthEast Year3_Adoption_ceased_LAC="","",Year3_SouthEast Year3_Adoption_ceased_LAC)</f>
        <v>4310</v>
      </c>
      <c r="AH206" s="130">
        <f>IF(Year4_SouthEast Year4_Adoption_ceased_LAC="","",Year4_SouthEast Year4_Adoption_ceased_LAC)</f>
        <v>4140</v>
      </c>
      <c r="AI206" s="131">
        <f>IF(Year5_SouthEast Year5_Adoption_ceased_LAC="","",Year5_SouthEast Year5_Adoption_ceased_LAC)</f>
        <v>4260</v>
      </c>
      <c r="AJ206" s="1363"/>
      <c r="AK206" s="1344"/>
    </row>
    <row r="207" spans="1:37" s="87" customFormat="1" ht="12.75" customHeight="1" x14ac:dyDescent="0.2">
      <c r="A207" s="121"/>
      <c r="B207" s="329" t="str">
        <f t="shared" si="64"/>
        <v>England</v>
      </c>
      <c r="C207" s="85"/>
      <c r="D207" s="351">
        <f>IF(AND(ISNUMBER(Z207),ISNUMBER(AE207)),Z207/AE207,NA())</f>
        <v>3.5153797865662272E-2</v>
      </c>
      <c r="E207" s="351">
        <f t="shared" ref="E207" si="68">IF(AND(ISNUMBER(AA207),ISNUMBER(AF207)),AA207/AF207,NA())</f>
        <v>3.8216560509554139E-2</v>
      </c>
      <c r="F207" s="351">
        <f t="shared" ref="F207" si="69">IF(AND(ISNUMBER(AB207),ISNUMBER(AG207)),AB207/AG207,NA())</f>
        <v>3.8935108153078206E-2</v>
      </c>
      <c r="G207" s="351">
        <f t="shared" ref="G207" si="70">IF(AND(ISNUMBER(AC207),ISNUMBER(AH207)),AC207/AH207,NA())</f>
        <v>3.8017651052274268E-2</v>
      </c>
      <c r="H207" s="352">
        <f t="shared" ref="H207" si="71">IF(AND(ISNUMBER(AD207),ISNUMBER(AI207)),AD207/AI207,NA())</f>
        <v>3.9202433254477864E-2</v>
      </c>
      <c r="I207" s="96"/>
      <c r="J207" s="96"/>
      <c r="K207" s="168"/>
      <c r="L207" s="168"/>
      <c r="M207" s="168"/>
      <c r="N207" s="168"/>
      <c r="O207" s="168"/>
      <c r="P207" s="168"/>
      <c r="Q207" s="168"/>
      <c r="R207" s="169"/>
      <c r="S207" s="159"/>
      <c r="T207" s="159"/>
      <c r="U207" s="170"/>
      <c r="V207" s="122"/>
      <c r="W207" s="139"/>
      <c r="X207" s="1350"/>
      <c r="Y207" s="372" t="str">
        <f t="shared" si="66"/>
        <v>England</v>
      </c>
      <c r="Z207" s="632">
        <f>IF(Year1_England Year1_ROSGO_ceased_LAC_CAO=0,NA(),Year1_England Year1_ROSGO_ceased_LAC_CAO)</f>
        <v>1120</v>
      </c>
      <c r="AA207" s="631">
        <f>IF(Year2_England Year2_ROSGO_ceased_LAC_CAO=0,NA(),Year2_England Year2_ROSGO_ceased_LAC_CAO)</f>
        <v>1200</v>
      </c>
      <c r="AB207" s="631">
        <f>IF(Year3_England Year3_ROSGO_ceased_LAC_CAO=0,NA(),Year3_England Year3_ROSGO_ceased_LAC_CAO)</f>
        <v>1170</v>
      </c>
      <c r="AC207" s="372">
        <f>IF(Year4_England Year4_ROSGO_ceased_LAC_CAO=0,NA(),Year4_England Year4_ROSGO_ceased_LAC_CAO)</f>
        <v>1120</v>
      </c>
      <c r="AD207" s="372">
        <f>IF(Year5_England Year5_ROSGO_ceased_LAC_CAO=0,NA(),Year5_England Year5_ROSGO_ceased_LAC_CAO)</f>
        <v>1160</v>
      </c>
      <c r="AE207" s="330">
        <f>IF(Year1_England Year1_Adoption_ceased_LAC="","",Year1_England Year1_Adoption_ceased_LAC)</f>
        <v>31860</v>
      </c>
      <c r="AF207" s="330">
        <f>IF(Year2_England Year2_Adoption_ceased_LAC="","",Year2_England Year2_Adoption_ceased_LAC)</f>
        <v>31400</v>
      </c>
      <c r="AG207" s="330">
        <f>IF(Year3_England Year3_Adoption_ceased_LAC="","",Year3_England Year3_Adoption_ceased_LAC)</f>
        <v>30050</v>
      </c>
      <c r="AH207" s="330">
        <f>IF(Year4_England Year4_Adoption_ceased_LAC="","",Year4_England Year4_Adoption_ceased_LAC)</f>
        <v>29460</v>
      </c>
      <c r="AI207" s="331">
        <f>IF(Year5_England Year5_Adoption_ceased_LAC="","",Year5_England Year5_Adoption_ceased_LAC)</f>
        <v>29590</v>
      </c>
      <c r="AJ207" s="1363"/>
      <c r="AK207" s="1346"/>
    </row>
    <row r="208" spans="1:37" s="87" customFormat="1" ht="7.5" customHeight="1" x14ac:dyDescent="0.2">
      <c r="A208" s="292"/>
      <c r="B208" s="96"/>
      <c r="C208" s="96"/>
      <c r="D208" s="96"/>
      <c r="E208" s="96"/>
      <c r="F208" s="96"/>
      <c r="G208" s="96"/>
      <c r="H208" s="96"/>
      <c r="I208" s="96"/>
      <c r="J208" s="96"/>
      <c r="K208" s="168"/>
      <c r="L208" s="168"/>
      <c r="M208" s="168"/>
      <c r="N208" s="168"/>
      <c r="O208" s="168"/>
      <c r="P208" s="168"/>
      <c r="Q208" s="168"/>
      <c r="R208" s="169"/>
      <c r="S208" s="159"/>
      <c r="T208" s="159"/>
      <c r="U208" s="170"/>
      <c r="V208" s="122"/>
      <c r="W208" s="139"/>
      <c r="X208" s="1350"/>
      <c r="Y208" s="1392"/>
      <c r="Z208" s="1392"/>
      <c r="AA208" s="1392"/>
      <c r="AB208" s="1392"/>
      <c r="AC208" s="1413"/>
      <c r="AD208" s="1413"/>
      <c r="AE208" s="1042"/>
      <c r="AF208" s="1351"/>
      <c r="AG208" s="1351"/>
      <c r="AH208" s="1351"/>
      <c r="AI208" s="1341"/>
      <c r="AJ208" s="1351"/>
      <c r="AK208" s="1346"/>
    </row>
    <row r="209" spans="1:46" s="81" customFormat="1" ht="38.25" customHeight="1" x14ac:dyDescent="0.2">
      <c r="A209" s="217"/>
      <c r="B209" s="392"/>
      <c r="C209" s="392"/>
      <c r="D209" s="392"/>
      <c r="E209" s="392"/>
      <c r="F209" s="392"/>
      <c r="G209" s="392"/>
      <c r="H209" s="392"/>
      <c r="I209" s="392"/>
      <c r="J209" s="172"/>
      <c r="K209" s="172"/>
      <c r="L209" s="172"/>
      <c r="M209" s="172"/>
      <c r="N209" s="172"/>
      <c r="O209" s="172"/>
      <c r="P209" s="172"/>
      <c r="Q209" s="172"/>
      <c r="R209" s="136"/>
      <c r="S209" s="172"/>
      <c r="T209" s="172"/>
      <c r="U209" s="172"/>
      <c r="V209" s="117"/>
      <c r="W209" s="137"/>
      <c r="X209" s="1339"/>
      <c r="Y209" s="1392"/>
      <c r="Z209" s="1392"/>
      <c r="AA209" s="1392"/>
      <c r="AB209" s="1392"/>
      <c r="AC209" s="1392"/>
      <c r="AD209" s="1413"/>
      <c r="AE209" s="1042"/>
      <c r="AF209" s="1343"/>
      <c r="AG209" s="1343"/>
      <c r="AH209" s="1343"/>
      <c r="AI209" s="1340"/>
      <c r="AJ209" s="1343"/>
      <c r="AK209" s="1344"/>
    </row>
    <row r="210" spans="1:46" s="81" customFormat="1" ht="39" customHeight="1" x14ac:dyDescent="0.2">
      <c r="A210" s="217"/>
      <c r="B210" s="392"/>
      <c r="C210" s="392"/>
      <c r="D210" s="392"/>
      <c r="E210" s="392"/>
      <c r="F210" s="392"/>
      <c r="G210" s="392"/>
      <c r="H210" s="392"/>
      <c r="I210" s="392"/>
      <c r="J210" s="172"/>
      <c r="K210" s="172"/>
      <c r="L210" s="172"/>
      <c r="M210" s="172"/>
      <c r="N210" s="172"/>
      <c r="O210" s="172"/>
      <c r="P210" s="172"/>
      <c r="Q210" s="172"/>
      <c r="R210" s="136"/>
      <c r="S210" s="172"/>
      <c r="T210" s="172"/>
      <c r="U210" s="172"/>
      <c r="V210" s="117"/>
      <c r="W210" s="137"/>
      <c r="X210" s="1339"/>
      <c r="Y210" s="1392"/>
      <c r="Z210" s="1392"/>
      <c r="AA210" s="1392"/>
      <c r="AB210" s="1392"/>
      <c r="AC210" s="1392"/>
      <c r="AD210" s="1392"/>
      <c r="AE210" s="1042"/>
      <c r="AF210" s="1343"/>
      <c r="AG210" s="1343"/>
      <c r="AH210" s="1343"/>
      <c r="AI210" s="1340"/>
      <c r="AJ210" s="1343"/>
      <c r="AK210" s="1344"/>
    </row>
    <row r="211" spans="1:46" s="81" customFormat="1" ht="38.25" customHeight="1" x14ac:dyDescent="0.2">
      <c r="A211" s="217"/>
      <c r="B211" s="392"/>
      <c r="C211" s="392"/>
      <c r="D211" s="392"/>
      <c r="E211" s="392"/>
      <c r="F211" s="392"/>
      <c r="G211" s="392"/>
      <c r="H211" s="392"/>
      <c r="I211" s="392"/>
      <c r="J211" s="172"/>
      <c r="K211" s="172"/>
      <c r="L211" s="172"/>
      <c r="M211" s="172"/>
      <c r="N211" s="172"/>
      <c r="O211" s="172"/>
      <c r="P211" s="172"/>
      <c r="Q211" s="172"/>
      <c r="R211" s="136"/>
      <c r="S211" s="172"/>
      <c r="T211" s="172"/>
      <c r="U211" s="172"/>
      <c r="V211" s="117"/>
      <c r="W211" s="137"/>
      <c r="X211" s="1339"/>
      <c r="Y211" s="1392"/>
      <c r="Z211" s="1392"/>
      <c r="AA211" s="1392"/>
      <c r="AB211" s="1392"/>
      <c r="AC211" s="1392"/>
      <c r="AD211" s="1392"/>
      <c r="AE211" s="1042"/>
      <c r="AF211" s="1343"/>
      <c r="AG211" s="1343"/>
      <c r="AH211" s="1343"/>
      <c r="AI211" s="1340"/>
      <c r="AJ211" s="1343"/>
      <c r="AK211" s="1344"/>
    </row>
    <row r="212" spans="1:46" s="81" customFormat="1" ht="7.5" customHeight="1" x14ac:dyDescent="0.2">
      <c r="A212" s="118"/>
      <c r="B212" s="17"/>
      <c r="C212" s="17"/>
      <c r="D212" s="16"/>
      <c r="E212" s="16"/>
      <c r="F212" s="16"/>
      <c r="G212" s="16"/>
      <c r="H212" s="16"/>
      <c r="I212" s="16"/>
      <c r="J212" s="12"/>
      <c r="K212" s="18"/>
      <c r="L212" s="18"/>
      <c r="M212" s="18"/>
      <c r="N212" s="18"/>
      <c r="O212" s="18"/>
      <c r="P212" s="18"/>
      <c r="Q212" s="18"/>
      <c r="R212" s="18"/>
      <c r="S212" s="18"/>
      <c r="T212" s="18"/>
      <c r="U212" s="19"/>
      <c r="V212" s="117"/>
      <c r="W212" s="137"/>
      <c r="X212" s="1339"/>
      <c r="Y212" s="1392"/>
      <c r="Z212" s="1399"/>
      <c r="AA212" s="1392"/>
      <c r="AB212" s="1392"/>
      <c r="AC212" s="1392"/>
      <c r="AD212" s="1392"/>
      <c r="AE212" s="1392"/>
      <c r="AF212" s="1340"/>
      <c r="AG212" s="1340"/>
      <c r="AH212" s="1340"/>
      <c r="AI212" s="1340"/>
      <c r="AJ212" s="1343"/>
      <c r="AK212" s="1345"/>
      <c r="AL212" s="74"/>
      <c r="AM212" s="74"/>
      <c r="AN212" s="74"/>
      <c r="AO212" s="74"/>
      <c r="AP212" s="74"/>
      <c r="AQ212" s="74"/>
      <c r="AR212" s="74"/>
    </row>
    <row r="213" spans="1:46" s="81" customFormat="1" ht="15" customHeight="1" x14ac:dyDescent="0.2">
      <c r="A213" s="1716"/>
      <c r="B213" s="1760"/>
      <c r="C213" s="1760"/>
      <c r="D213" s="1760"/>
      <c r="E213" s="1760"/>
      <c r="F213" s="1760"/>
      <c r="G213" s="1760"/>
      <c r="H213" s="1760"/>
      <c r="I213" s="1760"/>
      <c r="J213" s="1760"/>
      <c r="K213" s="1760"/>
      <c r="L213" s="1760"/>
      <c r="M213" s="1760"/>
      <c r="N213" s="1760"/>
      <c r="O213" s="1760"/>
      <c r="P213" s="1760"/>
      <c r="Q213" s="1760"/>
      <c r="R213" s="1760"/>
      <c r="S213" s="1760"/>
      <c r="T213" s="1760"/>
      <c r="U213" s="1760"/>
      <c r="V213" s="1761"/>
      <c r="W213" s="137"/>
      <c r="X213" s="1339"/>
      <c r="Y213" s="1392"/>
      <c r="Z213" s="1392"/>
      <c r="AA213" s="1392"/>
      <c r="AB213" s="1392"/>
      <c r="AC213" s="1392"/>
      <c r="AD213" s="1392"/>
      <c r="AE213" s="1392"/>
      <c r="AF213" s="1340"/>
      <c r="AG213" s="1340"/>
      <c r="AH213" s="1340"/>
      <c r="AI213" s="1340"/>
      <c r="AJ213" s="1340"/>
      <c r="AK213" s="1344"/>
      <c r="AT213" s="74"/>
    </row>
    <row r="214" spans="1:46" s="81" customFormat="1" ht="11.25" customHeight="1" x14ac:dyDescent="0.2">
      <c r="A214" s="1765" t="str">
        <f>Home!$A$39</f>
        <v xml:space="preserve"> </v>
      </c>
      <c r="B214" s="1766"/>
      <c r="C214" s="1766"/>
      <c r="D214" s="1766"/>
      <c r="E214" s="1766"/>
      <c r="F214" s="1766"/>
      <c r="G214" s="1766"/>
      <c r="H214" s="1766"/>
      <c r="I214" s="1767"/>
      <c r="J214" s="1766"/>
      <c r="K214" s="1766"/>
      <c r="L214" s="1766"/>
      <c r="M214" s="1766"/>
      <c r="N214" s="1766"/>
      <c r="O214" s="1766"/>
      <c r="P214" s="1768"/>
      <c r="Q214" s="1766"/>
      <c r="R214" s="1766"/>
      <c r="S214" s="1766"/>
      <c r="T214" s="1767"/>
      <c r="U214" s="1766"/>
      <c r="V214" s="1769"/>
      <c r="W214" s="137"/>
      <c r="X214" s="1339"/>
      <c r="Y214" s="1392"/>
      <c r="Z214" s="1392"/>
      <c r="AA214" s="1392"/>
      <c r="AB214" s="1392"/>
      <c r="AC214" s="1392"/>
      <c r="AD214" s="1392"/>
      <c r="AE214" s="1392"/>
      <c r="AF214" s="1340"/>
      <c r="AG214" s="1340"/>
      <c r="AH214" s="1340"/>
      <c r="AI214" s="1340"/>
      <c r="AJ214" s="1340"/>
      <c r="AK214" s="1344"/>
      <c r="AT214" s="74"/>
    </row>
    <row r="215" spans="1:46" ht="11.25" customHeight="1" x14ac:dyDescent="0.2">
      <c r="A215" s="112"/>
      <c r="B215" s="113"/>
      <c r="C215" s="113"/>
      <c r="D215" s="113"/>
      <c r="E215" s="113"/>
      <c r="F215" s="113"/>
      <c r="G215" s="113"/>
      <c r="H215" s="113"/>
      <c r="I215" s="113"/>
      <c r="J215" s="114"/>
      <c r="K215" s="113"/>
      <c r="L215" s="113"/>
      <c r="M215" s="113"/>
      <c r="N215" s="113"/>
      <c r="O215" s="113"/>
      <c r="P215" s="113"/>
      <c r="Q215" s="113"/>
      <c r="R215" s="113"/>
      <c r="S215" s="113"/>
      <c r="T215" s="113"/>
      <c r="U215" s="113"/>
      <c r="V215" s="115"/>
      <c r="W215" s="137"/>
      <c r="X215" s="1339"/>
      <c r="Y215" s="1416"/>
      <c r="AA215" s="1396"/>
      <c r="AF215" s="1340"/>
      <c r="AG215" s="1340"/>
      <c r="AH215" s="1340"/>
      <c r="AI215" s="1340"/>
      <c r="AJ215" s="1343"/>
      <c r="AK215" s="1344"/>
    </row>
    <row r="216" spans="1:46" s="76" customFormat="1" ht="15" customHeight="1" x14ac:dyDescent="0.2">
      <c r="A216" s="119"/>
      <c r="B216" s="1770" t="s">
        <v>1297</v>
      </c>
      <c r="C216" s="1770"/>
      <c r="D216" s="1770"/>
      <c r="E216" s="1770"/>
      <c r="F216" s="1770"/>
      <c r="G216" s="1770"/>
      <c r="H216" s="1770"/>
      <c r="I216" s="1770"/>
      <c r="J216" s="70"/>
      <c r="K216" s="70"/>
      <c r="L216" s="70"/>
      <c r="M216" s="70"/>
      <c r="N216" s="1535"/>
      <c r="O216" s="70"/>
      <c r="P216" s="70"/>
      <c r="Q216" s="70"/>
      <c r="R216" s="70"/>
      <c r="S216" s="70"/>
      <c r="T216" s="70"/>
      <c r="U216" s="70"/>
      <c r="V216" s="120"/>
      <c r="W216" s="138"/>
      <c r="X216" s="1347"/>
      <c r="Y216" s="951" t="s">
        <v>1295</v>
      </c>
      <c r="Z216" s="382"/>
      <c r="AA216" s="383"/>
      <c r="AB216" s="383"/>
      <c r="AC216" s="383"/>
      <c r="AD216" s="383"/>
      <c r="AE216" s="1418" t="s">
        <v>759</v>
      </c>
      <c r="AF216" s="1340"/>
      <c r="AG216" s="1340"/>
      <c r="AH216" s="1340"/>
      <c r="AI216" s="1340"/>
      <c r="AJ216" s="1363"/>
      <c r="AK216" s="1346"/>
    </row>
    <row r="217" spans="1:46" ht="15" customHeight="1" x14ac:dyDescent="0.2">
      <c r="A217" s="118"/>
      <c r="B217" s="1770"/>
      <c r="C217" s="1770"/>
      <c r="D217" s="1770"/>
      <c r="E217" s="1770"/>
      <c r="F217" s="1770"/>
      <c r="G217" s="1770"/>
      <c r="H217" s="1770"/>
      <c r="I217" s="1770"/>
      <c r="J217" s="70"/>
      <c r="K217" s="70"/>
      <c r="L217" s="70"/>
      <c r="M217" s="70"/>
      <c r="N217" s="1535"/>
      <c r="O217" s="70"/>
      <c r="P217" s="70"/>
      <c r="Q217" s="70"/>
      <c r="R217" s="10"/>
      <c r="S217" s="70"/>
      <c r="T217" s="70"/>
      <c r="U217" s="70"/>
      <c r="V217" s="117"/>
      <c r="W217" s="137"/>
      <c r="X217" s="1339"/>
      <c r="Y217" s="383"/>
      <c r="Z217" s="382"/>
      <c r="AA217" s="383"/>
      <c r="AB217" s="383"/>
      <c r="AC217" s="383"/>
      <c r="AD217" s="383"/>
      <c r="AE217" s="1419" t="s">
        <v>1236</v>
      </c>
      <c r="AF217" s="1340"/>
      <c r="AG217" s="1340"/>
      <c r="AH217" s="1340"/>
      <c r="AI217" s="1340"/>
      <c r="AJ217" s="1363"/>
      <c r="AK217" s="1344"/>
    </row>
    <row r="218" spans="1:46" s="87" customFormat="1" ht="13.5" customHeight="1" x14ac:dyDescent="0.2">
      <c r="A218" s="121"/>
      <c r="B218" s="1771" t="s">
        <v>205</v>
      </c>
      <c r="C218" s="1539"/>
      <c r="D218" s="789" t="str">
        <f>Sheet1!$D$27</f>
        <v>2015-16</v>
      </c>
      <c r="E218" s="790" t="str">
        <f>Sheet1!$E$27</f>
        <v>2016-17</v>
      </c>
      <c r="F218" s="790" t="str">
        <f>Sheet1!$F$27</f>
        <v>2017-18</v>
      </c>
      <c r="G218" s="790" t="str">
        <f>Sheet1!$G$27</f>
        <v>2018-19</v>
      </c>
      <c r="H218" s="791" t="str">
        <f>Sheet1!$H$27</f>
        <v>2019-20</v>
      </c>
      <c r="I218" s="96"/>
      <c r="J218" s="96"/>
      <c r="K218" s="61"/>
      <c r="L218" s="61"/>
      <c r="M218" s="61"/>
      <c r="N218" s="61"/>
      <c r="O218" s="61"/>
      <c r="P218" s="61"/>
      <c r="Q218" s="1545"/>
      <c r="R218" s="1545"/>
      <c r="S218" s="159"/>
      <c r="T218" s="159"/>
      <c r="U218" s="1546"/>
      <c r="V218" s="122"/>
      <c r="W218" s="139"/>
      <c r="X218" s="1350"/>
      <c r="Y218" s="372"/>
      <c r="Z218" s="1547" t="str">
        <f>IF(Sheet1!$C$3="Annual","",Sheet1!AD263)</f>
        <v/>
      </c>
      <c r="AA218" s="1547" t="str">
        <f>IF(Sheet1!$C$3="Annual","",Sheet1!AE263)</f>
        <v/>
      </c>
      <c r="AB218" s="1547" t="str">
        <f>IF(Sheet1!$C$3="Annual","",Sheet1!AF263)</f>
        <v/>
      </c>
      <c r="AC218" s="1547" t="str">
        <f>IF(Sheet1!$C$3="Annual","",Sheet1!AG263)</f>
        <v/>
      </c>
      <c r="AD218" s="1547" t="str">
        <f>IF(Sheet1!$C$3="Annual","",Sheet1!AH263)</f>
        <v/>
      </c>
      <c r="AE218" s="580" t="str">
        <f>IF(Sheet1!$C$3="Annual","",Sheet1!$D$28)</f>
        <v/>
      </c>
      <c r="AF218" s="1353" t="str">
        <f>IF(Sheet1!$C$3="Annual","",Sheet1!$E$28)</f>
        <v/>
      </c>
      <c r="AG218" s="1353" t="str">
        <f>IF(Sheet1!$C$3="Annual","",Sheet1!$F$28)</f>
        <v/>
      </c>
      <c r="AH218" s="1353" t="str">
        <f>IF(Sheet1!$C$3="Annual","",Sheet1!$G$28)</f>
        <v/>
      </c>
      <c r="AI218" s="1353" t="str">
        <f>IF(Sheet1!$C$3="Annual","",Sheet1!$H$28)</f>
        <v/>
      </c>
      <c r="AJ218" s="1363"/>
      <c r="AK218" s="1346"/>
    </row>
    <row r="219" spans="1:46" s="87" customFormat="1" ht="13.5" customHeight="1" x14ac:dyDescent="0.2">
      <c r="A219" s="292"/>
      <c r="B219" s="1772"/>
      <c r="C219" s="85"/>
      <c r="D219" s="792" t="e">
        <f>Sheet1!$D$28</f>
        <v>#N/A</v>
      </c>
      <c r="E219" s="792" t="e">
        <f>Sheet1!$E$28</f>
        <v>#N/A</v>
      </c>
      <c r="F219" s="792" t="e">
        <f>Sheet1!$F$28</f>
        <v>#N/A</v>
      </c>
      <c r="G219" s="792" t="e">
        <f>Sheet1!$G$28</f>
        <v>#N/A</v>
      </c>
      <c r="H219" s="793" t="e">
        <f>Sheet1!$H$28</f>
        <v>#N/A</v>
      </c>
      <c r="I219" s="96"/>
      <c r="J219" s="96"/>
      <c r="K219" s="61"/>
      <c r="L219" s="61"/>
      <c r="M219" s="61"/>
      <c r="N219" s="61"/>
      <c r="O219" s="61"/>
      <c r="P219" s="61"/>
      <c r="Q219" s="1545"/>
      <c r="R219" s="1545"/>
      <c r="S219" s="159"/>
      <c r="T219" s="159"/>
      <c r="U219" s="1546"/>
      <c r="V219" s="122"/>
      <c r="W219" s="139"/>
      <c r="X219" s="1350"/>
      <c r="Y219" s="372"/>
      <c r="Z219" s="1547" t="str">
        <f>Sheet1!$D$27</f>
        <v>2015-16</v>
      </c>
      <c r="AA219" s="1547" t="str">
        <f>Sheet1!$E$27</f>
        <v>2016-17</v>
      </c>
      <c r="AB219" s="1547" t="str">
        <f>Sheet1!$F$27</f>
        <v>2017-18</v>
      </c>
      <c r="AC219" s="1547" t="str">
        <f>Sheet1!$G$27</f>
        <v>2018-19</v>
      </c>
      <c r="AD219" s="1547" t="str">
        <f>Sheet1!$H$27</f>
        <v>2019-20</v>
      </c>
      <c r="AE219" s="580" t="str">
        <f>Sheet1!$D$27</f>
        <v>2015-16</v>
      </c>
      <c r="AF219" s="1353" t="str">
        <f>Sheet1!$E$27</f>
        <v>2016-17</v>
      </c>
      <c r="AG219" s="1353" t="str">
        <f>Sheet1!$F$27</f>
        <v>2017-18</v>
      </c>
      <c r="AH219" s="1353" t="str">
        <f>Sheet1!$G$27</f>
        <v>2018-19</v>
      </c>
      <c r="AI219" s="1353" t="str">
        <f>Sheet1!$H$27</f>
        <v>2019-20</v>
      </c>
      <c r="AJ219" s="1363"/>
      <c r="AK219" s="1346"/>
    </row>
    <row r="220" spans="1:46" s="87" customFormat="1" ht="12.75" customHeight="1" x14ac:dyDescent="0.2">
      <c r="A220" s="488">
        <f>VLOOKUP(B220,Sheet1!$AQ$4:$AR$25,2,FALSE)</f>
        <v>0</v>
      </c>
      <c r="B220" s="93" t="str">
        <f>B184</f>
        <v>Bracknell Forest</v>
      </c>
      <c r="C220" s="85"/>
      <c r="D220" s="162">
        <f t="shared" ref="D220:D241" si="72">IF(AND(ISNUMBER(Z220),ISNUMBER(AE220)),Z220/AE220,NA())</f>
        <v>0.14705882352941177</v>
      </c>
      <c r="E220" s="162">
        <f t="shared" ref="E220:E243" si="73">IF(AND(ISNUMBER(AA220),ISNUMBER(AF220)),AA220/AF220,NA())</f>
        <v>0.20408163265306123</v>
      </c>
      <c r="F220" s="162" t="e">
        <f t="shared" ref="F220:F243" si="74">IF(AND(ISNUMBER(AB220),ISNUMBER(AG220)),AB220/AG220,NA())</f>
        <v>#N/A</v>
      </c>
      <c r="G220" s="162">
        <f t="shared" ref="G220:G243" si="75">IF(AND(ISNUMBER(AC220),ISNUMBER(AH220)),AC220/AH220,NA())</f>
        <v>0</v>
      </c>
      <c r="H220" s="164">
        <f>IF(AND(ISNUMBER(AD220),ISNUMBER(AI220)),AD220/AI220,NA())</f>
        <v>0</v>
      </c>
      <c r="I220" s="96"/>
      <c r="J220" s="96"/>
      <c r="K220" s="166"/>
      <c r="L220" s="166"/>
      <c r="M220" s="166"/>
      <c r="N220" s="166"/>
      <c r="O220" s="166"/>
      <c r="P220" s="166"/>
      <c r="Q220" s="166"/>
      <c r="R220" s="167"/>
      <c r="S220" s="159"/>
      <c r="T220" s="159"/>
      <c r="U220" s="166"/>
      <c r="V220" s="122"/>
      <c r="W220" s="139"/>
      <c r="X220" s="1350"/>
      <c r="Y220" s="372" t="str">
        <f>B220</f>
        <v>Bracknell Forest</v>
      </c>
      <c r="Z220" s="372">
        <f>IF(Year1_Bracknell_Forest Year1_ROSGO_ceased_LAC_SGO="","",Year1_Bracknell_Forest Year1_ROSGO_ceased_LAC_SGO)</f>
        <v>10</v>
      </c>
      <c r="AA220" s="372">
        <f>IF(Year2_Bracknell_Forest Year2_ROSGO_ceased_LAC_SGO="","",Year2_Bracknell_Forest Year2_ROSGO_ceased_LAC_SGO)</f>
        <v>10</v>
      </c>
      <c r="AB220" s="372" t="str">
        <f>IF(Year3_Bracknell_Forest Year3_ROSGO_ceased_LAC_SGO="","",Year3_Bracknell_Forest Year3_ROSGO_ceased_LAC_SGO)</f>
        <v>x</v>
      </c>
      <c r="AC220" s="372">
        <f>IF(Year4_Bracknell_Forest Year4_ROSGO_ceased_LAC_SGO="","",Year4_Bracknell_Forest Year4_ROSGO_ceased_LAC_SGO)</f>
        <v>0</v>
      </c>
      <c r="AD220" s="372">
        <f>IF(Year5_Bracknell_Forest Year5_ROSGO_ceased_LAC_SGO="","",Year5_Bracknell_Forest Year5_ROSGO_ceased_LAC_SGO)</f>
        <v>0</v>
      </c>
      <c r="AE220" s="94">
        <f>IF(Year1_Bracknell_Forest Year1_Adoption_ceased_LAC="","",Year1_Bracknell_Forest Year1_Adoption_ceased_LAC)</f>
        <v>68</v>
      </c>
      <c r="AF220" s="94">
        <f>IF(Year2_Bracknell_Forest Year2_Adoption_ceased_LAC="","",Year2_Bracknell_Forest Year2_Adoption_ceased_LAC)</f>
        <v>49</v>
      </c>
      <c r="AG220" s="94">
        <f>IF(Year3_Bracknell_Forest Year3_Adoption_ceased_LAC="","",Year3_Bracknell_Forest Year3_Adoption_ceased_LAC)</f>
        <v>67</v>
      </c>
      <c r="AH220" s="94">
        <f>IF(Year4_Bracknell_Forest Year4_Adoption_ceased_LAC="","",Year4_Bracknell_Forest Year4_Adoption_ceased_LAC)</f>
        <v>65</v>
      </c>
      <c r="AI220" s="95">
        <f>IF(Year5_Bracknell_Forest Year5_Adoption_ceased_LAC="","",Year5_Bracknell_Forest Year5_Adoption_ceased_LAC)</f>
        <v>62</v>
      </c>
      <c r="AJ220" s="1363"/>
      <c r="AK220" s="1344"/>
    </row>
    <row r="221" spans="1:46" s="87" customFormat="1" ht="12.75" customHeight="1" x14ac:dyDescent="0.2">
      <c r="A221" s="488">
        <f>VLOOKUP(B221,Sheet1!$AQ$4:$AR$25,2,FALSE)</f>
        <v>0</v>
      </c>
      <c r="B221" s="93" t="str">
        <f t="shared" ref="B221:B243" si="76">B185</f>
        <v>Brighton &amp; Hove</v>
      </c>
      <c r="C221" s="85"/>
      <c r="D221" s="162">
        <f t="shared" si="72"/>
        <v>0.16326530612244897</v>
      </c>
      <c r="E221" s="162">
        <f t="shared" si="73"/>
        <v>9.4972067039106142E-2</v>
      </c>
      <c r="F221" s="162">
        <f t="shared" si="74"/>
        <v>0.14204545454545456</v>
      </c>
      <c r="G221" s="162">
        <f t="shared" si="75"/>
        <v>0.13368983957219252</v>
      </c>
      <c r="H221" s="164">
        <f t="shared" ref="H221:H243" si="77">IF(AND(ISNUMBER(AD221),ISNUMBER(AI221)),AD221/AI221,NA())</f>
        <v>0.16292134831460675</v>
      </c>
      <c r="I221" s="96"/>
      <c r="J221" s="96"/>
      <c r="K221" s="166"/>
      <c r="L221" s="166"/>
      <c r="M221" s="166"/>
      <c r="N221" s="166"/>
      <c r="O221" s="166"/>
      <c r="P221" s="166"/>
      <c r="Q221" s="166"/>
      <c r="R221" s="167"/>
      <c r="S221" s="159"/>
      <c r="T221" s="159"/>
      <c r="U221" s="166"/>
      <c r="V221" s="122"/>
      <c r="W221" s="139"/>
      <c r="X221" s="1350"/>
      <c r="Y221" s="372" t="str">
        <f t="shared" ref="Y221:Y243" si="78">B221</f>
        <v>Brighton &amp; Hove</v>
      </c>
      <c r="Z221" s="372">
        <f>IF(Year1_Brighton_Hove Year1_ROSGO_ceased_LAC_SGO="","",Year1_Brighton_Hove Year1_ROSGO_ceased_LAC_SGO)</f>
        <v>40</v>
      </c>
      <c r="AA221" s="372">
        <f>IF(Year2_Brighton_Hove Year2_ROSGO_ceased_LAC_SGO="","",Year2_Brighton_Hove Year2_ROSGO_ceased_LAC_SGO)</f>
        <v>17</v>
      </c>
      <c r="AB221" s="372">
        <f>IF(Year3_Brighton_Hove Year3_ROSGO_ceased_LAC_SGO="","",Year3_Brighton_Hove Year3_ROSGO_ceased_LAC_SGO)</f>
        <v>25</v>
      </c>
      <c r="AC221" s="372">
        <f>IF(Year4_Brighton_Hove Year4_ROSGO_ceased_LAC_SGO="","",Year4_Brighton_Hove Year4_ROSGO_ceased_LAC_SGO)</f>
        <v>25</v>
      </c>
      <c r="AD221" s="372">
        <f>IF(Year5_Brighton_Hove Year5_ROSGO_ceased_LAC_SGO="","",Year5_Brighton_Hove Year5_ROSGO_ceased_LAC_SGO)</f>
        <v>29</v>
      </c>
      <c r="AE221" s="94">
        <f>IF(Year1_Brighton_Hove Year1_Adoption_ceased_LAC="","",Year1_Brighton_Hove Year1_Adoption_ceased_LAC)</f>
        <v>245</v>
      </c>
      <c r="AF221" s="94">
        <f>IF(Year2_Brighton_Hove Year2_Adoption_ceased_LAC="","",Year2_Brighton_Hove Year2_Adoption_ceased_LAC)</f>
        <v>179</v>
      </c>
      <c r="AG221" s="94">
        <f>IF(Year3_Brighton_Hove Year3_Adoption_ceased_LAC="","",Year3_Brighton_Hove Year3_Adoption_ceased_LAC)</f>
        <v>176</v>
      </c>
      <c r="AH221" s="94">
        <f>IF(Year4_Brighton_Hove Year4_Adoption_ceased_LAC="","",Year4_Brighton_Hove Year4_Adoption_ceased_LAC)</f>
        <v>187</v>
      </c>
      <c r="AI221" s="95">
        <f>IF(Year5_Brighton_Hove Year5_Adoption_ceased_LAC="","",Year5_Brighton_Hove Year5_Adoption_ceased_LAC)</f>
        <v>178</v>
      </c>
      <c r="AJ221" s="1363"/>
      <c r="AK221" s="1346"/>
    </row>
    <row r="222" spans="1:46" s="87" customFormat="1" ht="12.75" customHeight="1" x14ac:dyDescent="0.2">
      <c r="A222" s="488">
        <f>VLOOKUP(B222,Sheet1!$AQ$4:$AR$25,2,FALSE)</f>
        <v>0</v>
      </c>
      <c r="B222" s="93" t="str">
        <f t="shared" si="76"/>
        <v>Buckinghamshire</v>
      </c>
      <c r="C222" s="85"/>
      <c r="D222" s="162">
        <f t="shared" si="72"/>
        <v>8.8105726872246701E-2</v>
      </c>
      <c r="E222" s="162">
        <f t="shared" si="73"/>
        <v>8.3720930232558138E-2</v>
      </c>
      <c r="F222" s="162">
        <f t="shared" si="74"/>
        <v>0.17222222222222222</v>
      </c>
      <c r="G222" s="162">
        <f t="shared" si="75"/>
        <v>8.2352941176470587E-2</v>
      </c>
      <c r="H222" s="164">
        <f t="shared" si="77"/>
        <v>7.6595744680851063E-2</v>
      </c>
      <c r="I222" s="96"/>
      <c r="J222" s="96"/>
      <c r="K222" s="166"/>
      <c r="L222" s="166"/>
      <c r="M222" s="166"/>
      <c r="N222" s="166"/>
      <c r="O222" s="166"/>
      <c r="P222" s="166"/>
      <c r="Q222" s="166"/>
      <c r="R222" s="167"/>
      <c r="S222" s="159"/>
      <c r="T222" s="159"/>
      <c r="U222" s="166"/>
      <c r="V222" s="122"/>
      <c r="W222" s="139"/>
      <c r="X222" s="1350"/>
      <c r="Y222" s="372" t="str">
        <f t="shared" si="78"/>
        <v>Buckinghamshire</v>
      </c>
      <c r="Z222" s="372">
        <f>IF(Year1_Buckinghamshire Year1_ROSGO_ceased_LAC_SGO="","",Year1_Buckinghamshire Year1_ROSGO_ceased_LAC_SGO)</f>
        <v>20</v>
      </c>
      <c r="AA222" s="372">
        <f>IF(Year2_Buckinghamshire Year2_ROSGO_ceased_LAC_SGO="","",Year2_Buckinghamshire Year2_ROSGO_ceased_LAC_SGO)</f>
        <v>18</v>
      </c>
      <c r="AB222" s="372">
        <f>IF(Year3_Buckinghamshire Year3_ROSGO_ceased_LAC_SGO="","",Year3_Buckinghamshire Year3_ROSGO_ceased_LAC_SGO)</f>
        <v>31</v>
      </c>
      <c r="AC222" s="372">
        <f>IF(Year4_Buckinghamshire Year4_ROSGO_ceased_LAC_SGO="","",Year4_Buckinghamshire Year4_ROSGO_ceased_LAC_SGO)</f>
        <v>14</v>
      </c>
      <c r="AD222" s="372">
        <f>IF(Year5_Buckinghamshire Year5_ROSGO_ceased_LAC_SGO="","",Year5_Buckinghamshire Year5_ROSGO_ceased_LAC_SGO)</f>
        <v>18</v>
      </c>
      <c r="AE222" s="94">
        <f>IF(Year1_Buckinghamshire Year1_Adoption_ceased_LAC="","",Year1_Buckinghamshire Year1_Adoption_ceased_LAC)</f>
        <v>227</v>
      </c>
      <c r="AF222" s="94">
        <f>IF(Year2_Buckinghamshire Year2_Adoption_ceased_LAC="","",Year2_Buckinghamshire Year2_Adoption_ceased_LAC)</f>
        <v>215</v>
      </c>
      <c r="AG222" s="94">
        <f>IF(Year3_Buckinghamshire Year3_Adoption_ceased_LAC="","",Year3_Buckinghamshire Year3_Adoption_ceased_LAC)</f>
        <v>180</v>
      </c>
      <c r="AH222" s="94">
        <f>IF(Year4_Buckinghamshire Year4_Adoption_ceased_LAC="","",Year4_Buckinghamshire Year4_Adoption_ceased_LAC)</f>
        <v>170</v>
      </c>
      <c r="AI222" s="95">
        <f>IF(Year5_Buckinghamshire Year5_Adoption_ceased_LAC="","",Year5_Buckinghamshire Year5_Adoption_ceased_LAC)</f>
        <v>235</v>
      </c>
      <c r="AJ222" s="1363"/>
      <c r="AK222" s="1344"/>
    </row>
    <row r="223" spans="1:46" s="87" customFormat="1" ht="12.75" customHeight="1" x14ac:dyDescent="0.2">
      <c r="A223" s="488">
        <f>VLOOKUP(B223,Sheet1!$AQ$4:$AR$25,2,FALSE)</f>
        <v>0</v>
      </c>
      <c r="B223" s="93" t="str">
        <f t="shared" si="76"/>
        <v>East Sussex</v>
      </c>
      <c r="C223" s="85"/>
      <c r="D223" s="162">
        <f t="shared" si="72"/>
        <v>0.10416666666666667</v>
      </c>
      <c r="E223" s="162">
        <f t="shared" si="73"/>
        <v>0.16216216216216217</v>
      </c>
      <c r="F223" s="162">
        <f t="shared" si="74"/>
        <v>0.1111111111111111</v>
      </c>
      <c r="G223" s="162">
        <f t="shared" si="75"/>
        <v>0.125</v>
      </c>
      <c r="H223" s="164">
        <f t="shared" si="77"/>
        <v>0.125</v>
      </c>
      <c r="I223" s="96"/>
      <c r="J223" s="96"/>
      <c r="K223" s="166"/>
      <c r="L223" s="166"/>
      <c r="M223" s="166"/>
      <c r="N223" s="166"/>
      <c r="O223" s="166"/>
      <c r="P223" s="166"/>
      <c r="Q223" s="166"/>
      <c r="R223" s="167"/>
      <c r="S223" s="159"/>
      <c r="T223" s="159"/>
      <c r="U223" s="166"/>
      <c r="V223" s="122"/>
      <c r="W223" s="139"/>
      <c r="X223" s="1350"/>
      <c r="Y223" s="372" t="str">
        <f t="shared" si="78"/>
        <v>East Sussex</v>
      </c>
      <c r="Z223" s="372">
        <f>IF(Year1_East_Sussex Year1_ROSGO_ceased_LAC_SGO="","",Year1_East_Sussex Year1_ROSGO_ceased_LAC_SGO)</f>
        <v>20</v>
      </c>
      <c r="AA223" s="372">
        <f>IF(Year2_East_Sussex Year2_ROSGO_ceased_LAC_SGO="","",Year2_East_Sussex Year2_ROSGO_ceased_LAC_SGO)</f>
        <v>30</v>
      </c>
      <c r="AB223" s="372">
        <f>IF(Year3_East_Sussex Year3_ROSGO_ceased_LAC_SGO="","",Year3_East_Sussex Year3_ROSGO_ceased_LAC_SGO)</f>
        <v>18</v>
      </c>
      <c r="AC223" s="372">
        <f>IF(Year4_East_Sussex Year4_ROSGO_ceased_LAC_SGO="","",Year4_East_Sussex Year4_ROSGO_ceased_LAC_SGO)</f>
        <v>24</v>
      </c>
      <c r="AD223" s="372">
        <f>IF(Year5_East_Sussex Year5_ROSGO_ceased_LAC_SGO="","",Year5_East_Sussex Year5_ROSGO_ceased_LAC_SGO)</f>
        <v>22</v>
      </c>
      <c r="AE223" s="94">
        <f>IF(Year1_East_Sussex Year1_Adoption_ceased_LAC="","",Year1_East_Sussex Year1_Adoption_ceased_LAC)</f>
        <v>192</v>
      </c>
      <c r="AF223" s="100">
        <f>IF(Year2_East_Sussex Year2_Adoption_ceased_LAC="","",Year2_East_Sussex Year2_Adoption_ceased_LAC)</f>
        <v>185</v>
      </c>
      <c r="AG223" s="94">
        <f>IF(Year3_East_Sussex Year3_Adoption_ceased_LAC="","",Year3_East_Sussex Year3_Adoption_ceased_LAC)</f>
        <v>162</v>
      </c>
      <c r="AH223" s="94">
        <f>IF(Year4_East_Sussex Year4_Adoption_ceased_LAC="","",Year4_East_Sussex Year4_Adoption_ceased_LAC)</f>
        <v>192</v>
      </c>
      <c r="AI223" s="95">
        <f>IF(Year5_East_Sussex Year5_Adoption_ceased_LAC="","",Year5_East_Sussex Year5_Adoption_ceased_LAC)</f>
        <v>176</v>
      </c>
      <c r="AJ223" s="1363"/>
      <c r="AK223" s="1346"/>
    </row>
    <row r="224" spans="1:46" s="87" customFormat="1" ht="12.75" customHeight="1" x14ac:dyDescent="0.2">
      <c r="A224" s="488">
        <f>VLOOKUP(B224,Sheet1!$AQ$4:$AR$25,2,FALSE)</f>
        <v>0</v>
      </c>
      <c r="B224" s="93" t="str">
        <f t="shared" si="76"/>
        <v>Hampshire</v>
      </c>
      <c r="C224" s="85"/>
      <c r="D224" s="162">
        <f t="shared" si="72"/>
        <v>8.2568807339449546E-2</v>
      </c>
      <c r="E224" s="162">
        <f t="shared" si="73"/>
        <v>9.5864661654135333E-2</v>
      </c>
      <c r="F224" s="162">
        <f t="shared" si="74"/>
        <v>0.11522633744855967</v>
      </c>
      <c r="G224" s="162">
        <f t="shared" si="75"/>
        <v>0.1551433389544688</v>
      </c>
      <c r="H224" s="164">
        <f t="shared" si="77"/>
        <v>0.14423076923076922</v>
      </c>
      <c r="I224" s="96"/>
      <c r="J224" s="96"/>
      <c r="K224" s="166"/>
      <c r="L224" s="166"/>
      <c r="M224" s="166"/>
      <c r="N224" s="166"/>
      <c r="O224" s="166"/>
      <c r="P224" s="166"/>
      <c r="Q224" s="166"/>
      <c r="R224" s="167"/>
      <c r="S224" s="159"/>
      <c r="T224" s="159"/>
      <c r="U224" s="166"/>
      <c r="V224" s="122"/>
      <c r="W224" s="139"/>
      <c r="X224" s="1350"/>
      <c r="Y224" s="372" t="str">
        <f t="shared" si="78"/>
        <v>Hampshire</v>
      </c>
      <c r="Z224" s="372">
        <f>IF(Year1_Hampshire Year1_ROSGO_ceased_LAC_SGO="","",Year1_Hampshire Year1_ROSGO_ceased_LAC_SGO)</f>
        <v>45</v>
      </c>
      <c r="AA224" s="372">
        <f>IF(Year2_Hampshire Year2_ROSGO_ceased_LAC_SGO="","",Year2_Hampshire Year2_ROSGO_ceased_LAC_SGO)</f>
        <v>51</v>
      </c>
      <c r="AB224" s="372">
        <f>IF(Year3_Hampshire Year3_ROSGO_ceased_LAC_SGO="","",Year3_Hampshire Year3_ROSGO_ceased_LAC_SGO)</f>
        <v>56</v>
      </c>
      <c r="AC224" s="372">
        <f>IF(Year4_Hampshire Year4_ROSGO_ceased_LAC_SGO="","",Year4_Hampshire Year4_ROSGO_ceased_LAC_SGO)</f>
        <v>92</v>
      </c>
      <c r="AD224" s="372">
        <f>IF(Year5_Hampshire Year5_ROSGO_ceased_LAC_SGO="","",Year5_Hampshire Year5_ROSGO_ceased_LAC_SGO)</f>
        <v>90</v>
      </c>
      <c r="AE224" s="94">
        <f>IF(Year1_Hampshire Year1_Adoption_ceased_LAC="","",Year1_Hampshire Year1_Adoption_ceased_LAC)</f>
        <v>545</v>
      </c>
      <c r="AF224" s="94">
        <f>IF(Year2_Hampshire Year2_Adoption_ceased_LAC="","",Year2_Hampshire Year2_Adoption_ceased_LAC)</f>
        <v>532</v>
      </c>
      <c r="AG224" s="101">
        <f>IF(Year3_Hampshire Year3_Adoption_ceased_LAC="","",Year3_Hampshire Year3_Adoption_ceased_LAC)</f>
        <v>486</v>
      </c>
      <c r="AH224" s="101">
        <f>IF(Year4_Hampshire Year4_Adoption_ceased_LAC="","",Year4_Hampshire Year4_Adoption_ceased_LAC)</f>
        <v>593</v>
      </c>
      <c r="AI224" s="95">
        <f>IF(Year5_Hampshire Year5_Adoption_ceased_LAC="","",Year5_Hampshire Year5_Adoption_ceased_LAC)</f>
        <v>624</v>
      </c>
      <c r="AJ224" s="1363"/>
      <c r="AK224" s="1344"/>
    </row>
    <row r="225" spans="1:45" s="87" customFormat="1" ht="12.75" customHeight="1" x14ac:dyDescent="0.2">
      <c r="A225" s="488">
        <f>VLOOKUP(B225,Sheet1!$AQ$4:$AR$25,2,FALSE)</f>
        <v>0</v>
      </c>
      <c r="B225" s="93" t="str">
        <f t="shared" si="76"/>
        <v>Isle of Wight</v>
      </c>
      <c r="C225" s="85"/>
      <c r="D225" s="162">
        <f t="shared" si="72"/>
        <v>0.13698630136986301</v>
      </c>
      <c r="E225" s="162" t="e">
        <f t="shared" si="73"/>
        <v>#N/A</v>
      </c>
      <c r="F225" s="162" t="e">
        <f t="shared" si="74"/>
        <v>#N/A</v>
      </c>
      <c r="G225" s="162">
        <f t="shared" si="75"/>
        <v>0</v>
      </c>
      <c r="H225" s="164">
        <f t="shared" si="77"/>
        <v>0</v>
      </c>
      <c r="I225" s="96"/>
      <c r="J225" s="96"/>
      <c r="K225" s="166"/>
      <c r="L225" s="166"/>
      <c r="M225" s="166"/>
      <c r="N225" s="166"/>
      <c r="O225" s="166"/>
      <c r="P225" s="166"/>
      <c r="Q225" s="166"/>
      <c r="R225" s="167"/>
      <c r="S225" s="159"/>
      <c r="T225" s="159"/>
      <c r="U225" s="166"/>
      <c r="V225" s="122"/>
      <c r="W225" s="139"/>
      <c r="X225" s="1350"/>
      <c r="Y225" s="372" t="str">
        <f t="shared" si="78"/>
        <v>Isle of Wight</v>
      </c>
      <c r="Z225" s="372">
        <f>IF(Year1_Isle_of_Wight Year1_ROSGO_ceased_LAC_SGO="","",Year1_Isle_of_Wight Year1_ROSGO_ceased_LAC_SGO)</f>
        <v>10</v>
      </c>
      <c r="AA225" s="372" t="str">
        <f>IF(Year2_Isle_of_Wight Year2_ROSGO_ceased_LAC_SGO="","",Year2_Isle_of_Wight Year2_ROSGO_ceased_LAC_SGO)</f>
        <v>x</v>
      </c>
      <c r="AB225" s="372" t="str">
        <f>IF(Year3_Isle_of_Wight Year3_ROSGO_ceased_LAC_SGO="","",Year3_Isle_of_Wight Year3_ROSGO_ceased_LAC_SGO)</f>
        <v>x</v>
      </c>
      <c r="AC225" s="372">
        <f>IF(Year4_Isle_of_Wight Year4_ROSGO_ceased_LAC_SGO="","",Year4_Isle_of_Wight Year4_ROSGO_ceased_LAC_SGO)</f>
        <v>0</v>
      </c>
      <c r="AD225" s="372">
        <f>IF(Year5_Isle_of_Wight Year5_ROSGO_ceased_LAC_SGO="","",Year5_Isle_of_Wight Year5_ROSGO_ceased_LAC_SGO)</f>
        <v>0</v>
      </c>
      <c r="AE225" s="94">
        <f>IF(Year1_Isle_of_Wight Year1_Adoption_ceased_LAC="","",Year1_Isle_of_Wight Year1_Adoption_ceased_LAC)</f>
        <v>73</v>
      </c>
      <c r="AF225" s="94">
        <f>IF(Year2_Isle_of_Wight Year2_Adoption_ceased_LAC="","",Year2_Isle_of_Wight Year2_Adoption_ceased_LAC)</f>
        <v>76</v>
      </c>
      <c r="AG225" s="94">
        <f>IF(Year3_Isle_of_Wight Year3_Adoption_ceased_LAC="","",Year3_Isle_of_Wight Year3_Adoption_ceased_LAC)</f>
        <v>82</v>
      </c>
      <c r="AH225" s="94">
        <f>IF(Year4_Isle_of_Wight Year4_Adoption_ceased_LAC="","",Year4_Isle_of_Wight Year4_Adoption_ceased_LAC)</f>
        <v>61</v>
      </c>
      <c r="AI225" s="95">
        <f>IF(Year5_Isle_of_Wight Year5_Adoption_ceased_LAC="","",Year5_Isle_of_Wight Year5_Adoption_ceased_LAC)</f>
        <v>53</v>
      </c>
      <c r="AJ225" s="1363"/>
      <c r="AK225" s="1346"/>
      <c r="AS225" s="87" t="s">
        <v>102</v>
      </c>
    </row>
    <row r="226" spans="1:45" s="87" customFormat="1" ht="12.75" customHeight="1" x14ac:dyDescent="0.2">
      <c r="A226" s="488">
        <f>VLOOKUP(B226,Sheet1!$AQ$4:$AR$25,2,FALSE)</f>
        <v>0</v>
      </c>
      <c r="B226" s="93" t="str">
        <f t="shared" si="76"/>
        <v>Kent</v>
      </c>
      <c r="C226" s="85"/>
      <c r="D226" s="162">
        <f t="shared" si="72"/>
        <v>4.1705282669138088E-2</v>
      </c>
      <c r="E226" s="162">
        <f t="shared" si="73"/>
        <v>4.1033434650455926E-2</v>
      </c>
      <c r="F226" s="162">
        <f t="shared" si="74"/>
        <v>4.0991420400381312E-2</v>
      </c>
      <c r="G226" s="162">
        <f t="shared" si="75"/>
        <v>5.8977719528178242E-2</v>
      </c>
      <c r="H226" s="164">
        <f t="shared" si="77"/>
        <v>6.6395663956639567E-2</v>
      </c>
      <c r="I226" s="96"/>
      <c r="J226" s="96"/>
      <c r="K226" s="166"/>
      <c r="L226" s="166"/>
      <c r="M226" s="166"/>
      <c r="N226" s="166"/>
      <c r="O226" s="166"/>
      <c r="P226" s="166"/>
      <c r="Q226" s="166"/>
      <c r="R226" s="167"/>
      <c r="S226" s="159"/>
      <c r="T226" s="159"/>
      <c r="U226" s="166"/>
      <c r="V226" s="122"/>
      <c r="W226" s="139"/>
      <c r="X226" s="1350"/>
      <c r="Y226" s="372" t="str">
        <f t="shared" si="78"/>
        <v>Kent</v>
      </c>
      <c r="Z226" s="372">
        <f>IF(Year1_Kent Year1_ROSGO_ceased_LAC_SGO="","",Year1_Kent Year1_ROSGO_ceased_LAC_SGO)</f>
        <v>45</v>
      </c>
      <c r="AA226" s="372">
        <f>IF(Year2_Kent Year2_ROSGO_ceased_LAC_SGO="","",Year2_Kent Year2_ROSGO_ceased_LAC_SGO)</f>
        <v>54</v>
      </c>
      <c r="AB226" s="372">
        <f>IF(Year3_Kent Year3_ROSGO_ceased_LAC_SGO="","",Year3_Kent Year3_ROSGO_ceased_LAC_SGO)</f>
        <v>43</v>
      </c>
      <c r="AC226" s="372">
        <f>IF(Year4_Kent Year4_ROSGO_ceased_LAC_SGO="","",Year4_Kent Year4_ROSGO_ceased_LAC_SGO)</f>
        <v>45</v>
      </c>
      <c r="AD226" s="372">
        <f>IF(Year5_Kent Year5_ROSGO_ceased_LAC_SGO="","",Year5_Kent Year5_ROSGO_ceased_LAC_SGO)</f>
        <v>49</v>
      </c>
      <c r="AE226" s="94">
        <f>IF(Year1_Kent Year1_Adoption_ceased_LAC="","",Year1_Kent Year1_Adoption_ceased_LAC)</f>
        <v>1079</v>
      </c>
      <c r="AF226" s="94">
        <f>IF(Year2_Kent Year2_Adoption_ceased_LAC="","",Year2_Kent Year2_Adoption_ceased_LAC)</f>
        <v>1316</v>
      </c>
      <c r="AG226" s="94">
        <f>IF(Year3_Kent Year3_Adoption_ceased_LAC="","",Year3_Kent Year3_Adoption_ceased_LAC)</f>
        <v>1049</v>
      </c>
      <c r="AH226" s="94">
        <f>IF(Year4_Kent Year4_Adoption_ceased_LAC="","",Year4_Kent Year4_Adoption_ceased_LAC)</f>
        <v>763</v>
      </c>
      <c r="AI226" s="95">
        <f>IF(Year5_Kent Year5_Adoption_ceased_LAC="","",Year5_Kent Year5_Adoption_ceased_LAC)</f>
        <v>738</v>
      </c>
      <c r="AJ226" s="1363"/>
      <c r="AK226" s="1344"/>
    </row>
    <row r="227" spans="1:45" s="87" customFormat="1" ht="12.75" customHeight="1" x14ac:dyDescent="0.2">
      <c r="A227" s="488">
        <f>VLOOKUP(B227,Sheet1!$AQ$4:$AR$25,2,FALSE)</f>
        <v>0</v>
      </c>
      <c r="B227" s="93" t="str">
        <f t="shared" si="76"/>
        <v>Medway</v>
      </c>
      <c r="C227" s="85"/>
      <c r="D227" s="162">
        <f t="shared" si="72"/>
        <v>0.11904761904761904</v>
      </c>
      <c r="E227" s="162">
        <f t="shared" si="73"/>
        <v>0.1497326203208556</v>
      </c>
      <c r="F227" s="162">
        <f t="shared" si="74"/>
        <v>0.11949685534591195</v>
      </c>
      <c r="G227" s="162">
        <f t="shared" si="75"/>
        <v>0.15822784810126583</v>
      </c>
      <c r="H227" s="164">
        <f t="shared" si="77"/>
        <v>0.12777777777777777</v>
      </c>
      <c r="I227" s="96"/>
      <c r="J227" s="96"/>
      <c r="K227" s="166"/>
      <c r="L227" s="166"/>
      <c r="M227" s="166"/>
      <c r="N227" s="166"/>
      <c r="O227" s="166"/>
      <c r="P227" s="166"/>
      <c r="Q227" s="166"/>
      <c r="R227" s="167"/>
      <c r="S227" s="159"/>
      <c r="T227" s="159"/>
      <c r="U227" s="166"/>
      <c r="V227" s="122"/>
      <c r="W227" s="139"/>
      <c r="X227" s="1350"/>
      <c r="Y227" s="372" t="str">
        <f t="shared" si="78"/>
        <v>Medway</v>
      </c>
      <c r="Z227" s="372">
        <f>IF(Year1_Medway Year1_ROSGO_ceased_LAC_SGO="","",Year1_Medway Year1_ROSGO_ceased_LAC_SGO)</f>
        <v>25</v>
      </c>
      <c r="AA227" s="372">
        <f>IF(Year2_Medway Year2_ROSGO_ceased_LAC_SGO="","",Year2_Medway Year2_ROSGO_ceased_LAC_SGO)</f>
        <v>28</v>
      </c>
      <c r="AB227" s="372">
        <f>IF(Year3_Medway Year3_ROSGO_ceased_LAC_SGO="","",Year3_Medway Year3_ROSGO_ceased_LAC_SGO)</f>
        <v>19</v>
      </c>
      <c r="AC227" s="372">
        <f>IF(Year4_Medway Year4_ROSGO_ceased_LAC_SGO="","",Year4_Medway Year4_ROSGO_ceased_LAC_SGO)</f>
        <v>25</v>
      </c>
      <c r="AD227" s="372">
        <f>IF(Year5_Medway Year5_ROSGO_ceased_LAC_SGO="","",Year5_Medway Year5_ROSGO_ceased_LAC_SGO)</f>
        <v>23</v>
      </c>
      <c r="AE227" s="94">
        <f>IF(Year1_Medway Year1_Adoption_ceased_LAC="","",Year1_Medway Year1_Adoption_ceased_LAC)</f>
        <v>210</v>
      </c>
      <c r="AF227" s="301">
        <f>IF(Year2_Medway Year2_Adoption_ceased_LAC="","",Year2_Medway Year2_Adoption_ceased_LAC)</f>
        <v>187</v>
      </c>
      <c r="AG227" s="301">
        <f>IF(Year3_Medway Year3_Adoption_ceased_LAC="","",Year3_Medway Year3_Adoption_ceased_LAC)</f>
        <v>159</v>
      </c>
      <c r="AH227" s="301">
        <f>IF(Year4_Medway Year4_Adoption_ceased_LAC="","",Year4_Medway Year4_Adoption_ceased_LAC)</f>
        <v>158</v>
      </c>
      <c r="AI227" s="302">
        <f>IF(Year5_Medway Year5_Adoption_ceased_LAC="","",Year5_Medway Year5_Adoption_ceased_LAC)</f>
        <v>180</v>
      </c>
      <c r="AJ227" s="1363"/>
      <c r="AK227" s="1346"/>
    </row>
    <row r="228" spans="1:45" s="87" customFormat="1" ht="12.75" customHeight="1" x14ac:dyDescent="0.2">
      <c r="A228" s="488">
        <f>VLOOKUP(B228,Sheet1!$AQ$4:$AR$25,2,FALSE)</f>
        <v>0</v>
      </c>
      <c r="B228" s="93" t="str">
        <f t="shared" si="76"/>
        <v>Milton Keynes</v>
      </c>
      <c r="C228" s="85"/>
      <c r="D228" s="162">
        <f t="shared" si="72"/>
        <v>0.10752688172043011</v>
      </c>
      <c r="E228" s="162">
        <f t="shared" si="73"/>
        <v>0.17763157894736842</v>
      </c>
      <c r="F228" s="162">
        <f t="shared" si="74"/>
        <v>0.24827586206896551</v>
      </c>
      <c r="G228" s="162">
        <f t="shared" si="75"/>
        <v>0.15028901734104047</v>
      </c>
      <c r="H228" s="164">
        <f t="shared" si="77"/>
        <v>0.13513513513513514</v>
      </c>
      <c r="I228" s="96"/>
      <c r="J228" s="96"/>
      <c r="K228" s="166"/>
      <c r="L228" s="166"/>
      <c r="M228" s="166"/>
      <c r="N228" s="166"/>
      <c r="O228" s="166"/>
      <c r="P228" s="166"/>
      <c r="Q228" s="166"/>
      <c r="R228" s="167"/>
      <c r="S228" s="159"/>
      <c r="T228" s="159"/>
      <c r="U228" s="166"/>
      <c r="V228" s="122"/>
      <c r="W228" s="139"/>
      <c r="X228" s="1350"/>
      <c r="Y228" s="372" t="str">
        <f t="shared" si="78"/>
        <v>Milton Keynes</v>
      </c>
      <c r="Z228" s="372">
        <f>IF(Year1_Milton_Keynes Year1_ROSGO_ceased_LAC_SGO="","",Year1_Milton_Keynes Year1_ROSGO_ceased_LAC_SGO)</f>
        <v>20</v>
      </c>
      <c r="AA228" s="372">
        <f>IF(Year2_Milton_Keynes Year2_ROSGO_ceased_LAC_SGO="","",Year2_Milton_Keynes Year2_ROSGO_ceased_LAC_SGO)</f>
        <v>27</v>
      </c>
      <c r="AB228" s="372">
        <f>IF(Year3_Milton_Keynes Year3_ROSGO_ceased_LAC_SGO="","",Year3_Milton_Keynes Year3_ROSGO_ceased_LAC_SGO)</f>
        <v>36</v>
      </c>
      <c r="AC228" s="372">
        <f>IF(Year4_Milton_Keynes Year4_ROSGO_ceased_LAC_SGO="","",Year4_Milton_Keynes Year4_ROSGO_ceased_LAC_SGO)</f>
        <v>26</v>
      </c>
      <c r="AD228" s="372">
        <f>IF(Year5_Milton_Keynes Year5_ROSGO_ceased_LAC_SGO="","",Year5_Milton_Keynes Year5_ROSGO_ceased_LAC_SGO)</f>
        <v>20</v>
      </c>
      <c r="AE228" s="94">
        <f>IF(Year1_Milton_Keynes Year1_Adoption_ceased_LAC="","",Year1_Milton_Keynes Year1_Adoption_ceased_LAC)</f>
        <v>186</v>
      </c>
      <c r="AF228" s="94">
        <f>IF(Year2_Milton_Keynes Year2_Adoption_ceased_LAC="","",Year2_Milton_Keynes Year2_Adoption_ceased_LAC)</f>
        <v>152</v>
      </c>
      <c r="AG228" s="94">
        <f>IF(Year3_Milton_Keynes Year3_Adoption_ceased_LAC="","",Year3_Milton_Keynes Year3_Adoption_ceased_LAC)</f>
        <v>145</v>
      </c>
      <c r="AH228" s="94">
        <f>IF(Year4_Milton_Keynes Year4_Adoption_ceased_LAC="","",Year4_Milton_Keynes Year4_Adoption_ceased_LAC)</f>
        <v>173</v>
      </c>
      <c r="AI228" s="95">
        <f>IF(Year5_Milton_Keynes Year5_Adoption_ceased_LAC="","",Year5_Milton_Keynes Year5_Adoption_ceased_LAC)</f>
        <v>148</v>
      </c>
      <c r="AJ228" s="1363"/>
      <c r="AK228" s="1344"/>
    </row>
    <row r="229" spans="1:45" s="87" customFormat="1" ht="12.75" customHeight="1" x14ac:dyDescent="0.2">
      <c r="A229" s="488">
        <f>VLOOKUP(B229,Sheet1!$AQ$4:$AR$25,2,FALSE)</f>
        <v>0</v>
      </c>
      <c r="B229" s="93" t="str">
        <f t="shared" si="76"/>
        <v>Oxfordshire</v>
      </c>
      <c r="C229" s="85"/>
      <c r="D229" s="162">
        <f t="shared" si="72"/>
        <v>0.10714285714285714</v>
      </c>
      <c r="E229" s="162">
        <f t="shared" si="73"/>
        <v>5.5944055944055944E-2</v>
      </c>
      <c r="F229" s="162">
        <f t="shared" si="74"/>
        <v>0.1476510067114094</v>
      </c>
      <c r="G229" s="162">
        <f t="shared" si="75"/>
        <v>9.5238095238095233E-2</v>
      </c>
      <c r="H229" s="164">
        <f t="shared" si="77"/>
        <v>0.13664596273291926</v>
      </c>
      <c r="I229" s="96"/>
      <c r="J229" s="96"/>
      <c r="K229" s="166"/>
      <c r="L229" s="166"/>
      <c r="M229" s="166"/>
      <c r="N229" s="166"/>
      <c r="O229" s="166"/>
      <c r="P229" s="166"/>
      <c r="Q229" s="166"/>
      <c r="R229" s="167"/>
      <c r="S229" s="159"/>
      <c r="T229" s="159"/>
      <c r="U229" s="166"/>
      <c r="V229" s="122"/>
      <c r="W229" s="139"/>
      <c r="X229" s="1350"/>
      <c r="Y229" s="372" t="str">
        <f t="shared" si="78"/>
        <v>Oxfordshire</v>
      </c>
      <c r="Z229" s="372">
        <f>IF(Year1_Oxfordshire Year1_ROSGO_ceased_LAC_SGO="","",Year1_Oxfordshire Year1_ROSGO_ceased_LAC_SGO)</f>
        <v>30</v>
      </c>
      <c r="AA229" s="372">
        <f>IF(Year2_Oxfordshire Year2_ROSGO_ceased_LAC_SGO="","",Year2_Oxfordshire Year2_ROSGO_ceased_LAC_SGO)</f>
        <v>16</v>
      </c>
      <c r="AB229" s="372">
        <f>IF(Year3_Oxfordshire Year3_ROSGO_ceased_LAC_SGO="","",Year3_Oxfordshire Year3_ROSGO_ceased_LAC_SGO)</f>
        <v>44</v>
      </c>
      <c r="AC229" s="372">
        <f>IF(Year4_Oxfordshire Year4_ROSGO_ceased_LAC_SGO="","",Year4_Oxfordshire Year4_ROSGO_ceased_LAC_SGO)</f>
        <v>26</v>
      </c>
      <c r="AD229" s="372">
        <f>IF(Year5_Oxfordshire Year5_ROSGO_ceased_LAC_SGO="","",Year5_Oxfordshire Year5_ROSGO_ceased_LAC_SGO)</f>
        <v>44</v>
      </c>
      <c r="AE229" s="94">
        <f>IF(Year1_Oxfordshire Year1_Adoption_ceased_LAC="","",Year1_Oxfordshire Year1_Adoption_ceased_LAC)</f>
        <v>280</v>
      </c>
      <c r="AF229" s="94">
        <f>IF(Year2_Oxfordshire Year2_Adoption_ceased_LAC="","",Year2_Oxfordshire Year2_Adoption_ceased_LAC)</f>
        <v>286</v>
      </c>
      <c r="AG229" s="94">
        <f>IF(Year3_Oxfordshire Year3_Adoption_ceased_LAC="","",Year3_Oxfordshire Year3_Adoption_ceased_LAC)</f>
        <v>298</v>
      </c>
      <c r="AH229" s="94">
        <f>IF(Year4_Oxfordshire Year4_Adoption_ceased_LAC="","",Year4_Oxfordshire Year4_Adoption_ceased_LAC)</f>
        <v>273</v>
      </c>
      <c r="AI229" s="95">
        <f>IF(Year5_Oxfordshire Year5_Adoption_ceased_LAC="","",Year5_Oxfordshire Year5_Adoption_ceased_LAC)</f>
        <v>322</v>
      </c>
      <c r="AJ229" s="1363"/>
      <c r="AK229" s="1346"/>
    </row>
    <row r="230" spans="1:45" s="87" customFormat="1" ht="12.75" customHeight="1" x14ac:dyDescent="0.2">
      <c r="A230" s="488">
        <f>VLOOKUP(B230,Sheet1!$AQ$4:$AR$25,2,FALSE)</f>
        <v>0</v>
      </c>
      <c r="B230" s="93" t="str">
        <f t="shared" si="76"/>
        <v>Portsmouth</v>
      </c>
      <c r="C230" s="85"/>
      <c r="D230" s="162">
        <f t="shared" si="72"/>
        <v>0.11904761904761904</v>
      </c>
      <c r="E230" s="162">
        <f t="shared" si="73"/>
        <v>9.7560975609756101E-2</v>
      </c>
      <c r="F230" s="162">
        <f t="shared" si="74"/>
        <v>0.11827956989247312</v>
      </c>
      <c r="G230" s="162">
        <f t="shared" si="75"/>
        <v>4.3478260869565216E-2</v>
      </c>
      <c r="H230" s="164">
        <f t="shared" si="77"/>
        <v>3.4313725490196081E-2</v>
      </c>
      <c r="I230" s="96"/>
      <c r="J230" s="96"/>
      <c r="K230" s="166"/>
      <c r="L230" s="166"/>
      <c r="M230" s="166"/>
      <c r="N230" s="166"/>
      <c r="O230" s="166"/>
      <c r="P230" s="166"/>
      <c r="Q230" s="166"/>
      <c r="R230" s="167"/>
      <c r="S230" s="159"/>
      <c r="T230" s="159"/>
      <c r="U230" s="166"/>
      <c r="V230" s="122"/>
      <c r="W230" s="139"/>
      <c r="X230" s="1350"/>
      <c r="Y230" s="372" t="str">
        <f t="shared" si="78"/>
        <v>Portsmouth</v>
      </c>
      <c r="Z230" s="372">
        <f>IF(Year1_Portsmouth Year1_ROSGO_ceased_LAC_SGO="","",Year1_Portsmouth Year1_ROSGO_ceased_LAC_SGO)</f>
        <v>15</v>
      </c>
      <c r="AA230" s="372">
        <f>IF(Year2_Portsmouth Year2_ROSGO_ceased_LAC_SGO="","",Year2_Portsmouth Year2_ROSGO_ceased_LAC_SGO)</f>
        <v>12</v>
      </c>
      <c r="AB230" s="372">
        <f>IF(Year3_Portsmouth Year3_ROSGO_ceased_LAC_SGO="","",Year3_Portsmouth Year3_ROSGO_ceased_LAC_SGO)</f>
        <v>22</v>
      </c>
      <c r="AC230" s="372">
        <f>IF(Year4_Portsmouth Year4_ROSGO_ceased_LAC_SGO="","",Year4_Portsmouth Year4_ROSGO_ceased_LAC_SGO)</f>
        <v>7</v>
      </c>
      <c r="AD230" s="372">
        <f>IF(Year5_Portsmouth Year5_ROSGO_ceased_LAC_SGO="","",Year5_Portsmouth Year5_ROSGO_ceased_LAC_SGO)</f>
        <v>7</v>
      </c>
      <c r="AE230" s="94">
        <f>IF(Year1_Portsmouth Year1_Adoption_ceased_LAC="","",Year1_Portsmouth Year1_Adoption_ceased_LAC)</f>
        <v>126</v>
      </c>
      <c r="AF230" s="94">
        <f>IF(Year2_Portsmouth Year2_Adoption_ceased_LAC="","",Year2_Portsmouth Year2_Adoption_ceased_LAC)</f>
        <v>123</v>
      </c>
      <c r="AG230" s="94">
        <f>IF(Year3_Portsmouth Year3_Adoption_ceased_LAC="","",Year3_Portsmouth Year3_Adoption_ceased_LAC)</f>
        <v>186</v>
      </c>
      <c r="AH230" s="94">
        <f>IF(Year4_Portsmouth Year4_Adoption_ceased_LAC="","",Year4_Portsmouth Year4_Adoption_ceased_LAC)</f>
        <v>161</v>
      </c>
      <c r="AI230" s="95">
        <f>IF(Year5_Portsmouth Year5_Adoption_ceased_LAC="","",Year5_Portsmouth Year5_Adoption_ceased_LAC)</f>
        <v>204</v>
      </c>
      <c r="AJ230" s="1363"/>
      <c r="AK230" s="1344"/>
    </row>
    <row r="231" spans="1:45" s="87" customFormat="1" ht="12.75" customHeight="1" x14ac:dyDescent="0.2">
      <c r="A231" s="488">
        <f>VLOOKUP(B231,Sheet1!$AQ$4:$AR$25,2,FALSE)</f>
        <v>0</v>
      </c>
      <c r="B231" s="93" t="str">
        <f t="shared" si="76"/>
        <v>Reading</v>
      </c>
      <c r="C231" s="85"/>
      <c r="D231" s="162">
        <f t="shared" si="72"/>
        <v>0.16260162601626016</v>
      </c>
      <c r="E231" s="162">
        <f t="shared" si="73"/>
        <v>0.08</v>
      </c>
      <c r="F231" s="162">
        <f t="shared" si="74"/>
        <v>0.15217391304347827</v>
      </c>
      <c r="G231" s="162">
        <f t="shared" si="75"/>
        <v>0.14736842105263157</v>
      </c>
      <c r="H231" s="164">
        <f t="shared" si="77"/>
        <v>0.15596330275229359</v>
      </c>
      <c r="I231" s="96"/>
      <c r="J231" s="96"/>
      <c r="K231" s="166"/>
      <c r="L231" s="166"/>
      <c r="M231" s="166"/>
      <c r="N231" s="166"/>
      <c r="O231" s="166"/>
      <c r="P231" s="166"/>
      <c r="Q231" s="166"/>
      <c r="R231" s="167"/>
      <c r="S231" s="159"/>
      <c r="T231" s="159"/>
      <c r="U231" s="166"/>
      <c r="V231" s="122"/>
      <c r="W231" s="139"/>
      <c r="X231" s="1350"/>
      <c r="Y231" s="372" t="str">
        <f t="shared" si="78"/>
        <v>Reading</v>
      </c>
      <c r="Z231" s="372">
        <f>IF(Year1_Reading Year1_ROSGO_ceased_LAC_SGO="","",Year1_Reading Year1_ROSGO_ceased_LAC_SGO)</f>
        <v>20</v>
      </c>
      <c r="AA231" s="372">
        <f>IF(Year2_Reading Year2_ROSGO_ceased_LAC_SGO="","",Year2_Reading Year2_ROSGO_ceased_LAC_SGO)</f>
        <v>8</v>
      </c>
      <c r="AB231" s="372">
        <f>IF(Year3_Reading Year3_ROSGO_ceased_LAC_SGO="","",Year3_Reading Year3_ROSGO_ceased_LAC_SGO)</f>
        <v>14</v>
      </c>
      <c r="AC231" s="372">
        <f>IF(Year4_Reading Year4_ROSGO_ceased_LAC_SGO="","",Year4_Reading Year4_ROSGO_ceased_LAC_SGO)</f>
        <v>14</v>
      </c>
      <c r="AD231" s="372">
        <f>IF(Year5_Reading Year5_ROSGO_ceased_LAC_SGO="","",Year5_Reading Year5_ROSGO_ceased_LAC_SGO)</f>
        <v>17</v>
      </c>
      <c r="AE231" s="94">
        <f>IF(Year1_Reading Year1_Adoption_ceased_LAC="","",Year1_Reading Year1_Adoption_ceased_LAC)</f>
        <v>123</v>
      </c>
      <c r="AF231" s="94">
        <f>IF(Year2_Reading Year2_Adoption_ceased_LAC="","",Year2_Reading Year2_Adoption_ceased_LAC)</f>
        <v>100</v>
      </c>
      <c r="AG231" s="94">
        <f>IF(Year3_Reading Year3_Adoption_ceased_LAC="","",Year3_Reading Year3_Adoption_ceased_LAC)</f>
        <v>92</v>
      </c>
      <c r="AH231" s="94">
        <f>IF(Year4_Reading Year4_Adoption_ceased_LAC="","",Year4_Reading Year4_Adoption_ceased_LAC)</f>
        <v>95</v>
      </c>
      <c r="AI231" s="95">
        <f>IF(Year5_Reading Year5_Adoption_ceased_LAC="","",Year5_Reading Year5_Adoption_ceased_LAC)</f>
        <v>109</v>
      </c>
      <c r="AJ231" s="1363"/>
      <c r="AK231" s="1346"/>
    </row>
    <row r="232" spans="1:45" s="87" customFormat="1" ht="12.75" customHeight="1" x14ac:dyDescent="0.2">
      <c r="A232" s="488">
        <f>VLOOKUP(B232,Sheet1!$AQ$4:$AR$25,2,FALSE)</f>
        <v>0</v>
      </c>
      <c r="B232" s="93" t="str">
        <f t="shared" si="76"/>
        <v>Slough</v>
      </c>
      <c r="C232" s="85"/>
      <c r="D232" s="162">
        <f t="shared" si="72"/>
        <v>0.16233766233766234</v>
      </c>
      <c r="E232" s="162">
        <f t="shared" si="73"/>
        <v>8.9285714285714288E-2</v>
      </c>
      <c r="F232" s="162">
        <f t="shared" si="74"/>
        <v>0.125</v>
      </c>
      <c r="G232" s="162">
        <f t="shared" si="75"/>
        <v>7.0866141732283464E-2</v>
      </c>
      <c r="H232" s="164">
        <f t="shared" si="77"/>
        <v>0</v>
      </c>
      <c r="I232" s="96"/>
      <c r="J232" s="96"/>
      <c r="K232" s="166"/>
      <c r="L232" s="166"/>
      <c r="M232" s="166"/>
      <c r="N232" s="166"/>
      <c r="O232" s="166"/>
      <c r="P232" s="166"/>
      <c r="Q232" s="166"/>
      <c r="R232" s="167"/>
      <c r="S232" s="159"/>
      <c r="T232" s="159"/>
      <c r="U232" s="166"/>
      <c r="V232" s="122"/>
      <c r="W232" s="139"/>
      <c r="X232" s="1350"/>
      <c r="Y232" s="372" t="str">
        <f t="shared" si="78"/>
        <v>Slough</v>
      </c>
      <c r="Z232" s="372">
        <f>IF(Year1_Slough Year1_ROSGO_ceased_LAC_SGO="","",Year1_Slough Year1_ROSGO_ceased_LAC_SGO)</f>
        <v>25</v>
      </c>
      <c r="AA232" s="372">
        <f>IF(Year2_Slough Year2_ROSGO_ceased_LAC_SGO="","",Year2_Slough Year2_ROSGO_ceased_LAC_SGO)</f>
        <v>10</v>
      </c>
      <c r="AB232" s="372">
        <f>IF(Year3_Slough Year3_ROSGO_ceased_LAC_SGO="","",Year3_Slough Year3_ROSGO_ceased_LAC_SGO)</f>
        <v>14</v>
      </c>
      <c r="AC232" s="372">
        <f>IF(Year4_Slough Year4_ROSGO_ceased_LAC_SGO="","",Year4_Slough Year4_ROSGO_ceased_LAC_SGO)</f>
        <v>9</v>
      </c>
      <c r="AD232" s="372">
        <f>IF(Year5_Slough Year5_ROSGO_ceased_LAC_SGO="","",Year5_Slough Year5_ROSGO_ceased_LAC_SGO)</f>
        <v>0</v>
      </c>
      <c r="AE232" s="94">
        <f>IF(Year1_Slough Year1_Adoption_ceased_LAC="","",Year1_Slough Year1_Adoption_ceased_LAC)</f>
        <v>154</v>
      </c>
      <c r="AF232" s="94">
        <f>IF(Year2_Slough Year2_Adoption_ceased_LAC="","",Year2_Slough Year2_Adoption_ceased_LAC)</f>
        <v>112</v>
      </c>
      <c r="AG232" s="94">
        <f>IF(Year3_Slough Year3_Adoption_ceased_LAC="","",Year3_Slough Year3_Adoption_ceased_LAC)</f>
        <v>112</v>
      </c>
      <c r="AH232" s="94">
        <f>IF(Year4_Slough Year4_Adoption_ceased_LAC="","",Year4_Slough Year4_Adoption_ceased_LAC)</f>
        <v>127</v>
      </c>
      <c r="AI232" s="95">
        <f>IF(Year5_Slough Year5_Adoption_ceased_LAC="","",Year5_Slough Year5_Adoption_ceased_LAC)</f>
        <v>125</v>
      </c>
      <c r="AJ232" s="1363"/>
      <c r="AK232" s="1344"/>
    </row>
    <row r="233" spans="1:45" s="87" customFormat="1" ht="12.75" customHeight="1" x14ac:dyDescent="0.2">
      <c r="A233" s="488">
        <f>VLOOKUP(B233,Sheet1!$AQ$4:$AR$25,2,FALSE)</f>
        <v>0</v>
      </c>
      <c r="B233" s="93" t="str">
        <f t="shared" si="76"/>
        <v>Somerset</v>
      </c>
      <c r="C233" s="85"/>
      <c r="D233" s="162">
        <f t="shared" si="72"/>
        <v>6.5502183406113537E-2</v>
      </c>
      <c r="E233" s="162">
        <f t="shared" si="73"/>
        <v>0.11494252873563218</v>
      </c>
      <c r="F233" s="162">
        <f t="shared" si="74"/>
        <v>0.12556053811659193</v>
      </c>
      <c r="G233" s="162">
        <f t="shared" si="75"/>
        <v>7.0652173913043473E-2</v>
      </c>
      <c r="H233" s="164">
        <f t="shared" si="77"/>
        <v>0.10152284263959391</v>
      </c>
      <c r="I233" s="96"/>
      <c r="J233" s="96"/>
      <c r="K233" s="166"/>
      <c r="L233" s="166"/>
      <c r="M233" s="166"/>
      <c r="N233" s="166"/>
      <c r="O233" s="166"/>
      <c r="P233" s="166"/>
      <c r="Q233" s="166"/>
      <c r="R233" s="167"/>
      <c r="S233" s="159"/>
      <c r="T233" s="159"/>
      <c r="U233" s="166"/>
      <c r="V233" s="122"/>
      <c r="W233" s="139"/>
      <c r="X233" s="1350"/>
      <c r="Y233" s="372" t="str">
        <f t="shared" si="78"/>
        <v>Somerset</v>
      </c>
      <c r="Z233" s="372">
        <f>IF(Year1_Somerset Year1_ROSGO_ceased_LAC_SGO="","",Year1_Somerset Year1_ROSGO_ceased_LAC_SGO)</f>
        <v>15</v>
      </c>
      <c r="AA233" s="372">
        <f>IF(Year2_Somerset Year2_ROSGO_ceased_LAC_SGO="","",Year2_Somerset Year2_ROSGO_ceased_LAC_SGO)</f>
        <v>30</v>
      </c>
      <c r="AB233" s="372">
        <f>IF(Year3_Somerset Year3_ROSGO_ceased_LAC_SGO="","",Year3_Somerset Year3_ROSGO_ceased_LAC_SGO)</f>
        <v>28</v>
      </c>
      <c r="AC233" s="372">
        <f>IF(Year4_Somerset Year4_ROSGO_ceased_LAC_SGO="","",Year4_Somerset Year4_ROSGO_ceased_LAC_SGO)</f>
        <v>13</v>
      </c>
      <c r="AD233" s="372">
        <f>IF(Year5_Somerset Year5_ROSGO_ceased_LAC_SGO="","",Year5_Somerset Year5_ROSGO_ceased_LAC_SGO)</f>
        <v>20</v>
      </c>
      <c r="AE233" s="94">
        <f>IF(Year1_Somerset Year1_Adoption_ceased_LAC="","",Year1_Somerset Year1_Adoption_ceased_LAC)</f>
        <v>229</v>
      </c>
      <c r="AF233" s="94">
        <f>IF(Year2_Somerset Year2_Adoption_ceased_LAC="","",Year2_Somerset Year2_Adoption_ceased_LAC)</f>
        <v>261</v>
      </c>
      <c r="AG233" s="94">
        <f>IF(Year3_Somerset Year3_Adoption_ceased_LAC="","",Year3_Somerset Year3_Adoption_ceased_LAC)</f>
        <v>223</v>
      </c>
      <c r="AH233" s="94">
        <f>IF(Year4_Somerset Year4_Adoption_ceased_LAC="","",Year4_Somerset Year4_Adoption_ceased_LAC)</f>
        <v>184</v>
      </c>
      <c r="AI233" s="95">
        <f>IF(Year5_Somerset Year5_Adoption_ceased_LAC="","",Year5_Somerset Year5_Adoption_ceased_LAC)</f>
        <v>197</v>
      </c>
      <c r="AJ233" s="1363"/>
      <c r="AK233" s="1346"/>
    </row>
    <row r="234" spans="1:45" s="87" customFormat="1" ht="12.75" customHeight="1" x14ac:dyDescent="0.2">
      <c r="A234" s="488">
        <f>VLOOKUP(B234,Sheet1!$AQ$4:$AR$25,2,FALSE)</f>
        <v>0</v>
      </c>
      <c r="B234" s="93" t="str">
        <f t="shared" si="76"/>
        <v>Southampton</v>
      </c>
      <c r="C234" s="85"/>
      <c r="D234" s="162">
        <f t="shared" si="72"/>
        <v>0.14634146341463414</v>
      </c>
      <c r="E234" s="162">
        <f t="shared" si="73"/>
        <v>0.15837104072398189</v>
      </c>
      <c r="F234" s="162">
        <f t="shared" si="74"/>
        <v>0.19796954314720813</v>
      </c>
      <c r="G234" s="162">
        <f t="shared" si="75"/>
        <v>0.17289719626168223</v>
      </c>
      <c r="H234" s="164">
        <f t="shared" si="77"/>
        <v>8.5427135678391955E-2</v>
      </c>
      <c r="I234" s="96"/>
      <c r="J234" s="96"/>
      <c r="K234" s="166"/>
      <c r="L234" s="166"/>
      <c r="M234" s="166"/>
      <c r="N234" s="166"/>
      <c r="O234" s="166"/>
      <c r="P234" s="166"/>
      <c r="Q234" s="166"/>
      <c r="R234" s="167"/>
      <c r="S234" s="159"/>
      <c r="T234" s="159"/>
      <c r="U234" s="166"/>
      <c r="V234" s="122"/>
      <c r="W234" s="139"/>
      <c r="X234" s="1350"/>
      <c r="Y234" s="372" t="str">
        <f t="shared" si="78"/>
        <v>Southampton</v>
      </c>
      <c r="Z234" s="372">
        <f>IF(Year1_Southampton Year1_ROSGO_ceased_LAC_SGO="","",Year1_Southampton Year1_ROSGO_ceased_LAC_SGO)</f>
        <v>30</v>
      </c>
      <c r="AA234" s="372">
        <f>IF(Year2_Southampton Year2_ROSGO_ceased_LAC_SGO="","",Year2_Southampton Year2_ROSGO_ceased_LAC_SGO)</f>
        <v>35</v>
      </c>
      <c r="AB234" s="372">
        <f>IF(Year3_Southampton Year3_ROSGO_ceased_LAC_SGO="","",Year3_Southampton Year3_ROSGO_ceased_LAC_SGO)</f>
        <v>39</v>
      </c>
      <c r="AC234" s="372">
        <f>IF(Year4_Southampton Year4_ROSGO_ceased_LAC_SGO="","",Year4_Southampton Year4_ROSGO_ceased_LAC_SGO)</f>
        <v>37</v>
      </c>
      <c r="AD234" s="372">
        <f>IF(Year5_Southampton Year5_ROSGO_ceased_LAC_SGO="","",Year5_Southampton Year5_ROSGO_ceased_LAC_SGO)</f>
        <v>17</v>
      </c>
      <c r="AE234" s="94">
        <f>IF(Year1_Southampton Year1_Adoption_ceased_LAC="","",Year1_Southampton Year1_Adoption_ceased_LAC)</f>
        <v>205</v>
      </c>
      <c r="AF234" s="94">
        <f>IF(Year2_Southampton Year2_Adoption_ceased_LAC="","",Year2_Southampton Year2_Adoption_ceased_LAC)</f>
        <v>221</v>
      </c>
      <c r="AG234" s="94">
        <f>IF(Year3_Southampton Year3_Adoption_ceased_LAC="","",Year3_Southampton Year3_Adoption_ceased_LAC)</f>
        <v>197</v>
      </c>
      <c r="AH234" s="94">
        <f>IF(Year4_Southampton Year4_Adoption_ceased_LAC="","",Year4_Southampton Year4_Adoption_ceased_LAC)</f>
        <v>214</v>
      </c>
      <c r="AI234" s="95">
        <f>IF(Year5_Southampton Year5_Adoption_ceased_LAC="","",Year5_Southampton Year5_Adoption_ceased_LAC)</f>
        <v>199</v>
      </c>
      <c r="AJ234" s="1363"/>
      <c r="AK234" s="1344"/>
    </row>
    <row r="235" spans="1:45" s="87" customFormat="1" ht="12.75" customHeight="1" x14ac:dyDescent="0.2">
      <c r="A235" s="488">
        <f>VLOOKUP(B235,Sheet1!$AQ$4:$AR$25,2,FALSE)</f>
        <v>0</v>
      </c>
      <c r="B235" s="93" t="str">
        <f t="shared" si="76"/>
        <v>Surrey</v>
      </c>
      <c r="C235" s="85"/>
      <c r="D235" s="162">
        <f t="shared" si="72"/>
        <v>9.8765432098765427E-2</v>
      </c>
      <c r="E235" s="162">
        <f t="shared" si="73"/>
        <v>0.13365155131264916</v>
      </c>
      <c r="F235" s="162">
        <f t="shared" si="74"/>
        <v>0.12469437652811736</v>
      </c>
      <c r="G235" s="162">
        <f t="shared" si="75"/>
        <v>0.10913705583756345</v>
      </c>
      <c r="H235" s="164">
        <f t="shared" si="77"/>
        <v>9.8630136986301367E-2</v>
      </c>
      <c r="I235" s="96"/>
      <c r="J235" s="96"/>
      <c r="K235" s="166"/>
      <c r="L235" s="166"/>
      <c r="M235" s="166"/>
      <c r="N235" s="166"/>
      <c r="O235" s="166"/>
      <c r="P235" s="166"/>
      <c r="Q235" s="166"/>
      <c r="R235" s="167"/>
      <c r="S235" s="159"/>
      <c r="T235" s="159"/>
      <c r="U235" s="166"/>
      <c r="V235" s="122"/>
      <c r="W235" s="139"/>
      <c r="X235" s="1350"/>
      <c r="Y235" s="372" t="str">
        <f t="shared" si="78"/>
        <v>Surrey</v>
      </c>
      <c r="Z235" s="372">
        <f>IF(Year1_Surrey Year1_ROSGO_ceased_LAC_SGO="","",Year1_Surrey Year1_ROSGO_ceased_LAC_SGO)</f>
        <v>40</v>
      </c>
      <c r="AA235" s="372">
        <f>IF(Year2_Surrey Year2_ROSGO_ceased_LAC_SGO="","",Year2_Surrey Year2_ROSGO_ceased_LAC_SGO)</f>
        <v>56</v>
      </c>
      <c r="AB235" s="372">
        <f>IF(Year3_Surrey Year3_ROSGO_ceased_LAC_SGO="","",Year3_Surrey Year3_ROSGO_ceased_LAC_SGO)</f>
        <v>51</v>
      </c>
      <c r="AC235" s="372">
        <f>IF(Year4_Surrey Year4_ROSGO_ceased_LAC_SGO="","",Year4_Surrey Year4_ROSGO_ceased_LAC_SGO)</f>
        <v>43</v>
      </c>
      <c r="AD235" s="372">
        <f>IF(Year5_Surrey Year5_ROSGO_ceased_LAC_SGO="","",Year5_Surrey Year5_ROSGO_ceased_LAC_SGO)</f>
        <v>36</v>
      </c>
      <c r="AE235" s="94">
        <f>IF(Year1_Surrey Year1_Adoption_ceased_LAC="","",Year1_Surrey Year1_Adoption_ceased_LAC)</f>
        <v>405</v>
      </c>
      <c r="AF235" s="94">
        <f>IF(Year2_Surrey Year2_Adoption_ceased_LAC="","",Year2_Surrey Year2_Adoption_ceased_LAC)</f>
        <v>419</v>
      </c>
      <c r="AG235" s="94">
        <f>IF(Year3_Surrey Year3_Adoption_ceased_LAC="","",Year3_Surrey Year3_Adoption_ceased_LAC)</f>
        <v>409</v>
      </c>
      <c r="AH235" s="94">
        <f>IF(Year4_Surrey Year4_Adoption_ceased_LAC="","",Year4_Surrey Year4_Adoption_ceased_LAC)</f>
        <v>394</v>
      </c>
      <c r="AI235" s="95">
        <f>IF(Year5_Surrey Year5_Adoption_ceased_LAC="","",Year5_Surrey Year5_Adoption_ceased_LAC)</f>
        <v>365</v>
      </c>
      <c r="AJ235" s="1363"/>
      <c r="AK235" s="1346"/>
    </row>
    <row r="236" spans="1:45" s="87" customFormat="1" ht="12.75" customHeight="1" x14ac:dyDescent="0.2">
      <c r="A236" s="488">
        <f>VLOOKUP(B236,Sheet1!$AQ$4:$AR$25,2,FALSE)</f>
        <v>0</v>
      </c>
      <c r="B236" s="93" t="str">
        <f t="shared" si="76"/>
        <v>Swindon</v>
      </c>
      <c r="C236" s="85"/>
      <c r="D236" s="162">
        <f t="shared" si="72"/>
        <v>7.1942446043165464E-2</v>
      </c>
      <c r="E236" s="162">
        <f t="shared" si="73"/>
        <v>0.12666666666666668</v>
      </c>
      <c r="F236" s="162">
        <f t="shared" si="74"/>
        <v>0.18064516129032257</v>
      </c>
      <c r="G236" s="162">
        <f t="shared" si="75"/>
        <v>0.21476510067114093</v>
      </c>
      <c r="H236" s="164">
        <f t="shared" si="77"/>
        <v>9.6774193548387094E-2</v>
      </c>
      <c r="I236" s="96"/>
      <c r="J236" s="96"/>
      <c r="K236" s="166"/>
      <c r="L236" s="166"/>
      <c r="M236" s="166"/>
      <c r="N236" s="166"/>
      <c r="O236" s="166"/>
      <c r="P236" s="166"/>
      <c r="Q236" s="166"/>
      <c r="R236" s="167"/>
      <c r="S236" s="159"/>
      <c r="T236" s="159"/>
      <c r="U236" s="166"/>
      <c r="V236" s="122"/>
      <c r="W236" s="139"/>
      <c r="X236" s="1350"/>
      <c r="Y236" s="372" t="str">
        <f t="shared" si="78"/>
        <v>Swindon</v>
      </c>
      <c r="Z236" s="372">
        <f>IF(Year1_Swindon Year1_ROSGO_ceased_LAC_SGO="","",Year1_Swindon Year1_ROSGO_ceased_LAC_SGO)</f>
        <v>10</v>
      </c>
      <c r="AA236" s="372">
        <f>IF(Year2_Swindon Year2_ROSGO_ceased_LAC_SGO="","",Year2_Swindon Year2_ROSGO_ceased_LAC_SGO)</f>
        <v>19</v>
      </c>
      <c r="AB236" s="372">
        <f>IF(Year3_Swindon Year3_ROSGO_ceased_LAC_SGO="","",Year3_Swindon Year3_ROSGO_ceased_LAC_SGO)</f>
        <v>28</v>
      </c>
      <c r="AC236" s="605">
        <f>IF(Year4_Swindon Year4_ROSGO_ceased_LAC_SGO="","",Year4_Swindon Year4_ROSGO_ceased_LAC_SGO)</f>
        <v>32</v>
      </c>
      <c r="AD236" s="605">
        <f>IF(Year5_Swindon Year5_ROSGO_ceased_LAC_SGO="","",Year5_Swindon Year5_ROSGO_ceased_LAC_SGO)</f>
        <v>15</v>
      </c>
      <c r="AE236" s="94">
        <f>IF(Year1_Swindon Year1_Adoption_ceased_LAC="","",Year1_Swindon Year1_Adoption_ceased_LAC)</f>
        <v>139</v>
      </c>
      <c r="AF236" s="94">
        <f>IF(Year2_Swindon Year2_Adoption_ceased_LAC="","",Year2_Swindon Year2_Adoption_ceased_LAC)</f>
        <v>150</v>
      </c>
      <c r="AG236" s="94">
        <f>IF(Year3_Swindon Year3_Adoption_ceased_LAC="","",Year3_Swindon Year3_Adoption_ceased_LAC)</f>
        <v>155</v>
      </c>
      <c r="AH236" s="94">
        <f>IF(Year4_Swindon Year4_Adoption_ceased_LAC="","",Year4_Swindon Year4_Adoption_ceased_LAC)</f>
        <v>149</v>
      </c>
      <c r="AI236" s="95">
        <f>IF(Year5_Swindon Year5_Adoption_ceased_LAC="","",Year5_Swindon Year5_Adoption_ceased_LAC)</f>
        <v>155</v>
      </c>
      <c r="AJ236" s="1363"/>
      <c r="AK236" s="1344"/>
    </row>
    <row r="237" spans="1:45" s="87" customFormat="1" ht="12.75" customHeight="1" x14ac:dyDescent="0.2">
      <c r="A237" s="488">
        <f>VLOOKUP(B237,Sheet1!$AQ$4:$AR$25,2,FALSE)</f>
        <v>0</v>
      </c>
      <c r="B237" s="93" t="str">
        <f t="shared" si="76"/>
        <v>Torbay</v>
      </c>
      <c r="C237" s="85"/>
      <c r="D237" s="162">
        <f t="shared" si="72"/>
        <v>0.08</v>
      </c>
      <c r="E237" s="162">
        <f t="shared" si="73"/>
        <v>0.14814814814814814</v>
      </c>
      <c r="F237" s="162">
        <f t="shared" si="74"/>
        <v>9.8039215686274508E-2</v>
      </c>
      <c r="G237" s="162">
        <f t="shared" si="75"/>
        <v>0.10169491525423729</v>
      </c>
      <c r="H237" s="164">
        <f t="shared" si="77"/>
        <v>0.1276595744680851</v>
      </c>
      <c r="I237" s="96"/>
      <c r="J237" s="96"/>
      <c r="K237" s="166"/>
      <c r="L237" s="166"/>
      <c r="M237" s="166"/>
      <c r="N237" s="166"/>
      <c r="O237" s="166"/>
      <c r="P237" s="166"/>
      <c r="Q237" s="166"/>
      <c r="R237" s="167"/>
      <c r="S237" s="159"/>
      <c r="T237" s="159"/>
      <c r="U237" s="166"/>
      <c r="V237" s="122"/>
      <c r="W237" s="139"/>
      <c r="X237" s="1350"/>
      <c r="Y237" s="372" t="str">
        <f t="shared" si="78"/>
        <v>Torbay</v>
      </c>
      <c r="Z237" s="372">
        <f>IF(Year1_Torbay Year1_ROSGO_ceased_LAC_SGO="","",Year1_Torbay Year1_ROSGO_ceased_LAC_SGO)</f>
        <v>10</v>
      </c>
      <c r="AA237" s="372">
        <f>IF(Year2_Torbay Year2_ROSGO_ceased_LAC_SGO="","",Year2_Torbay Year2_ROSGO_ceased_LAC_SGO)</f>
        <v>16</v>
      </c>
      <c r="AB237" s="372">
        <f>IF(Year3_Torbay Year3_ROSGO_ceased_LAC_SGO="","",Year3_Torbay Year3_ROSGO_ceased_LAC_SGO)</f>
        <v>10</v>
      </c>
      <c r="AC237" s="605">
        <f>IF(Year4_Torbay Year4_ROSGO_ceased_LAC_SGO="","",Year4_Torbay Year4_ROSGO_ceased_LAC_SGO)</f>
        <v>12</v>
      </c>
      <c r="AD237" s="605">
        <f>IF(Year5_Torbay Year5_ROSGO_ceased_LAC_SGO="","",Year5_Torbay Year5_ROSGO_ceased_LAC_SGO)</f>
        <v>18</v>
      </c>
      <c r="AE237" s="94">
        <f>IF(Year1_Torbay Year1_Adoption_ceased_LAC="","",Year1_Torbay Year1_Adoption_ceased_LAC)</f>
        <v>125</v>
      </c>
      <c r="AF237" s="94">
        <f>IF(Year2_Torbay Year2_Adoption_ceased_LAC="","",Year2_Torbay Year2_Adoption_ceased_LAC)</f>
        <v>108</v>
      </c>
      <c r="AG237" s="94">
        <f>IF(Year3_Torbay Year3_Adoption_ceased_LAC="","",Year3_Torbay Year3_Adoption_ceased_LAC)</f>
        <v>102</v>
      </c>
      <c r="AH237" s="94">
        <f>IF(Year4_Torbay Year4_Adoption_ceased_LAC="","",Year4_Torbay Year4_Adoption_ceased_LAC)</f>
        <v>118</v>
      </c>
      <c r="AI237" s="95">
        <f>IF(Year5_Torbay Year5_Adoption_ceased_LAC="","",Year5_Torbay Year5_Adoption_ceased_LAC)</f>
        <v>141</v>
      </c>
      <c r="AJ237" s="1363"/>
      <c r="AK237" s="1346"/>
    </row>
    <row r="238" spans="1:45" s="87" customFormat="1" ht="12.75" customHeight="1" x14ac:dyDescent="0.2">
      <c r="A238" s="488">
        <f>VLOOKUP(B238,Sheet1!$AQ$4:$AR$25,2,FALSE)</f>
        <v>0</v>
      </c>
      <c r="B238" s="93" t="str">
        <f t="shared" si="76"/>
        <v>West Berkshire</v>
      </c>
      <c r="C238" s="85"/>
      <c r="D238" s="162">
        <f t="shared" si="72"/>
        <v>0.14492753623188406</v>
      </c>
      <c r="E238" s="162" t="e">
        <f t="shared" si="73"/>
        <v>#N/A</v>
      </c>
      <c r="F238" s="162">
        <f t="shared" si="74"/>
        <v>0.23255813953488372</v>
      </c>
      <c r="G238" s="162">
        <f t="shared" si="75"/>
        <v>0.30188679245283018</v>
      </c>
      <c r="H238" s="164">
        <f t="shared" si="77"/>
        <v>0</v>
      </c>
      <c r="I238" s="96"/>
      <c r="J238" s="96"/>
      <c r="K238" s="166"/>
      <c r="L238" s="166"/>
      <c r="M238" s="166"/>
      <c r="N238" s="166"/>
      <c r="O238" s="166"/>
      <c r="P238" s="166"/>
      <c r="Q238" s="166"/>
      <c r="R238" s="167"/>
      <c r="S238" s="159"/>
      <c r="T238" s="159"/>
      <c r="U238" s="166"/>
      <c r="V238" s="122"/>
      <c r="W238" s="139"/>
      <c r="X238" s="1350"/>
      <c r="Y238" s="372" t="str">
        <f t="shared" si="78"/>
        <v>West Berkshire</v>
      </c>
      <c r="Z238" s="372">
        <f>IF(Year1_West_Berkshire Year1_ROSGO_ceased_LAC_SGO="","",Year1_West_Berkshire Year1_ROSGO_ceased_LAC_SGO)</f>
        <v>10</v>
      </c>
      <c r="AA238" s="372" t="str">
        <f>IF(Year2_West_Berkshire Year2_ROSGO_ceased_LAC_SGO="","",Year2_West_Berkshire Year2_ROSGO_ceased_LAC_SGO)</f>
        <v>x</v>
      </c>
      <c r="AB238" s="372">
        <f>IF(Year3_West_Berkshire Year3_ROSGO_ceased_LAC_SGO="","",Year3_West_Berkshire Year3_ROSGO_ceased_LAC_SGO)</f>
        <v>20</v>
      </c>
      <c r="AC238" s="372">
        <f>IF(Year4_West_Berkshire Year4_ROSGO_ceased_LAC_SGO="","",Year4_West_Berkshire Year4_ROSGO_ceased_LAC_SGO)</f>
        <v>16</v>
      </c>
      <c r="AD238" s="372">
        <f>IF(Year5_West_Berkshire Year5_ROSGO_ceased_LAC_SGO="","",Year5_West_Berkshire Year5_ROSGO_ceased_LAC_SGO)</f>
        <v>0</v>
      </c>
      <c r="AE238" s="94">
        <f>IF(Year1_West_Berkshire Year1_Adoption_ceased_LAC="","",Year1_West_Berkshire Year1_Adoption_ceased_LAC)</f>
        <v>69</v>
      </c>
      <c r="AF238" s="100">
        <f>IF(Year2_West_Berkshire Year2_Adoption_ceased_LAC="","",Year2_West_Berkshire Year2_Adoption_ceased_LAC)</f>
        <v>74</v>
      </c>
      <c r="AG238" s="94">
        <f>IF(Year3_West_Berkshire Year3_Adoption_ceased_LAC="","",Year3_West_Berkshire Year3_Adoption_ceased_LAC)</f>
        <v>86</v>
      </c>
      <c r="AH238" s="94">
        <f>IF(Year4_West_Berkshire Year4_Adoption_ceased_LAC="","",Year4_West_Berkshire Year4_Adoption_ceased_LAC)</f>
        <v>53</v>
      </c>
      <c r="AI238" s="95">
        <f>IF(Year5_West_Berkshire Year5_Adoption_ceased_LAC="","",Year5_West_Berkshire Year5_Adoption_ceased_LAC)</f>
        <v>74</v>
      </c>
      <c r="AJ238" s="1363"/>
      <c r="AK238" s="1344"/>
    </row>
    <row r="239" spans="1:45" s="87" customFormat="1" ht="12.75" customHeight="1" x14ac:dyDescent="0.2">
      <c r="A239" s="488">
        <f>VLOOKUP(B239,Sheet1!$AQ$4:$AR$25,2,FALSE)</f>
        <v>0</v>
      </c>
      <c r="B239" s="93" t="str">
        <f t="shared" si="76"/>
        <v>West Sussex</v>
      </c>
      <c r="C239" s="85"/>
      <c r="D239" s="162">
        <f t="shared" si="72"/>
        <v>0.11658031088082901</v>
      </c>
      <c r="E239" s="162">
        <f t="shared" si="73"/>
        <v>8.4033613445378158E-2</v>
      </c>
      <c r="F239" s="162">
        <f t="shared" si="74"/>
        <v>0.10946745562130178</v>
      </c>
      <c r="G239" s="162">
        <f t="shared" si="75"/>
        <v>9.6045197740112997E-2</v>
      </c>
      <c r="H239" s="164">
        <f t="shared" si="77"/>
        <v>6.1971830985915494E-2</v>
      </c>
      <c r="I239" s="96"/>
      <c r="J239" s="96"/>
      <c r="K239" s="166"/>
      <c r="L239" s="166"/>
      <c r="M239" s="166"/>
      <c r="N239" s="166"/>
      <c r="O239" s="166"/>
      <c r="P239" s="166"/>
      <c r="Q239" s="166"/>
      <c r="R239" s="167"/>
      <c r="S239" s="159"/>
      <c r="T239" s="159"/>
      <c r="U239" s="166"/>
      <c r="V239" s="122"/>
      <c r="W239" s="139"/>
      <c r="X239" s="1350"/>
      <c r="Y239" s="372" t="str">
        <f t="shared" si="78"/>
        <v>West Sussex</v>
      </c>
      <c r="Z239" s="372">
        <f>IF(Year1_West_Sussex Year1_ROSGO_ceased_LAC_SGO="","",Year1_West_Sussex Year1_ROSGO_ceased_LAC_SGO)</f>
        <v>45</v>
      </c>
      <c r="AA239" s="372">
        <f>IF(Year2_West_Sussex Year2_ROSGO_ceased_LAC_SGO="","",Year2_West_Sussex Year2_ROSGO_ceased_LAC_SGO)</f>
        <v>30</v>
      </c>
      <c r="AB239" s="372">
        <f>IF(Year3_West_Sussex Year3_ROSGO_ceased_LAC_SGO="","",Year3_West_Sussex Year3_ROSGO_ceased_LAC_SGO)</f>
        <v>37</v>
      </c>
      <c r="AC239" s="372">
        <f>IF(Year4_West_Sussex Year4_ROSGO_ceased_LAC_SGO="","",Year4_West_Sussex Year4_ROSGO_ceased_LAC_SGO)</f>
        <v>34</v>
      </c>
      <c r="AD239" s="372">
        <f>IF(Year5_West_Sussex Year5_ROSGO_ceased_LAC_SGO="","",Year5_West_Sussex Year5_ROSGO_ceased_LAC_SGO)</f>
        <v>22</v>
      </c>
      <c r="AE239" s="94">
        <f>IF(Year1_West_Sussex Year1_Adoption_ceased_LAC="","",Year1_West_Sussex Year1_Adoption_ceased_LAC)</f>
        <v>386</v>
      </c>
      <c r="AF239" s="100">
        <f>IF(Year2_West_Sussex Year2_Adoption_ceased_LAC="","",Year2_West_Sussex Year2_Adoption_ceased_LAC)</f>
        <v>357</v>
      </c>
      <c r="AG239" s="94">
        <f>IF(Year3_West_Sussex Year3_Adoption_ceased_LAC="","",Year3_West_Sussex Year3_Adoption_ceased_LAC)</f>
        <v>338</v>
      </c>
      <c r="AH239" s="94">
        <f>IF(Year4_West_Sussex Year4_Adoption_ceased_LAC="","",Year4_West_Sussex Year4_Adoption_ceased_LAC)</f>
        <v>354</v>
      </c>
      <c r="AI239" s="95">
        <f>IF(Year5_West_Sussex Year5_Adoption_ceased_LAC="","",Year5_West_Sussex Year5_Adoption_ceased_LAC)</f>
        <v>355</v>
      </c>
      <c r="AJ239" s="1363"/>
      <c r="AK239" s="1346"/>
    </row>
    <row r="240" spans="1:45" s="87" customFormat="1" ht="12.75" customHeight="1" x14ac:dyDescent="0.2">
      <c r="A240" s="488">
        <f>VLOOKUP(B240,Sheet1!$AQ$4:$AR$25,2,FALSE)</f>
        <v>0</v>
      </c>
      <c r="B240" s="93" t="str">
        <f t="shared" si="76"/>
        <v>Windsor &amp; Maidenhead</v>
      </c>
      <c r="C240" s="85"/>
      <c r="D240" s="162" t="e">
        <f t="shared" si="72"/>
        <v>#N/A</v>
      </c>
      <c r="E240" s="162" t="e">
        <f t="shared" si="73"/>
        <v>#N/A</v>
      </c>
      <c r="F240" s="162" t="e">
        <f t="shared" si="74"/>
        <v>#N/A</v>
      </c>
      <c r="G240" s="162">
        <f t="shared" si="75"/>
        <v>0</v>
      </c>
      <c r="H240" s="164">
        <f t="shared" si="77"/>
        <v>9.6774193548387094E-2</v>
      </c>
      <c r="I240" s="96"/>
      <c r="J240" s="96"/>
      <c r="K240" s="166"/>
      <c r="L240" s="166"/>
      <c r="M240" s="166"/>
      <c r="N240" s="166"/>
      <c r="O240" s="166"/>
      <c r="P240" s="166"/>
      <c r="Q240" s="166"/>
      <c r="R240" s="167"/>
      <c r="S240" s="159"/>
      <c r="T240" s="159"/>
      <c r="U240" s="166"/>
      <c r="V240" s="122"/>
      <c r="W240" s="139"/>
      <c r="X240" s="1350"/>
      <c r="Y240" s="372" t="str">
        <f t="shared" si="78"/>
        <v>Windsor &amp; Maidenhead</v>
      </c>
      <c r="Z240" s="372" t="str">
        <f>IF(Year1_Windsor_Maidenhead Year1_ROSGO_ceased_LAC_SGO="","",Year1_Windsor_Maidenhead Year1_ROSGO_ceased_LAC_SGO)</f>
        <v>-</v>
      </c>
      <c r="AA240" s="372" t="str">
        <f>IF(Year2_Windsor_Maidenhead Year2_ROSGO_ceased_LAC_SGO="","",Year2_Windsor_Maidenhead Year2_ROSGO_ceased_LAC_SGO)</f>
        <v>x</v>
      </c>
      <c r="AB240" s="372" t="str">
        <f>IF(Year3_Windsor_Maidenhead Year3_ROSGO_ceased_LAC_SGO="","",Year3_Windsor_Maidenhead Year3_ROSGO_ceased_LAC_SGO)</f>
        <v>x</v>
      </c>
      <c r="AC240" s="372">
        <f>IF(Year4_Windsor_Maidenhead Year4_ROSGO_ceased_LAC_SGO="","",Year4_Windsor_Maidenhead Year4_ROSGO_ceased_LAC_SGO)</f>
        <v>0</v>
      </c>
      <c r="AD240" s="372">
        <f>IF(Year5_Windsor_Maidenhead Year5_ROSGO_ceased_LAC_SGO="","",Year5_Windsor_Maidenhead Year5_ROSGO_ceased_LAC_SGO)</f>
        <v>6</v>
      </c>
      <c r="AE240" s="100">
        <f>IF(Year1_Windsor_Maidenhead Year1_Adoption_ceased_LAC="","",Year1_Windsor_Maidenhead Year1_Adoption_ceased_LAC)</f>
        <v>43</v>
      </c>
      <c r="AF240" s="94">
        <f>IF(Year2_Windsor_Maidenhead Year2_Adoption_ceased_LAC="","",Year2_Windsor_Maidenhead Year2_Adoption_ceased_LAC)</f>
        <v>35</v>
      </c>
      <c r="AG240" s="94">
        <f>IF(Year3_Windsor_Maidenhead Year3_Adoption_ceased_LAC="","",Year3_Windsor_Maidenhead Year3_Adoption_ceased_LAC)</f>
        <v>49</v>
      </c>
      <c r="AH240" s="94">
        <f>IF(Year4_Windsor_Maidenhead Year4_Adoption_ceased_LAC="","",Year4_Windsor_Maidenhead Year4_Adoption_ceased_LAC)</f>
        <v>52</v>
      </c>
      <c r="AI240" s="95">
        <f>IF(Year5_Windsor_Maidenhead Year5_Adoption_ceased_LAC="","",Year5_Windsor_Maidenhead Year5_Adoption_ceased_LAC)</f>
        <v>62</v>
      </c>
      <c r="AJ240" s="1363"/>
      <c r="AK240" s="1344"/>
    </row>
    <row r="241" spans="1:46" s="87" customFormat="1" ht="12.75" customHeight="1" x14ac:dyDescent="0.2">
      <c r="A241" s="488">
        <f>VLOOKUP(B241,Sheet1!$AQ$4:$AR$25,2,FALSE)</f>
        <v>0</v>
      </c>
      <c r="B241" s="93" t="str">
        <f t="shared" si="76"/>
        <v>Wokingham</v>
      </c>
      <c r="C241" s="85"/>
      <c r="D241" s="162" t="e">
        <f t="shared" si="72"/>
        <v>#N/A</v>
      </c>
      <c r="E241" s="162" t="e">
        <f t="shared" si="73"/>
        <v>#N/A</v>
      </c>
      <c r="F241" s="162" t="e">
        <f t="shared" si="74"/>
        <v>#N/A</v>
      </c>
      <c r="G241" s="162">
        <f t="shared" si="75"/>
        <v>0.15517241379310345</v>
      </c>
      <c r="H241" s="164">
        <f t="shared" si="77"/>
        <v>0.16363636363636364</v>
      </c>
      <c r="I241" s="96"/>
      <c r="J241" s="96"/>
      <c r="K241" s="166"/>
      <c r="L241" s="166"/>
      <c r="M241" s="166"/>
      <c r="N241" s="166"/>
      <c r="O241" s="166"/>
      <c r="P241" s="166"/>
      <c r="Q241" s="166"/>
      <c r="R241" s="167"/>
      <c r="S241" s="159"/>
      <c r="T241" s="159"/>
      <c r="U241" s="166"/>
      <c r="V241" s="122"/>
      <c r="W241" s="139"/>
      <c r="X241" s="1350"/>
      <c r="Y241" s="372" t="str">
        <f t="shared" si="78"/>
        <v>Wokingham</v>
      </c>
      <c r="Z241" s="372" t="str">
        <f>IF(Year1_Wokingham Year1_ROSGO_ceased_LAC_SGO="","",Year1_Wokingham Year1_ROSGO_ceased_LAC_SGO)</f>
        <v>-</v>
      </c>
      <c r="AA241" s="372" t="str">
        <f>IF(Year2_Wokingham Year2_ROSGO_ceased_LAC_SGO="","",Year2_Wokingham Year2_ROSGO_ceased_LAC_SGO)</f>
        <v>x</v>
      </c>
      <c r="AB241" s="372" t="str">
        <f>IF(Year3_Wokingham Year3_ROSGO_ceased_LAC_SGO="","",Year3_Wokingham Year3_ROSGO_ceased_LAC_SGO)</f>
        <v>x</v>
      </c>
      <c r="AC241" s="372">
        <f>IF(Year4_Wokingham Year4_ROSGO_ceased_LAC_SGO="","",Year4_Wokingham Year4_ROSGO_ceased_LAC_SGO)</f>
        <v>9</v>
      </c>
      <c r="AD241" s="372">
        <f>IF(Year5_Wokingham Year5_ROSGO_ceased_LAC_SGO="","",Year5_Wokingham Year5_ROSGO_ceased_LAC_SGO)</f>
        <v>9</v>
      </c>
      <c r="AE241" s="100">
        <f>IF(Year1_Wokingham Year1_Adoption_ceased_LAC="","",Year1_Wokingham Year1_Adoption_ceased_LAC)</f>
        <v>34</v>
      </c>
      <c r="AF241" s="94">
        <f>IF(Year2_Wokingham Year2_Adoption_ceased_LAC="","",Year2_Wokingham Year2_Adoption_ceased_LAC)</f>
        <v>31</v>
      </c>
      <c r="AG241" s="94">
        <f>IF(Year3_Wokingham Year3_Adoption_ceased_LAC="","",Year3_Wokingham Year3_Adoption_ceased_LAC)</f>
        <v>36</v>
      </c>
      <c r="AH241" s="94">
        <f>IF(Year4_Wokingham Year4_Adoption_ceased_LAC="","",Year4_Wokingham Year4_Adoption_ceased_LAC)</f>
        <v>58</v>
      </c>
      <c r="AI241" s="95">
        <f>IF(Year5_Wokingham Year5_Adoption_ceased_LAC="","",Year5_Wokingham Year5_Adoption_ceased_LAC)</f>
        <v>55</v>
      </c>
      <c r="AJ241" s="1363"/>
      <c r="AK241" s="1346"/>
    </row>
    <row r="242" spans="1:46" s="87" customFormat="1" ht="12.75" customHeight="1" x14ac:dyDescent="0.2">
      <c r="A242" s="121"/>
      <c r="B242" s="129" t="str">
        <f t="shared" si="76"/>
        <v>South East</v>
      </c>
      <c r="C242" s="85"/>
      <c r="D242" s="163">
        <f>IF(AND(ISNUMBER(Z242),ISNUMBER(AE242)),Z242/AE242,NA())</f>
        <v>9.6774193548387094E-2</v>
      </c>
      <c r="E242" s="163">
        <f t="shared" si="73"/>
        <v>9.8924731182795697E-2</v>
      </c>
      <c r="F242" s="163">
        <f t="shared" si="74"/>
        <v>0.11600928074245939</v>
      </c>
      <c r="G242" s="163">
        <f t="shared" si="75"/>
        <v>0.11835748792270531</v>
      </c>
      <c r="H242" s="165">
        <f t="shared" si="77"/>
        <v>0.11267605633802817</v>
      </c>
      <c r="I242" s="96"/>
      <c r="J242" s="96"/>
      <c r="K242" s="168"/>
      <c r="L242" s="168"/>
      <c r="M242" s="168"/>
      <c r="N242" s="168"/>
      <c r="O242" s="168"/>
      <c r="P242" s="168"/>
      <c r="Q242" s="168"/>
      <c r="R242" s="169"/>
      <c r="S242" s="159"/>
      <c r="T242" s="159"/>
      <c r="U242" s="170"/>
      <c r="V242" s="122"/>
      <c r="W242" s="139"/>
      <c r="X242" s="1350"/>
      <c r="Y242" s="372" t="str">
        <f t="shared" si="78"/>
        <v>South East</v>
      </c>
      <c r="Z242" s="632">
        <f>IF(Year1_SouthEast Year1_ROSGO_ceased_LAC_SGO=0,NA(),Year1_SouthEast Year1_ROSGO_ceased_LAC_SGO)</f>
        <v>450</v>
      </c>
      <c r="AA242" s="631">
        <f>IF(Year2_SouthEast Year2_ROSGO_ceased_LAC_SGO=0,NA(),Year2_SouthEast Year2_ROSGO_ceased_LAC_SGO)</f>
        <v>460</v>
      </c>
      <c r="AB242" s="631">
        <f>IF(Year3_SouthEast Year3_ROSGO_ceased_LAC_SGO=0,NA(),Year3_SouthEast Year3_ROSGO_ceased_LAC_SGO)</f>
        <v>500</v>
      </c>
      <c r="AC242" s="372">
        <f>IF(Year4_SouthEast Year4_ROSGO_ceased_LAC_SGO=0,NA(),Year4_SouthEast Year4_ROSGO_ceased_LAC_SGO)</f>
        <v>490</v>
      </c>
      <c r="AD242" s="372">
        <f>IF(Year5_SouthEast Year5_ROSGO_ceased_LAC_SGO=0,NA(),Year5_SouthEast Year5_ROSGO_ceased_LAC_SGO)</f>
        <v>480</v>
      </c>
      <c r="AE242" s="130">
        <f>IF(Year1_SouthEast Year1_Adoption_ceased_LAC="","",Year1_SouthEast Year1_Adoption_ceased_LAC)</f>
        <v>4650</v>
      </c>
      <c r="AF242" s="130">
        <f>IF(Year2_SouthEast Year2_Adoption_ceased_LAC="","",Year2_SouthEast Year2_Adoption_ceased_LAC)</f>
        <v>4650</v>
      </c>
      <c r="AG242" s="130">
        <f>IF(Year3_SouthEast Year3_Adoption_ceased_LAC="","",Year3_SouthEast Year3_Adoption_ceased_LAC)</f>
        <v>4310</v>
      </c>
      <c r="AH242" s="130">
        <f>IF(Year4_SouthEast Year4_Adoption_ceased_LAC="","",Year4_SouthEast Year4_Adoption_ceased_LAC)</f>
        <v>4140</v>
      </c>
      <c r="AI242" s="131">
        <f>IF(Year5_SouthEast Year5_Adoption_ceased_LAC="","",Year5_SouthEast Year5_Adoption_ceased_LAC)</f>
        <v>4260</v>
      </c>
      <c r="AJ242" s="1363"/>
      <c r="AK242" s="1344"/>
    </row>
    <row r="243" spans="1:46" s="87" customFormat="1" ht="12.75" customHeight="1" x14ac:dyDescent="0.2">
      <c r="A243" s="121"/>
      <c r="B243" s="329" t="str">
        <f t="shared" si="76"/>
        <v>England</v>
      </c>
      <c r="C243" s="85"/>
      <c r="D243" s="351">
        <f>IF(AND(ISNUMBER(Z243),ISNUMBER(AE243)),Z243/AE243,NA())</f>
        <v>0.12115505335844319</v>
      </c>
      <c r="E243" s="351">
        <f t="shared" si="73"/>
        <v>0.11751592356687898</v>
      </c>
      <c r="F243" s="351">
        <f t="shared" si="74"/>
        <v>0.11414309484193012</v>
      </c>
      <c r="G243" s="351">
        <f t="shared" si="75"/>
        <v>0.13034623217922606</v>
      </c>
      <c r="H243" s="352">
        <f t="shared" si="77"/>
        <v>0.1250422440013518</v>
      </c>
      <c r="I243" s="96"/>
      <c r="J243" s="96"/>
      <c r="K243" s="168"/>
      <c r="L243" s="168"/>
      <c r="M243" s="168"/>
      <c r="N243" s="168"/>
      <c r="O243" s="168"/>
      <c r="P243" s="168"/>
      <c r="Q243" s="168"/>
      <c r="R243" s="169"/>
      <c r="S243" s="159"/>
      <c r="T243" s="159"/>
      <c r="U243" s="170"/>
      <c r="V243" s="122"/>
      <c r="W243" s="139"/>
      <c r="X243" s="1350"/>
      <c r="Y243" s="372" t="str">
        <f t="shared" si="78"/>
        <v>England</v>
      </c>
      <c r="Z243" s="632">
        <f>IF(Year1_England Year1_ROSGO_ceased_LAC_SGO="","",Year1_England Year1_ROSGO_ceased_LAC_SGO)</f>
        <v>3860</v>
      </c>
      <c r="AA243" s="631">
        <f>IF(Year2_England Year2_ROSGO_ceased_LAC_SGO="","",Year2_England Year2_ROSGO_ceased_LAC_SGO)</f>
        <v>3690</v>
      </c>
      <c r="AB243" s="631">
        <f>IF(Year3_England Year3_ROSGO_ceased_LAC_SGO="","",Year3_England Year3_ROSGO_ceased_LAC_SGO)</f>
        <v>3430</v>
      </c>
      <c r="AC243" s="372">
        <f>IF(Year4_England Year4_ROSGO_ceased_LAC_SGO="","",Year4_England Year4_ROSGO_ceased_LAC_SGO)</f>
        <v>3840</v>
      </c>
      <c r="AD243" s="372">
        <f>IF(Year5_England Year5_ROSGO_ceased_LAC_SGO="","",Year5_England Year5_ROSGO_ceased_LAC_SGO)</f>
        <v>3700</v>
      </c>
      <c r="AE243" s="330">
        <f>IF(Year1_England Year1_Adoption_ceased_LAC="","",Year1_England Year1_Adoption_ceased_LAC)</f>
        <v>31860</v>
      </c>
      <c r="AF243" s="330">
        <f>IF(Year2_England Year2_Adoption_ceased_LAC="","",Year2_England Year2_Adoption_ceased_LAC)</f>
        <v>31400</v>
      </c>
      <c r="AG243" s="330">
        <f>IF(Year3_England Year3_Adoption_ceased_LAC="","",Year3_England Year3_Adoption_ceased_LAC)</f>
        <v>30050</v>
      </c>
      <c r="AH243" s="330">
        <f>IF(Year4_England Year4_Adoption_ceased_LAC="","",Year4_England Year4_Adoption_ceased_LAC)</f>
        <v>29460</v>
      </c>
      <c r="AI243" s="331">
        <f>IF(Year5_England Year5_Adoption_ceased_LAC="","",Year5_England Year5_Adoption_ceased_LAC)</f>
        <v>29590</v>
      </c>
      <c r="AJ243" s="1363"/>
      <c r="AK243" s="1346"/>
    </row>
    <row r="244" spans="1:46" s="87" customFormat="1" ht="7.5" customHeight="1" x14ac:dyDescent="0.2">
      <c r="A244" s="292"/>
      <c r="B244" s="96"/>
      <c r="C244" s="96"/>
      <c r="D244" s="96"/>
      <c r="E244" s="96"/>
      <c r="F244" s="96"/>
      <c r="G244" s="96"/>
      <c r="H244" s="96"/>
      <c r="I244" s="96"/>
      <c r="J244" s="96"/>
      <c r="K244" s="168"/>
      <c r="L244" s="168"/>
      <c r="M244" s="168"/>
      <c r="N244" s="168"/>
      <c r="O244" s="168"/>
      <c r="P244" s="168"/>
      <c r="Q244" s="168"/>
      <c r="R244" s="169"/>
      <c r="S244" s="159"/>
      <c r="T244" s="159"/>
      <c r="U244" s="170"/>
      <c r="V244" s="122"/>
      <c r="W244" s="139"/>
      <c r="X244" s="1350"/>
      <c r="Y244" s="1392"/>
      <c r="Z244" s="1392"/>
      <c r="AA244" s="1392"/>
      <c r="AB244" s="1392"/>
      <c r="AC244" s="1413"/>
      <c r="AD244" s="1413"/>
      <c r="AE244" s="1042"/>
      <c r="AF244" s="1351"/>
      <c r="AG244" s="1351"/>
      <c r="AH244" s="1351"/>
      <c r="AI244" s="1341"/>
      <c r="AJ244" s="1351"/>
      <c r="AK244" s="1346"/>
    </row>
    <row r="245" spans="1:46" s="81" customFormat="1" ht="38.25" customHeight="1" x14ac:dyDescent="0.2">
      <c r="A245" s="217"/>
      <c r="B245" s="392"/>
      <c r="C245" s="392"/>
      <c r="D245" s="392"/>
      <c r="E245" s="392"/>
      <c r="F245" s="392"/>
      <c r="G245" s="392"/>
      <c r="H245" s="392"/>
      <c r="I245" s="392"/>
      <c r="J245" s="172"/>
      <c r="K245" s="172"/>
      <c r="L245" s="172"/>
      <c r="M245" s="172"/>
      <c r="N245" s="172"/>
      <c r="O245" s="172"/>
      <c r="P245" s="172"/>
      <c r="Q245" s="172"/>
      <c r="R245" s="136"/>
      <c r="S245" s="172"/>
      <c r="T245" s="172"/>
      <c r="U245" s="172"/>
      <c r="V245" s="117"/>
      <c r="W245" s="137"/>
      <c r="X245" s="1339"/>
      <c r="Y245" s="1392"/>
      <c r="Z245" s="1392"/>
      <c r="AA245" s="1392"/>
      <c r="AB245" s="1392"/>
      <c r="AC245" s="1392"/>
      <c r="AD245" s="1413"/>
      <c r="AE245" s="1042"/>
      <c r="AF245" s="1343"/>
      <c r="AG245" s="1343"/>
      <c r="AH245" s="1343"/>
      <c r="AI245" s="1340"/>
      <c r="AJ245" s="1343"/>
      <c r="AK245" s="1344"/>
    </row>
    <row r="246" spans="1:46" s="81" customFormat="1" ht="39" customHeight="1" x14ac:dyDescent="0.2">
      <c r="A246" s="217"/>
      <c r="B246" s="392"/>
      <c r="C246" s="392"/>
      <c r="D246" s="392"/>
      <c r="E246" s="392"/>
      <c r="F246" s="392"/>
      <c r="G246" s="392"/>
      <c r="H246" s="392"/>
      <c r="I246" s="392"/>
      <c r="J246" s="172"/>
      <c r="K246" s="172"/>
      <c r="L246" s="172"/>
      <c r="M246" s="172"/>
      <c r="N246" s="172"/>
      <c r="O246" s="172"/>
      <c r="P246" s="172"/>
      <c r="Q246" s="172"/>
      <c r="R246" s="136"/>
      <c r="S246" s="172"/>
      <c r="T246" s="172"/>
      <c r="U246" s="172"/>
      <c r="V246" s="117"/>
      <c r="W246" s="137"/>
      <c r="X246" s="1339"/>
      <c r="Y246" s="1392"/>
      <c r="Z246" s="1392"/>
      <c r="AA246" s="1392"/>
      <c r="AB246" s="1392"/>
      <c r="AC246" s="1392"/>
      <c r="AD246" s="1392"/>
      <c r="AE246" s="1042"/>
      <c r="AF246" s="1343"/>
      <c r="AG246" s="1343"/>
      <c r="AH246" s="1343"/>
      <c r="AI246" s="1340"/>
      <c r="AJ246" s="1343"/>
      <c r="AK246" s="1344"/>
    </row>
    <row r="247" spans="1:46" s="81" customFormat="1" ht="38.25" customHeight="1" x14ac:dyDescent="0.2">
      <c r="A247" s="217"/>
      <c r="B247" s="392"/>
      <c r="C247" s="392"/>
      <c r="D247" s="392"/>
      <c r="E247" s="392"/>
      <c r="F247" s="392"/>
      <c r="G247" s="392"/>
      <c r="H247" s="392"/>
      <c r="I247" s="392"/>
      <c r="J247" s="172"/>
      <c r="K247" s="172"/>
      <c r="L247" s="172"/>
      <c r="M247" s="172"/>
      <c r="N247" s="172"/>
      <c r="O247" s="172"/>
      <c r="P247" s="172"/>
      <c r="Q247" s="172"/>
      <c r="R247" s="136"/>
      <c r="S247" s="172"/>
      <c r="T247" s="172"/>
      <c r="U247" s="172"/>
      <c r="V247" s="117"/>
      <c r="W247" s="137"/>
      <c r="X247" s="1339"/>
      <c r="Y247" s="1392"/>
      <c r="Z247" s="1392"/>
      <c r="AA247" s="1392"/>
      <c r="AB247" s="1392"/>
      <c r="AC247" s="1392"/>
      <c r="AD247" s="1392"/>
      <c r="AE247" s="1042"/>
      <c r="AF247" s="1343"/>
      <c r="AG247" s="1343"/>
      <c r="AH247" s="1343"/>
      <c r="AI247" s="1340"/>
      <c r="AJ247" s="1343"/>
      <c r="AK247" s="1344"/>
    </row>
    <row r="248" spans="1:46" s="81" customFormat="1" ht="7.5" customHeight="1" x14ac:dyDescent="0.2">
      <c r="A248" s="118"/>
      <c r="B248" s="17"/>
      <c r="C248" s="17"/>
      <c r="D248" s="16"/>
      <c r="E248" s="16"/>
      <c r="F248" s="16"/>
      <c r="G248" s="16"/>
      <c r="H248" s="16"/>
      <c r="I248" s="16"/>
      <c r="J248" s="12"/>
      <c r="K248" s="18"/>
      <c r="L248" s="18"/>
      <c r="M248" s="18"/>
      <c r="N248" s="18"/>
      <c r="O248" s="18"/>
      <c r="P248" s="18"/>
      <c r="Q248" s="18"/>
      <c r="R248" s="18"/>
      <c r="S248" s="18"/>
      <c r="T248" s="18"/>
      <c r="U248" s="19"/>
      <c r="V248" s="117"/>
      <c r="W248" s="137"/>
      <c r="X248" s="1339"/>
      <c r="Y248" s="1392"/>
      <c r="Z248" s="1399"/>
      <c r="AA248" s="1392"/>
      <c r="AB248" s="1392"/>
      <c r="AC248" s="1392"/>
      <c r="AD248" s="1392"/>
      <c r="AE248" s="1392"/>
      <c r="AF248" s="1340"/>
      <c r="AG248" s="1340"/>
      <c r="AH248" s="1340"/>
      <c r="AI248" s="1340"/>
      <c r="AJ248" s="1343"/>
      <c r="AK248" s="1345"/>
      <c r="AL248" s="74"/>
      <c r="AM248" s="74"/>
      <c r="AN248" s="74"/>
      <c r="AO248" s="74"/>
      <c r="AP248" s="74"/>
      <c r="AQ248" s="74"/>
      <c r="AR248" s="74"/>
    </row>
    <row r="249" spans="1:46" s="81" customFormat="1" ht="15" customHeight="1" x14ac:dyDescent="0.2">
      <c r="A249" s="1716"/>
      <c r="B249" s="1760"/>
      <c r="C249" s="1760"/>
      <c r="D249" s="1760"/>
      <c r="E249" s="1760"/>
      <c r="F249" s="1760"/>
      <c r="G249" s="1760"/>
      <c r="H249" s="1760"/>
      <c r="I249" s="1760"/>
      <c r="J249" s="1760"/>
      <c r="K249" s="1760"/>
      <c r="L249" s="1760"/>
      <c r="M249" s="1760"/>
      <c r="N249" s="1760"/>
      <c r="O249" s="1760"/>
      <c r="P249" s="1760"/>
      <c r="Q249" s="1760"/>
      <c r="R249" s="1760"/>
      <c r="S249" s="1760"/>
      <c r="T249" s="1760"/>
      <c r="U249" s="1760"/>
      <c r="V249" s="1761"/>
      <c r="W249" s="137"/>
      <c r="X249" s="1339"/>
      <c r="Y249" s="1392"/>
      <c r="Z249" s="1392"/>
      <c r="AA249" s="1392"/>
      <c r="AB249" s="1392"/>
      <c r="AC249" s="1392"/>
      <c r="AD249" s="1392"/>
      <c r="AE249" s="1392"/>
      <c r="AF249" s="1340"/>
      <c r="AG249" s="1340"/>
      <c r="AH249" s="1340"/>
      <c r="AI249" s="1340"/>
      <c r="AJ249" s="1340"/>
      <c r="AK249" s="1344"/>
      <c r="AT249" s="74"/>
    </row>
    <row r="250" spans="1:46" s="81" customFormat="1" ht="11.25" customHeight="1" x14ac:dyDescent="0.2">
      <c r="A250" s="1765" t="str">
        <f>Home!$A$39</f>
        <v xml:space="preserve"> </v>
      </c>
      <c r="B250" s="1766"/>
      <c r="C250" s="1766"/>
      <c r="D250" s="1766"/>
      <c r="E250" s="1766"/>
      <c r="F250" s="1766"/>
      <c r="G250" s="1766"/>
      <c r="H250" s="1766"/>
      <c r="I250" s="1767"/>
      <c r="J250" s="1766"/>
      <c r="K250" s="1766"/>
      <c r="L250" s="1766"/>
      <c r="M250" s="1766"/>
      <c r="N250" s="1766"/>
      <c r="O250" s="1766"/>
      <c r="P250" s="1768"/>
      <c r="Q250" s="1766"/>
      <c r="R250" s="1766"/>
      <c r="S250" s="1766"/>
      <c r="T250" s="1767"/>
      <c r="U250" s="1766"/>
      <c r="V250" s="1769"/>
      <c r="W250" s="137"/>
      <c r="X250" s="1339"/>
      <c r="Y250" s="1392"/>
      <c r="Z250" s="1392"/>
      <c r="AA250" s="1392"/>
      <c r="AB250" s="1392"/>
      <c r="AC250" s="1392"/>
      <c r="AD250" s="1392"/>
      <c r="AE250" s="1392"/>
      <c r="AF250" s="1340"/>
      <c r="AG250" s="1340"/>
      <c r="AH250" s="1340"/>
      <c r="AI250" s="1340"/>
      <c r="AJ250" s="1340"/>
      <c r="AK250" s="1344"/>
      <c r="AT250" s="74"/>
    </row>
    <row r="251" spans="1:46" ht="18.75" customHeight="1" x14ac:dyDescent="0.2">
      <c r="A251" s="112"/>
      <c r="B251" s="113"/>
      <c r="C251" s="113"/>
      <c r="D251" s="113"/>
      <c r="E251" s="113"/>
      <c r="F251" s="113"/>
      <c r="G251" s="113"/>
      <c r="H251" s="113"/>
      <c r="I251" s="113"/>
      <c r="J251" s="114"/>
      <c r="K251" s="113"/>
      <c r="L251" s="113"/>
      <c r="M251" s="113"/>
      <c r="N251" s="113"/>
      <c r="O251" s="113"/>
      <c r="P251" s="113"/>
      <c r="Q251" s="113"/>
      <c r="R251" s="113"/>
      <c r="S251" s="113"/>
      <c r="T251" s="113"/>
      <c r="U251" s="113"/>
      <c r="V251" s="115"/>
      <c r="W251" s="137"/>
      <c r="X251" s="1339"/>
      <c r="Z251" s="1399"/>
      <c r="AF251" s="1340"/>
      <c r="AG251" s="1340"/>
      <c r="AH251" s="1340"/>
      <c r="AI251" s="1340"/>
      <c r="AJ251" s="1340"/>
      <c r="AK251" s="1344"/>
      <c r="AL251" s="81"/>
    </row>
    <row r="252" spans="1:46" ht="18.75" customHeight="1" x14ac:dyDescent="0.2">
      <c r="A252" s="118"/>
      <c r="B252" s="128" t="s">
        <v>733</v>
      </c>
      <c r="C252" s="9"/>
      <c r="D252" s="9"/>
      <c r="E252" s="9"/>
      <c r="F252" s="9"/>
      <c r="G252" s="9"/>
      <c r="H252" s="9"/>
      <c r="I252" s="9"/>
      <c r="J252" s="12"/>
      <c r="K252" s="9"/>
      <c r="L252" s="9"/>
      <c r="M252" s="9"/>
      <c r="N252" s="9"/>
      <c r="O252" s="9"/>
      <c r="P252" s="9"/>
      <c r="Q252" s="9"/>
      <c r="R252" s="9"/>
      <c r="S252" s="9"/>
      <c r="T252" s="9"/>
      <c r="U252" s="9"/>
      <c r="V252" s="117"/>
      <c r="W252" s="137"/>
      <c r="X252" s="1339"/>
      <c r="Z252" s="1399"/>
      <c r="AF252" s="1340"/>
      <c r="AG252" s="1340"/>
      <c r="AH252" s="1340"/>
      <c r="AI252" s="1340"/>
      <c r="AJ252" s="1343"/>
      <c r="AK252" s="1345"/>
    </row>
    <row r="253" spans="1:46" ht="18.75" customHeight="1" x14ac:dyDescent="0.2">
      <c r="A253" s="124"/>
      <c r="B253" s="125"/>
      <c r="C253" s="125"/>
      <c r="D253" s="125"/>
      <c r="E253" s="125"/>
      <c r="F253" s="125"/>
      <c r="G253" s="125"/>
      <c r="H253" s="125"/>
      <c r="I253" s="267"/>
      <c r="J253" s="126"/>
      <c r="K253" s="125"/>
      <c r="L253" s="125"/>
      <c r="M253" s="125"/>
      <c r="N253" s="125"/>
      <c r="O253" s="125"/>
      <c r="P253" s="553"/>
      <c r="Q253" s="125"/>
      <c r="R253" s="125"/>
      <c r="S253" s="125"/>
      <c r="T253" s="267"/>
      <c r="U253" s="125"/>
      <c r="V253" s="127"/>
      <c r="W253" s="161"/>
      <c r="X253" s="1339"/>
      <c r="Z253" s="1399"/>
      <c r="AF253" s="1340"/>
      <c r="AG253" s="1340"/>
      <c r="AH253" s="1340"/>
      <c r="AI253" s="1340"/>
      <c r="AJ253" s="1343"/>
      <c r="AK253" s="1345"/>
      <c r="AR253" s="74">
        <v>0</v>
      </c>
    </row>
    <row r="254" spans="1:46" ht="11.25" customHeight="1" x14ac:dyDescent="0.2">
      <c r="A254" s="112"/>
      <c r="B254" s="113"/>
      <c r="C254" s="113"/>
      <c r="D254" s="113"/>
      <c r="E254" s="113"/>
      <c r="F254" s="113"/>
      <c r="G254" s="113"/>
      <c r="H254" s="113"/>
      <c r="I254" s="113"/>
      <c r="J254" s="114"/>
      <c r="K254" s="113"/>
      <c r="L254" s="113"/>
      <c r="M254" s="113"/>
      <c r="N254" s="113"/>
      <c r="O254" s="113"/>
      <c r="P254" s="113"/>
      <c r="Q254" s="113"/>
      <c r="R254" s="113"/>
      <c r="S254" s="113"/>
      <c r="T254" s="113"/>
      <c r="U254" s="113"/>
      <c r="V254" s="115"/>
      <c r="W254" s="137"/>
      <c r="X254" s="1339"/>
      <c r="Z254" s="1399"/>
      <c r="AF254" s="1340"/>
      <c r="AG254" s="1340"/>
      <c r="AH254" s="1340"/>
      <c r="AI254" s="1340"/>
      <c r="AJ254" s="1343"/>
      <c r="AK254" s="1345"/>
    </row>
    <row r="255" spans="1:46" s="76" customFormat="1" ht="15" customHeight="1" x14ac:dyDescent="0.2">
      <c r="A255" s="119"/>
      <c r="B255" s="1746" t="str">
        <f>"Net Number of Children becoming Looked After in"&amp;$Z1</f>
        <v>Net Number of Children becoming Looked After in the year ending 31st March</v>
      </c>
      <c r="C255" s="1746"/>
      <c r="D255" s="1746"/>
      <c r="E255" s="1746"/>
      <c r="F255" s="1746"/>
      <c r="G255" s="1746"/>
      <c r="H255" s="1746"/>
      <c r="I255" s="1746"/>
      <c r="J255" s="1746"/>
      <c r="K255" s="1746"/>
      <c r="L255" s="1746"/>
      <c r="M255" s="1746"/>
      <c r="N255" s="1746"/>
      <c r="O255" s="1746"/>
      <c r="P255" s="1746"/>
      <c r="Q255" s="1746"/>
      <c r="R255" s="1746"/>
      <c r="S255" s="1746"/>
      <c r="T255" s="1746"/>
      <c r="U255" s="1746"/>
      <c r="V255" s="120"/>
      <c r="W255" s="138"/>
      <c r="X255" s="1347"/>
      <c r="Y255" s="1392"/>
      <c r="Z255" s="1399"/>
      <c r="AA255" s="1392"/>
      <c r="AB255" s="1392"/>
      <c r="AC255" s="1392"/>
      <c r="AD255" s="1392"/>
      <c r="AE255" s="1392"/>
      <c r="AF255" s="1348"/>
      <c r="AG255" s="1348"/>
      <c r="AH255" s="1348"/>
      <c r="AI255" s="1348"/>
      <c r="AJ255" s="1348"/>
      <c r="AK255" s="1349"/>
      <c r="AL255" s="188" t="str">
        <f>CONCATENATE($I$7,"in Number of "&amp;$B255)</f>
        <v>Average Annual Change in Number of Net Number of Children becoming Looked After in the year ending 31st March</v>
      </c>
      <c r="AR255" s="935" t="s">
        <v>682</v>
      </c>
    </row>
    <row r="256" spans="1:46" ht="13.5" customHeight="1" x14ac:dyDescent="0.2">
      <c r="A256" s="118"/>
      <c r="B256" s="1746"/>
      <c r="C256" s="1746"/>
      <c r="D256" s="1746"/>
      <c r="E256" s="1746"/>
      <c r="F256" s="1746"/>
      <c r="G256" s="1746"/>
      <c r="H256" s="1746"/>
      <c r="I256" s="1746"/>
      <c r="J256" s="1746"/>
      <c r="K256" s="1746"/>
      <c r="L256" s="1746"/>
      <c r="M256" s="1746"/>
      <c r="N256" s="1746"/>
      <c r="O256" s="1746"/>
      <c r="P256" s="1746"/>
      <c r="Q256" s="1746"/>
      <c r="R256" s="1746"/>
      <c r="S256" s="1746"/>
      <c r="T256" s="1746"/>
      <c r="U256" s="1746"/>
      <c r="V256" s="117"/>
      <c r="W256" s="137"/>
      <c r="X256" s="1339"/>
      <c r="Z256" s="1399"/>
      <c r="AF256" s="1340"/>
      <c r="AG256" s="1340"/>
      <c r="AH256" s="1340"/>
      <c r="AI256" s="1340"/>
      <c r="AJ256" s="1343"/>
      <c r="AK256" s="1345"/>
    </row>
    <row r="257" spans="1:50" s="87" customFormat="1" ht="12.75" customHeight="1" x14ac:dyDescent="0.2">
      <c r="A257" s="121"/>
      <c r="B257" s="1789" t="s">
        <v>205</v>
      </c>
      <c r="C257" s="85"/>
      <c r="D257" s="1851" t="s">
        <v>88</v>
      </c>
      <c r="E257" s="1911"/>
      <c r="F257" s="1911"/>
      <c r="G257" s="1911"/>
      <c r="H257" s="1912"/>
      <c r="I257" s="1811" t="str">
        <f>"Average "&amp;Sheet1!C3&amp;" Change "</f>
        <v xml:space="preserve">Average Annual Change </v>
      </c>
      <c r="J257" s="96"/>
      <c r="K257" s="1913" t="s">
        <v>89</v>
      </c>
      <c r="L257" s="1914"/>
      <c r="M257" s="1914"/>
      <c r="N257" s="1914"/>
      <c r="O257" s="1914"/>
      <c r="P257" s="1914"/>
      <c r="Q257" s="1744" t="str">
        <f>IF(ISNA(O259),"SE Rank "&amp;O258,"SE Rank "&amp;O259)</f>
        <v>SE Rank 2019-20</v>
      </c>
      <c r="R257" s="70"/>
      <c r="S257" s="1817" t="str">
        <f>"Distance from Expected "&amp;Sheet1!$B$8</f>
        <v>Distance from Expected 2020</v>
      </c>
      <c r="T257" s="1818"/>
      <c r="U257" s="1819"/>
      <c r="V257" s="122"/>
      <c r="W257" s="139"/>
      <c r="X257" s="1350"/>
      <c r="Y257" s="1043"/>
      <c r="Z257" s="1043"/>
      <c r="AA257" s="1414"/>
      <c r="AB257" s="1417" t="s">
        <v>79</v>
      </c>
      <c r="AC257" s="1399"/>
      <c r="AD257" s="1399"/>
      <c r="AE257" s="1042"/>
      <c r="AF257" s="1342"/>
      <c r="AG257" s="1352" t="s">
        <v>94</v>
      </c>
      <c r="AH257" s="1341"/>
      <c r="AI257" s="1341"/>
      <c r="AJ257" s="1351"/>
      <c r="AK257" s="1346"/>
      <c r="AL257" s="575"/>
      <c r="AM257" s="575"/>
      <c r="AN257" s="575"/>
      <c r="AO257" s="575"/>
      <c r="AP257" s="575"/>
      <c r="AQ257" s="74"/>
    </row>
    <row r="258" spans="1:50" s="87" customFormat="1" ht="12.75" customHeight="1" x14ac:dyDescent="0.2">
      <c r="A258" s="292"/>
      <c r="B258" s="1789"/>
      <c r="C258" s="85"/>
      <c r="D258" s="789" t="str">
        <f>Sheet1!$D$27</f>
        <v>2015-16</v>
      </c>
      <c r="E258" s="790" t="str">
        <f>Sheet1!$E$27</f>
        <v>2016-17</v>
      </c>
      <c r="F258" s="790" t="str">
        <f>Sheet1!$F$27</f>
        <v>2017-18</v>
      </c>
      <c r="G258" s="790" t="str">
        <f>Sheet1!$G$27</f>
        <v>2018-19</v>
      </c>
      <c r="H258" s="791" t="str">
        <f>Sheet1!$H$27</f>
        <v>2019-20</v>
      </c>
      <c r="I258" s="1812"/>
      <c r="J258" s="96"/>
      <c r="K258" s="820" t="str">
        <f>Sheet1!$D$27</f>
        <v>2015-16</v>
      </c>
      <c r="L258" s="821" t="str">
        <f>Sheet1!$E$27</f>
        <v>2016-17</v>
      </c>
      <c r="M258" s="821" t="str">
        <f>Sheet1!$F$27</f>
        <v>2017-18</v>
      </c>
      <c r="N258" s="821" t="str">
        <f>Sheet1!$G$27</f>
        <v>2018-19</v>
      </c>
      <c r="O258" s="1741" t="str">
        <f>Sheet1!$H$27</f>
        <v>2019-20</v>
      </c>
      <c r="P258" s="1742"/>
      <c r="Q258" s="1816"/>
      <c r="R258" s="70"/>
      <c r="S258" s="1820"/>
      <c r="T258" s="1821"/>
      <c r="U258" s="1822"/>
      <c r="V258" s="122"/>
      <c r="W258" s="139"/>
      <c r="X258" s="1350"/>
      <c r="Y258" s="1043"/>
      <c r="Z258" s="1948" t="s">
        <v>76</v>
      </c>
      <c r="AA258" s="1948" t="s">
        <v>77</v>
      </c>
      <c r="AB258" s="1417" t="str">
        <f>IF(Sheet1!$C$3="Annual","",Sheet1!AE264)</f>
        <v/>
      </c>
      <c r="AC258" s="1399" t="str">
        <f>IF(Sheet1!$C$3="Annual","",Sheet1!AF264)</f>
        <v/>
      </c>
      <c r="AD258" s="1399" t="str">
        <f>IF(Sheet1!$C$3="Annual","",Sheet1!AG264)</f>
        <v/>
      </c>
      <c r="AE258" s="1042" t="str">
        <f>IF(Sheet1!$C$3="Annual","",Sheet1!AH264)</f>
        <v/>
      </c>
      <c r="AF258" s="1342" t="str">
        <f>IF(Sheet1!$C$3="Annual","",Sheet1!AI264)</f>
        <v/>
      </c>
      <c r="AG258" s="1352"/>
      <c r="AH258" s="1341"/>
      <c r="AI258" s="1341"/>
      <c r="AJ258" s="1351"/>
      <c r="AK258" s="1346"/>
      <c r="AL258" s="945"/>
      <c r="AM258" s="945"/>
      <c r="AN258" s="945"/>
      <c r="AO258" s="945"/>
      <c r="AP258" s="945"/>
    </row>
    <row r="259" spans="1:50" s="87" customFormat="1" ht="12.75" customHeight="1" x14ac:dyDescent="0.2">
      <c r="A259" s="121"/>
      <c r="B259" s="1790"/>
      <c r="C259" s="85"/>
      <c r="D259" s="792" t="e">
        <f>Sheet1!$D$28</f>
        <v>#N/A</v>
      </c>
      <c r="E259" s="792" t="e">
        <f>Sheet1!$E$28</f>
        <v>#N/A</v>
      </c>
      <c r="F259" s="792" t="e">
        <f>Sheet1!$F$28</f>
        <v>#N/A</v>
      </c>
      <c r="G259" s="792" t="e">
        <f>Sheet1!$G$28</f>
        <v>#N/A</v>
      </c>
      <c r="H259" s="793" t="e">
        <f>Sheet1!$H$28</f>
        <v>#N/A</v>
      </c>
      <c r="I259" s="1813"/>
      <c r="J259" s="96"/>
      <c r="K259" s="792" t="e">
        <f>Sheet1!$D$28</f>
        <v>#N/A</v>
      </c>
      <c r="L259" s="792" t="e">
        <f>Sheet1!$E$28</f>
        <v>#N/A</v>
      </c>
      <c r="M259" s="792" t="e">
        <f>Sheet1!$F$28</f>
        <v>#N/A</v>
      </c>
      <c r="N259" s="792" t="e">
        <f>Sheet1!$G$28</f>
        <v>#N/A</v>
      </c>
      <c r="O259" s="1739" t="e">
        <f>Sheet1!$H$28</f>
        <v>#N/A</v>
      </c>
      <c r="P259" s="1827"/>
      <c r="Q259" s="1745"/>
      <c r="R259" s="70"/>
      <c r="S259" s="944" t="s">
        <v>78</v>
      </c>
      <c r="T259" s="856" t="s">
        <v>128</v>
      </c>
      <c r="U259" s="857" t="s">
        <v>129</v>
      </c>
      <c r="V259" s="122"/>
      <c r="W259" s="139"/>
      <c r="X259" s="1350"/>
      <c r="Y259" s="1043"/>
      <c r="Z259" s="1949"/>
      <c r="AA259" s="1949"/>
      <c r="AB259" s="1404" t="str">
        <f>Sheet1!$D$27</f>
        <v>2015-16</v>
      </c>
      <c r="AC259" s="1404" t="str">
        <f>Sheet1!$E$27</f>
        <v>2016-17</v>
      </c>
      <c r="AD259" s="1404" t="str">
        <f>Sheet1!$F$27</f>
        <v>2017-18</v>
      </c>
      <c r="AE259" s="1404" t="str">
        <f>Sheet1!$G$27</f>
        <v>2018-19</v>
      </c>
      <c r="AF259" s="1362" t="str">
        <f>Sheet1!$H$27</f>
        <v>2019-20</v>
      </c>
      <c r="AG259" s="1341"/>
      <c r="AH259" s="1341">
        <f>COLUMNS($B$4:O$4)</f>
        <v>14</v>
      </c>
      <c r="AI259" s="1341"/>
      <c r="AJ259" s="1351"/>
      <c r="AK259" s="1346"/>
      <c r="AL259" s="947" t="s">
        <v>676</v>
      </c>
      <c r="AM259" s="947" t="s">
        <v>677</v>
      </c>
      <c r="AN259" s="947" t="s">
        <v>678</v>
      </c>
      <c r="AO259" s="947" t="s">
        <v>679</v>
      </c>
      <c r="AP259" s="947" t="s">
        <v>680</v>
      </c>
      <c r="AR259" s="937" t="s">
        <v>683</v>
      </c>
      <c r="AS259" s="937" t="s">
        <v>684</v>
      </c>
      <c r="AT259" s="937" t="s">
        <v>685</v>
      </c>
      <c r="AU259" s="937" t="s">
        <v>686</v>
      </c>
      <c r="AV259" s="938" t="s">
        <v>687</v>
      </c>
      <c r="AW259" s="938" t="s">
        <v>688</v>
      </c>
      <c r="AX259" s="938" t="s">
        <v>689</v>
      </c>
    </row>
    <row r="260" spans="1:50" s="87" customFormat="1" ht="13.5" customHeight="1" x14ac:dyDescent="0.2">
      <c r="A260" s="488">
        <f>VLOOKUP(B260,Sheet1!$AQ$4:$AR$25,2,FALSE)</f>
        <v>0</v>
      </c>
      <c r="B260" s="93" t="str">
        <f>Sheet1!$K$4</f>
        <v>Bracknell Forest</v>
      </c>
      <c r="C260" s="85"/>
      <c r="D260" s="94">
        <f>IF(AND(ISNUMBER(D10),ISNUMBER(D117)),D10-D117,NA())</f>
        <v>-8</v>
      </c>
      <c r="E260" s="94">
        <f>IF(AND(ISNUMBER(E10),ISNUMBER(E117)),E10-E117,NA())</f>
        <v>18</v>
      </c>
      <c r="F260" s="94">
        <f>IF(AND(ISNUMBER(F10),ISNUMBER(F117)),F10-F117,NA())</f>
        <v>17</v>
      </c>
      <c r="G260" s="94">
        <f>IF(AND(ISNUMBER(G10),ISNUMBER(G117)),G10-G117,NA())</f>
        <v>19</v>
      </c>
      <c r="H260" s="95">
        <f>IF(AND(ISNUMBER(H10),ISNUMBER(H117)),H10-H117,NA())</f>
        <v>-15</v>
      </c>
      <c r="I260" s="1364">
        <f>AP260</f>
        <v>-1.75</v>
      </c>
      <c r="J260" s="96"/>
      <c r="K260" s="97">
        <f>IF(ISNUMBER(D260),D260/Population!D10*10000,NA())</f>
        <v>-2.8368794326241136</v>
      </c>
      <c r="L260" s="97">
        <f>IF(ISNUMBER(E260),E260/Population!E10*10000,NA())</f>
        <v>6.3829787234042552</v>
      </c>
      <c r="M260" s="97">
        <f>IF(ISNUMBER(F260),F260/Population!F10*10000,NA())</f>
        <v>6.04982206405694</v>
      </c>
      <c r="N260" s="97">
        <f>IF(ISNUMBER(G260),G260/Population!G10*10000,NA())</f>
        <v>6.7137809187279149</v>
      </c>
      <c r="O260" s="97">
        <f>IF(ISNUMBER(H260),H260/Population!H10*10000,NA())</f>
        <v>-5.28169014084507</v>
      </c>
      <c r="P260" s="99">
        <f>IF(ISNUMBER(O260),O260,"")</f>
        <v>-5.28169014084507</v>
      </c>
      <c r="Q260" s="934">
        <f>IF(ISNA(VLOOKUP(B260,$AG$10:$AI$28,3,FALSE)),"--",IF(ISNUMBER(H260),VLOOKUP(B260,$AG$10:$AI$28,3,FALSE),NA()))</f>
        <v>6</v>
      </c>
      <c r="R260" s="70"/>
      <c r="S260" s="340">
        <f>IDACI!C9</f>
        <v>8.9</v>
      </c>
      <c r="T260" s="341">
        <f>((S260*$Z$294)+$AA$294)/$Y$2</f>
        <v>-0.49269038087455641</v>
      </c>
      <c r="U260" s="342">
        <f>O260-T260</f>
        <v>-4.7889997599705136</v>
      </c>
      <c r="V260" s="122"/>
      <c r="W260" s="139"/>
      <c r="X260" s="1350"/>
      <c r="Y260" s="1400" t="str">
        <f t="shared" ref="Y260:Y283" si="79">B260</f>
        <v>Bracknell Forest</v>
      </c>
      <c r="Z260" s="1401">
        <f>IF(AD148&gt;0,IDACI!D9,0)</f>
        <v>24849</v>
      </c>
      <c r="AA260" s="1401">
        <f>IF(AD148&gt;0,IDACI!E9,0)</f>
        <v>2211.5610000000001</v>
      </c>
      <c r="AB260" s="1402">
        <f>IF(ISNUMBER(D260),Population!D10,0)</f>
        <v>28200</v>
      </c>
      <c r="AC260" s="1402">
        <f>IF(ISNUMBER(E260),Population!E10,0)</f>
        <v>28200</v>
      </c>
      <c r="AD260" s="1402">
        <f>IF(ISNUMBER(F260),Population!F10,0)</f>
        <v>28100</v>
      </c>
      <c r="AE260" s="1402">
        <f>IF(ISNUMBER(G260),Population!G10,0)</f>
        <v>28300</v>
      </c>
      <c r="AF260" s="1354">
        <f>IF(ISNUMBER(H260),Population!H10,0)</f>
        <v>28400</v>
      </c>
      <c r="AG260" s="1355" t="str">
        <f>B260</f>
        <v>Bracknell Forest</v>
      </c>
      <c r="AH260" s="1356">
        <f t="shared" ref="AH260:AH278" si="80">IFERROR(VLOOKUP(AG260,$B$260:$O$283,$AH$116,FALSE),"")</f>
        <v>-5.28169014084507</v>
      </c>
      <c r="AI260" s="1357">
        <f>RANK(AH260,$AH$260:$AH$278,1)</f>
        <v>2</v>
      </c>
      <c r="AJ260" s="1351"/>
      <c r="AK260" s="1346"/>
      <c r="AL260" s="897">
        <f>IF(ISERROR((E260-D260)),"x",(E260-D260))</f>
        <v>26</v>
      </c>
      <c r="AM260" s="897">
        <f t="shared" ref="AM260:AO260" si="81">IF(ISERROR((F260-E260)),"x",(F260-E260))</f>
        <v>-1</v>
      </c>
      <c r="AN260" s="897">
        <f t="shared" si="81"/>
        <v>2</v>
      </c>
      <c r="AO260" s="897">
        <f t="shared" si="81"/>
        <v>-34</v>
      </c>
      <c r="AP260" s="897">
        <f>AVERAGE(AL260:AO260)</f>
        <v>-1.75</v>
      </c>
      <c r="AR260" s="936">
        <f>IF(ISNUMBER(L260),L260,"")</f>
        <v>6.3829787234042552</v>
      </c>
      <c r="AS260" s="936">
        <f t="shared" ref="AS260:AS283" si="82">IF(ISNUMBER(M260),M260,"")</f>
        <v>6.04982206405694</v>
      </c>
      <c r="AT260" s="936">
        <f t="shared" ref="AT260:AT283" si="83">IF(ISNUMBER(N260),N260,"")</f>
        <v>6.7137809187279149</v>
      </c>
      <c r="AU260" s="936">
        <f t="shared" ref="AU260:AU272" si="84">IF(ISNUMBER(O260),O260,"")</f>
        <v>-5.28169014084507</v>
      </c>
      <c r="AV260" s="936">
        <f t="shared" ref="AV260:AV272" si="85">SUM(AR260:AU260)</f>
        <v>13.86489156534404</v>
      </c>
      <c r="AW260" s="575">
        <f t="shared" ref="AW260:AW272" si="86">COUNTBLANK(AR260:AU260)</f>
        <v>0</v>
      </c>
      <c r="AX260" s="936">
        <f>AV260/(4-AW260)*4</f>
        <v>13.86489156534404</v>
      </c>
    </row>
    <row r="261" spans="1:50" s="87" customFormat="1" ht="13.5" customHeight="1" x14ac:dyDescent="0.2">
      <c r="A261" s="488">
        <f>VLOOKUP(B261,Sheet1!$AQ$4:$AR$25,2,FALSE)</f>
        <v>0</v>
      </c>
      <c r="B261" s="93" t="str">
        <f>Sheet1!$K$5</f>
        <v>Brighton &amp; Hove</v>
      </c>
      <c r="C261" s="85"/>
      <c r="D261" s="94">
        <f>IF(AND(ISNUMBER(D11),ISNUMBER(D118)),D11-D118,NA())</f>
        <v>-41</v>
      </c>
      <c r="E261" s="94">
        <f>IF(AND(ISNUMBER(E11),ISNUMBER(E118)),E11-E118,NA())</f>
        <v>15</v>
      </c>
      <c r="F261" s="94">
        <f>IF(AND(ISNUMBER(F11),ISNUMBER(F118)),F11-F118,NA())</f>
        <v>-36</v>
      </c>
      <c r="G261" s="94">
        <f>IF(AND(ISNUMBER(G11),ISNUMBER(G118)),G11-G118,NA())</f>
        <v>-30</v>
      </c>
      <c r="H261" s="95">
        <f>IF(AND(ISNUMBER(H11),ISNUMBER(H118)),H11-H118,NA())</f>
        <v>-24</v>
      </c>
      <c r="I261" s="1364">
        <f t="shared" ref="I261:I283" si="87">AP261</f>
        <v>4.25</v>
      </c>
      <c r="J261" s="96"/>
      <c r="K261" s="97">
        <f>IF(ISNUMBER(D261),D261/Population!D11*10000,NA())</f>
        <v>-8.0078125</v>
      </c>
      <c r="L261" s="97">
        <f>IF(ISNUMBER(E261),E261/Population!E11*10000,NA())</f>
        <v>2.9239766081871346</v>
      </c>
      <c r="M261" s="97">
        <f>IF(ISNUMBER(F261),F261/Population!F11*10000,NA())</f>
        <v>-7.0588235294117654</v>
      </c>
      <c r="N261" s="97">
        <f>IF(ISNUMBER(G261),G261/Population!G11*10000,NA())</f>
        <v>-5.8823529411764701</v>
      </c>
      <c r="O261" s="98">
        <f>IF(ISNUMBER(H261),H261/Population!H11*10000,NA())</f>
        <v>-4.7713717693836983</v>
      </c>
      <c r="P261" s="99">
        <f t="shared" ref="P261:P283" si="88">IF(ISNUMBER(O261),O261,"")</f>
        <v>-4.7713717693836983</v>
      </c>
      <c r="Q261" s="934">
        <f t="shared" ref="Q261:Q264" si="89">IF(ISNA(VLOOKUP(B261,$AG$10:$AI$28,3,FALSE)),"--",IF(ISNUMBER(H261),VLOOKUP(B261,$AG$10:$AI$28,3,FALSE),NA()))</f>
        <v>16</v>
      </c>
      <c r="R261" s="70"/>
      <c r="S261" s="340">
        <f>IDACI!C10</f>
        <v>15.299999999999999</v>
      </c>
      <c r="T261" s="341">
        <f>((S261*$Z$294)+$AA$294)/$Y$2</f>
        <v>1.1769633455055364</v>
      </c>
      <c r="U261" s="342">
        <f t="shared" ref="U261:U283" si="90">O261-T261</f>
        <v>-5.9483351148892343</v>
      </c>
      <c r="V261" s="122"/>
      <c r="W261" s="139"/>
      <c r="X261" s="1350"/>
      <c r="Y261" s="1400" t="str">
        <f t="shared" si="79"/>
        <v>Brighton &amp; Hove</v>
      </c>
      <c r="Z261" s="1401">
        <f>IF(AD149&gt;0,IDACI!D10,0)</f>
        <v>45576</v>
      </c>
      <c r="AA261" s="1401">
        <f>IF(AD149&gt;0,IDACI!E10,0)</f>
        <v>6973.1279999999997</v>
      </c>
      <c r="AB261" s="1402">
        <f>IF(ISNUMBER(D261),Population!D11,0)</f>
        <v>51200</v>
      </c>
      <c r="AC261" s="1402">
        <f>IF(ISNUMBER(E261),Population!E11,0)</f>
        <v>51300</v>
      </c>
      <c r="AD261" s="1402">
        <f>IF(ISNUMBER(F261),Population!F11,0)</f>
        <v>51000</v>
      </c>
      <c r="AE261" s="1402">
        <f>IF(ISNUMBER(G261),Population!G11,0)</f>
        <v>51000</v>
      </c>
      <c r="AF261" s="1354">
        <f>IF(ISNUMBER(H261),Population!H11,0)</f>
        <v>50300</v>
      </c>
      <c r="AG261" s="1355" t="s">
        <v>31</v>
      </c>
      <c r="AH261" s="1356">
        <f t="shared" si="80"/>
        <v>-4.7713717693836983</v>
      </c>
      <c r="AI261" s="1357">
        <f t="shared" ref="AI261:AI278" si="91">RANK(AH261,$AH$260:$AH$278,1)</f>
        <v>3</v>
      </c>
      <c r="AJ261" s="1351"/>
      <c r="AK261" s="1346"/>
      <c r="AL261" s="897">
        <f t="shared" ref="AL261:AL283" si="92">IF(ISERROR((E261-D261)),"x",(E261-D261))</f>
        <v>56</v>
      </c>
      <c r="AM261" s="897">
        <f t="shared" ref="AM261:AM283" si="93">IF(ISERROR((F261-E261)),"x",(F261-E261))</f>
        <v>-51</v>
      </c>
      <c r="AN261" s="897">
        <f t="shared" ref="AN261:AN283" si="94">IF(ISERROR((G261-F261)),"x",(G261-F261))</f>
        <v>6</v>
      </c>
      <c r="AO261" s="897">
        <f t="shared" ref="AO261:AO283" si="95">IF(ISERROR((H261-G261)),"x",(H261-G261))</f>
        <v>6</v>
      </c>
      <c r="AP261" s="897">
        <f>AVERAGE(AL261:AO261)</f>
        <v>4.25</v>
      </c>
      <c r="AR261" s="936">
        <f t="shared" ref="AR261:AR283" si="96">IF(ISNUMBER(L261),L261,"")</f>
        <v>2.9239766081871346</v>
      </c>
      <c r="AS261" s="936">
        <f t="shared" si="82"/>
        <v>-7.0588235294117654</v>
      </c>
      <c r="AT261" s="936">
        <f t="shared" si="83"/>
        <v>-5.8823529411764701</v>
      </c>
      <c r="AU261" s="936">
        <f t="shared" si="84"/>
        <v>-4.7713717693836983</v>
      </c>
      <c r="AV261" s="936">
        <f t="shared" si="85"/>
        <v>-14.788571631784798</v>
      </c>
      <c r="AW261" s="575">
        <f t="shared" si="86"/>
        <v>0</v>
      </c>
      <c r="AX261" s="936">
        <f t="shared" ref="AX261:AX272" si="97">AV261/(4-AW261)*4</f>
        <v>-14.788571631784798</v>
      </c>
    </row>
    <row r="262" spans="1:50" s="87" customFormat="1" ht="13.5" customHeight="1" x14ac:dyDescent="0.2">
      <c r="A262" s="488">
        <f>VLOOKUP(B262,Sheet1!$AQ$4:$AR$25,2,FALSE)</f>
        <v>0</v>
      </c>
      <c r="B262" s="93" t="str">
        <f>Sheet1!$K$6</f>
        <v>Buckinghamshire</v>
      </c>
      <c r="C262" s="85"/>
      <c r="D262" s="94">
        <f>IF(AND(ISNUMBER(D12),ISNUMBER(D119)),D12-D119,NA())</f>
        <v>22</v>
      </c>
      <c r="E262" s="94">
        <f>IF(AND(ISNUMBER(E12),ISNUMBER(E119)),E12-E119,NA())</f>
        <v>-8</v>
      </c>
      <c r="F262" s="94">
        <f>IF(AND(ISNUMBER(F12),ISNUMBER(F119)),F12-F119,NA())</f>
        <v>13</v>
      </c>
      <c r="G262" s="94">
        <f>IF(AND(ISNUMBER(G12),ISNUMBER(G119)),G12-G119,NA())</f>
        <v>39</v>
      </c>
      <c r="H262" s="95">
        <f>IF(AND(ISNUMBER(H12),ISNUMBER(H119)),H12-H119,NA())</f>
        <v>-32</v>
      </c>
      <c r="I262" s="1364">
        <f t="shared" si="87"/>
        <v>-13.5</v>
      </c>
      <c r="J262" s="96"/>
      <c r="K262" s="97">
        <f>IF(ISNUMBER(D262),D262/Population!D12*10000,NA())</f>
        <v>1.8242122719734659</v>
      </c>
      <c r="L262" s="97">
        <f>IF(ISNUMBER(E262),E262/Population!E12*10000,NA())</f>
        <v>-0.65466448445171854</v>
      </c>
      <c r="M262" s="97">
        <f>IF(ISNUMBER(F262),F262/Population!F12*10000,NA())</f>
        <v>1.0560519902518279</v>
      </c>
      <c r="N262" s="97">
        <f>IF(ISNUMBER(G262),G262/Population!G12*10000,NA())</f>
        <v>3.1375703942075623</v>
      </c>
      <c r="O262" s="98">
        <f>IF(ISNUMBER(H262),H262/Population!H12*10000,NA())</f>
        <v>-2.5457438345266503</v>
      </c>
      <c r="P262" s="99">
        <f t="shared" si="88"/>
        <v>-2.5457438345266503</v>
      </c>
      <c r="Q262" s="934">
        <f t="shared" si="89"/>
        <v>4</v>
      </c>
      <c r="R262" s="70"/>
      <c r="S262" s="340">
        <f>IDACI!C11</f>
        <v>8.5</v>
      </c>
      <c r="T262" s="341">
        <f>((S262*$Z$294)+$AA$294)/$Y$2</f>
        <v>-0.59704373877331252</v>
      </c>
      <c r="U262" s="342">
        <f t="shared" si="90"/>
        <v>-1.9487000957533378</v>
      </c>
      <c r="V262" s="122"/>
      <c r="W262" s="139"/>
      <c r="X262" s="1350"/>
      <c r="Y262" s="1400" t="str">
        <f t="shared" si="79"/>
        <v>Buckinghamshire</v>
      </c>
      <c r="Z262" s="1401">
        <f>IF(AD150&gt;0,IDACI!D11,0)</f>
        <v>107385</v>
      </c>
      <c r="AA262" s="1401">
        <f>IF(AD150&gt;0,IDACI!E11,0)</f>
        <v>9127.7250000000004</v>
      </c>
      <c r="AB262" s="1402">
        <f>IF(ISNUMBER(D262),Population!D12,0)</f>
        <v>120600</v>
      </c>
      <c r="AC262" s="1402">
        <f>IF(ISNUMBER(E262),Population!E12,0)</f>
        <v>122200</v>
      </c>
      <c r="AD262" s="1402">
        <f>IF(ISNUMBER(F262),Population!F12,0)</f>
        <v>123100</v>
      </c>
      <c r="AE262" s="1402">
        <f>IF(ISNUMBER(G262),Population!G12,0)</f>
        <v>124300</v>
      </c>
      <c r="AF262" s="1354">
        <f>IF(ISNUMBER(H262),Population!H12,0)</f>
        <v>125700</v>
      </c>
      <c r="AG262" s="1355" t="s">
        <v>8</v>
      </c>
      <c r="AH262" s="1356">
        <f t="shared" si="80"/>
        <v>-2.5457438345266503</v>
      </c>
      <c r="AI262" s="1357">
        <f t="shared" si="91"/>
        <v>9</v>
      </c>
      <c r="AJ262" s="1351"/>
      <c r="AK262" s="1346"/>
      <c r="AL262" s="897">
        <f t="shared" si="92"/>
        <v>-30</v>
      </c>
      <c r="AM262" s="897">
        <f t="shared" si="93"/>
        <v>21</v>
      </c>
      <c r="AN262" s="897">
        <f t="shared" si="94"/>
        <v>26</v>
      </c>
      <c r="AO262" s="897">
        <f t="shared" si="95"/>
        <v>-71</v>
      </c>
      <c r="AP262" s="897">
        <f t="shared" ref="AP262:AP282" si="98">AVERAGE(AL262:AO262)</f>
        <v>-13.5</v>
      </c>
      <c r="AR262" s="936">
        <f t="shared" si="96"/>
        <v>-0.65466448445171854</v>
      </c>
      <c r="AS262" s="936">
        <f t="shared" si="82"/>
        <v>1.0560519902518279</v>
      </c>
      <c r="AT262" s="936">
        <f t="shared" si="83"/>
        <v>3.1375703942075623</v>
      </c>
      <c r="AU262" s="936">
        <f t="shared" si="84"/>
        <v>-2.5457438345266503</v>
      </c>
      <c r="AV262" s="936">
        <f t="shared" si="85"/>
        <v>0.99321406548102154</v>
      </c>
      <c r="AW262" s="575">
        <f t="shared" si="86"/>
        <v>0</v>
      </c>
      <c r="AX262" s="936">
        <f t="shared" si="97"/>
        <v>0.99321406548102154</v>
      </c>
    </row>
    <row r="263" spans="1:50" s="87" customFormat="1" ht="13.5" customHeight="1" x14ac:dyDescent="0.2">
      <c r="A263" s="488">
        <f>VLOOKUP(B263,Sheet1!$AQ$4:$AR$25,2,FALSE)</f>
        <v>0</v>
      </c>
      <c r="B263" s="93" t="str">
        <f>Sheet1!$K$7</f>
        <v>East Sussex</v>
      </c>
      <c r="C263" s="85"/>
      <c r="D263" s="94">
        <f>IF(AND(ISNUMBER(D13),ISNUMBER(D120)),D13-D120,NA())</f>
        <v>-8</v>
      </c>
      <c r="E263" s="100">
        <f>IF(AND(ISNUMBER(E13),ISNUMBER(E120)),E13-E120,NA())</f>
        <v>13</v>
      </c>
      <c r="F263" s="94">
        <f>IF(AND(ISNUMBER(F13),ISNUMBER(F120)),F13-F120,NA())</f>
        <v>41</v>
      </c>
      <c r="G263" s="94">
        <f>IF(AND(ISNUMBER(G13),ISNUMBER(G120)),G13-G120,NA())</f>
        <v>0</v>
      </c>
      <c r="H263" s="95">
        <f>IF(AND(ISNUMBER(H13),ISNUMBER(H120)),H13-H120,NA())</f>
        <v>-2</v>
      </c>
      <c r="I263" s="1364">
        <f t="shared" si="87"/>
        <v>1.5</v>
      </c>
      <c r="J263" s="96"/>
      <c r="K263" s="97">
        <f>IF(ISNUMBER(D263),D263/Population!D13*10000,NA())</f>
        <v>-0.75542965061378664</v>
      </c>
      <c r="L263" s="97">
        <f>IF(ISNUMBER(E263),E263/Population!E13*10000,NA())</f>
        <v>1.2275731822474032</v>
      </c>
      <c r="M263" s="97">
        <f>IF(ISNUMBER(F263),F263/Population!F13*10000,NA())</f>
        <v>3.8679245283018866</v>
      </c>
      <c r="N263" s="97">
        <f>IF(ISNUMBER(G263),G263/Population!G13*10000,NA())</f>
        <v>0</v>
      </c>
      <c r="O263" s="98">
        <f>IF(ISNUMBER(H263),H263/Population!H13*10000,NA())</f>
        <v>-0.18814675446848542</v>
      </c>
      <c r="P263" s="99">
        <f t="shared" si="88"/>
        <v>-0.18814675446848542</v>
      </c>
      <c r="Q263" s="934">
        <f t="shared" si="89"/>
        <v>5</v>
      </c>
      <c r="R263" s="70"/>
      <c r="S263" s="340">
        <f>IDACI!C12</f>
        <v>16.100000000000001</v>
      </c>
      <c r="T263" s="341">
        <f>((S263*$Z$294)+$AA$294)/$Y$2</f>
        <v>1.3856700613030482</v>
      </c>
      <c r="U263" s="342">
        <f t="shared" si="90"/>
        <v>-1.5738168157715335</v>
      </c>
      <c r="V263" s="122"/>
      <c r="W263" s="139"/>
      <c r="X263" s="1350"/>
      <c r="Y263" s="1400" t="str">
        <f t="shared" si="79"/>
        <v>East Sussex</v>
      </c>
      <c r="Z263" s="1401">
        <f>IF(AD151&gt;0,IDACI!D12,0)</f>
        <v>93130</v>
      </c>
      <c r="AA263" s="1401">
        <f>IF(AD151&gt;0,IDACI!E12,0)</f>
        <v>14993.93</v>
      </c>
      <c r="AB263" s="1402">
        <f>IF(ISNUMBER(D263),Population!D13,0)</f>
        <v>105900</v>
      </c>
      <c r="AC263" s="1402">
        <f>IF(ISNUMBER(E263),Population!E13,0)</f>
        <v>105900</v>
      </c>
      <c r="AD263" s="1402">
        <f>IF(ISNUMBER(F263),Population!F13,0)</f>
        <v>106000</v>
      </c>
      <c r="AE263" s="1402">
        <f>IF(ISNUMBER(G263),Population!G13,0)</f>
        <v>106400</v>
      </c>
      <c r="AF263" s="1354">
        <f>IF(ISNUMBER(H263),Population!H13,0)</f>
        <v>106300</v>
      </c>
      <c r="AG263" s="1355" t="s">
        <v>4</v>
      </c>
      <c r="AH263" s="1356">
        <f t="shared" si="80"/>
        <v>-0.18814675446848542</v>
      </c>
      <c r="AI263" s="1357">
        <f t="shared" si="91"/>
        <v>13</v>
      </c>
      <c r="AJ263" s="1351"/>
      <c r="AK263" s="1346"/>
      <c r="AL263" s="897">
        <f t="shared" si="92"/>
        <v>21</v>
      </c>
      <c r="AM263" s="897">
        <f t="shared" si="93"/>
        <v>28</v>
      </c>
      <c r="AN263" s="897">
        <f t="shared" si="94"/>
        <v>-41</v>
      </c>
      <c r="AO263" s="897">
        <f t="shared" si="95"/>
        <v>-2</v>
      </c>
      <c r="AP263" s="897">
        <f t="shared" si="98"/>
        <v>1.5</v>
      </c>
      <c r="AR263" s="936">
        <f t="shared" si="96"/>
        <v>1.2275731822474032</v>
      </c>
      <c r="AS263" s="936">
        <f t="shared" si="82"/>
        <v>3.8679245283018866</v>
      </c>
      <c r="AT263" s="936">
        <f t="shared" si="83"/>
        <v>0</v>
      </c>
      <c r="AU263" s="936">
        <f t="shared" si="84"/>
        <v>-0.18814675446848542</v>
      </c>
      <c r="AV263" s="936">
        <f t="shared" si="85"/>
        <v>4.907350956080804</v>
      </c>
      <c r="AW263" s="575">
        <f t="shared" si="86"/>
        <v>0</v>
      </c>
      <c r="AX263" s="936">
        <f t="shared" si="97"/>
        <v>4.907350956080804</v>
      </c>
    </row>
    <row r="264" spans="1:50" s="87" customFormat="1" ht="13.5" customHeight="1" x14ac:dyDescent="0.2">
      <c r="A264" s="488">
        <f>VLOOKUP(B264,Sheet1!$AQ$4:$AR$25,2,FALSE)</f>
        <v>0</v>
      </c>
      <c r="B264" s="93" t="str">
        <f>Sheet1!$K$8</f>
        <v>Hampshire</v>
      </c>
      <c r="C264" s="85"/>
      <c r="D264" s="94">
        <f>IF(AND(ISNUMBER(D14),ISNUMBER(D121)),D14-D121,NA())</f>
        <v>-38</v>
      </c>
      <c r="E264" s="94">
        <f>IF(AND(ISNUMBER(E14),ISNUMBER(E121)),E14-E121,NA())</f>
        <v>115</v>
      </c>
      <c r="F264" s="101">
        <f>IF(AND(ISNUMBER(F14),ISNUMBER(F121)),F14-F121,NA())</f>
        <v>143</v>
      </c>
      <c r="G264" s="101">
        <f>IF(AND(ISNUMBER(G14),ISNUMBER(G121)),G14-G121,NA())</f>
        <v>59</v>
      </c>
      <c r="H264" s="95">
        <f>IF(AND(ISNUMBER(H14),ISNUMBER(H121)),H14-H121,NA())</f>
        <v>-75</v>
      </c>
      <c r="I264" s="1364">
        <f t="shared" si="87"/>
        <v>-9.25</v>
      </c>
      <c r="J264" s="96"/>
      <c r="K264" s="97">
        <f>IF(ISNUMBER(D264),D264/Population!D14*10000,NA())</f>
        <v>-1.3479957431713374</v>
      </c>
      <c r="L264" s="97">
        <f>IF(ISNUMBER(E264),E264/Population!E14*10000,NA())</f>
        <v>4.0664780763790667</v>
      </c>
      <c r="M264" s="97">
        <f>IF(ISNUMBER(F264),F264/Population!F14*10000,NA())</f>
        <v>5.047652665019414</v>
      </c>
      <c r="N264" s="97">
        <f>IF(ISNUMBER(G264),G264/Population!G14*10000,NA())</f>
        <v>2.0774647887323945</v>
      </c>
      <c r="O264" s="98">
        <f>IF(ISNUMBER(H264),H264/Population!H14*10000,NA())</f>
        <v>-2.6380583890256775</v>
      </c>
      <c r="P264" s="99">
        <f t="shared" si="88"/>
        <v>-2.6380583890256775</v>
      </c>
      <c r="Q264" s="934">
        <f t="shared" si="89"/>
        <v>8</v>
      </c>
      <c r="R264" s="70"/>
      <c r="S264" s="340">
        <f>IDACI!C13</f>
        <v>10.100000000000001</v>
      </c>
      <c r="T264" s="341">
        <f>((S264*$Z$294)+$AA$294)/$Y$2</f>
        <v>-0.17963030717828854</v>
      </c>
      <c r="U264" s="342">
        <f t="shared" si="90"/>
        <v>-2.4584280818473889</v>
      </c>
      <c r="V264" s="122"/>
      <c r="W264" s="139"/>
      <c r="X264" s="1350"/>
      <c r="Y264" s="1400" t="str">
        <f t="shared" si="79"/>
        <v>Hampshire</v>
      </c>
      <c r="Z264" s="1401">
        <f>IF(AD152&gt;0,IDACI!D13,0)</f>
        <v>249483</v>
      </c>
      <c r="AA264" s="1401">
        <f>IF(AD152&gt;0,IDACI!E13,0)</f>
        <v>25197.783000000007</v>
      </c>
      <c r="AB264" s="1402">
        <f>IF(ISNUMBER(D264),Population!D14,0)</f>
        <v>281900</v>
      </c>
      <c r="AC264" s="1402">
        <f>IF(ISNUMBER(E264),Population!E14,0)</f>
        <v>282800</v>
      </c>
      <c r="AD264" s="1402">
        <f>IF(ISNUMBER(F264),Population!F14,0)</f>
        <v>283300</v>
      </c>
      <c r="AE264" s="1402">
        <f>IF(ISNUMBER(G264),Population!G14,0)</f>
        <v>284000</v>
      </c>
      <c r="AF264" s="1354">
        <f>IF(ISNUMBER(H264),Population!H14,0)</f>
        <v>284300</v>
      </c>
      <c r="AG264" s="1355" t="s">
        <v>6</v>
      </c>
      <c r="AH264" s="1356">
        <f t="shared" si="80"/>
        <v>-2.6380583890256775</v>
      </c>
      <c r="AI264" s="1357">
        <f t="shared" si="91"/>
        <v>8</v>
      </c>
      <c r="AJ264" s="1351"/>
      <c r="AK264" s="1346"/>
      <c r="AL264" s="897">
        <f t="shared" si="92"/>
        <v>153</v>
      </c>
      <c r="AM264" s="897">
        <f t="shared" si="93"/>
        <v>28</v>
      </c>
      <c r="AN264" s="897">
        <f t="shared" si="94"/>
        <v>-84</v>
      </c>
      <c r="AO264" s="897">
        <f t="shared" si="95"/>
        <v>-134</v>
      </c>
      <c r="AP264" s="897">
        <f t="shared" si="98"/>
        <v>-9.25</v>
      </c>
      <c r="AR264" s="936">
        <f t="shared" si="96"/>
        <v>4.0664780763790667</v>
      </c>
      <c r="AS264" s="936">
        <f t="shared" si="82"/>
        <v>5.047652665019414</v>
      </c>
      <c r="AT264" s="936">
        <f t="shared" si="83"/>
        <v>2.0774647887323945</v>
      </c>
      <c r="AU264" s="936">
        <f t="shared" si="84"/>
        <v>-2.6380583890256775</v>
      </c>
      <c r="AV264" s="936">
        <f t="shared" si="85"/>
        <v>8.5535371411051955</v>
      </c>
      <c r="AW264" s="575">
        <f t="shared" si="86"/>
        <v>0</v>
      </c>
      <c r="AX264" s="936">
        <f t="shared" si="97"/>
        <v>8.5535371411051955</v>
      </c>
    </row>
    <row r="265" spans="1:50" s="87" customFormat="1" ht="13.5" customHeight="1" x14ac:dyDescent="0.2">
      <c r="A265" s="488">
        <f>VLOOKUP(B265,Sheet1!$AQ$4:$AR$25,2,FALSE)</f>
        <v>0</v>
      </c>
      <c r="B265" s="93" t="str">
        <f>Sheet1!$K$9</f>
        <v>Isle of Wight</v>
      </c>
      <c r="C265" s="85"/>
      <c r="D265" s="94">
        <f>IF(AND(ISNUMBER(D15),ISNUMBER(D122)),D15-D122,NA())</f>
        <v>0</v>
      </c>
      <c r="E265" s="94">
        <f>IF(AND(ISNUMBER(E15),ISNUMBER(E122)),E15-E122,NA())</f>
        <v>23</v>
      </c>
      <c r="F265" s="94">
        <f>IF(AND(ISNUMBER(F15),ISNUMBER(F122)),F15-F122,NA())</f>
        <v>-6</v>
      </c>
      <c r="G265" s="94">
        <f>IF(AND(ISNUMBER(G15),ISNUMBER(G122)),G15-G122,NA())</f>
        <v>13</v>
      </c>
      <c r="H265" s="95">
        <f>IF(AND(ISNUMBER(H15),ISNUMBER(H122)),H15-H122,NA())</f>
        <v>19</v>
      </c>
      <c r="I265" s="1364">
        <f t="shared" si="87"/>
        <v>4.75</v>
      </c>
      <c r="J265" s="96"/>
      <c r="K265" s="97">
        <f>IF(ISNUMBER(D265),D265/Population!D15*10000,NA())</f>
        <v>0</v>
      </c>
      <c r="L265" s="97">
        <f>IF(ISNUMBER(E265),E265/Population!E15*10000,NA())</f>
        <v>9.1269841269841283</v>
      </c>
      <c r="M265" s="97">
        <f>IF(ISNUMBER(F265),F265/Population!F15*10000,NA())</f>
        <v>-2.3904382470119523</v>
      </c>
      <c r="N265" s="97">
        <f>IF(ISNUMBER(G265),G265/Population!G15*10000,NA())</f>
        <v>5.2208835341365463</v>
      </c>
      <c r="O265" s="98">
        <f>IF(ISNUMBER(H265),H265/Population!H15*10000,NA())</f>
        <v>7.6923076923076925</v>
      </c>
      <c r="P265" s="99">
        <f t="shared" si="88"/>
        <v>7.6923076923076925</v>
      </c>
      <c r="Q265" s="934">
        <f>IF(ISNA(VLOOKUP(B265,$AG$10:$AI$28,3,FALSE)),"--",IF(ISNUMBER(H265),VLOOKUP(B265,$AG$10:$AI$28,3,FALSE),NA()))</f>
        <v>15</v>
      </c>
      <c r="R265" s="70"/>
      <c r="S265" s="340">
        <f>IDACI!C14</f>
        <v>18</v>
      </c>
      <c r="T265" s="341">
        <f>((S265*$Z$294)+$AA$294)/$Y$2</f>
        <v>1.8813485113221384</v>
      </c>
      <c r="U265" s="342">
        <f t="shared" si="90"/>
        <v>5.8109591809855541</v>
      </c>
      <c r="V265" s="122"/>
      <c r="W265" s="139"/>
      <c r="X265" s="1350"/>
      <c r="Y265" s="1400" t="str">
        <f t="shared" si="79"/>
        <v>Isle of Wight</v>
      </c>
      <c r="Z265" s="1401">
        <f>IF(AD153&gt;0,IDACI!D14,0)</f>
        <v>22123</v>
      </c>
      <c r="AA265" s="1401">
        <f>IF(AD153&gt;0,IDACI!E14,0)</f>
        <v>3982.14</v>
      </c>
      <c r="AB265" s="1402">
        <f>IF(ISNUMBER(D265),Population!D15,0)</f>
        <v>25300</v>
      </c>
      <c r="AC265" s="1402">
        <f>IF(ISNUMBER(E265),Population!E15,0)</f>
        <v>25200</v>
      </c>
      <c r="AD265" s="1402">
        <f>IF(ISNUMBER(F265),Population!F15,0)</f>
        <v>25100</v>
      </c>
      <c r="AE265" s="1402">
        <f>IF(ISNUMBER(G265),Population!G15,0)</f>
        <v>24900</v>
      </c>
      <c r="AF265" s="1354">
        <f>IF(ISNUMBER(H265),Population!H15,0)</f>
        <v>24700</v>
      </c>
      <c r="AG265" s="1355" t="s">
        <v>1</v>
      </c>
      <c r="AH265" s="1356">
        <f t="shared" si="80"/>
        <v>7.6923076923076925</v>
      </c>
      <c r="AI265" s="1357">
        <f t="shared" si="91"/>
        <v>19</v>
      </c>
      <c r="AJ265" s="1351"/>
      <c r="AK265" s="1346"/>
      <c r="AL265" s="897">
        <f t="shared" si="92"/>
        <v>23</v>
      </c>
      <c r="AM265" s="897">
        <f t="shared" si="93"/>
        <v>-29</v>
      </c>
      <c r="AN265" s="897">
        <f t="shared" si="94"/>
        <v>19</v>
      </c>
      <c r="AO265" s="897">
        <f t="shared" si="95"/>
        <v>6</v>
      </c>
      <c r="AP265" s="897">
        <f t="shared" si="98"/>
        <v>4.75</v>
      </c>
      <c r="AR265" s="936">
        <f t="shared" si="96"/>
        <v>9.1269841269841283</v>
      </c>
      <c r="AS265" s="936">
        <f t="shared" si="82"/>
        <v>-2.3904382470119523</v>
      </c>
      <c r="AT265" s="936">
        <f t="shared" si="83"/>
        <v>5.2208835341365463</v>
      </c>
      <c r="AU265" s="936">
        <f t="shared" si="84"/>
        <v>7.6923076923076925</v>
      </c>
      <c r="AV265" s="936">
        <f t="shared" si="85"/>
        <v>19.649737106416417</v>
      </c>
      <c r="AW265" s="575">
        <f t="shared" si="86"/>
        <v>0</v>
      </c>
      <c r="AX265" s="936">
        <f t="shared" si="97"/>
        <v>19.649737106416417</v>
      </c>
    </row>
    <row r="266" spans="1:50" s="87" customFormat="1" ht="13.5" customHeight="1" x14ac:dyDescent="0.2">
      <c r="A266" s="488">
        <f>VLOOKUP(B266,Sheet1!$AQ$4:$AR$25,2,FALSE)</f>
        <v>0</v>
      </c>
      <c r="B266" s="93" t="str">
        <f>Sheet1!$K$10</f>
        <v>Kent</v>
      </c>
      <c r="C266" s="85"/>
      <c r="D266" s="94">
        <f>IF(AND(ISNUMBER(D16),ISNUMBER(D123)),D16-D123,NA())</f>
        <v>425</v>
      </c>
      <c r="E266" s="94">
        <f>IF(AND(ISNUMBER(E16),ISNUMBER(E123)),E16-E123,NA())</f>
        <v>-426</v>
      </c>
      <c r="F266" s="94">
        <f>IF(AND(ISNUMBER(F16),ISNUMBER(F123)),F16-F123,NA())</f>
        <v>-281</v>
      </c>
      <c r="G266" s="94">
        <f>IF(AND(ISNUMBER(G16),ISNUMBER(G123)),G16-G123,NA())</f>
        <v>-67</v>
      </c>
      <c r="H266" s="95">
        <f>IF(AND(ISNUMBER(H16),ISNUMBER(H123)),H16-H123,NA())</f>
        <v>208</v>
      </c>
      <c r="I266" s="1364">
        <f t="shared" si="87"/>
        <v>-54.25</v>
      </c>
      <c r="J266" s="96"/>
      <c r="K266" s="97">
        <f>IF(ISNUMBER(D266),D266/Population!D16*10000,NA())</f>
        <v>12.86319612590799</v>
      </c>
      <c r="L266" s="97">
        <f>IF(ISNUMBER(E266),E266/Population!E16*10000,NA())</f>
        <v>-12.792792792792794</v>
      </c>
      <c r="M266" s="97">
        <f>IF(ISNUMBER(F266),F266/Population!F16*10000,NA())</f>
        <v>-8.3606069622136268</v>
      </c>
      <c r="N266" s="97">
        <f>IF(ISNUMBER(G266),G266/Population!G16*10000,NA())</f>
        <v>-1.9700088209350191</v>
      </c>
      <c r="O266" s="98">
        <f>IF(ISNUMBER(H266),H266/Population!H16*10000,NA())</f>
        <v>6.0500290866783013</v>
      </c>
      <c r="P266" s="99">
        <f t="shared" si="88"/>
        <v>6.0500290866783013</v>
      </c>
      <c r="Q266" s="934">
        <f t="shared" ref="Q266:Q283" si="99">IF(ISNA(VLOOKUP(B266,$AG$10:$AI$28,3,FALSE)),"--",IF(ISNUMBER(H266),VLOOKUP(B266,$AG$10:$AI$28,3,FALSE),NA()))</f>
        <v>14</v>
      </c>
      <c r="R266" s="70"/>
      <c r="S266" s="340">
        <f>IDACI!C15</f>
        <v>15.8</v>
      </c>
      <c r="T266" s="341">
        <f>((S266*$Z$294)+$AA$294)/$Y$2</f>
        <v>1.3074050428789814</v>
      </c>
      <c r="U266" s="342">
        <f t="shared" si="90"/>
        <v>4.7426240437993199</v>
      </c>
      <c r="V266" s="122"/>
      <c r="W266" s="139"/>
      <c r="X266" s="1350"/>
      <c r="Y266" s="1400" t="str">
        <f t="shared" si="79"/>
        <v>Kent</v>
      </c>
      <c r="Z266" s="1401">
        <f>IF(AD154&gt;0,IDACI!D15,0)</f>
        <v>291866</v>
      </c>
      <c r="AA266" s="1401">
        <f>IF(AD154&gt;0,IDACI!E15,0)</f>
        <v>46114.828000000001</v>
      </c>
      <c r="AB266" s="1402">
        <f>IF(ISNUMBER(D266),Population!D16,0)</f>
        <v>330400</v>
      </c>
      <c r="AC266" s="1402">
        <f>IF(ISNUMBER(E266),Population!E16,0)</f>
        <v>333000</v>
      </c>
      <c r="AD266" s="1402">
        <f>IF(ISNUMBER(F266),Population!F16,0)</f>
        <v>336100</v>
      </c>
      <c r="AE266" s="1402">
        <f>IF(ISNUMBER(G266),Population!G16,0)</f>
        <v>340100</v>
      </c>
      <c r="AF266" s="1354">
        <f>IF(ISNUMBER(H266),Population!H16,0)</f>
        <v>343800</v>
      </c>
      <c r="AG266" s="1355" t="s">
        <v>9</v>
      </c>
      <c r="AH266" s="1356">
        <f t="shared" si="80"/>
        <v>6.0500290866783013</v>
      </c>
      <c r="AI266" s="1357">
        <f t="shared" si="91"/>
        <v>18</v>
      </c>
      <c r="AJ266" s="1351"/>
      <c r="AK266" s="1346"/>
      <c r="AL266" s="897">
        <f t="shared" si="92"/>
        <v>-851</v>
      </c>
      <c r="AM266" s="897">
        <f t="shared" si="93"/>
        <v>145</v>
      </c>
      <c r="AN266" s="897">
        <f t="shared" si="94"/>
        <v>214</v>
      </c>
      <c r="AO266" s="897">
        <f t="shared" si="95"/>
        <v>275</v>
      </c>
      <c r="AP266" s="897">
        <f t="shared" si="98"/>
        <v>-54.25</v>
      </c>
      <c r="AR266" s="936">
        <f t="shared" si="96"/>
        <v>-12.792792792792794</v>
      </c>
      <c r="AS266" s="936">
        <f t="shared" si="82"/>
        <v>-8.3606069622136268</v>
      </c>
      <c r="AT266" s="936">
        <f t="shared" si="83"/>
        <v>-1.9700088209350191</v>
      </c>
      <c r="AU266" s="936">
        <f t="shared" si="84"/>
        <v>6.0500290866783013</v>
      </c>
      <c r="AV266" s="936">
        <f t="shared" si="85"/>
        <v>-17.073379489263136</v>
      </c>
      <c r="AW266" s="575">
        <f t="shared" si="86"/>
        <v>0</v>
      </c>
      <c r="AX266" s="936">
        <f t="shared" si="97"/>
        <v>-17.073379489263136</v>
      </c>
    </row>
    <row r="267" spans="1:50" s="87" customFormat="1" ht="13.5" customHeight="1" x14ac:dyDescent="0.2">
      <c r="A267" s="488">
        <f>VLOOKUP(B267,Sheet1!$AQ$4:$AR$25,2,FALSE)</f>
        <v>0</v>
      </c>
      <c r="B267" s="93" t="str">
        <f>Sheet1!$K$11</f>
        <v>Medway</v>
      </c>
      <c r="C267" s="85"/>
      <c r="D267" s="94">
        <f>IF(AND(ISNUMBER(D17),ISNUMBER(D124)),D17-D124,NA())</f>
        <v>-2</v>
      </c>
      <c r="E267" s="301">
        <f>IF(AND(ISNUMBER(E17),ISNUMBER(E124)),E17-E124,NA())</f>
        <v>-42</v>
      </c>
      <c r="F267" s="301">
        <f>IF(AND(ISNUMBER(F17),ISNUMBER(F124)),F17-F124,NA())</f>
        <v>16</v>
      </c>
      <c r="G267" s="301">
        <f>IF(AND(ISNUMBER(G17),ISNUMBER(G124)),G17-G124,NA())</f>
        <v>9</v>
      </c>
      <c r="H267" s="302">
        <f>IF(AND(ISNUMBER(H17),ISNUMBER(H124)),H17-H124,NA())</f>
        <v>-6</v>
      </c>
      <c r="I267" s="1364">
        <f t="shared" si="87"/>
        <v>-1</v>
      </c>
      <c r="J267" s="96"/>
      <c r="K267" s="97">
        <f>IF(ISNUMBER(D267),D267/Population!D17*10000,NA())</f>
        <v>-0.31645569620253167</v>
      </c>
      <c r="L267" s="97">
        <f>IF(ISNUMBER(E267),E267/Population!E17*10000,NA())</f>
        <v>-6.5934065934065931</v>
      </c>
      <c r="M267" s="97">
        <f>IF(ISNUMBER(F267),F267/Population!F17*10000,NA())</f>
        <v>2.5039123630672928</v>
      </c>
      <c r="N267" s="97">
        <f>IF(ISNUMBER(G267),G267/Population!G17*10000,NA())</f>
        <v>1.3975155279503104</v>
      </c>
      <c r="O267" s="98">
        <f>IF(ISNUMBER(H267),H267/Population!H17*10000,NA())</f>
        <v>-0.92307692307692302</v>
      </c>
      <c r="P267" s="99">
        <f t="shared" si="88"/>
        <v>-0.92307692307692302</v>
      </c>
      <c r="Q267" s="934">
        <f t="shared" si="99"/>
        <v>13</v>
      </c>
      <c r="R267" s="70"/>
      <c r="S267" s="340">
        <f>IDACI!C16</f>
        <v>18.899999999999999</v>
      </c>
      <c r="T267" s="341">
        <f>((S267*$Z$294)+$AA$294)/$Y$2</f>
        <v>2.1161435665943387</v>
      </c>
      <c r="U267" s="342">
        <f t="shared" si="90"/>
        <v>-3.0392204896712616</v>
      </c>
      <c r="V267" s="122"/>
      <c r="W267" s="139"/>
      <c r="X267" s="1350"/>
      <c r="Y267" s="1400" t="str">
        <f t="shared" si="79"/>
        <v>Medway</v>
      </c>
      <c r="Z267" s="1401">
        <f>IF(AD155&gt;0,IDACI!D16,0)</f>
        <v>55993</v>
      </c>
      <c r="AA267" s="1401">
        <f>IF(AD155&gt;0,IDACI!E16,0)</f>
        <v>10582.676999999998</v>
      </c>
      <c r="AB267" s="1402">
        <f>IF(ISNUMBER(D267),Population!D17,0)</f>
        <v>63200</v>
      </c>
      <c r="AC267" s="1402">
        <f>IF(ISNUMBER(E267),Population!E17,0)</f>
        <v>63700</v>
      </c>
      <c r="AD267" s="1402">
        <f>IF(ISNUMBER(F267),Population!F17,0)</f>
        <v>63900</v>
      </c>
      <c r="AE267" s="1402">
        <f>IF(ISNUMBER(G267),Population!G17,0)</f>
        <v>64400</v>
      </c>
      <c r="AF267" s="1354">
        <f>IF(ISNUMBER(H267),Population!H17,0)</f>
        <v>65000</v>
      </c>
      <c r="AG267" s="1355" t="s">
        <v>2</v>
      </c>
      <c r="AH267" s="1356">
        <f t="shared" si="80"/>
        <v>-0.92307692307692302</v>
      </c>
      <c r="AI267" s="1357">
        <f t="shared" si="91"/>
        <v>10</v>
      </c>
      <c r="AJ267" s="1351"/>
      <c r="AK267" s="1346"/>
      <c r="AL267" s="897">
        <f t="shared" si="92"/>
        <v>-40</v>
      </c>
      <c r="AM267" s="897">
        <f t="shared" si="93"/>
        <v>58</v>
      </c>
      <c r="AN267" s="897">
        <f t="shared" si="94"/>
        <v>-7</v>
      </c>
      <c r="AO267" s="897">
        <f t="shared" si="95"/>
        <v>-15</v>
      </c>
      <c r="AP267" s="897">
        <f t="shared" si="98"/>
        <v>-1</v>
      </c>
      <c r="AR267" s="936">
        <f t="shared" si="96"/>
        <v>-6.5934065934065931</v>
      </c>
      <c r="AS267" s="936">
        <f t="shared" si="82"/>
        <v>2.5039123630672928</v>
      </c>
      <c r="AT267" s="936">
        <f t="shared" si="83"/>
        <v>1.3975155279503104</v>
      </c>
      <c r="AU267" s="936">
        <f t="shared" si="84"/>
        <v>-0.92307692307692302</v>
      </c>
      <c r="AV267" s="936">
        <f t="shared" si="85"/>
        <v>-3.6150556254659123</v>
      </c>
      <c r="AW267" s="575">
        <f t="shared" si="86"/>
        <v>0</v>
      </c>
      <c r="AX267" s="936">
        <f t="shared" si="97"/>
        <v>-3.6150556254659123</v>
      </c>
    </row>
    <row r="268" spans="1:50" s="87" customFormat="1" ht="13.5" customHeight="1" x14ac:dyDescent="0.2">
      <c r="A268" s="488">
        <f>VLOOKUP(B268,Sheet1!$AQ$4:$AR$25,2,FALSE)</f>
        <v>0</v>
      </c>
      <c r="B268" s="93" t="str">
        <f>Sheet1!$K$12</f>
        <v>Milton Keynes</v>
      </c>
      <c r="C268" s="85"/>
      <c r="D268" s="94">
        <f>IF(AND(ISNUMBER(D18),ISNUMBER(D125)),D18-D125,NA())</f>
        <v>-3</v>
      </c>
      <c r="E268" s="94">
        <f>IF(AND(ISNUMBER(E18),ISNUMBER(E125)),E18-E125,NA())</f>
        <v>45</v>
      </c>
      <c r="F268" s="94">
        <f>IF(AND(ISNUMBER(F18),ISNUMBER(F125)),F18-F125,NA())</f>
        <v>-5</v>
      </c>
      <c r="G268" s="94">
        <f>IF(AND(ISNUMBER(G18),ISNUMBER(G125)),G18-G125,NA())</f>
        <v>-11</v>
      </c>
      <c r="H268" s="95">
        <f>IF(AND(ISNUMBER(H18),ISNUMBER(H125)),H18-H125,NA())</f>
        <v>20</v>
      </c>
      <c r="I268" s="1364">
        <f t="shared" si="87"/>
        <v>5.75</v>
      </c>
      <c r="J268" s="96"/>
      <c r="K268" s="97">
        <f>IF(ISNUMBER(D268),D268/Population!D18*10000,NA())</f>
        <v>-0.45385779122541603</v>
      </c>
      <c r="L268" s="97">
        <f>IF(ISNUMBER(E268),E268/Population!E18*10000,NA())</f>
        <v>6.7064083457526085</v>
      </c>
      <c r="M268" s="97">
        <f>IF(ISNUMBER(F268),F268/Population!F18*10000,NA())</f>
        <v>-0.73964497041420119</v>
      </c>
      <c r="N268" s="97">
        <f>IF(ISNUMBER(G268),G268/Population!G18*10000,NA())</f>
        <v>-1.6105417276720351</v>
      </c>
      <c r="O268" s="98">
        <f>IF(ISNUMBER(H268),H268/Population!H18*10000,NA())</f>
        <v>2.9069767441860463</v>
      </c>
      <c r="P268" s="99">
        <f t="shared" si="88"/>
        <v>2.9069767441860463</v>
      </c>
      <c r="Q268" s="934">
        <f t="shared" si="99"/>
        <v>10</v>
      </c>
      <c r="R268" s="70"/>
      <c r="S268" s="340">
        <f>IDACI!C17</f>
        <v>15</v>
      </c>
      <c r="T268" s="341">
        <f>((S268*$Z$294)+$AA$294)/$Y$2</f>
        <v>1.0986983270814696</v>
      </c>
      <c r="U268" s="342">
        <f t="shared" si="90"/>
        <v>1.8082784171045767</v>
      </c>
      <c r="V268" s="122"/>
      <c r="W268" s="139"/>
      <c r="X268" s="1350"/>
      <c r="Y268" s="1400" t="str">
        <f t="shared" si="79"/>
        <v>Milton Keynes</v>
      </c>
      <c r="Z268" s="1401">
        <f>IF(AD156&gt;0,IDACI!D17,0)</f>
        <v>59903</v>
      </c>
      <c r="AA268" s="1401">
        <f>IF(AD156&gt;0,IDACI!E17,0)</f>
        <v>8985.4499999999989</v>
      </c>
      <c r="AB268" s="1402">
        <f>IF(ISNUMBER(D268),Population!D18,0)</f>
        <v>66100</v>
      </c>
      <c r="AC268" s="1402">
        <f>IF(ISNUMBER(E268),Population!E18,0)</f>
        <v>67100</v>
      </c>
      <c r="AD268" s="1402">
        <f>IF(ISNUMBER(F268),Population!F18,0)</f>
        <v>67600</v>
      </c>
      <c r="AE268" s="1402">
        <f>IF(ISNUMBER(G268),Population!G18,0)</f>
        <v>68300</v>
      </c>
      <c r="AF268" s="1354">
        <f>IF(ISNUMBER(H268),Population!H18,0)</f>
        <v>68800</v>
      </c>
      <c r="AG268" s="1355" t="s">
        <v>10</v>
      </c>
      <c r="AH268" s="1356">
        <f t="shared" si="80"/>
        <v>2.9069767441860463</v>
      </c>
      <c r="AI268" s="1357">
        <f t="shared" si="91"/>
        <v>16</v>
      </c>
      <c r="AJ268" s="1351"/>
      <c r="AK268" s="1346"/>
      <c r="AL268" s="897">
        <f t="shared" si="92"/>
        <v>48</v>
      </c>
      <c r="AM268" s="897">
        <f t="shared" si="93"/>
        <v>-50</v>
      </c>
      <c r="AN268" s="897">
        <f t="shared" si="94"/>
        <v>-6</v>
      </c>
      <c r="AO268" s="897">
        <f t="shared" si="95"/>
        <v>31</v>
      </c>
      <c r="AP268" s="897">
        <f t="shared" si="98"/>
        <v>5.75</v>
      </c>
      <c r="AR268" s="936">
        <f t="shared" si="96"/>
        <v>6.7064083457526085</v>
      </c>
      <c r="AS268" s="936">
        <f t="shared" si="82"/>
        <v>-0.73964497041420119</v>
      </c>
      <c r="AT268" s="936">
        <f t="shared" si="83"/>
        <v>-1.6105417276720351</v>
      </c>
      <c r="AU268" s="936">
        <f t="shared" si="84"/>
        <v>2.9069767441860463</v>
      </c>
      <c r="AV268" s="936">
        <f t="shared" si="85"/>
        <v>7.263198391852419</v>
      </c>
      <c r="AW268" s="575">
        <f t="shared" si="86"/>
        <v>0</v>
      </c>
      <c r="AX268" s="936">
        <f t="shared" si="97"/>
        <v>7.263198391852419</v>
      </c>
    </row>
    <row r="269" spans="1:50" s="87" customFormat="1" ht="13.5" customHeight="1" x14ac:dyDescent="0.2">
      <c r="A269" s="488">
        <f>VLOOKUP(B269,Sheet1!$AQ$4:$AR$25,2,FALSE)</f>
        <v>0</v>
      </c>
      <c r="B269" s="93" t="str">
        <f>Sheet1!$K$13</f>
        <v>Oxfordshire</v>
      </c>
      <c r="C269" s="85"/>
      <c r="D269" s="94">
        <f>IF(AND(ISNUMBER(D19),ISNUMBER(D126)),D19-D126,NA())</f>
        <v>77</v>
      </c>
      <c r="E269" s="94">
        <f>IF(AND(ISNUMBER(E19),ISNUMBER(E126)),E19-E126,NA())</f>
        <v>67</v>
      </c>
      <c r="F269" s="94">
        <f>IF(AND(ISNUMBER(F19),ISNUMBER(F126)),F19-F126,NA())</f>
        <v>5</v>
      </c>
      <c r="G269" s="94">
        <f>IF(AND(ISNUMBER(G19),ISNUMBER(G126)),G19-G126,NA())</f>
        <v>82</v>
      </c>
      <c r="H269" s="95">
        <f>IF(AND(ISNUMBER(H19),ISNUMBER(H126)),H19-H126,NA())</f>
        <v>-13</v>
      </c>
      <c r="I269" s="1364">
        <f t="shared" si="87"/>
        <v>-22.5</v>
      </c>
      <c r="J269" s="96"/>
      <c r="K269" s="97">
        <f>IF(ISNUMBER(D269),D269/Population!D19*10000,NA())</f>
        <v>5.4301833568406206</v>
      </c>
      <c r="L269" s="97">
        <f>IF(ISNUMBER(E269),E269/Population!E19*10000,NA())</f>
        <v>4.6885934219734082</v>
      </c>
      <c r="M269" s="97">
        <f>IF(ISNUMBER(F269),F269/Population!F19*10000,NA())</f>
        <v>0.34867503486750351</v>
      </c>
      <c r="N269" s="97">
        <f>IF(ISNUMBER(G269),G269/Population!G19*10000,NA())</f>
        <v>5.6629834254143638</v>
      </c>
      <c r="O269" s="98">
        <f>IF(ISNUMBER(H269),H269/Population!H19*10000,NA())</f>
        <v>-0.88980150581793294</v>
      </c>
      <c r="P269" s="99">
        <f t="shared" si="88"/>
        <v>-0.88980150581793294</v>
      </c>
      <c r="Q269" s="934">
        <f t="shared" si="99"/>
        <v>9</v>
      </c>
      <c r="R269" s="70"/>
      <c r="S269" s="340">
        <f>IDACI!C18</f>
        <v>10.100000000000001</v>
      </c>
      <c r="T269" s="341">
        <f>((S269*$Z$294)+$AA$294)/$Y$2</f>
        <v>-0.17963030717828854</v>
      </c>
      <c r="U269" s="342">
        <f t="shared" si="90"/>
        <v>-0.7101711986396444</v>
      </c>
      <c r="V269" s="122"/>
      <c r="W269" s="139"/>
      <c r="X269" s="1350"/>
      <c r="Y269" s="1400" t="str">
        <f t="shared" si="79"/>
        <v>Oxfordshire</v>
      </c>
      <c r="Z269" s="1401">
        <f>IF(AD157&gt;0,IDACI!D18,0)</f>
        <v>126119</v>
      </c>
      <c r="AA269" s="1401">
        <f>IF(AD157&gt;0,IDACI!E18,0)</f>
        <v>12738.019000000002</v>
      </c>
      <c r="AB269" s="1402">
        <f>IF(ISNUMBER(D269),Population!D19,0)</f>
        <v>141800</v>
      </c>
      <c r="AC269" s="1402">
        <f>IF(ISNUMBER(E269),Population!E19,0)</f>
        <v>142900</v>
      </c>
      <c r="AD269" s="1402">
        <f>IF(ISNUMBER(F269),Population!F19,0)</f>
        <v>143400</v>
      </c>
      <c r="AE269" s="1402">
        <f>IF(ISNUMBER(G269),Population!G19,0)</f>
        <v>144800</v>
      </c>
      <c r="AF269" s="1354">
        <f>IF(ISNUMBER(H269),Population!H19,0)</f>
        <v>146100</v>
      </c>
      <c r="AG269" s="1355" t="s">
        <v>11</v>
      </c>
      <c r="AH269" s="1356">
        <f t="shared" si="80"/>
        <v>-0.88980150581793294</v>
      </c>
      <c r="AI269" s="1357">
        <f t="shared" si="91"/>
        <v>11</v>
      </c>
      <c r="AJ269" s="1351"/>
      <c r="AK269" s="1346"/>
      <c r="AL269" s="897">
        <f t="shared" si="92"/>
        <v>-10</v>
      </c>
      <c r="AM269" s="897">
        <f t="shared" si="93"/>
        <v>-62</v>
      </c>
      <c r="AN269" s="897">
        <f t="shared" si="94"/>
        <v>77</v>
      </c>
      <c r="AO269" s="897">
        <f t="shared" si="95"/>
        <v>-95</v>
      </c>
      <c r="AP269" s="897">
        <f t="shared" si="98"/>
        <v>-22.5</v>
      </c>
      <c r="AR269" s="936">
        <f t="shared" si="96"/>
        <v>4.6885934219734082</v>
      </c>
      <c r="AS269" s="936">
        <f t="shared" si="82"/>
        <v>0.34867503486750351</v>
      </c>
      <c r="AT269" s="936">
        <f t="shared" si="83"/>
        <v>5.6629834254143638</v>
      </c>
      <c r="AU269" s="936">
        <f t="shared" si="84"/>
        <v>-0.88980150581793294</v>
      </c>
      <c r="AV269" s="936">
        <f t="shared" si="85"/>
        <v>9.810450376437343</v>
      </c>
      <c r="AW269" s="575">
        <f t="shared" si="86"/>
        <v>0</v>
      </c>
      <c r="AX269" s="936">
        <f t="shared" si="97"/>
        <v>9.810450376437343</v>
      </c>
    </row>
    <row r="270" spans="1:50" s="87" customFormat="1" ht="13.5" customHeight="1" x14ac:dyDescent="0.2">
      <c r="A270" s="488">
        <f>VLOOKUP(B270,Sheet1!$AQ$4:$AR$25,2,FALSE)</f>
        <v>0</v>
      </c>
      <c r="B270" s="93" t="str">
        <f>Sheet1!$K$14</f>
        <v>Portsmouth</v>
      </c>
      <c r="C270" s="85"/>
      <c r="D270" s="94">
        <f>IF(AND(ISNUMBER(D20),ISNUMBER(D127)),D20-D127,NA())</f>
        <v>2</v>
      </c>
      <c r="E270" s="94">
        <f>IF(AND(ISNUMBER(E20),ISNUMBER(E127)),E20-E127,NA())</f>
        <v>36</v>
      </c>
      <c r="F270" s="94">
        <f>IF(AND(ISNUMBER(F20),ISNUMBER(F127)),F20-F127,NA())</f>
        <v>51</v>
      </c>
      <c r="G270" s="94">
        <f>IF(AND(ISNUMBER(G20),ISNUMBER(G127)),G20-G127,NA())</f>
        <v>68</v>
      </c>
      <c r="H270" s="95">
        <f>IF(AND(ISNUMBER(H20),ISNUMBER(H127)),H20-H127,NA())</f>
        <v>-25</v>
      </c>
      <c r="I270" s="1364">
        <f t="shared" si="87"/>
        <v>-6.75</v>
      </c>
      <c r="J270" s="96"/>
      <c r="K270" s="97">
        <f>IF(ISNUMBER(D270),D270/Population!D20*10000,NA())</f>
        <v>0.45662100456621008</v>
      </c>
      <c r="L270" s="97">
        <f>IF(ISNUMBER(E270),E270/Population!E20*10000,NA())</f>
        <v>8.1818181818181817</v>
      </c>
      <c r="M270" s="97">
        <f>IF(ISNUMBER(F270),F270/Population!F20*10000,NA())</f>
        <v>11.53846153846154</v>
      </c>
      <c r="N270" s="97">
        <f>IF(ISNUMBER(G270),G270/Population!G20*10000,NA())</f>
        <v>15.454545454545453</v>
      </c>
      <c r="O270" s="98">
        <f>IF(ISNUMBER(H270),H270/Population!H20*10000,NA())</f>
        <v>-5.7077625570776256</v>
      </c>
      <c r="P270" s="99">
        <f t="shared" si="88"/>
        <v>-5.7077625570776256</v>
      </c>
      <c r="Q270" s="934">
        <f t="shared" si="99"/>
        <v>19</v>
      </c>
      <c r="R270" s="70"/>
      <c r="S270" s="340">
        <f>IDACI!C19</f>
        <v>20.200000000000003</v>
      </c>
      <c r="T270" s="341">
        <f>((S270*$Z$294)+$AA$294)/$Y$2</f>
        <v>2.4552919797652963</v>
      </c>
      <c r="U270" s="342">
        <f t="shared" si="90"/>
        <v>-8.163054536842921</v>
      </c>
      <c r="V270" s="122"/>
      <c r="W270" s="139"/>
      <c r="X270" s="1350"/>
      <c r="Y270" s="1400" t="str">
        <f t="shared" si="79"/>
        <v>Portsmouth</v>
      </c>
      <c r="Z270" s="1401">
        <f>IF(AD158&gt;0,IDACI!D19,0)</f>
        <v>39325</v>
      </c>
      <c r="AA270" s="1401">
        <f>IF(AD158&gt;0,IDACI!E19,0)</f>
        <v>7943.6500000000015</v>
      </c>
      <c r="AB270" s="1402">
        <f>IF(ISNUMBER(D270),Population!D20,0)</f>
        <v>43800</v>
      </c>
      <c r="AC270" s="1402">
        <f>IF(ISNUMBER(E270),Population!E20,0)</f>
        <v>44000</v>
      </c>
      <c r="AD270" s="1402">
        <f>IF(ISNUMBER(F270),Population!F20,0)</f>
        <v>44200</v>
      </c>
      <c r="AE270" s="1402">
        <f>IF(ISNUMBER(G270),Population!G20,0)</f>
        <v>44000</v>
      </c>
      <c r="AF270" s="1354">
        <f>IF(ISNUMBER(H270),Population!H20,0)</f>
        <v>43800</v>
      </c>
      <c r="AG270" s="1355" t="s">
        <v>12</v>
      </c>
      <c r="AH270" s="1356">
        <f t="shared" si="80"/>
        <v>-5.7077625570776256</v>
      </c>
      <c r="AI270" s="1357">
        <f t="shared" si="91"/>
        <v>1</v>
      </c>
      <c r="AJ270" s="1351"/>
      <c r="AK270" s="1346"/>
      <c r="AL270" s="897">
        <f t="shared" si="92"/>
        <v>34</v>
      </c>
      <c r="AM270" s="897">
        <f t="shared" si="93"/>
        <v>15</v>
      </c>
      <c r="AN270" s="897">
        <f t="shared" si="94"/>
        <v>17</v>
      </c>
      <c r="AO270" s="897">
        <f t="shared" si="95"/>
        <v>-93</v>
      </c>
      <c r="AP270" s="897">
        <f t="shared" si="98"/>
        <v>-6.75</v>
      </c>
      <c r="AR270" s="936">
        <f t="shared" si="96"/>
        <v>8.1818181818181817</v>
      </c>
      <c r="AS270" s="936">
        <f t="shared" si="82"/>
        <v>11.53846153846154</v>
      </c>
      <c r="AT270" s="936">
        <f t="shared" si="83"/>
        <v>15.454545454545453</v>
      </c>
      <c r="AU270" s="936">
        <f t="shared" si="84"/>
        <v>-5.7077625570776256</v>
      </c>
      <c r="AV270" s="936">
        <f t="shared" si="85"/>
        <v>29.467062617747548</v>
      </c>
      <c r="AW270" s="575">
        <f t="shared" si="86"/>
        <v>0</v>
      </c>
      <c r="AX270" s="936">
        <f t="shared" si="97"/>
        <v>29.467062617747548</v>
      </c>
    </row>
    <row r="271" spans="1:50" s="87" customFormat="1" ht="13.5" customHeight="1" x14ac:dyDescent="0.2">
      <c r="A271" s="488">
        <f>VLOOKUP(B271,Sheet1!$AQ$4:$AR$25,2,FALSE)</f>
        <v>0</v>
      </c>
      <c r="B271" s="93" t="str">
        <f>Sheet1!$K$15</f>
        <v>Reading</v>
      </c>
      <c r="C271" s="85"/>
      <c r="D271" s="94">
        <f>IF(AND(ISNUMBER(D21),ISNUMBER(D128)),D21-D128,NA())</f>
        <v>7</v>
      </c>
      <c r="E271" s="94">
        <f>IF(AND(ISNUMBER(E21),ISNUMBER(E128)),E21-E128,NA())</f>
        <v>42</v>
      </c>
      <c r="F271" s="94">
        <f>IF(AND(ISNUMBER(F21),ISNUMBER(F128)),F21-F128,NA())</f>
        <v>15</v>
      </c>
      <c r="G271" s="94">
        <f>IF(AND(ISNUMBER(G21),ISNUMBER(G128)),G21-G128,NA())</f>
        <v>-6</v>
      </c>
      <c r="H271" s="95">
        <f>IF(AND(ISNUMBER(H21),ISNUMBER(H128)),H21-H128,NA())</f>
        <v>7</v>
      </c>
      <c r="I271" s="1364">
        <f t="shared" si="87"/>
        <v>0</v>
      </c>
      <c r="J271" s="96"/>
      <c r="K271" s="97">
        <f>IF(ISNUMBER(D271),D271/Population!D21*10000,NA())</f>
        <v>1.9230769230769231</v>
      </c>
      <c r="L271" s="97">
        <f>IF(ISNUMBER(E271),E271/Population!E21*10000,NA())</f>
        <v>11.475409836065573</v>
      </c>
      <c r="M271" s="97">
        <f>IF(ISNUMBER(F271),F271/Population!F21*10000,NA())</f>
        <v>4.0431266846361185</v>
      </c>
      <c r="N271" s="97">
        <f>IF(ISNUMBER(G271),G271/Population!G21*10000,NA())</f>
        <v>-1.6172506738544474</v>
      </c>
      <c r="O271" s="98">
        <f>IF(ISNUMBER(H271),H271/Population!H21*10000,NA())</f>
        <v>1.8918918918918919</v>
      </c>
      <c r="P271" s="99">
        <f t="shared" si="88"/>
        <v>1.8918918918918919</v>
      </c>
      <c r="Q271" s="934">
        <f t="shared" si="99"/>
        <v>17</v>
      </c>
      <c r="R271" s="70"/>
      <c r="S271" s="340">
        <f>IDACI!C20</f>
        <v>16</v>
      </c>
      <c r="T271" s="341">
        <f>((S271*$Z$294)+$AA$294)/$Y$2</f>
        <v>1.3595817218283592</v>
      </c>
      <c r="U271" s="342">
        <f t="shared" si="90"/>
        <v>0.53231017006353265</v>
      </c>
      <c r="V271" s="122"/>
      <c r="W271" s="139"/>
      <c r="X271" s="1350"/>
      <c r="Y271" s="1400" t="str">
        <f t="shared" si="79"/>
        <v>Reading</v>
      </c>
      <c r="Z271" s="1401">
        <f>IF(AD159&gt;0,IDACI!D20,0)</f>
        <v>33203</v>
      </c>
      <c r="AA271" s="1401">
        <f>IF(AD159&gt;0,IDACI!E20,0)</f>
        <v>5312.4800000000005</v>
      </c>
      <c r="AB271" s="1402">
        <f>IF(ISNUMBER(D271),Population!D21,0)</f>
        <v>36400</v>
      </c>
      <c r="AC271" s="1402">
        <f>IF(ISNUMBER(E271),Population!E21,0)</f>
        <v>36600</v>
      </c>
      <c r="AD271" s="1402">
        <f>IF(ISNUMBER(F271),Population!F21,0)</f>
        <v>37100</v>
      </c>
      <c r="AE271" s="1402">
        <f>IF(ISNUMBER(G271),Population!G21,0)</f>
        <v>37100</v>
      </c>
      <c r="AF271" s="1354">
        <f>IF(ISNUMBER(H271),Population!H21,0)</f>
        <v>37000</v>
      </c>
      <c r="AG271" s="1355" t="s">
        <v>3</v>
      </c>
      <c r="AH271" s="1356">
        <f t="shared" si="80"/>
        <v>1.8918918918918919</v>
      </c>
      <c r="AI271" s="1357">
        <f t="shared" si="91"/>
        <v>15</v>
      </c>
      <c r="AJ271" s="1351"/>
      <c r="AK271" s="1346"/>
      <c r="AL271" s="897">
        <f t="shared" si="92"/>
        <v>35</v>
      </c>
      <c r="AM271" s="897">
        <f t="shared" si="93"/>
        <v>-27</v>
      </c>
      <c r="AN271" s="897">
        <f t="shared" si="94"/>
        <v>-21</v>
      </c>
      <c r="AO271" s="897">
        <f t="shared" si="95"/>
        <v>13</v>
      </c>
      <c r="AP271" s="897">
        <f t="shared" si="98"/>
        <v>0</v>
      </c>
      <c r="AR271" s="936">
        <f t="shared" si="96"/>
        <v>11.475409836065573</v>
      </c>
      <c r="AS271" s="936">
        <f t="shared" si="82"/>
        <v>4.0431266846361185</v>
      </c>
      <c r="AT271" s="936">
        <f t="shared" si="83"/>
        <v>-1.6172506738544474</v>
      </c>
      <c r="AU271" s="936">
        <f t="shared" si="84"/>
        <v>1.8918918918918919</v>
      </c>
      <c r="AV271" s="936">
        <f t="shared" si="85"/>
        <v>15.793177738739134</v>
      </c>
      <c r="AW271" s="575">
        <f t="shared" si="86"/>
        <v>0</v>
      </c>
      <c r="AX271" s="936">
        <f t="shared" si="97"/>
        <v>15.793177738739134</v>
      </c>
    </row>
    <row r="272" spans="1:50" s="87" customFormat="1" ht="13.5" customHeight="1" x14ac:dyDescent="0.2">
      <c r="A272" s="488">
        <f>VLOOKUP(B272,Sheet1!$AQ$4:$AR$25,2,FALSE)</f>
        <v>0</v>
      </c>
      <c r="B272" s="93" t="str">
        <f>Sheet1!$K$16</f>
        <v>Slough</v>
      </c>
      <c r="C272" s="85"/>
      <c r="D272" s="94">
        <f>IF(AND(ISNUMBER(D22),ISNUMBER(D129)),D22-D129,NA())</f>
        <v>-25</v>
      </c>
      <c r="E272" s="94">
        <f>IF(AND(ISNUMBER(E22),ISNUMBER(E129)),E22-E129,NA())</f>
        <v>6</v>
      </c>
      <c r="F272" s="94">
        <f>IF(AND(ISNUMBER(F22),ISNUMBER(F129)),F22-F129,NA())</f>
        <v>13</v>
      </c>
      <c r="G272" s="94">
        <f>IF(AND(ISNUMBER(G22),ISNUMBER(G129)),G22-G129,NA())</f>
        <v>7</v>
      </c>
      <c r="H272" s="95">
        <f>IF(AND(ISNUMBER(H22),ISNUMBER(H129)),H22-H129,NA())</f>
        <v>-18</v>
      </c>
      <c r="I272" s="1364">
        <f t="shared" si="87"/>
        <v>1.75</v>
      </c>
      <c r="J272" s="96"/>
      <c r="K272" s="97">
        <f>IF(ISNUMBER(D272),D272/Population!D22*10000,NA())</f>
        <v>-6.1576354679802954</v>
      </c>
      <c r="L272" s="97">
        <f>IF(ISNUMBER(E272),E272/Population!E22*10000,NA())</f>
        <v>1.4492753623188406</v>
      </c>
      <c r="M272" s="97">
        <f>IF(ISNUMBER(F272),F272/Population!F22*10000,NA())</f>
        <v>3.080568720379147</v>
      </c>
      <c r="N272" s="97">
        <f>IF(ISNUMBER(G272),G272/Population!G22*10000,NA())</f>
        <v>1.639344262295082</v>
      </c>
      <c r="O272" s="98">
        <f>IF(ISNUMBER(H272),H272/Population!H22*10000,NA())</f>
        <v>-4.1763341067285387</v>
      </c>
      <c r="P272" s="99">
        <f t="shared" si="88"/>
        <v>-4.1763341067285387</v>
      </c>
      <c r="Q272" s="934">
        <f t="shared" si="99"/>
        <v>11</v>
      </c>
      <c r="R272" s="70"/>
      <c r="S272" s="340">
        <f>IDACI!C21</f>
        <v>14.7</v>
      </c>
      <c r="T272" s="341">
        <f>((S272*$Z$294)+$AA$294)/$Y$2</f>
        <v>1.0204333086574024</v>
      </c>
      <c r="U272" s="342">
        <f t="shared" si="90"/>
        <v>-5.1967674153859411</v>
      </c>
      <c r="V272" s="122"/>
      <c r="W272" s="139"/>
      <c r="X272" s="1350"/>
      <c r="Y272" s="1400" t="str">
        <f t="shared" si="79"/>
        <v>Slough</v>
      </c>
      <c r="Z272" s="1401">
        <f>IF(AD160&gt;0,IDACI!D21,0)</f>
        <v>37031</v>
      </c>
      <c r="AA272" s="1401">
        <f>IF(AD160&gt;0,IDACI!E21,0)</f>
        <v>5443.5569999999998</v>
      </c>
      <c r="AB272" s="1402">
        <f>IF(ISNUMBER(D272),Population!D22,0)</f>
        <v>40600</v>
      </c>
      <c r="AC272" s="1402">
        <f>IF(ISNUMBER(E272),Population!E22,0)</f>
        <v>41400</v>
      </c>
      <c r="AD272" s="1402">
        <f>IF(ISNUMBER(F272),Population!F22,0)</f>
        <v>42200</v>
      </c>
      <c r="AE272" s="1402">
        <f>IF(ISNUMBER(G272),Population!G22,0)</f>
        <v>42700</v>
      </c>
      <c r="AF272" s="1354">
        <f>IF(ISNUMBER(H272),Population!H22,0)</f>
        <v>43100</v>
      </c>
      <c r="AG272" s="1355" t="s">
        <v>13</v>
      </c>
      <c r="AH272" s="1356">
        <f t="shared" si="80"/>
        <v>-4.1763341067285387</v>
      </c>
      <c r="AI272" s="1357">
        <f t="shared" si="91"/>
        <v>5</v>
      </c>
      <c r="AJ272" s="1351"/>
      <c r="AK272" s="1346"/>
      <c r="AL272" s="897">
        <f t="shared" si="92"/>
        <v>31</v>
      </c>
      <c r="AM272" s="897">
        <f t="shared" si="93"/>
        <v>7</v>
      </c>
      <c r="AN272" s="897">
        <f t="shared" si="94"/>
        <v>-6</v>
      </c>
      <c r="AO272" s="897">
        <f t="shared" si="95"/>
        <v>-25</v>
      </c>
      <c r="AP272" s="897">
        <f t="shared" si="98"/>
        <v>1.75</v>
      </c>
      <c r="AR272" s="936">
        <f t="shared" si="96"/>
        <v>1.4492753623188406</v>
      </c>
      <c r="AS272" s="936">
        <f t="shared" si="82"/>
        <v>3.080568720379147</v>
      </c>
      <c r="AT272" s="936">
        <f t="shared" si="83"/>
        <v>1.639344262295082</v>
      </c>
      <c r="AU272" s="936">
        <f t="shared" si="84"/>
        <v>-4.1763341067285387</v>
      </c>
      <c r="AV272" s="936">
        <f t="shared" si="85"/>
        <v>1.9928542382645311</v>
      </c>
      <c r="AW272" s="575">
        <f t="shared" si="86"/>
        <v>0</v>
      </c>
      <c r="AX272" s="936">
        <f t="shared" si="97"/>
        <v>1.9928542382645311</v>
      </c>
    </row>
    <row r="273" spans="1:50" s="87" customFormat="1" ht="13.5" customHeight="1" x14ac:dyDescent="0.2">
      <c r="A273" s="488">
        <f>VLOOKUP(B273,Sheet1!$AQ$4:$AR$25,2,FALSE)</f>
        <v>0</v>
      </c>
      <c r="B273" s="93" t="str">
        <f>Sheet1!$K$17</f>
        <v>Somerset</v>
      </c>
      <c r="C273" s="85"/>
      <c r="D273" s="94">
        <f>IF(AND(ISNUMBER(D23),ISNUMBER(D130)),D23-D130,NA())</f>
        <v>6</v>
      </c>
      <c r="E273" s="94">
        <f>IF(AND(ISNUMBER(E23),ISNUMBER(E130)),E23-E130,NA())</f>
        <v>-31</v>
      </c>
      <c r="F273" s="94">
        <f>IF(AND(ISNUMBER(F23),ISNUMBER(F130)),F23-F130,NA())</f>
        <v>35</v>
      </c>
      <c r="G273" s="94">
        <f>IF(AND(ISNUMBER(G23),ISNUMBER(G130)),G23-G130,NA())</f>
        <v>10</v>
      </c>
      <c r="H273" s="95">
        <f>IF(AND(ISNUMBER(H23),ISNUMBER(H130)),H23-H130,NA())</f>
        <v>-6</v>
      </c>
      <c r="I273" s="1364">
        <f t="shared" si="87"/>
        <v>-3</v>
      </c>
      <c r="J273" s="96"/>
      <c r="K273" s="97">
        <f>IF(ISNUMBER(D273),D273/Population!D23*10000,NA())</f>
        <v>0.5494505494505495</v>
      </c>
      <c r="L273" s="97">
        <f>IF(ISNUMBER(E273),E273/Population!E23*10000,NA())</f>
        <v>-2.825888787602552</v>
      </c>
      <c r="M273" s="97">
        <f>IF(ISNUMBER(F273),F273/Population!F23*10000,NA())</f>
        <v>3.1789282470481379</v>
      </c>
      <c r="N273" s="97">
        <f>IF(ISNUMBER(G273),G273/Population!G23*10000,NA())</f>
        <v>0.90334236675700097</v>
      </c>
      <c r="O273" s="98">
        <f>IF(ISNUMBER(H273),H273/Population!H23*10000,NA())</f>
        <v>-0.53956834532374098</v>
      </c>
      <c r="P273" s="99">
        <f t="shared" si="88"/>
        <v>-0.53956834532374098</v>
      </c>
      <c r="Q273" s="370" t="str">
        <f t="shared" si="99"/>
        <v>--</v>
      </c>
      <c r="R273" s="70"/>
      <c r="S273" s="340">
        <f>IDACI!C22</f>
        <v>13.600000000000001</v>
      </c>
      <c r="T273" s="341">
        <f>((S273*$Z$294)+$AA$294)/$Y$2</f>
        <v>0.73346157443582483</v>
      </c>
      <c r="U273" s="342">
        <f t="shared" si="90"/>
        <v>-1.2730299197595658</v>
      </c>
      <c r="V273" s="122"/>
      <c r="W273" s="139"/>
      <c r="X273" s="1350"/>
      <c r="Y273" s="1400" t="str">
        <f t="shared" si="79"/>
        <v>Somerset</v>
      </c>
      <c r="Z273" s="1401">
        <f>IF(AD161&gt;0,IDACI!D22,0)</f>
        <v>95875</v>
      </c>
      <c r="AA273" s="1401">
        <f>IF(AD161&gt;0,IDACI!E22,0)</f>
        <v>13039.000000000002</v>
      </c>
      <c r="AB273" s="1402">
        <f>IF(ISNUMBER(D273),Population!D23,0)</f>
        <v>109200</v>
      </c>
      <c r="AC273" s="1402">
        <f>IF(ISNUMBER(E273),Population!E23,0)</f>
        <v>109700</v>
      </c>
      <c r="AD273" s="1402">
        <f>IF(ISNUMBER(F273),Population!F23,0)</f>
        <v>110100</v>
      </c>
      <c r="AE273" s="1402">
        <f>IF(ISNUMBER(G273),Population!G23,0)</f>
        <v>110700</v>
      </c>
      <c r="AF273" s="1354">
        <f>IF(ISNUMBER(H273),Population!H23,0)</f>
        <v>111200</v>
      </c>
      <c r="AG273" s="1355" t="s">
        <v>14</v>
      </c>
      <c r="AH273" s="1356">
        <f t="shared" si="80"/>
        <v>-0.38986354775828463</v>
      </c>
      <c r="AI273" s="1357">
        <f t="shared" si="91"/>
        <v>12</v>
      </c>
      <c r="AJ273" s="1351"/>
      <c r="AK273" s="1346"/>
      <c r="AL273" s="897">
        <f t="shared" si="92"/>
        <v>-37</v>
      </c>
      <c r="AM273" s="897">
        <f t="shared" si="93"/>
        <v>66</v>
      </c>
      <c r="AN273" s="897">
        <f t="shared" si="94"/>
        <v>-25</v>
      </c>
      <c r="AO273" s="897">
        <f t="shared" si="95"/>
        <v>-16</v>
      </c>
      <c r="AP273" s="897">
        <f>AVERAGE(AL273:AO273)</f>
        <v>-3</v>
      </c>
      <c r="AR273" s="936">
        <f t="shared" si="96"/>
        <v>-2.825888787602552</v>
      </c>
      <c r="AS273" s="936">
        <f t="shared" si="82"/>
        <v>3.1789282470481379</v>
      </c>
      <c r="AT273" s="936">
        <f t="shared" si="83"/>
        <v>0.90334236675700097</v>
      </c>
      <c r="AU273" s="936">
        <f>IF(ISNUMBER(O273),O273,"")</f>
        <v>-0.53956834532374098</v>
      </c>
      <c r="AV273" s="936">
        <f>SUM(AR273:AU273)</f>
        <v>0.716813480878846</v>
      </c>
      <c r="AW273" s="575">
        <f>COUNTBLANK(AR273:AU273)</f>
        <v>0</v>
      </c>
      <c r="AX273" s="936">
        <f>AV273/(4-AW273)*4</f>
        <v>0.716813480878846</v>
      </c>
    </row>
    <row r="274" spans="1:50" s="87" customFormat="1" ht="13.5" customHeight="1" x14ac:dyDescent="0.2">
      <c r="A274" s="488">
        <f>VLOOKUP(B274,Sheet1!$AQ$4:$AR$25,2,FALSE)</f>
        <v>0</v>
      </c>
      <c r="B274" s="93" t="str">
        <f>Sheet1!$K$18</f>
        <v>Southampton</v>
      </c>
      <c r="C274" s="85"/>
      <c r="D274" s="94">
        <f>IF(AND(ISNUMBER(D24),ISNUMBER(D131)),D24-D131,NA())</f>
        <v>9</v>
      </c>
      <c r="E274" s="94">
        <f>IF(AND(ISNUMBER(E24),ISNUMBER(E131)),E24-E131,NA())</f>
        <v>-53</v>
      </c>
      <c r="F274" s="94">
        <f>IF(AND(ISNUMBER(F24),ISNUMBER(F131)),F24-F131,NA())</f>
        <v>-19</v>
      </c>
      <c r="G274" s="94">
        <f>IF(AND(ISNUMBER(G24),ISNUMBER(G131)),G24-G131,NA())</f>
        <v>-44</v>
      </c>
      <c r="H274" s="95">
        <f>IF(AND(ISNUMBER(H24),ISNUMBER(H131)),H24-H131,NA())</f>
        <v>-2</v>
      </c>
      <c r="I274" s="1364">
        <f t="shared" si="87"/>
        <v>-2.75</v>
      </c>
      <c r="J274" s="96"/>
      <c r="K274" s="97">
        <f>IF(ISNUMBER(D274),D274/Population!D24*10000,NA())</f>
        <v>1.8292682926829269</v>
      </c>
      <c r="L274" s="97">
        <f>IF(ISNUMBER(E274),E274/Population!E24*10000,NA())</f>
        <v>-10.62124248496994</v>
      </c>
      <c r="M274" s="97">
        <f>IF(ISNUMBER(F274),F274/Population!F24*10000,NA())</f>
        <v>-3.7773359840954273</v>
      </c>
      <c r="N274" s="97">
        <f>IF(ISNUMBER(G274),G274/Population!G24*10000,NA())</f>
        <v>-8.6614173228346463</v>
      </c>
      <c r="O274" s="98">
        <f>IF(ISNUMBER(H274),H274/Population!H24*10000,NA())</f>
        <v>-0.38986354775828463</v>
      </c>
      <c r="P274" s="99">
        <f t="shared" si="88"/>
        <v>-0.38986354775828463</v>
      </c>
      <c r="Q274" s="934">
        <f t="shared" si="99"/>
        <v>18</v>
      </c>
      <c r="R274" s="70"/>
      <c r="S274" s="340">
        <f>IDACI!C23</f>
        <v>20.5</v>
      </c>
      <c r="T274" s="341">
        <f>((S274*$Z$294)+$AA$294)/$Y$2</f>
        <v>2.5335569981893622</v>
      </c>
      <c r="U274" s="342">
        <f t="shared" si="90"/>
        <v>-2.9234205459476468</v>
      </c>
      <c r="V274" s="122"/>
      <c r="W274" s="139"/>
      <c r="X274" s="1350"/>
      <c r="Y274" s="1400" t="str">
        <f t="shared" si="79"/>
        <v>Southampton</v>
      </c>
      <c r="Z274" s="1401">
        <f>IF(AD162&gt;0,IDACI!D23,0)</f>
        <v>44295</v>
      </c>
      <c r="AA274" s="1401">
        <f>IF(AD162&gt;0,IDACI!E23,0)</f>
        <v>9080.4750000000004</v>
      </c>
      <c r="AB274" s="1402">
        <f>IF(ISNUMBER(D274),Population!D24,0)</f>
        <v>49200</v>
      </c>
      <c r="AC274" s="1402">
        <f>IF(ISNUMBER(E274),Population!E24,0)</f>
        <v>49900</v>
      </c>
      <c r="AD274" s="1402">
        <f>IF(ISNUMBER(F274),Population!F24,0)</f>
        <v>50300</v>
      </c>
      <c r="AE274" s="1402">
        <f>IF(ISNUMBER(G274),Population!G24,0)</f>
        <v>50800</v>
      </c>
      <c r="AF274" s="1354">
        <f>IF(ISNUMBER(H274),Population!H24,0)</f>
        <v>51300</v>
      </c>
      <c r="AG274" s="1355" t="s">
        <v>7</v>
      </c>
      <c r="AH274" s="1356">
        <f t="shared" si="80"/>
        <v>0.30326004548900681</v>
      </c>
      <c r="AI274" s="1357">
        <f t="shared" si="91"/>
        <v>14</v>
      </c>
      <c r="AJ274" s="1351"/>
      <c r="AK274" s="1346"/>
      <c r="AL274" s="897">
        <f t="shared" si="92"/>
        <v>-62</v>
      </c>
      <c r="AM274" s="897">
        <f t="shared" si="93"/>
        <v>34</v>
      </c>
      <c r="AN274" s="897">
        <f t="shared" si="94"/>
        <v>-25</v>
      </c>
      <c r="AO274" s="897">
        <f t="shared" si="95"/>
        <v>42</v>
      </c>
      <c r="AP274" s="897">
        <f t="shared" si="98"/>
        <v>-2.75</v>
      </c>
      <c r="AR274" s="936">
        <f t="shared" si="96"/>
        <v>-10.62124248496994</v>
      </c>
      <c r="AS274" s="936">
        <f t="shared" si="82"/>
        <v>-3.7773359840954273</v>
      </c>
      <c r="AT274" s="936">
        <f t="shared" si="83"/>
        <v>-8.6614173228346463</v>
      </c>
      <c r="AU274" s="936">
        <f t="shared" ref="AU274:AU283" si="100">IF(ISNUMBER(O274),O274,"")</f>
        <v>-0.38986354775828463</v>
      </c>
      <c r="AV274" s="936">
        <f t="shared" ref="AV274:AV283" si="101">SUM(AR274:AU274)</f>
        <v>-23.4498593396583</v>
      </c>
      <c r="AW274" s="575">
        <f t="shared" ref="AW274:AW283" si="102">COUNTBLANK(AR274:AU274)</f>
        <v>0</v>
      </c>
      <c r="AX274" s="936">
        <f t="shared" ref="AX274:AX279" si="103">AV274/(4-AW274)*4</f>
        <v>-23.4498593396583</v>
      </c>
    </row>
    <row r="275" spans="1:50" s="87" customFormat="1" ht="13.5" customHeight="1" x14ac:dyDescent="0.2">
      <c r="A275" s="488">
        <f>VLOOKUP(B275,Sheet1!$AQ$4:$AR$25,2,FALSE)</f>
        <v>0</v>
      </c>
      <c r="B275" s="93" t="str">
        <f>Sheet1!$K$19</f>
        <v>Surrey</v>
      </c>
      <c r="C275" s="85"/>
      <c r="D275" s="94">
        <f>IF(AND(ISNUMBER(D25),ISNUMBER(D132)),D25-D132,NA())</f>
        <v>84</v>
      </c>
      <c r="E275" s="94">
        <f>IF(AND(ISNUMBER(E25),ISNUMBER(E132)),E25-E132,NA())</f>
        <v>-9</v>
      </c>
      <c r="F275" s="94">
        <f>IF(AND(ISNUMBER(F25),ISNUMBER(F132)),F25-F132,NA())</f>
        <v>47</v>
      </c>
      <c r="G275" s="94">
        <f>IF(AND(ISNUMBER(G25),ISNUMBER(G132)),G25-G132,NA())</f>
        <v>41</v>
      </c>
      <c r="H275" s="95">
        <f>IF(AND(ISNUMBER(H25),ISNUMBER(H132)),H25-H132,NA())</f>
        <v>8</v>
      </c>
      <c r="I275" s="1364">
        <f t="shared" si="87"/>
        <v>-19</v>
      </c>
      <c r="J275" s="96"/>
      <c r="K275" s="97">
        <f>IF(ISNUMBER(D275),D275/Population!D25*10000,NA())</f>
        <v>3.2761310452418098</v>
      </c>
      <c r="L275" s="97">
        <f>IF(ISNUMBER(E275),E275/Population!E25*10000,NA())</f>
        <v>-0.34749034749034746</v>
      </c>
      <c r="M275" s="97">
        <f>IF(ISNUMBER(F275),F275/Population!F25*10000,NA())</f>
        <v>1.8056089127929311</v>
      </c>
      <c r="N275" s="97">
        <f>IF(ISNUMBER(G275),G275/Population!G25*10000,NA())</f>
        <v>1.565483008781978</v>
      </c>
      <c r="O275" s="98">
        <f>IF(ISNUMBER(H275),H275/Population!H25*10000,NA())</f>
        <v>0.30326004548900681</v>
      </c>
      <c r="P275" s="99">
        <f t="shared" si="88"/>
        <v>0.30326004548900681</v>
      </c>
      <c r="Q275" s="934">
        <f t="shared" si="99"/>
        <v>2</v>
      </c>
      <c r="R275" s="70"/>
      <c r="S275" s="340">
        <f>IDACI!C24</f>
        <v>8.3000000000000007</v>
      </c>
      <c r="T275" s="341">
        <f>((S275*$Z$294)+$AA$294)/$Y$2</f>
        <v>-0.6492204177226899</v>
      </c>
      <c r="U275" s="342">
        <f t="shared" si="90"/>
        <v>0.95248046321169677</v>
      </c>
      <c r="V275" s="122"/>
      <c r="W275" s="139"/>
      <c r="X275" s="1350"/>
      <c r="Y275" s="1400" t="str">
        <f t="shared" si="79"/>
        <v>Surrey</v>
      </c>
      <c r="Z275" s="1401">
        <f>IF(AD163&gt;0,IDACI!D24,0)</f>
        <v>228466</v>
      </c>
      <c r="AA275" s="1401">
        <f>IF(AD163&gt;0,IDACI!E24,0)</f>
        <v>18962.678</v>
      </c>
      <c r="AB275" s="1402">
        <f>IF(ISNUMBER(D275),Population!D25,0)</f>
        <v>256400</v>
      </c>
      <c r="AC275" s="1402">
        <f>IF(ISNUMBER(E275),Population!E25,0)</f>
        <v>259000</v>
      </c>
      <c r="AD275" s="1402">
        <f>IF(ISNUMBER(F275),Population!F25,0)</f>
        <v>260300</v>
      </c>
      <c r="AE275" s="1402">
        <f>IF(ISNUMBER(G275),Population!G25,0)</f>
        <v>261900</v>
      </c>
      <c r="AF275" s="1354">
        <f>IF(ISNUMBER(H275),Population!H25,0)</f>
        <v>263800</v>
      </c>
      <c r="AG275" s="1355" t="s">
        <v>15</v>
      </c>
      <c r="AH275" s="1356">
        <f t="shared" si="80"/>
        <v>-4.213483146067416</v>
      </c>
      <c r="AI275" s="1357">
        <f t="shared" si="91"/>
        <v>4</v>
      </c>
      <c r="AJ275" s="1351"/>
      <c r="AK275" s="1346"/>
      <c r="AL275" s="897">
        <f t="shared" si="92"/>
        <v>-93</v>
      </c>
      <c r="AM275" s="897">
        <f t="shared" si="93"/>
        <v>56</v>
      </c>
      <c r="AN275" s="897">
        <f t="shared" si="94"/>
        <v>-6</v>
      </c>
      <c r="AO275" s="897">
        <f t="shared" si="95"/>
        <v>-33</v>
      </c>
      <c r="AP275" s="897">
        <f t="shared" si="98"/>
        <v>-19</v>
      </c>
      <c r="AR275" s="936">
        <f t="shared" si="96"/>
        <v>-0.34749034749034746</v>
      </c>
      <c r="AS275" s="936">
        <f t="shared" si="82"/>
        <v>1.8056089127929311</v>
      </c>
      <c r="AT275" s="936">
        <f t="shared" si="83"/>
        <v>1.565483008781978</v>
      </c>
      <c r="AU275" s="936">
        <f t="shared" si="100"/>
        <v>0.30326004548900681</v>
      </c>
      <c r="AV275" s="936">
        <f t="shared" si="101"/>
        <v>3.3268616195735681</v>
      </c>
      <c r="AW275" s="575">
        <f t="shared" si="102"/>
        <v>0</v>
      </c>
      <c r="AX275" s="936">
        <f t="shared" si="103"/>
        <v>3.3268616195735681</v>
      </c>
    </row>
    <row r="276" spans="1:50" s="87" customFormat="1" ht="13.5" customHeight="1" x14ac:dyDescent="0.2">
      <c r="A276" s="488">
        <f>VLOOKUP(B276,Sheet1!$AQ$4:$AR$25,2,FALSE)</f>
        <v>0</v>
      </c>
      <c r="B276" s="93" t="str">
        <f>Sheet1!$K$20</f>
        <v>Swindon</v>
      </c>
      <c r="C276" s="85"/>
      <c r="D276" s="94">
        <f>IF(AND(ISNUMBER(D26),ISNUMBER(D133)),D26-D133,NA())</f>
        <v>42</v>
      </c>
      <c r="E276" s="94">
        <f>IF(AND(ISNUMBER(E26),ISNUMBER(E133)),E26-E133,NA())</f>
        <v>32</v>
      </c>
      <c r="F276" s="94">
        <f>IF(AND(ISNUMBER(F26),ISNUMBER(F133)),F26-F133,NA())</f>
        <v>23</v>
      </c>
      <c r="G276" s="94">
        <f>IF(AND(ISNUMBER(G26),ISNUMBER(G133)),G26-G133,NA())</f>
        <v>-12</v>
      </c>
      <c r="H276" s="95">
        <f>IF(AND(ISNUMBER(H26),ISNUMBER(H133)),H26-H133,NA())</f>
        <v>-48</v>
      </c>
      <c r="I276" s="1364">
        <f t="shared" si="87"/>
        <v>-22.5</v>
      </c>
      <c r="J276" s="96"/>
      <c r="K276" s="97">
        <f>IF(ISNUMBER(D276),D276/Population!D26*10000,NA())</f>
        <v>8.5714285714285712</v>
      </c>
      <c r="L276" s="97">
        <f>IF(ISNUMBER(E276),E276/Population!E26*10000,NA())</f>
        <v>6.4646464646464645</v>
      </c>
      <c r="M276" s="97">
        <f>IF(ISNUMBER(F276),F276/Population!F26*10000,NA())</f>
        <v>4.6092184368737472</v>
      </c>
      <c r="N276" s="97">
        <f>IF(ISNUMBER(G276),G276/Population!G26*10000,NA())</f>
        <v>-2.3904382470119523</v>
      </c>
      <c r="O276" s="98">
        <f>IF(ISNUMBER(H276),H276/Population!H26*10000,NA())</f>
        <v>-9.5238095238095237</v>
      </c>
      <c r="P276" s="99">
        <f t="shared" si="88"/>
        <v>-9.5238095238095237</v>
      </c>
      <c r="Q276" s="370" t="str">
        <f t="shared" si="99"/>
        <v>--</v>
      </c>
      <c r="R276" s="70"/>
      <c r="S276" s="340">
        <f>IDACI!C25</f>
        <v>14.899999999999999</v>
      </c>
      <c r="T276" s="341">
        <f>((S276*$Z$294)+$AA$294)/$Y$2</f>
        <v>1.0726099876067803</v>
      </c>
      <c r="U276" s="342">
        <f t="shared" si="90"/>
        <v>-10.596419511416304</v>
      </c>
      <c r="V276" s="122"/>
      <c r="W276" s="139"/>
      <c r="X276" s="1350"/>
      <c r="Y276" s="1400" t="str">
        <f t="shared" si="79"/>
        <v>Swindon</v>
      </c>
      <c r="Z276" s="1401">
        <f>IF(AD164&gt;0,IDACI!D25,0)</f>
        <v>43899</v>
      </c>
      <c r="AA276" s="1401">
        <f>IF(AD164&gt;0,IDACI!E25,0)</f>
        <v>6540.951</v>
      </c>
      <c r="AB276" s="1402">
        <f>IF(ISNUMBER(D276),Population!D26,0)</f>
        <v>49000</v>
      </c>
      <c r="AC276" s="1402">
        <f>IF(ISNUMBER(E276),Population!E26,0)</f>
        <v>49500</v>
      </c>
      <c r="AD276" s="1402">
        <f>IF(ISNUMBER(F276),Population!F26,0)</f>
        <v>49900</v>
      </c>
      <c r="AE276" s="1402">
        <f>IF(ISNUMBER(G276),Population!G26,0)</f>
        <v>50200</v>
      </c>
      <c r="AF276" s="1354">
        <f>IF(ISNUMBER(H276),Population!H26,0)</f>
        <v>50400</v>
      </c>
      <c r="AG276" s="1355" t="s">
        <v>5</v>
      </c>
      <c r="AH276" s="1356">
        <f t="shared" si="80"/>
        <v>5.7921635434412266</v>
      </c>
      <c r="AI276" s="1357">
        <f t="shared" si="91"/>
        <v>17</v>
      </c>
      <c r="AJ276" s="1351"/>
      <c r="AK276" s="1346"/>
      <c r="AL276" s="897">
        <f t="shared" si="92"/>
        <v>-10</v>
      </c>
      <c r="AM276" s="897">
        <f t="shared" si="93"/>
        <v>-9</v>
      </c>
      <c r="AN276" s="897">
        <f t="shared" si="94"/>
        <v>-35</v>
      </c>
      <c r="AO276" s="897">
        <f t="shared" si="95"/>
        <v>-36</v>
      </c>
      <c r="AP276" s="897">
        <f t="shared" si="98"/>
        <v>-22.5</v>
      </c>
      <c r="AR276" s="936">
        <f t="shared" si="96"/>
        <v>6.4646464646464645</v>
      </c>
      <c r="AS276" s="936">
        <f t="shared" si="82"/>
        <v>4.6092184368737472</v>
      </c>
      <c r="AT276" s="936">
        <f t="shared" si="83"/>
        <v>-2.3904382470119523</v>
      </c>
      <c r="AU276" s="936">
        <f t="shared" si="100"/>
        <v>-9.5238095238095237</v>
      </c>
      <c r="AV276" s="936">
        <f t="shared" si="101"/>
        <v>-0.84038286930126382</v>
      </c>
      <c r="AW276" s="575">
        <f t="shared" si="102"/>
        <v>0</v>
      </c>
      <c r="AX276" s="936">
        <f t="shared" si="103"/>
        <v>-0.84038286930126382</v>
      </c>
    </row>
    <row r="277" spans="1:50" s="87" customFormat="1" ht="13.5" customHeight="1" x14ac:dyDescent="0.2">
      <c r="A277" s="488">
        <f>VLOOKUP(B277,Sheet1!$AQ$4:$AR$25,2,FALSE)</f>
        <v>0</v>
      </c>
      <c r="B277" s="93" t="str">
        <f>Sheet1!$K$21</f>
        <v>Torbay</v>
      </c>
      <c r="C277" s="85"/>
      <c r="D277" s="94">
        <f>IF(AND(ISNUMBER(D27),ISNUMBER(D134)),D27-D134,NA())</f>
        <v>-29</v>
      </c>
      <c r="E277" s="94">
        <f>IF(AND(ISNUMBER(E27),ISNUMBER(E134)),E27-E134,NA())</f>
        <v>7</v>
      </c>
      <c r="F277" s="94">
        <f>IF(AND(ISNUMBER(F27),ISNUMBER(F134)),F27-F134,NA())</f>
        <v>36</v>
      </c>
      <c r="G277" s="94">
        <f>IF(AND(ISNUMBER(G27),ISNUMBER(G134)),G27-G134,NA())</f>
        <v>29</v>
      </c>
      <c r="H277" s="95">
        <f>IF(AND(ISNUMBER(H27),ISNUMBER(H134)),H27-H134,NA())</f>
        <v>-6</v>
      </c>
      <c r="I277" s="1364">
        <f t="shared" si="87"/>
        <v>5.75</v>
      </c>
      <c r="J277" s="96"/>
      <c r="K277" s="97">
        <f>IF(ISNUMBER(D277),D277/Population!D27*10000,NA())</f>
        <v>-11.507936507936508</v>
      </c>
      <c r="L277" s="97">
        <f>IF(ISNUMBER(E277),E277/Population!E27*10000,NA())</f>
        <v>2.7559055118110236</v>
      </c>
      <c r="M277" s="97">
        <f>IF(ISNUMBER(F277),F277/Population!F27*10000,NA())</f>
        <v>14.173228346456694</v>
      </c>
      <c r="N277" s="97">
        <f>IF(ISNUMBER(G277),G277/Population!G27*10000,NA())</f>
        <v>11.417322834645669</v>
      </c>
      <c r="O277" s="98">
        <f>IF(ISNUMBER(H277),H277/Population!H27*10000,NA())</f>
        <v>-2.34375</v>
      </c>
      <c r="P277" s="99">
        <f t="shared" si="88"/>
        <v>-2.34375</v>
      </c>
      <c r="Q277" s="370" t="str">
        <f t="shared" si="99"/>
        <v>--</v>
      </c>
      <c r="R277" s="70"/>
      <c r="S277" s="340">
        <f>IDACI!C26</f>
        <v>21.9</v>
      </c>
      <c r="T277" s="341">
        <f>((S277*$Z$294)+$AA$294)/$Y$2</f>
        <v>2.898793750835007</v>
      </c>
      <c r="U277" s="342">
        <f t="shared" si="90"/>
        <v>-5.242543750835007</v>
      </c>
      <c r="V277" s="122"/>
      <c r="W277" s="139"/>
      <c r="X277" s="1350"/>
      <c r="Y277" s="1400" t="str">
        <f t="shared" si="79"/>
        <v>Torbay</v>
      </c>
      <c r="Z277" s="1401">
        <f>IF(AD165&gt;0,IDACI!D26,0)</f>
        <v>22257</v>
      </c>
      <c r="AA277" s="1401">
        <f>IF(AD165&gt;0,IDACI!E26,0)</f>
        <v>4874.2829999999994</v>
      </c>
      <c r="AB277" s="1402">
        <f>IF(ISNUMBER(D277),Population!D27,0)</f>
        <v>25200</v>
      </c>
      <c r="AC277" s="1402">
        <f>IF(ISNUMBER(E277),Population!E27,0)</f>
        <v>25400</v>
      </c>
      <c r="AD277" s="1402">
        <f>IF(ISNUMBER(F277),Population!F27,0)</f>
        <v>25400</v>
      </c>
      <c r="AE277" s="1402">
        <f>IF(ISNUMBER(G277),Population!G27,0)</f>
        <v>25400</v>
      </c>
      <c r="AF277" s="1354">
        <f>IF(ISNUMBER(H277),Population!H27,0)</f>
        <v>25600</v>
      </c>
      <c r="AG277" s="1355" t="s">
        <v>30</v>
      </c>
      <c r="AH277" s="1356">
        <f t="shared" si="80"/>
        <v>-2.8818443804034581</v>
      </c>
      <c r="AI277" s="1357">
        <f t="shared" si="91"/>
        <v>6</v>
      </c>
      <c r="AJ277" s="1351"/>
      <c r="AK277" s="1346"/>
      <c r="AL277" s="897">
        <f t="shared" si="92"/>
        <v>36</v>
      </c>
      <c r="AM277" s="897">
        <f t="shared" si="93"/>
        <v>29</v>
      </c>
      <c r="AN277" s="897">
        <f t="shared" si="94"/>
        <v>-7</v>
      </c>
      <c r="AO277" s="897">
        <f t="shared" si="95"/>
        <v>-35</v>
      </c>
      <c r="AP277" s="897">
        <f t="shared" si="98"/>
        <v>5.75</v>
      </c>
      <c r="AR277" s="936">
        <f t="shared" si="96"/>
        <v>2.7559055118110236</v>
      </c>
      <c r="AS277" s="936">
        <f t="shared" si="82"/>
        <v>14.173228346456694</v>
      </c>
      <c r="AT277" s="936">
        <f t="shared" si="83"/>
        <v>11.417322834645669</v>
      </c>
      <c r="AU277" s="936">
        <f t="shared" si="100"/>
        <v>-2.34375</v>
      </c>
      <c r="AV277" s="936">
        <f t="shared" si="101"/>
        <v>26.002706692913385</v>
      </c>
      <c r="AW277" s="575">
        <f t="shared" si="102"/>
        <v>0</v>
      </c>
      <c r="AX277" s="936">
        <f t="shared" si="103"/>
        <v>26.002706692913385</v>
      </c>
    </row>
    <row r="278" spans="1:50" s="87" customFormat="1" ht="13.5" customHeight="1" x14ac:dyDescent="0.2">
      <c r="A278" s="488">
        <f>VLOOKUP(B278,Sheet1!$AQ$4:$AR$25,2,FALSE)</f>
        <v>0</v>
      </c>
      <c r="B278" s="93" t="str">
        <f>Sheet1!$K$22</f>
        <v>West Berkshire</v>
      </c>
      <c r="C278" s="85"/>
      <c r="D278" s="94">
        <f>IF(AND(ISNUMBER(D28),ISNUMBER(D135)),D28-D135,NA())</f>
        <v>-15</v>
      </c>
      <c r="E278" s="100">
        <f>IF(AND(ISNUMBER(E28),ISNUMBER(E135)),E28-E135,NA())</f>
        <v>0</v>
      </c>
      <c r="F278" s="94">
        <f>IF(AND(ISNUMBER(F28),ISNUMBER(F135)),F28-F135,NA())</f>
        <v>-18</v>
      </c>
      <c r="G278" s="94">
        <f>IF(AND(ISNUMBER(G28),ISNUMBER(G135)),G28-G135,NA())</f>
        <v>26</v>
      </c>
      <c r="H278" s="95">
        <f>IF(AND(ISNUMBER(H28),ISNUMBER(H135)),H28-H135,NA())</f>
        <v>-15</v>
      </c>
      <c r="I278" s="1364">
        <f t="shared" si="87"/>
        <v>0</v>
      </c>
      <c r="J278" s="96"/>
      <c r="K278" s="97">
        <f>IF(ISNUMBER(D278),D278/Population!D28*10000,NA())</f>
        <v>-4.2016806722689077</v>
      </c>
      <c r="L278" s="97">
        <f>IF(ISNUMBER(E278),E278/Population!E28*10000,NA())</f>
        <v>0</v>
      </c>
      <c r="M278" s="97">
        <f>IF(ISNUMBER(F278),F278/Population!F28*10000,NA())</f>
        <v>-5.027932960893855</v>
      </c>
      <c r="N278" s="97">
        <f>IF(ISNUMBER(G278),G278/Population!G28*10000,NA())</f>
        <v>7.3033707865168536</v>
      </c>
      <c r="O278" s="98">
        <f>IF(ISNUMBER(H278),H278/Population!H28*10000,NA())</f>
        <v>-4.213483146067416</v>
      </c>
      <c r="P278" s="99">
        <f t="shared" si="88"/>
        <v>-4.213483146067416</v>
      </c>
      <c r="Q278" s="934">
        <f t="shared" si="99"/>
        <v>7</v>
      </c>
      <c r="R278" s="70"/>
      <c r="S278" s="340">
        <f>IDACI!C27</f>
        <v>8.6999999999999993</v>
      </c>
      <c r="T278" s="341">
        <f>((S278*$Z$294)+$AA$294)/$Y$2</f>
        <v>-0.54486705982393469</v>
      </c>
      <c r="U278" s="342">
        <f t="shared" si="90"/>
        <v>-3.6686160862434813</v>
      </c>
      <c r="V278" s="122"/>
      <c r="W278" s="139"/>
      <c r="X278" s="1350"/>
      <c r="Y278" s="1400" t="str">
        <f t="shared" si="79"/>
        <v>West Berkshire</v>
      </c>
      <c r="Z278" s="1401">
        <f>IF(AD166&gt;0,IDACI!D27,0)</f>
        <v>31625</v>
      </c>
      <c r="AA278" s="1401">
        <f>IF(AD166&gt;0,IDACI!E27,0)</f>
        <v>2751.375</v>
      </c>
      <c r="AB278" s="1402">
        <f>IF(ISNUMBER(D278),Population!D28,0)</f>
        <v>35700</v>
      </c>
      <c r="AC278" s="1402">
        <f>IF(ISNUMBER(E278),Population!E28,0)</f>
        <v>35900</v>
      </c>
      <c r="AD278" s="1402">
        <f>IF(ISNUMBER(F278),Population!F28,0)</f>
        <v>35800</v>
      </c>
      <c r="AE278" s="1402">
        <f>IF(ISNUMBER(G278),Population!G28,0)</f>
        <v>35600</v>
      </c>
      <c r="AF278" s="1354">
        <f>IF(ISNUMBER(H278),Population!H28,0)</f>
        <v>35600</v>
      </c>
      <c r="AG278" s="1355" t="s">
        <v>16</v>
      </c>
      <c r="AH278" s="1356">
        <f t="shared" si="80"/>
        <v>-2.722772277227723</v>
      </c>
      <c r="AI278" s="1357">
        <f t="shared" si="91"/>
        <v>7</v>
      </c>
      <c r="AJ278" s="1351"/>
      <c r="AK278" s="1346"/>
      <c r="AL278" s="897">
        <f t="shared" si="92"/>
        <v>15</v>
      </c>
      <c r="AM278" s="897">
        <f t="shared" si="93"/>
        <v>-18</v>
      </c>
      <c r="AN278" s="897">
        <f t="shared" si="94"/>
        <v>44</v>
      </c>
      <c r="AO278" s="897">
        <f t="shared" si="95"/>
        <v>-41</v>
      </c>
      <c r="AP278" s="897">
        <f t="shared" si="98"/>
        <v>0</v>
      </c>
      <c r="AR278" s="936">
        <f t="shared" si="96"/>
        <v>0</v>
      </c>
      <c r="AS278" s="936">
        <f t="shared" si="82"/>
        <v>-5.027932960893855</v>
      </c>
      <c r="AT278" s="936">
        <f t="shared" si="83"/>
        <v>7.3033707865168536</v>
      </c>
      <c r="AU278" s="936">
        <f t="shared" si="100"/>
        <v>-4.213483146067416</v>
      </c>
      <c r="AV278" s="936">
        <f t="shared" si="101"/>
        <v>-1.9380453204444175</v>
      </c>
      <c r="AW278" s="575">
        <f t="shared" si="102"/>
        <v>0</v>
      </c>
      <c r="AX278" s="936">
        <f t="shared" si="103"/>
        <v>-1.9380453204444175</v>
      </c>
    </row>
    <row r="279" spans="1:50" s="87" customFormat="1" ht="13.5" customHeight="1" x14ac:dyDescent="0.2">
      <c r="A279" s="488">
        <f>VLOOKUP(B279,Sheet1!$AQ$4:$AR$25,2,FALSE)</f>
        <v>0</v>
      </c>
      <c r="B279" s="93" t="str">
        <f>Sheet1!$K$23</f>
        <v>West Sussex</v>
      </c>
      <c r="C279" s="85"/>
      <c r="D279" s="94">
        <f>IF(AND(ISNUMBER(D29),ISNUMBER(D136)),D29-D136,NA())</f>
        <v>-6</v>
      </c>
      <c r="E279" s="100">
        <f>IF(AND(ISNUMBER(E29),ISNUMBER(E136)),E29-E136,NA())</f>
        <v>20</v>
      </c>
      <c r="F279" s="94">
        <f>IF(AND(ISNUMBER(F29),ISNUMBER(F136)),F29-F136,NA())</f>
        <v>40</v>
      </c>
      <c r="G279" s="94">
        <f>IF(AND(ISNUMBER(G29),ISNUMBER(G136)),G29-G136,NA())</f>
        <v>-8</v>
      </c>
      <c r="H279" s="95">
        <f>IF(AND(ISNUMBER(H29),ISNUMBER(H136)),H29-H136,NA())</f>
        <v>102</v>
      </c>
      <c r="I279" s="1364">
        <f t="shared" si="87"/>
        <v>27</v>
      </c>
      <c r="J279" s="96"/>
      <c r="K279" s="97">
        <f>IF(ISNUMBER(D279),D279/Population!D29*10000,NA())</f>
        <v>-0.35211267605633806</v>
      </c>
      <c r="L279" s="97">
        <f>IF(ISNUMBER(E279),E279/Population!E29*10000,NA())</f>
        <v>1.1641443538998837</v>
      </c>
      <c r="M279" s="97">
        <f>IF(ISNUMBER(F279),F279/Population!F29*10000,NA())</f>
        <v>2.3081361800346221</v>
      </c>
      <c r="N279" s="97">
        <f>IF(ISNUMBER(G279),G279/Population!G29*10000,NA())</f>
        <v>-0.45792787635947341</v>
      </c>
      <c r="O279" s="98">
        <f>IF(ISNUMBER(H279),H279/Population!H29*10000,NA())</f>
        <v>5.7921635434412266</v>
      </c>
      <c r="P279" s="99">
        <f t="shared" si="88"/>
        <v>5.7921635434412266</v>
      </c>
      <c r="Q279" s="934">
        <f t="shared" si="99"/>
        <v>12</v>
      </c>
      <c r="R279" s="70"/>
      <c r="S279" s="340">
        <f>IDACI!C28</f>
        <v>11</v>
      </c>
      <c r="T279" s="341">
        <f>((S279*$Z$294)+$AA$294)/$Y$2</f>
        <v>5.5164748093911697E-2</v>
      </c>
      <c r="U279" s="342">
        <f t="shared" si="90"/>
        <v>5.7369987953473149</v>
      </c>
      <c r="V279" s="122"/>
      <c r="W279" s="139"/>
      <c r="X279" s="1350"/>
      <c r="Y279" s="1400" t="str">
        <f t="shared" si="79"/>
        <v>West Sussex</v>
      </c>
      <c r="Z279" s="1401">
        <f>IF(AD167&gt;0,IDACI!D28,0)</f>
        <v>151487</v>
      </c>
      <c r="AA279" s="1401">
        <f>IF(AD167&gt;0,IDACI!E28,0)</f>
        <v>16663.57</v>
      </c>
      <c r="AB279" s="1402">
        <f>IF(ISNUMBER(D279),Population!D29,0)</f>
        <v>170400</v>
      </c>
      <c r="AC279" s="1402">
        <f>IF(ISNUMBER(E279),Population!E29,0)</f>
        <v>171800</v>
      </c>
      <c r="AD279" s="1402">
        <f>IF(ISNUMBER(F279),Population!F29,0)</f>
        <v>173300</v>
      </c>
      <c r="AE279" s="1402">
        <f>IF(ISNUMBER(G279),Population!G29,0)</f>
        <v>174700</v>
      </c>
      <c r="AF279" s="1354">
        <f>IF(ISNUMBER(H279),Population!H29,0)</f>
        <v>176100</v>
      </c>
      <c r="AG279" s="1351"/>
      <c r="AH279" s="1351"/>
      <c r="AI279" s="1341"/>
      <c r="AJ279" s="1351"/>
      <c r="AK279" s="1346"/>
      <c r="AL279" s="897">
        <f t="shared" si="92"/>
        <v>26</v>
      </c>
      <c r="AM279" s="897">
        <f t="shared" si="93"/>
        <v>20</v>
      </c>
      <c r="AN279" s="897">
        <f t="shared" si="94"/>
        <v>-48</v>
      </c>
      <c r="AO279" s="897">
        <f t="shared" si="95"/>
        <v>110</v>
      </c>
      <c r="AP279" s="897">
        <f t="shared" si="98"/>
        <v>27</v>
      </c>
      <c r="AR279" s="936">
        <f t="shared" si="96"/>
        <v>1.1641443538998837</v>
      </c>
      <c r="AS279" s="936">
        <f t="shared" si="82"/>
        <v>2.3081361800346221</v>
      </c>
      <c r="AT279" s="936">
        <f t="shared" si="83"/>
        <v>-0.45792787635947341</v>
      </c>
      <c r="AU279" s="936">
        <f t="shared" si="100"/>
        <v>5.7921635434412266</v>
      </c>
      <c r="AV279" s="936">
        <f t="shared" si="101"/>
        <v>8.8065162010162581</v>
      </c>
      <c r="AW279" s="575">
        <f t="shared" si="102"/>
        <v>0</v>
      </c>
      <c r="AX279" s="936">
        <f t="shared" si="103"/>
        <v>8.8065162010162581</v>
      </c>
    </row>
    <row r="280" spans="1:50" s="87" customFormat="1" ht="13.5" customHeight="1" x14ac:dyDescent="0.2">
      <c r="A280" s="488">
        <f>VLOOKUP(B280,Sheet1!$AQ$4:$AR$25,2,FALSE)</f>
        <v>0</v>
      </c>
      <c r="B280" s="93" t="str">
        <f>Sheet1!$K$24</f>
        <v>Windsor &amp; Maidenhead</v>
      </c>
      <c r="C280" s="85"/>
      <c r="D280" s="100">
        <f>IF(AND(ISNUMBER(D30),ISNUMBER(D137)),D30-D137,NA())</f>
        <v>-11</v>
      </c>
      <c r="E280" s="94">
        <f>IF(AND(ISNUMBER(E30),ISNUMBER(E137)),E30-E137,NA())</f>
        <v>18</v>
      </c>
      <c r="F280" s="94">
        <f>IF(AND(ISNUMBER(F30),ISNUMBER(F137)),F30-F137,NA())</f>
        <v>-3</v>
      </c>
      <c r="G280" s="94">
        <f>IF(AND(ISNUMBER(G30),ISNUMBER(G137)),G30-G137,NA())</f>
        <v>13</v>
      </c>
      <c r="H280" s="95">
        <f>IF(AND(ISNUMBER(H30),ISNUMBER(H137)),H30-H137,NA())</f>
        <v>-10</v>
      </c>
      <c r="I280" s="1364">
        <f t="shared" si="87"/>
        <v>0.25</v>
      </c>
      <c r="J280" s="96"/>
      <c r="K280" s="97">
        <f>IF(ISNUMBER(D280),D280/Population!D30*10000,NA())</f>
        <v>-3.2640949554896141</v>
      </c>
      <c r="L280" s="97">
        <f>IF(ISNUMBER(E280),E280/Population!E30*10000,NA())</f>
        <v>5.2631578947368416</v>
      </c>
      <c r="M280" s="97">
        <f>IF(ISNUMBER(F280),F280/Population!F30*10000,NA())</f>
        <v>-0.87209302325581395</v>
      </c>
      <c r="N280" s="97">
        <f>IF(ISNUMBER(G280),G280/Population!G30*10000,NA())</f>
        <v>3.7572254335260111</v>
      </c>
      <c r="O280" s="98">
        <f>IF(ISNUMBER(H280),H280/Population!H30*10000,NA())</f>
        <v>-2.8818443804034581</v>
      </c>
      <c r="P280" s="99">
        <f t="shared" si="88"/>
        <v>-2.8818443804034581</v>
      </c>
      <c r="Q280" s="934">
        <f t="shared" si="99"/>
        <v>3</v>
      </c>
      <c r="R280" s="70"/>
      <c r="S280" s="340">
        <f>IDACI!C29</f>
        <v>6.7</v>
      </c>
      <c r="T280" s="341">
        <f>((S280*$Z$294)+$AA$294)/$Y$2</f>
        <v>-1.0666338493177134</v>
      </c>
      <c r="U280" s="342">
        <f t="shared" si="90"/>
        <v>-1.8152105310857447</v>
      </c>
      <c r="V280" s="122"/>
      <c r="W280" s="139"/>
      <c r="X280" s="1350"/>
      <c r="Y280" s="1400" t="str">
        <f t="shared" si="79"/>
        <v>Windsor &amp; Maidenhead</v>
      </c>
      <c r="Z280" s="1401">
        <f>IF(AD168&gt;0,IDACI!D29,0)</f>
        <v>29792</v>
      </c>
      <c r="AA280" s="1401">
        <f>IF(AD168&gt;0,IDACI!E29,0)</f>
        <v>1996.0640000000001</v>
      </c>
      <c r="AB280" s="1402">
        <f>IF(ISNUMBER(D280),Population!D30,0)</f>
        <v>33700</v>
      </c>
      <c r="AC280" s="1402">
        <f>IF(ISNUMBER(E280),Population!E30,0)</f>
        <v>34200</v>
      </c>
      <c r="AD280" s="1402">
        <f>IF(ISNUMBER(F280),Population!F30,0)</f>
        <v>34400</v>
      </c>
      <c r="AE280" s="1402">
        <f>IF(ISNUMBER(G280),Population!G30,0)</f>
        <v>34600</v>
      </c>
      <c r="AF280" s="1354">
        <f>IF(ISNUMBER(H280),Population!H30,0)</f>
        <v>34700</v>
      </c>
      <c r="AG280" s="1351"/>
      <c r="AH280" s="1351"/>
      <c r="AI280" s="1341"/>
      <c r="AJ280" s="1351"/>
      <c r="AK280" s="1346"/>
      <c r="AL280" s="897">
        <f t="shared" si="92"/>
        <v>29</v>
      </c>
      <c r="AM280" s="897">
        <f t="shared" si="93"/>
        <v>-21</v>
      </c>
      <c r="AN280" s="897">
        <f t="shared" si="94"/>
        <v>16</v>
      </c>
      <c r="AO280" s="897">
        <f t="shared" si="95"/>
        <v>-23</v>
      </c>
      <c r="AP280" s="897">
        <f t="shared" si="98"/>
        <v>0.25</v>
      </c>
      <c r="AR280" s="936">
        <f t="shared" si="96"/>
        <v>5.2631578947368416</v>
      </c>
      <c r="AS280" s="936">
        <f t="shared" si="82"/>
        <v>-0.87209302325581395</v>
      </c>
      <c r="AT280" s="936">
        <f t="shared" si="83"/>
        <v>3.7572254335260111</v>
      </c>
      <c r="AU280" s="936">
        <f t="shared" si="100"/>
        <v>-2.8818443804034581</v>
      </c>
      <c r="AV280" s="936">
        <f t="shared" si="101"/>
        <v>5.2664459246035813</v>
      </c>
      <c r="AW280" s="575">
        <f t="shared" si="102"/>
        <v>0</v>
      </c>
      <c r="AX280" s="936">
        <f>AV280/(4-AW280)*4</f>
        <v>5.2664459246035813</v>
      </c>
    </row>
    <row r="281" spans="1:50" s="87" customFormat="1" ht="13.5" customHeight="1" x14ac:dyDescent="0.2">
      <c r="A281" s="488">
        <f>VLOOKUP(B281,Sheet1!$AQ$4:$AR$25,2,FALSE)</f>
        <v>0</v>
      </c>
      <c r="B281" s="93" t="str">
        <f>Sheet1!$K$25</f>
        <v>Wokingham</v>
      </c>
      <c r="C281" s="85"/>
      <c r="D281" s="100">
        <f>IF(AND(ISNUMBER(D31),ISNUMBER(D138)),D31-D138,NA())</f>
        <v>4</v>
      </c>
      <c r="E281" s="94">
        <f>IF(AND(ISNUMBER(E31),ISNUMBER(E138)),E31-E138,NA())</f>
        <v>-6</v>
      </c>
      <c r="F281" s="94">
        <f>IF(AND(ISNUMBER(F31),ISNUMBER(F138)),F31-F138,NA())</f>
        <v>30</v>
      </c>
      <c r="G281" s="94">
        <f>IF(AND(ISNUMBER(G31),ISNUMBER(G138)),G31-G138,NA())</f>
        <v>4</v>
      </c>
      <c r="H281" s="95">
        <f>IF(AND(ISNUMBER(H31),ISNUMBER(H138)),H31-H138,NA())</f>
        <v>-11</v>
      </c>
      <c r="I281" s="1364">
        <f t="shared" si="87"/>
        <v>-3.75</v>
      </c>
      <c r="J281" s="96"/>
      <c r="K281" s="97">
        <f>IF(ISNUMBER(D281),D281/Population!D31*10000,NA())</f>
        <v>1.0723860589812333</v>
      </c>
      <c r="L281" s="97">
        <f>IF(ISNUMBER(E281),E281/Population!E31*10000,NA())</f>
        <v>-1.5789473684210527</v>
      </c>
      <c r="M281" s="97">
        <f>IF(ISNUMBER(F281),F281/Population!F31*10000,NA())</f>
        <v>7.7519379844961236</v>
      </c>
      <c r="N281" s="97">
        <f>IF(ISNUMBER(G281),G281/Population!G31*10000,NA())</f>
        <v>1.0126582278481013</v>
      </c>
      <c r="O281" s="98">
        <f>IF(ISNUMBER(H281),H281/Population!H31*10000,NA())</f>
        <v>-2.722772277227723</v>
      </c>
      <c r="P281" s="99">
        <f t="shared" si="88"/>
        <v>-2.722772277227723</v>
      </c>
      <c r="Q281" s="934">
        <f t="shared" si="99"/>
        <v>1</v>
      </c>
      <c r="R281" s="70"/>
      <c r="S281" s="340">
        <f>IDACI!C30</f>
        <v>5.6000000000000005</v>
      </c>
      <c r="T281" s="341">
        <f>((S281*$Z$294)+$AA$294)/$Y$2</f>
        <v>-1.3536055835392919</v>
      </c>
      <c r="U281" s="342">
        <f t="shared" si="90"/>
        <v>-1.369166693688431</v>
      </c>
      <c r="V281" s="122"/>
      <c r="W281" s="139"/>
      <c r="X281" s="1350"/>
      <c r="Y281" s="1400" t="str">
        <f t="shared" si="79"/>
        <v>Wokingham</v>
      </c>
      <c r="Z281" s="1401">
        <f>IF(AD169&gt;0,IDACI!D30,0)</f>
        <v>33327</v>
      </c>
      <c r="AA281" s="1401">
        <f>IF(AD169&gt;0,IDACI!E30,0)</f>
        <v>1866.3120000000004</v>
      </c>
      <c r="AB281" s="1402">
        <f>IF(ISNUMBER(D281),Population!D31,0)</f>
        <v>37300</v>
      </c>
      <c r="AC281" s="1402">
        <f>IF(ISNUMBER(E281),Population!E31,0)</f>
        <v>38000</v>
      </c>
      <c r="AD281" s="1402">
        <f>IF(ISNUMBER(F281),Population!F31,0)</f>
        <v>38700</v>
      </c>
      <c r="AE281" s="1402">
        <f>IF(ISNUMBER(G281),Population!G31,0)</f>
        <v>39500</v>
      </c>
      <c r="AF281" s="1354">
        <f>IF(ISNUMBER(H281),Population!H31,0)</f>
        <v>40400</v>
      </c>
      <c r="AG281" s="1351"/>
      <c r="AH281" s="1351"/>
      <c r="AI281" s="1341"/>
      <c r="AJ281" s="1351"/>
      <c r="AK281" s="1346"/>
      <c r="AL281" s="897">
        <f t="shared" si="92"/>
        <v>-10</v>
      </c>
      <c r="AM281" s="897">
        <f t="shared" si="93"/>
        <v>36</v>
      </c>
      <c r="AN281" s="897">
        <f t="shared" si="94"/>
        <v>-26</v>
      </c>
      <c r="AO281" s="897">
        <f t="shared" si="95"/>
        <v>-15</v>
      </c>
      <c r="AP281" s="897">
        <f t="shared" si="98"/>
        <v>-3.75</v>
      </c>
      <c r="AR281" s="936">
        <f t="shared" si="96"/>
        <v>-1.5789473684210527</v>
      </c>
      <c r="AS281" s="936">
        <f t="shared" si="82"/>
        <v>7.7519379844961236</v>
      </c>
      <c r="AT281" s="936">
        <f t="shared" si="83"/>
        <v>1.0126582278481013</v>
      </c>
      <c r="AU281" s="936">
        <f t="shared" si="100"/>
        <v>-2.722772277227723</v>
      </c>
      <c r="AV281" s="936">
        <f t="shared" si="101"/>
        <v>4.4628765666954493</v>
      </c>
      <c r="AW281" s="575">
        <f t="shared" si="102"/>
        <v>0</v>
      </c>
      <c r="AX281" s="936">
        <f t="shared" ref="AX281:AX283" si="104">AV281/(4-AW281)*4</f>
        <v>4.4628765666954493</v>
      </c>
    </row>
    <row r="282" spans="1:50" s="87" customFormat="1" ht="13.5" customHeight="1" x14ac:dyDescent="0.2">
      <c r="A282" s="121"/>
      <c r="B282" s="129" t="str">
        <f>Sheet1!$K$26</f>
        <v>South East</v>
      </c>
      <c r="C282" s="85"/>
      <c r="D282" s="130">
        <f>IF(AND(ISNUMBER(D32),ISNUMBER(Z170)),D32-Z170,NA())</f>
        <v>470</v>
      </c>
      <c r="E282" s="130">
        <f>IF(AND(ISNUMBER(E32),ISNUMBER(AA170)),E32-AA170,NA())</f>
        <v>-129</v>
      </c>
      <c r="F282" s="130">
        <f>IF(AND(ISNUMBER(F32),ISNUMBER(AB170)),F32-AB170,NA())</f>
        <v>61</v>
      </c>
      <c r="G282" s="130">
        <f>IF(AND(ISNUMBER(G32),ISNUMBER(AC170)),G32-AC170,NA())</f>
        <v>217</v>
      </c>
      <c r="H282" s="131">
        <f>IF(AND(ISNUMBER(H32),ISNUMBER(AD170)),H32-AD170,NA())</f>
        <v>116</v>
      </c>
      <c r="I282" s="405">
        <f t="shared" si="87"/>
        <v>-88.5</v>
      </c>
      <c r="J282" s="96"/>
      <c r="K282" s="132">
        <f>IF(ISNUMBER(D282),D282/AB282*10000,NA())</f>
        <v>2.4503414837599706</v>
      </c>
      <c r="L282" s="132">
        <f>IF(ISNUMBER(E282),E282/AC282*10000,NA())</f>
        <v>-0.66732191816253683</v>
      </c>
      <c r="M282" s="132">
        <f>IF(ISNUMBER(F282),F282/AD282*10000,NA())</f>
        <v>0.31380215031637426</v>
      </c>
      <c r="N282" s="132">
        <f>IF(ISNUMBER(G282),G282/AE282*10000,NA())</f>
        <v>1.1086134668437724</v>
      </c>
      <c r="O282" s="133">
        <f>IF(ISNUMBER(H282),H282/AF282*10000,NA())</f>
        <v>0.5890717042453788</v>
      </c>
      <c r="P282" s="99">
        <f t="shared" si="88"/>
        <v>0.5890717042453788</v>
      </c>
      <c r="Q282" s="336" t="str">
        <f t="shared" si="99"/>
        <v>--</v>
      </c>
      <c r="R282" s="70"/>
      <c r="S282" s="338">
        <f>AA282/Z282*100</f>
        <v>12.371268250968637</v>
      </c>
      <c r="T282" s="338">
        <f>((S282*$Z$294)+$AA$294)/$Y$2</f>
        <v>0.41290586451523925</v>
      </c>
      <c r="U282" s="343">
        <f t="shared" si="90"/>
        <v>0.17616583973013955</v>
      </c>
      <c r="V282" s="122"/>
      <c r="W282" s="139"/>
      <c r="X282" s="1350"/>
      <c r="Y282" s="1400" t="str">
        <f t="shared" si="79"/>
        <v>South East</v>
      </c>
      <c r="Z282" s="1401">
        <f>SUM(Z274:Z275,Z260:Z272,Z278:Z281)</f>
        <v>1704978</v>
      </c>
      <c r="AA282" s="1401">
        <f>SUM(AA274:AA275,AA260:AA272,AA278:AA281)</f>
        <v>210927.40200000003</v>
      </c>
      <c r="AB282" s="1402">
        <f>SUM(AB260:AB272,AB274:AB275,AB278:AB281)</f>
        <v>1918100</v>
      </c>
      <c r="AC282" s="1402">
        <f t="shared" ref="AC282:AF282" si="105">SUM(AC260:AC272,AC274:AC275,AC278:AC281)</f>
        <v>1933100</v>
      </c>
      <c r="AD282" s="1402">
        <f t="shared" si="105"/>
        <v>1943900</v>
      </c>
      <c r="AE282" s="1402">
        <f t="shared" si="105"/>
        <v>1957400</v>
      </c>
      <c r="AF282" s="1354">
        <f t="shared" si="105"/>
        <v>1969200</v>
      </c>
      <c r="AG282" s="1351"/>
      <c r="AH282" s="1351"/>
      <c r="AI282" s="1341"/>
      <c r="AJ282" s="1351"/>
      <c r="AK282" s="1346"/>
      <c r="AL282" s="897">
        <f t="shared" si="92"/>
        <v>-599</v>
      </c>
      <c r="AM282" s="897">
        <f t="shared" si="93"/>
        <v>190</v>
      </c>
      <c r="AN282" s="897">
        <f t="shared" si="94"/>
        <v>156</v>
      </c>
      <c r="AO282" s="897">
        <f t="shared" si="95"/>
        <v>-101</v>
      </c>
      <c r="AP282" s="897">
        <f t="shared" si="98"/>
        <v>-88.5</v>
      </c>
      <c r="AR282" s="936">
        <f t="shared" si="96"/>
        <v>-0.66732191816253683</v>
      </c>
      <c r="AS282" s="936">
        <f t="shared" si="82"/>
        <v>0.31380215031637426</v>
      </c>
      <c r="AT282" s="936">
        <f t="shared" si="83"/>
        <v>1.1086134668437724</v>
      </c>
      <c r="AU282" s="936">
        <f t="shared" si="100"/>
        <v>0.5890717042453788</v>
      </c>
      <c r="AV282" s="936">
        <f t="shared" si="101"/>
        <v>1.3441654032429886</v>
      </c>
      <c r="AW282" s="575">
        <f t="shared" si="102"/>
        <v>0</v>
      </c>
      <c r="AX282" s="936">
        <f t="shared" si="104"/>
        <v>1.3441654032429886</v>
      </c>
    </row>
    <row r="283" spans="1:50" s="87" customFormat="1" ht="13.5" customHeight="1" x14ac:dyDescent="0.2">
      <c r="A283" s="292"/>
      <c r="B283" s="329" t="str">
        <f>Sheet1!$K$27</f>
        <v>England</v>
      </c>
      <c r="C283" s="85"/>
      <c r="D283" s="330">
        <f>IF(AND(ISNUMBER(D33),ISNUMBER(D140)),D33-D140,NA())</f>
        <v>310</v>
      </c>
      <c r="E283" s="330">
        <f>IF(AND(ISNUMBER(E33),ISNUMBER(E140)),E33-E140,NA())</f>
        <v>1540</v>
      </c>
      <c r="F283" s="330">
        <f>IF(AND(ISNUMBER(F33),ISNUMBER(F140)),F33-F140,NA())</f>
        <v>2140</v>
      </c>
      <c r="G283" s="330">
        <f>IF(AND(ISNUMBER(G33),ISNUMBER(G140)),G33-G140,NA())</f>
        <v>2220</v>
      </c>
      <c r="H283" s="331">
        <f>IF(AND(ISNUMBER(H33),ISNUMBER(H140)),H33-H140,NA())</f>
        <v>1380</v>
      </c>
      <c r="I283" s="407">
        <f t="shared" si="87"/>
        <v>267.5</v>
      </c>
      <c r="J283" s="96"/>
      <c r="K283" s="332">
        <f>IF(ISNUMBER(D283),D283/Population!D33*10000,NA())</f>
        <v>0.26545868692144992</v>
      </c>
      <c r="L283" s="332">
        <f>IF(ISNUMBER(E283),E283/Population!E33*10000,NA())</f>
        <v>1.30671259959441</v>
      </c>
      <c r="M283" s="332">
        <f>IF(ISNUMBER(F283),F283/Population!F33*10000,NA())</f>
        <v>1.8033201314569816</v>
      </c>
      <c r="N283" s="332">
        <f>IF(ISNUMBER(G283),G283/Population!G33*10000,NA())</f>
        <v>1.8570257474110385</v>
      </c>
      <c r="O283" s="412">
        <f>IF(ISNUMBER(H283),H283/Population!H33*10000,NA())</f>
        <v>1.1477427725473237</v>
      </c>
      <c r="P283" s="99">
        <f t="shared" si="88"/>
        <v>1.1477427725473237</v>
      </c>
      <c r="Q283" s="337" t="str">
        <f t="shared" si="99"/>
        <v>--</v>
      </c>
      <c r="R283" s="70"/>
      <c r="S283" s="339">
        <f>IDACI!C32</f>
        <v>17.084413405029373</v>
      </c>
      <c r="T283" s="339">
        <f>((S283*$Z$294)+$AA$294)/$Y$2</f>
        <v>1.6424871722414558</v>
      </c>
      <c r="U283" s="624">
        <f t="shared" si="90"/>
        <v>-0.49474439969413209</v>
      </c>
      <c r="V283" s="122"/>
      <c r="W283" s="139"/>
      <c r="X283" s="1350"/>
      <c r="Y283" s="1400" t="str">
        <f t="shared" si="79"/>
        <v>England</v>
      </c>
      <c r="Z283" s="1401"/>
      <c r="AA283" s="1401"/>
      <c r="AB283" s="1402">
        <f>IF(D283&gt;0,Population!D309,"")</f>
        <v>0</v>
      </c>
      <c r="AC283" s="1402">
        <f>IF(E283&gt;0,Population!E309,"")</f>
        <v>0</v>
      </c>
      <c r="AD283" s="1402">
        <f>IF(F283&gt;0,Population!F309,"")</f>
        <v>0</v>
      </c>
      <c r="AE283" s="1402">
        <f>IF(G283&gt;0,Population!G309,"")</f>
        <v>0</v>
      </c>
      <c r="AF283" s="1354">
        <f>IF(H283&gt;0,Population!H309,"")</f>
        <v>0</v>
      </c>
      <c r="AG283" s="1351"/>
      <c r="AH283" s="1351"/>
      <c r="AI283" s="1341"/>
      <c r="AJ283" s="1351"/>
      <c r="AK283" s="1346"/>
      <c r="AL283" s="897">
        <f t="shared" si="92"/>
        <v>1230</v>
      </c>
      <c r="AM283" s="897">
        <f t="shared" si="93"/>
        <v>600</v>
      </c>
      <c r="AN283" s="897">
        <f t="shared" si="94"/>
        <v>80</v>
      </c>
      <c r="AO283" s="897">
        <f t="shared" si="95"/>
        <v>-840</v>
      </c>
      <c r="AP283" s="897">
        <f>AVERAGE(AL283:AO283)</f>
        <v>267.5</v>
      </c>
      <c r="AR283" s="936">
        <f t="shared" si="96"/>
        <v>1.30671259959441</v>
      </c>
      <c r="AS283" s="936">
        <f t="shared" si="82"/>
        <v>1.8033201314569816</v>
      </c>
      <c r="AT283" s="936">
        <f t="shared" si="83"/>
        <v>1.8570257474110385</v>
      </c>
      <c r="AU283" s="936">
        <f t="shared" si="100"/>
        <v>1.1477427725473237</v>
      </c>
      <c r="AV283" s="936">
        <f t="shared" si="101"/>
        <v>6.1148012510097542</v>
      </c>
      <c r="AW283" s="575">
        <f t="shared" si="102"/>
        <v>0</v>
      </c>
      <c r="AX283" s="936">
        <f t="shared" si="104"/>
        <v>6.1148012510097542</v>
      </c>
    </row>
    <row r="284" spans="1:50" s="81" customFormat="1" ht="13.5" customHeight="1" x14ac:dyDescent="0.2">
      <c r="A284" s="118"/>
      <c r="B284" s="123" t="s">
        <v>90</v>
      </c>
      <c r="C284" s="63"/>
      <c r="D284" s="63"/>
      <c r="E284" s="63"/>
      <c r="F284" s="63"/>
      <c r="G284" s="63"/>
      <c r="H284" s="63"/>
      <c r="I284" s="63"/>
      <c r="J284" s="63"/>
      <c r="K284" s="63"/>
      <c r="L284" s="63"/>
      <c r="M284" s="63"/>
      <c r="N284" s="63"/>
      <c r="O284" s="63"/>
      <c r="P284" s="63"/>
      <c r="Q284" s="136" t="s">
        <v>108</v>
      </c>
      <c r="S284" s="63"/>
      <c r="T284" s="63"/>
      <c r="U284" s="63"/>
      <c r="V284" s="117"/>
      <c r="W284" s="137"/>
      <c r="X284" s="1339"/>
      <c r="Y284" s="1403"/>
      <c r="Z284" s="1403"/>
      <c r="AA284" s="1403"/>
      <c r="AB284" s="1403"/>
      <c r="AC284" s="1403"/>
      <c r="AD284" s="1403"/>
      <c r="AE284" s="1403"/>
      <c r="AF284" s="1343"/>
      <c r="AG284" s="1343"/>
      <c r="AH284" s="1343"/>
      <c r="AI284" s="1340"/>
      <c r="AJ284" s="1343"/>
      <c r="AK284" s="1344"/>
    </row>
    <row r="285" spans="1:50" s="81" customFormat="1" ht="26.25" customHeight="1" x14ac:dyDescent="0.2">
      <c r="A285" s="118"/>
      <c r="B285" s="1923"/>
      <c r="C285" s="1763"/>
      <c r="D285" s="1763"/>
      <c r="E285" s="1763"/>
      <c r="F285" s="1763"/>
      <c r="G285" s="1763"/>
      <c r="H285" s="1763"/>
      <c r="I285" s="1763"/>
      <c r="J285" s="1763"/>
      <c r="K285" s="1763"/>
      <c r="L285" s="1763"/>
      <c r="M285" s="1763"/>
      <c r="N285" s="1763"/>
      <c r="O285" s="1763"/>
      <c r="P285" s="1763"/>
      <c r="Q285" s="1763"/>
      <c r="R285" s="1763"/>
      <c r="S285" s="1763"/>
      <c r="T285" s="1763"/>
      <c r="U285" s="1764"/>
      <c r="V285" s="117"/>
      <c r="W285" s="137"/>
      <c r="X285" s="1339"/>
      <c r="Y285" s="1403"/>
      <c r="Z285" s="1403"/>
      <c r="AA285" s="1403"/>
      <c r="AB285" s="1403"/>
      <c r="AC285" s="1403"/>
      <c r="AD285" s="1403"/>
      <c r="AE285" s="1403"/>
      <c r="AF285" s="1343"/>
      <c r="AG285" s="1343"/>
      <c r="AH285" s="1343"/>
      <c r="AI285" s="1340"/>
      <c r="AJ285" s="1343"/>
      <c r="AK285" s="1345"/>
      <c r="AL285" s="74"/>
      <c r="AM285" s="74"/>
      <c r="AN285" s="74"/>
      <c r="AO285" s="74"/>
      <c r="AP285" s="74"/>
      <c r="AQ285" s="74"/>
      <c r="AR285" s="74"/>
    </row>
    <row r="286" spans="1:50" s="81" customFormat="1" ht="7.5" customHeight="1" x14ac:dyDescent="0.2">
      <c r="A286" s="118"/>
      <c r="B286" s="17"/>
      <c r="C286" s="17"/>
      <c r="D286" s="16"/>
      <c r="E286" s="16"/>
      <c r="F286" s="16"/>
      <c r="G286" s="16"/>
      <c r="H286" s="16"/>
      <c r="I286" s="16"/>
      <c r="J286" s="12"/>
      <c r="K286" s="18"/>
      <c r="L286" s="18"/>
      <c r="M286" s="18"/>
      <c r="N286" s="18"/>
      <c r="O286" s="18"/>
      <c r="P286" s="18"/>
      <c r="Q286" s="18"/>
      <c r="R286" s="18"/>
      <c r="S286" s="18"/>
      <c r="T286" s="18"/>
      <c r="U286" s="19"/>
      <c r="V286" s="117"/>
      <c r="W286" s="137"/>
      <c r="X286" s="1339"/>
      <c r="Y286" s="1392"/>
      <c r="Z286" s="1399"/>
      <c r="AA286" s="1392"/>
      <c r="AB286" s="1392"/>
      <c r="AC286" s="1392"/>
      <c r="AD286" s="1392"/>
      <c r="AE286" s="1392"/>
      <c r="AF286" s="1340"/>
      <c r="AG286" s="1340"/>
      <c r="AH286" s="1340"/>
      <c r="AI286" s="1340"/>
      <c r="AJ286" s="1343"/>
      <c r="AK286" s="1345"/>
      <c r="AL286" s="74"/>
      <c r="AM286" s="74"/>
      <c r="AN286" s="74"/>
      <c r="AO286" s="74"/>
      <c r="AP286" s="74"/>
      <c r="AQ286" s="74"/>
      <c r="AR286" s="74"/>
    </row>
    <row r="287" spans="1:50" s="81" customFormat="1" ht="15" customHeight="1" x14ac:dyDescent="0.2">
      <c r="A287" s="1716"/>
      <c r="B287" s="1760"/>
      <c r="C287" s="1760"/>
      <c r="D287" s="1760"/>
      <c r="E287" s="1760"/>
      <c r="F287" s="1760"/>
      <c r="G287" s="1760"/>
      <c r="H287" s="1760"/>
      <c r="I287" s="1760"/>
      <c r="J287" s="1760"/>
      <c r="K287" s="1760"/>
      <c r="L287" s="1760"/>
      <c r="M287" s="1760"/>
      <c r="N287" s="1760"/>
      <c r="O287" s="1760"/>
      <c r="P287" s="1760"/>
      <c r="Q287" s="1760"/>
      <c r="R287" s="1760"/>
      <c r="S287" s="1760"/>
      <c r="T287" s="1760"/>
      <c r="U287" s="1760"/>
      <c r="V287" s="1761"/>
      <c r="W287" s="137"/>
      <c r="X287" s="1339"/>
      <c r="Y287" s="1392"/>
      <c r="Z287" s="1399"/>
      <c r="AA287" s="1392"/>
      <c r="AB287" s="1392"/>
      <c r="AC287" s="1392"/>
      <c r="AD287" s="1392"/>
      <c r="AE287" s="1392"/>
      <c r="AF287" s="1340"/>
      <c r="AG287" s="1340"/>
      <c r="AH287" s="1340"/>
      <c r="AI287" s="1340"/>
      <c r="AJ287" s="1340"/>
      <c r="AK287" s="1344"/>
      <c r="AM287" s="81">
        <f>COLUMNS($B$4:K$4)</f>
        <v>10</v>
      </c>
      <c r="AN287" s="81">
        <f>COLUMNS($B$4:L$4)</f>
        <v>11</v>
      </c>
      <c r="AO287" s="81">
        <f>COLUMNS($B$4:M$4)</f>
        <v>12</v>
      </c>
      <c r="AP287" s="81">
        <f>COLUMNS($B$4:N$4)</f>
        <v>13</v>
      </c>
      <c r="AQ287" s="81">
        <f>COLUMNS($B$4:O$4)</f>
        <v>14</v>
      </c>
      <c r="AR287" s="81">
        <f>COLUMNS($B$4:S$4)</f>
        <v>18</v>
      </c>
    </row>
    <row r="288" spans="1:50" s="81" customFormat="1" ht="11.25" customHeight="1" x14ac:dyDescent="0.2">
      <c r="A288" s="1765" t="str">
        <f>Home!$A$39</f>
        <v xml:space="preserve"> </v>
      </c>
      <c r="B288" s="1766"/>
      <c r="C288" s="1766"/>
      <c r="D288" s="1766"/>
      <c r="E288" s="1766"/>
      <c r="F288" s="1766"/>
      <c r="G288" s="1766"/>
      <c r="H288" s="1766"/>
      <c r="I288" s="1767"/>
      <c r="J288" s="1766"/>
      <c r="K288" s="1766"/>
      <c r="L288" s="1766"/>
      <c r="M288" s="1766"/>
      <c r="N288" s="1766"/>
      <c r="O288" s="1766"/>
      <c r="P288" s="1768"/>
      <c r="Q288" s="1766"/>
      <c r="R288" s="1766"/>
      <c r="S288" s="1766"/>
      <c r="T288" s="1767"/>
      <c r="U288" s="1766"/>
      <c r="V288" s="1769"/>
      <c r="W288" s="137"/>
      <c r="X288" s="1339"/>
      <c r="Y288" s="1392"/>
      <c r="Z288" s="1399"/>
      <c r="AA288" s="1392"/>
      <c r="AB288" s="1392"/>
      <c r="AC288" s="1392"/>
      <c r="AD288" s="1392"/>
      <c r="AE288" s="1392"/>
      <c r="AF288" s="1340"/>
      <c r="AG288" s="1340"/>
      <c r="AH288" s="1340"/>
      <c r="AI288" s="1340"/>
      <c r="AJ288" s="1343"/>
      <c r="AK288" s="1346"/>
      <c r="AL288" s="87"/>
      <c r="AM288" s="945" t="s">
        <v>89</v>
      </c>
      <c r="AN288" s="946"/>
      <c r="AO288" s="946"/>
      <c r="AP288" s="946"/>
      <c r="AQ288" s="946"/>
      <c r="AR288" s="945" t="s">
        <v>1213</v>
      </c>
    </row>
    <row r="289" spans="1:69" s="81" customFormat="1" ht="11.25" customHeight="1" x14ac:dyDescent="0.2">
      <c r="A289" s="112"/>
      <c r="B289" s="113"/>
      <c r="C289" s="113"/>
      <c r="D289" s="113"/>
      <c r="E289" s="113"/>
      <c r="F289" s="113"/>
      <c r="G289" s="113"/>
      <c r="H289" s="113"/>
      <c r="I289" s="113"/>
      <c r="J289" s="114"/>
      <c r="K289" s="113"/>
      <c r="L289" s="113"/>
      <c r="M289" s="113"/>
      <c r="N289" s="113"/>
      <c r="O289" s="113"/>
      <c r="P289" s="113"/>
      <c r="Q289" s="113"/>
      <c r="R289" s="113"/>
      <c r="S289" s="113"/>
      <c r="T289" s="113"/>
      <c r="U289" s="113"/>
      <c r="V289" s="115"/>
      <c r="W289" s="137"/>
      <c r="X289" s="1358" t="s">
        <v>101</v>
      </c>
      <c r="Y289" s="1413"/>
      <c r="Z289" s="1413"/>
      <c r="AA289" s="1413"/>
      <c r="AB289" s="1413"/>
      <c r="AC289" s="1413"/>
      <c r="AD289" s="1392"/>
      <c r="AE289" s="1392"/>
      <c r="AF289" s="1340"/>
      <c r="AG289" s="1340"/>
      <c r="AH289" s="1340"/>
      <c r="AI289" s="1340"/>
      <c r="AJ289" s="1343"/>
      <c r="AK289" s="1346"/>
      <c r="AL289" s="87"/>
      <c r="AM289" s="945" t="str">
        <f>IF(Sheet1!$C$3="Annual","",Sheet1!AQ293)</f>
        <v/>
      </c>
      <c r="AN289" s="945" t="str">
        <f>IF(Sheet1!$C$3="Annual","",Sheet1!AR293)</f>
        <v/>
      </c>
      <c r="AO289" s="945" t="str">
        <f>IF(Sheet1!$C$3="Annual","",Sheet1!AS293)</f>
        <v/>
      </c>
      <c r="AP289" s="945" t="str">
        <f>IF(Sheet1!$C$3="Annual","",Sheet1!AT293)</f>
        <v/>
      </c>
      <c r="AQ289" s="945" t="str">
        <f>IF(Sheet1!$C$3="Annual","",Sheet1!AU293)</f>
        <v/>
      </c>
      <c r="AR289" s="946"/>
    </row>
    <row r="290" spans="1:69" s="81" customFormat="1" ht="3.75" customHeight="1" x14ac:dyDescent="0.25">
      <c r="A290" s="116"/>
      <c r="B290" s="9"/>
      <c r="C290" s="9"/>
      <c r="D290" s="9"/>
      <c r="E290" s="9"/>
      <c r="F290" s="9"/>
      <c r="G290" s="9"/>
      <c r="H290" s="9"/>
      <c r="I290" s="9"/>
      <c r="J290" s="12"/>
      <c r="K290" s="9"/>
      <c r="L290" s="9"/>
      <c r="M290" s="9"/>
      <c r="N290" s="9"/>
      <c r="O290" s="9"/>
      <c r="P290" s="9"/>
      <c r="Q290" s="9"/>
      <c r="R290" s="9"/>
      <c r="S290" s="9"/>
      <c r="T290" s="9"/>
      <c r="U290" s="9"/>
      <c r="V290" s="117"/>
      <c r="W290" s="137"/>
      <c r="X290" s="1359"/>
      <c r="Y290" s="1392"/>
      <c r="Z290" s="1392"/>
      <c r="AA290" s="1392"/>
      <c r="AB290" s="1392"/>
      <c r="AC290" s="1392"/>
      <c r="AD290" s="631" t="s">
        <v>977</v>
      </c>
      <c r="AE290" s="1392"/>
      <c r="AF290" s="1340"/>
      <c r="AG290" s="1340"/>
      <c r="AH290" s="1340"/>
      <c r="AI290" s="1340"/>
      <c r="AJ290" s="1340"/>
      <c r="AK290" s="1346"/>
      <c r="AL290" s="87"/>
      <c r="AM290" s="945" t="str">
        <f>Sheet1!$D$27</f>
        <v>2015-16</v>
      </c>
      <c r="AN290" s="945" t="str">
        <f>Sheet1!$E$27</f>
        <v>2016-17</v>
      </c>
      <c r="AO290" s="945" t="str">
        <f>Sheet1!$F$27</f>
        <v>2017-18</v>
      </c>
      <c r="AP290" s="945" t="str">
        <f>Sheet1!$G$27</f>
        <v>2018-19</v>
      </c>
      <c r="AQ290" s="945" t="str">
        <f>Sheet1!$H$27</f>
        <v>2019-20</v>
      </c>
      <c r="AR290" s="946"/>
    </row>
    <row r="291" spans="1:69" s="81" customFormat="1" ht="14.25" customHeight="1" x14ac:dyDescent="0.2">
      <c r="A291" s="118"/>
      <c r="B291" s="9"/>
      <c r="C291" s="9"/>
      <c r="D291" s="9"/>
      <c r="E291" s="9"/>
      <c r="F291" s="9"/>
      <c r="G291" s="9"/>
      <c r="H291" s="9"/>
      <c r="I291" s="9"/>
      <c r="J291" s="12"/>
      <c r="K291" s="9"/>
      <c r="L291" s="9"/>
      <c r="M291" s="9"/>
      <c r="N291" s="9"/>
      <c r="O291" s="9"/>
      <c r="P291" s="9"/>
      <c r="Q291" s="9"/>
      <c r="R291" s="9"/>
      <c r="S291" s="9"/>
      <c r="T291" s="9"/>
      <c r="U291" s="9"/>
      <c r="V291" s="117"/>
      <c r="W291" s="137"/>
      <c r="X291" s="1359"/>
      <c r="Y291" s="1404" t="s">
        <v>72</v>
      </c>
      <c r="Z291" s="1404" t="s">
        <v>70</v>
      </c>
      <c r="AA291" s="1404" t="s">
        <v>71</v>
      </c>
      <c r="AB291" s="1405">
        <v>5</v>
      </c>
      <c r="AC291" s="1406">
        <f>(AB291*Z292)+AA292</f>
        <v>-2.4160414181063237</v>
      </c>
      <c r="AD291" s="1407">
        <f>ROUND(ChartLabels!$AA19,3)</f>
        <v>6.6000000000000003E-2</v>
      </c>
      <c r="AE291" s="1392"/>
      <c r="AF291" s="1340"/>
      <c r="AG291" s="1340"/>
      <c r="AH291" s="1340"/>
      <c r="AI291" s="1340"/>
      <c r="AJ291" s="1360" t="b">
        <f t="shared" ref="AJ291:AJ314" si="106">AJ148</f>
        <v>1</v>
      </c>
      <c r="AK291" s="1346" t="s">
        <v>0</v>
      </c>
      <c r="AL291" s="87" t="str">
        <f t="shared" ref="AL291:AL314" si="107">IF(AJ291=TRUE,B260,"")</f>
        <v>Bracknell Forest</v>
      </c>
      <c r="AM291" s="146">
        <f t="shared" ref="AM291:AR300" si="108">VLOOKUP($AL291,$B$260:$S$283,AM$144,FALSE)</f>
        <v>-2.8368794326241136</v>
      </c>
      <c r="AN291" s="146">
        <f t="shared" si="108"/>
        <v>6.3829787234042552</v>
      </c>
      <c r="AO291" s="146">
        <f t="shared" si="108"/>
        <v>6.04982206405694</v>
      </c>
      <c r="AP291" s="146">
        <f t="shared" si="108"/>
        <v>6.7137809187279149</v>
      </c>
      <c r="AQ291" s="146">
        <f t="shared" si="108"/>
        <v>-5.28169014084507</v>
      </c>
      <c r="AR291" s="146">
        <f t="shared" si="108"/>
        <v>8.9</v>
      </c>
    </row>
    <row r="292" spans="1:69" s="81" customFormat="1" ht="14.25" customHeight="1" x14ac:dyDescent="0.2">
      <c r="A292" s="118"/>
      <c r="B292" s="9"/>
      <c r="C292" s="9"/>
      <c r="D292" s="9"/>
      <c r="E292" s="9"/>
      <c r="F292" s="9"/>
      <c r="G292" s="9"/>
      <c r="H292" s="9"/>
      <c r="I292" s="9"/>
      <c r="J292" s="12"/>
      <c r="K292" s="9"/>
      <c r="L292" s="9"/>
      <c r="M292" s="9"/>
      <c r="N292" s="9"/>
      <c r="O292" s="9"/>
      <c r="P292" s="9"/>
      <c r="Q292" s="9"/>
      <c r="R292" s="9"/>
      <c r="S292" s="9"/>
      <c r="T292" s="9"/>
      <c r="U292" s="9"/>
      <c r="V292" s="117"/>
      <c r="W292" s="137"/>
      <c r="X292" s="1359"/>
      <c r="Y292" s="580" t="str">
        <f>"Y= "&amp;Z292&amp;"x + "&amp;AA292</f>
        <v>Y= 0.216502389932248x + -3.49855336776756</v>
      </c>
      <c r="Z292" s="1408">
        <f>ChartLabels!$Y19</f>
        <v>0.21650238993224805</v>
      </c>
      <c r="AA292" s="1408">
        <f>ChartLabels!$Z19</f>
        <v>-3.4985533677675642</v>
      </c>
      <c r="AB292" s="1407">
        <v>35</v>
      </c>
      <c r="AC292" s="1406">
        <f>(AB292*Z292)+AA292</f>
        <v>4.0790302798611178</v>
      </c>
      <c r="AD292" s="1407" t="str">
        <f>AD290&amp;" = "&amp;AD291</f>
        <v>r² = 0.066</v>
      </c>
      <c r="AE292" s="1392"/>
      <c r="AF292" s="1340"/>
      <c r="AG292" s="1340"/>
      <c r="AH292" s="1340"/>
      <c r="AI292" s="1340"/>
      <c r="AJ292" s="1360" t="b">
        <f t="shared" si="106"/>
        <v>1</v>
      </c>
      <c r="AK292" s="1346" t="s">
        <v>31</v>
      </c>
      <c r="AL292" s="87" t="str">
        <f t="shared" si="107"/>
        <v>Brighton &amp; Hove</v>
      </c>
      <c r="AM292" s="146">
        <f t="shared" si="108"/>
        <v>-8.0078125</v>
      </c>
      <c r="AN292" s="146">
        <f t="shared" si="108"/>
        <v>2.9239766081871346</v>
      </c>
      <c r="AO292" s="146">
        <f t="shared" si="108"/>
        <v>-7.0588235294117654</v>
      </c>
      <c r="AP292" s="146">
        <f t="shared" si="108"/>
        <v>-5.8823529411764701</v>
      </c>
      <c r="AQ292" s="146">
        <f t="shared" si="108"/>
        <v>-4.7713717693836983</v>
      </c>
      <c r="AR292" s="146">
        <f t="shared" si="108"/>
        <v>15.299999999999999</v>
      </c>
      <c r="AY292" s="348"/>
      <c r="AZ292" s="348"/>
      <c r="BA292" s="348"/>
      <c r="BB292" s="348"/>
      <c r="BC292" s="348"/>
      <c r="BD292" s="348"/>
      <c r="BE292" s="348"/>
      <c r="BF292" s="348"/>
      <c r="BG292" s="348"/>
      <c r="BH292" s="348"/>
      <c r="BI292" s="348"/>
      <c r="BJ292" s="348"/>
      <c r="BK292" s="348"/>
      <c r="BL292" s="348"/>
      <c r="BM292" s="348"/>
      <c r="BN292" s="348"/>
      <c r="BO292" s="348"/>
      <c r="BP292" s="348"/>
      <c r="BQ292" s="348"/>
    </row>
    <row r="293" spans="1:69" ht="14.25" customHeight="1" x14ac:dyDescent="0.2">
      <c r="A293" s="118"/>
      <c r="B293" s="9"/>
      <c r="C293" s="9"/>
      <c r="D293" s="9"/>
      <c r="E293" s="9"/>
      <c r="F293" s="9"/>
      <c r="G293" s="9"/>
      <c r="H293" s="9"/>
      <c r="I293" s="9"/>
      <c r="J293" s="12"/>
      <c r="K293" s="9"/>
      <c r="L293" s="9"/>
      <c r="M293" s="9"/>
      <c r="N293" s="9"/>
      <c r="O293" s="9"/>
      <c r="P293" s="9"/>
      <c r="Q293" s="9"/>
      <c r="R293" s="9"/>
      <c r="S293" s="9"/>
      <c r="T293" s="9"/>
      <c r="U293" s="9"/>
      <c r="V293" s="117"/>
      <c r="W293" s="137"/>
      <c r="X293" s="1359"/>
      <c r="Y293" s="1404" t="str">
        <f>"National Trend "&amp;Sheet1!$B$8</f>
        <v>National Trend 2020</v>
      </c>
      <c r="Z293" s="1409" t="s">
        <v>70</v>
      </c>
      <c r="AA293" s="1404" t="s">
        <v>71</v>
      </c>
      <c r="AB293" s="1405">
        <v>5</v>
      </c>
      <c r="AC293" s="1410">
        <f>(AB293*Z294)+AA294</f>
        <v>-1.5101356203874257</v>
      </c>
      <c r="AD293" s="1319" t="str">
        <f>$AD$40&amp;" = "&amp;AD294</f>
        <v>r² = 0.05</v>
      </c>
      <c r="AF293" s="1340"/>
      <c r="AG293" s="1340"/>
      <c r="AH293" s="1340"/>
      <c r="AI293" s="1340"/>
      <c r="AJ293" s="1360" t="b">
        <f t="shared" si="106"/>
        <v>1</v>
      </c>
      <c r="AK293" s="1346" t="s">
        <v>8</v>
      </c>
      <c r="AL293" s="87" t="str">
        <f t="shared" si="107"/>
        <v>Buckinghamshire</v>
      </c>
      <c r="AM293" s="146">
        <f t="shared" si="108"/>
        <v>1.8242122719734659</v>
      </c>
      <c r="AN293" s="146">
        <f t="shared" si="108"/>
        <v>-0.65466448445171854</v>
      </c>
      <c r="AO293" s="146">
        <f t="shared" si="108"/>
        <v>1.0560519902518279</v>
      </c>
      <c r="AP293" s="146">
        <f t="shared" si="108"/>
        <v>3.1375703942075623</v>
      </c>
      <c r="AQ293" s="146">
        <f t="shared" si="108"/>
        <v>-2.5457438345266503</v>
      </c>
      <c r="AR293" s="146">
        <f t="shared" si="108"/>
        <v>8.5</v>
      </c>
      <c r="AS293" s="81"/>
      <c r="AT293" s="81"/>
      <c r="AU293" s="81"/>
      <c r="AV293" s="81"/>
      <c r="AW293" s="81"/>
      <c r="AX293" s="81"/>
      <c r="AY293" s="348"/>
      <c r="AZ293" s="348"/>
      <c r="BA293" s="348"/>
      <c r="BB293" s="348"/>
      <c r="BC293" s="348"/>
      <c r="BD293" s="348"/>
      <c r="BE293" s="348"/>
      <c r="BF293" s="348"/>
      <c r="BG293" s="348"/>
      <c r="BH293" s="348"/>
      <c r="BI293" s="348"/>
      <c r="BJ293" s="348"/>
      <c r="BK293" s="348"/>
      <c r="BL293" s="348"/>
      <c r="BM293" s="348"/>
      <c r="BN293" s="348"/>
      <c r="BO293" s="348"/>
      <c r="BP293" s="348"/>
      <c r="BQ293" s="348"/>
    </row>
    <row r="294" spans="1:69" ht="14.25" customHeight="1" x14ac:dyDescent="0.2">
      <c r="A294" s="118"/>
      <c r="B294" s="9"/>
      <c r="C294" s="9"/>
      <c r="D294" s="9"/>
      <c r="E294" s="9"/>
      <c r="F294" s="9"/>
      <c r="G294" s="9"/>
      <c r="H294" s="9"/>
      <c r="I294" s="9"/>
      <c r="J294" s="12"/>
      <c r="K294" s="13"/>
      <c r="L294" s="13"/>
      <c r="M294" s="13"/>
      <c r="N294" s="13"/>
      <c r="O294" s="14"/>
      <c r="P294" s="14"/>
      <c r="Q294" s="14"/>
      <c r="R294" s="14"/>
      <c r="S294" s="14"/>
      <c r="T294" s="14"/>
      <c r="U294" s="14"/>
      <c r="V294" s="117"/>
      <c r="W294" s="137"/>
      <c r="X294" s="1359"/>
      <c r="Y294" s="1400" t="str">
        <f>"Y= "&amp;Z294&amp;"x + "&amp;AA294</f>
        <v>Y= 0.26088339474689x + -2.81455259412187</v>
      </c>
      <c r="Z294" s="1411">
        <f>Sheet1!$E$15</f>
        <v>0.26088339474688954</v>
      </c>
      <c r="AA294" s="1412">
        <f>Sheet1!$E$16</f>
        <v>-2.8145525941218734</v>
      </c>
      <c r="AB294" s="1407">
        <v>35</v>
      </c>
      <c r="AC294" s="1406">
        <f>(AB294*Z294)+AA294</f>
        <v>6.3163662220192611</v>
      </c>
      <c r="AD294" s="1195">
        <f>ROUND(Sheet1!$E$17,3)</f>
        <v>0.05</v>
      </c>
      <c r="AF294" s="1340"/>
      <c r="AG294" s="1340"/>
      <c r="AH294" s="1340"/>
      <c r="AI294" s="1340"/>
      <c r="AJ294" s="1360" t="b">
        <f t="shared" si="106"/>
        <v>1</v>
      </c>
      <c r="AK294" s="1346" t="s">
        <v>4</v>
      </c>
      <c r="AL294" s="87" t="str">
        <f t="shared" si="107"/>
        <v>East Sussex</v>
      </c>
      <c r="AM294" s="146">
        <f t="shared" si="108"/>
        <v>-0.75542965061378664</v>
      </c>
      <c r="AN294" s="146">
        <f t="shared" si="108"/>
        <v>1.2275731822474032</v>
      </c>
      <c r="AO294" s="146">
        <f t="shared" si="108"/>
        <v>3.8679245283018866</v>
      </c>
      <c r="AP294" s="146">
        <f t="shared" si="108"/>
        <v>0</v>
      </c>
      <c r="AQ294" s="146">
        <f t="shared" si="108"/>
        <v>-0.18814675446848542</v>
      </c>
      <c r="AR294" s="146">
        <f t="shared" si="108"/>
        <v>16.100000000000001</v>
      </c>
      <c r="AS294" s="81"/>
      <c r="AT294" s="81"/>
      <c r="AU294" s="81"/>
      <c r="AV294" s="81"/>
      <c r="AW294" s="81"/>
      <c r="AX294" s="81"/>
      <c r="AY294" s="348"/>
      <c r="AZ294" s="348"/>
      <c r="BA294" s="348"/>
      <c r="BB294" s="348"/>
      <c r="BC294" s="348"/>
      <c r="BD294" s="348"/>
      <c r="BE294" s="348"/>
      <c r="BF294" s="348"/>
      <c r="BG294" s="348"/>
      <c r="BH294" s="348"/>
      <c r="BI294" s="348"/>
      <c r="BJ294" s="348"/>
      <c r="BK294" s="348"/>
      <c r="BL294" s="348"/>
      <c r="BM294" s="348"/>
      <c r="BN294" s="348"/>
      <c r="BO294" s="348"/>
      <c r="BP294" s="348"/>
      <c r="BQ294" s="348"/>
    </row>
    <row r="295" spans="1:69" s="76" customFormat="1" ht="14.25" customHeight="1" x14ac:dyDescent="0.2">
      <c r="A295" s="119"/>
      <c r="B295" s="226"/>
      <c r="C295" s="226"/>
      <c r="D295" s="227"/>
      <c r="E295" s="227"/>
      <c r="F295" s="227"/>
      <c r="G295" s="227"/>
      <c r="H295" s="227"/>
      <c r="I295" s="227"/>
      <c r="J295" s="15"/>
      <c r="K295" s="9"/>
      <c r="L295" s="9"/>
      <c r="M295" s="9"/>
      <c r="N295" s="9"/>
      <c r="O295" s="9"/>
      <c r="P295" s="9"/>
      <c r="Q295" s="9"/>
      <c r="R295" s="9"/>
      <c r="S295" s="9"/>
      <c r="T295" s="9"/>
      <c r="U295" s="9"/>
      <c r="V295" s="120"/>
      <c r="W295" s="138"/>
      <c r="X295" s="1361"/>
      <c r="Y295" s="1420"/>
      <c r="Z295" s="1420"/>
      <c r="AA295" s="1420"/>
      <c r="AB295" s="1420"/>
      <c r="AC295" s="1420"/>
      <c r="AD295" s="1392"/>
      <c r="AE295" s="1392"/>
      <c r="AF295" s="1340"/>
      <c r="AG295" s="1340"/>
      <c r="AH295" s="1340"/>
      <c r="AI295" s="1340"/>
      <c r="AJ295" s="1360" t="b">
        <f t="shared" si="106"/>
        <v>1</v>
      </c>
      <c r="AK295" s="1346" t="s">
        <v>6</v>
      </c>
      <c r="AL295" s="87" t="str">
        <f t="shared" si="107"/>
        <v>Hampshire</v>
      </c>
      <c r="AM295" s="146">
        <f t="shared" si="108"/>
        <v>-1.3479957431713374</v>
      </c>
      <c r="AN295" s="146">
        <f t="shared" si="108"/>
        <v>4.0664780763790667</v>
      </c>
      <c r="AO295" s="146">
        <f t="shared" si="108"/>
        <v>5.047652665019414</v>
      </c>
      <c r="AP295" s="146">
        <f t="shared" si="108"/>
        <v>2.0774647887323945</v>
      </c>
      <c r="AQ295" s="146">
        <f t="shared" si="108"/>
        <v>-2.6380583890256775</v>
      </c>
      <c r="AR295" s="146">
        <f t="shared" si="108"/>
        <v>10.100000000000001</v>
      </c>
      <c r="AS295" s="81"/>
      <c r="AT295" s="81"/>
      <c r="AU295" s="81"/>
      <c r="AV295" s="81"/>
      <c r="AW295" s="81"/>
      <c r="AX295" s="81"/>
      <c r="AY295" s="348"/>
      <c r="AZ295" s="348"/>
      <c r="BA295" s="348"/>
      <c r="BB295" s="348"/>
      <c r="BC295" s="348"/>
      <c r="BD295" s="348"/>
      <c r="BE295" s="348"/>
      <c r="BF295" s="348"/>
      <c r="BG295" s="348"/>
      <c r="BH295" s="348"/>
      <c r="BI295" s="348"/>
      <c r="BJ295" s="348"/>
      <c r="BK295" s="348"/>
      <c r="BL295" s="348"/>
      <c r="BM295" s="348"/>
      <c r="BN295" s="348"/>
      <c r="BO295" s="348"/>
      <c r="BP295" s="348"/>
      <c r="BQ295" s="348"/>
    </row>
    <row r="296" spans="1:69" ht="14.25" customHeight="1" x14ac:dyDescent="0.2">
      <c r="A296" s="118"/>
      <c r="B296" s="227"/>
      <c r="C296" s="227"/>
      <c r="D296" s="227"/>
      <c r="E296" s="227"/>
      <c r="F296" s="227"/>
      <c r="G296" s="227"/>
      <c r="H296" s="227"/>
      <c r="I296" s="227"/>
      <c r="J296" s="12"/>
      <c r="K296" s="14"/>
      <c r="L296" s="14"/>
      <c r="M296" s="14"/>
      <c r="N296" s="14"/>
      <c r="O296" s="9"/>
      <c r="P296" s="9"/>
      <c r="Q296" s="9"/>
      <c r="R296" s="9"/>
      <c r="S296" s="9"/>
      <c r="T296" s="9"/>
      <c r="U296" s="9"/>
      <c r="V296" s="117"/>
      <c r="W296" s="137"/>
      <c r="X296" s="1359"/>
      <c r="AF296" s="1340"/>
      <c r="AG296" s="1340"/>
      <c r="AH296" s="1340"/>
      <c r="AI296" s="1340"/>
      <c r="AJ296" s="1360" t="b">
        <f t="shared" si="106"/>
        <v>1</v>
      </c>
      <c r="AK296" s="1346" t="s">
        <v>1</v>
      </c>
      <c r="AL296" s="87" t="str">
        <f t="shared" si="107"/>
        <v>Isle of Wight</v>
      </c>
      <c r="AM296" s="146">
        <f t="shared" si="108"/>
        <v>0</v>
      </c>
      <c r="AN296" s="146">
        <f t="shared" si="108"/>
        <v>9.1269841269841283</v>
      </c>
      <c r="AO296" s="146">
        <f t="shared" si="108"/>
        <v>-2.3904382470119523</v>
      </c>
      <c r="AP296" s="146">
        <f t="shared" si="108"/>
        <v>5.2208835341365463</v>
      </c>
      <c r="AQ296" s="146">
        <f t="shared" si="108"/>
        <v>7.6923076923076925</v>
      </c>
      <c r="AR296" s="146">
        <f t="shared" si="108"/>
        <v>18</v>
      </c>
      <c r="AS296" s="81"/>
      <c r="AT296" s="81"/>
      <c r="AU296" s="81"/>
      <c r="AV296" s="81"/>
      <c r="AW296" s="81"/>
      <c r="AX296" s="81"/>
      <c r="AY296" s="348"/>
      <c r="AZ296" s="348"/>
      <c r="BA296" s="348"/>
      <c r="BB296" s="348"/>
      <c r="BC296" s="348"/>
      <c r="BD296" s="348"/>
      <c r="BE296" s="348"/>
      <c r="BF296" s="348"/>
      <c r="BG296" s="348"/>
      <c r="BH296" s="348"/>
      <c r="BI296" s="348"/>
      <c r="BJ296" s="348"/>
      <c r="BK296" s="348"/>
      <c r="BL296" s="348"/>
      <c r="BM296" s="348"/>
      <c r="BN296" s="348"/>
      <c r="BO296" s="348"/>
      <c r="BP296" s="348"/>
      <c r="BQ296" s="348"/>
    </row>
    <row r="297" spans="1:69" ht="14.25" customHeight="1" x14ac:dyDescent="0.2">
      <c r="A297" s="118"/>
      <c r="B297" s="227"/>
      <c r="C297" s="227"/>
      <c r="D297" s="227"/>
      <c r="E297" s="227"/>
      <c r="F297" s="227"/>
      <c r="G297" s="227"/>
      <c r="H297" s="227"/>
      <c r="I297" s="227"/>
      <c r="J297" s="12"/>
      <c r="K297" s="14"/>
      <c r="L297" s="14"/>
      <c r="M297" s="14"/>
      <c r="N297" s="14"/>
      <c r="O297" s="9"/>
      <c r="P297" s="9"/>
      <c r="Q297" s="9"/>
      <c r="R297" s="9"/>
      <c r="S297" s="9"/>
      <c r="T297" s="9"/>
      <c r="U297" s="9"/>
      <c r="V297" s="117"/>
      <c r="W297" s="137"/>
      <c r="X297" s="1359"/>
      <c r="AD297" s="1413"/>
      <c r="AF297" s="1340"/>
      <c r="AG297" s="1340"/>
      <c r="AH297" s="1340"/>
      <c r="AI297" s="1340"/>
      <c r="AJ297" s="1360" t="b">
        <f t="shared" si="106"/>
        <v>1</v>
      </c>
      <c r="AK297" s="1346" t="s">
        <v>9</v>
      </c>
      <c r="AL297" s="87" t="str">
        <f t="shared" si="107"/>
        <v>Kent</v>
      </c>
      <c r="AM297" s="146">
        <f t="shared" si="108"/>
        <v>12.86319612590799</v>
      </c>
      <c r="AN297" s="146">
        <f t="shared" si="108"/>
        <v>-12.792792792792794</v>
      </c>
      <c r="AO297" s="146">
        <f t="shared" si="108"/>
        <v>-8.3606069622136268</v>
      </c>
      <c r="AP297" s="146">
        <f t="shared" si="108"/>
        <v>-1.9700088209350191</v>
      </c>
      <c r="AQ297" s="146">
        <f t="shared" si="108"/>
        <v>6.0500290866783013</v>
      </c>
      <c r="AR297" s="146">
        <f t="shared" si="108"/>
        <v>15.8</v>
      </c>
      <c r="AS297" s="81"/>
      <c r="AT297" s="81"/>
      <c r="AU297" s="81"/>
      <c r="AV297" s="81"/>
      <c r="AW297" s="81"/>
      <c r="AX297" s="81"/>
      <c r="AY297" s="348"/>
      <c r="AZ297" s="348"/>
      <c r="BA297" s="348"/>
      <c r="BB297" s="348"/>
      <c r="BC297" s="348"/>
      <c r="BD297" s="348"/>
      <c r="BE297" s="348"/>
      <c r="BF297" s="348"/>
      <c r="BG297" s="348"/>
      <c r="BH297" s="348"/>
      <c r="BI297" s="348"/>
      <c r="BJ297" s="348"/>
      <c r="BK297" s="348"/>
      <c r="BL297" s="348"/>
      <c r="BM297" s="348"/>
      <c r="BN297" s="348"/>
      <c r="BO297" s="348"/>
      <c r="BP297" s="348"/>
      <c r="BQ297" s="348"/>
    </row>
    <row r="298" spans="1:69" ht="14.25" customHeight="1" x14ac:dyDescent="0.2">
      <c r="A298" s="118"/>
      <c r="B298" s="58"/>
      <c r="C298" s="58"/>
      <c r="D298" s="58"/>
      <c r="E298" s="58"/>
      <c r="F298" s="58"/>
      <c r="G298" s="58"/>
      <c r="H298" s="58"/>
      <c r="I298" s="58"/>
      <c r="J298" s="12"/>
      <c r="K298" s="14"/>
      <c r="L298" s="14"/>
      <c r="M298" s="14"/>
      <c r="N298" s="14"/>
      <c r="O298" s="9"/>
      <c r="P298" s="9"/>
      <c r="Q298" s="9"/>
      <c r="R298" s="9"/>
      <c r="S298" s="9"/>
      <c r="T298" s="9"/>
      <c r="U298" s="9"/>
      <c r="V298" s="117"/>
      <c r="W298" s="137"/>
      <c r="X298" s="1359"/>
      <c r="AD298" s="1403"/>
      <c r="AF298" s="1340"/>
      <c r="AG298" s="1340"/>
      <c r="AH298" s="1340"/>
      <c r="AI298" s="1340"/>
      <c r="AJ298" s="1360" t="b">
        <f t="shared" si="106"/>
        <v>1</v>
      </c>
      <c r="AK298" s="1346" t="s">
        <v>2</v>
      </c>
      <c r="AL298" s="87" t="str">
        <f t="shared" si="107"/>
        <v>Medway</v>
      </c>
      <c r="AM298" s="146">
        <f t="shared" si="108"/>
        <v>-0.31645569620253167</v>
      </c>
      <c r="AN298" s="146">
        <f t="shared" si="108"/>
        <v>-6.5934065934065931</v>
      </c>
      <c r="AO298" s="146">
        <f t="shared" si="108"/>
        <v>2.5039123630672928</v>
      </c>
      <c r="AP298" s="146">
        <f t="shared" si="108"/>
        <v>1.3975155279503104</v>
      </c>
      <c r="AQ298" s="146">
        <f t="shared" si="108"/>
        <v>-0.92307692307692302</v>
      </c>
      <c r="AR298" s="146">
        <f t="shared" si="108"/>
        <v>18.899999999999999</v>
      </c>
      <c r="AS298" s="81"/>
      <c r="AT298" s="81"/>
      <c r="AU298" s="81"/>
      <c r="AV298" s="81"/>
      <c r="AW298" s="81"/>
      <c r="AX298" s="81"/>
      <c r="AY298" s="348"/>
      <c r="AZ298" s="348"/>
      <c r="BA298" s="348"/>
      <c r="BB298" s="348"/>
      <c r="BC298" s="348"/>
      <c r="BD298" s="348"/>
      <c r="BE298" s="348"/>
      <c r="BF298" s="348"/>
      <c r="BG298" s="348"/>
      <c r="BH298" s="348"/>
      <c r="BI298" s="348"/>
      <c r="BJ298" s="348"/>
      <c r="BK298" s="348"/>
      <c r="BL298" s="348"/>
      <c r="BM298" s="348"/>
      <c r="BN298" s="348"/>
      <c r="BO298" s="348"/>
      <c r="BP298" s="348"/>
      <c r="BQ298" s="348"/>
    </row>
    <row r="299" spans="1:69" ht="14.25" customHeight="1" x14ac:dyDescent="0.2">
      <c r="A299" s="118"/>
      <c r="B299" s="58"/>
      <c r="C299" s="58"/>
      <c r="D299" s="69"/>
      <c r="E299" s="70"/>
      <c r="F299" s="69"/>
      <c r="G299" s="70"/>
      <c r="H299" s="70"/>
      <c r="I299" s="70"/>
      <c r="J299" s="12"/>
      <c r="K299" s="14"/>
      <c r="L299" s="14"/>
      <c r="M299" s="14"/>
      <c r="N299" s="14"/>
      <c r="O299" s="9"/>
      <c r="P299" s="9"/>
      <c r="Q299" s="9"/>
      <c r="R299" s="9"/>
      <c r="S299" s="9"/>
      <c r="T299" s="9"/>
      <c r="U299" s="9"/>
      <c r="V299" s="117"/>
      <c r="W299" s="137"/>
      <c r="X299" s="1359"/>
      <c r="AF299" s="1340"/>
      <c r="AG299" s="1340"/>
      <c r="AH299" s="1340"/>
      <c r="AI299" s="1340"/>
      <c r="AJ299" s="1360" t="b">
        <f t="shared" si="106"/>
        <v>1</v>
      </c>
      <c r="AK299" s="1346" t="s">
        <v>10</v>
      </c>
      <c r="AL299" s="87" t="str">
        <f t="shared" si="107"/>
        <v>Milton Keynes</v>
      </c>
      <c r="AM299" s="146">
        <f t="shared" si="108"/>
        <v>-0.45385779122541603</v>
      </c>
      <c r="AN299" s="146">
        <f t="shared" si="108"/>
        <v>6.7064083457526085</v>
      </c>
      <c r="AO299" s="146">
        <f t="shared" si="108"/>
        <v>-0.73964497041420119</v>
      </c>
      <c r="AP299" s="146">
        <f t="shared" si="108"/>
        <v>-1.6105417276720351</v>
      </c>
      <c r="AQ299" s="146">
        <f t="shared" si="108"/>
        <v>2.9069767441860463</v>
      </c>
      <c r="AR299" s="146">
        <f t="shared" si="108"/>
        <v>15</v>
      </c>
      <c r="AS299" s="81"/>
      <c r="AT299" s="81"/>
      <c r="AU299" s="81"/>
      <c r="AV299" s="81"/>
      <c r="AW299" s="81"/>
      <c r="AX299" s="81"/>
      <c r="AY299" s="348"/>
      <c r="AZ299" s="348"/>
      <c r="BA299" s="348"/>
      <c r="BB299" s="348"/>
      <c r="BC299" s="348"/>
      <c r="BD299" s="348"/>
      <c r="BE299" s="348"/>
      <c r="BF299" s="348"/>
      <c r="BG299" s="348"/>
      <c r="BH299" s="348"/>
      <c r="BI299" s="348"/>
      <c r="BJ299" s="348"/>
      <c r="BK299" s="348"/>
      <c r="BL299" s="348"/>
      <c r="BM299" s="348"/>
      <c r="BN299" s="348"/>
      <c r="BO299" s="348"/>
      <c r="BP299" s="348"/>
      <c r="BQ299" s="348"/>
    </row>
    <row r="300" spans="1:69" ht="14.25" customHeight="1" x14ac:dyDescent="0.2">
      <c r="A300" s="118"/>
      <c r="B300" s="58"/>
      <c r="C300" s="58"/>
      <c r="D300" s="61"/>
      <c r="E300" s="61"/>
      <c r="F300" s="61"/>
      <c r="G300" s="61"/>
      <c r="H300" s="61"/>
      <c r="I300" s="61"/>
      <c r="J300" s="12"/>
      <c r="K300" s="14"/>
      <c r="L300" s="14"/>
      <c r="M300" s="14"/>
      <c r="N300" s="14"/>
      <c r="O300" s="9"/>
      <c r="P300" s="9"/>
      <c r="Q300" s="9"/>
      <c r="R300" s="9"/>
      <c r="S300" s="9"/>
      <c r="T300" s="9"/>
      <c r="U300" s="9"/>
      <c r="V300" s="117"/>
      <c r="W300" s="137"/>
      <c r="X300" s="1359"/>
      <c r="AF300" s="1340"/>
      <c r="AG300" s="1340"/>
      <c r="AH300" s="1340"/>
      <c r="AI300" s="1340"/>
      <c r="AJ300" s="1360" t="b">
        <f t="shared" si="106"/>
        <v>1</v>
      </c>
      <c r="AK300" s="1346" t="s">
        <v>11</v>
      </c>
      <c r="AL300" s="87" t="str">
        <f t="shared" si="107"/>
        <v>Oxfordshire</v>
      </c>
      <c r="AM300" s="146">
        <f t="shared" si="108"/>
        <v>5.4301833568406206</v>
      </c>
      <c r="AN300" s="146">
        <f t="shared" si="108"/>
        <v>4.6885934219734082</v>
      </c>
      <c r="AO300" s="146">
        <f t="shared" si="108"/>
        <v>0.34867503486750351</v>
      </c>
      <c r="AP300" s="146">
        <f t="shared" si="108"/>
        <v>5.6629834254143638</v>
      </c>
      <c r="AQ300" s="146">
        <f t="shared" si="108"/>
        <v>-0.88980150581793294</v>
      </c>
      <c r="AR300" s="146">
        <f t="shared" si="108"/>
        <v>10.100000000000001</v>
      </c>
      <c r="AS300" s="81"/>
      <c r="AT300" s="81"/>
      <c r="AU300" s="81"/>
      <c r="AV300" s="81"/>
      <c r="AW300" s="81"/>
      <c r="AX300" s="81"/>
      <c r="AY300" s="348"/>
      <c r="AZ300" s="348"/>
      <c r="BA300" s="348"/>
      <c r="BB300" s="348"/>
      <c r="BC300" s="348"/>
      <c r="BD300" s="348"/>
      <c r="BE300" s="348"/>
      <c r="BF300" s="348"/>
      <c r="BG300" s="348"/>
      <c r="BH300" s="348"/>
      <c r="BI300" s="348"/>
      <c r="BJ300" s="348"/>
      <c r="BK300" s="348"/>
      <c r="BL300" s="348"/>
      <c r="BM300" s="348"/>
      <c r="BN300" s="348"/>
      <c r="BO300" s="348"/>
      <c r="BP300" s="348"/>
      <c r="BQ300" s="348"/>
    </row>
    <row r="301" spans="1:69" ht="14.25" customHeight="1" x14ac:dyDescent="0.2">
      <c r="A301" s="118"/>
      <c r="B301" s="421"/>
      <c r="C301" s="421"/>
      <c r="D301" s="58"/>
      <c r="E301" s="58"/>
      <c r="F301" s="58"/>
      <c r="G301" s="58"/>
      <c r="H301" s="58"/>
      <c r="I301" s="58"/>
      <c r="J301" s="12"/>
      <c r="K301" s="14"/>
      <c r="L301" s="14"/>
      <c r="M301" s="14"/>
      <c r="N301" s="14"/>
      <c r="O301" s="9"/>
      <c r="P301" s="9"/>
      <c r="Q301" s="9"/>
      <c r="R301" s="9"/>
      <c r="S301" s="9"/>
      <c r="T301" s="9"/>
      <c r="U301" s="9"/>
      <c r="V301" s="117"/>
      <c r="W301" s="137"/>
      <c r="X301" s="1359"/>
      <c r="AF301" s="1340"/>
      <c r="AG301" s="1340"/>
      <c r="AH301" s="1340"/>
      <c r="AI301" s="1340"/>
      <c r="AJ301" s="1360" t="b">
        <f t="shared" si="106"/>
        <v>1</v>
      </c>
      <c r="AK301" s="1346" t="s">
        <v>12</v>
      </c>
      <c r="AL301" s="87" t="str">
        <f t="shared" si="107"/>
        <v>Portsmouth</v>
      </c>
      <c r="AM301" s="146">
        <f t="shared" ref="AM301:AR314" si="109">VLOOKUP($AL301,$B$260:$S$283,AM$144,FALSE)</f>
        <v>0.45662100456621008</v>
      </c>
      <c r="AN301" s="146">
        <f t="shared" si="109"/>
        <v>8.1818181818181817</v>
      </c>
      <c r="AO301" s="146">
        <f t="shared" si="109"/>
        <v>11.53846153846154</v>
      </c>
      <c r="AP301" s="146">
        <f t="shared" si="109"/>
        <v>15.454545454545453</v>
      </c>
      <c r="AQ301" s="146">
        <f t="shared" si="109"/>
        <v>-5.7077625570776256</v>
      </c>
      <c r="AR301" s="146">
        <f t="shared" si="109"/>
        <v>20.200000000000003</v>
      </c>
      <c r="AS301" s="81"/>
      <c r="AT301" s="81"/>
      <c r="AU301" s="81"/>
      <c r="AV301" s="81"/>
      <c r="AW301" s="81"/>
      <c r="AX301" s="81"/>
      <c r="AY301" s="348"/>
      <c r="AZ301" s="348"/>
      <c r="BA301" s="348"/>
      <c r="BB301" s="348"/>
      <c r="BC301" s="348"/>
      <c r="BD301" s="348"/>
      <c r="BE301" s="348"/>
      <c r="BF301" s="348"/>
      <c r="BG301" s="348"/>
      <c r="BH301" s="348"/>
      <c r="BI301" s="348"/>
      <c r="BJ301" s="348"/>
      <c r="BK301" s="348"/>
      <c r="BL301" s="348"/>
      <c r="BM301" s="348"/>
      <c r="BN301" s="348"/>
      <c r="BO301" s="348"/>
      <c r="BP301" s="348"/>
      <c r="BQ301" s="348"/>
    </row>
    <row r="302" spans="1:69" ht="14.25" customHeight="1" x14ac:dyDescent="0.2">
      <c r="A302" s="118"/>
      <c r="B302" s="421"/>
      <c r="C302" s="421"/>
      <c r="D302" s="58"/>
      <c r="E302" s="58"/>
      <c r="F302" s="58"/>
      <c r="G302" s="58"/>
      <c r="H302" s="58"/>
      <c r="I302" s="58"/>
      <c r="J302" s="12"/>
      <c r="K302" s="14"/>
      <c r="L302" s="14"/>
      <c r="M302" s="14"/>
      <c r="N302" s="14"/>
      <c r="O302" s="9"/>
      <c r="P302" s="9"/>
      <c r="Q302" s="9"/>
      <c r="R302" s="9"/>
      <c r="S302" s="9"/>
      <c r="T302" s="9"/>
      <c r="U302" s="9"/>
      <c r="V302" s="117"/>
      <c r="W302" s="137"/>
      <c r="X302" s="1359"/>
      <c r="AF302" s="1340"/>
      <c r="AG302" s="1340"/>
      <c r="AH302" s="1340"/>
      <c r="AI302" s="1340"/>
      <c r="AJ302" s="1360" t="b">
        <f t="shared" si="106"/>
        <v>1</v>
      </c>
      <c r="AK302" s="1346" t="s">
        <v>3</v>
      </c>
      <c r="AL302" s="87" t="str">
        <f t="shared" si="107"/>
        <v>Reading</v>
      </c>
      <c r="AM302" s="146">
        <f t="shared" si="109"/>
        <v>1.9230769230769231</v>
      </c>
      <c r="AN302" s="146">
        <f t="shared" si="109"/>
        <v>11.475409836065573</v>
      </c>
      <c r="AO302" s="146">
        <f t="shared" si="109"/>
        <v>4.0431266846361185</v>
      </c>
      <c r="AP302" s="146">
        <f t="shared" si="109"/>
        <v>-1.6172506738544474</v>
      </c>
      <c r="AQ302" s="146">
        <f t="shared" si="109"/>
        <v>1.8918918918918919</v>
      </c>
      <c r="AR302" s="146">
        <f t="shared" si="109"/>
        <v>16</v>
      </c>
      <c r="AS302" s="81"/>
      <c r="AT302" s="81"/>
      <c r="AU302" s="81"/>
      <c r="AV302" s="81"/>
      <c r="AW302" s="81"/>
      <c r="AX302" s="81"/>
      <c r="AY302" s="348"/>
      <c r="AZ302" s="348"/>
      <c r="BA302" s="348"/>
      <c r="BB302" s="348"/>
      <c r="BC302" s="348"/>
      <c r="BD302" s="348"/>
      <c r="BE302" s="348"/>
      <c r="BF302" s="348"/>
      <c r="BG302" s="348"/>
      <c r="BH302" s="348"/>
      <c r="BI302" s="348"/>
      <c r="BJ302" s="348"/>
      <c r="BK302" s="348"/>
      <c r="BL302" s="348"/>
      <c r="BM302" s="348"/>
      <c r="BN302" s="348"/>
      <c r="BO302" s="348"/>
      <c r="BP302" s="348"/>
      <c r="BQ302" s="348"/>
    </row>
    <row r="303" spans="1:69" ht="14.25" customHeight="1" x14ac:dyDescent="0.2">
      <c r="A303" s="118"/>
      <c r="B303" s="421"/>
      <c r="C303" s="421"/>
      <c r="D303" s="58"/>
      <c r="E303" s="58"/>
      <c r="F303" s="58"/>
      <c r="G303" s="58"/>
      <c r="H303" s="58"/>
      <c r="I303" s="58"/>
      <c r="J303" s="12"/>
      <c r="K303" s="14"/>
      <c r="L303" s="14"/>
      <c r="M303" s="14"/>
      <c r="N303" s="14"/>
      <c r="O303" s="9"/>
      <c r="P303" s="9"/>
      <c r="Q303" s="9"/>
      <c r="R303" s="9"/>
      <c r="S303" s="9"/>
      <c r="T303" s="9"/>
      <c r="U303" s="9"/>
      <c r="V303" s="117"/>
      <c r="W303" s="137"/>
      <c r="X303" s="1359"/>
      <c r="AF303" s="1340"/>
      <c r="AG303" s="1340"/>
      <c r="AH303" s="1340"/>
      <c r="AI303" s="1340"/>
      <c r="AJ303" s="1360" t="b">
        <f t="shared" si="106"/>
        <v>1</v>
      </c>
      <c r="AK303" s="1346" t="s">
        <v>13</v>
      </c>
      <c r="AL303" s="87" t="str">
        <f t="shared" si="107"/>
        <v>Slough</v>
      </c>
      <c r="AM303" s="146">
        <f t="shared" si="109"/>
        <v>-6.1576354679802954</v>
      </c>
      <c r="AN303" s="146">
        <f t="shared" si="109"/>
        <v>1.4492753623188406</v>
      </c>
      <c r="AO303" s="146">
        <f t="shared" si="109"/>
        <v>3.080568720379147</v>
      </c>
      <c r="AP303" s="146">
        <f t="shared" si="109"/>
        <v>1.639344262295082</v>
      </c>
      <c r="AQ303" s="146">
        <f t="shared" si="109"/>
        <v>-4.1763341067285387</v>
      </c>
      <c r="AR303" s="146">
        <f t="shared" si="109"/>
        <v>14.7</v>
      </c>
      <c r="AS303" s="81"/>
      <c r="AT303" s="81"/>
      <c r="AU303" s="81"/>
      <c r="AV303" s="81"/>
      <c r="AW303" s="81"/>
      <c r="AX303" s="81"/>
      <c r="AY303" s="348"/>
      <c r="AZ303" s="348"/>
      <c r="BA303" s="348"/>
      <c r="BB303" s="348"/>
      <c r="BC303" s="348"/>
      <c r="BD303" s="348"/>
      <c r="BE303" s="348"/>
      <c r="BF303" s="348"/>
      <c r="BG303" s="348"/>
      <c r="BH303" s="348"/>
      <c r="BI303" s="348"/>
      <c r="BJ303" s="348"/>
      <c r="BK303" s="348"/>
      <c r="BL303" s="348"/>
      <c r="BM303" s="348"/>
      <c r="BN303" s="348"/>
      <c r="BO303" s="348"/>
      <c r="BP303" s="348"/>
      <c r="BQ303" s="348"/>
    </row>
    <row r="304" spans="1:69" ht="14.25" customHeight="1" x14ac:dyDescent="0.2">
      <c r="A304" s="118"/>
      <c r="B304" s="421"/>
      <c r="C304" s="421"/>
      <c r="D304" s="58"/>
      <c r="E304" s="58"/>
      <c r="F304" s="58"/>
      <c r="G304" s="58"/>
      <c r="H304" s="58"/>
      <c r="I304" s="58"/>
      <c r="J304" s="12"/>
      <c r="K304" s="14"/>
      <c r="L304" s="14"/>
      <c r="M304" s="14"/>
      <c r="N304" s="14"/>
      <c r="O304" s="9"/>
      <c r="P304" s="9"/>
      <c r="Q304" s="9"/>
      <c r="R304" s="9"/>
      <c r="S304" s="9"/>
      <c r="T304" s="9"/>
      <c r="U304" s="9"/>
      <c r="V304" s="117"/>
      <c r="W304" s="137"/>
      <c r="X304" s="1359"/>
      <c r="AF304" s="1340"/>
      <c r="AG304" s="1340"/>
      <c r="AH304" s="1340"/>
      <c r="AI304" s="1340"/>
      <c r="AJ304" s="1360" t="b">
        <f t="shared" si="106"/>
        <v>1</v>
      </c>
      <c r="AK304" s="1346" t="s">
        <v>95</v>
      </c>
      <c r="AL304" s="87" t="str">
        <f t="shared" si="107"/>
        <v>Somerset</v>
      </c>
      <c r="AM304" s="146">
        <f t="shared" si="109"/>
        <v>0.5494505494505495</v>
      </c>
      <c r="AN304" s="146">
        <f t="shared" si="109"/>
        <v>-2.825888787602552</v>
      </c>
      <c r="AO304" s="146">
        <f t="shared" si="109"/>
        <v>3.1789282470481379</v>
      </c>
      <c r="AP304" s="146">
        <f t="shared" si="109"/>
        <v>0.90334236675700097</v>
      </c>
      <c r="AQ304" s="146">
        <f t="shared" si="109"/>
        <v>-0.53956834532374098</v>
      </c>
      <c r="AR304" s="146">
        <f t="shared" si="109"/>
        <v>13.600000000000001</v>
      </c>
      <c r="AS304" s="81"/>
      <c r="AT304" s="81"/>
      <c r="AU304" s="81"/>
      <c r="AV304" s="81"/>
      <c r="AW304" s="81"/>
      <c r="AX304" s="81"/>
      <c r="AY304" s="348"/>
      <c r="AZ304" s="348"/>
      <c r="BA304" s="348"/>
      <c r="BB304" s="348"/>
      <c r="BC304" s="348"/>
      <c r="BD304" s="348"/>
      <c r="BE304" s="348"/>
      <c r="BF304" s="348"/>
      <c r="BG304" s="348"/>
      <c r="BH304" s="348"/>
      <c r="BI304" s="348"/>
      <c r="BJ304" s="348"/>
      <c r="BK304" s="348"/>
      <c r="BL304" s="348"/>
      <c r="BM304" s="348"/>
      <c r="BN304" s="348"/>
      <c r="BO304" s="348"/>
      <c r="BP304" s="348"/>
      <c r="BQ304" s="348"/>
    </row>
    <row r="305" spans="1:69" ht="14.25" customHeight="1" x14ac:dyDescent="0.2">
      <c r="A305" s="118"/>
      <c r="B305" s="421"/>
      <c r="C305" s="421"/>
      <c r="D305" s="58"/>
      <c r="E305" s="58"/>
      <c r="F305" s="58"/>
      <c r="G305" s="58"/>
      <c r="H305" s="58"/>
      <c r="I305" s="58"/>
      <c r="J305" s="12"/>
      <c r="K305" s="14"/>
      <c r="L305" s="14"/>
      <c r="M305" s="14"/>
      <c r="N305" s="14"/>
      <c r="O305" s="9"/>
      <c r="P305" s="9"/>
      <c r="Q305" s="9"/>
      <c r="R305" s="9"/>
      <c r="S305" s="9"/>
      <c r="T305" s="9"/>
      <c r="U305" s="9"/>
      <c r="V305" s="117"/>
      <c r="W305" s="137"/>
      <c r="X305" s="1359"/>
      <c r="AF305" s="1340"/>
      <c r="AG305" s="1340"/>
      <c r="AH305" s="1340"/>
      <c r="AI305" s="1340"/>
      <c r="AJ305" s="1360" t="b">
        <f t="shared" si="106"/>
        <v>1</v>
      </c>
      <c r="AK305" s="1346" t="s">
        <v>14</v>
      </c>
      <c r="AL305" s="87" t="str">
        <f t="shared" si="107"/>
        <v>Southampton</v>
      </c>
      <c r="AM305" s="146">
        <f t="shared" si="109"/>
        <v>1.8292682926829269</v>
      </c>
      <c r="AN305" s="146">
        <f t="shared" si="109"/>
        <v>-10.62124248496994</v>
      </c>
      <c r="AO305" s="146">
        <f t="shared" si="109"/>
        <v>-3.7773359840954273</v>
      </c>
      <c r="AP305" s="146">
        <f t="shared" si="109"/>
        <v>-8.6614173228346463</v>
      </c>
      <c r="AQ305" s="146">
        <f t="shared" si="109"/>
        <v>-0.38986354775828463</v>
      </c>
      <c r="AR305" s="146">
        <f t="shared" si="109"/>
        <v>20.5</v>
      </c>
      <c r="AS305" s="81"/>
      <c r="AT305" s="81"/>
      <c r="AU305" s="81"/>
      <c r="AV305" s="81"/>
      <c r="AW305" s="81"/>
      <c r="AX305" s="81"/>
      <c r="AY305" s="348"/>
      <c r="AZ305" s="348"/>
      <c r="BA305" s="348"/>
      <c r="BB305" s="348"/>
      <c r="BC305" s="348"/>
      <c r="BD305" s="348"/>
      <c r="BE305" s="348"/>
      <c r="BF305" s="348"/>
      <c r="BG305" s="348"/>
      <c r="BH305" s="348"/>
      <c r="BI305" s="348"/>
      <c r="BJ305" s="348"/>
      <c r="BK305" s="348"/>
      <c r="BL305" s="348"/>
      <c r="BM305" s="348"/>
      <c r="BN305" s="348"/>
      <c r="BO305" s="348"/>
      <c r="BP305" s="348"/>
      <c r="BQ305" s="348"/>
    </row>
    <row r="306" spans="1:69" ht="14.25" customHeight="1" x14ac:dyDescent="0.2">
      <c r="A306" s="118"/>
      <c r="B306" s="421"/>
      <c r="C306" s="421"/>
      <c r="D306" s="58"/>
      <c r="E306" s="58"/>
      <c r="F306" s="58"/>
      <c r="G306" s="58"/>
      <c r="H306" s="58"/>
      <c r="I306" s="58"/>
      <c r="J306" s="12"/>
      <c r="K306" s="14"/>
      <c r="L306" s="14"/>
      <c r="M306" s="14"/>
      <c r="N306" s="14"/>
      <c r="O306" s="9"/>
      <c r="P306" s="9"/>
      <c r="Q306" s="9"/>
      <c r="R306" s="9"/>
      <c r="S306" s="9"/>
      <c r="T306" s="9"/>
      <c r="U306" s="9"/>
      <c r="V306" s="117"/>
      <c r="W306" s="137"/>
      <c r="X306" s="1359"/>
      <c r="AF306" s="1340"/>
      <c r="AG306" s="1340"/>
      <c r="AH306" s="1340"/>
      <c r="AI306" s="1340"/>
      <c r="AJ306" s="1360" t="b">
        <f t="shared" si="106"/>
        <v>1</v>
      </c>
      <c r="AK306" s="1346" t="s">
        <v>7</v>
      </c>
      <c r="AL306" s="87" t="str">
        <f t="shared" si="107"/>
        <v>Surrey</v>
      </c>
      <c r="AM306" s="146">
        <f t="shared" si="109"/>
        <v>3.2761310452418098</v>
      </c>
      <c r="AN306" s="146">
        <f t="shared" si="109"/>
        <v>-0.34749034749034746</v>
      </c>
      <c r="AO306" s="146">
        <f t="shared" si="109"/>
        <v>1.8056089127929311</v>
      </c>
      <c r="AP306" s="146">
        <f t="shared" si="109"/>
        <v>1.565483008781978</v>
      </c>
      <c r="AQ306" s="146">
        <f t="shared" si="109"/>
        <v>0.30326004548900681</v>
      </c>
      <c r="AR306" s="146">
        <f t="shared" si="109"/>
        <v>8.3000000000000007</v>
      </c>
      <c r="AS306" s="81"/>
      <c r="AT306" s="81"/>
      <c r="AU306" s="81"/>
      <c r="AV306" s="81"/>
      <c r="AW306" s="81"/>
      <c r="AX306" s="81"/>
      <c r="AY306" s="348"/>
      <c r="AZ306" s="348"/>
      <c r="BA306" s="348"/>
      <c r="BB306" s="348"/>
      <c r="BC306" s="348"/>
      <c r="BD306" s="348"/>
      <c r="BE306" s="348"/>
      <c r="BF306" s="348"/>
      <c r="BG306" s="348"/>
      <c r="BH306" s="348"/>
      <c r="BI306" s="348"/>
      <c r="BJ306" s="348"/>
      <c r="BK306" s="348"/>
      <c r="BL306" s="348"/>
      <c r="BM306" s="348"/>
      <c r="BN306" s="348"/>
      <c r="BO306" s="348"/>
      <c r="BP306" s="348"/>
      <c r="BQ306" s="348"/>
    </row>
    <row r="307" spans="1:69" ht="14.25" customHeight="1" x14ac:dyDescent="0.2">
      <c r="A307" s="278"/>
      <c r="B307" s="421"/>
      <c r="C307" s="421"/>
      <c r="D307" s="58"/>
      <c r="E307" s="58"/>
      <c r="F307" s="58"/>
      <c r="G307" s="58"/>
      <c r="H307" s="58"/>
      <c r="I307" s="58"/>
      <c r="J307" s="12"/>
      <c r="K307" s="14"/>
      <c r="L307" s="14"/>
      <c r="M307" s="14"/>
      <c r="N307" s="14"/>
      <c r="O307" s="9"/>
      <c r="P307" s="9"/>
      <c r="Q307" s="9"/>
      <c r="R307" s="9"/>
      <c r="S307" s="9"/>
      <c r="T307" s="9"/>
      <c r="U307" s="9"/>
      <c r="V307" s="117"/>
      <c r="W307" s="137"/>
      <c r="X307" s="1359"/>
      <c r="AF307" s="1340"/>
      <c r="AG307" s="1340"/>
      <c r="AH307" s="1340"/>
      <c r="AI307" s="1340"/>
      <c r="AJ307" s="1360" t="b">
        <f t="shared" si="106"/>
        <v>1</v>
      </c>
      <c r="AK307" s="1346" t="s">
        <v>113</v>
      </c>
      <c r="AL307" s="87" t="str">
        <f t="shared" si="107"/>
        <v>Swindon</v>
      </c>
      <c r="AM307" s="146">
        <f t="shared" si="109"/>
        <v>8.5714285714285712</v>
      </c>
      <c r="AN307" s="146">
        <f t="shared" si="109"/>
        <v>6.4646464646464645</v>
      </c>
      <c r="AO307" s="146">
        <f t="shared" si="109"/>
        <v>4.6092184368737472</v>
      </c>
      <c r="AP307" s="146">
        <f t="shared" si="109"/>
        <v>-2.3904382470119523</v>
      </c>
      <c r="AQ307" s="146">
        <f t="shared" si="109"/>
        <v>-9.5238095238095237</v>
      </c>
      <c r="AR307" s="146">
        <f t="shared" si="109"/>
        <v>14.899999999999999</v>
      </c>
      <c r="AS307" s="81"/>
      <c r="AT307" s="81"/>
      <c r="AU307" s="81"/>
      <c r="AV307" s="81"/>
      <c r="AW307" s="81"/>
      <c r="AX307" s="81"/>
      <c r="AY307" s="348"/>
      <c r="AZ307" s="348"/>
      <c r="BA307" s="348"/>
      <c r="BB307" s="348"/>
      <c r="BC307" s="348"/>
      <c r="BD307" s="348"/>
      <c r="BE307" s="348"/>
      <c r="BF307" s="348"/>
      <c r="BG307" s="348"/>
      <c r="BH307" s="348"/>
      <c r="BI307" s="348"/>
      <c r="BJ307" s="348"/>
      <c r="BK307" s="348"/>
      <c r="BL307" s="348"/>
      <c r="BM307" s="348"/>
      <c r="BN307" s="348"/>
      <c r="BO307" s="348"/>
      <c r="BP307" s="348"/>
      <c r="BQ307" s="348"/>
    </row>
    <row r="308" spans="1:69" ht="14.25" customHeight="1" x14ac:dyDescent="0.2">
      <c r="A308" s="278"/>
      <c r="B308" s="421"/>
      <c r="C308" s="421"/>
      <c r="D308" s="58"/>
      <c r="E308" s="58"/>
      <c r="F308" s="58"/>
      <c r="G308" s="58"/>
      <c r="H308" s="58"/>
      <c r="I308" s="58"/>
      <c r="J308" s="12"/>
      <c r="K308" s="14"/>
      <c r="L308" s="14"/>
      <c r="M308" s="14"/>
      <c r="N308" s="14"/>
      <c r="O308" s="9"/>
      <c r="P308" s="9"/>
      <c r="Q308" s="9"/>
      <c r="R308" s="9"/>
      <c r="S308" s="9"/>
      <c r="T308" s="9"/>
      <c r="U308" s="9"/>
      <c r="V308" s="117"/>
      <c r="W308" s="137"/>
      <c r="X308" s="1359"/>
      <c r="AF308" s="1340"/>
      <c r="AG308" s="1340"/>
      <c r="AH308" s="1340"/>
      <c r="AI308" s="1340"/>
      <c r="AJ308" s="1360" t="b">
        <f t="shared" si="106"/>
        <v>1</v>
      </c>
      <c r="AK308" s="1346" t="s">
        <v>114</v>
      </c>
      <c r="AL308" s="87" t="str">
        <f t="shared" si="107"/>
        <v>Torbay</v>
      </c>
      <c r="AM308" s="146">
        <f t="shared" si="109"/>
        <v>-11.507936507936508</v>
      </c>
      <c r="AN308" s="146">
        <f t="shared" si="109"/>
        <v>2.7559055118110236</v>
      </c>
      <c r="AO308" s="146">
        <f t="shared" si="109"/>
        <v>14.173228346456694</v>
      </c>
      <c r="AP308" s="146">
        <f t="shared" si="109"/>
        <v>11.417322834645669</v>
      </c>
      <c r="AQ308" s="146">
        <f t="shared" si="109"/>
        <v>-2.34375</v>
      </c>
      <c r="AR308" s="146">
        <f t="shared" si="109"/>
        <v>21.9</v>
      </c>
      <c r="AS308" s="81"/>
      <c r="AT308" s="81"/>
      <c r="AU308" s="81"/>
      <c r="AV308" s="81"/>
      <c r="AW308" s="81"/>
      <c r="AX308" s="81"/>
      <c r="AY308" s="348"/>
      <c r="AZ308" s="348"/>
      <c r="BA308" s="348"/>
      <c r="BB308" s="348"/>
      <c r="BC308" s="348"/>
      <c r="BD308" s="348"/>
      <c r="BE308" s="348"/>
      <c r="BF308" s="348"/>
      <c r="BG308" s="348"/>
      <c r="BH308" s="348"/>
      <c r="BI308" s="348"/>
      <c r="BJ308" s="348"/>
      <c r="BK308" s="348"/>
      <c r="BL308" s="348"/>
      <c r="BM308" s="348"/>
      <c r="BN308" s="348"/>
      <c r="BO308" s="348"/>
      <c r="BP308" s="348"/>
      <c r="BQ308" s="348"/>
    </row>
    <row r="309" spans="1:69" ht="14.25" customHeight="1" x14ac:dyDescent="0.2">
      <c r="A309" s="118"/>
      <c r="B309" s="421"/>
      <c r="C309" s="421"/>
      <c r="D309" s="58"/>
      <c r="E309" s="58"/>
      <c r="F309" s="58"/>
      <c r="G309" s="58"/>
      <c r="H309" s="58"/>
      <c r="I309" s="58"/>
      <c r="J309" s="12"/>
      <c r="K309" s="14"/>
      <c r="L309" s="14"/>
      <c r="M309" s="14"/>
      <c r="N309" s="14"/>
      <c r="O309" s="9"/>
      <c r="P309" s="9"/>
      <c r="Q309" s="9"/>
      <c r="R309" s="9"/>
      <c r="S309" s="9"/>
      <c r="T309" s="9"/>
      <c r="U309" s="9"/>
      <c r="V309" s="117"/>
      <c r="W309" s="137"/>
      <c r="X309" s="1359"/>
      <c r="AF309" s="1340"/>
      <c r="AG309" s="1340"/>
      <c r="AH309" s="1340"/>
      <c r="AI309" s="1340"/>
      <c r="AJ309" s="1360" t="b">
        <f t="shared" si="106"/>
        <v>1</v>
      </c>
      <c r="AK309" s="1346" t="s">
        <v>15</v>
      </c>
      <c r="AL309" s="87" t="str">
        <f t="shared" si="107"/>
        <v>West Berkshire</v>
      </c>
      <c r="AM309" s="146">
        <f t="shared" si="109"/>
        <v>-4.2016806722689077</v>
      </c>
      <c r="AN309" s="146">
        <f t="shared" si="109"/>
        <v>0</v>
      </c>
      <c r="AO309" s="146">
        <f t="shared" si="109"/>
        <v>-5.027932960893855</v>
      </c>
      <c r="AP309" s="146">
        <f t="shared" si="109"/>
        <v>7.3033707865168536</v>
      </c>
      <c r="AQ309" s="146">
        <f t="shared" si="109"/>
        <v>-4.213483146067416</v>
      </c>
      <c r="AR309" s="146">
        <f t="shared" si="109"/>
        <v>8.6999999999999993</v>
      </c>
      <c r="AS309" s="81"/>
      <c r="AT309" s="81"/>
      <c r="AU309" s="81"/>
      <c r="AV309" s="81"/>
      <c r="AW309" s="81"/>
      <c r="AX309" s="81"/>
      <c r="AY309" s="348"/>
      <c r="AZ309" s="348"/>
      <c r="BA309" s="348"/>
      <c r="BB309" s="348"/>
      <c r="BC309" s="348"/>
      <c r="BD309" s="348"/>
      <c r="BE309" s="348"/>
      <c r="BF309" s="348"/>
      <c r="BG309" s="348"/>
      <c r="BH309" s="348"/>
      <c r="BI309" s="348"/>
      <c r="BJ309" s="348"/>
      <c r="BK309" s="348"/>
      <c r="BL309" s="348"/>
      <c r="BM309" s="348"/>
      <c r="BN309" s="348"/>
      <c r="BO309" s="348"/>
      <c r="BP309" s="348"/>
      <c r="BQ309" s="348"/>
    </row>
    <row r="310" spans="1:69" ht="14.25" customHeight="1" x14ac:dyDescent="0.2">
      <c r="A310" s="118"/>
      <c r="B310" s="421"/>
      <c r="C310" s="421"/>
      <c r="D310" s="58"/>
      <c r="E310" s="58"/>
      <c r="F310" s="58"/>
      <c r="G310" s="58"/>
      <c r="H310" s="58"/>
      <c r="I310" s="58"/>
      <c r="J310" s="12"/>
      <c r="K310" s="14"/>
      <c r="L310" s="14"/>
      <c r="M310" s="14"/>
      <c r="N310" s="14"/>
      <c r="O310" s="9"/>
      <c r="P310" s="9"/>
      <c r="Q310" s="9"/>
      <c r="R310" s="9"/>
      <c r="S310" s="9"/>
      <c r="T310" s="9"/>
      <c r="U310" s="9"/>
      <c r="V310" s="117"/>
      <c r="W310" s="137"/>
      <c r="X310" s="1359"/>
      <c r="AF310" s="1340"/>
      <c r="AG310" s="1340"/>
      <c r="AH310" s="1340"/>
      <c r="AI310" s="1340"/>
      <c r="AJ310" s="1360" t="b">
        <f t="shared" si="106"/>
        <v>1</v>
      </c>
      <c r="AK310" s="1346" t="s">
        <v>5</v>
      </c>
      <c r="AL310" s="87" t="str">
        <f t="shared" si="107"/>
        <v>West Sussex</v>
      </c>
      <c r="AM310" s="146">
        <f t="shared" si="109"/>
        <v>-0.35211267605633806</v>
      </c>
      <c r="AN310" s="146">
        <f t="shared" si="109"/>
        <v>1.1641443538998837</v>
      </c>
      <c r="AO310" s="146">
        <f t="shared" si="109"/>
        <v>2.3081361800346221</v>
      </c>
      <c r="AP310" s="146">
        <f t="shared" si="109"/>
        <v>-0.45792787635947341</v>
      </c>
      <c r="AQ310" s="146">
        <f t="shared" si="109"/>
        <v>5.7921635434412266</v>
      </c>
      <c r="AR310" s="146">
        <f t="shared" si="109"/>
        <v>11</v>
      </c>
      <c r="AS310" s="81"/>
      <c r="AT310" s="81"/>
      <c r="AU310" s="81"/>
      <c r="AV310" s="81"/>
      <c r="AW310" s="81"/>
      <c r="AX310" s="81"/>
      <c r="AY310" s="348"/>
      <c r="AZ310" s="348"/>
      <c r="BA310" s="348"/>
      <c r="BB310" s="348"/>
      <c r="BC310" s="348"/>
      <c r="BD310" s="348"/>
      <c r="BE310" s="348"/>
      <c r="BF310" s="348"/>
      <c r="BG310" s="348"/>
      <c r="BH310" s="348"/>
      <c r="BI310" s="348"/>
      <c r="BJ310" s="348"/>
      <c r="BK310" s="348"/>
      <c r="BL310" s="348"/>
      <c r="BM310" s="348"/>
      <c r="BN310" s="348"/>
      <c r="BO310" s="348"/>
      <c r="BP310" s="348"/>
      <c r="BQ310" s="348"/>
    </row>
    <row r="311" spans="1:69" s="81" customFormat="1" ht="14.25" customHeight="1" x14ac:dyDescent="0.2">
      <c r="A311" s="118"/>
      <c r="B311" s="421"/>
      <c r="C311" s="421"/>
      <c r="D311" s="58"/>
      <c r="E311" s="58"/>
      <c r="F311" s="58"/>
      <c r="G311" s="58"/>
      <c r="H311" s="58"/>
      <c r="I311" s="58"/>
      <c r="J311" s="12"/>
      <c r="K311" s="14"/>
      <c r="L311" s="14"/>
      <c r="M311" s="14"/>
      <c r="N311" s="14"/>
      <c r="O311" s="9"/>
      <c r="P311" s="9"/>
      <c r="Q311" s="9"/>
      <c r="R311" s="9"/>
      <c r="S311" s="9"/>
      <c r="T311" s="9"/>
      <c r="U311" s="9"/>
      <c r="V311" s="117"/>
      <c r="W311" s="137"/>
      <c r="X311" s="1359"/>
      <c r="Y311" s="1392"/>
      <c r="Z311" s="1392"/>
      <c r="AA311" s="1392"/>
      <c r="AB311" s="1392"/>
      <c r="AC311" s="1392"/>
      <c r="AD311" s="1392"/>
      <c r="AE311" s="1392"/>
      <c r="AF311" s="1340"/>
      <c r="AG311" s="1340"/>
      <c r="AH311" s="1340"/>
      <c r="AI311" s="1340"/>
      <c r="AJ311" s="1360" t="b">
        <f t="shared" si="106"/>
        <v>1</v>
      </c>
      <c r="AK311" s="1346" t="s">
        <v>30</v>
      </c>
      <c r="AL311" s="87" t="str">
        <f t="shared" si="107"/>
        <v>Windsor &amp; Maidenhead</v>
      </c>
      <c r="AM311" s="146">
        <f t="shared" si="109"/>
        <v>-3.2640949554896141</v>
      </c>
      <c r="AN311" s="146">
        <f t="shared" si="109"/>
        <v>5.2631578947368416</v>
      </c>
      <c r="AO311" s="146">
        <f t="shared" si="109"/>
        <v>-0.87209302325581395</v>
      </c>
      <c r="AP311" s="146">
        <f t="shared" si="109"/>
        <v>3.7572254335260111</v>
      </c>
      <c r="AQ311" s="146">
        <f t="shared" si="109"/>
        <v>-2.8818443804034581</v>
      </c>
      <c r="AR311" s="146">
        <f t="shared" si="109"/>
        <v>6.7</v>
      </c>
      <c r="AY311" s="348"/>
      <c r="AZ311" s="348"/>
      <c r="BA311" s="348"/>
      <c r="BB311" s="348"/>
      <c r="BC311" s="348"/>
      <c r="BD311" s="348"/>
      <c r="BE311" s="348"/>
      <c r="BF311" s="348"/>
      <c r="BG311" s="348"/>
      <c r="BH311" s="348"/>
      <c r="BI311" s="348"/>
      <c r="BJ311" s="348"/>
      <c r="BK311" s="348"/>
      <c r="BL311" s="348"/>
      <c r="BM311" s="348"/>
      <c r="BN311" s="348"/>
      <c r="BO311" s="348"/>
      <c r="BP311" s="348"/>
      <c r="BQ311" s="348"/>
    </row>
    <row r="312" spans="1:69" s="81" customFormat="1" ht="14.25" customHeight="1" x14ac:dyDescent="0.2">
      <c r="A312" s="118"/>
      <c r="B312" s="421"/>
      <c r="C312" s="421"/>
      <c r="D312" s="58"/>
      <c r="E312" s="58"/>
      <c r="F312" s="58"/>
      <c r="G312" s="58"/>
      <c r="H312" s="58"/>
      <c r="I312" s="58"/>
      <c r="J312" s="12"/>
      <c r="K312" s="14"/>
      <c r="L312" s="14"/>
      <c r="M312" s="14"/>
      <c r="N312" s="14"/>
      <c r="O312" s="9"/>
      <c r="P312" s="9"/>
      <c r="Q312" s="9"/>
      <c r="R312" s="9"/>
      <c r="S312" s="9"/>
      <c r="T312" s="9"/>
      <c r="U312" s="9"/>
      <c r="V312" s="117"/>
      <c r="W312" s="137"/>
      <c r="X312" s="1359"/>
      <c r="Y312" s="1392"/>
      <c r="Z312" s="1392"/>
      <c r="AA312" s="1392"/>
      <c r="AB312" s="1392"/>
      <c r="AC312" s="1392"/>
      <c r="AD312" s="1392"/>
      <c r="AE312" s="1392"/>
      <c r="AF312" s="1340"/>
      <c r="AG312" s="1340"/>
      <c r="AH312" s="1340"/>
      <c r="AI312" s="1340"/>
      <c r="AJ312" s="1360" t="b">
        <f t="shared" si="106"/>
        <v>1</v>
      </c>
      <c r="AK312" s="1346" t="s">
        <v>16</v>
      </c>
      <c r="AL312" s="87" t="str">
        <f t="shared" si="107"/>
        <v>Wokingham</v>
      </c>
      <c r="AM312" s="146">
        <f t="shared" si="109"/>
        <v>1.0723860589812333</v>
      </c>
      <c r="AN312" s="146">
        <f t="shared" si="109"/>
        <v>-1.5789473684210527</v>
      </c>
      <c r="AO312" s="146">
        <f t="shared" si="109"/>
        <v>7.7519379844961236</v>
      </c>
      <c r="AP312" s="146">
        <f t="shared" si="109"/>
        <v>1.0126582278481013</v>
      </c>
      <c r="AQ312" s="146">
        <f t="shared" si="109"/>
        <v>-2.722772277227723</v>
      </c>
      <c r="AR312" s="146">
        <f t="shared" si="109"/>
        <v>5.6000000000000005</v>
      </c>
      <c r="AY312" s="348"/>
      <c r="AZ312" s="348"/>
      <c r="BA312" s="348"/>
      <c r="BB312" s="348"/>
      <c r="BC312" s="348"/>
      <c r="BD312" s="348"/>
      <c r="BE312" s="348"/>
      <c r="BF312" s="348"/>
      <c r="BG312" s="348"/>
      <c r="BH312" s="348"/>
      <c r="BI312" s="348"/>
      <c r="BJ312" s="348"/>
      <c r="BK312" s="348"/>
      <c r="BL312" s="348"/>
      <c r="BM312" s="348"/>
      <c r="BN312" s="348"/>
      <c r="BO312" s="348"/>
      <c r="BP312" s="348"/>
      <c r="BQ312" s="348"/>
    </row>
    <row r="313" spans="1:69" s="81" customFormat="1" ht="14.25" customHeight="1" x14ac:dyDescent="0.2">
      <c r="A313" s="118"/>
      <c r="B313" s="421"/>
      <c r="C313" s="421"/>
      <c r="D313" s="58"/>
      <c r="E313" s="58"/>
      <c r="F313" s="58"/>
      <c r="G313" s="58"/>
      <c r="H313" s="58"/>
      <c r="I313" s="58"/>
      <c r="J313" s="12"/>
      <c r="K313" s="14"/>
      <c r="L313" s="14"/>
      <c r="M313" s="14"/>
      <c r="N313" s="14"/>
      <c r="O313" s="9"/>
      <c r="P313" s="9"/>
      <c r="Q313" s="9"/>
      <c r="R313" s="9"/>
      <c r="S313" s="9"/>
      <c r="T313" s="9"/>
      <c r="U313" s="9"/>
      <c r="V313" s="117"/>
      <c r="W313" s="137"/>
      <c r="X313" s="1359"/>
      <c r="Y313" s="1392"/>
      <c r="Z313" s="1392"/>
      <c r="AA313" s="1392"/>
      <c r="AB313" s="1392"/>
      <c r="AC313" s="1392"/>
      <c r="AD313" s="1392"/>
      <c r="AE313" s="1392"/>
      <c r="AF313" s="1340"/>
      <c r="AG313" s="1340"/>
      <c r="AH313" s="1340"/>
      <c r="AI313" s="1340"/>
      <c r="AJ313" s="1360" t="b">
        <f t="shared" si="106"/>
        <v>1</v>
      </c>
      <c r="AK313" s="1346" t="s">
        <v>74</v>
      </c>
      <c r="AL313" s="87" t="str">
        <f t="shared" si="107"/>
        <v>South East</v>
      </c>
      <c r="AM313" s="146">
        <f t="shared" si="109"/>
        <v>2.4503414837599706</v>
      </c>
      <c r="AN313" s="146">
        <f t="shared" si="109"/>
        <v>-0.66732191816253683</v>
      </c>
      <c r="AO313" s="146">
        <f t="shared" si="109"/>
        <v>0.31380215031637426</v>
      </c>
      <c r="AP313" s="146">
        <f t="shared" si="109"/>
        <v>1.1086134668437724</v>
      </c>
      <c r="AQ313" s="146">
        <f t="shared" si="109"/>
        <v>0.5890717042453788</v>
      </c>
      <c r="AR313" s="146">
        <f t="shared" si="109"/>
        <v>12.371268250968637</v>
      </c>
      <c r="AY313" s="348"/>
      <c r="AZ313" s="348"/>
      <c r="BA313" s="348"/>
      <c r="BB313" s="348"/>
      <c r="BC313" s="348"/>
      <c r="BD313" s="348"/>
      <c r="BE313" s="348"/>
      <c r="BF313" s="348"/>
      <c r="BG313" s="348"/>
      <c r="BH313" s="348"/>
      <c r="BI313" s="348"/>
      <c r="BJ313" s="348"/>
      <c r="BK313" s="348"/>
      <c r="BL313" s="348"/>
      <c r="BM313" s="348"/>
      <c r="BN313" s="348"/>
      <c r="BO313" s="348"/>
      <c r="BP313" s="348"/>
      <c r="BQ313" s="348"/>
    </row>
    <row r="314" spans="1:69" s="81" customFormat="1" ht="14.25" customHeight="1" x14ac:dyDescent="0.2">
      <c r="A314" s="118"/>
      <c r="B314" s="421"/>
      <c r="C314" s="421"/>
      <c r="D314" s="58"/>
      <c r="E314" s="58"/>
      <c r="F314" s="58"/>
      <c r="G314" s="58"/>
      <c r="H314" s="58"/>
      <c r="I314" s="58"/>
      <c r="J314" s="12"/>
      <c r="K314" s="9"/>
      <c r="L314" s="110"/>
      <c r="M314" s="1796" t="s">
        <v>72</v>
      </c>
      <c r="N314" s="1797"/>
      <c r="O314" s="1797"/>
      <c r="P314" s="1798"/>
      <c r="Q314" s="948"/>
      <c r="R314" s="1802" t="s">
        <v>100</v>
      </c>
      <c r="S314" s="1803"/>
      <c r="T314" s="1803"/>
      <c r="U314" s="1804"/>
      <c r="V314" s="117"/>
      <c r="W314" s="137"/>
      <c r="X314" s="1359"/>
      <c r="Y314" s="1392"/>
      <c r="Z314" s="1392"/>
      <c r="AA314" s="1392"/>
      <c r="AB314" s="1392"/>
      <c r="AC314" s="1392"/>
      <c r="AD314" s="1392"/>
      <c r="AE314" s="1392"/>
      <c r="AF314" s="1340"/>
      <c r="AG314" s="1340"/>
      <c r="AH314" s="1340"/>
      <c r="AI314" s="1340"/>
      <c r="AJ314" s="1360" t="b">
        <f t="shared" si="106"/>
        <v>1</v>
      </c>
      <c r="AK314" s="1346" t="s">
        <v>127</v>
      </c>
      <c r="AL314" s="87" t="str">
        <f t="shared" si="107"/>
        <v>England</v>
      </c>
      <c r="AM314" s="146">
        <f t="shared" si="109"/>
        <v>0.26545868692144992</v>
      </c>
      <c r="AN314" s="146">
        <f t="shared" si="109"/>
        <v>1.30671259959441</v>
      </c>
      <c r="AO314" s="146">
        <f t="shared" si="109"/>
        <v>1.8033201314569816</v>
      </c>
      <c r="AP314" s="146">
        <f t="shared" si="109"/>
        <v>1.8570257474110385</v>
      </c>
      <c r="AQ314" s="146">
        <f t="shared" si="109"/>
        <v>1.1477427725473237</v>
      </c>
      <c r="AR314" s="146">
        <f t="shared" si="109"/>
        <v>17.084413405029373</v>
      </c>
      <c r="AY314" s="348"/>
      <c r="AZ314" s="348"/>
      <c r="BA314" s="348"/>
      <c r="BB314" s="348"/>
      <c r="BC314" s="348"/>
      <c r="BD314" s="348"/>
      <c r="BE314" s="348"/>
      <c r="BF314" s="348"/>
      <c r="BG314" s="348"/>
      <c r="BH314" s="348"/>
      <c r="BI314" s="348"/>
      <c r="BJ314" s="348"/>
      <c r="BK314" s="348"/>
      <c r="BL314" s="348"/>
      <c r="BM314" s="348"/>
      <c r="BN314" s="348"/>
      <c r="BO314" s="348"/>
      <c r="BP314" s="348"/>
      <c r="BQ314" s="348"/>
    </row>
    <row r="315" spans="1:69" s="81" customFormat="1" ht="14.25" customHeight="1" x14ac:dyDescent="0.2">
      <c r="A315" s="118"/>
      <c r="B315" s="421"/>
      <c r="C315" s="421"/>
      <c r="D315" s="58"/>
      <c r="E315" s="58"/>
      <c r="F315" s="58"/>
      <c r="G315" s="58"/>
      <c r="H315" s="58"/>
      <c r="I315" s="58"/>
      <c r="J315" s="12"/>
      <c r="K315" s="9"/>
      <c r="L315" s="111"/>
      <c r="M315" s="1802" t="str">
        <f>$AA$4</f>
        <v>Selected LA- (none)</v>
      </c>
      <c r="N315" s="1803"/>
      <c r="O315" s="1803"/>
      <c r="P315" s="1803"/>
      <c r="Q315" s="110"/>
      <c r="R315" s="1939" t="s">
        <v>187</v>
      </c>
      <c r="S315" s="1939"/>
      <c r="T315" s="1939"/>
      <c r="U315" s="1940"/>
      <c r="V315" s="117"/>
      <c r="W315" s="137"/>
      <c r="X315" s="150"/>
      <c r="Y315" s="1392"/>
      <c r="Z315" s="1392"/>
      <c r="AA315" s="1392"/>
      <c r="AB315" s="1392"/>
      <c r="AC315" s="1392"/>
      <c r="AD315" s="1392"/>
      <c r="AE315" s="1392"/>
      <c r="AK315" s="161"/>
      <c r="AL315" s="74" t="str">
        <f>AA4</f>
        <v>Selected LA- (none)</v>
      </c>
      <c r="AM315" s="146" t="e">
        <f>VLOOKUP($Z4,$B$260:$S$283,AM$287,FALSE)</f>
        <v>#N/A</v>
      </c>
      <c r="AN315" s="146" t="e">
        <f>VLOOKUP($Z4,$B$260:$S$283,AN$287,FALSE)</f>
        <v>#N/A</v>
      </c>
      <c r="AO315" s="146" t="e">
        <f>VLOOKUP($Z4,$B$260:$S$283,AO$287,FALSE)</f>
        <v>#N/A</v>
      </c>
      <c r="AP315" s="146" t="e">
        <f>VLOOKUP($Z4,$B$260:$S$283,AP$287,FALSE)</f>
        <v>#N/A</v>
      </c>
      <c r="AQ315" s="146" t="e">
        <f>VLOOKUP($Z4,$B$260:$S$283,AQ$287,FALSE)</f>
        <v>#N/A</v>
      </c>
      <c r="AR315" s="146" t="e">
        <f>VLOOKUP($Z4,$B$260:$S$283,AR$287,FALSE)</f>
        <v>#N/A</v>
      </c>
      <c r="AY315" s="171"/>
      <c r="AZ315" s="171"/>
      <c r="BA315" s="171"/>
      <c r="BB315" s="171"/>
      <c r="BC315" s="171"/>
      <c r="BD315" s="171"/>
      <c r="BE315" s="171"/>
      <c r="BF315" s="171"/>
      <c r="BG315" s="171"/>
      <c r="BH315" s="348"/>
      <c r="BI315" s="348"/>
      <c r="BJ315" s="348"/>
      <c r="BK315" s="348"/>
      <c r="BL315" s="348"/>
      <c r="BM315" s="348"/>
      <c r="BN315" s="348"/>
      <c r="BO315" s="348"/>
      <c r="BP315" s="348"/>
      <c r="BQ315" s="348"/>
    </row>
    <row r="316" spans="1:69" s="81" customFormat="1" ht="42" customHeight="1" x14ac:dyDescent="0.2">
      <c r="A316" s="118"/>
      <c r="B316" s="421"/>
      <c r="C316" s="421"/>
      <c r="D316" s="58"/>
      <c r="E316" s="58"/>
      <c r="F316" s="58"/>
      <c r="G316" s="58"/>
      <c r="H316" s="58"/>
      <c r="I316" s="58"/>
      <c r="J316" s="12"/>
      <c r="K316" s="9"/>
      <c r="L316" s="9"/>
      <c r="M316" s="9"/>
      <c r="N316" s="9"/>
      <c r="O316" s="9"/>
      <c r="P316" s="9"/>
      <c r="Q316" s="9"/>
      <c r="R316" s="9"/>
      <c r="S316" s="9"/>
      <c r="T316" s="9"/>
      <c r="U316" s="9"/>
      <c r="V316" s="117"/>
      <c r="W316" s="137"/>
      <c r="X316" s="150"/>
      <c r="Y316" s="1392"/>
      <c r="Z316" s="1392"/>
      <c r="AA316" s="1392"/>
      <c r="AB316" s="1392"/>
      <c r="AC316" s="1392"/>
      <c r="AD316" s="1392"/>
      <c r="AE316" s="1392"/>
      <c r="AK316" s="161"/>
    </row>
    <row r="317" spans="1:69" s="87" customFormat="1" ht="42" customHeight="1" x14ac:dyDescent="0.2">
      <c r="A317" s="121"/>
      <c r="B317" s="109"/>
      <c r="C317" s="109"/>
      <c r="D317" s="109"/>
      <c r="E317" s="109"/>
      <c r="F317" s="109"/>
      <c r="G317" s="109"/>
      <c r="H317" s="109"/>
      <c r="I317" s="109"/>
      <c r="J317" s="96"/>
      <c r="K317" s="85"/>
      <c r="L317" s="85"/>
      <c r="M317" s="85"/>
      <c r="N317" s="85"/>
      <c r="O317" s="85"/>
      <c r="P317" s="85"/>
      <c r="Q317" s="85"/>
      <c r="R317" s="85"/>
      <c r="S317" s="85"/>
      <c r="T317" s="85"/>
      <c r="U317" s="85"/>
      <c r="V317" s="122"/>
      <c r="W317" s="139"/>
      <c r="X317" s="152"/>
      <c r="Y317" s="1414"/>
      <c r="Z317" s="1414"/>
      <c r="AA317" s="1414"/>
      <c r="AB317" s="1414"/>
      <c r="AC317" s="1414"/>
      <c r="AD317" s="1414"/>
      <c r="AE317" s="1399"/>
      <c r="AF317" s="190"/>
      <c r="AG317" s="190"/>
      <c r="AH317" s="190"/>
      <c r="AI317" s="190"/>
      <c r="AJ317" s="202"/>
      <c r="AK317" s="160"/>
    </row>
    <row r="318" spans="1:69" s="87" customFormat="1" ht="42.75" customHeight="1" x14ac:dyDescent="0.2">
      <c r="A318" s="121"/>
      <c r="B318" s="109"/>
      <c r="C318" s="109"/>
      <c r="D318" s="109"/>
      <c r="E318" s="109"/>
      <c r="F318" s="109"/>
      <c r="G318" s="109"/>
      <c r="H318" s="109"/>
      <c r="I318" s="109"/>
      <c r="J318" s="96"/>
      <c r="K318" s="85"/>
      <c r="L318" s="85"/>
      <c r="M318" s="85"/>
      <c r="N318" s="85"/>
      <c r="O318" s="85"/>
      <c r="P318" s="85"/>
      <c r="Q318" s="85"/>
      <c r="R318" s="85"/>
      <c r="S318" s="85"/>
      <c r="T318" s="85"/>
      <c r="U318" s="85"/>
      <c r="V318" s="122"/>
      <c r="W318" s="139"/>
      <c r="X318" s="152"/>
      <c r="Y318" s="1414"/>
      <c r="Z318" s="1414"/>
      <c r="AA318" s="1414"/>
      <c r="AB318" s="1414"/>
      <c r="AC318" s="1414"/>
      <c r="AD318" s="1414"/>
      <c r="AE318" s="1399"/>
      <c r="AF318" s="190"/>
      <c r="AG318" s="190"/>
      <c r="AH318" s="190"/>
      <c r="AI318" s="190"/>
      <c r="AJ318" s="202"/>
      <c r="AK318" s="160"/>
    </row>
    <row r="319" spans="1:69" ht="7.5" customHeight="1" x14ac:dyDescent="0.2">
      <c r="A319" s="118"/>
      <c r="B319" s="17"/>
      <c r="C319" s="17"/>
      <c r="D319" s="16"/>
      <c r="E319" s="16"/>
      <c r="F319" s="16"/>
      <c r="G319" s="16"/>
      <c r="H319" s="16"/>
      <c r="I319" s="16"/>
      <c r="J319" s="12"/>
      <c r="K319" s="18"/>
      <c r="L319" s="18"/>
      <c r="M319" s="18"/>
      <c r="N319" s="18"/>
      <c r="O319" s="18"/>
      <c r="P319" s="18"/>
      <c r="Q319" s="18"/>
      <c r="R319" s="18"/>
      <c r="S319" s="18"/>
      <c r="T319" s="18"/>
      <c r="U319" s="19"/>
      <c r="V319" s="117"/>
      <c r="W319" s="137"/>
      <c r="X319" s="150"/>
      <c r="AJ319" s="184"/>
      <c r="AK319" s="157"/>
    </row>
    <row r="320" spans="1:69" ht="15" customHeight="1" x14ac:dyDescent="0.2">
      <c r="A320" s="1716"/>
      <c r="B320" s="1760"/>
      <c r="C320" s="1760"/>
      <c r="D320" s="1760"/>
      <c r="E320" s="1760"/>
      <c r="F320" s="1760"/>
      <c r="G320" s="1760"/>
      <c r="H320" s="1760"/>
      <c r="I320" s="1760"/>
      <c r="J320" s="1760"/>
      <c r="K320" s="1760"/>
      <c r="L320" s="1760"/>
      <c r="M320" s="1760"/>
      <c r="N320" s="1760"/>
      <c r="O320" s="1760"/>
      <c r="P320" s="1760"/>
      <c r="Q320" s="1760"/>
      <c r="R320" s="1760"/>
      <c r="S320" s="1760"/>
      <c r="T320" s="1760"/>
      <c r="U320" s="1760"/>
      <c r="V320" s="1761"/>
      <c r="W320" s="137"/>
      <c r="X320" s="150"/>
      <c r="AJ320" s="184"/>
      <c r="AK320" s="157"/>
    </row>
    <row r="321" spans="1:66" ht="11.25" customHeight="1" x14ac:dyDescent="0.2">
      <c r="A321" s="1765" t="str">
        <f>Home!$A$39</f>
        <v xml:space="preserve"> </v>
      </c>
      <c r="B321" s="1766"/>
      <c r="C321" s="1766"/>
      <c r="D321" s="1766"/>
      <c r="E321" s="1766"/>
      <c r="F321" s="1766"/>
      <c r="G321" s="1766"/>
      <c r="H321" s="1766"/>
      <c r="I321" s="1767"/>
      <c r="J321" s="1766"/>
      <c r="K321" s="1766"/>
      <c r="L321" s="1766"/>
      <c r="M321" s="1766"/>
      <c r="N321" s="1766"/>
      <c r="O321" s="1766"/>
      <c r="P321" s="1768"/>
      <c r="Q321" s="1766"/>
      <c r="R321" s="1766"/>
      <c r="S321" s="1766"/>
      <c r="T321" s="1767"/>
      <c r="U321" s="1766"/>
      <c r="V321" s="1769"/>
      <c r="W321" s="137"/>
      <c r="X321" s="150"/>
      <c r="AJ321" s="184"/>
      <c r="AK321" s="157"/>
    </row>
    <row r="322" spans="1:66" ht="11.25" customHeight="1" x14ac:dyDescent="0.2">
      <c r="A322" s="142"/>
      <c r="B322" s="9"/>
      <c r="C322" s="9"/>
      <c r="D322" s="9"/>
      <c r="E322" s="9"/>
      <c r="F322" s="58"/>
      <c r="G322" s="58"/>
      <c r="H322" s="58"/>
      <c r="I322" s="58"/>
      <c r="J322" s="114"/>
      <c r="K322" s="113"/>
      <c r="L322" s="113"/>
      <c r="M322" s="113"/>
      <c r="N322" s="113"/>
      <c r="O322" s="113"/>
      <c r="P322" s="113"/>
      <c r="Q322" s="113"/>
      <c r="R322" s="113"/>
      <c r="S322" s="113"/>
      <c r="T322" s="113"/>
      <c r="U322" s="113"/>
      <c r="V322" s="113"/>
      <c r="W322" s="137"/>
      <c r="X322" s="150"/>
      <c r="Y322" s="81"/>
      <c r="Z322" s="81"/>
      <c r="AA322" s="81"/>
      <c r="AB322" s="81"/>
      <c r="AC322" s="81"/>
      <c r="AD322" s="81"/>
      <c r="AE322" s="81"/>
      <c r="AJ322" s="81"/>
      <c r="AK322" s="161"/>
      <c r="AL322" s="82"/>
      <c r="AM322" s="81"/>
      <c r="AN322" s="81"/>
      <c r="AO322" s="184"/>
      <c r="AP322" s="184"/>
      <c r="AQ322" s="184"/>
      <c r="AR322" s="157"/>
      <c r="AZ322" s="81"/>
      <c r="BA322" s="81"/>
      <c r="BB322" s="81"/>
      <c r="BC322" s="81"/>
      <c r="BD322" s="81"/>
      <c r="BE322" s="81"/>
      <c r="BF322" s="81"/>
      <c r="BG322" s="81"/>
      <c r="BH322" s="81"/>
      <c r="BI322" s="81"/>
      <c r="BJ322" s="81"/>
      <c r="BK322" s="81"/>
      <c r="BL322" s="81"/>
      <c r="BM322" s="81"/>
      <c r="BN322" s="81"/>
    </row>
    <row r="323" spans="1:66" ht="11.25" customHeight="1" x14ac:dyDescent="0.2">
      <c r="A323" s="142"/>
      <c r="B323" s="1685" t="s">
        <v>82</v>
      </c>
      <c r="C323" s="1685"/>
      <c r="D323" s="1685"/>
      <c r="E323" s="1685"/>
      <c r="F323" s="1685"/>
      <c r="G323" s="1685"/>
      <c r="H323" s="1685"/>
      <c r="I323" s="1685"/>
      <c r="J323" s="12"/>
      <c r="K323" s="9"/>
      <c r="L323" s="9"/>
      <c r="M323" s="9"/>
      <c r="N323" s="9"/>
      <c r="O323" s="9"/>
      <c r="P323" s="9"/>
      <c r="Q323" s="9"/>
      <c r="R323" s="9"/>
      <c r="S323" s="9"/>
      <c r="T323" s="9"/>
      <c r="U323" s="9"/>
      <c r="V323" s="9"/>
      <c r="W323" s="137"/>
      <c r="X323" s="150"/>
      <c r="Y323" s="81"/>
      <c r="Z323" s="81"/>
      <c r="AA323" s="81"/>
      <c r="AB323" s="81"/>
      <c r="AC323" s="81"/>
      <c r="AD323" s="81"/>
      <c r="AE323" s="81"/>
      <c r="AJ323" s="81"/>
      <c r="AK323" s="161"/>
      <c r="AL323" s="82"/>
      <c r="AM323" s="81"/>
      <c r="AN323" s="81"/>
      <c r="AO323" s="184"/>
      <c r="AP323" s="184"/>
      <c r="AQ323" s="184"/>
      <c r="AR323" s="157"/>
      <c r="AT323" s="81"/>
      <c r="AU323" s="81"/>
      <c r="AV323" s="81"/>
      <c r="AW323" s="81"/>
      <c r="AX323" s="81"/>
      <c r="AY323" s="81"/>
    </row>
    <row r="324" spans="1:66" ht="11.25" customHeight="1" x14ac:dyDescent="0.2">
      <c r="A324" s="142"/>
      <c r="B324" s="1685"/>
      <c r="C324" s="1685"/>
      <c r="D324" s="1685"/>
      <c r="E324" s="1685"/>
      <c r="F324" s="1685"/>
      <c r="G324" s="1685"/>
      <c r="H324" s="1685"/>
      <c r="I324" s="1685"/>
      <c r="J324" s="12"/>
      <c r="K324" s="9"/>
      <c r="L324" s="9"/>
      <c r="M324" s="9"/>
      <c r="N324" s="9"/>
      <c r="O324" s="9"/>
      <c r="P324" s="9"/>
      <c r="Q324" s="9"/>
      <c r="R324" s="9"/>
      <c r="S324" s="9"/>
      <c r="T324" s="9"/>
      <c r="U324" s="9"/>
      <c r="V324" s="9"/>
      <c r="W324" s="137"/>
      <c r="X324" s="150"/>
      <c r="Y324" s="81"/>
      <c r="Z324" s="81"/>
      <c r="AA324" s="81"/>
      <c r="AB324" s="81"/>
      <c r="AC324" s="81"/>
      <c r="AD324" s="81"/>
      <c r="AE324" s="81"/>
      <c r="AJ324" s="81"/>
      <c r="AK324" s="161"/>
      <c r="AL324" s="82"/>
      <c r="AM324" s="81"/>
      <c r="AN324" s="81"/>
      <c r="AO324" s="184"/>
      <c r="AP324" s="184"/>
      <c r="AQ324" s="184"/>
      <c r="AR324" s="157"/>
    </row>
    <row r="325" spans="1:66" ht="11.25" customHeight="1" x14ac:dyDescent="0.2">
      <c r="A325" s="142"/>
      <c r="B325" s="1680" t="s">
        <v>800</v>
      </c>
      <c r="C325" s="1680"/>
      <c r="D325" s="1680"/>
      <c r="E325" s="1680"/>
      <c r="F325" s="1680"/>
      <c r="G325" s="1680"/>
      <c r="H325" s="1680"/>
      <c r="I325" s="1680"/>
      <c r="J325" s="12"/>
      <c r="K325" s="9"/>
      <c r="L325" s="9"/>
      <c r="M325" s="9"/>
      <c r="N325" s="9"/>
      <c r="O325" s="9"/>
      <c r="P325" s="9"/>
      <c r="Q325" s="9"/>
      <c r="R325" s="9"/>
      <c r="S325" s="9"/>
      <c r="T325" s="9"/>
      <c r="U325" s="9"/>
      <c r="V325" s="9"/>
      <c r="W325" s="137"/>
      <c r="X325" s="150"/>
      <c r="Y325" s="81"/>
      <c r="Z325" s="81"/>
      <c r="AA325" s="81"/>
      <c r="AB325" s="81"/>
      <c r="AC325" s="81"/>
      <c r="AD325" s="81"/>
      <c r="AE325" s="81"/>
      <c r="AJ325" s="81"/>
      <c r="AK325" s="161"/>
      <c r="AL325" s="82"/>
      <c r="AM325" s="81"/>
      <c r="AN325" s="81"/>
      <c r="AO325" s="184"/>
      <c r="AP325" s="184"/>
      <c r="AQ325" s="184"/>
      <c r="AR325" s="157"/>
    </row>
    <row r="326" spans="1:66" ht="11.25" customHeight="1" x14ac:dyDescent="0.2">
      <c r="A326" s="142"/>
      <c r="B326" s="1680"/>
      <c r="C326" s="1680"/>
      <c r="D326" s="1680"/>
      <c r="E326" s="1680"/>
      <c r="F326" s="1680"/>
      <c r="G326" s="1680"/>
      <c r="H326" s="1680"/>
      <c r="I326" s="1680"/>
      <c r="J326" s="12"/>
      <c r="K326" s="9"/>
      <c r="L326" s="9"/>
      <c r="M326" s="9"/>
      <c r="N326" s="9"/>
      <c r="O326" s="9"/>
      <c r="P326" s="9"/>
      <c r="Q326" s="9"/>
      <c r="R326" s="9"/>
      <c r="S326" s="9"/>
      <c r="T326" s="9"/>
      <c r="U326" s="9"/>
      <c r="V326" s="9"/>
      <c r="W326" s="137"/>
      <c r="X326" s="150"/>
      <c r="Y326" s="81"/>
      <c r="Z326" s="81"/>
      <c r="AA326" s="81"/>
      <c r="AB326" s="81"/>
      <c r="AC326" s="81"/>
      <c r="AD326" s="81"/>
      <c r="AE326" s="81"/>
      <c r="AJ326" s="81"/>
      <c r="AK326" s="161"/>
      <c r="AL326" s="82"/>
      <c r="AM326" s="81"/>
      <c r="AN326" s="81"/>
      <c r="AO326" s="188"/>
      <c r="AP326" s="188"/>
      <c r="AQ326" s="188"/>
      <c r="AR326" s="158"/>
    </row>
    <row r="327" spans="1:66" s="76" customFormat="1" ht="11.25" hidden="1" customHeight="1" x14ac:dyDescent="0.2">
      <c r="A327" s="142"/>
      <c r="B327" s="1680" t="s">
        <v>81</v>
      </c>
      <c r="C327" s="1680"/>
      <c r="D327" s="1680"/>
      <c r="E327" s="1680"/>
      <c r="F327" s="1680"/>
      <c r="G327" s="1680"/>
      <c r="H327" s="1680"/>
      <c r="I327" s="1680"/>
      <c r="J327" s="14"/>
      <c r="K327" s="14"/>
      <c r="L327" s="14"/>
      <c r="M327" s="14"/>
      <c r="N327" s="14"/>
      <c r="O327" s="14"/>
      <c r="P327" s="14"/>
      <c r="Q327" s="14"/>
      <c r="R327" s="14"/>
      <c r="S327" s="14"/>
      <c r="T327" s="14"/>
      <c r="U327" s="14"/>
      <c r="V327" s="14"/>
      <c r="W327" s="140"/>
      <c r="X327" s="154"/>
      <c r="Y327" s="81"/>
      <c r="Z327" s="81"/>
      <c r="AA327" s="81"/>
      <c r="AB327" s="81"/>
      <c r="AC327" s="81"/>
      <c r="AD327" s="81"/>
      <c r="AE327" s="81"/>
      <c r="AF327" s="81"/>
      <c r="AG327" s="81"/>
      <c r="AH327" s="81"/>
      <c r="AI327" s="81"/>
      <c r="AJ327" s="81"/>
      <c r="AK327" s="161"/>
      <c r="AL327" s="82"/>
      <c r="AM327" s="81"/>
      <c r="AN327" s="81"/>
      <c r="AO327" s="184"/>
      <c r="AP327" s="184"/>
      <c r="AQ327" s="184"/>
      <c r="AR327" s="157"/>
    </row>
    <row r="328" spans="1:66" ht="11.25" hidden="1" customHeight="1" x14ac:dyDescent="0.2">
      <c r="A328" s="142"/>
      <c r="B328" s="1680"/>
      <c r="C328" s="1680"/>
      <c r="D328" s="1680"/>
      <c r="E328" s="1680"/>
      <c r="F328" s="1680"/>
      <c r="G328" s="1680"/>
      <c r="H328" s="1680"/>
      <c r="I328" s="1680"/>
      <c r="J328" s="12"/>
      <c r="K328" s="9"/>
      <c r="L328" s="9"/>
      <c r="M328" s="9"/>
      <c r="N328" s="9"/>
      <c r="O328" s="9"/>
      <c r="P328" s="9"/>
      <c r="Q328" s="9"/>
      <c r="R328" s="9"/>
      <c r="S328" s="9"/>
      <c r="T328" s="9"/>
      <c r="U328" s="9"/>
      <c r="V328" s="9"/>
      <c r="W328" s="137"/>
      <c r="X328" s="150"/>
      <c r="Y328" s="81"/>
      <c r="Z328" s="81"/>
      <c r="AA328" s="81"/>
      <c r="AB328" s="81"/>
      <c r="AC328" s="81"/>
      <c r="AD328" s="81"/>
      <c r="AE328" s="81"/>
      <c r="AJ328" s="81"/>
      <c r="AK328" s="161"/>
      <c r="AL328" s="82"/>
      <c r="AM328" s="81"/>
      <c r="AN328" s="81"/>
      <c r="AO328" s="184"/>
      <c r="AP328" s="184"/>
      <c r="AQ328" s="184"/>
      <c r="AR328" s="157"/>
    </row>
    <row r="329" spans="1:66" ht="11.25" customHeight="1" x14ac:dyDescent="0.2">
      <c r="A329" s="142"/>
      <c r="B329" s="1680" t="s">
        <v>78</v>
      </c>
      <c r="C329" s="1680"/>
      <c r="D329" s="1680"/>
      <c r="E329" s="1680"/>
      <c r="F329" s="1680"/>
      <c r="G329" s="1680"/>
      <c r="H329" s="1680"/>
      <c r="I329" s="1680"/>
      <c r="J329" s="12"/>
      <c r="K329" s="9"/>
      <c r="L329" s="9"/>
      <c r="M329" s="9"/>
      <c r="N329" s="9"/>
      <c r="O329" s="9"/>
      <c r="P329" s="9"/>
      <c r="Q329" s="9"/>
      <c r="R329" s="9"/>
      <c r="S329" s="9"/>
      <c r="T329" s="9"/>
      <c r="U329" s="9"/>
      <c r="V329" s="9"/>
      <c r="W329" s="137"/>
      <c r="X329" s="150"/>
      <c r="Y329" s="81"/>
      <c r="Z329" s="81"/>
      <c r="AA329" s="81"/>
      <c r="AB329" s="81"/>
      <c r="AC329" s="81"/>
      <c r="AD329" s="81"/>
      <c r="AE329" s="81"/>
      <c r="AJ329" s="81"/>
      <c r="AK329" s="161"/>
      <c r="AL329" s="82"/>
      <c r="AM329" s="81"/>
      <c r="AN329" s="81"/>
      <c r="AO329" s="184"/>
      <c r="AP329" s="184"/>
      <c r="AQ329" s="184"/>
      <c r="AR329" s="157"/>
      <c r="AS329" s="76"/>
      <c r="AT329" s="76"/>
    </row>
    <row r="330" spans="1:66" ht="11.25" customHeight="1" x14ac:dyDescent="0.2">
      <c r="A330" s="142"/>
      <c r="B330" s="1680"/>
      <c r="C330" s="1680"/>
      <c r="D330" s="1680"/>
      <c r="E330" s="1680"/>
      <c r="F330" s="1680"/>
      <c r="G330" s="1680"/>
      <c r="H330" s="1680"/>
      <c r="I330" s="1680"/>
      <c r="J330" s="12"/>
      <c r="K330" s="9"/>
      <c r="L330" s="9"/>
      <c r="M330" s="9"/>
      <c r="N330" s="9"/>
      <c r="O330" s="9"/>
      <c r="P330" s="9"/>
      <c r="Q330" s="9"/>
      <c r="R330" s="9"/>
      <c r="S330" s="9"/>
      <c r="T330" s="9"/>
      <c r="U330" s="9"/>
      <c r="V330" s="9"/>
      <c r="W330" s="137"/>
      <c r="X330" s="150"/>
      <c r="Y330" s="81"/>
      <c r="Z330" s="81"/>
      <c r="AA330" s="81"/>
      <c r="AB330" s="81"/>
      <c r="AC330" s="81"/>
      <c r="AD330" s="81"/>
      <c r="AE330" s="81"/>
      <c r="AJ330" s="81"/>
      <c r="AK330" s="161"/>
      <c r="AL330" s="82"/>
      <c r="AM330" s="81"/>
      <c r="AN330" s="81"/>
      <c r="AO330" s="184"/>
      <c r="AP330" s="184"/>
      <c r="AQ330" s="184"/>
      <c r="AR330" s="157"/>
    </row>
    <row r="331" spans="1:66" ht="11.25" customHeight="1" x14ac:dyDescent="0.2">
      <c r="A331" s="142"/>
      <c r="B331" s="1680" t="s">
        <v>17</v>
      </c>
      <c r="C331" s="1680"/>
      <c r="D331" s="1680"/>
      <c r="E331" s="1680"/>
      <c r="F331" s="1680"/>
      <c r="G331" s="1680"/>
      <c r="H331" s="1680"/>
      <c r="I331" s="1680"/>
      <c r="J331" s="12"/>
      <c r="K331" s="9"/>
      <c r="L331" s="9"/>
      <c r="M331" s="9"/>
      <c r="N331" s="9"/>
      <c r="O331" s="9"/>
      <c r="P331" s="9"/>
      <c r="Q331" s="9"/>
      <c r="R331" s="9"/>
      <c r="S331" s="9"/>
      <c r="T331" s="9"/>
      <c r="U331" s="9"/>
      <c r="V331" s="11"/>
      <c r="W331" s="252"/>
      <c r="X331" s="150"/>
      <c r="Y331" s="81"/>
      <c r="Z331" s="81"/>
      <c r="AA331" s="74"/>
      <c r="AB331" s="74"/>
      <c r="AC331" s="81"/>
      <c r="AD331" s="81"/>
      <c r="AE331" s="81"/>
      <c r="AJ331" s="81"/>
      <c r="AK331" s="161"/>
      <c r="AL331" s="82"/>
      <c r="AM331" s="81"/>
      <c r="AN331" s="81"/>
      <c r="AO331" s="184"/>
      <c r="AP331" s="184"/>
      <c r="AQ331" s="184"/>
      <c r="AR331" s="157"/>
      <c r="AS331" s="76"/>
      <c r="AT331" s="76"/>
    </row>
    <row r="332" spans="1:66" ht="11.25" customHeight="1" x14ac:dyDescent="0.2">
      <c r="A332" s="142"/>
      <c r="B332" s="1680"/>
      <c r="C332" s="1680"/>
      <c r="D332" s="1680"/>
      <c r="E332" s="1680"/>
      <c r="F332" s="1680"/>
      <c r="G332" s="1680"/>
      <c r="H332" s="1680"/>
      <c r="I332" s="1680"/>
      <c r="J332" s="12"/>
      <c r="K332" s="9"/>
      <c r="L332" s="9"/>
      <c r="M332" s="9"/>
      <c r="N332" s="9"/>
      <c r="O332" s="9"/>
      <c r="P332" s="9"/>
      <c r="Q332" s="9"/>
      <c r="R332" s="9"/>
      <c r="S332" s="9"/>
      <c r="T332" s="9"/>
      <c r="U332" s="9"/>
      <c r="V332" s="11"/>
      <c r="W332" s="252"/>
      <c r="X332" s="150"/>
      <c r="Y332" s="81"/>
      <c r="Z332" s="81"/>
      <c r="AA332" s="74"/>
      <c r="AB332" s="74"/>
      <c r="AC332" s="81"/>
      <c r="AD332" s="81"/>
      <c r="AE332" s="81"/>
      <c r="AJ332" s="81"/>
      <c r="AK332" s="161"/>
      <c r="AL332" s="82"/>
      <c r="AM332" s="81"/>
      <c r="AN332" s="81"/>
      <c r="AO332" s="184"/>
      <c r="AP332" s="184"/>
      <c r="AQ332" s="184"/>
      <c r="AR332" s="157"/>
    </row>
    <row r="333" spans="1:66" ht="11.25" customHeight="1" x14ac:dyDescent="0.2">
      <c r="A333" s="142"/>
      <c r="B333" s="1680" t="s">
        <v>80</v>
      </c>
      <c r="C333" s="1680"/>
      <c r="D333" s="1680"/>
      <c r="E333" s="1680"/>
      <c r="F333" s="1680"/>
      <c r="G333" s="1680"/>
      <c r="H333" s="1680"/>
      <c r="I333" s="1680"/>
      <c r="J333" s="12"/>
      <c r="K333" s="9"/>
      <c r="L333" s="9"/>
      <c r="M333" s="9"/>
      <c r="N333" s="9"/>
      <c r="O333" s="9"/>
      <c r="P333" s="9"/>
      <c r="Q333" s="9"/>
      <c r="R333" s="9"/>
      <c r="S333" s="9"/>
      <c r="T333" s="9"/>
      <c r="U333" s="9"/>
      <c r="V333" s="11"/>
      <c r="W333" s="252"/>
      <c r="X333" s="150"/>
      <c r="Y333" s="81"/>
      <c r="Z333" s="81"/>
      <c r="AA333" s="74"/>
      <c r="AB333" s="74"/>
      <c r="AC333" s="81"/>
      <c r="AD333" s="81"/>
      <c r="AE333" s="81"/>
      <c r="AJ333" s="81"/>
      <c r="AK333" s="161"/>
      <c r="AL333" s="82"/>
      <c r="AM333" s="81"/>
      <c r="AN333" s="81"/>
      <c r="AO333" s="184"/>
      <c r="AP333" s="184"/>
      <c r="AQ333" s="184"/>
      <c r="AR333" s="157"/>
      <c r="AS333" s="76"/>
      <c r="AT333" s="76"/>
    </row>
    <row r="334" spans="1:66" ht="11.25" customHeight="1" x14ac:dyDescent="0.2">
      <c r="A334" s="142"/>
      <c r="B334" s="1680"/>
      <c r="C334" s="1680"/>
      <c r="D334" s="1680"/>
      <c r="E334" s="1680"/>
      <c r="F334" s="1680"/>
      <c r="G334" s="1680"/>
      <c r="H334" s="1680"/>
      <c r="I334" s="1680"/>
      <c r="J334" s="12"/>
      <c r="K334" s="9"/>
      <c r="L334" s="9"/>
      <c r="M334" s="9"/>
      <c r="N334" s="9"/>
      <c r="O334" s="9"/>
      <c r="P334" s="9"/>
      <c r="Q334" s="9"/>
      <c r="R334" s="9"/>
      <c r="S334" s="9"/>
      <c r="T334" s="9"/>
      <c r="U334" s="9"/>
      <c r="V334" s="11"/>
      <c r="W334" s="252"/>
      <c r="X334" s="150"/>
      <c r="Y334" s="81"/>
      <c r="Z334" s="81"/>
      <c r="AA334" s="74"/>
      <c r="AB334" s="74"/>
      <c r="AC334" s="81"/>
      <c r="AD334" s="81"/>
      <c r="AE334" s="81"/>
      <c r="AJ334" s="81"/>
      <c r="AK334" s="161"/>
      <c r="AL334" s="82"/>
      <c r="AM334" s="81"/>
      <c r="AN334" s="81"/>
      <c r="AO334" s="184"/>
      <c r="AP334" s="184"/>
      <c r="AQ334" s="184"/>
      <c r="AR334" s="157"/>
    </row>
    <row r="335" spans="1:66" ht="11.25" customHeight="1" x14ac:dyDescent="0.2">
      <c r="A335" s="142"/>
      <c r="B335" s="1680" t="s">
        <v>69</v>
      </c>
      <c r="C335" s="1680"/>
      <c r="D335" s="1680"/>
      <c r="E335" s="1680"/>
      <c r="F335" s="1680"/>
      <c r="G335" s="1680"/>
      <c r="H335" s="1680"/>
      <c r="I335" s="1680"/>
      <c r="J335" s="12"/>
      <c r="K335" s="9"/>
      <c r="L335" s="9"/>
      <c r="M335" s="9"/>
      <c r="N335" s="9"/>
      <c r="O335" s="9"/>
      <c r="P335" s="9"/>
      <c r="Q335" s="9"/>
      <c r="R335" s="9"/>
      <c r="S335" s="9"/>
      <c r="T335" s="9"/>
      <c r="U335" s="9"/>
      <c r="V335" s="11"/>
      <c r="W335" s="252"/>
      <c r="X335" s="150"/>
      <c r="Y335" s="81"/>
      <c r="Z335" s="81"/>
      <c r="AA335" s="74"/>
      <c r="AB335" s="74"/>
      <c r="AC335" s="81"/>
      <c r="AD335" s="81"/>
      <c r="AE335" s="81"/>
      <c r="AJ335" s="81"/>
      <c r="AK335" s="161"/>
      <c r="AL335" s="82"/>
      <c r="AM335" s="81"/>
      <c r="AN335" s="81"/>
      <c r="AO335" s="184"/>
      <c r="AP335" s="184"/>
      <c r="AQ335" s="184"/>
      <c r="AR335" s="157"/>
      <c r="AS335" s="76"/>
      <c r="AT335" s="76"/>
    </row>
    <row r="336" spans="1:66" ht="11.25" customHeight="1" x14ac:dyDescent="0.2">
      <c r="A336" s="142"/>
      <c r="B336" s="1680"/>
      <c r="C336" s="1680"/>
      <c r="D336" s="1680"/>
      <c r="E336" s="1680"/>
      <c r="F336" s="1680"/>
      <c r="G336" s="1680"/>
      <c r="H336" s="1680"/>
      <c r="I336" s="1680"/>
      <c r="J336" s="12"/>
      <c r="K336" s="9"/>
      <c r="L336" s="9"/>
      <c r="M336" s="9"/>
      <c r="N336" s="9"/>
      <c r="O336" s="9"/>
      <c r="P336" s="9"/>
      <c r="Q336" s="9"/>
      <c r="R336" s="9"/>
      <c r="S336" s="9"/>
      <c r="T336" s="9"/>
      <c r="U336" s="9"/>
      <c r="V336" s="11"/>
      <c r="W336" s="252"/>
      <c r="X336" s="150"/>
      <c r="Y336" s="81"/>
      <c r="Z336" s="81"/>
      <c r="AA336" s="74"/>
      <c r="AB336" s="74"/>
      <c r="AC336" s="81"/>
      <c r="AD336" s="81"/>
      <c r="AE336" s="81"/>
      <c r="AJ336" s="81"/>
      <c r="AK336" s="161"/>
      <c r="AL336" s="82"/>
      <c r="AM336" s="81"/>
      <c r="AN336" s="81"/>
      <c r="AO336" s="184"/>
      <c r="AP336" s="184"/>
      <c r="AQ336" s="184"/>
      <c r="AR336" s="157"/>
    </row>
    <row r="337" spans="1:46" ht="11.25" customHeight="1" x14ac:dyDescent="0.2">
      <c r="A337" s="142"/>
      <c r="B337" s="1680" t="s">
        <v>24</v>
      </c>
      <c r="C337" s="1680"/>
      <c r="D337" s="1680"/>
      <c r="E337" s="1680"/>
      <c r="F337" s="1680"/>
      <c r="G337" s="1680"/>
      <c r="H337" s="1680"/>
      <c r="I337" s="1680"/>
      <c r="J337" s="12"/>
      <c r="K337" s="9"/>
      <c r="L337" s="9"/>
      <c r="M337" s="9"/>
      <c r="N337" s="9"/>
      <c r="O337" s="9"/>
      <c r="P337" s="9"/>
      <c r="Q337" s="9"/>
      <c r="R337" s="9"/>
      <c r="S337" s="9"/>
      <c r="T337" s="9"/>
      <c r="U337" s="9"/>
      <c r="V337" s="9"/>
      <c r="W337" s="137"/>
      <c r="X337" s="150"/>
      <c r="Y337" s="81"/>
      <c r="Z337" s="81"/>
      <c r="AA337" s="81"/>
      <c r="AB337" s="81"/>
      <c r="AC337" s="81"/>
      <c r="AD337" s="81"/>
      <c r="AE337" s="81"/>
      <c r="AJ337" s="81"/>
      <c r="AK337" s="161"/>
      <c r="AL337" s="82"/>
      <c r="AM337" s="81"/>
      <c r="AN337" s="81"/>
      <c r="AO337" s="184"/>
      <c r="AP337" s="184"/>
      <c r="AQ337" s="184"/>
      <c r="AR337" s="157"/>
      <c r="AS337" s="76"/>
      <c r="AT337" s="76"/>
    </row>
    <row r="338" spans="1:46" ht="11.25" customHeight="1" x14ac:dyDescent="0.2">
      <c r="A338" s="142"/>
      <c r="B338" s="1680"/>
      <c r="C338" s="1680"/>
      <c r="D338" s="1680"/>
      <c r="E338" s="1680"/>
      <c r="F338" s="1680"/>
      <c r="G338" s="1680"/>
      <c r="H338" s="1680"/>
      <c r="I338" s="1680"/>
      <c r="J338" s="12"/>
      <c r="K338" s="9"/>
      <c r="L338" s="9"/>
      <c r="M338" s="9"/>
      <c r="N338" s="9"/>
      <c r="O338" s="9"/>
      <c r="P338" s="9"/>
      <c r="Q338" s="9"/>
      <c r="R338" s="9"/>
      <c r="S338" s="9"/>
      <c r="T338" s="9"/>
      <c r="U338" s="9"/>
      <c r="V338" s="9"/>
      <c r="W338" s="137"/>
      <c r="X338" s="150"/>
      <c r="Y338" s="81"/>
      <c r="Z338" s="81"/>
      <c r="AA338" s="81"/>
      <c r="AB338" s="81"/>
      <c r="AC338" s="81"/>
      <c r="AD338" s="81"/>
      <c r="AE338" s="81"/>
      <c r="AJ338" s="81"/>
      <c r="AK338" s="161"/>
      <c r="AL338" s="82"/>
      <c r="AM338" s="81"/>
      <c r="AN338" s="81"/>
      <c r="AO338" s="184"/>
      <c r="AP338" s="184"/>
      <c r="AQ338" s="184"/>
      <c r="AR338" s="157"/>
    </row>
    <row r="339" spans="1:46" ht="11.25" customHeight="1" x14ac:dyDescent="0.2">
      <c r="A339" s="142"/>
      <c r="B339" s="1680" t="s">
        <v>22</v>
      </c>
      <c r="C339" s="1680"/>
      <c r="D339" s="1680"/>
      <c r="E339" s="1680"/>
      <c r="F339" s="1680"/>
      <c r="G339" s="1680"/>
      <c r="H339" s="1680"/>
      <c r="I339" s="1680"/>
      <c r="J339" s="12"/>
      <c r="K339" s="9"/>
      <c r="L339" s="9"/>
      <c r="M339" s="9"/>
      <c r="N339" s="9"/>
      <c r="O339" s="9"/>
      <c r="P339" s="9"/>
      <c r="Q339" s="9"/>
      <c r="R339" s="9"/>
      <c r="S339" s="9"/>
      <c r="T339" s="9"/>
      <c r="U339" s="9"/>
      <c r="V339" s="9"/>
      <c r="W339" s="137"/>
      <c r="X339" s="150"/>
      <c r="Y339" s="81"/>
      <c r="Z339" s="81"/>
      <c r="AA339" s="81"/>
      <c r="AB339" s="81"/>
      <c r="AC339" s="81"/>
      <c r="AD339" s="81"/>
      <c r="AE339" s="81"/>
      <c r="AJ339" s="81"/>
      <c r="AK339" s="161"/>
      <c r="AL339" s="82"/>
      <c r="AM339" s="81"/>
      <c r="AN339" s="81"/>
      <c r="AO339" s="184"/>
      <c r="AP339" s="184"/>
      <c r="AQ339" s="184"/>
      <c r="AR339" s="157"/>
      <c r="AS339" s="76"/>
      <c r="AT339" s="76"/>
    </row>
    <row r="340" spans="1:46" ht="11.25" customHeight="1" x14ac:dyDescent="0.2">
      <c r="A340" s="142"/>
      <c r="B340" s="1680"/>
      <c r="C340" s="1680"/>
      <c r="D340" s="1680"/>
      <c r="E340" s="1680"/>
      <c r="F340" s="1680"/>
      <c r="G340" s="1680"/>
      <c r="H340" s="1680"/>
      <c r="I340" s="1680"/>
      <c r="J340" s="12"/>
      <c r="K340" s="9"/>
      <c r="L340" s="9"/>
      <c r="M340" s="9"/>
      <c r="N340" s="9"/>
      <c r="O340" s="9"/>
      <c r="P340" s="9"/>
      <c r="Q340" s="9"/>
      <c r="R340" s="9"/>
      <c r="S340" s="9"/>
      <c r="T340" s="9"/>
      <c r="U340" s="9"/>
      <c r="V340" s="9"/>
      <c r="W340" s="137"/>
      <c r="X340" s="150"/>
      <c r="Y340" s="81"/>
      <c r="Z340" s="81"/>
      <c r="AA340" s="81"/>
      <c r="AB340" s="81"/>
      <c r="AC340" s="81"/>
      <c r="AD340" s="81"/>
      <c r="AE340" s="81"/>
      <c r="AJ340" s="81"/>
      <c r="AK340" s="161"/>
      <c r="AL340" s="82"/>
      <c r="AM340" s="81"/>
      <c r="AN340" s="81"/>
      <c r="AO340" s="184"/>
      <c r="AP340" s="184"/>
      <c r="AQ340" s="184"/>
      <c r="AR340" s="157"/>
    </row>
    <row r="341" spans="1:46" ht="11.25" customHeight="1" x14ac:dyDescent="0.2">
      <c r="A341" s="142"/>
      <c r="B341" s="1680" t="s">
        <v>25</v>
      </c>
      <c r="C341" s="1680"/>
      <c r="D341" s="1680"/>
      <c r="E341" s="1680"/>
      <c r="F341" s="1680"/>
      <c r="G341" s="1680"/>
      <c r="H341" s="1680"/>
      <c r="I341" s="1680"/>
      <c r="J341" s="12"/>
      <c r="K341" s="9"/>
      <c r="L341" s="9"/>
      <c r="M341" s="9"/>
      <c r="N341" s="9"/>
      <c r="O341" s="9"/>
      <c r="P341" s="9"/>
      <c r="Q341" s="9"/>
      <c r="R341" s="9"/>
      <c r="S341" s="9"/>
      <c r="T341" s="9"/>
      <c r="U341" s="9"/>
      <c r="V341" s="9"/>
      <c r="W341" s="137"/>
      <c r="X341" s="150"/>
      <c r="Y341" s="81"/>
      <c r="Z341" s="81"/>
      <c r="AA341" s="81"/>
      <c r="AB341" s="81"/>
      <c r="AC341" s="81"/>
      <c r="AD341" s="81"/>
      <c r="AE341" s="81"/>
      <c r="AJ341" s="81"/>
      <c r="AK341" s="161"/>
      <c r="AL341" s="82"/>
      <c r="AM341" s="81"/>
      <c r="AN341" s="81"/>
      <c r="AO341" s="184"/>
      <c r="AP341" s="184"/>
      <c r="AQ341" s="184"/>
      <c r="AR341" s="157"/>
      <c r="AS341" s="76"/>
      <c r="AT341" s="76"/>
    </row>
    <row r="342" spans="1:46" ht="11.25" customHeight="1" x14ac:dyDescent="0.2">
      <c r="A342" s="142"/>
      <c r="B342" s="1680"/>
      <c r="C342" s="1680"/>
      <c r="D342" s="1680"/>
      <c r="E342" s="1680"/>
      <c r="F342" s="1680"/>
      <c r="G342" s="1680"/>
      <c r="H342" s="1680"/>
      <c r="I342" s="1680"/>
      <c r="J342" s="12"/>
      <c r="K342" s="9"/>
      <c r="L342" s="9"/>
      <c r="M342" s="9"/>
      <c r="N342" s="9"/>
      <c r="O342" s="9"/>
      <c r="P342" s="9"/>
      <c r="Q342" s="9"/>
      <c r="R342" s="9"/>
      <c r="S342" s="9"/>
      <c r="T342" s="9"/>
      <c r="U342" s="9"/>
      <c r="V342" s="9"/>
      <c r="W342" s="137"/>
      <c r="X342" s="150"/>
      <c r="Y342" s="81"/>
      <c r="Z342" s="81"/>
      <c r="AA342" s="81"/>
      <c r="AB342" s="81"/>
      <c r="AC342" s="81"/>
      <c r="AD342" s="81"/>
      <c r="AE342" s="81"/>
      <c r="AJ342" s="81"/>
      <c r="AK342" s="161"/>
      <c r="AL342" s="82"/>
      <c r="AM342" s="81"/>
      <c r="AN342" s="81"/>
      <c r="AO342" s="184"/>
      <c r="AP342" s="184"/>
      <c r="AQ342" s="184"/>
      <c r="AR342" s="157"/>
    </row>
    <row r="343" spans="1:46" ht="11.25" customHeight="1" x14ac:dyDescent="0.2">
      <c r="A343" s="142"/>
      <c r="B343" s="1680" t="s">
        <v>18</v>
      </c>
      <c r="C343" s="1680"/>
      <c r="D343" s="1680"/>
      <c r="E343" s="1680"/>
      <c r="F343" s="1680"/>
      <c r="G343" s="1680"/>
      <c r="H343" s="1680"/>
      <c r="I343" s="1680"/>
      <c r="J343" s="12"/>
      <c r="K343" s="9"/>
      <c r="L343" s="9"/>
      <c r="M343" s="9"/>
      <c r="N343" s="9"/>
      <c r="O343" s="9"/>
      <c r="P343" s="9"/>
      <c r="Q343" s="9"/>
      <c r="R343" s="9"/>
      <c r="S343" s="9"/>
      <c r="T343" s="9"/>
      <c r="U343" s="9"/>
      <c r="V343" s="9"/>
      <c r="W343" s="137"/>
      <c r="X343" s="150"/>
      <c r="Y343" s="81"/>
      <c r="Z343" s="81"/>
      <c r="AA343" s="81"/>
      <c r="AB343" s="81"/>
      <c r="AC343" s="81"/>
      <c r="AD343" s="81"/>
      <c r="AE343" s="81"/>
      <c r="AJ343" s="81"/>
      <c r="AK343" s="161"/>
      <c r="AL343" s="82"/>
      <c r="AM343" s="81"/>
      <c r="AN343" s="81"/>
      <c r="AO343" s="184"/>
      <c r="AP343" s="184"/>
      <c r="AQ343" s="184"/>
      <c r="AR343" s="157"/>
    </row>
    <row r="344" spans="1:46" ht="11.25" customHeight="1" x14ac:dyDescent="0.2">
      <c r="A344" s="142"/>
      <c r="B344" s="1680"/>
      <c r="C344" s="1680"/>
      <c r="D344" s="1680"/>
      <c r="E344" s="1680"/>
      <c r="F344" s="1680"/>
      <c r="G344" s="1680"/>
      <c r="H344" s="1680"/>
      <c r="I344" s="1680"/>
      <c r="J344" s="12"/>
      <c r="K344" s="9"/>
      <c r="L344" s="9"/>
      <c r="M344" s="9"/>
      <c r="N344" s="9"/>
      <c r="O344" s="9"/>
      <c r="P344" s="9"/>
      <c r="Q344" s="9"/>
      <c r="R344" s="9"/>
      <c r="S344" s="9"/>
      <c r="T344" s="9"/>
      <c r="U344" s="9"/>
      <c r="V344" s="9"/>
      <c r="W344" s="137"/>
      <c r="X344" s="150"/>
      <c r="Y344" s="81"/>
      <c r="Z344" s="81"/>
      <c r="AA344" s="81"/>
      <c r="AB344" s="81"/>
      <c r="AC344" s="81"/>
      <c r="AD344" s="81"/>
      <c r="AE344" s="81"/>
      <c r="AJ344" s="81"/>
      <c r="AK344" s="161"/>
      <c r="AL344" s="82"/>
      <c r="AM344" s="81"/>
      <c r="AN344" s="81"/>
      <c r="AO344" s="184"/>
      <c r="AP344" s="184"/>
      <c r="AQ344" s="184"/>
      <c r="AR344" s="157"/>
    </row>
    <row r="345" spans="1:46" ht="11.25" customHeight="1" x14ac:dyDescent="0.2">
      <c r="A345" s="142"/>
      <c r="B345" s="1680" t="s">
        <v>19</v>
      </c>
      <c r="C345" s="1680"/>
      <c r="D345" s="1680"/>
      <c r="E345" s="1680"/>
      <c r="F345" s="1680"/>
      <c r="G345" s="1680"/>
      <c r="H345" s="1680"/>
      <c r="I345" s="1680"/>
      <c r="J345" s="12"/>
      <c r="K345" s="9"/>
      <c r="L345" s="9"/>
      <c r="M345" s="9"/>
      <c r="N345" s="9"/>
      <c r="O345" s="9"/>
      <c r="P345" s="9"/>
      <c r="Q345" s="9"/>
      <c r="R345" s="9"/>
      <c r="S345" s="9"/>
      <c r="T345" s="9"/>
      <c r="U345" s="9"/>
      <c r="V345" s="9"/>
      <c r="W345" s="137"/>
      <c r="X345" s="150"/>
      <c r="Y345" s="81"/>
      <c r="Z345" s="81"/>
      <c r="AA345" s="81"/>
      <c r="AB345" s="81"/>
      <c r="AC345" s="81"/>
      <c r="AD345" s="81"/>
      <c r="AE345" s="81"/>
      <c r="AJ345" s="81"/>
      <c r="AK345" s="161"/>
      <c r="AL345" s="82"/>
      <c r="AM345" s="81"/>
      <c r="AN345" s="81"/>
      <c r="AO345" s="184"/>
      <c r="AP345" s="184"/>
      <c r="AQ345" s="184"/>
      <c r="AR345" s="157"/>
    </row>
    <row r="346" spans="1:46" ht="11.25" customHeight="1" x14ac:dyDescent="0.2">
      <c r="A346" s="142"/>
      <c r="B346" s="1680"/>
      <c r="C346" s="1680"/>
      <c r="D346" s="1680"/>
      <c r="E346" s="1680"/>
      <c r="F346" s="1680"/>
      <c r="G346" s="1680"/>
      <c r="H346" s="1680"/>
      <c r="I346" s="1680"/>
      <c r="J346" s="12"/>
      <c r="K346" s="9"/>
      <c r="L346" s="9"/>
      <c r="M346" s="9"/>
      <c r="N346" s="9"/>
      <c r="O346" s="9"/>
      <c r="P346" s="9"/>
      <c r="Q346" s="9"/>
      <c r="R346" s="9"/>
      <c r="S346" s="9"/>
      <c r="T346" s="9"/>
      <c r="U346" s="9"/>
      <c r="V346" s="9"/>
      <c r="W346" s="137"/>
      <c r="X346" s="150"/>
      <c r="Y346" s="81"/>
      <c r="Z346" s="81"/>
      <c r="AA346" s="81"/>
      <c r="AB346" s="81"/>
      <c r="AC346" s="81"/>
      <c r="AD346" s="81"/>
      <c r="AE346" s="81"/>
      <c r="AJ346" s="81"/>
      <c r="AK346" s="161"/>
      <c r="AL346" s="82"/>
      <c r="AM346" s="81"/>
      <c r="AN346" s="81"/>
      <c r="AO346" s="184"/>
      <c r="AP346" s="184"/>
      <c r="AQ346" s="184"/>
      <c r="AR346" s="157"/>
    </row>
    <row r="347" spans="1:46" ht="11.25" customHeight="1" x14ac:dyDescent="0.2">
      <c r="A347" s="142"/>
      <c r="B347" s="1680" t="s">
        <v>20</v>
      </c>
      <c r="C347" s="1680"/>
      <c r="D347" s="1680"/>
      <c r="E347" s="1680"/>
      <c r="F347" s="1680"/>
      <c r="G347" s="1680"/>
      <c r="H347" s="1680"/>
      <c r="I347" s="1680"/>
      <c r="J347" s="12"/>
      <c r="K347" s="9"/>
      <c r="L347" s="9"/>
      <c r="M347" s="9"/>
      <c r="N347" s="9"/>
      <c r="O347" s="9"/>
      <c r="P347" s="9"/>
      <c r="Q347" s="9"/>
      <c r="R347" s="9"/>
      <c r="S347" s="9"/>
      <c r="T347" s="9"/>
      <c r="U347" s="9"/>
      <c r="V347" s="9"/>
      <c r="W347" s="137"/>
      <c r="X347" s="150"/>
      <c r="Y347" s="81"/>
      <c r="Z347" s="81"/>
      <c r="AA347" s="81"/>
      <c r="AB347" s="81"/>
      <c r="AC347" s="81"/>
      <c r="AD347" s="81"/>
      <c r="AE347" s="81"/>
      <c r="AJ347" s="81"/>
      <c r="AK347" s="161"/>
      <c r="AL347" s="82"/>
      <c r="AM347" s="81"/>
      <c r="AN347" s="81"/>
      <c r="AO347" s="184"/>
      <c r="AP347" s="184"/>
      <c r="AQ347" s="184"/>
      <c r="AR347" s="157"/>
    </row>
    <row r="348" spans="1:46" ht="11.25" customHeight="1" x14ac:dyDescent="0.2">
      <c r="A348" s="142"/>
      <c r="B348" s="1680"/>
      <c r="C348" s="1680"/>
      <c r="D348" s="1680"/>
      <c r="E348" s="1680"/>
      <c r="F348" s="1680"/>
      <c r="G348" s="1680"/>
      <c r="H348" s="1680"/>
      <c r="I348" s="1680"/>
      <c r="J348" s="12"/>
      <c r="K348" s="9"/>
      <c r="L348" s="9"/>
      <c r="M348" s="9"/>
      <c r="N348" s="9"/>
      <c r="O348" s="9"/>
      <c r="P348" s="9"/>
      <c r="Q348" s="9"/>
      <c r="R348" s="9"/>
      <c r="S348" s="9"/>
      <c r="T348" s="9"/>
      <c r="U348" s="9"/>
      <c r="V348" s="9"/>
      <c r="W348" s="137"/>
      <c r="X348" s="150"/>
      <c r="Y348" s="81"/>
      <c r="Z348" s="81"/>
      <c r="AA348" s="81"/>
      <c r="AB348" s="81"/>
      <c r="AC348" s="81"/>
      <c r="AD348" s="81"/>
      <c r="AE348" s="81"/>
      <c r="AJ348" s="81"/>
      <c r="AK348" s="161"/>
      <c r="AL348" s="82"/>
      <c r="AM348" s="81"/>
      <c r="AN348" s="81"/>
      <c r="AO348" s="184"/>
      <c r="AP348" s="184"/>
      <c r="AQ348" s="184"/>
      <c r="AR348" s="157"/>
    </row>
    <row r="349" spans="1:46" ht="11.25" customHeight="1" x14ac:dyDescent="0.2">
      <c r="A349" s="142"/>
      <c r="B349" s="1680" t="s">
        <v>26</v>
      </c>
      <c r="C349" s="1680"/>
      <c r="D349" s="1680"/>
      <c r="E349" s="1680"/>
      <c r="F349" s="1680"/>
      <c r="G349" s="1680"/>
      <c r="H349" s="1680"/>
      <c r="I349" s="1680"/>
      <c r="J349" s="12"/>
      <c r="K349" s="9"/>
      <c r="L349" s="9"/>
      <c r="M349" s="9"/>
      <c r="N349" s="9"/>
      <c r="O349" s="9"/>
      <c r="P349" s="9"/>
      <c r="Q349" s="9"/>
      <c r="R349" s="9"/>
      <c r="S349" s="9"/>
      <c r="T349" s="9"/>
      <c r="U349" s="9"/>
      <c r="V349" s="9"/>
      <c r="W349" s="137"/>
      <c r="X349" s="150"/>
      <c r="Y349" s="81"/>
      <c r="Z349" s="81"/>
      <c r="AA349" s="81"/>
      <c r="AB349" s="81"/>
      <c r="AC349" s="81"/>
      <c r="AD349" s="81"/>
      <c r="AE349" s="81"/>
      <c r="AJ349" s="81"/>
      <c r="AK349" s="161"/>
      <c r="AL349" s="82"/>
      <c r="AM349" s="81"/>
      <c r="AN349" s="81"/>
      <c r="AO349" s="184"/>
      <c r="AP349" s="184"/>
      <c r="AQ349" s="184"/>
      <c r="AR349" s="157"/>
    </row>
    <row r="350" spans="1:46" ht="11.25" customHeight="1" x14ac:dyDescent="0.2">
      <c r="A350" s="142"/>
      <c r="B350" s="1680"/>
      <c r="C350" s="1680"/>
      <c r="D350" s="1680"/>
      <c r="E350" s="1680"/>
      <c r="F350" s="1680"/>
      <c r="G350" s="1680"/>
      <c r="H350" s="1680"/>
      <c r="I350" s="1680"/>
      <c r="J350" s="12"/>
      <c r="K350" s="9"/>
      <c r="L350" s="9"/>
      <c r="M350" s="9"/>
      <c r="N350" s="9"/>
      <c r="O350" s="9"/>
      <c r="P350" s="9"/>
      <c r="Q350" s="9"/>
      <c r="R350" s="9"/>
      <c r="S350" s="9"/>
      <c r="T350" s="9"/>
      <c r="U350" s="9"/>
      <c r="V350" s="9"/>
      <c r="W350" s="137"/>
      <c r="X350" s="150"/>
      <c r="Y350" s="81"/>
      <c r="Z350" s="81"/>
      <c r="AA350" s="81"/>
      <c r="AB350" s="81"/>
      <c r="AC350" s="81"/>
      <c r="AD350" s="81"/>
      <c r="AE350" s="81"/>
      <c r="AJ350" s="81"/>
      <c r="AK350" s="161"/>
      <c r="AL350" s="82"/>
      <c r="AM350" s="81"/>
      <c r="AN350" s="81"/>
      <c r="AO350" s="184"/>
      <c r="AP350" s="184"/>
      <c r="AQ350" s="184"/>
      <c r="AR350" s="157"/>
    </row>
    <row r="351" spans="1:46" ht="11.25" customHeight="1" x14ac:dyDescent="0.2">
      <c r="A351" s="142"/>
      <c r="B351" s="1680" t="s">
        <v>21</v>
      </c>
      <c r="C351" s="1680"/>
      <c r="D351" s="1680"/>
      <c r="E351" s="1680"/>
      <c r="F351" s="1680"/>
      <c r="G351" s="1680"/>
      <c r="H351" s="1680"/>
      <c r="I351" s="1680"/>
      <c r="J351" s="12"/>
      <c r="K351" s="9"/>
      <c r="L351" s="9"/>
      <c r="M351" s="9"/>
      <c r="N351" s="9"/>
      <c r="O351" s="9"/>
      <c r="P351" s="9"/>
      <c r="Q351" s="9"/>
      <c r="R351" s="9"/>
      <c r="S351" s="9"/>
      <c r="T351" s="9"/>
      <c r="U351" s="9"/>
      <c r="V351" s="9"/>
      <c r="W351" s="137"/>
      <c r="X351" s="150"/>
      <c r="Y351" s="81"/>
      <c r="Z351" s="81"/>
      <c r="AA351" s="81"/>
      <c r="AB351" s="81"/>
      <c r="AC351" s="81"/>
      <c r="AD351" s="81"/>
      <c r="AE351" s="81"/>
      <c r="AJ351" s="81"/>
      <c r="AK351" s="161"/>
      <c r="AL351" s="82"/>
      <c r="AM351" s="81"/>
      <c r="AN351" s="81"/>
      <c r="AO351" s="184"/>
      <c r="AP351" s="184"/>
      <c r="AQ351" s="184"/>
      <c r="AR351" s="157"/>
    </row>
    <row r="352" spans="1:46" ht="11.25" customHeight="1" x14ac:dyDescent="0.2">
      <c r="A352" s="142"/>
      <c r="B352" s="1680"/>
      <c r="C352" s="1680"/>
      <c r="D352" s="1680"/>
      <c r="E352" s="1680"/>
      <c r="F352" s="1680"/>
      <c r="G352" s="1680"/>
      <c r="H352" s="1680"/>
      <c r="I352" s="1680"/>
      <c r="J352" s="12"/>
      <c r="K352" s="9"/>
      <c r="L352" s="9"/>
      <c r="M352" s="9"/>
      <c r="N352" s="9"/>
      <c r="O352" s="9"/>
      <c r="P352" s="9"/>
      <c r="Q352" s="9"/>
      <c r="R352" s="9"/>
      <c r="S352" s="9"/>
      <c r="T352" s="9"/>
      <c r="U352" s="9"/>
      <c r="V352" s="9"/>
      <c r="W352" s="137"/>
      <c r="X352" s="150"/>
      <c r="Y352" s="81"/>
      <c r="Z352" s="81"/>
      <c r="AA352" s="81"/>
      <c r="AB352" s="81"/>
      <c r="AC352" s="81"/>
      <c r="AD352" s="81"/>
      <c r="AE352" s="81"/>
      <c r="AJ352" s="81"/>
      <c r="AK352" s="161"/>
      <c r="AL352" s="82"/>
      <c r="AM352" s="81"/>
      <c r="AN352" s="81"/>
      <c r="AO352" s="184"/>
      <c r="AP352" s="184"/>
      <c r="AQ352" s="184"/>
      <c r="AR352" s="157"/>
    </row>
    <row r="353" spans="1:58" ht="11.25" customHeight="1" x14ac:dyDescent="0.2">
      <c r="A353" s="142"/>
      <c r="B353" s="1680" t="s">
        <v>905</v>
      </c>
      <c r="C353" s="1680"/>
      <c r="D353" s="1680"/>
      <c r="E353" s="1680"/>
      <c r="F353" s="1680"/>
      <c r="G353" s="1680"/>
      <c r="H353" s="1680"/>
      <c r="I353" s="1680"/>
      <c r="J353" s="12"/>
      <c r="K353" s="9"/>
      <c r="L353" s="9"/>
      <c r="M353" s="9"/>
      <c r="N353" s="9"/>
      <c r="O353" s="9"/>
      <c r="P353" s="9"/>
      <c r="Q353" s="9"/>
      <c r="R353" s="9"/>
      <c r="S353" s="9"/>
      <c r="T353" s="9"/>
      <c r="U353" s="9"/>
      <c r="V353" s="9"/>
      <c r="W353" s="137"/>
      <c r="X353" s="150"/>
      <c r="Y353" s="81"/>
      <c r="Z353" s="81"/>
      <c r="AA353" s="81"/>
      <c r="AB353" s="81"/>
      <c r="AC353" s="81"/>
      <c r="AD353" s="81"/>
      <c r="AE353" s="81"/>
      <c r="AJ353" s="81"/>
      <c r="AK353" s="161"/>
      <c r="AL353" s="82"/>
      <c r="AM353" s="81"/>
      <c r="AN353" s="81"/>
      <c r="AO353" s="184"/>
      <c r="AP353" s="184"/>
      <c r="AQ353" s="184"/>
      <c r="AR353" s="157"/>
    </row>
    <row r="354" spans="1:58" ht="11.25" customHeight="1" x14ac:dyDescent="0.2">
      <c r="A354" s="142"/>
      <c r="B354" s="1680"/>
      <c r="C354" s="1680"/>
      <c r="D354" s="1680"/>
      <c r="E354" s="1680"/>
      <c r="F354" s="1680"/>
      <c r="G354" s="1680"/>
      <c r="H354" s="1680"/>
      <c r="I354" s="1680"/>
      <c r="J354" s="12"/>
      <c r="K354" s="9"/>
      <c r="L354" s="9"/>
      <c r="M354" s="9"/>
      <c r="N354" s="9"/>
      <c r="O354" s="9"/>
      <c r="P354" s="9"/>
      <c r="Q354" s="9"/>
      <c r="R354" s="9"/>
      <c r="S354" s="9"/>
      <c r="T354" s="9"/>
      <c r="U354" s="9"/>
      <c r="V354" s="9"/>
      <c r="W354" s="137"/>
      <c r="X354" s="150"/>
      <c r="Y354" s="81"/>
      <c r="Z354" s="81"/>
      <c r="AA354" s="81"/>
      <c r="AB354" s="81"/>
      <c r="AC354" s="81"/>
      <c r="AD354" s="81"/>
      <c r="AE354" s="81"/>
      <c r="AJ354" s="81"/>
      <c r="AK354" s="161"/>
      <c r="AL354" s="82"/>
      <c r="AM354" s="81"/>
      <c r="AN354" s="81"/>
      <c r="AO354" s="184"/>
      <c r="AP354" s="184"/>
      <c r="AQ354" s="184"/>
      <c r="AR354" s="157"/>
    </row>
    <row r="355" spans="1:58" ht="11.25" customHeight="1" x14ac:dyDescent="0.2">
      <c r="A355" s="142"/>
      <c r="B355" s="1680" t="s">
        <v>32</v>
      </c>
      <c r="C355" s="1680"/>
      <c r="D355" s="1680"/>
      <c r="E355" s="1680"/>
      <c r="F355" s="1680"/>
      <c r="G355" s="1680"/>
      <c r="H355" s="1680"/>
      <c r="I355" s="1680"/>
      <c r="J355" s="12"/>
      <c r="K355" s="9"/>
      <c r="L355" s="9"/>
      <c r="M355" s="9"/>
      <c r="N355" s="9"/>
      <c r="O355" s="9"/>
      <c r="P355" s="9"/>
      <c r="Q355" s="9"/>
      <c r="R355" s="9"/>
      <c r="S355" s="9"/>
      <c r="T355" s="9"/>
      <c r="U355" s="9"/>
      <c r="V355" s="9"/>
      <c r="W355" s="137"/>
      <c r="X355" s="150"/>
      <c r="Y355" s="81"/>
      <c r="Z355" s="81"/>
      <c r="AA355" s="81"/>
      <c r="AB355" s="81"/>
      <c r="AC355" s="81"/>
      <c r="AD355" s="81"/>
      <c r="AE355" s="81"/>
      <c r="AJ355" s="81"/>
      <c r="AK355" s="161"/>
      <c r="AL355" s="82"/>
      <c r="AM355" s="81"/>
      <c r="AN355" s="81"/>
      <c r="AO355" s="184"/>
      <c r="AP355" s="184"/>
      <c r="AQ355" s="184"/>
      <c r="AR355" s="157"/>
    </row>
    <row r="356" spans="1:58" ht="11.25" customHeight="1" x14ac:dyDescent="0.2">
      <c r="A356" s="142"/>
      <c r="B356" s="1680"/>
      <c r="C356" s="1680"/>
      <c r="D356" s="1680"/>
      <c r="E356" s="1680"/>
      <c r="F356" s="1680"/>
      <c r="G356" s="1680"/>
      <c r="H356" s="1680"/>
      <c r="I356" s="1680"/>
      <c r="J356" s="12"/>
      <c r="K356" s="9"/>
      <c r="L356" s="9"/>
      <c r="M356" s="9"/>
      <c r="N356" s="9"/>
      <c r="O356" s="9"/>
      <c r="P356" s="9"/>
      <c r="Q356" s="9"/>
      <c r="R356" s="9"/>
      <c r="S356" s="9"/>
      <c r="T356" s="9"/>
      <c r="U356" s="9"/>
      <c r="V356" s="9"/>
      <c r="W356" s="137"/>
      <c r="X356" s="150"/>
      <c r="Y356" s="81"/>
      <c r="Z356" s="81"/>
      <c r="AA356" s="81"/>
      <c r="AB356" s="81"/>
      <c r="AC356" s="81"/>
      <c r="AD356" s="81"/>
      <c r="AE356" s="81"/>
      <c r="AJ356" s="81"/>
      <c r="AK356" s="161"/>
      <c r="AL356" s="82"/>
      <c r="AM356" s="81"/>
      <c r="AN356" s="81"/>
      <c r="AO356" s="184"/>
      <c r="AP356" s="184"/>
      <c r="AQ356" s="184"/>
      <c r="AR356" s="157"/>
    </row>
    <row r="357" spans="1:58" ht="11.25" customHeight="1" x14ac:dyDescent="0.2">
      <c r="A357" s="142"/>
      <c r="B357" s="1680" t="s">
        <v>666</v>
      </c>
      <c r="C357" s="1680"/>
      <c r="D357" s="1680"/>
      <c r="E357" s="1680"/>
      <c r="F357" s="1680"/>
      <c r="G357" s="1680"/>
      <c r="H357" s="1680"/>
      <c r="I357" s="1680"/>
      <c r="J357" s="12"/>
      <c r="K357" s="9"/>
      <c r="L357" s="9"/>
      <c r="M357" s="9"/>
      <c r="N357" s="9"/>
      <c r="O357" s="9"/>
      <c r="P357" s="9"/>
      <c r="Q357" s="9"/>
      <c r="R357" s="9"/>
      <c r="S357" s="9"/>
      <c r="T357" s="9"/>
      <c r="U357" s="9"/>
      <c r="V357" s="9"/>
      <c r="W357" s="137"/>
      <c r="X357" s="150"/>
      <c r="Y357" s="81"/>
      <c r="Z357" s="81"/>
      <c r="AA357" s="81"/>
      <c r="AB357" s="81"/>
      <c r="AC357" s="81"/>
      <c r="AD357" s="81"/>
      <c r="AE357" s="81"/>
      <c r="AJ357" s="81"/>
      <c r="AK357" s="161"/>
      <c r="AL357" s="82"/>
      <c r="AM357" s="81"/>
      <c r="AN357" s="81"/>
      <c r="AO357" s="184"/>
      <c r="AP357" s="184"/>
      <c r="AQ357" s="184"/>
      <c r="AR357" s="157"/>
    </row>
    <row r="358" spans="1:58" ht="11.25" customHeight="1" x14ac:dyDescent="0.2">
      <c r="A358" s="142"/>
      <c r="B358" s="1680"/>
      <c r="C358" s="1680"/>
      <c r="D358" s="1680"/>
      <c r="E358" s="1680"/>
      <c r="F358" s="1680"/>
      <c r="G358" s="1680"/>
      <c r="H358" s="1680"/>
      <c r="I358" s="1680"/>
      <c r="J358" s="12"/>
      <c r="K358" s="9"/>
      <c r="L358" s="9"/>
      <c r="M358" s="9"/>
      <c r="N358" s="9"/>
      <c r="O358" s="9"/>
      <c r="P358" s="9"/>
      <c r="Q358" s="9"/>
      <c r="R358" s="9"/>
      <c r="S358" s="9"/>
      <c r="T358" s="9"/>
      <c r="U358" s="9"/>
      <c r="V358" s="9"/>
      <c r="W358" s="137"/>
      <c r="X358" s="150"/>
      <c r="Y358" s="81"/>
      <c r="Z358" s="81"/>
      <c r="AA358" s="81"/>
      <c r="AB358" s="81"/>
      <c r="AC358" s="81"/>
      <c r="AD358" s="81"/>
      <c r="AE358" s="81"/>
      <c r="AJ358" s="81"/>
      <c r="AK358" s="161"/>
      <c r="AL358" s="82"/>
      <c r="AM358" s="81"/>
      <c r="AN358" s="81"/>
      <c r="AO358" s="184"/>
      <c r="AP358" s="184"/>
      <c r="AQ358" s="184"/>
      <c r="AR358" s="157"/>
    </row>
    <row r="359" spans="1:58" ht="11.25" customHeight="1" x14ac:dyDescent="0.2">
      <c r="A359" s="142"/>
      <c r="B359" s="1680" t="s">
        <v>906</v>
      </c>
      <c r="C359" s="1680"/>
      <c r="D359" s="1680"/>
      <c r="E359" s="1680"/>
      <c r="F359" s="1680"/>
      <c r="G359" s="1680"/>
      <c r="H359" s="1680"/>
      <c r="I359" s="1680"/>
      <c r="J359" s="12"/>
      <c r="K359" s="9"/>
      <c r="L359" s="9"/>
      <c r="M359" s="9"/>
      <c r="N359" s="9"/>
      <c r="O359" s="9"/>
      <c r="P359" s="9"/>
      <c r="Q359" s="9"/>
      <c r="R359" s="9"/>
      <c r="S359" s="9"/>
      <c r="T359" s="9"/>
      <c r="U359" s="9"/>
      <c r="V359" s="9"/>
      <c r="W359" s="137"/>
      <c r="X359" s="150"/>
      <c r="Y359" s="81"/>
      <c r="Z359" s="81"/>
      <c r="AA359" s="81"/>
      <c r="AB359" s="81"/>
      <c r="AC359" s="81"/>
      <c r="AD359" s="81"/>
      <c r="AE359" s="81"/>
      <c r="AJ359" s="81"/>
      <c r="AK359" s="161"/>
      <c r="AL359" s="82"/>
      <c r="AM359" s="81"/>
      <c r="AN359" s="81"/>
      <c r="AO359" s="184"/>
      <c r="AP359" s="184"/>
      <c r="AQ359" s="184"/>
      <c r="AR359" s="157"/>
    </row>
    <row r="360" spans="1:58" ht="11.25" customHeight="1" x14ac:dyDescent="0.2">
      <c r="A360" s="142"/>
      <c r="B360" s="1680"/>
      <c r="C360" s="1680"/>
      <c r="D360" s="1680"/>
      <c r="E360" s="1680"/>
      <c r="F360" s="1680"/>
      <c r="G360" s="1680"/>
      <c r="H360" s="1680"/>
      <c r="I360" s="1680"/>
      <c r="J360" s="12"/>
      <c r="K360" s="9"/>
      <c r="L360" s="9"/>
      <c r="M360" s="9"/>
      <c r="N360" s="9"/>
      <c r="O360" s="9"/>
      <c r="P360" s="9"/>
      <c r="Q360" s="9"/>
      <c r="R360" s="9"/>
      <c r="S360" s="9"/>
      <c r="T360" s="9"/>
      <c r="U360" s="9"/>
      <c r="V360" s="9"/>
      <c r="W360" s="137"/>
      <c r="X360" s="150"/>
      <c r="Y360" s="81"/>
      <c r="Z360" s="81"/>
      <c r="AA360" s="81"/>
      <c r="AB360" s="81"/>
      <c r="AC360" s="81"/>
      <c r="AD360" s="81"/>
      <c r="AE360" s="81"/>
      <c r="AJ360" s="81"/>
      <c r="AK360" s="161"/>
      <c r="AL360" s="82"/>
      <c r="AM360" s="81"/>
      <c r="AN360" s="81"/>
      <c r="AO360" s="184"/>
      <c r="AP360" s="184"/>
      <c r="AQ360" s="184"/>
      <c r="AR360" s="157"/>
    </row>
    <row r="361" spans="1:58" ht="11.25" customHeight="1" x14ac:dyDescent="0.2">
      <c r="A361" s="142"/>
      <c r="B361" s="1680" t="s">
        <v>672</v>
      </c>
      <c r="C361" s="1680"/>
      <c r="D361" s="1680"/>
      <c r="E361" s="1680"/>
      <c r="F361" s="1680"/>
      <c r="G361" s="1680"/>
      <c r="H361" s="1680"/>
      <c r="I361" s="1680"/>
      <c r="J361" s="12"/>
      <c r="K361" s="9"/>
      <c r="L361" s="9"/>
      <c r="M361" s="9"/>
      <c r="N361" s="9"/>
      <c r="O361" s="9"/>
      <c r="P361" s="9"/>
      <c r="Q361" s="9"/>
      <c r="R361" s="9"/>
      <c r="S361" s="9"/>
      <c r="T361" s="9"/>
      <c r="U361" s="9"/>
      <c r="V361" s="9"/>
      <c r="W361" s="137"/>
      <c r="X361" s="150"/>
      <c r="Y361" s="81"/>
      <c r="Z361" s="81"/>
      <c r="AA361" s="81"/>
      <c r="AB361" s="81"/>
      <c r="AC361" s="81"/>
      <c r="AD361" s="81"/>
      <c r="AE361" s="81"/>
      <c r="AJ361" s="81"/>
      <c r="AK361" s="161"/>
      <c r="AL361" s="82"/>
      <c r="AM361" s="81"/>
      <c r="AN361" s="81"/>
      <c r="AO361" s="184"/>
      <c r="AP361" s="184"/>
      <c r="AQ361" s="184"/>
      <c r="AR361" s="157"/>
    </row>
    <row r="362" spans="1:58" s="80" customFormat="1" ht="11.25" customHeight="1" x14ac:dyDescent="0.2">
      <c r="A362" s="142"/>
      <c r="B362" s="1680"/>
      <c r="C362" s="1680"/>
      <c r="D362" s="1680"/>
      <c r="E362" s="1680"/>
      <c r="F362" s="1680"/>
      <c r="G362" s="1680"/>
      <c r="H362" s="1680"/>
      <c r="I362" s="1680"/>
      <c r="J362" s="12"/>
      <c r="K362" s="9"/>
      <c r="L362" s="9"/>
      <c r="M362" s="9"/>
      <c r="N362" s="9"/>
      <c r="O362" s="9"/>
      <c r="P362" s="9"/>
      <c r="Q362" s="9"/>
      <c r="R362" s="9"/>
      <c r="S362" s="9"/>
      <c r="T362" s="9"/>
      <c r="U362" s="9"/>
      <c r="V362" s="9"/>
      <c r="W362" s="137"/>
      <c r="X362" s="150"/>
      <c r="Y362" s="81"/>
      <c r="Z362" s="81"/>
      <c r="AA362" s="81"/>
      <c r="AB362" s="81"/>
      <c r="AC362" s="81"/>
      <c r="AD362" s="81"/>
      <c r="AE362" s="81"/>
      <c r="AF362" s="81"/>
      <c r="AG362" s="81"/>
      <c r="AH362" s="81"/>
      <c r="AI362" s="81"/>
      <c r="AJ362" s="81"/>
      <c r="AK362" s="161"/>
      <c r="AL362" s="82"/>
      <c r="AM362" s="81"/>
      <c r="AN362" s="81"/>
      <c r="AO362" s="184"/>
      <c r="AP362" s="184"/>
      <c r="AQ362" s="184"/>
      <c r="AR362" s="157"/>
      <c r="AS362" s="74"/>
      <c r="AT362" s="74"/>
      <c r="AU362" s="74"/>
      <c r="AV362" s="74"/>
      <c r="AW362" s="74"/>
      <c r="AX362" s="74"/>
      <c r="AY362" s="74"/>
      <c r="AZ362" s="74"/>
      <c r="BA362" s="74"/>
      <c r="BB362" s="74"/>
      <c r="BC362" s="74"/>
      <c r="BD362" s="74"/>
      <c r="BE362" s="74"/>
      <c r="BF362" s="74"/>
    </row>
    <row r="363" spans="1:58" ht="11.25" customHeight="1" x14ac:dyDescent="0.2">
      <c r="A363" s="1273"/>
      <c r="B363" s="1274"/>
      <c r="C363" s="1275"/>
      <c r="D363" s="1275"/>
      <c r="E363" s="1275"/>
      <c r="F363" s="1275"/>
      <c r="G363" s="1275"/>
      <c r="H363" s="1275"/>
      <c r="I363" s="1275"/>
      <c r="J363" s="1276"/>
      <c r="K363" s="201"/>
      <c r="L363" s="201"/>
      <c r="M363" s="201"/>
      <c r="N363" s="201"/>
      <c r="O363" s="201"/>
      <c r="P363" s="201"/>
      <c r="Q363" s="201"/>
      <c r="R363" s="201"/>
      <c r="S363" s="201"/>
      <c r="T363" s="201"/>
      <c r="U363" s="201"/>
      <c r="V363" s="201"/>
      <c r="W363" s="1277"/>
      <c r="X363" s="1271"/>
      <c r="Y363" s="200"/>
      <c r="Z363" s="200"/>
      <c r="AA363" s="200"/>
      <c r="AB363" s="200"/>
      <c r="AC363" s="200"/>
      <c r="AD363" s="200"/>
      <c r="AE363" s="200"/>
      <c r="AF363" s="200"/>
      <c r="AG363" s="200"/>
      <c r="AH363" s="200"/>
      <c r="AI363" s="200"/>
      <c r="AJ363" s="200"/>
      <c r="AK363" s="1614"/>
      <c r="AL363" s="1278"/>
      <c r="AM363" s="200"/>
      <c r="AN363" s="200"/>
      <c r="AO363" s="201"/>
      <c r="AP363" s="201"/>
      <c r="AQ363" s="201"/>
      <c r="AR363" s="251"/>
    </row>
    <row r="364" spans="1:58" ht="11.25" customHeight="1" x14ac:dyDescent="0.2">
      <c r="Y364" s="81"/>
      <c r="Z364" s="81"/>
      <c r="AA364" s="81"/>
      <c r="AB364" s="81"/>
      <c r="AC364" s="81"/>
      <c r="AD364" s="81"/>
      <c r="AE364" s="81"/>
      <c r="AJ364" s="81"/>
      <c r="AK364" s="81"/>
      <c r="AL364" s="81"/>
      <c r="AM364" s="81"/>
      <c r="AN364" s="81"/>
      <c r="AO364" s="81"/>
      <c r="AR364" s="184"/>
    </row>
    <row r="365" spans="1:58" ht="11.25" customHeight="1" x14ac:dyDescent="0.2">
      <c r="Y365" s="81"/>
      <c r="Z365" s="81"/>
      <c r="AA365" s="81"/>
      <c r="AB365" s="81"/>
      <c r="AC365" s="81"/>
      <c r="AD365" s="81"/>
      <c r="AE365" s="81"/>
      <c r="AJ365" s="81"/>
      <c r="AK365" s="81"/>
      <c r="AL365" s="81"/>
      <c r="AM365" s="81"/>
      <c r="AN365" s="81"/>
      <c r="AO365" s="81"/>
      <c r="AR365" s="184"/>
    </row>
    <row r="366" spans="1:58" ht="11.25" customHeight="1" x14ac:dyDescent="0.2">
      <c r="Y366" s="81"/>
      <c r="Z366" s="81"/>
      <c r="AA366" s="81"/>
      <c r="AB366" s="81"/>
      <c r="AC366" s="81"/>
      <c r="AD366" s="81"/>
      <c r="AE366" s="81"/>
      <c r="AJ366" s="81"/>
      <c r="AK366" s="81"/>
      <c r="AL366" s="81"/>
      <c r="AM366" s="81"/>
      <c r="AN366" s="81"/>
      <c r="AO366" s="81"/>
      <c r="AR366" s="184"/>
    </row>
    <row r="367" spans="1:58" ht="11.25" customHeight="1" x14ac:dyDescent="0.2">
      <c r="Y367" s="81"/>
      <c r="Z367" s="81"/>
      <c r="AA367" s="81"/>
      <c r="AB367" s="81"/>
      <c r="AC367" s="81"/>
      <c r="AD367" s="81"/>
      <c r="AE367" s="81"/>
      <c r="AJ367" s="81"/>
      <c r="AK367" s="81"/>
      <c r="AL367" s="81"/>
      <c r="AM367" s="81"/>
      <c r="AN367" s="81"/>
      <c r="AO367" s="81"/>
      <c r="AR367" s="184"/>
    </row>
    <row r="368" spans="1:58" ht="11.25" customHeight="1" x14ac:dyDescent="0.2">
      <c r="Y368" s="81"/>
      <c r="Z368" s="81"/>
      <c r="AA368" s="81"/>
      <c r="AB368" s="81"/>
      <c r="AC368" s="81"/>
      <c r="AD368" s="81"/>
      <c r="AE368" s="81"/>
      <c r="AJ368" s="81"/>
      <c r="AK368" s="81"/>
      <c r="AL368" s="81"/>
      <c r="AM368" s="81"/>
      <c r="AN368" s="81"/>
      <c r="AO368" s="81"/>
      <c r="AR368" s="184"/>
    </row>
    <row r="369" spans="25:44" ht="11.25" customHeight="1" x14ac:dyDescent="0.2">
      <c r="Y369" s="81"/>
      <c r="Z369" s="81"/>
      <c r="AA369" s="81"/>
      <c r="AB369" s="81"/>
      <c r="AC369" s="81"/>
      <c r="AD369" s="81"/>
      <c r="AE369" s="81"/>
      <c r="AJ369" s="81"/>
      <c r="AK369" s="81"/>
      <c r="AL369" s="81"/>
      <c r="AM369" s="81"/>
      <c r="AN369" s="81"/>
      <c r="AO369" s="81"/>
      <c r="AR369" s="184"/>
    </row>
    <row r="370" spans="25:44" ht="11.25" customHeight="1" x14ac:dyDescent="0.2">
      <c r="Y370" s="81"/>
      <c r="Z370" s="81"/>
      <c r="AA370" s="81"/>
      <c r="AB370" s="81"/>
      <c r="AC370" s="81"/>
      <c r="AD370" s="81"/>
      <c r="AE370" s="81"/>
      <c r="AJ370" s="81"/>
      <c r="AK370" s="81"/>
      <c r="AL370" s="81"/>
      <c r="AM370" s="81"/>
      <c r="AN370" s="81"/>
      <c r="AO370" s="81"/>
      <c r="AR370" s="184"/>
    </row>
    <row r="371" spans="25:44" ht="11.25" customHeight="1" x14ac:dyDescent="0.2">
      <c r="Y371" s="81"/>
      <c r="Z371" s="81"/>
      <c r="AA371" s="81"/>
      <c r="AB371" s="81"/>
      <c r="AC371" s="81"/>
      <c r="AD371" s="81"/>
      <c r="AE371" s="81"/>
      <c r="AJ371" s="81"/>
      <c r="AK371" s="81"/>
      <c r="AL371" s="81"/>
      <c r="AM371" s="81"/>
      <c r="AN371" s="81"/>
      <c r="AO371" s="81"/>
      <c r="AR371" s="184"/>
    </row>
    <row r="372" spans="25:44" ht="11.25" customHeight="1" x14ac:dyDescent="0.2">
      <c r="Y372" s="81"/>
      <c r="Z372" s="81"/>
      <c r="AA372" s="81"/>
      <c r="AB372" s="81"/>
      <c r="AC372" s="81"/>
      <c r="AD372" s="81"/>
      <c r="AE372" s="81"/>
      <c r="AJ372" s="81"/>
      <c r="AK372" s="81"/>
      <c r="AL372" s="81"/>
      <c r="AM372" s="81"/>
      <c r="AN372" s="81"/>
      <c r="AO372" s="81"/>
      <c r="AR372" s="184"/>
    </row>
    <row r="373" spans="25:44" ht="11.25" customHeight="1" x14ac:dyDescent="0.2">
      <c r="Y373" s="81"/>
      <c r="Z373" s="81"/>
      <c r="AA373" s="81"/>
      <c r="AB373" s="81"/>
      <c r="AC373" s="81"/>
      <c r="AD373" s="81"/>
      <c r="AE373" s="81"/>
      <c r="AJ373" s="81"/>
      <c r="AK373" s="81"/>
      <c r="AL373" s="81"/>
      <c r="AM373" s="81"/>
      <c r="AN373" s="81"/>
      <c r="AO373" s="81"/>
      <c r="AR373" s="184"/>
    </row>
    <row r="374" spans="25:44" ht="11.25" customHeight="1" x14ac:dyDescent="0.2">
      <c r="Y374" s="81"/>
      <c r="Z374" s="81"/>
      <c r="AA374" s="81"/>
      <c r="AB374" s="81"/>
      <c r="AC374" s="81"/>
      <c r="AD374" s="81"/>
      <c r="AE374" s="81"/>
      <c r="AJ374" s="81"/>
      <c r="AK374" s="81"/>
      <c r="AL374" s="81"/>
      <c r="AM374" s="81"/>
      <c r="AN374" s="81"/>
      <c r="AO374" s="81"/>
      <c r="AR374" s="184"/>
    </row>
    <row r="375" spans="25:44" ht="11.25" customHeight="1" x14ac:dyDescent="0.2">
      <c r="Y375" s="81"/>
      <c r="Z375" s="81"/>
      <c r="AA375" s="81"/>
      <c r="AB375" s="81"/>
      <c r="AC375" s="81"/>
      <c r="AD375" s="81"/>
      <c r="AE375" s="81"/>
      <c r="AJ375" s="81"/>
      <c r="AK375" s="81"/>
      <c r="AL375" s="81"/>
      <c r="AM375" s="81"/>
      <c r="AN375" s="81"/>
      <c r="AO375" s="81"/>
      <c r="AR375" s="184"/>
    </row>
    <row r="376" spans="25:44" ht="11.25" customHeight="1" x14ac:dyDescent="0.2">
      <c r="Y376" s="81"/>
      <c r="Z376" s="81"/>
      <c r="AA376" s="81"/>
      <c r="AB376" s="81"/>
      <c r="AC376" s="81"/>
      <c r="AD376" s="81"/>
      <c r="AE376" s="81"/>
      <c r="AJ376" s="81"/>
      <c r="AK376" s="81"/>
      <c r="AL376" s="81"/>
      <c r="AM376" s="81"/>
      <c r="AN376" s="81"/>
      <c r="AO376" s="81"/>
      <c r="AR376" s="184"/>
    </row>
    <row r="377" spans="25:44" ht="11.25" customHeight="1" x14ac:dyDescent="0.2">
      <c r="Y377" s="81"/>
      <c r="Z377" s="81"/>
      <c r="AA377" s="81"/>
      <c r="AB377" s="81"/>
      <c r="AC377" s="81"/>
      <c r="AD377" s="81"/>
      <c r="AE377" s="81"/>
      <c r="AJ377" s="81"/>
      <c r="AK377" s="81"/>
      <c r="AL377" s="81"/>
      <c r="AM377" s="81"/>
      <c r="AN377" s="81"/>
      <c r="AO377" s="81"/>
      <c r="AR377" s="184"/>
    </row>
    <row r="378" spans="25:44" ht="11.25" customHeight="1" x14ac:dyDescent="0.2">
      <c r="Y378" s="81"/>
      <c r="Z378" s="81"/>
      <c r="AA378" s="81"/>
      <c r="AB378" s="81"/>
      <c r="AC378" s="81"/>
      <c r="AD378" s="81"/>
      <c r="AE378" s="81"/>
      <c r="AJ378" s="81"/>
      <c r="AK378" s="81"/>
      <c r="AL378" s="81"/>
      <c r="AM378" s="81"/>
      <c r="AN378" s="81"/>
      <c r="AO378" s="81"/>
      <c r="AR378" s="184"/>
    </row>
    <row r="379" spans="25:44" ht="11.25" customHeight="1" x14ac:dyDescent="0.2">
      <c r="Y379" s="81"/>
      <c r="Z379" s="81"/>
      <c r="AA379" s="81"/>
      <c r="AB379" s="81"/>
      <c r="AC379" s="81"/>
      <c r="AD379" s="81"/>
      <c r="AE379" s="81"/>
      <c r="AJ379" s="81"/>
      <c r="AK379" s="81"/>
      <c r="AL379" s="81"/>
      <c r="AM379" s="81"/>
      <c r="AN379" s="81"/>
      <c r="AO379" s="81"/>
      <c r="AR379" s="184"/>
    </row>
    <row r="380" spans="25:44" ht="11.25" customHeight="1" x14ac:dyDescent="0.2">
      <c r="Y380" s="81"/>
      <c r="Z380" s="81"/>
      <c r="AA380" s="81"/>
      <c r="AB380" s="81"/>
      <c r="AC380" s="81"/>
      <c r="AD380" s="81"/>
      <c r="AE380" s="81"/>
      <c r="AJ380" s="81"/>
      <c r="AK380" s="81"/>
      <c r="AL380" s="81"/>
      <c r="AM380" s="81"/>
      <c r="AN380" s="81"/>
      <c r="AO380" s="81"/>
      <c r="AR380" s="184"/>
    </row>
    <row r="381" spans="25:44" ht="11.25" customHeight="1" x14ac:dyDescent="0.2">
      <c r="Y381" s="81"/>
      <c r="Z381" s="81"/>
      <c r="AA381" s="81"/>
      <c r="AB381" s="81"/>
      <c r="AC381" s="81"/>
      <c r="AD381" s="81"/>
      <c r="AE381" s="81"/>
      <c r="AJ381" s="81"/>
      <c r="AK381" s="81"/>
      <c r="AL381" s="81"/>
      <c r="AM381" s="81"/>
      <c r="AN381" s="81"/>
      <c r="AO381" s="81"/>
      <c r="AR381" s="184"/>
    </row>
    <row r="382" spans="25:44" ht="11.25" customHeight="1" x14ac:dyDescent="0.2">
      <c r="Y382" s="81"/>
      <c r="Z382" s="81"/>
      <c r="AA382" s="81"/>
      <c r="AB382" s="81"/>
      <c r="AC382" s="81"/>
      <c r="AD382" s="81"/>
      <c r="AE382" s="81"/>
      <c r="AJ382" s="81"/>
      <c r="AK382" s="81"/>
      <c r="AL382" s="81"/>
      <c r="AM382" s="81"/>
      <c r="AN382" s="81"/>
      <c r="AO382" s="81"/>
      <c r="AR382" s="184"/>
    </row>
    <row r="383" spans="25:44" ht="11.25" customHeight="1" x14ac:dyDescent="0.2">
      <c r="Y383" s="81"/>
      <c r="Z383" s="81"/>
      <c r="AA383" s="81"/>
      <c r="AB383" s="81"/>
      <c r="AC383" s="81"/>
      <c r="AD383" s="81"/>
      <c r="AE383" s="81"/>
      <c r="AJ383" s="81"/>
      <c r="AK383" s="81"/>
      <c r="AL383" s="81"/>
      <c r="AM383" s="81"/>
      <c r="AN383" s="81"/>
      <c r="AO383" s="81"/>
      <c r="AR383" s="184"/>
    </row>
    <row r="384" spans="25:44" ht="11.25" customHeight="1" x14ac:dyDescent="0.2">
      <c r="Y384" s="81"/>
      <c r="Z384" s="81"/>
      <c r="AA384" s="81"/>
      <c r="AB384" s="81"/>
      <c r="AC384" s="81"/>
      <c r="AD384" s="81"/>
      <c r="AE384" s="81"/>
      <c r="AJ384" s="81"/>
      <c r="AK384" s="81"/>
      <c r="AL384" s="81"/>
      <c r="AM384" s="81"/>
      <c r="AN384" s="81"/>
      <c r="AO384" s="81"/>
      <c r="AR384" s="184"/>
    </row>
    <row r="385" spans="25:44" ht="11.25" customHeight="1" x14ac:dyDescent="0.2">
      <c r="Y385" s="81"/>
      <c r="Z385" s="81"/>
      <c r="AA385" s="81"/>
      <c r="AB385" s="81"/>
      <c r="AC385" s="81"/>
      <c r="AD385" s="81"/>
      <c r="AE385" s="81"/>
      <c r="AJ385" s="81"/>
      <c r="AK385" s="81"/>
      <c r="AL385" s="81"/>
      <c r="AM385" s="81"/>
      <c r="AN385" s="81"/>
      <c r="AO385" s="81"/>
      <c r="AR385" s="184"/>
    </row>
    <row r="386" spans="25:44" ht="11.25" customHeight="1" x14ac:dyDescent="0.2">
      <c r="Y386" s="81"/>
      <c r="Z386" s="81"/>
      <c r="AA386" s="81"/>
      <c r="AB386" s="81"/>
      <c r="AC386" s="81"/>
      <c r="AD386" s="81"/>
      <c r="AE386" s="81"/>
      <c r="AJ386" s="81"/>
      <c r="AK386" s="81"/>
      <c r="AL386" s="81"/>
      <c r="AM386" s="81"/>
      <c r="AN386" s="81"/>
      <c r="AO386" s="81"/>
      <c r="AR386" s="184"/>
    </row>
    <row r="387" spans="25:44" ht="11.25" customHeight="1" x14ac:dyDescent="0.2">
      <c r="Y387" s="81"/>
      <c r="Z387" s="81"/>
      <c r="AA387" s="81"/>
      <c r="AB387" s="81"/>
      <c r="AC387" s="81"/>
      <c r="AD387" s="81"/>
      <c r="AE387" s="81"/>
      <c r="AJ387" s="81"/>
      <c r="AK387" s="81"/>
      <c r="AL387" s="81"/>
      <c r="AM387" s="81"/>
      <c r="AN387" s="81"/>
      <c r="AO387" s="81"/>
      <c r="AR387" s="184"/>
    </row>
    <row r="388" spans="25:44" ht="11.25" customHeight="1" x14ac:dyDescent="0.2">
      <c r="Y388" s="81"/>
      <c r="Z388" s="81"/>
      <c r="AA388" s="81"/>
      <c r="AB388" s="81"/>
      <c r="AC388" s="81"/>
      <c r="AD388" s="81"/>
      <c r="AE388" s="81"/>
      <c r="AJ388" s="81"/>
      <c r="AK388" s="81"/>
      <c r="AL388" s="81"/>
      <c r="AM388" s="81"/>
      <c r="AN388" s="81"/>
      <c r="AO388" s="81"/>
      <c r="AR388" s="184"/>
    </row>
    <row r="389" spans="25:44" ht="11.25" customHeight="1" x14ac:dyDescent="0.2">
      <c r="Y389" s="81"/>
      <c r="Z389" s="81"/>
      <c r="AA389" s="81"/>
      <c r="AB389" s="81"/>
      <c r="AC389" s="81"/>
      <c r="AD389" s="81"/>
      <c r="AE389" s="81"/>
      <c r="AJ389" s="81"/>
      <c r="AK389" s="81"/>
      <c r="AL389" s="81"/>
      <c r="AM389" s="81"/>
      <c r="AN389" s="81"/>
      <c r="AO389" s="81"/>
      <c r="AR389" s="184"/>
    </row>
    <row r="390" spans="25:44" ht="11.25" customHeight="1" x14ac:dyDescent="0.2">
      <c r="Y390" s="81"/>
      <c r="Z390" s="81"/>
      <c r="AA390" s="81"/>
      <c r="AB390" s="81"/>
      <c r="AC390" s="81"/>
      <c r="AD390" s="81"/>
      <c r="AE390" s="81"/>
      <c r="AJ390" s="81"/>
      <c r="AK390" s="81"/>
      <c r="AL390" s="81"/>
      <c r="AM390" s="81"/>
      <c r="AN390" s="81"/>
      <c r="AO390" s="81"/>
      <c r="AR390" s="184"/>
    </row>
    <row r="391" spans="25:44" ht="11.25" customHeight="1" x14ac:dyDescent="0.2">
      <c r="Y391" s="81"/>
      <c r="Z391" s="81"/>
      <c r="AA391" s="81"/>
      <c r="AB391" s="81"/>
      <c r="AC391" s="81"/>
      <c r="AD391" s="81"/>
      <c r="AE391" s="81"/>
      <c r="AJ391" s="81"/>
      <c r="AK391" s="81"/>
      <c r="AL391" s="81"/>
      <c r="AM391" s="81"/>
      <c r="AN391" s="81"/>
      <c r="AO391" s="81"/>
      <c r="AR391" s="184"/>
    </row>
    <row r="392" spans="25:44" ht="11.25" customHeight="1" x14ac:dyDescent="0.2">
      <c r="Y392" s="81"/>
      <c r="Z392" s="81"/>
      <c r="AA392" s="81"/>
      <c r="AB392" s="81"/>
      <c r="AC392" s="81"/>
      <c r="AD392" s="81"/>
      <c r="AE392" s="81"/>
      <c r="AJ392" s="81"/>
      <c r="AK392" s="81"/>
      <c r="AL392" s="81"/>
      <c r="AM392" s="81"/>
      <c r="AN392" s="81"/>
      <c r="AO392" s="81"/>
      <c r="AR392" s="184"/>
    </row>
    <row r="393" spans="25:44" ht="11.25" customHeight="1" x14ac:dyDescent="0.2">
      <c r="Y393" s="81"/>
      <c r="Z393" s="81"/>
      <c r="AA393" s="81"/>
      <c r="AB393" s="81"/>
      <c r="AC393" s="81"/>
      <c r="AD393" s="81"/>
      <c r="AE393" s="81"/>
      <c r="AJ393" s="81"/>
      <c r="AK393" s="81"/>
      <c r="AL393" s="81"/>
      <c r="AM393" s="81"/>
      <c r="AN393" s="81"/>
      <c r="AO393" s="81"/>
      <c r="AR393" s="184"/>
    </row>
    <row r="394" spans="25:44" ht="11.25" customHeight="1" x14ac:dyDescent="0.2">
      <c r="Y394" s="81"/>
      <c r="Z394" s="81"/>
      <c r="AA394" s="81"/>
      <c r="AB394" s="81"/>
      <c r="AC394" s="81"/>
      <c r="AD394" s="81"/>
      <c r="AE394" s="81"/>
      <c r="AJ394" s="81"/>
      <c r="AK394" s="81"/>
      <c r="AL394" s="81"/>
      <c r="AM394" s="81"/>
      <c r="AN394" s="81"/>
      <c r="AO394" s="81"/>
      <c r="AR394" s="184"/>
    </row>
    <row r="395" spans="25:44" ht="11.25" customHeight="1" x14ac:dyDescent="0.2">
      <c r="Y395" s="81"/>
      <c r="Z395" s="81"/>
      <c r="AA395" s="81"/>
      <c r="AB395" s="81"/>
      <c r="AC395" s="81"/>
      <c r="AD395" s="81"/>
      <c r="AE395" s="81"/>
      <c r="AJ395" s="81"/>
      <c r="AK395" s="81"/>
      <c r="AL395" s="81"/>
      <c r="AM395" s="81"/>
      <c r="AN395" s="81"/>
      <c r="AO395" s="81"/>
      <c r="AR395" s="184"/>
    </row>
    <row r="396" spans="25:44" ht="11.25" customHeight="1" x14ac:dyDescent="0.2">
      <c r="Y396" s="81"/>
      <c r="Z396" s="81"/>
      <c r="AA396" s="81"/>
      <c r="AB396" s="81"/>
      <c r="AC396" s="81"/>
      <c r="AD396" s="81"/>
      <c r="AE396" s="81"/>
      <c r="AJ396" s="81"/>
      <c r="AK396" s="81"/>
      <c r="AL396" s="81"/>
      <c r="AM396" s="81"/>
      <c r="AN396" s="81"/>
      <c r="AO396" s="81"/>
      <c r="AR396" s="184"/>
    </row>
    <row r="489" spans="38:38" ht="11.25" customHeight="1" x14ac:dyDescent="0.2">
      <c r="AL489" s="74" t="b">
        <v>1</v>
      </c>
    </row>
  </sheetData>
  <sheetProtection sheet="1" objects="1" scenarios="1"/>
  <mergeCells count="94">
    <mergeCell ref="B359:I360"/>
    <mergeCell ref="B361:I362"/>
    <mergeCell ref="B349:I350"/>
    <mergeCell ref="B351:I352"/>
    <mergeCell ref="B353:I354"/>
    <mergeCell ref="B355:I356"/>
    <mergeCell ref="B357:I358"/>
    <mergeCell ref="A250:V250"/>
    <mergeCell ref="B341:I342"/>
    <mergeCell ref="B343:I344"/>
    <mergeCell ref="B345:I346"/>
    <mergeCell ref="B347:I348"/>
    <mergeCell ref="I257:I259"/>
    <mergeCell ref="B216:I217"/>
    <mergeCell ref="Z115:Z116"/>
    <mergeCell ref="AA115:AA116"/>
    <mergeCell ref="R171:U171"/>
    <mergeCell ref="M171:P171"/>
    <mergeCell ref="M172:P172"/>
    <mergeCell ref="R172:U172"/>
    <mergeCell ref="K257:P257"/>
    <mergeCell ref="Q257:Q259"/>
    <mergeCell ref="S257:U258"/>
    <mergeCell ref="O258:P258"/>
    <mergeCell ref="O259:P259"/>
    <mergeCell ref="B142:U142"/>
    <mergeCell ref="B218:B219"/>
    <mergeCell ref="A249:V249"/>
    <mergeCell ref="B180:I181"/>
    <mergeCell ref="A213:V213"/>
    <mergeCell ref="A214:V214"/>
    <mergeCell ref="A107:V107"/>
    <mergeCell ref="A144:V144"/>
    <mergeCell ref="A145:V145"/>
    <mergeCell ref="A177:V177"/>
    <mergeCell ref="A178:V178"/>
    <mergeCell ref="K114:P114"/>
    <mergeCell ref="S114:U115"/>
    <mergeCell ref="O115:P115"/>
    <mergeCell ref="O116:P116"/>
    <mergeCell ref="B182:B183"/>
    <mergeCell ref="B35:U35"/>
    <mergeCell ref="A37:V37"/>
    <mergeCell ref="A38:V38"/>
    <mergeCell ref="B112:U113"/>
    <mergeCell ref="B114:B116"/>
    <mergeCell ref="D114:H114"/>
    <mergeCell ref="I114:I116"/>
    <mergeCell ref="Q114:Q116"/>
    <mergeCell ref="B73:I74"/>
    <mergeCell ref="A106:V106"/>
    <mergeCell ref="B75:B76"/>
    <mergeCell ref="B5:U6"/>
    <mergeCell ref="B7:B9"/>
    <mergeCell ref="D7:H7"/>
    <mergeCell ref="I7:I9"/>
    <mergeCell ref="Q7:Q9"/>
    <mergeCell ref="K7:P7"/>
    <mergeCell ref="S7:U8"/>
    <mergeCell ref="O8:P8"/>
    <mergeCell ref="O9:P9"/>
    <mergeCell ref="AB7:AF7"/>
    <mergeCell ref="A321:V321"/>
    <mergeCell ref="M314:P314"/>
    <mergeCell ref="R314:U314"/>
    <mergeCell ref="M315:P315"/>
    <mergeCell ref="R315:U315"/>
    <mergeCell ref="A320:V320"/>
    <mergeCell ref="B285:U285"/>
    <mergeCell ref="A287:V287"/>
    <mergeCell ref="A288:V288"/>
    <mergeCell ref="Z258:Z259"/>
    <mergeCell ref="AA258:AA259"/>
    <mergeCell ref="B255:U256"/>
    <mergeCell ref="B257:B259"/>
    <mergeCell ref="D257:H257"/>
    <mergeCell ref="A70:V70"/>
    <mergeCell ref="B333:I334"/>
    <mergeCell ref="B335:I336"/>
    <mergeCell ref="B337:I338"/>
    <mergeCell ref="B339:I340"/>
    <mergeCell ref="Z7:AA7"/>
    <mergeCell ref="A71:V71"/>
    <mergeCell ref="Z8:Z9"/>
    <mergeCell ref="AA8:AA9"/>
    <mergeCell ref="R64:U64"/>
    <mergeCell ref="M64:P64"/>
    <mergeCell ref="M65:P65"/>
    <mergeCell ref="R65:U65"/>
    <mergeCell ref="B323:I324"/>
    <mergeCell ref="B325:I326"/>
    <mergeCell ref="B327:I328"/>
    <mergeCell ref="B329:I330"/>
    <mergeCell ref="B331:I332"/>
  </mergeCells>
  <conditionalFormatting sqref="B10:B31 K10:O31 B51:C66 B77:B98 D10:I31 D77:H98 B184:B205 D184:H205 A179:A213">
    <cfRule type="containsErrors" dxfId="414" priority="194">
      <formula>ISERROR(A10)</formula>
    </cfRule>
  </conditionalFormatting>
  <conditionalFormatting sqref="B10:B31 K10:O31 D10:I31 P10:Q32 S10:U31 B51:C66 P33 B77:B98 D77:H98 K117:O138 D117:I138 Q117:Q138 B117:B138 S117:U138 B158:C173 D184:H205 B184:B205 D260:I281 Q260:Q281 K260:O281 B260:B281 S260:U281 B301:C316 P117:P140 P260:P283 AE184:AI205 D220:H241 B220:B241 AE220:AI241">
    <cfRule type="expression" dxfId="413" priority="195">
      <formula>$B10=$Z$4</formula>
    </cfRule>
  </conditionalFormatting>
  <conditionalFormatting sqref="S10:T31">
    <cfRule type="containsErrors" dxfId="412" priority="174">
      <formula>ISERROR(S10)</formula>
    </cfRule>
  </conditionalFormatting>
  <conditionalFormatting sqref="A10:A31 A184:A205">
    <cfRule type="cellIs" dxfId="411" priority="172" operator="equal">
      <formula>0</formula>
    </cfRule>
  </conditionalFormatting>
  <conditionalFormatting sqref="A77:A98">
    <cfRule type="cellIs" dxfId="410" priority="170" operator="equal">
      <formula>0</formula>
    </cfRule>
  </conditionalFormatting>
  <conditionalFormatting sqref="A1:A37 A39:A70 A72:A106 A397:A1048576">
    <cfRule type="containsErrors" dxfId="409" priority="164">
      <formula>ISERROR(A1)</formula>
    </cfRule>
  </conditionalFormatting>
  <conditionalFormatting sqref="AG10:AH28">
    <cfRule type="containsErrors" dxfId="408" priority="163">
      <formula>ISERROR(AG10)</formula>
    </cfRule>
  </conditionalFormatting>
  <conditionalFormatting sqref="AG10:AH21 AH11:AH28 AG117:AH128 AH118:AH135 AG260:AH271 AH261:AH278">
    <cfRule type="expression" dxfId="407" priority="162">
      <formula>$B10=$X$4</formula>
    </cfRule>
  </conditionalFormatting>
  <conditionalFormatting sqref="D100:H100">
    <cfRule type="containsErrors" dxfId="406" priority="161">
      <formula>ISERROR(D100)</formula>
    </cfRule>
  </conditionalFormatting>
  <conditionalFormatting sqref="A38">
    <cfRule type="cellIs" dxfId="405" priority="154" operator="equal">
      <formula>0</formula>
    </cfRule>
    <cfRule type="containsErrors" dxfId="404" priority="155">
      <formula>ISERROR(A38)</formula>
    </cfRule>
  </conditionalFormatting>
  <conditionalFormatting sqref="A71">
    <cfRule type="cellIs" dxfId="403" priority="152" operator="equal">
      <formula>0</formula>
    </cfRule>
    <cfRule type="containsErrors" dxfId="402" priority="153">
      <formula>ISERROR(A71)</formula>
    </cfRule>
  </conditionalFormatting>
  <conditionalFormatting sqref="A107">
    <cfRule type="cellIs" dxfId="401" priority="146" operator="equal">
      <formula>0</formula>
    </cfRule>
    <cfRule type="containsErrors" dxfId="400" priority="147">
      <formula>ISERROR(A107)</formula>
    </cfRule>
  </conditionalFormatting>
  <conditionalFormatting sqref="B117:B138 K117:O138 B158:C173 D117:I138 Q117:Q138">
    <cfRule type="containsErrors" dxfId="399" priority="192">
      <formula>ISERROR(B117)</formula>
    </cfRule>
  </conditionalFormatting>
  <conditionalFormatting sqref="S117:T138">
    <cfRule type="containsErrors" dxfId="398" priority="132">
      <formula>ISERROR(S117)</formula>
    </cfRule>
  </conditionalFormatting>
  <conditionalFormatting sqref="A117:A138">
    <cfRule type="cellIs" dxfId="397" priority="131" operator="equal">
      <formula>0</formula>
    </cfRule>
  </conditionalFormatting>
  <conditionalFormatting sqref="A111:A144 A146:A177">
    <cfRule type="containsErrors" dxfId="396" priority="130">
      <formula>ISERROR(A111)</formula>
    </cfRule>
  </conditionalFormatting>
  <conditionalFormatting sqref="AG117:AH135">
    <cfRule type="containsErrors" dxfId="395" priority="129">
      <formula>ISERROR(AG117)</formula>
    </cfRule>
  </conditionalFormatting>
  <conditionalFormatting sqref="Q117:Q138">
    <cfRule type="containsErrors" dxfId="394" priority="135">
      <formula>ISERROR(Q117)</formula>
    </cfRule>
  </conditionalFormatting>
  <conditionalFormatting sqref="A145">
    <cfRule type="cellIs" dxfId="393" priority="123" operator="equal">
      <formula>0</formula>
    </cfRule>
    <cfRule type="containsErrors" dxfId="392" priority="124">
      <formula>ISERROR(A145)</formula>
    </cfRule>
  </conditionalFormatting>
  <conditionalFormatting sqref="A178">
    <cfRule type="cellIs" dxfId="391" priority="121" operator="equal">
      <formula>0</formula>
    </cfRule>
    <cfRule type="containsErrors" dxfId="390" priority="122">
      <formula>ISERROR(A178)</formula>
    </cfRule>
  </conditionalFormatting>
  <conditionalFormatting sqref="D207:H207">
    <cfRule type="containsErrors" dxfId="389" priority="116">
      <formula>ISERROR(D207)</formula>
    </cfRule>
  </conditionalFormatting>
  <conditionalFormatting sqref="A214">
    <cfRule type="cellIs" dxfId="388" priority="114" operator="equal">
      <formula>0</formula>
    </cfRule>
    <cfRule type="containsErrors" dxfId="387" priority="115">
      <formula>ISERROR(A214)</formula>
    </cfRule>
  </conditionalFormatting>
  <conditionalFormatting sqref="D8:H8">
    <cfRule type="containsErrors" dxfId="386" priority="111">
      <formula>ISERROR(D8)</formula>
    </cfRule>
  </conditionalFormatting>
  <conditionalFormatting sqref="D9:H9">
    <cfRule type="containsErrors" dxfId="385" priority="113">
      <formula>ISERROR(D9)</formula>
    </cfRule>
  </conditionalFormatting>
  <conditionalFormatting sqref="K8:O8">
    <cfRule type="containsErrors" dxfId="384" priority="110">
      <formula>ISERROR(K8)</formula>
    </cfRule>
  </conditionalFormatting>
  <conditionalFormatting sqref="K9:O9">
    <cfRule type="containsErrors" dxfId="383" priority="197">
      <formula>ISERROR(K9)</formula>
    </cfRule>
  </conditionalFormatting>
  <conditionalFormatting sqref="P32:P33">
    <cfRule type="containsErrors" dxfId="382" priority="102">
      <formula>ISERROR(P32)</formula>
    </cfRule>
  </conditionalFormatting>
  <conditionalFormatting sqref="P10:P33">
    <cfRule type="containsErrors" dxfId="381" priority="100">
      <formula>ISERROR(P10)</formula>
    </cfRule>
    <cfRule type="dataBar" priority="101">
      <dataBar showValue="0">
        <cfvo type="min"/>
        <cfvo type="max"/>
        <color theme="9"/>
      </dataBar>
      <extLst>
        <ext xmlns:x14="http://schemas.microsoft.com/office/spreadsheetml/2009/9/main" uri="{B025F937-C7B1-47D3-B67F-A62EFF666E3E}">
          <x14:id>{2403FCE7-E9CA-4BA9-A83D-360576285C10}</x14:id>
        </ext>
      </extLst>
    </cfRule>
  </conditionalFormatting>
  <conditionalFormatting sqref="Q10:Q31">
    <cfRule type="containsErrors" dxfId="380" priority="98">
      <formula>ISERROR(Q10)</formula>
    </cfRule>
  </conditionalFormatting>
  <conditionalFormatting sqref="I10:I31">
    <cfRule type="containsErrors" dxfId="379" priority="97">
      <formula>ISERROR(I10)</formula>
    </cfRule>
  </conditionalFormatting>
  <conditionalFormatting sqref="Z3:AD3">
    <cfRule type="containsErrors" dxfId="378" priority="96">
      <formula>ISERROR(Z3)</formula>
    </cfRule>
  </conditionalFormatting>
  <conditionalFormatting sqref="Z2:AD2">
    <cfRule type="containsErrors" dxfId="377" priority="95">
      <formula>ISERROR(Z2)</formula>
    </cfRule>
  </conditionalFormatting>
  <conditionalFormatting sqref="Y2">
    <cfRule type="containsErrors" dxfId="376" priority="93">
      <formula>ISERROR(Y2)</formula>
    </cfRule>
  </conditionalFormatting>
  <conditionalFormatting sqref="Y3">
    <cfRule type="containsErrors" dxfId="375" priority="94">
      <formula>ISERROR(Y3)</formula>
    </cfRule>
  </conditionalFormatting>
  <conditionalFormatting sqref="D75:H75">
    <cfRule type="containsErrors" dxfId="374" priority="89">
      <formula>ISERROR(D75)</formula>
    </cfRule>
  </conditionalFormatting>
  <conditionalFormatting sqref="D76:H76">
    <cfRule type="containsErrors" dxfId="373" priority="90">
      <formula>ISERROR(D76)</formula>
    </cfRule>
  </conditionalFormatting>
  <conditionalFormatting sqref="I117:I138">
    <cfRule type="containsErrors" dxfId="372" priority="88">
      <formula>ISERROR(I117)</formula>
    </cfRule>
  </conditionalFormatting>
  <conditionalFormatting sqref="D115:H115">
    <cfRule type="containsErrors" dxfId="371" priority="85">
      <formula>ISERROR(D115)</formula>
    </cfRule>
  </conditionalFormatting>
  <conditionalFormatting sqref="D116:H116">
    <cfRule type="containsErrors" dxfId="370" priority="87">
      <formula>ISERROR(D116)</formula>
    </cfRule>
  </conditionalFormatting>
  <conditionalFormatting sqref="K115:O115">
    <cfRule type="containsErrors" dxfId="369" priority="84">
      <formula>ISERROR(K115)</formula>
    </cfRule>
  </conditionalFormatting>
  <conditionalFormatting sqref="K116:O116">
    <cfRule type="containsErrors" dxfId="368" priority="199">
      <formula>ISERROR(K116)</formula>
    </cfRule>
  </conditionalFormatting>
  <conditionalFormatting sqref="P139:P140">
    <cfRule type="containsErrors" dxfId="367" priority="81">
      <formula>ISERROR(P139)</formula>
    </cfRule>
  </conditionalFormatting>
  <conditionalFormatting sqref="P117:P140">
    <cfRule type="containsErrors" dxfId="366" priority="79">
      <formula>ISERROR(P117)</formula>
    </cfRule>
    <cfRule type="dataBar" priority="80">
      <dataBar showValue="0">
        <cfvo type="min"/>
        <cfvo type="max"/>
        <color theme="9"/>
      </dataBar>
      <extLst>
        <ext xmlns:x14="http://schemas.microsoft.com/office/spreadsheetml/2009/9/main" uri="{B025F937-C7B1-47D3-B67F-A62EFF666E3E}">
          <x14:id>{9B4FC7F5-DB7A-4987-B350-DE384486D858}</x14:id>
        </ext>
      </extLst>
    </cfRule>
  </conditionalFormatting>
  <conditionalFormatting sqref="D182:H182">
    <cfRule type="containsErrors" dxfId="365" priority="77">
      <formula>ISERROR(D182)</formula>
    </cfRule>
  </conditionalFormatting>
  <conditionalFormatting sqref="D183:H183">
    <cfRule type="containsErrors" dxfId="364" priority="78">
      <formula>ISERROR(D183)</formula>
    </cfRule>
  </conditionalFormatting>
  <conditionalFormatting sqref="U10:U31">
    <cfRule type="containsErrors" dxfId="363" priority="76">
      <formula>ISERROR(U10)</formula>
    </cfRule>
  </conditionalFormatting>
  <conditionalFormatting sqref="U32">
    <cfRule type="containsErrors" dxfId="362" priority="74">
      <formula>ISERROR(U32)</formula>
    </cfRule>
  </conditionalFormatting>
  <conditionalFormatting sqref="D33:O33 Q33:U33">
    <cfRule type="containsErrors" dxfId="361" priority="73">
      <formula>ISERROR(D33)</formula>
    </cfRule>
  </conditionalFormatting>
  <conditionalFormatting sqref="U117:U138">
    <cfRule type="containsErrors" dxfId="360" priority="72">
      <formula>ISERROR(U117)</formula>
    </cfRule>
  </conditionalFormatting>
  <conditionalFormatting sqref="U139">
    <cfRule type="containsErrors" dxfId="359" priority="70">
      <formula>ISERROR(U139)</formula>
    </cfRule>
  </conditionalFormatting>
  <conditionalFormatting sqref="D140:O140 Q140:U140">
    <cfRule type="containsErrors" dxfId="358" priority="69">
      <formula>ISERROR(D140)</formula>
    </cfRule>
  </conditionalFormatting>
  <conditionalFormatting sqref="AB259:AF259">
    <cfRule type="cellIs" dxfId="357" priority="63" stopIfTrue="1" operator="equal">
      <formula>0</formula>
    </cfRule>
  </conditionalFormatting>
  <conditionalFormatting sqref="B260:B281 B301:C316 D260:I281 Q260:Q281 K260:O281">
    <cfRule type="containsErrors" dxfId="356" priority="67">
      <formula>ISERROR(B260)</formula>
    </cfRule>
  </conditionalFormatting>
  <conditionalFormatting sqref="S260:T281">
    <cfRule type="containsErrors" dxfId="355" priority="62">
      <formula>ISERROR(S260)</formula>
    </cfRule>
  </conditionalFormatting>
  <conditionalFormatting sqref="A260:A281">
    <cfRule type="cellIs" dxfId="354" priority="61" operator="equal">
      <formula>0</formula>
    </cfRule>
  </conditionalFormatting>
  <conditionalFormatting sqref="A254:A287 A289:A320">
    <cfRule type="containsErrors" dxfId="353" priority="60">
      <formula>ISERROR(A254)</formula>
    </cfRule>
  </conditionalFormatting>
  <conditionalFormatting sqref="AG260:AH278">
    <cfRule type="containsErrors" dxfId="352" priority="59">
      <formula>ISERROR(AG260)</formula>
    </cfRule>
  </conditionalFormatting>
  <conditionalFormatting sqref="Q260:Q281">
    <cfRule type="containsErrors" dxfId="351" priority="65">
      <formula>ISERROR(Q260)</formula>
    </cfRule>
  </conditionalFormatting>
  <conditionalFormatting sqref="A288">
    <cfRule type="cellIs" dxfId="350" priority="55" operator="equal">
      <formula>0</formula>
    </cfRule>
    <cfRule type="containsErrors" dxfId="349" priority="56">
      <formula>ISERROR(A288)</formula>
    </cfRule>
  </conditionalFormatting>
  <conditionalFormatting sqref="A321">
    <cfRule type="cellIs" dxfId="348" priority="53" operator="equal">
      <formula>0</formula>
    </cfRule>
    <cfRule type="containsErrors" dxfId="347" priority="54">
      <formula>ISERROR(A321)</formula>
    </cfRule>
  </conditionalFormatting>
  <conditionalFormatting sqref="I260:I281">
    <cfRule type="containsErrors" dxfId="346" priority="52">
      <formula>ISERROR(I260)</formula>
    </cfRule>
  </conditionalFormatting>
  <conditionalFormatting sqref="D258:H258">
    <cfRule type="containsErrors" dxfId="345" priority="49">
      <formula>ISERROR(D258)</formula>
    </cfRule>
  </conditionalFormatting>
  <conditionalFormatting sqref="D259:H259">
    <cfRule type="containsErrors" dxfId="344" priority="51">
      <formula>ISERROR(D259)</formula>
    </cfRule>
  </conditionalFormatting>
  <conditionalFormatting sqref="K258:O258">
    <cfRule type="containsErrors" dxfId="343" priority="48">
      <formula>ISERROR(K258)</formula>
    </cfRule>
  </conditionalFormatting>
  <conditionalFormatting sqref="K259:O259">
    <cfRule type="containsErrors" dxfId="342" priority="196">
      <formula>ISERROR(K259)</formula>
    </cfRule>
  </conditionalFormatting>
  <conditionalFormatting sqref="P282:P283">
    <cfRule type="containsErrors" dxfId="341" priority="45">
      <formula>ISERROR(P282)</formula>
    </cfRule>
  </conditionalFormatting>
  <conditionalFormatting sqref="P260:P283">
    <cfRule type="containsErrors" dxfId="340" priority="43">
      <formula>ISERROR(P260)</formula>
    </cfRule>
    <cfRule type="dataBar" priority="44">
      <dataBar showValue="0">
        <cfvo type="min"/>
        <cfvo type="max"/>
        <color theme="9"/>
      </dataBar>
      <extLst>
        <ext xmlns:x14="http://schemas.microsoft.com/office/spreadsheetml/2009/9/main" uri="{B025F937-C7B1-47D3-B67F-A62EFF666E3E}">
          <x14:id>{3D2247D4-B315-42E3-BD15-069B216CFCBD}</x14:id>
        </ext>
      </extLst>
    </cfRule>
  </conditionalFormatting>
  <conditionalFormatting sqref="U260:U281">
    <cfRule type="containsErrors" dxfId="339" priority="42">
      <formula>ISERROR(U260)</formula>
    </cfRule>
  </conditionalFormatting>
  <conditionalFormatting sqref="U282">
    <cfRule type="containsErrors" dxfId="338" priority="40">
      <formula>ISERROR(U282)</formula>
    </cfRule>
  </conditionalFormatting>
  <conditionalFormatting sqref="D283:O283 Q283:U283">
    <cfRule type="containsErrors" dxfId="337" priority="39">
      <formula>ISERROR(D283)</formula>
    </cfRule>
  </conditionalFormatting>
  <conditionalFormatting sqref="AB9:AF9">
    <cfRule type="cellIs" dxfId="336" priority="38" stopIfTrue="1" operator="equal">
      <formula>0</formula>
    </cfRule>
  </conditionalFormatting>
  <conditionalFormatting sqref="A108:A110">
    <cfRule type="containsErrors" dxfId="335" priority="36">
      <formula>ISERROR(A108)</formula>
    </cfRule>
  </conditionalFormatting>
  <conditionalFormatting sqref="A251:A253">
    <cfRule type="containsErrors" dxfId="334" priority="31">
      <formula>ISERROR(A251)</formula>
    </cfRule>
  </conditionalFormatting>
  <conditionalFormatting sqref="Z76:AD76">
    <cfRule type="cellIs" dxfId="333" priority="25" stopIfTrue="1" operator="equal">
      <formula>0</formula>
    </cfRule>
  </conditionalFormatting>
  <conditionalFormatting sqref="AB116:AF116">
    <cfRule type="cellIs" dxfId="332" priority="24" stopIfTrue="1" operator="equal">
      <formula>0</formula>
    </cfRule>
  </conditionalFormatting>
  <conditionalFormatting sqref="AM147:AQ147">
    <cfRule type="cellIs" dxfId="331" priority="23" stopIfTrue="1" operator="equal">
      <formula>0</formula>
    </cfRule>
  </conditionalFormatting>
  <conditionalFormatting sqref="AS147:AW147">
    <cfRule type="cellIs" dxfId="330" priority="22" stopIfTrue="1" operator="equal">
      <formula>0</formula>
    </cfRule>
  </conditionalFormatting>
  <conditionalFormatting sqref="AE183:AI183">
    <cfRule type="cellIs" dxfId="329" priority="21" stopIfTrue="1" operator="equal">
      <formula>0</formula>
    </cfRule>
  </conditionalFormatting>
  <conditionalFormatting sqref="D206:H206">
    <cfRule type="containsErrors" dxfId="328" priority="20">
      <formula>ISERROR(D206)</formula>
    </cfRule>
  </conditionalFormatting>
  <conditionalFormatting sqref="Z147:AD147">
    <cfRule type="cellIs" dxfId="327" priority="19" stopIfTrue="1" operator="equal">
      <formula>0</formula>
    </cfRule>
  </conditionalFormatting>
  <conditionalFormatting sqref="AE184:AI205">
    <cfRule type="containsErrors" dxfId="326" priority="16">
      <formula>ISERROR(AE184)</formula>
    </cfRule>
  </conditionalFormatting>
  <conditionalFormatting sqref="AE207:AI207">
    <cfRule type="containsErrors" dxfId="325" priority="15">
      <formula>ISERROR(AE207)</formula>
    </cfRule>
  </conditionalFormatting>
  <conditionalFormatting sqref="B220:B241 D220:H241 A215:A249">
    <cfRule type="containsErrors" dxfId="324" priority="13">
      <formula>ISERROR(A215)</formula>
    </cfRule>
  </conditionalFormatting>
  <conditionalFormatting sqref="A220:A241">
    <cfRule type="cellIs" dxfId="323" priority="12" operator="equal">
      <formula>0</formula>
    </cfRule>
  </conditionalFormatting>
  <conditionalFormatting sqref="D243:H243">
    <cfRule type="containsErrors" dxfId="322" priority="11">
      <formula>ISERROR(D243)</formula>
    </cfRule>
  </conditionalFormatting>
  <conditionalFormatting sqref="A250">
    <cfRule type="cellIs" dxfId="321" priority="9" operator="equal">
      <formula>0</formula>
    </cfRule>
    <cfRule type="containsErrors" dxfId="320" priority="10">
      <formula>ISERROR(A250)</formula>
    </cfRule>
  </conditionalFormatting>
  <conditionalFormatting sqref="D218:H218">
    <cfRule type="containsErrors" dxfId="319" priority="7">
      <formula>ISERROR(D218)</formula>
    </cfRule>
  </conditionalFormatting>
  <conditionalFormatting sqref="D219:H219">
    <cfRule type="containsErrors" dxfId="318" priority="8">
      <formula>ISERROR(D219)</formula>
    </cfRule>
  </conditionalFormatting>
  <conditionalFormatting sqref="AE219:AI219">
    <cfRule type="cellIs" dxfId="317" priority="6" stopIfTrue="1" operator="equal">
      <formula>0</formula>
    </cfRule>
  </conditionalFormatting>
  <conditionalFormatting sqref="D242:H242">
    <cfRule type="containsErrors" dxfId="316" priority="5">
      <formula>ISERROR(D242)</formula>
    </cfRule>
  </conditionalFormatting>
  <conditionalFormatting sqref="AE220:AI241">
    <cfRule type="containsErrors" dxfId="315" priority="3">
      <formula>ISERROR(AE220)</formula>
    </cfRule>
  </conditionalFormatting>
  <conditionalFormatting sqref="AE243:AI243">
    <cfRule type="containsErrors" dxfId="314" priority="2">
      <formula>ISERROR(AE243)</formula>
    </cfRule>
  </conditionalFormatting>
  <conditionalFormatting sqref="A364:A396">
    <cfRule type="containsErrors" dxfId="313" priority="1">
      <formula>ISERROR(A364)</formula>
    </cfRule>
  </conditionalFormatting>
  <hyperlinks>
    <hyperlink ref="B327:H328" location="IDACI!A1" display="IDACI" xr:uid="{52E0C71A-C3C1-4DE2-A781-8DE465EEE467}"/>
    <hyperlink ref="B351:I352" location="ROSGO!A1" display="Child Arrangement &amp; Special Guardianship Orders" xr:uid="{7F0F4166-D2A0-483E-B4D1-A7092C3197C3}"/>
    <hyperlink ref="B331:G332" location="EH_Referrals!A1" display="Early Help Referrals" xr:uid="{45C13606-694C-4027-AD8C-B1609378C300}"/>
    <hyperlink ref="B351:E352" location="ROSGO!A1" display="Child Arrangement &amp; Special Guardianship Orders" xr:uid="{164B061A-35C4-49D1-8F2F-96001DF7145D}"/>
    <hyperlink ref="B331:E332" location="EH_Referrals!A1" display="Early Help Referrals" xr:uid="{5A40FA1B-9A41-458C-8AF8-5DB787C956A3}"/>
    <hyperlink ref="B329:D330" location="IDACI!A1" display="IDACI" xr:uid="{54F9B4E8-83CF-4BB7-A805-8A34468F2999}"/>
    <hyperlink ref="B325:D326" location="Indicators!A1" display="Indicators" xr:uid="{0946649C-73BD-401E-BEBC-DEB2C7D6F483}"/>
    <hyperlink ref="B353:D354" location="New_Ceased_LAC!A1" display="New/ Ceased Looked After Children" xr:uid="{F6DB14CC-0B35-4CE6-8B6F-93BF324C09FC}"/>
    <hyperlink ref="B357:D358" location="Care_Leavers!A1" display="Care Leavers" xr:uid="{B5E155F6-1696-438E-8FF9-4ADED2C8567C}"/>
    <hyperlink ref="B361:D362" location="Offending!A1" display="Offending" xr:uid="{43F9B782-E2A4-4A88-887D-DDC0B9416F15}"/>
    <hyperlink ref="B359:D360" location="EHCP!A1" display="Education Health and Care Plans (EHCP)" xr:uid="{0C9CF9CA-13DF-4662-967C-21B95C56F5BD}"/>
    <hyperlink ref="B327:B328" location="Coverage!A1" display="Participating LA's" xr:uid="{D6D6940A-3156-453B-AF4A-1354117BBE2E}"/>
    <hyperlink ref="B329:B330" location="IDACI!A1" display="IDACI" xr:uid="{2491348B-CE78-4838-8A4A-7E817BD163C9}"/>
    <hyperlink ref="B355:B356" location="Adoption!A1" display="Adoption" xr:uid="{0BE411F4-7FED-4B9E-AA54-5D11E3FDF0A7}"/>
    <hyperlink ref="B351:B352" location="'Looked After Children'!A1" display="Looked After Children" xr:uid="{FB94A165-ABB9-4B01-8DFF-C698361A7F3D}"/>
    <hyperlink ref="B349:B350" location="'Court Applications'!A1" display="Court Applications" xr:uid="{B390BD13-633F-4836-BEE0-DB5175043C1C}"/>
    <hyperlink ref="B347:B348" location="'Child Protection Plans'!A1" display="Child Protection Plans" xr:uid="{13F755C1-0504-4DB6-ABAB-7B2EC0823C30}"/>
    <hyperlink ref="B345:B346" location="'Initial CP Conferences'!A1" display="Initial Child Protection Conferences" xr:uid="{86899F08-FF67-442E-8D43-07F16A0CED81}"/>
    <hyperlink ref="B343:B344" location="'Section 47 Enquiries'!A1" display="Section 47 Enquiries" xr:uid="{88ADDA8D-2E75-48A5-950C-2904082EE7CA}"/>
    <hyperlink ref="B341:B342" location="'Children in Need'!A1" display="Children in Need" xr:uid="{BECE2B57-9644-4586-8056-8686D23490CC}"/>
    <hyperlink ref="B339:B340" location="Assessments!A1" display="Assessments" xr:uid="{CD7CF534-9A35-4C84-88A0-7AAACC3B5290}"/>
    <hyperlink ref="B337:B338" location="'Re-referrals'!A1" display="Re-referrals" xr:uid="{3036901C-7879-4A73-BB73-2D72A546C49B}"/>
    <hyperlink ref="B335:B336" location="Referral_Source!A1" display="Referral Source" xr:uid="{082C02AD-E6F9-40EA-992A-B1E14D21E316}"/>
    <hyperlink ref="B333:B334" location="Referrals!A1" display="Referrals" xr:uid="{588D8790-C138-4497-978B-386244A54FBE}"/>
    <hyperlink ref="B331:B332" location="Population!A1" display="Population" xr:uid="{64D3E667-CAD5-4087-A34E-E42F700AC9EB}"/>
    <hyperlink ref="B329:C330" location="IDACI!A1" display="IDACI" xr:uid="{24275E57-A0ED-477A-BAD7-A92FCAF79130}"/>
    <hyperlink ref="B325:B326" location="Coverage!A1" display="Participating LA's" xr:uid="{CA39938F-2A1D-4FCB-8540-957394F4F5C7}"/>
    <hyperlink ref="B325:C326" location="Indicators!A1" display="Indicators" xr:uid="{9661881B-CAF3-4110-BF23-794A21EE97F8}"/>
    <hyperlink ref="B357:B358" location="'Looked After Children'!A1" display="Looked After Children" xr:uid="{B6220D2E-2029-479E-B3A1-7017F011CCCE}"/>
    <hyperlink ref="B353:B354" location="'Court Applications'!A1" display="Court Applications" xr:uid="{C83F94B7-9D89-418C-945E-E914BD02BC3A}"/>
    <hyperlink ref="B353:C354" location="New_Ceased_LAC!A1" display="New/ Ceased Looked After Children" xr:uid="{DC4EE15A-7EB0-45A8-86FD-B6F70A880562}"/>
    <hyperlink ref="B357:C358" location="Care_Leavers!A1" display="Care Leavers" xr:uid="{C24464BC-44C2-4408-B9B6-2D0DB30ED0DA}"/>
    <hyperlink ref="B360:B362" location="Adoption!A1" display="Adoption" xr:uid="{B4F7B279-972D-43A4-B7A5-C514F651985D}"/>
    <hyperlink ref="B361:B362" location="'Looked After Children'!A1" display="Looked After Children" xr:uid="{C823DBB1-4836-42F4-A791-57ED841A5C61}"/>
    <hyperlink ref="B361:C362" location="Offending!A1" display="Offending" xr:uid="{58425945-10C9-43F8-A5D0-1DFDBF1A095B}"/>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8" max="21" man="1"/>
    <brk id="7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67940" r:id="rId4" name="Check Box 4">
              <controlPr defaultSize="0" autoFill="0" autoLine="0" autoPict="0" macro="[0]!CheckBox1_Click" altText="">
                <anchor>
                  <from>
                    <xdr:col>23</xdr:col>
                    <xdr:colOff>76200</xdr:colOff>
                    <xdr:row>42</xdr:row>
                    <xdr:rowOff>142875</xdr:rowOff>
                  </from>
                  <to>
                    <xdr:col>36</xdr:col>
                    <xdr:colOff>47625</xdr:colOff>
                    <xdr:row>44</xdr:row>
                    <xdr:rowOff>0</xdr:rowOff>
                  </to>
                </anchor>
              </controlPr>
            </control>
          </mc:Choice>
        </mc:AlternateContent>
        <mc:AlternateContent xmlns:mc="http://schemas.openxmlformats.org/markup-compatibility/2006">
          <mc:Choice Requires="x14">
            <control shapeId="167941" r:id="rId5" name="Check Box 5">
              <controlPr defaultSize="0" autoFill="0" autoLine="0" autoPict="0" macro="[0]!CheckBox1_Click" altText="">
                <anchor>
                  <from>
                    <xdr:col>23</xdr:col>
                    <xdr:colOff>76200</xdr:colOff>
                    <xdr:row>43</xdr:row>
                    <xdr:rowOff>142875</xdr:rowOff>
                  </from>
                  <to>
                    <xdr:col>36</xdr:col>
                    <xdr:colOff>47625</xdr:colOff>
                    <xdr:row>45</xdr:row>
                    <xdr:rowOff>0</xdr:rowOff>
                  </to>
                </anchor>
              </controlPr>
            </control>
          </mc:Choice>
        </mc:AlternateContent>
        <mc:AlternateContent xmlns:mc="http://schemas.openxmlformats.org/markup-compatibility/2006">
          <mc:Choice Requires="x14">
            <control shapeId="167942" r:id="rId6" name="Check Box 6">
              <controlPr defaultSize="0" autoFill="0" autoLine="0" autoPict="0" macro="[0]!CheckBox1_Click" altText="">
                <anchor>
                  <from>
                    <xdr:col>23</xdr:col>
                    <xdr:colOff>76200</xdr:colOff>
                    <xdr:row>44</xdr:row>
                    <xdr:rowOff>142875</xdr:rowOff>
                  </from>
                  <to>
                    <xdr:col>36</xdr:col>
                    <xdr:colOff>47625</xdr:colOff>
                    <xdr:row>46</xdr:row>
                    <xdr:rowOff>0</xdr:rowOff>
                  </to>
                </anchor>
              </controlPr>
            </control>
          </mc:Choice>
        </mc:AlternateContent>
        <mc:AlternateContent xmlns:mc="http://schemas.openxmlformats.org/markup-compatibility/2006">
          <mc:Choice Requires="x14">
            <control shapeId="167943" r:id="rId7" name="Check Box 7">
              <controlPr defaultSize="0" autoFill="0" autoLine="0" autoPict="0" macro="[0]!CheckBox1_Click" altText="">
                <anchor>
                  <from>
                    <xdr:col>23</xdr:col>
                    <xdr:colOff>76200</xdr:colOff>
                    <xdr:row>45</xdr:row>
                    <xdr:rowOff>142875</xdr:rowOff>
                  </from>
                  <to>
                    <xdr:col>36</xdr:col>
                    <xdr:colOff>47625</xdr:colOff>
                    <xdr:row>47</xdr:row>
                    <xdr:rowOff>0</xdr:rowOff>
                  </to>
                </anchor>
              </controlPr>
            </control>
          </mc:Choice>
        </mc:AlternateContent>
        <mc:AlternateContent xmlns:mc="http://schemas.openxmlformats.org/markup-compatibility/2006">
          <mc:Choice Requires="x14">
            <control shapeId="167944" r:id="rId8" name="Check Box 8">
              <controlPr defaultSize="0" autoFill="0" autoLine="0" autoPict="0" macro="[0]!CheckBox1_Click" altText="">
                <anchor>
                  <from>
                    <xdr:col>23</xdr:col>
                    <xdr:colOff>76200</xdr:colOff>
                    <xdr:row>46</xdr:row>
                    <xdr:rowOff>142875</xdr:rowOff>
                  </from>
                  <to>
                    <xdr:col>36</xdr:col>
                    <xdr:colOff>47625</xdr:colOff>
                    <xdr:row>48</xdr:row>
                    <xdr:rowOff>0</xdr:rowOff>
                  </to>
                </anchor>
              </controlPr>
            </control>
          </mc:Choice>
        </mc:AlternateContent>
        <mc:AlternateContent xmlns:mc="http://schemas.openxmlformats.org/markup-compatibility/2006">
          <mc:Choice Requires="x14">
            <control shapeId="167945" r:id="rId9" name="Check Box 9">
              <controlPr defaultSize="0" autoFill="0" autoLine="0" autoPict="0" macro="[0]!CheckBox1_Click" altText="">
                <anchor>
                  <from>
                    <xdr:col>23</xdr:col>
                    <xdr:colOff>76200</xdr:colOff>
                    <xdr:row>47</xdr:row>
                    <xdr:rowOff>142875</xdr:rowOff>
                  </from>
                  <to>
                    <xdr:col>36</xdr:col>
                    <xdr:colOff>47625</xdr:colOff>
                    <xdr:row>49</xdr:row>
                    <xdr:rowOff>0</xdr:rowOff>
                  </to>
                </anchor>
              </controlPr>
            </control>
          </mc:Choice>
        </mc:AlternateContent>
        <mc:AlternateContent xmlns:mc="http://schemas.openxmlformats.org/markup-compatibility/2006">
          <mc:Choice Requires="x14">
            <control shapeId="167946" r:id="rId10" name="Check Box 10">
              <controlPr defaultSize="0" autoFill="0" autoLine="0" autoPict="0" macro="[0]!CheckBox1_Click" altText="">
                <anchor>
                  <from>
                    <xdr:col>23</xdr:col>
                    <xdr:colOff>76200</xdr:colOff>
                    <xdr:row>48</xdr:row>
                    <xdr:rowOff>142875</xdr:rowOff>
                  </from>
                  <to>
                    <xdr:col>36</xdr:col>
                    <xdr:colOff>47625</xdr:colOff>
                    <xdr:row>50</xdr:row>
                    <xdr:rowOff>0</xdr:rowOff>
                  </to>
                </anchor>
              </controlPr>
            </control>
          </mc:Choice>
        </mc:AlternateContent>
        <mc:AlternateContent xmlns:mc="http://schemas.openxmlformats.org/markup-compatibility/2006">
          <mc:Choice Requires="x14">
            <control shapeId="167947" r:id="rId11" name="Check Box 11">
              <controlPr defaultSize="0" autoFill="0" autoLine="0" autoPict="0" macro="[0]!CheckBox1_Click" altText="">
                <anchor>
                  <from>
                    <xdr:col>23</xdr:col>
                    <xdr:colOff>76200</xdr:colOff>
                    <xdr:row>49</xdr:row>
                    <xdr:rowOff>142875</xdr:rowOff>
                  </from>
                  <to>
                    <xdr:col>36</xdr:col>
                    <xdr:colOff>47625</xdr:colOff>
                    <xdr:row>51</xdr:row>
                    <xdr:rowOff>0</xdr:rowOff>
                  </to>
                </anchor>
              </controlPr>
            </control>
          </mc:Choice>
        </mc:AlternateContent>
        <mc:AlternateContent xmlns:mc="http://schemas.openxmlformats.org/markup-compatibility/2006">
          <mc:Choice Requires="x14">
            <control shapeId="167948" r:id="rId12" name="Check Box 12">
              <controlPr defaultSize="0" autoFill="0" autoLine="0" autoPict="0" macro="[0]!CheckBox1_Click" altText="">
                <anchor>
                  <from>
                    <xdr:col>23</xdr:col>
                    <xdr:colOff>76200</xdr:colOff>
                    <xdr:row>50</xdr:row>
                    <xdr:rowOff>142875</xdr:rowOff>
                  </from>
                  <to>
                    <xdr:col>36</xdr:col>
                    <xdr:colOff>47625</xdr:colOff>
                    <xdr:row>52</xdr:row>
                    <xdr:rowOff>0</xdr:rowOff>
                  </to>
                </anchor>
              </controlPr>
            </control>
          </mc:Choice>
        </mc:AlternateContent>
        <mc:AlternateContent xmlns:mc="http://schemas.openxmlformats.org/markup-compatibility/2006">
          <mc:Choice Requires="x14">
            <control shapeId="167949" r:id="rId13" name="Check Box 13">
              <controlPr defaultSize="0" autoFill="0" autoLine="0" autoPict="0" macro="[0]!CheckBox1_Click" altText="">
                <anchor>
                  <from>
                    <xdr:col>23</xdr:col>
                    <xdr:colOff>76200</xdr:colOff>
                    <xdr:row>51</xdr:row>
                    <xdr:rowOff>142875</xdr:rowOff>
                  </from>
                  <to>
                    <xdr:col>36</xdr:col>
                    <xdr:colOff>47625</xdr:colOff>
                    <xdr:row>53</xdr:row>
                    <xdr:rowOff>0</xdr:rowOff>
                  </to>
                </anchor>
              </controlPr>
            </control>
          </mc:Choice>
        </mc:AlternateContent>
        <mc:AlternateContent xmlns:mc="http://schemas.openxmlformats.org/markup-compatibility/2006">
          <mc:Choice Requires="x14">
            <control shapeId="167950" r:id="rId14" name="Check Box 14">
              <controlPr defaultSize="0" autoFill="0" autoLine="0" autoPict="0" macro="[0]!CheckBox1_Click" altText="">
                <anchor>
                  <from>
                    <xdr:col>23</xdr:col>
                    <xdr:colOff>76200</xdr:colOff>
                    <xdr:row>52</xdr:row>
                    <xdr:rowOff>142875</xdr:rowOff>
                  </from>
                  <to>
                    <xdr:col>36</xdr:col>
                    <xdr:colOff>47625</xdr:colOff>
                    <xdr:row>54</xdr:row>
                    <xdr:rowOff>0</xdr:rowOff>
                  </to>
                </anchor>
              </controlPr>
            </control>
          </mc:Choice>
        </mc:AlternateContent>
        <mc:AlternateContent xmlns:mc="http://schemas.openxmlformats.org/markup-compatibility/2006">
          <mc:Choice Requires="x14">
            <control shapeId="167951" r:id="rId15" name="Check Box 15">
              <controlPr defaultSize="0" autoFill="0" autoLine="0" autoPict="0" macro="[0]!CheckBox1_Click" altText="">
                <anchor>
                  <from>
                    <xdr:col>23</xdr:col>
                    <xdr:colOff>76200</xdr:colOff>
                    <xdr:row>53</xdr:row>
                    <xdr:rowOff>142875</xdr:rowOff>
                  </from>
                  <to>
                    <xdr:col>36</xdr:col>
                    <xdr:colOff>47625</xdr:colOff>
                    <xdr:row>55</xdr:row>
                    <xdr:rowOff>0</xdr:rowOff>
                  </to>
                </anchor>
              </controlPr>
            </control>
          </mc:Choice>
        </mc:AlternateContent>
        <mc:AlternateContent xmlns:mc="http://schemas.openxmlformats.org/markup-compatibility/2006">
          <mc:Choice Requires="x14">
            <control shapeId="167952" r:id="rId16" name="Check Box 16">
              <controlPr defaultSize="0" autoFill="0" autoLine="0" autoPict="0" macro="[0]!CheckBox1_Click" altText="">
                <anchor>
                  <from>
                    <xdr:col>23</xdr:col>
                    <xdr:colOff>76200</xdr:colOff>
                    <xdr:row>54</xdr:row>
                    <xdr:rowOff>142875</xdr:rowOff>
                  </from>
                  <to>
                    <xdr:col>36</xdr:col>
                    <xdr:colOff>47625</xdr:colOff>
                    <xdr:row>56</xdr:row>
                    <xdr:rowOff>0</xdr:rowOff>
                  </to>
                </anchor>
              </controlPr>
            </control>
          </mc:Choice>
        </mc:AlternateContent>
        <mc:AlternateContent xmlns:mc="http://schemas.openxmlformats.org/markup-compatibility/2006">
          <mc:Choice Requires="x14">
            <control shapeId="167953" r:id="rId17" name="Check Box 17">
              <controlPr defaultSize="0" autoFill="0" autoLine="0" autoPict="0" macro="[0]!CheckBox1_Click" altText="">
                <anchor>
                  <from>
                    <xdr:col>23</xdr:col>
                    <xdr:colOff>76200</xdr:colOff>
                    <xdr:row>57</xdr:row>
                    <xdr:rowOff>142875</xdr:rowOff>
                  </from>
                  <to>
                    <xdr:col>36</xdr:col>
                    <xdr:colOff>47625</xdr:colOff>
                    <xdr:row>59</xdr:row>
                    <xdr:rowOff>0</xdr:rowOff>
                  </to>
                </anchor>
              </controlPr>
            </control>
          </mc:Choice>
        </mc:AlternateContent>
        <mc:AlternateContent xmlns:mc="http://schemas.openxmlformats.org/markup-compatibility/2006">
          <mc:Choice Requires="x14">
            <control shapeId="167954" r:id="rId18" name="Check Box 18">
              <controlPr defaultSize="0" autoFill="0" autoLine="0" autoPict="0" macro="[0]!CheckBox1_Click" altText="">
                <anchor>
                  <from>
                    <xdr:col>23</xdr:col>
                    <xdr:colOff>76200</xdr:colOff>
                    <xdr:row>58</xdr:row>
                    <xdr:rowOff>142875</xdr:rowOff>
                  </from>
                  <to>
                    <xdr:col>36</xdr:col>
                    <xdr:colOff>47625</xdr:colOff>
                    <xdr:row>60</xdr:row>
                    <xdr:rowOff>0</xdr:rowOff>
                  </to>
                </anchor>
              </controlPr>
            </control>
          </mc:Choice>
        </mc:AlternateContent>
        <mc:AlternateContent xmlns:mc="http://schemas.openxmlformats.org/markup-compatibility/2006">
          <mc:Choice Requires="x14">
            <control shapeId="167955" r:id="rId19" name="Check Box 19">
              <controlPr defaultSize="0" autoFill="0" autoLine="0" autoPict="0" macro="[0]!CheckBox1_Click" altText="">
                <anchor>
                  <from>
                    <xdr:col>23</xdr:col>
                    <xdr:colOff>76200</xdr:colOff>
                    <xdr:row>59</xdr:row>
                    <xdr:rowOff>142875</xdr:rowOff>
                  </from>
                  <to>
                    <xdr:col>36</xdr:col>
                    <xdr:colOff>47625</xdr:colOff>
                    <xdr:row>61</xdr:row>
                    <xdr:rowOff>0</xdr:rowOff>
                  </to>
                </anchor>
              </controlPr>
            </control>
          </mc:Choice>
        </mc:AlternateContent>
        <mc:AlternateContent xmlns:mc="http://schemas.openxmlformats.org/markup-compatibility/2006">
          <mc:Choice Requires="x14">
            <control shapeId="167956" r:id="rId20" name="Check Box 20">
              <controlPr defaultSize="0" autoFill="0" autoLine="0" autoPict="0" macro="[0]!CheckBox1_Click" altText="">
                <anchor>
                  <from>
                    <xdr:col>23</xdr:col>
                    <xdr:colOff>76200</xdr:colOff>
                    <xdr:row>60</xdr:row>
                    <xdr:rowOff>142875</xdr:rowOff>
                  </from>
                  <to>
                    <xdr:col>36</xdr:col>
                    <xdr:colOff>47625</xdr:colOff>
                    <xdr:row>62</xdr:row>
                    <xdr:rowOff>0</xdr:rowOff>
                  </to>
                </anchor>
              </controlPr>
            </control>
          </mc:Choice>
        </mc:AlternateContent>
        <mc:AlternateContent xmlns:mc="http://schemas.openxmlformats.org/markup-compatibility/2006">
          <mc:Choice Requires="x14">
            <control shapeId="167957" r:id="rId21" name="Check Box 21">
              <controlPr defaultSize="0" autoFill="0" autoLine="0" autoPict="0" macro="[0]!CheckBox1_Click" altText="">
                <anchor>
                  <from>
                    <xdr:col>23</xdr:col>
                    <xdr:colOff>76200</xdr:colOff>
                    <xdr:row>61</xdr:row>
                    <xdr:rowOff>142875</xdr:rowOff>
                  </from>
                  <to>
                    <xdr:col>36</xdr:col>
                    <xdr:colOff>47625</xdr:colOff>
                    <xdr:row>63</xdr:row>
                    <xdr:rowOff>0</xdr:rowOff>
                  </to>
                </anchor>
              </controlPr>
            </control>
          </mc:Choice>
        </mc:AlternateContent>
        <mc:AlternateContent xmlns:mc="http://schemas.openxmlformats.org/markup-compatibility/2006">
          <mc:Choice Requires="x14">
            <control shapeId="167958" r:id="rId22" name="Check Box 22">
              <controlPr defaultSize="0" autoFill="0" autoLine="0" autoPict="0" macro="[0]!CheckBox1_Click" altText="">
                <anchor>
                  <from>
                    <xdr:col>23</xdr:col>
                    <xdr:colOff>76200</xdr:colOff>
                    <xdr:row>55</xdr:row>
                    <xdr:rowOff>142875</xdr:rowOff>
                  </from>
                  <to>
                    <xdr:col>36</xdr:col>
                    <xdr:colOff>47625</xdr:colOff>
                    <xdr:row>57</xdr:row>
                    <xdr:rowOff>0</xdr:rowOff>
                  </to>
                </anchor>
              </controlPr>
            </control>
          </mc:Choice>
        </mc:AlternateContent>
        <mc:AlternateContent xmlns:mc="http://schemas.openxmlformats.org/markup-compatibility/2006">
          <mc:Choice Requires="x14">
            <control shapeId="167959" r:id="rId23" name="Check Box 23">
              <controlPr defaultSize="0" autoFill="0" autoLine="0" autoPict="0" macro="[0]!CheckBox1_Click" altText="">
                <anchor>
                  <from>
                    <xdr:col>23</xdr:col>
                    <xdr:colOff>76200</xdr:colOff>
                    <xdr:row>56</xdr:row>
                    <xdr:rowOff>142875</xdr:rowOff>
                  </from>
                  <to>
                    <xdr:col>36</xdr:col>
                    <xdr:colOff>47625</xdr:colOff>
                    <xdr:row>58</xdr:row>
                    <xdr:rowOff>0</xdr:rowOff>
                  </to>
                </anchor>
              </controlPr>
            </control>
          </mc:Choice>
        </mc:AlternateContent>
        <mc:AlternateContent xmlns:mc="http://schemas.openxmlformats.org/markup-compatibility/2006">
          <mc:Choice Requires="x14">
            <control shapeId="167960" r:id="rId24" name="Check Box 24">
              <controlPr defaultSize="0" autoFill="0" autoLine="0" autoPict="0" macro="[0]!CheckBox1_Click" altText="">
                <anchor>
                  <from>
                    <xdr:col>23</xdr:col>
                    <xdr:colOff>76200</xdr:colOff>
                    <xdr:row>62</xdr:row>
                    <xdr:rowOff>142875</xdr:rowOff>
                  </from>
                  <to>
                    <xdr:col>36</xdr:col>
                    <xdr:colOff>47625</xdr:colOff>
                    <xdr:row>64</xdr:row>
                    <xdr:rowOff>0</xdr:rowOff>
                  </to>
                </anchor>
              </controlPr>
            </control>
          </mc:Choice>
        </mc:AlternateContent>
        <mc:AlternateContent xmlns:mc="http://schemas.openxmlformats.org/markup-compatibility/2006">
          <mc:Choice Requires="x14">
            <control shapeId="167937" r:id="rId25" name="Check Box 1">
              <controlPr defaultSize="0" autoFill="0" autoLine="0" autoPict="0" macro="[0]!CheckBox1_Click" altText="">
                <anchor>
                  <from>
                    <xdr:col>23</xdr:col>
                    <xdr:colOff>76200</xdr:colOff>
                    <xdr:row>39</xdr:row>
                    <xdr:rowOff>19050</xdr:rowOff>
                  </from>
                  <to>
                    <xdr:col>36</xdr:col>
                    <xdr:colOff>47625</xdr:colOff>
                    <xdr:row>41</xdr:row>
                    <xdr:rowOff>0</xdr:rowOff>
                  </to>
                </anchor>
              </controlPr>
            </control>
          </mc:Choice>
        </mc:AlternateContent>
        <mc:AlternateContent xmlns:mc="http://schemas.openxmlformats.org/markup-compatibility/2006">
          <mc:Choice Requires="x14">
            <control shapeId="167938" r:id="rId26" name="Check Box 2">
              <controlPr defaultSize="0" autoFill="0" autoLine="0" autoPict="0" macro="[0]!CheckBox1_Click" altText="">
                <anchor>
                  <from>
                    <xdr:col>23</xdr:col>
                    <xdr:colOff>76200</xdr:colOff>
                    <xdr:row>40</xdr:row>
                    <xdr:rowOff>142875</xdr:rowOff>
                  </from>
                  <to>
                    <xdr:col>36</xdr:col>
                    <xdr:colOff>47625</xdr:colOff>
                    <xdr:row>42</xdr:row>
                    <xdr:rowOff>0</xdr:rowOff>
                  </to>
                </anchor>
              </controlPr>
            </control>
          </mc:Choice>
        </mc:AlternateContent>
        <mc:AlternateContent xmlns:mc="http://schemas.openxmlformats.org/markup-compatibility/2006">
          <mc:Choice Requires="x14">
            <control shapeId="167939" r:id="rId27" name="Check Box 3">
              <controlPr defaultSize="0" autoFill="0" autoLine="0" autoPict="0" macro="[0]!CheckBox1_Click" altText="">
                <anchor>
                  <from>
                    <xdr:col>23</xdr:col>
                    <xdr:colOff>76200</xdr:colOff>
                    <xdr:row>41</xdr:row>
                    <xdr:rowOff>142875</xdr:rowOff>
                  </from>
                  <to>
                    <xdr:col>36</xdr:col>
                    <xdr:colOff>47625</xdr:colOff>
                    <xdr:row>43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2403FCE7-E9CA-4BA9-A83D-360576285C10}">
            <x14:dataBar minLength="0" maxLength="100" gradient="0" negativeBarColorSameAsPositive="1">
              <x14:cfvo type="autoMin"/>
              <x14:cfvo type="autoMax"/>
              <x14:axisColor rgb="FF000000"/>
            </x14:dataBar>
          </x14:cfRule>
          <xm:sqref>P10:P33</xm:sqref>
        </x14:conditionalFormatting>
        <x14:conditionalFormatting xmlns:xm="http://schemas.microsoft.com/office/excel/2006/main">
          <x14:cfRule type="dataBar" id="{9B4FC7F5-DB7A-4987-B350-DE384486D858}">
            <x14:dataBar minLength="0" maxLength="100" gradient="0" negativeBarColorSameAsPositive="1">
              <x14:cfvo type="autoMin"/>
              <x14:cfvo type="autoMax"/>
              <x14:axisColor rgb="FF000000"/>
            </x14:dataBar>
          </x14:cfRule>
          <xm:sqref>P117:P140</xm:sqref>
        </x14:conditionalFormatting>
        <x14:conditionalFormatting xmlns:xm="http://schemas.microsoft.com/office/excel/2006/main">
          <x14:cfRule type="dataBar" id="{3D2247D4-B315-42E3-BD15-069B216CFCBD}">
            <x14:dataBar minLength="0" maxLength="100" gradient="0">
              <x14:cfvo type="autoMin"/>
              <x14:cfvo type="autoMax"/>
              <x14:negativeFillColor theme="6" tint="-0.249977111117893"/>
              <x14:axisColor rgb="FF000000"/>
            </x14:dataBar>
          </x14:cfRule>
          <xm:sqref>P260:P283</xm:sqref>
        </x14:conditionalFormatting>
      </x14:conditionalFormatting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8">
    <tabColor rgb="FFFFC000"/>
  </sheetPr>
  <dimension ref="A1:BP347"/>
  <sheetViews>
    <sheetView showRowColHeaders="0" zoomScaleNormal="10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10" width="7.42578125" style="74" customWidth="1"/>
    <col min="11" max="11" width="1.42578125" style="88" customWidth="1"/>
    <col min="12" max="18" width="7.42578125" style="74" customWidth="1"/>
    <col min="19" max="19" width="1.42578125" style="74" customWidth="1"/>
    <col min="20" max="20" width="8" style="74" customWidth="1"/>
    <col min="21" max="21" width="2.140625" style="74" customWidth="1"/>
    <col min="22" max="22" width="6.42578125" style="80" customWidth="1"/>
    <col min="23" max="23" width="4.85546875" style="80" customWidth="1"/>
    <col min="24" max="24" width="16.85546875" style="81" hidden="1" customWidth="1"/>
    <col min="25" max="25" width="17" style="81" hidden="1" customWidth="1"/>
    <col min="26" max="26" width="21.42578125" style="81" hidden="1" customWidth="1"/>
    <col min="27" max="28" width="16.5703125" style="81" hidden="1" customWidth="1"/>
    <col min="29" max="29" width="8.5703125" style="81" hidden="1" customWidth="1"/>
    <col min="30" max="30" width="17" style="81" hidden="1" customWidth="1"/>
    <col min="31" max="31" width="8.5703125" style="81" hidden="1" customWidth="1"/>
    <col min="32" max="32" width="14.42578125" style="81" hidden="1" customWidth="1"/>
    <col min="33" max="34" width="6.5703125" style="81" hidden="1" customWidth="1"/>
    <col min="35" max="35" width="17" style="81" hidden="1" customWidth="1"/>
    <col min="36" max="36" width="6.5703125" style="81" hidden="1" customWidth="1"/>
    <col min="37" max="39" width="6.5703125" style="74" hidden="1" customWidth="1"/>
    <col min="40" max="40" width="31.5703125" style="184" customWidth="1"/>
    <col min="41" max="41" width="17" style="74" hidden="1" customWidth="1"/>
    <col min="42" max="46" width="13.5703125" style="74" hidden="1" customWidth="1"/>
    <col min="47" max="57" width="9.140625" style="74" hidden="1" customWidth="1"/>
    <col min="58" max="69" width="9.140625" style="74" customWidth="1"/>
    <col min="70" max="16384" width="9.140625" style="74"/>
  </cols>
  <sheetData>
    <row r="1" spans="1:48" ht="18.75" customHeight="1" thickBot="1" x14ac:dyDescent="0.25">
      <c r="A1" s="112"/>
      <c r="B1" s="113"/>
      <c r="C1" s="113"/>
      <c r="D1" s="113"/>
      <c r="E1" s="113"/>
      <c r="F1" s="113"/>
      <c r="G1" s="113"/>
      <c r="H1" s="113"/>
      <c r="I1" s="113"/>
      <c r="J1" s="113"/>
      <c r="K1" s="114"/>
      <c r="L1" s="113"/>
      <c r="M1" s="113"/>
      <c r="N1" s="113"/>
      <c r="O1" s="113"/>
      <c r="P1" s="113"/>
      <c r="Q1" s="113"/>
      <c r="R1" s="113"/>
      <c r="S1" s="113"/>
      <c r="T1" s="113"/>
      <c r="U1" s="115"/>
      <c r="V1" s="275"/>
      <c r="W1" s="155"/>
      <c r="X1" s="180"/>
      <c r="Y1" s="180"/>
      <c r="Z1" s="939" t="str">
        <f>IF(Sheet1!$C$3="Annual"," the year ending 31st March"," the quarter")</f>
        <v xml:space="preserve"> the year ending 31st March</v>
      </c>
      <c r="AA1" s="180"/>
      <c r="AB1" s="180"/>
      <c r="AC1" s="180"/>
      <c r="AD1" s="180"/>
      <c r="AE1" s="180"/>
      <c r="AF1" s="180"/>
      <c r="AG1" s="180"/>
      <c r="AH1" s="180"/>
      <c r="AI1" s="180"/>
      <c r="AJ1" s="180"/>
      <c r="AK1" s="181"/>
      <c r="AL1" s="181"/>
      <c r="AM1" s="181"/>
      <c r="AN1" s="419"/>
    </row>
    <row r="2" spans="1:48" ht="18.75" customHeight="1" x14ac:dyDescent="0.2">
      <c r="A2" s="278"/>
      <c r="B2" s="128" t="s">
        <v>32</v>
      </c>
      <c r="C2" s="9"/>
      <c r="D2" s="9"/>
      <c r="E2" s="9"/>
      <c r="F2" s="9"/>
      <c r="G2" s="9"/>
      <c r="H2" s="9"/>
      <c r="I2" s="9"/>
      <c r="J2" s="9"/>
      <c r="K2" s="12"/>
      <c r="L2" s="9"/>
      <c r="M2" s="9"/>
      <c r="N2" s="9"/>
      <c r="O2" s="9"/>
      <c r="P2" s="9"/>
      <c r="Q2" s="9"/>
      <c r="R2" s="9"/>
      <c r="S2" s="9"/>
      <c r="T2" s="9"/>
      <c r="U2" s="117"/>
      <c r="V2" s="161"/>
      <c r="W2" s="150"/>
      <c r="Y2" s="866">
        <f>IF(Sheet1!$C$3="Annual",1,4)</f>
        <v>1</v>
      </c>
      <c r="Z2" s="800" t="str">
        <f>IF(Sheet1!$C$3="Annual","",Sheet1!$D$28)</f>
        <v/>
      </c>
      <c r="AA2" s="801" t="str">
        <f>IF(Sheet1!$C$3="Annual","",Sheet1!$E$28)</f>
        <v/>
      </c>
      <c r="AB2" s="801" t="str">
        <f>IF(Sheet1!$C$3="Annual","",Sheet1!$F$28)</f>
        <v/>
      </c>
      <c r="AC2" s="801" t="str">
        <f>IF(Sheet1!$C$3="Annual","",Sheet1!$G$28)</f>
        <v/>
      </c>
      <c r="AD2" s="802" t="str">
        <f>IF(Sheet1!$C$3="Annual","",Sheet1!$H$28)</f>
        <v/>
      </c>
      <c r="AK2" s="184"/>
      <c r="AL2" s="184"/>
      <c r="AM2" s="184"/>
      <c r="AN2" s="157"/>
    </row>
    <row r="3" spans="1:48" ht="18.75" customHeight="1" thickBot="1" x14ac:dyDescent="0.25">
      <c r="A3" s="457"/>
      <c r="B3" s="553"/>
      <c r="C3" s="553"/>
      <c r="D3" s="553"/>
      <c r="E3" s="553"/>
      <c r="F3" s="553"/>
      <c r="G3" s="553"/>
      <c r="H3" s="553"/>
      <c r="I3" s="553"/>
      <c r="J3" s="553"/>
      <c r="K3" s="819"/>
      <c r="L3" s="553"/>
      <c r="M3" s="553"/>
      <c r="N3" s="553"/>
      <c r="O3" s="553"/>
      <c r="P3" s="553"/>
      <c r="Q3" s="553"/>
      <c r="R3" s="553"/>
      <c r="S3" s="553"/>
      <c r="T3" s="553"/>
      <c r="U3" s="1061"/>
      <c r="V3" s="161"/>
      <c r="W3" s="150"/>
      <c r="Y3" s="803"/>
      <c r="Z3" s="803" t="str">
        <f>Sheet1!$D$27</f>
        <v>2015-16</v>
      </c>
      <c r="AA3" s="804" t="str">
        <f>Sheet1!$E$27</f>
        <v>2016-17</v>
      </c>
      <c r="AB3" s="804" t="str">
        <f>Sheet1!$F$27</f>
        <v>2017-18</v>
      </c>
      <c r="AC3" s="804" t="str">
        <f>Sheet1!$G$27</f>
        <v>2018-19</v>
      </c>
      <c r="AD3" s="805" t="str">
        <f>Sheet1!$H$27</f>
        <v>2019-20</v>
      </c>
      <c r="AK3" s="184"/>
      <c r="AL3" s="184"/>
      <c r="AM3" s="184"/>
      <c r="AN3" s="157"/>
    </row>
    <row r="4" spans="1:48" ht="11.25" customHeight="1" x14ac:dyDescent="0.2">
      <c r="A4" s="112"/>
      <c r="B4" s="113"/>
      <c r="C4" s="113"/>
      <c r="D4" s="113"/>
      <c r="E4" s="113"/>
      <c r="F4" s="113"/>
      <c r="G4" s="113"/>
      <c r="H4" s="113"/>
      <c r="I4" s="113"/>
      <c r="J4" s="113"/>
      <c r="K4" s="114"/>
      <c r="L4" s="113"/>
      <c r="M4" s="113"/>
      <c r="N4" s="113"/>
      <c r="O4" s="113"/>
      <c r="P4" s="113"/>
      <c r="Q4" s="113"/>
      <c r="R4" s="113"/>
      <c r="S4" s="113"/>
      <c r="T4" s="113"/>
      <c r="U4" s="115"/>
      <c r="V4" s="137"/>
      <c r="W4" s="150"/>
      <c r="Y4" s="186" t="str">
        <f>Home!$D$10</f>
        <v>(none)</v>
      </c>
      <c r="Z4" s="42" t="str">
        <f>"Selected LA- "&amp;Y4</f>
        <v>Selected LA- (none)</v>
      </c>
      <c r="AK4" s="184"/>
      <c r="AL4" s="184"/>
      <c r="AM4" s="184"/>
      <c r="AN4" s="157"/>
    </row>
    <row r="5" spans="1:48" s="76" customFormat="1" ht="15" customHeight="1" x14ac:dyDescent="0.2">
      <c r="A5" s="461"/>
      <c r="B5" s="1746" t="s">
        <v>168</v>
      </c>
      <c r="C5" s="1746"/>
      <c r="D5" s="1746"/>
      <c r="E5" s="1746"/>
      <c r="F5" s="1746"/>
      <c r="G5" s="1746"/>
      <c r="H5" s="1746"/>
      <c r="I5" s="1746"/>
      <c r="J5" s="1746"/>
      <c r="K5" s="1038"/>
      <c r="L5" s="1038"/>
      <c r="M5" s="62"/>
      <c r="N5" s="62"/>
      <c r="O5" s="226"/>
      <c r="P5" s="1038"/>
      <c r="Q5" s="1038"/>
      <c r="R5" s="1038"/>
      <c r="S5" s="1038"/>
      <c r="T5" s="1038"/>
      <c r="U5" s="1068"/>
      <c r="V5" s="138"/>
      <c r="W5" s="151"/>
      <c r="X5" s="81"/>
      <c r="Y5" s="188"/>
      <c r="Z5" s="188"/>
      <c r="AA5" s="188"/>
      <c r="AB5" s="188"/>
      <c r="AC5" s="188"/>
      <c r="AD5" s="188"/>
      <c r="AE5" s="188"/>
      <c r="AF5" s="188"/>
      <c r="AG5" s="188"/>
      <c r="AH5" s="188"/>
      <c r="AI5" s="188"/>
      <c r="AJ5" s="188"/>
      <c r="AK5" s="188"/>
      <c r="AL5" s="188"/>
      <c r="AM5" s="188"/>
      <c r="AN5" s="158"/>
      <c r="AO5" s="188" t="str">
        <f>CONCATENATE($J$7,"in Number of "&amp;$B2)</f>
        <v>in Number of Adoption</v>
      </c>
    </row>
    <row r="6" spans="1:48" ht="13.5" customHeight="1" x14ac:dyDescent="0.2">
      <c r="A6" s="278"/>
      <c r="B6" s="1746"/>
      <c r="C6" s="1746"/>
      <c r="D6" s="1746"/>
      <c r="E6" s="1746"/>
      <c r="F6" s="1746"/>
      <c r="G6" s="1746"/>
      <c r="H6" s="1746"/>
      <c r="I6" s="1746"/>
      <c r="J6" s="1746"/>
      <c r="K6" s="1038"/>
      <c r="L6" s="1038"/>
      <c r="M6" s="1038"/>
      <c r="N6" s="1038"/>
      <c r="O6" s="1038"/>
      <c r="P6" s="1038"/>
      <c r="Q6" s="1038"/>
      <c r="R6" s="1038"/>
      <c r="S6" s="1038"/>
      <c r="T6" s="1038"/>
      <c r="U6" s="1068"/>
      <c r="V6" s="137"/>
      <c r="W6" s="150"/>
      <c r="Y6" s="190"/>
      <c r="AK6" s="184"/>
      <c r="AL6" s="184"/>
      <c r="AM6" s="184"/>
      <c r="AN6" s="157"/>
    </row>
    <row r="7" spans="1:48" s="87" customFormat="1" ht="12.75" customHeight="1" x14ac:dyDescent="0.2">
      <c r="A7" s="292"/>
      <c r="B7" s="1789" t="s">
        <v>205</v>
      </c>
      <c r="C7" s="85"/>
      <c r="D7" s="1757" t="s">
        <v>88</v>
      </c>
      <c r="E7" s="1758"/>
      <c r="F7" s="1758"/>
      <c r="G7" s="1758"/>
      <c r="H7" s="1759"/>
      <c r="I7" s="1752" t="str">
        <f>"Average "&amp;Sheet1!C3&amp;" Change "</f>
        <v xml:space="preserve">Average Annual Change </v>
      </c>
      <c r="J7" s="1753"/>
      <c r="K7" s="96"/>
      <c r="L7" s="1757" t="s">
        <v>89</v>
      </c>
      <c r="M7" s="1758"/>
      <c r="N7" s="1758"/>
      <c r="O7" s="1758"/>
      <c r="P7" s="1758"/>
      <c r="Q7" s="1758"/>
      <c r="R7" s="1759"/>
      <c r="S7" s="85"/>
      <c r="T7" s="1731" t="s">
        <v>1213</v>
      </c>
      <c r="U7" s="1069"/>
      <c r="V7" s="139"/>
      <c r="W7" s="152"/>
      <c r="X7" s="202"/>
      <c r="Y7" s="1945" t="s">
        <v>767</v>
      </c>
      <c r="Z7" s="1947"/>
      <c r="AA7" s="1945" t="s">
        <v>79</v>
      </c>
      <c r="AB7" s="1946"/>
      <c r="AC7" s="1946"/>
      <c r="AD7" s="1946"/>
      <c r="AE7" s="1947"/>
      <c r="AF7" s="204" t="s">
        <v>94</v>
      </c>
      <c r="AG7" s="190"/>
      <c r="AH7" s="190"/>
      <c r="AI7" s="190"/>
      <c r="AJ7" s="190"/>
      <c r="AK7" s="202"/>
      <c r="AL7" s="202"/>
      <c r="AM7" s="202"/>
      <c r="AN7" s="160"/>
      <c r="AO7" s="575"/>
      <c r="AP7" s="575"/>
      <c r="AQ7" s="575"/>
      <c r="AR7" s="575"/>
      <c r="AS7" s="575"/>
    </row>
    <row r="8" spans="1:48" s="87" customFormat="1" ht="12.75" customHeight="1" x14ac:dyDescent="0.2">
      <c r="A8" s="292"/>
      <c r="B8" s="1789"/>
      <c r="C8" s="85"/>
      <c r="D8" s="789" t="str">
        <f>Sheet1!$D$27</f>
        <v>2015-16</v>
      </c>
      <c r="E8" s="790" t="str">
        <f>Sheet1!$E$27</f>
        <v>2016-17</v>
      </c>
      <c r="F8" s="790" t="str">
        <f>Sheet1!$F$27</f>
        <v>2017-18</v>
      </c>
      <c r="G8" s="790" t="str">
        <f>Sheet1!$G$27</f>
        <v>2018-19</v>
      </c>
      <c r="H8" s="1033" t="str">
        <f>Sheet1!$H$27</f>
        <v>2019-20</v>
      </c>
      <c r="I8" s="1754"/>
      <c r="J8" s="1755"/>
      <c r="K8" s="96"/>
      <c r="L8" s="789" t="str">
        <f>Sheet1!$D$27</f>
        <v>2015-16</v>
      </c>
      <c r="M8" s="790" t="str">
        <f>Sheet1!$E$27</f>
        <v>2016-17</v>
      </c>
      <c r="N8" s="790" t="str">
        <f>Sheet1!$F$27</f>
        <v>2017-18</v>
      </c>
      <c r="O8" s="790" t="str">
        <f>Sheet1!$G$27</f>
        <v>2018-19</v>
      </c>
      <c r="P8" s="1741" t="str">
        <f>Sheet1!$H$27</f>
        <v>2019-20</v>
      </c>
      <c r="Q8" s="1780"/>
      <c r="R8" s="1753" t="str">
        <f>IF(ISNA(P9),"SE Rank "&amp;P8,"SE Rank "&amp;P9)</f>
        <v>SE Rank 2019-20</v>
      </c>
      <c r="S8" s="85"/>
      <c r="T8" s="1743"/>
      <c r="U8" s="1069"/>
      <c r="V8" s="139"/>
      <c r="W8" s="152"/>
      <c r="X8" s="202"/>
      <c r="Y8" s="1961" t="s">
        <v>76</v>
      </c>
      <c r="Z8" s="1963" t="s">
        <v>77</v>
      </c>
      <c r="AA8" s="1103" t="str">
        <f>IF(Sheet1!$C$3="Annual","",Sheet1!$D$28)</f>
        <v/>
      </c>
      <c r="AB8" s="758" t="str">
        <f>IF(Sheet1!$C$3="Annual","",Sheet1!$E$28)</f>
        <v/>
      </c>
      <c r="AC8" s="758" t="str">
        <f>IF(Sheet1!$C$3="Annual","",Sheet1!$F$28)</f>
        <v/>
      </c>
      <c r="AD8" s="758" t="str">
        <f>IF(Sheet1!$C$3="Annual","",Sheet1!$G$28)</f>
        <v/>
      </c>
      <c r="AE8" s="1104" t="str">
        <f>IF(Sheet1!$C$3="Annual","",Sheet1!$H$28)</f>
        <v/>
      </c>
      <c r="AF8" s="204"/>
      <c r="AG8" s="190"/>
      <c r="AH8" s="190"/>
      <c r="AI8" s="190"/>
      <c r="AJ8" s="190"/>
      <c r="AK8" s="202"/>
      <c r="AL8" s="202"/>
      <c r="AM8" s="202"/>
      <c r="AN8" s="160"/>
      <c r="AO8" s="1008"/>
      <c r="AP8" s="1008"/>
      <c r="AQ8" s="1008"/>
      <c r="AR8" s="1008"/>
      <c r="AS8" s="1008"/>
    </row>
    <row r="9" spans="1:48" s="87" customFormat="1" ht="12.75" customHeight="1" x14ac:dyDescent="0.2">
      <c r="A9" s="292"/>
      <c r="B9" s="1910"/>
      <c r="C9" s="85"/>
      <c r="D9" s="792" t="e">
        <f>Sheet1!$D$28</f>
        <v>#N/A</v>
      </c>
      <c r="E9" s="792" t="e">
        <f>Sheet1!$E$28</f>
        <v>#N/A</v>
      </c>
      <c r="F9" s="792" t="e">
        <f>Sheet1!$F$28</f>
        <v>#N/A</v>
      </c>
      <c r="G9" s="792" t="e">
        <f>Sheet1!$G$28</f>
        <v>#N/A</v>
      </c>
      <c r="H9" s="1032" t="e">
        <f>Sheet1!$H$28</f>
        <v>#N/A</v>
      </c>
      <c r="I9" s="1754"/>
      <c r="J9" s="1756"/>
      <c r="K9" s="784"/>
      <c r="L9" s="792" t="e">
        <f>Sheet1!$D$28</f>
        <v>#N/A</v>
      </c>
      <c r="M9" s="792" t="e">
        <f>Sheet1!$E$28</f>
        <v>#N/A</v>
      </c>
      <c r="N9" s="792" t="e">
        <f>Sheet1!$F$28</f>
        <v>#N/A</v>
      </c>
      <c r="O9" s="792" t="e">
        <f>Sheet1!$G$28</f>
        <v>#N/A</v>
      </c>
      <c r="P9" s="1739" t="e">
        <f>Sheet1!$H$28</f>
        <v>#N/A</v>
      </c>
      <c r="Q9" s="1781"/>
      <c r="R9" s="1756"/>
      <c r="S9" s="465"/>
      <c r="T9" s="1732"/>
      <c r="U9" s="1069"/>
      <c r="V9" s="139"/>
      <c r="W9" s="152"/>
      <c r="X9" s="202"/>
      <c r="Y9" s="1962"/>
      <c r="Z9" s="1964"/>
      <c r="AA9" s="1103" t="str">
        <f>Sheet1!$D$27</f>
        <v>2015-16</v>
      </c>
      <c r="AB9" s="758" t="str">
        <f>Sheet1!$E$27</f>
        <v>2016-17</v>
      </c>
      <c r="AC9" s="758" t="str">
        <f>Sheet1!$F$27</f>
        <v>2017-18</v>
      </c>
      <c r="AD9" s="758" t="str">
        <f>Sheet1!$G$27</f>
        <v>2018-19</v>
      </c>
      <c r="AE9" s="1104" t="str">
        <f>Sheet1!$H$27</f>
        <v>2019-20</v>
      </c>
      <c r="AF9" s="190"/>
      <c r="AG9" s="758">
        <v>15</v>
      </c>
      <c r="AH9" s="190"/>
      <c r="AI9" s="190"/>
      <c r="AJ9" s="190"/>
      <c r="AK9" s="202"/>
      <c r="AL9" s="202"/>
      <c r="AM9" s="202"/>
      <c r="AN9" s="160"/>
      <c r="AO9" s="1010" t="s">
        <v>676</v>
      </c>
      <c r="AP9" s="1010" t="s">
        <v>677</v>
      </c>
      <c r="AQ9" s="1010" t="s">
        <v>678</v>
      </c>
      <c r="AR9" s="1010" t="s">
        <v>679</v>
      </c>
      <c r="AS9" s="1010" t="s">
        <v>680</v>
      </c>
    </row>
    <row r="10" spans="1:48" s="87" customFormat="1" ht="13.5" customHeight="1" x14ac:dyDescent="0.2">
      <c r="A10" s="488">
        <f>VLOOKUP(B10,Sheet1!$AQ$4:$AR$25,2,FALSE)</f>
        <v>0</v>
      </c>
      <c r="B10" s="93" t="str">
        <f>Sheet1!$K$4</f>
        <v>Bracknell Forest</v>
      </c>
      <c r="C10" s="85"/>
      <c r="D10" s="100">
        <f>IF(Year1_Bracknell_Forest Year1_Adoption_PFA="","",Year1_Bracknell_Forest Year1_Adoption_PFA)</f>
        <v>5</v>
      </c>
      <c r="E10" s="100" t="str">
        <f>IF(Year2_Bracknell_Forest Year2_Adoption_PFA="","",Year2_Bracknell_Forest Year2_Adoption_PFA)</f>
        <v>x</v>
      </c>
      <c r="F10" s="100" t="str">
        <f>IF(Year3_Bracknell_Forest Year3_Adoption_PFA="","",Year3_Bracknell_Forest Year3_Adoption_PFA)</f>
        <v>x</v>
      </c>
      <c r="G10" s="100" t="str">
        <f>IF(Year4_Bracknell_Forest Year4_Adoption_PFA="","",Year4_Bracknell_Forest Year4_Adoption_PFA)</f>
        <v>x</v>
      </c>
      <c r="H10" s="589">
        <f>IF(Year5_Bracknell_Forest Year5_Adoption_PFA="","",Year5_Bracknell_Forest Year5_Adoption_PFA)</f>
        <v>0</v>
      </c>
      <c r="I10" s="1092" t="e">
        <f>AS10</f>
        <v>#DIV/0!</v>
      </c>
      <c r="J10" s="863" t="e">
        <f t="shared" ref="J10:J33" si="0">I10</f>
        <v>#DIV/0!</v>
      </c>
      <c r="K10" s="96"/>
      <c r="L10" s="1041">
        <f>IF(ISNUMBER(D10),D10/Population!D10*10000,NA())</f>
        <v>1.773049645390071</v>
      </c>
      <c r="M10" s="1041" t="e">
        <f>IF(ISNUMBER(E10),E10/Population!E10*10000,NA())</f>
        <v>#N/A</v>
      </c>
      <c r="N10" s="1041" t="e">
        <f>IF(ISNUMBER(F10),F10/Population!F10*10000,NA())</f>
        <v>#N/A</v>
      </c>
      <c r="O10" s="1041" t="e">
        <f>IF(ISNUMBER(G10),G10/Population!G10*10000,NA())</f>
        <v>#N/A</v>
      </c>
      <c r="P10" s="231">
        <f>IF(ISNUMBER(H10),H10/Population!H10*10000,NA())</f>
        <v>0</v>
      </c>
      <c r="Q10" s="99">
        <f>IF(ISNUMBER(P10),P10,"")</f>
        <v>0</v>
      </c>
      <c r="R10" s="933">
        <f t="shared" ref="R10:R33" si="1">IF(ISNA(VLOOKUP(B10,$AF$10:$AH$28,3,FALSE)),"--",IF(ISNUMBER(H10),VLOOKUP(B10,$AF$10:$AH$28,3,FALSE),NA()))</f>
        <v>1</v>
      </c>
      <c r="S10" s="70"/>
      <c r="T10" s="752">
        <f>IDACI!C9</f>
        <v>8.9</v>
      </c>
      <c r="U10" s="1069"/>
      <c r="V10" s="139"/>
      <c r="W10" s="152"/>
      <c r="X10" s="1099" t="str">
        <f t="shared" ref="X10:X33" si="2">B10</f>
        <v>Bracknell Forest</v>
      </c>
      <c r="Y10" s="44">
        <f>IF(ISNUMBER(H10),IDACI!D9,0)</f>
        <v>24849</v>
      </c>
      <c r="Z10" s="44">
        <f>IF(ISNUMBER(H10),IDACI!E9,0)</f>
        <v>2211.5610000000001</v>
      </c>
      <c r="AA10" s="1105">
        <f>IF(ISNUMBER(D10),Population!D10,"")</f>
        <v>28200</v>
      </c>
      <c r="AB10" s="205" t="str">
        <f>IF(ISNUMBER(E10),Population!E10,"")</f>
        <v/>
      </c>
      <c r="AC10" s="205" t="str">
        <f>IF(ISNUMBER(F10),Population!F10,"")</f>
        <v/>
      </c>
      <c r="AD10" s="205" t="str">
        <f>IF(ISNUMBER(G10),Population!G10,"")</f>
        <v/>
      </c>
      <c r="AE10" s="1106">
        <f>IF(ISNUMBER(H10),Population!H10,"")</f>
        <v>28400</v>
      </c>
      <c r="AF10" s="1100" t="s">
        <v>0</v>
      </c>
      <c r="AG10" s="231">
        <f>IFERROR(VLOOKUP(AF10,$B$10:$P$31,AG$9,FALSE),"")</f>
        <v>0</v>
      </c>
      <c r="AH10" s="206">
        <f>RANK(AG10,$AG$10:$AG$28,1)</f>
        <v>1</v>
      </c>
      <c r="AI10" s="190"/>
      <c r="AJ10" s="190"/>
      <c r="AK10" s="202"/>
      <c r="AL10" s="202"/>
      <c r="AM10" s="202"/>
      <c r="AN10" s="160"/>
      <c r="AO10" s="853" t="str">
        <f t="shared" ref="AO10:AO31" si="3">IF(ISERROR((E10-D10)/D10),"x",(E10-D10)/D10)</f>
        <v>x</v>
      </c>
      <c r="AP10" s="853" t="str">
        <f t="shared" ref="AP10:AP31" si="4">IF(ISERROR((F10-E10)/E10),"x",(F10-E10)/E10)</f>
        <v>x</v>
      </c>
      <c r="AQ10" s="853" t="str">
        <f t="shared" ref="AQ10:AQ31" si="5">IF(ISERROR((G10-F10)/F10),"x",(G10-F10)/F10)</f>
        <v>x</v>
      </c>
      <c r="AR10" s="853" t="str">
        <f t="shared" ref="AR10:AR31" si="6">IF(ISERROR((H10-G10)/G10),"x",(H10-G10)/G10)</f>
        <v>x</v>
      </c>
      <c r="AS10" s="853" t="e">
        <f>AVERAGE(AO10:AR10)</f>
        <v>#DIV/0!</v>
      </c>
    </row>
    <row r="11" spans="1:48" s="87" customFormat="1" ht="13.5" customHeight="1" x14ac:dyDescent="0.2">
      <c r="A11" s="488">
        <f>VLOOKUP(B11,Sheet1!$AQ$4:$AR$25,2,FALSE)</f>
        <v>0</v>
      </c>
      <c r="B11" s="93" t="str">
        <f>Sheet1!$K$5</f>
        <v>Brighton &amp; Hove</v>
      </c>
      <c r="C11" s="85"/>
      <c r="D11" s="100">
        <f>IF(Year1_Brighton_Hove Year1_Adoption_PFA="","",Year1_Brighton_Hove Year1_Adoption_PFA)</f>
        <v>15</v>
      </c>
      <c r="E11" s="100">
        <f>IF(Year2_Brighton_Hove Year2_Adoption_PFA="","",Year2_Brighton_Hove Year2_Adoption_PFA)</f>
        <v>31</v>
      </c>
      <c r="F11" s="100">
        <f>IF(Year3_Brighton_Hove Year3_Adoption_PFA="","",Year3_Brighton_Hove Year3_Adoption_PFA)</f>
        <v>19</v>
      </c>
      <c r="G11" s="100">
        <f>IF(Year4_Brighton_Hove Year4_Adoption_PFA="","",Year4_Brighton_Hove Year4_Adoption_PFA)</f>
        <v>10</v>
      </c>
      <c r="H11" s="589">
        <f>IF(Year5_Brighton_Hove Year5_Adoption_PFA="","",Year5_Brighton_Hove Year5_Adoption_PFA)</f>
        <v>8</v>
      </c>
      <c r="I11" s="1093">
        <f t="shared" ref="I11:I33" si="7">AS11</f>
        <v>1.4714204867006253E-3</v>
      </c>
      <c r="J11" s="863">
        <f t="shared" si="0"/>
        <v>1.4714204867006253E-3</v>
      </c>
      <c r="K11" s="96"/>
      <c r="L11" s="1041">
        <f>IF(ISNUMBER(D11),D11/Population!D11*10000,NA())</f>
        <v>2.9296875</v>
      </c>
      <c r="M11" s="1041">
        <f>IF(ISNUMBER(E11),E11/Population!E11*10000,NA())</f>
        <v>6.0428849902534116</v>
      </c>
      <c r="N11" s="1041">
        <f>IF(ISNUMBER(F11),F11/Population!F11*10000,NA())</f>
        <v>3.7254901960784315</v>
      </c>
      <c r="O11" s="1041">
        <f>IF(ISNUMBER(G11),G11/Population!G11*10000,NA())</f>
        <v>1.9607843137254901</v>
      </c>
      <c r="P11" s="231">
        <f>IF(ISNUMBER(H11),H11/Population!H11*10000,NA())</f>
        <v>1.5904572564612327</v>
      </c>
      <c r="Q11" s="99">
        <f t="shared" ref="Q11:Q33" si="8">IF(ISNUMBER(P11),P11,"")</f>
        <v>1.5904572564612327</v>
      </c>
      <c r="R11" s="933">
        <f t="shared" si="1"/>
        <v>6</v>
      </c>
      <c r="S11" s="70"/>
      <c r="T11" s="752">
        <f>IDACI!C10</f>
        <v>15.299999999999999</v>
      </c>
      <c r="U11" s="1069"/>
      <c r="V11" s="139"/>
      <c r="W11" s="152"/>
      <c r="X11" s="1099" t="str">
        <f t="shared" si="2"/>
        <v>Brighton &amp; Hove</v>
      </c>
      <c r="Y11" s="44">
        <f>IF(ISNUMBER(H11),IDACI!D10,0)</f>
        <v>45576</v>
      </c>
      <c r="Z11" s="44">
        <f>IF(ISNUMBER(H11),IDACI!E10,0)</f>
        <v>6973.1279999999997</v>
      </c>
      <c r="AA11" s="1105">
        <f>IF(ISNUMBER(D11),Population!D11,"")</f>
        <v>51200</v>
      </c>
      <c r="AB11" s="205">
        <f>IF(ISNUMBER(E11),Population!E11,"")</f>
        <v>51300</v>
      </c>
      <c r="AC11" s="205">
        <f>IF(ISNUMBER(F11),Population!F11,"")</f>
        <v>51000</v>
      </c>
      <c r="AD11" s="205">
        <f>IF(ISNUMBER(G11),Population!G11,"")</f>
        <v>51000</v>
      </c>
      <c r="AE11" s="1106">
        <f>IF(ISNUMBER(H11),Population!H11,"")</f>
        <v>50300</v>
      </c>
      <c r="AF11" s="1100" t="s">
        <v>31</v>
      </c>
      <c r="AG11" s="231">
        <f t="shared" ref="AG11:AG28" si="9">IFERROR(VLOOKUP(AF11,$B$10:$P$31,AG$9,FALSE),"")</f>
        <v>1.5904572564612327</v>
      </c>
      <c r="AH11" s="206">
        <f t="shared" ref="AH11:AH28" si="10">RANK(AG11,$AG$10:$AG$28,1)</f>
        <v>6</v>
      </c>
      <c r="AI11" s="190"/>
      <c r="AJ11" s="190"/>
      <c r="AK11" s="202"/>
      <c r="AL11" s="202"/>
      <c r="AM11" s="202"/>
      <c r="AN11" s="160"/>
      <c r="AO11" s="853">
        <f t="shared" si="3"/>
        <v>1.0666666666666667</v>
      </c>
      <c r="AP11" s="853">
        <f t="shared" si="4"/>
        <v>-0.38709677419354838</v>
      </c>
      <c r="AQ11" s="853">
        <f t="shared" si="5"/>
        <v>-0.47368421052631576</v>
      </c>
      <c r="AR11" s="853">
        <f t="shared" si="6"/>
        <v>-0.2</v>
      </c>
      <c r="AS11" s="853">
        <f t="shared" ref="AS11:AS31" si="11">AVERAGE(AO11:AR11)</f>
        <v>1.4714204867006253E-3</v>
      </c>
    </row>
    <row r="12" spans="1:48" s="87" customFormat="1" ht="13.5" customHeight="1" x14ac:dyDescent="0.2">
      <c r="A12" s="488">
        <f>VLOOKUP(B12,Sheet1!$AQ$4:$AR$25,2,FALSE)</f>
        <v>0</v>
      </c>
      <c r="B12" s="93" t="str">
        <f>Sheet1!$K$6</f>
        <v>Buckinghamshire</v>
      </c>
      <c r="C12" s="85"/>
      <c r="D12" s="100">
        <f>IF(Year1_Buckinghamshire Year1_Adoption_PFA="","",Year1_Buckinghamshire Year1_Adoption_PFA)</f>
        <v>25</v>
      </c>
      <c r="E12" s="100">
        <f>IF(Year2_Buckinghamshire Year2_Adoption_PFA="","",Year2_Buckinghamshire Year2_Adoption_PFA)</f>
        <v>14</v>
      </c>
      <c r="F12" s="100">
        <f>IF(Year3_Buckinghamshire Year3_Adoption_PFA="","",Year3_Buckinghamshire Year3_Adoption_PFA)</f>
        <v>9</v>
      </c>
      <c r="G12" s="100">
        <f>IF(Year4_Buckinghamshire Year4_Adoption_PFA="","",Year4_Buckinghamshire Year4_Adoption_PFA)</f>
        <v>18</v>
      </c>
      <c r="H12" s="589">
        <f>IF(Year5_Buckinghamshire Year5_Adoption_PFA="","",Year5_Buckinghamshire Year5_Adoption_PFA)</f>
        <v>8</v>
      </c>
      <c r="I12" s="1093">
        <f t="shared" si="7"/>
        <v>-8.8174603174603183E-2</v>
      </c>
      <c r="J12" s="863">
        <f t="shared" si="0"/>
        <v>-8.8174603174603183E-2</v>
      </c>
      <c r="K12" s="96"/>
      <c r="L12" s="1041">
        <f>IF(ISNUMBER(D12),D12/Population!D12*10000,NA())</f>
        <v>2.0729684908789388</v>
      </c>
      <c r="M12" s="1041">
        <f>IF(ISNUMBER(E12),E12/Population!E12*10000,NA())</f>
        <v>1.1456628477905073</v>
      </c>
      <c r="N12" s="1041">
        <f>IF(ISNUMBER(F12),F12/Population!F12*10000,NA())</f>
        <v>0.73111291632818842</v>
      </c>
      <c r="O12" s="1041">
        <f>IF(ISNUMBER(G12),G12/Population!G12*10000,NA())</f>
        <v>1.4481094127111824</v>
      </c>
      <c r="P12" s="231">
        <f>IF(ISNUMBER(H12),H12/Population!H12*10000,NA())</f>
        <v>0.63643595863166258</v>
      </c>
      <c r="Q12" s="99">
        <f t="shared" si="8"/>
        <v>0.63643595863166258</v>
      </c>
      <c r="R12" s="933">
        <f t="shared" si="1"/>
        <v>2</v>
      </c>
      <c r="S12" s="70"/>
      <c r="T12" s="752">
        <f>IDACI!C11</f>
        <v>8.5</v>
      </c>
      <c r="U12" s="1069"/>
      <c r="V12" s="139"/>
      <c r="W12" s="152"/>
      <c r="X12" s="1099" t="str">
        <f t="shared" si="2"/>
        <v>Buckinghamshire</v>
      </c>
      <c r="Y12" s="44">
        <f>IF(ISNUMBER(H12),IDACI!D11,0)</f>
        <v>107385</v>
      </c>
      <c r="Z12" s="44">
        <f>IF(ISNUMBER(H12),IDACI!E11,0)</f>
        <v>9127.7250000000004</v>
      </c>
      <c r="AA12" s="1105">
        <f>IF(ISNUMBER(D12),Population!D12,"")</f>
        <v>120600</v>
      </c>
      <c r="AB12" s="205">
        <f>IF(ISNUMBER(E12),Population!E12,"")</f>
        <v>122200</v>
      </c>
      <c r="AC12" s="205">
        <f>IF(ISNUMBER(F12),Population!F12,"")</f>
        <v>123100</v>
      </c>
      <c r="AD12" s="205">
        <f>IF(ISNUMBER(G12),Population!G12,"")</f>
        <v>124300</v>
      </c>
      <c r="AE12" s="1106">
        <f>IF(ISNUMBER(H12),Population!H12,"")</f>
        <v>125700</v>
      </c>
      <c r="AF12" s="1100" t="s">
        <v>8</v>
      </c>
      <c r="AG12" s="231">
        <f t="shared" si="9"/>
        <v>0.63643595863166258</v>
      </c>
      <c r="AH12" s="206">
        <f t="shared" si="10"/>
        <v>2</v>
      </c>
      <c r="AI12" s="190"/>
      <c r="AJ12" s="190"/>
      <c r="AK12" s="202"/>
      <c r="AL12" s="202"/>
      <c r="AM12" s="202"/>
      <c r="AN12" s="160"/>
      <c r="AO12" s="853">
        <f t="shared" si="3"/>
        <v>-0.44</v>
      </c>
      <c r="AP12" s="853">
        <f t="shared" si="4"/>
        <v>-0.35714285714285715</v>
      </c>
      <c r="AQ12" s="853">
        <f t="shared" si="5"/>
        <v>1</v>
      </c>
      <c r="AR12" s="853">
        <f t="shared" si="6"/>
        <v>-0.55555555555555558</v>
      </c>
      <c r="AS12" s="853">
        <f t="shared" si="11"/>
        <v>-8.8174603174603183E-2</v>
      </c>
    </row>
    <row r="13" spans="1:48" s="87" customFormat="1" ht="13.5" customHeight="1" x14ac:dyDescent="0.2">
      <c r="A13" s="488">
        <f>VLOOKUP(B13,Sheet1!$AQ$4:$AR$25,2,FALSE)</f>
        <v>0</v>
      </c>
      <c r="B13" s="93" t="str">
        <f>Sheet1!$K$7</f>
        <v>East Sussex</v>
      </c>
      <c r="C13" s="85"/>
      <c r="D13" s="100">
        <f>IF(Year1_East_Sussex Year1_Adoption_PFA="","",Year1_East_Sussex Year1_Adoption_PFA)</f>
        <v>30</v>
      </c>
      <c r="E13" s="100">
        <f>IF(Year2_East_Sussex Year2_Adoption_PFA="","",Year2_East_Sussex Year2_Adoption_PFA)</f>
        <v>30</v>
      </c>
      <c r="F13" s="100">
        <f>IF(Year3_East_Sussex Year3_Adoption_PFA="","",Year3_East_Sussex Year3_Adoption_PFA)</f>
        <v>26</v>
      </c>
      <c r="G13" s="100" t="str">
        <f>IF(Year4_East_Sussex Year4_Adoption_PFA="","",Year4_East_Sussex Year4_Adoption_PFA)</f>
        <v>x</v>
      </c>
      <c r="H13" s="589">
        <f>IF(Year5_East_Sussex Year5_Adoption_PFA="","",Year5_East_Sussex Year5_Adoption_PFA)</f>
        <v>30</v>
      </c>
      <c r="I13" s="1093">
        <f t="shared" si="7"/>
        <v>-6.6666666666666666E-2</v>
      </c>
      <c r="J13" s="863">
        <f t="shared" si="0"/>
        <v>-6.6666666666666666E-2</v>
      </c>
      <c r="K13" s="96"/>
      <c r="L13" s="1041">
        <f>IF(ISNUMBER(D13),D13/Population!D13*10000,NA())</f>
        <v>2.8328611898016995</v>
      </c>
      <c r="M13" s="1041">
        <f>IF(ISNUMBER(E13),E13/Population!E13*10000,NA())</f>
        <v>2.8328611898016995</v>
      </c>
      <c r="N13" s="1041">
        <f>IF(ISNUMBER(F13),F13/Population!F13*10000,NA())</f>
        <v>2.4528301886792452</v>
      </c>
      <c r="O13" s="1041" t="e">
        <f>IF(ISNUMBER(G13),G13/Population!G13*10000,NA())</f>
        <v>#N/A</v>
      </c>
      <c r="P13" s="231">
        <f>IF(ISNUMBER(H13),H13/Population!H13*10000,NA())</f>
        <v>2.8222013170272811</v>
      </c>
      <c r="Q13" s="99">
        <f t="shared" si="8"/>
        <v>2.8222013170272811</v>
      </c>
      <c r="R13" s="933">
        <f t="shared" si="1"/>
        <v>12</v>
      </c>
      <c r="S13" s="70"/>
      <c r="T13" s="752">
        <f>IDACI!C12</f>
        <v>16.100000000000001</v>
      </c>
      <c r="U13" s="1069"/>
      <c r="V13" s="139"/>
      <c r="W13" s="152"/>
      <c r="X13" s="1099" t="str">
        <f t="shared" si="2"/>
        <v>East Sussex</v>
      </c>
      <c r="Y13" s="44">
        <f>IF(ISNUMBER(H13),IDACI!D12,0)</f>
        <v>93130</v>
      </c>
      <c r="Z13" s="44">
        <f>IF(ISNUMBER(H13),IDACI!E12,0)</f>
        <v>14993.93</v>
      </c>
      <c r="AA13" s="1105">
        <f>IF(ISNUMBER(D13),Population!D13,"")</f>
        <v>105900</v>
      </c>
      <c r="AB13" s="205">
        <f>IF(ISNUMBER(E13),Population!E13,"")</f>
        <v>105900</v>
      </c>
      <c r="AC13" s="205">
        <f>IF(ISNUMBER(F13),Population!F13,"")</f>
        <v>106000</v>
      </c>
      <c r="AD13" s="205" t="str">
        <f>IF(ISNUMBER(G13),Population!G13,"")</f>
        <v/>
      </c>
      <c r="AE13" s="1106">
        <f>IF(ISNUMBER(H13),Population!H13,"")</f>
        <v>106300</v>
      </c>
      <c r="AF13" s="1100" t="s">
        <v>4</v>
      </c>
      <c r="AG13" s="231">
        <f t="shared" si="9"/>
        <v>2.8222013170272811</v>
      </c>
      <c r="AH13" s="206">
        <f t="shared" si="10"/>
        <v>12</v>
      </c>
      <c r="AI13" s="190"/>
      <c r="AJ13" s="190"/>
      <c r="AK13" s="202"/>
      <c r="AL13" s="202"/>
      <c r="AM13" s="202"/>
      <c r="AN13" s="160"/>
      <c r="AO13" s="853">
        <f t="shared" si="3"/>
        <v>0</v>
      </c>
      <c r="AP13" s="853">
        <f t="shared" si="4"/>
        <v>-0.13333333333333333</v>
      </c>
      <c r="AQ13" s="853" t="str">
        <f t="shared" si="5"/>
        <v>x</v>
      </c>
      <c r="AR13" s="853" t="str">
        <f t="shared" si="6"/>
        <v>x</v>
      </c>
      <c r="AS13" s="853">
        <f t="shared" si="11"/>
        <v>-6.6666666666666666E-2</v>
      </c>
    </row>
    <row r="14" spans="1:48" s="87" customFormat="1" ht="13.5" customHeight="1" x14ac:dyDescent="0.2">
      <c r="A14" s="488">
        <f>VLOOKUP(B14,Sheet1!$AQ$4:$AR$25,2,FALSE)</f>
        <v>0</v>
      </c>
      <c r="B14" s="93" t="str">
        <f>Sheet1!$K$8</f>
        <v>Hampshire</v>
      </c>
      <c r="C14" s="85"/>
      <c r="D14" s="100">
        <f>IF(Year1_Hampshire Year1_Adoption_PFA="","",Year1_Hampshire Year1_Adoption_PFA)</f>
        <v>60</v>
      </c>
      <c r="E14" s="100">
        <f>IF(Year2_Hampshire Year2_Adoption_PFA="","",Year2_Hampshire Year2_Adoption_PFA)</f>
        <v>41</v>
      </c>
      <c r="F14" s="603">
        <f>IF(Year3_Hampshire Year3_Adoption_PFA="","",Year3_Hampshire Year3_Adoption_PFA)</f>
        <v>55</v>
      </c>
      <c r="G14" s="603">
        <f>IF(Year4_Hampshire Year4_Adoption_PFA="","",Year4_Hampshire Year4_Adoption_PFA)</f>
        <v>48</v>
      </c>
      <c r="H14" s="589">
        <f>IF(Year5_Hampshire Year5_Adoption_PFA="","",Year5_Hampshire Year5_Adoption_PFA)</f>
        <v>38</v>
      </c>
      <c r="I14" s="1093">
        <f t="shared" si="7"/>
        <v>-7.7702328159645229E-2</v>
      </c>
      <c r="J14" s="863">
        <f t="shared" si="0"/>
        <v>-7.7702328159645229E-2</v>
      </c>
      <c r="K14" s="96"/>
      <c r="L14" s="1041">
        <f>IF(ISNUMBER(D14),D14/Population!D14*10000,NA())</f>
        <v>2.1284143313231643</v>
      </c>
      <c r="M14" s="1041">
        <f>IF(ISNUMBER(E14),E14/Population!E14*10000,NA())</f>
        <v>1.4497878359264498</v>
      </c>
      <c r="N14" s="1041">
        <f>IF(ISNUMBER(F14),F14/Population!F14*10000,NA())</f>
        <v>1.9414048711613132</v>
      </c>
      <c r="O14" s="1041">
        <f>IF(ISNUMBER(G14),G14/Population!G14*10000,NA())</f>
        <v>1.6901408450704225</v>
      </c>
      <c r="P14" s="231">
        <f>IF(ISNUMBER(H14),H14/Population!H14*10000,NA())</f>
        <v>1.3366162504396764</v>
      </c>
      <c r="Q14" s="99">
        <f t="shared" si="8"/>
        <v>1.3366162504396764</v>
      </c>
      <c r="R14" s="933">
        <f t="shared" si="1"/>
        <v>5</v>
      </c>
      <c r="S14" s="70"/>
      <c r="T14" s="752">
        <f>IDACI!C13</f>
        <v>10.100000000000001</v>
      </c>
      <c r="U14" s="1069"/>
      <c r="V14" s="139"/>
      <c r="W14" s="152"/>
      <c r="X14" s="1099" t="str">
        <f t="shared" si="2"/>
        <v>Hampshire</v>
      </c>
      <c r="Y14" s="44">
        <f>IF(ISNUMBER(H14),IDACI!D13,0)</f>
        <v>249483</v>
      </c>
      <c r="Z14" s="44">
        <f>IF(ISNUMBER(H14),IDACI!E13,0)</f>
        <v>25197.783000000007</v>
      </c>
      <c r="AA14" s="1105">
        <f>IF(ISNUMBER(D14),Population!D14,"")</f>
        <v>281900</v>
      </c>
      <c r="AB14" s="205">
        <f>IF(ISNUMBER(E14),Population!E14,"")</f>
        <v>282800</v>
      </c>
      <c r="AC14" s="205">
        <f>IF(ISNUMBER(F14),Population!F14,"")</f>
        <v>283300</v>
      </c>
      <c r="AD14" s="205">
        <f>IF(ISNUMBER(G14),Population!G14,"")</f>
        <v>284000</v>
      </c>
      <c r="AE14" s="1106">
        <f>IF(ISNUMBER(H14),Population!H14,"")</f>
        <v>284300</v>
      </c>
      <c r="AF14" s="1100" t="s">
        <v>6</v>
      </c>
      <c r="AG14" s="231">
        <f t="shared" si="9"/>
        <v>1.3366162504396764</v>
      </c>
      <c r="AH14" s="206">
        <f t="shared" si="10"/>
        <v>5</v>
      </c>
      <c r="AI14" s="190"/>
      <c r="AJ14" s="190"/>
      <c r="AK14" s="202"/>
      <c r="AL14" s="202"/>
      <c r="AM14" s="202"/>
      <c r="AN14" s="160"/>
      <c r="AO14" s="853">
        <f t="shared" si="3"/>
        <v>-0.31666666666666665</v>
      </c>
      <c r="AP14" s="853">
        <f t="shared" si="4"/>
        <v>0.34146341463414637</v>
      </c>
      <c r="AQ14" s="853">
        <f t="shared" si="5"/>
        <v>-0.12727272727272726</v>
      </c>
      <c r="AR14" s="853">
        <f t="shared" si="6"/>
        <v>-0.20833333333333334</v>
      </c>
      <c r="AS14" s="853">
        <f t="shared" si="11"/>
        <v>-7.7702328159645229E-2</v>
      </c>
    </row>
    <row r="15" spans="1:48" s="87" customFormat="1" ht="13.5" customHeight="1" x14ac:dyDescent="0.2">
      <c r="A15" s="488">
        <f>VLOOKUP(B15,Sheet1!$AQ$4:$AR$25,2,FALSE)</f>
        <v>0</v>
      </c>
      <c r="B15" s="93" t="str">
        <f>Sheet1!$K$9</f>
        <v>Isle of Wight</v>
      </c>
      <c r="C15" s="85"/>
      <c r="D15" s="100" t="str">
        <f>IF(Year1_Isle_of_Wight Year1_Adoption_PFA="","",Year1_Isle_of_Wight Year1_Adoption_PFA)</f>
        <v>x</v>
      </c>
      <c r="E15" s="100">
        <f>IF(Year2_Isle_of_Wight Year2_Adoption_PFA="","",Year2_Isle_of_Wight Year2_Adoption_PFA)</f>
        <v>10</v>
      </c>
      <c r="F15" s="100" t="str">
        <f>IF(Year3_Isle_of_Wight Year3_Adoption_PFA="","",Year3_Isle_of_Wight Year3_Adoption_PFA)</f>
        <v>x</v>
      </c>
      <c r="G15" s="100" t="str">
        <f>IF(Year4_Isle_of_Wight Year4_Adoption_PFA="","",Year4_Isle_of_Wight Year4_Adoption_PFA)</f>
        <v>x</v>
      </c>
      <c r="H15" s="589" t="str">
        <f>IF(Year5_Isle_of_Wight Year5_Adoption_PFA="","",Year5_Isle_of_Wight Year5_Adoption_PFA)</f>
        <v>c</v>
      </c>
      <c r="I15" s="1093" t="e">
        <f t="shared" si="7"/>
        <v>#DIV/0!</v>
      </c>
      <c r="J15" s="863" t="e">
        <f t="shared" si="0"/>
        <v>#DIV/0!</v>
      </c>
      <c r="K15" s="96"/>
      <c r="L15" s="1041" t="e">
        <f>IF(ISNUMBER(D15),D15/Population!D15*10000,NA())</f>
        <v>#N/A</v>
      </c>
      <c r="M15" s="1041">
        <f>IF(ISNUMBER(E15),E15/Population!E15*10000,NA())</f>
        <v>3.9682539682539684</v>
      </c>
      <c r="N15" s="1041" t="e">
        <f>IF(ISNUMBER(F15),F15/Population!F15*10000,NA())</f>
        <v>#N/A</v>
      </c>
      <c r="O15" s="1041" t="e">
        <f>IF(ISNUMBER(G15),G15/Population!G15*10000,NA())</f>
        <v>#N/A</v>
      </c>
      <c r="P15" s="231" t="e">
        <f>IF(ISNUMBER(H15),H15/Population!H15*10000,NA())</f>
        <v>#N/A</v>
      </c>
      <c r="Q15" s="99" t="str">
        <f t="shared" si="8"/>
        <v/>
      </c>
      <c r="R15" s="933" t="e">
        <f t="shared" si="1"/>
        <v>#N/A</v>
      </c>
      <c r="S15" s="70"/>
      <c r="T15" s="752">
        <f>IDACI!C14</f>
        <v>18</v>
      </c>
      <c r="U15" s="1069"/>
      <c r="V15" s="139"/>
      <c r="W15" s="152"/>
      <c r="X15" s="1099" t="str">
        <f t="shared" si="2"/>
        <v>Isle of Wight</v>
      </c>
      <c r="Y15" s="44">
        <f>IF(ISNUMBER(H15),IDACI!D14,0)</f>
        <v>0</v>
      </c>
      <c r="Z15" s="44">
        <f>IF(ISNUMBER(H15),IDACI!E14,0)</f>
        <v>0</v>
      </c>
      <c r="AA15" s="1105" t="str">
        <f>IF(ISNUMBER(D15),Population!D15,"")</f>
        <v/>
      </c>
      <c r="AB15" s="205">
        <f>IF(ISNUMBER(E15),Population!E15,"")</f>
        <v>25200</v>
      </c>
      <c r="AC15" s="205" t="str">
        <f>IF(ISNUMBER(F15),Population!F15,"")</f>
        <v/>
      </c>
      <c r="AD15" s="205" t="str">
        <f>IF(ISNUMBER(G15),Population!G15,"")</f>
        <v/>
      </c>
      <c r="AE15" s="1106" t="str">
        <f>IF(ISNUMBER(H15),Population!H15,"")</f>
        <v/>
      </c>
      <c r="AF15" s="1100" t="s">
        <v>1</v>
      </c>
      <c r="AG15" s="231" t="str">
        <f t="shared" si="9"/>
        <v/>
      </c>
      <c r="AH15" s="206" t="e">
        <f t="shared" si="10"/>
        <v>#VALUE!</v>
      </c>
      <c r="AI15" s="190"/>
      <c r="AJ15" s="190"/>
      <c r="AK15" s="202"/>
      <c r="AL15" s="202"/>
      <c r="AM15" s="202"/>
      <c r="AN15" s="160"/>
      <c r="AO15" s="853" t="str">
        <f t="shared" si="3"/>
        <v>x</v>
      </c>
      <c r="AP15" s="853" t="str">
        <f t="shared" si="4"/>
        <v>x</v>
      </c>
      <c r="AQ15" s="853" t="str">
        <f t="shared" si="5"/>
        <v>x</v>
      </c>
      <c r="AR15" s="853" t="str">
        <f t="shared" si="6"/>
        <v>x</v>
      </c>
      <c r="AS15" s="853" t="e">
        <f t="shared" si="11"/>
        <v>#DIV/0!</v>
      </c>
      <c r="AV15" s="87" t="s">
        <v>102</v>
      </c>
    </row>
    <row r="16" spans="1:48" s="87" customFormat="1" ht="13.5" customHeight="1" x14ac:dyDescent="0.2">
      <c r="A16" s="488">
        <f>VLOOKUP(B16,Sheet1!$AQ$4:$AR$25,2,FALSE)</f>
        <v>0</v>
      </c>
      <c r="B16" s="93" t="str">
        <f>Sheet1!$K$10</f>
        <v>Kent</v>
      </c>
      <c r="C16" s="85"/>
      <c r="D16" s="100">
        <f>IF(Year1_Kent Year1_Adoption_PFA="","",Year1_Kent Year1_Adoption_PFA)</f>
        <v>50</v>
      </c>
      <c r="E16" s="100">
        <f>IF(Year2_Kent Year2_Adoption_PFA="","",Year2_Kent Year2_Adoption_PFA)</f>
        <v>55</v>
      </c>
      <c r="F16" s="100">
        <f>IF(Year3_Kent Year3_Adoption_PFA="","",Year3_Kent Year3_Adoption_PFA)</f>
        <v>56</v>
      </c>
      <c r="G16" s="100">
        <f>IF(Year4_Kent Year4_Adoption_PFA="","",Year4_Kent Year4_Adoption_PFA)</f>
        <v>38</v>
      </c>
      <c r="H16" s="589">
        <f>IF(Year5_Kent Year5_Adoption_PFA="","",Year5_Kent Year5_Adoption_PFA)</f>
        <v>36</v>
      </c>
      <c r="I16" s="1093">
        <f t="shared" si="7"/>
        <v>-6.3969583048530426E-2</v>
      </c>
      <c r="J16" s="863">
        <f t="shared" si="0"/>
        <v>-6.3969583048530426E-2</v>
      </c>
      <c r="K16" s="96"/>
      <c r="L16" s="1041">
        <f>IF(ISNUMBER(D16),D16/Population!D16*10000,NA())</f>
        <v>1.513317191283293</v>
      </c>
      <c r="M16" s="1041">
        <f>IF(ISNUMBER(E16),E16/Population!E16*10000,NA())</f>
        <v>1.6516516516516517</v>
      </c>
      <c r="N16" s="1041">
        <f>IF(ISNUMBER(F16),F16/Population!F16*10000,NA())</f>
        <v>1.6661707825052068</v>
      </c>
      <c r="O16" s="1041">
        <f>IF(ISNUMBER(G16),G16/Population!G16*10000,NA())</f>
        <v>1.1173184357541899</v>
      </c>
      <c r="P16" s="231">
        <f>IF(ISNUMBER(H16),H16/Population!H16*10000,NA())</f>
        <v>1.0471204188481675</v>
      </c>
      <c r="Q16" s="99">
        <f t="shared" si="8"/>
        <v>1.0471204188481675</v>
      </c>
      <c r="R16" s="933">
        <f t="shared" si="1"/>
        <v>3</v>
      </c>
      <c r="S16" s="70"/>
      <c r="T16" s="752">
        <f>IDACI!C15</f>
        <v>15.8</v>
      </c>
      <c r="U16" s="1069"/>
      <c r="V16" s="139"/>
      <c r="W16" s="152"/>
      <c r="X16" s="1099" t="str">
        <f t="shared" si="2"/>
        <v>Kent</v>
      </c>
      <c r="Y16" s="44">
        <f>IF(ISNUMBER(H16),IDACI!D15,0)</f>
        <v>291866</v>
      </c>
      <c r="Z16" s="44">
        <f>IF(ISNUMBER(H16),IDACI!E15,0)</f>
        <v>46114.828000000001</v>
      </c>
      <c r="AA16" s="1105">
        <f>IF(ISNUMBER(D16),Population!D16,"")</f>
        <v>330400</v>
      </c>
      <c r="AB16" s="205">
        <f>IF(ISNUMBER(E16),Population!E16,"")</f>
        <v>333000</v>
      </c>
      <c r="AC16" s="205">
        <f>IF(ISNUMBER(F16),Population!F16,"")</f>
        <v>336100</v>
      </c>
      <c r="AD16" s="205">
        <f>IF(ISNUMBER(G16),Population!G16,"")</f>
        <v>340100</v>
      </c>
      <c r="AE16" s="1106">
        <f>IF(ISNUMBER(H16),Population!H16,"")</f>
        <v>343800</v>
      </c>
      <c r="AF16" s="1100" t="s">
        <v>9</v>
      </c>
      <c r="AG16" s="231">
        <f t="shared" si="9"/>
        <v>1.0471204188481675</v>
      </c>
      <c r="AH16" s="206">
        <f t="shared" si="10"/>
        <v>3</v>
      </c>
      <c r="AI16" s="190"/>
      <c r="AJ16" s="190"/>
      <c r="AK16" s="202"/>
      <c r="AL16" s="202"/>
      <c r="AM16" s="202"/>
      <c r="AN16" s="160"/>
      <c r="AO16" s="853">
        <f t="shared" si="3"/>
        <v>0.1</v>
      </c>
      <c r="AP16" s="853">
        <f t="shared" si="4"/>
        <v>1.8181818181818181E-2</v>
      </c>
      <c r="AQ16" s="853">
        <f t="shared" si="5"/>
        <v>-0.32142857142857145</v>
      </c>
      <c r="AR16" s="853">
        <f t="shared" si="6"/>
        <v>-5.2631578947368418E-2</v>
      </c>
      <c r="AS16" s="853">
        <f t="shared" si="11"/>
        <v>-6.3969583048530426E-2</v>
      </c>
    </row>
    <row r="17" spans="1:45" s="87" customFormat="1" ht="13.5" customHeight="1" x14ac:dyDescent="0.2">
      <c r="A17" s="488">
        <f>VLOOKUP(B17,Sheet1!$AQ$4:$AR$25,2,FALSE)</f>
        <v>0</v>
      </c>
      <c r="B17" s="93" t="str">
        <f>Sheet1!$K$11</f>
        <v>Medway</v>
      </c>
      <c r="C17" s="85"/>
      <c r="D17" s="100">
        <f>IF(Year1_Medway Year1_Adoption_PFA="","",Year1_Medway Year1_Adoption_PFA)</f>
        <v>25</v>
      </c>
      <c r="E17" s="100">
        <f>IF(Year2_Medway Year2_Adoption_PFA="","",Year2_Medway Year2_Adoption_PFA)</f>
        <v>36</v>
      </c>
      <c r="F17" s="100">
        <f>IF(Year3_Medway Year3_Adoption_PFA="","",Year3_Medway Year3_Adoption_PFA)</f>
        <v>23</v>
      </c>
      <c r="G17" s="100">
        <f>IF(Year4_Medway Year4_Adoption_PFA="","",Year4_Medway Year4_Adoption_PFA)</f>
        <v>10</v>
      </c>
      <c r="H17" s="589">
        <f>IF(Year5_Medway Year5_Adoption_PFA="","",Year5_Medway Year5_Adoption_PFA)</f>
        <v>14</v>
      </c>
      <c r="I17" s="1093">
        <f t="shared" si="7"/>
        <v>-2.1582125603864716E-2</v>
      </c>
      <c r="J17" s="863">
        <f t="shared" si="0"/>
        <v>-2.1582125603864716E-2</v>
      </c>
      <c r="K17" s="96"/>
      <c r="L17" s="1041">
        <f>IF(ISNUMBER(D17),D17/Population!D17*10000,NA())</f>
        <v>3.9556962025316453</v>
      </c>
      <c r="M17" s="1041">
        <f>IF(ISNUMBER(E17),E17/Population!E17*10000,NA())</f>
        <v>5.6514913657770807</v>
      </c>
      <c r="N17" s="1041">
        <f>IF(ISNUMBER(F17),F17/Population!F17*10000,NA())</f>
        <v>3.5993740219092332</v>
      </c>
      <c r="O17" s="1041">
        <f>IF(ISNUMBER(G17),G17/Population!G17*10000,NA())</f>
        <v>1.5527950310559007</v>
      </c>
      <c r="P17" s="231">
        <f>IF(ISNUMBER(H17),H17/Population!H17*10000,NA())</f>
        <v>2.1538461538461537</v>
      </c>
      <c r="Q17" s="99">
        <f t="shared" si="8"/>
        <v>2.1538461538461537</v>
      </c>
      <c r="R17" s="933">
        <f t="shared" si="1"/>
        <v>10</v>
      </c>
      <c r="S17" s="70"/>
      <c r="T17" s="752">
        <f>IDACI!C16</f>
        <v>18.899999999999999</v>
      </c>
      <c r="U17" s="1069"/>
      <c r="V17" s="139"/>
      <c r="W17" s="152"/>
      <c r="X17" s="1099" t="str">
        <f t="shared" si="2"/>
        <v>Medway</v>
      </c>
      <c r="Y17" s="44">
        <f>IF(ISNUMBER(H17),IDACI!D16,0)</f>
        <v>55993</v>
      </c>
      <c r="Z17" s="44">
        <f>IF(ISNUMBER(H17),IDACI!E16,0)</f>
        <v>10582.676999999998</v>
      </c>
      <c r="AA17" s="1105">
        <f>IF(ISNUMBER(D17),Population!D17,"")</f>
        <v>63200</v>
      </c>
      <c r="AB17" s="205">
        <f>IF(ISNUMBER(E17),Population!E17,"")</f>
        <v>63700</v>
      </c>
      <c r="AC17" s="205">
        <f>IF(ISNUMBER(F17),Population!F17,"")</f>
        <v>63900</v>
      </c>
      <c r="AD17" s="205">
        <f>IF(ISNUMBER(G17),Population!G17,"")</f>
        <v>64400</v>
      </c>
      <c r="AE17" s="1106">
        <f>IF(ISNUMBER(H17),Population!H17,"")</f>
        <v>65000</v>
      </c>
      <c r="AF17" s="1100" t="s">
        <v>2</v>
      </c>
      <c r="AG17" s="231">
        <f t="shared" si="9"/>
        <v>2.1538461538461537</v>
      </c>
      <c r="AH17" s="206">
        <f t="shared" si="10"/>
        <v>10</v>
      </c>
      <c r="AI17" s="190"/>
      <c r="AJ17" s="190"/>
      <c r="AK17" s="202"/>
      <c r="AL17" s="202"/>
      <c r="AM17" s="202"/>
      <c r="AN17" s="160"/>
      <c r="AO17" s="853">
        <f t="shared" si="3"/>
        <v>0.44</v>
      </c>
      <c r="AP17" s="853">
        <f t="shared" si="4"/>
        <v>-0.3611111111111111</v>
      </c>
      <c r="AQ17" s="853">
        <f t="shared" si="5"/>
        <v>-0.56521739130434778</v>
      </c>
      <c r="AR17" s="853">
        <f t="shared" si="6"/>
        <v>0.4</v>
      </c>
      <c r="AS17" s="853">
        <f t="shared" si="11"/>
        <v>-2.1582125603864716E-2</v>
      </c>
    </row>
    <row r="18" spans="1:45" s="87" customFormat="1" ht="13.5" customHeight="1" x14ac:dyDescent="0.2">
      <c r="A18" s="488">
        <f>VLOOKUP(B18,Sheet1!$AQ$4:$AR$25,2,FALSE)</f>
        <v>0</v>
      </c>
      <c r="B18" s="93" t="str">
        <f>Sheet1!$K$12</f>
        <v>Milton Keynes</v>
      </c>
      <c r="C18" s="85"/>
      <c r="D18" s="100" t="str">
        <f>IF(Year1_Milton_Keynes Year1_Adoption_PFA="","",Year1_Milton_Keynes Year1_Adoption_PFA)</f>
        <v>x</v>
      </c>
      <c r="E18" s="100">
        <f>IF(Year2_Milton_Keynes Year2_Adoption_PFA="","",Year2_Milton_Keynes Year2_Adoption_PFA)</f>
        <v>6</v>
      </c>
      <c r="F18" s="100" t="str">
        <f>IF(Year3_Milton_Keynes Year3_Adoption_PFA="","",Year3_Milton_Keynes Year3_Adoption_PFA)</f>
        <v>x</v>
      </c>
      <c r="G18" s="100">
        <f>IF(Year4_Milton_Keynes Year4_Adoption_PFA="","",Year4_Milton_Keynes Year4_Adoption_PFA)</f>
        <v>6</v>
      </c>
      <c r="H18" s="589">
        <f>IF(Year5_Milton_Keynes Year5_Adoption_PFA="","",Year5_Milton_Keynes Year5_Adoption_PFA)</f>
        <v>16</v>
      </c>
      <c r="I18" s="1093">
        <f t="shared" si="7"/>
        <v>1.6666666666666667</v>
      </c>
      <c r="J18" s="863">
        <f t="shared" si="0"/>
        <v>1.6666666666666667</v>
      </c>
      <c r="K18" s="96"/>
      <c r="L18" s="1041" t="e">
        <f>IF(ISNUMBER(D18),D18/Population!D18*10000,NA())</f>
        <v>#N/A</v>
      </c>
      <c r="M18" s="1041">
        <f>IF(ISNUMBER(E18),E18/Population!E18*10000,NA())</f>
        <v>0.89418777943368111</v>
      </c>
      <c r="N18" s="1041" t="e">
        <f>IF(ISNUMBER(F18),F18/Population!F18*10000,NA())</f>
        <v>#N/A</v>
      </c>
      <c r="O18" s="1041">
        <f>IF(ISNUMBER(G18),G18/Population!G18*10000,NA())</f>
        <v>0.87847730600292828</v>
      </c>
      <c r="P18" s="231">
        <f>IF(ISNUMBER(H18),H18/Population!H18*10000,NA())</f>
        <v>2.3255813953488373</v>
      </c>
      <c r="Q18" s="99">
        <f t="shared" si="8"/>
        <v>2.3255813953488373</v>
      </c>
      <c r="R18" s="933">
        <f t="shared" si="1"/>
        <v>11</v>
      </c>
      <c r="S18" s="70"/>
      <c r="T18" s="752">
        <f>IDACI!C17</f>
        <v>15</v>
      </c>
      <c r="U18" s="1069"/>
      <c r="V18" s="139"/>
      <c r="W18" s="152"/>
      <c r="X18" s="1099" t="str">
        <f t="shared" si="2"/>
        <v>Milton Keynes</v>
      </c>
      <c r="Y18" s="44">
        <f>IF(ISNUMBER(H18),IDACI!D17,0)</f>
        <v>59903</v>
      </c>
      <c r="Z18" s="44">
        <f>IF(ISNUMBER(H18),IDACI!E17,0)</f>
        <v>8985.4499999999989</v>
      </c>
      <c r="AA18" s="1105" t="str">
        <f>IF(ISNUMBER(D18),Population!D18,"")</f>
        <v/>
      </c>
      <c r="AB18" s="205">
        <f>IF(ISNUMBER(E18),Population!E18,"")</f>
        <v>67100</v>
      </c>
      <c r="AC18" s="205" t="str">
        <f>IF(ISNUMBER(F18),Population!F18,"")</f>
        <v/>
      </c>
      <c r="AD18" s="205">
        <f>IF(ISNUMBER(G18),Population!G18,"")</f>
        <v>68300</v>
      </c>
      <c r="AE18" s="1106">
        <f>IF(ISNUMBER(H18),Population!H18,"")</f>
        <v>68800</v>
      </c>
      <c r="AF18" s="1100" t="s">
        <v>10</v>
      </c>
      <c r="AG18" s="231">
        <f t="shared" si="9"/>
        <v>2.3255813953488373</v>
      </c>
      <c r="AH18" s="206">
        <f t="shared" si="10"/>
        <v>11</v>
      </c>
      <c r="AI18" s="190"/>
      <c r="AJ18" s="190"/>
      <c r="AK18" s="202"/>
      <c r="AL18" s="202"/>
      <c r="AM18" s="202"/>
      <c r="AN18" s="160"/>
      <c r="AO18" s="853" t="str">
        <f t="shared" si="3"/>
        <v>x</v>
      </c>
      <c r="AP18" s="853" t="str">
        <f t="shared" si="4"/>
        <v>x</v>
      </c>
      <c r="AQ18" s="853" t="str">
        <f t="shared" si="5"/>
        <v>x</v>
      </c>
      <c r="AR18" s="853">
        <f t="shared" si="6"/>
        <v>1.6666666666666667</v>
      </c>
      <c r="AS18" s="853">
        <f t="shared" si="11"/>
        <v>1.6666666666666667</v>
      </c>
    </row>
    <row r="19" spans="1:45" s="87" customFormat="1" ht="13.5" customHeight="1" x14ac:dyDescent="0.2">
      <c r="A19" s="488">
        <f>VLOOKUP(B19,Sheet1!$AQ$4:$AR$25,2,FALSE)</f>
        <v>0</v>
      </c>
      <c r="B19" s="93" t="str">
        <f>Sheet1!$K$13</f>
        <v>Oxfordshire</v>
      </c>
      <c r="C19" s="85"/>
      <c r="D19" s="100">
        <f>IF(Year1_Oxfordshire Year1_Adoption_PFA="","",Year1_Oxfordshire Year1_Adoption_PFA)</f>
        <v>20</v>
      </c>
      <c r="E19" s="100">
        <f>IF(Year2_Oxfordshire Year2_Adoption_PFA="","",Year2_Oxfordshire Year2_Adoption_PFA)</f>
        <v>27</v>
      </c>
      <c r="F19" s="100">
        <f>IF(Year3_Oxfordshire Year3_Adoption_PFA="","",Year3_Oxfordshire Year3_Adoption_PFA)</f>
        <v>19</v>
      </c>
      <c r="G19" s="100">
        <f>IF(Year4_Oxfordshire Year4_Adoption_PFA="","",Year4_Oxfordshire Year4_Adoption_PFA)</f>
        <v>29</v>
      </c>
      <c r="H19" s="589">
        <f>IF(Year5_Oxfordshire Year5_Adoption_PFA="","",Year5_Oxfordshire Year5_Adoption_PFA)</f>
        <v>17</v>
      </c>
      <c r="I19" s="1093">
        <f t="shared" si="7"/>
        <v>4.1556597432278006E-2</v>
      </c>
      <c r="J19" s="863">
        <f t="shared" si="0"/>
        <v>4.1556597432278006E-2</v>
      </c>
      <c r="K19" s="96"/>
      <c r="L19" s="1041">
        <f>IF(ISNUMBER(D19),D19/Population!D19*10000,NA())</f>
        <v>1.4104372355430184</v>
      </c>
      <c r="M19" s="1041">
        <f>IF(ISNUMBER(E19),E19/Population!E19*10000,NA())</f>
        <v>1.8894331700489853</v>
      </c>
      <c r="N19" s="1041">
        <f>IF(ISNUMBER(F19),F19/Population!F19*10000,NA())</f>
        <v>1.3249651324965133</v>
      </c>
      <c r="O19" s="1041">
        <f>IF(ISNUMBER(G19),G19/Population!G19*10000,NA())</f>
        <v>2.0027624309392262</v>
      </c>
      <c r="P19" s="231">
        <f>IF(ISNUMBER(H19),H19/Population!H19*10000,NA())</f>
        <v>1.1635865845311431</v>
      </c>
      <c r="Q19" s="99">
        <f t="shared" si="8"/>
        <v>1.1635865845311431</v>
      </c>
      <c r="R19" s="933">
        <f t="shared" si="1"/>
        <v>4</v>
      </c>
      <c r="S19" s="70"/>
      <c r="T19" s="752">
        <f>IDACI!C18</f>
        <v>10.100000000000001</v>
      </c>
      <c r="U19" s="1069"/>
      <c r="V19" s="139"/>
      <c r="W19" s="152"/>
      <c r="X19" s="1099" t="str">
        <f t="shared" si="2"/>
        <v>Oxfordshire</v>
      </c>
      <c r="Y19" s="44">
        <f>IF(ISNUMBER(H19),IDACI!D18,0)</f>
        <v>126119</v>
      </c>
      <c r="Z19" s="44">
        <f>IF(ISNUMBER(H19),IDACI!E18,0)</f>
        <v>12738.019000000002</v>
      </c>
      <c r="AA19" s="1105">
        <f>IF(ISNUMBER(D19),Population!D19,"")</f>
        <v>141800</v>
      </c>
      <c r="AB19" s="205">
        <f>IF(ISNUMBER(E19),Population!E19,"")</f>
        <v>142900</v>
      </c>
      <c r="AC19" s="205">
        <f>IF(ISNUMBER(F19),Population!F19,"")</f>
        <v>143400</v>
      </c>
      <c r="AD19" s="205">
        <f>IF(ISNUMBER(G19),Population!G19,"")</f>
        <v>144800</v>
      </c>
      <c r="AE19" s="1106">
        <f>IF(ISNUMBER(H19),Population!H19,"")</f>
        <v>146100</v>
      </c>
      <c r="AF19" s="1100" t="s">
        <v>11</v>
      </c>
      <c r="AG19" s="231">
        <f t="shared" si="9"/>
        <v>1.1635865845311431</v>
      </c>
      <c r="AH19" s="206">
        <f t="shared" si="10"/>
        <v>4</v>
      </c>
      <c r="AI19" s="190"/>
      <c r="AJ19" s="190"/>
      <c r="AK19" s="202"/>
      <c r="AL19" s="202"/>
      <c r="AM19" s="202"/>
      <c r="AN19" s="160"/>
      <c r="AO19" s="853">
        <f t="shared" si="3"/>
        <v>0.35</v>
      </c>
      <c r="AP19" s="853">
        <f t="shared" si="4"/>
        <v>-0.29629629629629628</v>
      </c>
      <c r="AQ19" s="853">
        <f t="shared" si="5"/>
        <v>0.52631578947368418</v>
      </c>
      <c r="AR19" s="853">
        <f t="shared" si="6"/>
        <v>-0.41379310344827586</v>
      </c>
      <c r="AS19" s="853">
        <f t="shared" si="11"/>
        <v>4.1556597432278006E-2</v>
      </c>
    </row>
    <row r="20" spans="1:45" s="87" customFormat="1" ht="13.5" customHeight="1" x14ac:dyDescent="0.2">
      <c r="A20" s="488">
        <f>VLOOKUP(B20,Sheet1!$AQ$4:$AR$25,2,FALSE)</f>
        <v>0</v>
      </c>
      <c r="B20" s="93" t="str">
        <f>Sheet1!$K$14</f>
        <v>Portsmouth</v>
      </c>
      <c r="C20" s="85"/>
      <c r="D20" s="100">
        <f>IF(Year1_Portsmouth Year1_Adoption_PFA="","",Year1_Portsmouth Year1_Adoption_PFA)</f>
        <v>20</v>
      </c>
      <c r="E20" s="100" t="str">
        <f>IF(Year2_Portsmouth Year2_Adoption_PFA="","",Year2_Portsmouth Year2_Adoption_PFA)</f>
        <v>x</v>
      </c>
      <c r="F20" s="100" t="str">
        <f>IF(Year3_Portsmouth Year3_Adoption_PFA="","",Year3_Portsmouth Year3_Adoption_PFA)</f>
        <v>x</v>
      </c>
      <c r="G20" s="100" t="str">
        <f>IF(Year4_Portsmouth Year4_Adoption_PFA="","",Year4_Portsmouth Year4_Adoption_PFA)</f>
        <v>x</v>
      </c>
      <c r="H20" s="589">
        <f>IF(Year5_Portsmouth Year5_Adoption_PFA="","",Year5_Portsmouth Year5_Adoption_PFA)</f>
        <v>7</v>
      </c>
      <c r="I20" s="1093" t="e">
        <f t="shared" si="7"/>
        <v>#DIV/0!</v>
      </c>
      <c r="J20" s="863" t="e">
        <f t="shared" si="0"/>
        <v>#DIV/0!</v>
      </c>
      <c r="K20" s="96"/>
      <c r="L20" s="1041">
        <f>IF(ISNUMBER(D20),D20/Population!D20*10000,NA())</f>
        <v>4.5662100456621006</v>
      </c>
      <c r="M20" s="1041" t="e">
        <f>IF(ISNUMBER(E20),E20/Population!E20*10000,NA())</f>
        <v>#N/A</v>
      </c>
      <c r="N20" s="1041" t="e">
        <f>IF(ISNUMBER(F20),F20/Population!F20*10000,NA())</f>
        <v>#N/A</v>
      </c>
      <c r="O20" s="1041" t="e">
        <f>IF(ISNUMBER(G20),G20/Population!G20*10000,NA())</f>
        <v>#N/A</v>
      </c>
      <c r="P20" s="231">
        <f>IF(ISNUMBER(H20),H20/Population!H20*10000,NA())</f>
        <v>1.5981735159817352</v>
      </c>
      <c r="Q20" s="99">
        <f t="shared" si="8"/>
        <v>1.5981735159817352</v>
      </c>
      <c r="R20" s="933">
        <f t="shared" si="1"/>
        <v>7</v>
      </c>
      <c r="S20" s="70"/>
      <c r="T20" s="752">
        <f>IDACI!C19</f>
        <v>20.200000000000003</v>
      </c>
      <c r="U20" s="1069"/>
      <c r="V20" s="139"/>
      <c r="W20" s="152"/>
      <c r="X20" s="1099" t="str">
        <f t="shared" si="2"/>
        <v>Portsmouth</v>
      </c>
      <c r="Y20" s="44">
        <f>IF(ISNUMBER(H20),IDACI!D19,0)</f>
        <v>39325</v>
      </c>
      <c r="Z20" s="44">
        <f>IF(ISNUMBER(H20),IDACI!E19,0)</f>
        <v>7943.6500000000015</v>
      </c>
      <c r="AA20" s="1105">
        <f>IF(ISNUMBER(D20),Population!D20,"")</f>
        <v>43800</v>
      </c>
      <c r="AB20" s="205" t="str">
        <f>IF(ISNUMBER(E20),Population!E20,"")</f>
        <v/>
      </c>
      <c r="AC20" s="205" t="str">
        <f>IF(ISNUMBER(F20),Population!F20,"")</f>
        <v/>
      </c>
      <c r="AD20" s="205" t="str">
        <f>IF(ISNUMBER(G20),Population!G20,"")</f>
        <v/>
      </c>
      <c r="AE20" s="1106">
        <f>IF(ISNUMBER(H20),Population!H20,"")</f>
        <v>43800</v>
      </c>
      <c r="AF20" s="1100" t="s">
        <v>12</v>
      </c>
      <c r="AG20" s="231">
        <f t="shared" si="9"/>
        <v>1.5981735159817352</v>
      </c>
      <c r="AH20" s="206">
        <f t="shared" si="10"/>
        <v>7</v>
      </c>
      <c r="AI20" s="190"/>
      <c r="AJ20" s="190"/>
      <c r="AK20" s="202"/>
      <c r="AL20" s="202"/>
      <c r="AM20" s="202"/>
      <c r="AN20" s="160"/>
      <c r="AO20" s="853" t="str">
        <f t="shared" si="3"/>
        <v>x</v>
      </c>
      <c r="AP20" s="853" t="str">
        <f t="shared" si="4"/>
        <v>x</v>
      </c>
      <c r="AQ20" s="853" t="str">
        <f t="shared" si="5"/>
        <v>x</v>
      </c>
      <c r="AR20" s="853" t="str">
        <f t="shared" si="6"/>
        <v>x</v>
      </c>
      <c r="AS20" s="853" t="e">
        <f t="shared" si="11"/>
        <v>#DIV/0!</v>
      </c>
    </row>
    <row r="21" spans="1:45" s="87" customFormat="1" ht="13.5" customHeight="1" x14ac:dyDescent="0.2">
      <c r="A21" s="488">
        <f>VLOOKUP(B21,Sheet1!$AQ$4:$AR$25,2,FALSE)</f>
        <v>0</v>
      </c>
      <c r="B21" s="93" t="str">
        <f>Sheet1!$K$15</f>
        <v>Reading</v>
      </c>
      <c r="C21" s="85"/>
      <c r="D21" s="100">
        <f>IF(Year1_Reading Year1_Adoption_PFA="","",Year1_Reading Year1_Adoption_PFA)</f>
        <v>5</v>
      </c>
      <c r="E21" s="100" t="str">
        <f>IF(Year2_Reading Year2_Adoption_PFA="","",Year2_Reading Year2_Adoption_PFA)</f>
        <v>x</v>
      </c>
      <c r="F21" s="100">
        <f>IF(Year3_Reading Year3_Adoption_PFA="","",Year3_Reading Year3_Adoption_PFA)</f>
        <v>12</v>
      </c>
      <c r="G21" s="100">
        <f>IF(Year4_Reading Year4_Adoption_PFA="","",Year4_Reading Year4_Adoption_PFA)</f>
        <v>7</v>
      </c>
      <c r="H21" s="589" t="str">
        <f>IF(Year5_Reading Year5_Adoption_PFA="","",Year5_Reading Year5_Adoption_PFA)</f>
        <v>c</v>
      </c>
      <c r="I21" s="1093">
        <f t="shared" si="7"/>
        <v>-0.41666666666666669</v>
      </c>
      <c r="J21" s="863">
        <f t="shared" si="0"/>
        <v>-0.41666666666666669</v>
      </c>
      <c r="K21" s="96"/>
      <c r="L21" s="1041">
        <f>IF(ISNUMBER(D21),D21/Population!D21*10000,NA())</f>
        <v>1.3736263736263736</v>
      </c>
      <c r="M21" s="1041" t="e">
        <f>IF(ISNUMBER(E21),E21/Population!E21*10000,NA())</f>
        <v>#N/A</v>
      </c>
      <c r="N21" s="1041">
        <f>IF(ISNUMBER(F21),F21/Population!F21*10000,NA())</f>
        <v>3.2345013477088949</v>
      </c>
      <c r="O21" s="1041">
        <f>IF(ISNUMBER(G21),G21/Population!G21*10000,NA())</f>
        <v>1.8867924528301885</v>
      </c>
      <c r="P21" s="231" t="e">
        <f>IF(ISNUMBER(H21),H21/Population!H21*10000,NA())</f>
        <v>#N/A</v>
      </c>
      <c r="Q21" s="99" t="str">
        <f t="shared" si="8"/>
        <v/>
      </c>
      <c r="R21" s="933" t="e">
        <f t="shared" si="1"/>
        <v>#N/A</v>
      </c>
      <c r="S21" s="70"/>
      <c r="T21" s="752">
        <f>IDACI!C20</f>
        <v>16</v>
      </c>
      <c r="U21" s="1069"/>
      <c r="V21" s="139"/>
      <c r="W21" s="152"/>
      <c r="X21" s="1099" t="str">
        <f t="shared" si="2"/>
        <v>Reading</v>
      </c>
      <c r="Y21" s="44">
        <f>IF(ISNUMBER(H21),IDACI!D20,0)</f>
        <v>0</v>
      </c>
      <c r="Z21" s="44">
        <f>IF(ISNUMBER(H21),IDACI!E20,0)</f>
        <v>0</v>
      </c>
      <c r="AA21" s="1105">
        <f>IF(ISNUMBER(D21),Population!D21,"")</f>
        <v>36400</v>
      </c>
      <c r="AB21" s="205" t="str">
        <f>IF(ISNUMBER(E21),Population!E21,"")</f>
        <v/>
      </c>
      <c r="AC21" s="205">
        <f>IF(ISNUMBER(F21),Population!F21,"")</f>
        <v>37100</v>
      </c>
      <c r="AD21" s="205">
        <f>IF(ISNUMBER(G21),Population!G21,"")</f>
        <v>37100</v>
      </c>
      <c r="AE21" s="1106" t="str">
        <f>IF(ISNUMBER(H21),Population!H21,"")</f>
        <v/>
      </c>
      <c r="AF21" s="1100" t="s">
        <v>3</v>
      </c>
      <c r="AG21" s="231" t="str">
        <f t="shared" si="9"/>
        <v/>
      </c>
      <c r="AH21" s="206" t="e">
        <f t="shared" si="10"/>
        <v>#VALUE!</v>
      </c>
      <c r="AI21" s="190"/>
      <c r="AJ21" s="190"/>
      <c r="AK21" s="202"/>
      <c r="AL21" s="202"/>
      <c r="AM21" s="202"/>
      <c r="AN21" s="160"/>
      <c r="AO21" s="853" t="str">
        <f t="shared" si="3"/>
        <v>x</v>
      </c>
      <c r="AP21" s="853" t="str">
        <f t="shared" si="4"/>
        <v>x</v>
      </c>
      <c r="AQ21" s="853">
        <f t="shared" si="5"/>
        <v>-0.41666666666666669</v>
      </c>
      <c r="AR21" s="853" t="str">
        <f t="shared" si="6"/>
        <v>x</v>
      </c>
      <c r="AS21" s="853">
        <f t="shared" si="11"/>
        <v>-0.41666666666666669</v>
      </c>
    </row>
    <row r="22" spans="1:45" s="87" customFormat="1" ht="13.5" customHeight="1" x14ac:dyDescent="0.2">
      <c r="A22" s="488">
        <f>VLOOKUP(B22,Sheet1!$AQ$4:$AR$25,2,FALSE)</f>
        <v>0</v>
      </c>
      <c r="B22" s="93" t="str">
        <f>Sheet1!$K$16</f>
        <v>Slough</v>
      </c>
      <c r="C22" s="85"/>
      <c r="D22" s="100">
        <f>IF(Year1_Slough Year1_Adoption_PFA="","",Year1_Slough Year1_Adoption_PFA)</f>
        <v>5</v>
      </c>
      <c r="E22" s="100">
        <f>IF(Year2_Slough Year2_Adoption_PFA="","",Year2_Slough Year2_Adoption_PFA)</f>
        <v>8</v>
      </c>
      <c r="F22" s="100">
        <f>IF(Year3_Slough Year3_Adoption_PFA="","",Year3_Slough Year3_Adoption_PFA)</f>
        <v>8</v>
      </c>
      <c r="G22" s="100" t="str">
        <f>IF(Year4_Slough Year4_Adoption_PFA="","",Year4_Slough Year4_Adoption_PFA)</f>
        <v>x</v>
      </c>
      <c r="H22" s="589">
        <f>IF(Year5_Slough Year5_Adoption_PFA="","",Year5_Slough Year5_Adoption_PFA)</f>
        <v>8</v>
      </c>
      <c r="I22" s="1093">
        <f t="shared" si="7"/>
        <v>0.3</v>
      </c>
      <c r="J22" s="863">
        <f t="shared" si="0"/>
        <v>0.3</v>
      </c>
      <c r="K22" s="96"/>
      <c r="L22" s="1041">
        <f>IF(ISNUMBER(D22),D22/Population!D22*10000,NA())</f>
        <v>1.2315270935960589</v>
      </c>
      <c r="M22" s="1041">
        <f>IF(ISNUMBER(E22),E22/Population!E22*10000,NA())</f>
        <v>1.932367149758454</v>
      </c>
      <c r="N22" s="1041">
        <f>IF(ISNUMBER(F22),F22/Population!F22*10000,NA())</f>
        <v>1.8957345971563981</v>
      </c>
      <c r="O22" s="1041" t="e">
        <f>IF(ISNUMBER(G22),G22/Population!G22*10000,NA())</f>
        <v>#N/A</v>
      </c>
      <c r="P22" s="231">
        <f>IF(ISNUMBER(H22),H22/Population!H22*10000,NA())</f>
        <v>1.8561484918793505</v>
      </c>
      <c r="Q22" s="99">
        <f t="shared" si="8"/>
        <v>1.8561484918793505</v>
      </c>
      <c r="R22" s="933">
        <f t="shared" si="1"/>
        <v>9</v>
      </c>
      <c r="S22" s="70"/>
      <c r="T22" s="752">
        <f>IDACI!C21</f>
        <v>14.7</v>
      </c>
      <c r="U22" s="1069"/>
      <c r="V22" s="139"/>
      <c r="W22" s="152"/>
      <c r="X22" s="1099" t="str">
        <f t="shared" si="2"/>
        <v>Slough</v>
      </c>
      <c r="Y22" s="44">
        <f>IF(ISNUMBER(H22),IDACI!D21,0)</f>
        <v>37031</v>
      </c>
      <c r="Z22" s="44">
        <f>IF(ISNUMBER(H22),IDACI!E21,0)</f>
        <v>5443.5569999999998</v>
      </c>
      <c r="AA22" s="1105">
        <f>IF(ISNUMBER(D22),Population!D22,"")</f>
        <v>40600</v>
      </c>
      <c r="AB22" s="205">
        <f>IF(ISNUMBER(E22),Population!E22,"")</f>
        <v>41400</v>
      </c>
      <c r="AC22" s="205">
        <f>IF(ISNUMBER(F22),Population!F22,"")</f>
        <v>42200</v>
      </c>
      <c r="AD22" s="205" t="str">
        <f>IF(ISNUMBER(G22),Population!G22,"")</f>
        <v/>
      </c>
      <c r="AE22" s="1106">
        <f>IF(ISNUMBER(H22),Population!H22,"")</f>
        <v>43100</v>
      </c>
      <c r="AF22" s="1100" t="s">
        <v>13</v>
      </c>
      <c r="AG22" s="231">
        <f t="shared" si="9"/>
        <v>1.8561484918793505</v>
      </c>
      <c r="AH22" s="206">
        <f t="shared" si="10"/>
        <v>9</v>
      </c>
      <c r="AI22" s="190"/>
      <c r="AJ22" s="190"/>
      <c r="AK22" s="202"/>
      <c r="AL22" s="202"/>
      <c r="AM22" s="202"/>
      <c r="AN22" s="160"/>
      <c r="AO22" s="853">
        <f t="shared" si="3"/>
        <v>0.6</v>
      </c>
      <c r="AP22" s="853">
        <f t="shared" si="4"/>
        <v>0</v>
      </c>
      <c r="AQ22" s="853" t="str">
        <f t="shared" si="5"/>
        <v>x</v>
      </c>
      <c r="AR22" s="853" t="str">
        <f t="shared" si="6"/>
        <v>x</v>
      </c>
      <c r="AS22" s="853">
        <f t="shared" si="11"/>
        <v>0.3</v>
      </c>
    </row>
    <row r="23" spans="1:45" s="87" customFormat="1" ht="13.5" customHeight="1" x14ac:dyDescent="0.2">
      <c r="A23" s="488">
        <f>VLOOKUP(B23,Sheet1!$AQ$4:$AR$25,2,FALSE)</f>
        <v>0</v>
      </c>
      <c r="B23" s="93" t="str">
        <f>Sheet1!$K$17</f>
        <v>Somerset</v>
      </c>
      <c r="C23" s="85"/>
      <c r="D23" s="100">
        <f>IF(Year1_Somerset Year1_Adoption_PFA="","",Year1_Somerset Year1_Adoption_PFA)</f>
        <v>15</v>
      </c>
      <c r="E23" s="100">
        <f>IF(Year2_Somerset Year2_Adoption_PFA="","",Year2_Somerset Year2_Adoption_PFA)</f>
        <v>16</v>
      </c>
      <c r="F23" s="100" t="str">
        <f>IF(Year3_Somerset Year3_Adoption_PFA="","",Year3_Somerset Year3_Adoption_PFA)</f>
        <v>x</v>
      </c>
      <c r="G23" s="100" t="str">
        <f>IF(Year4_Somerset Year4_Adoption_PFA="","",Year4_Somerset Year4_Adoption_PFA)</f>
        <v>x</v>
      </c>
      <c r="H23" s="589">
        <f>IF(Year5_Somerset Year5_Adoption_PFA="","",Year5_Somerset Year5_Adoption_PFA)</f>
        <v>23</v>
      </c>
      <c r="I23" s="1093">
        <f t="shared" si="7"/>
        <v>6.6666666666666666E-2</v>
      </c>
      <c r="J23" s="863">
        <f t="shared" si="0"/>
        <v>6.6666666666666666E-2</v>
      </c>
      <c r="K23" s="96"/>
      <c r="L23" s="1041">
        <f>IF(ISNUMBER(D23),D23/Population!D23*10000,NA())</f>
        <v>1.3736263736263736</v>
      </c>
      <c r="M23" s="1041">
        <f>IF(ISNUMBER(E23),E23/Population!E23*10000,NA())</f>
        <v>1.4585232452142205</v>
      </c>
      <c r="N23" s="1041" t="e">
        <f>IF(ISNUMBER(F23),F23/Population!F23*10000,NA())</f>
        <v>#N/A</v>
      </c>
      <c r="O23" s="1041" t="e">
        <f>IF(ISNUMBER(G23),G23/Population!G23*10000,NA())</f>
        <v>#N/A</v>
      </c>
      <c r="P23" s="231">
        <f>IF(ISNUMBER(H23),H23/Population!H23*10000,NA())</f>
        <v>2.0683453237410072</v>
      </c>
      <c r="Q23" s="99">
        <f t="shared" si="8"/>
        <v>2.0683453237410072</v>
      </c>
      <c r="R23" s="930" t="str">
        <f t="shared" si="1"/>
        <v>--</v>
      </c>
      <c r="S23" s="70"/>
      <c r="T23" s="752">
        <f>IDACI!C22</f>
        <v>13.600000000000001</v>
      </c>
      <c r="U23" s="1069"/>
      <c r="V23" s="139"/>
      <c r="W23" s="152"/>
      <c r="X23" s="1099" t="str">
        <f t="shared" si="2"/>
        <v>Somerset</v>
      </c>
      <c r="Y23" s="44">
        <f>IF(ISNUMBER(H23),IDACI!D22,0)</f>
        <v>95875</v>
      </c>
      <c r="Z23" s="44">
        <f>IF(ISNUMBER(H23),IDACI!E22,0)</f>
        <v>13039.000000000002</v>
      </c>
      <c r="AA23" s="1105">
        <f>IF(ISNUMBER(D23),Population!D23,"")</f>
        <v>109200</v>
      </c>
      <c r="AB23" s="205">
        <f>IF(ISNUMBER(E23),Population!E23,"")</f>
        <v>109700</v>
      </c>
      <c r="AC23" s="205" t="str">
        <f>IF(ISNUMBER(F23),Population!F23,"")</f>
        <v/>
      </c>
      <c r="AD23" s="205" t="str">
        <f>IF(ISNUMBER(G23),Population!G23,"")</f>
        <v/>
      </c>
      <c r="AE23" s="1106">
        <f>IF(ISNUMBER(H23),Population!H23,"")</f>
        <v>111200</v>
      </c>
      <c r="AF23" s="1100" t="s">
        <v>14</v>
      </c>
      <c r="AG23" s="231" t="str">
        <f t="shared" si="9"/>
        <v/>
      </c>
      <c r="AH23" s="206" t="e">
        <f t="shared" si="10"/>
        <v>#VALUE!</v>
      </c>
      <c r="AI23" s="190"/>
      <c r="AJ23" s="190"/>
      <c r="AK23" s="202"/>
      <c r="AL23" s="202"/>
      <c r="AM23" s="202"/>
      <c r="AN23" s="160"/>
      <c r="AO23" s="853">
        <f t="shared" si="3"/>
        <v>6.6666666666666666E-2</v>
      </c>
      <c r="AP23" s="853" t="str">
        <f t="shared" si="4"/>
        <v>x</v>
      </c>
      <c r="AQ23" s="853" t="str">
        <f t="shared" si="5"/>
        <v>x</v>
      </c>
      <c r="AR23" s="853" t="str">
        <f t="shared" si="6"/>
        <v>x</v>
      </c>
      <c r="AS23" s="853">
        <f t="shared" si="11"/>
        <v>6.6666666666666666E-2</v>
      </c>
    </row>
    <row r="24" spans="1:45" s="87" customFormat="1" ht="13.5" customHeight="1" x14ac:dyDescent="0.2">
      <c r="A24" s="488">
        <f>VLOOKUP(B24,Sheet1!$AQ$4:$AR$25,2,FALSE)</f>
        <v>0</v>
      </c>
      <c r="B24" s="93" t="str">
        <f>Sheet1!$K$18</f>
        <v>Southampton</v>
      </c>
      <c r="C24" s="85"/>
      <c r="D24" s="100">
        <f>IF(Year1_Southampton Year1_Adoption_PFA="","",Year1_Southampton Year1_Adoption_PFA)</f>
        <v>60</v>
      </c>
      <c r="E24" s="100">
        <f>IF(Year2_Southampton Year2_Adoption_PFA="","",Year2_Southampton Year2_Adoption_PFA)</f>
        <v>40</v>
      </c>
      <c r="F24" s="100">
        <f>IF(Year3_Southampton Year3_Adoption_PFA="","",Year3_Southampton Year3_Adoption_PFA)</f>
        <v>28</v>
      </c>
      <c r="G24" s="100">
        <f>IF(Year4_Southampton Year4_Adoption_PFA="","",Year4_Southampton Year4_Adoption_PFA)</f>
        <v>13</v>
      </c>
      <c r="H24" s="589" t="str">
        <f>IF(Year5_Southampton Year5_Adoption_PFA="","",Year5_Southampton Year5_Adoption_PFA)</f>
        <v>c</v>
      </c>
      <c r="I24" s="1093">
        <f t="shared" si="7"/>
        <v>-0.38968253968253963</v>
      </c>
      <c r="J24" s="863">
        <f t="shared" si="0"/>
        <v>-0.38968253968253963</v>
      </c>
      <c r="K24" s="96"/>
      <c r="L24" s="1041">
        <f>IF(ISNUMBER(D24),D24/Population!D24*10000,NA())</f>
        <v>12.195121951219512</v>
      </c>
      <c r="M24" s="1041">
        <f>IF(ISNUMBER(E24),E24/Population!E24*10000,NA())</f>
        <v>8.0160320641282556</v>
      </c>
      <c r="N24" s="1041">
        <f>IF(ISNUMBER(F24),F24/Population!F24*10000,NA())</f>
        <v>5.5666003976143141</v>
      </c>
      <c r="O24" s="1041">
        <f>IF(ISNUMBER(G24),G24/Population!G24*10000,NA())</f>
        <v>2.5590551181102366</v>
      </c>
      <c r="P24" s="231" t="e">
        <f>IF(ISNUMBER(H24),H24/Population!H24*10000,NA())</f>
        <v>#N/A</v>
      </c>
      <c r="Q24" s="99" t="str">
        <f t="shared" si="8"/>
        <v/>
      </c>
      <c r="R24" s="933" t="e">
        <f t="shared" si="1"/>
        <v>#N/A</v>
      </c>
      <c r="S24" s="70"/>
      <c r="T24" s="752">
        <f>IDACI!C23</f>
        <v>20.5</v>
      </c>
      <c r="U24" s="1069"/>
      <c r="V24" s="139"/>
      <c r="W24" s="152"/>
      <c r="X24" s="1099" t="str">
        <f t="shared" si="2"/>
        <v>Southampton</v>
      </c>
      <c r="Y24" s="44">
        <f>IF(ISNUMBER(H24),IDACI!D23,0)</f>
        <v>0</v>
      </c>
      <c r="Z24" s="44">
        <f>IF(ISNUMBER(H24),IDACI!E23,0)</f>
        <v>0</v>
      </c>
      <c r="AA24" s="1105">
        <f>IF(ISNUMBER(D24),Population!D24,"")</f>
        <v>49200</v>
      </c>
      <c r="AB24" s="205">
        <f>IF(ISNUMBER(E24),Population!E24,"")</f>
        <v>49900</v>
      </c>
      <c r="AC24" s="205">
        <f>IF(ISNUMBER(F24),Population!F24,"")</f>
        <v>50300</v>
      </c>
      <c r="AD24" s="205">
        <f>IF(ISNUMBER(G24),Population!G24,"")</f>
        <v>50800</v>
      </c>
      <c r="AE24" s="1106" t="str">
        <f>IF(ISNUMBER(H24),Population!H24,"")</f>
        <v/>
      </c>
      <c r="AF24" s="1100" t="s">
        <v>7</v>
      </c>
      <c r="AG24" s="231" t="str">
        <f t="shared" si="9"/>
        <v/>
      </c>
      <c r="AH24" s="206" t="e">
        <f t="shared" si="10"/>
        <v>#VALUE!</v>
      </c>
      <c r="AI24" s="190"/>
      <c r="AJ24" s="190"/>
      <c r="AK24" s="202"/>
      <c r="AL24" s="202"/>
      <c r="AM24" s="202"/>
      <c r="AN24" s="160"/>
      <c r="AO24" s="853">
        <f t="shared" si="3"/>
        <v>-0.33333333333333331</v>
      </c>
      <c r="AP24" s="853">
        <f t="shared" si="4"/>
        <v>-0.3</v>
      </c>
      <c r="AQ24" s="853">
        <f t="shared" si="5"/>
        <v>-0.5357142857142857</v>
      </c>
      <c r="AR24" s="853" t="str">
        <f t="shared" si="6"/>
        <v>x</v>
      </c>
      <c r="AS24" s="853">
        <f t="shared" si="11"/>
        <v>-0.38968253968253963</v>
      </c>
    </row>
    <row r="25" spans="1:45" s="87" customFormat="1" ht="13.5" customHeight="1" x14ac:dyDescent="0.2">
      <c r="A25" s="488">
        <f>VLOOKUP(B25,Sheet1!$AQ$4:$AR$25,2,FALSE)</f>
        <v>0</v>
      </c>
      <c r="B25" s="93" t="str">
        <f>Sheet1!$K$19</f>
        <v>Surrey</v>
      </c>
      <c r="C25" s="85"/>
      <c r="D25" s="100">
        <f>IF(Year1_Surrey Year1_Adoption_PFA="","",Year1_Surrey Year1_Adoption_PFA)</f>
        <v>35</v>
      </c>
      <c r="E25" s="100">
        <f>IF(Year2_Surrey Year2_Adoption_PFA="","",Year2_Surrey Year2_Adoption_PFA)</f>
        <v>22</v>
      </c>
      <c r="F25" s="100">
        <f>IF(Year3_Surrey Year3_Adoption_PFA="","",Year3_Surrey Year3_Adoption_PFA)</f>
        <v>14</v>
      </c>
      <c r="G25" s="100">
        <f>IF(Year4_Surrey Year4_Adoption_PFA="","",Year4_Surrey Year4_Adoption_PFA)</f>
        <v>13</v>
      </c>
      <c r="H25" s="589" t="str">
        <f>IF(Year5_Surrey Year5_Adoption_PFA="","",Year5_Surrey Year5_Adoption_PFA)</f>
        <v>c</v>
      </c>
      <c r="I25" s="1093">
        <f t="shared" si="7"/>
        <v>-0.26883116883116881</v>
      </c>
      <c r="J25" s="863">
        <f t="shared" si="0"/>
        <v>-0.26883116883116881</v>
      </c>
      <c r="K25" s="96"/>
      <c r="L25" s="1041">
        <f>IF(ISNUMBER(D25),D25/Population!D25*10000,NA())</f>
        <v>1.3650546021840875</v>
      </c>
      <c r="M25" s="1041">
        <f>IF(ISNUMBER(E25),E25/Population!E25*10000,NA())</f>
        <v>0.84942084942084939</v>
      </c>
      <c r="N25" s="1041">
        <f>IF(ISNUMBER(F25),F25/Population!F25*10000,NA())</f>
        <v>0.53784095274683064</v>
      </c>
      <c r="O25" s="1041">
        <f>IF(ISNUMBER(G25),G25/Population!G25*10000,NA())</f>
        <v>0.49637266132111491</v>
      </c>
      <c r="P25" s="231" t="e">
        <f>IF(ISNUMBER(H25),H25/Population!H25*10000,NA())</f>
        <v>#N/A</v>
      </c>
      <c r="Q25" s="99" t="str">
        <f t="shared" si="8"/>
        <v/>
      </c>
      <c r="R25" s="933" t="e">
        <f t="shared" si="1"/>
        <v>#N/A</v>
      </c>
      <c r="S25" s="70"/>
      <c r="T25" s="752">
        <f>IDACI!C24</f>
        <v>8.3000000000000007</v>
      </c>
      <c r="U25" s="1069"/>
      <c r="V25" s="139"/>
      <c r="W25" s="152"/>
      <c r="X25" s="1099" t="str">
        <f t="shared" si="2"/>
        <v>Surrey</v>
      </c>
      <c r="Y25" s="44">
        <f>IF(ISNUMBER(H25),IDACI!D24,0)</f>
        <v>0</v>
      </c>
      <c r="Z25" s="44">
        <f>IF(ISNUMBER(H25),IDACI!E24,0)</f>
        <v>0</v>
      </c>
      <c r="AA25" s="1105">
        <f>IF(ISNUMBER(D25),Population!D25,"")</f>
        <v>256400</v>
      </c>
      <c r="AB25" s="205">
        <f>IF(ISNUMBER(E25),Population!E25,"")</f>
        <v>259000</v>
      </c>
      <c r="AC25" s="205">
        <f>IF(ISNUMBER(F25),Population!F25,"")</f>
        <v>260300</v>
      </c>
      <c r="AD25" s="205">
        <f>IF(ISNUMBER(G25),Population!G25,"")</f>
        <v>261900</v>
      </c>
      <c r="AE25" s="1106" t="str">
        <f>IF(ISNUMBER(H25),Population!H25,"")</f>
        <v/>
      </c>
      <c r="AF25" s="1100" t="s">
        <v>15</v>
      </c>
      <c r="AG25" s="231" t="str">
        <f t="shared" si="9"/>
        <v/>
      </c>
      <c r="AH25" s="206" t="e">
        <f t="shared" si="10"/>
        <v>#VALUE!</v>
      </c>
      <c r="AI25" s="190"/>
      <c r="AJ25" s="190"/>
      <c r="AK25" s="202"/>
      <c r="AL25" s="202"/>
      <c r="AM25" s="202"/>
      <c r="AN25" s="160"/>
      <c r="AO25" s="853">
        <f t="shared" si="3"/>
        <v>-0.37142857142857144</v>
      </c>
      <c r="AP25" s="853">
        <f t="shared" si="4"/>
        <v>-0.36363636363636365</v>
      </c>
      <c r="AQ25" s="853">
        <f t="shared" si="5"/>
        <v>-7.1428571428571425E-2</v>
      </c>
      <c r="AR25" s="853" t="str">
        <f t="shared" si="6"/>
        <v>x</v>
      </c>
      <c r="AS25" s="853">
        <f t="shared" si="11"/>
        <v>-0.26883116883116881</v>
      </c>
    </row>
    <row r="26" spans="1:45" s="87" customFormat="1" ht="13.5" customHeight="1" x14ac:dyDescent="0.2">
      <c r="A26" s="488">
        <f>VLOOKUP(B26,Sheet1!$AQ$4:$AR$25,2,FALSE)</f>
        <v>0</v>
      </c>
      <c r="B26" s="93" t="str">
        <f>Sheet1!$K$20</f>
        <v>Swindon</v>
      </c>
      <c r="C26" s="85"/>
      <c r="D26" s="100">
        <f>IF(Year1_Swindon Year1_Adoption_PFA="","",Year1_Swindon Year1_Adoption_PFA)</f>
        <v>5</v>
      </c>
      <c r="E26" s="100" t="str">
        <f>IF(Year2_Swindon Year2_Adoption_PFA="","",Year2_Swindon Year2_Adoption_PFA)</f>
        <v>x</v>
      </c>
      <c r="F26" s="100" t="str">
        <f>IF(Year3_Swindon Year3_Adoption_PFA="","",Year3_Swindon Year3_Adoption_PFA)</f>
        <v>x</v>
      </c>
      <c r="G26" s="100">
        <f>IF(Year4_Swindon Year4_Adoption_PFA="","",Year4_Swindon Year4_Adoption_PFA)</f>
        <v>10</v>
      </c>
      <c r="H26" s="589">
        <f>IF(Year5_Swindon Year5_Adoption_PFA="","",Year5_Swindon Year5_Adoption_PFA)</f>
        <v>12</v>
      </c>
      <c r="I26" s="1093">
        <f t="shared" si="7"/>
        <v>0.2</v>
      </c>
      <c r="J26" s="863">
        <f t="shared" si="0"/>
        <v>0.2</v>
      </c>
      <c r="K26" s="96"/>
      <c r="L26" s="1041">
        <f>IF(ISNUMBER(D26),D26/Population!D26*10000,NA())</f>
        <v>1.0204081632653061</v>
      </c>
      <c r="M26" s="1041" t="e">
        <f>IF(ISNUMBER(E26),E26/Population!E26*10000,NA())</f>
        <v>#N/A</v>
      </c>
      <c r="N26" s="1041" t="e">
        <f>IF(ISNUMBER(F26),F26/Population!F26*10000,NA())</f>
        <v>#N/A</v>
      </c>
      <c r="O26" s="1041">
        <f>IF(ISNUMBER(G26),G26/Population!G26*10000,NA())</f>
        <v>1.9920318725099602</v>
      </c>
      <c r="P26" s="231">
        <f>IF(ISNUMBER(H26),H26/Population!H26*10000,NA())</f>
        <v>2.3809523809523809</v>
      </c>
      <c r="Q26" s="99">
        <f t="shared" si="8"/>
        <v>2.3809523809523809</v>
      </c>
      <c r="R26" s="930" t="str">
        <f t="shared" si="1"/>
        <v>--</v>
      </c>
      <c r="S26" s="70"/>
      <c r="T26" s="752">
        <f>IDACI!C25</f>
        <v>14.899999999999999</v>
      </c>
      <c r="U26" s="1069"/>
      <c r="V26" s="139"/>
      <c r="W26" s="152"/>
      <c r="X26" s="1099" t="str">
        <f t="shared" si="2"/>
        <v>Swindon</v>
      </c>
      <c r="Y26" s="44">
        <f>IF(ISNUMBER(H26),IDACI!D25,0)</f>
        <v>43899</v>
      </c>
      <c r="Z26" s="44">
        <f>IF(ISNUMBER(H26),IDACI!E25,0)</f>
        <v>6540.951</v>
      </c>
      <c r="AA26" s="1105">
        <f>IF(ISNUMBER(D26),Population!D26,"")</f>
        <v>49000</v>
      </c>
      <c r="AB26" s="205" t="str">
        <f>IF(ISNUMBER(E26),Population!E26,"")</f>
        <v/>
      </c>
      <c r="AC26" s="205" t="str">
        <f>IF(ISNUMBER(F26),Population!F26,"")</f>
        <v/>
      </c>
      <c r="AD26" s="205">
        <f>IF(ISNUMBER(G26),Population!G26,"")</f>
        <v>50200</v>
      </c>
      <c r="AE26" s="1106">
        <f>IF(ISNUMBER(H26),Population!H26,"")</f>
        <v>50400</v>
      </c>
      <c r="AF26" s="1100" t="s">
        <v>5</v>
      </c>
      <c r="AG26" s="231">
        <f t="shared" si="9"/>
        <v>1.8171493469619533</v>
      </c>
      <c r="AH26" s="206">
        <f t="shared" si="10"/>
        <v>8</v>
      </c>
      <c r="AI26" s="190"/>
      <c r="AJ26" s="190"/>
      <c r="AK26" s="202"/>
      <c r="AL26" s="202"/>
      <c r="AM26" s="202"/>
      <c r="AN26" s="160"/>
      <c r="AO26" s="853" t="str">
        <f t="shared" si="3"/>
        <v>x</v>
      </c>
      <c r="AP26" s="853" t="str">
        <f t="shared" si="4"/>
        <v>x</v>
      </c>
      <c r="AQ26" s="853" t="str">
        <f t="shared" si="5"/>
        <v>x</v>
      </c>
      <c r="AR26" s="853">
        <f t="shared" si="6"/>
        <v>0.2</v>
      </c>
      <c r="AS26" s="853">
        <f t="shared" si="11"/>
        <v>0.2</v>
      </c>
    </row>
    <row r="27" spans="1:45" s="87" customFormat="1" ht="13.5" customHeight="1" x14ac:dyDescent="0.2">
      <c r="A27" s="488">
        <f>VLOOKUP(B27,Sheet1!$AQ$4:$AR$25,2,FALSE)</f>
        <v>0</v>
      </c>
      <c r="B27" s="93" t="str">
        <f>Sheet1!$K$21</f>
        <v>Torbay</v>
      </c>
      <c r="C27" s="85"/>
      <c r="D27" s="100">
        <f>IF(Year1_Torbay Year1_Adoption_PFA="","",Year1_Torbay Year1_Adoption_PFA)</f>
        <v>10</v>
      </c>
      <c r="E27" s="100">
        <f>IF(Year2_Torbay Year2_Adoption_PFA="","",Year2_Torbay Year2_Adoption_PFA)</f>
        <v>14</v>
      </c>
      <c r="F27" s="100">
        <f>IF(Year3_Torbay Year3_Adoption_PFA="","",Year3_Torbay Year3_Adoption_PFA)</f>
        <v>7</v>
      </c>
      <c r="G27" s="100">
        <f>IF(Year4_Torbay Year4_Adoption_PFA="","",Year4_Torbay Year4_Adoption_PFA)</f>
        <v>21</v>
      </c>
      <c r="H27" s="589" t="str">
        <f>IF(Year5_Torbay Year5_Adoption_PFA="","",Year5_Torbay Year5_Adoption_PFA)</f>
        <v>c</v>
      </c>
      <c r="I27" s="1093">
        <f t="shared" si="7"/>
        <v>0.6333333333333333</v>
      </c>
      <c r="J27" s="863">
        <f t="shared" si="0"/>
        <v>0.6333333333333333</v>
      </c>
      <c r="K27" s="96"/>
      <c r="L27" s="1041">
        <f>IF(ISNUMBER(D27),D27/Population!D27*10000,NA())</f>
        <v>3.9682539682539684</v>
      </c>
      <c r="M27" s="1041">
        <f>IF(ISNUMBER(E27),E27/Population!E27*10000,NA())</f>
        <v>5.5118110236220472</v>
      </c>
      <c r="N27" s="1041">
        <f>IF(ISNUMBER(F27),F27/Population!F27*10000,NA())</f>
        <v>2.7559055118110236</v>
      </c>
      <c r="O27" s="1041">
        <f>IF(ISNUMBER(G27),G27/Population!G27*10000,NA())</f>
        <v>8.2677165354330704</v>
      </c>
      <c r="P27" s="231" t="e">
        <f>IF(ISNUMBER(H27),H27/Population!H27*10000,NA())</f>
        <v>#N/A</v>
      </c>
      <c r="Q27" s="99" t="str">
        <f t="shared" si="8"/>
        <v/>
      </c>
      <c r="R27" s="930" t="str">
        <f t="shared" si="1"/>
        <v>--</v>
      </c>
      <c r="S27" s="70"/>
      <c r="T27" s="752">
        <f>IDACI!C26</f>
        <v>21.9</v>
      </c>
      <c r="U27" s="1069"/>
      <c r="V27" s="139"/>
      <c r="W27" s="152"/>
      <c r="X27" s="1099" t="str">
        <f t="shared" si="2"/>
        <v>Torbay</v>
      </c>
      <c r="Y27" s="44">
        <f>IF(ISNUMBER(H27),IDACI!D26,0)</f>
        <v>0</v>
      </c>
      <c r="Z27" s="44">
        <f>IF(ISNUMBER(H27),IDACI!E26,0)</f>
        <v>0</v>
      </c>
      <c r="AA27" s="1105">
        <f>IF(ISNUMBER(D27),Population!D27,"")</f>
        <v>25200</v>
      </c>
      <c r="AB27" s="205">
        <f>IF(ISNUMBER(E27),Population!E27,"")</f>
        <v>25400</v>
      </c>
      <c r="AC27" s="205">
        <f>IF(ISNUMBER(F27),Population!F27,"")</f>
        <v>25400</v>
      </c>
      <c r="AD27" s="205">
        <f>IF(ISNUMBER(G27),Population!G27,"")</f>
        <v>25400</v>
      </c>
      <c r="AE27" s="1106" t="str">
        <f>IF(ISNUMBER(H27),Population!H27,"")</f>
        <v/>
      </c>
      <c r="AF27" s="1100" t="s">
        <v>30</v>
      </c>
      <c r="AG27" s="231" t="str">
        <f t="shared" si="9"/>
        <v/>
      </c>
      <c r="AH27" s="206" t="e">
        <f t="shared" si="10"/>
        <v>#VALUE!</v>
      </c>
      <c r="AI27" s="190"/>
      <c r="AJ27" s="190"/>
      <c r="AK27" s="202"/>
      <c r="AL27" s="202"/>
      <c r="AM27" s="202"/>
      <c r="AN27" s="160"/>
      <c r="AO27" s="853">
        <f t="shared" si="3"/>
        <v>0.4</v>
      </c>
      <c r="AP27" s="853">
        <f t="shared" si="4"/>
        <v>-0.5</v>
      </c>
      <c r="AQ27" s="853">
        <f t="shared" si="5"/>
        <v>2</v>
      </c>
      <c r="AR27" s="853" t="str">
        <f t="shared" si="6"/>
        <v>x</v>
      </c>
      <c r="AS27" s="853">
        <f t="shared" si="11"/>
        <v>0.6333333333333333</v>
      </c>
    </row>
    <row r="28" spans="1:45" s="87" customFormat="1" ht="13.5" customHeight="1" x14ac:dyDescent="0.2">
      <c r="A28" s="488">
        <f>VLOOKUP(B28,Sheet1!$AQ$4:$AR$25,2,FALSE)</f>
        <v>0</v>
      </c>
      <c r="B28" s="93" t="str">
        <f>Sheet1!$K$22</f>
        <v>West Berkshire</v>
      </c>
      <c r="C28" s="85"/>
      <c r="D28" s="100">
        <f>IF(Year1_West_Berkshire Year1_Adoption_PFA="","",Year1_West_Berkshire Year1_Adoption_PFA)</f>
        <v>10</v>
      </c>
      <c r="E28" s="100" t="str">
        <f>IF(Year2_West_Berkshire Year2_Adoption_PFA="","",Year2_West_Berkshire Year2_Adoption_PFA)</f>
        <v>x</v>
      </c>
      <c r="F28" s="100" t="str">
        <f>IF(Year3_West_Berkshire Year3_Adoption_PFA="","",Year3_West_Berkshire Year3_Adoption_PFA)</f>
        <v>x</v>
      </c>
      <c r="G28" s="100" t="str">
        <f>IF(Year4_West_Berkshire Year4_Adoption_PFA="","",Year4_West_Berkshire Year4_Adoption_PFA)</f>
        <v>x</v>
      </c>
      <c r="H28" s="589" t="str">
        <f>IF(Year5_West_Berkshire Year5_Adoption_PFA="","",Year5_West_Berkshire Year5_Adoption_PFA)</f>
        <v>c</v>
      </c>
      <c r="I28" s="1093" t="e">
        <f t="shared" si="7"/>
        <v>#DIV/0!</v>
      </c>
      <c r="J28" s="863" t="e">
        <f t="shared" si="0"/>
        <v>#DIV/0!</v>
      </c>
      <c r="K28" s="96"/>
      <c r="L28" s="1041">
        <f>IF(ISNUMBER(D28),D28/Population!D28*10000,NA())</f>
        <v>2.8011204481792715</v>
      </c>
      <c r="M28" s="1041" t="e">
        <f>IF(ISNUMBER(E28),E28/Population!E28*10000,NA())</f>
        <v>#N/A</v>
      </c>
      <c r="N28" s="1041" t="e">
        <f>IF(ISNUMBER(F28),F28/Population!F28*10000,NA())</f>
        <v>#N/A</v>
      </c>
      <c r="O28" s="1041" t="e">
        <f>IF(ISNUMBER(G28),G28/Population!G28*10000,NA())</f>
        <v>#N/A</v>
      </c>
      <c r="P28" s="231" t="e">
        <f>IF(ISNUMBER(H28),H28/Population!H28*10000,NA())</f>
        <v>#N/A</v>
      </c>
      <c r="Q28" s="99" t="str">
        <f t="shared" si="8"/>
        <v/>
      </c>
      <c r="R28" s="933" t="e">
        <f t="shared" si="1"/>
        <v>#N/A</v>
      </c>
      <c r="S28" s="70"/>
      <c r="T28" s="752">
        <f>IDACI!C27</f>
        <v>8.6999999999999993</v>
      </c>
      <c r="U28" s="1069"/>
      <c r="V28" s="139"/>
      <c r="W28" s="152"/>
      <c r="X28" s="1099" t="str">
        <f t="shared" si="2"/>
        <v>West Berkshire</v>
      </c>
      <c r="Y28" s="44">
        <f>IF(ISNUMBER(H28),IDACI!D27,0)</f>
        <v>0</v>
      </c>
      <c r="Z28" s="44">
        <f>IF(ISNUMBER(H28),IDACI!E27,0)</f>
        <v>0</v>
      </c>
      <c r="AA28" s="1105">
        <f>IF(ISNUMBER(D28),Population!D28,"")</f>
        <v>35700</v>
      </c>
      <c r="AB28" s="205" t="str">
        <f>IF(ISNUMBER(E28),Population!E28,"")</f>
        <v/>
      </c>
      <c r="AC28" s="205" t="str">
        <f>IF(ISNUMBER(F28),Population!F28,"")</f>
        <v/>
      </c>
      <c r="AD28" s="205" t="str">
        <f>IF(ISNUMBER(G28),Population!G28,"")</f>
        <v/>
      </c>
      <c r="AE28" s="1106" t="str">
        <f>IF(ISNUMBER(H28),Population!H28,"")</f>
        <v/>
      </c>
      <c r="AF28" s="1100" t="s">
        <v>16</v>
      </c>
      <c r="AG28" s="231" t="str">
        <f t="shared" si="9"/>
        <v/>
      </c>
      <c r="AH28" s="206" t="e">
        <f t="shared" si="10"/>
        <v>#VALUE!</v>
      </c>
      <c r="AI28" s="190"/>
      <c r="AJ28" s="190"/>
      <c r="AK28" s="202"/>
      <c r="AL28" s="202"/>
      <c r="AM28" s="202"/>
      <c r="AN28" s="160"/>
      <c r="AO28" s="853" t="str">
        <f t="shared" si="3"/>
        <v>x</v>
      </c>
      <c r="AP28" s="853" t="str">
        <f t="shared" si="4"/>
        <v>x</v>
      </c>
      <c r="AQ28" s="853" t="str">
        <f t="shared" si="5"/>
        <v>x</v>
      </c>
      <c r="AR28" s="853" t="str">
        <f t="shared" si="6"/>
        <v>x</v>
      </c>
      <c r="AS28" s="853" t="e">
        <f t="shared" si="11"/>
        <v>#DIV/0!</v>
      </c>
    </row>
    <row r="29" spans="1:45" s="87" customFormat="1" ht="13.5" customHeight="1" x14ac:dyDescent="0.2">
      <c r="A29" s="488">
        <f>VLOOKUP(B29,Sheet1!$AQ$4:$AR$25,2,FALSE)</f>
        <v>0</v>
      </c>
      <c r="B29" s="93" t="str">
        <f>Sheet1!$K$23</f>
        <v>West Sussex</v>
      </c>
      <c r="C29" s="85"/>
      <c r="D29" s="100">
        <f>IF(Year1_West_Sussex Year1_Adoption_PFA="","",Year1_West_Sussex Year1_Adoption_PFA)</f>
        <v>45</v>
      </c>
      <c r="E29" s="100">
        <f>IF(Year2_West_Sussex Year2_Adoption_PFA="","",Year2_West_Sussex Year2_Adoption_PFA)</f>
        <v>30</v>
      </c>
      <c r="F29" s="100">
        <f>IF(Year3_West_Sussex Year3_Adoption_PFA="","",Year3_West_Sussex Year3_Adoption_PFA)</f>
        <v>41</v>
      </c>
      <c r="G29" s="100">
        <f>IF(Year4_West_Sussex Year4_Adoption_PFA="","",Year4_West_Sussex Year4_Adoption_PFA)</f>
        <v>35</v>
      </c>
      <c r="H29" s="589">
        <f>IF(Year5_West_Sussex Year5_Adoption_PFA="","",Year5_West_Sussex Year5_Adoption_PFA)</f>
        <v>32</v>
      </c>
      <c r="I29" s="1093">
        <f t="shared" si="7"/>
        <v>-4.9680603948896632E-2</v>
      </c>
      <c r="J29" s="863">
        <f t="shared" si="0"/>
        <v>-4.9680603948896632E-2</v>
      </c>
      <c r="K29" s="96"/>
      <c r="L29" s="1041">
        <f>IF(ISNUMBER(D29),D29/Population!D29*10000,NA())</f>
        <v>2.640845070422535</v>
      </c>
      <c r="M29" s="1041">
        <f>IF(ISNUMBER(E29),E29/Population!E29*10000,NA())</f>
        <v>1.7462165308498254</v>
      </c>
      <c r="N29" s="1041">
        <f>IF(ISNUMBER(F29),F29/Population!F29*10000,NA())</f>
        <v>2.3658395845354878</v>
      </c>
      <c r="O29" s="1041">
        <f>IF(ISNUMBER(G29),G29/Population!G29*10000,NA())</f>
        <v>2.0034344590726958</v>
      </c>
      <c r="P29" s="231">
        <f>IF(ISNUMBER(H29),H29/Population!H29*10000,NA())</f>
        <v>1.8171493469619533</v>
      </c>
      <c r="Q29" s="99">
        <f t="shared" si="8"/>
        <v>1.8171493469619533</v>
      </c>
      <c r="R29" s="933">
        <f t="shared" si="1"/>
        <v>8</v>
      </c>
      <c r="S29" s="70"/>
      <c r="T29" s="752">
        <f>IDACI!C28</f>
        <v>11</v>
      </c>
      <c r="U29" s="1069"/>
      <c r="V29" s="139"/>
      <c r="W29" s="152"/>
      <c r="X29" s="1099" t="str">
        <f t="shared" si="2"/>
        <v>West Sussex</v>
      </c>
      <c r="Y29" s="44">
        <f>IF(ISNUMBER(H29),IDACI!D28,0)</f>
        <v>151487</v>
      </c>
      <c r="Z29" s="44">
        <f>IF(ISNUMBER(H29),IDACI!E28,0)</f>
        <v>16663.57</v>
      </c>
      <c r="AA29" s="1105">
        <f>IF(ISNUMBER(D29),Population!D29,"")</f>
        <v>170400</v>
      </c>
      <c r="AB29" s="205">
        <f>IF(ISNUMBER(E29),Population!E29,"")</f>
        <v>171800</v>
      </c>
      <c r="AC29" s="205">
        <f>IF(ISNUMBER(F29),Population!F29,"")</f>
        <v>173300</v>
      </c>
      <c r="AD29" s="205">
        <f>IF(ISNUMBER(G29),Population!G29,"")</f>
        <v>174700</v>
      </c>
      <c r="AE29" s="1106">
        <f>IF(ISNUMBER(H29),Population!H29,"")</f>
        <v>176100</v>
      </c>
      <c r="AF29" s="202"/>
      <c r="AG29" s="202"/>
      <c r="AH29" s="190"/>
      <c r="AI29" s="190"/>
      <c r="AJ29" s="190"/>
      <c r="AK29" s="202"/>
      <c r="AL29" s="202"/>
      <c r="AM29" s="202"/>
      <c r="AN29" s="160"/>
      <c r="AO29" s="853">
        <f t="shared" si="3"/>
        <v>-0.33333333333333331</v>
      </c>
      <c r="AP29" s="853">
        <f t="shared" si="4"/>
        <v>0.36666666666666664</v>
      </c>
      <c r="AQ29" s="853">
        <f t="shared" si="5"/>
        <v>-0.14634146341463414</v>
      </c>
      <c r="AR29" s="853">
        <f t="shared" si="6"/>
        <v>-8.5714285714285715E-2</v>
      </c>
      <c r="AS29" s="853">
        <f t="shared" si="11"/>
        <v>-4.9680603948896632E-2</v>
      </c>
    </row>
    <row r="30" spans="1:45" s="87" customFormat="1" ht="13.5" customHeight="1" x14ac:dyDescent="0.2">
      <c r="A30" s="488">
        <f>VLOOKUP(B30,Sheet1!$AQ$4:$AR$25,2,FALSE)</f>
        <v>0</v>
      </c>
      <c r="B30" s="93" t="str">
        <f>Sheet1!$K$24</f>
        <v>Windsor &amp; Maidenhead</v>
      </c>
      <c r="C30" s="85"/>
      <c r="D30" s="100" t="str">
        <f>IF(Year1_Windsor_Maidenhead Year1_Adoption_PFA="","",Year1_Windsor_Maidenhead Year1_Adoption_PFA)</f>
        <v>x</v>
      </c>
      <c r="E30" s="100" t="str">
        <f>IF(Year2_Windsor_Maidenhead Year2_Adoption_PFA="","",Year2_Windsor_Maidenhead Year2_Adoption_PFA)</f>
        <v>x</v>
      </c>
      <c r="F30" s="100" t="str">
        <f>IF(Year3_Windsor_Maidenhead Year3_Adoption_PFA="","",Year3_Windsor_Maidenhead Year3_Adoption_PFA)</f>
        <v>x</v>
      </c>
      <c r="G30" s="100" t="str">
        <f>IF(Year4_Windsor_Maidenhead Year4_Adoption_PFA="","",Year4_Windsor_Maidenhead Year4_Adoption_PFA)</f>
        <v>x</v>
      </c>
      <c r="H30" s="589" t="str">
        <f>IF(Year5_Windsor_Maidenhead Year5_Adoption_PFA="","",Year5_Windsor_Maidenhead Year5_Adoption_PFA)</f>
        <v>c</v>
      </c>
      <c r="I30" s="1093" t="e">
        <f t="shared" si="7"/>
        <v>#DIV/0!</v>
      </c>
      <c r="J30" s="863" t="e">
        <f t="shared" si="0"/>
        <v>#DIV/0!</v>
      </c>
      <c r="K30" s="96"/>
      <c r="L30" s="1041" t="e">
        <f>IF(ISNUMBER(D30),D30/Population!D30*10000,NA())</f>
        <v>#N/A</v>
      </c>
      <c r="M30" s="1041" t="e">
        <f>IF(ISNUMBER(E30),E30/Population!E30*10000,NA())</f>
        <v>#N/A</v>
      </c>
      <c r="N30" s="1041" t="e">
        <f>IF(ISNUMBER(F30),F30/Population!F30*10000,NA())</f>
        <v>#N/A</v>
      </c>
      <c r="O30" s="1041" t="e">
        <f>IF(ISNUMBER(G30),G30/Population!G30*10000,NA())</f>
        <v>#N/A</v>
      </c>
      <c r="P30" s="231" t="e">
        <f>IF(ISNUMBER(H30),H30/Population!H30*10000,NA())</f>
        <v>#N/A</v>
      </c>
      <c r="Q30" s="99" t="str">
        <f t="shared" si="8"/>
        <v/>
      </c>
      <c r="R30" s="933" t="e">
        <f t="shared" si="1"/>
        <v>#N/A</v>
      </c>
      <c r="S30" s="70"/>
      <c r="T30" s="752">
        <f>IDACI!C29</f>
        <v>6.7</v>
      </c>
      <c r="U30" s="1069"/>
      <c r="V30" s="139"/>
      <c r="W30" s="152"/>
      <c r="X30" s="1099" t="str">
        <f t="shared" si="2"/>
        <v>Windsor &amp; Maidenhead</v>
      </c>
      <c r="Y30" s="44">
        <f>IF(ISNUMBER(H30),IDACI!D29,0)</f>
        <v>0</v>
      </c>
      <c r="Z30" s="44">
        <f>IF(ISNUMBER(H30),IDACI!E29,0)</f>
        <v>0</v>
      </c>
      <c r="AA30" s="1105" t="str">
        <f>IF(ISNUMBER(D30),Population!D30,"")</f>
        <v/>
      </c>
      <c r="AB30" s="205" t="str">
        <f>IF(ISNUMBER(E30),Population!E30,"")</f>
        <v/>
      </c>
      <c r="AC30" s="205" t="str">
        <f>IF(ISNUMBER(F30),Population!F30,"")</f>
        <v/>
      </c>
      <c r="AD30" s="205" t="str">
        <f>IF(ISNUMBER(G30),Population!G30,"")</f>
        <v/>
      </c>
      <c r="AE30" s="1106" t="str">
        <f>IF(ISNUMBER(H30),Population!H30,"")</f>
        <v/>
      </c>
      <c r="AF30" s="202"/>
      <c r="AG30" s="202"/>
      <c r="AH30" s="190"/>
      <c r="AI30" s="190"/>
      <c r="AJ30" s="190"/>
      <c r="AK30" s="202"/>
      <c r="AL30" s="202"/>
      <c r="AM30" s="202"/>
      <c r="AN30" s="160"/>
      <c r="AO30" s="853" t="str">
        <f t="shared" si="3"/>
        <v>x</v>
      </c>
      <c r="AP30" s="853" t="str">
        <f t="shared" si="4"/>
        <v>x</v>
      </c>
      <c r="AQ30" s="853" t="str">
        <f t="shared" si="5"/>
        <v>x</v>
      </c>
      <c r="AR30" s="853" t="str">
        <f t="shared" si="6"/>
        <v>x</v>
      </c>
      <c r="AS30" s="853" t="e">
        <f t="shared" si="11"/>
        <v>#DIV/0!</v>
      </c>
    </row>
    <row r="31" spans="1:45" s="87" customFormat="1" ht="13.5" customHeight="1" x14ac:dyDescent="0.2">
      <c r="A31" s="488">
        <f>VLOOKUP(B31,Sheet1!$AQ$4:$AR$25,2,FALSE)</f>
        <v>0</v>
      </c>
      <c r="B31" s="93" t="str">
        <f>Sheet1!$K$25</f>
        <v>Wokingham</v>
      </c>
      <c r="C31" s="85"/>
      <c r="D31" s="100" t="str">
        <f>IF(Year1_Wokingham Year1_Adoption_PFA="","",Year1_Wokingham Year1_Adoption_PFA)</f>
        <v>x</v>
      </c>
      <c r="E31" s="100" t="str">
        <f>IF(Year2_Wokingham Year2_Adoption_PFA="","",Year2_Wokingham Year2_Adoption_PFA)</f>
        <v>x</v>
      </c>
      <c r="F31" s="100" t="str">
        <f>IF(Year3_Wokingham Year3_Adoption_PFA="","",Year3_Wokingham Year3_Adoption_PFA)</f>
        <v>x</v>
      </c>
      <c r="G31" s="100" t="str">
        <f>IF(Year4_Wokingham Year4_Adoption_PFA="","",Year4_Wokingham Year4_Adoption_PFA)</f>
        <v>x</v>
      </c>
      <c r="H31" s="589" t="str">
        <f>IF(Year5_Wokingham Year5_Adoption_PFA="","",Year5_Wokingham Year5_Adoption_PFA)</f>
        <v>c</v>
      </c>
      <c r="I31" s="1093" t="e">
        <f t="shared" si="7"/>
        <v>#DIV/0!</v>
      </c>
      <c r="J31" s="863" t="e">
        <f t="shared" si="0"/>
        <v>#DIV/0!</v>
      </c>
      <c r="K31" s="96"/>
      <c r="L31" s="1041" t="e">
        <f>IF(ISNUMBER(D31),D31/Population!D31*10000,NA())</f>
        <v>#N/A</v>
      </c>
      <c r="M31" s="1041" t="e">
        <f>IF(ISNUMBER(E31),E31/Population!E31*10000,NA())</f>
        <v>#N/A</v>
      </c>
      <c r="N31" s="1041" t="e">
        <f>IF(ISNUMBER(F31),F31/Population!F31*10000,NA())</f>
        <v>#N/A</v>
      </c>
      <c r="O31" s="1041" t="e">
        <f>IF(ISNUMBER(G31),G31/Population!G31*10000,NA())</f>
        <v>#N/A</v>
      </c>
      <c r="P31" s="231" t="e">
        <f>IF(ISNUMBER(H31),H31/Population!H31*10000,NA())</f>
        <v>#N/A</v>
      </c>
      <c r="Q31" s="99" t="str">
        <f t="shared" si="8"/>
        <v/>
      </c>
      <c r="R31" s="933" t="e">
        <f t="shared" si="1"/>
        <v>#N/A</v>
      </c>
      <c r="S31" s="70"/>
      <c r="T31" s="752">
        <f>IDACI!C30</f>
        <v>5.6000000000000005</v>
      </c>
      <c r="U31" s="1069"/>
      <c r="V31" s="139"/>
      <c r="W31" s="152"/>
      <c r="X31" s="1099" t="str">
        <f t="shared" si="2"/>
        <v>Wokingham</v>
      </c>
      <c r="Y31" s="44">
        <f>IF(ISNUMBER(H31),IDACI!D30,0)</f>
        <v>0</v>
      </c>
      <c r="Z31" s="44">
        <f>IF(ISNUMBER(H31),IDACI!E30,0)</f>
        <v>0</v>
      </c>
      <c r="AA31" s="1105" t="str">
        <f>IF(ISNUMBER(D31),Population!D31,"")</f>
        <v/>
      </c>
      <c r="AB31" s="205" t="str">
        <f>IF(ISNUMBER(E31),Population!E31,"")</f>
        <v/>
      </c>
      <c r="AC31" s="205" t="str">
        <f>IF(ISNUMBER(F31),Population!F31,"")</f>
        <v/>
      </c>
      <c r="AD31" s="205" t="str">
        <f>IF(ISNUMBER(G31),Population!G31,"")</f>
        <v/>
      </c>
      <c r="AE31" s="1106" t="str">
        <f>IF(ISNUMBER(H31),Population!H31,"")</f>
        <v/>
      </c>
      <c r="AF31" s="202"/>
      <c r="AG31" s="202"/>
      <c r="AH31" s="190"/>
      <c r="AI31" s="190"/>
      <c r="AJ31" s="190"/>
      <c r="AK31" s="202"/>
      <c r="AL31" s="202"/>
      <c r="AM31" s="202"/>
      <c r="AN31" s="160"/>
      <c r="AO31" s="853" t="str">
        <f t="shared" si="3"/>
        <v>x</v>
      </c>
      <c r="AP31" s="853" t="str">
        <f t="shared" si="4"/>
        <v>x</v>
      </c>
      <c r="AQ31" s="853" t="str">
        <f t="shared" si="5"/>
        <v>x</v>
      </c>
      <c r="AR31" s="853" t="str">
        <f t="shared" si="6"/>
        <v>x</v>
      </c>
      <c r="AS31" s="853" t="e">
        <f t="shared" si="11"/>
        <v>#DIV/0!</v>
      </c>
    </row>
    <row r="32" spans="1:45" s="87" customFormat="1" ht="13.5" customHeight="1" x14ac:dyDescent="0.2">
      <c r="A32" s="292"/>
      <c r="B32" s="129" t="str">
        <f>Sheet1!$K$26</f>
        <v>South East</v>
      </c>
      <c r="C32" s="85"/>
      <c r="D32" s="130">
        <f>IF(Year1_SouthEast Year1_Adoption_PFA="","",Year1_SouthEast Year1_Adoption_PFA)</f>
        <v>410</v>
      </c>
      <c r="E32" s="130">
        <f>IF(Year2_SouthEast Year2_Adoption_PFA="","",Year2_SouthEast Year2_Adoption_PFA)</f>
        <v>380</v>
      </c>
      <c r="F32" s="130">
        <f>IF(Year3_SouthEast Year3_Adoption_PFA="","",Year3_SouthEast Year3_Adoption_PFA)</f>
        <v>340</v>
      </c>
      <c r="G32" s="130">
        <f>IF(Year4_SouthEast Year4_Adoption_PFA="","",Year4_SouthEast Year4_Adoption_PFA)</f>
        <v>280</v>
      </c>
      <c r="H32" s="131">
        <f>IF(Year5_SouthEast Year5_Adoption_PFA="","",Year5_SouthEast Year5_Adoption_PFA)</f>
        <v>250</v>
      </c>
      <c r="I32" s="862">
        <f t="shared" si="7"/>
        <v>-7.7138730825838428E-2</v>
      </c>
      <c r="J32" s="863">
        <f t="shared" si="0"/>
        <v>-7.7138730825838428E-2</v>
      </c>
      <c r="K32" s="96"/>
      <c r="L32" s="132">
        <f>IF(ISNUMBER(D32),D32/AA32*10000,NA())</f>
        <v>2.3352508970780885</v>
      </c>
      <c r="M32" s="132">
        <f>IF(ISNUMBER(E32),E32/AB32*10000,NA())</f>
        <v>2.2141941498659832</v>
      </c>
      <c r="N32" s="132">
        <f>IF(ISNUMBER(F32),F32/AC32*10000,NA())</f>
        <v>2.0359281437125749</v>
      </c>
      <c r="O32" s="132">
        <f>IF(ISNUMBER(G32),G32/AD32*10000,NA())</f>
        <v>1.7484700886724116</v>
      </c>
      <c r="P32" s="133">
        <f>IF(ISNUMBER(H32),H32/AE32*10000,NA())</f>
        <v>1.6872511304582574</v>
      </c>
      <c r="Q32" s="99">
        <f t="shared" si="8"/>
        <v>1.6872511304582574</v>
      </c>
      <c r="R32" s="931" t="str">
        <f t="shared" si="1"/>
        <v>--</v>
      </c>
      <c r="S32" s="70"/>
      <c r="T32" s="753">
        <f>Z32/Y32*100</f>
        <v>13.023146175906508</v>
      </c>
      <c r="U32" s="1069"/>
      <c r="V32" s="139"/>
      <c r="W32" s="152"/>
      <c r="X32" s="1099" t="str">
        <f t="shared" si="2"/>
        <v>South East</v>
      </c>
      <c r="Y32" s="1097">
        <f>SUM(Y24:Y25,Y10:Y22,Y28:Y31)</f>
        <v>1282147</v>
      </c>
      <c r="Z32" s="1098">
        <f>SUM(Z24:Z25,Z10:Z22,Z28:Z31)</f>
        <v>166975.87800000003</v>
      </c>
      <c r="AA32" s="1105">
        <f t="shared" ref="AA32:AD32" si="12">SUM(AA10:AA22,AA24:AA25,AA28:AA31)</f>
        <v>1755700</v>
      </c>
      <c r="AB32" s="205">
        <f t="shared" si="12"/>
        <v>1716200</v>
      </c>
      <c r="AC32" s="205">
        <f t="shared" si="12"/>
        <v>1670000</v>
      </c>
      <c r="AD32" s="205">
        <f t="shared" si="12"/>
        <v>1601400</v>
      </c>
      <c r="AE32" s="1106">
        <f>SUM(AE10:AE22,AE24:AE25,AE28:AE31)</f>
        <v>1481700</v>
      </c>
      <c r="AF32" s="202"/>
      <c r="AG32" s="202"/>
      <c r="AH32" s="190"/>
      <c r="AI32" s="190"/>
      <c r="AJ32" s="190"/>
      <c r="AK32" s="202"/>
      <c r="AL32" s="202"/>
      <c r="AM32" s="202"/>
      <c r="AN32" s="160"/>
      <c r="AO32" s="1025">
        <f t="shared" ref="AO32:AR33" si="13">IF(ISERROR((M32-L32)/L32),"x",(M32-L32)/L32)</f>
        <v>-5.1838861239095944E-2</v>
      </c>
      <c r="AP32" s="1025">
        <f t="shared" si="13"/>
        <v>-8.0510557831705062E-2</v>
      </c>
      <c r="AQ32" s="1025">
        <f t="shared" si="13"/>
        <v>-0.1411926329167861</v>
      </c>
      <c r="AR32" s="1025">
        <f t="shared" si="13"/>
        <v>-3.5012871315766643E-2</v>
      </c>
      <c r="AS32" s="853">
        <f>AVERAGE(AO32:AR32)</f>
        <v>-7.7138730825838428E-2</v>
      </c>
    </row>
    <row r="33" spans="1:68" s="87" customFormat="1" ht="12.75" x14ac:dyDescent="0.2">
      <c r="A33" s="292"/>
      <c r="B33" s="329" t="str">
        <f>Sheet1!$K$27</f>
        <v>England</v>
      </c>
      <c r="C33" s="85"/>
      <c r="D33" s="330">
        <f>IF(Year1_England Year1_Adoption_PFA="","",Year1_England Year1_Adoption_PFA)</f>
        <v>2940</v>
      </c>
      <c r="E33" s="330">
        <f>IF(Year2_England Year2_Adoption_PFA="","",Year2_England Year2_Adoption_PFA)</f>
        <v>2520</v>
      </c>
      <c r="F33" s="330">
        <f>IF(Year3_England Year3_Adoption_PFA="","",Year3_England Year3_Adoption_PFA)</f>
        <v>2230</v>
      </c>
      <c r="G33" s="330">
        <f>IF(Year4_England Year4_Adoption_PFA="","",Year4_England Year4_Adoption_PFA)</f>
        <v>2190</v>
      </c>
      <c r="H33" s="331">
        <f>IF(Year5_England Year5_Adoption_PFA="","",Year5_England Year5_Adoption_PFA)</f>
        <v>2060</v>
      </c>
      <c r="I33" s="358">
        <f t="shared" si="7"/>
        <v>-9.0433086018480754E-2</v>
      </c>
      <c r="J33" s="863">
        <f t="shared" si="0"/>
        <v>-9.0433086018480754E-2</v>
      </c>
      <c r="K33" s="96"/>
      <c r="L33" s="332">
        <f>IF(ISNUMBER(D33),D33/Population!D33*10000,NA())</f>
        <v>2.5175759340292343</v>
      </c>
      <c r="M33" s="332">
        <f>IF(ISNUMBER(E33),E33/Population!E33*10000,NA())</f>
        <v>2.1382569811544894</v>
      </c>
      <c r="N33" s="332">
        <f>IF(ISNUMBER(F33),F33/Population!F33*10000,NA())</f>
        <v>1.8791606977332098</v>
      </c>
      <c r="O33" s="332">
        <f>IF(ISNUMBER(G33),G33/Population!G33*10000,NA())</f>
        <v>1.8319308048784566</v>
      </c>
      <c r="P33" s="754">
        <f>IF(ISNUMBER(H33),H33/Population!H33*10000,NA())</f>
        <v>1.7132971822083238</v>
      </c>
      <c r="Q33" s="1513">
        <f t="shared" si="8"/>
        <v>1.7132971822083238</v>
      </c>
      <c r="R33" s="932" t="str">
        <f t="shared" si="1"/>
        <v>--</v>
      </c>
      <c r="S33" s="70"/>
      <c r="T33" s="754">
        <f>IDACI!C32</f>
        <v>17.084413405029373</v>
      </c>
      <c r="U33" s="1069"/>
      <c r="V33" s="139"/>
      <c r="W33" s="152"/>
      <c r="X33" s="1099" t="str">
        <f t="shared" si="2"/>
        <v>England</v>
      </c>
      <c r="Y33" s="44">
        <f>IF(ISNUMBER(H33),IDACI!D32,0)</f>
        <v>10405050</v>
      </c>
      <c r="Z33" s="44">
        <f>IF(ISNUMBER(H33),IDACI!E32,0)</f>
        <v>1777641.7570000088</v>
      </c>
      <c r="AA33" s="1105">
        <f>IF(D33&gt;0,Population!D33,"")</f>
        <v>11677900</v>
      </c>
      <c r="AB33" s="205">
        <f>IF(E33&gt;0,Population!E33,"")</f>
        <v>11785300</v>
      </c>
      <c r="AC33" s="205">
        <f>IF(F33&gt;0,Population!F33,"")</f>
        <v>11867000</v>
      </c>
      <c r="AD33" s="205">
        <f>IF(G33&gt;0,Population!G33,"")</f>
        <v>11954600</v>
      </c>
      <c r="AE33" s="1106">
        <f>IF(H33&gt;0,Population!H33,"")</f>
        <v>12023600</v>
      </c>
      <c r="AF33" s="202"/>
      <c r="AG33" s="202"/>
      <c r="AH33" s="190"/>
      <c r="AI33" s="190"/>
      <c r="AJ33" s="190"/>
      <c r="AK33" s="202"/>
      <c r="AL33" s="202"/>
      <c r="AM33" s="202"/>
      <c r="AN33" s="160"/>
      <c r="AO33" s="1025">
        <f t="shared" si="13"/>
        <v>-0.15066832652299267</v>
      </c>
      <c r="AP33" s="1025">
        <f t="shared" si="13"/>
        <v>-0.12117172337320657</v>
      </c>
      <c r="AQ33" s="1025">
        <f t="shared" si="13"/>
        <v>-2.5133503968939746E-2</v>
      </c>
      <c r="AR33" s="1025">
        <f t="shared" si="13"/>
        <v>-6.4758790208784001E-2</v>
      </c>
      <c r="AS33" s="853">
        <f>AVERAGE(AO33:AR33)</f>
        <v>-9.0433086018480754E-2</v>
      </c>
    </row>
    <row r="34" spans="1:68" s="81" customFormat="1" ht="13.5" customHeight="1" x14ac:dyDescent="0.2">
      <c r="A34" s="278"/>
      <c r="B34" s="123" t="s">
        <v>90</v>
      </c>
      <c r="C34" s="63"/>
      <c r="E34" s="63"/>
      <c r="G34" s="63"/>
      <c r="H34" s="63"/>
      <c r="I34" s="63"/>
      <c r="J34" s="63"/>
      <c r="K34" s="63"/>
      <c r="L34" s="63"/>
      <c r="M34" s="63"/>
      <c r="N34" s="63"/>
      <c r="O34" s="63"/>
      <c r="P34" s="63"/>
      <c r="Q34" s="63"/>
      <c r="R34" s="136" t="s">
        <v>108</v>
      </c>
      <c r="T34" s="63"/>
      <c r="U34" s="1069"/>
      <c r="V34" s="137"/>
      <c r="W34" s="150"/>
      <c r="X34" s="80"/>
      <c r="Y34" s="184"/>
      <c r="Z34" s="184"/>
      <c r="AA34" s="184"/>
      <c r="AB34" s="184"/>
      <c r="AC34" s="184"/>
      <c r="AD34" s="184"/>
      <c r="AE34" s="184"/>
      <c r="AF34" s="184"/>
      <c r="AG34" s="184"/>
      <c r="AK34" s="184"/>
      <c r="AL34" s="184"/>
      <c r="AM34" s="184"/>
      <c r="AN34" s="161"/>
    </row>
    <row r="35" spans="1:68" s="81" customFormat="1" ht="9" customHeight="1" x14ac:dyDescent="0.2">
      <c r="A35" s="278"/>
      <c r="B35" s="1951"/>
      <c r="C35" s="1952"/>
      <c r="D35" s="1952"/>
      <c r="E35" s="1952"/>
      <c r="F35" s="1952"/>
      <c r="G35" s="1952"/>
      <c r="H35" s="1952"/>
      <c r="I35" s="1952"/>
      <c r="J35" s="1952"/>
      <c r="K35" s="1952"/>
      <c r="L35" s="1952"/>
      <c r="M35" s="1952"/>
      <c r="N35" s="1952"/>
      <c r="O35" s="1952"/>
      <c r="P35" s="1952"/>
      <c r="Q35" s="1952"/>
      <c r="R35" s="1952"/>
      <c r="S35" s="1952"/>
      <c r="T35" s="1953"/>
      <c r="U35" s="1069"/>
      <c r="V35" s="137"/>
      <c r="W35" s="150"/>
      <c r="X35" s="80"/>
      <c r="Y35" s="184"/>
      <c r="Z35" s="184"/>
      <c r="AA35" s="184"/>
      <c r="AB35" s="184"/>
      <c r="AC35" s="184"/>
      <c r="AD35" s="184"/>
      <c r="AE35" s="184"/>
      <c r="AF35" s="184"/>
      <c r="AG35" s="184"/>
      <c r="AK35" s="184"/>
      <c r="AL35" s="184"/>
      <c r="AM35" s="184"/>
      <c r="AN35" s="157"/>
      <c r="AO35" s="74"/>
      <c r="AP35" s="74"/>
      <c r="AQ35" s="74"/>
      <c r="AR35" s="74"/>
      <c r="AS35" s="74"/>
      <c r="AT35" s="74"/>
      <c r="AU35" s="74"/>
    </row>
    <row r="36" spans="1:68" s="81" customFormat="1" ht="18" customHeight="1" x14ac:dyDescent="0.2">
      <c r="A36" s="278"/>
      <c r="B36" s="1954"/>
      <c r="C36" s="1955"/>
      <c r="D36" s="1955"/>
      <c r="E36" s="1955"/>
      <c r="F36" s="1955"/>
      <c r="G36" s="1955"/>
      <c r="H36" s="1955"/>
      <c r="I36" s="1955"/>
      <c r="J36" s="1955"/>
      <c r="K36" s="1955"/>
      <c r="L36" s="1955"/>
      <c r="M36" s="1955"/>
      <c r="N36" s="1955"/>
      <c r="O36" s="1955"/>
      <c r="P36" s="1955"/>
      <c r="Q36" s="1955"/>
      <c r="R36" s="1955"/>
      <c r="S36" s="1955"/>
      <c r="T36" s="1956"/>
      <c r="U36" s="1069"/>
      <c r="V36" s="137"/>
      <c r="W36" s="150"/>
      <c r="X36" s="80"/>
      <c r="Y36" s="184"/>
      <c r="Z36" s="184"/>
      <c r="AA36" s="184"/>
      <c r="AB36" s="184"/>
      <c r="AC36" s="184"/>
      <c r="AD36" s="184"/>
      <c r="AE36" s="184"/>
      <c r="AF36" s="184"/>
      <c r="AG36" s="184"/>
      <c r="AK36" s="184"/>
      <c r="AL36" s="184"/>
      <c r="AM36" s="184"/>
      <c r="AN36" s="157"/>
      <c r="AO36" s="74"/>
      <c r="AP36" s="74"/>
      <c r="AQ36" s="74"/>
      <c r="AR36" s="74"/>
      <c r="AS36" s="74"/>
      <c r="AT36" s="74"/>
      <c r="AU36" s="74"/>
    </row>
    <row r="37" spans="1:68" s="81" customFormat="1" ht="7.5" customHeight="1" x14ac:dyDescent="0.2">
      <c r="A37" s="278"/>
      <c r="B37" s="17"/>
      <c r="C37" s="17"/>
      <c r="D37" s="16"/>
      <c r="E37" s="16"/>
      <c r="F37" s="16"/>
      <c r="G37" s="16"/>
      <c r="H37" s="16"/>
      <c r="I37" s="16"/>
      <c r="J37" s="16"/>
      <c r="K37" s="12"/>
      <c r="L37" s="18"/>
      <c r="M37" s="18"/>
      <c r="N37" s="18"/>
      <c r="O37" s="18"/>
      <c r="P37" s="18"/>
      <c r="Q37" s="18"/>
      <c r="R37" s="18"/>
      <c r="S37" s="18"/>
      <c r="T37" s="18"/>
      <c r="U37" s="1070"/>
      <c r="V37" s="137"/>
      <c r="W37" s="150"/>
      <c r="Y37" s="190"/>
      <c r="AK37" s="184"/>
      <c r="AL37" s="184"/>
      <c r="AM37" s="184"/>
      <c r="AN37" s="157"/>
      <c r="AO37" s="74"/>
      <c r="AP37" s="74"/>
      <c r="AQ37" s="74"/>
      <c r="AR37" s="74"/>
      <c r="AS37" s="74"/>
      <c r="AT37" s="74"/>
      <c r="AU37" s="74"/>
    </row>
    <row r="38" spans="1:68" s="81" customFormat="1" ht="15" customHeight="1" x14ac:dyDescent="0.2">
      <c r="A38" s="1775"/>
      <c r="B38" s="1760"/>
      <c r="C38" s="1760"/>
      <c r="D38" s="1760"/>
      <c r="E38" s="1760"/>
      <c r="F38" s="1760"/>
      <c r="G38" s="1760"/>
      <c r="H38" s="1760"/>
      <c r="I38" s="1760"/>
      <c r="J38" s="1760"/>
      <c r="K38" s="1760"/>
      <c r="L38" s="1760"/>
      <c r="M38" s="1760"/>
      <c r="N38" s="1760"/>
      <c r="O38" s="1760"/>
      <c r="P38" s="1760"/>
      <c r="Q38" s="1760"/>
      <c r="R38" s="1760"/>
      <c r="S38" s="1760"/>
      <c r="T38" s="1760"/>
      <c r="U38" s="1761"/>
      <c r="V38" s="137"/>
      <c r="W38" s="150"/>
      <c r="Y38" s="190"/>
      <c r="AN38" s="161"/>
      <c r="AP38" s="81">
        <v>11</v>
      </c>
      <c r="AQ38" s="81">
        <v>12</v>
      </c>
      <c r="AR38" s="81">
        <v>13</v>
      </c>
      <c r="AS38" s="81">
        <v>14</v>
      </c>
      <c r="AT38" s="81">
        <v>15</v>
      </c>
      <c r="AU38" s="81">
        <v>19</v>
      </c>
      <c r="AV38" s="81">
        <v>3</v>
      </c>
      <c r="AW38" s="24">
        <v>4</v>
      </c>
      <c r="AX38" s="24">
        <v>5</v>
      </c>
      <c r="AY38" s="24">
        <v>6</v>
      </c>
      <c r="AZ38" s="23">
        <v>7</v>
      </c>
      <c r="BA38" s="81">
        <v>3</v>
      </c>
      <c r="BB38" s="24">
        <v>4</v>
      </c>
      <c r="BC38" s="24">
        <v>5</v>
      </c>
      <c r="BD38" s="24">
        <v>6</v>
      </c>
      <c r="BE38" s="23">
        <v>7</v>
      </c>
    </row>
    <row r="39" spans="1:68" s="81" customFormat="1" ht="11.25" customHeight="1" x14ac:dyDescent="0.2">
      <c r="A39" s="1776" t="str">
        <f>Home!$A$39</f>
        <v xml:space="preserve"> </v>
      </c>
      <c r="B39" s="1768"/>
      <c r="C39" s="1768"/>
      <c r="D39" s="1768"/>
      <c r="E39" s="1768"/>
      <c r="F39" s="1768"/>
      <c r="G39" s="1768"/>
      <c r="H39" s="1768"/>
      <c r="I39" s="1768"/>
      <c r="J39" s="1768"/>
      <c r="K39" s="1768"/>
      <c r="L39" s="1768"/>
      <c r="M39" s="1768"/>
      <c r="N39" s="1768"/>
      <c r="O39" s="1768"/>
      <c r="P39" s="1768"/>
      <c r="Q39" s="1768"/>
      <c r="R39" s="1768"/>
      <c r="S39" s="1768"/>
      <c r="T39" s="1768"/>
      <c r="U39" s="1848"/>
      <c r="V39" s="137"/>
      <c r="W39" s="150"/>
      <c r="Y39" s="190"/>
      <c r="AK39" s="184"/>
      <c r="AL39" s="184"/>
      <c r="AM39" s="184"/>
      <c r="AN39" s="160"/>
      <c r="AO39" s="87"/>
      <c r="AP39" s="1793" t="s">
        <v>89</v>
      </c>
      <c r="AQ39" s="1794"/>
      <c r="AR39" s="1794"/>
      <c r="AS39" s="1794"/>
      <c r="AT39" s="1794"/>
      <c r="AU39" s="1907" t="s">
        <v>1213</v>
      </c>
      <c r="AV39" s="1958" t="s">
        <v>173</v>
      </c>
      <c r="AW39" s="1959"/>
      <c r="AX39" s="1959"/>
      <c r="AY39" s="1959"/>
      <c r="AZ39" s="1960"/>
      <c r="BA39" s="1958" t="s">
        <v>174</v>
      </c>
      <c r="BB39" s="1959"/>
      <c r="BC39" s="1959"/>
      <c r="BD39" s="1959"/>
      <c r="BE39" s="1960"/>
    </row>
    <row r="40" spans="1:68" s="81" customFormat="1" ht="11.25" customHeight="1" x14ac:dyDescent="0.2">
      <c r="A40" s="112"/>
      <c r="B40" s="113"/>
      <c r="C40" s="113"/>
      <c r="D40" s="113"/>
      <c r="E40" s="113"/>
      <c r="F40" s="113"/>
      <c r="G40" s="113"/>
      <c r="H40" s="113"/>
      <c r="I40" s="113"/>
      <c r="J40" s="113"/>
      <c r="K40" s="114"/>
      <c r="L40" s="113"/>
      <c r="M40" s="113"/>
      <c r="N40" s="113"/>
      <c r="O40" s="113"/>
      <c r="P40" s="113"/>
      <c r="Q40" s="113"/>
      <c r="R40" s="113"/>
      <c r="S40" s="113"/>
      <c r="T40" s="113"/>
      <c r="U40" s="115"/>
      <c r="V40" s="137"/>
      <c r="W40" s="149" t="s">
        <v>101</v>
      </c>
      <c r="X40" s="197"/>
      <c r="Y40" s="197"/>
      <c r="Z40" s="197"/>
      <c r="AA40" s="197"/>
      <c r="AB40" s="197"/>
      <c r="AK40" s="184"/>
      <c r="AL40" s="184"/>
      <c r="AM40" s="184"/>
      <c r="AN40" s="160"/>
      <c r="AO40" s="87"/>
      <c r="AP40" s="489" t="str">
        <f>Sheet1!$D$27</f>
        <v>2015-16</v>
      </c>
      <c r="AQ40" s="489" t="str">
        <f>Sheet1!$E$27</f>
        <v>2016-17</v>
      </c>
      <c r="AR40" s="489" t="str">
        <f>Sheet1!$F$27</f>
        <v>2017-18</v>
      </c>
      <c r="AS40" s="489" t="str">
        <f>Sheet1!$G$27</f>
        <v>2018-19</v>
      </c>
      <c r="AT40" s="1015" t="str">
        <f>Sheet1!$H$27</f>
        <v>2019-20</v>
      </c>
      <c r="AU40" s="1908"/>
      <c r="AV40" s="1168" t="str">
        <f>Sheet1!$D$27</f>
        <v>2015-16</v>
      </c>
      <c r="AW40" s="1168" t="str">
        <f>Sheet1!$E$27</f>
        <v>2016-17</v>
      </c>
      <c r="AX40" s="1168" t="str">
        <f>Sheet1!$F$27</f>
        <v>2017-18</v>
      </c>
      <c r="AY40" s="1168" t="str">
        <f>Sheet1!$G$27</f>
        <v>2018-19</v>
      </c>
      <c r="AZ40" s="1168" t="str">
        <f>Sheet1!$H$27</f>
        <v>2019-20</v>
      </c>
      <c r="BA40" s="1168" t="str">
        <f>Sheet1!$D$27</f>
        <v>2015-16</v>
      </c>
      <c r="BB40" s="1168" t="str">
        <f>Sheet1!$E$27</f>
        <v>2016-17</v>
      </c>
      <c r="BC40" s="1168" t="str">
        <f>Sheet1!$F$27</f>
        <v>2017-18</v>
      </c>
      <c r="BD40" s="1168" t="str">
        <f>Sheet1!$G$27</f>
        <v>2018-19</v>
      </c>
      <c r="BE40" s="1168" t="str">
        <f>Sheet1!$H$27</f>
        <v>2019-20</v>
      </c>
    </row>
    <row r="41" spans="1:68" s="81" customFormat="1" ht="3.75" customHeight="1" x14ac:dyDescent="0.25">
      <c r="A41" s="462"/>
      <c r="B41" s="9"/>
      <c r="C41" s="9"/>
      <c r="D41" s="9"/>
      <c r="E41" s="9"/>
      <c r="F41" s="9"/>
      <c r="G41" s="9"/>
      <c r="H41" s="9"/>
      <c r="I41" s="9"/>
      <c r="J41" s="9"/>
      <c r="K41" s="12"/>
      <c r="L41" s="9"/>
      <c r="M41" s="9"/>
      <c r="N41" s="9"/>
      <c r="O41" s="9"/>
      <c r="P41" s="9"/>
      <c r="Q41" s="9"/>
      <c r="R41" s="9"/>
      <c r="S41" s="9"/>
      <c r="T41" s="9"/>
      <c r="U41" s="117"/>
      <c r="V41" s="137"/>
      <c r="W41" s="294"/>
      <c r="AC41" s="1320" t="s">
        <v>977</v>
      </c>
      <c r="AN41" s="160"/>
      <c r="AO41" s="87"/>
      <c r="AP41" s="489" t="e">
        <f>Sheet1!$D$28</f>
        <v>#N/A</v>
      </c>
      <c r="AQ41" s="489" t="e">
        <f>Sheet1!$E$28</f>
        <v>#N/A</v>
      </c>
      <c r="AR41" s="489" t="e">
        <f>Sheet1!$F$28</f>
        <v>#N/A</v>
      </c>
      <c r="AS41" s="489" t="e">
        <f>Sheet1!$G$28</f>
        <v>#N/A</v>
      </c>
      <c r="AT41" s="1015" t="e">
        <f>Sheet1!$H$28</f>
        <v>#N/A</v>
      </c>
      <c r="AU41" s="1909"/>
      <c r="AV41" s="1168" t="e">
        <f>Sheet1!$D$28</f>
        <v>#N/A</v>
      </c>
      <c r="AW41" s="1168" t="e">
        <f>Sheet1!$E$28</f>
        <v>#N/A</v>
      </c>
      <c r="AX41" s="1168" t="e">
        <f>Sheet1!$F$28</f>
        <v>#N/A</v>
      </c>
      <c r="AY41" s="1168" t="e">
        <f>Sheet1!$G$28</f>
        <v>#N/A</v>
      </c>
      <c r="AZ41" s="1168" t="e">
        <f>Sheet1!$H$28</f>
        <v>#N/A</v>
      </c>
      <c r="BA41" s="1168" t="e">
        <f>Sheet1!$D$28</f>
        <v>#N/A</v>
      </c>
      <c r="BB41" s="1168" t="e">
        <f>Sheet1!$E$28</f>
        <v>#N/A</v>
      </c>
      <c r="BC41" s="1168" t="e">
        <f>Sheet1!$F$28</f>
        <v>#N/A</v>
      </c>
      <c r="BD41" s="1168" t="e">
        <f>Sheet1!$G$28</f>
        <v>#N/A</v>
      </c>
      <c r="BE41" s="1168" t="e">
        <f>Sheet1!$H$28</f>
        <v>#N/A</v>
      </c>
    </row>
    <row r="42" spans="1:68" s="81" customFormat="1" ht="14.25" customHeight="1" x14ac:dyDescent="0.2">
      <c r="A42" s="278"/>
      <c r="B42" s="9"/>
      <c r="C42" s="9"/>
      <c r="D42" s="9"/>
      <c r="E42" s="9"/>
      <c r="F42" s="9"/>
      <c r="G42" s="9"/>
      <c r="H42" s="9"/>
      <c r="I42" s="9"/>
      <c r="J42" s="9"/>
      <c r="K42" s="12"/>
      <c r="L42" s="9"/>
      <c r="M42" s="9"/>
      <c r="N42" s="9"/>
      <c r="O42" s="9"/>
      <c r="P42" s="9"/>
      <c r="Q42" s="9"/>
      <c r="R42" s="9"/>
      <c r="S42" s="9"/>
      <c r="T42" s="9"/>
      <c r="U42" s="117"/>
      <c r="V42" s="137"/>
      <c r="W42" s="294"/>
      <c r="X42" s="43" t="s">
        <v>72</v>
      </c>
      <c r="Y42" s="43" t="s">
        <v>70</v>
      </c>
      <c r="Z42" s="43" t="s">
        <v>71</v>
      </c>
      <c r="AA42" s="1194">
        <v>5</v>
      </c>
      <c r="AB42" s="216">
        <f>(AA42*Y43)+Z43</f>
        <v>0.46724181010521504</v>
      </c>
      <c r="AC42" s="206">
        <f>ROUND(ChartLabels!$AA21,3)</f>
        <v>0.38700000000000001</v>
      </c>
      <c r="AK42" s="585" t="b">
        <v>1</v>
      </c>
      <c r="AL42" s="585"/>
      <c r="AM42" s="585"/>
      <c r="AN42" s="160" t="s">
        <v>0</v>
      </c>
      <c r="AO42" s="1178" t="str">
        <f t="shared" ref="AO42:AO65" si="14">IF(AK42=TRUE,B10,"")</f>
        <v>Bracknell Forest</v>
      </c>
      <c r="AP42" s="1173">
        <f t="shared" ref="AP42:AT51" si="15">VLOOKUP($AO42,$B$10:$P$33,AP$38,FALSE)</f>
        <v>1.773049645390071</v>
      </c>
      <c r="AQ42" s="1174" t="e">
        <f t="shared" si="15"/>
        <v>#N/A</v>
      </c>
      <c r="AR42" s="1174" t="e">
        <f t="shared" si="15"/>
        <v>#N/A</v>
      </c>
      <c r="AS42" s="1174" t="e">
        <f t="shared" si="15"/>
        <v>#N/A</v>
      </c>
      <c r="AT42" s="1174">
        <f t="shared" si="15"/>
        <v>0</v>
      </c>
      <c r="AU42" s="1181">
        <f>VLOOKUP(AO42,$B$10:$U$33,AU$38,FALSE)</f>
        <v>8.9</v>
      </c>
      <c r="AV42" s="1152" t="e">
        <f>VLOOKUP($AO42,#REF!,AV$38,FALSE)</f>
        <v>#REF!</v>
      </c>
      <c r="AW42" s="1137" t="e">
        <f>VLOOKUP($AO42,#REF!,AW$38,FALSE)</f>
        <v>#REF!</v>
      </c>
      <c r="AX42" s="1137" t="e">
        <f>VLOOKUP($AO42,#REF!,AX$38,FALSE)</f>
        <v>#REF!</v>
      </c>
      <c r="AY42" s="1137" t="e">
        <f>VLOOKUP($AO42,#REF!,AY$38,FALSE)</f>
        <v>#REF!</v>
      </c>
      <c r="AZ42" s="1149" t="e">
        <f>VLOOKUP($AO42,#REF!,AZ$38,FALSE)</f>
        <v>#REF!</v>
      </c>
      <c r="BA42" s="1152">
        <f>VLOOKUP($AO42,$B$149:$H$172,BA$38,FALSE)</f>
        <v>0.13235294117647059</v>
      </c>
      <c r="BB42" s="1137" t="e">
        <f>VLOOKUP($AO42,$B$149:$H$172,BB$38,FALSE)</f>
        <v>#N/A</v>
      </c>
      <c r="BC42" s="1137" t="e">
        <f>VLOOKUP($AO42,$B$149:$H$172,BC$38,FALSE)</f>
        <v>#N/A</v>
      </c>
      <c r="BD42" s="1137">
        <f>VLOOKUP($AO42,$B$149:$H$172,BD$38,FALSE)</f>
        <v>0.1076923076923077</v>
      </c>
      <c r="BE42" s="1149">
        <f>VLOOKUP($AO42,$B$149:$H$172,BE$38,FALSE)</f>
        <v>9.6774193548387094E-2</v>
      </c>
    </row>
    <row r="43" spans="1:68" s="81" customFormat="1" ht="14.25" customHeight="1" x14ac:dyDescent="0.2">
      <c r="A43" s="278"/>
      <c r="B43" s="9"/>
      <c r="C43" s="9"/>
      <c r="D43" s="9"/>
      <c r="E43" s="9"/>
      <c r="F43" s="9"/>
      <c r="G43" s="9"/>
      <c r="H43" s="9"/>
      <c r="I43" s="9"/>
      <c r="J43" s="9"/>
      <c r="K43" s="12"/>
      <c r="L43" s="9"/>
      <c r="M43" s="9"/>
      <c r="N43" s="9"/>
      <c r="O43" s="9"/>
      <c r="P43" s="9"/>
      <c r="Q43" s="9"/>
      <c r="R43" s="9"/>
      <c r="S43" s="9"/>
      <c r="T43" s="9"/>
      <c r="U43" s="117"/>
      <c r="V43" s="137"/>
      <c r="W43" s="294"/>
      <c r="X43" s="212" t="str">
        <f>"Y= "&amp;Y43&amp;"x + "&amp;Z43</f>
        <v>Y= 0.121801290331688x + -0.141764641553227</v>
      </c>
      <c r="Y43" s="743">
        <f>ChartLabels!$Y21</f>
        <v>0.12180129033168849</v>
      </c>
      <c r="Z43" s="743">
        <f>ChartLabels!$Z21</f>
        <v>-0.14176464155322743</v>
      </c>
      <c r="AA43" s="215">
        <v>35</v>
      </c>
      <c r="AB43" s="216">
        <f>(AA43*Y43)+Z43</f>
        <v>4.1212805200558691</v>
      </c>
      <c r="AC43" s="1319" t="str">
        <f>AC41&amp;" = "&amp;AC42</f>
        <v>r² = 0.387</v>
      </c>
      <c r="AK43" s="585" t="b">
        <v>1</v>
      </c>
      <c r="AL43" s="585"/>
      <c r="AM43" s="585"/>
      <c r="AN43" s="160" t="s">
        <v>31</v>
      </c>
      <c r="AO43" s="1179" t="str">
        <f t="shared" si="14"/>
        <v>Brighton &amp; Hove</v>
      </c>
      <c r="AP43" s="1175">
        <f t="shared" si="15"/>
        <v>2.9296875</v>
      </c>
      <c r="AQ43" s="1024">
        <f t="shared" si="15"/>
        <v>6.0428849902534116</v>
      </c>
      <c r="AR43" s="1024">
        <f t="shared" si="15"/>
        <v>3.7254901960784315</v>
      </c>
      <c r="AS43" s="1024">
        <f t="shared" si="15"/>
        <v>1.9607843137254901</v>
      </c>
      <c r="AT43" s="1024">
        <f t="shared" si="15"/>
        <v>1.5904572564612327</v>
      </c>
      <c r="AU43" s="1156">
        <f t="shared" ref="AU43:AU65" si="16">VLOOKUP(AO43,$B$10:$U$33,AU$38,FALSE)</f>
        <v>15.299999999999999</v>
      </c>
      <c r="AV43" s="1152" t="e">
        <f>VLOOKUP($AO43,#REF!,AV$38,FALSE)</f>
        <v>#REF!</v>
      </c>
      <c r="AW43" s="1137" t="e">
        <f>VLOOKUP($AO43,#REF!,AW$38,FALSE)</f>
        <v>#REF!</v>
      </c>
      <c r="AX43" s="1137" t="e">
        <f>VLOOKUP($AO43,#REF!,AX$38,FALSE)</f>
        <v>#REF!</v>
      </c>
      <c r="AY43" s="1137" t="e">
        <f>VLOOKUP($AO43,#REF!,AY$38,FALSE)</f>
        <v>#REF!</v>
      </c>
      <c r="AZ43" s="1149" t="e">
        <f>VLOOKUP($AO43,#REF!,AZ$38,FALSE)</f>
        <v>#REF!</v>
      </c>
      <c r="BA43" s="1152">
        <f>VLOOKUP($AO43,$B$149:$H$172,BA$38,FALSE)</f>
        <v>0.15918367346938775</v>
      </c>
      <c r="BB43" s="1137">
        <f>VLOOKUP($AO43,$B$149:$H$172,BB$38,FALSE)</f>
        <v>0.12849162011173185</v>
      </c>
      <c r="BC43" s="1137">
        <f>VLOOKUP($AO43,$B$149:$H$172,BC$38,FALSE)</f>
        <v>0.18181818181818182</v>
      </c>
      <c r="BD43" s="1137">
        <f>VLOOKUP($AO43,$B$149:$H$172,BD$38,FALSE)</f>
        <v>0.18181818181818182</v>
      </c>
      <c r="BE43" s="1149">
        <f>VLOOKUP($AO43,$B$149:$H$172,BE$38,FALSE)</f>
        <v>0.10112359550561797</v>
      </c>
    </row>
    <row r="44" spans="1:68" ht="14.25" customHeight="1" x14ac:dyDescent="0.2">
      <c r="A44" s="278"/>
      <c r="B44" s="9"/>
      <c r="C44" s="9"/>
      <c r="D44" s="9"/>
      <c r="E44" s="9"/>
      <c r="F44" s="9"/>
      <c r="G44" s="9"/>
      <c r="H44" s="9"/>
      <c r="I44" s="9"/>
      <c r="J44" s="9"/>
      <c r="K44" s="12"/>
      <c r="L44" s="9"/>
      <c r="M44" s="9"/>
      <c r="N44" s="9"/>
      <c r="O44" s="9"/>
      <c r="P44" s="9"/>
      <c r="Q44" s="9"/>
      <c r="R44" s="9"/>
      <c r="S44" s="9"/>
      <c r="T44" s="9"/>
      <c r="U44" s="117"/>
      <c r="V44" s="137"/>
      <c r="W44" s="294"/>
      <c r="X44" s="1159" t="str">
        <f>"National Trend "&amp;Sheet1!$B$8</f>
        <v>National Trend 2020</v>
      </c>
      <c r="Y44" s="1160" t="s">
        <v>70</v>
      </c>
      <c r="Z44" s="1159" t="s">
        <v>71</v>
      </c>
      <c r="AA44" s="1161">
        <v>7</v>
      </c>
      <c r="AB44" s="1162">
        <f>((AA44*Y45)+Z45)</f>
        <v>0</v>
      </c>
      <c r="AK44" s="585" t="b">
        <v>1</v>
      </c>
      <c r="AL44" s="585"/>
      <c r="AM44" s="585"/>
      <c r="AN44" s="160" t="s">
        <v>8</v>
      </c>
      <c r="AO44" s="1179" t="str">
        <f t="shared" si="14"/>
        <v>Buckinghamshire</v>
      </c>
      <c r="AP44" s="1175">
        <f t="shared" si="15"/>
        <v>2.0729684908789388</v>
      </c>
      <c r="AQ44" s="1024">
        <f t="shared" si="15"/>
        <v>1.1456628477905073</v>
      </c>
      <c r="AR44" s="1024">
        <f t="shared" si="15"/>
        <v>0.73111291632818842</v>
      </c>
      <c r="AS44" s="1024">
        <f t="shared" si="15"/>
        <v>1.4481094127111824</v>
      </c>
      <c r="AT44" s="1024">
        <f t="shared" si="15"/>
        <v>0.63643595863166258</v>
      </c>
      <c r="AU44" s="1156">
        <f t="shared" si="16"/>
        <v>8.5</v>
      </c>
      <c r="AV44" s="1152" t="e">
        <f>VLOOKUP($AO44,#REF!,AV$38,FALSE)</f>
        <v>#REF!</v>
      </c>
      <c r="AW44" s="1137" t="e">
        <f>VLOOKUP($AO44,#REF!,AW$38,FALSE)</f>
        <v>#REF!</v>
      </c>
      <c r="AX44" s="1137" t="e">
        <f>VLOOKUP($AO44,#REF!,AX$38,FALSE)</f>
        <v>#REF!</v>
      </c>
      <c r="AY44" s="1137" t="e">
        <f>VLOOKUP($AO44,#REF!,AY$38,FALSE)</f>
        <v>#REF!</v>
      </c>
      <c r="AZ44" s="1149" t="e">
        <f>VLOOKUP($AO44,#REF!,AZ$38,FALSE)</f>
        <v>#REF!</v>
      </c>
      <c r="BA44" s="1152">
        <f>VLOOKUP($AO44,$B$149:$H$172,BA$38,FALSE)</f>
        <v>0.16740088105726872</v>
      </c>
      <c r="BB44" s="1137">
        <f>VLOOKUP($AO44,$B$149:$H$172,BB$38,FALSE)</f>
        <v>0.17674418604651163</v>
      </c>
      <c r="BC44" s="1137">
        <f>VLOOKUP($AO44,$B$149:$H$172,BC$38,FALSE)</f>
        <v>0.12777777777777777</v>
      </c>
      <c r="BD44" s="1137">
        <f>VLOOKUP($AO44,$B$149:$H$172,BD$38,FALSE)</f>
        <v>0.10588235294117647</v>
      </c>
      <c r="BE44" s="1149">
        <f>VLOOKUP($AO44,$B$149:$H$172,BE$38,FALSE)</f>
        <v>9.7872340425531917E-2</v>
      </c>
      <c r="BF44" s="81"/>
      <c r="BG44" s="81"/>
      <c r="BH44" s="81"/>
      <c r="BI44" s="81"/>
      <c r="BJ44" s="81"/>
      <c r="BK44" s="81"/>
      <c r="BL44" s="81"/>
      <c r="BM44" s="81"/>
      <c r="BN44" s="81"/>
      <c r="BO44" s="81"/>
      <c r="BP44" s="81"/>
    </row>
    <row r="45" spans="1:68" ht="14.25" customHeight="1" x14ac:dyDescent="0.2">
      <c r="A45" s="278"/>
      <c r="B45" s="9"/>
      <c r="C45" s="9"/>
      <c r="D45" s="9"/>
      <c r="E45" s="9"/>
      <c r="F45" s="9"/>
      <c r="G45" s="9"/>
      <c r="H45" s="9"/>
      <c r="I45" s="9"/>
      <c r="J45" s="9"/>
      <c r="K45" s="12"/>
      <c r="L45" s="13"/>
      <c r="M45" s="13"/>
      <c r="N45" s="13"/>
      <c r="O45" s="13"/>
      <c r="P45" s="14"/>
      <c r="Q45" s="14"/>
      <c r="R45" s="14"/>
      <c r="S45" s="14"/>
      <c r="T45" s="14"/>
      <c r="U45" s="120"/>
      <c r="V45" s="137"/>
      <c r="W45" s="294"/>
      <c r="X45" s="1163" t="str">
        <f>"Y= "&amp;Y45&amp;"x + "&amp;Z45</f>
        <v xml:space="preserve">Y= x + </v>
      </c>
      <c r="Y45" s="1164"/>
      <c r="Z45" s="1165"/>
      <c r="AA45" s="1166">
        <v>25</v>
      </c>
      <c r="AB45" s="1167">
        <f>((AA45*Y45)+Z45)</f>
        <v>0</v>
      </c>
      <c r="AK45" s="585" t="b">
        <v>1</v>
      </c>
      <c r="AL45" s="585"/>
      <c r="AM45" s="585"/>
      <c r="AN45" s="160" t="s">
        <v>4</v>
      </c>
      <c r="AO45" s="1179" t="str">
        <f t="shared" si="14"/>
        <v>East Sussex</v>
      </c>
      <c r="AP45" s="1175">
        <f t="shared" si="15"/>
        <v>2.8328611898016995</v>
      </c>
      <c r="AQ45" s="1024">
        <f t="shared" si="15"/>
        <v>2.8328611898016995</v>
      </c>
      <c r="AR45" s="1024">
        <f t="shared" si="15"/>
        <v>2.4528301886792452</v>
      </c>
      <c r="AS45" s="1024" t="e">
        <f t="shared" si="15"/>
        <v>#N/A</v>
      </c>
      <c r="AT45" s="1024">
        <f t="shared" si="15"/>
        <v>2.8222013170272811</v>
      </c>
      <c r="AU45" s="1156">
        <f t="shared" si="16"/>
        <v>16.100000000000001</v>
      </c>
      <c r="AV45" s="1152" t="e">
        <f>VLOOKUP($AO45,#REF!,AV$38,FALSE)</f>
        <v>#REF!</v>
      </c>
      <c r="AW45" s="1137" t="e">
        <f>VLOOKUP($AO45,#REF!,AW$38,FALSE)</f>
        <v>#REF!</v>
      </c>
      <c r="AX45" s="1137" t="e">
        <f>VLOOKUP($AO45,#REF!,AX$38,FALSE)</f>
        <v>#REF!</v>
      </c>
      <c r="AY45" s="1137" t="e">
        <f>VLOOKUP($AO45,#REF!,AY$38,FALSE)</f>
        <v>#REF!</v>
      </c>
      <c r="AZ45" s="1149" t="e">
        <f>VLOOKUP($AO45,#REF!,AZ$38,FALSE)</f>
        <v>#REF!</v>
      </c>
      <c r="BA45" s="1152">
        <f>VLOOKUP($AO45,$B$149:$H$172,BA$38,FALSE)</f>
        <v>0.24479166666666666</v>
      </c>
      <c r="BB45" s="1137">
        <f>VLOOKUP($AO45,$B$149:$H$172,BB$38,FALSE)</f>
        <v>0.2</v>
      </c>
      <c r="BC45" s="1137">
        <f>VLOOKUP($AO45,$B$149:$H$172,BC$38,FALSE)</f>
        <v>0.19753086419753085</v>
      </c>
      <c r="BD45" s="1137">
        <f>VLOOKUP($AO45,$B$149:$H$172,BD$38,FALSE)</f>
        <v>0.15625</v>
      </c>
      <c r="BE45" s="1149">
        <f>VLOOKUP($AO45,$B$149:$H$172,BE$38,FALSE)</f>
        <v>0.15340909090909091</v>
      </c>
      <c r="BF45" s="81"/>
      <c r="BG45" s="81"/>
      <c r="BH45" s="81"/>
      <c r="BI45" s="81"/>
      <c r="BJ45" s="81"/>
      <c r="BK45" s="81"/>
      <c r="BL45" s="81"/>
      <c r="BM45" s="81"/>
      <c r="BN45" s="81"/>
      <c r="BO45" s="81"/>
      <c r="BP45" s="81"/>
    </row>
    <row r="46" spans="1:68" s="76" customFormat="1" ht="14.25" customHeight="1" x14ac:dyDescent="0.2">
      <c r="A46" s="461"/>
      <c r="B46" s="226"/>
      <c r="C46" s="226"/>
      <c r="D46" s="227"/>
      <c r="E46" s="227"/>
      <c r="F46" s="227"/>
      <c r="G46" s="227"/>
      <c r="H46" s="227"/>
      <c r="I46" s="227"/>
      <c r="J46" s="227"/>
      <c r="K46" s="15"/>
      <c r="L46" s="9"/>
      <c r="M46" s="9"/>
      <c r="N46" s="9"/>
      <c r="O46" s="9"/>
      <c r="P46" s="9"/>
      <c r="Q46" s="9"/>
      <c r="R46" s="9"/>
      <c r="S46" s="9"/>
      <c r="T46" s="9"/>
      <c r="U46" s="117"/>
      <c r="V46" s="138"/>
      <c r="W46" s="295"/>
      <c r="AC46" s="81"/>
      <c r="AD46" s="81"/>
      <c r="AE46" s="81"/>
      <c r="AF46" s="81"/>
      <c r="AG46" s="81"/>
      <c r="AH46" s="81"/>
      <c r="AI46" s="81"/>
      <c r="AJ46" s="81"/>
      <c r="AK46" s="585" t="b">
        <v>1</v>
      </c>
      <c r="AL46" s="585"/>
      <c r="AM46" s="585"/>
      <c r="AN46" s="160" t="s">
        <v>6</v>
      </c>
      <c r="AO46" s="1179" t="str">
        <f t="shared" si="14"/>
        <v>Hampshire</v>
      </c>
      <c r="AP46" s="1175">
        <f t="shared" si="15"/>
        <v>2.1284143313231643</v>
      </c>
      <c r="AQ46" s="1024">
        <f t="shared" si="15"/>
        <v>1.4497878359264498</v>
      </c>
      <c r="AR46" s="1024">
        <f t="shared" si="15"/>
        <v>1.9414048711613132</v>
      </c>
      <c r="AS46" s="1024">
        <f t="shared" si="15"/>
        <v>1.6901408450704225</v>
      </c>
      <c r="AT46" s="1024">
        <f t="shared" si="15"/>
        <v>1.3366162504396764</v>
      </c>
      <c r="AU46" s="1156">
        <f t="shared" si="16"/>
        <v>10.100000000000001</v>
      </c>
      <c r="AV46" s="1152" t="e">
        <f>VLOOKUP($AO46,#REF!,AV$38,FALSE)</f>
        <v>#REF!</v>
      </c>
      <c r="AW46" s="1137" t="e">
        <f>VLOOKUP($AO46,#REF!,AW$38,FALSE)</f>
        <v>#REF!</v>
      </c>
      <c r="AX46" s="1137" t="e">
        <f>VLOOKUP($AO46,#REF!,AX$38,FALSE)</f>
        <v>#REF!</v>
      </c>
      <c r="AY46" s="1137" t="e">
        <f>VLOOKUP($AO46,#REF!,AY$38,FALSE)</f>
        <v>#REF!</v>
      </c>
      <c r="AZ46" s="1149" t="e">
        <f>VLOOKUP($AO46,#REF!,AZ$38,FALSE)</f>
        <v>#REF!</v>
      </c>
      <c r="BA46" s="1152">
        <f>VLOOKUP($AO46,$B$149:$H$172,BA$38,FALSE)</f>
        <v>0.15412844036697249</v>
      </c>
      <c r="BB46" s="1137">
        <f>VLOOKUP($AO46,$B$149:$H$172,BB$38,FALSE)</f>
        <v>0.13157894736842105</v>
      </c>
      <c r="BC46" s="1137">
        <f>VLOOKUP($AO46,$B$149:$H$172,BC$38,FALSE)</f>
        <v>0.11316872427983539</v>
      </c>
      <c r="BD46" s="1137">
        <f>VLOOKUP($AO46,$B$149:$H$172,BD$38,FALSE)</f>
        <v>0.1163575042158516</v>
      </c>
      <c r="BE46" s="1149">
        <f>VLOOKUP($AO46,$B$149:$H$172,BE$38,FALSE)</f>
        <v>0.11217948717948718</v>
      </c>
      <c r="BF46" s="81"/>
      <c r="BG46" s="81"/>
      <c r="BH46" s="81"/>
      <c r="BI46" s="81"/>
      <c r="BJ46" s="81"/>
      <c r="BK46" s="81"/>
      <c r="BL46" s="81"/>
      <c r="BM46" s="81"/>
      <c r="BN46" s="81"/>
      <c r="BO46" s="81"/>
      <c r="BP46" s="81"/>
    </row>
    <row r="47" spans="1:68" ht="14.25" customHeight="1" x14ac:dyDescent="0.2">
      <c r="A47" s="278"/>
      <c r="B47" s="227"/>
      <c r="C47" s="227"/>
      <c r="D47" s="227"/>
      <c r="E47" s="227"/>
      <c r="F47" s="227"/>
      <c r="G47" s="227"/>
      <c r="H47" s="227"/>
      <c r="I47" s="227"/>
      <c r="J47" s="227"/>
      <c r="K47" s="12"/>
      <c r="L47" s="14"/>
      <c r="M47" s="14"/>
      <c r="N47" s="14"/>
      <c r="O47" s="14"/>
      <c r="P47" s="9"/>
      <c r="Q47" s="9"/>
      <c r="R47" s="9"/>
      <c r="S47" s="9"/>
      <c r="T47" s="9"/>
      <c r="U47" s="117"/>
      <c r="V47" s="137"/>
      <c r="W47" s="294"/>
      <c r="AK47" s="585" t="b">
        <v>1</v>
      </c>
      <c r="AL47" s="585"/>
      <c r="AM47" s="585"/>
      <c r="AN47" s="160" t="s">
        <v>1</v>
      </c>
      <c r="AO47" s="1179" t="str">
        <f t="shared" si="14"/>
        <v>Isle of Wight</v>
      </c>
      <c r="AP47" s="1175" t="e">
        <f t="shared" si="15"/>
        <v>#N/A</v>
      </c>
      <c r="AQ47" s="1024">
        <f t="shared" si="15"/>
        <v>3.9682539682539684</v>
      </c>
      <c r="AR47" s="1024" t="e">
        <f t="shared" si="15"/>
        <v>#N/A</v>
      </c>
      <c r="AS47" s="1024" t="e">
        <f t="shared" si="15"/>
        <v>#N/A</v>
      </c>
      <c r="AT47" s="1024" t="e">
        <f t="shared" si="15"/>
        <v>#N/A</v>
      </c>
      <c r="AU47" s="1156">
        <f t="shared" si="16"/>
        <v>18</v>
      </c>
      <c r="AV47" s="1152" t="e">
        <f>VLOOKUP($AO47,#REF!,AV$38,FALSE)</f>
        <v>#REF!</v>
      </c>
      <c r="AW47" s="1137" t="e">
        <f>VLOOKUP($AO47,#REF!,AW$38,FALSE)</f>
        <v>#REF!</v>
      </c>
      <c r="AX47" s="1137" t="e">
        <f>VLOOKUP($AO47,#REF!,AX$38,FALSE)</f>
        <v>#REF!</v>
      </c>
      <c r="AY47" s="1137" t="e">
        <f>VLOOKUP($AO47,#REF!,AY$38,FALSE)</f>
        <v>#REF!</v>
      </c>
      <c r="AZ47" s="1149" t="e">
        <f>VLOOKUP($AO47,#REF!,AZ$38,FALSE)</f>
        <v>#REF!</v>
      </c>
      <c r="BA47" s="1152">
        <f>VLOOKUP($AO47,$B$149:$H$172,BA$38,FALSE)</f>
        <v>0.12328767123287671</v>
      </c>
      <c r="BB47" s="1137">
        <f>VLOOKUP($AO47,$B$149:$H$172,BB$38,FALSE)</f>
        <v>0.21052631578947367</v>
      </c>
      <c r="BC47" s="1137">
        <f>VLOOKUP($AO47,$B$149:$H$172,BC$38,FALSE)</f>
        <v>0.15853658536585366</v>
      </c>
      <c r="BD47" s="1137">
        <f>VLOOKUP($AO47,$B$149:$H$172,BD$38,FALSE)</f>
        <v>0.18032786885245902</v>
      </c>
      <c r="BE47" s="1149">
        <f>VLOOKUP($AO47,$B$149:$H$172,BE$38,FALSE)</f>
        <v>0.16981132075471697</v>
      </c>
      <c r="BF47" s="81"/>
      <c r="BG47" s="81"/>
      <c r="BH47" s="81"/>
      <c r="BI47" s="81"/>
      <c r="BJ47" s="81"/>
      <c r="BK47" s="81"/>
      <c r="BL47" s="81"/>
      <c r="BM47" s="81"/>
      <c r="BN47" s="81"/>
      <c r="BO47" s="81"/>
      <c r="BP47" s="81"/>
    </row>
    <row r="48" spans="1:68" ht="14.25" customHeight="1" x14ac:dyDescent="0.2">
      <c r="A48" s="278"/>
      <c r="B48" s="227"/>
      <c r="C48" s="227"/>
      <c r="D48" s="227"/>
      <c r="E48" s="227"/>
      <c r="F48" s="227"/>
      <c r="G48" s="227"/>
      <c r="H48" s="227"/>
      <c r="I48" s="227"/>
      <c r="J48" s="227"/>
      <c r="K48" s="12"/>
      <c r="L48" s="14"/>
      <c r="M48" s="14"/>
      <c r="N48" s="14"/>
      <c r="O48" s="14"/>
      <c r="P48" s="9"/>
      <c r="Q48" s="9"/>
      <c r="R48" s="9"/>
      <c r="S48" s="9"/>
      <c r="T48" s="9"/>
      <c r="U48" s="117"/>
      <c r="V48" s="137"/>
      <c r="W48" s="294"/>
      <c r="AC48" s="207"/>
      <c r="AK48" s="585" t="b">
        <v>1</v>
      </c>
      <c r="AL48" s="585"/>
      <c r="AM48" s="585"/>
      <c r="AN48" s="160" t="s">
        <v>9</v>
      </c>
      <c r="AO48" s="1179" t="str">
        <f t="shared" si="14"/>
        <v>Kent</v>
      </c>
      <c r="AP48" s="1175">
        <f t="shared" si="15"/>
        <v>1.513317191283293</v>
      </c>
      <c r="AQ48" s="1024">
        <f t="shared" si="15"/>
        <v>1.6516516516516517</v>
      </c>
      <c r="AR48" s="1024">
        <f t="shared" si="15"/>
        <v>1.6661707825052068</v>
      </c>
      <c r="AS48" s="1024">
        <f t="shared" si="15"/>
        <v>1.1173184357541899</v>
      </c>
      <c r="AT48" s="1024">
        <f t="shared" si="15"/>
        <v>1.0471204188481675</v>
      </c>
      <c r="AU48" s="1156">
        <f t="shared" si="16"/>
        <v>15.8</v>
      </c>
      <c r="AV48" s="1152" t="e">
        <f>VLOOKUP($AO48,#REF!,AV$38,FALSE)</f>
        <v>#REF!</v>
      </c>
      <c r="AW48" s="1137" t="e">
        <f>VLOOKUP($AO48,#REF!,AW$38,FALSE)</f>
        <v>#REF!</v>
      </c>
      <c r="AX48" s="1137" t="e">
        <f>VLOOKUP($AO48,#REF!,AX$38,FALSE)</f>
        <v>#REF!</v>
      </c>
      <c r="AY48" s="1137" t="e">
        <f>VLOOKUP($AO48,#REF!,AY$38,FALSE)</f>
        <v>#REF!</v>
      </c>
      <c r="AZ48" s="1149" t="e">
        <f>VLOOKUP($AO48,#REF!,AZ$38,FALSE)</f>
        <v>#REF!</v>
      </c>
      <c r="BA48" s="1152">
        <f>VLOOKUP($AO48,$B$149:$H$172,BA$38,FALSE)</f>
        <v>0.10009267840593142</v>
      </c>
      <c r="BB48" s="1137">
        <f>VLOOKUP($AO48,$B$149:$H$172,BB$38,FALSE)</f>
        <v>6.0790273556231005E-2</v>
      </c>
      <c r="BC48" s="1137">
        <f>VLOOKUP($AO48,$B$149:$H$172,BC$38,FALSE)</f>
        <v>9.9142040038131554E-2</v>
      </c>
      <c r="BD48" s="1137">
        <f>VLOOKUP($AO48,$B$149:$H$172,BD$38,FALSE)</f>
        <v>0.12581913499344691</v>
      </c>
      <c r="BE48" s="1149">
        <f>VLOOKUP($AO48,$B$149:$H$172,BE$38,FALSE)</f>
        <v>8.5365853658536592E-2</v>
      </c>
      <c r="BF48" s="81"/>
      <c r="BG48" s="81"/>
      <c r="BH48" s="81"/>
      <c r="BI48" s="81"/>
      <c r="BJ48" s="81"/>
      <c r="BK48" s="81"/>
      <c r="BL48" s="81"/>
      <c r="BM48" s="81"/>
      <c r="BN48" s="81"/>
      <c r="BO48" s="81"/>
      <c r="BP48" s="81"/>
    </row>
    <row r="49" spans="1:68" ht="14.25" customHeight="1" x14ac:dyDescent="0.2">
      <c r="A49" s="278"/>
      <c r="B49" s="58"/>
      <c r="C49" s="58"/>
      <c r="D49" s="58"/>
      <c r="E49" s="58"/>
      <c r="F49" s="58"/>
      <c r="G49" s="58"/>
      <c r="H49" s="58"/>
      <c r="I49" s="58"/>
      <c r="J49" s="58"/>
      <c r="K49" s="12"/>
      <c r="L49" s="14"/>
      <c r="M49" s="14"/>
      <c r="N49" s="14"/>
      <c r="O49" s="14"/>
      <c r="P49" s="9"/>
      <c r="Q49" s="9"/>
      <c r="R49" s="9"/>
      <c r="S49" s="9"/>
      <c r="T49" s="9"/>
      <c r="U49" s="117"/>
      <c r="V49" s="137"/>
      <c r="W49" s="294"/>
      <c r="AC49" s="184"/>
      <c r="AK49" s="585" t="b">
        <v>1</v>
      </c>
      <c r="AL49" s="585"/>
      <c r="AM49" s="585"/>
      <c r="AN49" s="160" t="s">
        <v>2</v>
      </c>
      <c r="AO49" s="1179" t="str">
        <f t="shared" si="14"/>
        <v>Medway</v>
      </c>
      <c r="AP49" s="1175">
        <f t="shared" si="15"/>
        <v>3.9556962025316453</v>
      </c>
      <c r="AQ49" s="1024">
        <f t="shared" si="15"/>
        <v>5.6514913657770807</v>
      </c>
      <c r="AR49" s="1024">
        <f t="shared" si="15"/>
        <v>3.5993740219092332</v>
      </c>
      <c r="AS49" s="1024">
        <f t="shared" si="15"/>
        <v>1.5527950310559007</v>
      </c>
      <c r="AT49" s="1024">
        <f t="shared" si="15"/>
        <v>2.1538461538461537</v>
      </c>
      <c r="AU49" s="1156">
        <f t="shared" si="16"/>
        <v>18.899999999999999</v>
      </c>
      <c r="AV49" s="1152" t="e">
        <f>VLOOKUP($AO49,#REF!,AV$38,FALSE)</f>
        <v>#REF!</v>
      </c>
      <c r="AW49" s="1137" t="e">
        <f>VLOOKUP($AO49,#REF!,AW$38,FALSE)</f>
        <v>#REF!</v>
      </c>
      <c r="AX49" s="1137" t="e">
        <f>VLOOKUP($AO49,#REF!,AX$38,FALSE)</f>
        <v>#REF!</v>
      </c>
      <c r="AY49" s="1137" t="e">
        <f>VLOOKUP($AO49,#REF!,AY$38,FALSE)</f>
        <v>#REF!</v>
      </c>
      <c r="AZ49" s="1149" t="e">
        <f>VLOOKUP($AO49,#REF!,AZ$38,FALSE)</f>
        <v>#REF!</v>
      </c>
      <c r="BA49" s="1152">
        <f>VLOOKUP($AO49,$B$149:$H$172,BA$38,FALSE)</f>
        <v>0.11428571428571428</v>
      </c>
      <c r="BB49" s="1137">
        <f>VLOOKUP($AO49,$B$149:$H$172,BB$38,FALSE)</f>
        <v>0.17647058823529413</v>
      </c>
      <c r="BC49" s="1137">
        <f>VLOOKUP($AO49,$B$149:$H$172,BC$38,FALSE)</f>
        <v>0.22012578616352202</v>
      </c>
      <c r="BD49" s="1137">
        <f>VLOOKUP($AO49,$B$149:$H$172,BD$38,FALSE)</f>
        <v>0.15189873417721519</v>
      </c>
      <c r="BE49" s="1149">
        <f>VLOOKUP($AO49,$B$149:$H$172,BE$38,FALSE)</f>
        <v>0.12777777777777777</v>
      </c>
      <c r="BF49" s="81"/>
      <c r="BG49" s="81"/>
      <c r="BH49" s="81"/>
      <c r="BI49" s="81"/>
      <c r="BJ49" s="81"/>
      <c r="BK49" s="81"/>
      <c r="BL49" s="81"/>
      <c r="BM49" s="81"/>
      <c r="BN49" s="81"/>
      <c r="BO49" s="81"/>
      <c r="BP49" s="81"/>
    </row>
    <row r="50" spans="1:68" ht="14.25" customHeight="1" x14ac:dyDescent="0.2">
      <c r="A50" s="278"/>
      <c r="B50" s="58"/>
      <c r="C50" s="58"/>
      <c r="D50" s="69"/>
      <c r="E50" s="70"/>
      <c r="F50" s="69"/>
      <c r="G50" s="70"/>
      <c r="H50" s="70"/>
      <c r="I50" s="70"/>
      <c r="J50" s="70"/>
      <c r="K50" s="12"/>
      <c r="L50" s="14"/>
      <c r="M50" s="14"/>
      <c r="N50" s="14"/>
      <c r="O50" s="14"/>
      <c r="P50" s="9"/>
      <c r="Q50" s="9"/>
      <c r="R50" s="9"/>
      <c r="S50" s="9"/>
      <c r="T50" s="9"/>
      <c r="U50" s="117"/>
      <c r="V50" s="137"/>
      <c r="W50" s="294"/>
      <c r="AK50" s="585" t="b">
        <v>1</v>
      </c>
      <c r="AL50" s="585"/>
      <c r="AM50" s="585"/>
      <c r="AN50" s="160" t="s">
        <v>10</v>
      </c>
      <c r="AO50" s="1179" t="str">
        <f t="shared" si="14"/>
        <v>Milton Keynes</v>
      </c>
      <c r="AP50" s="1175" t="e">
        <f t="shared" si="15"/>
        <v>#N/A</v>
      </c>
      <c r="AQ50" s="1024">
        <f t="shared" si="15"/>
        <v>0.89418777943368111</v>
      </c>
      <c r="AR50" s="1024" t="e">
        <f t="shared" si="15"/>
        <v>#N/A</v>
      </c>
      <c r="AS50" s="1024">
        <f t="shared" si="15"/>
        <v>0.87847730600292828</v>
      </c>
      <c r="AT50" s="1024">
        <f t="shared" si="15"/>
        <v>2.3255813953488373</v>
      </c>
      <c r="AU50" s="1156">
        <f t="shared" si="16"/>
        <v>15</v>
      </c>
      <c r="AV50" s="1152" t="e">
        <f>VLOOKUP($AO50,#REF!,AV$38,FALSE)</f>
        <v>#REF!</v>
      </c>
      <c r="AW50" s="1137" t="e">
        <f>VLOOKUP($AO50,#REF!,AW$38,FALSE)</f>
        <v>#REF!</v>
      </c>
      <c r="AX50" s="1137" t="e">
        <f>VLOOKUP($AO50,#REF!,AX$38,FALSE)</f>
        <v>#REF!</v>
      </c>
      <c r="AY50" s="1137" t="e">
        <f>VLOOKUP($AO50,#REF!,AY$38,FALSE)</f>
        <v>#REF!</v>
      </c>
      <c r="AZ50" s="1149" t="e">
        <f>VLOOKUP($AO50,#REF!,AZ$38,FALSE)</f>
        <v>#REF!</v>
      </c>
      <c r="BA50" s="1152">
        <f>VLOOKUP($AO50,$B$149:$H$172,BA$38,FALSE)</f>
        <v>0.10215053763440861</v>
      </c>
      <c r="BB50" s="1137">
        <f>VLOOKUP($AO50,$B$149:$H$172,BB$38,FALSE)</f>
        <v>6.5789473684210523E-2</v>
      </c>
      <c r="BC50" s="1137">
        <f>VLOOKUP($AO50,$B$149:$H$172,BC$38,FALSE)</f>
        <v>6.2068965517241378E-2</v>
      </c>
      <c r="BD50" s="1137">
        <f>VLOOKUP($AO50,$B$149:$H$172,BD$38,FALSE)</f>
        <v>0.11560693641618497</v>
      </c>
      <c r="BE50" s="1149">
        <f>VLOOKUP($AO50,$B$149:$H$172,BE$38,FALSE)</f>
        <v>0.12837837837837837</v>
      </c>
      <c r="BF50" s="81"/>
      <c r="BG50" s="81"/>
      <c r="BH50" s="81"/>
      <c r="BI50" s="81"/>
      <c r="BJ50" s="81"/>
      <c r="BK50" s="81"/>
      <c r="BL50" s="81"/>
      <c r="BM50" s="81"/>
      <c r="BN50" s="81"/>
      <c r="BO50" s="81"/>
      <c r="BP50" s="81"/>
    </row>
    <row r="51" spans="1:68" ht="14.25" customHeight="1" x14ac:dyDescent="0.2">
      <c r="A51" s="278"/>
      <c r="B51" s="58"/>
      <c r="C51" s="58"/>
      <c r="D51" s="61"/>
      <c r="E51" s="61"/>
      <c r="F51" s="61"/>
      <c r="G51" s="61"/>
      <c r="H51" s="61"/>
      <c r="I51" s="61"/>
      <c r="J51" s="61"/>
      <c r="K51" s="12"/>
      <c r="L51" s="14"/>
      <c r="M51" s="14"/>
      <c r="N51" s="14"/>
      <c r="O51" s="14"/>
      <c r="P51" s="9"/>
      <c r="Q51" s="9"/>
      <c r="R51" s="9"/>
      <c r="S51" s="9"/>
      <c r="T51" s="9"/>
      <c r="U51" s="117"/>
      <c r="V51" s="137"/>
      <c r="W51" s="294"/>
      <c r="AK51" s="585" t="b">
        <v>1</v>
      </c>
      <c r="AL51" s="585"/>
      <c r="AM51" s="585"/>
      <c r="AN51" s="160" t="s">
        <v>11</v>
      </c>
      <c r="AO51" s="1179" t="str">
        <f t="shared" si="14"/>
        <v>Oxfordshire</v>
      </c>
      <c r="AP51" s="1175">
        <f t="shared" si="15"/>
        <v>1.4104372355430184</v>
      </c>
      <c r="AQ51" s="1024">
        <f t="shared" si="15"/>
        <v>1.8894331700489853</v>
      </c>
      <c r="AR51" s="1024">
        <f t="shared" si="15"/>
        <v>1.3249651324965133</v>
      </c>
      <c r="AS51" s="1024">
        <f t="shared" si="15"/>
        <v>2.0027624309392262</v>
      </c>
      <c r="AT51" s="1024">
        <f t="shared" si="15"/>
        <v>1.1635865845311431</v>
      </c>
      <c r="AU51" s="1156">
        <f t="shared" si="16"/>
        <v>10.100000000000001</v>
      </c>
      <c r="AV51" s="1152" t="e">
        <f>VLOOKUP($AO51,#REF!,AV$38,FALSE)</f>
        <v>#REF!</v>
      </c>
      <c r="AW51" s="1137" t="e">
        <f>VLOOKUP($AO51,#REF!,AW$38,FALSE)</f>
        <v>#REF!</v>
      </c>
      <c r="AX51" s="1137" t="e">
        <f>VLOOKUP($AO51,#REF!,AX$38,FALSE)</f>
        <v>#REF!</v>
      </c>
      <c r="AY51" s="1137" t="e">
        <f>VLOOKUP($AO51,#REF!,AY$38,FALSE)</f>
        <v>#REF!</v>
      </c>
      <c r="AZ51" s="1149" t="e">
        <f>VLOOKUP($AO51,#REF!,AZ$38,FALSE)</f>
        <v>#REF!</v>
      </c>
      <c r="BA51" s="1152">
        <f>VLOOKUP($AO51,$B$149:$H$172,BA$38,FALSE)</f>
        <v>0.17857142857142858</v>
      </c>
      <c r="BB51" s="1137">
        <f>VLOOKUP($AO51,$B$149:$H$172,BB$38,FALSE)</f>
        <v>0.13286713286713286</v>
      </c>
      <c r="BC51" s="1137">
        <f>VLOOKUP($AO51,$B$149:$H$172,BC$38,FALSE)</f>
        <v>0.12080536912751678</v>
      </c>
      <c r="BD51" s="1137">
        <f>VLOOKUP($AO51,$B$149:$H$172,BD$38,FALSE)</f>
        <v>9.1575091575091569E-2</v>
      </c>
      <c r="BE51" s="1149">
        <f>VLOOKUP($AO51,$B$149:$H$172,BE$38,FALSE)</f>
        <v>0.10869565217391304</v>
      </c>
      <c r="BF51" s="81"/>
      <c r="BG51" s="81"/>
      <c r="BH51" s="81"/>
      <c r="BI51" s="81"/>
      <c r="BJ51" s="81"/>
      <c r="BK51" s="81"/>
      <c r="BL51" s="81"/>
      <c r="BM51" s="81"/>
      <c r="BN51" s="81"/>
      <c r="BO51" s="81"/>
      <c r="BP51" s="81"/>
    </row>
    <row r="52" spans="1:68" ht="14.25" customHeight="1" x14ac:dyDescent="0.2">
      <c r="A52" s="278"/>
      <c r="B52" s="421"/>
      <c r="C52" s="421"/>
      <c r="D52" s="58"/>
      <c r="E52" s="58"/>
      <c r="F52" s="58"/>
      <c r="G52" s="58"/>
      <c r="H52" s="58"/>
      <c r="I52" s="58"/>
      <c r="J52" s="58"/>
      <c r="K52" s="12"/>
      <c r="L52" s="14"/>
      <c r="M52" s="14"/>
      <c r="N52" s="14"/>
      <c r="O52" s="14"/>
      <c r="P52" s="9"/>
      <c r="Q52" s="9"/>
      <c r="R52" s="9"/>
      <c r="S52" s="9"/>
      <c r="T52" s="9"/>
      <c r="U52" s="117"/>
      <c r="V52" s="137"/>
      <c r="W52" s="294"/>
      <c r="AK52" s="585" t="b">
        <v>1</v>
      </c>
      <c r="AL52" s="585"/>
      <c r="AM52" s="585"/>
      <c r="AN52" s="160" t="s">
        <v>12</v>
      </c>
      <c r="AO52" s="1179" t="str">
        <f t="shared" si="14"/>
        <v>Portsmouth</v>
      </c>
      <c r="AP52" s="1175">
        <f t="shared" ref="AP52:AT65" si="17">VLOOKUP($AO52,$B$10:$P$33,AP$38,FALSE)</f>
        <v>4.5662100456621006</v>
      </c>
      <c r="AQ52" s="1024" t="e">
        <f t="shared" si="17"/>
        <v>#N/A</v>
      </c>
      <c r="AR52" s="1024" t="e">
        <f t="shared" si="17"/>
        <v>#N/A</v>
      </c>
      <c r="AS52" s="1024" t="e">
        <f t="shared" si="17"/>
        <v>#N/A</v>
      </c>
      <c r="AT52" s="1024">
        <f t="shared" si="17"/>
        <v>1.5981735159817352</v>
      </c>
      <c r="AU52" s="1156">
        <f t="shared" si="16"/>
        <v>20.200000000000003</v>
      </c>
      <c r="AV52" s="1152" t="e">
        <f>VLOOKUP($AO52,#REF!,AV$38,FALSE)</f>
        <v>#REF!</v>
      </c>
      <c r="AW52" s="1137" t="e">
        <f>VLOOKUP($AO52,#REF!,AW$38,FALSE)</f>
        <v>#REF!</v>
      </c>
      <c r="AX52" s="1137" t="e">
        <f>VLOOKUP($AO52,#REF!,AX$38,FALSE)</f>
        <v>#REF!</v>
      </c>
      <c r="AY52" s="1137" t="e">
        <f>VLOOKUP($AO52,#REF!,AY$38,FALSE)</f>
        <v>#REF!</v>
      </c>
      <c r="AZ52" s="1149" t="e">
        <f>VLOOKUP($AO52,#REF!,AZ$38,FALSE)</f>
        <v>#REF!</v>
      </c>
      <c r="BA52" s="1152">
        <f>VLOOKUP($AO52,$B$149:$H$172,BA$38,FALSE)</f>
        <v>0.21428571428571427</v>
      </c>
      <c r="BB52" s="1137">
        <f>VLOOKUP($AO52,$B$149:$H$172,BB$38,FALSE)</f>
        <v>0.28455284552845528</v>
      </c>
      <c r="BC52" s="1137">
        <f>VLOOKUP($AO52,$B$149:$H$172,BC$38,FALSE)</f>
        <v>0.16129032258064516</v>
      </c>
      <c r="BD52" s="1137">
        <f>VLOOKUP($AO52,$B$149:$H$172,BD$38,FALSE)</f>
        <v>9.3167701863354033E-2</v>
      </c>
      <c r="BE52" s="1149">
        <f>VLOOKUP($AO52,$B$149:$H$172,BE$38,FALSE)</f>
        <v>0.11274509803921569</v>
      </c>
      <c r="BF52" s="81"/>
      <c r="BG52" s="81"/>
      <c r="BH52" s="81"/>
      <c r="BI52" s="81"/>
      <c r="BJ52" s="81"/>
      <c r="BK52" s="81"/>
      <c r="BL52" s="81"/>
      <c r="BM52" s="81"/>
      <c r="BN52" s="81"/>
      <c r="BO52" s="81"/>
      <c r="BP52" s="81"/>
    </row>
    <row r="53" spans="1:68" ht="14.25" customHeight="1" x14ac:dyDescent="0.2">
      <c r="A53" s="278"/>
      <c r="B53" s="421"/>
      <c r="C53" s="421"/>
      <c r="D53" s="58"/>
      <c r="E53" s="58"/>
      <c r="F53" s="58"/>
      <c r="G53" s="58"/>
      <c r="H53" s="58"/>
      <c r="I53" s="58"/>
      <c r="J53" s="58"/>
      <c r="K53" s="12"/>
      <c r="L53" s="14"/>
      <c r="M53" s="14"/>
      <c r="N53" s="14"/>
      <c r="O53" s="14"/>
      <c r="P53" s="9"/>
      <c r="Q53" s="9"/>
      <c r="R53" s="9"/>
      <c r="S53" s="9"/>
      <c r="T53" s="9"/>
      <c r="U53" s="117"/>
      <c r="V53" s="137"/>
      <c r="W53" s="294"/>
      <c r="AK53" s="585" t="b">
        <v>1</v>
      </c>
      <c r="AL53" s="585"/>
      <c r="AM53" s="585"/>
      <c r="AN53" s="160" t="s">
        <v>3</v>
      </c>
      <c r="AO53" s="1179" t="str">
        <f t="shared" si="14"/>
        <v>Reading</v>
      </c>
      <c r="AP53" s="1175">
        <f t="shared" si="17"/>
        <v>1.3736263736263736</v>
      </c>
      <c r="AQ53" s="1024" t="e">
        <f t="shared" si="17"/>
        <v>#N/A</v>
      </c>
      <c r="AR53" s="1024">
        <f t="shared" si="17"/>
        <v>3.2345013477088949</v>
      </c>
      <c r="AS53" s="1024">
        <f t="shared" si="17"/>
        <v>1.8867924528301885</v>
      </c>
      <c r="AT53" s="1024" t="e">
        <f t="shared" si="17"/>
        <v>#N/A</v>
      </c>
      <c r="AU53" s="1156">
        <f t="shared" si="16"/>
        <v>16</v>
      </c>
      <c r="AV53" s="1152" t="e">
        <f>VLOOKUP($AO53,#REF!,AV$38,FALSE)</f>
        <v>#REF!</v>
      </c>
      <c r="AW53" s="1137" t="e">
        <f>VLOOKUP($AO53,#REF!,AW$38,FALSE)</f>
        <v>#REF!</v>
      </c>
      <c r="AX53" s="1137" t="e">
        <f>VLOOKUP($AO53,#REF!,AX$38,FALSE)</f>
        <v>#REF!</v>
      </c>
      <c r="AY53" s="1137" t="e">
        <f>VLOOKUP($AO53,#REF!,AY$38,FALSE)</f>
        <v>#REF!</v>
      </c>
      <c r="AZ53" s="1149" t="e">
        <f>VLOOKUP($AO53,#REF!,AZ$38,FALSE)</f>
        <v>#REF!</v>
      </c>
      <c r="BA53" s="1152">
        <f>VLOOKUP($AO53,$B$149:$H$172,BA$38,FALSE)</f>
        <v>0.2032520325203252</v>
      </c>
      <c r="BB53" s="1137">
        <f>VLOOKUP($AO53,$B$149:$H$172,BB$38,FALSE)</f>
        <v>0.16</v>
      </c>
      <c r="BC53" s="1137">
        <f>VLOOKUP($AO53,$B$149:$H$172,BC$38,FALSE)</f>
        <v>0.14130434782608695</v>
      </c>
      <c r="BD53" s="1137">
        <f>VLOOKUP($AO53,$B$149:$H$172,BD$38,FALSE)</f>
        <v>0.21052631578947367</v>
      </c>
      <c r="BE53" s="1149">
        <f>VLOOKUP($AO53,$B$149:$H$172,BE$38,FALSE)</f>
        <v>0.14678899082568808</v>
      </c>
      <c r="BF53" s="81"/>
      <c r="BG53" s="81"/>
      <c r="BH53" s="81"/>
      <c r="BI53" s="81"/>
      <c r="BJ53" s="81"/>
      <c r="BK53" s="81"/>
      <c r="BL53" s="81"/>
      <c r="BM53" s="81"/>
      <c r="BN53" s="81"/>
      <c r="BO53" s="81"/>
      <c r="BP53" s="81"/>
    </row>
    <row r="54" spans="1:68" ht="14.25" customHeight="1" x14ac:dyDescent="0.2">
      <c r="A54" s="278"/>
      <c r="B54" s="421"/>
      <c r="C54" s="421"/>
      <c r="D54" s="58"/>
      <c r="E54" s="58"/>
      <c r="F54" s="58"/>
      <c r="G54" s="58"/>
      <c r="H54" s="58"/>
      <c r="I54" s="58"/>
      <c r="J54" s="58"/>
      <c r="K54" s="12"/>
      <c r="L54" s="14"/>
      <c r="M54" s="14"/>
      <c r="N54" s="14"/>
      <c r="O54" s="14"/>
      <c r="P54" s="9"/>
      <c r="Q54" s="9"/>
      <c r="R54" s="9"/>
      <c r="S54" s="9"/>
      <c r="T54" s="9"/>
      <c r="U54" s="117"/>
      <c r="V54" s="137"/>
      <c r="W54" s="294"/>
      <c r="AK54" s="585" t="b">
        <v>1</v>
      </c>
      <c r="AL54" s="585"/>
      <c r="AM54" s="585"/>
      <c r="AN54" s="160" t="s">
        <v>13</v>
      </c>
      <c r="AO54" s="1179" t="str">
        <f t="shared" si="14"/>
        <v>Slough</v>
      </c>
      <c r="AP54" s="1175">
        <f t="shared" si="17"/>
        <v>1.2315270935960589</v>
      </c>
      <c r="AQ54" s="1024">
        <f t="shared" si="17"/>
        <v>1.932367149758454</v>
      </c>
      <c r="AR54" s="1024">
        <f t="shared" si="17"/>
        <v>1.8957345971563981</v>
      </c>
      <c r="AS54" s="1024" t="e">
        <f t="shared" si="17"/>
        <v>#N/A</v>
      </c>
      <c r="AT54" s="1024">
        <f t="shared" si="17"/>
        <v>1.8561484918793505</v>
      </c>
      <c r="AU54" s="1156">
        <f t="shared" si="16"/>
        <v>14.7</v>
      </c>
      <c r="AV54" s="1152" t="e">
        <f>VLOOKUP($AO54,#REF!,AV$38,FALSE)</f>
        <v>#REF!</v>
      </c>
      <c r="AW54" s="1137" t="e">
        <f>VLOOKUP($AO54,#REF!,AW$38,FALSE)</f>
        <v>#REF!</v>
      </c>
      <c r="AX54" s="1137" t="e">
        <f>VLOOKUP($AO54,#REF!,AX$38,FALSE)</f>
        <v>#REF!</v>
      </c>
      <c r="AY54" s="1137" t="e">
        <f>VLOOKUP($AO54,#REF!,AY$38,FALSE)</f>
        <v>#REF!</v>
      </c>
      <c r="AZ54" s="1149" t="e">
        <f>VLOOKUP($AO54,#REF!,AZ$38,FALSE)</f>
        <v>#REF!</v>
      </c>
      <c r="BA54" s="1152">
        <f>VLOOKUP($AO54,$B$149:$H$172,BA$38,FALSE)</f>
        <v>0.1038961038961039</v>
      </c>
      <c r="BB54" s="1137">
        <f>VLOOKUP($AO54,$B$149:$H$172,BB$38,FALSE)</f>
        <v>9.8214285714285712E-2</v>
      </c>
      <c r="BC54" s="1137">
        <f>VLOOKUP($AO54,$B$149:$H$172,BC$38,FALSE)</f>
        <v>0.11607142857142858</v>
      </c>
      <c r="BD54" s="1137">
        <f>VLOOKUP($AO54,$B$149:$H$172,BD$38,FALSE)</f>
        <v>0.11023622047244094</v>
      </c>
      <c r="BE54" s="1149">
        <f>VLOOKUP($AO54,$B$149:$H$172,BE$38,FALSE)</f>
        <v>0.12</v>
      </c>
      <c r="BF54" s="81"/>
      <c r="BG54" s="81"/>
      <c r="BH54" s="81"/>
      <c r="BI54" s="81"/>
      <c r="BJ54" s="81"/>
      <c r="BK54" s="81"/>
      <c r="BL54" s="81"/>
      <c r="BM54" s="81"/>
      <c r="BN54" s="81"/>
      <c r="BO54" s="81"/>
      <c r="BP54" s="81"/>
    </row>
    <row r="55" spans="1:68" ht="14.25" customHeight="1" x14ac:dyDescent="0.2">
      <c r="A55" s="278"/>
      <c r="B55" s="421"/>
      <c r="C55" s="421"/>
      <c r="D55" s="58"/>
      <c r="E55" s="58"/>
      <c r="F55" s="58"/>
      <c r="G55" s="58"/>
      <c r="H55" s="58"/>
      <c r="I55" s="58"/>
      <c r="J55" s="58"/>
      <c r="K55" s="12"/>
      <c r="L55" s="14"/>
      <c r="M55" s="14"/>
      <c r="N55" s="14"/>
      <c r="O55" s="14"/>
      <c r="P55" s="9"/>
      <c r="Q55" s="9"/>
      <c r="R55" s="9"/>
      <c r="S55" s="9"/>
      <c r="T55" s="9"/>
      <c r="U55" s="117"/>
      <c r="V55" s="137"/>
      <c r="W55" s="294"/>
      <c r="AK55" s="585" t="b">
        <v>1</v>
      </c>
      <c r="AL55" s="585"/>
      <c r="AM55" s="585"/>
      <c r="AN55" s="160" t="s">
        <v>95</v>
      </c>
      <c r="AO55" s="1179" t="str">
        <f t="shared" si="14"/>
        <v>Somerset</v>
      </c>
      <c r="AP55" s="1175">
        <f t="shared" si="17"/>
        <v>1.3736263736263736</v>
      </c>
      <c r="AQ55" s="1024">
        <f t="shared" si="17"/>
        <v>1.4585232452142205</v>
      </c>
      <c r="AR55" s="1024" t="e">
        <f t="shared" si="17"/>
        <v>#N/A</v>
      </c>
      <c r="AS55" s="1024" t="e">
        <f t="shared" si="17"/>
        <v>#N/A</v>
      </c>
      <c r="AT55" s="1024">
        <f t="shared" si="17"/>
        <v>2.0683453237410072</v>
      </c>
      <c r="AU55" s="1156">
        <f t="shared" si="16"/>
        <v>13.600000000000001</v>
      </c>
      <c r="AV55" s="1152" t="e">
        <f>VLOOKUP($AO55,#REF!,AV$38,FALSE)</f>
        <v>#REF!</v>
      </c>
      <c r="AW55" s="1137" t="e">
        <f>VLOOKUP($AO55,#REF!,AW$38,FALSE)</f>
        <v>#REF!</v>
      </c>
      <c r="AX55" s="1137" t="e">
        <f>VLOOKUP($AO55,#REF!,AX$38,FALSE)</f>
        <v>#REF!</v>
      </c>
      <c r="AY55" s="1137" t="e">
        <f>VLOOKUP($AO55,#REF!,AY$38,FALSE)</f>
        <v>#REF!</v>
      </c>
      <c r="AZ55" s="1149" t="e">
        <f>VLOOKUP($AO55,#REF!,AZ$38,FALSE)</f>
        <v>#REF!</v>
      </c>
      <c r="BA55" s="1152">
        <f>VLOOKUP($AO55,$B$149:$H$172,BA$38,FALSE)</f>
        <v>0.22270742358078602</v>
      </c>
      <c r="BB55" s="1137">
        <f>VLOOKUP($AO55,$B$149:$H$172,BB$38,FALSE)</f>
        <v>0.13026819923371646</v>
      </c>
      <c r="BC55" s="1137">
        <f>VLOOKUP($AO55,$B$149:$H$172,BC$38,FALSE)</f>
        <v>0.13901345291479822</v>
      </c>
      <c r="BD55" s="1137">
        <f>VLOOKUP($AO55,$B$149:$H$172,BD$38,FALSE)</f>
        <v>0.125</v>
      </c>
      <c r="BE55" s="1149">
        <f>VLOOKUP($AO55,$B$149:$H$172,BE$38,FALSE)</f>
        <v>0.21319796954314721</v>
      </c>
      <c r="BF55" s="81"/>
      <c r="BG55" s="81"/>
      <c r="BH55" s="81"/>
      <c r="BI55" s="81"/>
      <c r="BJ55" s="81"/>
      <c r="BK55" s="81"/>
      <c r="BL55" s="81"/>
      <c r="BM55" s="81"/>
      <c r="BN55" s="81"/>
      <c r="BO55" s="81"/>
      <c r="BP55" s="81"/>
    </row>
    <row r="56" spans="1:68" ht="14.25" customHeight="1" x14ac:dyDescent="0.2">
      <c r="A56" s="278"/>
      <c r="B56" s="421"/>
      <c r="C56" s="421"/>
      <c r="D56" s="58"/>
      <c r="E56" s="58"/>
      <c r="F56" s="58"/>
      <c r="G56" s="58"/>
      <c r="H56" s="58"/>
      <c r="I56" s="58"/>
      <c r="J56" s="58"/>
      <c r="K56" s="12"/>
      <c r="L56" s="14"/>
      <c r="M56" s="14"/>
      <c r="N56" s="14"/>
      <c r="O56" s="14"/>
      <c r="P56" s="9"/>
      <c r="Q56" s="9"/>
      <c r="R56" s="9"/>
      <c r="S56" s="9"/>
      <c r="T56" s="9"/>
      <c r="U56" s="117"/>
      <c r="V56" s="137"/>
      <c r="W56" s="294"/>
      <c r="AK56" s="585" t="b">
        <v>1</v>
      </c>
      <c r="AL56" s="585"/>
      <c r="AM56" s="585"/>
      <c r="AN56" s="160" t="s">
        <v>14</v>
      </c>
      <c r="AO56" s="1179" t="str">
        <f t="shared" si="14"/>
        <v>Southampton</v>
      </c>
      <c r="AP56" s="1175">
        <f t="shared" si="17"/>
        <v>12.195121951219512</v>
      </c>
      <c r="AQ56" s="1024">
        <f t="shared" si="17"/>
        <v>8.0160320641282556</v>
      </c>
      <c r="AR56" s="1024">
        <f t="shared" si="17"/>
        <v>5.5666003976143141</v>
      </c>
      <c r="AS56" s="1024">
        <f t="shared" si="17"/>
        <v>2.5590551181102366</v>
      </c>
      <c r="AT56" s="1024" t="e">
        <f t="shared" si="17"/>
        <v>#N/A</v>
      </c>
      <c r="AU56" s="1156">
        <f t="shared" si="16"/>
        <v>20.5</v>
      </c>
      <c r="AV56" s="1152" t="e">
        <f>VLOOKUP($AO56,#REF!,AV$38,FALSE)</f>
        <v>#REF!</v>
      </c>
      <c r="AW56" s="1137" t="e">
        <f>VLOOKUP($AO56,#REF!,AW$38,FALSE)</f>
        <v>#REF!</v>
      </c>
      <c r="AX56" s="1137" t="e">
        <f>VLOOKUP($AO56,#REF!,AX$38,FALSE)</f>
        <v>#REF!</v>
      </c>
      <c r="AY56" s="1137" t="e">
        <f>VLOOKUP($AO56,#REF!,AY$38,FALSE)</f>
        <v>#REF!</v>
      </c>
      <c r="AZ56" s="1149" t="e">
        <f>VLOOKUP($AO56,#REF!,AZ$38,FALSE)</f>
        <v>#REF!</v>
      </c>
      <c r="BA56" s="1152">
        <f>VLOOKUP($AO56,$B$149:$H$172,BA$38,FALSE)</f>
        <v>0.3073170731707317</v>
      </c>
      <c r="BB56" s="1137">
        <f>VLOOKUP($AO56,$B$149:$H$172,BB$38,FALSE)</f>
        <v>0.34841628959276016</v>
      </c>
      <c r="BC56" s="1137">
        <f>VLOOKUP($AO56,$B$149:$H$172,BC$38,FALSE)</f>
        <v>0.27411167512690354</v>
      </c>
      <c r="BD56" s="1137">
        <f>VLOOKUP($AO56,$B$149:$H$172,BD$38,FALSE)</f>
        <v>0.22429906542056074</v>
      </c>
      <c r="BE56" s="1149">
        <f>VLOOKUP($AO56,$B$149:$H$172,BE$38,FALSE)</f>
        <v>0.135678391959799</v>
      </c>
      <c r="BF56" s="81"/>
      <c r="BG56" s="81"/>
      <c r="BH56" s="81"/>
      <c r="BI56" s="81"/>
      <c r="BJ56" s="81"/>
      <c r="BK56" s="81"/>
      <c r="BL56" s="81"/>
      <c r="BM56" s="81"/>
      <c r="BN56" s="81"/>
      <c r="BO56" s="81"/>
      <c r="BP56" s="81"/>
    </row>
    <row r="57" spans="1:68" ht="14.25" customHeight="1" x14ac:dyDescent="0.2">
      <c r="A57" s="278"/>
      <c r="B57" s="421"/>
      <c r="C57" s="421"/>
      <c r="D57" s="58"/>
      <c r="E57" s="58"/>
      <c r="F57" s="58"/>
      <c r="G57" s="58"/>
      <c r="H57" s="58"/>
      <c r="I57" s="58"/>
      <c r="J57" s="58"/>
      <c r="K57" s="12"/>
      <c r="L57" s="14"/>
      <c r="M57" s="14"/>
      <c r="N57" s="14"/>
      <c r="O57" s="14"/>
      <c r="P57" s="9"/>
      <c r="Q57" s="9"/>
      <c r="R57" s="9"/>
      <c r="S57" s="9"/>
      <c r="T57" s="9"/>
      <c r="U57" s="117"/>
      <c r="V57" s="137"/>
      <c r="W57" s="294"/>
      <c r="AK57" s="585" t="b">
        <v>1</v>
      </c>
      <c r="AL57" s="585"/>
      <c r="AM57" s="585"/>
      <c r="AN57" s="160" t="s">
        <v>7</v>
      </c>
      <c r="AO57" s="1179" t="str">
        <f t="shared" si="14"/>
        <v>Surrey</v>
      </c>
      <c r="AP57" s="1175">
        <f t="shared" si="17"/>
        <v>1.3650546021840875</v>
      </c>
      <c r="AQ57" s="1024">
        <f t="shared" si="17"/>
        <v>0.84942084942084939</v>
      </c>
      <c r="AR57" s="1024">
        <f t="shared" si="17"/>
        <v>0.53784095274683064</v>
      </c>
      <c r="AS57" s="1024">
        <f t="shared" si="17"/>
        <v>0.49637266132111491</v>
      </c>
      <c r="AT57" s="1024" t="e">
        <f t="shared" si="17"/>
        <v>#N/A</v>
      </c>
      <c r="AU57" s="1156">
        <f t="shared" si="16"/>
        <v>8.3000000000000007</v>
      </c>
      <c r="AV57" s="1152" t="e">
        <f>VLOOKUP($AO57,#REF!,AV$38,FALSE)</f>
        <v>#REF!</v>
      </c>
      <c r="AW57" s="1137" t="e">
        <f>VLOOKUP($AO57,#REF!,AW$38,FALSE)</f>
        <v>#REF!</v>
      </c>
      <c r="AX57" s="1137" t="e">
        <f>VLOOKUP($AO57,#REF!,AX$38,FALSE)</f>
        <v>#REF!</v>
      </c>
      <c r="AY57" s="1137" t="e">
        <f>VLOOKUP($AO57,#REF!,AY$38,FALSE)</f>
        <v>#REF!</v>
      </c>
      <c r="AZ57" s="1149" t="e">
        <f>VLOOKUP($AO57,#REF!,AZ$38,FALSE)</f>
        <v>#REF!</v>
      </c>
      <c r="BA57" s="1152">
        <f>VLOOKUP($AO57,$B$149:$H$172,BA$38,FALSE)</f>
        <v>0.12592592592592591</v>
      </c>
      <c r="BB57" s="1137">
        <f>VLOOKUP($AO57,$B$149:$H$172,BB$38,FALSE)</f>
        <v>0.12171837708830549</v>
      </c>
      <c r="BC57" s="1137">
        <f>VLOOKUP($AO57,$B$149:$H$172,BC$38,FALSE)</f>
        <v>8.0684596577017112E-2</v>
      </c>
      <c r="BD57" s="1137">
        <f>VLOOKUP($AO57,$B$149:$H$172,BD$38,FALSE)</f>
        <v>6.0913705583756347E-2</v>
      </c>
      <c r="BE57" s="1149">
        <f>VLOOKUP($AO57,$B$149:$H$172,BE$38,FALSE)</f>
        <v>7.6712328767123292E-2</v>
      </c>
      <c r="BF57" s="81"/>
      <c r="BG57" s="81"/>
      <c r="BH57" s="81"/>
      <c r="BI57" s="81"/>
      <c r="BJ57" s="81"/>
      <c r="BK57" s="81"/>
      <c r="BL57" s="81"/>
      <c r="BM57" s="81"/>
      <c r="BN57" s="81"/>
      <c r="BO57" s="81"/>
      <c r="BP57" s="81"/>
    </row>
    <row r="58" spans="1:68" ht="14.25" customHeight="1" x14ac:dyDescent="0.2">
      <c r="A58" s="278"/>
      <c r="B58" s="421"/>
      <c r="C58" s="421"/>
      <c r="D58" s="58"/>
      <c r="E58" s="58"/>
      <c r="F58" s="58"/>
      <c r="G58" s="58"/>
      <c r="H58" s="58"/>
      <c r="I58" s="58"/>
      <c r="J58" s="58"/>
      <c r="K58" s="12"/>
      <c r="L58" s="14"/>
      <c r="M58" s="14"/>
      <c r="N58" s="14"/>
      <c r="O58" s="14"/>
      <c r="P58" s="9"/>
      <c r="Q58" s="9"/>
      <c r="R58" s="9"/>
      <c r="S58" s="9"/>
      <c r="T58" s="9"/>
      <c r="U58" s="117"/>
      <c r="V58" s="137"/>
      <c r="W58" s="294"/>
      <c r="AK58" s="585" t="b">
        <v>1</v>
      </c>
      <c r="AL58" s="585"/>
      <c r="AM58" s="585"/>
      <c r="AN58" s="160" t="s">
        <v>113</v>
      </c>
      <c r="AO58" s="1179" t="str">
        <f t="shared" si="14"/>
        <v>Swindon</v>
      </c>
      <c r="AP58" s="1175">
        <f t="shared" si="17"/>
        <v>1.0204081632653061</v>
      </c>
      <c r="AQ58" s="1024" t="e">
        <f t="shared" si="17"/>
        <v>#N/A</v>
      </c>
      <c r="AR58" s="1024" t="e">
        <f t="shared" si="17"/>
        <v>#N/A</v>
      </c>
      <c r="AS58" s="1024">
        <f t="shared" si="17"/>
        <v>1.9920318725099602</v>
      </c>
      <c r="AT58" s="1024">
        <f t="shared" si="17"/>
        <v>2.3809523809523809</v>
      </c>
      <c r="AU58" s="1156">
        <f t="shared" si="16"/>
        <v>14.899999999999999</v>
      </c>
      <c r="AV58" s="1152" t="e">
        <f>VLOOKUP($AO58,#REF!,AV$38,FALSE)</f>
        <v>#REF!</v>
      </c>
      <c r="AW58" s="1137" t="e">
        <f>VLOOKUP($AO58,#REF!,AW$38,FALSE)</f>
        <v>#REF!</v>
      </c>
      <c r="AX58" s="1137" t="e">
        <f>VLOOKUP($AO58,#REF!,AX$38,FALSE)</f>
        <v>#REF!</v>
      </c>
      <c r="AY58" s="1137" t="e">
        <f>VLOOKUP($AO58,#REF!,AY$38,FALSE)</f>
        <v>#REF!</v>
      </c>
      <c r="AZ58" s="1149" t="e">
        <f>VLOOKUP($AO58,#REF!,AZ$38,FALSE)</f>
        <v>#REF!</v>
      </c>
      <c r="BA58" s="1152">
        <f>VLOOKUP($AO58,$B$149:$H$172,BA$38,FALSE)</f>
        <v>5.0359712230215826E-2</v>
      </c>
      <c r="BB58" s="1137">
        <f>VLOOKUP($AO58,$B$149:$H$172,BB$38,FALSE)</f>
        <v>0.12666666666666668</v>
      </c>
      <c r="BC58" s="1137">
        <f>VLOOKUP($AO58,$B$149:$H$172,BC$38,FALSE)</f>
        <v>0.1032258064516129</v>
      </c>
      <c r="BD58" s="1137">
        <f>VLOOKUP($AO58,$B$149:$H$172,BD$38,FALSE)</f>
        <v>0.10738255033557047</v>
      </c>
      <c r="BE58" s="1149">
        <f>VLOOKUP($AO58,$B$149:$H$172,BE$38,FALSE)</f>
        <v>0.18709677419354839</v>
      </c>
      <c r="BF58" s="81"/>
      <c r="BG58" s="81"/>
      <c r="BH58" s="81"/>
      <c r="BI58" s="81"/>
      <c r="BJ58" s="81"/>
      <c r="BK58" s="81"/>
      <c r="BL58" s="81"/>
      <c r="BM58" s="81"/>
      <c r="BN58" s="81"/>
      <c r="BO58" s="81"/>
      <c r="BP58" s="81"/>
    </row>
    <row r="59" spans="1:68" ht="14.25" customHeight="1" x14ac:dyDescent="0.2">
      <c r="A59" s="278"/>
      <c r="B59" s="421"/>
      <c r="C59" s="421"/>
      <c r="D59" s="58"/>
      <c r="E59" s="58"/>
      <c r="F59" s="58"/>
      <c r="G59" s="58"/>
      <c r="H59" s="58"/>
      <c r="I59" s="58"/>
      <c r="J59" s="58"/>
      <c r="K59" s="12"/>
      <c r="L59" s="14"/>
      <c r="M59" s="14"/>
      <c r="N59" s="14"/>
      <c r="O59" s="14"/>
      <c r="P59" s="9"/>
      <c r="Q59" s="9"/>
      <c r="R59" s="9"/>
      <c r="S59" s="9"/>
      <c r="T59" s="9"/>
      <c r="U59" s="117"/>
      <c r="V59" s="137"/>
      <c r="W59" s="294"/>
      <c r="AK59" s="585" t="b">
        <v>1</v>
      </c>
      <c r="AL59" s="585"/>
      <c r="AM59" s="585"/>
      <c r="AN59" s="160" t="s">
        <v>114</v>
      </c>
      <c r="AO59" s="1179" t="str">
        <f t="shared" si="14"/>
        <v>Torbay</v>
      </c>
      <c r="AP59" s="1175">
        <f t="shared" si="17"/>
        <v>3.9682539682539684</v>
      </c>
      <c r="AQ59" s="1024">
        <f t="shared" si="17"/>
        <v>5.5118110236220472</v>
      </c>
      <c r="AR59" s="1024">
        <f t="shared" si="17"/>
        <v>2.7559055118110236</v>
      </c>
      <c r="AS59" s="1024">
        <f t="shared" si="17"/>
        <v>8.2677165354330704</v>
      </c>
      <c r="AT59" s="1024" t="e">
        <f t="shared" si="17"/>
        <v>#N/A</v>
      </c>
      <c r="AU59" s="1156">
        <f t="shared" si="16"/>
        <v>21.9</v>
      </c>
      <c r="AV59" s="1152" t="e">
        <f>VLOOKUP($AO59,#REF!,AV$38,FALSE)</f>
        <v>#REF!</v>
      </c>
      <c r="AW59" s="1137" t="e">
        <f>VLOOKUP($AO59,#REF!,AW$38,FALSE)</f>
        <v>#REF!</v>
      </c>
      <c r="AX59" s="1137" t="e">
        <f>VLOOKUP($AO59,#REF!,AX$38,FALSE)</f>
        <v>#REF!</v>
      </c>
      <c r="AY59" s="1137" t="e">
        <f>VLOOKUP($AO59,#REF!,AY$38,FALSE)</f>
        <v>#REF!</v>
      </c>
      <c r="AZ59" s="1149" t="e">
        <f>VLOOKUP($AO59,#REF!,AZ$38,FALSE)</f>
        <v>#REF!</v>
      </c>
      <c r="BA59" s="1152">
        <f>VLOOKUP($AO59,$B$149:$H$172,BA$38,FALSE)</f>
        <v>0.224</v>
      </c>
      <c r="BB59" s="1137">
        <f>VLOOKUP($AO59,$B$149:$H$172,BB$38,FALSE)</f>
        <v>0.12962962962962962</v>
      </c>
      <c r="BC59" s="1137">
        <f>VLOOKUP($AO59,$B$149:$H$172,BC$38,FALSE)</f>
        <v>0.19607843137254902</v>
      </c>
      <c r="BD59" s="1137">
        <f>VLOOKUP($AO59,$B$149:$H$172,BD$38,FALSE)</f>
        <v>9.3220338983050849E-2</v>
      </c>
      <c r="BE59" s="1149">
        <f>VLOOKUP($AO59,$B$149:$H$172,BE$38,FALSE)</f>
        <v>0.18439716312056736</v>
      </c>
      <c r="BF59" s="81"/>
      <c r="BG59" s="81"/>
      <c r="BH59" s="81"/>
      <c r="BI59" s="81"/>
      <c r="BJ59" s="81"/>
      <c r="BK59" s="81"/>
      <c r="BL59" s="81"/>
      <c r="BM59" s="81"/>
      <c r="BN59" s="81"/>
      <c r="BO59" s="81"/>
      <c r="BP59" s="81"/>
    </row>
    <row r="60" spans="1:68" ht="14.25" customHeight="1" x14ac:dyDescent="0.2">
      <c r="A60" s="278"/>
      <c r="B60" s="421"/>
      <c r="C60" s="421"/>
      <c r="D60" s="58"/>
      <c r="E60" s="58"/>
      <c r="F60" s="58"/>
      <c r="G60" s="58"/>
      <c r="H60" s="58"/>
      <c r="I60" s="58"/>
      <c r="J60" s="58"/>
      <c r="K60" s="12"/>
      <c r="L60" s="14"/>
      <c r="M60" s="14"/>
      <c r="N60" s="14"/>
      <c r="O60" s="14"/>
      <c r="P60" s="9"/>
      <c r="Q60" s="9"/>
      <c r="R60" s="9"/>
      <c r="S60" s="9"/>
      <c r="T60" s="9"/>
      <c r="U60" s="117"/>
      <c r="V60" s="137"/>
      <c r="W60" s="294"/>
      <c r="AK60" s="585" t="b">
        <v>1</v>
      </c>
      <c r="AL60" s="585"/>
      <c r="AM60" s="585"/>
      <c r="AN60" s="160" t="s">
        <v>15</v>
      </c>
      <c r="AO60" s="1179" t="str">
        <f t="shared" si="14"/>
        <v>West Berkshire</v>
      </c>
      <c r="AP60" s="1175">
        <f t="shared" si="17"/>
        <v>2.8011204481792715</v>
      </c>
      <c r="AQ60" s="1024" t="e">
        <f t="shared" si="17"/>
        <v>#N/A</v>
      </c>
      <c r="AR60" s="1024" t="e">
        <f t="shared" si="17"/>
        <v>#N/A</v>
      </c>
      <c r="AS60" s="1024" t="e">
        <f t="shared" si="17"/>
        <v>#N/A</v>
      </c>
      <c r="AT60" s="1024" t="e">
        <f t="shared" si="17"/>
        <v>#N/A</v>
      </c>
      <c r="AU60" s="1156">
        <f t="shared" si="16"/>
        <v>8.6999999999999993</v>
      </c>
      <c r="AV60" s="1152" t="e">
        <f>VLOOKUP($AO60,#REF!,AV$38,FALSE)</f>
        <v>#REF!</v>
      </c>
      <c r="AW60" s="1137" t="e">
        <f>VLOOKUP($AO60,#REF!,AW$38,FALSE)</f>
        <v>#REF!</v>
      </c>
      <c r="AX60" s="1137" t="e">
        <f>VLOOKUP($AO60,#REF!,AX$38,FALSE)</f>
        <v>#REF!</v>
      </c>
      <c r="AY60" s="1137" t="e">
        <f>VLOOKUP($AO60,#REF!,AY$38,FALSE)</f>
        <v>#REF!</v>
      </c>
      <c r="AZ60" s="1149" t="e">
        <f>VLOOKUP($AO60,#REF!,AZ$38,FALSE)</f>
        <v>#REF!</v>
      </c>
      <c r="BA60" s="1152">
        <f>VLOOKUP($AO60,$B$149:$H$172,BA$38,FALSE)</f>
        <v>0.10144927536231885</v>
      </c>
      <c r="BB60" s="1137">
        <f>VLOOKUP($AO60,$B$149:$H$172,BB$38,FALSE)</f>
        <v>0.16216216216216217</v>
      </c>
      <c r="BC60" s="1137" t="e">
        <f>VLOOKUP($AO60,$B$149:$H$172,BC$38,FALSE)</f>
        <v>#N/A</v>
      </c>
      <c r="BD60" s="1137">
        <f>VLOOKUP($AO60,$B$149:$H$172,BD$38,FALSE)</f>
        <v>0.11320754716981132</v>
      </c>
      <c r="BE60" s="1149">
        <f>VLOOKUP($AO60,$B$149:$H$172,BE$38,FALSE)</f>
        <v>8.1081081081081086E-2</v>
      </c>
      <c r="BF60" s="81"/>
      <c r="BG60" s="81"/>
      <c r="BH60" s="81"/>
      <c r="BI60" s="81"/>
      <c r="BJ60" s="81"/>
      <c r="BK60" s="81"/>
      <c r="BL60" s="81"/>
      <c r="BM60" s="81"/>
      <c r="BN60" s="81"/>
      <c r="BO60" s="81"/>
      <c r="BP60" s="81"/>
    </row>
    <row r="61" spans="1:68" ht="14.25" customHeight="1" x14ac:dyDescent="0.2">
      <c r="A61" s="278"/>
      <c r="B61" s="421"/>
      <c r="C61" s="421"/>
      <c r="D61" s="58"/>
      <c r="E61" s="58"/>
      <c r="F61" s="58"/>
      <c r="G61" s="58"/>
      <c r="H61" s="58"/>
      <c r="I61" s="58"/>
      <c r="J61" s="58"/>
      <c r="K61" s="12"/>
      <c r="L61" s="14"/>
      <c r="M61" s="14"/>
      <c r="N61" s="14"/>
      <c r="O61" s="14"/>
      <c r="P61" s="9"/>
      <c r="Q61" s="9"/>
      <c r="R61" s="9"/>
      <c r="S61" s="9"/>
      <c r="T61" s="9"/>
      <c r="U61" s="117"/>
      <c r="V61" s="137"/>
      <c r="W61" s="294"/>
      <c r="AK61" s="585" t="b">
        <v>1</v>
      </c>
      <c r="AL61" s="585"/>
      <c r="AM61" s="585"/>
      <c r="AN61" s="160" t="s">
        <v>5</v>
      </c>
      <c r="AO61" s="1179" t="str">
        <f t="shared" si="14"/>
        <v>West Sussex</v>
      </c>
      <c r="AP61" s="1175">
        <f t="shared" si="17"/>
        <v>2.640845070422535</v>
      </c>
      <c r="AQ61" s="1024">
        <f t="shared" si="17"/>
        <v>1.7462165308498254</v>
      </c>
      <c r="AR61" s="1024">
        <f t="shared" si="17"/>
        <v>2.3658395845354878</v>
      </c>
      <c r="AS61" s="1024">
        <f t="shared" si="17"/>
        <v>2.0034344590726958</v>
      </c>
      <c r="AT61" s="1024">
        <f t="shared" si="17"/>
        <v>1.8171493469619533</v>
      </c>
      <c r="AU61" s="1156">
        <f t="shared" si="16"/>
        <v>11</v>
      </c>
      <c r="AV61" s="1152" t="e">
        <f>VLOOKUP($AO61,#REF!,AV$38,FALSE)</f>
        <v>#REF!</v>
      </c>
      <c r="AW61" s="1137" t="e">
        <f>VLOOKUP($AO61,#REF!,AW$38,FALSE)</f>
        <v>#REF!</v>
      </c>
      <c r="AX61" s="1137" t="e">
        <f>VLOOKUP($AO61,#REF!,AX$38,FALSE)</f>
        <v>#REF!</v>
      </c>
      <c r="AY61" s="1137" t="e">
        <f>VLOOKUP($AO61,#REF!,AY$38,FALSE)</f>
        <v>#REF!</v>
      </c>
      <c r="AZ61" s="1149" t="e">
        <f>VLOOKUP($AO61,#REF!,AZ$38,FALSE)</f>
        <v>#REF!</v>
      </c>
      <c r="BA61" s="1152">
        <f>VLOOKUP($AO61,$B$149:$H$172,BA$38,FALSE)</f>
        <v>8.549222797927461E-2</v>
      </c>
      <c r="BB61" s="1137">
        <f>VLOOKUP($AO61,$B$149:$H$172,BB$38,FALSE)</f>
        <v>0.12885154061624648</v>
      </c>
      <c r="BC61" s="1137">
        <f>VLOOKUP($AO61,$B$149:$H$172,BC$38,FALSE)</f>
        <v>0.10355029585798817</v>
      </c>
      <c r="BD61" s="1137">
        <f>VLOOKUP($AO61,$B$149:$H$172,BD$38,FALSE)</f>
        <v>0.11864406779661017</v>
      </c>
      <c r="BE61" s="1149">
        <f>VLOOKUP($AO61,$B$149:$H$172,BE$38,FALSE)</f>
        <v>0.10985915492957747</v>
      </c>
      <c r="BF61" s="81"/>
      <c r="BG61" s="81"/>
      <c r="BH61" s="81"/>
      <c r="BI61" s="81"/>
      <c r="BJ61" s="81"/>
      <c r="BK61" s="81"/>
      <c r="BL61" s="81"/>
      <c r="BM61" s="81"/>
      <c r="BN61" s="81"/>
      <c r="BO61" s="81"/>
      <c r="BP61" s="81"/>
    </row>
    <row r="62" spans="1:68" s="81" customFormat="1" ht="14.25" customHeight="1" x14ac:dyDescent="0.2">
      <c r="A62" s="278"/>
      <c r="B62" s="421"/>
      <c r="C62" s="421"/>
      <c r="D62" s="58"/>
      <c r="E62" s="58"/>
      <c r="F62" s="58"/>
      <c r="G62" s="58"/>
      <c r="H62" s="58"/>
      <c r="I62" s="58"/>
      <c r="J62" s="58"/>
      <c r="K62" s="12"/>
      <c r="L62" s="14"/>
      <c r="M62" s="14"/>
      <c r="N62" s="14"/>
      <c r="O62" s="14"/>
      <c r="P62" s="9"/>
      <c r="Q62" s="9"/>
      <c r="R62" s="9"/>
      <c r="S62" s="9"/>
      <c r="T62" s="9"/>
      <c r="U62" s="117"/>
      <c r="V62" s="137"/>
      <c r="W62" s="294"/>
      <c r="AK62" s="585" t="b">
        <v>1</v>
      </c>
      <c r="AL62" s="585"/>
      <c r="AM62" s="585"/>
      <c r="AN62" s="160" t="s">
        <v>30</v>
      </c>
      <c r="AO62" s="1179" t="str">
        <f t="shared" si="14"/>
        <v>Windsor &amp; Maidenhead</v>
      </c>
      <c r="AP62" s="1175" t="e">
        <f t="shared" si="17"/>
        <v>#N/A</v>
      </c>
      <c r="AQ62" s="1024" t="e">
        <f t="shared" si="17"/>
        <v>#N/A</v>
      </c>
      <c r="AR62" s="1024" t="e">
        <f t="shared" si="17"/>
        <v>#N/A</v>
      </c>
      <c r="AS62" s="1024" t="e">
        <f t="shared" si="17"/>
        <v>#N/A</v>
      </c>
      <c r="AT62" s="1024" t="e">
        <f t="shared" si="17"/>
        <v>#N/A</v>
      </c>
      <c r="AU62" s="1156">
        <f t="shared" si="16"/>
        <v>6.7</v>
      </c>
      <c r="AV62" s="1152" t="e">
        <f>VLOOKUP($AO62,#REF!,AV$38,FALSE)</f>
        <v>#REF!</v>
      </c>
      <c r="AW62" s="1137" t="e">
        <f>VLOOKUP($AO62,#REF!,AW$38,FALSE)</f>
        <v>#REF!</v>
      </c>
      <c r="AX62" s="1137" t="e">
        <f>VLOOKUP($AO62,#REF!,AX$38,FALSE)</f>
        <v>#REF!</v>
      </c>
      <c r="AY62" s="1137" t="e">
        <f>VLOOKUP($AO62,#REF!,AY$38,FALSE)</f>
        <v>#REF!</v>
      </c>
      <c r="AZ62" s="1149" t="e">
        <f>VLOOKUP($AO62,#REF!,AZ$38,FALSE)</f>
        <v>#REF!</v>
      </c>
      <c r="BA62" s="1152">
        <f>VLOOKUP($AO62,$B$149:$H$172,BA$38,FALSE)</f>
        <v>0.16279069767441862</v>
      </c>
      <c r="BB62" s="1137">
        <f>VLOOKUP($AO62,$B$149:$H$172,BB$38,FALSE)</f>
        <v>0.17142857142857143</v>
      </c>
      <c r="BC62" s="1137" t="e">
        <f>VLOOKUP($AO62,$B$149:$H$172,BC$38,FALSE)</f>
        <v>#N/A</v>
      </c>
      <c r="BD62" s="1137">
        <f>VLOOKUP($AO62,$B$149:$H$172,BD$38,FALSE)</f>
        <v>0.13461538461538461</v>
      </c>
      <c r="BE62" s="1149">
        <f>VLOOKUP($AO62,$B$149:$H$172,BE$38,FALSE)</f>
        <v>0</v>
      </c>
    </row>
    <row r="63" spans="1:68" s="81" customFormat="1" ht="14.25" customHeight="1" x14ac:dyDescent="0.2">
      <c r="A63" s="278"/>
      <c r="B63" s="421"/>
      <c r="C63" s="421"/>
      <c r="D63" s="58"/>
      <c r="E63" s="58"/>
      <c r="F63" s="58"/>
      <c r="G63" s="58"/>
      <c r="H63" s="58"/>
      <c r="I63" s="58"/>
      <c r="J63" s="58"/>
      <c r="K63" s="12"/>
      <c r="L63" s="14"/>
      <c r="M63" s="14"/>
      <c r="N63" s="14"/>
      <c r="O63" s="14"/>
      <c r="P63" s="9"/>
      <c r="Q63" s="9"/>
      <c r="R63" s="9"/>
      <c r="S63" s="9"/>
      <c r="T63" s="9"/>
      <c r="U63" s="117"/>
      <c r="V63" s="137"/>
      <c r="W63" s="294"/>
      <c r="AK63" s="585" t="b">
        <v>1</v>
      </c>
      <c r="AL63" s="585"/>
      <c r="AM63" s="585"/>
      <c r="AN63" s="160" t="s">
        <v>16</v>
      </c>
      <c r="AO63" s="1179" t="str">
        <f t="shared" si="14"/>
        <v>Wokingham</v>
      </c>
      <c r="AP63" s="1175" t="e">
        <f t="shared" si="17"/>
        <v>#N/A</v>
      </c>
      <c r="AQ63" s="1024" t="e">
        <f t="shared" si="17"/>
        <v>#N/A</v>
      </c>
      <c r="AR63" s="1024" t="e">
        <f t="shared" si="17"/>
        <v>#N/A</v>
      </c>
      <c r="AS63" s="1024" t="e">
        <f t="shared" si="17"/>
        <v>#N/A</v>
      </c>
      <c r="AT63" s="1024" t="e">
        <f t="shared" si="17"/>
        <v>#N/A</v>
      </c>
      <c r="AU63" s="1156">
        <f t="shared" si="16"/>
        <v>5.6000000000000005</v>
      </c>
      <c r="AV63" s="1152" t="e">
        <f>VLOOKUP($AO63,#REF!,AV$38,FALSE)</f>
        <v>#REF!</v>
      </c>
      <c r="AW63" s="1137" t="e">
        <f>VLOOKUP($AO63,#REF!,AW$38,FALSE)</f>
        <v>#REF!</v>
      </c>
      <c r="AX63" s="1137" t="e">
        <f>VLOOKUP($AO63,#REF!,AX$38,FALSE)</f>
        <v>#REF!</v>
      </c>
      <c r="AY63" s="1137" t="e">
        <f>VLOOKUP($AO63,#REF!,AY$38,FALSE)</f>
        <v>#REF!</v>
      </c>
      <c r="AZ63" s="1149" t="e">
        <f>VLOOKUP($AO63,#REF!,AZ$38,FALSE)</f>
        <v>#REF!</v>
      </c>
      <c r="BA63" s="1152" t="e">
        <f>VLOOKUP($AO63,$B$149:$H$172,BA$38,FALSE)</f>
        <v>#N/A</v>
      </c>
      <c r="BB63" s="1137" t="e">
        <f>VLOOKUP($AO63,$B$149:$H$172,BB$38,FALSE)</f>
        <v>#N/A</v>
      </c>
      <c r="BC63" s="1137" t="e">
        <f>VLOOKUP($AO63,$B$149:$H$172,BC$38,FALSE)</f>
        <v>#N/A</v>
      </c>
      <c r="BD63" s="1137" t="e">
        <f>VLOOKUP($AO63,$B$149:$H$172,BD$38,FALSE)</f>
        <v>#N/A</v>
      </c>
      <c r="BE63" s="1149">
        <f>VLOOKUP($AO63,$B$149:$H$172,BE$38,FALSE)</f>
        <v>0.10909090909090909</v>
      </c>
    </row>
    <row r="64" spans="1:68" s="81" customFormat="1" ht="14.25" customHeight="1" x14ac:dyDescent="0.2">
      <c r="A64" s="278"/>
      <c r="B64" s="421"/>
      <c r="C64" s="421"/>
      <c r="D64" s="58"/>
      <c r="E64" s="58"/>
      <c r="F64" s="58"/>
      <c r="G64" s="58"/>
      <c r="H64" s="58"/>
      <c r="I64" s="58"/>
      <c r="J64" s="58"/>
      <c r="K64" s="12"/>
      <c r="L64" s="14"/>
      <c r="M64" s="14"/>
      <c r="N64" s="14"/>
      <c r="O64" s="14"/>
      <c r="P64" s="9"/>
      <c r="Q64" s="9"/>
      <c r="R64" s="9"/>
      <c r="S64" s="9"/>
      <c r="T64" s="9"/>
      <c r="U64" s="117"/>
      <c r="V64" s="137"/>
      <c r="W64" s="294"/>
      <c r="AK64" s="585" t="b">
        <v>1</v>
      </c>
      <c r="AL64" s="585"/>
      <c r="AM64" s="585"/>
      <c r="AN64" s="160" t="s">
        <v>74</v>
      </c>
      <c r="AO64" s="1179" t="str">
        <f t="shared" si="14"/>
        <v>South East</v>
      </c>
      <c r="AP64" s="1175">
        <f t="shared" si="17"/>
        <v>2.3352508970780885</v>
      </c>
      <c r="AQ64" s="1024">
        <f t="shared" si="17"/>
        <v>2.2141941498659832</v>
      </c>
      <c r="AR64" s="1024">
        <f t="shared" si="17"/>
        <v>2.0359281437125749</v>
      </c>
      <c r="AS64" s="1024">
        <f t="shared" si="17"/>
        <v>1.7484700886724116</v>
      </c>
      <c r="AT64" s="1024">
        <f t="shared" si="17"/>
        <v>1.6872511304582574</v>
      </c>
      <c r="AU64" s="1156">
        <f t="shared" si="16"/>
        <v>13.023146175906508</v>
      </c>
      <c r="AV64" s="1152" t="e">
        <f>VLOOKUP($AO64,#REF!,AV$38,FALSE)</f>
        <v>#REF!</v>
      </c>
      <c r="AW64" s="1137" t="e">
        <f>VLOOKUP($AO64,#REF!,AW$38,FALSE)</f>
        <v>#REF!</v>
      </c>
      <c r="AX64" s="1137" t="e">
        <f>VLOOKUP($AO64,#REF!,AX$38,FALSE)</f>
        <v>#REF!</v>
      </c>
      <c r="AY64" s="1137" t="e">
        <f>VLOOKUP($AO64,#REF!,AY$38,FALSE)</f>
        <v>#REF!</v>
      </c>
      <c r="AZ64" s="1149" t="e">
        <f>VLOOKUP($AO64,#REF!,AZ$38,FALSE)</f>
        <v>#REF!</v>
      </c>
      <c r="BA64" s="1152">
        <f>VLOOKUP($AO64,$B$149:$H$172,BA$38,FALSE)</f>
        <v>0.14193548387096774</v>
      </c>
      <c r="BB64" s="1137">
        <f>VLOOKUP($AO64,$B$149:$H$172,BB$38,FALSE)</f>
        <v>0.13118279569892474</v>
      </c>
      <c r="BC64" s="1137">
        <f>VLOOKUP($AO64,$B$149:$H$172,BC$38,FALSE)</f>
        <v>0.12296983758700696</v>
      </c>
      <c r="BD64" s="1137">
        <f>VLOOKUP($AO64,$B$149:$H$172,BD$38,FALSE)</f>
        <v>0.12318840579710146</v>
      </c>
      <c r="BE64" s="1149">
        <f>VLOOKUP($AO64,$B$149:$H$172,BE$38,FALSE)</f>
        <v>0.11032863849765258</v>
      </c>
    </row>
    <row r="65" spans="1:57" s="81" customFormat="1" ht="14.25" customHeight="1" x14ac:dyDescent="0.2">
      <c r="A65" s="278"/>
      <c r="B65" s="421"/>
      <c r="C65" s="421"/>
      <c r="D65" s="58"/>
      <c r="E65" s="58"/>
      <c r="F65" s="58"/>
      <c r="G65" s="58"/>
      <c r="H65" s="58"/>
      <c r="I65" s="58"/>
      <c r="J65" s="58"/>
      <c r="K65" s="12"/>
      <c r="L65" s="110"/>
      <c r="M65" s="1750" t="s">
        <v>72</v>
      </c>
      <c r="N65" s="1750"/>
      <c r="O65" s="1750"/>
      <c r="P65" s="1011"/>
      <c r="Q65" s="1751" t="s">
        <v>100</v>
      </c>
      <c r="R65" s="1751"/>
      <c r="S65" s="1751"/>
      <c r="T65" s="1751"/>
      <c r="U65" s="117"/>
      <c r="V65" s="137"/>
      <c r="W65" s="294"/>
      <c r="AK65" s="585" t="b">
        <v>1</v>
      </c>
      <c r="AL65" s="585"/>
      <c r="AM65" s="585"/>
      <c r="AN65" s="160" t="s">
        <v>127</v>
      </c>
      <c r="AO65" s="1179" t="str">
        <f t="shared" si="14"/>
        <v>England</v>
      </c>
      <c r="AP65" s="1175">
        <f t="shared" si="17"/>
        <v>2.5175759340292343</v>
      </c>
      <c r="AQ65" s="1024">
        <f t="shared" si="17"/>
        <v>2.1382569811544894</v>
      </c>
      <c r="AR65" s="1024">
        <f t="shared" si="17"/>
        <v>1.8791606977332098</v>
      </c>
      <c r="AS65" s="1024">
        <f t="shared" si="17"/>
        <v>1.8319308048784566</v>
      </c>
      <c r="AT65" s="1024">
        <f t="shared" si="17"/>
        <v>1.7132971822083238</v>
      </c>
      <c r="AU65" s="1156">
        <f t="shared" si="16"/>
        <v>17.084413405029373</v>
      </c>
      <c r="AV65" s="1152" t="e">
        <f>VLOOKUP($AO65,#REF!,AV$38,FALSE)</f>
        <v>#REF!</v>
      </c>
      <c r="AW65" s="1137" t="e">
        <f>VLOOKUP($AO65,#REF!,AW$38,FALSE)</f>
        <v>#REF!</v>
      </c>
      <c r="AX65" s="1137" t="e">
        <f>VLOOKUP($AO65,#REF!,AX$38,FALSE)</f>
        <v>#REF!</v>
      </c>
      <c r="AY65" s="1137" t="e">
        <f>VLOOKUP($AO65,#REF!,AY$38,FALSE)</f>
        <v>#REF!</v>
      </c>
      <c r="AZ65" s="1149" t="e">
        <f>VLOOKUP($AO65,#REF!,AZ$38,FALSE)</f>
        <v>#REF!</v>
      </c>
      <c r="BA65" s="1152">
        <f>VLOOKUP($AO65,$B$149:$H$172,BA$38,FALSE)</f>
        <v>0.14783427495291901</v>
      </c>
      <c r="BB65" s="1137">
        <f>VLOOKUP($AO65,$B$149:$H$172,BB$38,FALSE)</f>
        <v>0.13917197452229299</v>
      </c>
      <c r="BC65" s="1137">
        <f>VLOOKUP($AO65,$B$149:$H$172,BC$38,FALSE)</f>
        <v>0.1281198003327787</v>
      </c>
      <c r="BD65" s="1137">
        <f>VLOOKUP($AO65,$B$149:$H$172,BD$38,FALSE)</f>
        <v>0.12118126272912423</v>
      </c>
      <c r="BE65" s="1149">
        <f>VLOOKUP($AO65,$B$149:$H$172,BE$38,FALSE)</f>
        <v>0.1165934437309902</v>
      </c>
    </row>
    <row r="66" spans="1:57" s="81" customFormat="1" ht="14.25" customHeight="1" x14ac:dyDescent="0.2">
      <c r="A66" s="278"/>
      <c r="B66" s="421"/>
      <c r="C66" s="421"/>
      <c r="D66" s="58"/>
      <c r="E66" s="58"/>
      <c r="F66" s="58"/>
      <c r="G66" s="58"/>
      <c r="H66" s="58"/>
      <c r="I66" s="58"/>
      <c r="J66" s="58"/>
      <c r="K66" s="12"/>
      <c r="L66" s="111"/>
      <c r="M66" s="1751" t="str">
        <f>Z4</f>
        <v>Selected LA- (none)</v>
      </c>
      <c r="N66" s="1751"/>
      <c r="O66" s="1751"/>
      <c r="P66" s="1751"/>
      <c r="Q66" s="1751"/>
      <c r="R66" s="1751"/>
      <c r="S66" s="1751"/>
      <c r="T66" s="1751"/>
      <c r="U66" s="117"/>
      <c r="V66" s="137"/>
      <c r="W66" s="150"/>
      <c r="AN66" s="161"/>
      <c r="AO66" s="1180" t="str">
        <f>Z4</f>
        <v>Selected LA- (none)</v>
      </c>
      <c r="AP66" s="1176" t="e">
        <f>VLOOKUP($Y4,$B$10:$P$32,AP$38,FALSE)</f>
        <v>#N/A</v>
      </c>
      <c r="AQ66" s="1177" t="e">
        <f>VLOOKUP($Y4,$B$10:$P$32,AQ$38,FALSE)</f>
        <v>#N/A</v>
      </c>
      <c r="AR66" s="1177" t="e">
        <f>VLOOKUP($Y4,$B$10:$P$32,AR$38,FALSE)</f>
        <v>#N/A</v>
      </c>
      <c r="AS66" s="1177" t="e">
        <f>VLOOKUP($Y4,$B$10:$P$32,AS$38,FALSE)</f>
        <v>#N/A</v>
      </c>
      <c r="AT66" s="1177" t="e">
        <f>VLOOKUP($Y4,$B$10:$P$32,AT$38,FALSE)</f>
        <v>#N/A</v>
      </c>
      <c r="AU66" s="1157" t="e">
        <f>VLOOKUP(Y4,$B$10:$U$33,AU$38,FALSE)</f>
        <v>#N/A</v>
      </c>
      <c r="AV66" s="1153" t="e">
        <f>VLOOKUP($Y$4,#REF!,AV$38,FALSE)</f>
        <v>#REF!</v>
      </c>
      <c r="AW66" s="1154" t="e">
        <f>VLOOKUP($Y$4,#REF!,AW$38,FALSE)</f>
        <v>#REF!</v>
      </c>
      <c r="AX66" s="1154" t="e">
        <f>VLOOKUP($Y$4,#REF!,AX$38,FALSE)</f>
        <v>#REF!</v>
      </c>
      <c r="AY66" s="1154" t="e">
        <f>VLOOKUP($Y$4,#REF!,AY$38,FALSE)</f>
        <v>#REF!</v>
      </c>
      <c r="AZ66" s="1151" t="e">
        <f>VLOOKUP($Y$4,#REF!,AZ$38,FALSE)</f>
        <v>#REF!</v>
      </c>
      <c r="BA66" s="1153" t="e">
        <f>VLOOKUP($Y$4,$B$149:$H$172,BA$38,FALSE)</f>
        <v>#N/A</v>
      </c>
      <c r="BB66" s="1154" t="e">
        <f>VLOOKUP($Y$4,$B$149:$H$172,BB$38,FALSE)</f>
        <v>#N/A</v>
      </c>
      <c r="BC66" s="1154" t="e">
        <f>VLOOKUP($Y$4,$B$149:$H$172,BC$38,FALSE)</f>
        <v>#N/A</v>
      </c>
      <c r="BD66" s="1154" t="e">
        <f>VLOOKUP($Y$4,$B$149:$H$172,BD$38,FALSE)</f>
        <v>#N/A</v>
      </c>
      <c r="BE66" s="1151" t="e">
        <f>VLOOKUP($Y$4,$B$149:$H$172,BE$38,FALSE)</f>
        <v>#N/A</v>
      </c>
    </row>
    <row r="67" spans="1:57" s="81" customFormat="1" ht="42" customHeight="1" x14ac:dyDescent="0.2">
      <c r="A67" s="278"/>
      <c r="B67" s="421"/>
      <c r="C67" s="421"/>
      <c r="D67" s="58"/>
      <c r="E67" s="58"/>
      <c r="F67" s="58"/>
      <c r="G67" s="58"/>
      <c r="H67" s="58"/>
      <c r="I67" s="58"/>
      <c r="J67" s="58"/>
      <c r="K67" s="12"/>
      <c r="L67" s="9"/>
      <c r="M67" s="9"/>
      <c r="N67" s="9"/>
      <c r="O67" s="9"/>
      <c r="P67" s="9"/>
      <c r="Q67" s="9"/>
      <c r="R67" s="9"/>
      <c r="S67" s="9"/>
      <c r="T67" s="9"/>
      <c r="U67" s="117"/>
      <c r="V67" s="137"/>
      <c r="W67" s="150"/>
      <c r="AN67" s="161"/>
    </row>
    <row r="68" spans="1:57" s="87" customFormat="1" ht="42" customHeight="1" x14ac:dyDescent="0.2">
      <c r="A68" s="292"/>
      <c r="B68" s="109"/>
      <c r="C68" s="109"/>
      <c r="D68" s="109"/>
      <c r="E68" s="109"/>
      <c r="F68" s="109"/>
      <c r="G68" s="109"/>
      <c r="H68" s="109"/>
      <c r="I68" s="109"/>
      <c r="J68" s="109"/>
      <c r="K68" s="96"/>
      <c r="L68" s="85"/>
      <c r="M68" s="85"/>
      <c r="N68" s="85"/>
      <c r="O68" s="85"/>
      <c r="P68" s="85"/>
      <c r="Q68" s="85"/>
      <c r="R68" s="85"/>
      <c r="S68" s="85"/>
      <c r="T68" s="85"/>
      <c r="U68" s="122"/>
      <c r="V68" s="139"/>
      <c r="W68" s="152"/>
      <c r="AC68" s="190"/>
      <c r="AD68" s="190"/>
      <c r="AE68" s="190"/>
      <c r="AF68" s="190"/>
      <c r="AG68" s="190"/>
      <c r="AH68" s="190"/>
      <c r="AI68" s="190"/>
      <c r="AJ68" s="190"/>
      <c r="AK68" s="202"/>
      <c r="AL68" s="202"/>
      <c r="AM68" s="202"/>
      <c r="AN68" s="160"/>
    </row>
    <row r="69" spans="1:57" s="87" customFormat="1" ht="42.75" customHeight="1" x14ac:dyDescent="0.2">
      <c r="A69" s="292"/>
      <c r="B69" s="109"/>
      <c r="C69" s="109"/>
      <c r="D69" s="109"/>
      <c r="E69" s="109"/>
      <c r="F69" s="109"/>
      <c r="G69" s="109"/>
      <c r="H69" s="109"/>
      <c r="I69" s="109"/>
      <c r="J69" s="109"/>
      <c r="K69" s="96"/>
      <c r="L69" s="85"/>
      <c r="M69" s="85"/>
      <c r="N69" s="85"/>
      <c r="O69" s="85"/>
      <c r="P69" s="85"/>
      <c r="Q69" s="85"/>
      <c r="R69" s="85"/>
      <c r="S69" s="85"/>
      <c r="T69" s="85"/>
      <c r="U69" s="122"/>
      <c r="V69" s="139"/>
      <c r="W69" s="152"/>
      <c r="AC69" s="190"/>
      <c r="AD69" s="190"/>
      <c r="AE69" s="190"/>
      <c r="AF69" s="190"/>
      <c r="AG69" s="190"/>
      <c r="AH69" s="190"/>
      <c r="AI69" s="190"/>
      <c r="AJ69" s="190"/>
      <c r="AK69" s="202"/>
      <c r="AL69" s="202"/>
      <c r="AM69" s="202"/>
      <c r="AN69" s="160"/>
    </row>
    <row r="70" spans="1:57" ht="7.5" customHeight="1" x14ac:dyDescent="0.2">
      <c r="A70" s="278"/>
      <c r="B70" s="17"/>
      <c r="C70" s="17"/>
      <c r="D70" s="16"/>
      <c r="E70" s="16"/>
      <c r="F70" s="16"/>
      <c r="G70" s="16"/>
      <c r="H70" s="16"/>
      <c r="I70" s="16"/>
      <c r="J70" s="16"/>
      <c r="K70" s="12"/>
      <c r="L70" s="18"/>
      <c r="M70" s="18"/>
      <c r="N70" s="18"/>
      <c r="O70" s="18"/>
      <c r="P70" s="18"/>
      <c r="Q70" s="18"/>
      <c r="R70" s="18"/>
      <c r="S70" s="18"/>
      <c r="T70" s="18"/>
      <c r="U70" s="1070"/>
      <c r="V70" s="139"/>
      <c r="W70" s="152"/>
      <c r="X70" s="87"/>
      <c r="Y70" s="87"/>
      <c r="Z70" s="87"/>
      <c r="AA70" s="87"/>
      <c r="AB70" s="87"/>
      <c r="AC70" s="190"/>
      <c r="AD70" s="190"/>
      <c r="AE70" s="190"/>
      <c r="AF70" s="190"/>
      <c r="AG70" s="190"/>
      <c r="AH70" s="190"/>
      <c r="AI70" s="190"/>
      <c r="AJ70" s="190"/>
      <c r="AK70" s="202"/>
      <c r="AL70" s="202"/>
      <c r="AM70" s="202"/>
      <c r="AN70" s="160"/>
    </row>
    <row r="71" spans="1:57" ht="15" customHeight="1" x14ac:dyDescent="0.2">
      <c r="A71" s="1775"/>
      <c r="B71" s="1760"/>
      <c r="C71" s="1760"/>
      <c r="D71" s="1760"/>
      <c r="E71" s="1760"/>
      <c r="F71" s="1760"/>
      <c r="G71" s="1760"/>
      <c r="H71" s="1760"/>
      <c r="I71" s="1760"/>
      <c r="J71" s="1760"/>
      <c r="K71" s="1760"/>
      <c r="L71" s="1760"/>
      <c r="M71" s="1760"/>
      <c r="N71" s="1760"/>
      <c r="O71" s="1760"/>
      <c r="P71" s="1760"/>
      <c r="Q71" s="1760"/>
      <c r="R71" s="1760"/>
      <c r="S71" s="1760"/>
      <c r="T71" s="1760"/>
      <c r="U71" s="1761"/>
      <c r="V71" s="139"/>
      <c r="W71" s="152"/>
      <c r="X71" s="87"/>
      <c r="Y71" s="87"/>
      <c r="Z71" s="87"/>
      <c r="AA71" s="87"/>
      <c r="AB71" s="87"/>
      <c r="AC71" s="190"/>
      <c r="AD71" s="190"/>
      <c r="AE71" s="190"/>
      <c r="AF71" s="190"/>
      <c r="AG71" s="190"/>
      <c r="AH71" s="190"/>
      <c r="AI71" s="190"/>
      <c r="AJ71" s="190"/>
      <c r="AK71" s="202"/>
      <c r="AL71" s="202"/>
      <c r="AM71" s="202"/>
      <c r="AN71" s="160"/>
    </row>
    <row r="72" spans="1:57" ht="11.25" customHeight="1" x14ac:dyDescent="0.2">
      <c r="A72" s="1776" t="str">
        <f>Home!$A$39</f>
        <v xml:space="preserve"> </v>
      </c>
      <c r="B72" s="1768"/>
      <c r="C72" s="1768"/>
      <c r="D72" s="1768"/>
      <c r="E72" s="1768"/>
      <c r="F72" s="1768"/>
      <c r="G72" s="1768"/>
      <c r="H72" s="1768"/>
      <c r="I72" s="1768"/>
      <c r="J72" s="1768"/>
      <c r="K72" s="1768"/>
      <c r="L72" s="1768"/>
      <c r="M72" s="1768"/>
      <c r="N72" s="1768"/>
      <c r="O72" s="1768"/>
      <c r="P72" s="1768"/>
      <c r="Q72" s="1768"/>
      <c r="R72" s="1768"/>
      <c r="S72" s="1768"/>
      <c r="T72" s="1768"/>
      <c r="U72" s="1848"/>
      <c r="V72" s="139"/>
      <c r="W72" s="152"/>
      <c r="X72" s="87"/>
      <c r="Y72" s="87"/>
      <c r="Z72" s="87"/>
      <c r="AA72" s="87"/>
      <c r="AB72" s="87"/>
      <c r="AC72" s="190"/>
      <c r="AD72" s="190"/>
      <c r="AE72" s="190"/>
      <c r="AF72" s="190"/>
      <c r="AG72" s="190"/>
      <c r="AH72" s="190"/>
      <c r="AI72" s="190"/>
      <c r="AJ72" s="190"/>
      <c r="AK72" s="202"/>
      <c r="AL72" s="202"/>
      <c r="AM72" s="202"/>
      <c r="AN72" s="160"/>
    </row>
    <row r="73" spans="1:57" ht="18.75" customHeight="1" x14ac:dyDescent="0.2">
      <c r="A73" s="112"/>
      <c r="B73" s="113"/>
      <c r="C73" s="113"/>
      <c r="D73" s="113"/>
      <c r="E73" s="113"/>
      <c r="F73" s="113"/>
      <c r="G73" s="113"/>
      <c r="H73" s="113"/>
      <c r="I73" s="113"/>
      <c r="J73" s="113"/>
      <c r="K73" s="114"/>
      <c r="L73" s="113"/>
      <c r="M73" s="113"/>
      <c r="N73" s="113"/>
      <c r="O73" s="113"/>
      <c r="P73" s="113"/>
      <c r="Q73" s="113"/>
      <c r="R73" s="113"/>
      <c r="S73" s="113"/>
      <c r="T73" s="113"/>
      <c r="U73" s="115"/>
      <c r="V73" s="139"/>
      <c r="W73" s="152"/>
      <c r="X73" s="87"/>
      <c r="Y73" s="87"/>
      <c r="Z73" s="87"/>
      <c r="AA73" s="87"/>
      <c r="AB73" s="87"/>
      <c r="AC73" s="190"/>
      <c r="AD73" s="190"/>
      <c r="AE73" s="190"/>
      <c r="AF73" s="190"/>
      <c r="AG73" s="190"/>
      <c r="AH73" s="190"/>
      <c r="AI73" s="190"/>
      <c r="AJ73" s="190"/>
      <c r="AK73" s="202"/>
      <c r="AL73" s="202"/>
      <c r="AM73" s="202"/>
      <c r="AN73" s="160"/>
    </row>
    <row r="74" spans="1:57" ht="18.75" customHeight="1" x14ac:dyDescent="0.2">
      <c r="A74" s="278"/>
      <c r="B74" s="128" t="s">
        <v>775</v>
      </c>
      <c r="C74" s="9"/>
      <c r="D74" s="9"/>
      <c r="E74" s="9"/>
      <c r="F74" s="9"/>
      <c r="G74" s="9"/>
      <c r="H74" s="9"/>
      <c r="I74" s="9"/>
      <c r="J74" s="9"/>
      <c r="K74" s="12"/>
      <c r="L74" s="9"/>
      <c r="M74" s="9"/>
      <c r="N74" s="9"/>
      <c r="O74" s="9"/>
      <c r="P74" s="9"/>
      <c r="Q74" s="9"/>
      <c r="R74" s="9"/>
      <c r="S74" s="9"/>
      <c r="T74" s="9"/>
      <c r="U74" s="117"/>
      <c r="V74" s="139"/>
      <c r="W74" s="152"/>
      <c r="X74" s="87"/>
      <c r="Y74" s="87"/>
      <c r="Z74" s="87"/>
      <c r="AA74" s="87"/>
      <c r="AB74" s="87"/>
      <c r="AC74" s="190"/>
      <c r="AD74" s="190"/>
      <c r="AE74" s="190"/>
      <c r="AF74" s="190"/>
      <c r="AG74" s="190"/>
      <c r="AH74" s="190"/>
      <c r="AI74" s="190"/>
      <c r="AJ74" s="190"/>
      <c r="AK74" s="202"/>
      <c r="AL74" s="202"/>
      <c r="AM74" s="202"/>
      <c r="AN74" s="160"/>
    </row>
    <row r="75" spans="1:57" ht="18.75" customHeight="1" x14ac:dyDescent="0.2">
      <c r="A75" s="457"/>
      <c r="B75" s="553"/>
      <c r="C75" s="553"/>
      <c r="D75" s="553"/>
      <c r="E75" s="553"/>
      <c r="F75" s="553"/>
      <c r="G75" s="553"/>
      <c r="H75" s="553"/>
      <c r="I75" s="553"/>
      <c r="J75" s="553"/>
      <c r="K75" s="819"/>
      <c r="L75" s="553"/>
      <c r="M75" s="553"/>
      <c r="N75" s="553"/>
      <c r="O75" s="553"/>
      <c r="P75" s="553"/>
      <c r="Q75" s="553"/>
      <c r="R75" s="553"/>
      <c r="S75" s="553"/>
      <c r="T75" s="553"/>
      <c r="U75" s="1061"/>
      <c r="V75" s="161"/>
      <c r="W75" s="150"/>
      <c r="AK75" s="184"/>
      <c r="AL75" s="184"/>
      <c r="AM75" s="184"/>
      <c r="AN75" s="157"/>
    </row>
    <row r="76" spans="1:57" ht="11.25" customHeight="1" x14ac:dyDescent="0.2">
      <c r="A76" s="112"/>
      <c r="B76" s="113"/>
      <c r="C76" s="113"/>
      <c r="D76" s="113"/>
      <c r="E76" s="113"/>
      <c r="F76" s="113"/>
      <c r="G76" s="113"/>
      <c r="H76" s="113"/>
      <c r="I76" s="113"/>
      <c r="J76" s="113"/>
      <c r="K76" s="114"/>
      <c r="L76" s="113"/>
      <c r="M76" s="113"/>
      <c r="N76" s="113"/>
      <c r="O76" s="113"/>
      <c r="P76" s="113"/>
      <c r="Q76" s="113"/>
      <c r="R76" s="113"/>
      <c r="S76" s="113"/>
      <c r="T76" s="113"/>
      <c r="U76" s="115"/>
      <c r="V76" s="137"/>
      <c r="W76" s="150"/>
      <c r="X76" s="188"/>
      <c r="Y76" s="188"/>
      <c r="Z76" s="188"/>
      <c r="AK76" s="184"/>
      <c r="AL76" s="184"/>
      <c r="AM76" s="184"/>
      <c r="AN76" s="157"/>
    </row>
    <row r="77" spans="1:57" s="76" customFormat="1" ht="15" customHeight="1" x14ac:dyDescent="0.2">
      <c r="A77" s="461"/>
      <c r="B77" s="1950" t="s">
        <v>1290</v>
      </c>
      <c r="C77" s="1950"/>
      <c r="D77" s="1950"/>
      <c r="E77" s="1950"/>
      <c r="F77" s="1950"/>
      <c r="G77" s="1950"/>
      <c r="H77" s="1950"/>
      <c r="I77" s="1950"/>
      <c r="J77" s="1950"/>
      <c r="K77" s="1950"/>
      <c r="L77" s="1950"/>
      <c r="M77" s="1950"/>
      <c r="N77" s="1950"/>
      <c r="O77" s="1950"/>
      <c r="P77" s="1950"/>
      <c r="Q77" s="1950"/>
      <c r="R77" s="1950"/>
      <c r="S77" s="1950"/>
      <c r="T77" s="1950"/>
      <c r="U77" s="1068"/>
      <c r="V77" s="138"/>
      <c r="W77" s="151"/>
      <c r="X77" s="188"/>
      <c r="Y77" s="188"/>
      <c r="Z77" s="188"/>
      <c r="AA77" s="188"/>
      <c r="AB77" s="188"/>
      <c r="AC77" s="188"/>
      <c r="AD77" s="188"/>
      <c r="AE77" s="188"/>
      <c r="AF77" s="188"/>
      <c r="AG77" s="188"/>
      <c r="AH77" s="188"/>
      <c r="AI77" s="188"/>
      <c r="AJ77" s="188"/>
      <c r="AK77" s="188"/>
      <c r="AL77" s="188"/>
      <c r="AM77" s="188"/>
      <c r="AN77" s="158"/>
      <c r="AO77" s="188" t="str">
        <f>CONCATENATE($J$7,"in Number of "&amp;$B71)</f>
        <v xml:space="preserve">in Number of </v>
      </c>
    </row>
    <row r="78" spans="1:57" ht="14.25" customHeight="1" x14ac:dyDescent="0.2">
      <c r="A78" s="278"/>
      <c r="B78" s="1950"/>
      <c r="C78" s="1950"/>
      <c r="D78" s="1950"/>
      <c r="E78" s="1950"/>
      <c r="F78" s="1950"/>
      <c r="G78" s="1950"/>
      <c r="H78" s="1950"/>
      <c r="I78" s="1950"/>
      <c r="J78" s="1950"/>
      <c r="K78" s="1950"/>
      <c r="L78" s="1950"/>
      <c r="M78" s="1950"/>
      <c r="N78" s="1950"/>
      <c r="O78" s="1950"/>
      <c r="P78" s="1950"/>
      <c r="Q78" s="1950"/>
      <c r="R78" s="1950"/>
      <c r="S78" s="1950"/>
      <c r="T78" s="1950"/>
      <c r="U78" s="1068"/>
      <c r="V78" s="137"/>
      <c r="W78" s="150"/>
      <c r="X78" s="188"/>
      <c r="AA78" s="1957" t="s">
        <v>169</v>
      </c>
      <c r="AB78" s="1957"/>
      <c r="AC78" s="1957"/>
      <c r="AD78" s="1957"/>
      <c r="AE78" s="1957"/>
      <c r="AF78" s="223" t="s">
        <v>773</v>
      </c>
      <c r="AK78" s="81"/>
      <c r="AL78" s="81"/>
      <c r="AM78" s="184"/>
      <c r="AN78" s="157"/>
    </row>
    <row r="79" spans="1:57" ht="12.75" customHeight="1" x14ac:dyDescent="0.2">
      <c r="A79" s="278"/>
      <c r="B79" s="1865" t="s">
        <v>205</v>
      </c>
      <c r="C79" s="85"/>
      <c r="D79" s="1757" t="s">
        <v>184</v>
      </c>
      <c r="E79" s="1758"/>
      <c r="F79" s="1758"/>
      <c r="G79" s="1758"/>
      <c r="H79" s="1759"/>
      <c r="I79" s="1752" t="str">
        <f>"Average "&amp;Sheet1!$C$3&amp;" Change "</f>
        <v xml:space="preserve">Average Annual Change </v>
      </c>
      <c r="J79" s="1753"/>
      <c r="K79" s="96"/>
      <c r="L79" s="1757" t="s">
        <v>772</v>
      </c>
      <c r="M79" s="1758"/>
      <c r="N79" s="1758"/>
      <c r="O79" s="1758"/>
      <c r="P79" s="1758"/>
      <c r="Q79" s="1758"/>
      <c r="R79" s="1759"/>
      <c r="S79" s="85"/>
      <c r="T79" s="1731" t="s">
        <v>1213</v>
      </c>
      <c r="U79" s="1068"/>
      <c r="V79" s="137"/>
      <c r="W79" s="150"/>
      <c r="X79" s="188"/>
      <c r="Y79" s="1945" t="s">
        <v>767</v>
      </c>
      <c r="Z79" s="1947"/>
      <c r="AA79" s="489"/>
      <c r="AB79" s="489"/>
      <c r="AC79" s="489"/>
      <c r="AD79" s="489"/>
      <c r="AE79" s="489"/>
      <c r="AF79" s="188"/>
      <c r="AG79" s="188"/>
      <c r="AH79" s="188"/>
      <c r="AI79" s="188"/>
      <c r="AJ79" s="188"/>
      <c r="AK79" s="204" t="s">
        <v>94</v>
      </c>
      <c r="AL79" s="190"/>
      <c r="AM79" s="190"/>
      <c r="AN79" s="157"/>
      <c r="AO79" s="575"/>
      <c r="AP79" s="575"/>
      <c r="AQ79" s="575"/>
      <c r="AR79" s="575"/>
      <c r="AS79" s="575"/>
    </row>
    <row r="80" spans="1:57" s="87" customFormat="1" ht="12.75" customHeight="1" x14ac:dyDescent="0.2">
      <c r="A80" s="292"/>
      <c r="B80" s="1865"/>
      <c r="C80" s="85"/>
      <c r="D80" s="789" t="str">
        <f>Sheet1!$D$27</f>
        <v>2015-16</v>
      </c>
      <c r="E80" s="790" t="str">
        <f>Sheet1!$E$27</f>
        <v>2016-17</v>
      </c>
      <c r="F80" s="790" t="str">
        <f>Sheet1!$F$27</f>
        <v>2017-18</v>
      </c>
      <c r="G80" s="790" t="str">
        <f>Sheet1!$G$27</f>
        <v>2018-19</v>
      </c>
      <c r="H80" s="1086" t="str">
        <f>Sheet1!$H$27</f>
        <v>2019-20</v>
      </c>
      <c r="I80" s="1754"/>
      <c r="J80" s="1755"/>
      <c r="K80" s="96"/>
      <c r="L80" s="789" t="str">
        <f>Sheet1!$D$27</f>
        <v>2015-16</v>
      </c>
      <c r="M80" s="790" t="str">
        <f>Sheet1!$E$27</f>
        <v>2016-17</v>
      </c>
      <c r="N80" s="790" t="str">
        <f>Sheet1!$F$27</f>
        <v>2017-18</v>
      </c>
      <c r="O80" s="790" t="str">
        <f>Sheet1!$G$27</f>
        <v>2018-19</v>
      </c>
      <c r="P80" s="1741" t="str">
        <f>Sheet1!$H$27</f>
        <v>2019-20</v>
      </c>
      <c r="Q80" s="1780"/>
      <c r="R80" s="1753" t="str">
        <f>IF(ISNA(P81),"SE Rank "&amp;P80,"SE Rank "&amp;P81)</f>
        <v>SE Rank 2019-20</v>
      </c>
      <c r="S80" s="85"/>
      <c r="T80" s="1743"/>
      <c r="U80" s="1069"/>
      <c r="V80" s="139"/>
      <c r="W80" s="152"/>
      <c r="X80" s="188"/>
      <c r="Y80" s="1961" t="s">
        <v>76</v>
      </c>
      <c r="Z80" s="1963" t="s">
        <v>77</v>
      </c>
      <c r="AA80" s="489" t="str">
        <f>Sheet1!$D$27</f>
        <v>2015-16</v>
      </c>
      <c r="AB80" s="489" t="str">
        <f>Sheet1!$E$27</f>
        <v>2016-17</v>
      </c>
      <c r="AC80" s="489" t="str">
        <f>Sheet1!$F$27</f>
        <v>2017-18</v>
      </c>
      <c r="AD80" s="489" t="str">
        <f>Sheet1!$G$27</f>
        <v>2018-19</v>
      </c>
      <c r="AE80" s="489" t="str">
        <f>Sheet1!$H$27</f>
        <v>2019-20</v>
      </c>
      <c r="AF80" s="489" t="str">
        <f>Sheet1!$D$27</f>
        <v>2015-16</v>
      </c>
      <c r="AG80" s="489" t="str">
        <f>Sheet1!$E$27</f>
        <v>2016-17</v>
      </c>
      <c r="AH80" s="489" t="str">
        <f>Sheet1!$F$27</f>
        <v>2017-18</v>
      </c>
      <c r="AI80" s="489" t="str">
        <f>Sheet1!$G$27</f>
        <v>2018-19</v>
      </c>
      <c r="AJ80" s="489" t="str">
        <f>Sheet1!$H$27</f>
        <v>2019-20</v>
      </c>
      <c r="AK80" s="204"/>
      <c r="AL80" s="190"/>
      <c r="AM80" s="190"/>
      <c r="AN80" s="160"/>
      <c r="AO80" s="1087"/>
      <c r="AP80" s="1087"/>
      <c r="AQ80" s="1087"/>
      <c r="AR80" s="1087"/>
      <c r="AS80" s="1087"/>
    </row>
    <row r="81" spans="1:48" s="87" customFormat="1" ht="12.75" customHeight="1" x14ac:dyDescent="0.2">
      <c r="A81" s="292"/>
      <c r="B81" s="1866"/>
      <c r="C81" s="85"/>
      <c r="D81" s="792" t="e">
        <f>Sheet1!$D$28</f>
        <v>#N/A</v>
      </c>
      <c r="E81" s="792" t="e">
        <f>Sheet1!$E$28</f>
        <v>#N/A</v>
      </c>
      <c r="F81" s="792" t="e">
        <f>Sheet1!$F$28</f>
        <v>#N/A</v>
      </c>
      <c r="G81" s="792" t="e">
        <f>Sheet1!$G$28</f>
        <v>#N/A</v>
      </c>
      <c r="H81" s="1085" t="e">
        <f>Sheet1!$H$28</f>
        <v>#N/A</v>
      </c>
      <c r="I81" s="1754"/>
      <c r="J81" s="1756"/>
      <c r="K81" s="784"/>
      <c r="L81" s="792" t="e">
        <f>Sheet1!$D$28</f>
        <v>#N/A</v>
      </c>
      <c r="M81" s="792" t="e">
        <f>Sheet1!$E$28</f>
        <v>#N/A</v>
      </c>
      <c r="N81" s="792" t="e">
        <f>Sheet1!$F$28</f>
        <v>#N/A</v>
      </c>
      <c r="O81" s="792" t="e">
        <f>Sheet1!$G$28</f>
        <v>#N/A</v>
      </c>
      <c r="P81" s="1739" t="e">
        <f>Sheet1!$H$28</f>
        <v>#N/A</v>
      </c>
      <c r="Q81" s="1781"/>
      <c r="R81" s="1756"/>
      <c r="S81" s="465"/>
      <c r="T81" s="1732"/>
      <c r="U81" s="1069"/>
      <c r="V81" s="139"/>
      <c r="W81" s="152"/>
      <c r="X81" s="188"/>
      <c r="Y81" s="1962"/>
      <c r="Z81" s="1964"/>
      <c r="AA81" s="489" t="e">
        <f>Sheet1!$D$28</f>
        <v>#N/A</v>
      </c>
      <c r="AB81" s="489" t="e">
        <f>Sheet1!$E$28</f>
        <v>#N/A</v>
      </c>
      <c r="AC81" s="489" t="e">
        <f>Sheet1!$F$28</f>
        <v>#N/A</v>
      </c>
      <c r="AD81" s="489" t="e">
        <f>Sheet1!$G$28</f>
        <v>#N/A</v>
      </c>
      <c r="AE81" s="489" t="e">
        <f>Sheet1!$H$28</f>
        <v>#N/A</v>
      </c>
      <c r="AF81" s="489" t="e">
        <f>Sheet1!$D$28</f>
        <v>#N/A</v>
      </c>
      <c r="AG81" s="489" t="e">
        <f>Sheet1!$E$28</f>
        <v>#N/A</v>
      </c>
      <c r="AH81" s="489" t="e">
        <f>Sheet1!$F$28</f>
        <v>#N/A</v>
      </c>
      <c r="AI81" s="489" t="e">
        <f>Sheet1!$G$28</f>
        <v>#N/A</v>
      </c>
      <c r="AJ81" s="489" t="e">
        <f>Sheet1!$H$28</f>
        <v>#N/A</v>
      </c>
      <c r="AK81" s="190"/>
      <c r="AL81" s="758">
        <v>15</v>
      </c>
      <c r="AM81" s="190"/>
      <c r="AN81" s="160"/>
      <c r="AO81" s="1088" t="s">
        <v>676</v>
      </c>
      <c r="AP81" s="1088" t="s">
        <v>677</v>
      </c>
      <c r="AQ81" s="1088" t="s">
        <v>678</v>
      </c>
      <c r="AR81" s="1088" t="s">
        <v>679</v>
      </c>
      <c r="AS81" s="1088" t="s">
        <v>680</v>
      </c>
    </row>
    <row r="82" spans="1:48" s="87" customFormat="1" ht="13.5" customHeight="1" x14ac:dyDescent="0.2">
      <c r="A82" s="488">
        <f>VLOOKUP(B82,Sheet1!$AQ$4:$AR$25,2,FALSE)</f>
        <v>0</v>
      </c>
      <c r="B82" s="93" t="s">
        <v>0</v>
      </c>
      <c r="C82" s="85"/>
      <c r="D82" s="101">
        <f>IF(Year1_Bracknell_Forest Year1_Adoption_LAC_Adopted="","",Year1_Bracknell_Forest Year1_Adoption_LAC_Adopted)</f>
        <v>9</v>
      </c>
      <c r="E82" s="101" t="str">
        <f>IF(Year2_Bracknell_Forest Year2_Adoption_LAC_Adopted="","",Year2_Bracknell_Forest Year2_Adoption_LAC_Adopted)</f>
        <v>x</v>
      </c>
      <c r="F82" s="101" t="str">
        <f>IF(Year3_Bracknell_Forest Year3_Adoption_LAC_Adopted="","",Year3_Bracknell_Forest Year3_Adoption_LAC_Adopted)</f>
        <v>x</v>
      </c>
      <c r="G82" s="101">
        <f>IF(Year4_Bracknell_Forest Year4_Adoption_LAC_Adopted="","",Year4_Bracknell_Forest Year4_Adoption_LAC_Adopted)</f>
        <v>7</v>
      </c>
      <c r="H82" s="233">
        <f>IF(Year5_Bracknell_Forest Year5_Adoption_LAC_Adopted="","",Year5_Bracknell_Forest Year5_Adoption_LAC_Adopted)</f>
        <v>6</v>
      </c>
      <c r="I82" s="1092">
        <f t="shared" ref="I82:I104" si="18">AS82</f>
        <v>-0.14285714285714285</v>
      </c>
      <c r="J82" s="863">
        <f t="shared" ref="J82:J104" si="19">I82</f>
        <v>-0.14285714285714285</v>
      </c>
      <c r="K82" s="96"/>
      <c r="L82" s="603" t="e">
        <f t="shared" ref="L82" si="20">IF(AND(ISNUMBER(AA82),ISNUMBER(D82),D82&gt;0),AA82/D82,NA())</f>
        <v>#N/A</v>
      </c>
      <c r="M82" s="603" t="e">
        <f t="shared" ref="M82" si="21">IF(AND(ISNUMBER(AB82),ISNUMBER(E82),E82&gt;0),AB82/E82,NA())</f>
        <v>#N/A</v>
      </c>
      <c r="N82" s="603" t="e">
        <f t="shared" ref="N82" si="22">IF(AND(ISNUMBER(AC82),ISNUMBER(F82),F82&gt;0),AC82/F82,NA())</f>
        <v>#N/A</v>
      </c>
      <c r="O82" s="603" t="e">
        <f t="shared" ref="O82" si="23">IF(AND(ISNUMBER(AD82),ISNUMBER(G82),G82&gt;0),AD82/G82,NA())</f>
        <v>#N/A</v>
      </c>
      <c r="P82" s="628" t="e">
        <f t="shared" ref="P82" si="24">IF(AND(ISNUMBER(AE82),ISNUMBER(H82),H82&gt;0),AE82/H82,NA())</f>
        <v>#N/A</v>
      </c>
      <c r="Q82" s="1513" t="str">
        <f>IF(ISNUMBER(P82),P82,"")</f>
        <v/>
      </c>
      <c r="R82" s="933">
        <f t="shared" ref="R82:R103" si="25">IF(ISNA(VLOOKUP(B82,$AK$82:$AM$100,3,FALSE)),"--",IF(ISNUMBER(H82),VLOOKUP(B82,$AF$10:$AH$28,3,FALSE),NA()))</f>
        <v>1</v>
      </c>
      <c r="S82" s="70"/>
      <c r="T82" s="752">
        <f>IDACI!C9</f>
        <v>8.9</v>
      </c>
      <c r="U82" s="1069"/>
      <c r="V82" s="139"/>
      <c r="W82" s="152"/>
      <c r="X82" s="372" t="str">
        <f t="shared" ref="X82:X104" si="26">B82</f>
        <v>Bracknell Forest</v>
      </c>
      <c r="Y82" s="44">
        <f>IF(ISNUMBER(H82),IDACI!D9,0)</f>
        <v>24849</v>
      </c>
      <c r="Z82" s="44">
        <f>IF(ISNUMBER(H82),IDACI!E9,0)</f>
        <v>2211.5610000000001</v>
      </c>
      <c r="AA82" s="489" t="str">
        <f>IF(Year1_Bracknell_Forest Year1_Adoption_LAC_Adopted_days="","",Year1_Bracknell_Forest Year1_Adoption_LAC_Adopted_days)</f>
        <v>x</v>
      </c>
      <c r="AB82" s="372" t="str">
        <f>IF(Year2_Bracknell_Forest Year2_Adoption_LAC_Adopted_days="","",Year2_Bracknell_Forest Year2_Adoption_LAC_Adopted_days)</f>
        <v>x</v>
      </c>
      <c r="AC82" s="372" t="str">
        <f>IF(Year3_Bracknell_Forest Year3_Adoption_LAC_Adopted_days="","",Year3_Bracknell_Forest Year3_Adoption_LAC_Adopted_days)</f>
        <v>x</v>
      </c>
      <c r="AD82" s="372" t="str">
        <f>IF(Year4_Bracknell_Forest Year4_Adoption_LAC_Adopted_days="","",Year4_Bracknell_Forest Year4_Adoption_LAC_Adopted_days)</f>
        <v>x</v>
      </c>
      <c r="AE82" s="372" t="str">
        <f>IF(Year5_Bracknell_Forest Year5_Adoption_LAC_Adopted_days="","",Year5_Bracknell_Forest Year5_Adoption_LAC_Adopted_days)</f>
        <v>x</v>
      </c>
      <c r="AF82" s="1140">
        <f t="shared" ref="AF82:AF103" si="27">IF(D82&gt;0,D82,0)</f>
        <v>9</v>
      </c>
      <c r="AG82" s="1141" t="str">
        <f t="shared" ref="AG82:AG103" si="28">IF(E82&gt;0,E82,0)</f>
        <v>x</v>
      </c>
      <c r="AH82" s="1141" t="str">
        <f t="shared" ref="AH82:AH103" si="29">IF(F82&gt;0,F82,0)</f>
        <v>x</v>
      </c>
      <c r="AI82" s="1141">
        <f t="shared" ref="AI82:AI103" si="30">IF(G82&gt;0,G82,0)</f>
        <v>7</v>
      </c>
      <c r="AJ82" s="1142">
        <f t="shared" ref="AJ82:AJ103" si="31">IF(H82&gt;0,H82,0)</f>
        <v>6</v>
      </c>
      <c r="AK82" s="1100" t="s">
        <v>0</v>
      </c>
      <c r="AL82" s="231" t="str">
        <f>IFERROR(VLOOKUP(AK82,$B$82:$P$103,AL$81,FALSE),"")</f>
        <v/>
      </c>
      <c r="AM82" s="206" t="e">
        <f>RANK(AL82,$AL$82:$AL$100,1)</f>
        <v>#VALUE!</v>
      </c>
      <c r="AN82" s="160"/>
      <c r="AO82" s="853" t="str">
        <f t="shared" ref="AO82:AO104" si="32">IF(ISERROR((E82-D82)/D82),"x",(E82-D82)/D82)</f>
        <v>x</v>
      </c>
      <c r="AP82" s="853" t="str">
        <f t="shared" ref="AP82:AP104" si="33">IF(ISERROR((F82-E82)/E82),"x",(F82-E82)/E82)</f>
        <v>x</v>
      </c>
      <c r="AQ82" s="853" t="str">
        <f t="shared" ref="AQ82:AQ104" si="34">IF(ISERROR((G82-F82)/F82),"x",(G82-F82)/F82)</f>
        <v>x</v>
      </c>
      <c r="AR82" s="853">
        <f t="shared" ref="AR82:AR104" si="35">IF(ISERROR((H82-G82)/G82),"x",(H82-G82)/G82)</f>
        <v>-0.14285714285714285</v>
      </c>
      <c r="AS82" s="853">
        <f>AVERAGE(AO82:AR82)</f>
        <v>-0.14285714285714285</v>
      </c>
    </row>
    <row r="83" spans="1:48" s="87" customFormat="1" ht="13.5" customHeight="1" x14ac:dyDescent="0.2">
      <c r="A83" s="488">
        <f>VLOOKUP(B83,Sheet1!$AQ$4:$AR$25,2,FALSE)</f>
        <v>0</v>
      </c>
      <c r="B83" s="93" t="s">
        <v>31</v>
      </c>
      <c r="C83" s="85"/>
      <c r="D83" s="101">
        <f>IF(Year1_Brighton_Hove Year1_Adoption_LAC_Adopted="","",Year1_Brighton_Hove Year1_Adoption_LAC_Adopted)</f>
        <v>39</v>
      </c>
      <c r="E83" s="101">
        <f>IF(Year2_Brighton_Hove Year2_Adoption_LAC_Adopted="","",Year2_Brighton_Hove Year2_Adoption_LAC_Adopted)</f>
        <v>23</v>
      </c>
      <c r="F83" s="101">
        <f>IF(Year3_Brighton_Hove Year3_Adoption_LAC_Adopted="","",Year3_Brighton_Hove Year3_Adoption_LAC_Adopted)</f>
        <v>32</v>
      </c>
      <c r="G83" s="101">
        <f>IF(Year4_Brighton_Hove Year4_Adoption_LAC_Adopted="","",Year4_Brighton_Hove Year4_Adoption_LAC_Adopted)</f>
        <v>34</v>
      </c>
      <c r="H83" s="233">
        <f>IF(Year5_Brighton_Hove Year5_Adoption_LAC_Adopted="","",Year5_Brighton_Hove Year5_Adoption_LAC_Adopted)</f>
        <v>18</v>
      </c>
      <c r="I83" s="1093">
        <f t="shared" si="18"/>
        <v>-0.10676007443111023</v>
      </c>
      <c r="J83" s="863">
        <f t="shared" si="19"/>
        <v>-0.10676007443111023</v>
      </c>
      <c r="K83" s="96"/>
      <c r="L83" s="603">
        <f t="shared" ref="L83:L105" si="36">IF(AND(ISNUMBER(AA83),ISNUMBER(D83),D83&gt;0),AA83/D83,NA())</f>
        <v>494</v>
      </c>
      <c r="M83" s="603">
        <f t="shared" ref="M83:M105" si="37">IF(AND(ISNUMBER(AB83),ISNUMBER(E83),E83&gt;0),AB83/E83,NA())</f>
        <v>365</v>
      </c>
      <c r="N83" s="603">
        <f t="shared" ref="N83:N105" si="38">IF(AND(ISNUMBER(AC83),ISNUMBER(F83),F83&gt;0),AC83/F83,NA())</f>
        <v>401</v>
      </c>
      <c r="O83" s="603">
        <f t="shared" ref="O83:O105" si="39">IF(AND(ISNUMBER(AD83),ISNUMBER(G83),G83&gt;0),AD83/G83,NA())</f>
        <v>353</v>
      </c>
      <c r="P83" s="628">
        <f t="shared" ref="P83:P105" si="40">IF(AND(ISNUMBER(AE83),ISNUMBER(H83),H83&gt;0),AE83/H83,NA())</f>
        <v>410</v>
      </c>
      <c r="Q83" s="1513">
        <f t="shared" ref="Q83:Q105" si="41">IF(ISNUMBER(P83),P83,"")</f>
        <v>410</v>
      </c>
      <c r="R83" s="933">
        <f t="shared" si="25"/>
        <v>6</v>
      </c>
      <c r="S83" s="70"/>
      <c r="T83" s="752">
        <f>IDACI!C10</f>
        <v>15.299999999999999</v>
      </c>
      <c r="U83" s="1069"/>
      <c r="V83" s="139"/>
      <c r="W83" s="152"/>
      <c r="X83" s="372" t="str">
        <f t="shared" si="26"/>
        <v>Brighton &amp; Hove</v>
      </c>
      <c r="Y83" s="44">
        <f>IF(ISNUMBER(H83),IDACI!D10,0)</f>
        <v>45576</v>
      </c>
      <c r="Z83" s="44">
        <f>IF(ISNUMBER(H83),IDACI!E10,0)</f>
        <v>6973.1279999999997</v>
      </c>
      <c r="AA83" s="489">
        <f>IF(Year1_Brighton_Hove Year1_Adoption_LAC_Adopted_days="","",Year1_Brighton_Hove Year1_Adoption_LAC_Adopted_days)</f>
        <v>19266</v>
      </c>
      <c r="AB83" s="372">
        <f>IF(Year2_Brighton_Hove Year2_Adoption_LAC_Adopted_days="","",Year2_Brighton_Hove Year2_Adoption_LAC_Adopted_days)</f>
        <v>8395</v>
      </c>
      <c r="AC83" s="372">
        <f>IF(Year3_Brighton_Hove Year3_Adoption_LAC_Adopted_days="","",Year3_Brighton_Hove Year3_Adoption_LAC_Adopted_days)</f>
        <v>12832</v>
      </c>
      <c r="AD83" s="372">
        <f>IF(Year4_Brighton_Hove Year4_Adoption_LAC_Adopted_days="","",Year4_Brighton_Hove Year4_Adoption_LAC_Adopted_days)</f>
        <v>12002</v>
      </c>
      <c r="AE83" s="372">
        <f>IF(Year5_Brighton_Hove Year5_Adoption_LAC_Adopted_days="","",Year5_Brighton_Hove Year5_Adoption_LAC_Adopted_days)</f>
        <v>7380</v>
      </c>
      <c r="AF83" s="1182">
        <f t="shared" si="27"/>
        <v>39</v>
      </c>
      <c r="AG83" s="756">
        <f t="shared" si="28"/>
        <v>23</v>
      </c>
      <c r="AH83" s="756">
        <f t="shared" si="29"/>
        <v>32</v>
      </c>
      <c r="AI83" s="756">
        <f t="shared" si="30"/>
        <v>34</v>
      </c>
      <c r="AJ83" s="1183">
        <f t="shared" si="31"/>
        <v>18</v>
      </c>
      <c r="AK83" s="1100" t="s">
        <v>31</v>
      </c>
      <c r="AL83" s="231">
        <f t="shared" ref="AL83:AL100" si="42">IFERROR(VLOOKUP(AK83,$B$82:$P$103,AL$81,FALSE),"")</f>
        <v>410</v>
      </c>
      <c r="AM83" s="206">
        <f t="shared" ref="AM83:AM100" si="43">RANK(AL83,$AL$82:$AL$100,1)</f>
        <v>8</v>
      </c>
      <c r="AN83" s="160"/>
      <c r="AO83" s="853">
        <f t="shared" si="32"/>
        <v>-0.41025641025641024</v>
      </c>
      <c r="AP83" s="853">
        <f t="shared" si="33"/>
        <v>0.39130434782608697</v>
      </c>
      <c r="AQ83" s="853">
        <f t="shared" si="34"/>
        <v>6.25E-2</v>
      </c>
      <c r="AR83" s="853">
        <f t="shared" si="35"/>
        <v>-0.47058823529411764</v>
      </c>
      <c r="AS83" s="853">
        <f t="shared" ref="AS83:AS103" si="44">AVERAGE(AO83:AR83)</f>
        <v>-0.10676007443111023</v>
      </c>
    </row>
    <row r="84" spans="1:48" s="87" customFormat="1" ht="13.5" customHeight="1" x14ac:dyDescent="0.2">
      <c r="A84" s="488">
        <f>VLOOKUP(B84,Sheet1!$AQ$4:$AR$25,2,FALSE)</f>
        <v>0</v>
      </c>
      <c r="B84" s="93" t="s">
        <v>8</v>
      </c>
      <c r="C84" s="85"/>
      <c r="D84" s="101">
        <f>IF(Year1_Buckinghamshire Year1_Adoption_LAC_Adopted="","",Year1_Buckinghamshire Year1_Adoption_LAC_Adopted)</f>
        <v>38</v>
      </c>
      <c r="E84" s="101">
        <f>IF(Year2_Buckinghamshire Year2_Adoption_LAC_Adopted="","",Year2_Buckinghamshire Year2_Adoption_LAC_Adopted)</f>
        <v>38</v>
      </c>
      <c r="F84" s="101">
        <f>IF(Year3_Buckinghamshire Year3_Adoption_LAC_Adopted="","",Year3_Buckinghamshire Year3_Adoption_LAC_Adopted)</f>
        <v>23</v>
      </c>
      <c r="G84" s="101">
        <f>IF(Year4_Buckinghamshire Year4_Adoption_LAC_Adopted="","",Year4_Buckinghamshire Year4_Adoption_LAC_Adopted)</f>
        <v>18</v>
      </c>
      <c r="H84" s="233">
        <f>IF(Year5_Buckinghamshire Year5_Adoption_LAC_Adopted="","",Year5_Buckinghamshire Year5_Adoption_LAC_Adopted)</f>
        <v>23</v>
      </c>
      <c r="I84" s="1093">
        <f t="shared" si="18"/>
        <v>-8.3587592168827857E-2</v>
      </c>
      <c r="J84" s="863">
        <f t="shared" si="19"/>
        <v>-8.3587592168827857E-2</v>
      </c>
      <c r="K84" s="96"/>
      <c r="L84" s="603">
        <f t="shared" si="36"/>
        <v>634</v>
      </c>
      <c r="M84" s="603">
        <f t="shared" si="37"/>
        <v>478</v>
      </c>
      <c r="N84" s="603">
        <f t="shared" si="38"/>
        <v>349</v>
      </c>
      <c r="O84" s="603">
        <f t="shared" si="39"/>
        <v>344</v>
      </c>
      <c r="P84" s="628">
        <f t="shared" si="40"/>
        <v>442.60869565217394</v>
      </c>
      <c r="Q84" s="1513">
        <f t="shared" si="41"/>
        <v>442.60869565217394</v>
      </c>
      <c r="R84" s="933">
        <f t="shared" si="25"/>
        <v>2</v>
      </c>
      <c r="S84" s="70"/>
      <c r="T84" s="752">
        <f>IDACI!C11</f>
        <v>8.5</v>
      </c>
      <c r="U84" s="1069"/>
      <c r="V84" s="139"/>
      <c r="W84" s="152"/>
      <c r="X84" s="372" t="str">
        <f t="shared" si="26"/>
        <v>Buckinghamshire</v>
      </c>
      <c r="Y84" s="44">
        <f>IF(ISNUMBER(H84),IDACI!D11,0)</f>
        <v>107385</v>
      </c>
      <c r="Z84" s="44">
        <f>IF(ISNUMBER(H84),IDACI!E11,0)</f>
        <v>9127.7250000000004</v>
      </c>
      <c r="AA84" s="489">
        <f>IF(Year1_Buckinghamshire Year1_Adoption_LAC_Adopted_days="","",Year1_Buckinghamshire Year1_Adoption_LAC_Adopted_days)</f>
        <v>24092</v>
      </c>
      <c r="AB84" s="372">
        <f>IF(Year2_Buckinghamshire Year2_Adoption_LAC_Adopted_days="","",Year2_Buckinghamshire Year2_Adoption_LAC_Adopted_days)</f>
        <v>18164</v>
      </c>
      <c r="AC84" s="372">
        <f>IF(Year3_Buckinghamshire Year3_Adoption_LAC_Adopted_days="","",Year3_Buckinghamshire Year3_Adoption_LAC_Adopted_days)</f>
        <v>8027</v>
      </c>
      <c r="AD84" s="372">
        <f>IF(Year4_Buckinghamshire Year4_Adoption_LAC_Adopted_days="","",Year4_Buckinghamshire Year4_Adoption_LAC_Adopted_days)</f>
        <v>6192</v>
      </c>
      <c r="AE84" s="372">
        <f>IF(Year5_Buckinghamshire Year5_Adoption_LAC_Adopted_days="","",Year5_Buckinghamshire Year5_Adoption_LAC_Adopted_days)</f>
        <v>10180</v>
      </c>
      <c r="AF84" s="1182">
        <f t="shared" si="27"/>
        <v>38</v>
      </c>
      <c r="AG84" s="756">
        <f t="shared" si="28"/>
        <v>38</v>
      </c>
      <c r="AH84" s="756">
        <f t="shared" si="29"/>
        <v>23</v>
      </c>
      <c r="AI84" s="756">
        <f t="shared" si="30"/>
        <v>18</v>
      </c>
      <c r="AJ84" s="1183">
        <f t="shared" si="31"/>
        <v>23</v>
      </c>
      <c r="AK84" s="1100" t="s">
        <v>8</v>
      </c>
      <c r="AL84" s="231">
        <f t="shared" si="42"/>
        <v>442.60869565217394</v>
      </c>
      <c r="AM84" s="206">
        <f t="shared" si="43"/>
        <v>10</v>
      </c>
      <c r="AN84" s="160"/>
      <c r="AO84" s="853">
        <f t="shared" si="32"/>
        <v>0</v>
      </c>
      <c r="AP84" s="853">
        <f t="shared" si="33"/>
        <v>-0.39473684210526316</v>
      </c>
      <c r="AQ84" s="853">
        <f t="shared" si="34"/>
        <v>-0.21739130434782608</v>
      </c>
      <c r="AR84" s="853">
        <f t="shared" si="35"/>
        <v>0.27777777777777779</v>
      </c>
      <c r="AS84" s="853">
        <f t="shared" si="44"/>
        <v>-8.3587592168827857E-2</v>
      </c>
    </row>
    <row r="85" spans="1:48" s="87" customFormat="1" ht="13.5" customHeight="1" x14ac:dyDescent="0.2">
      <c r="A85" s="488">
        <f>VLOOKUP(B85,Sheet1!$AQ$4:$AR$25,2,FALSE)</f>
        <v>0</v>
      </c>
      <c r="B85" s="93" t="s">
        <v>4</v>
      </c>
      <c r="C85" s="85"/>
      <c r="D85" s="101">
        <f>IF(Year1_East_Sussex Year1_Adoption_LAC_Adopted="","",Year1_East_Sussex Year1_Adoption_LAC_Adopted)</f>
        <v>47</v>
      </c>
      <c r="E85" s="101">
        <f>IF(Year2_East_Sussex Year2_Adoption_LAC_Adopted="","",Year2_East_Sussex Year2_Adoption_LAC_Adopted)</f>
        <v>37</v>
      </c>
      <c r="F85" s="101">
        <f>IF(Year3_East_Sussex Year3_Adoption_LAC_Adopted="","",Year3_East_Sussex Year3_Adoption_LAC_Adopted)</f>
        <v>32</v>
      </c>
      <c r="G85" s="101">
        <f>IF(Year4_East_Sussex Year4_Adoption_LAC_Adopted="","",Year4_East_Sussex Year4_Adoption_LAC_Adopted)</f>
        <v>30</v>
      </c>
      <c r="H85" s="233">
        <f>IF(Year5_East_Sussex Year5_Adoption_LAC_Adopted="","",Year5_East_Sussex Year5_Adoption_LAC_Adopted)</f>
        <v>27</v>
      </c>
      <c r="I85" s="1093">
        <f t="shared" si="18"/>
        <v>-0.12760027314548592</v>
      </c>
      <c r="J85" s="863">
        <f t="shared" si="19"/>
        <v>-0.12760027314548592</v>
      </c>
      <c r="K85" s="96"/>
      <c r="L85" s="603">
        <f t="shared" si="36"/>
        <v>442</v>
      </c>
      <c r="M85" s="603">
        <f t="shared" si="37"/>
        <v>360</v>
      </c>
      <c r="N85" s="603">
        <f t="shared" si="38"/>
        <v>434</v>
      </c>
      <c r="O85" s="603">
        <f t="shared" si="39"/>
        <v>372</v>
      </c>
      <c r="P85" s="628">
        <f t="shared" si="40"/>
        <v>489.46153846153851</v>
      </c>
      <c r="Q85" s="1513">
        <f t="shared" si="41"/>
        <v>489.46153846153851</v>
      </c>
      <c r="R85" s="933">
        <f t="shared" si="25"/>
        <v>12</v>
      </c>
      <c r="S85" s="70"/>
      <c r="T85" s="752">
        <f>IDACI!C12</f>
        <v>16.100000000000001</v>
      </c>
      <c r="U85" s="1069"/>
      <c r="V85" s="139"/>
      <c r="W85" s="152"/>
      <c r="X85" s="372" t="str">
        <f t="shared" si="26"/>
        <v>East Sussex</v>
      </c>
      <c r="Y85" s="44">
        <f>IF(ISNUMBER(H85),IDACI!D12,0)</f>
        <v>93130</v>
      </c>
      <c r="Z85" s="44">
        <f>IF(ISNUMBER(H85),IDACI!E12,0)</f>
        <v>14993.93</v>
      </c>
      <c r="AA85" s="489">
        <f>IF(Year1_East_Sussex Year1_Adoption_LAC_Adopted_days="","",Year1_East_Sussex Year1_Adoption_LAC_Adopted_days)</f>
        <v>20774</v>
      </c>
      <c r="AB85" s="372">
        <f>IF(Year2_East_Sussex Year2_Adoption_LAC_Adopted_days="","",Year2_East_Sussex Year2_Adoption_LAC_Adopted_days)</f>
        <v>13320</v>
      </c>
      <c r="AC85" s="372">
        <f>IF(Year3_East_Sussex Year3_Adoption_LAC_Adopted_days="","",Year3_East_Sussex Year3_Adoption_LAC_Adopted_days)</f>
        <v>13888</v>
      </c>
      <c r="AD85" s="372">
        <f>IF(Year4_East_Sussex Year4_Adoption_LAC_Adopted_days="","",Year4_East_Sussex Year4_Adoption_LAC_Adopted_days)</f>
        <v>11160</v>
      </c>
      <c r="AE85" s="372">
        <f>IF(Year5_East_Sussex Year5_Adoption_LAC_Adopted_days="","",Year5_East_Sussex Year5_Adoption_LAC_Adopted_days)</f>
        <v>13215.461538461539</v>
      </c>
      <c r="AF85" s="1182">
        <f t="shared" si="27"/>
        <v>47</v>
      </c>
      <c r="AG85" s="756">
        <f t="shared" si="28"/>
        <v>37</v>
      </c>
      <c r="AH85" s="756">
        <f t="shared" si="29"/>
        <v>32</v>
      </c>
      <c r="AI85" s="756">
        <f t="shared" si="30"/>
        <v>30</v>
      </c>
      <c r="AJ85" s="1183">
        <f t="shared" si="31"/>
        <v>27</v>
      </c>
      <c r="AK85" s="1100" t="s">
        <v>4</v>
      </c>
      <c r="AL85" s="231">
        <f t="shared" si="42"/>
        <v>489.46153846153851</v>
      </c>
      <c r="AM85" s="206">
        <f t="shared" si="43"/>
        <v>11</v>
      </c>
      <c r="AN85" s="160"/>
      <c r="AO85" s="853">
        <f t="shared" si="32"/>
        <v>-0.21276595744680851</v>
      </c>
      <c r="AP85" s="853">
        <f t="shared" si="33"/>
        <v>-0.13513513513513514</v>
      </c>
      <c r="AQ85" s="853">
        <f t="shared" si="34"/>
        <v>-6.25E-2</v>
      </c>
      <c r="AR85" s="853">
        <f t="shared" si="35"/>
        <v>-0.1</v>
      </c>
      <c r="AS85" s="853">
        <f t="shared" si="44"/>
        <v>-0.12760027314548592</v>
      </c>
      <c r="AV85" s="87" t="s">
        <v>102</v>
      </c>
    </row>
    <row r="86" spans="1:48" s="87" customFormat="1" ht="13.5" customHeight="1" x14ac:dyDescent="0.2">
      <c r="A86" s="488">
        <f>VLOOKUP(B86,Sheet1!$AQ$4:$AR$25,2,FALSE)</f>
        <v>0</v>
      </c>
      <c r="B86" s="93" t="s">
        <v>6</v>
      </c>
      <c r="C86" s="85"/>
      <c r="D86" s="101">
        <f>IF(Year1_Hampshire Year1_Adoption_LAC_Adopted="","",Year1_Hampshire Year1_Adoption_LAC_Adopted)</f>
        <v>84</v>
      </c>
      <c r="E86" s="101">
        <f>IF(Year2_Hampshire Year2_Adoption_LAC_Adopted="","",Year2_Hampshire Year2_Adoption_LAC_Adopted)</f>
        <v>70</v>
      </c>
      <c r="F86" s="101">
        <f>IF(Year3_Hampshire Year3_Adoption_LAC_Adopted="","",Year3_Hampshire Year3_Adoption_LAC_Adopted)</f>
        <v>55</v>
      </c>
      <c r="G86" s="101">
        <f>IF(Year4_Hampshire Year4_Adoption_LAC_Adopted="","",Year4_Hampshire Year4_Adoption_LAC_Adopted)</f>
        <v>69</v>
      </c>
      <c r="H86" s="233">
        <f>IF(Year5_Hampshire Year5_Adoption_LAC_Adopted="","",Year5_Hampshire Year5_Adoption_LAC_Adopted)</f>
        <v>70</v>
      </c>
      <c r="I86" s="1093">
        <f t="shared" si="18"/>
        <v>-2.7978543195934503E-2</v>
      </c>
      <c r="J86" s="863">
        <f t="shared" si="19"/>
        <v>-2.7978543195934503E-2</v>
      </c>
      <c r="K86" s="96"/>
      <c r="L86" s="603">
        <f t="shared" si="36"/>
        <v>461</v>
      </c>
      <c r="M86" s="603">
        <f t="shared" si="37"/>
        <v>405</v>
      </c>
      <c r="N86" s="603">
        <f t="shared" si="38"/>
        <v>388</v>
      </c>
      <c r="O86" s="603">
        <f t="shared" si="39"/>
        <v>336</v>
      </c>
      <c r="P86" s="628">
        <f t="shared" si="40"/>
        <v>378.78571428571428</v>
      </c>
      <c r="Q86" s="1513">
        <f t="shared" si="41"/>
        <v>378.78571428571428</v>
      </c>
      <c r="R86" s="933">
        <f t="shared" si="25"/>
        <v>5</v>
      </c>
      <c r="S86" s="70"/>
      <c r="T86" s="752">
        <f>IDACI!C13</f>
        <v>10.100000000000001</v>
      </c>
      <c r="U86" s="1069"/>
      <c r="V86" s="139"/>
      <c r="W86" s="152"/>
      <c r="X86" s="372" t="str">
        <f t="shared" si="26"/>
        <v>Hampshire</v>
      </c>
      <c r="Y86" s="44">
        <f>IF(ISNUMBER(H86),IDACI!D13,0)</f>
        <v>249483</v>
      </c>
      <c r="Z86" s="44">
        <f>IF(ISNUMBER(H86),IDACI!E13,0)</f>
        <v>25197.783000000007</v>
      </c>
      <c r="AA86" s="489">
        <f>IF(Year1_Hampshire Year1_Adoption_LAC_Adopted_days="","",Year1_Hampshire Year1_Adoption_LAC_Adopted_days)</f>
        <v>38724</v>
      </c>
      <c r="AB86" s="372">
        <f>IF(Year2_Hampshire Year2_Adoption_LAC_Adopted_days="","",Year2_Hampshire Year2_Adoption_LAC_Adopted_days)</f>
        <v>28350</v>
      </c>
      <c r="AC86" s="372">
        <f>IF(Year3_Hampshire Year3_Adoption_LAC_Adopted_days="","",Year3_Hampshire Year3_Adoption_LAC_Adopted_days)</f>
        <v>21340</v>
      </c>
      <c r="AD86" s="372">
        <f>IF(Year4_Hampshire Year4_Adoption_LAC_Adopted_days="","",Year4_Hampshire Year4_Adoption_LAC_Adopted_days)</f>
        <v>23184</v>
      </c>
      <c r="AE86" s="372">
        <f>IF(Year5_Hampshire Year5_Adoption_LAC_Adopted_days="","",Year5_Hampshire Year5_Adoption_LAC_Adopted_days)</f>
        <v>26515</v>
      </c>
      <c r="AF86" s="1182">
        <f t="shared" si="27"/>
        <v>84</v>
      </c>
      <c r="AG86" s="756">
        <f t="shared" si="28"/>
        <v>70</v>
      </c>
      <c r="AH86" s="756">
        <f t="shared" si="29"/>
        <v>55</v>
      </c>
      <c r="AI86" s="756">
        <f t="shared" si="30"/>
        <v>69</v>
      </c>
      <c r="AJ86" s="1183">
        <f t="shared" si="31"/>
        <v>70</v>
      </c>
      <c r="AK86" s="1100" t="s">
        <v>6</v>
      </c>
      <c r="AL86" s="231">
        <f t="shared" si="42"/>
        <v>378.78571428571428</v>
      </c>
      <c r="AM86" s="206">
        <f t="shared" si="43"/>
        <v>4</v>
      </c>
      <c r="AN86" s="160"/>
      <c r="AO86" s="853">
        <f t="shared" si="32"/>
        <v>-0.16666666666666666</v>
      </c>
      <c r="AP86" s="853">
        <f t="shared" si="33"/>
        <v>-0.21428571428571427</v>
      </c>
      <c r="AQ86" s="853">
        <f t="shared" si="34"/>
        <v>0.25454545454545452</v>
      </c>
      <c r="AR86" s="853">
        <f t="shared" si="35"/>
        <v>1.4492753623188406E-2</v>
      </c>
      <c r="AS86" s="853">
        <f t="shared" si="44"/>
        <v>-2.7978543195934503E-2</v>
      </c>
    </row>
    <row r="87" spans="1:48" s="87" customFormat="1" ht="13.5" customHeight="1" x14ac:dyDescent="0.2">
      <c r="A87" s="488">
        <f>VLOOKUP(B87,Sheet1!$AQ$4:$AR$25,2,FALSE)</f>
        <v>0</v>
      </c>
      <c r="B87" s="93" t="s">
        <v>1</v>
      </c>
      <c r="C87" s="85"/>
      <c r="D87" s="101">
        <f>IF(Year1_Isle_of_Wight Year1_Adoption_LAC_Adopted="","",Year1_Isle_of_Wight Year1_Adoption_LAC_Adopted)</f>
        <v>9</v>
      </c>
      <c r="E87" s="101">
        <f>IF(Year2_Isle_of_Wight Year2_Adoption_LAC_Adopted="","",Year2_Isle_of_Wight Year2_Adoption_LAC_Adopted)</f>
        <v>16</v>
      </c>
      <c r="F87" s="101">
        <f>IF(Year3_Isle_of_Wight Year3_Adoption_LAC_Adopted="","",Year3_Isle_of_Wight Year3_Adoption_LAC_Adopted)</f>
        <v>13</v>
      </c>
      <c r="G87" s="101">
        <f>IF(Year4_Isle_of_Wight Year4_Adoption_LAC_Adopted="","",Year4_Isle_of_Wight Year4_Adoption_LAC_Adopted)</f>
        <v>11</v>
      </c>
      <c r="H87" s="233">
        <f>IF(Year5_Isle_of_Wight Year5_Adoption_LAC_Adopted="","",Year5_Isle_of_Wight Year5_Adoption_LAC_Adopted)</f>
        <v>9</v>
      </c>
      <c r="I87" s="1093">
        <f t="shared" si="18"/>
        <v>6.3653360528360528E-2</v>
      </c>
      <c r="J87" s="863">
        <f t="shared" si="19"/>
        <v>6.3653360528360528E-2</v>
      </c>
      <c r="K87" s="96"/>
      <c r="L87" s="603" t="e">
        <f t="shared" si="36"/>
        <v>#N/A</v>
      </c>
      <c r="M87" s="603">
        <f t="shared" si="37"/>
        <v>647</v>
      </c>
      <c r="N87" s="603">
        <f t="shared" si="38"/>
        <v>298</v>
      </c>
      <c r="O87" s="603">
        <f t="shared" si="39"/>
        <v>338</v>
      </c>
      <c r="P87" s="628" t="e">
        <f t="shared" si="40"/>
        <v>#N/A</v>
      </c>
      <c r="Q87" s="1513" t="str">
        <f t="shared" si="41"/>
        <v/>
      </c>
      <c r="R87" s="933" t="e">
        <f t="shared" si="25"/>
        <v>#VALUE!</v>
      </c>
      <c r="S87" s="70"/>
      <c r="T87" s="752">
        <f>IDACI!C14</f>
        <v>18</v>
      </c>
      <c r="U87" s="1069"/>
      <c r="V87" s="139"/>
      <c r="W87" s="152"/>
      <c r="X87" s="372" t="str">
        <f t="shared" si="26"/>
        <v>Isle of Wight</v>
      </c>
      <c r="Y87" s="44">
        <f>IF(ISNUMBER(H87),IDACI!D14,0)</f>
        <v>22123</v>
      </c>
      <c r="Z87" s="44">
        <f>IF(ISNUMBER(H87),IDACI!E14,0)</f>
        <v>3982.14</v>
      </c>
      <c r="AA87" s="489" t="str">
        <f>IF(Year1_Isle_of_Wight Year1_Adoption_LAC_Adopted_days="","",Year1_Isle_of_Wight Year1_Adoption_LAC_Adopted_days)</f>
        <v>x</v>
      </c>
      <c r="AB87" s="372">
        <f>IF(Year2_Isle_of_Wight Year2_Adoption_LAC_Adopted_days="","",Year2_Isle_of_Wight Year2_Adoption_LAC_Adopted_days)</f>
        <v>10352</v>
      </c>
      <c r="AC87" s="602">
        <f>IF(Year3_Isle_of_Wight Year3_Adoption_LAC_Adopted_days="","",Year3_Isle_of_Wight Year3_Adoption_LAC_Adopted_days)</f>
        <v>3874</v>
      </c>
      <c r="AD87" s="602">
        <f>IF(Year4_Isle_of_Wight Year4_Adoption_LAC_Adopted_days="","",Year4_Isle_of_Wight Year4_Adoption_LAC_Adopted_days)</f>
        <v>3718</v>
      </c>
      <c r="AE87" s="602" t="str">
        <f>IF(Year5_Isle_of_Wight Year5_Adoption_LAC_Adopted_days="","",Year5_Isle_of_Wight Year5_Adoption_LAC_Adopted_days)</f>
        <v>x</v>
      </c>
      <c r="AF87" s="1182">
        <f t="shared" si="27"/>
        <v>9</v>
      </c>
      <c r="AG87" s="756">
        <f t="shared" si="28"/>
        <v>16</v>
      </c>
      <c r="AH87" s="756">
        <f t="shared" si="29"/>
        <v>13</v>
      </c>
      <c r="AI87" s="756">
        <f t="shared" si="30"/>
        <v>11</v>
      </c>
      <c r="AJ87" s="1183">
        <f t="shared" si="31"/>
        <v>9</v>
      </c>
      <c r="AK87" s="1100" t="s">
        <v>1</v>
      </c>
      <c r="AL87" s="231" t="str">
        <f t="shared" si="42"/>
        <v/>
      </c>
      <c r="AM87" s="206" t="e">
        <f t="shared" si="43"/>
        <v>#VALUE!</v>
      </c>
      <c r="AN87" s="160"/>
      <c r="AO87" s="853">
        <f t="shared" si="32"/>
        <v>0.77777777777777779</v>
      </c>
      <c r="AP87" s="853">
        <f t="shared" si="33"/>
        <v>-0.1875</v>
      </c>
      <c r="AQ87" s="853">
        <f t="shared" si="34"/>
        <v>-0.15384615384615385</v>
      </c>
      <c r="AR87" s="853">
        <f t="shared" si="35"/>
        <v>-0.18181818181818182</v>
      </c>
      <c r="AS87" s="853">
        <f t="shared" si="44"/>
        <v>6.3653360528360528E-2</v>
      </c>
    </row>
    <row r="88" spans="1:48" s="87" customFormat="1" ht="13.5" customHeight="1" x14ac:dyDescent="0.2">
      <c r="A88" s="488">
        <f>VLOOKUP(B88,Sheet1!$AQ$4:$AR$25,2,FALSE)</f>
        <v>0</v>
      </c>
      <c r="B88" s="93" t="s">
        <v>9</v>
      </c>
      <c r="C88" s="85"/>
      <c r="D88" s="101">
        <f>IF(Year1_Kent Year1_Adoption_LAC_Adopted="","",Year1_Kent Year1_Adoption_LAC_Adopted)</f>
        <v>108</v>
      </c>
      <c r="E88" s="101">
        <f>IF(Year2_Kent Year2_Adoption_LAC_Adopted="","",Year2_Kent Year2_Adoption_LAC_Adopted)</f>
        <v>80</v>
      </c>
      <c r="F88" s="101">
        <f>IF(Year3_Kent Year3_Adoption_LAC_Adopted="","",Year3_Kent Year3_Adoption_LAC_Adopted)</f>
        <v>104</v>
      </c>
      <c r="G88" s="101">
        <f>IF(Year4_Kent Year4_Adoption_LAC_Adopted="","",Year4_Kent Year4_Adoption_LAC_Adopted)</f>
        <v>96</v>
      </c>
      <c r="H88" s="233">
        <f>IF(Year5_Kent Year5_Adoption_LAC_Adopted="","",Year5_Kent Year5_Adoption_LAC_Adopted)</f>
        <v>63</v>
      </c>
      <c r="I88" s="1093">
        <f t="shared" si="18"/>
        <v>-9.4983084045584046E-2</v>
      </c>
      <c r="J88" s="863">
        <f t="shared" si="19"/>
        <v>-9.4983084045584046E-2</v>
      </c>
      <c r="K88" s="96"/>
      <c r="L88" s="603">
        <f t="shared" si="36"/>
        <v>411</v>
      </c>
      <c r="M88" s="603">
        <f t="shared" si="37"/>
        <v>296</v>
      </c>
      <c r="N88" s="603">
        <f t="shared" si="38"/>
        <v>301</v>
      </c>
      <c r="O88" s="603">
        <f t="shared" si="39"/>
        <v>335</v>
      </c>
      <c r="P88" s="628">
        <f t="shared" si="40"/>
        <v>336.63492063492066</v>
      </c>
      <c r="Q88" s="1513">
        <f t="shared" si="41"/>
        <v>336.63492063492066</v>
      </c>
      <c r="R88" s="933">
        <f t="shared" si="25"/>
        <v>3</v>
      </c>
      <c r="S88" s="70"/>
      <c r="T88" s="752">
        <f>IDACI!C15</f>
        <v>15.8</v>
      </c>
      <c r="U88" s="1069"/>
      <c r="V88" s="139"/>
      <c r="W88" s="152"/>
      <c r="X88" s="372" t="str">
        <f t="shared" si="26"/>
        <v>Kent</v>
      </c>
      <c r="Y88" s="44">
        <f>IF(ISNUMBER(H88),IDACI!D15,0)</f>
        <v>291866</v>
      </c>
      <c r="Z88" s="44">
        <f>IF(ISNUMBER(H88),IDACI!E15,0)</f>
        <v>46114.828000000001</v>
      </c>
      <c r="AA88" s="489">
        <f>IF(Year1_Kent Year1_Adoption_LAC_Adopted_days="","",Year1_Kent Year1_Adoption_LAC_Adopted_days)</f>
        <v>44388</v>
      </c>
      <c r="AB88" s="372">
        <f>IF(Year2_Kent Year2_Adoption_LAC_Adopted_days="","",Year2_Kent Year2_Adoption_LAC_Adopted_days)</f>
        <v>23680</v>
      </c>
      <c r="AC88" s="602">
        <f>IF(Year3_Kent Year3_Adoption_LAC_Adopted_days="","",Year3_Kent Year3_Adoption_LAC_Adopted_days)</f>
        <v>31304</v>
      </c>
      <c r="AD88" s="602">
        <f>IF(Year4_Kent Year4_Adoption_LAC_Adopted_days="","",Year4_Kent Year4_Adoption_LAC_Adopted_days)</f>
        <v>32160</v>
      </c>
      <c r="AE88" s="602">
        <f>IF(Year5_Kent Year5_Adoption_LAC_Adopted_days="","",Year5_Kent Year5_Adoption_LAC_Adopted_days)</f>
        <v>21208</v>
      </c>
      <c r="AF88" s="1182">
        <f t="shared" si="27"/>
        <v>108</v>
      </c>
      <c r="AG88" s="756">
        <f t="shared" si="28"/>
        <v>80</v>
      </c>
      <c r="AH88" s="756">
        <f t="shared" si="29"/>
        <v>104</v>
      </c>
      <c r="AI88" s="756">
        <f t="shared" si="30"/>
        <v>96</v>
      </c>
      <c r="AJ88" s="1183">
        <f t="shared" si="31"/>
        <v>63</v>
      </c>
      <c r="AK88" s="1100" t="s">
        <v>9</v>
      </c>
      <c r="AL88" s="231">
        <f t="shared" si="42"/>
        <v>336.63492063492066</v>
      </c>
      <c r="AM88" s="206">
        <f t="shared" si="43"/>
        <v>2</v>
      </c>
      <c r="AN88" s="160"/>
      <c r="AO88" s="853">
        <f t="shared" si="32"/>
        <v>-0.25925925925925924</v>
      </c>
      <c r="AP88" s="853">
        <f t="shared" si="33"/>
        <v>0.3</v>
      </c>
      <c r="AQ88" s="853">
        <f t="shared" si="34"/>
        <v>-7.6923076923076927E-2</v>
      </c>
      <c r="AR88" s="853">
        <f t="shared" si="35"/>
        <v>-0.34375</v>
      </c>
      <c r="AS88" s="853">
        <f t="shared" si="44"/>
        <v>-9.4983084045584046E-2</v>
      </c>
    </row>
    <row r="89" spans="1:48" s="87" customFormat="1" ht="13.5" customHeight="1" x14ac:dyDescent="0.2">
      <c r="A89" s="488">
        <f>VLOOKUP(B89,Sheet1!$AQ$4:$AR$25,2,FALSE)</f>
        <v>0</v>
      </c>
      <c r="B89" s="93" t="s">
        <v>2</v>
      </c>
      <c r="C89" s="85"/>
      <c r="D89" s="101">
        <f>IF(Year1_Medway Year1_Adoption_LAC_Adopted="","",Year1_Medway Year1_Adoption_LAC_Adopted)</f>
        <v>24</v>
      </c>
      <c r="E89" s="101">
        <f>IF(Year2_Medway Year2_Adoption_LAC_Adopted="","",Year2_Medway Year2_Adoption_LAC_Adopted)</f>
        <v>33</v>
      </c>
      <c r="F89" s="101">
        <f>IF(Year3_Medway Year3_Adoption_LAC_Adopted="","",Year3_Medway Year3_Adoption_LAC_Adopted)</f>
        <v>35</v>
      </c>
      <c r="G89" s="101">
        <f>IF(Year4_Medway Year4_Adoption_LAC_Adopted="","",Year4_Medway Year4_Adoption_LAC_Adopted)</f>
        <v>24</v>
      </c>
      <c r="H89" s="233">
        <f>IF(Year5_Medway Year5_Adoption_LAC_Adopted="","",Year5_Medway Year5_Adoption_LAC_Adopted)</f>
        <v>23</v>
      </c>
      <c r="I89" s="1093">
        <f t="shared" si="18"/>
        <v>1.9913419913419918E-2</v>
      </c>
      <c r="J89" s="863">
        <f t="shared" si="19"/>
        <v>1.9913419913419918E-2</v>
      </c>
      <c r="K89" s="96"/>
      <c r="L89" s="603">
        <f t="shared" si="36"/>
        <v>397</v>
      </c>
      <c r="M89" s="603">
        <f t="shared" si="37"/>
        <v>358</v>
      </c>
      <c r="N89" s="603">
        <f t="shared" si="38"/>
        <v>363</v>
      </c>
      <c r="O89" s="603">
        <f t="shared" si="39"/>
        <v>482</v>
      </c>
      <c r="P89" s="628">
        <f t="shared" si="40"/>
        <v>502.78947368421052</v>
      </c>
      <c r="Q89" s="1513">
        <f t="shared" si="41"/>
        <v>502.78947368421052</v>
      </c>
      <c r="R89" s="933">
        <f t="shared" si="25"/>
        <v>10</v>
      </c>
      <c r="S89" s="70"/>
      <c r="T89" s="752">
        <f>IDACI!C16</f>
        <v>18.899999999999999</v>
      </c>
      <c r="U89" s="1069"/>
      <c r="V89" s="139"/>
      <c r="W89" s="152"/>
      <c r="X89" s="372" t="str">
        <f t="shared" si="26"/>
        <v>Medway</v>
      </c>
      <c r="Y89" s="44">
        <f>IF(ISNUMBER(H89),IDACI!D16,0)</f>
        <v>55993</v>
      </c>
      <c r="Z89" s="44">
        <f>IF(ISNUMBER(H89),IDACI!E16,0)</f>
        <v>10582.676999999998</v>
      </c>
      <c r="AA89" s="489">
        <f>IF(Year1_Medway Year1_Adoption_LAC_Adopted_days="","",Year1_Medway Year1_Adoption_LAC_Adopted_days)</f>
        <v>9528</v>
      </c>
      <c r="AB89" s="372">
        <f>IF(Year2_Medway Year2_Adoption_LAC_Adopted_days="","",Year2_Medway Year2_Adoption_LAC_Adopted_days)</f>
        <v>11814</v>
      </c>
      <c r="AC89" s="372">
        <f>IF(Year3_Medway Year3_Adoption_LAC_Adopted_days="","",Year3_Medway Year3_Adoption_LAC_Adopted_days)</f>
        <v>12705</v>
      </c>
      <c r="AD89" s="372">
        <f>IF(Year4_Medway Year4_Adoption_LAC_Adopted_days="","",Year4_Medway Year4_Adoption_LAC_Adopted_days)</f>
        <v>11568</v>
      </c>
      <c r="AE89" s="372">
        <f>IF(Year5_Medway Year5_Adoption_LAC_Adopted_days="","",Year5_Medway Year5_Adoption_LAC_Adopted_days)</f>
        <v>11564.157894736842</v>
      </c>
      <c r="AF89" s="1182">
        <f t="shared" si="27"/>
        <v>24</v>
      </c>
      <c r="AG89" s="756">
        <f t="shared" si="28"/>
        <v>33</v>
      </c>
      <c r="AH89" s="756">
        <f t="shared" si="29"/>
        <v>35</v>
      </c>
      <c r="AI89" s="756">
        <f t="shared" si="30"/>
        <v>24</v>
      </c>
      <c r="AJ89" s="1183">
        <f t="shared" si="31"/>
        <v>23</v>
      </c>
      <c r="AK89" s="1100" t="s">
        <v>2</v>
      </c>
      <c r="AL89" s="231">
        <f t="shared" si="42"/>
        <v>502.78947368421052</v>
      </c>
      <c r="AM89" s="206">
        <f t="shared" si="43"/>
        <v>12</v>
      </c>
      <c r="AN89" s="160"/>
      <c r="AO89" s="853">
        <f t="shared" si="32"/>
        <v>0.375</v>
      </c>
      <c r="AP89" s="853">
        <f t="shared" si="33"/>
        <v>6.0606060606060608E-2</v>
      </c>
      <c r="AQ89" s="853">
        <f t="shared" si="34"/>
        <v>-0.31428571428571428</v>
      </c>
      <c r="AR89" s="853">
        <f t="shared" si="35"/>
        <v>-4.1666666666666664E-2</v>
      </c>
      <c r="AS89" s="853">
        <f t="shared" si="44"/>
        <v>1.9913419913419918E-2</v>
      </c>
    </row>
    <row r="90" spans="1:48" s="87" customFormat="1" ht="13.5" customHeight="1" x14ac:dyDescent="0.2">
      <c r="A90" s="488">
        <f>VLOOKUP(B90,Sheet1!$AQ$4:$AR$25,2,FALSE)</f>
        <v>0</v>
      </c>
      <c r="B90" s="93" t="s">
        <v>10</v>
      </c>
      <c r="C90" s="85"/>
      <c r="D90" s="101">
        <f>IF(Year1_Milton_Keynes Year1_Adoption_LAC_Adopted="","",Year1_Milton_Keynes Year1_Adoption_LAC_Adopted)</f>
        <v>19</v>
      </c>
      <c r="E90" s="101">
        <f>IF(Year2_Milton_Keynes Year2_Adoption_LAC_Adopted="","",Year2_Milton_Keynes Year2_Adoption_LAC_Adopted)</f>
        <v>10</v>
      </c>
      <c r="F90" s="101">
        <f>IF(Year3_Milton_Keynes Year3_Adoption_LAC_Adopted="","",Year3_Milton_Keynes Year3_Adoption_LAC_Adopted)</f>
        <v>9</v>
      </c>
      <c r="G90" s="101">
        <f>IF(Year4_Milton_Keynes Year4_Adoption_LAC_Adopted="","",Year4_Milton_Keynes Year4_Adoption_LAC_Adopted)</f>
        <v>20</v>
      </c>
      <c r="H90" s="233">
        <f>IF(Year5_Milton_Keynes Year5_Adoption_LAC_Adopted="","",Year5_Milton_Keynes Year5_Adoption_LAC_Adopted)</f>
        <v>19</v>
      </c>
      <c r="I90" s="1093">
        <f t="shared" si="18"/>
        <v>0.14963450292397662</v>
      </c>
      <c r="J90" s="863">
        <f t="shared" si="19"/>
        <v>0.14963450292397662</v>
      </c>
      <c r="K90" s="96"/>
      <c r="L90" s="603">
        <f t="shared" si="36"/>
        <v>460</v>
      </c>
      <c r="M90" s="603" t="e">
        <f t="shared" si="37"/>
        <v>#N/A</v>
      </c>
      <c r="N90" s="603" t="e">
        <f t="shared" si="38"/>
        <v>#N/A</v>
      </c>
      <c r="O90" s="603">
        <f t="shared" si="39"/>
        <v>381</v>
      </c>
      <c r="P90" s="628">
        <f t="shared" si="40"/>
        <v>403.07142857142856</v>
      </c>
      <c r="Q90" s="1513">
        <f t="shared" si="41"/>
        <v>403.07142857142856</v>
      </c>
      <c r="R90" s="933">
        <f t="shared" si="25"/>
        <v>11</v>
      </c>
      <c r="S90" s="70"/>
      <c r="T90" s="752">
        <f>IDACI!C17</f>
        <v>15</v>
      </c>
      <c r="U90" s="1069"/>
      <c r="V90" s="139"/>
      <c r="W90" s="152"/>
      <c r="X90" s="372" t="str">
        <f t="shared" si="26"/>
        <v>Milton Keynes</v>
      </c>
      <c r="Y90" s="44">
        <f>IF(ISNUMBER(H90),IDACI!D17,0)</f>
        <v>59903</v>
      </c>
      <c r="Z90" s="44">
        <f>IF(ISNUMBER(H90),IDACI!E17,0)</f>
        <v>8985.4499999999989</v>
      </c>
      <c r="AA90" s="489">
        <f>IF(Year1_Milton_Keynes Year1_Adoption_LAC_Adopted_days="","",Year1_Milton_Keynes Year1_Adoption_LAC_Adopted_days)</f>
        <v>8740</v>
      </c>
      <c r="AB90" s="372" t="str">
        <f>IF(Year2_Milton_Keynes Year2_Adoption_LAC_Adopted_days="","",Year2_Milton_Keynes Year2_Adoption_LAC_Adopted_days)</f>
        <v>x</v>
      </c>
      <c r="AC90" s="372" t="str">
        <f>IF(Year3_Milton_Keynes Year3_Adoption_LAC_Adopted_days="","",Year3_Milton_Keynes Year3_Adoption_LAC_Adopted_days)</f>
        <v>x</v>
      </c>
      <c r="AD90" s="372">
        <f>IF(Year4_Milton_Keynes Year4_Adoption_LAC_Adopted_days="","",Year4_Milton_Keynes Year4_Adoption_LAC_Adopted_days)</f>
        <v>7620</v>
      </c>
      <c r="AE90" s="372">
        <f>IF(Year5_Milton_Keynes Year5_Adoption_LAC_Adopted_days="","",Year5_Milton_Keynes Year5_Adoption_LAC_Adopted_days)</f>
        <v>7658.3571428571422</v>
      </c>
      <c r="AF90" s="1182">
        <f t="shared" si="27"/>
        <v>19</v>
      </c>
      <c r="AG90" s="756">
        <f t="shared" si="28"/>
        <v>10</v>
      </c>
      <c r="AH90" s="756">
        <f t="shared" si="29"/>
        <v>9</v>
      </c>
      <c r="AI90" s="756">
        <f t="shared" si="30"/>
        <v>20</v>
      </c>
      <c r="AJ90" s="1183">
        <f t="shared" si="31"/>
        <v>19</v>
      </c>
      <c r="AK90" s="1100" t="s">
        <v>10</v>
      </c>
      <c r="AL90" s="231">
        <f t="shared" si="42"/>
        <v>403.07142857142856</v>
      </c>
      <c r="AM90" s="206">
        <f t="shared" si="43"/>
        <v>6</v>
      </c>
      <c r="AN90" s="160"/>
      <c r="AO90" s="853">
        <f t="shared" si="32"/>
        <v>-0.47368421052631576</v>
      </c>
      <c r="AP90" s="853">
        <f t="shared" si="33"/>
        <v>-0.1</v>
      </c>
      <c r="AQ90" s="853">
        <f t="shared" si="34"/>
        <v>1.2222222222222223</v>
      </c>
      <c r="AR90" s="853">
        <f t="shared" si="35"/>
        <v>-0.05</v>
      </c>
      <c r="AS90" s="853">
        <f t="shared" si="44"/>
        <v>0.14963450292397662</v>
      </c>
    </row>
    <row r="91" spans="1:48" s="87" customFormat="1" ht="13.5" customHeight="1" x14ac:dyDescent="0.2">
      <c r="A91" s="488">
        <f>VLOOKUP(B91,Sheet1!$AQ$4:$AR$25,2,FALSE)</f>
        <v>0</v>
      </c>
      <c r="B91" s="93" t="s">
        <v>11</v>
      </c>
      <c r="C91" s="85"/>
      <c r="D91" s="101">
        <f>IF(Year1_Oxfordshire Year1_Adoption_LAC_Adopted="","",Year1_Oxfordshire Year1_Adoption_LAC_Adopted)</f>
        <v>50</v>
      </c>
      <c r="E91" s="101">
        <f>IF(Year2_Oxfordshire Year2_Adoption_LAC_Adopted="","",Year2_Oxfordshire Year2_Adoption_LAC_Adopted)</f>
        <v>38</v>
      </c>
      <c r="F91" s="101">
        <f>IF(Year3_Oxfordshire Year3_Adoption_LAC_Adopted="","",Year3_Oxfordshire Year3_Adoption_LAC_Adopted)</f>
        <v>36</v>
      </c>
      <c r="G91" s="101">
        <f>IF(Year4_Oxfordshire Year4_Adoption_LAC_Adopted="","",Year4_Oxfordshire Year4_Adoption_LAC_Adopted)</f>
        <v>25</v>
      </c>
      <c r="H91" s="233">
        <f>IF(Year5_Oxfordshire Year5_Adoption_LAC_Adopted="","",Year5_Oxfordshire Year5_Adoption_LAC_Adopted)</f>
        <v>35</v>
      </c>
      <c r="I91" s="1093">
        <f t="shared" si="18"/>
        <v>-4.9546783625730978E-2</v>
      </c>
      <c r="J91" s="863">
        <f t="shared" si="19"/>
        <v>-4.9546783625730978E-2</v>
      </c>
      <c r="K91" s="96"/>
      <c r="L91" s="603">
        <f t="shared" si="36"/>
        <v>375</v>
      </c>
      <c r="M91" s="603">
        <f t="shared" si="37"/>
        <v>420</v>
      </c>
      <c r="N91" s="603">
        <f t="shared" si="38"/>
        <v>354</v>
      </c>
      <c r="O91" s="603">
        <f t="shared" si="39"/>
        <v>331</v>
      </c>
      <c r="P91" s="628">
        <f t="shared" si="40"/>
        <v>525.18181818181813</v>
      </c>
      <c r="Q91" s="1513">
        <f t="shared" si="41"/>
        <v>525.18181818181813</v>
      </c>
      <c r="R91" s="933">
        <f t="shared" si="25"/>
        <v>4</v>
      </c>
      <c r="S91" s="70"/>
      <c r="T91" s="752">
        <f>IDACI!C18</f>
        <v>10.100000000000001</v>
      </c>
      <c r="U91" s="1069"/>
      <c r="V91" s="139"/>
      <c r="W91" s="152"/>
      <c r="X91" s="372" t="str">
        <f t="shared" si="26"/>
        <v>Oxfordshire</v>
      </c>
      <c r="Y91" s="44">
        <f>IF(ISNUMBER(H91),IDACI!D18,0)</f>
        <v>126119</v>
      </c>
      <c r="Z91" s="44">
        <f>IF(ISNUMBER(H91),IDACI!E18,0)</f>
        <v>12738.019000000002</v>
      </c>
      <c r="AA91" s="489">
        <f>IF(Year1_Oxfordshire Year1_Adoption_LAC_Adopted_days="","",Year1_Oxfordshire Year1_Adoption_LAC_Adopted_days)</f>
        <v>18750</v>
      </c>
      <c r="AB91" s="372">
        <f>IF(Year2_Oxfordshire Year2_Adoption_LAC_Adopted_days="","",Year2_Oxfordshire Year2_Adoption_LAC_Adopted_days)</f>
        <v>15960</v>
      </c>
      <c r="AC91" s="372">
        <f>IF(Year3_Oxfordshire Year3_Adoption_LAC_Adopted_days="","",Year3_Oxfordshire Year3_Adoption_LAC_Adopted_days)</f>
        <v>12744</v>
      </c>
      <c r="AD91" s="372">
        <f>IF(Year4_Oxfordshire Year4_Adoption_LAC_Adopted_days="","",Year4_Oxfordshire Year4_Adoption_LAC_Adopted_days)</f>
        <v>8275</v>
      </c>
      <c r="AE91" s="372">
        <f>IF(Year5_Oxfordshire Year5_Adoption_LAC_Adopted_days="","",Year5_Oxfordshire Year5_Adoption_LAC_Adopted_days)</f>
        <v>18381.363636363636</v>
      </c>
      <c r="AF91" s="1182">
        <f t="shared" si="27"/>
        <v>50</v>
      </c>
      <c r="AG91" s="756">
        <f t="shared" si="28"/>
        <v>38</v>
      </c>
      <c r="AH91" s="756">
        <f t="shared" si="29"/>
        <v>36</v>
      </c>
      <c r="AI91" s="756">
        <f t="shared" si="30"/>
        <v>25</v>
      </c>
      <c r="AJ91" s="1183">
        <f t="shared" si="31"/>
        <v>35</v>
      </c>
      <c r="AK91" s="1100" t="s">
        <v>11</v>
      </c>
      <c r="AL91" s="231">
        <f t="shared" si="42"/>
        <v>525.18181818181813</v>
      </c>
      <c r="AM91" s="206">
        <f t="shared" si="43"/>
        <v>13</v>
      </c>
      <c r="AN91" s="160"/>
      <c r="AO91" s="853">
        <f t="shared" si="32"/>
        <v>-0.24</v>
      </c>
      <c r="AP91" s="853">
        <f t="shared" si="33"/>
        <v>-5.2631578947368418E-2</v>
      </c>
      <c r="AQ91" s="853">
        <f t="shared" si="34"/>
        <v>-0.30555555555555558</v>
      </c>
      <c r="AR91" s="853">
        <f t="shared" si="35"/>
        <v>0.4</v>
      </c>
      <c r="AS91" s="853">
        <f t="shared" si="44"/>
        <v>-4.9546783625730978E-2</v>
      </c>
    </row>
    <row r="92" spans="1:48" s="87" customFormat="1" ht="13.5" customHeight="1" x14ac:dyDescent="0.2">
      <c r="A92" s="488">
        <f>VLOOKUP(B92,Sheet1!$AQ$4:$AR$25,2,FALSE)</f>
        <v>0</v>
      </c>
      <c r="B92" s="93" t="s">
        <v>12</v>
      </c>
      <c r="C92" s="85"/>
      <c r="D92" s="101">
        <f>IF(Year1_Portsmouth Year1_Adoption_LAC_Adopted="","",Year1_Portsmouth Year1_Adoption_LAC_Adopted)</f>
        <v>27</v>
      </c>
      <c r="E92" s="101">
        <f>IF(Year2_Portsmouth Year2_Adoption_LAC_Adopted="","",Year2_Portsmouth Year2_Adoption_LAC_Adopted)</f>
        <v>35</v>
      </c>
      <c r="F92" s="101">
        <f>IF(Year3_Portsmouth Year3_Adoption_LAC_Adopted="","",Year3_Portsmouth Year3_Adoption_LAC_Adopted)</f>
        <v>30</v>
      </c>
      <c r="G92" s="101">
        <f>IF(Year4_Portsmouth Year4_Adoption_LAC_Adopted="","",Year4_Portsmouth Year4_Adoption_LAC_Adopted)</f>
        <v>15</v>
      </c>
      <c r="H92" s="233">
        <f>IF(Year5_Portsmouth Year5_Adoption_LAC_Adopted="","",Year5_Portsmouth Year5_Adoption_LAC_Adopted)</f>
        <v>23</v>
      </c>
      <c r="I92" s="1093">
        <f t="shared" si="18"/>
        <v>4.6693121693121689E-2</v>
      </c>
      <c r="J92" s="863">
        <f t="shared" si="19"/>
        <v>4.6693121693121689E-2</v>
      </c>
      <c r="K92" s="96"/>
      <c r="L92" s="603">
        <f t="shared" si="36"/>
        <v>345</v>
      </c>
      <c r="M92" s="603">
        <f t="shared" si="37"/>
        <v>388</v>
      </c>
      <c r="N92" s="603">
        <f t="shared" si="38"/>
        <v>326</v>
      </c>
      <c r="O92" s="603">
        <f t="shared" si="39"/>
        <v>239</v>
      </c>
      <c r="P92" s="628">
        <f t="shared" si="40"/>
        <v>390.08</v>
      </c>
      <c r="Q92" s="1513">
        <f t="shared" si="41"/>
        <v>390.08</v>
      </c>
      <c r="R92" s="933">
        <f t="shared" si="25"/>
        <v>7</v>
      </c>
      <c r="S92" s="70"/>
      <c r="T92" s="752">
        <f>IDACI!C19</f>
        <v>20.200000000000003</v>
      </c>
      <c r="U92" s="1069"/>
      <c r="V92" s="139"/>
      <c r="W92" s="152"/>
      <c r="X92" s="372" t="str">
        <f t="shared" si="26"/>
        <v>Portsmouth</v>
      </c>
      <c r="Y92" s="44">
        <f>IF(ISNUMBER(H92),IDACI!D19,0)</f>
        <v>39325</v>
      </c>
      <c r="Z92" s="44">
        <f>IF(ISNUMBER(H92),IDACI!E19,0)</f>
        <v>7943.6500000000015</v>
      </c>
      <c r="AA92" s="489">
        <f>IF(Year1_Portsmouth Year1_Adoption_LAC_Adopted_days="","",Year1_Portsmouth Year1_Adoption_LAC_Adopted_days)</f>
        <v>9315</v>
      </c>
      <c r="AB92" s="372">
        <f>IF(Year2_Portsmouth Year2_Adoption_LAC_Adopted_days="","",Year2_Portsmouth Year2_Adoption_LAC_Adopted_days)</f>
        <v>13580</v>
      </c>
      <c r="AC92" s="372">
        <f>IF(Year3_Portsmouth Year3_Adoption_LAC_Adopted_days="","",Year3_Portsmouth Year3_Adoption_LAC_Adopted_days)</f>
        <v>9780</v>
      </c>
      <c r="AD92" s="372">
        <f>IF(Year4_Portsmouth Year4_Adoption_LAC_Adopted_days="","",Year4_Portsmouth Year4_Adoption_LAC_Adopted_days)</f>
        <v>3585</v>
      </c>
      <c r="AE92" s="372">
        <f>IF(Year5_Portsmouth Year5_Adoption_LAC_Adopted_days="","",Year5_Portsmouth Year5_Adoption_LAC_Adopted_days)</f>
        <v>8971.84</v>
      </c>
      <c r="AF92" s="1182">
        <f t="shared" si="27"/>
        <v>27</v>
      </c>
      <c r="AG92" s="756">
        <f t="shared" si="28"/>
        <v>35</v>
      </c>
      <c r="AH92" s="756">
        <f t="shared" si="29"/>
        <v>30</v>
      </c>
      <c r="AI92" s="756">
        <f t="shared" si="30"/>
        <v>15</v>
      </c>
      <c r="AJ92" s="1183">
        <f t="shared" si="31"/>
        <v>23</v>
      </c>
      <c r="AK92" s="1100" t="s">
        <v>12</v>
      </c>
      <c r="AL92" s="231">
        <f t="shared" si="42"/>
        <v>390.08</v>
      </c>
      <c r="AM92" s="206">
        <f t="shared" si="43"/>
        <v>5</v>
      </c>
      <c r="AN92" s="160"/>
      <c r="AO92" s="853">
        <f t="shared" si="32"/>
        <v>0.29629629629629628</v>
      </c>
      <c r="AP92" s="853">
        <f t="shared" si="33"/>
        <v>-0.14285714285714285</v>
      </c>
      <c r="AQ92" s="853">
        <f t="shared" si="34"/>
        <v>-0.5</v>
      </c>
      <c r="AR92" s="853">
        <f t="shared" si="35"/>
        <v>0.53333333333333333</v>
      </c>
      <c r="AS92" s="853">
        <f t="shared" si="44"/>
        <v>4.6693121693121689E-2</v>
      </c>
    </row>
    <row r="93" spans="1:48" s="87" customFormat="1" ht="13.5" customHeight="1" x14ac:dyDescent="0.2">
      <c r="A93" s="488">
        <f>VLOOKUP(B93,Sheet1!$AQ$4:$AR$25,2,FALSE)</f>
        <v>0</v>
      </c>
      <c r="B93" s="93" t="s">
        <v>3</v>
      </c>
      <c r="C93" s="85"/>
      <c r="D93" s="101">
        <f>IF(Year1_Reading Year1_Adoption_LAC_Adopted="","",Year1_Reading Year1_Adoption_LAC_Adopted)</f>
        <v>25</v>
      </c>
      <c r="E93" s="101">
        <f>IF(Year2_Reading Year2_Adoption_LAC_Adopted="","",Year2_Reading Year2_Adoption_LAC_Adopted)</f>
        <v>16</v>
      </c>
      <c r="F93" s="101">
        <f>IF(Year3_Reading Year3_Adoption_LAC_Adopted="","",Year3_Reading Year3_Adoption_LAC_Adopted)</f>
        <v>13</v>
      </c>
      <c r="G93" s="101">
        <f>IF(Year4_Reading Year4_Adoption_LAC_Adopted="","",Year4_Reading Year4_Adoption_LAC_Adopted)</f>
        <v>20</v>
      </c>
      <c r="H93" s="233">
        <f>IF(Year5_Reading Year5_Adoption_LAC_Adopted="","",Year5_Reading Year5_Adoption_LAC_Adopted)</f>
        <v>16</v>
      </c>
      <c r="I93" s="1093">
        <f t="shared" si="18"/>
        <v>-5.225961538461539E-2</v>
      </c>
      <c r="J93" s="863">
        <f t="shared" si="19"/>
        <v>-5.225961538461539E-2</v>
      </c>
      <c r="K93" s="96"/>
      <c r="L93" s="603">
        <f t="shared" si="36"/>
        <v>490</v>
      </c>
      <c r="M93" s="603">
        <f t="shared" si="37"/>
        <v>289</v>
      </c>
      <c r="N93" s="603">
        <f t="shared" si="38"/>
        <v>661</v>
      </c>
      <c r="O93" s="603">
        <f t="shared" si="39"/>
        <v>342</v>
      </c>
      <c r="P93" s="628">
        <f t="shared" si="40"/>
        <v>439.33333333333331</v>
      </c>
      <c r="Q93" s="1513">
        <f>IF(ISNUMBER(P93),P93,"")</f>
        <v>439.33333333333331</v>
      </c>
      <c r="R93" s="933" t="e">
        <f t="shared" si="25"/>
        <v>#VALUE!</v>
      </c>
      <c r="S93" s="70"/>
      <c r="T93" s="752">
        <f>IDACI!C20</f>
        <v>16</v>
      </c>
      <c r="U93" s="1069"/>
      <c r="V93" s="139"/>
      <c r="W93" s="152"/>
      <c r="X93" s="372" t="str">
        <f t="shared" si="26"/>
        <v>Reading</v>
      </c>
      <c r="Y93" s="44">
        <f>IF(ISNUMBER(H93),IDACI!D20,0)</f>
        <v>33203</v>
      </c>
      <c r="Z93" s="44">
        <f>IF(ISNUMBER(H93),IDACI!E20,0)</f>
        <v>5312.4800000000005</v>
      </c>
      <c r="AA93" s="489">
        <f>IF(Year1_Reading Year1_Adoption_LAC_Adopted_days="","",Year1_Reading Year1_Adoption_LAC_Adopted_days)</f>
        <v>12250</v>
      </c>
      <c r="AB93" s="372">
        <f>IF(Year2_Reading Year2_Adoption_LAC_Adopted_days="","",Year2_Reading Year2_Adoption_LAC_Adopted_days)</f>
        <v>4624</v>
      </c>
      <c r="AC93" s="372">
        <f>IF(Year3_Reading Year3_Adoption_LAC_Adopted_days="","",Year3_Reading Year3_Adoption_LAC_Adopted_days)</f>
        <v>8593</v>
      </c>
      <c r="AD93" s="372">
        <f>IF(Year4_Reading Year4_Adoption_LAC_Adopted_days="","",Year4_Reading Year4_Adoption_LAC_Adopted_days)</f>
        <v>6840</v>
      </c>
      <c r="AE93" s="372">
        <f>IF(Year5_Reading Year5_Adoption_LAC_Adopted_days="","",Year5_Reading Year5_Adoption_LAC_Adopted_days)</f>
        <v>7029.333333333333</v>
      </c>
      <c r="AF93" s="1182">
        <f t="shared" si="27"/>
        <v>25</v>
      </c>
      <c r="AG93" s="756">
        <f t="shared" si="28"/>
        <v>16</v>
      </c>
      <c r="AH93" s="756">
        <f t="shared" si="29"/>
        <v>13</v>
      </c>
      <c r="AI93" s="756">
        <f t="shared" si="30"/>
        <v>20</v>
      </c>
      <c r="AJ93" s="1183">
        <f t="shared" si="31"/>
        <v>16</v>
      </c>
      <c r="AK93" s="1100" t="s">
        <v>3</v>
      </c>
      <c r="AL93" s="231">
        <f t="shared" si="42"/>
        <v>439.33333333333331</v>
      </c>
      <c r="AM93" s="206">
        <f t="shared" si="43"/>
        <v>9</v>
      </c>
      <c r="AN93" s="160"/>
      <c r="AO93" s="853">
        <f t="shared" si="32"/>
        <v>-0.36</v>
      </c>
      <c r="AP93" s="853">
        <f t="shared" si="33"/>
        <v>-0.1875</v>
      </c>
      <c r="AQ93" s="853">
        <f t="shared" si="34"/>
        <v>0.53846153846153844</v>
      </c>
      <c r="AR93" s="853">
        <f t="shared" si="35"/>
        <v>-0.2</v>
      </c>
      <c r="AS93" s="853">
        <f t="shared" si="44"/>
        <v>-5.225961538461539E-2</v>
      </c>
    </row>
    <row r="94" spans="1:48" s="87" customFormat="1" ht="13.5" customHeight="1" x14ac:dyDescent="0.2">
      <c r="A94" s="488">
        <f>VLOOKUP(B94,Sheet1!$AQ$4:$AR$25,2,FALSE)</f>
        <v>0</v>
      </c>
      <c r="B94" s="93" t="s">
        <v>13</v>
      </c>
      <c r="C94" s="85"/>
      <c r="D94" s="101">
        <f>IF(Year1_Slough Year1_Adoption_LAC_Adopted="","",Year1_Slough Year1_Adoption_LAC_Adopted)</f>
        <v>16</v>
      </c>
      <c r="E94" s="101">
        <f>IF(Year2_Slough Year2_Adoption_LAC_Adopted="","",Year2_Slough Year2_Adoption_LAC_Adopted)</f>
        <v>11</v>
      </c>
      <c r="F94" s="101">
        <f>IF(Year3_Slough Year3_Adoption_LAC_Adopted="","",Year3_Slough Year3_Adoption_LAC_Adopted)</f>
        <v>13</v>
      </c>
      <c r="G94" s="101">
        <f>IF(Year4_Slough Year4_Adoption_LAC_Adopted="","",Year4_Slough Year4_Adoption_LAC_Adopted)</f>
        <v>14</v>
      </c>
      <c r="H94" s="233">
        <f>IF(Year5_Slough Year5_Adoption_LAC_Adopted="","",Year5_Slough Year5_Adoption_LAC_Adopted)</f>
        <v>15</v>
      </c>
      <c r="I94" s="1093">
        <f t="shared" si="18"/>
        <v>4.4174575424575438E-3</v>
      </c>
      <c r="J94" s="863">
        <f t="shared" si="19"/>
        <v>4.4174575424575438E-3</v>
      </c>
      <c r="K94" s="96"/>
      <c r="L94" s="603">
        <f t="shared" si="36"/>
        <v>362</v>
      </c>
      <c r="M94" s="603">
        <f t="shared" si="37"/>
        <v>225</v>
      </c>
      <c r="N94" s="603">
        <f t="shared" si="38"/>
        <v>353</v>
      </c>
      <c r="O94" s="603">
        <f t="shared" si="39"/>
        <v>411</v>
      </c>
      <c r="P94" s="628">
        <f t="shared" si="40"/>
        <v>404.8</v>
      </c>
      <c r="Q94" s="1513">
        <f t="shared" si="41"/>
        <v>404.8</v>
      </c>
      <c r="R94" s="933">
        <f t="shared" si="25"/>
        <v>9</v>
      </c>
      <c r="S94" s="70"/>
      <c r="T94" s="752">
        <f>IDACI!C21</f>
        <v>14.7</v>
      </c>
      <c r="U94" s="1069"/>
      <c r="V94" s="139"/>
      <c r="W94" s="152"/>
      <c r="X94" s="372" t="str">
        <f t="shared" si="26"/>
        <v>Slough</v>
      </c>
      <c r="Y94" s="44">
        <f>IF(ISNUMBER(H94),IDACI!D21,0)</f>
        <v>37031</v>
      </c>
      <c r="Z94" s="44">
        <f>IF(ISNUMBER(H94),IDACI!E21,0)</f>
        <v>5443.5569999999998</v>
      </c>
      <c r="AA94" s="489">
        <f>IF(Year1_Slough Year1_Adoption_LAC_Adopted_days="","",Year1_Slough Year1_Adoption_LAC_Adopted_days)</f>
        <v>5792</v>
      </c>
      <c r="AB94" s="372">
        <f>IF(Year2_Slough Year2_Adoption_LAC_Adopted_days="","",Year2_Slough Year2_Adoption_LAC_Adopted_days)</f>
        <v>2475</v>
      </c>
      <c r="AC94" s="372">
        <f>IF(Year3_Slough Year3_Adoption_LAC_Adopted_days="","",Year3_Slough Year3_Adoption_LAC_Adopted_days)</f>
        <v>4589</v>
      </c>
      <c r="AD94" s="372">
        <f>IF(Year4_Slough Year4_Adoption_LAC_Adopted_days="","",Year4_Slough Year4_Adoption_LAC_Adopted_days)</f>
        <v>5754</v>
      </c>
      <c r="AE94" s="372">
        <f>IF(Year5_Slough Year5_Adoption_LAC_Adopted_days="","",Year5_Slough Year5_Adoption_LAC_Adopted_days)</f>
        <v>6072</v>
      </c>
      <c r="AF94" s="1182">
        <f t="shared" si="27"/>
        <v>16</v>
      </c>
      <c r="AG94" s="756">
        <f t="shared" si="28"/>
        <v>11</v>
      </c>
      <c r="AH94" s="756">
        <f t="shared" si="29"/>
        <v>13</v>
      </c>
      <c r="AI94" s="756">
        <f t="shared" si="30"/>
        <v>14</v>
      </c>
      <c r="AJ94" s="1183">
        <f t="shared" si="31"/>
        <v>15</v>
      </c>
      <c r="AK94" s="1100" t="s">
        <v>13</v>
      </c>
      <c r="AL94" s="231">
        <f t="shared" si="42"/>
        <v>404.8</v>
      </c>
      <c r="AM94" s="206">
        <f t="shared" si="43"/>
        <v>7</v>
      </c>
      <c r="AN94" s="160"/>
      <c r="AO94" s="853">
        <f t="shared" si="32"/>
        <v>-0.3125</v>
      </c>
      <c r="AP94" s="853">
        <f t="shared" si="33"/>
        <v>0.18181818181818182</v>
      </c>
      <c r="AQ94" s="853">
        <f t="shared" si="34"/>
        <v>7.6923076923076927E-2</v>
      </c>
      <c r="AR94" s="853">
        <f t="shared" si="35"/>
        <v>7.1428571428571425E-2</v>
      </c>
      <c r="AS94" s="853">
        <f t="shared" si="44"/>
        <v>4.4174575424575438E-3</v>
      </c>
    </row>
    <row r="95" spans="1:48" s="87" customFormat="1" ht="13.5" customHeight="1" x14ac:dyDescent="0.2">
      <c r="A95" s="488">
        <f>VLOOKUP(B95,Sheet1!$AQ$4:$AR$25,2,FALSE)</f>
        <v>0</v>
      </c>
      <c r="B95" s="93" t="s">
        <v>95</v>
      </c>
      <c r="C95" s="85"/>
      <c r="D95" s="101">
        <f>IF(Year1_Somerset Year1_Adoption_LAC_Adopted="","",Year1_Somerset Year1_Adoption_LAC_Adopted)</f>
        <v>51</v>
      </c>
      <c r="E95" s="101">
        <f>IF(Year2_Somerset Year2_Adoption_LAC_Adopted="","",Year2_Somerset Year2_Adoption_LAC_Adopted)</f>
        <v>34</v>
      </c>
      <c r="F95" s="101">
        <f>IF(Year3_Somerset Year3_Adoption_LAC_Adopted="","",Year3_Somerset Year3_Adoption_LAC_Adopted)</f>
        <v>31</v>
      </c>
      <c r="G95" s="101">
        <f>IF(Year4_Somerset Year4_Adoption_LAC_Adopted="","",Year4_Somerset Year4_Adoption_LAC_Adopted)</f>
        <v>23</v>
      </c>
      <c r="H95" s="233">
        <f>IF(Year5_Somerset Year5_Adoption_LAC_Adopted="","",Year5_Somerset Year5_Adoption_LAC_Adopted)</f>
        <v>42</v>
      </c>
      <c r="I95" s="1093">
        <f t="shared" si="18"/>
        <v>3.6613453235431609E-2</v>
      </c>
      <c r="J95" s="863">
        <f t="shared" si="19"/>
        <v>3.6613453235431609E-2</v>
      </c>
      <c r="K95" s="96"/>
      <c r="L95" s="603">
        <f t="shared" si="36"/>
        <v>334</v>
      </c>
      <c r="M95" s="603">
        <f t="shared" si="37"/>
        <v>412</v>
      </c>
      <c r="N95" s="603">
        <f t="shared" si="38"/>
        <v>306</v>
      </c>
      <c r="O95" s="603">
        <f t="shared" si="39"/>
        <v>284</v>
      </c>
      <c r="P95" s="628">
        <f t="shared" si="40"/>
        <v>441</v>
      </c>
      <c r="Q95" s="1513">
        <f t="shared" si="41"/>
        <v>441</v>
      </c>
      <c r="R95" s="930" t="str">
        <f>IF(ISNA(VLOOKUP(B95,$AK$82:$AM$100,3,FALSE)),"--",IF(ISNUMBER(H95),VLOOKUP(B95,$AF$10:$AH$28,3,FALSE),NA()))</f>
        <v>--</v>
      </c>
      <c r="S95" s="70"/>
      <c r="T95" s="752">
        <f>IDACI!C22</f>
        <v>13.600000000000001</v>
      </c>
      <c r="U95" s="1069"/>
      <c r="V95" s="139"/>
      <c r="W95" s="152"/>
      <c r="X95" s="372" t="str">
        <f t="shared" si="26"/>
        <v>Somerset</v>
      </c>
      <c r="Y95" s="44">
        <f>IF(ISNUMBER(H95),IDACI!D22,0)</f>
        <v>95875</v>
      </c>
      <c r="Z95" s="44">
        <f>IF(ISNUMBER(H95),IDACI!E22,0)</f>
        <v>13039.000000000002</v>
      </c>
      <c r="AA95" s="489">
        <f>IF(Year1_Somerset Year1_Adoption_LAC_Adopted_days="","",Year1_Somerset Year1_Adoption_LAC_Adopted_days)</f>
        <v>17034</v>
      </c>
      <c r="AB95" s="372">
        <f>IF(Year2_Somerset Year2_Adoption_LAC_Adopted_days="","",Year2_Somerset Year2_Adoption_LAC_Adopted_days)</f>
        <v>14008</v>
      </c>
      <c r="AC95" s="372">
        <f>IF(Year3_Somerset Year3_Adoption_LAC_Adopted_days="","",Year3_Somerset Year3_Adoption_LAC_Adopted_days)</f>
        <v>9486</v>
      </c>
      <c r="AD95" s="372">
        <f>IF(Year4_Somerset Year4_Adoption_LAC_Adopted_days="","",Year4_Somerset Year4_Adoption_LAC_Adopted_days)</f>
        <v>6532</v>
      </c>
      <c r="AE95" s="372">
        <f>IF(Year5_Somerset Year5_Adoption_LAC_Adopted_days="","",Year5_Somerset Year5_Adoption_LAC_Adopted_days)</f>
        <v>18522</v>
      </c>
      <c r="AF95" s="1182">
        <f t="shared" si="27"/>
        <v>51</v>
      </c>
      <c r="AG95" s="756">
        <f t="shared" si="28"/>
        <v>34</v>
      </c>
      <c r="AH95" s="756">
        <f t="shared" si="29"/>
        <v>31</v>
      </c>
      <c r="AI95" s="756">
        <f t="shared" si="30"/>
        <v>23</v>
      </c>
      <c r="AJ95" s="1183">
        <f t="shared" si="31"/>
        <v>42</v>
      </c>
      <c r="AK95" s="1100" t="s">
        <v>14</v>
      </c>
      <c r="AL95" s="231">
        <f t="shared" si="42"/>
        <v>340.06896551724139</v>
      </c>
      <c r="AM95" s="206">
        <f t="shared" si="43"/>
        <v>3</v>
      </c>
      <c r="AN95" s="160"/>
      <c r="AO95" s="853">
        <f t="shared" si="32"/>
        <v>-0.33333333333333331</v>
      </c>
      <c r="AP95" s="853">
        <f t="shared" si="33"/>
        <v>-8.8235294117647065E-2</v>
      </c>
      <c r="AQ95" s="853">
        <f t="shared" si="34"/>
        <v>-0.25806451612903225</v>
      </c>
      <c r="AR95" s="853">
        <f t="shared" si="35"/>
        <v>0.82608695652173914</v>
      </c>
      <c r="AS95" s="853">
        <f t="shared" si="44"/>
        <v>3.6613453235431609E-2</v>
      </c>
    </row>
    <row r="96" spans="1:48" s="87" customFormat="1" ht="13.5" customHeight="1" x14ac:dyDescent="0.2">
      <c r="A96" s="488">
        <f>VLOOKUP(B96,Sheet1!$AQ$4:$AR$25,2,FALSE)</f>
        <v>0</v>
      </c>
      <c r="B96" s="93" t="s">
        <v>14</v>
      </c>
      <c r="C96" s="85"/>
      <c r="D96" s="101">
        <f>IF(Year1_Southampton Year1_Adoption_LAC_Adopted="","",Year1_Southampton Year1_Adoption_LAC_Adopted)</f>
        <v>63</v>
      </c>
      <c r="E96" s="101">
        <f>IF(Year2_Southampton Year2_Adoption_LAC_Adopted="","",Year2_Southampton Year2_Adoption_LAC_Adopted)</f>
        <v>77</v>
      </c>
      <c r="F96" s="101">
        <f>IF(Year3_Southampton Year3_Adoption_LAC_Adopted="","",Year3_Southampton Year3_Adoption_LAC_Adopted)</f>
        <v>54</v>
      </c>
      <c r="G96" s="101">
        <f>IF(Year4_Southampton Year4_Adoption_LAC_Adopted="","",Year4_Southampton Year4_Adoption_LAC_Adopted)</f>
        <v>48</v>
      </c>
      <c r="H96" s="233">
        <f>IF(Year5_Southampton Year5_Adoption_LAC_Adopted="","",Year5_Southampton Year5_Adoption_LAC_Adopted)</f>
        <v>27</v>
      </c>
      <c r="I96" s="1093">
        <f t="shared" si="18"/>
        <v>-0.15627254689754688</v>
      </c>
      <c r="J96" s="863">
        <f t="shared" si="19"/>
        <v>-0.15627254689754688</v>
      </c>
      <c r="K96" s="96"/>
      <c r="L96" s="603">
        <f t="shared" si="36"/>
        <v>492</v>
      </c>
      <c r="M96" s="603">
        <f t="shared" si="37"/>
        <v>521</v>
      </c>
      <c r="N96" s="603">
        <f t="shared" si="38"/>
        <v>374</v>
      </c>
      <c r="O96" s="603">
        <f t="shared" si="39"/>
        <v>468</v>
      </c>
      <c r="P96" s="628">
        <f t="shared" si="40"/>
        <v>340.06896551724139</v>
      </c>
      <c r="Q96" s="1513">
        <f t="shared" si="41"/>
        <v>340.06896551724139</v>
      </c>
      <c r="R96" s="933" t="e">
        <f t="shared" si="25"/>
        <v>#VALUE!</v>
      </c>
      <c r="S96" s="70"/>
      <c r="T96" s="752">
        <f>IDACI!C23</f>
        <v>20.5</v>
      </c>
      <c r="U96" s="1069"/>
      <c r="V96" s="139"/>
      <c r="W96" s="152"/>
      <c r="X96" s="372" t="str">
        <f t="shared" si="26"/>
        <v>Southampton</v>
      </c>
      <c r="Y96" s="44">
        <f>IF(ISNUMBER(H96),IDACI!D23,0)</f>
        <v>44295</v>
      </c>
      <c r="Z96" s="44">
        <f>IF(ISNUMBER(H96),IDACI!E23,0)</f>
        <v>9080.4750000000004</v>
      </c>
      <c r="AA96" s="489">
        <f>IF(Year1_Southampton Year1_Adoption_LAC_Adopted_days="","",Year1_Southampton Year1_Adoption_LAC_Adopted_days)</f>
        <v>30996</v>
      </c>
      <c r="AB96" s="372">
        <f>IF(Year2_Southampton Year2_Adoption_LAC_Adopted_days="","",Year2_Southampton Year2_Adoption_LAC_Adopted_days)</f>
        <v>40117</v>
      </c>
      <c r="AC96" s="372">
        <f>IF(Year3_Southampton Year3_Adoption_LAC_Adopted_days="","",Year3_Southampton Year3_Adoption_LAC_Adopted_days)</f>
        <v>20196</v>
      </c>
      <c r="AD96" s="372">
        <f>IF(Year4_Southampton Year4_Adoption_LAC_Adopted_days="","",Year4_Southampton Year4_Adoption_LAC_Adopted_days)</f>
        <v>22464</v>
      </c>
      <c r="AE96" s="372">
        <f>IF(Year5_Southampton Year5_Adoption_LAC_Adopted_days="","",Year5_Southampton Year5_Adoption_LAC_Adopted_days)</f>
        <v>9181.8620689655181</v>
      </c>
      <c r="AF96" s="1182">
        <f t="shared" si="27"/>
        <v>63</v>
      </c>
      <c r="AG96" s="756">
        <f t="shared" si="28"/>
        <v>77</v>
      </c>
      <c r="AH96" s="756">
        <f t="shared" si="29"/>
        <v>54</v>
      </c>
      <c r="AI96" s="756">
        <f t="shared" si="30"/>
        <v>48</v>
      </c>
      <c r="AJ96" s="1183">
        <f t="shared" si="31"/>
        <v>27</v>
      </c>
      <c r="AK96" s="1100" t="s">
        <v>7</v>
      </c>
      <c r="AL96" s="231">
        <f t="shared" si="42"/>
        <v>325.96428571428572</v>
      </c>
      <c r="AM96" s="206">
        <f t="shared" si="43"/>
        <v>1</v>
      </c>
      <c r="AN96" s="160"/>
      <c r="AO96" s="853">
        <f t="shared" si="32"/>
        <v>0.22222222222222221</v>
      </c>
      <c r="AP96" s="853">
        <f t="shared" si="33"/>
        <v>-0.29870129870129869</v>
      </c>
      <c r="AQ96" s="853">
        <f t="shared" si="34"/>
        <v>-0.1111111111111111</v>
      </c>
      <c r="AR96" s="853">
        <f t="shared" si="35"/>
        <v>-0.4375</v>
      </c>
      <c r="AS96" s="853">
        <f t="shared" si="44"/>
        <v>-0.15627254689754688</v>
      </c>
    </row>
    <row r="97" spans="1:52" s="87" customFormat="1" ht="13.5" customHeight="1" x14ac:dyDescent="0.2">
      <c r="A97" s="488">
        <f>VLOOKUP(B97,Sheet1!$AQ$4:$AR$25,2,FALSE)</f>
        <v>0</v>
      </c>
      <c r="B97" s="93" t="s">
        <v>7</v>
      </c>
      <c r="C97" s="85"/>
      <c r="D97" s="101">
        <f>IF(Year1_Surrey Year1_Adoption_LAC_Adopted="","",Year1_Surrey Year1_Adoption_LAC_Adopted)</f>
        <v>51</v>
      </c>
      <c r="E97" s="101">
        <f>IF(Year2_Surrey Year2_Adoption_LAC_Adopted="","",Year2_Surrey Year2_Adoption_LAC_Adopted)</f>
        <v>51</v>
      </c>
      <c r="F97" s="101">
        <f>IF(Year3_Surrey Year3_Adoption_LAC_Adopted="","",Year3_Surrey Year3_Adoption_LAC_Adopted)</f>
        <v>33</v>
      </c>
      <c r="G97" s="101">
        <f>IF(Year4_Surrey Year4_Adoption_LAC_Adopted="","",Year4_Surrey Year4_Adoption_LAC_Adopted)</f>
        <v>24</v>
      </c>
      <c r="H97" s="233">
        <f>IF(Year5_Surrey Year5_Adoption_LAC_Adopted="","",Year5_Surrey Year5_Adoption_LAC_Adopted)</f>
        <v>28</v>
      </c>
      <c r="I97" s="1093">
        <f t="shared" si="18"/>
        <v>-0.1147504456327986</v>
      </c>
      <c r="J97" s="863">
        <f t="shared" si="19"/>
        <v>-0.1147504456327986</v>
      </c>
      <c r="K97" s="96"/>
      <c r="L97" s="603">
        <f t="shared" si="36"/>
        <v>439</v>
      </c>
      <c r="M97" s="603">
        <f t="shared" si="37"/>
        <v>386</v>
      </c>
      <c r="N97" s="603">
        <f t="shared" si="38"/>
        <v>382</v>
      </c>
      <c r="O97" s="603">
        <f t="shared" si="39"/>
        <v>325</v>
      </c>
      <c r="P97" s="628">
        <f t="shared" si="40"/>
        <v>325.96428571428572</v>
      </c>
      <c r="Q97" s="1513">
        <f t="shared" si="41"/>
        <v>325.96428571428572</v>
      </c>
      <c r="R97" s="933" t="e">
        <f t="shared" si="25"/>
        <v>#VALUE!</v>
      </c>
      <c r="S97" s="70"/>
      <c r="T97" s="752">
        <f>IDACI!C24</f>
        <v>8.3000000000000007</v>
      </c>
      <c r="U97" s="1069"/>
      <c r="V97" s="139"/>
      <c r="W97" s="152"/>
      <c r="X97" s="372" t="str">
        <f t="shared" si="26"/>
        <v>Surrey</v>
      </c>
      <c r="Y97" s="44">
        <f>IF(ISNUMBER(H97),IDACI!D24,0)</f>
        <v>228466</v>
      </c>
      <c r="Z97" s="44">
        <f>IF(ISNUMBER(H97),IDACI!E24,0)</f>
        <v>18962.678</v>
      </c>
      <c r="AA97" s="489">
        <f>IF(Year1_Surrey Year1_Adoption_LAC_Adopted_days="","",Year1_Surrey Year1_Adoption_LAC_Adopted_days)</f>
        <v>22389</v>
      </c>
      <c r="AB97" s="372">
        <f>IF(Year2_Surrey Year2_Adoption_LAC_Adopted_days="","",Year2_Surrey Year2_Adoption_LAC_Adopted_days)</f>
        <v>19686</v>
      </c>
      <c r="AC97" s="372">
        <f>IF(Year3_Surrey Year3_Adoption_LAC_Adopted_days="","",Year3_Surrey Year3_Adoption_LAC_Adopted_days)</f>
        <v>12606</v>
      </c>
      <c r="AD97" s="372">
        <f>IF(Year4_Surrey Year4_Adoption_LAC_Adopted_days="","",Year4_Surrey Year4_Adoption_LAC_Adopted_days)</f>
        <v>7800</v>
      </c>
      <c r="AE97" s="372">
        <f>IF(Year5_Surrey Year5_Adoption_LAC_Adopted_days="","",Year5_Surrey Year5_Adoption_LAC_Adopted_days)</f>
        <v>9127</v>
      </c>
      <c r="AF97" s="1182">
        <f t="shared" si="27"/>
        <v>51</v>
      </c>
      <c r="AG97" s="756">
        <f t="shared" si="28"/>
        <v>51</v>
      </c>
      <c r="AH97" s="756">
        <f t="shared" si="29"/>
        <v>33</v>
      </c>
      <c r="AI97" s="756">
        <f t="shared" si="30"/>
        <v>24</v>
      </c>
      <c r="AJ97" s="1183">
        <f t="shared" si="31"/>
        <v>28</v>
      </c>
      <c r="AK97" s="1100" t="s">
        <v>15</v>
      </c>
      <c r="AL97" s="231" t="str">
        <f t="shared" si="42"/>
        <v/>
      </c>
      <c r="AM97" s="206" t="e">
        <f t="shared" si="43"/>
        <v>#VALUE!</v>
      </c>
      <c r="AN97" s="160"/>
      <c r="AO97" s="853">
        <f t="shared" si="32"/>
        <v>0</v>
      </c>
      <c r="AP97" s="853">
        <f t="shared" si="33"/>
        <v>-0.35294117647058826</v>
      </c>
      <c r="AQ97" s="853">
        <f t="shared" si="34"/>
        <v>-0.27272727272727271</v>
      </c>
      <c r="AR97" s="853">
        <f t="shared" si="35"/>
        <v>0.16666666666666666</v>
      </c>
      <c r="AS97" s="853">
        <f t="shared" si="44"/>
        <v>-0.1147504456327986</v>
      </c>
    </row>
    <row r="98" spans="1:52" s="87" customFormat="1" ht="13.5" customHeight="1" x14ac:dyDescent="0.2">
      <c r="A98" s="488">
        <f>VLOOKUP(B98,Sheet1!$AQ$4:$AR$25,2,FALSE)</f>
        <v>0</v>
      </c>
      <c r="B98" s="93" t="s">
        <v>113</v>
      </c>
      <c r="C98" s="85"/>
      <c r="D98" s="101">
        <f>IF(Year1_Swindon Year1_Adoption_LAC_Adopted="","",Year1_Swindon Year1_Adoption_LAC_Adopted)</f>
        <v>7</v>
      </c>
      <c r="E98" s="101">
        <f>IF(Year2_Swindon Year2_Adoption_LAC_Adopted="","",Year2_Swindon Year2_Adoption_LAC_Adopted)</f>
        <v>19</v>
      </c>
      <c r="F98" s="101">
        <f>IF(Year3_Swindon Year3_Adoption_LAC_Adopted="","",Year3_Swindon Year3_Adoption_LAC_Adopted)</f>
        <v>16</v>
      </c>
      <c r="G98" s="101">
        <f>IF(Year4_Swindon Year4_Adoption_LAC_Adopted="","",Year4_Swindon Year4_Adoption_LAC_Adopted)</f>
        <v>16</v>
      </c>
      <c r="H98" s="233">
        <f>IF(Year5_Swindon Year5_Adoption_LAC_Adopted="","",Year5_Swindon Year5_Adoption_LAC_Adopted)</f>
        <v>29</v>
      </c>
      <c r="I98" s="1093">
        <f t="shared" si="18"/>
        <v>0.59222274436090228</v>
      </c>
      <c r="J98" s="863">
        <f t="shared" si="19"/>
        <v>0.59222274436090228</v>
      </c>
      <c r="K98" s="96"/>
      <c r="L98" s="603" t="e">
        <f t="shared" si="36"/>
        <v>#N/A</v>
      </c>
      <c r="M98" s="603">
        <f t="shared" si="37"/>
        <v>419</v>
      </c>
      <c r="N98" s="603">
        <f t="shared" si="38"/>
        <v>273</v>
      </c>
      <c r="O98" s="603">
        <f t="shared" si="39"/>
        <v>104</v>
      </c>
      <c r="P98" s="628">
        <f t="shared" si="40"/>
        <v>507</v>
      </c>
      <c r="Q98" s="1513">
        <f t="shared" si="41"/>
        <v>507</v>
      </c>
      <c r="R98" s="930" t="str">
        <f t="shared" si="25"/>
        <v>--</v>
      </c>
      <c r="S98" s="70"/>
      <c r="T98" s="752">
        <f>IDACI!C25</f>
        <v>14.899999999999999</v>
      </c>
      <c r="U98" s="1069"/>
      <c r="V98" s="139"/>
      <c r="W98" s="152"/>
      <c r="X98" s="372" t="str">
        <f>B98</f>
        <v>Swindon</v>
      </c>
      <c r="Y98" s="44">
        <f>IF(ISNUMBER(H98),IDACI!D25,0)</f>
        <v>43899</v>
      </c>
      <c r="Z98" s="44">
        <f>IF(ISNUMBER(H98),IDACI!E25,0)</f>
        <v>6540.951</v>
      </c>
      <c r="AA98" s="489" t="str">
        <f>IF(Year1_Swindon Year1_Adoption_LAC_Adopted_days="","",Year1_Swindon Year1_Adoption_LAC_Adopted_days)</f>
        <v>x</v>
      </c>
      <c r="AB98" s="372">
        <f>IF(Year2_Swindon Year2_Adoption_LAC_Adopted_days="","",Year2_Swindon Year2_Adoption_LAC_Adopted_days)</f>
        <v>7961</v>
      </c>
      <c r="AC98" s="372">
        <f>IF(Year3_Swindon Year3_Adoption_LAC_Adopted_days="","",Year3_Swindon Year3_Adoption_LAC_Adopted_days)</f>
        <v>4368</v>
      </c>
      <c r="AD98" s="372">
        <f>IF(Year4_Swindon Year4_Adoption_LAC_Adopted_days="","",Year4_Swindon Year4_Adoption_LAC_Adopted_days)</f>
        <v>1664</v>
      </c>
      <c r="AE98" s="372">
        <f>IF(Year5_Swindon Year5_Adoption_LAC_Adopted_days="","",Year5_Swindon Year5_Adoption_LAC_Adopted_days)</f>
        <v>14703</v>
      </c>
      <c r="AF98" s="1182">
        <f t="shared" si="27"/>
        <v>7</v>
      </c>
      <c r="AG98" s="756">
        <f t="shared" si="28"/>
        <v>19</v>
      </c>
      <c r="AH98" s="756">
        <f t="shared" si="29"/>
        <v>16</v>
      </c>
      <c r="AI98" s="756">
        <f t="shared" si="30"/>
        <v>16</v>
      </c>
      <c r="AJ98" s="1183">
        <f t="shared" si="31"/>
        <v>29</v>
      </c>
      <c r="AK98" s="1100" t="s">
        <v>5</v>
      </c>
      <c r="AL98" s="231">
        <f t="shared" si="42"/>
        <v>537.61363636363637</v>
      </c>
      <c r="AM98" s="206">
        <f t="shared" si="43"/>
        <v>14</v>
      </c>
      <c r="AN98" s="160"/>
      <c r="AO98" s="853">
        <f t="shared" si="32"/>
        <v>1.7142857142857142</v>
      </c>
      <c r="AP98" s="853">
        <f t="shared" si="33"/>
        <v>-0.15789473684210525</v>
      </c>
      <c r="AQ98" s="853">
        <f t="shared" si="34"/>
        <v>0</v>
      </c>
      <c r="AR98" s="853">
        <f t="shared" si="35"/>
        <v>0.8125</v>
      </c>
      <c r="AS98" s="853">
        <f t="shared" si="44"/>
        <v>0.59222274436090228</v>
      </c>
    </row>
    <row r="99" spans="1:52" s="87" customFormat="1" ht="13.5" customHeight="1" x14ac:dyDescent="0.2">
      <c r="A99" s="488">
        <f>VLOOKUP(B99,Sheet1!$AQ$4:$AR$25,2,FALSE)</f>
        <v>0</v>
      </c>
      <c r="B99" s="93" t="s">
        <v>114</v>
      </c>
      <c r="C99" s="85"/>
      <c r="D99" s="603">
        <f>IF(Year1_Torbay Year1_Adoption_LAC_Adopted="","",Year1_Torbay Year1_Adoption_LAC_Adopted)</f>
        <v>28</v>
      </c>
      <c r="E99" s="603">
        <f>IF(Year2_Torbay Year2_Adoption_LAC_Adopted="","",Year2_Torbay Year2_Adoption_LAC_Adopted)</f>
        <v>14</v>
      </c>
      <c r="F99" s="603">
        <f>IF(Year3_Torbay Year3_Adoption_LAC_Adopted="","",Year3_Torbay Year3_Adoption_LAC_Adopted)</f>
        <v>20</v>
      </c>
      <c r="G99" s="603">
        <f>IF(Year4_Torbay Year4_Adoption_LAC_Adopted="","",Year4_Torbay Year4_Adoption_LAC_Adopted)</f>
        <v>11</v>
      </c>
      <c r="H99" s="628">
        <f>IF(Year5_Torbay Year5_Adoption_LAC_Adopted="","",Year5_Torbay Year5_Adoption_LAC_Adopted)</f>
        <v>26</v>
      </c>
      <c r="I99" s="1093">
        <f t="shared" si="18"/>
        <v>0.21055194805194802</v>
      </c>
      <c r="J99" s="863">
        <f t="shared" si="19"/>
        <v>0.21055194805194802</v>
      </c>
      <c r="K99" s="96"/>
      <c r="L99" s="603">
        <f t="shared" si="36"/>
        <v>350</v>
      </c>
      <c r="M99" s="603">
        <f t="shared" si="37"/>
        <v>341</v>
      </c>
      <c r="N99" s="603">
        <f t="shared" si="38"/>
        <v>399</v>
      </c>
      <c r="O99" s="603">
        <f t="shared" si="39"/>
        <v>303</v>
      </c>
      <c r="P99" s="628">
        <f t="shared" si="40"/>
        <v>420</v>
      </c>
      <c r="Q99" s="1513">
        <f t="shared" si="41"/>
        <v>420</v>
      </c>
      <c r="R99" s="930" t="str">
        <f t="shared" si="25"/>
        <v>--</v>
      </c>
      <c r="S99" s="70"/>
      <c r="T99" s="752">
        <f>IDACI!C26</f>
        <v>21.9</v>
      </c>
      <c r="U99" s="1069"/>
      <c r="V99" s="139"/>
      <c r="W99" s="152"/>
      <c r="X99" s="372" t="str">
        <f t="shared" si="26"/>
        <v>Torbay</v>
      </c>
      <c r="Y99" s="44">
        <f>IF(ISNUMBER(H99),IDACI!D26,0)</f>
        <v>22257</v>
      </c>
      <c r="Z99" s="44">
        <f>IF(ISNUMBER(H99),IDACI!E26,0)</f>
        <v>4874.2829999999994</v>
      </c>
      <c r="AA99" s="489">
        <f>IF(Year1_Torbay Year1_Adoption_LAC_Adopted_days="","",Year1_Torbay Year1_Adoption_LAC_Adopted_days)</f>
        <v>9800</v>
      </c>
      <c r="AB99" s="372">
        <f>IF(Year2_Torbay Year2_Adoption_LAC_Adopted_days="","",Year2_Torbay Year2_Adoption_LAC_Adopted_days)</f>
        <v>4774</v>
      </c>
      <c r="AC99" s="372">
        <f>IF(Year3_Torbay Year3_Adoption_LAC_Adopted_days="","",Year3_Torbay Year3_Adoption_LAC_Adopted_days)</f>
        <v>7980</v>
      </c>
      <c r="AD99" s="372">
        <f>IF(Year4_Torbay Year4_Adoption_LAC_Adopted_days="","",Year4_Torbay Year4_Adoption_LAC_Adopted_days)</f>
        <v>3333</v>
      </c>
      <c r="AE99" s="372">
        <f>IF(Year5_Torbay Year5_Adoption_LAC_Adopted_days="","",Year5_Torbay Year5_Adoption_LAC_Adopted_days)</f>
        <v>10920</v>
      </c>
      <c r="AF99" s="1182">
        <f t="shared" si="27"/>
        <v>28</v>
      </c>
      <c r="AG99" s="756">
        <f t="shared" si="28"/>
        <v>14</v>
      </c>
      <c r="AH99" s="756">
        <f t="shared" si="29"/>
        <v>20</v>
      </c>
      <c r="AI99" s="756">
        <f t="shared" si="30"/>
        <v>11</v>
      </c>
      <c r="AJ99" s="1183">
        <f t="shared" si="31"/>
        <v>26</v>
      </c>
      <c r="AK99" s="1100" t="s">
        <v>30</v>
      </c>
      <c r="AL99" s="231" t="str">
        <f t="shared" si="42"/>
        <v/>
      </c>
      <c r="AM99" s="206" t="e">
        <f t="shared" si="43"/>
        <v>#VALUE!</v>
      </c>
      <c r="AN99" s="160"/>
      <c r="AO99" s="853">
        <f t="shared" si="32"/>
        <v>-0.5</v>
      </c>
      <c r="AP99" s="853">
        <f t="shared" si="33"/>
        <v>0.42857142857142855</v>
      </c>
      <c r="AQ99" s="853">
        <f t="shared" si="34"/>
        <v>-0.45</v>
      </c>
      <c r="AR99" s="853">
        <f t="shared" si="35"/>
        <v>1.3636363636363635</v>
      </c>
      <c r="AS99" s="853">
        <f t="shared" si="44"/>
        <v>0.21055194805194802</v>
      </c>
    </row>
    <row r="100" spans="1:52" s="87" customFormat="1" ht="13.5" customHeight="1" x14ac:dyDescent="0.2">
      <c r="A100" s="488">
        <f>VLOOKUP(B100,Sheet1!$AQ$4:$AR$25,2,FALSE)</f>
        <v>0</v>
      </c>
      <c r="B100" s="93" t="s">
        <v>15</v>
      </c>
      <c r="C100" s="85"/>
      <c r="D100" s="603">
        <f>IF(Year1_West_Berkshire Year1_Adoption_LAC_Adopted="","",Year1_West_Berkshire Year1_Adoption_LAC_Adopted)</f>
        <v>7</v>
      </c>
      <c r="E100" s="603">
        <f>IF(Year2_West_Berkshire Year2_Adoption_LAC_Adopted="","",Year2_West_Berkshire Year2_Adoption_LAC_Adopted)</f>
        <v>12</v>
      </c>
      <c r="F100" s="603" t="s">
        <v>73</v>
      </c>
      <c r="G100" s="603">
        <f>IF(Year4_West_Berkshire Year4_Adoption_LAC_Adopted="","",Year4_West_Berkshire Year4_Adoption_LAC_Adopted)</f>
        <v>6</v>
      </c>
      <c r="H100" s="628">
        <f>IF(Year5_West_Berkshire Year5_Adoption_LAC_Adopted="","",Year5_West_Berkshire Year5_Adoption_LAC_Adopted)</f>
        <v>6</v>
      </c>
      <c r="I100" s="1093">
        <f t="shared" si="18"/>
        <v>0.35714285714285715</v>
      </c>
      <c r="J100" s="863">
        <f t="shared" si="19"/>
        <v>0.35714285714285715</v>
      </c>
      <c r="K100" s="96"/>
      <c r="L100" s="603" t="e">
        <f t="shared" si="36"/>
        <v>#N/A</v>
      </c>
      <c r="M100" s="603">
        <f t="shared" si="37"/>
        <v>447</v>
      </c>
      <c r="N100" s="603" t="e">
        <f t="shared" si="38"/>
        <v>#N/A</v>
      </c>
      <c r="O100" s="603" t="e">
        <f t="shared" si="39"/>
        <v>#N/A</v>
      </c>
      <c r="P100" s="628" t="e">
        <f t="shared" si="40"/>
        <v>#N/A</v>
      </c>
      <c r="Q100" s="1513" t="str">
        <f t="shared" si="41"/>
        <v/>
      </c>
      <c r="R100" s="933" t="e">
        <f t="shared" si="25"/>
        <v>#VALUE!</v>
      </c>
      <c r="S100" s="70"/>
      <c r="T100" s="752">
        <f>IDACI!C27</f>
        <v>8.6999999999999993</v>
      </c>
      <c r="U100" s="1069"/>
      <c r="V100" s="139"/>
      <c r="W100" s="152"/>
      <c r="X100" s="372" t="str">
        <f t="shared" si="26"/>
        <v>West Berkshire</v>
      </c>
      <c r="Y100" s="44">
        <f>IF(ISNUMBER(H100),IDACI!D27,0)</f>
        <v>31625</v>
      </c>
      <c r="Z100" s="44">
        <f>IF(ISNUMBER(H100),IDACI!E27,0)</f>
        <v>2751.375</v>
      </c>
      <c r="AA100" s="489" t="str">
        <f>IF(Year1_West_Berkshire Year1_Adoption_LAC_Adopted_days="","",Year1_West_Berkshire Year1_Adoption_LAC_Adopted_days)</f>
        <v>x</v>
      </c>
      <c r="AB100" s="372">
        <f>IF(Year2_West_Berkshire Year2_Adoption_LAC_Adopted_days="","",Year2_West_Berkshire Year2_Adoption_LAC_Adopted_days)</f>
        <v>5364</v>
      </c>
      <c r="AC100" s="372" t="str">
        <f>IF(Year3_West_Berkshire Year3_Adoption_LAC_Adopted_days="","",Year3_West_Berkshire Year3_Adoption_LAC_Adopted_days)</f>
        <v>x</v>
      </c>
      <c r="AD100" s="372" t="str">
        <f>IF(Year4_West_Berkshire Year4_Adoption_LAC_Adopted_days="","",Year4_West_Berkshire Year4_Adoption_LAC_Adopted_days)</f>
        <v>x</v>
      </c>
      <c r="AE100" s="372" t="str">
        <f>IF(Year5_West_Berkshire Year5_Adoption_LAC_Adopted_days="","",Year5_West_Berkshire Year5_Adoption_LAC_Adopted_days)</f>
        <v>x</v>
      </c>
      <c r="AF100" s="1182">
        <f t="shared" si="27"/>
        <v>7</v>
      </c>
      <c r="AG100" s="756">
        <f t="shared" si="28"/>
        <v>12</v>
      </c>
      <c r="AH100" s="756" t="str">
        <f t="shared" si="29"/>
        <v>x</v>
      </c>
      <c r="AI100" s="756">
        <f t="shared" si="30"/>
        <v>6</v>
      </c>
      <c r="AJ100" s="1183">
        <f t="shared" si="31"/>
        <v>6</v>
      </c>
      <c r="AK100" s="1100" t="s">
        <v>16</v>
      </c>
      <c r="AL100" s="231" t="str">
        <f t="shared" si="42"/>
        <v/>
      </c>
      <c r="AM100" s="206" t="e">
        <f t="shared" si="43"/>
        <v>#VALUE!</v>
      </c>
      <c r="AN100" s="160"/>
      <c r="AO100" s="853">
        <f t="shared" si="32"/>
        <v>0.7142857142857143</v>
      </c>
      <c r="AP100" s="853" t="str">
        <f t="shared" si="33"/>
        <v>x</v>
      </c>
      <c r="AQ100" s="853" t="str">
        <f t="shared" si="34"/>
        <v>x</v>
      </c>
      <c r="AR100" s="853">
        <f t="shared" si="35"/>
        <v>0</v>
      </c>
      <c r="AS100" s="853">
        <f t="shared" si="44"/>
        <v>0.35714285714285715</v>
      </c>
    </row>
    <row r="101" spans="1:52" s="87" customFormat="1" ht="13.5" customHeight="1" x14ac:dyDescent="0.2">
      <c r="A101" s="488">
        <f>VLOOKUP(B101,Sheet1!$AQ$4:$AR$25,2,FALSE)</f>
        <v>0</v>
      </c>
      <c r="B101" s="93" t="s">
        <v>5</v>
      </c>
      <c r="C101" s="85"/>
      <c r="D101" s="603">
        <f>IF(Year1_West_Sussex Year1_Adoption_LAC_Adopted="","",Year1_West_Sussex Year1_Adoption_LAC_Adopted)</f>
        <v>33</v>
      </c>
      <c r="E101" s="603">
        <f>IF(Year2_West_Sussex Year2_Adoption_LAC_Adopted="","",Year2_West_Sussex Year2_Adoption_LAC_Adopted)</f>
        <v>46</v>
      </c>
      <c r="F101" s="603">
        <f>IF(Year3_West_Sussex Year3_Adoption_LAC_Adopted="","",Year3_West_Sussex Year3_Adoption_LAC_Adopted)</f>
        <v>35</v>
      </c>
      <c r="G101" s="603">
        <f>IF(Year4_West_Sussex Year4_Adoption_LAC_Adopted="","",Year4_West_Sussex Year4_Adoption_LAC_Adopted)</f>
        <v>42</v>
      </c>
      <c r="H101" s="628">
        <f>IF(Year5_West_Sussex Year5_Adoption_LAC_Adopted="","",Year5_West_Sussex Year5_Adoption_LAC_Adopted)</f>
        <v>39</v>
      </c>
      <c r="I101" s="1093">
        <f t="shared" si="18"/>
        <v>7.0845096932053458E-2</v>
      </c>
      <c r="J101" s="863">
        <f t="shared" si="19"/>
        <v>7.0845096932053458E-2</v>
      </c>
      <c r="K101" s="96"/>
      <c r="L101" s="603">
        <f t="shared" si="36"/>
        <v>407</v>
      </c>
      <c r="M101" s="603">
        <f t="shared" si="37"/>
        <v>413</v>
      </c>
      <c r="N101" s="603">
        <f t="shared" si="38"/>
        <v>413</v>
      </c>
      <c r="O101" s="603">
        <f t="shared" si="39"/>
        <v>398</v>
      </c>
      <c r="P101" s="628">
        <f t="shared" si="40"/>
        <v>537.61363636363637</v>
      </c>
      <c r="Q101" s="1513">
        <f t="shared" si="41"/>
        <v>537.61363636363637</v>
      </c>
      <c r="R101" s="933">
        <f t="shared" si="25"/>
        <v>8</v>
      </c>
      <c r="S101" s="70"/>
      <c r="T101" s="752">
        <f>IDACI!C28</f>
        <v>11</v>
      </c>
      <c r="U101" s="1069"/>
      <c r="V101" s="139"/>
      <c r="W101" s="152"/>
      <c r="X101" s="372" t="str">
        <f t="shared" si="26"/>
        <v>West Sussex</v>
      </c>
      <c r="Y101" s="44">
        <f>IF(ISNUMBER(H101),IDACI!D28,0)</f>
        <v>151487</v>
      </c>
      <c r="Z101" s="44">
        <f>IF(ISNUMBER(H101),IDACI!E28,0)</f>
        <v>16663.57</v>
      </c>
      <c r="AA101" s="489">
        <f>IF(Year1_West_Sussex Year1_Adoption_LAC_Adopted_days="","",Year1_West_Sussex Year1_Adoption_LAC_Adopted_days)</f>
        <v>13431</v>
      </c>
      <c r="AB101" s="372">
        <f>IF(Year2_West_Sussex Year2_Adoption_LAC_Adopted_days="","",Year2_West_Sussex Year2_Adoption_LAC_Adopted_days)</f>
        <v>18998</v>
      </c>
      <c r="AC101" s="372">
        <f>IF(Year3_West_Sussex Year3_Adoption_LAC_Adopted_days="","",Year3_West_Sussex Year3_Adoption_LAC_Adopted_days)</f>
        <v>14455</v>
      </c>
      <c r="AD101" s="372">
        <f>IF(Year4_West_Sussex Year4_Adoption_LAC_Adopted_days="","",Year4_West_Sussex Year4_Adoption_LAC_Adopted_days)</f>
        <v>16716</v>
      </c>
      <c r="AE101" s="372">
        <f>IF(Year5_West_Sussex Year5_Adoption_LAC_Adopted_days="","",Year5_West_Sussex Year5_Adoption_LAC_Adopted_days)</f>
        <v>20966.93181818182</v>
      </c>
      <c r="AF101" s="1182">
        <f t="shared" si="27"/>
        <v>33</v>
      </c>
      <c r="AG101" s="756">
        <f t="shared" si="28"/>
        <v>46</v>
      </c>
      <c r="AH101" s="756">
        <f t="shared" si="29"/>
        <v>35</v>
      </c>
      <c r="AI101" s="756">
        <f t="shared" si="30"/>
        <v>42</v>
      </c>
      <c r="AJ101" s="1183">
        <f t="shared" si="31"/>
        <v>39</v>
      </c>
      <c r="AK101" s="756"/>
      <c r="AL101" s="756"/>
      <c r="AM101" s="188"/>
      <c r="AN101" s="160"/>
      <c r="AO101" s="853">
        <f t="shared" si="32"/>
        <v>0.39393939393939392</v>
      </c>
      <c r="AP101" s="853">
        <f t="shared" si="33"/>
        <v>-0.2391304347826087</v>
      </c>
      <c r="AQ101" s="853">
        <f t="shared" si="34"/>
        <v>0.2</v>
      </c>
      <c r="AR101" s="853">
        <f t="shared" si="35"/>
        <v>-7.1428571428571425E-2</v>
      </c>
      <c r="AS101" s="853">
        <f t="shared" si="44"/>
        <v>7.0845096932053458E-2</v>
      </c>
    </row>
    <row r="102" spans="1:52" s="87" customFormat="1" ht="13.5" customHeight="1" x14ac:dyDescent="0.2">
      <c r="A102" s="488">
        <f>VLOOKUP(B102,Sheet1!$AQ$4:$AR$25,2,FALSE)</f>
        <v>0</v>
      </c>
      <c r="B102" s="93" t="s">
        <v>30</v>
      </c>
      <c r="C102" s="85"/>
      <c r="D102" s="603">
        <f>IF(Year1_Windsor_Maidenhead Year1_Adoption_LAC_Adopted="","",Year1_Windsor_Maidenhead Year1_Adoption_LAC_Adopted)</f>
        <v>7</v>
      </c>
      <c r="E102" s="603">
        <f>IF(Year2_Windsor_Maidenhead Year2_Adoption_LAC_Adopted="","",Year2_Windsor_Maidenhead Year2_Adoption_LAC_Adopted)</f>
        <v>6</v>
      </c>
      <c r="F102" s="603" t="s">
        <v>73</v>
      </c>
      <c r="G102" s="603">
        <f>IF(Year4_Windsor_Maidenhead Year4_Adoption_LAC_Adopted="","",Year4_Windsor_Maidenhead Year4_Adoption_LAC_Adopted)</f>
        <v>7</v>
      </c>
      <c r="H102" s="628">
        <f>IF(Year5_Windsor_Maidenhead Year5_Adoption_LAC_Adopted="","",Year5_Windsor_Maidenhead Year5_Adoption_LAC_Adopted)</f>
        <v>0</v>
      </c>
      <c r="I102" s="1093">
        <f t="shared" si="18"/>
        <v>-0.5714285714285714</v>
      </c>
      <c r="J102" s="863">
        <f t="shared" si="19"/>
        <v>-0.5714285714285714</v>
      </c>
      <c r="K102" s="96"/>
      <c r="L102" s="603" t="e">
        <f t="shared" si="36"/>
        <v>#N/A</v>
      </c>
      <c r="M102" s="603" t="e">
        <f t="shared" si="37"/>
        <v>#N/A</v>
      </c>
      <c r="N102" s="603" t="e">
        <f t="shared" si="38"/>
        <v>#N/A</v>
      </c>
      <c r="O102" s="603" t="e">
        <f t="shared" si="39"/>
        <v>#N/A</v>
      </c>
      <c r="P102" s="628" t="e">
        <f t="shared" si="40"/>
        <v>#N/A</v>
      </c>
      <c r="Q102" s="1513" t="str">
        <f t="shared" si="41"/>
        <v/>
      </c>
      <c r="R102" s="933" t="e">
        <f t="shared" si="25"/>
        <v>#VALUE!</v>
      </c>
      <c r="S102" s="70"/>
      <c r="T102" s="752">
        <f>IDACI!C29</f>
        <v>6.7</v>
      </c>
      <c r="U102" s="1069"/>
      <c r="V102" s="139"/>
      <c r="W102" s="152"/>
      <c r="X102" s="372" t="str">
        <f t="shared" si="26"/>
        <v>Windsor &amp; Maidenhead</v>
      </c>
      <c r="Y102" s="44">
        <f>IF(ISNUMBER(H102),IDACI!D29,0)</f>
        <v>29792</v>
      </c>
      <c r="Z102" s="44">
        <f>IF(ISNUMBER(H102),IDACI!E29,0)</f>
        <v>1996.0640000000001</v>
      </c>
      <c r="AA102" s="489" t="str">
        <f>IF(Year1_Windsor_Maidenhead Year1_Adoption_LAC_Adopted_days="","",Year1_Windsor_Maidenhead Year1_Adoption_LAC_Adopted_days)</f>
        <v>x</v>
      </c>
      <c r="AB102" s="372" t="str">
        <f>IF(Year2_Windsor_Maidenhead Year2_Adoption_LAC_Adopted_days="","",Year2_Windsor_Maidenhead Year2_Adoption_LAC_Adopted_days)</f>
        <v>x</v>
      </c>
      <c r="AC102" s="372" t="str">
        <f>IF(Year3_Windsor_Maidenhead Year3_Adoption_LAC_Adopted_days="","",Year3_Windsor_Maidenhead Year3_Adoption_LAC_Adopted_days)</f>
        <v>x</v>
      </c>
      <c r="AD102" s="372" t="str">
        <f>IF(Year4_Windsor_Maidenhead Year4_Adoption_LAC_Adopted_days="","",Year4_Windsor_Maidenhead Year4_Adoption_LAC_Adopted_days)</f>
        <v>x</v>
      </c>
      <c r="AE102" s="372" t="str">
        <f>IF(Year5_Windsor_Maidenhead Year5_Adoption_LAC_Adopted_days="","",Year5_Windsor_Maidenhead Year5_Adoption_LAC_Adopted_days)</f>
        <v>x</v>
      </c>
      <c r="AF102" s="1182">
        <f t="shared" si="27"/>
        <v>7</v>
      </c>
      <c r="AG102" s="756">
        <f t="shared" si="28"/>
        <v>6</v>
      </c>
      <c r="AH102" s="756" t="str">
        <f t="shared" si="29"/>
        <v>x</v>
      </c>
      <c r="AI102" s="756">
        <f t="shared" si="30"/>
        <v>7</v>
      </c>
      <c r="AJ102" s="1183">
        <f t="shared" si="31"/>
        <v>0</v>
      </c>
      <c r="AK102" s="756"/>
      <c r="AL102" s="756"/>
      <c r="AM102" s="184"/>
      <c r="AN102" s="160"/>
      <c r="AO102" s="853">
        <f t="shared" si="32"/>
        <v>-0.14285714285714285</v>
      </c>
      <c r="AP102" s="853" t="str">
        <f t="shared" si="33"/>
        <v>x</v>
      </c>
      <c r="AQ102" s="853" t="str">
        <f t="shared" si="34"/>
        <v>x</v>
      </c>
      <c r="AR102" s="853">
        <f t="shared" si="35"/>
        <v>-1</v>
      </c>
      <c r="AS102" s="853">
        <f t="shared" si="44"/>
        <v>-0.5714285714285714</v>
      </c>
    </row>
    <row r="103" spans="1:52" s="87" customFormat="1" ht="13.5" customHeight="1" x14ac:dyDescent="0.2">
      <c r="A103" s="488">
        <f>VLOOKUP(B103,Sheet1!$AQ$4:$AR$25,2,FALSE)</f>
        <v>0</v>
      </c>
      <c r="B103" s="93" t="s">
        <v>16</v>
      </c>
      <c r="C103" s="85"/>
      <c r="D103" s="603" t="s">
        <v>73</v>
      </c>
      <c r="E103" s="603" t="s">
        <v>73</v>
      </c>
      <c r="F103" s="603" t="s">
        <v>73</v>
      </c>
      <c r="G103" s="603" t="str">
        <f>IF(Year4_Wokingham Year4_Adoption_LAC_Adopted="","",Year4_Wokingham Year4_Adoption_LAC_Adopted)</f>
        <v>x</v>
      </c>
      <c r="H103" s="628">
        <f>IF(Year5_Wokingham Year5_Adoption_LAC_Adopted="","",Year5_Wokingham Year5_Adoption_LAC_Adopted)</f>
        <v>6</v>
      </c>
      <c r="I103" s="1093" t="e">
        <f t="shared" si="18"/>
        <v>#DIV/0!</v>
      </c>
      <c r="J103" s="863" t="e">
        <f t="shared" si="19"/>
        <v>#DIV/0!</v>
      </c>
      <c r="K103" s="96"/>
      <c r="L103" s="603" t="e">
        <f t="shared" si="36"/>
        <v>#N/A</v>
      </c>
      <c r="M103" s="603" t="e">
        <f t="shared" si="37"/>
        <v>#N/A</v>
      </c>
      <c r="N103" s="603" t="e">
        <f t="shared" si="38"/>
        <v>#N/A</v>
      </c>
      <c r="O103" s="603" t="e">
        <f t="shared" si="39"/>
        <v>#N/A</v>
      </c>
      <c r="P103" s="628" t="e">
        <f t="shared" si="40"/>
        <v>#N/A</v>
      </c>
      <c r="Q103" s="1513" t="str">
        <f t="shared" si="41"/>
        <v/>
      </c>
      <c r="R103" s="933" t="e">
        <f t="shared" si="25"/>
        <v>#VALUE!</v>
      </c>
      <c r="S103" s="70"/>
      <c r="T103" s="752">
        <f>IDACI!C30</f>
        <v>5.6000000000000005</v>
      </c>
      <c r="U103" s="1069"/>
      <c r="V103" s="139"/>
      <c r="W103" s="152"/>
      <c r="X103" s="372" t="str">
        <f t="shared" si="26"/>
        <v>Wokingham</v>
      </c>
      <c r="Y103" s="44">
        <f>IF(ISNUMBER(H103),IDACI!D30,0)</f>
        <v>33327</v>
      </c>
      <c r="Z103" s="44">
        <f>IF(ISNUMBER(H103),IDACI!E30,0)</f>
        <v>1866.3120000000004</v>
      </c>
      <c r="AA103" s="489" t="str">
        <f>IF(Year1_Wokingham Year1_Adoption_LAC_Adopted_days="","",Year1_Wokingham Year1_Adoption_LAC_Adopted_days)</f>
        <v>x</v>
      </c>
      <c r="AB103" s="372" t="str">
        <f>IF(Year2_Wokingham Year2_Adoption_LAC_Adopted_days="","",Year2_Wokingham Year2_Adoption_LAC_Adopted_days)</f>
        <v>x</v>
      </c>
      <c r="AC103" s="372" t="str">
        <f>IF(Year3_Wokingham Year3_Adoption_LAC_Adopted_days="","",Year3_Wokingham Year3_Adoption_LAC_Adopted_days)</f>
        <v>x</v>
      </c>
      <c r="AD103" s="372" t="str">
        <f>IF(Year4_Wokingham Year4_Adoption_LAC_Adopted_days="","",Year4_Wokingham Year4_Adoption_LAC_Adopted_days)</f>
        <v>x</v>
      </c>
      <c r="AE103" s="372" t="str">
        <f>IF(Year5_Wokingham Year5_Adoption_LAC_Adopted_days="","",Year5_Wokingham Year5_Adoption_LAC_Adopted_days)</f>
        <v>x</v>
      </c>
      <c r="AF103" s="1182" t="str">
        <f t="shared" si="27"/>
        <v>x</v>
      </c>
      <c r="AG103" s="756" t="str">
        <f t="shared" si="28"/>
        <v>x</v>
      </c>
      <c r="AH103" s="756" t="str">
        <f t="shared" si="29"/>
        <v>x</v>
      </c>
      <c r="AI103" s="756" t="str">
        <f t="shared" si="30"/>
        <v>x</v>
      </c>
      <c r="AJ103" s="1183">
        <f t="shared" si="31"/>
        <v>6</v>
      </c>
      <c r="AK103" s="756"/>
      <c r="AL103" s="756"/>
      <c r="AM103" s="188"/>
      <c r="AN103" s="160"/>
      <c r="AO103" s="853" t="str">
        <f t="shared" si="32"/>
        <v>x</v>
      </c>
      <c r="AP103" s="853" t="str">
        <f t="shared" si="33"/>
        <v>x</v>
      </c>
      <c r="AQ103" s="853" t="str">
        <f t="shared" si="34"/>
        <v>x</v>
      </c>
      <c r="AR103" s="853" t="str">
        <f t="shared" si="35"/>
        <v>x</v>
      </c>
      <c r="AS103" s="853" t="e">
        <f t="shared" si="44"/>
        <v>#DIV/0!</v>
      </c>
    </row>
    <row r="104" spans="1:52" s="87" customFormat="1" ht="13.5" customHeight="1" x14ac:dyDescent="0.2">
      <c r="A104" s="292"/>
      <c r="B104" s="129" t="s">
        <v>74</v>
      </c>
      <c r="C104" s="85"/>
      <c r="D104" s="232">
        <f>IF(Year1_SouthEast Year1_Adoption_LAC_Adopted="","",Year1_SouthEast Year1_Adoption_LAC_Adopted)</f>
        <v>660</v>
      </c>
      <c r="E104" s="232">
        <f>IF(Year2_SouthEast Year2_Adoption_LAC_Adopted="","",Year2_SouthEast Year2_Adoption_LAC_Adopted)</f>
        <v>610</v>
      </c>
      <c r="F104" s="232">
        <f>IF(Year3_SouthEast Year3_Adoption_LAC_Adopted="","",Year3_SouthEast Year3_Adoption_LAC_Adopted)</f>
        <v>530</v>
      </c>
      <c r="G104" s="232">
        <f>IF(Year4_SouthEast Year4_Adoption_LAC_Adopted="","",Year4_SouthEast Year4_Adoption_LAC_Adopted)</f>
        <v>510</v>
      </c>
      <c r="H104" s="417">
        <f>IF(Year5_SouthEast Year5_Adoption_LAC_Adopted="","",Year5_SouthEast Year5_Adoption_LAC_Adopted)</f>
        <v>470</v>
      </c>
      <c r="I104" s="862">
        <f t="shared" si="18"/>
        <v>-8.0768084586701427E-2</v>
      </c>
      <c r="J104" s="863">
        <f t="shared" si="19"/>
        <v>-8.0768084586701427E-2</v>
      </c>
      <c r="K104" s="96"/>
      <c r="L104" s="232">
        <f t="shared" si="36"/>
        <v>421.87121212121212</v>
      </c>
      <c r="M104" s="232">
        <f t="shared" si="37"/>
        <v>385.04754098360655</v>
      </c>
      <c r="N104" s="232">
        <f t="shared" si="38"/>
        <v>352.70377358490566</v>
      </c>
      <c r="O104" s="232">
        <f t="shared" si="39"/>
        <v>351.05490196078432</v>
      </c>
      <c r="P104" s="417">
        <f t="shared" si="40"/>
        <v>417</v>
      </c>
      <c r="Q104" s="99">
        <f t="shared" si="41"/>
        <v>417</v>
      </c>
      <c r="R104" s="931" t="str">
        <f t="shared" ref="R104:R105" si="45">IF(ISNA(VLOOKUP(B104,$AF$10:$AH$28,3,FALSE)),"--",IF(ISNUMBER(H104),VLOOKUP(B104,$AF$10:$AH$28,3,FALSE),NA()))</f>
        <v>--</v>
      </c>
      <c r="S104" s="70"/>
      <c r="T104" s="753">
        <f>Z104/Y104*100</f>
        <v>12.371268250968637</v>
      </c>
      <c r="U104" s="1069"/>
      <c r="V104" s="139"/>
      <c r="W104" s="152"/>
      <c r="X104" s="372" t="str">
        <f t="shared" si="26"/>
        <v>South East</v>
      </c>
      <c r="Y104" s="1097">
        <f>SUM(Y96:Y97,Y82:Y94,Y100:Y103)</f>
        <v>1704978</v>
      </c>
      <c r="Z104" s="1098">
        <f>SUM(Z96:Z97,Z82:Z94,Z100:Z103)</f>
        <v>210927.40200000003</v>
      </c>
      <c r="AA104" s="489">
        <f>IF(Year1_SouthEast Year1_Adoption_LAC_Adopted_days=0,NA(),Year1_SouthEast Year1_Adoption_LAC_Adopted_days)</f>
        <v>278435</v>
      </c>
      <c r="AB104" s="489">
        <f>IF(Year2_SouthEast Year2_Adoption_LAC_Adopted_days=0,NA(),Year2_SouthEast Year2_Adoption_LAC_Adopted_days)</f>
        <v>234879</v>
      </c>
      <c r="AC104" s="489">
        <f>IF(Year3_SouthEast Year3_Adoption_LAC_Adopted_days=0,NA(),Year3_SouthEast Year3_Adoption_LAC_Adopted_days)</f>
        <v>186933</v>
      </c>
      <c r="AD104" s="489">
        <f>IF(Year4_SouthEast Year4_Adoption_LAC_Adopted_days=0,NA(),Year4_SouthEast Year4_Adoption_LAC_Adopted_days)</f>
        <v>179038</v>
      </c>
      <c r="AE104" s="489">
        <f>IF(Year5_SouthEast Year5_Adoption_LAC_Adopted_days=0,NA(),Year5_SouthEast Year5_Adoption_LAC_Adopted_days)</f>
        <v>195990</v>
      </c>
      <c r="AF104" s="1182">
        <f>SUM(AF82:AF94,AF96:AF97,AF100:AF103)</f>
        <v>656</v>
      </c>
      <c r="AG104" s="1182">
        <f t="shared" ref="AG104:AJ104" si="46">SUM(AG82:AG94,AG96:AG97,AG100:AG103)</f>
        <v>599</v>
      </c>
      <c r="AH104" s="1182">
        <f t="shared" si="46"/>
        <v>517</v>
      </c>
      <c r="AI104" s="1182">
        <f t="shared" si="46"/>
        <v>510</v>
      </c>
      <c r="AJ104" s="1182">
        <f t="shared" si="46"/>
        <v>453</v>
      </c>
      <c r="AK104" s="756"/>
      <c r="AL104" s="756"/>
      <c r="AM104" s="184"/>
      <c r="AN104" s="160"/>
      <c r="AO104" s="853">
        <f t="shared" si="32"/>
        <v>-7.575757575757576E-2</v>
      </c>
      <c r="AP104" s="853">
        <f t="shared" si="33"/>
        <v>-0.13114754098360656</v>
      </c>
      <c r="AQ104" s="853">
        <f t="shared" si="34"/>
        <v>-3.7735849056603772E-2</v>
      </c>
      <c r="AR104" s="853">
        <f t="shared" si="35"/>
        <v>-7.8431372549019607E-2</v>
      </c>
      <c r="AS104" s="853">
        <f>AVERAGE(AO104:AR104)</f>
        <v>-8.0768084586701427E-2</v>
      </c>
    </row>
    <row r="105" spans="1:52" s="81" customFormat="1" ht="12.75" x14ac:dyDescent="0.2">
      <c r="A105" s="463"/>
      <c r="B105" s="329" t="s">
        <v>127</v>
      </c>
      <c r="C105" s="85"/>
      <c r="D105" s="1519">
        <f>IF(Year1_England Year1_Adoption_LAC_Adopted="","",Year1_England Year1_Adoption_LAC_Adopted)</f>
        <v>4710</v>
      </c>
      <c r="E105" s="1519">
        <f>IF(Year2_England Year2_Adoption_LAC_Adopted="","",Year2_England Year2_Adoption_LAC_Adopted)</f>
        <v>4370</v>
      </c>
      <c r="F105" s="1519">
        <f>IF(Year3_England Year3_Adoption_LAC_Adopted="","",Year3_England Year3_Adoption_LAC_Adopted)</f>
        <v>3850</v>
      </c>
      <c r="G105" s="1519">
        <f>IF(Year4_England Year4_Adoption_LAC_Adopted="","",Year4_England Year4_Adoption_LAC_Adopted)</f>
        <v>3570</v>
      </c>
      <c r="H105" s="1518">
        <f>IF(Year5_England Year5_Adoption_LAC_Adopted="","",Year5_England Year5_Adoption_LAC_Adopted)</f>
        <v>3450</v>
      </c>
      <c r="I105" s="331"/>
      <c r="J105" s="358">
        <f t="shared" ref="J105" si="47">IF(ISNUMBER(H105),(H105-E105)/E105,"")</f>
        <v>-0.21052631578947367</v>
      </c>
      <c r="K105" s="96"/>
      <c r="L105" s="1518">
        <f t="shared" si="36"/>
        <v>435</v>
      </c>
      <c r="M105" s="1518">
        <f t="shared" si="37"/>
        <v>399</v>
      </c>
      <c r="N105" s="1518">
        <f t="shared" si="38"/>
        <v>361</v>
      </c>
      <c r="O105" s="1518">
        <f t="shared" si="39"/>
        <v>363</v>
      </c>
      <c r="P105" s="1518">
        <f t="shared" si="40"/>
        <v>459</v>
      </c>
      <c r="Q105" s="1520">
        <f t="shared" si="41"/>
        <v>459</v>
      </c>
      <c r="R105" s="932" t="str">
        <f t="shared" si="45"/>
        <v>--</v>
      </c>
      <c r="S105" s="1521"/>
      <c r="T105" s="754">
        <f>IDACI!C32</f>
        <v>17.084413405029373</v>
      </c>
      <c r="U105" s="1069"/>
      <c r="V105" s="137"/>
      <c r="W105" s="150"/>
      <c r="X105" s="372"/>
      <c r="Y105" s="44"/>
      <c r="Z105" s="44"/>
      <c r="AA105" s="631">
        <f>IF(Year1_England Year1_Adoption_LAC_Adopted_days="","",Year1_England Year1_Adoption_LAC_Adopted_days)</f>
        <v>2048850</v>
      </c>
      <c r="AB105" s="631">
        <f>IF(Year2_England Year2_Adoption_LAC_Adopted_days="","",Year2_England Year2_Adoption_LAC_Adopted_days)</f>
        <v>1743630</v>
      </c>
      <c r="AC105" s="631">
        <f>IF(Year3_England Year3_Adoption_LAC_Adopted_days="","",Year3_England Year3_Adoption_LAC_Adopted_days)</f>
        <v>1389850</v>
      </c>
      <c r="AD105" s="631">
        <f>IF(Year4_England Year4_Adoption_LAC_Adopted_days="","",Year4_England Year4_Adoption_LAC_Adopted_days)</f>
        <v>1295910</v>
      </c>
      <c r="AE105" s="607">
        <f>IF(Year5_England Year5_Adoption_LAC_Adopted_days="","",Year5_England Year5_Adoption_LAC_Adopted_days)</f>
        <v>1583550</v>
      </c>
      <c r="AF105" s="1184"/>
      <c r="AG105" s="1185"/>
      <c r="AH105" s="1185"/>
      <c r="AI105" s="1185"/>
      <c r="AJ105" s="1186"/>
      <c r="AK105" s="1119"/>
      <c r="AL105" s="1119"/>
      <c r="AM105" s="188"/>
      <c r="AN105" s="161"/>
    </row>
    <row r="106" spans="1:52" s="81" customFormat="1" ht="12.75" customHeight="1" x14ac:dyDescent="0.2">
      <c r="A106" s="463"/>
      <c r="B106" s="123" t="s">
        <v>90</v>
      </c>
      <c r="C106" s="63"/>
      <c r="E106" s="63"/>
      <c r="G106" s="63"/>
      <c r="H106" s="63"/>
      <c r="I106" s="63"/>
      <c r="J106" s="63"/>
      <c r="K106" s="63"/>
      <c r="L106" s="63"/>
      <c r="M106" s="63"/>
      <c r="N106" s="63"/>
      <c r="O106" s="63"/>
      <c r="P106" s="63"/>
      <c r="Q106" s="65"/>
      <c r="R106" s="65"/>
      <c r="S106" s="70"/>
      <c r="T106" s="65"/>
      <c r="U106" s="1069"/>
      <c r="V106" s="137"/>
      <c r="W106" s="150"/>
      <c r="X106" s="614"/>
      <c r="AC106" s="197"/>
      <c r="AD106" s="614"/>
      <c r="AE106" s="207"/>
      <c r="AF106" s="197"/>
      <c r="AG106" s="498"/>
      <c r="AH106" s="498"/>
      <c r="AI106" s="498"/>
      <c r="AJ106" s="498"/>
      <c r="AK106" s="499"/>
      <c r="AL106" s="499"/>
      <c r="AM106" s="499"/>
      <c r="AN106" s="161"/>
    </row>
    <row r="107" spans="1:52" s="87" customFormat="1" ht="26.25" customHeight="1" x14ac:dyDescent="0.2">
      <c r="A107" s="292"/>
      <c r="B107" s="1965"/>
      <c r="C107" s="1966"/>
      <c r="D107" s="1966"/>
      <c r="E107" s="1966"/>
      <c r="F107" s="1966"/>
      <c r="G107" s="1966"/>
      <c r="H107" s="1966"/>
      <c r="I107" s="1966"/>
      <c r="J107" s="1966"/>
      <c r="K107" s="1966"/>
      <c r="L107" s="1966"/>
      <c r="M107" s="1966"/>
      <c r="N107" s="1966"/>
      <c r="O107" s="1966"/>
      <c r="P107" s="1966"/>
      <c r="Q107" s="1966"/>
      <c r="R107" s="1966"/>
      <c r="S107" s="1966"/>
      <c r="T107" s="1967"/>
      <c r="U107" s="1068"/>
      <c r="V107" s="139"/>
      <c r="W107" s="152"/>
      <c r="X107" s="188"/>
      <c r="Y107" s="188"/>
      <c r="Z107" s="196"/>
      <c r="AA107" s="196"/>
      <c r="AB107" s="197"/>
      <c r="AC107" s="197"/>
      <c r="AD107" s="199"/>
      <c r="AE107" s="190"/>
      <c r="AF107" s="190"/>
      <c r="AG107" s="190"/>
      <c r="AH107" s="190"/>
      <c r="AI107" s="190"/>
      <c r="AJ107" s="190"/>
      <c r="AK107" s="202"/>
      <c r="AL107" s="202"/>
      <c r="AM107" s="202"/>
      <c r="AN107" s="160"/>
    </row>
    <row r="108" spans="1:52" s="81" customFormat="1" ht="7.5" customHeight="1" x14ac:dyDescent="0.2">
      <c r="A108" s="278"/>
      <c r="B108" s="17"/>
      <c r="C108" s="17"/>
      <c r="D108" s="16"/>
      <c r="E108" s="16"/>
      <c r="F108" s="16"/>
      <c r="G108" s="16"/>
      <c r="H108" s="16"/>
      <c r="I108" s="16"/>
      <c r="J108" s="16"/>
      <c r="K108" s="12"/>
      <c r="L108" s="18"/>
      <c r="M108" s="18"/>
      <c r="N108" s="18"/>
      <c r="O108" s="18"/>
      <c r="P108" s="18"/>
      <c r="Q108" s="18"/>
      <c r="R108" s="18"/>
      <c r="S108" s="18"/>
      <c r="T108" s="18"/>
      <c r="U108" s="1070"/>
      <c r="V108" s="137"/>
      <c r="W108" s="150"/>
      <c r="Y108" s="190"/>
      <c r="AK108" s="184"/>
      <c r="AL108" s="184"/>
      <c r="AM108" s="184"/>
      <c r="AN108" s="157"/>
      <c r="AO108" s="74"/>
      <c r="AP108" s="74"/>
      <c r="AQ108" s="74"/>
      <c r="AR108" s="74"/>
      <c r="AS108" s="74"/>
      <c r="AT108" s="74"/>
      <c r="AU108" s="74"/>
    </row>
    <row r="109" spans="1:52" s="81" customFormat="1" ht="15" customHeight="1" x14ac:dyDescent="0.2">
      <c r="A109" s="1775"/>
      <c r="B109" s="1760"/>
      <c r="C109" s="1760"/>
      <c r="D109" s="1760"/>
      <c r="E109" s="1760"/>
      <c r="F109" s="1760"/>
      <c r="G109" s="1760"/>
      <c r="H109" s="1760"/>
      <c r="I109" s="1760"/>
      <c r="J109" s="1760"/>
      <c r="K109" s="1760"/>
      <c r="L109" s="1760"/>
      <c r="M109" s="1760"/>
      <c r="N109" s="1760"/>
      <c r="O109" s="1760"/>
      <c r="P109" s="1760"/>
      <c r="Q109" s="1760"/>
      <c r="R109" s="1760"/>
      <c r="S109" s="1760"/>
      <c r="T109" s="1760"/>
      <c r="U109" s="1761"/>
      <c r="V109" s="137"/>
      <c r="W109" s="150"/>
      <c r="X109" s="188"/>
      <c r="Y109" s="188"/>
      <c r="AN109" s="161"/>
      <c r="AU109" s="81">
        <v>19</v>
      </c>
      <c r="AV109" s="81">
        <v>11</v>
      </c>
      <c r="AW109" s="81">
        <v>12</v>
      </c>
      <c r="AX109" s="81">
        <v>13</v>
      </c>
      <c r="AY109" s="81">
        <v>14</v>
      </c>
      <c r="AZ109" s="81">
        <v>15</v>
      </c>
    </row>
    <row r="110" spans="1:52" s="81" customFormat="1" ht="11.25" customHeight="1" x14ac:dyDescent="0.2">
      <c r="A110" s="1776" t="str">
        <f>Home!$A$39</f>
        <v xml:space="preserve"> </v>
      </c>
      <c r="B110" s="1768"/>
      <c r="C110" s="1768"/>
      <c r="D110" s="1768"/>
      <c r="E110" s="1768"/>
      <c r="F110" s="1768"/>
      <c r="G110" s="1768"/>
      <c r="H110" s="1768"/>
      <c r="I110" s="1768"/>
      <c r="J110" s="1768"/>
      <c r="K110" s="1768"/>
      <c r="L110" s="1768"/>
      <c r="M110" s="1768"/>
      <c r="N110" s="1768"/>
      <c r="O110" s="1768"/>
      <c r="P110" s="1768"/>
      <c r="Q110" s="1768"/>
      <c r="R110" s="1768"/>
      <c r="S110" s="1768"/>
      <c r="T110" s="1768"/>
      <c r="U110" s="1848"/>
      <c r="V110" s="137"/>
      <c r="W110" s="150"/>
      <c r="X110" s="188"/>
      <c r="Y110" s="188"/>
      <c r="AK110" s="184"/>
      <c r="AL110" s="184"/>
      <c r="AM110" s="184"/>
      <c r="AN110" s="160"/>
      <c r="AO110" s="87"/>
      <c r="AU110" s="1907" t="s">
        <v>1213</v>
      </c>
      <c r="AV110" s="223" t="s">
        <v>774</v>
      </c>
    </row>
    <row r="111" spans="1:52" s="81" customFormat="1" ht="11.25" customHeight="1" x14ac:dyDescent="0.2">
      <c r="A111" s="440"/>
      <c r="B111" s="113"/>
      <c r="C111" s="113"/>
      <c r="D111" s="113"/>
      <c r="E111" s="113"/>
      <c r="F111" s="113"/>
      <c r="G111" s="113"/>
      <c r="H111" s="113"/>
      <c r="I111" s="113"/>
      <c r="J111" s="113"/>
      <c r="K111" s="114"/>
      <c r="L111" s="113"/>
      <c r="M111" s="113"/>
      <c r="N111" s="113"/>
      <c r="O111" s="113"/>
      <c r="P111" s="113"/>
      <c r="Q111" s="113"/>
      <c r="R111" s="113"/>
      <c r="S111" s="113"/>
      <c r="T111" s="113"/>
      <c r="U111" s="115"/>
      <c r="V111" s="137"/>
      <c r="W111" s="149"/>
      <c r="X111" s="197"/>
      <c r="Y111" s="197"/>
      <c r="Z111" s="197"/>
      <c r="AA111" s="197"/>
      <c r="AB111" s="197"/>
      <c r="AK111" s="184"/>
      <c r="AL111" s="184"/>
      <c r="AM111" s="184"/>
      <c r="AN111" s="160"/>
      <c r="AO111" s="87"/>
      <c r="AP111" s="489" t="str">
        <f>Sheet1!$D$27</f>
        <v>2015-16</v>
      </c>
      <c r="AQ111" s="489" t="str">
        <f>Sheet1!$E$27</f>
        <v>2016-17</v>
      </c>
      <c r="AR111" s="489" t="str">
        <f>Sheet1!$F$27</f>
        <v>2017-18</v>
      </c>
      <c r="AS111" s="489" t="str">
        <f>Sheet1!$G$27</f>
        <v>2018-19</v>
      </c>
      <c r="AT111" s="1015" t="str">
        <f>Sheet1!$H$27</f>
        <v>2019-20</v>
      </c>
      <c r="AU111" s="1908"/>
      <c r="AV111" s="1168" t="str">
        <f>Sheet1!$D$27</f>
        <v>2015-16</v>
      </c>
      <c r="AW111" s="1168" t="str">
        <f>Sheet1!$E$27</f>
        <v>2016-17</v>
      </c>
      <c r="AX111" s="1168" t="str">
        <f>Sheet1!$F$27</f>
        <v>2017-18</v>
      </c>
      <c r="AY111" s="1168" t="str">
        <f>Sheet1!$G$27</f>
        <v>2018-19</v>
      </c>
      <c r="AZ111" s="1168" t="str">
        <f>Sheet1!$H$27</f>
        <v>2019-20</v>
      </c>
    </row>
    <row r="112" spans="1:52" s="81" customFormat="1" ht="3.75" customHeight="1" x14ac:dyDescent="0.25">
      <c r="A112" s="1189"/>
      <c r="B112" s="9"/>
      <c r="C112" s="9"/>
      <c r="D112" s="9"/>
      <c r="E112" s="9"/>
      <c r="F112" s="9"/>
      <c r="G112" s="9"/>
      <c r="H112" s="9"/>
      <c r="I112" s="9"/>
      <c r="J112" s="9"/>
      <c r="K112" s="12"/>
      <c r="L112" s="9"/>
      <c r="M112" s="9"/>
      <c r="N112" s="9"/>
      <c r="O112" s="9"/>
      <c r="P112" s="9"/>
      <c r="Q112" s="9"/>
      <c r="R112" s="9"/>
      <c r="S112" s="9"/>
      <c r="T112" s="9"/>
      <c r="U112" s="117"/>
      <c r="V112" s="137"/>
      <c r="W112" s="294"/>
      <c r="AC112" s="1320" t="s">
        <v>977</v>
      </c>
      <c r="AN112" s="160"/>
      <c r="AO112" s="87"/>
      <c r="AP112" s="489" t="e">
        <f>Sheet1!$D$28</f>
        <v>#N/A</v>
      </c>
      <c r="AQ112" s="489" t="e">
        <f>Sheet1!$E$28</f>
        <v>#N/A</v>
      </c>
      <c r="AR112" s="489" t="e">
        <f>Sheet1!$F$28</f>
        <v>#N/A</v>
      </c>
      <c r="AS112" s="489" t="e">
        <f>Sheet1!$G$28</f>
        <v>#N/A</v>
      </c>
      <c r="AT112" s="1015" t="e">
        <f>Sheet1!$H$28</f>
        <v>#N/A</v>
      </c>
      <c r="AU112" s="1909"/>
      <c r="AV112" s="1168" t="e">
        <f>Sheet1!$D$28</f>
        <v>#N/A</v>
      </c>
      <c r="AW112" s="1168" t="e">
        <f>Sheet1!$E$28</f>
        <v>#N/A</v>
      </c>
      <c r="AX112" s="1168" t="e">
        <f>Sheet1!$F$28</f>
        <v>#N/A</v>
      </c>
      <c r="AY112" s="1168" t="e">
        <f>Sheet1!$G$28</f>
        <v>#N/A</v>
      </c>
      <c r="AZ112" s="1168" t="e">
        <f>Sheet1!$H$28</f>
        <v>#N/A</v>
      </c>
    </row>
    <row r="113" spans="1:52" s="81" customFormat="1" ht="14.25" customHeight="1" x14ac:dyDescent="0.2">
      <c r="A113" s="740"/>
      <c r="B113" s="9"/>
      <c r="C113" s="9"/>
      <c r="D113" s="9"/>
      <c r="E113" s="9"/>
      <c r="F113" s="9"/>
      <c r="G113" s="9"/>
      <c r="H113" s="9"/>
      <c r="I113" s="9"/>
      <c r="J113" s="9"/>
      <c r="K113" s="12"/>
      <c r="L113" s="9"/>
      <c r="M113" s="9"/>
      <c r="N113" s="9"/>
      <c r="O113" s="9"/>
      <c r="P113" s="9"/>
      <c r="Q113" s="9"/>
      <c r="R113" s="9"/>
      <c r="S113" s="9"/>
      <c r="T113" s="9"/>
      <c r="U113" s="117"/>
      <c r="V113" s="137"/>
      <c r="W113" s="294"/>
      <c r="X113" s="43" t="s">
        <v>72</v>
      </c>
      <c r="Y113" s="43" t="s">
        <v>70</v>
      </c>
      <c r="Z113" s="43" t="s">
        <v>71</v>
      </c>
      <c r="AA113" s="1194">
        <v>5</v>
      </c>
      <c r="AB113" s="216">
        <f>(AA113*Y114)+Z114</f>
        <v>444.94306524887088</v>
      </c>
      <c r="AC113" s="206">
        <f>ROUND(ChartLabels!$AA22,3)</f>
        <v>1.9E-2</v>
      </c>
      <c r="AL113" s="585"/>
      <c r="AM113" s="585" t="b">
        <f t="shared" ref="AM113:AM136" si="48">AK42</f>
        <v>1</v>
      </c>
      <c r="AN113" s="160"/>
      <c r="AO113" s="1178" t="str">
        <f t="shared" ref="AO113:AO136" si="49">IF(AM113=TRUE,B10,"")</f>
        <v>Bracknell Forest</v>
      </c>
      <c r="AP113" s="1173" t="e">
        <f>VLOOKUP($AO113,$B$82:$P$105,AP$38,FALSE)</f>
        <v>#N/A</v>
      </c>
      <c r="AQ113" s="1173" t="e">
        <f t="shared" ref="AQ113:AT128" si="50">VLOOKUP($AO113,$B$82:$P$105,AQ$38,FALSE)</f>
        <v>#N/A</v>
      </c>
      <c r="AR113" s="1173" t="e">
        <f t="shared" si="50"/>
        <v>#N/A</v>
      </c>
      <c r="AS113" s="1173" t="e">
        <f t="shared" si="50"/>
        <v>#N/A</v>
      </c>
      <c r="AT113" s="1173" t="e">
        <f t="shared" si="50"/>
        <v>#N/A</v>
      </c>
      <c r="AU113" s="1181">
        <f>VLOOKUP(AO113,$B$10:$U$33,AU$38,FALSE)</f>
        <v>8.9</v>
      </c>
      <c r="AV113" s="1187" t="e">
        <f t="shared" ref="AV113:AZ122" si="51">VLOOKUP($AO113,$B$82:$P$105,AV$109,FALSE)</f>
        <v>#N/A</v>
      </c>
      <c r="AW113" s="1187" t="e">
        <f t="shared" si="51"/>
        <v>#N/A</v>
      </c>
      <c r="AX113" s="1187" t="e">
        <f t="shared" si="51"/>
        <v>#N/A</v>
      </c>
      <c r="AY113" s="1187" t="e">
        <f t="shared" si="51"/>
        <v>#N/A</v>
      </c>
      <c r="AZ113" s="1188" t="e">
        <f t="shared" si="51"/>
        <v>#N/A</v>
      </c>
    </row>
    <row r="114" spans="1:52" s="81" customFormat="1" ht="14.25" customHeight="1" x14ac:dyDescent="0.2">
      <c r="A114" s="740"/>
      <c r="B114" s="9"/>
      <c r="C114" s="9"/>
      <c r="D114" s="9"/>
      <c r="E114" s="9"/>
      <c r="F114" s="9"/>
      <c r="G114" s="9"/>
      <c r="H114" s="9"/>
      <c r="I114" s="9"/>
      <c r="J114" s="9"/>
      <c r="K114" s="12"/>
      <c r="L114" s="9"/>
      <c r="M114" s="9"/>
      <c r="N114" s="9"/>
      <c r="O114" s="9"/>
      <c r="P114" s="9"/>
      <c r="Q114" s="9"/>
      <c r="R114" s="9"/>
      <c r="S114" s="9"/>
      <c r="T114" s="9"/>
      <c r="U114" s="117"/>
      <c r="V114" s="137"/>
      <c r="W114" s="294"/>
      <c r="X114" s="212" t="str">
        <f>"Y= "&amp;Y114&amp;"x + "&amp;Z114</f>
        <v>Y= -2.32037626884209x + 456.544946593081</v>
      </c>
      <c r="Y114" s="743">
        <f>ChartLabels!$Y22</f>
        <v>-2.3203762688420859</v>
      </c>
      <c r="Z114" s="743">
        <f>ChartLabels!$Z22</f>
        <v>456.54494659308131</v>
      </c>
      <c r="AA114" s="215">
        <v>35</v>
      </c>
      <c r="AB114" s="216">
        <f>(AA114*Y114)+Z114</f>
        <v>375.33177718360832</v>
      </c>
      <c r="AC114" s="1319" t="str">
        <f>AC112&amp;" = "&amp;AC113</f>
        <v>r² = 0.019</v>
      </c>
      <c r="AL114" s="585"/>
      <c r="AM114" s="585" t="b">
        <f t="shared" si="48"/>
        <v>1</v>
      </c>
      <c r="AN114" s="160"/>
      <c r="AO114" s="1178" t="str">
        <f t="shared" si="49"/>
        <v>Brighton &amp; Hove</v>
      </c>
      <c r="AP114" s="1173">
        <f t="shared" ref="AP114:AT136" si="52">VLOOKUP($AO114,$B$82:$P$105,AP$38,FALSE)</f>
        <v>494</v>
      </c>
      <c r="AQ114" s="1173">
        <f t="shared" si="50"/>
        <v>365</v>
      </c>
      <c r="AR114" s="1173">
        <f t="shared" si="50"/>
        <v>401</v>
      </c>
      <c r="AS114" s="1173">
        <f t="shared" si="50"/>
        <v>353</v>
      </c>
      <c r="AT114" s="1173">
        <f t="shared" si="50"/>
        <v>410</v>
      </c>
      <c r="AU114" s="1156">
        <f t="shared" ref="AU114:AU136" si="53">VLOOKUP(AO114,$B$10:$U$33,AU$38,FALSE)</f>
        <v>15.299999999999999</v>
      </c>
      <c r="AV114" s="1169">
        <f t="shared" si="51"/>
        <v>494</v>
      </c>
      <c r="AW114" s="1170">
        <f t="shared" si="51"/>
        <v>365</v>
      </c>
      <c r="AX114" s="1170">
        <f t="shared" si="51"/>
        <v>401</v>
      </c>
      <c r="AY114" s="1170">
        <f t="shared" si="51"/>
        <v>353</v>
      </c>
      <c r="AZ114" s="1171">
        <f t="shared" si="51"/>
        <v>410</v>
      </c>
    </row>
    <row r="115" spans="1:52" ht="14.25" customHeight="1" x14ac:dyDescent="0.2">
      <c r="A115" s="740"/>
      <c r="B115" s="9"/>
      <c r="C115" s="9"/>
      <c r="D115" s="9"/>
      <c r="E115" s="9"/>
      <c r="F115" s="9"/>
      <c r="G115" s="9"/>
      <c r="H115" s="9"/>
      <c r="I115" s="9"/>
      <c r="J115" s="9"/>
      <c r="K115" s="12"/>
      <c r="L115" s="9"/>
      <c r="M115" s="9"/>
      <c r="N115" s="9"/>
      <c r="O115" s="9"/>
      <c r="P115" s="9"/>
      <c r="Q115" s="9"/>
      <c r="R115" s="9"/>
      <c r="S115" s="9"/>
      <c r="T115" s="9"/>
      <c r="U115" s="117"/>
      <c r="V115" s="137"/>
      <c r="W115" s="294"/>
      <c r="X115" s="1159" t="str">
        <f>"National Trend "&amp;Sheet1!$B$8</f>
        <v>National Trend 2020</v>
      </c>
      <c r="Y115" s="1160" t="s">
        <v>70</v>
      </c>
      <c r="Z115" s="1159" t="s">
        <v>71</v>
      </c>
      <c r="AA115" s="1161">
        <v>7</v>
      </c>
      <c r="AB115" s="1162">
        <f>((AA115*Y116)+Z116)</f>
        <v>0</v>
      </c>
      <c r="AL115" s="585"/>
      <c r="AM115" s="585" t="b">
        <f t="shared" si="48"/>
        <v>1</v>
      </c>
      <c r="AN115" s="160"/>
      <c r="AO115" s="1178" t="str">
        <f t="shared" si="49"/>
        <v>Buckinghamshire</v>
      </c>
      <c r="AP115" s="1173">
        <f t="shared" si="52"/>
        <v>634</v>
      </c>
      <c r="AQ115" s="1173">
        <f t="shared" si="50"/>
        <v>478</v>
      </c>
      <c r="AR115" s="1173">
        <f t="shared" si="50"/>
        <v>349</v>
      </c>
      <c r="AS115" s="1173">
        <f t="shared" si="50"/>
        <v>344</v>
      </c>
      <c r="AT115" s="1173">
        <f t="shared" si="50"/>
        <v>442.60869565217394</v>
      </c>
      <c r="AU115" s="1156">
        <f t="shared" si="53"/>
        <v>8.5</v>
      </c>
      <c r="AV115" s="1169">
        <f t="shared" si="51"/>
        <v>634</v>
      </c>
      <c r="AW115" s="1170">
        <f t="shared" si="51"/>
        <v>478</v>
      </c>
      <c r="AX115" s="1170">
        <f t="shared" si="51"/>
        <v>349</v>
      </c>
      <c r="AY115" s="1170">
        <f t="shared" si="51"/>
        <v>344</v>
      </c>
      <c r="AZ115" s="1171">
        <f t="shared" si="51"/>
        <v>442.60869565217394</v>
      </c>
    </row>
    <row r="116" spans="1:52" ht="14.25" customHeight="1" x14ac:dyDescent="0.2">
      <c r="A116" s="740"/>
      <c r="B116" s="9"/>
      <c r="C116" s="9"/>
      <c r="D116" s="9"/>
      <c r="E116" s="9"/>
      <c r="F116" s="9"/>
      <c r="G116" s="9"/>
      <c r="H116" s="9"/>
      <c r="I116" s="9"/>
      <c r="J116" s="9"/>
      <c r="K116" s="12"/>
      <c r="L116" s="13"/>
      <c r="M116" s="13"/>
      <c r="N116" s="13"/>
      <c r="O116" s="13"/>
      <c r="P116" s="14"/>
      <c r="Q116" s="14"/>
      <c r="R116" s="14"/>
      <c r="S116" s="14"/>
      <c r="T116" s="14"/>
      <c r="U116" s="120"/>
      <c r="V116" s="137"/>
      <c r="W116" s="294"/>
      <c r="X116" s="1163" t="str">
        <f>"Y= "&amp;Y116&amp;"x + "&amp;Z116</f>
        <v xml:space="preserve">Y= x + </v>
      </c>
      <c r="Y116" s="1164"/>
      <c r="Z116" s="1165"/>
      <c r="AA116" s="1166">
        <v>25</v>
      </c>
      <c r="AB116" s="1167">
        <f>((AA116*Y116)+Z116)</f>
        <v>0</v>
      </c>
      <c r="AL116" s="585"/>
      <c r="AM116" s="585" t="b">
        <f t="shared" si="48"/>
        <v>1</v>
      </c>
      <c r="AN116" s="160"/>
      <c r="AO116" s="1178" t="str">
        <f t="shared" si="49"/>
        <v>East Sussex</v>
      </c>
      <c r="AP116" s="1173">
        <f t="shared" si="52"/>
        <v>442</v>
      </c>
      <c r="AQ116" s="1173">
        <f t="shared" si="50"/>
        <v>360</v>
      </c>
      <c r="AR116" s="1173">
        <f t="shared" si="50"/>
        <v>434</v>
      </c>
      <c r="AS116" s="1173">
        <f t="shared" si="50"/>
        <v>372</v>
      </c>
      <c r="AT116" s="1173">
        <f t="shared" si="50"/>
        <v>489.46153846153851</v>
      </c>
      <c r="AU116" s="1156">
        <f t="shared" si="53"/>
        <v>16.100000000000001</v>
      </c>
      <c r="AV116" s="1169">
        <f t="shared" si="51"/>
        <v>442</v>
      </c>
      <c r="AW116" s="1170">
        <f t="shared" si="51"/>
        <v>360</v>
      </c>
      <c r="AX116" s="1170">
        <f t="shared" si="51"/>
        <v>434</v>
      </c>
      <c r="AY116" s="1170">
        <f t="shared" si="51"/>
        <v>372</v>
      </c>
      <c r="AZ116" s="1171">
        <f t="shared" si="51"/>
        <v>489.46153846153851</v>
      </c>
    </row>
    <row r="117" spans="1:52" s="76" customFormat="1" ht="14.25" customHeight="1" x14ac:dyDescent="0.2">
      <c r="A117" s="441"/>
      <c r="B117" s="226"/>
      <c r="C117" s="226"/>
      <c r="D117" s="227"/>
      <c r="E117" s="227"/>
      <c r="F117" s="227"/>
      <c r="G117" s="227"/>
      <c r="H117" s="227"/>
      <c r="I117" s="227"/>
      <c r="J117" s="227"/>
      <c r="K117" s="15"/>
      <c r="L117" s="9"/>
      <c r="M117" s="9"/>
      <c r="N117" s="9"/>
      <c r="O117" s="9"/>
      <c r="P117" s="9"/>
      <c r="Q117" s="9"/>
      <c r="R117" s="9"/>
      <c r="S117" s="9"/>
      <c r="T117" s="9"/>
      <c r="U117" s="117"/>
      <c r="V117" s="138"/>
      <c r="W117" s="295"/>
      <c r="AC117" s="81"/>
      <c r="AD117" s="81"/>
      <c r="AE117" s="81"/>
      <c r="AF117" s="81"/>
      <c r="AG117" s="81"/>
      <c r="AH117" s="81"/>
      <c r="AI117" s="81"/>
      <c r="AJ117" s="81"/>
      <c r="AL117" s="585"/>
      <c r="AM117" s="585" t="b">
        <f t="shared" si="48"/>
        <v>1</v>
      </c>
      <c r="AN117" s="160"/>
      <c r="AO117" s="1178" t="str">
        <f t="shared" si="49"/>
        <v>Hampshire</v>
      </c>
      <c r="AP117" s="1173">
        <f t="shared" si="52"/>
        <v>461</v>
      </c>
      <c r="AQ117" s="1173">
        <f t="shared" si="50"/>
        <v>405</v>
      </c>
      <c r="AR117" s="1173">
        <f t="shared" si="50"/>
        <v>388</v>
      </c>
      <c r="AS117" s="1173">
        <f t="shared" si="50"/>
        <v>336</v>
      </c>
      <c r="AT117" s="1173">
        <f t="shared" si="50"/>
        <v>378.78571428571428</v>
      </c>
      <c r="AU117" s="1156">
        <f t="shared" si="53"/>
        <v>10.100000000000001</v>
      </c>
      <c r="AV117" s="1169">
        <f t="shared" si="51"/>
        <v>461</v>
      </c>
      <c r="AW117" s="1170">
        <f t="shared" si="51"/>
        <v>405</v>
      </c>
      <c r="AX117" s="1170">
        <f t="shared" si="51"/>
        <v>388</v>
      </c>
      <c r="AY117" s="1170">
        <f t="shared" si="51"/>
        <v>336</v>
      </c>
      <c r="AZ117" s="1171">
        <f t="shared" si="51"/>
        <v>378.78571428571428</v>
      </c>
    </row>
    <row r="118" spans="1:52" ht="14.25" customHeight="1" x14ac:dyDescent="0.2">
      <c r="A118" s="740"/>
      <c r="B118" s="227"/>
      <c r="C118" s="227"/>
      <c r="D118" s="227"/>
      <c r="E118" s="227"/>
      <c r="F118" s="227"/>
      <c r="G118" s="227"/>
      <c r="H118" s="227"/>
      <c r="I118" s="227"/>
      <c r="J118" s="227"/>
      <c r="K118" s="12"/>
      <c r="L118" s="14"/>
      <c r="M118" s="14"/>
      <c r="N118" s="14"/>
      <c r="O118" s="14"/>
      <c r="P118" s="9"/>
      <c r="Q118" s="9"/>
      <c r="R118" s="9"/>
      <c r="S118" s="9"/>
      <c r="T118" s="9"/>
      <c r="U118" s="117"/>
      <c r="V118" s="137"/>
      <c r="W118" s="294"/>
      <c r="AL118" s="585"/>
      <c r="AM118" s="585" t="b">
        <f t="shared" si="48"/>
        <v>1</v>
      </c>
      <c r="AN118" s="160"/>
      <c r="AO118" s="1178" t="str">
        <f t="shared" si="49"/>
        <v>Isle of Wight</v>
      </c>
      <c r="AP118" s="1173" t="e">
        <f t="shared" si="52"/>
        <v>#N/A</v>
      </c>
      <c r="AQ118" s="1173">
        <f t="shared" si="50"/>
        <v>647</v>
      </c>
      <c r="AR118" s="1173">
        <f t="shared" si="50"/>
        <v>298</v>
      </c>
      <c r="AS118" s="1173">
        <f t="shared" si="50"/>
        <v>338</v>
      </c>
      <c r="AT118" s="1173" t="e">
        <f t="shared" si="50"/>
        <v>#N/A</v>
      </c>
      <c r="AU118" s="1156">
        <f t="shared" si="53"/>
        <v>18</v>
      </c>
      <c r="AV118" s="1169" t="e">
        <f t="shared" si="51"/>
        <v>#N/A</v>
      </c>
      <c r="AW118" s="1170">
        <f t="shared" si="51"/>
        <v>647</v>
      </c>
      <c r="AX118" s="1170">
        <f t="shared" si="51"/>
        <v>298</v>
      </c>
      <c r="AY118" s="1170">
        <f t="shared" si="51"/>
        <v>338</v>
      </c>
      <c r="AZ118" s="1171" t="e">
        <f t="shared" si="51"/>
        <v>#N/A</v>
      </c>
    </row>
    <row r="119" spans="1:52" ht="14.25" customHeight="1" x14ac:dyDescent="0.2">
      <c r="A119" s="740"/>
      <c r="B119" s="227"/>
      <c r="C119" s="227"/>
      <c r="D119" s="227"/>
      <c r="E119" s="227"/>
      <c r="F119" s="227"/>
      <c r="G119" s="227"/>
      <c r="H119" s="227"/>
      <c r="I119" s="227"/>
      <c r="J119" s="227"/>
      <c r="K119" s="12"/>
      <c r="L119" s="14"/>
      <c r="M119" s="14"/>
      <c r="N119" s="14"/>
      <c r="O119" s="14"/>
      <c r="P119" s="9"/>
      <c r="Q119" s="9"/>
      <c r="R119" s="9"/>
      <c r="S119" s="9"/>
      <c r="T119" s="9"/>
      <c r="U119" s="117"/>
      <c r="V119" s="137"/>
      <c r="W119" s="294"/>
      <c r="AC119" s="207"/>
      <c r="AL119" s="585"/>
      <c r="AM119" s="585" t="b">
        <f t="shared" si="48"/>
        <v>1</v>
      </c>
      <c r="AN119" s="160"/>
      <c r="AO119" s="1178" t="str">
        <f t="shared" si="49"/>
        <v>Kent</v>
      </c>
      <c r="AP119" s="1173">
        <f t="shared" si="52"/>
        <v>411</v>
      </c>
      <c r="AQ119" s="1173">
        <f t="shared" si="50"/>
        <v>296</v>
      </c>
      <c r="AR119" s="1173">
        <f t="shared" si="50"/>
        <v>301</v>
      </c>
      <c r="AS119" s="1173">
        <f t="shared" si="50"/>
        <v>335</v>
      </c>
      <c r="AT119" s="1173">
        <f t="shared" si="50"/>
        <v>336.63492063492066</v>
      </c>
      <c r="AU119" s="1156">
        <f t="shared" si="53"/>
        <v>15.8</v>
      </c>
      <c r="AV119" s="1169">
        <f t="shared" si="51"/>
        <v>411</v>
      </c>
      <c r="AW119" s="1170">
        <f t="shared" si="51"/>
        <v>296</v>
      </c>
      <c r="AX119" s="1170">
        <f t="shared" si="51"/>
        <v>301</v>
      </c>
      <c r="AY119" s="1170">
        <f t="shared" si="51"/>
        <v>335</v>
      </c>
      <c r="AZ119" s="1171">
        <f t="shared" si="51"/>
        <v>336.63492063492066</v>
      </c>
    </row>
    <row r="120" spans="1:52" ht="14.25" customHeight="1" x14ac:dyDescent="0.2">
      <c r="A120" s="740"/>
      <c r="B120" s="58"/>
      <c r="C120" s="58"/>
      <c r="D120" s="58"/>
      <c r="E120" s="58"/>
      <c r="F120" s="58"/>
      <c r="G120" s="58"/>
      <c r="H120" s="58"/>
      <c r="I120" s="58"/>
      <c r="J120" s="58"/>
      <c r="K120" s="12"/>
      <c r="L120" s="14"/>
      <c r="M120" s="14"/>
      <c r="N120" s="14"/>
      <c r="O120" s="14"/>
      <c r="P120" s="9"/>
      <c r="Q120" s="9"/>
      <c r="R120" s="9"/>
      <c r="S120" s="9"/>
      <c r="T120" s="9"/>
      <c r="U120" s="117"/>
      <c r="V120" s="137"/>
      <c r="W120" s="294"/>
      <c r="AC120" s="184"/>
      <c r="AL120" s="585"/>
      <c r="AM120" s="585" t="b">
        <f t="shared" si="48"/>
        <v>1</v>
      </c>
      <c r="AN120" s="160"/>
      <c r="AO120" s="1178" t="str">
        <f t="shared" si="49"/>
        <v>Medway</v>
      </c>
      <c r="AP120" s="1173">
        <f t="shared" si="52"/>
        <v>397</v>
      </c>
      <c r="AQ120" s="1173">
        <f t="shared" si="50"/>
        <v>358</v>
      </c>
      <c r="AR120" s="1173">
        <f t="shared" si="50"/>
        <v>363</v>
      </c>
      <c r="AS120" s="1173">
        <f t="shared" si="50"/>
        <v>482</v>
      </c>
      <c r="AT120" s="1173">
        <f t="shared" si="50"/>
        <v>502.78947368421052</v>
      </c>
      <c r="AU120" s="1156">
        <f t="shared" si="53"/>
        <v>18.899999999999999</v>
      </c>
      <c r="AV120" s="1169">
        <f t="shared" si="51"/>
        <v>397</v>
      </c>
      <c r="AW120" s="1170">
        <f t="shared" si="51"/>
        <v>358</v>
      </c>
      <c r="AX120" s="1170">
        <f t="shared" si="51"/>
        <v>363</v>
      </c>
      <c r="AY120" s="1170">
        <f t="shared" si="51"/>
        <v>482</v>
      </c>
      <c r="AZ120" s="1171">
        <f t="shared" si="51"/>
        <v>502.78947368421052</v>
      </c>
    </row>
    <row r="121" spans="1:52" ht="14.25" customHeight="1" x14ac:dyDescent="0.2">
      <c r="A121" s="740"/>
      <c r="B121" s="58"/>
      <c r="C121" s="58"/>
      <c r="D121" s="69"/>
      <c r="E121" s="70"/>
      <c r="F121" s="69"/>
      <c r="G121" s="70"/>
      <c r="H121" s="70"/>
      <c r="I121" s="70"/>
      <c r="J121" s="70"/>
      <c r="K121" s="12"/>
      <c r="L121" s="14"/>
      <c r="M121" s="14"/>
      <c r="N121" s="14"/>
      <c r="O121" s="14"/>
      <c r="P121" s="9"/>
      <c r="Q121" s="9"/>
      <c r="R121" s="9"/>
      <c r="S121" s="9"/>
      <c r="T121" s="9"/>
      <c r="U121" s="117"/>
      <c r="V121" s="137"/>
      <c r="W121" s="294"/>
      <c r="AL121" s="585"/>
      <c r="AM121" s="585" t="b">
        <f t="shared" si="48"/>
        <v>1</v>
      </c>
      <c r="AN121" s="160"/>
      <c r="AO121" s="1178" t="str">
        <f t="shared" si="49"/>
        <v>Milton Keynes</v>
      </c>
      <c r="AP121" s="1173">
        <f t="shared" si="52"/>
        <v>460</v>
      </c>
      <c r="AQ121" s="1173" t="e">
        <f t="shared" si="50"/>
        <v>#N/A</v>
      </c>
      <c r="AR121" s="1173" t="e">
        <f t="shared" si="50"/>
        <v>#N/A</v>
      </c>
      <c r="AS121" s="1173">
        <f t="shared" si="50"/>
        <v>381</v>
      </c>
      <c r="AT121" s="1173">
        <f t="shared" si="50"/>
        <v>403.07142857142856</v>
      </c>
      <c r="AU121" s="1156">
        <f t="shared" si="53"/>
        <v>15</v>
      </c>
      <c r="AV121" s="1169">
        <f t="shared" si="51"/>
        <v>460</v>
      </c>
      <c r="AW121" s="1170" t="e">
        <f t="shared" si="51"/>
        <v>#N/A</v>
      </c>
      <c r="AX121" s="1170" t="e">
        <f t="shared" si="51"/>
        <v>#N/A</v>
      </c>
      <c r="AY121" s="1170">
        <f t="shared" si="51"/>
        <v>381</v>
      </c>
      <c r="AZ121" s="1171">
        <f t="shared" si="51"/>
        <v>403.07142857142856</v>
      </c>
    </row>
    <row r="122" spans="1:52" ht="14.25" customHeight="1" x14ac:dyDescent="0.2">
      <c r="A122" s="740"/>
      <c r="B122" s="58"/>
      <c r="C122" s="58"/>
      <c r="D122" s="61"/>
      <c r="E122" s="61"/>
      <c r="F122" s="61"/>
      <c r="G122" s="61"/>
      <c r="H122" s="61"/>
      <c r="I122" s="61"/>
      <c r="J122" s="61"/>
      <c r="K122" s="12"/>
      <c r="L122" s="14"/>
      <c r="M122" s="14"/>
      <c r="N122" s="14"/>
      <c r="O122" s="14"/>
      <c r="P122" s="9"/>
      <c r="Q122" s="9"/>
      <c r="R122" s="9"/>
      <c r="S122" s="9"/>
      <c r="T122" s="9"/>
      <c r="U122" s="117"/>
      <c r="V122" s="137"/>
      <c r="W122" s="294"/>
      <c r="AL122" s="585"/>
      <c r="AM122" s="585" t="b">
        <f t="shared" si="48"/>
        <v>1</v>
      </c>
      <c r="AN122" s="160"/>
      <c r="AO122" s="1178" t="str">
        <f t="shared" si="49"/>
        <v>Oxfordshire</v>
      </c>
      <c r="AP122" s="1173">
        <f t="shared" si="52"/>
        <v>375</v>
      </c>
      <c r="AQ122" s="1173">
        <f t="shared" si="50"/>
        <v>420</v>
      </c>
      <c r="AR122" s="1173">
        <f t="shared" si="50"/>
        <v>354</v>
      </c>
      <c r="AS122" s="1173">
        <f t="shared" si="50"/>
        <v>331</v>
      </c>
      <c r="AT122" s="1173">
        <f t="shared" si="50"/>
        <v>525.18181818181813</v>
      </c>
      <c r="AU122" s="1156">
        <f t="shared" si="53"/>
        <v>10.100000000000001</v>
      </c>
      <c r="AV122" s="1169">
        <f t="shared" si="51"/>
        <v>375</v>
      </c>
      <c r="AW122" s="1170">
        <f t="shared" si="51"/>
        <v>420</v>
      </c>
      <c r="AX122" s="1170">
        <f t="shared" si="51"/>
        <v>354</v>
      </c>
      <c r="AY122" s="1170">
        <f t="shared" si="51"/>
        <v>331</v>
      </c>
      <c r="AZ122" s="1171">
        <f t="shared" si="51"/>
        <v>525.18181818181813</v>
      </c>
    </row>
    <row r="123" spans="1:52" ht="14.25" customHeight="1" x14ac:dyDescent="0.2">
      <c r="A123" s="740"/>
      <c r="B123" s="421"/>
      <c r="C123" s="421"/>
      <c r="D123" s="58"/>
      <c r="E123" s="58"/>
      <c r="F123" s="58"/>
      <c r="G123" s="58"/>
      <c r="H123" s="58"/>
      <c r="I123" s="58"/>
      <c r="J123" s="58"/>
      <c r="K123" s="12"/>
      <c r="L123" s="14"/>
      <c r="M123" s="14"/>
      <c r="N123" s="14"/>
      <c r="O123" s="14"/>
      <c r="P123" s="9"/>
      <c r="Q123" s="9"/>
      <c r="R123" s="9"/>
      <c r="S123" s="9"/>
      <c r="T123" s="9"/>
      <c r="U123" s="117"/>
      <c r="V123" s="137"/>
      <c r="W123" s="294"/>
      <c r="AL123" s="585"/>
      <c r="AM123" s="585" t="b">
        <f t="shared" si="48"/>
        <v>1</v>
      </c>
      <c r="AN123" s="160"/>
      <c r="AO123" s="1178" t="str">
        <f t="shared" si="49"/>
        <v>Portsmouth</v>
      </c>
      <c r="AP123" s="1173">
        <f t="shared" si="52"/>
        <v>345</v>
      </c>
      <c r="AQ123" s="1173">
        <f t="shared" si="50"/>
        <v>388</v>
      </c>
      <c r="AR123" s="1173">
        <f t="shared" si="50"/>
        <v>326</v>
      </c>
      <c r="AS123" s="1173">
        <f t="shared" si="50"/>
        <v>239</v>
      </c>
      <c r="AT123" s="1173">
        <f t="shared" si="50"/>
        <v>390.08</v>
      </c>
      <c r="AU123" s="1156">
        <f t="shared" si="53"/>
        <v>20.200000000000003</v>
      </c>
      <c r="AV123" s="1169">
        <f t="shared" ref="AV123:AZ136" si="54">VLOOKUP($AO123,$B$82:$P$105,AV$109,FALSE)</f>
        <v>345</v>
      </c>
      <c r="AW123" s="1170">
        <f t="shared" si="54"/>
        <v>388</v>
      </c>
      <c r="AX123" s="1170">
        <f t="shared" si="54"/>
        <v>326</v>
      </c>
      <c r="AY123" s="1170">
        <f t="shared" si="54"/>
        <v>239</v>
      </c>
      <c r="AZ123" s="1171">
        <f t="shared" si="54"/>
        <v>390.08</v>
      </c>
    </row>
    <row r="124" spans="1:52" ht="14.25" customHeight="1" x14ac:dyDescent="0.2">
      <c r="A124" s="740"/>
      <c r="B124" s="421"/>
      <c r="C124" s="421"/>
      <c r="D124" s="58"/>
      <c r="E124" s="58"/>
      <c r="F124" s="58"/>
      <c r="G124" s="58"/>
      <c r="H124" s="58"/>
      <c r="I124" s="58"/>
      <c r="J124" s="58"/>
      <c r="K124" s="12"/>
      <c r="L124" s="14"/>
      <c r="M124" s="14"/>
      <c r="N124" s="14"/>
      <c r="O124" s="14"/>
      <c r="P124" s="9"/>
      <c r="Q124" s="9"/>
      <c r="R124" s="9"/>
      <c r="S124" s="9"/>
      <c r="T124" s="9"/>
      <c r="U124" s="117"/>
      <c r="V124" s="137"/>
      <c r="W124" s="294"/>
      <c r="AL124" s="585"/>
      <c r="AM124" s="585" t="b">
        <f t="shared" si="48"/>
        <v>1</v>
      </c>
      <c r="AN124" s="160"/>
      <c r="AO124" s="1178" t="str">
        <f t="shared" si="49"/>
        <v>Reading</v>
      </c>
      <c r="AP124" s="1173">
        <f t="shared" si="52"/>
        <v>490</v>
      </c>
      <c r="AQ124" s="1173">
        <f t="shared" si="50"/>
        <v>289</v>
      </c>
      <c r="AR124" s="1173">
        <f t="shared" si="50"/>
        <v>661</v>
      </c>
      <c r="AS124" s="1173">
        <f t="shared" si="50"/>
        <v>342</v>
      </c>
      <c r="AT124" s="1173">
        <f t="shared" si="50"/>
        <v>439.33333333333331</v>
      </c>
      <c r="AU124" s="1156">
        <f t="shared" si="53"/>
        <v>16</v>
      </c>
      <c r="AV124" s="1169">
        <f t="shared" si="54"/>
        <v>490</v>
      </c>
      <c r="AW124" s="1170">
        <f t="shared" si="54"/>
        <v>289</v>
      </c>
      <c r="AX124" s="1170">
        <f t="shared" si="54"/>
        <v>661</v>
      </c>
      <c r="AY124" s="1170">
        <f t="shared" si="54"/>
        <v>342</v>
      </c>
      <c r="AZ124" s="1171">
        <f t="shared" si="54"/>
        <v>439.33333333333331</v>
      </c>
    </row>
    <row r="125" spans="1:52" ht="14.25" customHeight="1" x14ac:dyDescent="0.2">
      <c r="A125" s="740"/>
      <c r="B125" s="421"/>
      <c r="C125" s="421"/>
      <c r="D125" s="58"/>
      <c r="E125" s="58"/>
      <c r="F125" s="58"/>
      <c r="G125" s="58"/>
      <c r="H125" s="58"/>
      <c r="I125" s="58"/>
      <c r="J125" s="58"/>
      <c r="K125" s="12"/>
      <c r="L125" s="14"/>
      <c r="M125" s="14"/>
      <c r="N125" s="14"/>
      <c r="O125" s="14"/>
      <c r="P125" s="9"/>
      <c r="Q125" s="9"/>
      <c r="R125" s="9"/>
      <c r="S125" s="9"/>
      <c r="T125" s="9"/>
      <c r="U125" s="117"/>
      <c r="V125" s="137"/>
      <c r="W125" s="294"/>
      <c r="AL125" s="585"/>
      <c r="AM125" s="585" t="b">
        <f t="shared" si="48"/>
        <v>1</v>
      </c>
      <c r="AN125" s="160"/>
      <c r="AO125" s="1178" t="str">
        <f t="shared" si="49"/>
        <v>Slough</v>
      </c>
      <c r="AP125" s="1173">
        <f t="shared" si="52"/>
        <v>362</v>
      </c>
      <c r="AQ125" s="1173">
        <f t="shared" si="50"/>
        <v>225</v>
      </c>
      <c r="AR125" s="1173">
        <f t="shared" si="50"/>
        <v>353</v>
      </c>
      <c r="AS125" s="1173">
        <f t="shared" si="50"/>
        <v>411</v>
      </c>
      <c r="AT125" s="1173">
        <f t="shared" si="50"/>
        <v>404.8</v>
      </c>
      <c r="AU125" s="1156">
        <f t="shared" si="53"/>
        <v>14.7</v>
      </c>
      <c r="AV125" s="1169">
        <f t="shared" si="54"/>
        <v>362</v>
      </c>
      <c r="AW125" s="1170">
        <f t="shared" si="54"/>
        <v>225</v>
      </c>
      <c r="AX125" s="1170">
        <f t="shared" si="54"/>
        <v>353</v>
      </c>
      <c r="AY125" s="1170">
        <f t="shared" si="54"/>
        <v>411</v>
      </c>
      <c r="AZ125" s="1171">
        <f t="shared" si="54"/>
        <v>404.8</v>
      </c>
    </row>
    <row r="126" spans="1:52" ht="14.25" customHeight="1" x14ac:dyDescent="0.2">
      <c r="A126" s="740"/>
      <c r="B126" s="421"/>
      <c r="C126" s="421"/>
      <c r="D126" s="58"/>
      <c r="E126" s="58"/>
      <c r="F126" s="58"/>
      <c r="G126" s="58"/>
      <c r="H126" s="58"/>
      <c r="I126" s="58"/>
      <c r="J126" s="58"/>
      <c r="K126" s="12"/>
      <c r="L126" s="14"/>
      <c r="M126" s="14"/>
      <c r="N126" s="14"/>
      <c r="O126" s="14"/>
      <c r="P126" s="9"/>
      <c r="Q126" s="9"/>
      <c r="R126" s="9"/>
      <c r="S126" s="9"/>
      <c r="T126" s="9"/>
      <c r="U126" s="117"/>
      <c r="V126" s="137"/>
      <c r="W126" s="294"/>
      <c r="AL126" s="585"/>
      <c r="AM126" s="585" t="b">
        <f t="shared" si="48"/>
        <v>1</v>
      </c>
      <c r="AN126" s="160"/>
      <c r="AO126" s="1178" t="str">
        <f t="shared" si="49"/>
        <v>Somerset</v>
      </c>
      <c r="AP126" s="1173">
        <f t="shared" si="52"/>
        <v>334</v>
      </c>
      <c r="AQ126" s="1173">
        <f t="shared" si="50"/>
        <v>412</v>
      </c>
      <c r="AR126" s="1173">
        <f t="shared" si="50"/>
        <v>306</v>
      </c>
      <c r="AS126" s="1173">
        <f t="shared" si="50"/>
        <v>284</v>
      </c>
      <c r="AT126" s="1173">
        <f t="shared" si="50"/>
        <v>441</v>
      </c>
      <c r="AU126" s="1156">
        <f t="shared" si="53"/>
        <v>13.600000000000001</v>
      </c>
      <c r="AV126" s="1169">
        <f t="shared" si="54"/>
        <v>334</v>
      </c>
      <c r="AW126" s="1170">
        <f t="shared" si="54"/>
        <v>412</v>
      </c>
      <c r="AX126" s="1170">
        <f t="shared" si="54"/>
        <v>306</v>
      </c>
      <c r="AY126" s="1170">
        <f t="shared" si="54"/>
        <v>284</v>
      </c>
      <c r="AZ126" s="1171">
        <f t="shared" si="54"/>
        <v>441</v>
      </c>
    </row>
    <row r="127" spans="1:52" ht="14.25" customHeight="1" x14ac:dyDescent="0.2">
      <c r="A127" s="740"/>
      <c r="B127" s="421"/>
      <c r="C127" s="421"/>
      <c r="D127" s="58"/>
      <c r="E127" s="58"/>
      <c r="F127" s="58"/>
      <c r="G127" s="58"/>
      <c r="H127" s="58"/>
      <c r="I127" s="58"/>
      <c r="J127" s="58"/>
      <c r="K127" s="12"/>
      <c r="L127" s="14"/>
      <c r="M127" s="14"/>
      <c r="N127" s="14"/>
      <c r="O127" s="14"/>
      <c r="P127" s="9"/>
      <c r="Q127" s="9"/>
      <c r="R127" s="9"/>
      <c r="S127" s="9"/>
      <c r="T127" s="9"/>
      <c r="U127" s="117"/>
      <c r="V127" s="137"/>
      <c r="W127" s="294"/>
      <c r="AL127" s="585"/>
      <c r="AM127" s="585" t="b">
        <f t="shared" si="48"/>
        <v>1</v>
      </c>
      <c r="AN127" s="160"/>
      <c r="AO127" s="1178" t="str">
        <f t="shared" si="49"/>
        <v>Southampton</v>
      </c>
      <c r="AP127" s="1173">
        <f t="shared" si="52"/>
        <v>492</v>
      </c>
      <c r="AQ127" s="1173">
        <f t="shared" si="50"/>
        <v>521</v>
      </c>
      <c r="AR127" s="1173">
        <f t="shared" si="50"/>
        <v>374</v>
      </c>
      <c r="AS127" s="1173">
        <f t="shared" si="50"/>
        <v>468</v>
      </c>
      <c r="AT127" s="1173">
        <f t="shared" si="50"/>
        <v>340.06896551724139</v>
      </c>
      <c r="AU127" s="1156">
        <f t="shared" si="53"/>
        <v>20.5</v>
      </c>
      <c r="AV127" s="1169">
        <f t="shared" si="54"/>
        <v>492</v>
      </c>
      <c r="AW127" s="1170">
        <f t="shared" si="54"/>
        <v>521</v>
      </c>
      <c r="AX127" s="1170">
        <f t="shared" si="54"/>
        <v>374</v>
      </c>
      <c r="AY127" s="1170">
        <f t="shared" si="54"/>
        <v>468</v>
      </c>
      <c r="AZ127" s="1171">
        <f t="shared" si="54"/>
        <v>340.06896551724139</v>
      </c>
    </row>
    <row r="128" spans="1:52" ht="14.25" customHeight="1" x14ac:dyDescent="0.2">
      <c r="A128" s="740"/>
      <c r="B128" s="421"/>
      <c r="C128" s="421"/>
      <c r="D128" s="58"/>
      <c r="E128" s="58"/>
      <c r="F128" s="58"/>
      <c r="G128" s="58"/>
      <c r="H128" s="58"/>
      <c r="I128" s="58"/>
      <c r="J128" s="58"/>
      <c r="K128" s="12"/>
      <c r="L128" s="14"/>
      <c r="M128" s="14"/>
      <c r="N128" s="14"/>
      <c r="O128" s="14"/>
      <c r="P128" s="9"/>
      <c r="Q128" s="9"/>
      <c r="R128" s="9"/>
      <c r="S128" s="9"/>
      <c r="T128" s="9"/>
      <c r="U128" s="117"/>
      <c r="V128" s="137"/>
      <c r="W128" s="294"/>
      <c r="AL128" s="585"/>
      <c r="AM128" s="585" t="b">
        <f t="shared" si="48"/>
        <v>1</v>
      </c>
      <c r="AN128" s="160"/>
      <c r="AO128" s="1178" t="str">
        <f t="shared" si="49"/>
        <v>Surrey</v>
      </c>
      <c r="AP128" s="1173">
        <f t="shared" si="52"/>
        <v>439</v>
      </c>
      <c r="AQ128" s="1173">
        <f t="shared" si="50"/>
        <v>386</v>
      </c>
      <c r="AR128" s="1173">
        <f t="shared" si="50"/>
        <v>382</v>
      </c>
      <c r="AS128" s="1173">
        <f t="shared" si="50"/>
        <v>325</v>
      </c>
      <c r="AT128" s="1173">
        <f t="shared" si="50"/>
        <v>325.96428571428572</v>
      </c>
      <c r="AU128" s="1156">
        <f t="shared" si="53"/>
        <v>8.3000000000000007</v>
      </c>
      <c r="AV128" s="1169">
        <f t="shared" si="54"/>
        <v>439</v>
      </c>
      <c r="AW128" s="1170">
        <f t="shared" si="54"/>
        <v>386</v>
      </c>
      <c r="AX128" s="1170">
        <f t="shared" si="54"/>
        <v>382</v>
      </c>
      <c r="AY128" s="1170">
        <f t="shared" si="54"/>
        <v>325</v>
      </c>
      <c r="AZ128" s="1171">
        <f t="shared" si="54"/>
        <v>325.96428571428572</v>
      </c>
    </row>
    <row r="129" spans="1:52" ht="14.25" customHeight="1" x14ac:dyDescent="0.2">
      <c r="A129" s="740"/>
      <c r="B129" s="421"/>
      <c r="C129" s="421"/>
      <c r="D129" s="58"/>
      <c r="E129" s="58"/>
      <c r="F129" s="58"/>
      <c r="G129" s="58"/>
      <c r="H129" s="58"/>
      <c r="I129" s="58"/>
      <c r="J129" s="58"/>
      <c r="K129" s="12"/>
      <c r="L129" s="14"/>
      <c r="M129" s="14"/>
      <c r="N129" s="14"/>
      <c r="O129" s="14"/>
      <c r="P129" s="9"/>
      <c r="Q129" s="9"/>
      <c r="R129" s="9"/>
      <c r="S129" s="9"/>
      <c r="T129" s="9"/>
      <c r="U129" s="117"/>
      <c r="V129" s="137"/>
      <c r="W129" s="294"/>
      <c r="AL129" s="585"/>
      <c r="AM129" s="585" t="b">
        <f t="shared" si="48"/>
        <v>1</v>
      </c>
      <c r="AN129" s="160"/>
      <c r="AO129" s="1178" t="str">
        <f t="shared" si="49"/>
        <v>Swindon</v>
      </c>
      <c r="AP129" s="1173" t="e">
        <f t="shared" si="52"/>
        <v>#N/A</v>
      </c>
      <c r="AQ129" s="1173">
        <f t="shared" si="52"/>
        <v>419</v>
      </c>
      <c r="AR129" s="1173">
        <f t="shared" si="52"/>
        <v>273</v>
      </c>
      <c r="AS129" s="1173">
        <f t="shared" si="52"/>
        <v>104</v>
      </c>
      <c r="AT129" s="1173">
        <f t="shared" si="52"/>
        <v>507</v>
      </c>
      <c r="AU129" s="1156">
        <f t="shared" si="53"/>
        <v>14.899999999999999</v>
      </c>
      <c r="AV129" s="1169" t="e">
        <f t="shared" si="54"/>
        <v>#N/A</v>
      </c>
      <c r="AW129" s="1170">
        <f t="shared" si="54"/>
        <v>419</v>
      </c>
      <c r="AX129" s="1170">
        <f t="shared" si="54"/>
        <v>273</v>
      </c>
      <c r="AY129" s="1170">
        <f t="shared" si="54"/>
        <v>104</v>
      </c>
      <c r="AZ129" s="1171">
        <f t="shared" si="54"/>
        <v>507</v>
      </c>
    </row>
    <row r="130" spans="1:52" ht="14.25" customHeight="1" x14ac:dyDescent="0.2">
      <c r="A130" s="740"/>
      <c r="B130" s="421"/>
      <c r="C130" s="421"/>
      <c r="D130" s="58"/>
      <c r="E130" s="58"/>
      <c r="F130" s="58"/>
      <c r="G130" s="58"/>
      <c r="H130" s="58"/>
      <c r="I130" s="58"/>
      <c r="J130" s="58"/>
      <c r="K130" s="12"/>
      <c r="L130" s="14"/>
      <c r="M130" s="14"/>
      <c r="N130" s="14"/>
      <c r="O130" s="14"/>
      <c r="P130" s="9"/>
      <c r="Q130" s="9"/>
      <c r="R130" s="9"/>
      <c r="S130" s="9"/>
      <c r="T130" s="9"/>
      <c r="U130" s="117"/>
      <c r="V130" s="137"/>
      <c r="W130" s="294"/>
      <c r="AL130" s="585"/>
      <c r="AM130" s="585" t="b">
        <f t="shared" si="48"/>
        <v>1</v>
      </c>
      <c r="AN130" s="160"/>
      <c r="AO130" s="1178" t="str">
        <f t="shared" si="49"/>
        <v>Torbay</v>
      </c>
      <c r="AP130" s="1173">
        <f t="shared" si="52"/>
        <v>350</v>
      </c>
      <c r="AQ130" s="1173">
        <f t="shared" si="52"/>
        <v>341</v>
      </c>
      <c r="AR130" s="1173">
        <f t="shared" si="52"/>
        <v>399</v>
      </c>
      <c r="AS130" s="1173">
        <f t="shared" si="52"/>
        <v>303</v>
      </c>
      <c r="AT130" s="1173">
        <f t="shared" si="52"/>
        <v>420</v>
      </c>
      <c r="AU130" s="1156">
        <f t="shared" si="53"/>
        <v>21.9</v>
      </c>
      <c r="AV130" s="1169">
        <f t="shared" si="54"/>
        <v>350</v>
      </c>
      <c r="AW130" s="1170">
        <f t="shared" si="54"/>
        <v>341</v>
      </c>
      <c r="AX130" s="1170">
        <f t="shared" si="54"/>
        <v>399</v>
      </c>
      <c r="AY130" s="1170">
        <f t="shared" si="54"/>
        <v>303</v>
      </c>
      <c r="AZ130" s="1171">
        <f t="shared" si="54"/>
        <v>420</v>
      </c>
    </row>
    <row r="131" spans="1:52" ht="14.25" customHeight="1" x14ac:dyDescent="0.2">
      <c r="A131" s="740"/>
      <c r="B131" s="421"/>
      <c r="C131" s="421"/>
      <c r="D131" s="58"/>
      <c r="E131" s="58"/>
      <c r="F131" s="58"/>
      <c r="G131" s="58"/>
      <c r="H131" s="58"/>
      <c r="I131" s="58"/>
      <c r="J131" s="58"/>
      <c r="K131" s="12"/>
      <c r="L131" s="14"/>
      <c r="M131" s="14"/>
      <c r="N131" s="14"/>
      <c r="O131" s="14"/>
      <c r="P131" s="9"/>
      <c r="Q131" s="9"/>
      <c r="R131" s="9"/>
      <c r="S131" s="9"/>
      <c r="T131" s="9"/>
      <c r="U131" s="117"/>
      <c r="V131" s="137"/>
      <c r="W131" s="294"/>
      <c r="AL131" s="585"/>
      <c r="AM131" s="585" t="b">
        <f t="shared" si="48"/>
        <v>1</v>
      </c>
      <c r="AN131" s="160"/>
      <c r="AO131" s="1178" t="str">
        <f t="shared" si="49"/>
        <v>West Berkshire</v>
      </c>
      <c r="AP131" s="1173" t="e">
        <f t="shared" si="52"/>
        <v>#N/A</v>
      </c>
      <c r="AQ131" s="1173">
        <f t="shared" si="52"/>
        <v>447</v>
      </c>
      <c r="AR131" s="1173" t="e">
        <f t="shared" si="52"/>
        <v>#N/A</v>
      </c>
      <c r="AS131" s="1173" t="e">
        <f t="shared" si="52"/>
        <v>#N/A</v>
      </c>
      <c r="AT131" s="1173" t="e">
        <f t="shared" si="52"/>
        <v>#N/A</v>
      </c>
      <c r="AU131" s="1156">
        <f t="shared" si="53"/>
        <v>8.6999999999999993</v>
      </c>
      <c r="AV131" s="1169" t="e">
        <f t="shared" si="54"/>
        <v>#N/A</v>
      </c>
      <c r="AW131" s="1170">
        <f t="shared" si="54"/>
        <v>447</v>
      </c>
      <c r="AX131" s="1170" t="e">
        <f t="shared" si="54"/>
        <v>#N/A</v>
      </c>
      <c r="AY131" s="1170" t="e">
        <f t="shared" si="54"/>
        <v>#N/A</v>
      </c>
      <c r="AZ131" s="1171" t="e">
        <f t="shared" si="54"/>
        <v>#N/A</v>
      </c>
    </row>
    <row r="132" spans="1:52" ht="14.25" customHeight="1" x14ac:dyDescent="0.2">
      <c r="A132" s="740"/>
      <c r="B132" s="421"/>
      <c r="C132" s="421"/>
      <c r="D132" s="58"/>
      <c r="E132" s="58"/>
      <c r="F132" s="58"/>
      <c r="G132" s="58"/>
      <c r="H132" s="58"/>
      <c r="I132" s="58"/>
      <c r="J132" s="58"/>
      <c r="K132" s="12"/>
      <c r="L132" s="14"/>
      <c r="M132" s="14"/>
      <c r="N132" s="14"/>
      <c r="O132" s="14"/>
      <c r="P132" s="9"/>
      <c r="Q132" s="9"/>
      <c r="R132" s="9"/>
      <c r="S132" s="9"/>
      <c r="T132" s="9"/>
      <c r="U132" s="117"/>
      <c r="V132" s="137"/>
      <c r="W132" s="294"/>
      <c r="AL132" s="585"/>
      <c r="AM132" s="585" t="b">
        <f t="shared" si="48"/>
        <v>1</v>
      </c>
      <c r="AN132" s="160"/>
      <c r="AO132" s="1178" t="str">
        <f t="shared" si="49"/>
        <v>West Sussex</v>
      </c>
      <c r="AP132" s="1173">
        <f t="shared" si="52"/>
        <v>407</v>
      </c>
      <c r="AQ132" s="1173">
        <f t="shared" si="52"/>
        <v>413</v>
      </c>
      <c r="AR132" s="1173">
        <f t="shared" si="52"/>
        <v>413</v>
      </c>
      <c r="AS132" s="1173">
        <f t="shared" si="52"/>
        <v>398</v>
      </c>
      <c r="AT132" s="1173">
        <f t="shared" si="52"/>
        <v>537.61363636363637</v>
      </c>
      <c r="AU132" s="1156">
        <f t="shared" si="53"/>
        <v>11</v>
      </c>
      <c r="AV132" s="1169">
        <f t="shared" si="54"/>
        <v>407</v>
      </c>
      <c r="AW132" s="1170">
        <f t="shared" si="54"/>
        <v>413</v>
      </c>
      <c r="AX132" s="1170">
        <f t="shared" si="54"/>
        <v>413</v>
      </c>
      <c r="AY132" s="1170">
        <f t="shared" si="54"/>
        <v>398</v>
      </c>
      <c r="AZ132" s="1171">
        <f t="shared" si="54"/>
        <v>537.61363636363637</v>
      </c>
    </row>
    <row r="133" spans="1:52" s="81" customFormat="1" ht="14.25" customHeight="1" x14ac:dyDescent="0.2">
      <c r="A133" s="740"/>
      <c r="B133" s="421"/>
      <c r="C133" s="421"/>
      <c r="D133" s="58"/>
      <c r="E133" s="58"/>
      <c r="F133" s="58"/>
      <c r="G133" s="58"/>
      <c r="H133" s="58"/>
      <c r="I133" s="58"/>
      <c r="J133" s="58"/>
      <c r="K133" s="12"/>
      <c r="L133" s="14"/>
      <c r="M133" s="14"/>
      <c r="N133" s="14"/>
      <c r="O133" s="14"/>
      <c r="P133" s="9"/>
      <c r="Q133" s="9"/>
      <c r="R133" s="9"/>
      <c r="S133" s="9"/>
      <c r="T133" s="9"/>
      <c r="U133" s="117"/>
      <c r="V133" s="137"/>
      <c r="W133" s="294"/>
      <c r="AL133" s="585"/>
      <c r="AM133" s="585" t="b">
        <f t="shared" si="48"/>
        <v>1</v>
      </c>
      <c r="AN133" s="160"/>
      <c r="AO133" s="1178" t="str">
        <f t="shared" si="49"/>
        <v>Windsor &amp; Maidenhead</v>
      </c>
      <c r="AP133" s="1173" t="e">
        <f t="shared" si="52"/>
        <v>#N/A</v>
      </c>
      <c r="AQ133" s="1173" t="e">
        <f t="shared" si="52"/>
        <v>#N/A</v>
      </c>
      <c r="AR133" s="1173" t="e">
        <f t="shared" si="52"/>
        <v>#N/A</v>
      </c>
      <c r="AS133" s="1173" t="e">
        <f t="shared" si="52"/>
        <v>#N/A</v>
      </c>
      <c r="AT133" s="1173" t="e">
        <f t="shared" si="52"/>
        <v>#N/A</v>
      </c>
      <c r="AU133" s="1156">
        <f t="shared" si="53"/>
        <v>6.7</v>
      </c>
      <c r="AV133" s="1169" t="e">
        <f t="shared" si="54"/>
        <v>#N/A</v>
      </c>
      <c r="AW133" s="1170" t="e">
        <f t="shared" si="54"/>
        <v>#N/A</v>
      </c>
      <c r="AX133" s="1170" t="e">
        <f t="shared" si="54"/>
        <v>#N/A</v>
      </c>
      <c r="AY133" s="1170" t="e">
        <f t="shared" si="54"/>
        <v>#N/A</v>
      </c>
      <c r="AZ133" s="1171" t="e">
        <f t="shared" si="54"/>
        <v>#N/A</v>
      </c>
    </row>
    <row r="134" spans="1:52" s="81" customFormat="1" ht="14.25" customHeight="1" x14ac:dyDescent="0.2">
      <c r="A134" s="740"/>
      <c r="B134" s="421"/>
      <c r="C134" s="421"/>
      <c r="D134" s="58"/>
      <c r="E134" s="58"/>
      <c r="F134" s="58"/>
      <c r="G134" s="58"/>
      <c r="H134" s="58"/>
      <c r="I134" s="58"/>
      <c r="J134" s="58"/>
      <c r="K134" s="12"/>
      <c r="L134" s="14"/>
      <c r="M134" s="14"/>
      <c r="N134" s="14"/>
      <c r="O134" s="14"/>
      <c r="P134" s="9"/>
      <c r="Q134" s="9"/>
      <c r="R134" s="9"/>
      <c r="S134" s="9"/>
      <c r="T134" s="9"/>
      <c r="U134" s="117"/>
      <c r="V134" s="137"/>
      <c r="W134" s="294"/>
      <c r="AL134" s="585"/>
      <c r="AM134" s="585" t="b">
        <f t="shared" si="48"/>
        <v>1</v>
      </c>
      <c r="AN134" s="160"/>
      <c r="AO134" s="1178" t="str">
        <f t="shared" si="49"/>
        <v>Wokingham</v>
      </c>
      <c r="AP134" s="1173" t="e">
        <f t="shared" si="52"/>
        <v>#N/A</v>
      </c>
      <c r="AQ134" s="1173" t="e">
        <f t="shared" si="52"/>
        <v>#N/A</v>
      </c>
      <c r="AR134" s="1173" t="e">
        <f t="shared" si="52"/>
        <v>#N/A</v>
      </c>
      <c r="AS134" s="1173" t="e">
        <f t="shared" si="52"/>
        <v>#N/A</v>
      </c>
      <c r="AT134" s="1173" t="e">
        <f t="shared" si="52"/>
        <v>#N/A</v>
      </c>
      <c r="AU134" s="1156">
        <f t="shared" si="53"/>
        <v>5.6000000000000005</v>
      </c>
      <c r="AV134" s="1169" t="e">
        <f t="shared" si="54"/>
        <v>#N/A</v>
      </c>
      <c r="AW134" s="1170" t="e">
        <f t="shared" si="54"/>
        <v>#N/A</v>
      </c>
      <c r="AX134" s="1170" t="e">
        <f t="shared" si="54"/>
        <v>#N/A</v>
      </c>
      <c r="AY134" s="1170" t="e">
        <f t="shared" si="54"/>
        <v>#N/A</v>
      </c>
      <c r="AZ134" s="1171" t="e">
        <f t="shared" si="54"/>
        <v>#N/A</v>
      </c>
    </row>
    <row r="135" spans="1:52" s="81" customFormat="1" ht="14.25" customHeight="1" x14ac:dyDescent="0.2">
      <c r="A135" s="740"/>
      <c r="B135" s="421"/>
      <c r="C135" s="421"/>
      <c r="D135" s="58"/>
      <c r="E135" s="58"/>
      <c r="F135" s="58"/>
      <c r="G135" s="58"/>
      <c r="H135" s="58"/>
      <c r="I135" s="58"/>
      <c r="J135" s="58"/>
      <c r="K135" s="12"/>
      <c r="L135" s="14"/>
      <c r="M135" s="14"/>
      <c r="N135" s="14"/>
      <c r="O135" s="14"/>
      <c r="P135" s="9"/>
      <c r="Q135" s="9"/>
      <c r="R135" s="9"/>
      <c r="S135" s="9"/>
      <c r="T135" s="9"/>
      <c r="U135" s="117"/>
      <c r="V135" s="137"/>
      <c r="W135" s="294"/>
      <c r="AL135" s="585"/>
      <c r="AM135" s="585" t="b">
        <f t="shared" si="48"/>
        <v>1</v>
      </c>
      <c r="AN135" s="160"/>
      <c r="AO135" s="1178" t="str">
        <f t="shared" si="49"/>
        <v>South East</v>
      </c>
      <c r="AP135" s="1173">
        <f t="shared" si="52"/>
        <v>421.87121212121212</v>
      </c>
      <c r="AQ135" s="1173">
        <f t="shared" si="52"/>
        <v>385.04754098360655</v>
      </c>
      <c r="AR135" s="1173">
        <f t="shared" si="52"/>
        <v>352.70377358490566</v>
      </c>
      <c r="AS135" s="1173">
        <f t="shared" si="52"/>
        <v>351.05490196078432</v>
      </c>
      <c r="AT135" s="1173">
        <f t="shared" si="52"/>
        <v>417</v>
      </c>
      <c r="AU135" s="1156">
        <f t="shared" si="53"/>
        <v>13.023146175906508</v>
      </c>
      <c r="AV135" s="1169">
        <f t="shared" si="54"/>
        <v>421.87121212121212</v>
      </c>
      <c r="AW135" s="1170">
        <f t="shared" si="54"/>
        <v>385.04754098360655</v>
      </c>
      <c r="AX135" s="1170">
        <f t="shared" si="54"/>
        <v>352.70377358490566</v>
      </c>
      <c r="AY135" s="1170">
        <f t="shared" si="54"/>
        <v>351.05490196078432</v>
      </c>
      <c r="AZ135" s="1171">
        <f t="shared" si="54"/>
        <v>417</v>
      </c>
    </row>
    <row r="136" spans="1:52" s="81" customFormat="1" ht="14.25" customHeight="1" x14ac:dyDescent="0.2">
      <c r="A136" s="740"/>
      <c r="B136" s="421"/>
      <c r="C136" s="421"/>
      <c r="D136" s="58"/>
      <c r="E136" s="58"/>
      <c r="F136" s="58"/>
      <c r="G136" s="58"/>
      <c r="H136" s="58"/>
      <c r="I136" s="58"/>
      <c r="J136" s="58"/>
      <c r="K136" s="12"/>
      <c r="L136" s="110"/>
      <c r="M136" s="1750" t="s">
        <v>72</v>
      </c>
      <c r="N136" s="1750"/>
      <c r="O136" s="1750"/>
      <c r="P136" s="1011"/>
      <c r="Q136" s="1751" t="s">
        <v>100</v>
      </c>
      <c r="R136" s="1751"/>
      <c r="S136" s="1751"/>
      <c r="T136" s="1751"/>
      <c r="U136" s="117"/>
      <c r="V136" s="137"/>
      <c r="W136" s="294"/>
      <c r="AL136" s="585"/>
      <c r="AM136" s="585" t="b">
        <f t="shared" si="48"/>
        <v>1</v>
      </c>
      <c r="AN136" s="160"/>
      <c r="AO136" s="1178" t="str">
        <f t="shared" si="49"/>
        <v>England</v>
      </c>
      <c r="AP136" s="1173">
        <f t="shared" si="52"/>
        <v>435</v>
      </c>
      <c r="AQ136" s="1173">
        <f t="shared" si="52"/>
        <v>399</v>
      </c>
      <c r="AR136" s="1173">
        <f t="shared" si="52"/>
        <v>361</v>
      </c>
      <c r="AS136" s="1173">
        <f t="shared" si="52"/>
        <v>363</v>
      </c>
      <c r="AT136" s="1173">
        <f t="shared" si="52"/>
        <v>459</v>
      </c>
      <c r="AU136" s="1156">
        <f t="shared" si="53"/>
        <v>17.084413405029373</v>
      </c>
      <c r="AV136" s="1169">
        <f t="shared" si="54"/>
        <v>435</v>
      </c>
      <c r="AW136" s="1170">
        <f t="shared" si="54"/>
        <v>399</v>
      </c>
      <c r="AX136" s="1170">
        <f t="shared" si="54"/>
        <v>361</v>
      </c>
      <c r="AY136" s="1170">
        <f t="shared" si="54"/>
        <v>363</v>
      </c>
      <c r="AZ136" s="1171">
        <f t="shared" si="54"/>
        <v>459</v>
      </c>
    </row>
    <row r="137" spans="1:52" s="81" customFormat="1" ht="14.25" customHeight="1" x14ac:dyDescent="0.2">
      <c r="A137" s="740"/>
      <c r="B137" s="421"/>
      <c r="C137" s="421"/>
      <c r="D137" s="58"/>
      <c r="E137" s="58"/>
      <c r="F137" s="58"/>
      <c r="G137" s="58"/>
      <c r="H137" s="58"/>
      <c r="I137" s="58"/>
      <c r="J137" s="58"/>
      <c r="K137" s="12"/>
      <c r="L137" s="111"/>
      <c r="M137" s="1751" t="str">
        <f>Z4</f>
        <v>Selected LA- (none)</v>
      </c>
      <c r="N137" s="1751"/>
      <c r="O137" s="1751"/>
      <c r="P137" s="1751"/>
      <c r="Q137" s="1751"/>
      <c r="R137" s="1751"/>
      <c r="S137" s="1751"/>
      <c r="T137" s="1751"/>
      <c r="U137" s="117"/>
      <c r="V137" s="137"/>
      <c r="W137" s="150"/>
      <c r="AN137" s="161"/>
      <c r="AO137" s="1180" t="str">
        <f>Z4</f>
        <v>Selected LA- (none)</v>
      </c>
      <c r="AP137" s="1173" t="e">
        <f>VLOOKUP($Y$4,$B$82:$P$105,AP$38,FALSE)</f>
        <v>#N/A</v>
      </c>
      <c r="AQ137" s="1173" t="e">
        <f t="shared" ref="AQ137:AT137" si="55">VLOOKUP($Y$4,$B$82:$P$105,AQ$38,FALSE)</f>
        <v>#N/A</v>
      </c>
      <c r="AR137" s="1173" t="e">
        <f t="shared" si="55"/>
        <v>#N/A</v>
      </c>
      <c r="AS137" s="1173" t="e">
        <f t="shared" si="55"/>
        <v>#N/A</v>
      </c>
      <c r="AT137" s="1173" t="e">
        <f t="shared" si="55"/>
        <v>#N/A</v>
      </c>
      <c r="AU137" s="1157" t="e">
        <f>VLOOKUP(Y4,$B$10:$U$33,AU$38,FALSE)</f>
        <v>#N/A</v>
      </c>
      <c r="AV137" s="1172" t="e">
        <f>VLOOKUP($Y4,$B$82:$P$105,AV$109,FALSE)</f>
        <v>#N/A</v>
      </c>
      <c r="AW137" s="1172" t="e">
        <f t="shared" ref="AW137:AZ137" si="56">VLOOKUP($Y4,$B$82:$P$105,AW$109,FALSE)</f>
        <v>#N/A</v>
      </c>
      <c r="AX137" s="1172" t="e">
        <f t="shared" si="56"/>
        <v>#N/A</v>
      </c>
      <c r="AY137" s="1172" t="e">
        <f t="shared" si="56"/>
        <v>#N/A</v>
      </c>
      <c r="AZ137" s="1172" t="e">
        <f t="shared" si="56"/>
        <v>#N/A</v>
      </c>
    </row>
    <row r="138" spans="1:52" s="81" customFormat="1" ht="42" customHeight="1" x14ac:dyDescent="0.2">
      <c r="A138" s="740"/>
      <c r="B138" s="421"/>
      <c r="C138" s="421"/>
      <c r="D138" s="58"/>
      <c r="E138" s="58"/>
      <c r="F138" s="58"/>
      <c r="G138" s="58"/>
      <c r="H138" s="58"/>
      <c r="I138" s="58"/>
      <c r="J138" s="58"/>
      <c r="K138" s="12"/>
      <c r="L138" s="9"/>
      <c r="M138" s="9"/>
      <c r="N138" s="9"/>
      <c r="O138" s="9"/>
      <c r="P138" s="9"/>
      <c r="Q138" s="9"/>
      <c r="R138" s="9"/>
      <c r="S138" s="9"/>
      <c r="T138" s="9"/>
      <c r="U138" s="117"/>
      <c r="V138" s="137"/>
      <c r="W138" s="150"/>
      <c r="AN138" s="161"/>
    </row>
    <row r="139" spans="1:52" s="87" customFormat="1" ht="42" customHeight="1" x14ac:dyDescent="0.2">
      <c r="A139" s="1190"/>
      <c r="B139" s="109"/>
      <c r="C139" s="109"/>
      <c r="D139" s="109"/>
      <c r="E139" s="109"/>
      <c r="F139" s="109"/>
      <c r="G139" s="109"/>
      <c r="H139" s="109"/>
      <c r="I139" s="109"/>
      <c r="J139" s="109"/>
      <c r="K139" s="96"/>
      <c r="L139" s="85"/>
      <c r="M139" s="85"/>
      <c r="N139" s="85"/>
      <c r="O139" s="85"/>
      <c r="P139" s="85"/>
      <c r="Q139" s="85"/>
      <c r="R139" s="85"/>
      <c r="S139" s="85"/>
      <c r="T139" s="85"/>
      <c r="U139" s="122"/>
      <c r="V139" s="139"/>
      <c r="W139" s="152"/>
      <c r="AC139" s="190"/>
      <c r="AD139" s="190"/>
      <c r="AE139" s="190"/>
      <c r="AF139" s="190"/>
      <c r="AG139" s="190"/>
      <c r="AH139" s="190"/>
      <c r="AI139" s="190"/>
      <c r="AJ139" s="190"/>
      <c r="AK139" s="202"/>
      <c r="AL139" s="202"/>
      <c r="AM139" s="202"/>
      <c r="AN139" s="160"/>
    </row>
    <row r="140" spans="1:52" s="87" customFormat="1" ht="42.75" customHeight="1" x14ac:dyDescent="0.2">
      <c r="A140" s="1190"/>
      <c r="B140" s="109"/>
      <c r="C140" s="109"/>
      <c r="D140" s="109"/>
      <c r="E140" s="109"/>
      <c r="F140" s="109"/>
      <c r="G140" s="109"/>
      <c r="H140" s="109"/>
      <c r="I140" s="109"/>
      <c r="J140" s="109"/>
      <c r="K140" s="96"/>
      <c r="L140" s="85"/>
      <c r="M140" s="85"/>
      <c r="N140" s="85"/>
      <c r="O140" s="85"/>
      <c r="P140" s="85"/>
      <c r="Q140" s="85"/>
      <c r="R140" s="85"/>
      <c r="S140" s="85"/>
      <c r="T140" s="85"/>
      <c r="U140" s="122"/>
      <c r="V140" s="139"/>
      <c r="W140" s="152"/>
      <c r="AC140" s="190"/>
      <c r="AD140" s="190"/>
      <c r="AE140" s="190"/>
      <c r="AF140" s="190"/>
      <c r="AG140" s="190"/>
      <c r="AH140" s="190"/>
      <c r="AI140" s="190"/>
      <c r="AJ140" s="190"/>
      <c r="AK140" s="202"/>
      <c r="AL140" s="202"/>
      <c r="AM140" s="202"/>
      <c r="AN140" s="160"/>
    </row>
    <row r="141" spans="1:52" ht="7.5" customHeight="1" x14ac:dyDescent="0.2">
      <c r="A141" s="278"/>
      <c r="B141" s="17"/>
      <c r="C141" s="17"/>
      <c r="D141" s="16"/>
      <c r="E141" s="16"/>
      <c r="F141" s="16"/>
      <c r="G141" s="16"/>
      <c r="H141" s="16"/>
      <c r="I141" s="16"/>
      <c r="J141" s="16"/>
      <c r="K141" s="12"/>
      <c r="L141" s="18"/>
      <c r="M141" s="18"/>
      <c r="N141" s="18"/>
      <c r="O141" s="18"/>
      <c r="P141" s="18"/>
      <c r="Q141" s="18"/>
      <c r="R141" s="18"/>
      <c r="S141" s="18"/>
      <c r="T141" s="18"/>
      <c r="U141" s="1070"/>
      <c r="V141" s="137"/>
      <c r="W141" s="150"/>
      <c r="X141" s="87"/>
      <c r="Y141" s="87"/>
      <c r="Z141" s="87"/>
      <c r="AA141" s="87"/>
      <c r="AB141" s="87"/>
      <c r="AK141" s="184"/>
      <c r="AL141" s="184"/>
      <c r="AM141" s="184"/>
      <c r="AN141" s="157"/>
    </row>
    <row r="142" spans="1:52" ht="15" customHeight="1" x14ac:dyDescent="0.2">
      <c r="A142" s="1775"/>
      <c r="B142" s="1760"/>
      <c r="C142" s="1760"/>
      <c r="D142" s="1760"/>
      <c r="E142" s="1760"/>
      <c r="F142" s="1760"/>
      <c r="G142" s="1760"/>
      <c r="H142" s="1760"/>
      <c r="I142" s="1760"/>
      <c r="J142" s="1760"/>
      <c r="K142" s="1760"/>
      <c r="L142" s="1760"/>
      <c r="M142" s="1760"/>
      <c r="N142" s="1760"/>
      <c r="O142" s="1760"/>
      <c r="P142" s="1760"/>
      <c r="Q142" s="1760"/>
      <c r="R142" s="1760"/>
      <c r="S142" s="1760"/>
      <c r="T142" s="1760"/>
      <c r="U142" s="1761"/>
      <c r="V142" s="137"/>
      <c r="W142" s="150"/>
      <c r="X142" s="87"/>
      <c r="Y142" s="87"/>
      <c r="Z142" s="87"/>
      <c r="AA142" s="87"/>
      <c r="AB142" s="87"/>
      <c r="AK142" s="184"/>
      <c r="AL142" s="184"/>
      <c r="AM142" s="184"/>
      <c r="AN142" s="157"/>
    </row>
    <row r="143" spans="1:52" ht="11.25" customHeight="1" x14ac:dyDescent="0.2">
      <c r="A143" s="1776" t="str">
        <f>Home!$A$39</f>
        <v xml:space="preserve"> </v>
      </c>
      <c r="B143" s="1768"/>
      <c r="C143" s="1768"/>
      <c r="D143" s="1768"/>
      <c r="E143" s="1768"/>
      <c r="F143" s="1768"/>
      <c r="G143" s="1768"/>
      <c r="H143" s="1768"/>
      <c r="I143" s="1768"/>
      <c r="J143" s="1768"/>
      <c r="K143" s="1768"/>
      <c r="L143" s="1768"/>
      <c r="M143" s="1768"/>
      <c r="N143" s="1768"/>
      <c r="O143" s="1768"/>
      <c r="P143" s="1768"/>
      <c r="Q143" s="1768"/>
      <c r="R143" s="1768"/>
      <c r="S143" s="1768"/>
      <c r="T143" s="1768"/>
      <c r="U143" s="1848"/>
      <c r="V143" s="137"/>
      <c r="W143" s="150"/>
      <c r="X143" s="87"/>
      <c r="Y143" s="87"/>
      <c r="Z143" s="87"/>
      <c r="AA143" s="87"/>
      <c r="AB143" s="87"/>
      <c r="AK143" s="184"/>
      <c r="AL143" s="184"/>
      <c r="AM143" s="184"/>
      <c r="AN143" s="157"/>
    </row>
    <row r="144" spans="1:52" ht="11.25" customHeight="1" x14ac:dyDescent="0.2">
      <c r="A144" s="112"/>
      <c r="B144" s="113"/>
      <c r="C144" s="113"/>
      <c r="D144" s="113"/>
      <c r="E144" s="113"/>
      <c r="F144" s="113"/>
      <c r="G144" s="113"/>
      <c r="H144" s="113"/>
      <c r="I144" s="113"/>
      <c r="J144" s="113"/>
      <c r="K144" s="114"/>
      <c r="L144" s="113"/>
      <c r="M144" s="113"/>
      <c r="N144" s="113"/>
      <c r="O144" s="113"/>
      <c r="P144" s="113"/>
      <c r="Q144" s="113"/>
      <c r="R144" s="113"/>
      <c r="S144" s="113"/>
      <c r="T144" s="113"/>
      <c r="U144" s="115"/>
      <c r="V144" s="137"/>
      <c r="W144" s="150"/>
      <c r="X144" s="198"/>
      <c r="Y144" s="196"/>
      <c r="Z144" s="188"/>
      <c r="AK144" s="184"/>
      <c r="AL144" s="184"/>
      <c r="AM144" s="184"/>
      <c r="AN144" s="161"/>
    </row>
    <row r="145" spans="1:48" s="76" customFormat="1" ht="15" customHeight="1" x14ac:dyDescent="0.2">
      <c r="A145" s="461"/>
      <c r="B145" s="1770" t="s">
        <v>171</v>
      </c>
      <c r="C145" s="1770"/>
      <c r="D145" s="1770"/>
      <c r="E145" s="1770"/>
      <c r="F145" s="1770"/>
      <c r="G145" s="1770"/>
      <c r="H145" s="1770"/>
      <c r="I145" s="1770"/>
      <c r="J145" s="226"/>
      <c r="K145" s="70"/>
      <c r="L145" s="70"/>
      <c r="M145" s="70"/>
      <c r="N145" s="70"/>
      <c r="O145" s="1029"/>
      <c r="P145" s="70"/>
      <c r="Q145" s="70"/>
      <c r="R145" s="70"/>
      <c r="S145" s="70"/>
      <c r="T145" s="70"/>
      <c r="U145" s="1072"/>
      <c r="V145" s="138"/>
      <c r="W145" s="151"/>
      <c r="Y145" s="382"/>
      <c r="Z145" s="383"/>
      <c r="AA145" s="383"/>
      <c r="AB145" s="383"/>
      <c r="AC145" s="596"/>
      <c r="AE145" s="382"/>
      <c r="AF145" s="383"/>
      <c r="AG145" s="383"/>
      <c r="AH145" s="383"/>
      <c r="AI145" s="383"/>
      <c r="AJ145" s="383"/>
      <c r="AK145" s="184"/>
      <c r="AL145" s="184"/>
      <c r="AM145" s="184"/>
      <c r="AN145" s="160"/>
    </row>
    <row r="146" spans="1:48" ht="15" customHeight="1" x14ac:dyDescent="0.2">
      <c r="A146" s="278"/>
      <c r="B146" s="1770"/>
      <c r="C146" s="1770"/>
      <c r="D146" s="1770"/>
      <c r="E146" s="1770"/>
      <c r="F146" s="1770"/>
      <c r="G146" s="1770"/>
      <c r="H146" s="1770"/>
      <c r="I146" s="1770"/>
      <c r="J146" s="226"/>
      <c r="K146" s="70"/>
      <c r="L146" s="70"/>
      <c r="M146" s="70"/>
      <c r="N146" s="70"/>
      <c r="O146" s="1029"/>
      <c r="P146" s="70"/>
      <c r="Q146" s="70"/>
      <c r="R146" s="70"/>
      <c r="S146" s="9"/>
      <c r="T146" s="70"/>
      <c r="U146" s="1072"/>
      <c r="V146" s="137"/>
      <c r="W146" s="150"/>
      <c r="X146" s="612" t="s">
        <v>172</v>
      </c>
      <c r="Y146" s="382"/>
      <c r="Z146" s="383"/>
      <c r="AA146" s="383"/>
      <c r="AB146" s="383"/>
      <c r="AC146" s="383"/>
      <c r="AD146" s="612" t="s">
        <v>170</v>
      </c>
      <c r="AE146" s="383"/>
      <c r="AF146" s="383"/>
      <c r="AG146" s="383"/>
      <c r="AH146" s="383"/>
      <c r="AI146" s="383"/>
      <c r="AJ146" s="383"/>
      <c r="AK146" s="383"/>
      <c r="AL146" s="383"/>
      <c r="AM146" s="383"/>
      <c r="AN146" s="161"/>
    </row>
    <row r="147" spans="1:48" s="87" customFormat="1" ht="13.5" customHeight="1" x14ac:dyDescent="0.2">
      <c r="A147" s="292"/>
      <c r="B147" s="1771" t="s">
        <v>205</v>
      </c>
      <c r="C147" s="1031"/>
      <c r="D147" s="789" t="str">
        <f>Sheet1!$D$27</f>
        <v>2015-16</v>
      </c>
      <c r="E147" s="790" t="str">
        <f>Sheet1!$E$27</f>
        <v>2016-17</v>
      </c>
      <c r="F147" s="790" t="str">
        <f>Sheet1!$F$27</f>
        <v>2017-18</v>
      </c>
      <c r="G147" s="790" t="str">
        <f>Sheet1!$G$27</f>
        <v>2018-19</v>
      </c>
      <c r="H147" s="791" t="str">
        <f>Sheet1!$H$27</f>
        <v>2019-20</v>
      </c>
      <c r="I147" s="61"/>
      <c r="J147" s="96"/>
      <c r="K147" s="96"/>
      <c r="L147" s="61"/>
      <c r="M147" s="61"/>
      <c r="N147" s="61"/>
      <c r="O147" s="61"/>
      <c r="P147" s="61"/>
      <c r="Q147" s="61"/>
      <c r="R147" s="1036"/>
      <c r="S147" s="1036"/>
      <c r="T147" s="159"/>
      <c r="U147" s="1073"/>
      <c r="V147" s="139"/>
      <c r="W147" s="152"/>
      <c r="X147" s="372"/>
      <c r="Y147" s="489" t="str">
        <f>Sheet1!$D$27</f>
        <v>2015-16</v>
      </c>
      <c r="Z147" s="489" t="str">
        <f>Sheet1!$E$27</f>
        <v>2016-17</v>
      </c>
      <c r="AA147" s="489" t="str">
        <f>Sheet1!$F$27</f>
        <v>2017-18</v>
      </c>
      <c r="AB147" s="489" t="str">
        <f>Sheet1!$G$27</f>
        <v>2018-19</v>
      </c>
      <c r="AC147" s="489" t="str">
        <f>Sheet1!$H$27</f>
        <v>2019-20</v>
      </c>
      <c r="AD147" s="372"/>
      <c r="AE147" s="489" t="str">
        <f>Sheet1!$D$27</f>
        <v>2015-16</v>
      </c>
      <c r="AF147" s="489" t="str">
        <f>Sheet1!$E$27</f>
        <v>2016-17</v>
      </c>
      <c r="AG147" s="489" t="str">
        <f>Sheet1!$F$27</f>
        <v>2017-18</v>
      </c>
      <c r="AH147" s="489" t="str">
        <f>Sheet1!$G$27</f>
        <v>2018-19</v>
      </c>
      <c r="AI147" s="489" t="str">
        <f>Sheet1!$H$27</f>
        <v>2019-20</v>
      </c>
      <c r="AJ147" s="489"/>
      <c r="AL147" s="1191"/>
      <c r="AM147" s="1191"/>
      <c r="AN147" s="160"/>
    </row>
    <row r="148" spans="1:48" s="87" customFormat="1" ht="13.5" customHeight="1" x14ac:dyDescent="0.2">
      <c r="A148" s="292"/>
      <c r="B148" s="1772"/>
      <c r="C148" s="85"/>
      <c r="D148" s="792" t="e">
        <f>Sheet1!$D$28</f>
        <v>#N/A</v>
      </c>
      <c r="E148" s="792" t="e">
        <f>Sheet1!$E$28</f>
        <v>#N/A</v>
      </c>
      <c r="F148" s="792" t="e">
        <f>Sheet1!$F$28</f>
        <v>#N/A</v>
      </c>
      <c r="G148" s="792" t="e">
        <f>Sheet1!$G$28</f>
        <v>#N/A</v>
      </c>
      <c r="H148" s="793" t="e">
        <f>Sheet1!$H$28</f>
        <v>#N/A</v>
      </c>
      <c r="I148" s="61"/>
      <c r="J148" s="96"/>
      <c r="K148" s="96"/>
      <c r="L148" s="61"/>
      <c r="M148" s="61"/>
      <c r="N148" s="61"/>
      <c r="O148" s="61"/>
      <c r="P148" s="61"/>
      <c r="Q148" s="61"/>
      <c r="R148" s="1036"/>
      <c r="S148" s="1036"/>
      <c r="T148" s="159"/>
      <c r="U148" s="1073"/>
      <c r="V148" s="139"/>
      <c r="W148" s="152"/>
      <c r="X148" s="436"/>
      <c r="Y148" s="489" t="e">
        <f>Sheet1!$D$28</f>
        <v>#N/A</v>
      </c>
      <c r="Z148" s="489" t="e">
        <f>Sheet1!$E$28</f>
        <v>#N/A</v>
      </c>
      <c r="AA148" s="489" t="e">
        <f>Sheet1!$F$28</f>
        <v>#N/A</v>
      </c>
      <c r="AB148" s="489" t="e">
        <f>Sheet1!$G$28</f>
        <v>#N/A</v>
      </c>
      <c r="AC148" s="489" t="e">
        <f>Sheet1!$H$28</f>
        <v>#N/A</v>
      </c>
      <c r="AD148" s="372"/>
      <c r="AE148" s="489" t="e">
        <f>Sheet1!$D$28</f>
        <v>#N/A</v>
      </c>
      <c r="AF148" s="489" t="e">
        <f>Sheet1!$E$28</f>
        <v>#N/A</v>
      </c>
      <c r="AG148" s="489" t="e">
        <f>Sheet1!$F$28</f>
        <v>#N/A</v>
      </c>
      <c r="AH148" s="489" t="e">
        <f>Sheet1!$G$28</f>
        <v>#N/A</v>
      </c>
      <c r="AI148" s="489" t="e">
        <f>Sheet1!$H$28</f>
        <v>#N/A</v>
      </c>
      <c r="AJ148" s="489"/>
      <c r="AL148" s="1191"/>
      <c r="AM148" s="1191"/>
      <c r="AN148" s="160"/>
    </row>
    <row r="149" spans="1:48" s="87" customFormat="1" ht="12.75" customHeight="1" x14ac:dyDescent="0.2">
      <c r="A149" s="488">
        <f>VLOOKUP(B149,Sheet1!$AQ$4:$AR$25,2,FALSE)</f>
        <v>0</v>
      </c>
      <c r="B149" s="93" t="str">
        <f>B10</f>
        <v>Bracknell Forest</v>
      </c>
      <c r="C149" s="85"/>
      <c r="D149" s="162">
        <f>IF(AND(ISNUMBER(AE149),ISNUMBER(Y149)),AE149/Y149,NA())</f>
        <v>0.13235294117647059</v>
      </c>
      <c r="E149" s="162" t="e">
        <f t="shared" ref="E149:G149" si="57">IF(AND(ISNUMBER(AF149),ISNUMBER(Z149)),AF149/Z149,NA())</f>
        <v>#N/A</v>
      </c>
      <c r="F149" s="162" t="e">
        <f t="shared" si="57"/>
        <v>#N/A</v>
      </c>
      <c r="G149" s="162">
        <f t="shared" si="57"/>
        <v>0.1076923076923077</v>
      </c>
      <c r="H149" s="164">
        <f t="shared" ref="H149:H171" si="58">IF(AND(ISNUMBER(AI149),ISNUMBER(AC149)),AI149/AC149,NA())</f>
        <v>9.6774193548387094E-2</v>
      </c>
      <c r="I149" s="443"/>
      <c r="J149" s="96"/>
      <c r="K149" s="96"/>
      <c r="L149" s="166"/>
      <c r="M149" s="166"/>
      <c r="N149" s="166"/>
      <c r="O149" s="166"/>
      <c r="P149" s="166"/>
      <c r="Q149" s="166"/>
      <c r="R149" s="166"/>
      <c r="S149" s="167"/>
      <c r="T149" s="159"/>
      <c r="U149" s="1073"/>
      <c r="V149" s="139"/>
      <c r="W149" s="152"/>
      <c r="X149" s="436" t="str">
        <f t="shared" ref="X149:X172" si="59">B149</f>
        <v>Bracknell Forest</v>
      </c>
      <c r="Y149" s="372">
        <f>IF(Year1_Bracknell_Forest Year1_Adoption_ceased_LAC="","",Year1_Bracknell_Forest Year1_Adoption_ceased_LAC)</f>
        <v>68</v>
      </c>
      <c r="Z149" s="372">
        <f>IF(Year2_Bracknell_Forest Year2_Adoption_ceased_LAC="","",Year2_Bracknell_Forest Year2_Adoption_ceased_LAC)</f>
        <v>49</v>
      </c>
      <c r="AA149" s="372">
        <f>IF(Year3_Bracknell_Forest Year3_Adoption_ceased_LAC="","",Year3_Bracknell_Forest Year3_Adoption_ceased_LAC)</f>
        <v>67</v>
      </c>
      <c r="AB149" s="372">
        <f>IF(Year4_Bracknell_Forest Year4_Adoption_ceased_LAC="","",Year4_Bracknell_Forest Year4_Adoption_ceased_LAC)</f>
        <v>65</v>
      </c>
      <c r="AC149" s="372">
        <f>IF(Year5_Bracknell_Forest Year5_Adoption_ceased_LAC="","",Year5_Bracknell_Forest Year5_Adoption_ceased_LAC)</f>
        <v>62</v>
      </c>
      <c r="AD149" s="372" t="str">
        <f t="shared" ref="AD149:AD172" si="60">X149</f>
        <v>Bracknell Forest</v>
      </c>
      <c r="AE149" s="489">
        <f>IF(Year1_Bracknell_Forest Year1_Adoption_LAC_Adopted="","",Year1_Bracknell_Forest Year1_Adoption_LAC_Adopted)</f>
        <v>9</v>
      </c>
      <c r="AF149" s="372" t="str">
        <f>IF(Year2_Bracknell_Forest Year2_Adoption_LAC_Adopted="","",Year2_Bracknell_Forest Year2_Adoption_LAC_Adopted)</f>
        <v>x</v>
      </c>
      <c r="AG149" s="372" t="str">
        <f>IF(Year3_Bracknell_Forest Year3_Adoption_LAC_Adopted="","",Year3_Bracknell_Forest Year3_Adoption_LAC_Adopted)</f>
        <v>x</v>
      </c>
      <c r="AH149" s="372">
        <f>IF(Year4_Bracknell_Forest Year4_Adoption_LAC_Adopted="","",Year4_Bracknell_Forest Year4_Adoption_LAC_Adopted)</f>
        <v>7</v>
      </c>
      <c r="AI149" s="372">
        <f>IF(Year5_Bracknell_Forest Year5_Adoption_LAC_Adopted="","",Year5_Bracknell_Forest Year5_Adoption_LAC_Adopted)</f>
        <v>6</v>
      </c>
      <c r="AJ149" s="372"/>
      <c r="AL149" s="1192"/>
      <c r="AM149" s="1192"/>
      <c r="AN149" s="161"/>
    </row>
    <row r="150" spans="1:48" s="87" customFormat="1" ht="12.75" customHeight="1" x14ac:dyDescent="0.2">
      <c r="A150" s="488">
        <f>VLOOKUP(B150,Sheet1!$AQ$4:$AR$25,2,FALSE)</f>
        <v>0</v>
      </c>
      <c r="B150" s="93" t="str">
        <f>B11</f>
        <v>Brighton &amp; Hove</v>
      </c>
      <c r="C150" s="85"/>
      <c r="D150" s="162">
        <f t="shared" ref="D150:D172" si="61">IF(AND(ISNUMBER(AE150),ISNUMBER(Y150)),AE150/Y150,NA())</f>
        <v>0.15918367346938775</v>
      </c>
      <c r="E150" s="162">
        <f t="shared" ref="E150:E172" si="62">IF(AND(ISNUMBER(AF150),ISNUMBER(Z150)),AF150/Z150,NA())</f>
        <v>0.12849162011173185</v>
      </c>
      <c r="F150" s="162">
        <f t="shared" ref="F150:F172" si="63">IF(AND(ISNUMBER(AG150),ISNUMBER(AA150)),AG150/AA150,NA())</f>
        <v>0.18181818181818182</v>
      </c>
      <c r="G150" s="162">
        <f t="shared" ref="G150:G172" si="64">IF(AND(ISNUMBER(AH150),ISNUMBER(AB150)),AH150/AB150,NA())</f>
        <v>0.18181818181818182</v>
      </c>
      <c r="H150" s="164">
        <f t="shared" si="58"/>
        <v>0.10112359550561797</v>
      </c>
      <c r="I150" s="443"/>
      <c r="J150" s="96"/>
      <c r="K150" s="96"/>
      <c r="L150" s="166"/>
      <c r="M150" s="166"/>
      <c r="N150" s="166"/>
      <c r="O150" s="166"/>
      <c r="P150" s="166"/>
      <c r="Q150" s="166"/>
      <c r="R150" s="166"/>
      <c r="S150" s="167"/>
      <c r="T150" s="159"/>
      <c r="U150" s="1073"/>
      <c r="V150" s="139"/>
      <c r="W150" s="152"/>
      <c r="X150" s="436" t="str">
        <f t="shared" si="59"/>
        <v>Brighton &amp; Hove</v>
      </c>
      <c r="Y150" s="372">
        <f>IF(Year1_Brighton_Hove Year1_Adoption_ceased_LAC="","",Year1_Brighton_Hove Year1_Adoption_ceased_LAC)</f>
        <v>245</v>
      </c>
      <c r="Z150" s="372">
        <f>IF(Year2_Brighton_Hove Year2_Adoption_ceased_LAC="","",Year2_Brighton_Hove Year2_Adoption_ceased_LAC)</f>
        <v>179</v>
      </c>
      <c r="AA150" s="372">
        <f>IF(Year3_Brighton_Hove Year3_Adoption_ceased_LAC="","",Year3_Brighton_Hove Year3_Adoption_ceased_LAC)</f>
        <v>176</v>
      </c>
      <c r="AB150" s="372">
        <f>IF(Year4_Brighton_Hove Year4_Adoption_ceased_LAC="","",Year4_Brighton_Hove Year4_Adoption_ceased_LAC)</f>
        <v>187</v>
      </c>
      <c r="AC150" s="372">
        <f>IF(Year5_Brighton_Hove Year5_Adoption_ceased_LAC="","",Year5_Brighton_Hove Year5_Adoption_ceased_LAC)</f>
        <v>178</v>
      </c>
      <c r="AD150" s="372" t="str">
        <f t="shared" si="60"/>
        <v>Brighton &amp; Hove</v>
      </c>
      <c r="AE150" s="489">
        <f>IF(Year1_Brighton_Hove Year1_Adoption_LAC_Adopted="","",Year1_Brighton_Hove Year1_Adoption_LAC_Adopted)</f>
        <v>39</v>
      </c>
      <c r="AF150" s="372">
        <f>IF(Year2_Brighton_Hove Year2_Adoption_LAC_Adopted="","",Year2_Brighton_Hove Year2_Adoption_LAC_Adopted)</f>
        <v>23</v>
      </c>
      <c r="AG150" s="372">
        <f>IF(Year3_Brighton_Hove Year3_Adoption_LAC_Adopted="","",Year3_Brighton_Hove Year3_Adoption_LAC_Adopted)</f>
        <v>32</v>
      </c>
      <c r="AH150" s="372">
        <f>IF(Year4_Brighton_Hove Year4_Adoption_LAC_Adopted="","",Year4_Brighton_Hove Year4_Adoption_LAC_Adopted)</f>
        <v>34</v>
      </c>
      <c r="AI150" s="372">
        <f>IF(Year5_Brighton_Hove Year5_Adoption_LAC_Adopted="","",Year5_Brighton_Hove Year5_Adoption_LAC_Adopted)</f>
        <v>18</v>
      </c>
      <c r="AJ150" s="372"/>
      <c r="AL150" s="1192"/>
      <c r="AM150" s="1192"/>
      <c r="AN150" s="160"/>
    </row>
    <row r="151" spans="1:48" s="87" customFormat="1" ht="12.75" customHeight="1" x14ac:dyDescent="0.2">
      <c r="A151" s="488">
        <f>VLOOKUP(B151,Sheet1!$AQ$4:$AR$25,2,FALSE)</f>
        <v>0</v>
      </c>
      <c r="B151" s="93" t="str">
        <f>B12</f>
        <v>Buckinghamshire</v>
      </c>
      <c r="C151" s="85"/>
      <c r="D151" s="162">
        <f t="shared" si="61"/>
        <v>0.16740088105726872</v>
      </c>
      <c r="E151" s="162">
        <f t="shared" si="62"/>
        <v>0.17674418604651163</v>
      </c>
      <c r="F151" s="162">
        <f t="shared" si="63"/>
        <v>0.12777777777777777</v>
      </c>
      <c r="G151" s="162">
        <f t="shared" si="64"/>
        <v>0.10588235294117647</v>
      </c>
      <c r="H151" s="164">
        <f t="shared" si="58"/>
        <v>9.7872340425531917E-2</v>
      </c>
      <c r="I151" s="443"/>
      <c r="J151" s="96"/>
      <c r="K151" s="96"/>
      <c r="L151" s="166"/>
      <c r="M151" s="166"/>
      <c r="N151" s="166"/>
      <c r="O151" s="166"/>
      <c r="P151" s="166"/>
      <c r="Q151" s="166"/>
      <c r="R151" s="166"/>
      <c r="S151" s="167"/>
      <c r="T151" s="159"/>
      <c r="U151" s="1073"/>
      <c r="V151" s="139"/>
      <c r="W151" s="152"/>
      <c r="X151" s="436" t="str">
        <f t="shared" si="59"/>
        <v>Buckinghamshire</v>
      </c>
      <c r="Y151" s="372">
        <f>IF(Year1_Buckinghamshire Year1_Adoption_ceased_LAC="","",Year1_Buckinghamshire Year1_Adoption_ceased_LAC)</f>
        <v>227</v>
      </c>
      <c r="Z151" s="372">
        <f>IF(Year2_Buckinghamshire Year2_Adoption_ceased_LAC="","",Year2_Buckinghamshire Year2_Adoption_ceased_LAC)</f>
        <v>215</v>
      </c>
      <c r="AA151" s="372">
        <f>IF(Year3_Buckinghamshire Year3_Adoption_ceased_LAC="","",Year3_Buckinghamshire Year3_Adoption_ceased_LAC)</f>
        <v>180</v>
      </c>
      <c r="AB151" s="372">
        <f>IF(Year4_Buckinghamshire Year4_Adoption_ceased_LAC="","",Year4_Buckinghamshire Year4_Adoption_ceased_LAC)</f>
        <v>170</v>
      </c>
      <c r="AC151" s="372">
        <f>IF(Year5_Buckinghamshire Year5_Adoption_ceased_LAC="","",Year5_Buckinghamshire Year5_Adoption_ceased_LAC)</f>
        <v>235</v>
      </c>
      <c r="AD151" s="372" t="str">
        <f t="shared" si="60"/>
        <v>Buckinghamshire</v>
      </c>
      <c r="AE151" s="489">
        <f>IF(Year1_Buckinghamshire Year1_Adoption_LAC_Adopted="","",Year1_Buckinghamshire Year1_Adoption_LAC_Adopted)</f>
        <v>38</v>
      </c>
      <c r="AF151" s="372">
        <f>IF(Year2_Buckinghamshire Year2_Adoption_LAC_Adopted="","",Year2_Buckinghamshire Year2_Adoption_LAC_Adopted)</f>
        <v>38</v>
      </c>
      <c r="AG151" s="372">
        <f>IF(Year3_Buckinghamshire Year3_Adoption_LAC_Adopted="","",Year3_Buckinghamshire Year3_Adoption_LAC_Adopted)</f>
        <v>23</v>
      </c>
      <c r="AH151" s="372">
        <f>IF(Year4_Buckinghamshire Year4_Adoption_LAC_Adopted="","",Year4_Buckinghamshire Year4_Adoption_LAC_Adopted)</f>
        <v>18</v>
      </c>
      <c r="AI151" s="372">
        <f>IF(Year5_Buckinghamshire Year5_Adoption_LAC_Adopted="","",Year5_Buckinghamshire Year5_Adoption_LAC_Adopted)</f>
        <v>23</v>
      </c>
      <c r="AJ151" s="372"/>
      <c r="AL151" s="1192"/>
      <c r="AM151" s="1192"/>
      <c r="AN151" s="161"/>
    </row>
    <row r="152" spans="1:48" s="87" customFormat="1" ht="12.75" customHeight="1" x14ac:dyDescent="0.2">
      <c r="A152" s="488">
        <f>VLOOKUP(B152,Sheet1!$AQ$4:$AR$25,2,FALSE)</f>
        <v>0</v>
      </c>
      <c r="B152" s="93" t="str">
        <f>B13</f>
        <v>East Sussex</v>
      </c>
      <c r="C152" s="85"/>
      <c r="D152" s="162">
        <f t="shared" si="61"/>
        <v>0.24479166666666666</v>
      </c>
      <c r="E152" s="162">
        <f t="shared" si="62"/>
        <v>0.2</v>
      </c>
      <c r="F152" s="162">
        <f t="shared" si="63"/>
        <v>0.19753086419753085</v>
      </c>
      <c r="G152" s="162">
        <f t="shared" si="64"/>
        <v>0.15625</v>
      </c>
      <c r="H152" s="164">
        <f t="shared" si="58"/>
        <v>0.15340909090909091</v>
      </c>
      <c r="I152" s="443"/>
      <c r="J152" s="96"/>
      <c r="K152" s="96"/>
      <c r="L152" s="166"/>
      <c r="M152" s="166"/>
      <c r="N152" s="166"/>
      <c r="O152" s="166"/>
      <c r="P152" s="166"/>
      <c r="Q152" s="166"/>
      <c r="R152" s="166"/>
      <c r="S152" s="167"/>
      <c r="T152" s="159"/>
      <c r="U152" s="1073"/>
      <c r="V152" s="139"/>
      <c r="W152" s="152"/>
      <c r="X152" s="436" t="str">
        <f t="shared" si="59"/>
        <v>East Sussex</v>
      </c>
      <c r="Y152" s="372">
        <f>IF(Year1_East_Sussex Year1_Adoption_ceased_LAC="","",Year1_East_Sussex Year1_Adoption_ceased_LAC)</f>
        <v>192</v>
      </c>
      <c r="Z152" s="372">
        <f>IF(Year2_East_Sussex Year2_Adoption_ceased_LAC="","",Year2_East_Sussex Year2_Adoption_ceased_LAC)</f>
        <v>185</v>
      </c>
      <c r="AA152" s="372">
        <f>IF(Year3_East_Sussex Year3_Adoption_ceased_LAC="","",Year3_East_Sussex Year3_Adoption_ceased_LAC)</f>
        <v>162</v>
      </c>
      <c r="AB152" s="372">
        <f>IF(Year4_East_Sussex Year4_Adoption_ceased_LAC="","",Year4_East_Sussex Year4_Adoption_ceased_LAC)</f>
        <v>192</v>
      </c>
      <c r="AC152" s="372">
        <f>IF(Year5_East_Sussex Year5_Adoption_ceased_LAC="","",Year5_East_Sussex Year5_Adoption_ceased_LAC)</f>
        <v>176</v>
      </c>
      <c r="AD152" s="372" t="str">
        <f t="shared" si="60"/>
        <v>East Sussex</v>
      </c>
      <c r="AE152" s="489">
        <f>IF(Year1_East_Sussex Year1_Adoption_LAC_Adopted="","",Year1_East_Sussex Year1_Adoption_LAC_Adopted)</f>
        <v>47</v>
      </c>
      <c r="AF152" s="372">
        <f>IF(Year2_East_Sussex Year2_Adoption_LAC_Adopted="","",Year2_East_Sussex Year2_Adoption_LAC_Adopted)</f>
        <v>37</v>
      </c>
      <c r="AG152" s="372">
        <f>IF(Year3_East_Sussex Year3_Adoption_LAC_Adopted="","",Year3_East_Sussex Year3_Adoption_LAC_Adopted)</f>
        <v>32</v>
      </c>
      <c r="AH152" s="372">
        <f>IF(Year4_East_Sussex Year4_Adoption_LAC_Adopted="","",Year4_East_Sussex Year4_Adoption_LAC_Adopted)</f>
        <v>30</v>
      </c>
      <c r="AI152" s="372">
        <f>IF(Year5_East_Sussex Year5_Adoption_LAC_Adopted="","",Year5_East_Sussex Year5_Adoption_LAC_Adopted)</f>
        <v>27</v>
      </c>
      <c r="AJ152" s="372"/>
      <c r="AL152" s="1192"/>
      <c r="AM152" s="1192"/>
      <c r="AN152" s="160"/>
    </row>
    <row r="153" spans="1:48" s="87" customFormat="1" ht="12.75" customHeight="1" x14ac:dyDescent="0.2">
      <c r="A153" s="488">
        <f>VLOOKUP(B153,Sheet1!$AQ$4:$AR$25,2,FALSE)</f>
        <v>0</v>
      </c>
      <c r="B153" s="93" t="str">
        <f>B14</f>
        <v>Hampshire</v>
      </c>
      <c r="C153" s="85"/>
      <c r="D153" s="162">
        <f t="shared" si="61"/>
        <v>0.15412844036697249</v>
      </c>
      <c r="E153" s="162">
        <f t="shared" si="62"/>
        <v>0.13157894736842105</v>
      </c>
      <c r="F153" s="162">
        <f t="shared" si="63"/>
        <v>0.11316872427983539</v>
      </c>
      <c r="G153" s="162">
        <f t="shared" si="64"/>
        <v>0.1163575042158516</v>
      </c>
      <c r="H153" s="164">
        <f t="shared" si="58"/>
        <v>0.11217948717948718</v>
      </c>
      <c r="I153" s="443"/>
      <c r="J153" s="96"/>
      <c r="K153" s="96"/>
      <c r="L153" s="166"/>
      <c r="M153" s="166"/>
      <c r="N153" s="166"/>
      <c r="O153" s="166"/>
      <c r="P153" s="166"/>
      <c r="Q153" s="166"/>
      <c r="R153" s="166"/>
      <c r="S153" s="167"/>
      <c r="T153" s="159"/>
      <c r="U153" s="1073"/>
      <c r="V153" s="139"/>
      <c r="W153" s="152"/>
      <c r="X153" s="436" t="str">
        <f t="shared" si="59"/>
        <v>Hampshire</v>
      </c>
      <c r="Y153" s="372">
        <f>IF(Year1_Hampshire Year1_Adoption_ceased_LAC="","",Year1_Hampshire Year1_Adoption_ceased_LAC)</f>
        <v>545</v>
      </c>
      <c r="Z153" s="372">
        <f>IF(Year2_Hampshire Year2_Adoption_ceased_LAC="","",Year2_Hampshire Year2_Adoption_ceased_LAC)</f>
        <v>532</v>
      </c>
      <c r="AA153" s="372">
        <f>IF(Year3_Hampshire Year3_Adoption_ceased_LAC="","",Year3_Hampshire Year3_Adoption_ceased_LAC)</f>
        <v>486</v>
      </c>
      <c r="AB153" s="372">
        <f>IF(Year4_Hampshire Year4_Adoption_ceased_LAC="","",Year4_Hampshire Year4_Adoption_ceased_LAC)</f>
        <v>593</v>
      </c>
      <c r="AC153" s="372">
        <f>IF(Year5_Hampshire Year5_Adoption_ceased_LAC="","",Year5_Hampshire Year5_Adoption_ceased_LAC)</f>
        <v>624</v>
      </c>
      <c r="AD153" s="372" t="str">
        <f t="shared" si="60"/>
        <v>Hampshire</v>
      </c>
      <c r="AE153" s="489">
        <f>IF(Year1_Hampshire Year1_Adoption_LAC_Adopted="","",Year1_Hampshire Year1_Adoption_LAC_Adopted)</f>
        <v>84</v>
      </c>
      <c r="AF153" s="372">
        <f>IF(Year2_Hampshire Year2_Adoption_LAC_Adopted="","",Year2_Hampshire Year2_Adoption_LAC_Adopted)</f>
        <v>70</v>
      </c>
      <c r="AG153" s="372">
        <f>IF(Year3_Hampshire Year3_Adoption_LAC_Adopted="","",Year3_Hampshire Year3_Adoption_LAC_Adopted)</f>
        <v>55</v>
      </c>
      <c r="AH153" s="372">
        <f>IF(Year4_Hampshire Year4_Adoption_LAC_Adopted="","",Year4_Hampshire Year4_Adoption_LAC_Adopted)</f>
        <v>69</v>
      </c>
      <c r="AI153" s="372">
        <f>IF(Year5_Hampshire Year5_Adoption_LAC_Adopted="","",Year5_Hampshire Year5_Adoption_LAC_Adopted)</f>
        <v>70</v>
      </c>
      <c r="AJ153" s="372"/>
      <c r="AL153" s="1192"/>
      <c r="AM153" s="1192"/>
      <c r="AN153" s="161"/>
    </row>
    <row r="154" spans="1:48" s="87" customFormat="1" ht="12.75" customHeight="1" x14ac:dyDescent="0.2">
      <c r="A154" s="488">
        <f>VLOOKUP(B154,Sheet1!$AQ$4:$AR$25,2,FALSE)</f>
        <v>0</v>
      </c>
      <c r="B154" s="93" t="str">
        <f>B15</f>
        <v>Isle of Wight</v>
      </c>
      <c r="C154" s="85"/>
      <c r="D154" s="162">
        <f t="shared" si="61"/>
        <v>0.12328767123287671</v>
      </c>
      <c r="E154" s="162">
        <f t="shared" si="62"/>
        <v>0.21052631578947367</v>
      </c>
      <c r="F154" s="162">
        <f t="shared" si="63"/>
        <v>0.15853658536585366</v>
      </c>
      <c r="G154" s="162">
        <f t="shared" si="64"/>
        <v>0.18032786885245902</v>
      </c>
      <c r="H154" s="164">
        <f t="shared" si="58"/>
        <v>0.16981132075471697</v>
      </c>
      <c r="I154" s="443"/>
      <c r="J154" s="96"/>
      <c r="K154" s="96"/>
      <c r="L154" s="166"/>
      <c r="M154" s="166"/>
      <c r="N154" s="166"/>
      <c r="O154" s="166"/>
      <c r="P154" s="166"/>
      <c r="Q154" s="166"/>
      <c r="R154" s="166"/>
      <c r="S154" s="167"/>
      <c r="T154" s="159"/>
      <c r="U154" s="1073"/>
      <c r="V154" s="139"/>
      <c r="W154" s="152"/>
      <c r="X154" s="436" t="str">
        <f t="shared" si="59"/>
        <v>Isle of Wight</v>
      </c>
      <c r="Y154" s="372">
        <f>IF(Year1_Isle_of_Wight Year1_Adoption_ceased_LAC="","",Year1_Isle_of_Wight Year1_Adoption_ceased_LAC)</f>
        <v>73</v>
      </c>
      <c r="Z154" s="372">
        <f>IF(Year2_Isle_of_Wight Year2_Adoption_ceased_LAC="","",Year2_Isle_of_Wight Year2_Adoption_ceased_LAC)</f>
        <v>76</v>
      </c>
      <c r="AA154" s="372">
        <f>IF(Year3_Isle_of_Wight Year3_Adoption_ceased_LAC="","",Year3_Isle_of_Wight Year3_Adoption_ceased_LAC)</f>
        <v>82</v>
      </c>
      <c r="AB154" s="372">
        <f>IF(Year4_Isle_of_Wight Year4_Adoption_ceased_LAC="","",Year4_Isle_of_Wight Year4_Adoption_ceased_LAC)</f>
        <v>61</v>
      </c>
      <c r="AC154" s="372">
        <f>IF(Year5_Isle_of_Wight Year5_Adoption_ceased_LAC="","",Year5_Isle_of_Wight Year5_Adoption_ceased_LAC)</f>
        <v>53</v>
      </c>
      <c r="AD154" s="372" t="str">
        <f t="shared" si="60"/>
        <v>Isle of Wight</v>
      </c>
      <c r="AE154" s="489">
        <f>IF(Year1_Isle_of_Wight Year1_Adoption_LAC_Adopted="","",Year1_Isle_of_Wight Year1_Adoption_LAC_Adopted)</f>
        <v>9</v>
      </c>
      <c r="AF154" s="372">
        <f>IF(Year2_Isle_of_Wight Year2_Adoption_LAC_Adopted="","",Year2_Isle_of_Wight Year2_Adoption_LAC_Adopted)</f>
        <v>16</v>
      </c>
      <c r="AG154" s="372">
        <f>IF(Year3_Isle_of_Wight Year3_Adoption_LAC_Adopted="","",Year3_Isle_of_Wight Year3_Adoption_LAC_Adopted)</f>
        <v>13</v>
      </c>
      <c r="AH154" s="372">
        <f>IF(Year4_Isle_of_Wight Year4_Adoption_LAC_Adopted="","",Year4_Isle_of_Wight Year4_Adoption_LAC_Adopted)</f>
        <v>11</v>
      </c>
      <c r="AI154" s="372">
        <f>IF(Year5_Isle_of_Wight Year5_Adoption_LAC_Adopted="","",Year5_Isle_of_Wight Year5_Adoption_LAC_Adopted)</f>
        <v>9</v>
      </c>
      <c r="AJ154" s="372"/>
      <c r="AL154" s="1192"/>
      <c r="AM154" s="1192"/>
      <c r="AN154" s="160"/>
      <c r="AV154" s="87" t="s">
        <v>102</v>
      </c>
    </row>
    <row r="155" spans="1:48" s="87" customFormat="1" ht="12.75" customHeight="1" x14ac:dyDescent="0.2">
      <c r="A155" s="488">
        <f>VLOOKUP(B155,Sheet1!$AQ$4:$AR$25,2,FALSE)</f>
        <v>0</v>
      </c>
      <c r="B155" s="93" t="str">
        <f>B16</f>
        <v>Kent</v>
      </c>
      <c r="C155" s="85"/>
      <c r="D155" s="162">
        <f t="shared" si="61"/>
        <v>0.10009267840593142</v>
      </c>
      <c r="E155" s="162">
        <f t="shared" si="62"/>
        <v>6.0790273556231005E-2</v>
      </c>
      <c r="F155" s="162">
        <f t="shared" si="63"/>
        <v>9.9142040038131554E-2</v>
      </c>
      <c r="G155" s="162">
        <f t="shared" si="64"/>
        <v>0.12581913499344691</v>
      </c>
      <c r="H155" s="164">
        <f t="shared" si="58"/>
        <v>8.5365853658536592E-2</v>
      </c>
      <c r="I155" s="443"/>
      <c r="J155" s="96"/>
      <c r="K155" s="96"/>
      <c r="L155" s="166"/>
      <c r="M155" s="166"/>
      <c r="N155" s="166"/>
      <c r="O155" s="166"/>
      <c r="P155" s="166"/>
      <c r="Q155" s="166"/>
      <c r="R155" s="166"/>
      <c r="S155" s="167"/>
      <c r="T155" s="159"/>
      <c r="U155" s="1073"/>
      <c r="V155" s="139"/>
      <c r="W155" s="152"/>
      <c r="X155" s="436" t="str">
        <f t="shared" si="59"/>
        <v>Kent</v>
      </c>
      <c r="Y155" s="372">
        <f>IF(Year1_Kent Year1_Adoption_ceased_LAC="","",Year1_Kent Year1_Adoption_ceased_LAC)</f>
        <v>1079</v>
      </c>
      <c r="Z155" s="372">
        <f>IF(Year2_Kent Year2_Adoption_ceased_LAC="","",Year2_Kent Year2_Adoption_ceased_LAC)</f>
        <v>1316</v>
      </c>
      <c r="AA155" s="372">
        <f>IF(Year3_Kent Year3_Adoption_ceased_LAC="","",Year3_Kent Year3_Adoption_ceased_LAC)</f>
        <v>1049</v>
      </c>
      <c r="AB155" s="372">
        <f>IF(Year4_Kent Year4_Adoption_ceased_LAC="","",Year4_Kent Year4_Adoption_ceased_LAC)</f>
        <v>763</v>
      </c>
      <c r="AC155" s="372">
        <f>IF(Year5_Kent Year5_Adoption_ceased_LAC="","",Year5_Kent Year5_Adoption_ceased_LAC)</f>
        <v>738</v>
      </c>
      <c r="AD155" s="372" t="str">
        <f t="shared" si="60"/>
        <v>Kent</v>
      </c>
      <c r="AE155" s="489">
        <f>IF(Year1_Kent Year1_Adoption_LAC_Adopted="","",Year1_Kent Year1_Adoption_LAC_Adopted)</f>
        <v>108</v>
      </c>
      <c r="AF155" s="372">
        <f>IF(Year2_Kent Year2_Adoption_LAC_Adopted="","",Year2_Kent Year2_Adoption_LAC_Adopted)</f>
        <v>80</v>
      </c>
      <c r="AG155" s="372">
        <f>IF(Year3_Kent Year3_Adoption_LAC_Adopted="","",Year3_Kent Year3_Adoption_LAC_Adopted)</f>
        <v>104</v>
      </c>
      <c r="AH155" s="372">
        <f>IF(Year4_Kent Year4_Adoption_LAC_Adopted="","",Year4_Kent Year4_Adoption_LAC_Adopted)</f>
        <v>96</v>
      </c>
      <c r="AI155" s="372">
        <f>IF(Year5_Kent Year5_Adoption_LAC_Adopted="","",Year5_Kent Year5_Adoption_LAC_Adopted)</f>
        <v>63</v>
      </c>
      <c r="AJ155" s="372"/>
      <c r="AL155" s="1192"/>
      <c r="AM155" s="1192"/>
      <c r="AN155" s="161"/>
    </row>
    <row r="156" spans="1:48" s="87" customFormat="1" ht="12.75" customHeight="1" x14ac:dyDescent="0.2">
      <c r="A156" s="488">
        <f>VLOOKUP(B156,Sheet1!$AQ$4:$AR$25,2,FALSE)</f>
        <v>0</v>
      </c>
      <c r="B156" s="93" t="str">
        <f>B17</f>
        <v>Medway</v>
      </c>
      <c r="C156" s="85"/>
      <c r="D156" s="162">
        <f t="shared" si="61"/>
        <v>0.11428571428571428</v>
      </c>
      <c r="E156" s="162">
        <f t="shared" si="62"/>
        <v>0.17647058823529413</v>
      </c>
      <c r="F156" s="162">
        <f t="shared" si="63"/>
        <v>0.22012578616352202</v>
      </c>
      <c r="G156" s="162">
        <f t="shared" si="64"/>
        <v>0.15189873417721519</v>
      </c>
      <c r="H156" s="164">
        <f t="shared" si="58"/>
        <v>0.12777777777777777</v>
      </c>
      <c r="I156" s="443"/>
      <c r="J156" s="96"/>
      <c r="K156" s="96"/>
      <c r="L156" s="166"/>
      <c r="M156" s="166"/>
      <c r="N156" s="166"/>
      <c r="O156" s="166"/>
      <c r="P156" s="166"/>
      <c r="Q156" s="166"/>
      <c r="R156" s="166"/>
      <c r="S156" s="167"/>
      <c r="T156" s="159"/>
      <c r="U156" s="1073"/>
      <c r="V156" s="139"/>
      <c r="W156" s="152"/>
      <c r="X156" s="436" t="str">
        <f t="shared" si="59"/>
        <v>Medway</v>
      </c>
      <c r="Y156" s="372">
        <f>IF(Year1_Medway Year1_Adoption_ceased_LAC="","",Year1_Medway Year1_Adoption_ceased_LAC)</f>
        <v>210</v>
      </c>
      <c r="Z156" s="372">
        <f>IF(Year2_Medway Year2_Adoption_ceased_LAC="","",Year2_Medway Year2_Adoption_ceased_LAC)</f>
        <v>187</v>
      </c>
      <c r="AA156" s="372">
        <f>IF(Year3_Medway Year3_Adoption_ceased_LAC="","",Year3_Medway Year3_Adoption_ceased_LAC)</f>
        <v>159</v>
      </c>
      <c r="AB156" s="372">
        <f>IF(Year4_Medway Year4_Adoption_ceased_LAC="","",Year4_Medway Year4_Adoption_ceased_LAC)</f>
        <v>158</v>
      </c>
      <c r="AC156" s="372">
        <f>IF(Year5_Medway Year5_Adoption_ceased_LAC="","",Year5_Medway Year5_Adoption_ceased_LAC)</f>
        <v>180</v>
      </c>
      <c r="AD156" s="372" t="str">
        <f t="shared" si="60"/>
        <v>Medway</v>
      </c>
      <c r="AE156" s="489">
        <f>IF(Year1_Medway Year1_Adoption_LAC_Adopted="","",Year1_Medway Year1_Adoption_LAC_Adopted)</f>
        <v>24</v>
      </c>
      <c r="AF156" s="372">
        <f>IF(Year2_Medway Year2_Adoption_LAC_Adopted="","",Year2_Medway Year2_Adoption_LAC_Adopted)</f>
        <v>33</v>
      </c>
      <c r="AG156" s="372">
        <f>IF(Year3_Medway Year3_Adoption_LAC_Adopted="","",Year3_Medway Year3_Adoption_LAC_Adopted)</f>
        <v>35</v>
      </c>
      <c r="AH156" s="372">
        <f>IF(Year4_Medway Year4_Adoption_LAC_Adopted="","",Year4_Medway Year4_Adoption_LAC_Adopted)</f>
        <v>24</v>
      </c>
      <c r="AI156" s="372">
        <f>IF(Year5_Medway Year5_Adoption_LAC_Adopted="","",Year5_Medway Year5_Adoption_LAC_Adopted)</f>
        <v>23</v>
      </c>
      <c r="AJ156" s="372"/>
      <c r="AL156" s="1192"/>
      <c r="AM156" s="1192"/>
      <c r="AN156" s="160"/>
    </row>
    <row r="157" spans="1:48" s="87" customFormat="1" ht="12.75" customHeight="1" x14ac:dyDescent="0.2">
      <c r="A157" s="488">
        <f>VLOOKUP(B157,Sheet1!$AQ$4:$AR$25,2,FALSE)</f>
        <v>0</v>
      </c>
      <c r="B157" s="93" t="str">
        <f>B18</f>
        <v>Milton Keynes</v>
      </c>
      <c r="C157" s="85"/>
      <c r="D157" s="162">
        <f t="shared" si="61"/>
        <v>0.10215053763440861</v>
      </c>
      <c r="E157" s="162">
        <f t="shared" si="62"/>
        <v>6.5789473684210523E-2</v>
      </c>
      <c r="F157" s="162">
        <f t="shared" si="63"/>
        <v>6.2068965517241378E-2</v>
      </c>
      <c r="G157" s="162">
        <f t="shared" si="64"/>
        <v>0.11560693641618497</v>
      </c>
      <c r="H157" s="164">
        <f t="shared" si="58"/>
        <v>0.12837837837837837</v>
      </c>
      <c r="I157" s="443"/>
      <c r="J157" s="96"/>
      <c r="K157" s="96"/>
      <c r="L157" s="166"/>
      <c r="M157" s="166"/>
      <c r="N157" s="166"/>
      <c r="O157" s="166"/>
      <c r="P157" s="166"/>
      <c r="Q157" s="166"/>
      <c r="R157" s="166"/>
      <c r="S157" s="167"/>
      <c r="T157" s="159"/>
      <c r="U157" s="1073"/>
      <c r="V157" s="139"/>
      <c r="W157" s="152"/>
      <c r="X157" s="436" t="str">
        <f t="shared" si="59"/>
        <v>Milton Keynes</v>
      </c>
      <c r="Y157" s="372">
        <f>IF(Year1_Milton_Keynes Year1_Adoption_ceased_LAC="","",Year1_Milton_Keynes Year1_Adoption_ceased_LAC)</f>
        <v>186</v>
      </c>
      <c r="Z157" s="372">
        <f>IF(Year2_Milton_Keynes Year2_Adoption_ceased_LAC="","",Year2_Milton_Keynes Year2_Adoption_ceased_LAC)</f>
        <v>152</v>
      </c>
      <c r="AA157" s="372">
        <f>IF(Year3_Milton_Keynes Year3_Adoption_ceased_LAC="","",Year3_Milton_Keynes Year3_Adoption_ceased_LAC)</f>
        <v>145</v>
      </c>
      <c r="AB157" s="372">
        <f>IF(Year4_Milton_Keynes Year4_Adoption_ceased_LAC="","",Year4_Milton_Keynes Year4_Adoption_ceased_LAC)</f>
        <v>173</v>
      </c>
      <c r="AC157" s="372">
        <f>IF(Year5_Milton_Keynes Year5_Adoption_ceased_LAC="","",Year5_Milton_Keynes Year5_Adoption_ceased_LAC)</f>
        <v>148</v>
      </c>
      <c r="AD157" s="372" t="str">
        <f t="shared" si="60"/>
        <v>Milton Keynes</v>
      </c>
      <c r="AE157" s="489">
        <f>IF(Year1_Milton_Keynes Year1_Adoption_LAC_Adopted="","",Year1_Milton_Keynes Year1_Adoption_LAC_Adopted)</f>
        <v>19</v>
      </c>
      <c r="AF157" s="372">
        <f>IF(Year2_Milton_Keynes Year2_Adoption_LAC_Adopted="","",Year2_Milton_Keynes Year2_Adoption_LAC_Adopted)</f>
        <v>10</v>
      </c>
      <c r="AG157" s="372">
        <f>IF(Year3_Milton_Keynes Year3_Adoption_LAC_Adopted="","",Year3_Milton_Keynes Year3_Adoption_LAC_Adopted)</f>
        <v>9</v>
      </c>
      <c r="AH157" s="372">
        <f>IF(Year4_Milton_Keynes Year4_Adoption_LAC_Adopted="","",Year4_Milton_Keynes Year4_Adoption_LAC_Adopted)</f>
        <v>20</v>
      </c>
      <c r="AI157" s="372">
        <f>IF(Year5_Milton_Keynes Year5_Adoption_LAC_Adopted="","",Year5_Milton_Keynes Year5_Adoption_LAC_Adopted)</f>
        <v>19</v>
      </c>
      <c r="AJ157" s="372"/>
      <c r="AL157" s="1192"/>
      <c r="AM157" s="1192"/>
      <c r="AN157" s="161"/>
    </row>
    <row r="158" spans="1:48" s="87" customFormat="1" ht="12.75" customHeight="1" x14ac:dyDescent="0.2">
      <c r="A158" s="488">
        <f>VLOOKUP(B158,Sheet1!$AQ$4:$AR$25,2,FALSE)</f>
        <v>0</v>
      </c>
      <c r="B158" s="93" t="str">
        <f>B19</f>
        <v>Oxfordshire</v>
      </c>
      <c r="C158" s="85"/>
      <c r="D158" s="162">
        <f t="shared" si="61"/>
        <v>0.17857142857142858</v>
      </c>
      <c r="E158" s="162">
        <f t="shared" si="62"/>
        <v>0.13286713286713286</v>
      </c>
      <c r="F158" s="162">
        <f t="shared" si="63"/>
        <v>0.12080536912751678</v>
      </c>
      <c r="G158" s="162">
        <f t="shared" si="64"/>
        <v>9.1575091575091569E-2</v>
      </c>
      <c r="H158" s="164">
        <f t="shared" si="58"/>
        <v>0.10869565217391304</v>
      </c>
      <c r="I158" s="443"/>
      <c r="J158" s="96"/>
      <c r="K158" s="96"/>
      <c r="L158" s="166"/>
      <c r="M158" s="166"/>
      <c r="N158" s="166"/>
      <c r="O158" s="166"/>
      <c r="P158" s="166"/>
      <c r="Q158" s="166"/>
      <c r="R158" s="166"/>
      <c r="S158" s="167"/>
      <c r="T158" s="159"/>
      <c r="U158" s="1073"/>
      <c r="V158" s="139"/>
      <c r="W158" s="152"/>
      <c r="X158" s="436" t="str">
        <f t="shared" si="59"/>
        <v>Oxfordshire</v>
      </c>
      <c r="Y158" s="372">
        <f>IF(Year1_Oxfordshire Year1_Adoption_ceased_LAC="","",Year1_Oxfordshire Year1_Adoption_ceased_LAC)</f>
        <v>280</v>
      </c>
      <c r="Z158" s="372">
        <f>IF(Year2_Oxfordshire Year2_Adoption_ceased_LAC="","",Year2_Oxfordshire Year2_Adoption_ceased_LAC)</f>
        <v>286</v>
      </c>
      <c r="AA158" s="372">
        <f>IF(Year3_Oxfordshire Year3_Adoption_ceased_LAC="","",Year3_Oxfordshire Year3_Adoption_ceased_LAC)</f>
        <v>298</v>
      </c>
      <c r="AB158" s="372">
        <f>IF(Year4_Oxfordshire Year4_Adoption_ceased_LAC="","",Year4_Oxfordshire Year4_Adoption_ceased_LAC)</f>
        <v>273</v>
      </c>
      <c r="AC158" s="372">
        <f>IF(Year5_Oxfordshire Year5_Adoption_ceased_LAC="","",Year5_Oxfordshire Year5_Adoption_ceased_LAC)</f>
        <v>322</v>
      </c>
      <c r="AD158" s="372" t="str">
        <f t="shared" si="60"/>
        <v>Oxfordshire</v>
      </c>
      <c r="AE158" s="489">
        <f>IF(Year1_Oxfordshire Year1_Adoption_LAC_Adopted="","",Year1_Oxfordshire Year1_Adoption_LAC_Adopted)</f>
        <v>50</v>
      </c>
      <c r="AF158" s="372">
        <f>IF(Year2_Oxfordshire Year2_Adoption_LAC_Adopted="","",Year2_Oxfordshire Year2_Adoption_LAC_Adopted)</f>
        <v>38</v>
      </c>
      <c r="AG158" s="372">
        <f>IF(Year3_Oxfordshire Year3_Adoption_LAC_Adopted="","",Year3_Oxfordshire Year3_Adoption_LAC_Adopted)</f>
        <v>36</v>
      </c>
      <c r="AH158" s="372">
        <f>IF(Year4_Oxfordshire Year4_Adoption_LAC_Adopted="","",Year4_Oxfordshire Year4_Adoption_LAC_Adopted)</f>
        <v>25</v>
      </c>
      <c r="AI158" s="372">
        <f>IF(Year5_Oxfordshire Year5_Adoption_LAC_Adopted="","",Year5_Oxfordshire Year5_Adoption_LAC_Adopted)</f>
        <v>35</v>
      </c>
      <c r="AJ158" s="372"/>
      <c r="AL158" s="1192"/>
      <c r="AM158" s="1192"/>
      <c r="AN158" s="160"/>
    </row>
    <row r="159" spans="1:48" s="87" customFormat="1" ht="12.75" customHeight="1" x14ac:dyDescent="0.2">
      <c r="A159" s="488">
        <f>VLOOKUP(B159,Sheet1!$AQ$4:$AR$25,2,FALSE)</f>
        <v>0</v>
      </c>
      <c r="B159" s="93" t="str">
        <f>B20</f>
        <v>Portsmouth</v>
      </c>
      <c r="C159" s="85"/>
      <c r="D159" s="162">
        <f t="shared" si="61"/>
        <v>0.21428571428571427</v>
      </c>
      <c r="E159" s="162">
        <f t="shared" si="62"/>
        <v>0.28455284552845528</v>
      </c>
      <c r="F159" s="162">
        <f t="shared" si="63"/>
        <v>0.16129032258064516</v>
      </c>
      <c r="G159" s="162">
        <f t="shared" si="64"/>
        <v>9.3167701863354033E-2</v>
      </c>
      <c r="H159" s="164">
        <f t="shared" si="58"/>
        <v>0.11274509803921569</v>
      </c>
      <c r="I159" s="443"/>
      <c r="J159" s="96"/>
      <c r="K159" s="96"/>
      <c r="L159" s="166"/>
      <c r="M159" s="166"/>
      <c r="N159" s="166"/>
      <c r="O159" s="166"/>
      <c r="P159" s="166"/>
      <c r="Q159" s="166"/>
      <c r="R159" s="166"/>
      <c r="S159" s="167"/>
      <c r="T159" s="159"/>
      <c r="U159" s="1073"/>
      <c r="V159" s="139"/>
      <c r="W159" s="152"/>
      <c r="X159" s="436" t="str">
        <f t="shared" si="59"/>
        <v>Portsmouth</v>
      </c>
      <c r="Y159" s="372">
        <f>IF(Year1_Portsmouth Year1_Adoption_ceased_LAC="","",Year1_Portsmouth Year1_Adoption_ceased_LAC)</f>
        <v>126</v>
      </c>
      <c r="Z159" s="372">
        <f>IF(Year2_Portsmouth Year2_Adoption_ceased_LAC="","",Year2_Portsmouth Year2_Adoption_ceased_LAC)</f>
        <v>123</v>
      </c>
      <c r="AA159" s="372">
        <f>IF(Year3_Portsmouth Year3_Adoption_ceased_LAC="","",Year3_Portsmouth Year3_Adoption_ceased_LAC)</f>
        <v>186</v>
      </c>
      <c r="AB159" s="372">
        <f>IF(Year4_Portsmouth Year4_Adoption_ceased_LAC="","",Year4_Portsmouth Year4_Adoption_ceased_LAC)</f>
        <v>161</v>
      </c>
      <c r="AC159" s="372">
        <f>IF(Year5_Portsmouth Year5_Adoption_ceased_LAC="","",Year5_Portsmouth Year5_Adoption_ceased_LAC)</f>
        <v>204</v>
      </c>
      <c r="AD159" s="372" t="str">
        <f t="shared" si="60"/>
        <v>Portsmouth</v>
      </c>
      <c r="AE159" s="489">
        <f>IF(Year1_Portsmouth Year1_Adoption_LAC_Adopted="","",Year1_Portsmouth Year1_Adoption_LAC_Adopted)</f>
        <v>27</v>
      </c>
      <c r="AF159" s="372">
        <f>IF(Year2_Portsmouth Year2_Adoption_LAC_Adopted="","",Year2_Portsmouth Year2_Adoption_LAC_Adopted)</f>
        <v>35</v>
      </c>
      <c r="AG159" s="372">
        <f>IF(Year3_Portsmouth Year3_Adoption_LAC_Adopted="","",Year3_Portsmouth Year3_Adoption_LAC_Adopted)</f>
        <v>30</v>
      </c>
      <c r="AH159" s="372">
        <f>IF(Year4_Portsmouth Year4_Adoption_LAC_Adopted="","",Year4_Portsmouth Year4_Adoption_LAC_Adopted)</f>
        <v>15</v>
      </c>
      <c r="AI159" s="372">
        <f>IF(Year5_Portsmouth Year5_Adoption_LAC_Adopted="","",Year5_Portsmouth Year5_Adoption_LAC_Adopted)</f>
        <v>23</v>
      </c>
      <c r="AJ159" s="372"/>
      <c r="AL159" s="1192"/>
      <c r="AM159" s="1192"/>
      <c r="AN159" s="161"/>
    </row>
    <row r="160" spans="1:48" s="87" customFormat="1" ht="12.75" customHeight="1" x14ac:dyDescent="0.2">
      <c r="A160" s="488">
        <f>VLOOKUP(B160,Sheet1!$AQ$4:$AR$25,2,FALSE)</f>
        <v>0</v>
      </c>
      <c r="B160" s="93" t="str">
        <f>B21</f>
        <v>Reading</v>
      </c>
      <c r="C160" s="85"/>
      <c r="D160" s="162">
        <f t="shared" si="61"/>
        <v>0.2032520325203252</v>
      </c>
      <c r="E160" s="162">
        <f t="shared" si="62"/>
        <v>0.16</v>
      </c>
      <c r="F160" s="162">
        <f t="shared" si="63"/>
        <v>0.14130434782608695</v>
      </c>
      <c r="G160" s="162">
        <f t="shared" si="64"/>
        <v>0.21052631578947367</v>
      </c>
      <c r="H160" s="164">
        <f t="shared" si="58"/>
        <v>0.14678899082568808</v>
      </c>
      <c r="I160" s="443"/>
      <c r="J160" s="96"/>
      <c r="K160" s="96"/>
      <c r="L160" s="166"/>
      <c r="M160" s="166"/>
      <c r="N160" s="166"/>
      <c r="O160" s="166"/>
      <c r="P160" s="166"/>
      <c r="Q160" s="166"/>
      <c r="R160" s="166"/>
      <c r="S160" s="167"/>
      <c r="T160" s="159"/>
      <c r="U160" s="1073"/>
      <c r="V160" s="139"/>
      <c r="W160" s="152"/>
      <c r="X160" s="436" t="str">
        <f t="shared" si="59"/>
        <v>Reading</v>
      </c>
      <c r="Y160" s="372">
        <f>IF(Year1_Reading Year1_Adoption_ceased_LAC="","",Year1_Reading Year1_Adoption_ceased_LAC)</f>
        <v>123</v>
      </c>
      <c r="Z160" s="372">
        <f>IF(Year2_Reading Year2_Adoption_ceased_LAC="","",Year2_Reading Year2_Adoption_ceased_LAC)</f>
        <v>100</v>
      </c>
      <c r="AA160" s="372">
        <f>IF(Year3_Reading Year3_Adoption_ceased_LAC="","",Year3_Reading Year3_Adoption_ceased_LAC)</f>
        <v>92</v>
      </c>
      <c r="AB160" s="372">
        <f>IF(Year4_Reading Year4_Adoption_ceased_LAC="","",Year4_Reading Year4_Adoption_ceased_LAC)</f>
        <v>95</v>
      </c>
      <c r="AC160" s="372">
        <f>IF(Year5_Reading Year5_Adoption_ceased_LAC="","",Year5_Reading Year5_Adoption_ceased_LAC)</f>
        <v>109</v>
      </c>
      <c r="AD160" s="372" t="str">
        <f t="shared" si="60"/>
        <v>Reading</v>
      </c>
      <c r="AE160" s="489">
        <f>IF(Year1_Reading Year1_Adoption_LAC_Adopted="","",Year1_Reading Year1_Adoption_LAC_Adopted)</f>
        <v>25</v>
      </c>
      <c r="AF160" s="372">
        <f>IF(Year2_Reading Year2_Adoption_LAC_Adopted="","",Year2_Reading Year2_Adoption_LAC_Adopted)</f>
        <v>16</v>
      </c>
      <c r="AG160" s="372">
        <f>IF(Year3_Reading Year3_Adoption_LAC_Adopted="","",Year3_Reading Year3_Adoption_LAC_Adopted)</f>
        <v>13</v>
      </c>
      <c r="AH160" s="372">
        <f>IF(Year4_Reading Year4_Adoption_LAC_Adopted="","",Year4_Reading Year4_Adoption_LAC_Adopted)</f>
        <v>20</v>
      </c>
      <c r="AI160" s="372">
        <f>IF(Year5_Reading Year5_Adoption_LAC_Adopted="","",Year5_Reading Year5_Adoption_LAC_Adopted)</f>
        <v>16</v>
      </c>
      <c r="AJ160" s="372"/>
      <c r="AL160" s="1192"/>
      <c r="AM160" s="1192"/>
      <c r="AN160" s="160"/>
    </row>
    <row r="161" spans="1:40" s="87" customFormat="1" ht="12.75" customHeight="1" x14ac:dyDescent="0.2">
      <c r="A161" s="488">
        <f>VLOOKUP(B161,Sheet1!$AQ$4:$AR$25,2,FALSE)</f>
        <v>0</v>
      </c>
      <c r="B161" s="93" t="str">
        <f>B22</f>
        <v>Slough</v>
      </c>
      <c r="C161" s="85"/>
      <c r="D161" s="162">
        <f t="shared" si="61"/>
        <v>0.1038961038961039</v>
      </c>
      <c r="E161" s="162">
        <f t="shared" si="62"/>
        <v>9.8214285714285712E-2</v>
      </c>
      <c r="F161" s="162">
        <f t="shared" si="63"/>
        <v>0.11607142857142858</v>
      </c>
      <c r="G161" s="162">
        <f t="shared" si="64"/>
        <v>0.11023622047244094</v>
      </c>
      <c r="H161" s="164">
        <f t="shared" si="58"/>
        <v>0.12</v>
      </c>
      <c r="I161" s="443"/>
      <c r="J161" s="96"/>
      <c r="K161" s="96"/>
      <c r="L161" s="166"/>
      <c r="M161" s="166"/>
      <c r="N161" s="166"/>
      <c r="O161" s="166"/>
      <c r="P161" s="166"/>
      <c r="Q161" s="166"/>
      <c r="R161" s="166"/>
      <c r="S161" s="167"/>
      <c r="T161" s="159"/>
      <c r="U161" s="1073"/>
      <c r="V161" s="139"/>
      <c r="W161" s="152"/>
      <c r="X161" s="436" t="str">
        <f t="shared" si="59"/>
        <v>Slough</v>
      </c>
      <c r="Y161" s="372">
        <f>IF(Year1_Slough Year1_Adoption_ceased_LAC="","",Year1_Slough Year1_Adoption_ceased_LAC)</f>
        <v>154</v>
      </c>
      <c r="Z161" s="372">
        <f>IF(Year2_Slough Year2_Adoption_ceased_LAC="","",Year2_Slough Year2_Adoption_ceased_LAC)</f>
        <v>112</v>
      </c>
      <c r="AA161" s="372">
        <f>IF(Year3_Slough Year3_Adoption_ceased_LAC="","",Year3_Slough Year3_Adoption_ceased_LAC)</f>
        <v>112</v>
      </c>
      <c r="AB161" s="372">
        <f>IF(Year4_Slough Year4_Adoption_ceased_LAC="","",Year4_Slough Year4_Adoption_ceased_LAC)</f>
        <v>127</v>
      </c>
      <c r="AC161" s="372">
        <f>IF(Year5_Slough Year5_Adoption_ceased_LAC="","",Year5_Slough Year5_Adoption_ceased_LAC)</f>
        <v>125</v>
      </c>
      <c r="AD161" s="372" t="str">
        <f t="shared" si="60"/>
        <v>Slough</v>
      </c>
      <c r="AE161" s="489">
        <f>IF(Year1_Slough Year1_Adoption_LAC_Adopted="","",Year1_Slough Year1_Adoption_LAC_Adopted)</f>
        <v>16</v>
      </c>
      <c r="AF161" s="372">
        <f>IF(Year2_Slough Year2_Adoption_LAC_Adopted="","",Year2_Slough Year2_Adoption_LAC_Adopted)</f>
        <v>11</v>
      </c>
      <c r="AG161" s="372">
        <f>IF(Year3_Slough Year3_Adoption_LAC_Adopted="","",Year3_Slough Year3_Adoption_LAC_Adopted)</f>
        <v>13</v>
      </c>
      <c r="AH161" s="372">
        <f>IF(Year4_Slough Year4_Adoption_LAC_Adopted="","",Year4_Slough Year4_Adoption_LAC_Adopted)</f>
        <v>14</v>
      </c>
      <c r="AI161" s="372">
        <f>IF(Year5_Slough Year5_Adoption_LAC_Adopted="","",Year5_Slough Year5_Adoption_LAC_Adopted)</f>
        <v>15</v>
      </c>
      <c r="AJ161" s="372"/>
      <c r="AL161" s="1192"/>
      <c r="AM161" s="1192"/>
      <c r="AN161" s="161"/>
    </row>
    <row r="162" spans="1:40" s="87" customFormat="1" ht="12.75" customHeight="1" x14ac:dyDescent="0.2">
      <c r="A162" s="488">
        <f>VLOOKUP(B162,Sheet1!$AQ$4:$AR$25,2,FALSE)</f>
        <v>0</v>
      </c>
      <c r="B162" s="93" t="str">
        <f>B23</f>
        <v>Somerset</v>
      </c>
      <c r="C162" s="85"/>
      <c r="D162" s="162">
        <f t="shared" si="61"/>
        <v>0.22270742358078602</v>
      </c>
      <c r="E162" s="162">
        <f t="shared" si="62"/>
        <v>0.13026819923371646</v>
      </c>
      <c r="F162" s="162">
        <f t="shared" si="63"/>
        <v>0.13901345291479822</v>
      </c>
      <c r="G162" s="162">
        <f t="shared" si="64"/>
        <v>0.125</v>
      </c>
      <c r="H162" s="164">
        <f t="shared" si="58"/>
        <v>0.21319796954314721</v>
      </c>
      <c r="I162" s="443"/>
      <c r="J162" s="96"/>
      <c r="K162" s="96"/>
      <c r="L162" s="166"/>
      <c r="M162" s="166"/>
      <c r="N162" s="166"/>
      <c r="O162" s="166"/>
      <c r="P162" s="166"/>
      <c r="Q162" s="166"/>
      <c r="R162" s="166"/>
      <c r="S162" s="167"/>
      <c r="T162" s="159"/>
      <c r="U162" s="1073"/>
      <c r="V162" s="139"/>
      <c r="W162" s="152"/>
      <c r="X162" s="436" t="str">
        <f t="shared" si="59"/>
        <v>Somerset</v>
      </c>
      <c r="Y162" s="372">
        <f>IF(Year1_Somerset Year1_Adoption_ceased_LAC="","",Year1_Somerset Year1_Adoption_ceased_LAC)</f>
        <v>229</v>
      </c>
      <c r="Z162" s="372">
        <f>IF(Year2_Somerset Year2_Adoption_ceased_LAC="","",Year2_Somerset Year2_Adoption_ceased_LAC)</f>
        <v>261</v>
      </c>
      <c r="AA162" s="372">
        <f>IF(Year3_Somerset Year3_Adoption_ceased_LAC="","",Year3_Somerset Year3_Adoption_ceased_LAC)</f>
        <v>223</v>
      </c>
      <c r="AB162" s="372">
        <f>IF(Year4_Somerset Year4_Adoption_ceased_LAC="","",Year4_Somerset Year4_Adoption_ceased_LAC)</f>
        <v>184</v>
      </c>
      <c r="AC162" s="372">
        <f>IF(Year5_Somerset Year5_Adoption_ceased_LAC="","",Year5_Somerset Year5_Adoption_ceased_LAC)</f>
        <v>197</v>
      </c>
      <c r="AD162" s="372" t="str">
        <f t="shared" si="60"/>
        <v>Somerset</v>
      </c>
      <c r="AE162" s="613">
        <f>IF(Year1_Somerset Year1_Adoption_LAC_Adopted="","",Year1_Somerset Year1_Adoption_LAC_Adopted)</f>
        <v>51</v>
      </c>
      <c r="AF162" s="385">
        <f>IF(Year2_Somerset Year2_Adoption_LAC_Adopted="","",Year2_Somerset Year2_Adoption_LAC_Adopted)</f>
        <v>34</v>
      </c>
      <c r="AG162" s="385">
        <f>IF(Year3_Somerset Year3_Adoption_LAC_Adopted="","",Year3_Somerset Year3_Adoption_LAC_Adopted)</f>
        <v>31</v>
      </c>
      <c r="AH162" s="385">
        <f>IF(Year4_Somerset Year4_Adoption_LAC_Adopted="","",Year4_Somerset Year4_Adoption_LAC_Adopted)</f>
        <v>23</v>
      </c>
      <c r="AI162" s="372">
        <f>IF(Year5_Somerset Year5_Adoption_LAC_Adopted="","",Year5_Somerset Year5_Adoption_LAC_Adopted)</f>
        <v>42</v>
      </c>
      <c r="AJ162" s="385"/>
      <c r="AL162" s="1192"/>
      <c r="AM162" s="1192"/>
      <c r="AN162" s="160"/>
    </row>
    <row r="163" spans="1:40" s="87" customFormat="1" ht="12.75" customHeight="1" x14ac:dyDescent="0.2">
      <c r="A163" s="488">
        <f>VLOOKUP(B163,Sheet1!$AQ$4:$AR$25,2,FALSE)</f>
        <v>0</v>
      </c>
      <c r="B163" s="93" t="str">
        <f>B24</f>
        <v>Southampton</v>
      </c>
      <c r="C163" s="85"/>
      <c r="D163" s="162">
        <f t="shared" si="61"/>
        <v>0.3073170731707317</v>
      </c>
      <c r="E163" s="162">
        <f t="shared" si="62"/>
        <v>0.34841628959276016</v>
      </c>
      <c r="F163" s="162">
        <f t="shared" si="63"/>
        <v>0.27411167512690354</v>
      </c>
      <c r="G163" s="162">
        <f t="shared" si="64"/>
        <v>0.22429906542056074</v>
      </c>
      <c r="H163" s="164">
        <f t="shared" si="58"/>
        <v>0.135678391959799</v>
      </c>
      <c r="I163" s="443"/>
      <c r="J163" s="96"/>
      <c r="K163" s="96"/>
      <c r="L163" s="166"/>
      <c r="M163" s="166"/>
      <c r="N163" s="166"/>
      <c r="O163" s="166"/>
      <c r="P163" s="166"/>
      <c r="Q163" s="166"/>
      <c r="R163" s="166"/>
      <c r="S163" s="167"/>
      <c r="T163" s="159"/>
      <c r="U163" s="1073"/>
      <c r="V163" s="139"/>
      <c r="W163" s="152"/>
      <c r="X163" s="436" t="str">
        <f t="shared" si="59"/>
        <v>Southampton</v>
      </c>
      <c r="Y163" s="372">
        <f>IF(Year1_Southampton Year1_Adoption_ceased_LAC="","",Year1_Southampton Year1_Adoption_ceased_LAC)</f>
        <v>205</v>
      </c>
      <c r="Z163" s="372">
        <f>IF(Year2_Southampton Year2_Adoption_ceased_LAC="","",Year2_Southampton Year2_Adoption_ceased_LAC)</f>
        <v>221</v>
      </c>
      <c r="AA163" s="372">
        <f>IF(Year3_Southampton Year3_Adoption_ceased_LAC="","",Year3_Southampton Year3_Adoption_ceased_LAC)</f>
        <v>197</v>
      </c>
      <c r="AB163" s="372">
        <f>IF(Year4_Southampton Year4_Adoption_ceased_LAC="","",Year4_Southampton Year4_Adoption_ceased_LAC)</f>
        <v>214</v>
      </c>
      <c r="AC163" s="372">
        <f>IF(Year5_Southampton Year5_Adoption_ceased_LAC="","",Year5_Southampton Year5_Adoption_ceased_LAC)</f>
        <v>199</v>
      </c>
      <c r="AD163" s="372" t="str">
        <f t="shared" si="60"/>
        <v>Southampton</v>
      </c>
      <c r="AE163" s="489">
        <f>IF(Year1_Southampton Year1_Adoption_LAC_Adopted="","",Year1_Southampton Year1_Adoption_LAC_Adopted)</f>
        <v>63</v>
      </c>
      <c r="AF163" s="372">
        <f>IF(Year2_Southampton Year2_Adoption_LAC_Adopted="","",Year2_Southampton Year2_Adoption_LAC_Adopted)</f>
        <v>77</v>
      </c>
      <c r="AG163" s="372">
        <f>IF(Year3_Southampton Year3_Adoption_LAC_Adopted="","",Year3_Southampton Year3_Adoption_LAC_Adopted)</f>
        <v>54</v>
      </c>
      <c r="AH163" s="372">
        <f>IF(Year4_Southampton Year4_Adoption_LAC_Adopted="","",Year4_Southampton Year4_Adoption_LAC_Adopted)</f>
        <v>48</v>
      </c>
      <c r="AI163" s="372">
        <f>IF(Year5_Southampton Year5_Adoption_LAC_Adopted="","",Year5_Southampton Year5_Adoption_LAC_Adopted)</f>
        <v>27</v>
      </c>
      <c r="AJ163" s="372"/>
      <c r="AL163" s="1192"/>
      <c r="AM163" s="1192"/>
      <c r="AN163" s="161"/>
    </row>
    <row r="164" spans="1:40" s="87" customFormat="1" ht="12.75" customHeight="1" x14ac:dyDescent="0.2">
      <c r="A164" s="488">
        <f>VLOOKUP(B164,Sheet1!$AQ$4:$AR$25,2,FALSE)</f>
        <v>0</v>
      </c>
      <c r="B164" s="93" t="str">
        <f>B25</f>
        <v>Surrey</v>
      </c>
      <c r="C164" s="85"/>
      <c r="D164" s="162">
        <f t="shared" si="61"/>
        <v>0.12592592592592591</v>
      </c>
      <c r="E164" s="162">
        <f t="shared" si="62"/>
        <v>0.12171837708830549</v>
      </c>
      <c r="F164" s="162">
        <f t="shared" si="63"/>
        <v>8.0684596577017112E-2</v>
      </c>
      <c r="G164" s="162">
        <f t="shared" si="64"/>
        <v>6.0913705583756347E-2</v>
      </c>
      <c r="H164" s="164">
        <f t="shared" si="58"/>
        <v>7.6712328767123292E-2</v>
      </c>
      <c r="I164" s="443"/>
      <c r="J164" s="96"/>
      <c r="K164" s="96"/>
      <c r="L164" s="166"/>
      <c r="M164" s="166"/>
      <c r="N164" s="166"/>
      <c r="O164" s="166"/>
      <c r="P164" s="166"/>
      <c r="Q164" s="166"/>
      <c r="R164" s="166"/>
      <c r="S164" s="167"/>
      <c r="T164" s="159"/>
      <c r="U164" s="1073"/>
      <c r="V164" s="139"/>
      <c r="W164" s="152"/>
      <c r="X164" s="436" t="str">
        <f t="shared" si="59"/>
        <v>Surrey</v>
      </c>
      <c r="Y164" s="372">
        <f>IF(Year1_Surrey Year1_Adoption_ceased_LAC="","",Year1_Surrey Year1_Adoption_ceased_LAC)</f>
        <v>405</v>
      </c>
      <c r="Z164" s="372">
        <f>IF(Year2_Surrey Year2_Adoption_ceased_LAC="","",Year2_Surrey Year2_Adoption_ceased_LAC)</f>
        <v>419</v>
      </c>
      <c r="AA164" s="372">
        <f>IF(Year3_Surrey Year3_Adoption_ceased_LAC="","",Year3_Surrey Year3_Adoption_ceased_LAC)</f>
        <v>409</v>
      </c>
      <c r="AB164" s="372">
        <f>IF(Year4_Surrey Year4_Adoption_ceased_LAC="","",Year4_Surrey Year4_Adoption_ceased_LAC)</f>
        <v>394</v>
      </c>
      <c r="AC164" s="372">
        <f>IF(Year5_Surrey Year5_Adoption_ceased_LAC="","",Year5_Surrey Year5_Adoption_ceased_LAC)</f>
        <v>365</v>
      </c>
      <c r="AD164" s="372" t="str">
        <f t="shared" si="60"/>
        <v>Surrey</v>
      </c>
      <c r="AE164" s="489">
        <f>IF(Year1_Surrey Year1_Adoption_LAC_Adopted="","",Year1_Surrey Year1_Adoption_LAC_Adopted)</f>
        <v>51</v>
      </c>
      <c r="AF164" s="372">
        <f>IF(Year2_Surrey Year2_Adoption_LAC_Adopted="","",Year2_Surrey Year2_Adoption_LAC_Adopted)</f>
        <v>51</v>
      </c>
      <c r="AG164" s="372">
        <f>IF(Year3_Surrey Year3_Adoption_LAC_Adopted="","",Year3_Surrey Year3_Adoption_LAC_Adopted)</f>
        <v>33</v>
      </c>
      <c r="AH164" s="372">
        <f>IF(Year4_Surrey Year4_Adoption_LAC_Adopted="","",Year4_Surrey Year4_Adoption_LAC_Adopted)</f>
        <v>24</v>
      </c>
      <c r="AI164" s="372">
        <f>IF(Year5_Surrey Year5_Adoption_LAC_Adopted="","",Year5_Surrey Year5_Adoption_LAC_Adopted)</f>
        <v>28</v>
      </c>
      <c r="AJ164" s="372"/>
      <c r="AL164" s="1192"/>
      <c r="AM164" s="1192"/>
      <c r="AN164" s="160"/>
    </row>
    <row r="165" spans="1:40" s="87" customFormat="1" ht="12.75" customHeight="1" x14ac:dyDescent="0.2">
      <c r="A165" s="488">
        <f>VLOOKUP(B165,Sheet1!$AQ$4:$AR$25,2,FALSE)</f>
        <v>0</v>
      </c>
      <c r="B165" s="93" t="str">
        <f>B26</f>
        <v>Swindon</v>
      </c>
      <c r="C165" s="85"/>
      <c r="D165" s="162">
        <f t="shared" si="61"/>
        <v>5.0359712230215826E-2</v>
      </c>
      <c r="E165" s="162">
        <f t="shared" si="62"/>
        <v>0.12666666666666668</v>
      </c>
      <c r="F165" s="162">
        <f t="shared" si="63"/>
        <v>0.1032258064516129</v>
      </c>
      <c r="G165" s="162">
        <f t="shared" si="64"/>
        <v>0.10738255033557047</v>
      </c>
      <c r="H165" s="164">
        <f t="shared" si="58"/>
        <v>0.18709677419354839</v>
      </c>
      <c r="I165" s="443"/>
      <c r="J165" s="96"/>
      <c r="K165" s="96"/>
      <c r="L165" s="166"/>
      <c r="M165" s="166"/>
      <c r="N165" s="166"/>
      <c r="O165" s="166"/>
      <c r="P165" s="166"/>
      <c r="Q165" s="166"/>
      <c r="R165" s="166"/>
      <c r="S165" s="167"/>
      <c r="T165" s="159"/>
      <c r="U165" s="1073"/>
      <c r="V165" s="139"/>
      <c r="W165" s="152"/>
      <c r="X165" s="436" t="str">
        <f t="shared" si="59"/>
        <v>Swindon</v>
      </c>
      <c r="Y165" s="372">
        <f>IF(Year1_Swindon Year1_Adoption_ceased_LAC="","",Year1_Swindon Year1_Adoption_ceased_LAC)</f>
        <v>139</v>
      </c>
      <c r="Z165" s="372">
        <f>IF(Year2_Swindon Year2_Adoption_ceased_LAC="","",Year2_Swindon Year2_Adoption_ceased_LAC)</f>
        <v>150</v>
      </c>
      <c r="AA165" s="372">
        <f>IF(Year3_Swindon Year3_Adoption_ceased_LAC="","",Year3_Swindon Year3_Adoption_ceased_LAC)</f>
        <v>155</v>
      </c>
      <c r="AB165" s="605">
        <f>IF(Year4_Swindon Year4_Adoption_ceased_LAC="","",Year4_Swindon Year4_Adoption_ceased_LAC)</f>
        <v>149</v>
      </c>
      <c r="AC165" s="605">
        <f>IF(Year5_Swindon Year5_Adoption_ceased_LAC="","",Year5_Swindon Year5_Adoption_ceased_LAC)</f>
        <v>155</v>
      </c>
      <c r="AD165" s="372" t="str">
        <f t="shared" si="60"/>
        <v>Swindon</v>
      </c>
      <c r="AE165" s="489">
        <f>IF(Year1_Swindon Year1_Adoption_LAC_Adopted="","",Year1_Swindon Year1_Adoption_LAC_Adopted)</f>
        <v>7</v>
      </c>
      <c r="AF165" s="372">
        <f>IF(Year2_Swindon Year2_Adoption_LAC_Adopted="","",Year2_Swindon Year2_Adoption_LAC_Adopted)</f>
        <v>19</v>
      </c>
      <c r="AG165" s="372">
        <f>IF(Year3_Swindon Year3_Adoption_LAC_Adopted="","",Year3_Swindon Year3_Adoption_LAC_Adopted)</f>
        <v>16</v>
      </c>
      <c r="AH165" s="372">
        <f>IF(Year4_Swindon Year4_Adoption_LAC_Adopted="","",Year4_Swindon Year4_Adoption_LAC_Adopted)</f>
        <v>16</v>
      </c>
      <c r="AI165" s="372">
        <f>IF(Year5_Swindon Year5_Adoption_LAC_Adopted="","",Year5_Swindon Year5_Adoption_LAC_Adopted)</f>
        <v>29</v>
      </c>
      <c r="AJ165" s="372"/>
      <c r="AL165" s="1192"/>
      <c r="AM165" s="1192"/>
      <c r="AN165" s="161"/>
    </row>
    <row r="166" spans="1:40" s="87" customFormat="1" ht="12.75" customHeight="1" x14ac:dyDescent="0.2">
      <c r="A166" s="488">
        <f>VLOOKUP(B166,Sheet1!$AQ$4:$AR$25,2,FALSE)</f>
        <v>0</v>
      </c>
      <c r="B166" s="93" t="str">
        <f>B27</f>
        <v>Torbay</v>
      </c>
      <c r="C166" s="85"/>
      <c r="D166" s="162">
        <f t="shared" si="61"/>
        <v>0.224</v>
      </c>
      <c r="E166" s="162">
        <f t="shared" si="62"/>
        <v>0.12962962962962962</v>
      </c>
      <c r="F166" s="162">
        <f t="shared" si="63"/>
        <v>0.19607843137254902</v>
      </c>
      <c r="G166" s="162">
        <f t="shared" si="64"/>
        <v>9.3220338983050849E-2</v>
      </c>
      <c r="H166" s="164">
        <f t="shared" si="58"/>
        <v>0.18439716312056736</v>
      </c>
      <c r="I166" s="443"/>
      <c r="J166" s="96"/>
      <c r="K166" s="96"/>
      <c r="L166" s="166"/>
      <c r="M166" s="166"/>
      <c r="N166" s="166"/>
      <c r="O166" s="166"/>
      <c r="P166" s="166"/>
      <c r="Q166" s="166"/>
      <c r="R166" s="166"/>
      <c r="S166" s="167"/>
      <c r="T166" s="159"/>
      <c r="U166" s="1073"/>
      <c r="V166" s="139"/>
      <c r="W166" s="152"/>
      <c r="X166" s="436" t="str">
        <f t="shared" si="59"/>
        <v>Torbay</v>
      </c>
      <c r="Y166" s="372">
        <f>IF(Year1_Torbay Year1_Adoption_ceased_LAC="","",Year1_Torbay Year1_Adoption_ceased_LAC)</f>
        <v>125</v>
      </c>
      <c r="Z166" s="372">
        <f>IF(Year2_Torbay Year2_Adoption_ceased_LAC="","",Year2_Torbay Year2_Adoption_ceased_LAC)</f>
        <v>108</v>
      </c>
      <c r="AA166" s="372">
        <f>IF(Year3_Torbay Year3_Adoption_ceased_LAC="","",Year3_Torbay Year3_Adoption_ceased_LAC)</f>
        <v>102</v>
      </c>
      <c r="AB166" s="605">
        <f>IF(Year4_Torbay Year4_Adoption_ceased_LAC="","",Year4_Torbay Year4_Adoption_ceased_LAC)</f>
        <v>118</v>
      </c>
      <c r="AC166" s="605">
        <f>IF(Year5_Torbay Year5_Adoption_ceased_LAC="","",Year5_Torbay Year5_Adoption_ceased_LAC)</f>
        <v>141</v>
      </c>
      <c r="AD166" s="372" t="str">
        <f t="shared" si="60"/>
        <v>Torbay</v>
      </c>
      <c r="AE166" s="489">
        <f>IF(Year1_Torbay Year1_Adoption_LAC_Adopted="","",Year1_Torbay Year1_Adoption_LAC_Adopted)</f>
        <v>28</v>
      </c>
      <c r="AF166" s="372">
        <f>IF(Year2_Torbay Year2_Adoption_LAC_Adopted="","",Year2_Torbay Year2_Adoption_LAC_Adopted)</f>
        <v>14</v>
      </c>
      <c r="AG166" s="372">
        <f>IF(Year3_Torbay Year3_Adoption_LAC_Adopted="","",Year3_Torbay Year3_Adoption_LAC_Adopted)</f>
        <v>20</v>
      </c>
      <c r="AH166" s="372">
        <f>IF(Year4_Torbay Year4_Adoption_LAC_Adopted="","",Year4_Torbay Year4_Adoption_LAC_Adopted)</f>
        <v>11</v>
      </c>
      <c r="AI166" s="372">
        <f>IF(Year5_Torbay Year5_Adoption_LAC_Adopted="","",Year5_Torbay Year5_Adoption_LAC_Adopted)</f>
        <v>26</v>
      </c>
      <c r="AJ166" s="372"/>
      <c r="AL166" s="1192"/>
      <c r="AM166" s="1192"/>
      <c r="AN166" s="160"/>
    </row>
    <row r="167" spans="1:40" s="87" customFormat="1" ht="12.75" customHeight="1" x14ac:dyDescent="0.2">
      <c r="A167" s="488">
        <f>VLOOKUP(B167,Sheet1!$AQ$4:$AR$25,2,FALSE)</f>
        <v>0</v>
      </c>
      <c r="B167" s="93" t="str">
        <f>B28</f>
        <v>West Berkshire</v>
      </c>
      <c r="C167" s="85"/>
      <c r="D167" s="162">
        <f t="shared" si="61"/>
        <v>0.10144927536231885</v>
      </c>
      <c r="E167" s="162">
        <f t="shared" si="62"/>
        <v>0.16216216216216217</v>
      </c>
      <c r="F167" s="162" t="e">
        <f t="shared" si="63"/>
        <v>#N/A</v>
      </c>
      <c r="G167" s="162">
        <f t="shared" si="64"/>
        <v>0.11320754716981132</v>
      </c>
      <c r="H167" s="164">
        <f t="shared" si="58"/>
        <v>8.1081081081081086E-2</v>
      </c>
      <c r="I167" s="443"/>
      <c r="J167" s="96"/>
      <c r="K167" s="96"/>
      <c r="L167" s="166"/>
      <c r="M167" s="166"/>
      <c r="N167" s="166"/>
      <c r="O167" s="166"/>
      <c r="P167" s="166"/>
      <c r="Q167" s="166"/>
      <c r="R167" s="166"/>
      <c r="S167" s="167"/>
      <c r="T167" s="159"/>
      <c r="U167" s="1073"/>
      <c r="V167" s="139"/>
      <c r="W167" s="152"/>
      <c r="X167" s="436" t="str">
        <f t="shared" si="59"/>
        <v>West Berkshire</v>
      </c>
      <c r="Y167" s="372">
        <f>IF(Year1_West_Berkshire Year1_Adoption_ceased_LAC="","",Year1_West_Berkshire Year1_Adoption_ceased_LAC)</f>
        <v>69</v>
      </c>
      <c r="Z167" s="372">
        <f>IF(Year2_West_Berkshire Year2_Adoption_ceased_LAC="","",Year2_West_Berkshire Year2_Adoption_ceased_LAC)</f>
        <v>74</v>
      </c>
      <c r="AA167" s="372">
        <f>IF(Year3_West_Berkshire Year3_Adoption_ceased_LAC="","",Year3_West_Berkshire Year3_Adoption_ceased_LAC)</f>
        <v>86</v>
      </c>
      <c r="AB167" s="372">
        <f>IF(Year4_West_Berkshire Year4_Adoption_ceased_LAC="","",Year4_West_Berkshire Year4_Adoption_ceased_LAC)</f>
        <v>53</v>
      </c>
      <c r="AC167" s="372">
        <f>IF(Year5_West_Berkshire Year5_Adoption_ceased_LAC="","",Year5_West_Berkshire Year5_Adoption_ceased_LAC)</f>
        <v>74</v>
      </c>
      <c r="AD167" s="372" t="str">
        <f t="shared" si="60"/>
        <v>West Berkshire</v>
      </c>
      <c r="AE167" s="489">
        <f>IF(Year1_West_Berkshire Year1_Adoption_LAC_Adopted="","",Year1_West_Berkshire Year1_Adoption_LAC_Adopted)</f>
        <v>7</v>
      </c>
      <c r="AF167" s="372">
        <f>IF(Year2_West_Berkshire Year2_Adoption_LAC_Adopted="","",Year2_West_Berkshire Year2_Adoption_LAC_Adopted)</f>
        <v>12</v>
      </c>
      <c r="AG167" s="372" t="str">
        <f>IF(Year3_West_Berkshire Year3_Adoption_LAC_Adopted="","",Year3_West_Berkshire Year3_Adoption_LAC_Adopted)</f>
        <v>x</v>
      </c>
      <c r="AH167" s="372">
        <f>IF(Year4_West_Berkshire Year4_Adoption_LAC_Adopted="","",Year4_West_Berkshire Year4_Adoption_LAC_Adopted)</f>
        <v>6</v>
      </c>
      <c r="AI167" s="580">
        <f>IF(Year5_West_Berkshire Year5_Adoption_LAC_Adopted="","",Year5_West_Berkshire Year5_Adoption_LAC_Adopted)</f>
        <v>6</v>
      </c>
      <c r="AJ167" s="372"/>
      <c r="AL167" s="1193"/>
      <c r="AM167" s="1193"/>
      <c r="AN167" s="161"/>
    </row>
    <row r="168" spans="1:40" s="87" customFormat="1" ht="12.75" customHeight="1" x14ac:dyDescent="0.2">
      <c r="A168" s="488">
        <f>VLOOKUP(B168,Sheet1!$AQ$4:$AR$25,2,FALSE)</f>
        <v>0</v>
      </c>
      <c r="B168" s="93" t="str">
        <f>B29</f>
        <v>West Sussex</v>
      </c>
      <c r="C168" s="85"/>
      <c r="D168" s="162">
        <f t="shared" si="61"/>
        <v>8.549222797927461E-2</v>
      </c>
      <c r="E168" s="162">
        <f t="shared" si="62"/>
        <v>0.12885154061624648</v>
      </c>
      <c r="F168" s="162">
        <f t="shared" si="63"/>
        <v>0.10355029585798817</v>
      </c>
      <c r="G168" s="162">
        <f t="shared" si="64"/>
        <v>0.11864406779661017</v>
      </c>
      <c r="H168" s="164">
        <f t="shared" si="58"/>
        <v>0.10985915492957747</v>
      </c>
      <c r="I168" s="443"/>
      <c r="J168" s="96"/>
      <c r="K168" s="96"/>
      <c r="L168" s="166"/>
      <c r="M168" s="166"/>
      <c r="N168" s="166"/>
      <c r="O168" s="166"/>
      <c r="P168" s="166"/>
      <c r="Q168" s="166"/>
      <c r="R168" s="166"/>
      <c r="S168" s="167"/>
      <c r="T168" s="159"/>
      <c r="U168" s="1073"/>
      <c r="V168" s="139"/>
      <c r="W168" s="152"/>
      <c r="X168" s="436" t="str">
        <f t="shared" si="59"/>
        <v>West Sussex</v>
      </c>
      <c r="Y168" s="372">
        <f>IF(Year1_West_Sussex Year1_Adoption_ceased_LAC="","",Year1_West_Sussex Year1_Adoption_ceased_LAC)</f>
        <v>386</v>
      </c>
      <c r="Z168" s="372">
        <f>IF(Year2_West_Sussex Year2_Adoption_ceased_LAC="","",Year2_West_Sussex Year2_Adoption_ceased_LAC)</f>
        <v>357</v>
      </c>
      <c r="AA168" s="372">
        <f>IF(Year3_West_Sussex Year3_Adoption_ceased_LAC="","",Year3_West_Sussex Year3_Adoption_ceased_LAC)</f>
        <v>338</v>
      </c>
      <c r="AB168" s="372">
        <f>IF(Year4_West_Sussex Year4_Adoption_ceased_LAC="","",Year4_West_Sussex Year4_Adoption_ceased_LAC)</f>
        <v>354</v>
      </c>
      <c r="AC168" s="372">
        <f>IF(Year5_West_Sussex Year5_Adoption_ceased_LAC="","",Year5_West_Sussex Year5_Adoption_ceased_LAC)</f>
        <v>355</v>
      </c>
      <c r="AD168" s="372" t="str">
        <f t="shared" si="60"/>
        <v>West Sussex</v>
      </c>
      <c r="AE168" s="489">
        <f>IF(Year1_West_Sussex Year1_Adoption_LAC_Adopted="","",Year1_West_Sussex Year1_Adoption_LAC_Adopted)</f>
        <v>33</v>
      </c>
      <c r="AF168" s="372">
        <f>IF(Year2_West_Sussex Year2_Adoption_LAC_Adopted="","",Year2_West_Sussex Year2_Adoption_LAC_Adopted)</f>
        <v>46</v>
      </c>
      <c r="AG168" s="372">
        <f>IF(Year3_West_Sussex Year3_Adoption_LAC_Adopted="","",Year3_West_Sussex Year3_Adoption_LAC_Adopted)</f>
        <v>35</v>
      </c>
      <c r="AH168" s="372">
        <f>IF(Year4_West_Sussex Year4_Adoption_LAC_Adopted="","",Year4_West_Sussex Year4_Adoption_LAC_Adopted)</f>
        <v>42</v>
      </c>
      <c r="AI168" s="580">
        <f>IF(Year5_West_Sussex Year5_Adoption_LAC_Adopted="","",Year5_West_Sussex Year5_Adoption_LAC_Adopted)</f>
        <v>39</v>
      </c>
      <c r="AJ168" s="372"/>
      <c r="AL168" s="1193"/>
      <c r="AM168" s="1193"/>
      <c r="AN168" s="160"/>
    </row>
    <row r="169" spans="1:40" s="87" customFormat="1" ht="12.75" customHeight="1" x14ac:dyDescent="0.2">
      <c r="A169" s="488">
        <f>VLOOKUP(B169,Sheet1!$AQ$4:$AR$25,2,FALSE)</f>
        <v>0</v>
      </c>
      <c r="B169" s="93" t="str">
        <f>B30</f>
        <v>Windsor &amp; Maidenhead</v>
      </c>
      <c r="C169" s="85"/>
      <c r="D169" s="162">
        <f t="shared" si="61"/>
        <v>0.16279069767441862</v>
      </c>
      <c r="E169" s="162">
        <f t="shared" si="62"/>
        <v>0.17142857142857143</v>
      </c>
      <c r="F169" s="162" t="e">
        <f t="shared" si="63"/>
        <v>#N/A</v>
      </c>
      <c r="G169" s="162">
        <f t="shared" si="64"/>
        <v>0.13461538461538461</v>
      </c>
      <c r="H169" s="164">
        <f t="shared" si="58"/>
        <v>0</v>
      </c>
      <c r="I169" s="443"/>
      <c r="J169" s="96"/>
      <c r="K169" s="96"/>
      <c r="L169" s="166"/>
      <c r="M169" s="166"/>
      <c r="N169" s="166"/>
      <c r="O169" s="166"/>
      <c r="P169" s="166"/>
      <c r="Q169" s="166"/>
      <c r="R169" s="166"/>
      <c r="S169" s="167"/>
      <c r="T169" s="159"/>
      <c r="U169" s="1073"/>
      <c r="V169" s="139"/>
      <c r="W169" s="152"/>
      <c r="X169" s="436" t="str">
        <f t="shared" si="59"/>
        <v>Windsor &amp; Maidenhead</v>
      </c>
      <c r="Y169" s="372">
        <f>IF(Year1_Windsor_Maidenhead Year1_Adoption_ceased_LAC="","",Year1_Windsor_Maidenhead Year1_Adoption_ceased_LAC)</f>
        <v>43</v>
      </c>
      <c r="Z169" s="372">
        <f>IF(Year2_Windsor_Maidenhead Year2_Adoption_ceased_LAC="","",Year2_Windsor_Maidenhead Year2_Adoption_ceased_LAC)</f>
        <v>35</v>
      </c>
      <c r="AA169" s="372">
        <f>IF(Year3_Windsor_Maidenhead Year3_Adoption_ceased_LAC="","",Year3_Windsor_Maidenhead Year3_Adoption_ceased_LAC)</f>
        <v>49</v>
      </c>
      <c r="AB169" s="372">
        <f>IF(Year4_Windsor_Maidenhead Year4_Adoption_ceased_LAC="","",Year4_Windsor_Maidenhead Year4_Adoption_ceased_LAC)</f>
        <v>52</v>
      </c>
      <c r="AC169" s="372">
        <f>IF(Year5_Windsor_Maidenhead Year5_Adoption_ceased_LAC="","",Year5_Windsor_Maidenhead Year5_Adoption_ceased_LAC)</f>
        <v>62</v>
      </c>
      <c r="AD169" s="372" t="str">
        <f t="shared" si="60"/>
        <v>Windsor &amp; Maidenhead</v>
      </c>
      <c r="AE169" s="489">
        <f>IF(Year1_Windsor_Maidenhead Year1_Adoption_LAC_Adopted="","",Year1_Windsor_Maidenhead Year1_Adoption_LAC_Adopted)</f>
        <v>7</v>
      </c>
      <c r="AF169" s="372">
        <f>IF(Year2_Windsor_Maidenhead Year2_Adoption_LAC_Adopted="","",Year2_Windsor_Maidenhead Year2_Adoption_LAC_Adopted)</f>
        <v>6</v>
      </c>
      <c r="AG169" s="372" t="str">
        <f>IF(Year3_Windsor_Maidenhead Year3_Adoption_LAC_Adopted="","",Year3_Windsor_Maidenhead Year3_Adoption_LAC_Adopted)</f>
        <v>x</v>
      </c>
      <c r="AH169" s="372">
        <f>IF(Year4_Windsor_Maidenhead Year4_Adoption_LAC_Adopted="","",Year4_Windsor_Maidenhead Year4_Adoption_LAC_Adopted)</f>
        <v>7</v>
      </c>
      <c r="AI169" s="580">
        <f>IF(Year5_Windsor_Maidenhead Year5_Adoption_LAC_Adopted="","",Year5_Windsor_Maidenhead Year5_Adoption_LAC_Adopted)</f>
        <v>0</v>
      </c>
      <c r="AJ169" s="372"/>
      <c r="AL169" s="1193"/>
      <c r="AM169" s="1193"/>
      <c r="AN169" s="161"/>
    </row>
    <row r="170" spans="1:40" s="87" customFormat="1" ht="12.75" customHeight="1" x14ac:dyDescent="0.2">
      <c r="A170" s="488">
        <f>VLOOKUP(B170,Sheet1!$AQ$4:$AR$25,2,FALSE)</f>
        <v>0</v>
      </c>
      <c r="B170" s="93" t="str">
        <f>B31</f>
        <v>Wokingham</v>
      </c>
      <c r="C170" s="85"/>
      <c r="D170" s="162" t="e">
        <f t="shared" si="61"/>
        <v>#N/A</v>
      </c>
      <c r="E170" s="162" t="e">
        <f t="shared" si="62"/>
        <v>#N/A</v>
      </c>
      <c r="F170" s="162" t="e">
        <f t="shared" si="63"/>
        <v>#N/A</v>
      </c>
      <c r="G170" s="162" t="e">
        <f t="shared" si="64"/>
        <v>#N/A</v>
      </c>
      <c r="H170" s="164">
        <f t="shared" si="58"/>
        <v>0.10909090909090909</v>
      </c>
      <c r="I170" s="443"/>
      <c r="J170" s="96"/>
      <c r="K170" s="96"/>
      <c r="L170" s="166"/>
      <c r="M170" s="166"/>
      <c r="N170" s="166"/>
      <c r="O170" s="166"/>
      <c r="P170" s="166"/>
      <c r="Q170" s="166"/>
      <c r="R170" s="166"/>
      <c r="S170" s="167"/>
      <c r="T170" s="159"/>
      <c r="U170" s="1073"/>
      <c r="V170" s="139"/>
      <c r="W170" s="152"/>
      <c r="X170" s="436" t="str">
        <f t="shared" si="59"/>
        <v>Wokingham</v>
      </c>
      <c r="Y170" s="372">
        <f>IF(Year1_Wokingham Year1_Adoption_ceased_LAC="","",Year1_Wokingham Year1_Adoption_ceased_LAC)</f>
        <v>34</v>
      </c>
      <c r="Z170" s="372">
        <f>IF(Year2_Wokingham Year2_Adoption_ceased_LAC="","",Year2_Wokingham Year2_Adoption_ceased_LAC)</f>
        <v>31</v>
      </c>
      <c r="AA170" s="372">
        <f>IF(Year3_Wokingham Year3_Adoption_ceased_LAC="","",Year3_Wokingham Year3_Adoption_ceased_LAC)</f>
        <v>36</v>
      </c>
      <c r="AB170" s="372">
        <f>IF(Year4_Wokingham Year4_Adoption_ceased_LAC="","",Year4_Wokingham Year4_Adoption_ceased_LAC)</f>
        <v>58</v>
      </c>
      <c r="AC170" s="372">
        <f>IF(Year5_Wokingham Year5_Adoption_ceased_LAC="","",Year5_Wokingham Year5_Adoption_ceased_LAC)</f>
        <v>55</v>
      </c>
      <c r="AD170" s="372" t="str">
        <f t="shared" si="60"/>
        <v>Wokingham</v>
      </c>
      <c r="AE170" s="489" t="str">
        <f>IF(Year1_Wokingham Year1_Adoption_LAC_Adopted="","",Year1_Wokingham Year1_Adoption_LAC_Adopted)</f>
        <v>c</v>
      </c>
      <c r="AF170" s="372" t="str">
        <f>IF(Year2_Wokingham Year2_Adoption_LAC_Adopted="","",Year2_Wokingham Year2_Adoption_LAC_Adopted)</f>
        <v>x</v>
      </c>
      <c r="AG170" s="372" t="str">
        <f>IF(Year3_Wokingham Year3_Adoption_LAC_Adopted="","",Year3_Wokingham Year3_Adoption_LAC_Adopted)</f>
        <v>x</v>
      </c>
      <c r="AH170" s="372" t="str">
        <f>IF(Year4_Wokingham Year4_Adoption_LAC_Adopted="","",Year4_Wokingham Year4_Adoption_LAC_Adopted)</f>
        <v>x</v>
      </c>
      <c r="AI170" s="580">
        <f>IF(Year5_Wokingham Year5_Adoption_LAC_Adopted="","",Year5_Wokingham Year5_Adoption_LAC_Adopted)</f>
        <v>6</v>
      </c>
      <c r="AJ170" s="372"/>
      <c r="AL170" s="1193"/>
      <c r="AM170" s="1193"/>
      <c r="AN170" s="160"/>
    </row>
    <row r="171" spans="1:40" s="87" customFormat="1" ht="12.75" customHeight="1" x14ac:dyDescent="0.2">
      <c r="A171" s="292"/>
      <c r="B171" s="129" t="str">
        <f>B32</f>
        <v>South East</v>
      </c>
      <c r="C171" s="85"/>
      <c r="D171" s="163">
        <f t="shared" si="61"/>
        <v>0.14193548387096774</v>
      </c>
      <c r="E171" s="163">
        <f t="shared" si="62"/>
        <v>0.13118279569892474</v>
      </c>
      <c r="F171" s="163">
        <f t="shared" si="63"/>
        <v>0.12296983758700696</v>
      </c>
      <c r="G171" s="163">
        <f t="shared" si="64"/>
        <v>0.12318840579710146</v>
      </c>
      <c r="H171" s="165">
        <f t="shared" si="58"/>
        <v>0.11032863849765258</v>
      </c>
      <c r="I171" s="443"/>
      <c r="J171" s="96"/>
      <c r="K171" s="96"/>
      <c r="L171" s="168"/>
      <c r="M171" s="168"/>
      <c r="N171" s="168"/>
      <c r="O171" s="168"/>
      <c r="P171" s="168"/>
      <c r="Q171" s="168"/>
      <c r="R171" s="168"/>
      <c r="S171" s="169"/>
      <c r="T171" s="159"/>
      <c r="U171" s="1073"/>
      <c r="V171" s="139"/>
      <c r="W171" s="152"/>
      <c r="X171" s="436" t="str">
        <f t="shared" si="59"/>
        <v>South East</v>
      </c>
      <c r="Y171" s="632">
        <f>IF(Year1_SouthEast Year1_Adoption_ceased_LAC="","",Year1_SouthEast Year1_Adoption_ceased_LAC)</f>
        <v>4650</v>
      </c>
      <c r="Z171" s="631">
        <f>IF(Year2_SouthEast Year2_Adoption_ceased_LAC="","",Year2_SouthEast Year2_Adoption_ceased_LAC)</f>
        <v>4650</v>
      </c>
      <c r="AA171" s="631">
        <f>IF(Year3_SouthEast Year3_Adoption_ceased_LAC="","",Year3_SouthEast Year3_Adoption_ceased_LAC)</f>
        <v>4310</v>
      </c>
      <c r="AB171" s="372">
        <f>IF(Year4_SouthEast Year4_Adoption_ceased_LAC="","",Year4_SouthEast Year4_Adoption_ceased_LAC)</f>
        <v>4140</v>
      </c>
      <c r="AC171" s="372">
        <f>IF(Year5_SouthEast Year5_Adoption_ceased_LAC="","",Year5_SouthEast Year5_Adoption_ceased_LAC)</f>
        <v>4260</v>
      </c>
      <c r="AD171" s="372" t="str">
        <f t="shared" si="60"/>
        <v>South East</v>
      </c>
      <c r="AE171" s="372">
        <f>IF(Year1_SouthEast Year1_Adoption_LAC_Adopted="","",Year1_SouthEast Year1_Adoption_LAC_Adopted)</f>
        <v>660</v>
      </c>
      <c r="AF171" s="372">
        <f>IF(Year2_SouthEast Year2_Adoption_LAC_Adopted="","",Year2_SouthEast Year2_Adoption_LAC_Adopted)</f>
        <v>610</v>
      </c>
      <c r="AG171" s="372">
        <f>IF(Year3_SouthEast Year3_Adoption_LAC_Adopted="","",Year3_SouthEast Year3_Adoption_LAC_Adopted)</f>
        <v>530</v>
      </c>
      <c r="AH171" s="372">
        <f>IF(Year4_SouthEast Year4_Adoption_LAC_Adopted="","",Year4_SouthEast Year4_Adoption_LAC_Adopted)</f>
        <v>510</v>
      </c>
      <c r="AI171" s="580">
        <f>IF(Year5_SouthEast Year5_Adoption_LAC_Adopted="","",Year5_SouthEast Year5_Adoption_LAC_Adopted)</f>
        <v>470</v>
      </c>
      <c r="AJ171" s="372"/>
      <c r="AL171" s="1193"/>
      <c r="AM171" s="1193"/>
      <c r="AN171" s="161"/>
    </row>
    <row r="172" spans="1:40" s="87" customFormat="1" ht="12.75" x14ac:dyDescent="0.2">
      <c r="A172" s="292"/>
      <c r="B172" s="329" t="str">
        <f>B33</f>
        <v>England</v>
      </c>
      <c r="C172" s="85"/>
      <c r="D172" s="351">
        <f t="shared" si="61"/>
        <v>0.14783427495291901</v>
      </c>
      <c r="E172" s="351">
        <f t="shared" si="62"/>
        <v>0.13917197452229299</v>
      </c>
      <c r="F172" s="351">
        <f t="shared" si="63"/>
        <v>0.1281198003327787</v>
      </c>
      <c r="G172" s="351">
        <f t="shared" si="64"/>
        <v>0.12118126272912423</v>
      </c>
      <c r="H172" s="352">
        <f>IF(AND(ISNUMBER(AI172),ISNUMBER(AC172)),AI172/AC172,NA())</f>
        <v>0.1165934437309902</v>
      </c>
      <c r="I172" s="1045"/>
      <c r="J172" s="96"/>
      <c r="K172" s="96"/>
      <c r="L172" s="168"/>
      <c r="M172" s="168"/>
      <c r="N172" s="168"/>
      <c r="O172" s="168"/>
      <c r="P172" s="168"/>
      <c r="Q172" s="168"/>
      <c r="R172" s="168"/>
      <c r="S172" s="169"/>
      <c r="T172" s="159"/>
      <c r="U172" s="1073"/>
      <c r="V172" s="139"/>
      <c r="W172" s="152"/>
      <c r="X172" s="436" t="str">
        <f t="shared" si="59"/>
        <v>England</v>
      </c>
      <c r="Y172" s="632">
        <f>IF(Year1_England Year1_Adoption_ceased_LAC="","",Year1_England Year1_Adoption_ceased_LAC)</f>
        <v>31860</v>
      </c>
      <c r="Z172" s="631">
        <f>IF(Year2_England Year2_Adoption_ceased_LAC="","",Year2_England Year2_Adoption_ceased_LAC)</f>
        <v>31400</v>
      </c>
      <c r="AA172" s="631">
        <f>IF(Year3_England Year3_Adoption_ceased_LAC="","",Year3_England Year3_Adoption_ceased_LAC)</f>
        <v>30050</v>
      </c>
      <c r="AB172" s="372">
        <f>IF(Year4_England Year4_Adoption_ceased_LAC="","",Year4_England Year4_Adoption_ceased_LAC)</f>
        <v>29460</v>
      </c>
      <c r="AC172" s="372">
        <f>IF(Year5_England Year5_Adoption_ceased_LAC="","",Year5_England Year5_Adoption_ceased_LAC)</f>
        <v>29590</v>
      </c>
      <c r="AD172" s="372" t="str">
        <f t="shared" si="60"/>
        <v>England</v>
      </c>
      <c r="AE172" s="607">
        <f>IF(Year1_England Year1_Adoption_LAC_Adopted="","",Year1_England Year1_Adoption_LAC_Adopted)</f>
        <v>4710</v>
      </c>
      <c r="AF172" s="607">
        <f>IF(Year2_England Year2_Adoption_LAC_Adopted="","",Year2_England Year2_Adoption_LAC_Adopted)</f>
        <v>4370</v>
      </c>
      <c r="AG172" s="372">
        <f>IF(Year3_England Year3_Adoption_LAC_Adopted="","",Year3_England Year3_Adoption_LAC_Adopted)</f>
        <v>3850</v>
      </c>
      <c r="AH172" s="372">
        <f>IF(Year4_England Year4_Adoption_LAC_Adopted="","",Year4_England Year4_Adoption_LAC_Adopted)</f>
        <v>3570</v>
      </c>
      <c r="AI172" s="580">
        <f>IF(Year5_England Year5_Adoption_LAC_Adopted="","",Year5_England Year5_Adoption_LAC_Adopted)</f>
        <v>3450</v>
      </c>
      <c r="AJ172" s="372"/>
      <c r="AL172" s="1193"/>
      <c r="AM172" s="1193"/>
      <c r="AN172" s="160"/>
    </row>
    <row r="173" spans="1:40" s="87" customFormat="1" ht="7.5" customHeight="1" x14ac:dyDescent="0.2">
      <c r="A173" s="292"/>
      <c r="B173" s="96"/>
      <c r="C173" s="96"/>
      <c r="D173" s="96"/>
      <c r="E173" s="96"/>
      <c r="F173" s="96"/>
      <c r="G173" s="96"/>
      <c r="H173" s="96"/>
      <c r="I173" s="96"/>
      <c r="J173" s="96"/>
      <c r="K173" s="96"/>
      <c r="L173" s="168"/>
      <c r="M173" s="168"/>
      <c r="N173" s="168"/>
      <c r="O173" s="168"/>
      <c r="P173" s="168"/>
      <c r="Q173" s="168"/>
      <c r="R173" s="168"/>
      <c r="S173" s="169"/>
      <c r="T173" s="159"/>
      <c r="U173" s="1073"/>
      <c r="V173" s="139"/>
      <c r="W173" s="152"/>
      <c r="X173" s="436"/>
      <c r="Y173" s="372"/>
      <c r="Z173" s="372"/>
      <c r="AA173" s="372"/>
      <c r="AB173" s="372"/>
      <c r="AC173" s="372"/>
      <c r="AD173" s="372"/>
      <c r="AE173" s="1496"/>
      <c r="AF173" s="372"/>
      <c r="AG173" s="372"/>
      <c r="AH173" s="372"/>
      <c r="AI173" s="580"/>
      <c r="AK173" s="184"/>
      <c r="AL173" s="184"/>
      <c r="AM173" s="184"/>
      <c r="AN173" s="160"/>
    </row>
    <row r="174" spans="1:40" s="81" customFormat="1" ht="36.75" customHeight="1" x14ac:dyDescent="0.2">
      <c r="A174" s="463"/>
      <c r="B174" s="392"/>
      <c r="C174" s="392"/>
      <c r="D174" s="392"/>
      <c r="E174" s="392"/>
      <c r="F174" s="392"/>
      <c r="G174" s="392"/>
      <c r="H174" s="392"/>
      <c r="I174" s="392"/>
      <c r="J174" s="392"/>
      <c r="K174" s="172"/>
      <c r="L174" s="172"/>
      <c r="M174" s="172"/>
      <c r="N174" s="172"/>
      <c r="O174" s="172"/>
      <c r="P174" s="172"/>
      <c r="Q174" s="172"/>
      <c r="R174" s="172"/>
      <c r="S174" s="136"/>
      <c r="T174" s="172"/>
      <c r="U174" s="1071"/>
      <c r="V174" s="137"/>
      <c r="W174" s="150"/>
      <c r="AC174" s="197"/>
      <c r="AD174" s="199"/>
      <c r="AE174" s="184"/>
      <c r="AF174" s="184"/>
      <c r="AG174" s="184"/>
      <c r="AK174" s="184"/>
      <c r="AL174" s="184"/>
      <c r="AM174" s="184"/>
      <c r="AN174" s="161"/>
    </row>
    <row r="175" spans="1:40" s="81" customFormat="1" ht="36.75" customHeight="1" x14ac:dyDescent="0.2">
      <c r="A175" s="463"/>
      <c r="B175" s="392"/>
      <c r="C175" s="392"/>
      <c r="D175" s="392"/>
      <c r="E175" s="392"/>
      <c r="F175" s="392"/>
      <c r="G175" s="392"/>
      <c r="H175" s="392"/>
      <c r="I175" s="392"/>
      <c r="J175" s="392"/>
      <c r="K175" s="172"/>
      <c r="L175" s="172"/>
      <c r="M175" s="172"/>
      <c r="N175" s="172"/>
      <c r="O175" s="172"/>
      <c r="P175" s="172"/>
      <c r="Q175" s="172"/>
      <c r="R175" s="172"/>
      <c r="S175" s="136"/>
      <c r="T175" s="172"/>
      <c r="U175" s="1071"/>
      <c r="V175" s="137"/>
      <c r="W175" s="150"/>
      <c r="Y175" s="190"/>
      <c r="AD175" s="199"/>
      <c r="AE175" s="184"/>
      <c r="AF175" s="184"/>
      <c r="AG175" s="184"/>
      <c r="AK175" s="184"/>
      <c r="AL175" s="184"/>
      <c r="AM175" s="184"/>
      <c r="AN175" s="161"/>
    </row>
    <row r="176" spans="1:40" s="81" customFormat="1" ht="42" customHeight="1" x14ac:dyDescent="0.2">
      <c r="A176" s="463"/>
      <c r="B176" s="392"/>
      <c r="C176" s="392"/>
      <c r="D176" s="392"/>
      <c r="E176" s="392"/>
      <c r="F176" s="392"/>
      <c r="G176" s="392"/>
      <c r="H176" s="392"/>
      <c r="I176" s="392"/>
      <c r="J176" s="392"/>
      <c r="K176" s="172"/>
      <c r="L176" s="172"/>
      <c r="M176" s="172"/>
      <c r="N176" s="172"/>
      <c r="O176" s="172"/>
      <c r="P176" s="172"/>
      <c r="Q176" s="172"/>
      <c r="R176" s="172"/>
      <c r="S176" s="136"/>
      <c r="T176" s="172"/>
      <c r="U176" s="1071"/>
      <c r="V176" s="137"/>
      <c r="W176" s="150"/>
      <c r="Y176" s="190"/>
      <c r="AD176" s="199"/>
      <c r="AE176" s="184"/>
      <c r="AF176" s="184"/>
      <c r="AG176" s="184"/>
      <c r="AK176" s="184"/>
      <c r="AL176" s="184"/>
      <c r="AM176" s="184"/>
      <c r="AN176" s="161"/>
    </row>
    <row r="177" spans="1:66" s="81" customFormat="1" ht="7.5" customHeight="1" x14ac:dyDescent="0.2">
      <c r="A177" s="278"/>
      <c r="B177" s="17"/>
      <c r="C177" s="17"/>
      <c r="D177" s="16"/>
      <c r="E177" s="16"/>
      <c r="F177" s="16"/>
      <c r="G177" s="16"/>
      <c r="H177" s="16"/>
      <c r="I177" s="16"/>
      <c r="J177" s="16"/>
      <c r="K177" s="12"/>
      <c r="L177" s="18"/>
      <c r="M177" s="18"/>
      <c r="N177" s="18"/>
      <c r="O177" s="18"/>
      <c r="P177" s="18"/>
      <c r="Q177" s="18"/>
      <c r="R177" s="18"/>
      <c r="S177" s="18"/>
      <c r="T177" s="18"/>
      <c r="U177" s="1070"/>
      <c r="V177" s="137"/>
      <c r="W177" s="150"/>
      <c r="Y177" s="190"/>
      <c r="AK177" s="184"/>
      <c r="AL177" s="184"/>
      <c r="AM177" s="184"/>
      <c r="AN177" s="157"/>
      <c r="AO177" s="74"/>
      <c r="AP177" s="74"/>
      <c r="AQ177" s="74"/>
      <c r="AR177" s="74"/>
      <c r="AS177" s="74"/>
      <c r="AT177" s="74"/>
      <c r="AU177" s="74"/>
    </row>
    <row r="178" spans="1:66" s="81" customFormat="1" ht="15" customHeight="1" x14ac:dyDescent="0.2">
      <c r="A178" s="1775"/>
      <c r="B178" s="1760"/>
      <c r="C178" s="1760"/>
      <c r="D178" s="1760"/>
      <c r="E178" s="1760"/>
      <c r="F178" s="1760"/>
      <c r="G178" s="1760"/>
      <c r="H178" s="1760"/>
      <c r="I178" s="1760"/>
      <c r="J178" s="1760"/>
      <c r="K178" s="1760"/>
      <c r="L178" s="1760"/>
      <c r="M178" s="1760"/>
      <c r="N178" s="1760"/>
      <c r="O178" s="1760"/>
      <c r="P178" s="1760"/>
      <c r="Q178" s="1760"/>
      <c r="R178" s="1760"/>
      <c r="S178" s="1760"/>
      <c r="T178" s="1760"/>
      <c r="U178" s="1761"/>
      <c r="V178" s="137"/>
      <c r="W178" s="150"/>
      <c r="AN178" s="161"/>
      <c r="AW178" s="74"/>
    </row>
    <row r="179" spans="1:66" s="81" customFormat="1" ht="11.25" customHeight="1" x14ac:dyDescent="0.2">
      <c r="A179" s="1776" t="str">
        <f>Home!$A$39</f>
        <v xml:space="preserve"> </v>
      </c>
      <c r="B179" s="1768"/>
      <c r="C179" s="1768"/>
      <c r="D179" s="1768"/>
      <c r="E179" s="1768"/>
      <c r="F179" s="1768"/>
      <c r="G179" s="1768"/>
      <c r="H179" s="1768"/>
      <c r="I179" s="1768"/>
      <c r="J179" s="1768"/>
      <c r="K179" s="1768"/>
      <c r="L179" s="1768"/>
      <c r="M179" s="1768"/>
      <c r="N179" s="1768"/>
      <c r="O179" s="1768"/>
      <c r="P179" s="1768"/>
      <c r="Q179" s="1768"/>
      <c r="R179" s="1768"/>
      <c r="S179" s="1768"/>
      <c r="T179" s="1768"/>
      <c r="U179" s="1848"/>
      <c r="V179" s="137"/>
      <c r="W179" s="150"/>
      <c r="AK179" s="184"/>
      <c r="AL179" s="184"/>
      <c r="AM179" s="184"/>
      <c r="AN179" s="160"/>
      <c r="AO179" s="87"/>
      <c r="AW179" s="74"/>
    </row>
    <row r="180" spans="1:66" ht="11.25" customHeight="1" x14ac:dyDescent="0.2">
      <c r="A180" s="142"/>
      <c r="B180" s="9"/>
      <c r="C180" s="9"/>
      <c r="D180" s="9"/>
      <c r="E180" s="9"/>
      <c r="F180" s="58"/>
      <c r="G180" s="58"/>
      <c r="H180" s="58"/>
      <c r="I180" s="58"/>
      <c r="J180" s="114"/>
      <c r="K180" s="113"/>
      <c r="L180" s="113"/>
      <c r="M180" s="113"/>
      <c r="N180" s="113"/>
      <c r="O180" s="113"/>
      <c r="P180" s="113"/>
      <c r="Q180" s="113"/>
      <c r="R180" s="113"/>
      <c r="S180" s="113"/>
      <c r="T180" s="113"/>
      <c r="U180" s="113"/>
      <c r="V180" s="9"/>
      <c r="W180" s="150"/>
      <c r="X180" s="64"/>
      <c r="Y180" s="65"/>
      <c r="Z180" s="65"/>
      <c r="AA180" s="65"/>
      <c r="AB180" s="65"/>
      <c r="AC180" s="65"/>
      <c r="AD180" s="65"/>
      <c r="AE180" s="65"/>
      <c r="AF180" s="65"/>
      <c r="AG180" s="65"/>
      <c r="AH180" s="65"/>
      <c r="AI180" s="65"/>
      <c r="AJ180" s="65"/>
      <c r="AK180" s="65"/>
      <c r="AL180" s="1573"/>
      <c r="AM180" s="65"/>
      <c r="AN180" s="161"/>
      <c r="AO180" s="184"/>
      <c r="AP180" s="184"/>
      <c r="AQ180" s="184"/>
      <c r="AR180" s="157"/>
      <c r="AZ180" s="81"/>
      <c r="BA180" s="81"/>
      <c r="BB180" s="81"/>
      <c r="BC180" s="81"/>
      <c r="BD180" s="81"/>
      <c r="BE180" s="81"/>
      <c r="BF180" s="81"/>
      <c r="BG180" s="81"/>
      <c r="BH180" s="81"/>
      <c r="BI180" s="81"/>
      <c r="BJ180" s="81"/>
      <c r="BK180" s="81"/>
      <c r="BL180" s="81"/>
      <c r="BM180" s="81"/>
      <c r="BN180" s="81"/>
    </row>
    <row r="181" spans="1:66" ht="11.25" customHeight="1" x14ac:dyDescent="0.2">
      <c r="A181" s="142"/>
      <c r="B181" s="1685" t="s">
        <v>82</v>
      </c>
      <c r="C181" s="1685"/>
      <c r="D181" s="1685"/>
      <c r="E181" s="1685"/>
      <c r="F181" s="1685"/>
      <c r="G181" s="1685"/>
      <c r="H181" s="1685"/>
      <c r="I181" s="1685"/>
      <c r="J181" s="12"/>
      <c r="K181" s="9"/>
      <c r="L181" s="9"/>
      <c r="M181" s="9"/>
      <c r="N181" s="9"/>
      <c r="O181" s="9"/>
      <c r="P181" s="9"/>
      <c r="Q181" s="9"/>
      <c r="R181" s="9"/>
      <c r="S181" s="9"/>
      <c r="T181" s="9"/>
      <c r="U181" s="9"/>
      <c r="V181" s="9"/>
      <c r="W181" s="150"/>
      <c r="X181" s="64"/>
      <c r="Y181" s="65"/>
      <c r="Z181" s="65"/>
      <c r="AA181" s="65"/>
      <c r="AB181" s="65"/>
      <c r="AC181" s="65"/>
      <c r="AD181" s="65"/>
      <c r="AE181" s="65"/>
      <c r="AF181" s="65"/>
      <c r="AG181" s="65"/>
      <c r="AH181" s="65"/>
      <c r="AI181" s="65"/>
      <c r="AJ181" s="65"/>
      <c r="AK181" s="65"/>
      <c r="AL181" s="1573"/>
      <c r="AM181" s="65"/>
      <c r="AN181" s="161"/>
      <c r="AO181" s="184"/>
      <c r="AP181" s="184"/>
      <c r="AQ181" s="184"/>
      <c r="AR181" s="157"/>
      <c r="AT181" s="81"/>
      <c r="AU181" s="81"/>
      <c r="AV181" s="81"/>
      <c r="AW181" s="81"/>
      <c r="AX181" s="81"/>
      <c r="AY181" s="81"/>
    </row>
    <row r="182" spans="1:66" ht="11.25" customHeight="1" x14ac:dyDescent="0.2">
      <c r="A182" s="142"/>
      <c r="B182" s="1685"/>
      <c r="C182" s="1685"/>
      <c r="D182" s="1685"/>
      <c r="E182" s="1685"/>
      <c r="F182" s="1685"/>
      <c r="G182" s="1685"/>
      <c r="H182" s="1685"/>
      <c r="I182" s="1685"/>
      <c r="J182" s="12"/>
      <c r="K182" s="9"/>
      <c r="L182" s="9"/>
      <c r="M182" s="9"/>
      <c r="N182" s="9"/>
      <c r="O182" s="9"/>
      <c r="P182" s="9"/>
      <c r="Q182" s="9"/>
      <c r="R182" s="9"/>
      <c r="S182" s="9"/>
      <c r="T182" s="9"/>
      <c r="U182" s="9"/>
      <c r="V182" s="9"/>
      <c r="W182" s="150"/>
      <c r="X182" s="64"/>
      <c r="Y182" s="65"/>
      <c r="Z182" s="65"/>
      <c r="AA182" s="65"/>
      <c r="AB182" s="65"/>
      <c r="AC182" s="65"/>
      <c r="AD182" s="65"/>
      <c r="AE182" s="65"/>
      <c r="AF182" s="65"/>
      <c r="AG182" s="65"/>
      <c r="AH182" s="65"/>
      <c r="AI182" s="65"/>
      <c r="AJ182" s="65"/>
      <c r="AK182" s="65"/>
      <c r="AL182" s="1573"/>
      <c r="AM182" s="65"/>
      <c r="AN182" s="161"/>
      <c r="AO182" s="184"/>
      <c r="AP182" s="184"/>
      <c r="AQ182" s="184"/>
      <c r="AR182" s="157"/>
    </row>
    <row r="183" spans="1:66" ht="11.25" customHeight="1" x14ac:dyDescent="0.2">
      <c r="A183" s="142"/>
      <c r="B183" s="1680" t="s">
        <v>800</v>
      </c>
      <c r="C183" s="1680"/>
      <c r="D183" s="1680"/>
      <c r="E183" s="1680"/>
      <c r="F183" s="1680"/>
      <c r="G183" s="1680"/>
      <c r="H183" s="1680"/>
      <c r="I183" s="1680"/>
      <c r="J183" s="12"/>
      <c r="K183" s="9"/>
      <c r="L183" s="9"/>
      <c r="M183" s="9"/>
      <c r="N183" s="9"/>
      <c r="O183" s="9"/>
      <c r="P183" s="9"/>
      <c r="Q183" s="9"/>
      <c r="R183" s="9"/>
      <c r="S183" s="9"/>
      <c r="T183" s="9"/>
      <c r="U183" s="9"/>
      <c r="V183" s="9"/>
      <c r="W183" s="150"/>
      <c r="X183" s="64"/>
      <c r="Y183" s="65"/>
      <c r="Z183" s="65"/>
      <c r="AA183" s="65"/>
      <c r="AB183" s="65"/>
      <c r="AC183" s="65"/>
      <c r="AD183" s="65"/>
      <c r="AE183" s="65"/>
      <c r="AF183" s="65"/>
      <c r="AG183" s="65"/>
      <c r="AH183" s="65"/>
      <c r="AI183" s="65"/>
      <c r="AJ183" s="65"/>
      <c r="AK183" s="65"/>
      <c r="AL183" s="1573"/>
      <c r="AM183" s="65"/>
      <c r="AN183" s="161"/>
      <c r="AO183" s="184"/>
      <c r="AP183" s="184"/>
      <c r="AQ183" s="184"/>
      <c r="AR183" s="157"/>
    </row>
    <row r="184" spans="1:66" ht="11.25" customHeight="1" x14ac:dyDescent="0.2">
      <c r="A184" s="142"/>
      <c r="B184" s="1680"/>
      <c r="C184" s="1680"/>
      <c r="D184" s="1680"/>
      <c r="E184" s="1680"/>
      <c r="F184" s="1680"/>
      <c r="G184" s="1680"/>
      <c r="H184" s="1680"/>
      <c r="I184" s="1680"/>
      <c r="J184" s="12"/>
      <c r="K184" s="9"/>
      <c r="L184" s="9"/>
      <c r="M184" s="9"/>
      <c r="N184" s="9"/>
      <c r="O184" s="9"/>
      <c r="P184" s="9"/>
      <c r="Q184" s="9"/>
      <c r="R184" s="9"/>
      <c r="S184" s="9"/>
      <c r="T184" s="9"/>
      <c r="U184" s="9"/>
      <c r="V184" s="9"/>
      <c r="W184" s="150"/>
      <c r="X184" s="64"/>
      <c r="Y184" s="65"/>
      <c r="Z184" s="65"/>
      <c r="AA184" s="65"/>
      <c r="AB184" s="65"/>
      <c r="AC184" s="65"/>
      <c r="AD184" s="65"/>
      <c r="AE184" s="65"/>
      <c r="AF184" s="65"/>
      <c r="AG184" s="65"/>
      <c r="AH184" s="65"/>
      <c r="AI184" s="65"/>
      <c r="AJ184" s="65"/>
      <c r="AK184" s="65"/>
      <c r="AL184" s="1573"/>
      <c r="AM184" s="65"/>
      <c r="AN184" s="161"/>
      <c r="AO184" s="188"/>
      <c r="AP184" s="188"/>
      <c r="AQ184" s="188"/>
      <c r="AR184" s="158"/>
    </row>
    <row r="185" spans="1:66" s="76" customFormat="1" ht="11.25" hidden="1" customHeight="1" x14ac:dyDescent="0.2">
      <c r="A185" s="142"/>
      <c r="B185" s="1680" t="s">
        <v>81</v>
      </c>
      <c r="C185" s="1680"/>
      <c r="D185" s="1680"/>
      <c r="E185" s="1680"/>
      <c r="F185" s="1680"/>
      <c r="G185" s="1680"/>
      <c r="H185" s="1680"/>
      <c r="I185" s="1680"/>
      <c r="J185" s="14"/>
      <c r="K185" s="14"/>
      <c r="L185" s="14"/>
      <c r="M185" s="14"/>
      <c r="N185" s="14"/>
      <c r="O185" s="14"/>
      <c r="P185" s="14"/>
      <c r="Q185" s="14"/>
      <c r="R185" s="14"/>
      <c r="S185" s="14"/>
      <c r="T185" s="14"/>
      <c r="U185" s="14"/>
      <c r="V185" s="14"/>
      <c r="W185" s="154"/>
      <c r="X185" s="62"/>
      <c r="Y185" s="65"/>
      <c r="Z185" s="65"/>
      <c r="AA185" s="65"/>
      <c r="AB185" s="65"/>
      <c r="AC185" s="65"/>
      <c r="AD185" s="65"/>
      <c r="AE185" s="65"/>
      <c r="AF185" s="65"/>
      <c r="AG185" s="65"/>
      <c r="AH185" s="65"/>
      <c r="AI185" s="65"/>
      <c r="AJ185" s="65"/>
      <c r="AK185" s="65"/>
      <c r="AL185" s="1573"/>
      <c r="AM185" s="65"/>
      <c r="AN185" s="161"/>
      <c r="AO185" s="184"/>
      <c r="AP185" s="184"/>
      <c r="AQ185" s="184"/>
      <c r="AR185" s="157"/>
    </row>
    <row r="186" spans="1:66" ht="11.25" hidden="1" customHeight="1" x14ac:dyDescent="0.2">
      <c r="A186" s="142"/>
      <c r="B186" s="1680"/>
      <c r="C186" s="1680"/>
      <c r="D186" s="1680"/>
      <c r="E186" s="1680"/>
      <c r="F186" s="1680"/>
      <c r="G186" s="1680"/>
      <c r="H186" s="1680"/>
      <c r="I186" s="1680"/>
      <c r="J186" s="12"/>
      <c r="K186" s="9"/>
      <c r="L186" s="9"/>
      <c r="M186" s="9"/>
      <c r="N186" s="9"/>
      <c r="O186" s="9"/>
      <c r="P186" s="9"/>
      <c r="Q186" s="9"/>
      <c r="R186" s="9"/>
      <c r="S186" s="9"/>
      <c r="T186" s="9"/>
      <c r="U186" s="9"/>
      <c r="V186" s="9"/>
      <c r="W186" s="150"/>
      <c r="X186" s="64"/>
      <c r="Y186" s="65"/>
      <c r="Z186" s="65"/>
      <c r="AA186" s="65"/>
      <c r="AB186" s="65"/>
      <c r="AC186" s="65"/>
      <c r="AD186" s="65"/>
      <c r="AE186" s="65"/>
      <c r="AF186" s="65"/>
      <c r="AG186" s="65"/>
      <c r="AH186" s="65"/>
      <c r="AI186" s="65"/>
      <c r="AJ186" s="65"/>
      <c r="AK186" s="65"/>
      <c r="AL186" s="1573"/>
      <c r="AM186" s="65"/>
      <c r="AN186" s="161"/>
      <c r="AO186" s="184"/>
      <c r="AP186" s="184"/>
      <c r="AQ186" s="184"/>
      <c r="AR186" s="157"/>
    </row>
    <row r="187" spans="1:66" ht="11.25" customHeight="1" x14ac:dyDescent="0.2">
      <c r="A187" s="142"/>
      <c r="B187" s="1680" t="s">
        <v>78</v>
      </c>
      <c r="C187" s="1680"/>
      <c r="D187" s="1680"/>
      <c r="E187" s="1680"/>
      <c r="F187" s="1680"/>
      <c r="G187" s="1680"/>
      <c r="H187" s="1680"/>
      <c r="I187" s="1680"/>
      <c r="J187" s="12"/>
      <c r="K187" s="9"/>
      <c r="L187" s="9"/>
      <c r="M187" s="9"/>
      <c r="N187" s="9"/>
      <c r="O187" s="9"/>
      <c r="P187" s="9"/>
      <c r="Q187" s="9"/>
      <c r="R187" s="9"/>
      <c r="S187" s="9"/>
      <c r="T187" s="9"/>
      <c r="U187" s="9"/>
      <c r="V187" s="9"/>
      <c r="W187" s="150"/>
      <c r="X187" s="64"/>
      <c r="Y187" s="65"/>
      <c r="Z187" s="65"/>
      <c r="AA187" s="65"/>
      <c r="AB187" s="65"/>
      <c r="AC187" s="65"/>
      <c r="AD187" s="65"/>
      <c r="AE187" s="65"/>
      <c r="AF187" s="65"/>
      <c r="AG187" s="65"/>
      <c r="AH187" s="65"/>
      <c r="AI187" s="65"/>
      <c r="AJ187" s="65"/>
      <c r="AK187" s="65"/>
      <c r="AL187" s="1573"/>
      <c r="AM187" s="65"/>
      <c r="AN187" s="161"/>
      <c r="AO187" s="184"/>
      <c r="AP187" s="184"/>
      <c r="AQ187" s="184"/>
      <c r="AR187" s="157"/>
      <c r="AS187" s="76"/>
      <c r="AT187" s="76"/>
    </row>
    <row r="188" spans="1:66" ht="11.25" customHeight="1" x14ac:dyDescent="0.2">
      <c r="A188" s="142"/>
      <c r="B188" s="1680"/>
      <c r="C188" s="1680"/>
      <c r="D188" s="1680"/>
      <c r="E188" s="1680"/>
      <c r="F188" s="1680"/>
      <c r="G188" s="1680"/>
      <c r="H188" s="1680"/>
      <c r="I188" s="1680"/>
      <c r="J188" s="12"/>
      <c r="K188" s="9"/>
      <c r="L188" s="9"/>
      <c r="M188" s="9"/>
      <c r="N188" s="9"/>
      <c r="O188" s="9"/>
      <c r="P188" s="9"/>
      <c r="Q188" s="9"/>
      <c r="R188" s="9"/>
      <c r="S188" s="9"/>
      <c r="T188" s="9"/>
      <c r="U188" s="9"/>
      <c r="V188" s="9"/>
      <c r="W188" s="150"/>
      <c r="X188" s="64"/>
      <c r="Y188" s="65"/>
      <c r="Z188" s="65"/>
      <c r="AA188" s="65"/>
      <c r="AB188" s="65"/>
      <c r="AC188" s="65"/>
      <c r="AD188" s="65"/>
      <c r="AE188" s="65"/>
      <c r="AF188" s="65"/>
      <c r="AG188" s="65"/>
      <c r="AH188" s="65"/>
      <c r="AI188" s="65"/>
      <c r="AJ188" s="65"/>
      <c r="AK188" s="65"/>
      <c r="AL188" s="1573"/>
      <c r="AM188" s="65"/>
      <c r="AN188" s="161"/>
      <c r="AO188" s="184"/>
      <c r="AP188" s="184"/>
      <c r="AQ188" s="184"/>
      <c r="AR188" s="157"/>
    </row>
    <row r="189" spans="1:66" ht="11.25" customHeight="1" x14ac:dyDescent="0.2">
      <c r="A189" s="142"/>
      <c r="B189" s="1680" t="s">
        <v>17</v>
      </c>
      <c r="C189" s="1680"/>
      <c r="D189" s="1680"/>
      <c r="E189" s="1680"/>
      <c r="F189" s="1680"/>
      <c r="G189" s="1680"/>
      <c r="H189" s="1680"/>
      <c r="I189" s="1680"/>
      <c r="J189" s="12"/>
      <c r="K189" s="9"/>
      <c r="L189" s="9"/>
      <c r="M189" s="9"/>
      <c r="N189" s="9"/>
      <c r="O189" s="9"/>
      <c r="P189" s="9"/>
      <c r="Q189" s="9"/>
      <c r="R189" s="9"/>
      <c r="S189" s="9"/>
      <c r="T189" s="9"/>
      <c r="U189" s="9"/>
      <c r="V189" s="11"/>
      <c r="W189" s="1616"/>
      <c r="X189" s="64"/>
      <c r="Y189" s="65"/>
      <c r="Z189" s="65"/>
      <c r="AA189" s="58"/>
      <c r="AB189" s="58"/>
      <c r="AC189" s="65"/>
      <c r="AD189" s="65"/>
      <c r="AE189" s="65"/>
      <c r="AF189" s="65"/>
      <c r="AG189" s="65"/>
      <c r="AH189" s="65"/>
      <c r="AI189" s="65"/>
      <c r="AJ189" s="65"/>
      <c r="AK189" s="65"/>
      <c r="AL189" s="1573"/>
      <c r="AM189" s="65"/>
      <c r="AN189" s="161"/>
      <c r="AO189" s="184"/>
      <c r="AP189" s="184"/>
      <c r="AQ189" s="184"/>
      <c r="AR189" s="157"/>
      <c r="AS189" s="76"/>
      <c r="AT189" s="76"/>
    </row>
    <row r="190" spans="1:66" ht="11.25" customHeight="1" x14ac:dyDescent="0.2">
      <c r="A190" s="142"/>
      <c r="B190" s="1680"/>
      <c r="C190" s="1680"/>
      <c r="D190" s="1680"/>
      <c r="E190" s="1680"/>
      <c r="F190" s="1680"/>
      <c r="G190" s="1680"/>
      <c r="H190" s="1680"/>
      <c r="I190" s="1680"/>
      <c r="J190" s="12"/>
      <c r="K190" s="9"/>
      <c r="L190" s="9"/>
      <c r="M190" s="9"/>
      <c r="N190" s="9"/>
      <c r="O190" s="9"/>
      <c r="P190" s="9"/>
      <c r="Q190" s="9"/>
      <c r="R190" s="9"/>
      <c r="S190" s="9"/>
      <c r="T190" s="9"/>
      <c r="U190" s="9"/>
      <c r="V190" s="11"/>
      <c r="W190" s="1616"/>
      <c r="X190" s="64"/>
      <c r="Y190" s="65"/>
      <c r="Z190" s="65"/>
      <c r="AA190" s="58"/>
      <c r="AB190" s="58"/>
      <c r="AC190" s="65"/>
      <c r="AD190" s="65"/>
      <c r="AE190" s="65"/>
      <c r="AF190" s="65"/>
      <c r="AG190" s="65"/>
      <c r="AH190" s="65"/>
      <c r="AI190" s="65"/>
      <c r="AJ190" s="65"/>
      <c r="AK190" s="65"/>
      <c r="AL190" s="1573"/>
      <c r="AM190" s="65"/>
      <c r="AN190" s="161"/>
      <c r="AO190" s="184"/>
      <c r="AP190" s="184"/>
      <c r="AQ190" s="184"/>
      <c r="AR190" s="157"/>
    </row>
    <row r="191" spans="1:66" ht="11.25" customHeight="1" x14ac:dyDescent="0.2">
      <c r="A191" s="142"/>
      <c r="B191" s="1680" t="s">
        <v>80</v>
      </c>
      <c r="C191" s="1680"/>
      <c r="D191" s="1680"/>
      <c r="E191" s="1680"/>
      <c r="F191" s="1680"/>
      <c r="G191" s="1680"/>
      <c r="H191" s="1680"/>
      <c r="I191" s="1680"/>
      <c r="J191" s="12"/>
      <c r="K191" s="9"/>
      <c r="L191" s="9"/>
      <c r="M191" s="9"/>
      <c r="N191" s="9"/>
      <c r="O191" s="9"/>
      <c r="P191" s="9"/>
      <c r="Q191" s="9"/>
      <c r="R191" s="9"/>
      <c r="S191" s="9"/>
      <c r="T191" s="9"/>
      <c r="U191" s="9"/>
      <c r="V191" s="11"/>
      <c r="W191" s="1616"/>
      <c r="X191" s="64"/>
      <c r="Y191" s="65"/>
      <c r="Z191" s="65"/>
      <c r="AA191" s="58"/>
      <c r="AB191" s="58"/>
      <c r="AC191" s="65"/>
      <c r="AD191" s="65"/>
      <c r="AE191" s="65"/>
      <c r="AF191" s="65"/>
      <c r="AG191" s="65"/>
      <c r="AH191" s="65"/>
      <c r="AI191" s="65"/>
      <c r="AJ191" s="65"/>
      <c r="AK191" s="65"/>
      <c r="AL191" s="1573"/>
      <c r="AM191" s="65"/>
      <c r="AN191" s="161"/>
      <c r="AO191" s="184"/>
      <c r="AP191" s="184"/>
      <c r="AQ191" s="184"/>
      <c r="AR191" s="157"/>
      <c r="AS191" s="76"/>
      <c r="AT191" s="76"/>
    </row>
    <row r="192" spans="1:66" ht="11.25" customHeight="1" x14ac:dyDescent="0.2">
      <c r="A192" s="142"/>
      <c r="B192" s="1680"/>
      <c r="C192" s="1680"/>
      <c r="D192" s="1680"/>
      <c r="E192" s="1680"/>
      <c r="F192" s="1680"/>
      <c r="G192" s="1680"/>
      <c r="H192" s="1680"/>
      <c r="I192" s="1680"/>
      <c r="J192" s="12"/>
      <c r="K192" s="9"/>
      <c r="L192" s="9"/>
      <c r="M192" s="9"/>
      <c r="N192" s="9"/>
      <c r="O192" s="9"/>
      <c r="P192" s="9"/>
      <c r="Q192" s="9"/>
      <c r="R192" s="9"/>
      <c r="S192" s="9"/>
      <c r="T192" s="9"/>
      <c r="U192" s="9"/>
      <c r="V192" s="11"/>
      <c r="W192" s="1616"/>
      <c r="X192" s="64"/>
      <c r="Y192" s="65"/>
      <c r="Z192" s="65"/>
      <c r="AA192" s="58"/>
      <c r="AB192" s="58"/>
      <c r="AC192" s="65"/>
      <c r="AD192" s="65"/>
      <c r="AE192" s="65"/>
      <c r="AF192" s="65"/>
      <c r="AG192" s="65"/>
      <c r="AH192" s="65"/>
      <c r="AI192" s="65"/>
      <c r="AJ192" s="65"/>
      <c r="AK192" s="65"/>
      <c r="AL192" s="1573"/>
      <c r="AM192" s="65"/>
      <c r="AN192" s="161"/>
      <c r="AO192" s="184"/>
      <c r="AP192" s="184"/>
      <c r="AQ192" s="184"/>
      <c r="AR192" s="157"/>
    </row>
    <row r="193" spans="1:46" ht="11.25" customHeight="1" x14ac:dyDescent="0.2">
      <c r="A193" s="142"/>
      <c r="B193" s="1680" t="s">
        <v>69</v>
      </c>
      <c r="C193" s="1680"/>
      <c r="D193" s="1680"/>
      <c r="E193" s="1680"/>
      <c r="F193" s="1680"/>
      <c r="G193" s="1680"/>
      <c r="H193" s="1680"/>
      <c r="I193" s="1680"/>
      <c r="J193" s="12"/>
      <c r="K193" s="9"/>
      <c r="L193" s="9"/>
      <c r="M193" s="9"/>
      <c r="N193" s="9"/>
      <c r="O193" s="9"/>
      <c r="P193" s="9"/>
      <c r="Q193" s="9"/>
      <c r="R193" s="9"/>
      <c r="S193" s="9"/>
      <c r="T193" s="9"/>
      <c r="U193" s="9"/>
      <c r="V193" s="11"/>
      <c r="W193" s="1616"/>
      <c r="X193" s="64"/>
      <c r="Y193" s="65"/>
      <c r="Z193" s="65"/>
      <c r="AA193" s="58"/>
      <c r="AB193" s="58"/>
      <c r="AC193" s="65"/>
      <c r="AD193" s="65"/>
      <c r="AE193" s="65"/>
      <c r="AF193" s="65"/>
      <c r="AG193" s="65"/>
      <c r="AH193" s="65"/>
      <c r="AI193" s="65"/>
      <c r="AJ193" s="65"/>
      <c r="AK193" s="65"/>
      <c r="AL193" s="1573"/>
      <c r="AM193" s="65"/>
      <c r="AN193" s="161"/>
      <c r="AO193" s="184"/>
      <c r="AP193" s="184"/>
      <c r="AQ193" s="184"/>
      <c r="AR193" s="157"/>
      <c r="AS193" s="76"/>
      <c r="AT193" s="76"/>
    </row>
    <row r="194" spans="1:46" ht="11.25" customHeight="1" x14ac:dyDescent="0.2">
      <c r="A194" s="142"/>
      <c r="B194" s="1680"/>
      <c r="C194" s="1680"/>
      <c r="D194" s="1680"/>
      <c r="E194" s="1680"/>
      <c r="F194" s="1680"/>
      <c r="G194" s="1680"/>
      <c r="H194" s="1680"/>
      <c r="I194" s="1680"/>
      <c r="J194" s="12"/>
      <c r="K194" s="9"/>
      <c r="L194" s="9"/>
      <c r="M194" s="9"/>
      <c r="N194" s="9"/>
      <c r="O194" s="9"/>
      <c r="P194" s="9"/>
      <c r="Q194" s="9"/>
      <c r="R194" s="9"/>
      <c r="S194" s="9"/>
      <c r="T194" s="9"/>
      <c r="U194" s="9"/>
      <c r="V194" s="11"/>
      <c r="W194" s="1616"/>
      <c r="X194" s="64"/>
      <c r="Y194" s="65"/>
      <c r="Z194" s="65"/>
      <c r="AA194" s="58"/>
      <c r="AB194" s="58"/>
      <c r="AC194" s="65"/>
      <c r="AD194" s="65"/>
      <c r="AE194" s="65"/>
      <c r="AF194" s="65"/>
      <c r="AG194" s="65"/>
      <c r="AH194" s="65"/>
      <c r="AI194" s="65"/>
      <c r="AJ194" s="65"/>
      <c r="AK194" s="65"/>
      <c r="AL194" s="1573"/>
      <c r="AM194" s="65"/>
      <c r="AN194" s="161"/>
      <c r="AO194" s="184"/>
      <c r="AP194" s="184"/>
      <c r="AQ194" s="184"/>
      <c r="AR194" s="157"/>
    </row>
    <row r="195" spans="1:46" ht="11.25" customHeight="1" x14ac:dyDescent="0.2">
      <c r="A195" s="142"/>
      <c r="B195" s="1680" t="s">
        <v>24</v>
      </c>
      <c r="C195" s="1680"/>
      <c r="D195" s="1680"/>
      <c r="E195" s="1680"/>
      <c r="F195" s="1680"/>
      <c r="G195" s="1680"/>
      <c r="H195" s="1680"/>
      <c r="I195" s="1680"/>
      <c r="J195" s="12"/>
      <c r="K195" s="9"/>
      <c r="L195" s="9"/>
      <c r="M195" s="9"/>
      <c r="N195" s="9"/>
      <c r="O195" s="9"/>
      <c r="P195" s="9"/>
      <c r="Q195" s="9"/>
      <c r="R195" s="9"/>
      <c r="S195" s="9"/>
      <c r="T195" s="9"/>
      <c r="U195" s="9"/>
      <c r="V195" s="9"/>
      <c r="W195" s="150"/>
      <c r="X195" s="64"/>
      <c r="Y195" s="65"/>
      <c r="Z195" s="65"/>
      <c r="AA195" s="65"/>
      <c r="AB195" s="65"/>
      <c r="AC195" s="65"/>
      <c r="AD195" s="65"/>
      <c r="AE195" s="65"/>
      <c r="AF195" s="65"/>
      <c r="AG195" s="65"/>
      <c r="AH195" s="65"/>
      <c r="AI195" s="65"/>
      <c r="AJ195" s="65"/>
      <c r="AK195" s="65"/>
      <c r="AL195" s="1573"/>
      <c r="AM195" s="65"/>
      <c r="AN195" s="161"/>
      <c r="AO195" s="184"/>
      <c r="AP195" s="184"/>
      <c r="AQ195" s="184"/>
      <c r="AR195" s="157"/>
      <c r="AS195" s="76"/>
      <c r="AT195" s="76"/>
    </row>
    <row r="196" spans="1:46" ht="11.25" customHeight="1" x14ac:dyDescent="0.2">
      <c r="A196" s="142"/>
      <c r="B196" s="1680"/>
      <c r="C196" s="1680"/>
      <c r="D196" s="1680"/>
      <c r="E196" s="1680"/>
      <c r="F196" s="1680"/>
      <c r="G196" s="1680"/>
      <c r="H196" s="1680"/>
      <c r="I196" s="1680"/>
      <c r="J196" s="12"/>
      <c r="K196" s="9"/>
      <c r="L196" s="9"/>
      <c r="M196" s="9"/>
      <c r="N196" s="9"/>
      <c r="O196" s="9"/>
      <c r="P196" s="9"/>
      <c r="Q196" s="9"/>
      <c r="R196" s="9"/>
      <c r="S196" s="9"/>
      <c r="T196" s="9"/>
      <c r="U196" s="9"/>
      <c r="V196" s="9"/>
      <c r="W196" s="150"/>
      <c r="X196" s="64"/>
      <c r="Y196" s="65"/>
      <c r="Z196" s="65"/>
      <c r="AA196" s="65"/>
      <c r="AB196" s="65"/>
      <c r="AC196" s="65"/>
      <c r="AD196" s="65"/>
      <c r="AE196" s="65"/>
      <c r="AF196" s="65"/>
      <c r="AG196" s="65"/>
      <c r="AH196" s="65"/>
      <c r="AI196" s="65"/>
      <c r="AJ196" s="65"/>
      <c r="AK196" s="65"/>
      <c r="AL196" s="1573"/>
      <c r="AM196" s="65"/>
      <c r="AN196" s="161"/>
      <c r="AO196" s="184"/>
      <c r="AP196" s="184"/>
      <c r="AQ196" s="184"/>
      <c r="AR196" s="157"/>
    </row>
    <row r="197" spans="1:46" ht="11.25" customHeight="1" x14ac:dyDescent="0.2">
      <c r="A197" s="142"/>
      <c r="B197" s="1680" t="s">
        <v>22</v>
      </c>
      <c r="C197" s="1680"/>
      <c r="D197" s="1680"/>
      <c r="E197" s="1680"/>
      <c r="F197" s="1680"/>
      <c r="G197" s="1680"/>
      <c r="H197" s="1680"/>
      <c r="I197" s="1680"/>
      <c r="J197" s="12"/>
      <c r="K197" s="9"/>
      <c r="L197" s="9"/>
      <c r="M197" s="9"/>
      <c r="N197" s="9"/>
      <c r="O197" s="9"/>
      <c r="P197" s="9"/>
      <c r="Q197" s="9"/>
      <c r="R197" s="9"/>
      <c r="S197" s="9"/>
      <c r="T197" s="9"/>
      <c r="U197" s="9"/>
      <c r="V197" s="9"/>
      <c r="W197" s="150"/>
      <c r="X197" s="64"/>
      <c r="Y197" s="65"/>
      <c r="Z197" s="65"/>
      <c r="AA197" s="65"/>
      <c r="AB197" s="65"/>
      <c r="AC197" s="65"/>
      <c r="AD197" s="65"/>
      <c r="AE197" s="65"/>
      <c r="AF197" s="65"/>
      <c r="AG197" s="65"/>
      <c r="AH197" s="65"/>
      <c r="AI197" s="65"/>
      <c r="AJ197" s="65"/>
      <c r="AK197" s="65"/>
      <c r="AL197" s="1573"/>
      <c r="AM197" s="65"/>
      <c r="AN197" s="161"/>
      <c r="AO197" s="184"/>
      <c r="AP197" s="184"/>
      <c r="AQ197" s="184"/>
      <c r="AR197" s="157"/>
      <c r="AS197" s="76"/>
      <c r="AT197" s="76"/>
    </row>
    <row r="198" spans="1:46" ht="11.25" customHeight="1" x14ac:dyDescent="0.2">
      <c r="A198" s="142"/>
      <c r="B198" s="1680"/>
      <c r="C198" s="1680"/>
      <c r="D198" s="1680"/>
      <c r="E198" s="1680"/>
      <c r="F198" s="1680"/>
      <c r="G198" s="1680"/>
      <c r="H198" s="1680"/>
      <c r="I198" s="1680"/>
      <c r="J198" s="12"/>
      <c r="K198" s="9"/>
      <c r="L198" s="9"/>
      <c r="M198" s="9"/>
      <c r="N198" s="9"/>
      <c r="O198" s="9"/>
      <c r="P198" s="9"/>
      <c r="Q198" s="9"/>
      <c r="R198" s="9"/>
      <c r="S198" s="9"/>
      <c r="T198" s="9"/>
      <c r="U198" s="9"/>
      <c r="V198" s="9"/>
      <c r="W198" s="150"/>
      <c r="X198" s="64"/>
      <c r="Y198" s="65"/>
      <c r="Z198" s="65"/>
      <c r="AA198" s="65"/>
      <c r="AB198" s="65"/>
      <c r="AC198" s="65"/>
      <c r="AD198" s="65"/>
      <c r="AE198" s="65"/>
      <c r="AF198" s="65"/>
      <c r="AG198" s="65"/>
      <c r="AH198" s="65"/>
      <c r="AI198" s="65"/>
      <c r="AJ198" s="65"/>
      <c r="AK198" s="65"/>
      <c r="AL198" s="1573"/>
      <c r="AM198" s="65"/>
      <c r="AN198" s="161"/>
      <c r="AO198" s="184"/>
      <c r="AP198" s="184"/>
      <c r="AQ198" s="184"/>
      <c r="AR198" s="157"/>
    </row>
    <row r="199" spans="1:46" ht="11.25" customHeight="1" x14ac:dyDescent="0.2">
      <c r="A199" s="142"/>
      <c r="B199" s="1680" t="s">
        <v>25</v>
      </c>
      <c r="C199" s="1680"/>
      <c r="D199" s="1680"/>
      <c r="E199" s="1680"/>
      <c r="F199" s="1680"/>
      <c r="G199" s="1680"/>
      <c r="H199" s="1680"/>
      <c r="I199" s="1680"/>
      <c r="J199" s="12"/>
      <c r="K199" s="9"/>
      <c r="L199" s="9"/>
      <c r="M199" s="9"/>
      <c r="N199" s="9"/>
      <c r="O199" s="9"/>
      <c r="P199" s="9"/>
      <c r="Q199" s="9"/>
      <c r="R199" s="9"/>
      <c r="S199" s="9"/>
      <c r="T199" s="9"/>
      <c r="U199" s="9"/>
      <c r="V199" s="9"/>
      <c r="W199" s="150"/>
      <c r="X199" s="64"/>
      <c r="Y199" s="65"/>
      <c r="Z199" s="65"/>
      <c r="AA199" s="65"/>
      <c r="AB199" s="65"/>
      <c r="AC199" s="65"/>
      <c r="AD199" s="65"/>
      <c r="AE199" s="65"/>
      <c r="AF199" s="65"/>
      <c r="AG199" s="65"/>
      <c r="AH199" s="65"/>
      <c r="AI199" s="65"/>
      <c r="AJ199" s="65"/>
      <c r="AK199" s="65"/>
      <c r="AL199" s="1573"/>
      <c r="AM199" s="65"/>
      <c r="AN199" s="161"/>
      <c r="AO199" s="184"/>
      <c r="AP199" s="184"/>
      <c r="AQ199" s="184"/>
      <c r="AR199" s="157"/>
      <c r="AS199" s="76"/>
      <c r="AT199" s="76"/>
    </row>
    <row r="200" spans="1:46" ht="11.25" customHeight="1" x14ac:dyDescent="0.2">
      <c r="A200" s="142"/>
      <c r="B200" s="1680"/>
      <c r="C200" s="1680"/>
      <c r="D200" s="1680"/>
      <c r="E200" s="1680"/>
      <c r="F200" s="1680"/>
      <c r="G200" s="1680"/>
      <c r="H200" s="1680"/>
      <c r="I200" s="1680"/>
      <c r="J200" s="12"/>
      <c r="K200" s="9"/>
      <c r="L200" s="9"/>
      <c r="M200" s="9"/>
      <c r="N200" s="9"/>
      <c r="O200" s="9"/>
      <c r="P200" s="9"/>
      <c r="Q200" s="9"/>
      <c r="R200" s="9"/>
      <c r="S200" s="9"/>
      <c r="T200" s="9"/>
      <c r="U200" s="9"/>
      <c r="V200" s="9"/>
      <c r="W200" s="150"/>
      <c r="X200" s="64"/>
      <c r="Y200" s="65"/>
      <c r="Z200" s="65"/>
      <c r="AA200" s="65"/>
      <c r="AB200" s="65"/>
      <c r="AC200" s="65"/>
      <c r="AD200" s="65"/>
      <c r="AE200" s="65"/>
      <c r="AF200" s="65"/>
      <c r="AG200" s="65"/>
      <c r="AH200" s="65"/>
      <c r="AI200" s="65"/>
      <c r="AJ200" s="65"/>
      <c r="AK200" s="65"/>
      <c r="AL200" s="1573"/>
      <c r="AM200" s="65"/>
      <c r="AN200" s="161"/>
      <c r="AO200" s="184"/>
      <c r="AP200" s="184"/>
      <c r="AQ200" s="184"/>
      <c r="AR200" s="157"/>
    </row>
    <row r="201" spans="1:46" ht="11.25" customHeight="1" x14ac:dyDescent="0.2">
      <c r="A201" s="142"/>
      <c r="B201" s="1680" t="s">
        <v>18</v>
      </c>
      <c r="C201" s="1680"/>
      <c r="D201" s="1680"/>
      <c r="E201" s="1680"/>
      <c r="F201" s="1680"/>
      <c r="G201" s="1680"/>
      <c r="H201" s="1680"/>
      <c r="I201" s="1680"/>
      <c r="J201" s="12"/>
      <c r="K201" s="9"/>
      <c r="L201" s="9"/>
      <c r="M201" s="9"/>
      <c r="N201" s="9"/>
      <c r="O201" s="9"/>
      <c r="P201" s="9"/>
      <c r="Q201" s="9"/>
      <c r="R201" s="9"/>
      <c r="S201" s="9"/>
      <c r="T201" s="9"/>
      <c r="U201" s="9"/>
      <c r="V201" s="9"/>
      <c r="W201" s="150"/>
      <c r="X201" s="64"/>
      <c r="Y201" s="65"/>
      <c r="Z201" s="65"/>
      <c r="AA201" s="65"/>
      <c r="AB201" s="65"/>
      <c r="AC201" s="65"/>
      <c r="AD201" s="65"/>
      <c r="AE201" s="65"/>
      <c r="AF201" s="65"/>
      <c r="AG201" s="65"/>
      <c r="AH201" s="65"/>
      <c r="AI201" s="65"/>
      <c r="AJ201" s="65"/>
      <c r="AK201" s="65"/>
      <c r="AL201" s="1573"/>
      <c r="AM201" s="65"/>
      <c r="AN201" s="161"/>
      <c r="AO201" s="184"/>
      <c r="AP201" s="184"/>
      <c r="AQ201" s="184"/>
      <c r="AR201" s="157"/>
    </row>
    <row r="202" spans="1:46" ht="11.25" customHeight="1" x14ac:dyDescent="0.2">
      <c r="A202" s="142"/>
      <c r="B202" s="1680"/>
      <c r="C202" s="1680"/>
      <c r="D202" s="1680"/>
      <c r="E202" s="1680"/>
      <c r="F202" s="1680"/>
      <c r="G202" s="1680"/>
      <c r="H202" s="1680"/>
      <c r="I202" s="1680"/>
      <c r="J202" s="12"/>
      <c r="K202" s="9"/>
      <c r="L202" s="9"/>
      <c r="M202" s="9"/>
      <c r="N202" s="9"/>
      <c r="O202" s="9"/>
      <c r="P202" s="9"/>
      <c r="Q202" s="9"/>
      <c r="R202" s="9"/>
      <c r="S202" s="9"/>
      <c r="T202" s="9"/>
      <c r="U202" s="9"/>
      <c r="V202" s="9"/>
      <c r="W202" s="150"/>
      <c r="X202" s="64"/>
      <c r="Y202" s="65"/>
      <c r="Z202" s="65"/>
      <c r="AA202" s="65"/>
      <c r="AB202" s="65"/>
      <c r="AC202" s="65"/>
      <c r="AD202" s="65"/>
      <c r="AE202" s="65"/>
      <c r="AF202" s="65"/>
      <c r="AG202" s="65"/>
      <c r="AH202" s="65"/>
      <c r="AI202" s="65"/>
      <c r="AJ202" s="65"/>
      <c r="AK202" s="65"/>
      <c r="AL202" s="1573"/>
      <c r="AM202" s="65"/>
      <c r="AN202" s="161"/>
      <c r="AO202" s="184"/>
      <c r="AP202" s="184"/>
      <c r="AQ202" s="184"/>
      <c r="AR202" s="157"/>
    </row>
    <row r="203" spans="1:46" ht="11.25" customHeight="1" x14ac:dyDescent="0.2">
      <c r="A203" s="142"/>
      <c r="B203" s="1680" t="s">
        <v>19</v>
      </c>
      <c r="C203" s="1680"/>
      <c r="D203" s="1680"/>
      <c r="E203" s="1680"/>
      <c r="F203" s="1680"/>
      <c r="G203" s="1680"/>
      <c r="H203" s="1680"/>
      <c r="I203" s="1680"/>
      <c r="J203" s="12"/>
      <c r="K203" s="9"/>
      <c r="L203" s="9"/>
      <c r="M203" s="9"/>
      <c r="N203" s="9"/>
      <c r="O203" s="9"/>
      <c r="P203" s="9"/>
      <c r="Q203" s="9"/>
      <c r="R203" s="9"/>
      <c r="S203" s="9"/>
      <c r="T203" s="9"/>
      <c r="U203" s="9"/>
      <c r="V203" s="9"/>
      <c r="W203" s="150"/>
      <c r="X203" s="64"/>
      <c r="Y203" s="65"/>
      <c r="Z203" s="65"/>
      <c r="AA203" s="65"/>
      <c r="AB203" s="65"/>
      <c r="AC203" s="65"/>
      <c r="AD203" s="65"/>
      <c r="AE203" s="65"/>
      <c r="AF203" s="65"/>
      <c r="AG203" s="65"/>
      <c r="AH203" s="65"/>
      <c r="AI203" s="65"/>
      <c r="AJ203" s="65"/>
      <c r="AK203" s="65"/>
      <c r="AL203" s="1573"/>
      <c r="AM203" s="65"/>
      <c r="AN203" s="161"/>
      <c r="AO203" s="184"/>
      <c r="AP203" s="184"/>
      <c r="AQ203" s="184"/>
      <c r="AR203" s="157"/>
    </row>
    <row r="204" spans="1:46" ht="11.25" customHeight="1" x14ac:dyDescent="0.2">
      <c r="A204" s="142"/>
      <c r="B204" s="1680"/>
      <c r="C204" s="1680"/>
      <c r="D204" s="1680"/>
      <c r="E204" s="1680"/>
      <c r="F204" s="1680"/>
      <c r="G204" s="1680"/>
      <c r="H204" s="1680"/>
      <c r="I204" s="1680"/>
      <c r="J204" s="12"/>
      <c r="K204" s="9"/>
      <c r="L204" s="9"/>
      <c r="M204" s="9"/>
      <c r="N204" s="9"/>
      <c r="O204" s="9"/>
      <c r="P204" s="9"/>
      <c r="Q204" s="9"/>
      <c r="R204" s="9"/>
      <c r="S204" s="9"/>
      <c r="T204" s="9"/>
      <c r="U204" s="9"/>
      <c r="V204" s="9"/>
      <c r="W204" s="150"/>
      <c r="X204" s="64"/>
      <c r="Y204" s="65"/>
      <c r="Z204" s="65"/>
      <c r="AA204" s="65"/>
      <c r="AB204" s="65"/>
      <c r="AC204" s="65"/>
      <c r="AD204" s="65"/>
      <c r="AE204" s="65"/>
      <c r="AF204" s="65"/>
      <c r="AG204" s="65"/>
      <c r="AH204" s="65"/>
      <c r="AI204" s="65"/>
      <c r="AJ204" s="65"/>
      <c r="AK204" s="65"/>
      <c r="AL204" s="1573"/>
      <c r="AM204" s="65"/>
      <c r="AN204" s="161"/>
      <c r="AO204" s="184"/>
      <c r="AP204" s="184"/>
      <c r="AQ204" s="184"/>
      <c r="AR204" s="157"/>
    </row>
    <row r="205" spans="1:46" ht="11.25" customHeight="1" x14ac:dyDescent="0.2">
      <c r="A205" s="142"/>
      <c r="B205" s="1680" t="s">
        <v>20</v>
      </c>
      <c r="C205" s="1680"/>
      <c r="D205" s="1680"/>
      <c r="E205" s="1680"/>
      <c r="F205" s="1680"/>
      <c r="G205" s="1680"/>
      <c r="H205" s="1680"/>
      <c r="I205" s="1680"/>
      <c r="J205" s="12"/>
      <c r="K205" s="9"/>
      <c r="L205" s="9"/>
      <c r="M205" s="9"/>
      <c r="N205" s="9"/>
      <c r="O205" s="9"/>
      <c r="P205" s="9"/>
      <c r="Q205" s="9"/>
      <c r="R205" s="9"/>
      <c r="S205" s="9"/>
      <c r="T205" s="9"/>
      <c r="U205" s="9"/>
      <c r="V205" s="9"/>
      <c r="W205" s="150"/>
      <c r="X205" s="64"/>
      <c r="Y205" s="65"/>
      <c r="Z205" s="65"/>
      <c r="AA205" s="65"/>
      <c r="AB205" s="65"/>
      <c r="AC205" s="65"/>
      <c r="AD205" s="65"/>
      <c r="AE205" s="65"/>
      <c r="AF205" s="65"/>
      <c r="AG205" s="65"/>
      <c r="AH205" s="65"/>
      <c r="AI205" s="65"/>
      <c r="AJ205" s="65"/>
      <c r="AK205" s="65"/>
      <c r="AL205" s="1573"/>
      <c r="AM205" s="65"/>
      <c r="AN205" s="161"/>
      <c r="AO205" s="184"/>
      <c r="AP205" s="184"/>
      <c r="AQ205" s="184"/>
      <c r="AR205" s="157"/>
    </row>
    <row r="206" spans="1:46" ht="11.25" customHeight="1" x14ac:dyDescent="0.2">
      <c r="A206" s="142"/>
      <c r="B206" s="1680"/>
      <c r="C206" s="1680"/>
      <c r="D206" s="1680"/>
      <c r="E206" s="1680"/>
      <c r="F206" s="1680"/>
      <c r="G206" s="1680"/>
      <c r="H206" s="1680"/>
      <c r="I206" s="1680"/>
      <c r="J206" s="12"/>
      <c r="K206" s="9"/>
      <c r="L206" s="9"/>
      <c r="M206" s="9"/>
      <c r="N206" s="9"/>
      <c r="O206" s="9"/>
      <c r="P206" s="9"/>
      <c r="Q206" s="9"/>
      <c r="R206" s="9"/>
      <c r="S206" s="9"/>
      <c r="T206" s="9"/>
      <c r="U206" s="9"/>
      <c r="V206" s="9"/>
      <c r="W206" s="150"/>
      <c r="X206" s="64"/>
      <c r="Y206" s="65"/>
      <c r="Z206" s="65"/>
      <c r="AA206" s="65"/>
      <c r="AB206" s="65"/>
      <c r="AC206" s="65"/>
      <c r="AD206" s="65"/>
      <c r="AE206" s="65"/>
      <c r="AF206" s="65"/>
      <c r="AG206" s="65"/>
      <c r="AH206" s="65"/>
      <c r="AI206" s="65"/>
      <c r="AJ206" s="65"/>
      <c r="AK206" s="65"/>
      <c r="AL206" s="1573"/>
      <c r="AM206" s="65"/>
      <c r="AN206" s="161"/>
      <c r="AO206" s="184"/>
      <c r="AP206" s="184"/>
      <c r="AQ206" s="184"/>
      <c r="AR206" s="157"/>
    </row>
    <row r="207" spans="1:46" ht="11.25" customHeight="1" x14ac:dyDescent="0.2">
      <c r="A207" s="142"/>
      <c r="B207" s="1680" t="s">
        <v>26</v>
      </c>
      <c r="C207" s="1680"/>
      <c r="D207" s="1680"/>
      <c r="E207" s="1680"/>
      <c r="F207" s="1680"/>
      <c r="G207" s="1680"/>
      <c r="H207" s="1680"/>
      <c r="I207" s="1680"/>
      <c r="J207" s="12"/>
      <c r="K207" s="9"/>
      <c r="L207" s="9"/>
      <c r="M207" s="9"/>
      <c r="N207" s="9"/>
      <c r="O207" s="9"/>
      <c r="P207" s="9"/>
      <c r="Q207" s="9"/>
      <c r="R207" s="9"/>
      <c r="S207" s="9"/>
      <c r="T207" s="9"/>
      <c r="U207" s="9"/>
      <c r="V207" s="9"/>
      <c r="W207" s="150"/>
      <c r="X207" s="64"/>
      <c r="Y207" s="65"/>
      <c r="Z207" s="65"/>
      <c r="AA207" s="65"/>
      <c r="AB207" s="65"/>
      <c r="AC207" s="65"/>
      <c r="AD207" s="65"/>
      <c r="AE207" s="65"/>
      <c r="AF207" s="65"/>
      <c r="AG207" s="65"/>
      <c r="AH207" s="65"/>
      <c r="AI207" s="65"/>
      <c r="AJ207" s="65"/>
      <c r="AK207" s="65"/>
      <c r="AL207" s="1573"/>
      <c r="AM207" s="65"/>
      <c r="AN207" s="161"/>
      <c r="AO207" s="184"/>
      <c r="AP207" s="184"/>
      <c r="AQ207" s="184"/>
      <c r="AR207" s="157"/>
    </row>
    <row r="208" spans="1:46" ht="11.25" customHeight="1" x14ac:dyDescent="0.2">
      <c r="A208" s="142"/>
      <c r="B208" s="1680"/>
      <c r="C208" s="1680"/>
      <c r="D208" s="1680"/>
      <c r="E208" s="1680"/>
      <c r="F208" s="1680"/>
      <c r="G208" s="1680"/>
      <c r="H208" s="1680"/>
      <c r="I208" s="1680"/>
      <c r="J208" s="12"/>
      <c r="K208" s="9"/>
      <c r="L208" s="9"/>
      <c r="M208" s="9"/>
      <c r="N208" s="9"/>
      <c r="O208" s="9"/>
      <c r="P208" s="9"/>
      <c r="Q208" s="9"/>
      <c r="R208" s="9"/>
      <c r="S208" s="9"/>
      <c r="T208" s="9"/>
      <c r="U208" s="9"/>
      <c r="V208" s="9"/>
      <c r="W208" s="150"/>
      <c r="X208" s="64"/>
      <c r="Y208" s="65"/>
      <c r="Z208" s="65"/>
      <c r="AA208" s="65"/>
      <c r="AB208" s="65"/>
      <c r="AC208" s="65"/>
      <c r="AD208" s="65"/>
      <c r="AE208" s="65"/>
      <c r="AF208" s="65"/>
      <c r="AG208" s="65"/>
      <c r="AH208" s="65"/>
      <c r="AI208" s="65"/>
      <c r="AJ208" s="65"/>
      <c r="AK208" s="65"/>
      <c r="AL208" s="1573"/>
      <c r="AM208" s="65"/>
      <c r="AN208" s="161"/>
      <c r="AO208" s="184"/>
      <c r="AP208" s="184"/>
      <c r="AQ208" s="184"/>
      <c r="AR208" s="157"/>
    </row>
    <row r="209" spans="1:58" ht="11.25" customHeight="1" x14ac:dyDescent="0.2">
      <c r="A209" s="142"/>
      <c r="B209" s="1680" t="s">
        <v>21</v>
      </c>
      <c r="C209" s="1680"/>
      <c r="D209" s="1680"/>
      <c r="E209" s="1680"/>
      <c r="F209" s="1680"/>
      <c r="G209" s="1680"/>
      <c r="H209" s="1680"/>
      <c r="I209" s="1680"/>
      <c r="J209" s="12"/>
      <c r="K209" s="9"/>
      <c r="L209" s="9"/>
      <c r="M209" s="9"/>
      <c r="N209" s="9"/>
      <c r="O209" s="9"/>
      <c r="P209" s="9"/>
      <c r="Q209" s="9"/>
      <c r="R209" s="9"/>
      <c r="S209" s="9"/>
      <c r="T209" s="9"/>
      <c r="U209" s="9"/>
      <c r="V209" s="9"/>
      <c r="W209" s="150"/>
      <c r="X209" s="64"/>
      <c r="Y209" s="65"/>
      <c r="Z209" s="65"/>
      <c r="AA209" s="65"/>
      <c r="AB209" s="65"/>
      <c r="AC209" s="65"/>
      <c r="AD209" s="65"/>
      <c r="AE209" s="65"/>
      <c r="AF209" s="65"/>
      <c r="AG209" s="65"/>
      <c r="AH209" s="65"/>
      <c r="AI209" s="65"/>
      <c r="AJ209" s="65"/>
      <c r="AK209" s="65"/>
      <c r="AL209" s="1573"/>
      <c r="AM209" s="65"/>
      <c r="AN209" s="161"/>
      <c r="AO209" s="184"/>
      <c r="AP209" s="184"/>
      <c r="AQ209" s="184"/>
      <c r="AR209" s="157"/>
    </row>
    <row r="210" spans="1:58" ht="11.25" customHeight="1" x14ac:dyDescent="0.2">
      <c r="A210" s="142"/>
      <c r="B210" s="1680"/>
      <c r="C210" s="1680"/>
      <c r="D210" s="1680"/>
      <c r="E210" s="1680"/>
      <c r="F210" s="1680"/>
      <c r="G210" s="1680"/>
      <c r="H210" s="1680"/>
      <c r="I210" s="1680"/>
      <c r="J210" s="12"/>
      <c r="K210" s="9"/>
      <c r="L210" s="9"/>
      <c r="M210" s="9"/>
      <c r="N210" s="9"/>
      <c r="O210" s="9"/>
      <c r="P210" s="9"/>
      <c r="Q210" s="9"/>
      <c r="R210" s="9"/>
      <c r="S210" s="9"/>
      <c r="T210" s="9"/>
      <c r="U210" s="9"/>
      <c r="V210" s="9"/>
      <c r="W210" s="150"/>
      <c r="X210" s="64"/>
      <c r="Y210" s="65"/>
      <c r="Z210" s="65"/>
      <c r="AA210" s="65"/>
      <c r="AB210" s="65"/>
      <c r="AC210" s="65"/>
      <c r="AD210" s="65"/>
      <c r="AE210" s="65"/>
      <c r="AF210" s="65"/>
      <c r="AG210" s="65"/>
      <c r="AH210" s="65"/>
      <c r="AI210" s="65"/>
      <c r="AJ210" s="65"/>
      <c r="AK210" s="65"/>
      <c r="AL210" s="1573"/>
      <c r="AM210" s="65"/>
      <c r="AN210" s="161"/>
      <c r="AO210" s="184"/>
      <c r="AP210" s="184"/>
      <c r="AQ210" s="184"/>
      <c r="AR210" s="157"/>
    </row>
    <row r="211" spans="1:58" ht="11.25" customHeight="1" x14ac:dyDescent="0.2">
      <c r="A211" s="142"/>
      <c r="B211" s="1680" t="s">
        <v>905</v>
      </c>
      <c r="C211" s="1680"/>
      <c r="D211" s="1680"/>
      <c r="E211" s="1680"/>
      <c r="F211" s="1680"/>
      <c r="G211" s="1680"/>
      <c r="H211" s="1680"/>
      <c r="I211" s="1680"/>
      <c r="J211" s="12"/>
      <c r="K211" s="9"/>
      <c r="L211" s="9"/>
      <c r="M211" s="9"/>
      <c r="N211" s="9"/>
      <c r="O211" s="9"/>
      <c r="P211" s="9"/>
      <c r="Q211" s="9"/>
      <c r="R211" s="9"/>
      <c r="S211" s="9"/>
      <c r="T211" s="9"/>
      <c r="U211" s="9"/>
      <c r="V211" s="9"/>
      <c r="W211" s="150"/>
      <c r="X211" s="64"/>
      <c r="Y211" s="65"/>
      <c r="Z211" s="65"/>
      <c r="AA211" s="65"/>
      <c r="AB211" s="65"/>
      <c r="AC211" s="65"/>
      <c r="AD211" s="65"/>
      <c r="AE211" s="65"/>
      <c r="AF211" s="65"/>
      <c r="AG211" s="65"/>
      <c r="AH211" s="65"/>
      <c r="AI211" s="65"/>
      <c r="AJ211" s="65"/>
      <c r="AK211" s="65"/>
      <c r="AL211" s="1573"/>
      <c r="AM211" s="65"/>
      <c r="AN211" s="161"/>
      <c r="AO211" s="184"/>
      <c r="AP211" s="184"/>
      <c r="AQ211" s="184"/>
      <c r="AR211" s="157"/>
    </row>
    <row r="212" spans="1:58" ht="11.25" customHeight="1" x14ac:dyDescent="0.2">
      <c r="A212" s="142"/>
      <c r="B212" s="1680"/>
      <c r="C212" s="1680"/>
      <c r="D212" s="1680"/>
      <c r="E212" s="1680"/>
      <c r="F212" s="1680"/>
      <c r="G212" s="1680"/>
      <c r="H212" s="1680"/>
      <c r="I212" s="1680"/>
      <c r="J212" s="12"/>
      <c r="K212" s="9"/>
      <c r="L212" s="9"/>
      <c r="M212" s="9"/>
      <c r="N212" s="9"/>
      <c r="O212" s="9"/>
      <c r="P212" s="9"/>
      <c r="Q212" s="9"/>
      <c r="R212" s="9"/>
      <c r="S212" s="9"/>
      <c r="T212" s="9"/>
      <c r="U212" s="9"/>
      <c r="V212" s="9"/>
      <c r="W212" s="150"/>
      <c r="X212" s="64"/>
      <c r="Y212" s="65"/>
      <c r="Z212" s="65"/>
      <c r="AA212" s="65"/>
      <c r="AB212" s="65"/>
      <c r="AC212" s="65"/>
      <c r="AD212" s="65"/>
      <c r="AE212" s="65"/>
      <c r="AF212" s="65"/>
      <c r="AG212" s="65"/>
      <c r="AH212" s="65"/>
      <c r="AI212" s="65"/>
      <c r="AJ212" s="65"/>
      <c r="AK212" s="65"/>
      <c r="AL212" s="1573"/>
      <c r="AM212" s="65"/>
      <c r="AN212" s="161"/>
      <c r="AO212" s="184"/>
      <c r="AP212" s="184"/>
      <c r="AQ212" s="184"/>
      <c r="AR212" s="157"/>
    </row>
    <row r="213" spans="1:58" ht="11.25" customHeight="1" x14ac:dyDescent="0.2">
      <c r="A213" s="142"/>
      <c r="B213" s="1680" t="s">
        <v>32</v>
      </c>
      <c r="C213" s="1680"/>
      <c r="D213" s="1680"/>
      <c r="E213" s="1680"/>
      <c r="F213" s="1680"/>
      <c r="G213" s="1680"/>
      <c r="H213" s="1680"/>
      <c r="I213" s="1680"/>
      <c r="J213" s="12"/>
      <c r="K213" s="9"/>
      <c r="L213" s="9"/>
      <c r="M213" s="9"/>
      <c r="N213" s="9"/>
      <c r="O213" s="9"/>
      <c r="P213" s="9"/>
      <c r="Q213" s="9"/>
      <c r="R213" s="9"/>
      <c r="S213" s="9"/>
      <c r="T213" s="9"/>
      <c r="U213" s="9"/>
      <c r="V213" s="9"/>
      <c r="W213" s="150"/>
      <c r="X213" s="64"/>
      <c r="Y213" s="65"/>
      <c r="Z213" s="65"/>
      <c r="AA213" s="65"/>
      <c r="AB213" s="65"/>
      <c r="AC213" s="65"/>
      <c r="AD213" s="65"/>
      <c r="AE213" s="65"/>
      <c r="AF213" s="65"/>
      <c r="AG213" s="65"/>
      <c r="AH213" s="65"/>
      <c r="AI213" s="65"/>
      <c r="AJ213" s="65"/>
      <c r="AK213" s="65"/>
      <c r="AL213" s="1573"/>
      <c r="AM213" s="65"/>
      <c r="AN213" s="161"/>
      <c r="AO213" s="184"/>
      <c r="AP213" s="184"/>
      <c r="AQ213" s="184"/>
      <c r="AR213" s="157"/>
    </row>
    <row r="214" spans="1:58" ht="11.25" customHeight="1" x14ac:dyDescent="0.2">
      <c r="A214" s="142"/>
      <c r="B214" s="1680"/>
      <c r="C214" s="1680"/>
      <c r="D214" s="1680"/>
      <c r="E214" s="1680"/>
      <c r="F214" s="1680"/>
      <c r="G214" s="1680"/>
      <c r="H214" s="1680"/>
      <c r="I214" s="1680"/>
      <c r="J214" s="12"/>
      <c r="K214" s="9"/>
      <c r="L214" s="9"/>
      <c r="M214" s="9"/>
      <c r="N214" s="9"/>
      <c r="O214" s="9"/>
      <c r="P214" s="9"/>
      <c r="Q214" s="9"/>
      <c r="R214" s="9"/>
      <c r="S214" s="9"/>
      <c r="T214" s="9"/>
      <c r="U214" s="9"/>
      <c r="V214" s="9"/>
      <c r="W214" s="150"/>
      <c r="X214" s="64"/>
      <c r="Y214" s="65"/>
      <c r="Z214" s="65"/>
      <c r="AA214" s="65"/>
      <c r="AB214" s="65"/>
      <c r="AC214" s="65"/>
      <c r="AD214" s="65"/>
      <c r="AE214" s="65"/>
      <c r="AF214" s="65"/>
      <c r="AG214" s="65"/>
      <c r="AH214" s="65"/>
      <c r="AI214" s="65"/>
      <c r="AJ214" s="65"/>
      <c r="AK214" s="65"/>
      <c r="AL214" s="1573"/>
      <c r="AM214" s="65"/>
      <c r="AN214" s="161"/>
      <c r="AO214" s="184"/>
      <c r="AP214" s="184"/>
      <c r="AQ214" s="184"/>
      <c r="AR214" s="157"/>
    </row>
    <row r="215" spans="1:58" ht="11.25" customHeight="1" x14ac:dyDescent="0.2">
      <c r="A215" s="142"/>
      <c r="B215" s="1680" t="s">
        <v>666</v>
      </c>
      <c r="C215" s="1680"/>
      <c r="D215" s="1680"/>
      <c r="E215" s="1680"/>
      <c r="F215" s="1680"/>
      <c r="G215" s="1680"/>
      <c r="H215" s="1680"/>
      <c r="I215" s="1680"/>
      <c r="J215" s="12"/>
      <c r="K215" s="9"/>
      <c r="L215" s="9"/>
      <c r="M215" s="9"/>
      <c r="N215" s="9"/>
      <c r="O215" s="9"/>
      <c r="P215" s="9"/>
      <c r="Q215" s="9"/>
      <c r="R215" s="9"/>
      <c r="S215" s="9"/>
      <c r="T215" s="9"/>
      <c r="U215" s="9"/>
      <c r="V215" s="9"/>
      <c r="W215" s="150"/>
      <c r="X215" s="64"/>
      <c r="Y215" s="65"/>
      <c r="Z215" s="65"/>
      <c r="AA215" s="65"/>
      <c r="AB215" s="65"/>
      <c r="AC215" s="65"/>
      <c r="AD215" s="65"/>
      <c r="AE215" s="65"/>
      <c r="AF215" s="65"/>
      <c r="AG215" s="65"/>
      <c r="AH215" s="65"/>
      <c r="AI215" s="65"/>
      <c r="AJ215" s="65"/>
      <c r="AK215" s="65"/>
      <c r="AL215" s="1573"/>
      <c r="AM215" s="65"/>
      <c r="AN215" s="161"/>
      <c r="AO215" s="184"/>
      <c r="AP215" s="184"/>
      <c r="AQ215" s="184"/>
      <c r="AR215" s="157"/>
    </row>
    <row r="216" spans="1:58" ht="11.25" customHeight="1" x14ac:dyDescent="0.2">
      <c r="A216" s="142"/>
      <c r="B216" s="1680"/>
      <c r="C216" s="1680"/>
      <c r="D216" s="1680"/>
      <c r="E216" s="1680"/>
      <c r="F216" s="1680"/>
      <c r="G216" s="1680"/>
      <c r="H216" s="1680"/>
      <c r="I216" s="1680"/>
      <c r="J216" s="12"/>
      <c r="K216" s="9"/>
      <c r="L216" s="9"/>
      <c r="M216" s="9"/>
      <c r="N216" s="9"/>
      <c r="O216" s="9"/>
      <c r="P216" s="9"/>
      <c r="Q216" s="9"/>
      <c r="R216" s="9"/>
      <c r="S216" s="9"/>
      <c r="T216" s="9"/>
      <c r="U216" s="9"/>
      <c r="V216" s="9"/>
      <c r="W216" s="150"/>
      <c r="X216" s="64"/>
      <c r="Y216" s="65"/>
      <c r="Z216" s="65"/>
      <c r="AA216" s="65"/>
      <c r="AB216" s="65"/>
      <c r="AC216" s="65"/>
      <c r="AD216" s="65"/>
      <c r="AE216" s="65"/>
      <c r="AF216" s="65"/>
      <c r="AG216" s="65"/>
      <c r="AH216" s="65"/>
      <c r="AI216" s="65"/>
      <c r="AJ216" s="65"/>
      <c r="AK216" s="65"/>
      <c r="AL216" s="1573"/>
      <c r="AM216" s="65"/>
      <c r="AN216" s="161"/>
      <c r="AO216" s="184"/>
      <c r="AP216" s="184"/>
      <c r="AQ216" s="184"/>
      <c r="AR216" s="157"/>
    </row>
    <row r="217" spans="1:58" ht="11.25" customHeight="1" x14ac:dyDescent="0.2">
      <c r="A217" s="142"/>
      <c r="B217" s="1680" t="s">
        <v>906</v>
      </c>
      <c r="C217" s="1680"/>
      <c r="D217" s="1680"/>
      <c r="E217" s="1680"/>
      <c r="F217" s="1680"/>
      <c r="G217" s="1680"/>
      <c r="H217" s="1680"/>
      <c r="I217" s="1680"/>
      <c r="J217" s="12"/>
      <c r="K217" s="9"/>
      <c r="L217" s="9"/>
      <c r="M217" s="9"/>
      <c r="N217" s="9"/>
      <c r="O217" s="9"/>
      <c r="P217" s="9"/>
      <c r="Q217" s="9"/>
      <c r="R217" s="9"/>
      <c r="S217" s="9"/>
      <c r="T217" s="9"/>
      <c r="U217" s="9"/>
      <c r="V217" s="9"/>
      <c r="W217" s="150"/>
      <c r="X217" s="64"/>
      <c r="Y217" s="65"/>
      <c r="Z217" s="65"/>
      <c r="AA217" s="65"/>
      <c r="AB217" s="65"/>
      <c r="AC217" s="65"/>
      <c r="AD217" s="65"/>
      <c r="AE217" s="65"/>
      <c r="AF217" s="65"/>
      <c r="AG217" s="65"/>
      <c r="AH217" s="65"/>
      <c r="AI217" s="65"/>
      <c r="AJ217" s="65"/>
      <c r="AK217" s="65"/>
      <c r="AL217" s="1573"/>
      <c r="AM217" s="65"/>
      <c r="AN217" s="161"/>
      <c r="AO217" s="184"/>
      <c r="AP217" s="184"/>
      <c r="AQ217" s="184"/>
      <c r="AR217" s="157"/>
    </row>
    <row r="218" spans="1:58" ht="11.25" customHeight="1" x14ac:dyDescent="0.2">
      <c r="A218" s="142"/>
      <c r="B218" s="1680"/>
      <c r="C218" s="1680"/>
      <c r="D218" s="1680"/>
      <c r="E218" s="1680"/>
      <c r="F218" s="1680"/>
      <c r="G218" s="1680"/>
      <c r="H218" s="1680"/>
      <c r="I218" s="1680"/>
      <c r="J218" s="12"/>
      <c r="K218" s="9"/>
      <c r="L218" s="9"/>
      <c r="M218" s="9"/>
      <c r="N218" s="9"/>
      <c r="O218" s="9"/>
      <c r="P218" s="9"/>
      <c r="Q218" s="9"/>
      <c r="R218" s="9"/>
      <c r="S218" s="9"/>
      <c r="T218" s="9"/>
      <c r="U218" s="9"/>
      <c r="V218" s="9"/>
      <c r="W218" s="150"/>
      <c r="X218" s="64"/>
      <c r="Y218" s="65"/>
      <c r="Z218" s="65"/>
      <c r="AA218" s="65"/>
      <c r="AB218" s="65"/>
      <c r="AC218" s="65"/>
      <c r="AD218" s="65"/>
      <c r="AE218" s="65"/>
      <c r="AF218" s="65"/>
      <c r="AG218" s="65"/>
      <c r="AH218" s="65"/>
      <c r="AI218" s="65"/>
      <c r="AJ218" s="65"/>
      <c r="AK218" s="65"/>
      <c r="AL218" s="1573"/>
      <c r="AM218" s="65"/>
      <c r="AN218" s="161"/>
      <c r="AO218" s="184"/>
      <c r="AP218" s="184"/>
      <c r="AQ218" s="184"/>
      <c r="AR218" s="157"/>
    </row>
    <row r="219" spans="1:58" ht="11.25" customHeight="1" x14ac:dyDescent="0.2">
      <c r="A219" s="142"/>
      <c r="B219" s="1680" t="s">
        <v>672</v>
      </c>
      <c r="C219" s="1680"/>
      <c r="D219" s="1680"/>
      <c r="E219" s="1680"/>
      <c r="F219" s="1680"/>
      <c r="G219" s="1680"/>
      <c r="H219" s="1680"/>
      <c r="I219" s="1680"/>
      <c r="J219" s="12"/>
      <c r="K219" s="9"/>
      <c r="L219" s="9"/>
      <c r="M219" s="9"/>
      <c r="N219" s="9"/>
      <c r="O219" s="9"/>
      <c r="P219" s="9"/>
      <c r="Q219" s="9"/>
      <c r="R219" s="9"/>
      <c r="S219" s="9"/>
      <c r="T219" s="9"/>
      <c r="U219" s="9"/>
      <c r="V219" s="9"/>
      <c r="W219" s="150"/>
      <c r="X219" s="64"/>
      <c r="Y219" s="65"/>
      <c r="Z219" s="65"/>
      <c r="AA219" s="65"/>
      <c r="AB219" s="65"/>
      <c r="AC219" s="65"/>
      <c r="AD219" s="65"/>
      <c r="AE219" s="65"/>
      <c r="AF219" s="65"/>
      <c r="AG219" s="65"/>
      <c r="AH219" s="65"/>
      <c r="AI219" s="65"/>
      <c r="AJ219" s="65"/>
      <c r="AK219" s="65"/>
      <c r="AL219" s="1573"/>
      <c r="AM219" s="65"/>
      <c r="AN219" s="161"/>
      <c r="AO219" s="184"/>
      <c r="AP219" s="184"/>
      <c r="AQ219" s="184"/>
      <c r="AR219" s="157"/>
    </row>
    <row r="220" spans="1:58" s="80" customFormat="1" ht="11.25" customHeight="1" x14ac:dyDescent="0.2">
      <c r="A220" s="142"/>
      <c r="B220" s="1680"/>
      <c r="C220" s="1680"/>
      <c r="D220" s="1680"/>
      <c r="E220" s="1680"/>
      <c r="F220" s="1680"/>
      <c r="G220" s="1680"/>
      <c r="H220" s="1680"/>
      <c r="I220" s="1680"/>
      <c r="J220" s="12"/>
      <c r="K220" s="9"/>
      <c r="L220" s="9"/>
      <c r="M220" s="9"/>
      <c r="N220" s="9"/>
      <c r="O220" s="9"/>
      <c r="P220" s="9"/>
      <c r="Q220" s="9"/>
      <c r="R220" s="9"/>
      <c r="S220" s="9"/>
      <c r="T220" s="9"/>
      <c r="U220" s="9"/>
      <c r="V220" s="9"/>
      <c r="W220" s="150"/>
      <c r="X220" s="64"/>
      <c r="Y220" s="65"/>
      <c r="Z220" s="65"/>
      <c r="AA220" s="65"/>
      <c r="AB220" s="65"/>
      <c r="AC220" s="65"/>
      <c r="AD220" s="65"/>
      <c r="AE220" s="65"/>
      <c r="AF220" s="65"/>
      <c r="AG220" s="65"/>
      <c r="AH220" s="65"/>
      <c r="AI220" s="65"/>
      <c r="AJ220" s="65"/>
      <c r="AK220" s="65"/>
      <c r="AL220" s="1573"/>
      <c r="AM220" s="65"/>
      <c r="AN220" s="161"/>
      <c r="AO220" s="184"/>
      <c r="AP220" s="184"/>
      <c r="AQ220" s="184"/>
      <c r="AR220" s="157"/>
      <c r="AS220" s="74"/>
      <c r="AT220" s="74"/>
      <c r="AU220" s="74"/>
      <c r="AV220" s="74"/>
      <c r="AW220" s="74"/>
      <c r="AX220" s="74"/>
      <c r="AY220" s="74"/>
      <c r="AZ220" s="74"/>
      <c r="BA220" s="74"/>
      <c r="BB220" s="74"/>
      <c r="BC220" s="74"/>
      <c r="BD220" s="74"/>
      <c r="BE220" s="74"/>
      <c r="BF220" s="74"/>
    </row>
    <row r="221" spans="1:58" ht="11.25" customHeight="1" x14ac:dyDescent="0.2">
      <c r="A221" s="1273"/>
      <c r="B221" s="1274"/>
      <c r="C221" s="1275"/>
      <c r="D221" s="1275"/>
      <c r="E221" s="1275"/>
      <c r="F221" s="1275"/>
      <c r="G221" s="1275"/>
      <c r="H221" s="1275"/>
      <c r="I221" s="1275"/>
      <c r="J221" s="1276"/>
      <c r="K221" s="201"/>
      <c r="L221" s="201"/>
      <c r="M221" s="201"/>
      <c r="N221" s="201"/>
      <c r="O221" s="201"/>
      <c r="P221" s="201"/>
      <c r="Q221" s="201"/>
      <c r="R221" s="201"/>
      <c r="S221" s="201"/>
      <c r="T221" s="201"/>
      <c r="U221" s="201"/>
      <c r="V221" s="201"/>
      <c r="W221" s="1617"/>
      <c r="X221" s="1618"/>
      <c r="Y221" s="200"/>
      <c r="Z221" s="200"/>
      <c r="AA221" s="200"/>
      <c r="AB221" s="200"/>
      <c r="AC221" s="200"/>
      <c r="AD221" s="200"/>
      <c r="AE221" s="200"/>
      <c r="AF221" s="200"/>
      <c r="AG221" s="200"/>
      <c r="AH221" s="200"/>
      <c r="AI221" s="200"/>
      <c r="AJ221" s="200"/>
      <c r="AK221" s="200"/>
      <c r="AL221" s="1278"/>
      <c r="AM221" s="200"/>
      <c r="AN221" s="1614"/>
      <c r="AO221" s="201"/>
      <c r="AP221" s="201"/>
      <c r="AQ221" s="201"/>
      <c r="AR221" s="251"/>
    </row>
    <row r="222" spans="1:58" ht="11.25" customHeight="1" x14ac:dyDescent="0.2">
      <c r="J222" s="88"/>
      <c r="K222" s="74"/>
      <c r="V222" s="74"/>
      <c r="X222" s="80"/>
      <c r="AK222" s="81"/>
      <c r="AL222" s="81"/>
      <c r="AM222" s="81"/>
      <c r="AN222" s="81"/>
      <c r="AO222" s="81"/>
      <c r="AR222" s="184"/>
    </row>
    <row r="223" spans="1:58" ht="11.25" customHeight="1" x14ac:dyDescent="0.2">
      <c r="J223" s="88"/>
      <c r="K223" s="74"/>
      <c r="V223" s="74"/>
      <c r="X223" s="80"/>
      <c r="AK223" s="81"/>
      <c r="AL223" s="81"/>
      <c r="AM223" s="81"/>
      <c r="AN223" s="81"/>
      <c r="AO223" s="81"/>
      <c r="AR223" s="184"/>
    </row>
    <row r="224" spans="1:58" ht="11.25" customHeight="1" x14ac:dyDescent="0.2">
      <c r="J224" s="88"/>
      <c r="K224" s="74"/>
      <c r="V224" s="74"/>
      <c r="X224" s="80"/>
      <c r="AK224" s="81"/>
      <c r="AL224" s="81"/>
      <c r="AM224" s="81"/>
      <c r="AN224" s="81"/>
      <c r="AO224" s="81"/>
      <c r="AR224" s="184"/>
    </row>
    <row r="225" spans="10:44" ht="11.25" customHeight="1" x14ac:dyDescent="0.2">
      <c r="J225" s="88"/>
      <c r="K225" s="74"/>
      <c r="V225" s="74"/>
      <c r="X225" s="80"/>
      <c r="AK225" s="81"/>
      <c r="AL225" s="81"/>
      <c r="AM225" s="81"/>
      <c r="AN225" s="81"/>
      <c r="AO225" s="81"/>
      <c r="AR225" s="184"/>
    </row>
    <row r="226" spans="10:44" ht="11.25" customHeight="1" x14ac:dyDescent="0.2">
      <c r="J226" s="88"/>
      <c r="K226" s="74"/>
      <c r="V226" s="74"/>
      <c r="X226" s="80"/>
      <c r="AK226" s="81"/>
      <c r="AL226" s="81"/>
      <c r="AM226" s="81"/>
      <c r="AN226" s="81"/>
      <c r="AO226" s="81"/>
      <c r="AR226" s="184"/>
    </row>
    <row r="227" spans="10:44" ht="11.25" customHeight="1" x14ac:dyDescent="0.2">
      <c r="J227" s="88"/>
      <c r="K227" s="74"/>
      <c r="V227" s="74"/>
      <c r="X227" s="80"/>
      <c r="AK227" s="81"/>
      <c r="AL227" s="81"/>
      <c r="AM227" s="81"/>
      <c r="AN227" s="81"/>
      <c r="AO227" s="81"/>
      <c r="AR227" s="184"/>
    </row>
    <row r="228" spans="10:44" ht="11.25" customHeight="1" x14ac:dyDescent="0.2">
      <c r="J228" s="88"/>
      <c r="K228" s="74"/>
      <c r="V228" s="74"/>
      <c r="X228" s="80"/>
      <c r="AK228" s="81"/>
      <c r="AL228" s="81"/>
      <c r="AM228" s="81"/>
      <c r="AN228" s="81"/>
      <c r="AO228" s="81"/>
      <c r="AR228" s="184"/>
    </row>
    <row r="229" spans="10:44" ht="11.25" customHeight="1" x14ac:dyDescent="0.2">
      <c r="J229" s="88"/>
      <c r="K229" s="74"/>
      <c r="V229" s="74"/>
      <c r="X229" s="80"/>
      <c r="AK229" s="81"/>
      <c r="AL229" s="81"/>
      <c r="AM229" s="81"/>
      <c r="AN229" s="81"/>
      <c r="AO229" s="81"/>
      <c r="AR229" s="184"/>
    </row>
    <row r="230" spans="10:44" ht="11.25" customHeight="1" x14ac:dyDescent="0.2">
      <c r="J230" s="88"/>
      <c r="K230" s="74"/>
      <c r="V230" s="74"/>
      <c r="X230" s="80"/>
      <c r="AK230" s="81"/>
      <c r="AL230" s="81"/>
      <c r="AM230" s="81"/>
      <c r="AN230" s="81"/>
      <c r="AO230" s="81"/>
      <c r="AR230" s="184"/>
    </row>
    <row r="231" spans="10:44" ht="11.25" customHeight="1" x14ac:dyDescent="0.2">
      <c r="J231" s="88"/>
      <c r="K231" s="74"/>
      <c r="V231" s="74"/>
      <c r="X231" s="80"/>
      <c r="AK231" s="81"/>
      <c r="AL231" s="81"/>
      <c r="AM231" s="81"/>
      <c r="AN231" s="81"/>
      <c r="AO231" s="81"/>
      <c r="AR231" s="184"/>
    </row>
    <row r="232" spans="10:44" ht="11.25" customHeight="1" x14ac:dyDescent="0.2">
      <c r="J232" s="88"/>
      <c r="K232" s="74"/>
      <c r="V232" s="74"/>
      <c r="X232" s="80"/>
      <c r="AK232" s="81"/>
      <c r="AL232" s="81"/>
      <c r="AM232" s="81"/>
      <c r="AN232" s="81"/>
      <c r="AO232" s="81"/>
      <c r="AR232" s="184"/>
    </row>
    <row r="233" spans="10:44" ht="11.25" customHeight="1" x14ac:dyDescent="0.2">
      <c r="J233" s="88"/>
      <c r="K233" s="74"/>
      <c r="V233" s="74"/>
      <c r="X233" s="80"/>
      <c r="AK233" s="81"/>
      <c r="AL233" s="81"/>
      <c r="AM233" s="81"/>
      <c r="AN233" s="81"/>
      <c r="AO233" s="81"/>
      <c r="AR233" s="184"/>
    </row>
    <row r="234" spans="10:44" ht="11.25" customHeight="1" x14ac:dyDescent="0.2">
      <c r="J234" s="88"/>
      <c r="K234" s="74"/>
      <c r="V234" s="74"/>
      <c r="X234" s="80"/>
      <c r="AK234" s="81"/>
      <c r="AL234" s="81"/>
      <c r="AM234" s="81"/>
      <c r="AN234" s="81"/>
      <c r="AO234" s="81"/>
      <c r="AR234" s="184"/>
    </row>
    <row r="235" spans="10:44" ht="11.25" customHeight="1" x14ac:dyDescent="0.2">
      <c r="J235" s="88"/>
      <c r="K235" s="74"/>
      <c r="V235" s="74"/>
      <c r="X235" s="80"/>
      <c r="AK235" s="81"/>
      <c r="AL235" s="81"/>
      <c r="AM235" s="81"/>
      <c r="AN235" s="81"/>
      <c r="AO235" s="81"/>
      <c r="AR235" s="184"/>
    </row>
    <row r="236" spans="10:44" ht="11.25" customHeight="1" x14ac:dyDescent="0.2">
      <c r="J236" s="88"/>
      <c r="K236" s="74"/>
      <c r="V236" s="74"/>
      <c r="X236" s="80"/>
      <c r="AK236" s="81"/>
      <c r="AL236" s="81"/>
      <c r="AM236" s="81"/>
      <c r="AN236" s="81"/>
      <c r="AO236" s="81"/>
      <c r="AR236" s="184"/>
    </row>
    <row r="237" spans="10:44" ht="11.25" customHeight="1" x14ac:dyDescent="0.2">
      <c r="J237" s="88"/>
      <c r="K237" s="74"/>
      <c r="V237" s="74"/>
      <c r="X237" s="80"/>
      <c r="AK237" s="81"/>
      <c r="AL237" s="81"/>
      <c r="AM237" s="81"/>
      <c r="AN237" s="81"/>
      <c r="AO237" s="81"/>
      <c r="AR237" s="184"/>
    </row>
    <row r="238" spans="10:44" ht="11.25" customHeight="1" x14ac:dyDescent="0.2">
      <c r="J238" s="88"/>
      <c r="K238" s="74"/>
      <c r="V238" s="74"/>
      <c r="X238" s="80"/>
      <c r="AK238" s="81"/>
      <c r="AL238" s="81"/>
      <c r="AM238" s="81"/>
      <c r="AN238" s="81"/>
      <c r="AO238" s="81"/>
      <c r="AR238" s="184"/>
    </row>
    <row r="239" spans="10:44" ht="11.25" customHeight="1" x14ac:dyDescent="0.2">
      <c r="J239" s="88"/>
      <c r="K239" s="74"/>
      <c r="V239" s="74"/>
      <c r="X239" s="80"/>
      <c r="AK239" s="81"/>
      <c r="AL239" s="81"/>
      <c r="AM239" s="81"/>
      <c r="AN239" s="81"/>
      <c r="AO239" s="81"/>
      <c r="AR239" s="184"/>
    </row>
    <row r="240" spans="10:44" ht="11.25" customHeight="1" x14ac:dyDescent="0.2">
      <c r="J240" s="88"/>
      <c r="K240" s="74"/>
      <c r="V240" s="74"/>
      <c r="X240" s="80"/>
      <c r="AK240" s="81"/>
      <c r="AL240" s="81"/>
      <c r="AM240" s="81"/>
      <c r="AN240" s="81"/>
      <c r="AO240" s="81"/>
      <c r="AR240" s="184"/>
    </row>
    <row r="241" spans="10:44" ht="11.25" customHeight="1" x14ac:dyDescent="0.2">
      <c r="J241" s="88"/>
      <c r="K241" s="74"/>
      <c r="V241" s="74"/>
      <c r="X241" s="80"/>
      <c r="AK241" s="81"/>
      <c r="AL241" s="81"/>
      <c r="AM241" s="81"/>
      <c r="AN241" s="81"/>
      <c r="AO241" s="81"/>
      <c r="AR241" s="184"/>
    </row>
    <row r="242" spans="10:44" ht="11.25" customHeight="1" x14ac:dyDescent="0.2">
      <c r="J242" s="88"/>
      <c r="K242" s="74"/>
      <c r="V242" s="74"/>
      <c r="X242" s="80"/>
      <c r="AK242" s="81"/>
      <c r="AL242" s="81"/>
      <c r="AM242" s="81"/>
      <c r="AN242" s="81"/>
      <c r="AO242" s="81"/>
      <c r="AR242" s="184"/>
    </row>
    <row r="243" spans="10:44" ht="11.25" customHeight="1" x14ac:dyDescent="0.2">
      <c r="J243" s="88"/>
      <c r="K243" s="74"/>
      <c r="V243" s="74"/>
      <c r="X243" s="80"/>
      <c r="AK243" s="81"/>
      <c r="AL243" s="81"/>
      <c r="AM243" s="81"/>
      <c r="AN243" s="81"/>
      <c r="AO243" s="81"/>
      <c r="AR243" s="184"/>
    </row>
    <row r="244" spans="10:44" ht="11.25" customHeight="1" x14ac:dyDescent="0.2">
      <c r="J244" s="88"/>
      <c r="K244" s="74"/>
      <c r="V244" s="74"/>
      <c r="X244" s="80"/>
      <c r="AK244" s="81"/>
      <c r="AL244" s="81"/>
      <c r="AM244" s="81"/>
      <c r="AN244" s="81"/>
      <c r="AO244" s="81"/>
      <c r="AR244" s="184"/>
    </row>
    <row r="245" spans="10:44" ht="11.25" customHeight="1" x14ac:dyDescent="0.2">
      <c r="J245" s="88"/>
      <c r="K245" s="74"/>
      <c r="V245" s="74"/>
      <c r="X245" s="80"/>
      <c r="AK245" s="81"/>
      <c r="AL245" s="81"/>
      <c r="AM245" s="81"/>
      <c r="AN245" s="81"/>
      <c r="AO245" s="81"/>
      <c r="AR245" s="184"/>
    </row>
    <row r="246" spans="10:44" ht="11.25" customHeight="1" x14ac:dyDescent="0.2">
      <c r="J246" s="88"/>
      <c r="K246" s="74"/>
      <c r="V246" s="74"/>
      <c r="X246" s="80"/>
      <c r="AK246" s="81"/>
      <c r="AL246" s="81"/>
      <c r="AM246" s="81"/>
      <c r="AN246" s="81"/>
      <c r="AO246" s="81"/>
      <c r="AR246" s="184"/>
    </row>
    <row r="247" spans="10:44" ht="11.25" customHeight="1" x14ac:dyDescent="0.2">
      <c r="J247" s="88"/>
      <c r="K247" s="74"/>
      <c r="V247" s="74"/>
      <c r="X247" s="80"/>
      <c r="AK247" s="81"/>
      <c r="AL247" s="81"/>
      <c r="AM247" s="81"/>
      <c r="AN247" s="81"/>
      <c r="AO247" s="81"/>
      <c r="AR247" s="184"/>
    </row>
    <row r="248" spans="10:44" ht="11.25" customHeight="1" x14ac:dyDescent="0.2">
      <c r="J248" s="88"/>
      <c r="K248" s="74"/>
      <c r="V248" s="74"/>
      <c r="X248" s="80"/>
      <c r="AK248" s="81"/>
      <c r="AL248" s="81"/>
      <c r="AM248" s="81"/>
      <c r="AN248" s="81"/>
      <c r="AO248" s="81"/>
      <c r="AR248" s="184"/>
    </row>
    <row r="249" spans="10:44" ht="11.25" customHeight="1" x14ac:dyDescent="0.2">
      <c r="J249" s="88"/>
      <c r="K249" s="74"/>
      <c r="V249" s="74"/>
      <c r="X249" s="80"/>
      <c r="AK249" s="81"/>
      <c r="AL249" s="81"/>
      <c r="AM249" s="81"/>
      <c r="AN249" s="81"/>
      <c r="AO249" s="81"/>
      <c r="AR249" s="184"/>
    </row>
    <row r="250" spans="10:44" ht="11.25" customHeight="1" x14ac:dyDescent="0.2">
      <c r="J250" s="88"/>
      <c r="K250" s="74"/>
      <c r="V250" s="74"/>
      <c r="X250" s="80"/>
      <c r="AK250" s="81"/>
      <c r="AL250" s="81"/>
      <c r="AM250" s="81"/>
      <c r="AN250" s="81"/>
      <c r="AO250" s="81"/>
      <c r="AR250" s="184"/>
    </row>
    <row r="251" spans="10:44" ht="11.25" customHeight="1" x14ac:dyDescent="0.2">
      <c r="J251" s="88"/>
      <c r="K251" s="74"/>
      <c r="V251" s="74"/>
      <c r="X251" s="80"/>
      <c r="AK251" s="81"/>
      <c r="AL251" s="81"/>
      <c r="AM251" s="81"/>
      <c r="AN251" s="81"/>
      <c r="AO251" s="81"/>
      <c r="AR251" s="184"/>
    </row>
    <row r="252" spans="10:44" ht="11.25" customHeight="1" x14ac:dyDescent="0.2">
      <c r="J252" s="88"/>
      <c r="K252" s="74"/>
      <c r="V252" s="74"/>
      <c r="X252" s="80"/>
      <c r="AK252" s="81"/>
      <c r="AL252" s="81"/>
      <c r="AM252" s="81"/>
      <c r="AN252" s="81"/>
      <c r="AO252" s="81"/>
      <c r="AR252" s="184"/>
    </row>
    <row r="253" spans="10:44" ht="11.25" customHeight="1" x14ac:dyDescent="0.2">
      <c r="J253" s="88"/>
      <c r="K253" s="74"/>
      <c r="V253" s="74"/>
      <c r="X253" s="80"/>
      <c r="AK253" s="81"/>
      <c r="AL253" s="81"/>
      <c r="AM253" s="81"/>
      <c r="AN253" s="81"/>
      <c r="AO253" s="81"/>
      <c r="AR253" s="184"/>
    </row>
    <row r="254" spans="10:44" ht="11.25" customHeight="1" x14ac:dyDescent="0.2">
      <c r="J254" s="88"/>
      <c r="K254" s="74"/>
      <c r="V254" s="74"/>
      <c r="X254" s="80"/>
      <c r="AK254" s="81"/>
      <c r="AL254" s="81"/>
      <c r="AM254" s="81"/>
      <c r="AN254" s="81"/>
      <c r="AO254" s="81"/>
      <c r="AR254" s="184"/>
    </row>
    <row r="347" spans="41:41" ht="11.25" customHeight="1" x14ac:dyDescent="0.2">
      <c r="AO347" s="74" t="b">
        <v>1</v>
      </c>
    </row>
  </sheetData>
  <sheetProtection sheet="1" objects="1" scenarios="1"/>
  <mergeCells count="71">
    <mergeCell ref="AA7:AE7"/>
    <mergeCell ref="Y7:Z7"/>
    <mergeCell ref="I7:J9"/>
    <mergeCell ref="L7:R7"/>
    <mergeCell ref="P8:Q8"/>
    <mergeCell ref="R8:R9"/>
    <mergeCell ref="P9:Q9"/>
    <mergeCell ref="Z8:Z9"/>
    <mergeCell ref="B5:J6"/>
    <mergeCell ref="Y8:Y9"/>
    <mergeCell ref="M66:T66"/>
    <mergeCell ref="M65:O65"/>
    <mergeCell ref="A109:U109"/>
    <mergeCell ref="A71:U71"/>
    <mergeCell ref="A72:U72"/>
    <mergeCell ref="L79:R79"/>
    <mergeCell ref="D7:H7"/>
    <mergeCell ref="T7:T9"/>
    <mergeCell ref="A38:U38"/>
    <mergeCell ref="A39:U39"/>
    <mergeCell ref="B7:B9"/>
    <mergeCell ref="T79:T81"/>
    <mergeCell ref="P80:Q80"/>
    <mergeCell ref="R80:R81"/>
    <mergeCell ref="AU110:AU112"/>
    <mergeCell ref="Y79:Z79"/>
    <mergeCell ref="Y80:Y81"/>
    <mergeCell ref="Z80:Z81"/>
    <mergeCell ref="A143:U143"/>
    <mergeCell ref="B79:B81"/>
    <mergeCell ref="D79:H79"/>
    <mergeCell ref="I79:J81"/>
    <mergeCell ref="M136:O136"/>
    <mergeCell ref="Q136:T136"/>
    <mergeCell ref="A110:U110"/>
    <mergeCell ref="P81:Q81"/>
    <mergeCell ref="B107:T107"/>
    <mergeCell ref="M137:T137"/>
    <mergeCell ref="A142:U142"/>
    <mergeCell ref="B35:T36"/>
    <mergeCell ref="AA78:AE78"/>
    <mergeCell ref="BA39:BE39"/>
    <mergeCell ref="AV39:AZ39"/>
    <mergeCell ref="AU39:AU41"/>
    <mergeCell ref="AP39:AT39"/>
    <mergeCell ref="Q65:T65"/>
    <mergeCell ref="B77:T78"/>
    <mergeCell ref="B181:I182"/>
    <mergeCell ref="B183:I184"/>
    <mergeCell ref="B185:I186"/>
    <mergeCell ref="B187:I188"/>
    <mergeCell ref="B145:I146"/>
    <mergeCell ref="B147:B148"/>
    <mergeCell ref="A179:U179"/>
    <mergeCell ref="A178:U178"/>
    <mergeCell ref="B213:I214"/>
    <mergeCell ref="B215:I216"/>
    <mergeCell ref="B217:I218"/>
    <mergeCell ref="B219:I220"/>
    <mergeCell ref="B189:I190"/>
    <mergeCell ref="B191:I192"/>
    <mergeCell ref="B193:I194"/>
    <mergeCell ref="B195:I196"/>
    <mergeCell ref="B197:I198"/>
    <mergeCell ref="B199:I200"/>
    <mergeCell ref="B201:I202"/>
    <mergeCell ref="B203:I204"/>
    <mergeCell ref="B205:I206"/>
    <mergeCell ref="B207:I208"/>
    <mergeCell ref="B209:I210"/>
    <mergeCell ref="B211:I212"/>
  </mergeCells>
  <conditionalFormatting sqref="AA9:AE9">
    <cfRule type="cellIs" dxfId="312" priority="109" stopIfTrue="1" operator="equal">
      <formula>0</formula>
    </cfRule>
  </conditionalFormatting>
  <conditionalFormatting sqref="B10:B31 L10:P31 B52:C67 D10:H31 B149:B170 D149:H170 R10:R31 A76:A109">
    <cfRule type="containsErrors" dxfId="311" priority="1305">
      <formula>ISERROR(A10)</formula>
    </cfRule>
  </conditionalFormatting>
  <conditionalFormatting sqref="B82:B103 M82:P103">
    <cfRule type="containsErrors" dxfId="310" priority="95">
      <formula>ISERROR(B82)</formula>
    </cfRule>
  </conditionalFormatting>
  <conditionalFormatting sqref="A10:A31">
    <cfRule type="cellIs" dxfId="309" priority="87" operator="equal">
      <formula>0</formula>
    </cfRule>
  </conditionalFormatting>
  <conditionalFormatting sqref="A82:A103">
    <cfRule type="cellIs" dxfId="308" priority="86" operator="equal">
      <formula>0</formula>
    </cfRule>
  </conditionalFormatting>
  <conditionalFormatting sqref="A149:A170">
    <cfRule type="cellIs" dxfId="307" priority="84" operator="equal">
      <formula>0</formula>
    </cfRule>
  </conditionalFormatting>
  <conditionalFormatting sqref="A1:A71 A144:A178 A255:A1048576">
    <cfRule type="containsErrors" dxfId="306" priority="82">
      <formula>ISERROR(A1)</formula>
    </cfRule>
  </conditionalFormatting>
  <conditionalFormatting sqref="AF10:AG28">
    <cfRule type="containsErrors" dxfId="305" priority="81">
      <formula>ISERROR(AF10)</formula>
    </cfRule>
  </conditionalFormatting>
  <conditionalFormatting sqref="AF10:AG21 AG11:AG28 AK82:AL93 AL83:AL100">
    <cfRule type="expression" dxfId="304" priority="80">
      <formula>$B10=$W$4</formula>
    </cfRule>
  </conditionalFormatting>
  <conditionalFormatting sqref="R10:R31">
    <cfRule type="containsErrors" dxfId="303" priority="1304">
      <formula>ISERROR(R10)</formula>
    </cfRule>
  </conditionalFormatting>
  <conditionalFormatting sqref="L82:L103">
    <cfRule type="containsErrors" dxfId="302" priority="75">
      <formula>ISERROR(L82)</formula>
    </cfRule>
  </conditionalFormatting>
  <conditionalFormatting sqref="A72">
    <cfRule type="containsErrors" dxfId="301" priority="69">
      <formula>ISERROR(A72)</formula>
    </cfRule>
  </conditionalFormatting>
  <conditionalFormatting sqref="A110">
    <cfRule type="containsErrors" dxfId="300" priority="68">
      <formula>ISERROR(A110)</formula>
    </cfRule>
  </conditionalFormatting>
  <conditionalFormatting sqref="A179">
    <cfRule type="containsErrors" dxfId="299" priority="66">
      <formula>ISERROR(A179)</formula>
    </cfRule>
  </conditionalFormatting>
  <conditionalFormatting sqref="B10:B31 L10:P31 T10:T31 D10:H31 R10:R31 Q10:Q33 B52:C67 B82:B103 B123:C138 J82:J104 R82:R103 Q82:Q105 T82:T103 J10:J33 L82:P103 D82:H103 D149:H170 B149:B170">
    <cfRule type="expression" dxfId="298" priority="111">
      <formula>$B10=$Y$4</formula>
    </cfRule>
  </conditionalFormatting>
  <conditionalFormatting sqref="J10:J33">
    <cfRule type="containsErrors" dxfId="297" priority="64">
      <formula>ISERROR(J10)</formula>
    </cfRule>
  </conditionalFormatting>
  <conditionalFormatting sqref="J32:J33">
    <cfRule type="containsErrors" dxfId="296" priority="62">
      <formula>ISERROR(J32)</formula>
    </cfRule>
  </conditionalFormatting>
  <conditionalFormatting sqref="J10:J33">
    <cfRule type="dataBar" priority="65">
      <dataBar showValue="0">
        <cfvo type="min"/>
        <cfvo type="max"/>
        <color theme="9"/>
      </dataBar>
      <extLst>
        <ext xmlns:x14="http://schemas.microsoft.com/office/spreadsheetml/2009/9/main" uri="{B025F937-C7B1-47D3-B67F-A62EFF666E3E}">
          <x14:id>{874AC8C9-90AB-4E28-A90A-1B633B7E3177}</x14:id>
        </ext>
      </extLst>
    </cfRule>
  </conditionalFormatting>
  <conditionalFormatting sqref="I10:I31 I82:I103">
    <cfRule type="containsErrors" dxfId="295" priority="38">
      <formula>ISERROR(I10)</formula>
    </cfRule>
    <cfRule type="expression" dxfId="294" priority="61">
      <formula>$B10=$Y$4</formula>
    </cfRule>
  </conditionalFormatting>
  <conditionalFormatting sqref="I10:I31">
    <cfRule type="containsErrors" dxfId="293" priority="60">
      <formula>ISERROR(I10)</formula>
    </cfRule>
  </conditionalFormatting>
  <conditionalFormatting sqref="I32">
    <cfRule type="containsErrors" dxfId="292" priority="59">
      <formula>ISERROR(I32)</formula>
    </cfRule>
  </conditionalFormatting>
  <conditionalFormatting sqref="K8:P8">
    <cfRule type="containsErrors" dxfId="291" priority="56">
      <formula>ISERROR(K8)</formula>
    </cfRule>
  </conditionalFormatting>
  <conditionalFormatting sqref="L9:P9">
    <cfRule type="containsErrors" dxfId="290" priority="57">
      <formula>ISERROR(L9)</formula>
    </cfRule>
  </conditionalFormatting>
  <conditionalFormatting sqref="D8:H8">
    <cfRule type="containsErrors" dxfId="289" priority="55">
      <formula>ISERROR(D8)</formula>
    </cfRule>
  </conditionalFormatting>
  <conditionalFormatting sqref="D9:H9">
    <cfRule type="containsErrors" dxfId="288" priority="58">
      <formula>ISERROR(D9)</formula>
    </cfRule>
  </conditionalFormatting>
  <conditionalFormatting sqref="Z3:AD3">
    <cfRule type="containsErrors" dxfId="287" priority="54">
      <formula>ISERROR(Z3)</formula>
    </cfRule>
  </conditionalFormatting>
  <conditionalFormatting sqref="Z2:AD2">
    <cfRule type="containsErrors" dxfId="286" priority="53">
      <formula>ISERROR(Z2)</formula>
    </cfRule>
  </conditionalFormatting>
  <conditionalFormatting sqref="Y2">
    <cfRule type="containsErrors" dxfId="285" priority="51">
      <formula>ISERROR(Y2)</formula>
    </cfRule>
  </conditionalFormatting>
  <conditionalFormatting sqref="Y3">
    <cfRule type="containsErrors" dxfId="284" priority="52">
      <formula>ISERROR(Y3)</formula>
    </cfRule>
  </conditionalFormatting>
  <conditionalFormatting sqref="Q32:Q33">
    <cfRule type="containsErrors" dxfId="283" priority="49">
      <formula>ISERROR(Q32)</formula>
    </cfRule>
  </conditionalFormatting>
  <conditionalFormatting sqref="Q10:Q33">
    <cfRule type="containsErrors" dxfId="282" priority="47">
      <formula>ISERROR(Q10)</formula>
    </cfRule>
    <cfRule type="dataBar" priority="48">
      <dataBar showValue="0">
        <cfvo type="min"/>
        <cfvo type="max"/>
        <color theme="9"/>
      </dataBar>
      <extLst>
        <ext xmlns:x14="http://schemas.microsoft.com/office/spreadsheetml/2009/9/main" uri="{B025F937-C7B1-47D3-B67F-A62EFF666E3E}">
          <x14:id>{21F141F2-05C7-4925-AF46-BF0AB5D6F6B5}</x14:id>
        </ext>
      </extLst>
    </cfRule>
  </conditionalFormatting>
  <conditionalFormatting sqref="D33:I33 K33:T33">
    <cfRule type="containsErrors" dxfId="281" priority="46">
      <formula>ISERROR(D33)</formula>
    </cfRule>
  </conditionalFormatting>
  <conditionalFormatting sqref="D147:H147">
    <cfRule type="containsErrors" dxfId="280" priority="40">
      <formula>ISERROR(D147)</formula>
    </cfRule>
  </conditionalFormatting>
  <conditionalFormatting sqref="D148:H148">
    <cfRule type="containsErrors" dxfId="279" priority="41">
      <formula>ISERROR(D148)</formula>
    </cfRule>
  </conditionalFormatting>
  <conditionalFormatting sqref="B172:H172">
    <cfRule type="containsErrors" dxfId="278" priority="39">
      <formula>ISERROR(B172)</formula>
    </cfRule>
  </conditionalFormatting>
  <conditionalFormatting sqref="B123:C138">
    <cfRule type="containsErrors" dxfId="277" priority="37">
      <formula>ISERROR(B123)</formula>
    </cfRule>
  </conditionalFormatting>
  <conditionalFormatting sqref="A111:A142">
    <cfRule type="containsErrors" dxfId="276" priority="35">
      <formula>ISERROR(A111)</formula>
    </cfRule>
  </conditionalFormatting>
  <conditionalFormatting sqref="A143">
    <cfRule type="containsErrors" dxfId="275" priority="34">
      <formula>ISERROR(A143)</formula>
    </cfRule>
  </conditionalFormatting>
  <conditionalFormatting sqref="K80:P80">
    <cfRule type="containsErrors" dxfId="274" priority="31">
      <formula>ISERROR(K80)</formula>
    </cfRule>
  </conditionalFormatting>
  <conditionalFormatting sqref="L81:P81">
    <cfRule type="containsErrors" dxfId="273" priority="32">
      <formula>ISERROR(L81)</formula>
    </cfRule>
  </conditionalFormatting>
  <conditionalFormatting sqref="D80:H80">
    <cfRule type="containsErrors" dxfId="272" priority="30">
      <formula>ISERROR(D80)</formula>
    </cfRule>
  </conditionalFormatting>
  <conditionalFormatting sqref="D81:H81">
    <cfRule type="containsErrors" dxfId="271" priority="33">
      <formula>ISERROR(D81)</formula>
    </cfRule>
  </conditionalFormatting>
  <conditionalFormatting sqref="E82:H103">
    <cfRule type="containsErrors" dxfId="270" priority="28">
      <formula>ISERROR(E82)</formula>
    </cfRule>
  </conditionalFormatting>
  <conditionalFormatting sqref="D82:D103 E82:F82">
    <cfRule type="containsErrors" dxfId="269" priority="27">
      <formula>ISERROR(D82)</formula>
    </cfRule>
  </conditionalFormatting>
  <conditionalFormatting sqref="J82:J104">
    <cfRule type="containsErrors" dxfId="268" priority="24">
      <formula>ISERROR(J82)</formula>
    </cfRule>
  </conditionalFormatting>
  <conditionalFormatting sqref="J104">
    <cfRule type="containsErrors" dxfId="267" priority="23">
      <formula>ISERROR(J104)</formula>
    </cfRule>
  </conditionalFormatting>
  <conditionalFormatting sqref="J82:J104">
    <cfRule type="dataBar" priority="25">
      <dataBar showValue="0">
        <cfvo type="min"/>
        <cfvo type="max"/>
        <color theme="9"/>
      </dataBar>
      <extLst>
        <ext xmlns:x14="http://schemas.microsoft.com/office/spreadsheetml/2009/9/main" uri="{B025F937-C7B1-47D3-B67F-A62EFF666E3E}">
          <x14:id>{752049A3-03C6-42D7-8C13-EECBDC273C6E}</x14:id>
        </ext>
      </extLst>
    </cfRule>
  </conditionalFormatting>
  <conditionalFormatting sqref="I82:I103">
    <cfRule type="containsErrors" dxfId="266" priority="21">
      <formula>ISERROR(I82)</formula>
    </cfRule>
  </conditionalFormatting>
  <conditionalFormatting sqref="I104">
    <cfRule type="containsErrors" dxfId="265" priority="20">
      <formula>ISERROR(I104)</formula>
    </cfRule>
  </conditionalFormatting>
  <conditionalFormatting sqref="I105:J105">
    <cfRule type="containsErrors" dxfId="264" priority="19">
      <formula>ISERROR(I105)</formula>
    </cfRule>
  </conditionalFormatting>
  <conditionalFormatting sqref="R82:R103">
    <cfRule type="containsErrors" dxfId="263" priority="17">
      <formula>ISERROR(R82)</formula>
    </cfRule>
  </conditionalFormatting>
  <conditionalFormatting sqref="R82:R103">
    <cfRule type="containsErrors" dxfId="262" priority="16">
      <formula>ISERROR(R82)</formula>
    </cfRule>
  </conditionalFormatting>
  <conditionalFormatting sqref="Q104:Q105">
    <cfRule type="containsErrors" dxfId="261" priority="14">
      <formula>ISERROR(Q104)</formula>
    </cfRule>
  </conditionalFormatting>
  <conditionalFormatting sqref="Q82:Q105">
    <cfRule type="containsErrors" dxfId="260" priority="12">
      <formula>ISERROR(Q82)</formula>
    </cfRule>
    <cfRule type="dataBar" priority="13">
      <dataBar showValue="0">
        <cfvo type="min"/>
        <cfvo type="max"/>
        <color theme="9"/>
      </dataBar>
      <extLst>
        <ext xmlns:x14="http://schemas.microsoft.com/office/spreadsheetml/2009/9/main" uri="{B025F937-C7B1-47D3-B67F-A62EFF666E3E}">
          <x14:id>{33732814-8D6C-4C72-B8C7-C606031D15F8}</x14:id>
        </ext>
      </extLst>
    </cfRule>
  </conditionalFormatting>
  <conditionalFormatting sqref="Q105:R105">
    <cfRule type="containsErrors" dxfId="259" priority="11">
      <formula>ISERROR(Q105)</formula>
    </cfRule>
  </conditionalFormatting>
  <conditionalFormatting sqref="T105">
    <cfRule type="containsErrors" dxfId="258" priority="9">
      <formula>ISERROR(T105)</formula>
    </cfRule>
  </conditionalFormatting>
  <conditionalFormatting sqref="AK82:AL100">
    <cfRule type="containsErrors" dxfId="257" priority="8">
      <formula>ISERROR(AK82)</formula>
    </cfRule>
  </conditionalFormatting>
  <conditionalFormatting sqref="A73:A75">
    <cfRule type="containsErrors" dxfId="256" priority="6">
      <formula>ISERROR(A73)</formula>
    </cfRule>
  </conditionalFormatting>
  <conditionalFormatting sqref="A222:A254">
    <cfRule type="containsErrors" dxfId="255" priority="1">
      <formula>ISERROR(A222)</formula>
    </cfRule>
  </conditionalFormatting>
  <hyperlinks>
    <hyperlink ref="B185:H186" location="IDACI!A1" display="IDACI" xr:uid="{D8630D0E-574B-4246-A1B1-3E7383430C0C}"/>
    <hyperlink ref="B209:I210" location="ROSGO!A1" display="Child Arrangement &amp; Special Guardianship Orders" xr:uid="{218A07BB-27FE-457C-9163-28C2E98372ED}"/>
    <hyperlink ref="B189:G190" location="EH_Referrals!A1" display="Early Help Referrals" xr:uid="{645C38C2-AD63-4013-A0C5-D728258DD018}"/>
    <hyperlink ref="B209:E210" location="ROSGO!A1" display="Child Arrangement &amp; Special Guardianship Orders" xr:uid="{7A68A615-5072-4045-86A1-56114BEE83FB}"/>
    <hyperlink ref="B189:E190" location="EH_Referrals!A1" display="Early Help Referrals" xr:uid="{BD10616C-C1BC-4F04-A535-25FB5FAF75AE}"/>
    <hyperlink ref="B187:D188" location="IDACI!A1" display="IDACI" xr:uid="{AE904E2A-83D4-4040-AE32-6800A32A8130}"/>
    <hyperlink ref="B183:D184" location="Indicators!A1" display="Indicators" xr:uid="{67015354-850F-4B65-8E18-49C5E57D5ABA}"/>
    <hyperlink ref="B211:D212" location="New_Ceased_LAC!A1" display="New/ Ceased Looked After Children" xr:uid="{E0DC21CB-212B-430C-BD99-C91025C0ABBF}"/>
    <hyperlink ref="B215:D216" location="Care_Leavers!A1" display="Care Leavers" xr:uid="{23B4B647-39AF-4579-97D7-1E0CAC2083AA}"/>
    <hyperlink ref="B219:D220" location="Offending!A1" display="Offending" xr:uid="{EFC1ED07-E774-4EBF-93C3-A37760E1B8D1}"/>
    <hyperlink ref="B217:D218" location="EHCP!A1" display="Education Health and Care Plans (EHCP)" xr:uid="{E8E0A09C-FA07-4E4D-BB2A-A4CD9FA87697}"/>
    <hyperlink ref="B185:B186" location="Coverage!A1" display="Participating LA's" xr:uid="{159C881F-AE58-4A12-BA27-D72EE47D5A57}"/>
    <hyperlink ref="B187:B188" location="IDACI!A1" display="IDACI" xr:uid="{9F713EC6-072A-4B46-B8ED-208749546DE3}"/>
    <hyperlink ref="B213:B214" location="Adoption!A1" display="Adoption" xr:uid="{7CE9179F-4C62-465B-BA82-A43979765B39}"/>
    <hyperlink ref="B209:B210" location="'Looked After Children'!A1" display="Looked After Children" xr:uid="{72DF0B41-5623-4F86-927D-7204354F6CF5}"/>
    <hyperlink ref="B207:B208" location="'Court Applications'!A1" display="Court Applications" xr:uid="{D1EFDB98-C8F6-40B3-BB24-7315068E7580}"/>
    <hyperlink ref="B205:B206" location="'Child Protection Plans'!A1" display="Child Protection Plans" xr:uid="{8CE88BD1-CD0E-4893-9689-46E22AF98296}"/>
    <hyperlink ref="B203:B204" location="'Initial CP Conferences'!A1" display="Initial Child Protection Conferences" xr:uid="{FA9B323E-82E3-4C5E-AF29-3E651396AC3A}"/>
    <hyperlink ref="B201:B202" location="'Section 47 Enquiries'!A1" display="Section 47 Enquiries" xr:uid="{D75045EF-7A2A-411D-8ECA-2173BF8DA873}"/>
    <hyperlink ref="B199:B200" location="'Children in Need'!A1" display="Children in Need" xr:uid="{5FA1DE7D-1EC7-4DE2-AB21-1BB42C41B9AB}"/>
    <hyperlink ref="B197:B198" location="Assessments!A1" display="Assessments" xr:uid="{CDAA08F3-205C-4C7C-91DF-CAC65F18ABFC}"/>
    <hyperlink ref="B195:B196" location="'Re-referrals'!A1" display="Re-referrals" xr:uid="{943BB782-7597-41BE-9250-8059E4384A1C}"/>
    <hyperlink ref="B193:B194" location="Referral_Source!A1" display="Referral Source" xr:uid="{F1A90AAD-065B-4019-9F8D-19575C29E85A}"/>
    <hyperlink ref="B191:B192" location="Referrals!A1" display="Referrals" xr:uid="{FF19EDE1-77A9-4414-A8CE-5B82A1801D9B}"/>
    <hyperlink ref="B189:B190" location="Population!A1" display="Population" xr:uid="{4CE08665-01C0-4411-9D44-46483AB598B9}"/>
    <hyperlink ref="B187:C188" location="IDACI!A1" display="IDACI" xr:uid="{38F8CCF0-9976-410A-90DD-4310465EBA5E}"/>
    <hyperlink ref="B183:B184" location="Coverage!A1" display="Participating LA's" xr:uid="{33071D71-FCD7-487E-9DB9-30CC8EEA9AC3}"/>
    <hyperlink ref="B183:C184" location="Indicators!A1" display="Indicators" xr:uid="{253F2D43-229E-4F63-9ACF-A19BCED6DA4C}"/>
    <hyperlink ref="B215:B216" location="'Looked After Children'!A1" display="Looked After Children" xr:uid="{41F5475E-9A6E-4E76-A90E-C92BC1791AB6}"/>
    <hyperlink ref="B211:B212" location="'Court Applications'!A1" display="Court Applications" xr:uid="{1F2AAB84-84C0-4FB1-8852-D2CCACD05DEB}"/>
    <hyperlink ref="B211:C212" location="New_Ceased_LAC!A1" display="New/ Ceased Looked After Children" xr:uid="{CB34BA2D-AE0A-4835-9044-1C28AEB41C01}"/>
    <hyperlink ref="B215:C216" location="Care_Leavers!A1" display="Care Leavers" xr:uid="{23D5D2C8-2317-4B02-B066-1206F6BB4F70}"/>
    <hyperlink ref="B218:B220" location="Adoption!A1" display="Adoption" xr:uid="{32B02A90-7668-475D-9487-022D6876FF34}"/>
    <hyperlink ref="B219:B220" location="'Looked After Children'!A1" display="Looked After Children" xr:uid="{B5FEFCA8-0A92-4EB3-B453-4E7FC3A2393D}"/>
    <hyperlink ref="B219:C220" location="Offending!A1" display="Offending" xr:uid="{7973BB24-98B9-4416-B98A-F1FAC039BAA0}"/>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9" max="20" man="1"/>
    <brk id="72" max="20" man="1"/>
    <brk id="143" max="20" man="1"/>
  </rowBreaks>
  <ignoredErrors>
    <ignoredError sqref="A149:A170 A82:A103 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8545" r:id="rId4" name="Check Box 1">
              <controlPr defaultSize="0" autoFill="0" autoLine="0" autoPict="0" macro="[0]!CheckBox1_Click" altText="">
                <anchor>
                  <from>
                    <xdr:col>22</xdr:col>
                    <xdr:colOff>95250</xdr:colOff>
                    <xdr:row>40</xdr:row>
                    <xdr:rowOff>38100</xdr:rowOff>
                  </from>
                  <to>
                    <xdr:col>39</xdr:col>
                    <xdr:colOff>66675</xdr:colOff>
                    <xdr:row>42</xdr:row>
                    <xdr:rowOff>19050</xdr:rowOff>
                  </to>
                </anchor>
              </controlPr>
            </control>
          </mc:Choice>
        </mc:AlternateContent>
        <mc:AlternateContent xmlns:mc="http://schemas.openxmlformats.org/markup-compatibility/2006">
          <mc:Choice Requires="x14">
            <control shapeId="108546" r:id="rId5" name="Check Box 2">
              <controlPr defaultSize="0" autoFill="0" autoLine="0" autoPict="0" macro="[0]!CheckBox1_Click" altText="">
                <anchor>
                  <from>
                    <xdr:col>22</xdr:col>
                    <xdr:colOff>95250</xdr:colOff>
                    <xdr:row>41</xdr:row>
                    <xdr:rowOff>161925</xdr:rowOff>
                  </from>
                  <to>
                    <xdr:col>39</xdr:col>
                    <xdr:colOff>66675</xdr:colOff>
                    <xdr:row>43</xdr:row>
                    <xdr:rowOff>19050</xdr:rowOff>
                  </to>
                </anchor>
              </controlPr>
            </control>
          </mc:Choice>
        </mc:AlternateContent>
        <mc:AlternateContent xmlns:mc="http://schemas.openxmlformats.org/markup-compatibility/2006">
          <mc:Choice Requires="x14">
            <control shapeId="108547" r:id="rId6" name="Check Box 3">
              <controlPr defaultSize="0" autoFill="0" autoLine="0" autoPict="0" macro="[0]!CheckBox1_Click" altText="">
                <anchor>
                  <from>
                    <xdr:col>22</xdr:col>
                    <xdr:colOff>95250</xdr:colOff>
                    <xdr:row>42</xdr:row>
                    <xdr:rowOff>161925</xdr:rowOff>
                  </from>
                  <to>
                    <xdr:col>39</xdr:col>
                    <xdr:colOff>66675</xdr:colOff>
                    <xdr:row>44</xdr:row>
                    <xdr:rowOff>19050</xdr:rowOff>
                  </to>
                </anchor>
              </controlPr>
            </control>
          </mc:Choice>
        </mc:AlternateContent>
        <mc:AlternateContent xmlns:mc="http://schemas.openxmlformats.org/markup-compatibility/2006">
          <mc:Choice Requires="x14">
            <control shapeId="108548" r:id="rId7" name="Check Box 4">
              <controlPr defaultSize="0" autoFill="0" autoLine="0" autoPict="0" macro="[0]!CheckBox1_Click" altText="">
                <anchor>
                  <from>
                    <xdr:col>22</xdr:col>
                    <xdr:colOff>95250</xdr:colOff>
                    <xdr:row>43</xdr:row>
                    <xdr:rowOff>161925</xdr:rowOff>
                  </from>
                  <to>
                    <xdr:col>39</xdr:col>
                    <xdr:colOff>66675</xdr:colOff>
                    <xdr:row>45</xdr:row>
                    <xdr:rowOff>19050</xdr:rowOff>
                  </to>
                </anchor>
              </controlPr>
            </control>
          </mc:Choice>
        </mc:AlternateContent>
        <mc:AlternateContent xmlns:mc="http://schemas.openxmlformats.org/markup-compatibility/2006">
          <mc:Choice Requires="x14">
            <control shapeId="108549" r:id="rId8" name="Check Box 5">
              <controlPr defaultSize="0" autoFill="0" autoLine="0" autoPict="0" macro="[0]!CheckBox1_Click" altText="">
                <anchor>
                  <from>
                    <xdr:col>22</xdr:col>
                    <xdr:colOff>95250</xdr:colOff>
                    <xdr:row>44</xdr:row>
                    <xdr:rowOff>161925</xdr:rowOff>
                  </from>
                  <to>
                    <xdr:col>39</xdr:col>
                    <xdr:colOff>66675</xdr:colOff>
                    <xdr:row>46</xdr:row>
                    <xdr:rowOff>19050</xdr:rowOff>
                  </to>
                </anchor>
              </controlPr>
            </control>
          </mc:Choice>
        </mc:AlternateContent>
        <mc:AlternateContent xmlns:mc="http://schemas.openxmlformats.org/markup-compatibility/2006">
          <mc:Choice Requires="x14">
            <control shapeId="108550" r:id="rId9" name="Check Box 6">
              <controlPr defaultSize="0" autoFill="0" autoLine="0" autoPict="0" macro="[0]!CheckBox1_Click" altText="">
                <anchor>
                  <from>
                    <xdr:col>22</xdr:col>
                    <xdr:colOff>95250</xdr:colOff>
                    <xdr:row>45</xdr:row>
                    <xdr:rowOff>161925</xdr:rowOff>
                  </from>
                  <to>
                    <xdr:col>39</xdr:col>
                    <xdr:colOff>66675</xdr:colOff>
                    <xdr:row>47</xdr:row>
                    <xdr:rowOff>19050</xdr:rowOff>
                  </to>
                </anchor>
              </controlPr>
            </control>
          </mc:Choice>
        </mc:AlternateContent>
        <mc:AlternateContent xmlns:mc="http://schemas.openxmlformats.org/markup-compatibility/2006">
          <mc:Choice Requires="x14">
            <control shapeId="108551" r:id="rId10" name="Check Box 7">
              <controlPr defaultSize="0" autoFill="0" autoLine="0" autoPict="0" macro="[0]!CheckBox1_Click" altText="">
                <anchor>
                  <from>
                    <xdr:col>22</xdr:col>
                    <xdr:colOff>95250</xdr:colOff>
                    <xdr:row>46</xdr:row>
                    <xdr:rowOff>161925</xdr:rowOff>
                  </from>
                  <to>
                    <xdr:col>39</xdr:col>
                    <xdr:colOff>66675</xdr:colOff>
                    <xdr:row>48</xdr:row>
                    <xdr:rowOff>19050</xdr:rowOff>
                  </to>
                </anchor>
              </controlPr>
            </control>
          </mc:Choice>
        </mc:AlternateContent>
        <mc:AlternateContent xmlns:mc="http://schemas.openxmlformats.org/markup-compatibility/2006">
          <mc:Choice Requires="x14">
            <control shapeId="108552" r:id="rId11" name="Check Box 8">
              <controlPr defaultSize="0" autoFill="0" autoLine="0" autoPict="0" macro="[0]!CheckBox1_Click" altText="">
                <anchor>
                  <from>
                    <xdr:col>22</xdr:col>
                    <xdr:colOff>95250</xdr:colOff>
                    <xdr:row>47</xdr:row>
                    <xdr:rowOff>161925</xdr:rowOff>
                  </from>
                  <to>
                    <xdr:col>39</xdr:col>
                    <xdr:colOff>66675</xdr:colOff>
                    <xdr:row>49</xdr:row>
                    <xdr:rowOff>19050</xdr:rowOff>
                  </to>
                </anchor>
              </controlPr>
            </control>
          </mc:Choice>
        </mc:AlternateContent>
        <mc:AlternateContent xmlns:mc="http://schemas.openxmlformats.org/markup-compatibility/2006">
          <mc:Choice Requires="x14">
            <control shapeId="108553" r:id="rId12" name="Check Box 9">
              <controlPr defaultSize="0" autoFill="0" autoLine="0" autoPict="0" macro="[0]!CheckBox1_Click" altText="">
                <anchor>
                  <from>
                    <xdr:col>22</xdr:col>
                    <xdr:colOff>95250</xdr:colOff>
                    <xdr:row>48</xdr:row>
                    <xdr:rowOff>161925</xdr:rowOff>
                  </from>
                  <to>
                    <xdr:col>39</xdr:col>
                    <xdr:colOff>66675</xdr:colOff>
                    <xdr:row>50</xdr:row>
                    <xdr:rowOff>19050</xdr:rowOff>
                  </to>
                </anchor>
              </controlPr>
            </control>
          </mc:Choice>
        </mc:AlternateContent>
        <mc:AlternateContent xmlns:mc="http://schemas.openxmlformats.org/markup-compatibility/2006">
          <mc:Choice Requires="x14">
            <control shapeId="108554" r:id="rId13" name="Check Box 10">
              <controlPr defaultSize="0" autoFill="0" autoLine="0" autoPict="0" macro="[0]!CheckBox1_Click" altText="">
                <anchor>
                  <from>
                    <xdr:col>22</xdr:col>
                    <xdr:colOff>95250</xdr:colOff>
                    <xdr:row>49</xdr:row>
                    <xdr:rowOff>161925</xdr:rowOff>
                  </from>
                  <to>
                    <xdr:col>39</xdr:col>
                    <xdr:colOff>66675</xdr:colOff>
                    <xdr:row>51</xdr:row>
                    <xdr:rowOff>19050</xdr:rowOff>
                  </to>
                </anchor>
              </controlPr>
            </control>
          </mc:Choice>
        </mc:AlternateContent>
        <mc:AlternateContent xmlns:mc="http://schemas.openxmlformats.org/markup-compatibility/2006">
          <mc:Choice Requires="x14">
            <control shapeId="108555" r:id="rId14" name="Check Box 11">
              <controlPr defaultSize="0" autoFill="0" autoLine="0" autoPict="0" macro="[0]!CheckBox1_Click" altText="">
                <anchor>
                  <from>
                    <xdr:col>22</xdr:col>
                    <xdr:colOff>95250</xdr:colOff>
                    <xdr:row>50</xdr:row>
                    <xdr:rowOff>161925</xdr:rowOff>
                  </from>
                  <to>
                    <xdr:col>39</xdr:col>
                    <xdr:colOff>66675</xdr:colOff>
                    <xdr:row>52</xdr:row>
                    <xdr:rowOff>19050</xdr:rowOff>
                  </to>
                </anchor>
              </controlPr>
            </control>
          </mc:Choice>
        </mc:AlternateContent>
        <mc:AlternateContent xmlns:mc="http://schemas.openxmlformats.org/markup-compatibility/2006">
          <mc:Choice Requires="x14">
            <control shapeId="108556" r:id="rId15" name="Check Box 12">
              <controlPr defaultSize="0" autoFill="0" autoLine="0" autoPict="0" macro="[0]!CheckBox1_Click" altText="">
                <anchor>
                  <from>
                    <xdr:col>22</xdr:col>
                    <xdr:colOff>95250</xdr:colOff>
                    <xdr:row>51</xdr:row>
                    <xdr:rowOff>161925</xdr:rowOff>
                  </from>
                  <to>
                    <xdr:col>39</xdr:col>
                    <xdr:colOff>66675</xdr:colOff>
                    <xdr:row>53</xdr:row>
                    <xdr:rowOff>19050</xdr:rowOff>
                  </to>
                </anchor>
              </controlPr>
            </control>
          </mc:Choice>
        </mc:AlternateContent>
        <mc:AlternateContent xmlns:mc="http://schemas.openxmlformats.org/markup-compatibility/2006">
          <mc:Choice Requires="x14">
            <control shapeId="108557" r:id="rId16" name="Check Box 13">
              <controlPr defaultSize="0" autoFill="0" autoLine="0" autoPict="0" macro="[0]!CheckBox1_Click" altText="">
                <anchor>
                  <from>
                    <xdr:col>22</xdr:col>
                    <xdr:colOff>95250</xdr:colOff>
                    <xdr:row>52</xdr:row>
                    <xdr:rowOff>161925</xdr:rowOff>
                  </from>
                  <to>
                    <xdr:col>39</xdr:col>
                    <xdr:colOff>66675</xdr:colOff>
                    <xdr:row>54</xdr:row>
                    <xdr:rowOff>19050</xdr:rowOff>
                  </to>
                </anchor>
              </controlPr>
            </control>
          </mc:Choice>
        </mc:AlternateContent>
        <mc:AlternateContent xmlns:mc="http://schemas.openxmlformats.org/markup-compatibility/2006">
          <mc:Choice Requires="x14">
            <control shapeId="108558" r:id="rId17" name="Check Box 14">
              <controlPr defaultSize="0" autoFill="0" autoLine="0" autoPict="0" macro="[0]!CheckBox1_Click" altText="">
                <anchor>
                  <from>
                    <xdr:col>22</xdr:col>
                    <xdr:colOff>95250</xdr:colOff>
                    <xdr:row>53</xdr:row>
                    <xdr:rowOff>161925</xdr:rowOff>
                  </from>
                  <to>
                    <xdr:col>39</xdr:col>
                    <xdr:colOff>66675</xdr:colOff>
                    <xdr:row>55</xdr:row>
                    <xdr:rowOff>19050</xdr:rowOff>
                  </to>
                </anchor>
              </controlPr>
            </control>
          </mc:Choice>
        </mc:AlternateContent>
        <mc:AlternateContent xmlns:mc="http://schemas.openxmlformats.org/markup-compatibility/2006">
          <mc:Choice Requires="x14">
            <control shapeId="108559" r:id="rId18" name="Check Box 15">
              <controlPr defaultSize="0" autoFill="0" autoLine="0" autoPict="0" macro="[0]!CheckBox1_Click" altText="">
                <anchor>
                  <from>
                    <xdr:col>22</xdr:col>
                    <xdr:colOff>95250</xdr:colOff>
                    <xdr:row>54</xdr:row>
                    <xdr:rowOff>161925</xdr:rowOff>
                  </from>
                  <to>
                    <xdr:col>39</xdr:col>
                    <xdr:colOff>66675</xdr:colOff>
                    <xdr:row>56</xdr:row>
                    <xdr:rowOff>19050</xdr:rowOff>
                  </to>
                </anchor>
              </controlPr>
            </control>
          </mc:Choice>
        </mc:AlternateContent>
        <mc:AlternateContent xmlns:mc="http://schemas.openxmlformats.org/markup-compatibility/2006">
          <mc:Choice Requires="x14">
            <control shapeId="108560" r:id="rId19" name="Check Box 16">
              <controlPr defaultSize="0" autoFill="0" autoLine="0" autoPict="0" macro="[0]!CheckBox1_Click" altText="">
                <anchor>
                  <from>
                    <xdr:col>22</xdr:col>
                    <xdr:colOff>95250</xdr:colOff>
                    <xdr:row>55</xdr:row>
                    <xdr:rowOff>161925</xdr:rowOff>
                  </from>
                  <to>
                    <xdr:col>39</xdr:col>
                    <xdr:colOff>66675</xdr:colOff>
                    <xdr:row>57</xdr:row>
                    <xdr:rowOff>19050</xdr:rowOff>
                  </to>
                </anchor>
              </controlPr>
            </control>
          </mc:Choice>
        </mc:AlternateContent>
        <mc:AlternateContent xmlns:mc="http://schemas.openxmlformats.org/markup-compatibility/2006">
          <mc:Choice Requires="x14">
            <control shapeId="108561" r:id="rId20" name="Check Box 17">
              <controlPr defaultSize="0" autoFill="0" autoLine="0" autoPict="0" macro="[0]!CheckBox1_Click" altText="">
                <anchor>
                  <from>
                    <xdr:col>22</xdr:col>
                    <xdr:colOff>95250</xdr:colOff>
                    <xdr:row>58</xdr:row>
                    <xdr:rowOff>161925</xdr:rowOff>
                  </from>
                  <to>
                    <xdr:col>39</xdr:col>
                    <xdr:colOff>66675</xdr:colOff>
                    <xdr:row>60</xdr:row>
                    <xdr:rowOff>19050</xdr:rowOff>
                  </to>
                </anchor>
              </controlPr>
            </control>
          </mc:Choice>
        </mc:AlternateContent>
        <mc:AlternateContent xmlns:mc="http://schemas.openxmlformats.org/markup-compatibility/2006">
          <mc:Choice Requires="x14">
            <control shapeId="108562" r:id="rId21" name="Check Box 18">
              <controlPr defaultSize="0" autoFill="0" autoLine="0" autoPict="0" macro="[0]!CheckBox1_Click" altText="">
                <anchor>
                  <from>
                    <xdr:col>22</xdr:col>
                    <xdr:colOff>95250</xdr:colOff>
                    <xdr:row>59</xdr:row>
                    <xdr:rowOff>161925</xdr:rowOff>
                  </from>
                  <to>
                    <xdr:col>39</xdr:col>
                    <xdr:colOff>66675</xdr:colOff>
                    <xdr:row>61</xdr:row>
                    <xdr:rowOff>19050</xdr:rowOff>
                  </to>
                </anchor>
              </controlPr>
            </control>
          </mc:Choice>
        </mc:AlternateContent>
        <mc:AlternateContent xmlns:mc="http://schemas.openxmlformats.org/markup-compatibility/2006">
          <mc:Choice Requires="x14">
            <control shapeId="108563" r:id="rId22" name="Check Box 19">
              <controlPr defaultSize="0" autoFill="0" autoLine="0" autoPict="0" macro="[0]!CheckBox1_Click" altText="">
                <anchor>
                  <from>
                    <xdr:col>22</xdr:col>
                    <xdr:colOff>95250</xdr:colOff>
                    <xdr:row>60</xdr:row>
                    <xdr:rowOff>161925</xdr:rowOff>
                  </from>
                  <to>
                    <xdr:col>39</xdr:col>
                    <xdr:colOff>66675</xdr:colOff>
                    <xdr:row>62</xdr:row>
                    <xdr:rowOff>19050</xdr:rowOff>
                  </to>
                </anchor>
              </controlPr>
            </control>
          </mc:Choice>
        </mc:AlternateContent>
        <mc:AlternateContent xmlns:mc="http://schemas.openxmlformats.org/markup-compatibility/2006">
          <mc:Choice Requires="x14">
            <control shapeId="108564" r:id="rId23" name="Check Box 20">
              <controlPr defaultSize="0" autoFill="0" autoLine="0" autoPict="0" macro="[0]!CheckBox1_Click" altText="">
                <anchor>
                  <from>
                    <xdr:col>22</xdr:col>
                    <xdr:colOff>95250</xdr:colOff>
                    <xdr:row>61</xdr:row>
                    <xdr:rowOff>161925</xdr:rowOff>
                  </from>
                  <to>
                    <xdr:col>39</xdr:col>
                    <xdr:colOff>66675</xdr:colOff>
                    <xdr:row>63</xdr:row>
                    <xdr:rowOff>19050</xdr:rowOff>
                  </to>
                </anchor>
              </controlPr>
            </control>
          </mc:Choice>
        </mc:AlternateContent>
        <mc:AlternateContent xmlns:mc="http://schemas.openxmlformats.org/markup-compatibility/2006">
          <mc:Choice Requires="x14">
            <control shapeId="108565" r:id="rId24" name="Check Box 21">
              <controlPr defaultSize="0" autoFill="0" autoLine="0" autoPict="0" macro="[0]!CheckBox1_Click" altText="">
                <anchor>
                  <from>
                    <xdr:col>22</xdr:col>
                    <xdr:colOff>95250</xdr:colOff>
                    <xdr:row>62</xdr:row>
                    <xdr:rowOff>161925</xdr:rowOff>
                  </from>
                  <to>
                    <xdr:col>39</xdr:col>
                    <xdr:colOff>66675</xdr:colOff>
                    <xdr:row>64</xdr:row>
                    <xdr:rowOff>19050</xdr:rowOff>
                  </to>
                </anchor>
              </controlPr>
            </control>
          </mc:Choice>
        </mc:AlternateContent>
        <mc:AlternateContent xmlns:mc="http://schemas.openxmlformats.org/markup-compatibility/2006">
          <mc:Choice Requires="x14">
            <control shapeId="108566" r:id="rId25" name="Check Box 22">
              <controlPr defaultSize="0" autoFill="0" autoLine="0" autoPict="0" macro="[0]!CheckBox1_Click" altText="">
                <anchor>
                  <from>
                    <xdr:col>22</xdr:col>
                    <xdr:colOff>95250</xdr:colOff>
                    <xdr:row>56</xdr:row>
                    <xdr:rowOff>161925</xdr:rowOff>
                  </from>
                  <to>
                    <xdr:col>39</xdr:col>
                    <xdr:colOff>66675</xdr:colOff>
                    <xdr:row>58</xdr:row>
                    <xdr:rowOff>19050</xdr:rowOff>
                  </to>
                </anchor>
              </controlPr>
            </control>
          </mc:Choice>
        </mc:AlternateContent>
        <mc:AlternateContent xmlns:mc="http://schemas.openxmlformats.org/markup-compatibility/2006">
          <mc:Choice Requires="x14">
            <control shapeId="108567" r:id="rId26" name="Check Box 23">
              <controlPr defaultSize="0" autoFill="0" autoLine="0" autoPict="0" macro="[0]!CheckBox1_Click" altText="">
                <anchor>
                  <from>
                    <xdr:col>22</xdr:col>
                    <xdr:colOff>95250</xdr:colOff>
                    <xdr:row>57</xdr:row>
                    <xdr:rowOff>161925</xdr:rowOff>
                  </from>
                  <to>
                    <xdr:col>39</xdr:col>
                    <xdr:colOff>66675</xdr:colOff>
                    <xdr:row>59</xdr:row>
                    <xdr:rowOff>19050</xdr:rowOff>
                  </to>
                </anchor>
              </controlPr>
            </control>
          </mc:Choice>
        </mc:AlternateContent>
        <mc:AlternateContent xmlns:mc="http://schemas.openxmlformats.org/markup-compatibility/2006">
          <mc:Choice Requires="x14">
            <control shapeId="108568" r:id="rId27" name="Check Box 24">
              <controlPr defaultSize="0" autoFill="0" autoLine="0" autoPict="0" macro="[0]!CheckBox1_Click" altText="">
                <anchor>
                  <from>
                    <xdr:col>22</xdr:col>
                    <xdr:colOff>95250</xdr:colOff>
                    <xdr:row>63</xdr:row>
                    <xdr:rowOff>161925</xdr:rowOff>
                  </from>
                  <to>
                    <xdr:col>39</xdr:col>
                    <xdr:colOff>66675</xdr:colOff>
                    <xdr:row>65</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874AC8C9-90AB-4E28-A90A-1B633B7E3177}">
            <x14:dataBar minLength="0" maxLength="100" gradient="0" negativeBarColorSameAsPositive="1" axisPosition="middle">
              <x14:cfvo type="autoMin"/>
              <x14:cfvo type="autoMax"/>
              <x14:axisColor theme="0" tint="-0.499984740745262"/>
            </x14:dataBar>
          </x14:cfRule>
          <xm:sqref>J10:J33</xm:sqref>
        </x14:conditionalFormatting>
        <x14:conditionalFormatting xmlns:xm="http://schemas.microsoft.com/office/excel/2006/main">
          <x14:cfRule type="dataBar" id="{21F141F2-05C7-4925-AF46-BF0AB5D6F6B5}">
            <x14:dataBar minLength="0" maxLength="100" gradient="0" negativeBarColorSameAsPositive="1">
              <x14:cfvo type="autoMin"/>
              <x14:cfvo type="autoMax"/>
              <x14:axisColor rgb="FF000000"/>
            </x14:dataBar>
          </x14:cfRule>
          <xm:sqref>Q10:Q33</xm:sqref>
        </x14:conditionalFormatting>
        <x14:conditionalFormatting xmlns:xm="http://schemas.microsoft.com/office/excel/2006/main">
          <x14:cfRule type="dataBar" id="{752049A3-03C6-42D7-8C13-EECBDC273C6E}">
            <x14:dataBar minLength="0" maxLength="100" gradient="0" negativeBarColorSameAsPositive="1" axisPosition="middle">
              <x14:cfvo type="autoMin"/>
              <x14:cfvo type="autoMax"/>
              <x14:axisColor theme="0" tint="-0.499984740745262"/>
            </x14:dataBar>
          </x14:cfRule>
          <xm:sqref>J82:J104</xm:sqref>
        </x14:conditionalFormatting>
        <x14:conditionalFormatting xmlns:xm="http://schemas.microsoft.com/office/excel/2006/main">
          <x14:cfRule type="dataBar" id="{33732814-8D6C-4C72-B8C7-C606031D15F8}">
            <x14:dataBar minLength="0" maxLength="100" gradient="0" negativeBarColorSameAsPositive="1">
              <x14:cfvo type="autoMin"/>
              <x14:cfvo type="autoMax"/>
              <x14:axisColor rgb="FF000000"/>
            </x14:dataBar>
          </x14:cfRule>
          <xm:sqref>Q82:Q105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99FFCC"/>
    <pageSetUpPr fitToPage="1"/>
  </sheetPr>
  <dimension ref="A1:Z110"/>
  <sheetViews>
    <sheetView workbookViewId="0">
      <pane xSplit="2" ySplit="1" topLeftCell="C82" activePane="bottomRight" state="frozen"/>
      <selection activeCell="A19" sqref="A19"/>
      <selection pane="topRight" activeCell="A19" sqref="A19"/>
      <selection pane="bottomLeft" activeCell="A19" sqref="A19"/>
      <selection pane="bottomRight" activeCell="A19" sqref="A19"/>
    </sheetView>
  </sheetViews>
  <sheetFormatPr defaultColWidth="9.140625" defaultRowHeight="13.5" customHeight="1" x14ac:dyDescent="0.2"/>
  <cols>
    <col min="1" max="1" width="4.5703125" style="470" customWidth="1"/>
    <col min="2" max="2" width="41.42578125" style="557" customWidth="1"/>
    <col min="3" max="24" width="4.85546875" style="470" customWidth="1"/>
    <col min="25" max="25" width="6.42578125" style="837" customWidth="1"/>
    <col min="26" max="26" width="7.85546875" style="470" customWidth="1"/>
    <col min="27" max="16384" width="9.140625" style="470"/>
  </cols>
  <sheetData>
    <row r="1" spans="1:26" s="555" customFormat="1" ht="75" customHeight="1" x14ac:dyDescent="0.2">
      <c r="A1" s="831" t="str">
        <f>IF(Sheet1!$C$3="Quarterly",Sheet1!$F$24&amp;" "&amp;Sheet1!$F$25,Sheet1!$F$22)</f>
        <v>2017-18</v>
      </c>
      <c r="B1" s="831"/>
      <c r="C1" s="1365" t="s">
        <v>1144</v>
      </c>
      <c r="D1" s="1365" t="s">
        <v>1145</v>
      </c>
      <c r="E1" s="1365" t="s">
        <v>1146</v>
      </c>
      <c r="F1" s="1365" t="s">
        <v>1147</v>
      </c>
      <c r="G1" s="1365" t="s">
        <v>1148</v>
      </c>
      <c r="H1" s="1365" t="s">
        <v>1149</v>
      </c>
      <c r="I1" s="1365" t="s">
        <v>1150</v>
      </c>
      <c r="J1" s="1365" t="s">
        <v>1151</v>
      </c>
      <c r="K1" s="1365" t="s">
        <v>1152</v>
      </c>
      <c r="L1" s="1365" t="s">
        <v>1153</v>
      </c>
      <c r="M1" s="1365" t="s">
        <v>1154</v>
      </c>
      <c r="N1" s="1365" t="s">
        <v>1155</v>
      </c>
      <c r="O1" s="1365" t="s">
        <v>1156</v>
      </c>
      <c r="P1" s="1365" t="s">
        <v>1157</v>
      </c>
      <c r="Q1" s="1365" t="s">
        <v>1158</v>
      </c>
      <c r="R1" s="1365" t="s">
        <v>1159</v>
      </c>
      <c r="S1" s="1367" t="s">
        <v>1160</v>
      </c>
      <c r="T1" s="1367" t="s">
        <v>1161</v>
      </c>
      <c r="U1" s="1365" t="s">
        <v>1162</v>
      </c>
      <c r="V1" s="1365" t="s">
        <v>1163</v>
      </c>
      <c r="W1" s="1365" t="s">
        <v>1164</v>
      </c>
      <c r="X1" s="1365" t="s">
        <v>1165</v>
      </c>
      <c r="Y1" s="615" t="s">
        <v>1166</v>
      </c>
      <c r="Z1" s="616" t="s">
        <v>1167</v>
      </c>
    </row>
    <row r="2" spans="1:26" s="556" customFormat="1" ht="13.5" customHeight="1" x14ac:dyDescent="0.2">
      <c r="A2" s="622">
        <v>1</v>
      </c>
      <c r="B2" s="832" t="s">
        <v>541</v>
      </c>
      <c r="C2" s="1478"/>
      <c r="D2" s="1478"/>
      <c r="E2" s="1478"/>
      <c r="F2" s="1478"/>
      <c r="G2" s="1478"/>
      <c r="H2" s="1478"/>
      <c r="I2" s="1478"/>
      <c r="J2" s="1478"/>
      <c r="K2" s="1478"/>
      <c r="L2" s="1478"/>
      <c r="M2" s="1478"/>
      <c r="N2" s="1478"/>
      <c r="O2" s="1478"/>
      <c r="P2" s="1478"/>
      <c r="Q2" s="1478"/>
      <c r="R2" s="1478"/>
      <c r="S2" s="1478"/>
      <c r="T2" s="1478"/>
      <c r="U2" s="1478"/>
      <c r="V2" s="1478"/>
      <c r="W2" s="1482"/>
      <c r="X2" s="1551"/>
      <c r="Y2" s="1481"/>
      <c r="Z2" s="1483"/>
    </row>
    <row r="3" spans="1:26" s="556" customFormat="1" ht="13.5" customHeight="1" x14ac:dyDescent="0.2">
      <c r="A3" s="622">
        <v>2</v>
      </c>
      <c r="B3" s="832" t="s">
        <v>308</v>
      </c>
      <c r="C3" s="1470"/>
      <c r="D3" s="1470"/>
      <c r="E3" s="1470"/>
      <c r="F3" s="1470"/>
      <c r="G3" s="1470"/>
      <c r="H3" s="1470"/>
      <c r="I3" s="1470"/>
      <c r="J3" s="1470"/>
      <c r="K3" s="1470"/>
      <c r="L3" s="1470"/>
      <c r="M3" s="1470"/>
      <c r="N3" s="1470"/>
      <c r="O3" s="1470"/>
      <c r="P3" s="1470"/>
      <c r="Q3" s="1470"/>
      <c r="R3" s="1470"/>
      <c r="S3" s="1470"/>
      <c r="T3" s="1470"/>
      <c r="U3" s="1470"/>
      <c r="V3" s="1470"/>
      <c r="W3" s="1470"/>
      <c r="X3" s="1471"/>
      <c r="Y3" s="1472"/>
      <c r="Z3" s="1473"/>
    </row>
    <row r="4" spans="1:26" s="556" customFormat="1" ht="13.5" customHeight="1" x14ac:dyDescent="0.2">
      <c r="A4" s="622">
        <v>3</v>
      </c>
      <c r="B4" s="832" t="s">
        <v>309</v>
      </c>
      <c r="C4" s="1470"/>
      <c r="D4" s="1470"/>
      <c r="E4" s="1470"/>
      <c r="F4" s="1470"/>
      <c r="G4" s="1470"/>
      <c r="H4" s="1470"/>
      <c r="I4" s="1470"/>
      <c r="J4" s="1470"/>
      <c r="K4" s="1470"/>
      <c r="L4" s="1470"/>
      <c r="M4" s="1470"/>
      <c r="N4" s="1470"/>
      <c r="O4" s="1470"/>
      <c r="P4" s="1470"/>
      <c r="Q4" s="1470"/>
      <c r="R4" s="1470"/>
      <c r="S4" s="1470"/>
      <c r="T4" s="1470"/>
      <c r="U4" s="1470"/>
      <c r="V4" s="1470"/>
      <c r="W4" s="1470"/>
      <c r="X4" s="1471"/>
      <c r="Y4" s="1472"/>
      <c r="Z4" s="1473"/>
    </row>
    <row r="5" spans="1:26" s="556" customFormat="1" ht="13.5" customHeight="1" x14ac:dyDescent="0.2">
      <c r="A5" s="622">
        <v>4</v>
      </c>
      <c r="B5" s="832" t="s">
        <v>310</v>
      </c>
      <c r="C5" s="1470"/>
      <c r="D5" s="1470"/>
      <c r="E5" s="1470"/>
      <c r="F5" s="1470"/>
      <c r="G5" s="1470"/>
      <c r="H5" s="1470"/>
      <c r="I5" s="1470"/>
      <c r="J5" s="1470"/>
      <c r="K5" s="1470"/>
      <c r="L5" s="1470"/>
      <c r="M5" s="1470"/>
      <c r="N5" s="1470"/>
      <c r="O5" s="1470"/>
      <c r="P5" s="1470"/>
      <c r="Q5" s="1470"/>
      <c r="R5" s="1470"/>
      <c r="S5" s="1470"/>
      <c r="T5" s="1470"/>
      <c r="U5" s="1470"/>
      <c r="V5" s="1470"/>
      <c r="W5" s="1470"/>
      <c r="X5" s="1471"/>
      <c r="Y5" s="1472"/>
      <c r="Z5" s="1473"/>
    </row>
    <row r="6" spans="1:26" s="556" customFormat="1" ht="13.5" customHeight="1" x14ac:dyDescent="0.2">
      <c r="A6" s="622">
        <v>5</v>
      </c>
      <c r="B6" s="832" t="s">
        <v>311</v>
      </c>
      <c r="C6" s="1470"/>
      <c r="D6" s="1470"/>
      <c r="E6" s="1470"/>
      <c r="F6" s="1470"/>
      <c r="G6" s="1470"/>
      <c r="H6" s="1470"/>
      <c r="I6" s="1470"/>
      <c r="J6" s="1470"/>
      <c r="K6" s="1470"/>
      <c r="L6" s="1470"/>
      <c r="M6" s="1470"/>
      <c r="N6" s="1474"/>
      <c r="O6" s="1470"/>
      <c r="P6" s="1470"/>
      <c r="Q6" s="1470"/>
      <c r="R6" s="1470"/>
      <c r="S6" s="1470"/>
      <c r="T6" s="1470"/>
      <c r="U6" s="1469"/>
      <c r="V6" s="1470"/>
      <c r="W6" s="1470"/>
      <c r="X6" s="1471"/>
      <c r="Y6" s="1472"/>
      <c r="Z6" s="1473"/>
    </row>
    <row r="7" spans="1:26" s="556" customFormat="1" ht="13.5" customHeight="1" x14ac:dyDescent="0.2">
      <c r="A7" s="622">
        <v>6</v>
      </c>
      <c r="B7" s="832" t="s">
        <v>312</v>
      </c>
      <c r="C7" s="1470"/>
      <c r="D7" s="1470"/>
      <c r="E7" s="1470"/>
      <c r="F7" s="1470"/>
      <c r="G7" s="1470"/>
      <c r="H7" s="1470"/>
      <c r="I7" s="1470"/>
      <c r="J7" s="1470"/>
      <c r="K7" s="1470"/>
      <c r="L7" s="1470"/>
      <c r="M7" s="1470"/>
      <c r="N7" s="1474"/>
      <c r="O7" s="1470"/>
      <c r="P7" s="1470"/>
      <c r="Q7" s="1470"/>
      <c r="R7" s="1470"/>
      <c r="S7" s="1470"/>
      <c r="T7" s="1470"/>
      <c r="U7" s="1469"/>
      <c r="V7" s="1470"/>
      <c r="W7" s="1470"/>
      <c r="X7" s="1471"/>
      <c r="Y7" s="1472"/>
      <c r="Z7" s="1473"/>
    </row>
    <row r="8" spans="1:26" s="556" customFormat="1" ht="13.5" customHeight="1" x14ac:dyDescent="0.2">
      <c r="A8" s="1451"/>
      <c r="B8" s="1452" t="s">
        <v>243</v>
      </c>
      <c r="C8" s="1552"/>
      <c r="D8" s="1552"/>
      <c r="E8" s="1552"/>
      <c r="F8" s="1552"/>
      <c r="G8" s="1552"/>
      <c r="H8" s="1552"/>
      <c r="I8" s="1552"/>
      <c r="J8" s="1552"/>
      <c r="K8" s="1552"/>
      <c r="L8" s="1552"/>
      <c r="M8" s="1552"/>
      <c r="N8" s="1552"/>
      <c r="O8" s="1552"/>
      <c r="P8" s="1552"/>
      <c r="Q8" s="1552"/>
      <c r="R8" s="1552"/>
      <c r="S8" s="1552"/>
      <c r="T8" s="1552"/>
      <c r="U8" s="1552"/>
      <c r="V8" s="1552"/>
      <c r="W8" s="1552"/>
      <c r="X8" s="1552"/>
      <c r="Y8" s="1553"/>
      <c r="Z8" s="1554"/>
    </row>
    <row r="9" spans="1:26" s="556" customFormat="1" ht="13.5" customHeight="1" x14ac:dyDescent="0.2">
      <c r="A9" s="622">
        <v>7</v>
      </c>
      <c r="B9" s="832" t="s">
        <v>313</v>
      </c>
      <c r="C9" s="1470"/>
      <c r="D9" s="1470"/>
      <c r="E9" s="1470"/>
      <c r="F9" s="1470"/>
      <c r="G9" s="1470"/>
      <c r="H9" s="1470"/>
      <c r="I9" s="1470"/>
      <c r="J9" s="1470"/>
      <c r="K9" s="1470"/>
      <c r="L9" s="1470"/>
      <c r="M9" s="1470"/>
      <c r="N9" s="1474"/>
      <c r="O9" s="1470"/>
      <c r="P9" s="1470"/>
      <c r="Q9" s="1470"/>
      <c r="R9" s="1470"/>
      <c r="S9" s="1470"/>
      <c r="T9" s="1470"/>
      <c r="U9" s="1469"/>
      <c r="V9" s="1470"/>
      <c r="W9" s="1470"/>
      <c r="X9" s="1471"/>
      <c r="Y9" s="1472"/>
      <c r="Z9" s="1473"/>
    </row>
    <row r="10" spans="1:26" s="556" customFormat="1" ht="13.5" customHeight="1" x14ac:dyDescent="0.2">
      <c r="A10" s="940">
        <v>8</v>
      </c>
      <c r="B10" s="833" t="s">
        <v>314</v>
      </c>
      <c r="C10" s="1470"/>
      <c r="D10" s="1470"/>
      <c r="E10" s="1470"/>
      <c r="F10" s="1470"/>
      <c r="G10" s="1470"/>
      <c r="H10" s="1470"/>
      <c r="I10" s="1470"/>
      <c r="J10" s="1470"/>
      <c r="K10" s="1470"/>
      <c r="L10" s="1470"/>
      <c r="M10" s="1470"/>
      <c r="N10" s="1474"/>
      <c r="O10" s="1470"/>
      <c r="P10" s="1470"/>
      <c r="Q10" s="1470"/>
      <c r="R10" s="1470"/>
      <c r="S10" s="1470"/>
      <c r="T10" s="1470"/>
      <c r="U10" s="1469"/>
      <c r="V10" s="1470"/>
      <c r="W10" s="1470"/>
      <c r="X10" s="1471"/>
      <c r="Y10" s="1472"/>
      <c r="Z10" s="1473"/>
    </row>
    <row r="11" spans="1:26" s="556" customFormat="1" ht="13.5" customHeight="1" x14ac:dyDescent="0.2">
      <c r="A11" s="622">
        <v>9</v>
      </c>
      <c r="B11" s="832" t="s">
        <v>315</v>
      </c>
      <c r="C11" s="1470"/>
      <c r="D11" s="1470"/>
      <c r="E11" s="1470"/>
      <c r="F11" s="1470"/>
      <c r="G11" s="1470"/>
      <c r="H11" s="1470"/>
      <c r="I11" s="1470"/>
      <c r="J11" s="1470"/>
      <c r="K11" s="1470"/>
      <c r="L11" s="1470"/>
      <c r="M11" s="1470"/>
      <c r="N11" s="1474"/>
      <c r="O11" s="1470"/>
      <c r="P11" s="1470"/>
      <c r="Q11" s="1470"/>
      <c r="R11" s="1470"/>
      <c r="S11" s="1470"/>
      <c r="T11" s="1470"/>
      <c r="U11" s="1469"/>
      <c r="V11" s="1470"/>
      <c r="W11" s="1470"/>
      <c r="X11" s="1471"/>
      <c r="Y11" s="1472"/>
      <c r="Z11" s="1473"/>
    </row>
    <row r="12" spans="1:26" s="556" customFormat="1" ht="13.5" customHeight="1" x14ac:dyDescent="0.2">
      <c r="A12" s="622">
        <v>10</v>
      </c>
      <c r="B12" s="832" t="s">
        <v>316</v>
      </c>
      <c r="C12" s="1459">
        <v>1819</v>
      </c>
      <c r="D12" s="1459">
        <v>3344</v>
      </c>
      <c r="E12" s="1459">
        <v>10337</v>
      </c>
      <c r="F12" s="1459">
        <v>4367</v>
      </c>
      <c r="G12" s="1459">
        <v>16115</v>
      </c>
      <c r="H12" s="1459">
        <v>2212</v>
      </c>
      <c r="I12" s="1459">
        <v>19373</v>
      </c>
      <c r="J12" s="1459">
        <v>2612</v>
      </c>
      <c r="K12" s="1459">
        <v>2359</v>
      </c>
      <c r="L12" s="1459">
        <v>6814</v>
      </c>
      <c r="M12" s="1459">
        <v>2845</v>
      </c>
      <c r="N12" s="1459">
        <v>2628</v>
      </c>
      <c r="O12" s="1459">
        <v>1591</v>
      </c>
      <c r="P12" s="1459">
        <v>5165</v>
      </c>
      <c r="Q12" s="1459">
        <v>2613</v>
      </c>
      <c r="R12" s="1459">
        <v>13626</v>
      </c>
      <c r="S12" s="1459">
        <v>3627</v>
      </c>
      <c r="T12" s="1459">
        <v>1805</v>
      </c>
      <c r="U12" s="1459">
        <v>1512</v>
      </c>
      <c r="V12" s="1459">
        <v>9995</v>
      </c>
      <c r="W12" s="1459">
        <v>1061</v>
      </c>
      <c r="X12" s="1468">
        <v>1371</v>
      </c>
      <c r="Y12" s="1460">
        <v>106590</v>
      </c>
      <c r="Z12" s="617">
        <v>655630</v>
      </c>
    </row>
    <row r="13" spans="1:26" s="556" customFormat="1" ht="13.5" customHeight="1" x14ac:dyDescent="0.2">
      <c r="A13" s="622">
        <v>11</v>
      </c>
      <c r="B13" s="832" t="s">
        <v>317</v>
      </c>
      <c r="C13" s="1470"/>
      <c r="D13" s="1470"/>
      <c r="E13" s="1470"/>
      <c r="F13" s="1470"/>
      <c r="G13" s="1470"/>
      <c r="H13" s="1470"/>
      <c r="I13" s="1470"/>
      <c r="J13" s="1470"/>
      <c r="K13" s="1470"/>
      <c r="L13" s="1470"/>
      <c r="M13" s="1470"/>
      <c r="N13" s="1470"/>
      <c r="O13" s="1470"/>
      <c r="P13" s="1470"/>
      <c r="Q13" s="1470"/>
      <c r="R13" s="1470"/>
      <c r="S13" s="1470"/>
      <c r="T13" s="1470"/>
      <c r="U13" s="1470"/>
      <c r="V13" s="1470"/>
      <c r="W13" s="1470"/>
      <c r="X13" s="1471"/>
      <c r="Y13" s="1472"/>
      <c r="Z13" s="1473"/>
    </row>
    <row r="14" spans="1:26" s="556" customFormat="1" ht="13.5" customHeight="1" x14ac:dyDescent="0.2">
      <c r="A14" s="622">
        <v>12</v>
      </c>
      <c r="B14" s="832" t="s">
        <v>318</v>
      </c>
      <c r="C14" s="1459">
        <v>1688</v>
      </c>
      <c r="D14" s="1459">
        <v>3039</v>
      </c>
      <c r="E14" s="1459">
        <v>7660</v>
      </c>
      <c r="F14" s="1459">
        <v>4286</v>
      </c>
      <c r="G14" s="1459">
        <v>13472</v>
      </c>
      <c r="H14" s="1459">
        <v>1783</v>
      </c>
      <c r="I14" s="1459">
        <v>19225</v>
      </c>
      <c r="J14" s="1459">
        <v>2417</v>
      </c>
      <c r="K14" s="1459">
        <v>1926</v>
      </c>
      <c r="L14" s="1459">
        <v>5413</v>
      </c>
      <c r="M14" s="1459">
        <v>2792</v>
      </c>
      <c r="N14" s="1459">
        <v>2597</v>
      </c>
      <c r="O14" s="1459">
        <v>1579</v>
      </c>
      <c r="P14" s="1459">
        <v>5047</v>
      </c>
      <c r="Q14" s="1459">
        <v>2601</v>
      </c>
      <c r="R14" s="1459">
        <v>13529</v>
      </c>
      <c r="S14" s="1459">
        <v>3351</v>
      </c>
      <c r="T14" s="1459">
        <v>1587</v>
      </c>
      <c r="U14" s="1459">
        <v>1512</v>
      </c>
      <c r="V14" s="1459">
        <v>9995</v>
      </c>
      <c r="W14" s="1459">
        <v>910</v>
      </c>
      <c r="X14" s="1468">
        <v>1322</v>
      </c>
      <c r="Y14" s="1460">
        <v>97740</v>
      </c>
      <c r="Z14" s="617">
        <v>593940</v>
      </c>
    </row>
    <row r="15" spans="1:26" s="556" customFormat="1" ht="13.5" customHeight="1" x14ac:dyDescent="0.2">
      <c r="A15" s="1451"/>
      <c r="B15" s="1452" t="s">
        <v>244</v>
      </c>
      <c r="C15" s="1552"/>
      <c r="D15" s="1552"/>
      <c r="E15" s="1552"/>
      <c r="F15" s="1552"/>
      <c r="G15" s="1552"/>
      <c r="H15" s="1552"/>
      <c r="I15" s="1552"/>
      <c r="J15" s="1552"/>
      <c r="K15" s="1552"/>
      <c r="L15" s="1552"/>
      <c r="M15" s="1552"/>
      <c r="N15" s="1552"/>
      <c r="O15" s="1552"/>
      <c r="P15" s="1552"/>
      <c r="Q15" s="1552"/>
      <c r="R15" s="1552"/>
      <c r="S15" s="1552"/>
      <c r="T15" s="1552"/>
      <c r="U15" s="1552"/>
      <c r="V15" s="1552"/>
      <c r="W15" s="1552"/>
      <c r="X15" s="1552"/>
      <c r="Y15" s="1553"/>
      <c r="Z15" s="1554"/>
    </row>
    <row r="16" spans="1:26" s="556" customFormat="1" ht="13.5" customHeight="1" x14ac:dyDescent="0.2">
      <c r="A16" s="942">
        <v>13</v>
      </c>
      <c r="B16" s="834" t="s">
        <v>319</v>
      </c>
      <c r="C16" s="1458">
        <v>117</v>
      </c>
      <c r="D16" s="1459">
        <v>155</v>
      </c>
      <c r="E16" s="1459">
        <v>751</v>
      </c>
      <c r="F16" s="1459">
        <v>415</v>
      </c>
      <c r="G16" s="1459">
        <v>1837</v>
      </c>
      <c r="H16" s="1459">
        <v>215</v>
      </c>
      <c r="I16" s="1459">
        <v>2168</v>
      </c>
      <c r="J16" s="1459">
        <v>247</v>
      </c>
      <c r="K16" s="1459">
        <v>214</v>
      </c>
      <c r="L16" s="1459">
        <v>383</v>
      </c>
      <c r="M16" s="1459">
        <v>246</v>
      </c>
      <c r="N16" s="1459">
        <v>168</v>
      </c>
      <c r="O16" s="1459">
        <v>110</v>
      </c>
      <c r="P16" s="1459">
        <v>641</v>
      </c>
      <c r="Q16" s="1459">
        <v>99</v>
      </c>
      <c r="R16" s="1459">
        <v>654</v>
      </c>
      <c r="S16" s="1459">
        <v>319</v>
      </c>
      <c r="T16" s="1459">
        <v>141</v>
      </c>
      <c r="U16" s="1459">
        <v>139</v>
      </c>
      <c r="V16" s="1459">
        <v>919</v>
      </c>
      <c r="W16" s="1459">
        <v>147</v>
      </c>
      <c r="X16" s="1468">
        <v>121</v>
      </c>
      <c r="Y16" s="1460">
        <v>9110</v>
      </c>
      <c r="Z16" s="617">
        <v>52870</v>
      </c>
    </row>
    <row r="17" spans="1:26" s="556" customFormat="1" ht="13.5" customHeight="1" x14ac:dyDescent="0.2">
      <c r="A17" s="942">
        <v>14</v>
      </c>
      <c r="B17" s="834" t="s">
        <v>320</v>
      </c>
      <c r="C17" s="1469"/>
      <c r="D17" s="1470"/>
      <c r="E17" s="1470"/>
      <c r="F17" s="1470"/>
      <c r="G17" s="1470"/>
      <c r="H17" s="1470"/>
      <c r="I17" s="1470"/>
      <c r="J17" s="1470"/>
      <c r="K17" s="1470"/>
      <c r="L17" s="1470"/>
      <c r="M17" s="1470"/>
      <c r="N17" s="1470"/>
      <c r="O17" s="1470"/>
      <c r="P17" s="1470"/>
      <c r="Q17" s="1470"/>
      <c r="R17" s="1470"/>
      <c r="S17" s="1470"/>
      <c r="T17" s="1470"/>
      <c r="U17" s="1470"/>
      <c r="V17" s="1470"/>
      <c r="W17" s="1470"/>
      <c r="X17" s="1471"/>
      <c r="Y17" s="1472"/>
      <c r="Z17" s="1473"/>
    </row>
    <row r="18" spans="1:26" s="556" customFormat="1" ht="13.5" customHeight="1" x14ac:dyDescent="0.2">
      <c r="A18" s="942">
        <v>15</v>
      </c>
      <c r="B18" s="834" t="s">
        <v>321</v>
      </c>
      <c r="C18" s="1469"/>
      <c r="D18" s="1470"/>
      <c r="E18" s="1470"/>
      <c r="F18" s="1470"/>
      <c r="G18" s="1470"/>
      <c r="H18" s="1470"/>
      <c r="I18" s="1470"/>
      <c r="J18" s="1470"/>
      <c r="K18" s="1470"/>
      <c r="L18" s="1470"/>
      <c r="M18" s="1470"/>
      <c r="N18" s="1470"/>
      <c r="O18" s="1470"/>
      <c r="P18" s="1470"/>
      <c r="Q18" s="1470"/>
      <c r="R18" s="1470"/>
      <c r="S18" s="1470"/>
      <c r="T18" s="1470"/>
      <c r="U18" s="1470"/>
      <c r="V18" s="1470"/>
      <c r="W18" s="1470"/>
      <c r="X18" s="1471"/>
      <c r="Y18" s="1472"/>
      <c r="Z18" s="1473"/>
    </row>
    <row r="19" spans="1:26" s="556" customFormat="1" ht="13.5" customHeight="1" x14ac:dyDescent="0.2">
      <c r="A19" s="942">
        <v>16</v>
      </c>
      <c r="B19" s="834" t="s">
        <v>322</v>
      </c>
      <c r="C19" s="1469"/>
      <c r="D19" s="1470"/>
      <c r="E19" s="1470"/>
      <c r="F19" s="1470"/>
      <c r="G19" s="1470"/>
      <c r="H19" s="1470"/>
      <c r="I19" s="1470"/>
      <c r="J19" s="1470"/>
      <c r="K19" s="1470"/>
      <c r="L19" s="1470"/>
      <c r="M19" s="1470"/>
      <c r="N19" s="1470"/>
      <c r="O19" s="1470"/>
      <c r="P19" s="1470"/>
      <c r="Q19" s="1470"/>
      <c r="R19" s="1470"/>
      <c r="S19" s="1470"/>
      <c r="T19" s="1470"/>
      <c r="U19" s="1470"/>
      <c r="V19" s="1470"/>
      <c r="W19" s="1470"/>
      <c r="X19" s="1471"/>
      <c r="Y19" s="1472"/>
      <c r="Z19" s="1473"/>
    </row>
    <row r="20" spans="1:26" s="556" customFormat="1" ht="13.5" customHeight="1" x14ac:dyDescent="0.2">
      <c r="A20" s="942">
        <v>17</v>
      </c>
      <c r="B20" s="834" t="s">
        <v>323</v>
      </c>
      <c r="C20" s="1458">
        <v>497</v>
      </c>
      <c r="D20" s="1459">
        <v>560</v>
      </c>
      <c r="E20" s="1459">
        <v>2000</v>
      </c>
      <c r="F20" s="1459">
        <v>824</v>
      </c>
      <c r="G20" s="1459">
        <v>3772</v>
      </c>
      <c r="H20" s="1459">
        <v>667</v>
      </c>
      <c r="I20" s="1459">
        <v>3172</v>
      </c>
      <c r="J20" s="1459">
        <v>519</v>
      </c>
      <c r="K20" s="1459">
        <v>441</v>
      </c>
      <c r="L20" s="1459">
        <v>861</v>
      </c>
      <c r="M20" s="1459">
        <v>517</v>
      </c>
      <c r="N20" s="1457">
        <v>444</v>
      </c>
      <c r="O20" s="1459">
        <v>266</v>
      </c>
      <c r="P20" s="1459">
        <v>669</v>
      </c>
      <c r="Q20" s="1459">
        <v>552</v>
      </c>
      <c r="R20" s="1459">
        <v>2652</v>
      </c>
      <c r="S20" s="1459">
        <v>724</v>
      </c>
      <c r="T20" s="1459">
        <v>382</v>
      </c>
      <c r="U20" s="1458">
        <v>296</v>
      </c>
      <c r="V20" s="1459">
        <v>1877</v>
      </c>
      <c r="W20" s="1459">
        <v>97</v>
      </c>
      <c r="X20" s="1468">
        <v>208</v>
      </c>
      <c r="Y20" s="1460">
        <v>20220</v>
      </c>
      <c r="Z20" s="617">
        <v>119030</v>
      </c>
    </row>
    <row r="21" spans="1:26" s="556" customFormat="1" ht="13.5" customHeight="1" x14ac:dyDescent="0.2">
      <c r="A21" s="942">
        <v>18</v>
      </c>
      <c r="B21" s="834" t="s">
        <v>324</v>
      </c>
      <c r="C21" s="1458">
        <v>39</v>
      </c>
      <c r="D21" s="1459">
        <v>62</v>
      </c>
      <c r="E21" s="1459">
        <v>51</v>
      </c>
      <c r="F21" s="1459">
        <v>67</v>
      </c>
      <c r="G21" s="1459">
        <v>0</v>
      </c>
      <c r="H21" s="1459">
        <v>0</v>
      </c>
      <c r="I21" s="1459">
        <v>133</v>
      </c>
      <c r="J21" s="1459">
        <v>35</v>
      </c>
      <c r="K21" s="1459">
        <v>27</v>
      </c>
      <c r="L21" s="1459">
        <v>35</v>
      </c>
      <c r="M21" s="1459">
        <v>15</v>
      </c>
      <c r="N21" s="1457">
        <v>38</v>
      </c>
      <c r="O21" s="1459">
        <v>12</v>
      </c>
      <c r="P21" s="1459">
        <v>67</v>
      </c>
      <c r="Q21" s="1459">
        <v>7</v>
      </c>
      <c r="R21" s="1459">
        <v>106</v>
      </c>
      <c r="S21" s="1459">
        <v>6</v>
      </c>
      <c r="T21" s="1459">
        <v>0</v>
      </c>
      <c r="U21" s="1458">
        <v>33</v>
      </c>
      <c r="V21" s="1459">
        <v>0</v>
      </c>
      <c r="W21" s="1459">
        <v>0</v>
      </c>
      <c r="X21" s="1468" t="s">
        <v>73</v>
      </c>
      <c r="Y21" s="1460">
        <v>670</v>
      </c>
      <c r="Z21" s="617">
        <v>13150</v>
      </c>
    </row>
    <row r="22" spans="1:26" s="556" customFormat="1" ht="13.5" customHeight="1" x14ac:dyDescent="0.2">
      <c r="A22" s="942">
        <v>19</v>
      </c>
      <c r="B22" s="834" t="s">
        <v>325</v>
      </c>
      <c r="C22" s="1458">
        <v>136</v>
      </c>
      <c r="D22" s="1459">
        <v>370</v>
      </c>
      <c r="E22" s="1459">
        <v>1708</v>
      </c>
      <c r="F22" s="1459">
        <v>445</v>
      </c>
      <c r="G22" s="1459">
        <v>2167</v>
      </c>
      <c r="H22" s="1459">
        <v>283</v>
      </c>
      <c r="I22" s="1459">
        <v>2375</v>
      </c>
      <c r="J22" s="1459">
        <v>316</v>
      </c>
      <c r="K22" s="1459">
        <v>298</v>
      </c>
      <c r="L22" s="1459">
        <v>621</v>
      </c>
      <c r="M22" s="1459">
        <v>437</v>
      </c>
      <c r="N22" s="1457">
        <v>397</v>
      </c>
      <c r="O22" s="1459">
        <v>200</v>
      </c>
      <c r="P22" s="1459">
        <v>806</v>
      </c>
      <c r="Q22" s="1459">
        <v>342</v>
      </c>
      <c r="R22" s="1459">
        <v>1778</v>
      </c>
      <c r="S22" s="1459">
        <v>460</v>
      </c>
      <c r="T22" s="1459">
        <v>261</v>
      </c>
      <c r="U22" s="1458">
        <v>187</v>
      </c>
      <c r="V22" s="1459">
        <v>1083</v>
      </c>
      <c r="W22" s="1459">
        <v>133</v>
      </c>
      <c r="X22" s="1468">
        <v>175</v>
      </c>
      <c r="Y22" s="1460">
        <v>13450</v>
      </c>
      <c r="Z22" s="617">
        <v>96780</v>
      </c>
    </row>
    <row r="23" spans="1:26" s="556" customFormat="1" ht="13.5" customHeight="1" x14ac:dyDescent="0.2">
      <c r="A23" s="942">
        <v>20</v>
      </c>
      <c r="B23" s="834" t="s">
        <v>326</v>
      </c>
      <c r="C23" s="1469"/>
      <c r="D23" s="1470"/>
      <c r="E23" s="1470"/>
      <c r="F23" s="1470"/>
      <c r="G23" s="1470"/>
      <c r="H23" s="1470"/>
      <c r="I23" s="1470"/>
      <c r="J23" s="1470"/>
      <c r="K23" s="1470"/>
      <c r="L23" s="1470"/>
      <c r="M23" s="1470"/>
      <c r="N23" s="1474"/>
      <c r="O23" s="1470"/>
      <c r="P23" s="1470"/>
      <c r="Q23" s="1470"/>
      <c r="R23" s="1470"/>
      <c r="S23" s="1470"/>
      <c r="T23" s="1470"/>
      <c r="U23" s="1469"/>
      <c r="V23" s="1470"/>
      <c r="W23" s="1470"/>
      <c r="X23" s="1471"/>
      <c r="Y23" s="1472"/>
      <c r="Z23" s="1473"/>
    </row>
    <row r="24" spans="1:26" s="556" customFormat="1" ht="13.5" customHeight="1" x14ac:dyDescent="0.2">
      <c r="A24" s="942">
        <v>21</v>
      </c>
      <c r="B24" s="834" t="s">
        <v>327</v>
      </c>
      <c r="C24" s="1469"/>
      <c r="D24" s="1470"/>
      <c r="E24" s="1470"/>
      <c r="F24" s="1470"/>
      <c r="G24" s="1470"/>
      <c r="H24" s="1470"/>
      <c r="I24" s="1470"/>
      <c r="J24" s="1470"/>
      <c r="K24" s="1470"/>
      <c r="L24" s="1470"/>
      <c r="M24" s="1470"/>
      <c r="N24" s="1474"/>
      <c r="O24" s="1470"/>
      <c r="P24" s="1470"/>
      <c r="Q24" s="1470"/>
      <c r="R24" s="1470"/>
      <c r="S24" s="1470"/>
      <c r="T24" s="1470"/>
      <c r="U24" s="1469"/>
      <c r="V24" s="1470"/>
      <c r="W24" s="1470"/>
      <c r="X24" s="1471"/>
      <c r="Y24" s="1472"/>
      <c r="Z24" s="1473"/>
    </row>
    <row r="25" spans="1:26" s="556" customFormat="1" ht="13.5" customHeight="1" x14ac:dyDescent="0.2">
      <c r="A25" s="942">
        <v>22</v>
      </c>
      <c r="B25" s="834" t="s">
        <v>328</v>
      </c>
      <c r="C25" s="1469"/>
      <c r="D25" s="1470"/>
      <c r="E25" s="1470"/>
      <c r="F25" s="1470"/>
      <c r="G25" s="1470"/>
      <c r="H25" s="1470"/>
      <c r="I25" s="1470"/>
      <c r="J25" s="1470"/>
      <c r="K25" s="1470"/>
      <c r="L25" s="1470"/>
      <c r="M25" s="1470"/>
      <c r="N25" s="1474"/>
      <c r="O25" s="1470"/>
      <c r="P25" s="1470"/>
      <c r="Q25" s="1470"/>
      <c r="R25" s="1470"/>
      <c r="S25" s="1470"/>
      <c r="T25" s="1470"/>
      <c r="U25" s="1469"/>
      <c r="V25" s="1470"/>
      <c r="W25" s="1470"/>
      <c r="X25" s="1471"/>
      <c r="Y25" s="1472"/>
      <c r="Z25" s="1473"/>
    </row>
    <row r="26" spans="1:26" s="556" customFormat="1" ht="13.5" customHeight="1" x14ac:dyDescent="0.2">
      <c r="A26" s="942">
        <v>23</v>
      </c>
      <c r="B26" s="834" t="s">
        <v>329</v>
      </c>
      <c r="C26" s="1469"/>
      <c r="D26" s="1470"/>
      <c r="E26" s="1470"/>
      <c r="F26" s="1470"/>
      <c r="G26" s="1470"/>
      <c r="H26" s="1470"/>
      <c r="I26" s="1470"/>
      <c r="J26" s="1470"/>
      <c r="K26" s="1470"/>
      <c r="L26" s="1470"/>
      <c r="M26" s="1470"/>
      <c r="N26" s="1474"/>
      <c r="O26" s="1470"/>
      <c r="P26" s="1470"/>
      <c r="Q26" s="1470"/>
      <c r="R26" s="1470"/>
      <c r="S26" s="1470"/>
      <c r="T26" s="1470"/>
      <c r="U26" s="1471"/>
      <c r="V26" s="1470"/>
      <c r="W26" s="1470"/>
      <c r="X26" s="1471"/>
      <c r="Y26" s="1472"/>
      <c r="Z26" s="1473"/>
    </row>
    <row r="27" spans="1:26" s="556" customFormat="1" ht="13.5" customHeight="1" x14ac:dyDescent="0.2">
      <c r="A27" s="942">
        <v>24</v>
      </c>
      <c r="B27" s="834" t="s">
        <v>330</v>
      </c>
      <c r="C27" s="1469"/>
      <c r="D27" s="1470"/>
      <c r="E27" s="1470"/>
      <c r="F27" s="1470"/>
      <c r="G27" s="1470"/>
      <c r="H27" s="1470"/>
      <c r="I27" s="1470"/>
      <c r="J27" s="1470"/>
      <c r="K27" s="1470"/>
      <c r="L27" s="1470"/>
      <c r="M27" s="1470"/>
      <c r="N27" s="1474"/>
      <c r="O27" s="1470"/>
      <c r="P27" s="1470"/>
      <c r="Q27" s="1470"/>
      <c r="R27" s="1470"/>
      <c r="S27" s="1470"/>
      <c r="T27" s="1470"/>
      <c r="U27" s="1469"/>
      <c r="V27" s="1470"/>
      <c r="W27" s="1470"/>
      <c r="X27" s="1471"/>
      <c r="Y27" s="1472"/>
      <c r="Z27" s="1473"/>
    </row>
    <row r="28" spans="1:26" s="556" customFormat="1" ht="13.5" customHeight="1" x14ac:dyDescent="0.2">
      <c r="A28" s="942">
        <v>25</v>
      </c>
      <c r="B28" s="834" t="s">
        <v>331</v>
      </c>
      <c r="C28" s="1458">
        <v>24</v>
      </c>
      <c r="D28" s="1459">
        <v>55</v>
      </c>
      <c r="E28" s="1459">
        <v>88</v>
      </c>
      <c r="F28" s="1459">
        <v>40</v>
      </c>
      <c r="G28" s="1459">
        <v>170</v>
      </c>
      <c r="H28" s="1459">
        <v>33</v>
      </c>
      <c r="I28" s="1459">
        <v>406</v>
      </c>
      <c r="J28" s="1459">
        <v>64</v>
      </c>
      <c r="K28" s="1459" t="s">
        <v>73</v>
      </c>
      <c r="L28" s="1459">
        <v>35</v>
      </c>
      <c r="M28" s="1459">
        <v>85</v>
      </c>
      <c r="N28" s="1457">
        <v>66</v>
      </c>
      <c r="O28" s="1459" t="s">
        <v>73</v>
      </c>
      <c r="P28" s="1459">
        <v>28</v>
      </c>
      <c r="Q28" s="1459">
        <v>37</v>
      </c>
      <c r="R28" s="1459">
        <v>126</v>
      </c>
      <c r="S28" s="1459">
        <v>46</v>
      </c>
      <c r="T28" s="1459">
        <v>9</v>
      </c>
      <c r="U28" s="1458">
        <v>28</v>
      </c>
      <c r="V28" s="1459">
        <v>182</v>
      </c>
      <c r="W28" s="1459">
        <v>7</v>
      </c>
      <c r="X28" s="1468">
        <v>10</v>
      </c>
      <c r="Y28" s="1460">
        <v>1480</v>
      </c>
      <c r="Z28" s="617">
        <v>9440</v>
      </c>
    </row>
    <row r="29" spans="1:26" s="556" customFormat="1" ht="13.5" customHeight="1" x14ac:dyDescent="0.2">
      <c r="A29" s="942">
        <v>26</v>
      </c>
      <c r="B29" s="834" t="s">
        <v>332</v>
      </c>
      <c r="C29" s="1458">
        <v>372</v>
      </c>
      <c r="D29" s="1459">
        <v>531</v>
      </c>
      <c r="E29" s="1459">
        <v>995</v>
      </c>
      <c r="F29" s="1459">
        <v>771</v>
      </c>
      <c r="G29" s="1459">
        <v>1608</v>
      </c>
      <c r="H29" s="1459">
        <v>265</v>
      </c>
      <c r="I29" s="1459">
        <v>2198</v>
      </c>
      <c r="J29" s="1459">
        <v>349</v>
      </c>
      <c r="K29" s="1459">
        <v>406</v>
      </c>
      <c r="L29" s="1459">
        <v>492</v>
      </c>
      <c r="M29" s="1459">
        <v>353</v>
      </c>
      <c r="N29" s="1457">
        <v>279</v>
      </c>
      <c r="O29" s="1459">
        <v>368</v>
      </c>
      <c r="P29" s="1459">
        <v>565</v>
      </c>
      <c r="Q29" s="1459">
        <v>482</v>
      </c>
      <c r="R29" s="1459">
        <v>1746</v>
      </c>
      <c r="S29" s="1459">
        <v>250</v>
      </c>
      <c r="T29" s="1459">
        <v>278</v>
      </c>
      <c r="U29" s="1458">
        <v>254</v>
      </c>
      <c r="V29" s="1459">
        <v>1819</v>
      </c>
      <c r="W29" s="1459">
        <v>105</v>
      </c>
      <c r="X29" s="1468">
        <v>141</v>
      </c>
      <c r="Y29" s="1460">
        <v>13530</v>
      </c>
      <c r="Z29" s="617">
        <v>89360</v>
      </c>
    </row>
    <row r="30" spans="1:26" s="556" customFormat="1" ht="13.5" customHeight="1" x14ac:dyDescent="0.2">
      <c r="A30" s="942">
        <v>27</v>
      </c>
      <c r="B30" s="834" t="s">
        <v>333</v>
      </c>
      <c r="C30" s="1469"/>
      <c r="D30" s="1470"/>
      <c r="E30" s="1470"/>
      <c r="F30" s="1470"/>
      <c r="G30" s="1470"/>
      <c r="H30" s="1470"/>
      <c r="I30" s="1470"/>
      <c r="J30" s="1470"/>
      <c r="K30" s="1470"/>
      <c r="L30" s="1470"/>
      <c r="M30" s="1470"/>
      <c r="N30" s="1474"/>
      <c r="O30" s="1470"/>
      <c r="P30" s="1470"/>
      <c r="Q30" s="1470"/>
      <c r="R30" s="1470"/>
      <c r="S30" s="1470"/>
      <c r="T30" s="1470"/>
      <c r="U30" s="1469"/>
      <c r="V30" s="1470"/>
      <c r="W30" s="1470"/>
      <c r="X30" s="1471"/>
      <c r="Y30" s="1472"/>
      <c r="Z30" s="1473"/>
    </row>
    <row r="31" spans="1:26" s="556" customFormat="1" ht="13.5" customHeight="1" x14ac:dyDescent="0.2">
      <c r="A31" s="942">
        <v>28</v>
      </c>
      <c r="B31" s="834" t="s">
        <v>334</v>
      </c>
      <c r="C31" s="1469"/>
      <c r="D31" s="1470"/>
      <c r="E31" s="1470"/>
      <c r="F31" s="1470"/>
      <c r="G31" s="1470"/>
      <c r="H31" s="1470"/>
      <c r="I31" s="1470"/>
      <c r="J31" s="1470"/>
      <c r="K31" s="1470"/>
      <c r="L31" s="1470"/>
      <c r="M31" s="1470"/>
      <c r="N31" s="1474"/>
      <c r="O31" s="1470"/>
      <c r="P31" s="1470"/>
      <c r="Q31" s="1470"/>
      <c r="R31" s="1470"/>
      <c r="S31" s="1470"/>
      <c r="T31" s="1470"/>
      <c r="U31" s="1469"/>
      <c r="V31" s="1470"/>
      <c r="W31" s="1470"/>
      <c r="X31" s="1471"/>
      <c r="Y31" s="1472"/>
      <c r="Z31" s="1473"/>
    </row>
    <row r="32" spans="1:26" s="556" customFormat="1" ht="13.5" customHeight="1" x14ac:dyDescent="0.2">
      <c r="A32" s="942">
        <v>29</v>
      </c>
      <c r="B32" s="834" t="s">
        <v>335</v>
      </c>
      <c r="C32" s="1458">
        <v>412</v>
      </c>
      <c r="D32" s="1459">
        <v>863</v>
      </c>
      <c r="E32" s="1459">
        <v>3532</v>
      </c>
      <c r="F32" s="1459">
        <v>1191</v>
      </c>
      <c r="G32" s="1459">
        <v>4198</v>
      </c>
      <c r="H32" s="1459">
        <v>478</v>
      </c>
      <c r="I32" s="1459">
        <v>6675</v>
      </c>
      <c r="J32" s="1459">
        <v>817</v>
      </c>
      <c r="K32" s="1459">
        <v>666</v>
      </c>
      <c r="L32" s="1459">
        <v>1998</v>
      </c>
      <c r="M32" s="1459">
        <v>887</v>
      </c>
      <c r="N32" s="1457">
        <v>1014</v>
      </c>
      <c r="O32" s="1459">
        <v>515</v>
      </c>
      <c r="P32" s="1459">
        <v>1651</v>
      </c>
      <c r="Q32" s="1459">
        <v>800</v>
      </c>
      <c r="R32" s="1459">
        <v>5199</v>
      </c>
      <c r="S32" s="1459">
        <v>1281</v>
      </c>
      <c r="T32" s="1459">
        <v>435</v>
      </c>
      <c r="U32" s="1458">
        <v>478</v>
      </c>
      <c r="V32" s="1459">
        <v>2913</v>
      </c>
      <c r="W32" s="1459">
        <v>372</v>
      </c>
      <c r="X32" s="1468">
        <v>581</v>
      </c>
      <c r="Y32" s="1460">
        <v>33590</v>
      </c>
      <c r="Z32" s="617">
        <v>186920</v>
      </c>
    </row>
    <row r="33" spans="1:26" s="556" customFormat="1" ht="13.5" customHeight="1" x14ac:dyDescent="0.2">
      <c r="A33" s="942">
        <v>30</v>
      </c>
      <c r="B33" s="834" t="s">
        <v>336</v>
      </c>
      <c r="C33" s="1458">
        <v>26</v>
      </c>
      <c r="D33" s="1459">
        <v>83</v>
      </c>
      <c r="E33" s="1459">
        <v>245</v>
      </c>
      <c r="F33" s="1459">
        <v>173</v>
      </c>
      <c r="G33" s="1459">
        <v>381</v>
      </c>
      <c r="H33" s="1459">
        <v>39</v>
      </c>
      <c r="I33" s="1459">
        <v>719</v>
      </c>
      <c r="J33" s="1459">
        <v>76</v>
      </c>
      <c r="K33" s="1459">
        <v>141</v>
      </c>
      <c r="L33" s="1459">
        <v>80</v>
      </c>
      <c r="M33" s="1459">
        <v>126</v>
      </c>
      <c r="N33" s="1457">
        <v>70</v>
      </c>
      <c r="O33" s="1459">
        <v>45</v>
      </c>
      <c r="P33" s="1459">
        <v>176</v>
      </c>
      <c r="Q33" s="1459">
        <v>67</v>
      </c>
      <c r="R33" s="1459">
        <v>367</v>
      </c>
      <c r="S33" s="1459">
        <v>84</v>
      </c>
      <c r="T33" s="1459">
        <v>23</v>
      </c>
      <c r="U33" s="1458" t="s">
        <v>73</v>
      </c>
      <c r="V33" s="1459">
        <v>363</v>
      </c>
      <c r="W33" s="1459">
        <v>14</v>
      </c>
      <c r="X33" s="1468">
        <v>41</v>
      </c>
      <c r="Y33" s="1460">
        <v>3070</v>
      </c>
      <c r="Z33" s="617">
        <v>22890</v>
      </c>
    </row>
    <row r="34" spans="1:26" s="556" customFormat="1" ht="13.5" customHeight="1" x14ac:dyDescent="0.2">
      <c r="A34" s="942">
        <v>31</v>
      </c>
      <c r="B34" s="834" t="s">
        <v>337</v>
      </c>
      <c r="C34" s="1458">
        <v>135</v>
      </c>
      <c r="D34" s="1459">
        <v>153</v>
      </c>
      <c r="E34" s="1459">
        <v>456</v>
      </c>
      <c r="F34" s="1459">
        <v>343</v>
      </c>
      <c r="G34" s="1459">
        <v>1159</v>
      </c>
      <c r="H34" s="1459">
        <v>169</v>
      </c>
      <c r="I34" s="1459">
        <v>1050</v>
      </c>
      <c r="J34" s="1459">
        <v>81</v>
      </c>
      <c r="K34" s="1459">
        <v>95</v>
      </c>
      <c r="L34" s="1459">
        <v>1754</v>
      </c>
      <c r="M34" s="1459">
        <v>130</v>
      </c>
      <c r="N34" s="1457">
        <v>122</v>
      </c>
      <c r="O34" s="1459">
        <v>29</v>
      </c>
      <c r="P34" s="1459">
        <v>343</v>
      </c>
      <c r="Q34" s="1459">
        <v>159</v>
      </c>
      <c r="R34" s="1459">
        <v>803</v>
      </c>
      <c r="S34" s="1459">
        <v>210</v>
      </c>
      <c r="T34" s="1459">
        <v>156</v>
      </c>
      <c r="U34" s="1458">
        <v>53</v>
      </c>
      <c r="V34" s="1459">
        <v>690</v>
      </c>
      <c r="W34" s="1459">
        <v>30</v>
      </c>
      <c r="X34" s="1468">
        <v>62</v>
      </c>
      <c r="Y34" s="1460">
        <v>7470</v>
      </c>
      <c r="Z34" s="617">
        <v>38440</v>
      </c>
    </row>
    <row r="35" spans="1:26" s="556" customFormat="1" ht="13.5" customHeight="1" x14ac:dyDescent="0.2">
      <c r="A35" s="942">
        <v>32</v>
      </c>
      <c r="B35" s="834" t="s">
        <v>338</v>
      </c>
      <c r="C35" s="1458">
        <v>55</v>
      </c>
      <c r="D35" s="1459">
        <v>42</v>
      </c>
      <c r="E35" s="1459">
        <v>305</v>
      </c>
      <c r="F35" s="1459">
        <v>76</v>
      </c>
      <c r="G35" s="1459">
        <v>370</v>
      </c>
      <c r="H35" s="1459">
        <v>0</v>
      </c>
      <c r="I35" s="1459">
        <v>413</v>
      </c>
      <c r="J35" s="1459">
        <v>83</v>
      </c>
      <c r="K35" s="1459">
        <v>48</v>
      </c>
      <c r="L35" s="1459">
        <v>128</v>
      </c>
      <c r="M35" s="1459">
        <v>49</v>
      </c>
      <c r="N35" s="1457" t="s">
        <v>73</v>
      </c>
      <c r="O35" s="1459">
        <v>43</v>
      </c>
      <c r="P35" s="1459">
        <v>207</v>
      </c>
      <c r="Q35" s="1459">
        <v>68</v>
      </c>
      <c r="R35" s="1459">
        <v>195</v>
      </c>
      <c r="S35" s="1459">
        <v>144</v>
      </c>
      <c r="T35" s="1459">
        <v>61</v>
      </c>
      <c r="U35" s="1458">
        <v>24</v>
      </c>
      <c r="V35" s="1459">
        <v>0</v>
      </c>
      <c r="W35" s="1459">
        <v>23</v>
      </c>
      <c r="X35" s="1468">
        <v>18</v>
      </c>
      <c r="Y35" s="1460">
        <v>1970</v>
      </c>
      <c r="Z35" s="617">
        <v>15890</v>
      </c>
    </row>
    <row r="36" spans="1:26" s="556" customFormat="1" ht="13.5" customHeight="1" x14ac:dyDescent="0.2">
      <c r="A36" s="942">
        <v>33</v>
      </c>
      <c r="B36" s="834" t="s">
        <v>339</v>
      </c>
      <c r="C36" s="1458">
        <v>6</v>
      </c>
      <c r="D36" s="1459">
        <v>470</v>
      </c>
      <c r="E36" s="1459">
        <v>206</v>
      </c>
      <c r="F36" s="1459">
        <v>22</v>
      </c>
      <c r="G36" s="1459">
        <v>453</v>
      </c>
      <c r="H36" s="1459">
        <v>63</v>
      </c>
      <c r="I36" s="1459">
        <v>64</v>
      </c>
      <c r="J36" s="1459">
        <v>25</v>
      </c>
      <c r="K36" s="1459" t="s">
        <v>73</v>
      </c>
      <c r="L36" s="1459">
        <v>427</v>
      </c>
      <c r="M36" s="1459">
        <v>0</v>
      </c>
      <c r="N36" s="1457" t="s">
        <v>73</v>
      </c>
      <c r="O36" s="1468" t="s">
        <v>73</v>
      </c>
      <c r="P36" s="1459">
        <v>12</v>
      </c>
      <c r="Q36" s="1459">
        <v>0</v>
      </c>
      <c r="R36" s="1459">
        <v>0</v>
      </c>
      <c r="S36" s="1459">
        <v>103</v>
      </c>
      <c r="T36" s="1459">
        <v>59</v>
      </c>
      <c r="U36" s="1468" t="s">
        <v>73</v>
      </c>
      <c r="V36" s="1459">
        <v>149</v>
      </c>
      <c r="W36" s="1459">
        <v>133</v>
      </c>
      <c r="X36" s="1468" t="s">
        <v>73</v>
      </c>
      <c r="Y36" s="1456">
        <v>2040</v>
      </c>
      <c r="Z36" s="617">
        <v>10680</v>
      </c>
    </row>
    <row r="37" spans="1:26" s="556" customFormat="1" ht="13.5" customHeight="1" x14ac:dyDescent="0.2">
      <c r="A37" s="622">
        <v>34</v>
      </c>
      <c r="B37" s="835" t="s">
        <v>340</v>
      </c>
      <c r="C37" s="620">
        <v>428</v>
      </c>
      <c r="D37" s="1459">
        <v>947</v>
      </c>
      <c r="E37" s="1459">
        <v>3217</v>
      </c>
      <c r="F37" s="1459">
        <v>772</v>
      </c>
      <c r="G37" s="1459">
        <v>4772</v>
      </c>
      <c r="H37" s="1459">
        <v>679</v>
      </c>
      <c r="I37" s="1459">
        <v>4472</v>
      </c>
      <c r="J37" s="1459">
        <v>444</v>
      </c>
      <c r="K37" s="1459">
        <v>485</v>
      </c>
      <c r="L37" s="1459">
        <v>1268</v>
      </c>
      <c r="M37" s="1459">
        <v>647</v>
      </c>
      <c r="N37" s="621">
        <v>588</v>
      </c>
      <c r="O37" s="1459">
        <v>390</v>
      </c>
      <c r="P37" s="1459">
        <v>1104</v>
      </c>
      <c r="Q37" s="1459">
        <v>530</v>
      </c>
      <c r="R37" s="1459">
        <v>3724</v>
      </c>
      <c r="S37" s="1459">
        <v>877</v>
      </c>
      <c r="T37" s="1459">
        <v>444</v>
      </c>
      <c r="U37" s="620">
        <v>407</v>
      </c>
      <c r="V37" s="1459">
        <v>2679</v>
      </c>
      <c r="W37" s="1459">
        <v>166</v>
      </c>
      <c r="X37" s="1468">
        <v>227</v>
      </c>
      <c r="Y37" s="1460">
        <v>26840</v>
      </c>
      <c r="Z37" s="617">
        <v>143810</v>
      </c>
    </row>
    <row r="38" spans="1:26" s="556" customFormat="1" ht="13.5" customHeight="1" x14ac:dyDescent="0.2">
      <c r="A38" s="622">
        <v>35</v>
      </c>
      <c r="B38" s="835" t="s">
        <v>341</v>
      </c>
      <c r="C38" s="620">
        <v>1670</v>
      </c>
      <c r="D38" s="1459">
        <v>2701</v>
      </c>
      <c r="E38" s="1459">
        <v>8366</v>
      </c>
      <c r="F38" s="1459">
        <v>3580</v>
      </c>
      <c r="G38" s="1459">
        <v>17660</v>
      </c>
      <c r="H38" s="1459">
        <v>2679</v>
      </c>
      <c r="I38" s="1459">
        <v>18827</v>
      </c>
      <c r="J38" s="1459">
        <v>2509</v>
      </c>
      <c r="K38" s="1459">
        <v>2213</v>
      </c>
      <c r="L38" s="1459">
        <v>5790</v>
      </c>
      <c r="M38" s="1459">
        <v>3190</v>
      </c>
      <c r="N38" s="621">
        <v>2791</v>
      </c>
      <c r="O38" s="1459">
        <v>1541</v>
      </c>
      <c r="P38" s="1459">
        <v>5585</v>
      </c>
      <c r="Q38" s="1459">
        <v>2318</v>
      </c>
      <c r="R38" s="1459">
        <v>12579</v>
      </c>
      <c r="S38" s="1459">
        <v>3151</v>
      </c>
      <c r="T38" s="1459">
        <v>1885</v>
      </c>
      <c r="U38" s="620">
        <v>1780</v>
      </c>
      <c r="V38" s="1459">
        <v>10004</v>
      </c>
      <c r="W38" s="1459">
        <v>927</v>
      </c>
      <c r="X38" s="1468">
        <v>1096</v>
      </c>
      <c r="Y38" s="1460">
        <v>102220</v>
      </c>
      <c r="Z38" s="617">
        <v>631090</v>
      </c>
    </row>
    <row r="39" spans="1:26" s="556" customFormat="1" ht="13.5" customHeight="1" x14ac:dyDescent="0.2">
      <c r="A39" s="1451"/>
      <c r="B39" s="1452" t="s">
        <v>245</v>
      </c>
      <c r="C39" s="1552"/>
      <c r="D39" s="1552"/>
      <c r="E39" s="1552"/>
      <c r="F39" s="1552"/>
      <c r="G39" s="1552"/>
      <c r="H39" s="1552"/>
      <c r="I39" s="1552"/>
      <c r="J39" s="1552"/>
      <c r="K39" s="1552"/>
      <c r="L39" s="1552"/>
      <c r="M39" s="1552"/>
      <c r="N39" s="1552"/>
      <c r="O39" s="1552"/>
      <c r="P39" s="1552"/>
      <c r="Q39" s="1552"/>
      <c r="R39" s="1552"/>
      <c r="S39" s="1552"/>
      <c r="T39" s="1552"/>
      <c r="U39" s="1552"/>
      <c r="V39" s="1552"/>
      <c r="W39" s="1552"/>
      <c r="X39" s="1552"/>
      <c r="Y39" s="1553"/>
      <c r="Z39" s="1554"/>
    </row>
    <row r="40" spans="1:26" s="556" customFormat="1" ht="13.5" customHeight="1" x14ac:dyDescent="0.2">
      <c r="A40" s="943">
        <v>36</v>
      </c>
      <c r="B40" s="832" t="s">
        <v>342</v>
      </c>
      <c r="C40" s="1458">
        <v>291</v>
      </c>
      <c r="D40" s="1459">
        <v>495</v>
      </c>
      <c r="E40" s="1459">
        <v>1455</v>
      </c>
      <c r="F40" s="1459">
        <v>305</v>
      </c>
      <c r="G40" s="1459">
        <v>5282</v>
      </c>
      <c r="H40" s="1459">
        <v>741</v>
      </c>
      <c r="I40" s="1459">
        <v>1442</v>
      </c>
      <c r="J40" s="1459">
        <v>147</v>
      </c>
      <c r="K40" s="1459">
        <v>619</v>
      </c>
      <c r="L40" s="1459">
        <v>256</v>
      </c>
      <c r="M40" s="1459">
        <v>970</v>
      </c>
      <c r="N40" s="1457">
        <v>509</v>
      </c>
      <c r="O40" s="1459">
        <v>0</v>
      </c>
      <c r="P40" s="1459">
        <v>1133</v>
      </c>
      <c r="Q40" s="1459">
        <v>220</v>
      </c>
      <c r="R40" s="1459">
        <v>745</v>
      </c>
      <c r="S40" s="1459">
        <v>296</v>
      </c>
      <c r="T40" s="1459">
        <v>231</v>
      </c>
      <c r="U40" s="1458">
        <v>430</v>
      </c>
      <c r="V40" s="1459">
        <v>8059</v>
      </c>
      <c r="W40" s="1459">
        <v>0</v>
      </c>
      <c r="X40" s="1468">
        <v>129</v>
      </c>
      <c r="Y40" s="1460">
        <v>22190</v>
      </c>
      <c r="Z40" s="617">
        <v>103220</v>
      </c>
    </row>
    <row r="41" spans="1:26" s="556" customFormat="1" ht="13.5" customHeight="1" x14ac:dyDescent="0.2">
      <c r="A41" s="943">
        <v>37</v>
      </c>
      <c r="B41" s="832" t="s">
        <v>633</v>
      </c>
      <c r="C41" s="1458">
        <v>371</v>
      </c>
      <c r="D41" s="1459">
        <v>375</v>
      </c>
      <c r="E41" s="1459">
        <v>1090</v>
      </c>
      <c r="F41" s="1459">
        <v>512</v>
      </c>
      <c r="G41" s="1459">
        <v>7382</v>
      </c>
      <c r="H41" s="1459">
        <v>762</v>
      </c>
      <c r="I41" s="1459">
        <v>2166</v>
      </c>
      <c r="J41" s="1459">
        <v>247</v>
      </c>
      <c r="K41" s="1459">
        <v>609</v>
      </c>
      <c r="L41" s="1459">
        <v>559</v>
      </c>
      <c r="M41" s="1459">
        <v>818</v>
      </c>
      <c r="N41" s="1457">
        <v>353</v>
      </c>
      <c r="O41" s="1459">
        <v>113</v>
      </c>
      <c r="P41" s="1459">
        <v>915</v>
      </c>
      <c r="Q41" s="1459">
        <v>361</v>
      </c>
      <c r="R41" s="1459">
        <v>2116</v>
      </c>
      <c r="S41" s="1459">
        <v>646</v>
      </c>
      <c r="T41" s="1459">
        <v>406</v>
      </c>
      <c r="U41" s="1458">
        <v>240</v>
      </c>
      <c r="V41" s="1459">
        <v>833</v>
      </c>
      <c r="W41" s="1459">
        <v>95</v>
      </c>
      <c r="X41" s="1468">
        <v>162</v>
      </c>
      <c r="Y41" s="1456">
        <v>19160</v>
      </c>
      <c r="Z41" s="617">
        <v>107490</v>
      </c>
    </row>
    <row r="42" spans="1:26" s="556" customFormat="1" ht="13.5" customHeight="1" x14ac:dyDescent="0.2">
      <c r="A42" s="943">
        <v>38</v>
      </c>
      <c r="B42" s="832" t="s">
        <v>634</v>
      </c>
      <c r="C42" s="1458">
        <v>317</v>
      </c>
      <c r="D42" s="1459">
        <v>728</v>
      </c>
      <c r="E42" s="1459">
        <v>1819</v>
      </c>
      <c r="F42" s="1459">
        <v>555</v>
      </c>
      <c r="G42" s="1459">
        <v>1802</v>
      </c>
      <c r="H42" s="1459">
        <v>420</v>
      </c>
      <c r="I42" s="1459">
        <v>4455</v>
      </c>
      <c r="J42" s="1459">
        <v>388</v>
      </c>
      <c r="K42" s="1459">
        <v>463</v>
      </c>
      <c r="L42" s="1459">
        <v>725</v>
      </c>
      <c r="M42" s="1459">
        <v>599</v>
      </c>
      <c r="N42" s="1457">
        <v>437</v>
      </c>
      <c r="O42" s="1459">
        <v>309</v>
      </c>
      <c r="P42" s="1459">
        <v>1023</v>
      </c>
      <c r="Q42" s="1459">
        <v>311</v>
      </c>
      <c r="R42" s="1459">
        <v>2219</v>
      </c>
      <c r="S42" s="1459">
        <v>602</v>
      </c>
      <c r="T42" s="1459">
        <v>267</v>
      </c>
      <c r="U42" s="1458">
        <v>201</v>
      </c>
      <c r="V42" s="1459">
        <v>478</v>
      </c>
      <c r="W42" s="1459">
        <v>86</v>
      </c>
      <c r="X42" s="1468">
        <v>214</v>
      </c>
      <c r="Y42" s="1460">
        <v>16530</v>
      </c>
      <c r="Z42" s="617">
        <v>103210</v>
      </c>
    </row>
    <row r="43" spans="1:26" s="556" customFormat="1" ht="13.5" customHeight="1" x14ac:dyDescent="0.2">
      <c r="A43" s="943">
        <v>39</v>
      </c>
      <c r="B43" s="832" t="s">
        <v>635</v>
      </c>
      <c r="C43" s="1458">
        <v>532</v>
      </c>
      <c r="D43" s="1459">
        <v>802</v>
      </c>
      <c r="E43" s="1459">
        <v>2690</v>
      </c>
      <c r="F43" s="1459">
        <v>799</v>
      </c>
      <c r="G43" s="1459">
        <v>1640</v>
      </c>
      <c r="H43" s="1459">
        <v>384</v>
      </c>
      <c r="I43" s="1459">
        <v>8290</v>
      </c>
      <c r="J43" s="1459">
        <v>1374</v>
      </c>
      <c r="K43" s="1459">
        <v>251</v>
      </c>
      <c r="L43" s="1459">
        <v>1453</v>
      </c>
      <c r="M43" s="1459">
        <v>598</v>
      </c>
      <c r="N43" s="1457">
        <v>1107</v>
      </c>
      <c r="O43" s="1459">
        <v>419</v>
      </c>
      <c r="P43" s="1459">
        <v>1434</v>
      </c>
      <c r="Q43" s="1462">
        <v>1030</v>
      </c>
      <c r="R43" s="1459">
        <v>4462</v>
      </c>
      <c r="S43" s="1459">
        <v>715</v>
      </c>
      <c r="T43" s="1459">
        <v>454</v>
      </c>
      <c r="U43" s="1458">
        <v>878</v>
      </c>
      <c r="V43" s="1459">
        <v>412</v>
      </c>
      <c r="W43" s="1459">
        <v>324</v>
      </c>
      <c r="X43" s="1468">
        <v>296</v>
      </c>
      <c r="Y43" s="1460">
        <v>27750</v>
      </c>
      <c r="Z43" s="617">
        <v>207950</v>
      </c>
    </row>
    <row r="44" spans="1:26" s="556" customFormat="1" ht="13.5" customHeight="1" x14ac:dyDescent="0.2">
      <c r="A44" s="943">
        <v>40</v>
      </c>
      <c r="B44" s="832" t="s">
        <v>343</v>
      </c>
      <c r="C44" s="1458">
        <v>159</v>
      </c>
      <c r="D44" s="1459">
        <v>301</v>
      </c>
      <c r="E44" s="1459">
        <v>1312</v>
      </c>
      <c r="F44" s="1459">
        <v>1409</v>
      </c>
      <c r="G44" s="1459">
        <v>1554</v>
      </c>
      <c r="H44" s="1459">
        <v>372</v>
      </c>
      <c r="I44" s="1459">
        <v>2474</v>
      </c>
      <c r="J44" s="1459">
        <v>353</v>
      </c>
      <c r="K44" s="1459">
        <v>271</v>
      </c>
      <c r="L44" s="1459">
        <v>2797</v>
      </c>
      <c r="M44" s="1459">
        <v>205</v>
      </c>
      <c r="N44" s="1457">
        <v>385</v>
      </c>
      <c r="O44" s="1459">
        <v>645</v>
      </c>
      <c r="P44" s="1459">
        <v>1080</v>
      </c>
      <c r="Q44" s="1462">
        <v>396</v>
      </c>
      <c r="R44" s="1459">
        <v>3037</v>
      </c>
      <c r="S44" s="1459">
        <v>892</v>
      </c>
      <c r="T44" s="1459">
        <v>527</v>
      </c>
      <c r="U44" s="1458">
        <v>31</v>
      </c>
      <c r="V44" s="1459">
        <v>222</v>
      </c>
      <c r="W44" s="1459">
        <v>379</v>
      </c>
      <c r="X44" s="1468">
        <v>295</v>
      </c>
      <c r="Y44" s="1460">
        <v>16590</v>
      </c>
      <c r="Z44" s="617">
        <v>109180</v>
      </c>
    </row>
    <row r="45" spans="1:26" s="556" customFormat="1" ht="13.5" customHeight="1" x14ac:dyDescent="0.2">
      <c r="A45" s="622">
        <v>41</v>
      </c>
      <c r="B45" s="835" t="s">
        <v>344</v>
      </c>
      <c r="C45" s="1469"/>
      <c r="D45" s="1470"/>
      <c r="E45" s="1470"/>
      <c r="F45" s="1470"/>
      <c r="G45" s="1470"/>
      <c r="H45" s="1470"/>
      <c r="I45" s="1470"/>
      <c r="J45" s="1470"/>
      <c r="K45" s="1470"/>
      <c r="L45" s="1470"/>
      <c r="M45" s="1470"/>
      <c r="N45" s="1474"/>
      <c r="O45" s="1470"/>
      <c r="P45" s="1470"/>
      <c r="Q45" s="1470"/>
      <c r="R45" s="1470"/>
      <c r="S45" s="1470"/>
      <c r="T45" s="1470"/>
      <c r="U45" s="1469"/>
      <c r="V45" s="1470"/>
      <c r="W45" s="1470"/>
      <c r="X45" s="1471"/>
      <c r="Y45" s="1472"/>
      <c r="Z45" s="1473"/>
    </row>
    <row r="46" spans="1:26" s="556" customFormat="1" ht="13.5" customHeight="1" x14ac:dyDescent="0.2">
      <c r="A46" s="622">
        <v>42</v>
      </c>
      <c r="B46" s="835" t="s">
        <v>345</v>
      </c>
      <c r="C46" s="1469"/>
      <c r="D46" s="1470"/>
      <c r="E46" s="1470"/>
      <c r="F46" s="1470"/>
      <c r="G46" s="1470"/>
      <c r="H46" s="1470"/>
      <c r="I46" s="1470"/>
      <c r="J46" s="1470"/>
      <c r="K46" s="1470"/>
      <c r="L46" s="1470"/>
      <c r="M46" s="1470"/>
      <c r="N46" s="1474"/>
      <c r="O46" s="1470"/>
      <c r="P46" s="1470"/>
      <c r="Q46" s="1470"/>
      <c r="R46" s="1470"/>
      <c r="S46" s="1470"/>
      <c r="T46" s="1470"/>
      <c r="U46" s="1469"/>
      <c r="V46" s="1470"/>
      <c r="W46" s="1470"/>
      <c r="X46" s="1471"/>
      <c r="Y46" s="1472"/>
      <c r="Z46" s="1473"/>
    </row>
    <row r="47" spans="1:26" s="556" customFormat="1" ht="13.5" customHeight="1" x14ac:dyDescent="0.2">
      <c r="A47" s="622">
        <v>43</v>
      </c>
      <c r="B47" s="835" t="s">
        <v>346</v>
      </c>
      <c r="C47" s="620">
        <v>993</v>
      </c>
      <c r="D47" s="1459">
        <v>2175</v>
      </c>
      <c r="E47" s="1459">
        <v>3714</v>
      </c>
      <c r="F47" s="1459">
        <v>3134</v>
      </c>
      <c r="G47" s="1459">
        <v>8285</v>
      </c>
      <c r="H47" s="1459">
        <v>1230</v>
      </c>
      <c r="I47" s="1459">
        <v>10019</v>
      </c>
      <c r="J47" s="1459">
        <v>1945</v>
      </c>
      <c r="K47" s="1459">
        <v>1874</v>
      </c>
      <c r="L47" s="1459">
        <v>4293</v>
      </c>
      <c r="M47" s="1459">
        <v>1748</v>
      </c>
      <c r="N47" s="621">
        <v>1683</v>
      </c>
      <c r="O47" s="1459">
        <v>1223</v>
      </c>
      <c r="P47" s="1459">
        <v>3193</v>
      </c>
      <c r="Q47" s="1459">
        <v>2394</v>
      </c>
      <c r="R47" s="1459">
        <v>7019</v>
      </c>
      <c r="S47" s="1459">
        <v>2713</v>
      </c>
      <c r="T47" s="1459">
        <v>1159</v>
      </c>
      <c r="U47" s="620">
        <v>1021</v>
      </c>
      <c r="V47" s="1459">
        <v>7233</v>
      </c>
      <c r="W47" s="1459">
        <v>767</v>
      </c>
      <c r="X47" s="1468">
        <v>969</v>
      </c>
      <c r="Y47" s="1460">
        <v>61720</v>
      </c>
      <c r="Z47" s="617">
        <v>404710</v>
      </c>
    </row>
    <row r="48" spans="1:26" s="556" customFormat="1" ht="13.5" customHeight="1" x14ac:dyDescent="0.2">
      <c r="A48" s="622">
        <v>44</v>
      </c>
      <c r="B48" s="835" t="s">
        <v>347</v>
      </c>
      <c r="C48" s="620">
        <v>632</v>
      </c>
      <c r="D48" s="1459">
        <v>879</v>
      </c>
      <c r="E48" s="1459">
        <v>2472</v>
      </c>
      <c r="F48" s="1459">
        <v>1334</v>
      </c>
      <c r="G48" s="1459">
        <v>3844</v>
      </c>
      <c r="H48" s="1459">
        <v>557</v>
      </c>
      <c r="I48" s="1459">
        <v>6259</v>
      </c>
      <c r="J48" s="1459">
        <v>1181</v>
      </c>
      <c r="K48" s="1459">
        <v>558</v>
      </c>
      <c r="L48" s="1459">
        <v>1805</v>
      </c>
      <c r="M48" s="1459">
        <v>1025</v>
      </c>
      <c r="N48" s="621">
        <v>840</v>
      </c>
      <c r="O48" s="1459">
        <v>708</v>
      </c>
      <c r="P48" s="1459">
        <v>1529</v>
      </c>
      <c r="Q48" s="1459">
        <v>1692</v>
      </c>
      <c r="R48" s="1459">
        <v>4165</v>
      </c>
      <c r="S48" s="1459">
        <v>1014</v>
      </c>
      <c r="T48" s="1459">
        <v>692</v>
      </c>
      <c r="U48" s="620">
        <v>621</v>
      </c>
      <c r="V48" s="1459">
        <v>3003</v>
      </c>
      <c r="W48" s="1459">
        <v>350</v>
      </c>
      <c r="X48" s="1468">
        <v>471</v>
      </c>
      <c r="Y48" s="1460">
        <v>32400</v>
      </c>
      <c r="Z48" s="617">
        <v>198090</v>
      </c>
    </row>
    <row r="49" spans="1:26" s="556" customFormat="1" ht="13.5" customHeight="1" x14ac:dyDescent="0.2">
      <c r="A49" s="622">
        <v>45</v>
      </c>
      <c r="B49" s="835" t="s">
        <v>348</v>
      </c>
      <c r="C49" s="620">
        <v>235</v>
      </c>
      <c r="D49" s="1459">
        <v>481</v>
      </c>
      <c r="E49" s="1459">
        <v>862</v>
      </c>
      <c r="F49" s="1459">
        <v>711</v>
      </c>
      <c r="G49" s="1459">
        <v>1784</v>
      </c>
      <c r="H49" s="1459">
        <v>271</v>
      </c>
      <c r="I49" s="1459">
        <v>1762</v>
      </c>
      <c r="J49" s="1459">
        <v>403</v>
      </c>
      <c r="K49" s="1459">
        <v>175</v>
      </c>
      <c r="L49" s="1459">
        <v>878</v>
      </c>
      <c r="M49" s="1459">
        <v>309</v>
      </c>
      <c r="N49" s="621">
        <v>415</v>
      </c>
      <c r="O49" s="1459">
        <v>274</v>
      </c>
      <c r="P49" s="1459">
        <v>586</v>
      </c>
      <c r="Q49" s="1459">
        <v>514</v>
      </c>
      <c r="R49" s="1459">
        <v>1485</v>
      </c>
      <c r="S49" s="1459">
        <v>574</v>
      </c>
      <c r="T49" s="1459">
        <v>362</v>
      </c>
      <c r="U49" s="620">
        <v>275</v>
      </c>
      <c r="V49" s="1459">
        <v>1079</v>
      </c>
      <c r="W49" s="1459">
        <v>137</v>
      </c>
      <c r="X49" s="1468">
        <v>181</v>
      </c>
      <c r="Y49" s="1460">
        <v>12230</v>
      </c>
      <c r="Z49" s="617">
        <v>79470</v>
      </c>
    </row>
    <row r="50" spans="1:26" s="556" customFormat="1" ht="13.5" customHeight="1" x14ac:dyDescent="0.2">
      <c r="A50" s="622">
        <v>46</v>
      </c>
      <c r="B50" s="835" t="s">
        <v>349</v>
      </c>
      <c r="C50" s="620">
        <v>194</v>
      </c>
      <c r="D50" s="1459">
        <v>420</v>
      </c>
      <c r="E50" s="1459">
        <v>631</v>
      </c>
      <c r="F50" s="1463">
        <v>410</v>
      </c>
      <c r="G50" s="1459">
        <v>1375</v>
      </c>
      <c r="H50" s="1459">
        <v>230</v>
      </c>
      <c r="I50" s="1459">
        <v>1320</v>
      </c>
      <c r="J50" s="1459">
        <v>353</v>
      </c>
      <c r="K50" s="1459">
        <v>166</v>
      </c>
      <c r="L50" s="1459">
        <v>781</v>
      </c>
      <c r="M50" s="1459">
        <v>222</v>
      </c>
      <c r="N50" s="621">
        <v>313</v>
      </c>
      <c r="O50" s="1459">
        <v>207</v>
      </c>
      <c r="P50" s="1459">
        <v>547</v>
      </c>
      <c r="Q50" s="1459">
        <v>380</v>
      </c>
      <c r="R50" s="1459">
        <v>764</v>
      </c>
      <c r="S50" s="1459">
        <v>486</v>
      </c>
      <c r="T50" s="1459">
        <v>242</v>
      </c>
      <c r="U50" s="620">
        <v>265</v>
      </c>
      <c r="V50" s="1459">
        <v>918</v>
      </c>
      <c r="W50" s="1459">
        <v>73</v>
      </c>
      <c r="X50" s="1468">
        <v>149</v>
      </c>
      <c r="Y50" s="1460">
        <v>9170</v>
      </c>
      <c r="Z50" s="617">
        <v>61150</v>
      </c>
    </row>
    <row r="51" spans="1:26" s="556" customFormat="1" ht="13.5" customHeight="1" x14ac:dyDescent="0.2">
      <c r="A51" s="622">
        <v>47</v>
      </c>
      <c r="B51" s="835" t="s">
        <v>350</v>
      </c>
      <c r="C51" s="620">
        <v>105</v>
      </c>
      <c r="D51" s="1459">
        <v>395</v>
      </c>
      <c r="E51" s="1459">
        <v>638</v>
      </c>
      <c r="F51" s="1459">
        <v>560</v>
      </c>
      <c r="G51" s="1459">
        <v>1294</v>
      </c>
      <c r="H51" s="1459">
        <v>193</v>
      </c>
      <c r="I51" s="1459">
        <v>1462</v>
      </c>
      <c r="J51" s="1459">
        <v>344</v>
      </c>
      <c r="K51" s="1459">
        <v>104</v>
      </c>
      <c r="L51" s="1459">
        <v>687</v>
      </c>
      <c r="M51" s="1459">
        <v>286</v>
      </c>
      <c r="N51" s="621">
        <v>290</v>
      </c>
      <c r="O51" s="1459">
        <v>161</v>
      </c>
      <c r="P51" s="1459">
        <v>428</v>
      </c>
      <c r="Q51" s="1459">
        <v>324</v>
      </c>
      <c r="R51" s="1459">
        <v>996</v>
      </c>
      <c r="S51" s="1459">
        <v>362</v>
      </c>
      <c r="T51" s="1459">
        <v>141</v>
      </c>
      <c r="U51" s="620">
        <v>168</v>
      </c>
      <c r="V51" s="1459">
        <v>775</v>
      </c>
      <c r="W51" s="1459">
        <v>74</v>
      </c>
      <c r="X51" s="1468">
        <v>126</v>
      </c>
      <c r="Y51" s="1460">
        <v>8980</v>
      </c>
      <c r="Z51" s="617">
        <v>53790</v>
      </c>
    </row>
    <row r="52" spans="1:26" s="556" customFormat="1" ht="13.5" customHeight="1" x14ac:dyDescent="0.2">
      <c r="A52" s="622">
        <v>48</v>
      </c>
      <c r="B52" s="832" t="s">
        <v>351</v>
      </c>
      <c r="C52" s="620">
        <v>65</v>
      </c>
      <c r="D52" s="1459">
        <v>283</v>
      </c>
      <c r="E52" s="1459">
        <v>487</v>
      </c>
      <c r="F52" s="1459">
        <v>383</v>
      </c>
      <c r="G52" s="1459">
        <v>951</v>
      </c>
      <c r="H52" s="1459">
        <v>152</v>
      </c>
      <c r="I52" s="1459">
        <v>1153</v>
      </c>
      <c r="J52" s="1459">
        <v>264</v>
      </c>
      <c r="K52" s="1459">
        <v>68</v>
      </c>
      <c r="L52" s="1459">
        <v>494</v>
      </c>
      <c r="M52" s="1459">
        <v>217</v>
      </c>
      <c r="N52" s="621">
        <v>217</v>
      </c>
      <c r="O52" s="1459">
        <v>97</v>
      </c>
      <c r="P52" s="1459">
        <v>305</v>
      </c>
      <c r="Q52" s="1459">
        <v>236</v>
      </c>
      <c r="R52" s="1459">
        <v>660</v>
      </c>
      <c r="S52" s="1459">
        <v>262</v>
      </c>
      <c r="T52" s="1459">
        <v>85</v>
      </c>
      <c r="U52" s="620">
        <v>93</v>
      </c>
      <c r="V52" s="1459">
        <v>592</v>
      </c>
      <c r="W52" s="1459">
        <v>55</v>
      </c>
      <c r="X52" s="1468">
        <v>78</v>
      </c>
      <c r="Y52" s="1460">
        <v>6550</v>
      </c>
      <c r="Z52" s="617">
        <v>37540</v>
      </c>
    </row>
    <row r="53" spans="1:26" s="556" customFormat="1" ht="13.5" customHeight="1" x14ac:dyDescent="0.2">
      <c r="A53" s="622">
        <v>49</v>
      </c>
      <c r="B53" s="832" t="s">
        <v>352</v>
      </c>
      <c r="C53" s="620">
        <v>64</v>
      </c>
      <c r="D53" s="1459">
        <v>281</v>
      </c>
      <c r="E53" s="1459">
        <v>428</v>
      </c>
      <c r="F53" s="1463">
        <v>347</v>
      </c>
      <c r="G53" s="1459">
        <v>761</v>
      </c>
      <c r="H53" s="1459">
        <v>145</v>
      </c>
      <c r="I53" s="1459">
        <v>1149</v>
      </c>
      <c r="J53" s="1459">
        <v>251</v>
      </c>
      <c r="K53" s="1459">
        <v>67</v>
      </c>
      <c r="L53" s="1459">
        <v>463</v>
      </c>
      <c r="M53" s="1459">
        <v>217</v>
      </c>
      <c r="N53" s="621">
        <v>155</v>
      </c>
      <c r="O53" s="1459">
        <v>38</v>
      </c>
      <c r="P53" s="1459">
        <v>293</v>
      </c>
      <c r="Q53" s="1459">
        <v>170</v>
      </c>
      <c r="R53" s="1459">
        <v>627</v>
      </c>
      <c r="S53" s="1459">
        <v>258</v>
      </c>
      <c r="T53" s="1459">
        <v>63</v>
      </c>
      <c r="U53" s="620">
        <v>93</v>
      </c>
      <c r="V53" s="1459">
        <v>525</v>
      </c>
      <c r="W53" s="1459">
        <v>44</v>
      </c>
      <c r="X53" s="1468">
        <v>78</v>
      </c>
      <c r="Y53" s="1460">
        <v>5900</v>
      </c>
      <c r="Z53" s="617">
        <v>33980</v>
      </c>
    </row>
    <row r="54" spans="1:26" s="556" customFormat="1" ht="13.5" customHeight="1" x14ac:dyDescent="0.2">
      <c r="A54" s="622">
        <v>50</v>
      </c>
      <c r="B54" s="832" t="s">
        <v>540</v>
      </c>
      <c r="C54" s="1477"/>
      <c r="D54" s="1478"/>
      <c r="E54" s="1478"/>
      <c r="F54" s="1478"/>
      <c r="G54" s="1478"/>
      <c r="H54" s="1478"/>
      <c r="I54" s="1478"/>
      <c r="J54" s="1478"/>
      <c r="K54" s="1478"/>
      <c r="L54" s="1478"/>
      <c r="M54" s="1478"/>
      <c r="N54" s="1479"/>
      <c r="O54" s="1478"/>
      <c r="P54" s="1478"/>
      <c r="Q54" s="1478"/>
      <c r="R54" s="1478"/>
      <c r="S54" s="1478"/>
      <c r="T54" s="1478"/>
      <c r="U54" s="1477"/>
      <c r="V54" s="1478"/>
      <c r="W54" s="1478"/>
      <c r="X54" s="1480"/>
      <c r="Y54" s="1481"/>
      <c r="Z54" s="1482"/>
    </row>
    <row r="55" spans="1:26" s="556" customFormat="1" ht="13.5" customHeight="1" x14ac:dyDescent="0.2">
      <c r="A55" s="622">
        <v>51</v>
      </c>
      <c r="B55" s="832" t="s">
        <v>695</v>
      </c>
      <c r="C55" s="1477"/>
      <c r="D55" s="1478"/>
      <c r="E55" s="1478"/>
      <c r="F55" s="1478"/>
      <c r="G55" s="1478"/>
      <c r="H55" s="1478"/>
      <c r="I55" s="1478"/>
      <c r="J55" s="1478"/>
      <c r="K55" s="1478"/>
      <c r="L55" s="1478"/>
      <c r="M55" s="1478"/>
      <c r="N55" s="1479"/>
      <c r="O55" s="1478"/>
      <c r="P55" s="1478"/>
      <c r="Q55" s="1478"/>
      <c r="R55" s="1478"/>
      <c r="S55" s="1478"/>
      <c r="T55" s="1478"/>
      <c r="U55" s="1477"/>
      <c r="V55" s="1478"/>
      <c r="W55" s="1478"/>
      <c r="X55" s="1480"/>
      <c r="Y55" s="1481"/>
      <c r="Z55" s="1482"/>
    </row>
    <row r="56" spans="1:26" s="556" customFormat="1" ht="13.5" customHeight="1" x14ac:dyDescent="0.2">
      <c r="A56" s="622">
        <v>52</v>
      </c>
      <c r="B56" s="832" t="s">
        <v>353</v>
      </c>
      <c r="C56" s="620">
        <v>235</v>
      </c>
      <c r="D56" s="1459">
        <v>396</v>
      </c>
      <c r="E56" s="1459">
        <v>632</v>
      </c>
      <c r="F56" s="1459">
        <v>540</v>
      </c>
      <c r="G56" s="1459">
        <v>1501</v>
      </c>
      <c r="H56" s="1459">
        <v>225</v>
      </c>
      <c r="I56" s="1459">
        <v>1283</v>
      </c>
      <c r="J56" s="1459">
        <v>334</v>
      </c>
      <c r="K56" s="1459">
        <v>148</v>
      </c>
      <c r="L56" s="1459">
        <v>684</v>
      </c>
      <c r="M56" s="1459">
        <v>241</v>
      </c>
      <c r="N56" s="621">
        <v>408</v>
      </c>
      <c r="O56" s="1459">
        <v>232</v>
      </c>
      <c r="P56" s="1459">
        <v>506</v>
      </c>
      <c r="Q56" s="1459">
        <v>392</v>
      </c>
      <c r="R56" s="1459">
        <v>991</v>
      </c>
      <c r="S56" s="1459">
        <v>382</v>
      </c>
      <c r="T56" s="1459">
        <v>364</v>
      </c>
      <c r="U56" s="620">
        <v>225</v>
      </c>
      <c r="V56" s="1459">
        <v>740</v>
      </c>
      <c r="W56" s="1459">
        <v>193</v>
      </c>
      <c r="X56" s="1468">
        <v>70</v>
      </c>
      <c r="Y56" s="1460">
        <f t="shared" ref="Y56" si="0">SUM(C56:O56,Q56:R56,U56:X56)</f>
        <v>9470</v>
      </c>
      <c r="Z56" s="617">
        <v>65920</v>
      </c>
    </row>
    <row r="57" spans="1:26" s="556" customFormat="1" ht="13.5" customHeight="1" x14ac:dyDescent="0.2">
      <c r="A57" s="622">
        <v>53</v>
      </c>
      <c r="B57" s="835" t="s">
        <v>354</v>
      </c>
      <c r="C57" s="620">
        <v>0</v>
      </c>
      <c r="D57" s="1459">
        <v>30</v>
      </c>
      <c r="E57" s="1459">
        <v>20</v>
      </c>
      <c r="F57" s="1459">
        <v>49</v>
      </c>
      <c r="G57" s="1459">
        <v>108</v>
      </c>
      <c r="H57" s="1459">
        <v>13</v>
      </c>
      <c r="I57" s="1459">
        <v>53</v>
      </c>
      <c r="J57" s="1459">
        <v>17</v>
      </c>
      <c r="K57" s="1459">
        <v>0</v>
      </c>
      <c r="L57" s="1459">
        <v>28</v>
      </c>
      <c r="M57" s="1459">
        <v>14</v>
      </c>
      <c r="N57" s="621">
        <v>15</v>
      </c>
      <c r="O57" s="1459" t="s">
        <v>73</v>
      </c>
      <c r="P57" s="1459">
        <v>6</v>
      </c>
      <c r="Q57" s="1459">
        <v>12</v>
      </c>
      <c r="R57" s="1459">
        <v>60</v>
      </c>
      <c r="S57" s="1459">
        <v>6</v>
      </c>
      <c r="T57" s="1459">
        <v>12</v>
      </c>
      <c r="U57" s="620">
        <v>5</v>
      </c>
      <c r="V57" s="1459">
        <v>26</v>
      </c>
      <c r="W57" s="1459" t="s">
        <v>73</v>
      </c>
      <c r="X57" s="1468">
        <v>0</v>
      </c>
      <c r="Y57" s="1460">
        <v>460</v>
      </c>
      <c r="Z57" s="617">
        <v>2250</v>
      </c>
    </row>
    <row r="58" spans="1:26" s="556" customFormat="1" ht="13.5" customHeight="1" x14ac:dyDescent="0.2">
      <c r="A58" s="622">
        <v>54</v>
      </c>
      <c r="B58" s="835" t="s">
        <v>355</v>
      </c>
      <c r="C58" s="620">
        <v>169</v>
      </c>
      <c r="D58" s="1459">
        <v>424</v>
      </c>
      <c r="E58" s="1459">
        <v>724</v>
      </c>
      <c r="F58" s="1459">
        <v>624</v>
      </c>
      <c r="G58" s="1459">
        <v>1536</v>
      </c>
      <c r="H58" s="1459">
        <v>219</v>
      </c>
      <c r="I58" s="1459">
        <v>1559</v>
      </c>
      <c r="J58" s="1459">
        <v>365</v>
      </c>
      <c r="K58" s="1459">
        <v>162</v>
      </c>
      <c r="L58" s="1459">
        <v>773</v>
      </c>
      <c r="M58" s="1459">
        <v>285</v>
      </c>
      <c r="N58" s="621">
        <v>350</v>
      </c>
      <c r="O58" s="1459">
        <v>240</v>
      </c>
      <c r="P58" s="1459">
        <v>530</v>
      </c>
      <c r="Q58" s="1459">
        <v>431</v>
      </c>
      <c r="R58" s="1459">
        <v>1151</v>
      </c>
      <c r="S58" s="1459">
        <v>491</v>
      </c>
      <c r="T58" s="1459">
        <v>290</v>
      </c>
      <c r="U58" s="620">
        <v>242</v>
      </c>
      <c r="V58" s="1459">
        <v>964</v>
      </c>
      <c r="W58" s="1459">
        <v>126</v>
      </c>
      <c r="X58" s="1468">
        <v>150</v>
      </c>
      <c r="Y58" s="1460">
        <v>10490</v>
      </c>
      <c r="Z58" s="617">
        <v>68770</v>
      </c>
    </row>
    <row r="59" spans="1:26" s="556" customFormat="1" ht="13.5" customHeight="1" x14ac:dyDescent="0.2">
      <c r="A59" s="622">
        <v>55</v>
      </c>
      <c r="B59" s="835" t="s">
        <v>356</v>
      </c>
      <c r="C59" s="620">
        <v>30</v>
      </c>
      <c r="D59" s="1459">
        <v>101</v>
      </c>
      <c r="E59" s="1459">
        <v>136</v>
      </c>
      <c r="F59" s="1459">
        <v>156</v>
      </c>
      <c r="G59" s="1459">
        <v>354</v>
      </c>
      <c r="H59" s="1459">
        <v>51</v>
      </c>
      <c r="I59" s="1459">
        <v>318</v>
      </c>
      <c r="J59" s="1459">
        <v>82</v>
      </c>
      <c r="K59" s="1459">
        <v>13</v>
      </c>
      <c r="L59" s="1459">
        <v>181</v>
      </c>
      <c r="M59" s="1459">
        <v>74</v>
      </c>
      <c r="N59" s="621">
        <v>62</v>
      </c>
      <c r="O59" s="1459">
        <v>56</v>
      </c>
      <c r="P59" s="1459">
        <v>112</v>
      </c>
      <c r="Q59" s="1459">
        <v>132</v>
      </c>
      <c r="R59" s="1459">
        <v>281</v>
      </c>
      <c r="S59" s="1459">
        <v>97</v>
      </c>
      <c r="T59" s="1459">
        <v>78</v>
      </c>
      <c r="U59" s="620">
        <v>44</v>
      </c>
      <c r="V59" s="1459">
        <v>235</v>
      </c>
      <c r="W59" s="1459">
        <v>26</v>
      </c>
      <c r="X59" s="1468">
        <v>36</v>
      </c>
      <c r="Y59" s="1460">
        <v>2370</v>
      </c>
      <c r="Z59" s="617">
        <v>13900</v>
      </c>
    </row>
    <row r="60" spans="1:26" s="556" customFormat="1" ht="13.5" customHeight="1" x14ac:dyDescent="0.2">
      <c r="A60" s="622">
        <v>56</v>
      </c>
      <c r="B60" s="835" t="s">
        <v>357</v>
      </c>
      <c r="C60" s="1469"/>
      <c r="D60" s="1470"/>
      <c r="E60" s="1470"/>
      <c r="F60" s="1470"/>
      <c r="G60" s="1470"/>
      <c r="H60" s="1470"/>
      <c r="I60" s="1470"/>
      <c r="J60" s="1470"/>
      <c r="K60" s="1470"/>
      <c r="L60" s="1470"/>
      <c r="M60" s="1470"/>
      <c r="N60" s="1474"/>
      <c r="O60" s="1470"/>
      <c r="P60" s="1470"/>
      <c r="Q60" s="1470"/>
      <c r="R60" s="1470"/>
      <c r="S60" s="1470"/>
      <c r="T60" s="1470"/>
      <c r="U60" s="1469"/>
      <c r="V60" s="1470"/>
      <c r="W60" s="1470"/>
      <c r="X60" s="1471"/>
      <c r="Y60" s="1472"/>
      <c r="Z60" s="1473"/>
    </row>
    <row r="61" spans="1:26" s="556" customFormat="1" ht="13.5" customHeight="1" x14ac:dyDescent="0.2">
      <c r="A61" s="622">
        <v>57</v>
      </c>
      <c r="B61" s="835" t="s">
        <v>358</v>
      </c>
      <c r="C61" s="620">
        <v>138</v>
      </c>
      <c r="D61" s="1459">
        <v>419</v>
      </c>
      <c r="E61" s="1459">
        <v>472</v>
      </c>
      <c r="F61" s="1459">
        <v>602</v>
      </c>
      <c r="G61" s="1459">
        <v>1594</v>
      </c>
      <c r="H61" s="1459">
        <v>226</v>
      </c>
      <c r="I61" s="1459">
        <v>1641</v>
      </c>
      <c r="J61" s="1459">
        <v>414</v>
      </c>
      <c r="K61" s="1459">
        <v>394</v>
      </c>
      <c r="L61" s="1459">
        <v>684</v>
      </c>
      <c r="M61" s="1459">
        <v>415</v>
      </c>
      <c r="N61" s="621">
        <v>279</v>
      </c>
      <c r="O61" s="1459">
        <v>206</v>
      </c>
      <c r="P61" s="1459">
        <v>517</v>
      </c>
      <c r="Q61" s="1459">
        <v>522</v>
      </c>
      <c r="R61" s="1459">
        <v>930</v>
      </c>
      <c r="S61" s="1459">
        <v>360</v>
      </c>
      <c r="T61" s="1459">
        <v>329</v>
      </c>
      <c r="U61" s="620">
        <v>145</v>
      </c>
      <c r="V61" s="1459">
        <v>704</v>
      </c>
      <c r="W61" s="1459">
        <v>107</v>
      </c>
      <c r="X61" s="1468">
        <v>106</v>
      </c>
      <c r="Y61" s="1460">
        <v>10000</v>
      </c>
      <c r="Z61" s="617">
        <v>75370</v>
      </c>
    </row>
    <row r="62" spans="1:26" s="556" customFormat="1" ht="13.5" customHeight="1" x14ac:dyDescent="0.2">
      <c r="A62" s="1451"/>
      <c r="B62" s="1450" t="s">
        <v>908</v>
      </c>
      <c r="C62" s="1458"/>
      <c r="D62" s="1066"/>
      <c r="E62" s="1066"/>
      <c r="F62" s="1066"/>
      <c r="G62" s="1066"/>
      <c r="H62" s="1066"/>
      <c r="I62" s="1066"/>
      <c r="J62" s="1066"/>
      <c r="K62" s="1066"/>
      <c r="L62" s="1066"/>
      <c r="M62" s="1066"/>
      <c r="N62" s="1457"/>
      <c r="O62" s="1066"/>
      <c r="P62" s="1066"/>
      <c r="Q62" s="1066"/>
      <c r="R62" s="1066"/>
      <c r="S62" s="1066"/>
      <c r="T62" s="1066"/>
      <c r="U62" s="1458"/>
      <c r="V62" s="1066"/>
      <c r="W62" s="1066"/>
      <c r="X62" s="1066"/>
      <c r="Y62" s="1460">
        <f t="shared" ref="Y62" si="1">SUM(C62:O62,Q62:R62,U62:X62)</f>
        <v>0</v>
      </c>
      <c r="Z62" s="1291"/>
    </row>
    <row r="63" spans="1:26" s="556" customFormat="1" ht="13.5" customHeight="1" x14ac:dyDescent="0.2">
      <c r="A63" s="622">
        <v>58</v>
      </c>
      <c r="B63" s="836" t="s">
        <v>576</v>
      </c>
      <c r="C63" s="620">
        <v>7</v>
      </c>
      <c r="D63" s="1459">
        <v>23</v>
      </c>
      <c r="E63" s="1459">
        <v>20</v>
      </c>
      <c r="F63" s="1459">
        <v>36</v>
      </c>
      <c r="G63" s="1459">
        <v>67</v>
      </c>
      <c r="H63" s="1459">
        <v>9</v>
      </c>
      <c r="I63" s="1459">
        <v>64</v>
      </c>
      <c r="J63" s="1459">
        <v>29</v>
      </c>
      <c r="K63" s="1459">
        <v>23</v>
      </c>
      <c r="L63" s="1459">
        <v>36</v>
      </c>
      <c r="M63" s="1459">
        <v>16</v>
      </c>
      <c r="N63" s="621">
        <v>21</v>
      </c>
      <c r="O63" s="1459">
        <v>12</v>
      </c>
      <c r="P63" s="1459">
        <v>38</v>
      </c>
      <c r="Q63" s="1459">
        <v>40</v>
      </c>
      <c r="R63" s="1459">
        <v>45</v>
      </c>
      <c r="S63" s="1459">
        <v>21</v>
      </c>
      <c r="T63" s="1459">
        <v>29</v>
      </c>
      <c r="U63" s="620" t="s">
        <v>73</v>
      </c>
      <c r="V63" s="1459">
        <v>43</v>
      </c>
      <c r="W63" s="1459" t="s">
        <v>73</v>
      </c>
      <c r="X63" s="1468">
        <v>7</v>
      </c>
      <c r="Y63" s="1460">
        <v>500</v>
      </c>
      <c r="Z63" s="617">
        <v>3820</v>
      </c>
    </row>
    <row r="64" spans="1:26" s="556" customFormat="1" ht="13.5" customHeight="1" x14ac:dyDescent="0.2">
      <c r="A64" s="622">
        <v>59</v>
      </c>
      <c r="B64" s="836" t="s">
        <v>577</v>
      </c>
      <c r="C64" s="620">
        <v>12</v>
      </c>
      <c r="D64" s="1459">
        <v>50</v>
      </c>
      <c r="E64" s="1459">
        <v>52</v>
      </c>
      <c r="F64" s="1459">
        <v>82</v>
      </c>
      <c r="G64" s="1459">
        <v>213</v>
      </c>
      <c r="H64" s="1459">
        <v>29</v>
      </c>
      <c r="I64" s="1459">
        <v>112</v>
      </c>
      <c r="J64" s="1459">
        <v>57</v>
      </c>
      <c r="K64" s="1459">
        <v>55</v>
      </c>
      <c r="L64" s="1459">
        <v>75</v>
      </c>
      <c r="M64" s="1459">
        <v>47</v>
      </c>
      <c r="N64" s="621">
        <v>45</v>
      </c>
      <c r="O64" s="1459">
        <v>26</v>
      </c>
      <c r="P64" s="1459">
        <v>52</v>
      </c>
      <c r="Q64" s="1459">
        <v>64</v>
      </c>
      <c r="R64" s="1459">
        <v>80</v>
      </c>
      <c r="S64" s="1459">
        <v>61</v>
      </c>
      <c r="T64" s="1459">
        <v>40</v>
      </c>
      <c r="U64" s="620" t="s">
        <v>73</v>
      </c>
      <c r="V64" s="1459">
        <v>83</v>
      </c>
      <c r="W64" s="1459" t="s">
        <v>73</v>
      </c>
      <c r="X64" s="1468">
        <v>10</v>
      </c>
      <c r="Y64" s="1460">
        <v>1120</v>
      </c>
      <c r="Z64" s="617">
        <v>9170</v>
      </c>
    </row>
    <row r="65" spans="1:26" s="556" customFormat="1" ht="13.5" customHeight="1" x14ac:dyDescent="0.2">
      <c r="A65" s="622">
        <v>60</v>
      </c>
      <c r="B65" s="836" t="s">
        <v>578</v>
      </c>
      <c r="C65" s="620">
        <v>20</v>
      </c>
      <c r="D65" s="1459">
        <v>64</v>
      </c>
      <c r="E65" s="1459">
        <v>75</v>
      </c>
      <c r="F65" s="1459">
        <v>119</v>
      </c>
      <c r="G65" s="1459">
        <v>317</v>
      </c>
      <c r="H65" s="1459">
        <v>57</v>
      </c>
      <c r="I65" s="1459">
        <v>237</v>
      </c>
      <c r="J65" s="1459">
        <v>84</v>
      </c>
      <c r="K65" s="1459">
        <v>82</v>
      </c>
      <c r="L65" s="1459">
        <v>119</v>
      </c>
      <c r="M65" s="1459">
        <v>58</v>
      </c>
      <c r="N65" s="621">
        <v>56</v>
      </c>
      <c r="O65" s="1459">
        <v>40</v>
      </c>
      <c r="P65" s="1459">
        <v>78</v>
      </c>
      <c r="Q65" s="1459">
        <v>132</v>
      </c>
      <c r="R65" s="1459">
        <v>154</v>
      </c>
      <c r="S65" s="1459">
        <v>76</v>
      </c>
      <c r="T65" s="1459">
        <v>59</v>
      </c>
      <c r="U65" s="620">
        <v>24</v>
      </c>
      <c r="V65" s="1459">
        <v>109</v>
      </c>
      <c r="W65" s="1459">
        <v>16</v>
      </c>
      <c r="X65" s="1468">
        <v>14</v>
      </c>
      <c r="Y65" s="1460">
        <v>1780</v>
      </c>
      <c r="Z65" s="617">
        <v>14100</v>
      </c>
    </row>
    <row r="66" spans="1:26" s="556" customFormat="1" ht="13.5" customHeight="1" x14ac:dyDescent="0.2">
      <c r="A66" s="622">
        <v>61</v>
      </c>
      <c r="B66" s="836" t="s">
        <v>579</v>
      </c>
      <c r="C66" s="620">
        <v>64</v>
      </c>
      <c r="D66" s="1459">
        <v>164</v>
      </c>
      <c r="E66" s="1459">
        <v>206</v>
      </c>
      <c r="F66" s="1459">
        <v>229</v>
      </c>
      <c r="G66" s="1459">
        <v>641</v>
      </c>
      <c r="H66" s="1459">
        <v>91</v>
      </c>
      <c r="I66" s="1459">
        <v>692</v>
      </c>
      <c r="J66" s="1459">
        <v>171</v>
      </c>
      <c r="K66" s="1459">
        <v>158</v>
      </c>
      <c r="L66" s="1459">
        <v>284</v>
      </c>
      <c r="M66" s="1459">
        <v>173</v>
      </c>
      <c r="N66" s="621">
        <v>104</v>
      </c>
      <c r="O66" s="1459">
        <v>73</v>
      </c>
      <c r="P66" s="1459">
        <v>223</v>
      </c>
      <c r="Q66" s="1459">
        <v>205</v>
      </c>
      <c r="R66" s="1459">
        <v>375</v>
      </c>
      <c r="S66" s="1459">
        <v>121</v>
      </c>
      <c r="T66" s="1459">
        <v>141</v>
      </c>
      <c r="U66" s="620">
        <v>66</v>
      </c>
      <c r="V66" s="1459">
        <v>265</v>
      </c>
      <c r="W66" s="1459">
        <v>45</v>
      </c>
      <c r="X66" s="1468">
        <v>39</v>
      </c>
      <c r="Y66" s="1460">
        <v>4050</v>
      </c>
      <c r="Z66" s="617">
        <v>28540</v>
      </c>
    </row>
    <row r="67" spans="1:26" s="556" customFormat="1" ht="13.5" customHeight="1" x14ac:dyDescent="0.2">
      <c r="A67" s="622">
        <v>62</v>
      </c>
      <c r="B67" s="836" t="s">
        <v>580</v>
      </c>
      <c r="C67" s="620">
        <v>35</v>
      </c>
      <c r="D67" s="1459">
        <v>117</v>
      </c>
      <c r="E67" s="1459">
        <v>122</v>
      </c>
      <c r="F67" s="1459">
        <v>137</v>
      </c>
      <c r="G67" s="1459">
        <v>356</v>
      </c>
      <c r="H67" s="1459">
        <v>40</v>
      </c>
      <c r="I67" s="1459">
        <v>540</v>
      </c>
      <c r="J67" s="1459">
        <v>73</v>
      </c>
      <c r="K67" s="1459">
        <v>73</v>
      </c>
      <c r="L67" s="1459">
        <v>171</v>
      </c>
      <c r="M67" s="1459">
        <v>121</v>
      </c>
      <c r="N67" s="621">
        <v>52</v>
      </c>
      <c r="O67" s="1459">
        <v>55</v>
      </c>
      <c r="P67" s="1459">
        <v>131</v>
      </c>
      <c r="Q67" s="1459">
        <v>81</v>
      </c>
      <c r="R67" s="1459">
        <v>274</v>
      </c>
      <c r="S67" s="1459">
        <v>81</v>
      </c>
      <c r="T67" s="1459">
        <v>58</v>
      </c>
      <c r="U67" s="620">
        <v>38</v>
      </c>
      <c r="V67" s="1459">
        <v>204</v>
      </c>
      <c r="W67" s="1459">
        <v>33</v>
      </c>
      <c r="X67" s="1468">
        <v>36</v>
      </c>
      <c r="Y67" s="1460">
        <v>2560</v>
      </c>
      <c r="Z67" s="617">
        <v>17040</v>
      </c>
    </row>
    <row r="68" spans="1:26" s="556" customFormat="1" ht="13.5" customHeight="1" x14ac:dyDescent="0.2">
      <c r="A68" s="622">
        <v>63</v>
      </c>
      <c r="B68" s="832" t="s">
        <v>359</v>
      </c>
      <c r="C68" s="620">
        <v>103</v>
      </c>
      <c r="D68" s="620">
        <v>301</v>
      </c>
      <c r="E68" s="620">
        <v>353</v>
      </c>
      <c r="F68" s="620">
        <v>466</v>
      </c>
      <c r="G68" s="620">
        <v>1238</v>
      </c>
      <c r="H68" s="620">
        <v>186</v>
      </c>
      <c r="I68" s="620">
        <v>1105</v>
      </c>
      <c r="J68" s="620">
        <v>341</v>
      </c>
      <c r="K68" s="620">
        <v>318</v>
      </c>
      <c r="L68" s="620">
        <v>514</v>
      </c>
      <c r="M68" s="620">
        <v>294</v>
      </c>
      <c r="N68" s="620">
        <v>226</v>
      </c>
      <c r="O68" s="620">
        <v>151</v>
      </c>
      <c r="P68" s="620">
        <v>391</v>
      </c>
      <c r="Q68" s="620">
        <v>441</v>
      </c>
      <c r="R68" s="620">
        <v>654</v>
      </c>
      <c r="S68" s="620">
        <v>279</v>
      </c>
      <c r="T68" s="620">
        <v>269</v>
      </c>
      <c r="U68" s="620">
        <v>90</v>
      </c>
      <c r="V68" s="620">
        <v>500</v>
      </c>
      <c r="W68" s="620">
        <v>61</v>
      </c>
      <c r="X68" s="620">
        <v>70</v>
      </c>
      <c r="Y68" s="1555">
        <v>7450</v>
      </c>
      <c r="Z68" s="1556">
        <v>55630</v>
      </c>
    </row>
    <row r="69" spans="1:26" s="556" customFormat="1" ht="13.5" customHeight="1" x14ac:dyDescent="0.2">
      <c r="A69" s="622">
        <v>64</v>
      </c>
      <c r="B69" s="832" t="s">
        <v>360</v>
      </c>
      <c r="C69" s="620">
        <v>25</v>
      </c>
      <c r="D69" s="1459">
        <v>122</v>
      </c>
      <c r="E69" s="1459">
        <v>141</v>
      </c>
      <c r="F69" s="1459">
        <v>207</v>
      </c>
      <c r="G69" s="1459">
        <v>507</v>
      </c>
      <c r="H69" s="1459">
        <v>65</v>
      </c>
      <c r="I69" s="1459">
        <v>566</v>
      </c>
      <c r="J69" s="1459">
        <v>167</v>
      </c>
      <c r="K69" s="1459">
        <v>128</v>
      </c>
      <c r="L69" s="1459">
        <v>162</v>
      </c>
      <c r="M69" s="1459">
        <v>119</v>
      </c>
      <c r="N69" s="621">
        <v>84</v>
      </c>
      <c r="O69" s="1459">
        <v>46</v>
      </c>
      <c r="P69" s="1459">
        <v>163</v>
      </c>
      <c r="Q69" s="1459">
        <v>234</v>
      </c>
      <c r="R69" s="1459">
        <v>244</v>
      </c>
      <c r="S69" s="1459">
        <v>67</v>
      </c>
      <c r="T69" s="1459">
        <v>132</v>
      </c>
      <c r="U69" s="620">
        <v>55</v>
      </c>
      <c r="V69" s="1459">
        <v>156</v>
      </c>
      <c r="W69" s="1459">
        <v>31</v>
      </c>
      <c r="X69" s="1468">
        <v>20</v>
      </c>
      <c r="Y69" s="1460">
        <v>3080</v>
      </c>
      <c r="Z69" s="617">
        <v>24680</v>
      </c>
    </row>
    <row r="70" spans="1:26" s="556" customFormat="1" ht="13.5" customHeight="1" x14ac:dyDescent="0.2">
      <c r="A70" s="622">
        <v>65</v>
      </c>
      <c r="B70" s="832" t="s">
        <v>361</v>
      </c>
      <c r="C70" s="1458">
        <v>14</v>
      </c>
      <c r="D70" s="1459">
        <v>84</v>
      </c>
      <c r="E70" s="1459">
        <v>99</v>
      </c>
      <c r="F70" s="1459">
        <v>146</v>
      </c>
      <c r="G70" s="1459">
        <v>367</v>
      </c>
      <c r="H70" s="1459">
        <v>48</v>
      </c>
      <c r="I70" s="1459">
        <v>384</v>
      </c>
      <c r="J70" s="1459">
        <v>112</v>
      </c>
      <c r="K70" s="1459">
        <v>73</v>
      </c>
      <c r="L70" s="1459">
        <v>106</v>
      </c>
      <c r="M70" s="1459">
        <v>74</v>
      </c>
      <c r="N70" s="621">
        <v>53</v>
      </c>
      <c r="O70" s="1459">
        <v>33</v>
      </c>
      <c r="P70" s="1459">
        <v>101</v>
      </c>
      <c r="Q70" s="1459">
        <v>166</v>
      </c>
      <c r="R70" s="1459">
        <v>164</v>
      </c>
      <c r="S70" s="1459">
        <v>41</v>
      </c>
      <c r="T70" s="1459">
        <v>75</v>
      </c>
      <c r="U70" s="620">
        <v>35</v>
      </c>
      <c r="V70" s="1459">
        <v>109</v>
      </c>
      <c r="W70" s="1459">
        <v>22</v>
      </c>
      <c r="X70" s="1468">
        <v>15</v>
      </c>
      <c r="Y70" s="1460">
        <v>2100</v>
      </c>
      <c r="Z70" s="617">
        <v>17230</v>
      </c>
    </row>
    <row r="71" spans="1:26" s="556" customFormat="1" ht="13.5" customHeight="1" x14ac:dyDescent="0.2">
      <c r="A71" s="622">
        <v>66</v>
      </c>
      <c r="B71" s="832" t="s">
        <v>569</v>
      </c>
      <c r="C71" s="620" t="s">
        <v>1281</v>
      </c>
      <c r="D71" s="1459">
        <v>30</v>
      </c>
      <c r="E71" s="1459">
        <v>35</v>
      </c>
      <c r="F71" s="1459">
        <v>20</v>
      </c>
      <c r="G71" s="1459">
        <v>113</v>
      </c>
      <c r="H71" s="1459">
        <v>7</v>
      </c>
      <c r="I71" s="1459">
        <v>234</v>
      </c>
      <c r="J71" s="1459" t="s">
        <v>1281</v>
      </c>
      <c r="K71" s="1459">
        <v>30</v>
      </c>
      <c r="L71" s="1459">
        <v>57</v>
      </c>
      <c r="M71" s="1459">
        <v>72</v>
      </c>
      <c r="N71" s="621">
        <v>9</v>
      </c>
      <c r="O71" s="1459">
        <v>8</v>
      </c>
      <c r="P71" s="1459">
        <v>28</v>
      </c>
      <c r="Q71" s="1459">
        <v>15</v>
      </c>
      <c r="R71" s="1459">
        <v>111</v>
      </c>
      <c r="S71" s="1459">
        <v>26</v>
      </c>
      <c r="T71" s="1459" t="s">
        <v>1281</v>
      </c>
      <c r="U71" s="620">
        <v>16</v>
      </c>
      <c r="V71" s="1459">
        <v>69</v>
      </c>
      <c r="W71" s="1459">
        <v>7</v>
      </c>
      <c r="X71" s="1468">
        <v>14</v>
      </c>
      <c r="Y71" s="1460">
        <v>850</v>
      </c>
      <c r="Z71" s="617">
        <v>4550</v>
      </c>
    </row>
    <row r="72" spans="1:26" s="556" customFormat="1" ht="13.5" customHeight="1" x14ac:dyDescent="0.2">
      <c r="A72" s="622">
        <v>67</v>
      </c>
      <c r="B72" s="832" t="s">
        <v>536</v>
      </c>
      <c r="C72" s="620">
        <v>19</v>
      </c>
      <c r="D72" s="1459">
        <v>40</v>
      </c>
      <c r="E72" s="1459">
        <v>28</v>
      </c>
      <c r="F72" s="1459">
        <v>67</v>
      </c>
      <c r="G72" s="1459">
        <v>262</v>
      </c>
      <c r="H72" s="1459">
        <v>41</v>
      </c>
      <c r="I72" s="1459">
        <v>193</v>
      </c>
      <c r="J72" s="1459">
        <v>41</v>
      </c>
      <c r="K72" s="1459">
        <v>44</v>
      </c>
      <c r="L72" s="1459">
        <v>77</v>
      </c>
      <c r="M72" s="1459">
        <v>60</v>
      </c>
      <c r="N72" s="621">
        <v>32</v>
      </c>
      <c r="O72" s="1459">
        <v>33</v>
      </c>
      <c r="P72" s="1459">
        <v>80</v>
      </c>
      <c r="Q72" s="1459">
        <v>50</v>
      </c>
      <c r="R72" s="1459">
        <v>71</v>
      </c>
      <c r="S72" s="1459">
        <v>44</v>
      </c>
      <c r="T72" s="1459">
        <v>83</v>
      </c>
      <c r="U72" s="620">
        <v>8</v>
      </c>
      <c r="V72" s="1459">
        <v>99</v>
      </c>
      <c r="W72" s="1459">
        <v>14</v>
      </c>
      <c r="X72" s="1468">
        <v>14</v>
      </c>
      <c r="Y72" s="1460">
        <v>1190</v>
      </c>
      <c r="Z72" s="617">
        <v>7890</v>
      </c>
    </row>
    <row r="73" spans="1:26" s="556" customFormat="1" ht="13.5" customHeight="1" x14ac:dyDescent="0.2">
      <c r="A73" s="622">
        <v>68</v>
      </c>
      <c r="B73" s="832" t="s">
        <v>562</v>
      </c>
      <c r="C73" s="1469"/>
      <c r="D73" s="1470"/>
      <c r="E73" s="1470"/>
      <c r="F73" s="1470"/>
      <c r="G73" s="1470"/>
      <c r="H73" s="1470"/>
      <c r="I73" s="1470"/>
      <c r="J73" s="1470"/>
      <c r="K73" s="1470"/>
      <c r="L73" s="1470"/>
      <c r="M73" s="1470"/>
      <c r="N73" s="1474"/>
      <c r="O73" s="1470"/>
      <c r="P73" s="1470"/>
      <c r="Q73" s="1470"/>
      <c r="R73" s="1470"/>
      <c r="S73" s="1470"/>
      <c r="T73" s="1470"/>
      <c r="U73" s="1469"/>
      <c r="V73" s="1470"/>
      <c r="W73" s="1470"/>
      <c r="X73" s="1471"/>
      <c r="Y73" s="1472"/>
      <c r="Z73" s="1473"/>
    </row>
    <row r="74" spans="1:26" s="556" customFormat="1" ht="13.5" customHeight="1" x14ac:dyDescent="0.2">
      <c r="A74" s="622">
        <v>69</v>
      </c>
      <c r="B74" s="832" t="s">
        <v>563</v>
      </c>
      <c r="C74" s="1469"/>
      <c r="D74" s="1470"/>
      <c r="E74" s="1470"/>
      <c r="F74" s="1470"/>
      <c r="G74" s="1470"/>
      <c r="H74" s="1470"/>
      <c r="I74" s="1470"/>
      <c r="J74" s="1470"/>
      <c r="K74" s="1470"/>
      <c r="L74" s="1470"/>
      <c r="M74" s="1470"/>
      <c r="N74" s="1474"/>
      <c r="O74" s="1470"/>
      <c r="P74" s="1470"/>
      <c r="Q74" s="1470"/>
      <c r="R74" s="1470"/>
      <c r="S74" s="1470"/>
      <c r="T74" s="1470"/>
      <c r="U74" s="1469"/>
      <c r="V74" s="1470"/>
      <c r="W74" s="1470"/>
      <c r="X74" s="1471"/>
      <c r="Y74" s="1472"/>
      <c r="Z74" s="1473"/>
    </row>
    <row r="75" spans="1:26" s="556" customFormat="1" ht="13.5" customHeight="1" x14ac:dyDescent="0.2">
      <c r="A75" s="622">
        <v>70</v>
      </c>
      <c r="B75" s="832" t="s">
        <v>537</v>
      </c>
      <c r="C75" s="620">
        <v>84</v>
      </c>
      <c r="D75" s="1459">
        <v>140</v>
      </c>
      <c r="E75" s="1459">
        <v>193</v>
      </c>
      <c r="F75" s="1459">
        <v>203</v>
      </c>
      <c r="G75" s="1459">
        <v>629</v>
      </c>
      <c r="H75" s="1459">
        <v>76</v>
      </c>
      <c r="I75" s="1459">
        <v>768</v>
      </c>
      <c r="J75" s="1459">
        <v>175</v>
      </c>
      <c r="K75" s="1459">
        <v>140</v>
      </c>
      <c r="L75" s="1459">
        <v>303</v>
      </c>
      <c r="M75" s="1459">
        <v>237</v>
      </c>
      <c r="N75" s="1457">
        <v>107</v>
      </c>
      <c r="O75" s="1459">
        <v>125</v>
      </c>
      <c r="P75" s="1459">
        <v>258</v>
      </c>
      <c r="Q75" s="1459">
        <v>178</v>
      </c>
      <c r="R75" s="1459">
        <v>456</v>
      </c>
      <c r="S75" s="1459">
        <v>178</v>
      </c>
      <c r="T75" s="1459">
        <v>138</v>
      </c>
      <c r="U75" s="1458">
        <v>68</v>
      </c>
      <c r="V75" s="1459">
        <v>378</v>
      </c>
      <c r="W75" s="1459">
        <v>46</v>
      </c>
      <c r="X75" s="1468">
        <v>66</v>
      </c>
      <c r="Y75" s="1460">
        <v>4370</v>
      </c>
      <c r="Z75" s="617">
        <v>32190</v>
      </c>
    </row>
    <row r="76" spans="1:26" s="556" customFormat="1" ht="13.5" customHeight="1" x14ac:dyDescent="0.2">
      <c r="A76" s="622">
        <v>71</v>
      </c>
      <c r="B76" s="832" t="s">
        <v>538</v>
      </c>
      <c r="C76" s="1477"/>
      <c r="D76" s="1478"/>
      <c r="E76" s="1478"/>
      <c r="F76" s="1478"/>
      <c r="G76" s="1478"/>
      <c r="H76" s="1478"/>
      <c r="I76" s="1478"/>
      <c r="J76" s="1478"/>
      <c r="K76" s="1478"/>
      <c r="L76" s="1478"/>
      <c r="M76" s="1478"/>
      <c r="N76" s="1479"/>
      <c r="O76" s="1478"/>
      <c r="P76" s="1478"/>
      <c r="Q76" s="1478"/>
      <c r="R76" s="1478"/>
      <c r="S76" s="1478"/>
      <c r="T76" s="1478"/>
      <c r="U76" s="1477"/>
      <c r="V76" s="1478"/>
      <c r="W76" s="1478"/>
      <c r="X76" s="1480"/>
      <c r="Y76" s="1481"/>
      <c r="Z76" s="1482"/>
    </row>
    <row r="77" spans="1:26" s="556" customFormat="1" ht="13.5" customHeight="1" x14ac:dyDescent="0.2">
      <c r="A77" s="622">
        <v>72</v>
      </c>
      <c r="B77" s="832" t="s">
        <v>539</v>
      </c>
      <c r="C77" s="1477"/>
      <c r="D77" s="1478"/>
      <c r="E77" s="1478"/>
      <c r="F77" s="1478"/>
      <c r="G77" s="1478"/>
      <c r="H77" s="1478"/>
      <c r="I77" s="1478"/>
      <c r="J77" s="1478"/>
      <c r="K77" s="1478"/>
      <c r="L77" s="1478"/>
      <c r="M77" s="1478"/>
      <c r="N77" s="1479"/>
      <c r="O77" s="1478"/>
      <c r="P77" s="1478"/>
      <c r="Q77" s="1478"/>
      <c r="R77" s="1478"/>
      <c r="S77" s="1478"/>
      <c r="T77" s="1478"/>
      <c r="U77" s="1477"/>
      <c r="V77" s="1478"/>
      <c r="W77" s="1478"/>
      <c r="X77" s="1480"/>
      <c r="Y77" s="1481"/>
      <c r="Z77" s="1482"/>
    </row>
    <row r="78" spans="1:26" s="556" customFormat="1" ht="13.5" customHeight="1" x14ac:dyDescent="0.2">
      <c r="A78" s="622">
        <v>73</v>
      </c>
      <c r="B78" s="832" t="s">
        <v>592</v>
      </c>
      <c r="C78" s="1464" t="s">
        <v>73</v>
      </c>
      <c r="D78" s="1459">
        <v>19</v>
      </c>
      <c r="E78" s="1459">
        <v>9</v>
      </c>
      <c r="F78" s="1459">
        <v>26</v>
      </c>
      <c r="G78" s="1459">
        <v>55</v>
      </c>
      <c r="H78" s="1459" t="s">
        <v>73</v>
      </c>
      <c r="I78" s="1459">
        <v>56</v>
      </c>
      <c r="J78" s="1459">
        <v>23</v>
      </c>
      <c r="K78" s="1459" t="s">
        <v>73</v>
      </c>
      <c r="L78" s="1459">
        <v>19</v>
      </c>
      <c r="M78" s="1459" t="s">
        <v>73</v>
      </c>
      <c r="N78" s="621">
        <v>12</v>
      </c>
      <c r="O78" s="1459">
        <v>8</v>
      </c>
      <c r="P78" s="1459" t="s">
        <v>73</v>
      </c>
      <c r="Q78" s="1459">
        <v>28</v>
      </c>
      <c r="R78" s="1459">
        <v>14</v>
      </c>
      <c r="S78" s="1459" t="s">
        <v>73</v>
      </c>
      <c r="T78" s="1459">
        <v>7</v>
      </c>
      <c r="U78" s="620" t="s">
        <v>73</v>
      </c>
      <c r="V78" s="1459">
        <v>41</v>
      </c>
      <c r="W78" s="1459" t="s">
        <v>73</v>
      </c>
      <c r="X78" s="1468" t="s">
        <v>73</v>
      </c>
      <c r="Y78" s="1460">
        <v>340</v>
      </c>
      <c r="Z78" s="617">
        <v>2230</v>
      </c>
    </row>
    <row r="79" spans="1:26" s="556" customFormat="1" ht="13.5" customHeight="1" x14ac:dyDescent="0.2">
      <c r="A79" s="622">
        <v>74</v>
      </c>
      <c r="B79" s="832" t="s">
        <v>362</v>
      </c>
      <c r="C79" s="1458">
        <v>67</v>
      </c>
      <c r="D79" s="1459">
        <v>176</v>
      </c>
      <c r="E79" s="1459">
        <v>180</v>
      </c>
      <c r="F79" s="1459">
        <v>162</v>
      </c>
      <c r="G79" s="1459">
        <v>486</v>
      </c>
      <c r="H79" s="1459">
        <v>82</v>
      </c>
      <c r="I79" s="1459">
        <v>1049</v>
      </c>
      <c r="J79" s="1459">
        <v>159</v>
      </c>
      <c r="K79" s="1459">
        <v>145</v>
      </c>
      <c r="L79" s="1459">
        <v>298</v>
      </c>
      <c r="M79" s="1459">
        <v>186</v>
      </c>
      <c r="N79" s="621">
        <v>92</v>
      </c>
      <c r="O79" s="1459">
        <v>112</v>
      </c>
      <c r="P79" s="1459">
        <v>223</v>
      </c>
      <c r="Q79" s="1459">
        <v>197</v>
      </c>
      <c r="R79" s="1459">
        <v>409</v>
      </c>
      <c r="S79" s="1459">
        <v>155</v>
      </c>
      <c r="T79" s="1459">
        <v>102</v>
      </c>
      <c r="U79" s="620">
        <v>86</v>
      </c>
      <c r="V79" s="1459">
        <v>338</v>
      </c>
      <c r="W79" s="1459">
        <v>49</v>
      </c>
      <c r="X79" s="1468">
        <v>36</v>
      </c>
      <c r="Y79" s="1460">
        <v>4310</v>
      </c>
      <c r="Z79" s="617">
        <v>30050</v>
      </c>
    </row>
    <row r="80" spans="1:26" s="556" customFormat="1" ht="13.5" customHeight="1" x14ac:dyDescent="0.2">
      <c r="A80" s="622">
        <v>75</v>
      </c>
      <c r="B80" s="832" t="s">
        <v>1222</v>
      </c>
      <c r="C80" s="1458"/>
      <c r="D80" s="1459"/>
      <c r="E80" s="1459"/>
      <c r="F80" s="1459"/>
      <c r="G80" s="1459"/>
      <c r="H80" s="1459"/>
      <c r="I80" s="1459"/>
      <c r="J80" s="1459"/>
      <c r="K80" s="1459"/>
      <c r="L80" s="1459"/>
      <c r="M80" s="1459"/>
      <c r="N80" s="621"/>
      <c r="O80" s="1459"/>
      <c r="P80" s="1459"/>
      <c r="Q80" s="1459"/>
      <c r="R80" s="1459"/>
      <c r="S80" s="1459"/>
      <c r="T80" s="1459"/>
      <c r="U80" s="620"/>
      <c r="V80" s="1459"/>
      <c r="W80" s="1459"/>
      <c r="X80" s="1459"/>
      <c r="Y80" s="1460"/>
      <c r="Z80" s="617"/>
    </row>
    <row r="81" spans="1:26" s="556" customFormat="1" ht="13.5" customHeight="1" x14ac:dyDescent="0.2">
      <c r="A81" s="622">
        <v>76</v>
      </c>
      <c r="B81" s="832" t="s">
        <v>1223</v>
      </c>
      <c r="C81" s="1066">
        <v>18</v>
      </c>
      <c r="D81" s="1066">
        <v>68</v>
      </c>
      <c r="E81" s="1066">
        <v>47</v>
      </c>
      <c r="F81" s="1066">
        <v>56</v>
      </c>
      <c r="G81" s="1066">
        <v>146</v>
      </c>
      <c r="H81" s="1066">
        <v>28</v>
      </c>
      <c r="I81" s="1066">
        <v>430</v>
      </c>
      <c r="J81" s="1066">
        <v>41</v>
      </c>
      <c r="K81" s="1066">
        <v>46</v>
      </c>
      <c r="L81" s="1066">
        <v>90</v>
      </c>
      <c r="M81" s="1066">
        <v>50</v>
      </c>
      <c r="N81" s="1066">
        <v>35</v>
      </c>
      <c r="O81" s="1066">
        <v>28</v>
      </c>
      <c r="P81" s="1066">
        <v>58</v>
      </c>
      <c r="Q81" s="1066">
        <v>33</v>
      </c>
      <c r="R81" s="1066">
        <v>171</v>
      </c>
      <c r="S81" s="1066">
        <v>37</v>
      </c>
      <c r="T81" s="1066" t="s">
        <v>73</v>
      </c>
      <c r="U81" s="1066">
        <v>23</v>
      </c>
      <c r="V81" s="1066">
        <v>105</v>
      </c>
      <c r="W81" s="1066">
        <v>20</v>
      </c>
      <c r="X81" s="1066">
        <v>15</v>
      </c>
      <c r="Y81" s="1456">
        <v>1450</v>
      </c>
      <c r="Z81" s="1067">
        <v>9260</v>
      </c>
    </row>
    <row r="82" spans="1:26" s="556" customFormat="1" ht="13.5" customHeight="1" x14ac:dyDescent="0.2">
      <c r="A82" s="622">
        <v>77</v>
      </c>
      <c r="B82" s="832" t="s">
        <v>363</v>
      </c>
      <c r="C82" s="1464" t="s">
        <v>73</v>
      </c>
      <c r="D82" s="1459">
        <v>32</v>
      </c>
      <c r="E82" s="1459">
        <v>23</v>
      </c>
      <c r="F82" s="1459">
        <v>32</v>
      </c>
      <c r="G82" s="1459">
        <v>55</v>
      </c>
      <c r="H82" s="1459">
        <v>13</v>
      </c>
      <c r="I82" s="1459">
        <v>104</v>
      </c>
      <c r="J82" s="1459">
        <v>35</v>
      </c>
      <c r="K82" s="1459">
        <v>9</v>
      </c>
      <c r="L82" s="1459">
        <v>36</v>
      </c>
      <c r="M82" s="1459">
        <v>30</v>
      </c>
      <c r="N82" s="1465">
        <v>13</v>
      </c>
      <c r="O82" s="1459">
        <v>13</v>
      </c>
      <c r="P82" s="1459">
        <v>31</v>
      </c>
      <c r="Q82" s="1459">
        <v>54</v>
      </c>
      <c r="R82" s="1459">
        <v>33</v>
      </c>
      <c r="S82" s="1459">
        <v>16</v>
      </c>
      <c r="T82" s="1459">
        <v>20</v>
      </c>
      <c r="U82" s="1464" t="s">
        <v>73</v>
      </c>
      <c r="V82" s="1459">
        <v>35</v>
      </c>
      <c r="W82" s="1459" t="s">
        <v>73</v>
      </c>
      <c r="X82" s="1468" t="s">
        <v>73</v>
      </c>
      <c r="Y82" s="1460">
        <v>530</v>
      </c>
      <c r="Z82" s="617">
        <v>3850</v>
      </c>
    </row>
    <row r="83" spans="1:26" s="556" customFormat="1" ht="13.5" customHeight="1" x14ac:dyDescent="0.2">
      <c r="A83" s="622">
        <v>78</v>
      </c>
      <c r="B83" s="832" t="s">
        <v>364</v>
      </c>
      <c r="C83" s="1459" t="s">
        <v>73</v>
      </c>
      <c r="D83" s="1459">
        <f t="shared" ref="D83:V83" si="2">D82*D109</f>
        <v>12832</v>
      </c>
      <c r="E83" s="1459">
        <f t="shared" si="2"/>
        <v>8027</v>
      </c>
      <c r="F83" s="1459">
        <f t="shared" si="2"/>
        <v>13888</v>
      </c>
      <c r="G83" s="1459">
        <f t="shared" si="2"/>
        <v>21340</v>
      </c>
      <c r="H83" s="1459">
        <f t="shared" si="2"/>
        <v>3874</v>
      </c>
      <c r="I83" s="1459">
        <f t="shared" si="2"/>
        <v>31304</v>
      </c>
      <c r="J83" s="1459">
        <f t="shared" si="2"/>
        <v>12705</v>
      </c>
      <c r="K83" s="1459" t="s">
        <v>73</v>
      </c>
      <c r="L83" s="1459">
        <f t="shared" si="2"/>
        <v>12744</v>
      </c>
      <c r="M83" s="1459">
        <f t="shared" si="2"/>
        <v>9780</v>
      </c>
      <c r="N83" s="1459">
        <f t="shared" si="2"/>
        <v>8593</v>
      </c>
      <c r="O83" s="1459">
        <f t="shared" si="2"/>
        <v>4589</v>
      </c>
      <c r="P83" s="1459">
        <f t="shared" si="2"/>
        <v>9486</v>
      </c>
      <c r="Q83" s="1459">
        <f t="shared" si="2"/>
        <v>20196</v>
      </c>
      <c r="R83" s="1459">
        <f t="shared" si="2"/>
        <v>12606</v>
      </c>
      <c r="S83" s="1459">
        <f t="shared" si="2"/>
        <v>4368</v>
      </c>
      <c r="T83" s="1459">
        <f t="shared" si="2"/>
        <v>7980</v>
      </c>
      <c r="U83" s="1459" t="s">
        <v>73</v>
      </c>
      <c r="V83" s="1459">
        <f t="shared" si="2"/>
        <v>14455</v>
      </c>
      <c r="W83" s="1459" t="s">
        <v>73</v>
      </c>
      <c r="X83" s="1459" t="s">
        <v>73</v>
      </c>
      <c r="Y83" s="1456">
        <f>SUM(C83:O83,Q83:R83,U83:X83)</f>
        <v>186933</v>
      </c>
      <c r="Z83" s="1459">
        <f>Z82*Z109</f>
        <v>1389850</v>
      </c>
    </row>
    <row r="84" spans="1:26" s="556" customFormat="1" ht="13.5" customHeight="1" x14ac:dyDescent="0.2">
      <c r="A84" s="622">
        <v>79</v>
      </c>
      <c r="B84" s="832" t="s">
        <v>365</v>
      </c>
      <c r="C84" s="1459"/>
      <c r="D84" s="1459"/>
      <c r="E84" s="1459"/>
      <c r="F84" s="1459"/>
      <c r="G84" s="1459"/>
      <c r="H84" s="1459"/>
      <c r="I84" s="1459"/>
      <c r="J84" s="1459"/>
      <c r="K84" s="1459"/>
      <c r="L84" s="1459"/>
      <c r="M84" s="1459"/>
      <c r="N84" s="1459"/>
      <c r="O84" s="1459"/>
      <c r="P84" s="1459"/>
      <c r="Q84" s="1459"/>
      <c r="R84" s="1459"/>
      <c r="S84" s="1459"/>
      <c r="T84" s="1459"/>
      <c r="U84" s="1459"/>
      <c r="V84" s="1459"/>
      <c r="W84" s="1459"/>
      <c r="X84" s="1459"/>
      <c r="Y84" s="1460"/>
      <c r="Z84" s="617"/>
    </row>
    <row r="85" spans="1:26" s="556" customFormat="1" ht="13.5" customHeight="1" x14ac:dyDescent="0.2">
      <c r="A85" s="622">
        <v>80</v>
      </c>
      <c r="B85" s="832" t="s">
        <v>1224</v>
      </c>
      <c r="C85" s="1066"/>
      <c r="D85" s="1066"/>
      <c r="E85" s="1066"/>
      <c r="F85" s="1066"/>
      <c r="G85" s="1066"/>
      <c r="H85" s="1066"/>
      <c r="I85" s="1066"/>
      <c r="J85" s="1066"/>
      <c r="K85" s="1066"/>
      <c r="L85" s="1066"/>
      <c r="M85" s="1066"/>
      <c r="N85" s="1066"/>
      <c r="O85" s="1066"/>
      <c r="P85" s="1066"/>
      <c r="Q85" s="1066"/>
      <c r="R85" s="1066"/>
      <c r="S85" s="1066"/>
      <c r="T85" s="1066"/>
      <c r="U85" s="1066"/>
      <c r="V85" s="1066"/>
      <c r="W85" s="1066"/>
      <c r="X85" s="1066"/>
      <c r="Y85" s="1456"/>
      <c r="Z85" s="1067"/>
    </row>
    <row r="86" spans="1:26" s="556" customFormat="1" ht="13.5" customHeight="1" x14ac:dyDescent="0.2">
      <c r="A86" s="622">
        <v>81</v>
      </c>
      <c r="B86" s="832" t="s">
        <v>532</v>
      </c>
      <c r="C86" s="1066">
        <v>42</v>
      </c>
      <c r="D86" s="1066">
        <v>195</v>
      </c>
      <c r="E86" s="1066">
        <v>199</v>
      </c>
      <c r="F86" s="1066">
        <v>154</v>
      </c>
      <c r="G86" s="1066">
        <v>530</v>
      </c>
      <c r="H86" s="1066">
        <v>89</v>
      </c>
      <c r="I86" s="1066">
        <v>1349</v>
      </c>
      <c r="J86" s="1066">
        <v>112</v>
      </c>
      <c r="K86" s="1066">
        <v>149</v>
      </c>
      <c r="L86" s="1066">
        <v>242</v>
      </c>
      <c r="M86" s="1066">
        <v>115</v>
      </c>
      <c r="N86" s="1066">
        <v>87</v>
      </c>
      <c r="O86" s="1066">
        <v>89</v>
      </c>
      <c r="P86" s="1066">
        <v>201</v>
      </c>
      <c r="Q86" s="1066">
        <v>124</v>
      </c>
      <c r="R86" s="1066">
        <v>418</v>
      </c>
      <c r="S86" s="1066">
        <v>124</v>
      </c>
      <c r="T86" s="1066">
        <v>107</v>
      </c>
      <c r="U86" s="1066">
        <v>78</v>
      </c>
      <c r="V86" s="1066">
        <v>348</v>
      </c>
      <c r="W86" s="1066">
        <v>48</v>
      </c>
      <c r="X86" s="1066">
        <v>28</v>
      </c>
      <c r="Y86" s="1456">
        <v>4400</v>
      </c>
      <c r="Z86" s="1067">
        <v>28510</v>
      </c>
    </row>
    <row r="87" spans="1:26" s="556" customFormat="1" ht="13.5" customHeight="1" x14ac:dyDescent="0.2">
      <c r="A87" s="622">
        <v>82</v>
      </c>
      <c r="B87" s="832" t="s">
        <v>533</v>
      </c>
      <c r="C87" s="1066">
        <v>42</v>
      </c>
      <c r="D87" s="1066" t="s">
        <v>73</v>
      </c>
      <c r="E87" s="1066">
        <v>157</v>
      </c>
      <c r="F87" s="1066">
        <v>122</v>
      </c>
      <c r="G87" s="1066">
        <v>425</v>
      </c>
      <c r="H87" s="1066" t="s">
        <v>73</v>
      </c>
      <c r="I87" s="1066">
        <v>1100</v>
      </c>
      <c r="J87" s="1066" t="s">
        <v>73</v>
      </c>
      <c r="K87" s="1066">
        <v>129</v>
      </c>
      <c r="L87" s="1066">
        <v>198</v>
      </c>
      <c r="M87" s="1066">
        <v>88</v>
      </c>
      <c r="N87" s="1066">
        <v>73</v>
      </c>
      <c r="O87" s="1066">
        <v>74</v>
      </c>
      <c r="P87" s="1066" t="s">
        <v>73</v>
      </c>
      <c r="Q87" s="1066">
        <v>107</v>
      </c>
      <c r="R87" s="1066">
        <v>351</v>
      </c>
      <c r="S87" s="1066">
        <v>124</v>
      </c>
      <c r="T87" s="1066" t="s">
        <v>73</v>
      </c>
      <c r="U87" s="1066">
        <v>58</v>
      </c>
      <c r="V87" s="1066">
        <v>323</v>
      </c>
      <c r="W87" s="1066">
        <v>40</v>
      </c>
      <c r="X87" s="1066" t="s">
        <v>73</v>
      </c>
      <c r="Y87" s="1456">
        <v>3700</v>
      </c>
      <c r="Z87" s="1067">
        <v>25130</v>
      </c>
    </row>
    <row r="88" spans="1:26" s="556" customFormat="1" ht="13.5" customHeight="1" x14ac:dyDescent="0.2">
      <c r="A88" s="622">
        <v>83</v>
      </c>
      <c r="B88" s="832" t="s">
        <v>534</v>
      </c>
      <c r="C88" s="1066">
        <v>42</v>
      </c>
      <c r="D88" s="1066">
        <v>178</v>
      </c>
      <c r="E88" s="1066">
        <v>153</v>
      </c>
      <c r="F88" s="1066">
        <v>119</v>
      </c>
      <c r="G88" s="1066">
        <v>375</v>
      </c>
      <c r="H88" s="1066" t="s">
        <v>73</v>
      </c>
      <c r="I88" s="1066">
        <v>1029</v>
      </c>
      <c r="J88" s="1066">
        <v>104</v>
      </c>
      <c r="K88" s="1066">
        <v>119</v>
      </c>
      <c r="L88" s="1066">
        <v>187</v>
      </c>
      <c r="M88" s="1066">
        <v>80</v>
      </c>
      <c r="N88" s="1066">
        <v>68</v>
      </c>
      <c r="O88" s="1066">
        <v>60</v>
      </c>
      <c r="P88" s="1066">
        <v>187</v>
      </c>
      <c r="Q88" s="1066">
        <v>99</v>
      </c>
      <c r="R88" s="1066">
        <v>341</v>
      </c>
      <c r="S88" s="1066">
        <v>110</v>
      </c>
      <c r="T88" s="1066" t="s">
        <v>73</v>
      </c>
      <c r="U88" s="1066">
        <v>55</v>
      </c>
      <c r="V88" s="1066">
        <v>318</v>
      </c>
      <c r="W88" s="1066">
        <v>33</v>
      </c>
      <c r="X88" s="1066" t="s">
        <v>73</v>
      </c>
      <c r="Y88" s="1456">
        <v>3470</v>
      </c>
      <c r="Z88" s="1067">
        <v>23510</v>
      </c>
    </row>
    <row r="89" spans="1:26" s="556" customFormat="1" ht="13.5" customHeight="1" x14ac:dyDescent="0.2">
      <c r="A89" s="622">
        <v>84</v>
      </c>
      <c r="B89" s="832" t="s">
        <v>535</v>
      </c>
      <c r="C89" s="1066">
        <v>28</v>
      </c>
      <c r="D89" s="1066">
        <v>135</v>
      </c>
      <c r="E89" s="1066">
        <v>102</v>
      </c>
      <c r="F89" s="1066">
        <v>80</v>
      </c>
      <c r="G89" s="1066">
        <v>238</v>
      </c>
      <c r="H89" s="1066">
        <v>47</v>
      </c>
      <c r="I89" s="1066">
        <v>702</v>
      </c>
      <c r="J89" s="1066" t="s">
        <v>73</v>
      </c>
      <c r="K89" s="1066">
        <v>68</v>
      </c>
      <c r="L89" s="1066">
        <v>117</v>
      </c>
      <c r="M89" s="1066">
        <v>43</v>
      </c>
      <c r="N89" s="1066">
        <v>37</v>
      </c>
      <c r="O89" s="1066">
        <v>34</v>
      </c>
      <c r="P89" s="1066">
        <v>116</v>
      </c>
      <c r="Q89" s="1066">
        <v>51</v>
      </c>
      <c r="R89" s="1066">
        <v>235</v>
      </c>
      <c r="S89" s="1066">
        <v>74</v>
      </c>
      <c r="T89" s="1066" t="s">
        <v>73</v>
      </c>
      <c r="U89" s="1066">
        <v>38</v>
      </c>
      <c r="V89" s="1066">
        <v>249</v>
      </c>
      <c r="W89" s="1066">
        <v>25</v>
      </c>
      <c r="X89" s="1066">
        <v>17</v>
      </c>
      <c r="Y89" s="1456">
        <v>2300</v>
      </c>
      <c r="Z89" s="1067">
        <v>14640</v>
      </c>
    </row>
    <row r="90" spans="1:26" s="556" customFormat="1" ht="13.5" customHeight="1" x14ac:dyDescent="0.2">
      <c r="A90" s="622">
        <v>85</v>
      </c>
      <c r="B90" s="836" t="s">
        <v>599</v>
      </c>
      <c r="C90" s="1459" t="s">
        <v>73</v>
      </c>
      <c r="D90" s="1459">
        <v>7</v>
      </c>
      <c r="E90" s="1459" t="s">
        <v>73</v>
      </c>
      <c r="F90" s="1459" t="s">
        <v>73</v>
      </c>
      <c r="G90" s="1459">
        <v>20</v>
      </c>
      <c r="H90" s="1459" t="s">
        <v>73</v>
      </c>
      <c r="I90" s="1459">
        <v>16</v>
      </c>
      <c r="J90" s="1459" t="s">
        <v>73</v>
      </c>
      <c r="K90" s="1459" t="s">
        <v>73</v>
      </c>
      <c r="L90" s="1459">
        <v>8</v>
      </c>
      <c r="M90" s="1459">
        <v>8</v>
      </c>
      <c r="N90" s="1459" t="s">
        <v>73</v>
      </c>
      <c r="O90" s="1459" t="s">
        <v>73</v>
      </c>
      <c r="P90" s="1459">
        <v>6</v>
      </c>
      <c r="Q90" s="1459">
        <v>13</v>
      </c>
      <c r="R90" s="1459">
        <v>13</v>
      </c>
      <c r="S90" s="1459">
        <v>8</v>
      </c>
      <c r="T90" s="1459">
        <v>6</v>
      </c>
      <c r="U90" s="1459">
        <v>9</v>
      </c>
      <c r="V90" s="1459">
        <v>0</v>
      </c>
      <c r="W90" s="1459" t="s">
        <v>73</v>
      </c>
      <c r="X90" s="1468">
        <v>0</v>
      </c>
      <c r="Y90" s="1460">
        <v>120</v>
      </c>
      <c r="Z90" s="1466">
        <v>1170</v>
      </c>
    </row>
    <row r="91" spans="1:26" s="556" customFormat="1" ht="13.5" customHeight="1" x14ac:dyDescent="0.2">
      <c r="A91" s="622">
        <v>86</v>
      </c>
      <c r="B91" s="836" t="s">
        <v>600</v>
      </c>
      <c r="C91" s="1459" t="s">
        <v>73</v>
      </c>
      <c r="D91" s="1459">
        <v>25</v>
      </c>
      <c r="E91" s="1459">
        <v>31</v>
      </c>
      <c r="F91" s="1459">
        <v>18</v>
      </c>
      <c r="G91" s="1459">
        <v>56</v>
      </c>
      <c r="H91" s="1459" t="s">
        <v>73</v>
      </c>
      <c r="I91" s="1459">
        <v>43</v>
      </c>
      <c r="J91" s="1459">
        <v>19</v>
      </c>
      <c r="K91" s="1459">
        <v>36</v>
      </c>
      <c r="L91" s="1459">
        <v>44</v>
      </c>
      <c r="M91" s="1459">
        <v>22</v>
      </c>
      <c r="N91" s="1459">
        <v>14</v>
      </c>
      <c r="O91" s="1459">
        <v>14</v>
      </c>
      <c r="P91" s="1459">
        <v>28</v>
      </c>
      <c r="Q91" s="1459">
        <v>39</v>
      </c>
      <c r="R91" s="1459">
        <v>51</v>
      </c>
      <c r="S91" s="1459">
        <v>28</v>
      </c>
      <c r="T91" s="1459">
        <v>10</v>
      </c>
      <c r="U91" s="1459">
        <v>20</v>
      </c>
      <c r="V91" s="1459">
        <v>37</v>
      </c>
      <c r="W91" s="1459" t="s">
        <v>73</v>
      </c>
      <c r="X91" s="1468" t="s">
        <v>73</v>
      </c>
      <c r="Y91" s="1460">
        <v>500</v>
      </c>
      <c r="Z91" s="1466">
        <v>3430</v>
      </c>
    </row>
    <row r="92" spans="1:26" s="556" customFormat="1" ht="13.5" customHeight="1" x14ac:dyDescent="0.2">
      <c r="A92" s="622">
        <v>87</v>
      </c>
      <c r="B92" s="836" t="s">
        <v>366</v>
      </c>
      <c r="C92" s="1459"/>
      <c r="D92" s="1459"/>
      <c r="E92" s="1459"/>
      <c r="F92" s="1459"/>
      <c r="G92" s="1459"/>
      <c r="H92" s="1459"/>
      <c r="I92" s="1459"/>
      <c r="J92" s="1459"/>
      <c r="K92" s="1459"/>
      <c r="L92" s="1459"/>
      <c r="M92" s="1459"/>
      <c r="N92" s="1459"/>
      <c r="O92" s="1459"/>
      <c r="P92" s="1459"/>
      <c r="Q92" s="1459"/>
      <c r="R92" s="1459"/>
      <c r="S92" s="1459"/>
      <c r="T92" s="1459"/>
      <c r="U92" s="1459"/>
      <c r="V92" s="1459"/>
      <c r="W92" s="1459"/>
      <c r="X92" s="1459"/>
      <c r="Y92" s="1460"/>
      <c r="Z92" s="1466"/>
    </row>
    <row r="93" spans="1:26" s="556" customFormat="1" ht="13.5" customHeight="1" x14ac:dyDescent="0.2">
      <c r="A93" s="622">
        <v>88</v>
      </c>
      <c r="B93" s="836" t="s">
        <v>367</v>
      </c>
      <c r="C93" s="1459"/>
      <c r="D93" s="1459"/>
      <c r="E93" s="1459"/>
      <c r="F93" s="1459"/>
      <c r="G93" s="1459"/>
      <c r="H93" s="1459"/>
      <c r="I93" s="1459"/>
      <c r="J93" s="1459"/>
      <c r="K93" s="1459"/>
      <c r="L93" s="1459"/>
      <c r="M93" s="1459"/>
      <c r="N93" s="1459"/>
      <c r="O93" s="1459"/>
      <c r="P93" s="1459"/>
      <c r="Q93" s="1459"/>
      <c r="R93" s="1459"/>
      <c r="S93" s="1459"/>
      <c r="T93" s="1459"/>
      <c r="U93" s="1459"/>
      <c r="V93" s="1459"/>
      <c r="W93" s="1459"/>
      <c r="X93" s="1459"/>
      <c r="Y93" s="1460"/>
      <c r="Z93" s="1466"/>
    </row>
    <row r="94" spans="1:26" s="556" customFormat="1" ht="13.5" customHeight="1" x14ac:dyDescent="0.2">
      <c r="A94" s="622">
        <v>89</v>
      </c>
      <c r="B94" s="832" t="s">
        <v>527</v>
      </c>
      <c r="C94" s="1066"/>
      <c r="D94" s="1066"/>
      <c r="E94" s="1066"/>
      <c r="F94" s="1066"/>
      <c r="G94" s="1066"/>
      <c r="H94" s="1066"/>
      <c r="I94" s="1066"/>
      <c r="J94" s="1066"/>
      <c r="K94" s="1066"/>
      <c r="L94" s="1066"/>
      <c r="M94" s="1066"/>
      <c r="N94" s="1066"/>
      <c r="O94" s="1066"/>
      <c r="P94" s="1066"/>
      <c r="Q94" s="1066"/>
      <c r="R94" s="1066"/>
      <c r="S94" s="1066"/>
      <c r="T94" s="1066"/>
      <c r="U94" s="1066"/>
      <c r="V94" s="1066"/>
      <c r="W94" s="1066"/>
      <c r="X94" s="1066"/>
      <c r="Y94" s="1456"/>
      <c r="Z94" s="1067"/>
    </row>
    <row r="95" spans="1:26" s="1303" customFormat="1" ht="13.5" customHeight="1" x14ac:dyDescent="0.2">
      <c r="A95" s="622">
        <v>90</v>
      </c>
      <c r="B95" s="832" t="s">
        <v>528</v>
      </c>
      <c r="C95" s="1066"/>
      <c r="D95" s="1066"/>
      <c r="E95" s="1066"/>
      <c r="F95" s="1066"/>
      <c r="G95" s="1066"/>
      <c r="H95" s="1066"/>
      <c r="I95" s="1066"/>
      <c r="J95" s="1066"/>
      <c r="K95" s="1066"/>
      <c r="L95" s="1066"/>
      <c r="M95" s="1066"/>
      <c r="N95" s="1066"/>
      <c r="O95" s="1066"/>
      <c r="P95" s="1066"/>
      <c r="Q95" s="1066"/>
      <c r="R95" s="1066"/>
      <c r="S95" s="1066"/>
      <c r="T95" s="1066"/>
      <c r="U95" s="1066"/>
      <c r="V95" s="1066"/>
      <c r="W95" s="1066"/>
      <c r="X95" s="1066"/>
      <c r="Y95" s="1467"/>
      <c r="Z95" s="1067"/>
    </row>
    <row r="96" spans="1:26" s="556" customFormat="1" ht="13.5" customHeight="1" x14ac:dyDescent="0.2">
      <c r="A96" s="622">
        <v>91</v>
      </c>
      <c r="B96" s="832" t="s">
        <v>529</v>
      </c>
      <c r="C96" s="1066"/>
      <c r="D96" s="1066"/>
      <c r="E96" s="1066"/>
      <c r="F96" s="1066"/>
      <c r="G96" s="1066"/>
      <c r="H96" s="1066"/>
      <c r="I96" s="1066"/>
      <c r="J96" s="1066"/>
      <c r="K96" s="1066"/>
      <c r="L96" s="1066"/>
      <c r="M96" s="1066"/>
      <c r="N96" s="1066"/>
      <c r="O96" s="1066"/>
      <c r="P96" s="1066"/>
      <c r="Q96" s="1066"/>
      <c r="R96" s="1066"/>
      <c r="S96" s="1066"/>
      <c r="T96" s="1066"/>
      <c r="U96" s="1066"/>
      <c r="V96" s="1066"/>
      <c r="W96" s="1066"/>
      <c r="X96" s="1066"/>
      <c r="Y96" s="1456"/>
      <c r="Z96" s="1067"/>
    </row>
    <row r="97" spans="1:26" s="556" customFormat="1" ht="13.5" customHeight="1" x14ac:dyDescent="0.2">
      <c r="A97" s="622">
        <v>92</v>
      </c>
      <c r="B97" s="832" t="s">
        <v>530</v>
      </c>
      <c r="C97" s="1066"/>
      <c r="D97" s="1066"/>
      <c r="E97" s="1066"/>
      <c r="F97" s="1066"/>
      <c r="G97" s="1066"/>
      <c r="H97" s="1066"/>
      <c r="I97" s="1066"/>
      <c r="J97" s="1066"/>
      <c r="K97" s="1066"/>
      <c r="L97" s="1066"/>
      <c r="M97" s="1066"/>
      <c r="N97" s="1066"/>
      <c r="O97" s="1066"/>
      <c r="P97" s="1066"/>
      <c r="Q97" s="1066"/>
      <c r="R97" s="1066"/>
      <c r="S97" s="1066"/>
      <c r="T97" s="1066"/>
      <c r="U97" s="1066"/>
      <c r="V97" s="1066"/>
      <c r="W97" s="1066"/>
      <c r="X97" s="1066"/>
      <c r="Y97" s="1456"/>
      <c r="Z97" s="1067"/>
    </row>
    <row r="98" spans="1:26" s="556" customFormat="1" ht="13.5" customHeight="1" x14ac:dyDescent="0.2">
      <c r="A98" s="622">
        <v>93</v>
      </c>
      <c r="B98" s="832" t="s">
        <v>531</v>
      </c>
      <c r="C98" s="1066"/>
      <c r="D98" s="1066"/>
      <c r="E98" s="1066"/>
      <c r="F98" s="1066"/>
      <c r="G98" s="1066"/>
      <c r="H98" s="1066"/>
      <c r="I98" s="1066"/>
      <c r="J98" s="1066"/>
      <c r="K98" s="1066"/>
      <c r="L98" s="1066"/>
      <c r="M98" s="1066"/>
      <c r="N98" s="1066"/>
      <c r="O98" s="1066"/>
      <c r="P98" s="1066"/>
      <c r="Q98" s="1066"/>
      <c r="R98" s="1066"/>
      <c r="S98" s="1066"/>
      <c r="T98" s="1066"/>
      <c r="U98" s="1066"/>
      <c r="V98" s="1066"/>
      <c r="W98" s="1066"/>
      <c r="X98" s="1066"/>
      <c r="Y98" s="1456"/>
      <c r="Z98" s="1067"/>
    </row>
    <row r="99" spans="1:26" s="556" customFormat="1" ht="13.5" customHeight="1" x14ac:dyDescent="0.2">
      <c r="A99" s="1292">
        <v>94</v>
      </c>
      <c r="B99" s="832" t="s">
        <v>1090</v>
      </c>
      <c r="C99" s="1066">
        <v>55</v>
      </c>
      <c r="D99" s="1066">
        <v>77</v>
      </c>
      <c r="E99" s="1066">
        <v>87</v>
      </c>
      <c r="F99" s="1066">
        <v>90</v>
      </c>
      <c r="G99" s="1066">
        <v>259</v>
      </c>
      <c r="H99" s="1066">
        <v>41</v>
      </c>
      <c r="I99" s="1066">
        <v>296</v>
      </c>
      <c r="J99" s="1066">
        <v>84</v>
      </c>
      <c r="K99" s="1066">
        <v>59</v>
      </c>
      <c r="L99" s="1066">
        <v>135</v>
      </c>
      <c r="M99" s="1066">
        <v>73</v>
      </c>
      <c r="N99" s="1066">
        <v>63</v>
      </c>
      <c r="O99" s="1066">
        <v>57</v>
      </c>
      <c r="P99" s="1066">
        <v>132</v>
      </c>
      <c r="Q99" s="1066">
        <v>90</v>
      </c>
      <c r="R99" s="1066">
        <v>205</v>
      </c>
      <c r="S99" s="1066">
        <v>86</v>
      </c>
      <c r="T99" s="1066">
        <v>60</v>
      </c>
      <c r="U99" s="1066">
        <v>36</v>
      </c>
      <c r="V99" s="1066">
        <v>164</v>
      </c>
      <c r="W99" s="1066">
        <v>19</v>
      </c>
      <c r="X99" s="1066">
        <v>21</v>
      </c>
      <c r="Y99" s="1456">
        <v>1911</v>
      </c>
      <c r="Z99" s="1067">
        <v>14216</v>
      </c>
    </row>
    <row r="100" spans="1:26" s="556" customFormat="1" ht="13.5" customHeight="1" x14ac:dyDescent="0.2">
      <c r="A100" s="1292">
        <v>95</v>
      </c>
      <c r="B100" s="832" t="s">
        <v>1091</v>
      </c>
      <c r="C100" s="1066">
        <v>86</v>
      </c>
      <c r="D100" s="1066">
        <v>123</v>
      </c>
      <c r="E100" s="1066">
        <v>142</v>
      </c>
      <c r="F100" s="1066">
        <v>139</v>
      </c>
      <c r="G100" s="1066">
        <v>450</v>
      </c>
      <c r="H100" s="1066">
        <v>79</v>
      </c>
      <c r="I100" s="1066">
        <v>488</v>
      </c>
      <c r="J100" s="1066">
        <v>142</v>
      </c>
      <c r="K100" s="1066">
        <v>103</v>
      </c>
      <c r="L100" s="1066">
        <v>235</v>
      </c>
      <c r="M100" s="1066">
        <v>118</v>
      </c>
      <c r="N100" s="1066">
        <v>89</v>
      </c>
      <c r="O100" s="1066">
        <v>91</v>
      </c>
      <c r="P100" s="1066">
        <v>202</v>
      </c>
      <c r="Q100" s="1066">
        <v>131</v>
      </c>
      <c r="R100" s="1066">
        <v>356</v>
      </c>
      <c r="S100" s="1066">
        <v>140</v>
      </c>
      <c r="T100" s="1066">
        <v>94</v>
      </c>
      <c r="U100" s="1066">
        <v>71</v>
      </c>
      <c r="V100" s="1066">
        <v>271</v>
      </c>
      <c r="W100" s="1066">
        <v>32</v>
      </c>
      <c r="X100" s="1066">
        <v>44</v>
      </c>
      <c r="Y100" s="1456">
        <f>SUM(C100:O100,Q100:R100,U100:X100)</f>
        <v>3190</v>
      </c>
      <c r="Z100" s="1067">
        <v>23606</v>
      </c>
    </row>
    <row r="101" spans="1:26" s="556" customFormat="1" ht="13.5" customHeight="1" x14ac:dyDescent="0.2">
      <c r="A101" s="1292">
        <v>96</v>
      </c>
      <c r="B101" s="832" t="s">
        <v>932</v>
      </c>
      <c r="C101" s="1066"/>
      <c r="D101" s="1066"/>
      <c r="E101" s="1066"/>
      <c r="F101" s="1066"/>
      <c r="G101" s="1066"/>
      <c r="H101" s="1066"/>
      <c r="I101" s="1066"/>
      <c r="J101" s="1066"/>
      <c r="K101" s="1066"/>
      <c r="L101" s="1066"/>
      <c r="M101" s="1066"/>
      <c r="N101" s="1066"/>
      <c r="O101" s="1066"/>
      <c r="P101" s="1066"/>
      <c r="Q101" s="1066"/>
      <c r="R101" s="1066"/>
      <c r="S101" s="1066"/>
      <c r="T101" s="1066"/>
      <c r="U101" s="1066"/>
      <c r="V101" s="1066"/>
      <c r="W101" s="1066"/>
      <c r="X101" s="1066"/>
      <c r="Y101" s="1456"/>
      <c r="Z101" s="1067"/>
    </row>
    <row r="102" spans="1:26" s="556" customFormat="1" ht="13.5" customHeight="1" x14ac:dyDescent="0.2">
      <c r="A102" s="1292">
        <v>97</v>
      </c>
      <c r="B102" s="832" t="s">
        <v>1225</v>
      </c>
      <c r="C102" s="1066"/>
      <c r="D102" s="1066"/>
      <c r="E102" s="1066"/>
      <c r="F102" s="1066"/>
      <c r="G102" s="1066"/>
      <c r="H102" s="1066"/>
      <c r="I102" s="1066"/>
      <c r="J102" s="1066"/>
      <c r="K102" s="1066"/>
      <c r="L102" s="1066"/>
      <c r="M102" s="1066"/>
      <c r="N102" s="1066"/>
      <c r="O102" s="1066"/>
      <c r="P102" s="1066"/>
      <c r="Q102" s="1066"/>
      <c r="R102" s="1066"/>
      <c r="S102" s="1066"/>
      <c r="T102" s="1066"/>
      <c r="U102" s="1066"/>
      <c r="V102" s="1066"/>
      <c r="W102" s="1066"/>
      <c r="X102" s="1066"/>
      <c r="Y102" s="1456"/>
      <c r="Z102" s="1067"/>
    </row>
    <row r="103" spans="1:26" s="556" customFormat="1" ht="13.5" customHeight="1" x14ac:dyDescent="0.2">
      <c r="A103" s="1292">
        <v>98</v>
      </c>
      <c r="B103" s="832" t="s">
        <v>933</v>
      </c>
      <c r="C103" s="1066"/>
      <c r="D103" s="1066"/>
      <c r="E103" s="1066"/>
      <c r="F103" s="1066"/>
      <c r="G103" s="1066"/>
      <c r="H103" s="1066"/>
      <c r="I103" s="1066"/>
      <c r="J103" s="1066"/>
      <c r="K103" s="1066"/>
      <c r="L103" s="1066"/>
      <c r="M103" s="1066"/>
      <c r="N103" s="1066"/>
      <c r="O103" s="1066"/>
      <c r="P103" s="1066"/>
      <c r="Q103" s="1066"/>
      <c r="R103" s="1066"/>
      <c r="S103" s="1066"/>
      <c r="T103" s="1066"/>
      <c r="U103" s="1066"/>
      <c r="V103" s="1066"/>
      <c r="W103" s="1066"/>
      <c r="X103" s="1066"/>
      <c r="Y103" s="1456"/>
      <c r="Z103" s="1067"/>
    </row>
    <row r="104" spans="1:26" s="556" customFormat="1" ht="13.5" customHeight="1" x14ac:dyDescent="0.2">
      <c r="A104" s="1292">
        <v>99</v>
      </c>
      <c r="B104" s="832" t="s">
        <v>934</v>
      </c>
      <c r="C104" s="1478">
        <v>49</v>
      </c>
      <c r="D104" s="1478">
        <v>160</v>
      </c>
      <c r="E104" s="1478">
        <v>241</v>
      </c>
      <c r="F104" s="1478">
        <v>301</v>
      </c>
      <c r="G104" s="1478">
        <v>684</v>
      </c>
      <c r="H104" s="1478">
        <v>128</v>
      </c>
      <c r="I104" s="1478">
        <v>883</v>
      </c>
      <c r="J104" s="1478">
        <v>196</v>
      </c>
      <c r="K104" s="1478">
        <v>201</v>
      </c>
      <c r="L104" s="1478">
        <v>304</v>
      </c>
      <c r="M104" s="1478">
        <v>140</v>
      </c>
      <c r="N104" s="1478">
        <v>124</v>
      </c>
      <c r="O104" s="1478">
        <v>145</v>
      </c>
      <c r="P104" s="1478">
        <v>324</v>
      </c>
      <c r="Q104" s="1478">
        <v>249</v>
      </c>
      <c r="R104" s="1478">
        <v>234</v>
      </c>
      <c r="S104" s="1478">
        <v>283</v>
      </c>
      <c r="T104" s="1478">
        <v>89</v>
      </c>
      <c r="U104" s="1478">
        <v>83</v>
      </c>
      <c r="V104" s="1478">
        <v>491</v>
      </c>
      <c r="W104" s="1478">
        <v>59</v>
      </c>
      <c r="X104" s="1480">
        <v>65</v>
      </c>
      <c r="Y104" s="1481">
        <v>4737</v>
      </c>
      <c r="Z104" s="1483">
        <v>38324</v>
      </c>
    </row>
    <row r="105" spans="1:26" s="556" customFormat="1" ht="13.5" customHeight="1" x14ac:dyDescent="0.2">
      <c r="A105" s="1292">
        <v>100</v>
      </c>
      <c r="B105" s="832" t="s">
        <v>935</v>
      </c>
      <c r="C105" s="1478">
        <v>14</v>
      </c>
      <c r="D105" s="1478">
        <v>75</v>
      </c>
      <c r="E105" s="1478">
        <v>103</v>
      </c>
      <c r="F105" s="1478">
        <v>145</v>
      </c>
      <c r="G105" s="1478">
        <v>273</v>
      </c>
      <c r="H105" s="1478">
        <v>71</v>
      </c>
      <c r="I105" s="1478">
        <v>304</v>
      </c>
      <c r="J105" s="1478">
        <v>83</v>
      </c>
      <c r="K105" s="1478">
        <v>50</v>
      </c>
      <c r="L105" s="1478">
        <v>112</v>
      </c>
      <c r="M105" s="1478">
        <v>72</v>
      </c>
      <c r="N105" s="1478">
        <v>40</v>
      </c>
      <c r="O105" s="1478">
        <v>62</v>
      </c>
      <c r="P105" s="1478">
        <v>113</v>
      </c>
      <c r="Q105" s="1478">
        <v>116</v>
      </c>
      <c r="R105" s="1478">
        <v>93</v>
      </c>
      <c r="S105" s="1478">
        <v>114</v>
      </c>
      <c r="T105" s="1478">
        <v>35</v>
      </c>
      <c r="U105" s="1478">
        <v>31</v>
      </c>
      <c r="V105" s="1478">
        <v>186</v>
      </c>
      <c r="W105" s="1478">
        <v>16</v>
      </c>
      <c r="X105" s="1480">
        <v>13</v>
      </c>
      <c r="Y105" s="1481">
        <v>1859</v>
      </c>
      <c r="Z105" s="1483">
        <v>16184</v>
      </c>
    </row>
    <row r="106" spans="1:26" ht="13.5" customHeight="1" x14ac:dyDescent="0.2">
      <c r="A106" s="941" t="s">
        <v>557</v>
      </c>
      <c r="B106" s="1382" t="s">
        <v>368</v>
      </c>
      <c r="C106" s="617">
        <f>IF(SUM(C40:C43)&gt;0,SUM(C40:C43),NA())</f>
        <v>1511</v>
      </c>
      <c r="D106" s="617">
        <f t="shared" ref="D106:Z106" si="3">IF(SUM(D40:D43)&gt;0,SUM(D40:D43),NA())</f>
        <v>2400</v>
      </c>
      <c r="E106" s="617">
        <f t="shared" si="3"/>
        <v>7054</v>
      </c>
      <c r="F106" s="617">
        <f t="shared" si="3"/>
        <v>2171</v>
      </c>
      <c r="G106" s="617">
        <f t="shared" si="3"/>
        <v>16106</v>
      </c>
      <c r="H106" s="617">
        <f t="shared" si="3"/>
        <v>2307</v>
      </c>
      <c r="I106" s="617">
        <f t="shared" si="3"/>
        <v>16353</v>
      </c>
      <c r="J106" s="617">
        <f t="shared" si="3"/>
        <v>2156</v>
      </c>
      <c r="K106" s="617">
        <f t="shared" si="3"/>
        <v>1942</v>
      </c>
      <c r="L106" s="617">
        <f t="shared" si="3"/>
        <v>2993</v>
      </c>
      <c r="M106" s="617">
        <f t="shared" si="3"/>
        <v>2985</v>
      </c>
      <c r="N106" s="617">
        <f t="shared" si="3"/>
        <v>2406</v>
      </c>
      <c r="O106" s="617">
        <f t="shared" si="3"/>
        <v>841</v>
      </c>
      <c r="P106" s="617">
        <f t="shared" si="3"/>
        <v>4505</v>
      </c>
      <c r="Q106" s="617">
        <f t="shared" si="3"/>
        <v>1922</v>
      </c>
      <c r="R106" s="617">
        <f t="shared" si="3"/>
        <v>9542</v>
      </c>
      <c r="S106" s="617">
        <f t="shared" si="3"/>
        <v>2259</v>
      </c>
      <c r="T106" s="617">
        <f t="shared" si="3"/>
        <v>1358</v>
      </c>
      <c r="U106" s="617">
        <f t="shared" si="3"/>
        <v>1749</v>
      </c>
      <c r="V106" s="617">
        <f t="shared" si="3"/>
        <v>9782</v>
      </c>
      <c r="W106" s="617">
        <f t="shared" si="3"/>
        <v>505</v>
      </c>
      <c r="X106" s="617">
        <f t="shared" si="3"/>
        <v>801</v>
      </c>
      <c r="Y106" s="617">
        <f t="shared" si="3"/>
        <v>85630</v>
      </c>
      <c r="Z106" s="617">
        <f t="shared" si="3"/>
        <v>521870</v>
      </c>
    </row>
    <row r="107" spans="1:26" ht="13.5" customHeight="1" x14ac:dyDescent="0.2">
      <c r="A107" s="941" t="s">
        <v>557</v>
      </c>
      <c r="B107" s="1382" t="s">
        <v>369</v>
      </c>
      <c r="C107" s="1291">
        <f>SUM(C40:C44)</f>
        <v>1670</v>
      </c>
      <c r="D107" s="1291">
        <f t="shared" ref="D107:Z107" si="4">SUM(D40:D44)</f>
        <v>2701</v>
      </c>
      <c r="E107" s="1291">
        <f t="shared" si="4"/>
        <v>8366</v>
      </c>
      <c r="F107" s="1291">
        <f t="shared" si="4"/>
        <v>3580</v>
      </c>
      <c r="G107" s="1291">
        <f t="shared" si="4"/>
        <v>17660</v>
      </c>
      <c r="H107" s="1291">
        <f t="shared" si="4"/>
        <v>2679</v>
      </c>
      <c r="I107" s="1291">
        <f t="shared" si="4"/>
        <v>18827</v>
      </c>
      <c r="J107" s="1291">
        <f t="shared" si="4"/>
        <v>2509</v>
      </c>
      <c r="K107" s="1291">
        <f t="shared" si="4"/>
        <v>2213</v>
      </c>
      <c r="L107" s="1291">
        <f t="shared" si="4"/>
        <v>5790</v>
      </c>
      <c r="M107" s="1291">
        <f t="shared" si="4"/>
        <v>3190</v>
      </c>
      <c r="N107" s="1291">
        <f t="shared" si="4"/>
        <v>2791</v>
      </c>
      <c r="O107" s="1291">
        <f t="shared" si="4"/>
        <v>1486</v>
      </c>
      <c r="P107" s="1291">
        <f t="shared" si="4"/>
        <v>5585</v>
      </c>
      <c r="Q107" s="1291">
        <f t="shared" si="4"/>
        <v>2318</v>
      </c>
      <c r="R107" s="1291">
        <f t="shared" si="4"/>
        <v>12579</v>
      </c>
      <c r="S107" s="1291">
        <f t="shared" si="4"/>
        <v>3151</v>
      </c>
      <c r="T107" s="1291">
        <f t="shared" si="4"/>
        <v>1885</v>
      </c>
      <c r="U107" s="1291">
        <f t="shared" si="4"/>
        <v>1780</v>
      </c>
      <c r="V107" s="1291">
        <f t="shared" si="4"/>
        <v>10004</v>
      </c>
      <c r="W107" s="1291">
        <f t="shared" si="4"/>
        <v>884</v>
      </c>
      <c r="X107" s="1291">
        <f t="shared" si="4"/>
        <v>1096</v>
      </c>
      <c r="Y107" s="1291">
        <f t="shared" si="4"/>
        <v>102220</v>
      </c>
      <c r="Z107" s="1291">
        <f t="shared" si="4"/>
        <v>631050</v>
      </c>
    </row>
    <row r="108" spans="1:26" ht="13.5" customHeight="1" x14ac:dyDescent="0.2">
      <c r="C108" s="1484"/>
      <c r="D108" s="1484"/>
      <c r="E108" s="1484"/>
      <c r="F108" s="1484"/>
      <c r="G108" s="1484"/>
      <c r="H108" s="1484"/>
      <c r="I108" s="1484"/>
      <c r="J108" s="1484"/>
      <c r="K108" s="1484"/>
      <c r="L108" s="1484"/>
      <c r="M108" s="1484"/>
      <c r="N108" s="1484"/>
      <c r="O108" s="1484"/>
      <c r="P108" s="1484"/>
      <c r="Q108" s="1484"/>
      <c r="R108" s="1484"/>
      <c r="S108" s="1484"/>
      <c r="T108" s="1484"/>
      <c r="U108" s="1484"/>
      <c r="V108" s="1484"/>
      <c r="W108" s="1484"/>
      <c r="X108" s="1484"/>
      <c r="Y108" s="1485"/>
      <c r="Z108" s="1486"/>
    </row>
    <row r="109" spans="1:26" ht="13.5" customHeight="1" x14ac:dyDescent="0.2">
      <c r="B109" s="557" t="s">
        <v>1293</v>
      </c>
      <c r="C109" s="1484" t="s">
        <v>1281</v>
      </c>
      <c r="D109" s="1484">
        <v>401</v>
      </c>
      <c r="E109" s="1484">
        <v>349</v>
      </c>
      <c r="F109" s="1484">
        <v>434</v>
      </c>
      <c r="G109" s="1484">
        <v>388</v>
      </c>
      <c r="H109" s="1484">
        <v>298</v>
      </c>
      <c r="I109" s="1484">
        <v>301</v>
      </c>
      <c r="J109" s="1484">
        <v>363</v>
      </c>
      <c r="K109" s="1484" t="s">
        <v>1281</v>
      </c>
      <c r="L109" s="1484">
        <v>354</v>
      </c>
      <c r="M109" s="1484">
        <v>326</v>
      </c>
      <c r="N109" s="1484">
        <v>661</v>
      </c>
      <c r="O109" s="1484">
        <v>353</v>
      </c>
      <c r="P109" s="1484">
        <v>306</v>
      </c>
      <c r="Q109" s="1484">
        <v>374</v>
      </c>
      <c r="R109" s="1484">
        <v>382</v>
      </c>
      <c r="S109" s="1484">
        <v>273</v>
      </c>
      <c r="T109" s="1484">
        <v>399</v>
      </c>
      <c r="U109" s="1484" t="s">
        <v>1281</v>
      </c>
      <c r="V109" s="1484">
        <v>413</v>
      </c>
      <c r="W109" s="1484" t="s">
        <v>1281</v>
      </c>
      <c r="X109" s="1484" t="s">
        <v>1281</v>
      </c>
      <c r="Y109" s="1485">
        <f>Y83/Y82</f>
        <v>352.70377358490566</v>
      </c>
      <c r="Z109" s="1486">
        <v>361</v>
      </c>
    </row>
    <row r="110" spans="1:26" ht="13.5" customHeight="1" x14ac:dyDescent="0.2">
      <c r="C110" s="470">
        <v>18</v>
      </c>
      <c r="D110" s="470">
        <v>68</v>
      </c>
      <c r="E110" s="470">
        <v>47</v>
      </c>
      <c r="F110" s="470">
        <v>56</v>
      </c>
      <c r="G110" s="470">
        <v>219</v>
      </c>
      <c r="H110" s="470">
        <v>36</v>
      </c>
      <c r="I110" s="470">
        <v>649</v>
      </c>
      <c r="J110" s="470">
        <v>41</v>
      </c>
      <c r="K110" s="470">
        <v>66</v>
      </c>
      <c r="L110" s="470">
        <v>112</v>
      </c>
      <c r="M110" s="470">
        <v>87</v>
      </c>
      <c r="N110" s="470">
        <v>35</v>
      </c>
      <c r="O110" s="470">
        <v>38</v>
      </c>
      <c r="P110" s="470">
        <v>58</v>
      </c>
      <c r="Q110" s="470">
        <v>50</v>
      </c>
      <c r="R110" s="470">
        <v>200</v>
      </c>
      <c r="S110" s="470">
        <v>50</v>
      </c>
      <c r="T110" s="470">
        <v>22</v>
      </c>
      <c r="U110" s="470">
        <v>23</v>
      </c>
      <c r="V110" s="470">
        <v>142</v>
      </c>
      <c r="W110" s="470">
        <v>20</v>
      </c>
      <c r="X110" s="470">
        <v>21</v>
      </c>
      <c r="Y110" s="1487">
        <v>1990</v>
      </c>
      <c r="Z110" s="470">
        <v>12520</v>
      </c>
    </row>
  </sheetData>
  <conditionalFormatting sqref="C1:X1">
    <cfRule type="expression" dxfId="1128" priority="9">
      <formula>SUM(C$2:C$98)=0</formula>
    </cfRule>
    <cfRule type="containsErrors" dxfId="1127" priority="10">
      <formula>ISERROR(C1)</formula>
    </cfRule>
  </conditionalFormatting>
  <conditionalFormatting sqref="Q43:Q44">
    <cfRule type="containsErrors" dxfId="1126" priority="1">
      <formula>ISERROR(Q43)</formula>
    </cfRule>
  </conditionalFormatting>
  <pageMargins left="0.70866141732283472" right="0.70866141732283472" top="0.35433070866141736" bottom="0.35433070866141736" header="0.31496062992125984" footer="0.31496062992125984"/>
  <pageSetup scale="48" orientation="portrait" r:id="rId1"/>
  <extLst>
    <ext xmlns:x14="http://schemas.microsoft.com/office/spreadsheetml/2009/9/main" uri="{78C0D931-6437-407d-A8EE-F0AAD7539E65}">
      <x14:conditionalFormattings>
        <x14:conditionalFormatting xmlns:xm="http://schemas.microsoft.com/office/excel/2006/main">
          <x14:cfRule type="expression" priority="8" id="{800A4E44-B0A9-445A-9189-93B1FCC7398A}">
            <xm:f>C$1=Sheet1!$AR$3</xm:f>
            <x14:dxf>
              <fill>
                <patternFill>
                  <bgColor rgb="FF66FF99"/>
                </patternFill>
              </fill>
            </x14:dxf>
          </x14:cfRule>
          <xm:sqref>C1:X1</xm:sqref>
        </x14:conditionalFormatting>
      </x14:conditionalFormatting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tabColor rgb="FFFFC000"/>
  </sheetPr>
  <dimension ref="A1:BN347"/>
  <sheetViews>
    <sheetView showRowColHeaders="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10" width="7.42578125" style="74" customWidth="1"/>
    <col min="11" max="11" width="1.42578125" style="88" customWidth="1"/>
    <col min="12" max="18" width="7.42578125" style="74" customWidth="1"/>
    <col min="19" max="19" width="1.42578125" style="74" customWidth="1"/>
    <col min="20" max="20" width="8" style="74" customWidth="1"/>
    <col min="21" max="21" width="2.140625" style="74" customWidth="1"/>
    <col min="22" max="22" width="6.42578125" style="80" customWidth="1"/>
    <col min="23" max="23" width="4.85546875" style="80" customWidth="1"/>
    <col min="24" max="24" width="17.85546875" style="81" hidden="1" customWidth="1"/>
    <col min="25" max="25" width="19.42578125" style="81" hidden="1" customWidth="1"/>
    <col min="26" max="26" width="19.85546875" style="81" hidden="1" customWidth="1"/>
    <col min="27" max="28" width="16.5703125" style="81" hidden="1" customWidth="1"/>
    <col min="29" max="29" width="8.5703125" style="81" hidden="1" customWidth="1"/>
    <col min="30" max="30" width="17" style="81" hidden="1" customWidth="1"/>
    <col min="31" max="31" width="8.5703125" style="81" hidden="1" customWidth="1"/>
    <col min="32" max="32" width="14.42578125" style="81" hidden="1" customWidth="1"/>
    <col min="33" max="33" width="6.5703125" style="81" hidden="1" customWidth="1"/>
    <col min="34" max="34" width="7.140625" style="81" hidden="1" customWidth="1"/>
    <col min="35" max="35" width="6.5703125" style="74" hidden="1" customWidth="1"/>
    <col min="36" max="36" width="31.5703125" style="184" customWidth="1"/>
    <col min="37" max="37" width="17" style="74" hidden="1" customWidth="1"/>
    <col min="38" max="42" width="13.5703125" style="74" hidden="1" customWidth="1"/>
    <col min="43" max="49" width="9.140625" style="74" hidden="1" customWidth="1"/>
    <col min="50" max="50" width="17" style="74" hidden="1" customWidth="1"/>
    <col min="51" max="60" width="9.140625" style="74" hidden="1" customWidth="1"/>
    <col min="61" max="68" width="9.140625" style="74" customWidth="1"/>
    <col min="69" max="16384" width="9.140625" style="74"/>
  </cols>
  <sheetData>
    <row r="1" spans="1:49" ht="18.75" customHeight="1" thickBot="1" x14ac:dyDescent="0.25">
      <c r="A1" s="112"/>
      <c r="B1" s="113"/>
      <c r="C1" s="113"/>
      <c r="D1" s="113"/>
      <c r="E1" s="113"/>
      <c r="F1" s="113"/>
      <c r="G1" s="113"/>
      <c r="H1" s="113"/>
      <c r="I1" s="113"/>
      <c r="J1" s="113"/>
      <c r="K1" s="114"/>
      <c r="L1" s="113"/>
      <c r="M1" s="113"/>
      <c r="N1" s="113"/>
      <c r="O1" s="113"/>
      <c r="P1" s="113"/>
      <c r="Q1" s="113"/>
      <c r="R1" s="113"/>
      <c r="S1" s="113"/>
      <c r="T1" s="113"/>
      <c r="U1" s="115"/>
      <c r="V1" s="275"/>
      <c r="W1" s="155"/>
      <c r="X1" s="180"/>
      <c r="Y1" s="939" t="str">
        <f>IF(Sheet1!$C$3="Annual"," the year ending 31st March"," the quarter")</f>
        <v xml:space="preserve"> the year ending 31st March</v>
      </c>
      <c r="Z1" s="180"/>
      <c r="AA1" s="180"/>
      <c r="AB1" s="180"/>
      <c r="AC1" s="180"/>
      <c r="AD1" s="180"/>
      <c r="AE1" s="180"/>
      <c r="AF1" s="180"/>
      <c r="AG1" s="180"/>
      <c r="AH1" s="180"/>
      <c r="AI1" s="181"/>
      <c r="AJ1" s="419"/>
    </row>
    <row r="2" spans="1:49" ht="18.75" customHeight="1" x14ac:dyDescent="0.2">
      <c r="A2" s="118"/>
      <c r="B2" s="128" t="s">
        <v>666</v>
      </c>
      <c r="C2" s="9"/>
      <c r="D2" s="9"/>
      <c r="E2" s="9"/>
      <c r="F2" s="9"/>
      <c r="G2" s="9"/>
      <c r="H2" s="9"/>
      <c r="I2" s="9"/>
      <c r="J2" s="9"/>
      <c r="K2" s="12"/>
      <c r="L2" s="9"/>
      <c r="M2" s="9"/>
      <c r="N2" s="9"/>
      <c r="O2" s="9"/>
      <c r="P2" s="9"/>
      <c r="Q2" s="9"/>
      <c r="R2" s="9"/>
      <c r="S2" s="9"/>
      <c r="T2" s="9"/>
      <c r="U2" s="117"/>
      <c r="V2" s="161"/>
      <c r="W2" s="150"/>
      <c r="X2" s="866">
        <f>IF(Sheet1!$C$3="Annual",1,4)</f>
        <v>1</v>
      </c>
      <c r="Y2" s="800" t="str">
        <f>IF(Sheet1!$C$3="Annual","",Sheet1!$D$28)</f>
        <v/>
      </c>
      <c r="Z2" s="801" t="str">
        <f>IF(Sheet1!$C$3="Annual","",Sheet1!$E$28)</f>
        <v/>
      </c>
      <c r="AA2" s="801" t="str">
        <f>IF(Sheet1!$C$3="Annual","",Sheet1!$F$28)</f>
        <v/>
      </c>
      <c r="AB2" s="801" t="str">
        <f>IF(Sheet1!$C$3="Annual","",Sheet1!$G$28)</f>
        <v/>
      </c>
      <c r="AC2" s="802" t="str">
        <f>IF(Sheet1!$C$3="Annual","",Sheet1!$H$28)</f>
        <v/>
      </c>
      <c r="AI2" s="184"/>
      <c r="AJ2" s="157"/>
    </row>
    <row r="3" spans="1:49" ht="18.75" customHeight="1" thickBot="1" x14ac:dyDescent="0.25">
      <c r="A3" s="124"/>
      <c r="B3" s="125"/>
      <c r="C3" s="125"/>
      <c r="D3" s="125"/>
      <c r="E3" s="125"/>
      <c r="F3" s="125"/>
      <c r="G3" s="125"/>
      <c r="H3" s="125"/>
      <c r="I3" s="553"/>
      <c r="J3" s="267"/>
      <c r="K3" s="126"/>
      <c r="L3" s="125"/>
      <c r="M3" s="125"/>
      <c r="N3" s="125"/>
      <c r="O3" s="125"/>
      <c r="P3" s="125"/>
      <c r="Q3" s="553"/>
      <c r="R3" s="125"/>
      <c r="S3" s="125"/>
      <c r="T3" s="125"/>
      <c r="U3" s="127"/>
      <c r="V3" s="161"/>
      <c r="W3" s="150"/>
      <c r="X3" s="803"/>
      <c r="Y3" s="803" t="str">
        <f>Sheet1!$D$27</f>
        <v>2015-16</v>
      </c>
      <c r="Z3" s="804" t="str">
        <f>Sheet1!$E$27</f>
        <v>2016-17</v>
      </c>
      <c r="AA3" s="804" t="str">
        <f>Sheet1!$F$27</f>
        <v>2017-18</v>
      </c>
      <c r="AB3" s="804" t="str">
        <f>Sheet1!$G$27</f>
        <v>2018-19</v>
      </c>
      <c r="AC3" s="805" t="str">
        <f>Sheet1!$H$27</f>
        <v>2019-20</v>
      </c>
      <c r="AI3" s="184"/>
      <c r="AJ3" s="157"/>
    </row>
    <row r="4" spans="1:49" ht="11.25" customHeight="1" x14ac:dyDescent="0.2">
      <c r="A4" s="112"/>
      <c r="B4" s="113"/>
      <c r="C4" s="113"/>
      <c r="D4" s="113"/>
      <c r="E4" s="113"/>
      <c r="F4" s="113"/>
      <c r="G4" s="113"/>
      <c r="H4" s="113"/>
      <c r="I4" s="113"/>
      <c r="J4" s="113"/>
      <c r="K4" s="114"/>
      <c r="L4" s="113"/>
      <c r="M4" s="113"/>
      <c r="N4" s="113"/>
      <c r="O4" s="113"/>
      <c r="P4" s="113"/>
      <c r="Q4" s="113"/>
      <c r="R4" s="113"/>
      <c r="S4" s="113"/>
      <c r="T4" s="113"/>
      <c r="U4" s="115"/>
      <c r="V4" s="137"/>
      <c r="W4" s="150"/>
      <c r="X4" s="186"/>
      <c r="Y4" s="186" t="str">
        <f>Home!$D$10</f>
        <v>(none)</v>
      </c>
      <c r="Z4" s="42" t="str">
        <f>"Selected LA- "&amp;Y4</f>
        <v>Selected LA- (none)</v>
      </c>
      <c r="AI4" s="184"/>
      <c r="AJ4" s="157"/>
    </row>
    <row r="5" spans="1:49" s="76" customFormat="1" ht="15" customHeight="1" x14ac:dyDescent="0.2">
      <c r="A5" s="119"/>
      <c r="B5" s="1746" t="s">
        <v>667</v>
      </c>
      <c r="C5" s="1746"/>
      <c r="D5" s="1746"/>
      <c r="E5" s="1746"/>
      <c r="F5" s="1746"/>
      <c r="G5" s="1746"/>
      <c r="H5" s="1746"/>
      <c r="I5" s="1746"/>
      <c r="J5" s="1746"/>
      <c r="K5" s="1746"/>
      <c r="L5" s="1746"/>
      <c r="M5" s="1746"/>
      <c r="N5" s="1746"/>
      <c r="O5" s="1746"/>
      <c r="P5" s="1746"/>
      <c r="Q5" s="1746"/>
      <c r="R5" s="1746"/>
      <c r="S5" s="1746"/>
      <c r="T5" s="1746"/>
      <c r="U5" s="120"/>
      <c r="V5" s="138"/>
      <c r="W5" s="151"/>
      <c r="X5" s="188"/>
      <c r="Y5" s="188"/>
      <c r="Z5" s="188"/>
      <c r="AA5" s="188"/>
      <c r="AB5" s="188"/>
      <c r="AC5" s="188"/>
      <c r="AD5" s="188"/>
      <c r="AE5" s="188"/>
      <c r="AF5" s="188"/>
      <c r="AG5" s="188"/>
      <c r="AH5" s="188"/>
      <c r="AI5" s="188"/>
      <c r="AJ5" s="158"/>
      <c r="AK5" s="188" t="str">
        <f>CONCATENATE($J$7,"in Number of "&amp;$B2)</f>
        <v>in Number of Care Leavers</v>
      </c>
      <c r="AQ5" s="74"/>
      <c r="AR5" s="74"/>
      <c r="AS5" s="74"/>
      <c r="AT5" s="74"/>
      <c r="AU5" s="74"/>
      <c r="AV5" s="74"/>
      <c r="AW5" s="74"/>
    </row>
    <row r="6" spans="1:49" ht="13.5" customHeight="1" x14ac:dyDescent="0.2">
      <c r="A6" s="118"/>
      <c r="B6" s="1746"/>
      <c r="C6" s="1746"/>
      <c r="D6" s="1746"/>
      <c r="E6" s="1746"/>
      <c r="F6" s="1746"/>
      <c r="G6" s="1746"/>
      <c r="H6" s="1746"/>
      <c r="I6" s="1746"/>
      <c r="J6" s="1746"/>
      <c r="K6" s="1746"/>
      <c r="L6" s="1746"/>
      <c r="M6" s="1746"/>
      <c r="N6" s="1746"/>
      <c r="O6" s="1746"/>
      <c r="P6" s="1746"/>
      <c r="Q6" s="1746"/>
      <c r="R6" s="1746"/>
      <c r="S6" s="1746"/>
      <c r="T6" s="1746"/>
      <c r="U6" s="117"/>
      <c r="V6" s="137"/>
      <c r="W6" s="150"/>
      <c r="Y6" s="190"/>
      <c r="AI6" s="184"/>
      <c r="AJ6" s="157"/>
    </row>
    <row r="7" spans="1:49" s="87" customFormat="1" ht="12.75" customHeight="1" x14ac:dyDescent="0.2">
      <c r="A7" s="121"/>
      <c r="B7" s="1789" t="s">
        <v>205</v>
      </c>
      <c r="C7" s="85"/>
      <c r="D7" s="1851" t="s">
        <v>88</v>
      </c>
      <c r="E7" s="1911"/>
      <c r="F7" s="1911"/>
      <c r="G7" s="1911"/>
      <c r="H7" s="1912"/>
      <c r="I7" s="1752" t="str">
        <f>"Average "&amp;Sheet1!C3&amp;" Change "</f>
        <v xml:space="preserve">Average Annual Change </v>
      </c>
      <c r="J7" s="1753"/>
      <c r="K7" s="96"/>
      <c r="L7" s="1913" t="s">
        <v>706</v>
      </c>
      <c r="M7" s="1914"/>
      <c r="N7" s="1914"/>
      <c r="O7" s="1914"/>
      <c r="P7" s="1914"/>
      <c r="Q7" s="1914"/>
      <c r="R7" s="1744" t="str">
        <f>IF(ISNA(P9),"SE Rank "&amp;P8,"SE Rank "&amp;P9)</f>
        <v>SE Rank 2019-20</v>
      </c>
      <c r="S7" s="70"/>
      <c r="T7" s="1731" t="s">
        <v>78</v>
      </c>
      <c r="U7" s="122"/>
      <c r="V7" s="139"/>
      <c r="W7" s="152"/>
      <c r="X7" s="202"/>
      <c r="Y7" s="1945" t="s">
        <v>767</v>
      </c>
      <c r="Z7" s="1947"/>
      <c r="AA7" s="1945" t="s">
        <v>79</v>
      </c>
      <c r="AB7" s="1946"/>
      <c r="AC7" s="1946"/>
      <c r="AD7" s="1946"/>
      <c r="AE7" s="1947"/>
      <c r="AF7" s="204" t="s">
        <v>94</v>
      </c>
      <c r="AG7" s="190"/>
      <c r="AH7" s="190"/>
      <c r="AI7" s="202"/>
      <c r="AJ7" s="160"/>
      <c r="AK7" s="575"/>
      <c r="AL7" s="575"/>
      <c r="AM7" s="575"/>
      <c r="AN7" s="575"/>
      <c r="AO7" s="575"/>
      <c r="AP7" s="74"/>
      <c r="AQ7" s="74"/>
      <c r="AR7" s="74"/>
      <c r="AS7" s="74"/>
      <c r="AT7" s="74"/>
      <c r="AU7" s="74"/>
      <c r="AV7" s="74"/>
    </row>
    <row r="8" spans="1:49" s="87" customFormat="1" ht="12.75" customHeight="1" x14ac:dyDescent="0.2">
      <c r="A8" s="292"/>
      <c r="B8" s="1789"/>
      <c r="C8" s="85"/>
      <c r="D8" s="789" t="str">
        <f>Sheet1!$D$27</f>
        <v>2015-16</v>
      </c>
      <c r="E8" s="790" t="str">
        <f>Sheet1!$E$27</f>
        <v>2016-17</v>
      </c>
      <c r="F8" s="790" t="str">
        <f>Sheet1!$F$27</f>
        <v>2017-18</v>
      </c>
      <c r="G8" s="790" t="str">
        <f>Sheet1!$G$27</f>
        <v>2018-19</v>
      </c>
      <c r="H8" s="791" t="str">
        <f>Sheet1!$H$27</f>
        <v>2019-20</v>
      </c>
      <c r="I8" s="1754"/>
      <c r="J8" s="1755"/>
      <c r="K8" s="96"/>
      <c r="L8" s="820" t="str">
        <f>Sheet1!$D$27</f>
        <v>2015-16</v>
      </c>
      <c r="M8" s="821" t="str">
        <f>Sheet1!$E$27</f>
        <v>2016-17</v>
      </c>
      <c r="N8" s="821" t="str">
        <f>Sheet1!$F$27</f>
        <v>2017-18</v>
      </c>
      <c r="O8" s="821" t="str">
        <f>Sheet1!$G$27</f>
        <v>2018-19</v>
      </c>
      <c r="P8" s="1741" t="str">
        <f>Sheet1!$H$27</f>
        <v>2019-20</v>
      </c>
      <c r="Q8" s="1742"/>
      <c r="R8" s="1816"/>
      <c r="S8" s="70"/>
      <c r="T8" s="1743"/>
      <c r="U8" s="122"/>
      <c r="V8" s="139"/>
      <c r="W8" s="152"/>
      <c r="X8" s="202"/>
      <c r="Y8" s="1735" t="s">
        <v>76</v>
      </c>
      <c r="Z8" s="1735" t="s">
        <v>77</v>
      </c>
      <c r="AA8" s="758" t="str">
        <f>Sheet1!$D$27</f>
        <v>2015-16</v>
      </c>
      <c r="AB8" s="758" t="str">
        <f>Sheet1!$E$27</f>
        <v>2016-17</v>
      </c>
      <c r="AC8" s="758" t="str">
        <f>Sheet1!$F$27</f>
        <v>2017-18</v>
      </c>
      <c r="AD8" s="758" t="str">
        <f>Sheet1!$G$27</f>
        <v>2018-19</v>
      </c>
      <c r="AE8" s="758" t="str">
        <f>Sheet1!$H$27</f>
        <v>2019-20</v>
      </c>
      <c r="AF8" s="204"/>
      <c r="AG8" s="190"/>
      <c r="AH8" s="190"/>
      <c r="AI8" s="202"/>
      <c r="AJ8" s="160"/>
      <c r="AK8" s="945"/>
      <c r="AL8" s="945"/>
      <c r="AM8" s="945"/>
      <c r="AN8" s="945"/>
      <c r="AO8" s="945"/>
      <c r="AQ8" s="74"/>
      <c r="AR8" s="74"/>
      <c r="AS8" s="74"/>
      <c r="AT8" s="74"/>
      <c r="AU8" s="74"/>
      <c r="AV8" s="74"/>
    </row>
    <row r="9" spans="1:49" s="87" customFormat="1" ht="12.75" customHeight="1" x14ac:dyDescent="0.2">
      <c r="A9" s="121"/>
      <c r="B9" s="1790"/>
      <c r="C9" s="85"/>
      <c r="D9" s="792" t="e">
        <f>Sheet1!$D$28</f>
        <v>#N/A</v>
      </c>
      <c r="E9" s="792" t="e">
        <f>Sheet1!$E$28</f>
        <v>#N/A</v>
      </c>
      <c r="F9" s="792" t="e">
        <f>Sheet1!$F$28</f>
        <v>#N/A</v>
      </c>
      <c r="G9" s="792" t="e">
        <f>Sheet1!$G$28</f>
        <v>#N/A</v>
      </c>
      <c r="H9" s="793" t="e">
        <f>Sheet1!$H$28</f>
        <v>#N/A</v>
      </c>
      <c r="I9" s="1754"/>
      <c r="J9" s="1756"/>
      <c r="K9" s="96"/>
      <c r="L9" s="792" t="e">
        <f>Sheet1!$D$28</f>
        <v>#N/A</v>
      </c>
      <c r="M9" s="792" t="e">
        <f>Sheet1!$E$28</f>
        <v>#N/A</v>
      </c>
      <c r="N9" s="792" t="e">
        <f>Sheet1!$F$28</f>
        <v>#N/A</v>
      </c>
      <c r="O9" s="792" t="e">
        <f>Sheet1!$G$28</f>
        <v>#N/A</v>
      </c>
      <c r="P9" s="1739" t="e">
        <f>Sheet1!$H$28</f>
        <v>#N/A</v>
      </c>
      <c r="Q9" s="1827"/>
      <c r="R9" s="1745"/>
      <c r="S9" s="70"/>
      <c r="T9" s="1732"/>
      <c r="U9" s="122"/>
      <c r="V9" s="139"/>
      <c r="W9" s="152"/>
      <c r="X9" s="202"/>
      <c r="Y9" s="1736"/>
      <c r="Z9" s="1736"/>
      <c r="AA9" s="758" t="e">
        <f>Sheet1!$D$28</f>
        <v>#N/A</v>
      </c>
      <c r="AB9" s="758" t="e">
        <f>Sheet1!$E$28</f>
        <v>#N/A</v>
      </c>
      <c r="AC9" s="758" t="e">
        <f>Sheet1!$F$28</f>
        <v>#N/A</v>
      </c>
      <c r="AD9" s="758" t="e">
        <f>Sheet1!$G$28</f>
        <v>#N/A</v>
      </c>
      <c r="AE9" s="758" t="e">
        <f>Sheet1!$H$28</f>
        <v>#N/A</v>
      </c>
      <c r="AF9" s="190"/>
      <c r="AG9" s="190">
        <v>15</v>
      </c>
      <c r="AH9" s="190"/>
      <c r="AI9" s="202"/>
      <c r="AJ9" s="160"/>
      <c r="AK9" s="947" t="s">
        <v>676</v>
      </c>
      <c r="AL9" s="947" t="s">
        <v>677</v>
      </c>
      <c r="AM9" s="947" t="s">
        <v>678</v>
      </c>
      <c r="AN9" s="947" t="s">
        <v>679</v>
      </c>
      <c r="AO9" s="947" t="s">
        <v>680</v>
      </c>
      <c r="AQ9" s="74"/>
      <c r="AR9" s="74"/>
      <c r="AS9" s="74"/>
      <c r="AT9" s="74"/>
      <c r="AU9" s="74"/>
      <c r="AV9" s="74"/>
    </row>
    <row r="10" spans="1:49" s="87" customFormat="1" ht="13.5" customHeight="1" x14ac:dyDescent="0.2">
      <c r="A10" s="488">
        <f>VLOOKUP(B10,Sheet1!$AQ$4:$AR$25,2,FALSE)</f>
        <v>0</v>
      </c>
      <c r="B10" s="93" t="str">
        <f>Sheet1!$K$4</f>
        <v>Bracknell Forest</v>
      </c>
      <c r="C10" s="85"/>
      <c r="D10" s="100">
        <f>IF(Year1_Bracknell_Forest Year1_Care_Leavers_at_end_of_period="","",Year1_Bracknell_Forest Year1_Care_Leavers_at_end_of_period)</f>
        <v>40</v>
      </c>
      <c r="E10" s="100">
        <f>IF(Year2_Bracknell_Forest Year2_Care_Leavers_at_end_of_period="","",Year2_Bracknell_Forest Year2_Care_Leavers_at_end_of_period)</f>
        <v>32</v>
      </c>
      <c r="F10" s="100">
        <f>IF(Year3_Bracknell_Forest Year3_Care_Leavers_at_end_of_period="","",Year3_Bracknell_Forest Year3_Care_Leavers_at_end_of_period)</f>
        <v>42</v>
      </c>
      <c r="G10" s="100">
        <f>IF(Year4_Bracknell_Forest Year4_Care_Leavers_at_end_of_period="","",Year4_Bracknell_Forest Year4_Care_Leavers_at_end_of_period)</f>
        <v>47</v>
      </c>
      <c r="H10" s="589">
        <f>IF(Year5_Bracknell_Forest Year5_Care_Leavers_at_end_of_period="","",Year5_Bracknell_Forest Year5_Care_Leavers_at_end_of_period)</f>
        <v>57</v>
      </c>
      <c r="I10" s="1092">
        <f t="shared" ref="I10:I31" si="0">AO10</f>
        <v>0.11107839412360689</v>
      </c>
      <c r="J10" s="863">
        <f t="shared" ref="J10:J32" si="1">I10</f>
        <v>0.11107839412360689</v>
      </c>
      <c r="K10" s="96"/>
      <c r="L10" s="97">
        <f>IF(ISNUMBER(D10),D10/Population!P10*10000,NA())</f>
        <v>121.21212121212122</v>
      </c>
      <c r="M10" s="97">
        <f>IF(ISNUMBER(E10),E10/Population!Q10*10000,NA())</f>
        <v>103.2258064516129</v>
      </c>
      <c r="N10" s="97">
        <f>IF(ISNUMBER(F10),F10/Population!R10*10000,NA())</f>
        <v>131.25</v>
      </c>
      <c r="O10" s="97">
        <f>IF(ISNUMBER(G10),G10/Population!S10*10000,NA())</f>
        <v>142.42424242424241</v>
      </c>
      <c r="P10" s="97">
        <f>IF(ISNUMBER(H10),H10/Population!T10*10000,NA())</f>
        <v>169.13946587537092</v>
      </c>
      <c r="Q10" s="99">
        <f>IF(ISNUMBER(P10),P10,"")</f>
        <v>169.13946587537092</v>
      </c>
      <c r="R10" s="822">
        <f>IF(ISNA(VLOOKUP(B10,$AF$10:$AH$28,3,FALSE)),"--",IF(ISNUMBER(H10),VLOOKUP(B10,$AF$10:$AH$28,3,FALSE),NA()))</f>
        <v>13</v>
      </c>
      <c r="S10" s="70"/>
      <c r="T10" s="752">
        <f>IDACI!C9</f>
        <v>8.9</v>
      </c>
      <c r="U10" s="122"/>
      <c r="V10" s="139"/>
      <c r="W10" s="152"/>
      <c r="X10" s="72" t="str">
        <f t="shared" ref="X10:X32" si="2">B10</f>
        <v>Bracknell Forest</v>
      </c>
      <c r="Y10" s="44">
        <f>IF(ISNUMBER(H10),IDACI!D9,0)</f>
        <v>24849</v>
      </c>
      <c r="Z10" s="44">
        <f>IF(ISNUMBER(H10),IDACI!E9,0)</f>
        <v>2211.5610000000001</v>
      </c>
      <c r="AA10" s="205">
        <f>IF(ISNUMBER(D10),Population!P10,"")</f>
        <v>3300</v>
      </c>
      <c r="AB10" s="205">
        <f>IF(ISNUMBER(E10),Population!Q10,"")</f>
        <v>3100</v>
      </c>
      <c r="AC10" s="205">
        <f>IF(ISNUMBER(F10),Population!R10,"")</f>
        <v>3200</v>
      </c>
      <c r="AD10" s="205">
        <f>IF(ISNUMBER(G10),Population!S10,"")</f>
        <v>3300</v>
      </c>
      <c r="AE10" s="205">
        <f>IF(ISNUMBER(H10),Population!T10,"")</f>
        <v>3370</v>
      </c>
      <c r="AF10" s="93" t="str">
        <f>B10</f>
        <v>Bracknell Forest</v>
      </c>
      <c r="AG10" s="231">
        <f>IFERROR(VLOOKUP(AF10,$B$10:$P$31,AG$9,FALSE),"")</f>
        <v>169.13946587537092</v>
      </c>
      <c r="AH10" s="206">
        <f>RANK(AG10,$AG$10:$AG$28,1)</f>
        <v>13</v>
      </c>
      <c r="AI10" s="202"/>
      <c r="AJ10" s="160"/>
      <c r="AK10" s="853">
        <f t="shared" ref="AK10:AK31" si="3">IF(ISERROR((E10-D10)/D10),"x",(E10-D10)/D10)</f>
        <v>-0.2</v>
      </c>
      <c r="AL10" s="853">
        <f t="shared" ref="AL10:AL31" si="4">IF(ISERROR((F10-E10)/E10),"x",(F10-E10)/E10)</f>
        <v>0.3125</v>
      </c>
      <c r="AM10" s="853">
        <f t="shared" ref="AM10:AM31" si="5">IF(ISERROR((G10-F10)/F10),"x",(G10-F10)/F10)</f>
        <v>0.11904761904761904</v>
      </c>
      <c r="AN10" s="853">
        <f t="shared" ref="AN10:AN31" si="6">IF(ISERROR((H10-G10)/G10),"x",(H10-G10)/G10)</f>
        <v>0.21276595744680851</v>
      </c>
      <c r="AO10" s="853">
        <f>AVERAGE(AK10:AN10)</f>
        <v>0.11107839412360689</v>
      </c>
      <c r="AQ10" s="74"/>
      <c r="AR10" s="74"/>
      <c r="AS10" s="74"/>
      <c r="AT10" s="74"/>
      <c r="AU10" s="74"/>
      <c r="AV10" s="74"/>
    </row>
    <row r="11" spans="1:49" s="87" customFormat="1" ht="13.5" customHeight="1" x14ac:dyDescent="0.2">
      <c r="A11" s="488">
        <f>VLOOKUP(B11,Sheet1!$AQ$4:$AR$25,2,FALSE)</f>
        <v>0</v>
      </c>
      <c r="B11" s="93" t="str">
        <f>Sheet1!$K$5</f>
        <v>Brighton &amp; Hove</v>
      </c>
      <c r="C11" s="85"/>
      <c r="D11" s="100">
        <f>IF(Year1_Brighton_Hove Year1_Care_Leavers_at_end_of_period="","",Year1_Brighton_Hove Year1_Care_Leavers_at_end_of_period)</f>
        <v>161</v>
      </c>
      <c r="E11" s="100">
        <f>IF(Year2_Brighton_Hove Year2_Care_Leavers_at_end_of_period="","",Year2_Brighton_Hove Year2_Care_Leavers_at_end_of_period)</f>
        <v>174</v>
      </c>
      <c r="F11" s="100">
        <f>IF(Year3_Brighton_Hove Year3_Care_Leavers_at_end_of_period="","",Year3_Brighton_Hove Year3_Care_Leavers_at_end_of_period)</f>
        <v>195</v>
      </c>
      <c r="G11" s="100">
        <f>IF(Year4_Brighton_Hove Year4_Care_Leavers_at_end_of_period="","",Year4_Brighton_Hove Year4_Care_Leavers_at_end_of_period)</f>
        <v>219</v>
      </c>
      <c r="H11" s="589">
        <f>IF(Year5_Brighton_Hove Year5_Care_Leavers_at_end_of_period="","",Year5_Brighton_Hove Year5_Care_Leavers_at_end_of_period)</f>
        <v>229</v>
      </c>
      <c r="I11" s="1093">
        <f t="shared" si="0"/>
        <v>9.2543505080216179E-2</v>
      </c>
      <c r="J11" s="863">
        <f t="shared" si="1"/>
        <v>9.2543505080216179E-2</v>
      </c>
      <c r="K11" s="96"/>
      <c r="L11" s="97">
        <f>IF(ISNUMBER(D11),D11/Population!P11*10000,NA())</f>
        <v>88.461538461538453</v>
      </c>
      <c r="M11" s="97">
        <f>IF(ISNUMBER(E11),E11/Population!Q11*10000,NA())</f>
        <v>90.155440414507765</v>
      </c>
      <c r="N11" s="97">
        <f>IF(ISNUMBER(F11),F11/Population!R11*10000,NA())</f>
        <v>95.588235294117652</v>
      </c>
      <c r="O11" s="97">
        <f>IF(ISNUMBER(G11),G11/Population!S11*10000,NA())</f>
        <v>103.7914691943128</v>
      </c>
      <c r="P11" s="98">
        <f>IF(ISNUMBER(H11),H11/Population!T11*10000,NA())</f>
        <v>109.36007640878702</v>
      </c>
      <c r="Q11" s="99">
        <f t="shared" ref="Q11:Q32" si="7">IF(ISNUMBER(P11),P11,"")</f>
        <v>109.36007640878702</v>
      </c>
      <c r="R11" s="822">
        <f>IF(ISNA(VLOOKUP(B11,$AF$10:$AH$28,3,FALSE)),"--",IF(ISNUMBER(H11),VLOOKUP(B11,$AF$10:$AH$28,3,FALSE),NA()))</f>
        <v>4</v>
      </c>
      <c r="S11" s="70"/>
      <c r="T11" s="752">
        <f>IDACI!C10</f>
        <v>15.299999999999999</v>
      </c>
      <c r="U11" s="122"/>
      <c r="V11" s="139"/>
      <c r="W11" s="152"/>
      <c r="X11" s="72" t="str">
        <f t="shared" si="2"/>
        <v>Brighton &amp; Hove</v>
      </c>
      <c r="Y11" s="44">
        <f>IF(ISNUMBER(H11),IDACI!D10,0)</f>
        <v>45576</v>
      </c>
      <c r="Z11" s="44">
        <f>IF(ISNUMBER(H11),IDACI!E10,0)</f>
        <v>6973.1279999999997</v>
      </c>
      <c r="AA11" s="205">
        <f>IF(ISNUMBER(D11),Population!P11,"")</f>
        <v>18200</v>
      </c>
      <c r="AB11" s="205">
        <f>IF(ISNUMBER(E11),Population!Q11,"")</f>
        <v>19300</v>
      </c>
      <c r="AC11" s="205">
        <f>IF(ISNUMBER(F11),Population!R11,"")</f>
        <v>20400</v>
      </c>
      <c r="AD11" s="205">
        <f>IF(ISNUMBER(G11),Population!S11,"")</f>
        <v>21100</v>
      </c>
      <c r="AE11" s="205">
        <f>IF(ISNUMBER(H11),Population!T11,"")</f>
        <v>20940</v>
      </c>
      <c r="AF11" s="93" t="s">
        <v>31</v>
      </c>
      <c r="AG11" s="231">
        <f t="shared" ref="AG11:AG28" si="8">IFERROR(VLOOKUP(AF11,$B$10:$P$31,AG$9,FALSE),"")</f>
        <v>109.36007640878702</v>
      </c>
      <c r="AH11" s="206">
        <f t="shared" ref="AH11:AH28" si="9">RANK(AG11,$AG$10:$AG$28,1)</f>
        <v>4</v>
      </c>
      <c r="AI11" s="202"/>
      <c r="AJ11" s="160"/>
      <c r="AK11" s="853">
        <f t="shared" si="3"/>
        <v>8.0745341614906832E-2</v>
      </c>
      <c r="AL11" s="853">
        <f t="shared" si="4"/>
        <v>0.1206896551724138</v>
      </c>
      <c r="AM11" s="853">
        <f t="shared" si="5"/>
        <v>0.12307692307692308</v>
      </c>
      <c r="AN11" s="853">
        <f t="shared" si="6"/>
        <v>4.5662100456621002E-2</v>
      </c>
      <c r="AO11" s="853">
        <f t="shared" ref="AO11:AO31" si="10">AVERAGE(AK11:AN11)</f>
        <v>9.2543505080216179E-2</v>
      </c>
      <c r="AQ11" s="74"/>
      <c r="AR11" s="74"/>
      <c r="AS11" s="74"/>
      <c r="AT11" s="74"/>
      <c r="AU11" s="74"/>
      <c r="AV11" s="74"/>
    </row>
    <row r="12" spans="1:49" s="87" customFormat="1" ht="13.5" customHeight="1" x14ac:dyDescent="0.2">
      <c r="A12" s="488">
        <f>VLOOKUP(B12,Sheet1!$AQ$4:$AR$25,2,FALSE)</f>
        <v>0</v>
      </c>
      <c r="B12" s="93" t="str">
        <f>Sheet1!$K$6</f>
        <v>Buckinghamshire</v>
      </c>
      <c r="C12" s="85"/>
      <c r="D12" s="100">
        <f>IF(Year1_Buckinghamshire Year1_Care_Leavers_at_end_of_period="","",Year1_Buckinghamshire Year1_Care_Leavers_at_end_of_period)</f>
        <v>151</v>
      </c>
      <c r="E12" s="100">
        <f>IF(Year2_Buckinghamshire Year2_Care_Leavers_at_end_of_period="","",Year2_Buckinghamshire Year2_Care_Leavers_at_end_of_period)</f>
        <v>170</v>
      </c>
      <c r="F12" s="100">
        <f>IF(Year3_Buckinghamshire Year3_Care_Leavers_at_end_of_period="","",Year3_Buckinghamshire Year3_Care_Leavers_at_end_of_period)</f>
        <v>199</v>
      </c>
      <c r="G12" s="100">
        <f>IF(Year4_Buckinghamshire Year4_Care_Leavers_at_end_of_period="","",Year4_Buckinghamshire Year4_Care_Leavers_at_end_of_period)</f>
        <v>186</v>
      </c>
      <c r="H12" s="589">
        <f>IF(Year5_Buckinghamshire Year5_Care_Leavers_at_end_of_period="","",Year5_Buckinghamshire Year5_Care_Leavers_at_end_of_period)</f>
        <v>194</v>
      </c>
      <c r="I12" s="1093">
        <f t="shared" si="0"/>
        <v>6.8525042346499254E-2</v>
      </c>
      <c r="J12" s="863">
        <f t="shared" si="1"/>
        <v>6.8525042346499254E-2</v>
      </c>
      <c r="K12" s="96"/>
      <c r="L12" s="97">
        <f>IF(ISNUMBER(D12),D12/Population!P12*10000,NA())</f>
        <v>102.72108843537416</v>
      </c>
      <c r="M12" s="97">
        <f>IF(ISNUMBER(E12),E12/Population!Q12*10000,NA())</f>
        <v>118.05555555555556</v>
      </c>
      <c r="N12" s="97">
        <f>IF(ISNUMBER(F12),F12/Population!R12*10000,NA())</f>
        <v>145.25547445255475</v>
      </c>
      <c r="O12" s="97">
        <f>IF(ISNUMBER(G12),G12/Population!S12*10000,NA())</f>
        <v>139.84962406015038</v>
      </c>
      <c r="P12" s="98">
        <f>IF(ISNUMBER(H12),H12/Population!T12*10000,NA())</f>
        <v>151.5625</v>
      </c>
      <c r="Q12" s="99">
        <f t="shared" si="7"/>
        <v>151.5625</v>
      </c>
      <c r="R12" s="822">
        <f t="shared" ref="R12:R32" si="11">IF(ISNA(VLOOKUP(B12,$AF$10:$AH$28,3,FALSE)),"--",IF(ISNUMBER(H12),VLOOKUP(B12,$AF$10:$AH$28,3,FALSE),NA()))</f>
        <v>11</v>
      </c>
      <c r="S12" s="70"/>
      <c r="T12" s="752">
        <f>IDACI!C11</f>
        <v>8.5</v>
      </c>
      <c r="U12" s="122"/>
      <c r="V12" s="139"/>
      <c r="W12" s="152"/>
      <c r="X12" s="72" t="str">
        <f t="shared" si="2"/>
        <v>Buckinghamshire</v>
      </c>
      <c r="Y12" s="44">
        <f>IF(ISNUMBER(H12),IDACI!D11,0)</f>
        <v>107385</v>
      </c>
      <c r="Z12" s="44">
        <f>IF(ISNUMBER(H12),IDACI!E11,0)</f>
        <v>9127.7250000000004</v>
      </c>
      <c r="AA12" s="205">
        <f>IF(ISNUMBER(D12),Population!P12,"")</f>
        <v>14700</v>
      </c>
      <c r="AB12" s="205">
        <f>IF(ISNUMBER(E12),Population!Q12,"")</f>
        <v>14400</v>
      </c>
      <c r="AC12" s="205">
        <f>IF(ISNUMBER(F12),Population!R12,"")</f>
        <v>13700</v>
      </c>
      <c r="AD12" s="205">
        <f>IF(ISNUMBER(G12),Population!S12,"")</f>
        <v>13300</v>
      </c>
      <c r="AE12" s="205">
        <f>IF(ISNUMBER(H12),Population!T12,"")</f>
        <v>12800</v>
      </c>
      <c r="AF12" s="93" t="s">
        <v>8</v>
      </c>
      <c r="AG12" s="231">
        <f t="shared" si="8"/>
        <v>151.5625</v>
      </c>
      <c r="AH12" s="206">
        <f t="shared" si="9"/>
        <v>11</v>
      </c>
      <c r="AI12" s="202"/>
      <c r="AJ12" s="160"/>
      <c r="AK12" s="853">
        <f t="shared" si="3"/>
        <v>0.12582781456953643</v>
      </c>
      <c r="AL12" s="853">
        <f t="shared" si="4"/>
        <v>0.17058823529411765</v>
      </c>
      <c r="AM12" s="853">
        <f t="shared" si="5"/>
        <v>-6.5326633165829151E-2</v>
      </c>
      <c r="AN12" s="853">
        <f t="shared" si="6"/>
        <v>4.3010752688172046E-2</v>
      </c>
      <c r="AO12" s="853">
        <f t="shared" si="10"/>
        <v>6.8525042346499254E-2</v>
      </c>
      <c r="AQ12" s="74"/>
      <c r="AR12" s="74"/>
      <c r="AS12" s="74"/>
      <c r="AT12" s="74"/>
      <c r="AU12" s="74"/>
      <c r="AV12" s="74"/>
    </row>
    <row r="13" spans="1:49" s="87" customFormat="1" ht="13.5" customHeight="1" x14ac:dyDescent="0.2">
      <c r="A13" s="488">
        <f>VLOOKUP(B13,Sheet1!$AQ$4:$AR$25,2,FALSE)</f>
        <v>0</v>
      </c>
      <c r="B13" s="93" t="str">
        <f>Sheet1!$K$7</f>
        <v>East Sussex</v>
      </c>
      <c r="C13" s="85"/>
      <c r="D13" s="100">
        <f>IF(Year1_East_Sussex Year1_Care_Leavers_at_end_of_period="","",Year1_East_Sussex Year1_Care_Leavers_at_end_of_period)</f>
        <v>152</v>
      </c>
      <c r="E13" s="100">
        <f>IF(Year2_East_Sussex Year2_Care_Leavers_at_end_of_period="","",Year2_East_Sussex Year2_Care_Leavers_at_end_of_period)</f>
        <v>149</v>
      </c>
      <c r="F13" s="100">
        <f>IF(Year3_East_Sussex Year3_Care_Leavers_at_end_of_period="","",Year3_East_Sussex Year3_Care_Leavers_at_end_of_period)</f>
        <v>154</v>
      </c>
      <c r="G13" s="100">
        <f>IF(Year4_East_Sussex Year4_Care_Leavers_at_end_of_period="","",Year4_East_Sussex Year4_Care_Leavers_at_end_of_period)</f>
        <v>167</v>
      </c>
      <c r="H13" s="589">
        <f>IF(Year5_East_Sussex Year5_Care_Leavers_at_end_of_period="","",Year5_East_Sussex Year5_Care_Leavers_at_end_of_period)</f>
        <v>199</v>
      </c>
      <c r="I13" s="1093">
        <f t="shared" si="0"/>
        <v>7.2463138939313221E-2</v>
      </c>
      <c r="J13" s="863">
        <f t="shared" si="1"/>
        <v>7.2463138939313221E-2</v>
      </c>
      <c r="K13" s="96"/>
      <c r="L13" s="97">
        <f>IF(ISNUMBER(D13),D13/Population!P13*10000,NA())</f>
        <v>95.59748427672956</v>
      </c>
      <c r="M13" s="97">
        <f>IF(ISNUMBER(E13),E13/Population!Q13*10000,NA())</f>
        <v>94.904458598726109</v>
      </c>
      <c r="N13" s="97">
        <f>IF(ISNUMBER(F13),F13/Population!R13*10000,NA())</f>
        <v>99.354838709677423</v>
      </c>
      <c r="O13" s="97">
        <f>IF(ISNUMBER(G13),G13/Population!S13*10000,NA())</f>
        <v>109.86842105263158</v>
      </c>
      <c r="P13" s="98">
        <f>IF(ISNUMBER(H13),H13/Population!T13*10000,NA())</f>
        <v>137.39298536315934</v>
      </c>
      <c r="Q13" s="99">
        <f t="shared" si="7"/>
        <v>137.39298536315934</v>
      </c>
      <c r="R13" s="822">
        <f t="shared" si="11"/>
        <v>9</v>
      </c>
      <c r="S13" s="70"/>
      <c r="T13" s="752">
        <f>IDACI!C12</f>
        <v>16.100000000000001</v>
      </c>
      <c r="U13" s="122"/>
      <c r="V13" s="139"/>
      <c r="W13" s="152"/>
      <c r="X13" s="72" t="str">
        <f t="shared" si="2"/>
        <v>East Sussex</v>
      </c>
      <c r="Y13" s="44">
        <f>IF(ISNUMBER(H13),IDACI!D12,0)</f>
        <v>93130</v>
      </c>
      <c r="Z13" s="44">
        <f>IF(ISNUMBER(H13),IDACI!E12,0)</f>
        <v>14993.93</v>
      </c>
      <c r="AA13" s="205">
        <f>IF(ISNUMBER(D13),Population!P13,"")</f>
        <v>15900</v>
      </c>
      <c r="AB13" s="205">
        <f>IF(ISNUMBER(E13),Population!Q13,"")</f>
        <v>15700</v>
      </c>
      <c r="AC13" s="205">
        <f>IF(ISNUMBER(F13),Population!R13,"")</f>
        <v>15500</v>
      </c>
      <c r="AD13" s="205">
        <f>IF(ISNUMBER(G13),Population!S13,"")</f>
        <v>15200</v>
      </c>
      <c r="AE13" s="205">
        <f>IF(ISNUMBER(H13),Population!T13,"")</f>
        <v>14484</v>
      </c>
      <c r="AF13" s="93" t="s">
        <v>4</v>
      </c>
      <c r="AG13" s="231">
        <f t="shared" si="8"/>
        <v>137.39298536315934</v>
      </c>
      <c r="AH13" s="206">
        <f t="shared" si="9"/>
        <v>9</v>
      </c>
      <c r="AI13" s="202"/>
      <c r="AJ13" s="160"/>
      <c r="AK13" s="853">
        <f t="shared" si="3"/>
        <v>-1.9736842105263157E-2</v>
      </c>
      <c r="AL13" s="853">
        <f t="shared" si="4"/>
        <v>3.3557046979865772E-2</v>
      </c>
      <c r="AM13" s="853">
        <f t="shared" si="5"/>
        <v>8.4415584415584416E-2</v>
      </c>
      <c r="AN13" s="853">
        <f t="shared" si="6"/>
        <v>0.19161676646706588</v>
      </c>
      <c r="AO13" s="853">
        <f t="shared" si="10"/>
        <v>7.2463138939313221E-2</v>
      </c>
      <c r="AQ13" s="74"/>
      <c r="AR13" s="74"/>
      <c r="AS13" s="74"/>
      <c r="AT13" s="74"/>
      <c r="AU13" s="74"/>
      <c r="AV13" s="74"/>
    </row>
    <row r="14" spans="1:49" s="87" customFormat="1" ht="13.5" customHeight="1" x14ac:dyDescent="0.2">
      <c r="A14" s="488">
        <f>VLOOKUP(B14,Sheet1!$AQ$4:$AR$25,2,FALSE)</f>
        <v>0</v>
      </c>
      <c r="B14" s="93" t="str">
        <f>Sheet1!$K$8</f>
        <v>Hampshire</v>
      </c>
      <c r="C14" s="85"/>
      <c r="D14" s="100">
        <f>IF(Year1_Hampshire Year1_Care_Leavers_at_end_of_period="","",Year1_Hampshire Year1_Care_Leavers_at_end_of_period)</f>
        <v>498</v>
      </c>
      <c r="E14" s="100">
        <f>IF(Year2_Hampshire Year2_Care_Leavers_at_end_of_period="","",Year2_Hampshire Year2_Care_Leavers_at_end_of_period)</f>
        <v>505</v>
      </c>
      <c r="F14" s="603">
        <f>IF(Year3_Hampshire Year3_Care_Leavers_at_end_of_period="","",Year3_Hampshire Year3_Care_Leavers_at_end_of_period)</f>
        <v>530</v>
      </c>
      <c r="G14" s="603">
        <f>IF(Year4_Hampshire Year4_Care_Leavers_at_end_of_period="","",Year4_Hampshire Year4_Care_Leavers_at_end_of_period)</f>
        <v>514</v>
      </c>
      <c r="H14" s="589">
        <f>IF(Year5_Hampshire Year5_Care_Leavers_at_end_of_period="","",Year5_Hampshire Year5_Care_Leavers_at_end_of_period)</f>
        <v>552</v>
      </c>
      <c r="I14" s="1093">
        <f t="shared" si="0"/>
        <v>2.6825614309714758E-2</v>
      </c>
      <c r="J14" s="863">
        <f t="shared" si="1"/>
        <v>2.6825614309714758E-2</v>
      </c>
      <c r="K14" s="96"/>
      <c r="L14" s="97">
        <f>IF(ISNUMBER(D14),D14/Population!P14*10000,NA())</f>
        <v>121.46341463414635</v>
      </c>
      <c r="M14" s="97">
        <f>IF(ISNUMBER(E14),E14/Population!Q14*10000,NA())</f>
        <v>123.77450980392156</v>
      </c>
      <c r="N14" s="97">
        <f>IF(ISNUMBER(F14),F14/Population!R14*10000,NA())</f>
        <v>133.50125944584383</v>
      </c>
      <c r="O14" s="97">
        <f>IF(ISNUMBER(G14),G14/Population!S14*10000,NA())</f>
        <v>131.12244897959184</v>
      </c>
      <c r="P14" s="98">
        <f>IF(ISNUMBER(H14),H14/Population!T14*10000,NA())</f>
        <v>143.97871618978064</v>
      </c>
      <c r="Q14" s="99">
        <f t="shared" si="7"/>
        <v>143.97871618978064</v>
      </c>
      <c r="R14" s="822">
        <f t="shared" si="11"/>
        <v>10</v>
      </c>
      <c r="S14" s="70"/>
      <c r="T14" s="752">
        <f>IDACI!C13</f>
        <v>10.100000000000001</v>
      </c>
      <c r="U14" s="122"/>
      <c r="V14" s="139"/>
      <c r="W14" s="152"/>
      <c r="X14" s="72" t="str">
        <f t="shared" si="2"/>
        <v>Hampshire</v>
      </c>
      <c r="Y14" s="44">
        <f>IF(ISNUMBER(H14),IDACI!D13,0)</f>
        <v>249483</v>
      </c>
      <c r="Z14" s="44">
        <f>IF(ISNUMBER(H14),IDACI!E13,0)</f>
        <v>25197.783000000007</v>
      </c>
      <c r="AA14" s="205">
        <f>IF(ISNUMBER(D14),Population!P14,"")</f>
        <v>41000</v>
      </c>
      <c r="AB14" s="205">
        <f>IF(ISNUMBER(E14),Population!Q14,"")</f>
        <v>40800</v>
      </c>
      <c r="AC14" s="205">
        <f>IF(ISNUMBER(F14),Population!R14,"")</f>
        <v>39700</v>
      </c>
      <c r="AD14" s="205">
        <f>IF(ISNUMBER(G14),Population!S14,"")</f>
        <v>39200</v>
      </c>
      <c r="AE14" s="205">
        <f>IF(ISNUMBER(H14),Population!T14,"")</f>
        <v>38339</v>
      </c>
      <c r="AF14" s="93" t="s">
        <v>6</v>
      </c>
      <c r="AG14" s="231">
        <f t="shared" si="8"/>
        <v>143.97871618978064</v>
      </c>
      <c r="AH14" s="206">
        <f t="shared" si="9"/>
        <v>10</v>
      </c>
      <c r="AI14" s="202"/>
      <c r="AJ14" s="160"/>
      <c r="AK14" s="853">
        <f t="shared" si="3"/>
        <v>1.4056224899598393E-2</v>
      </c>
      <c r="AL14" s="853">
        <f t="shared" si="4"/>
        <v>4.9504950495049507E-2</v>
      </c>
      <c r="AM14" s="853">
        <f t="shared" si="5"/>
        <v>-3.0188679245283019E-2</v>
      </c>
      <c r="AN14" s="853">
        <f t="shared" si="6"/>
        <v>7.3929961089494164E-2</v>
      </c>
      <c r="AO14" s="853">
        <f t="shared" si="10"/>
        <v>2.6825614309714758E-2</v>
      </c>
      <c r="AQ14" s="74"/>
      <c r="AR14" s="74"/>
      <c r="AS14" s="74"/>
      <c r="AT14" s="74"/>
      <c r="AU14" s="74"/>
      <c r="AV14" s="74"/>
    </row>
    <row r="15" spans="1:49" s="87" customFormat="1" ht="13.5" customHeight="1" x14ac:dyDescent="0.2">
      <c r="A15" s="488">
        <f>VLOOKUP(B15,Sheet1!$AQ$4:$AR$25,2,FALSE)</f>
        <v>0</v>
      </c>
      <c r="B15" s="93" t="str">
        <f>Sheet1!$K$9</f>
        <v>Isle of Wight</v>
      </c>
      <c r="C15" s="85"/>
      <c r="D15" s="100">
        <f>IF(Year1_Isle_of_Wight Year1_Care_Leavers_at_end_of_period="","",Year1_Isle_of_Wight Year1_Care_Leavers_at_end_of_period)</f>
        <v>90</v>
      </c>
      <c r="E15" s="100">
        <f>IF(Year2_Isle_of_Wight Year2_Care_Leavers_at_end_of_period="","",Year2_Isle_of_Wight Year2_Care_Leavers_at_end_of_period)</f>
        <v>94</v>
      </c>
      <c r="F15" s="100">
        <f>IF(Year3_Isle_of_Wight Year3_Care_Leavers_at_end_of_period="","",Year3_Isle_of_Wight Year3_Care_Leavers_at_end_of_period)</f>
        <v>89</v>
      </c>
      <c r="G15" s="100">
        <f>IF(Year4_Isle_of_Wight Year4_Care_Leavers_at_end_of_period="","",Year4_Isle_of_Wight Year4_Care_Leavers_at_end_of_period)</f>
        <v>89</v>
      </c>
      <c r="H15" s="589">
        <f>IF(Year5_Isle_of_Wight Year5_Care_Leavers_at_end_of_period="","",Year5_Isle_of_Wight Year5_Care_Leavers_at_end_of_period)</f>
        <v>87</v>
      </c>
      <c r="I15" s="1093">
        <f t="shared" si="0"/>
        <v>-7.804738757404308E-3</v>
      </c>
      <c r="J15" s="863">
        <f t="shared" si="1"/>
        <v>-7.804738757404308E-3</v>
      </c>
      <c r="K15" s="96"/>
      <c r="L15" s="97">
        <f>IF(ISNUMBER(D15),D15/Population!P15*10000,NA())</f>
        <v>219.51219512195121</v>
      </c>
      <c r="M15" s="97">
        <f>IF(ISNUMBER(E15),E15/Population!Q15*10000,NA())</f>
        <v>235</v>
      </c>
      <c r="N15" s="97">
        <f>IF(ISNUMBER(F15),F15/Population!R15*10000,NA())</f>
        <v>234.21052631578948</v>
      </c>
      <c r="O15" s="97">
        <f>IF(ISNUMBER(G15),G15/Population!S15*10000,NA())</f>
        <v>234.21052631578948</v>
      </c>
      <c r="P15" s="98">
        <f>IF(ISNUMBER(H15),H15/Population!T15*10000,NA())</f>
        <v>243.4928631402183</v>
      </c>
      <c r="Q15" s="99">
        <f t="shared" si="7"/>
        <v>243.4928631402183</v>
      </c>
      <c r="R15" s="822">
        <f t="shared" si="11"/>
        <v>17</v>
      </c>
      <c r="S15" s="70"/>
      <c r="T15" s="752">
        <f>IDACI!C14</f>
        <v>18</v>
      </c>
      <c r="U15" s="122"/>
      <c r="V15" s="139"/>
      <c r="W15" s="152"/>
      <c r="X15" s="72" t="str">
        <f t="shared" si="2"/>
        <v>Isle of Wight</v>
      </c>
      <c r="Y15" s="44">
        <f>IF(ISNUMBER(H15),IDACI!D14,0)</f>
        <v>22123</v>
      </c>
      <c r="Z15" s="44">
        <f>IF(ISNUMBER(H15),IDACI!E14,0)</f>
        <v>3982.14</v>
      </c>
      <c r="AA15" s="205">
        <f>IF(ISNUMBER(D15),Population!P15,"")</f>
        <v>4100</v>
      </c>
      <c r="AB15" s="205">
        <f>IF(ISNUMBER(E15),Population!Q15,"")</f>
        <v>4000</v>
      </c>
      <c r="AC15" s="205">
        <f>IF(ISNUMBER(F15),Population!R15,"")</f>
        <v>3800</v>
      </c>
      <c r="AD15" s="205">
        <f>IF(ISNUMBER(G15),Population!S15,"")</f>
        <v>3800</v>
      </c>
      <c r="AE15" s="205">
        <f>IF(ISNUMBER(H15),Population!T15,"")</f>
        <v>3573</v>
      </c>
      <c r="AF15" s="93" t="s">
        <v>1</v>
      </c>
      <c r="AG15" s="231">
        <f t="shared" si="8"/>
        <v>243.4928631402183</v>
      </c>
      <c r="AH15" s="206">
        <f t="shared" si="9"/>
        <v>17</v>
      </c>
      <c r="AI15" s="202"/>
      <c r="AJ15" s="160"/>
      <c r="AK15" s="853">
        <f t="shared" si="3"/>
        <v>4.4444444444444446E-2</v>
      </c>
      <c r="AL15" s="853">
        <f t="shared" si="4"/>
        <v>-5.3191489361702128E-2</v>
      </c>
      <c r="AM15" s="853">
        <f t="shared" si="5"/>
        <v>0</v>
      </c>
      <c r="AN15" s="853">
        <f t="shared" si="6"/>
        <v>-2.247191011235955E-2</v>
      </c>
      <c r="AO15" s="853">
        <f t="shared" si="10"/>
        <v>-7.804738757404308E-3</v>
      </c>
      <c r="AQ15" s="74"/>
      <c r="AR15" s="74"/>
      <c r="AS15" s="74"/>
      <c r="AT15" s="74"/>
      <c r="AU15" s="74"/>
      <c r="AV15" s="74"/>
    </row>
    <row r="16" spans="1:49" s="87" customFormat="1" ht="13.5" customHeight="1" x14ac:dyDescent="0.2">
      <c r="A16" s="488">
        <f>VLOOKUP(B16,Sheet1!$AQ$4:$AR$25,2,FALSE)</f>
        <v>0</v>
      </c>
      <c r="B16" s="93" t="str">
        <f>Sheet1!$K$10</f>
        <v>Kent</v>
      </c>
      <c r="C16" s="85"/>
      <c r="D16" s="100">
        <f>IF(Year1_Kent Year1_Care_Leavers_at_end_of_period="","",Year1_Kent Year1_Care_Leavers_at_end_of_period)</f>
        <v>945</v>
      </c>
      <c r="E16" s="100">
        <f>IF(Year2_Kent Year2_Care_Leavers_at_end_of_period="","",Year2_Kent Year2_Care_Leavers_at_end_of_period)</f>
        <v>1081</v>
      </c>
      <c r="F16" s="100">
        <f>IF(Year3_Kent Year3_Care_Leavers_at_end_of_period="","",Year3_Kent Year3_Care_Leavers_at_end_of_period)</f>
        <v>1349</v>
      </c>
      <c r="G16" s="100">
        <f>IF(Year4_Kent Year4_Care_Leavers_at_end_of_period="","",Year4_Kent Year4_Care_Leavers_at_end_of_period)</f>
        <v>1519</v>
      </c>
      <c r="H16" s="589">
        <f>IF(Year5_Kent Year5_Care_Leavers_at_end_of_period="","",Year5_Kent Year5_Care_Leavers_at_end_of_period)</f>
        <v>1383</v>
      </c>
      <c r="I16" s="1093">
        <f t="shared" si="0"/>
        <v>0.10708015602934969</v>
      </c>
      <c r="J16" s="863">
        <f t="shared" si="1"/>
        <v>0.10708015602934969</v>
      </c>
      <c r="K16" s="96"/>
      <c r="L16" s="97">
        <f>IF(ISNUMBER(D16),D16/Population!P16*10000,NA())</f>
        <v>174.35424354243543</v>
      </c>
      <c r="M16" s="97">
        <f>IF(ISNUMBER(E16),E16/Population!Q16*10000,NA())</f>
        <v>202.43445692883896</v>
      </c>
      <c r="N16" s="97">
        <f>IF(ISNUMBER(F16),F16/Population!R16*10000,NA())</f>
        <v>255.49242424242425</v>
      </c>
      <c r="O16" s="97">
        <f>IF(ISNUMBER(G16),G16/Population!S16*10000,NA())</f>
        <v>290.43977055449329</v>
      </c>
      <c r="P16" s="98">
        <f>IF(ISNUMBER(H16),H16/Population!T16*10000,NA())</f>
        <v>271.92827228219193</v>
      </c>
      <c r="Q16" s="99">
        <f t="shared" si="7"/>
        <v>271.92827228219193</v>
      </c>
      <c r="R16" s="822">
        <f t="shared" si="11"/>
        <v>19</v>
      </c>
      <c r="S16" s="70"/>
      <c r="T16" s="752">
        <f>IDACI!C15</f>
        <v>15.8</v>
      </c>
      <c r="U16" s="122"/>
      <c r="V16" s="139"/>
      <c r="W16" s="152"/>
      <c r="X16" s="72" t="str">
        <f t="shared" si="2"/>
        <v>Kent</v>
      </c>
      <c r="Y16" s="44">
        <f>IF(ISNUMBER(H16),IDACI!D15,0)</f>
        <v>291866</v>
      </c>
      <c r="Z16" s="44">
        <f>IF(ISNUMBER(H16),IDACI!E15,0)</f>
        <v>46114.828000000001</v>
      </c>
      <c r="AA16" s="205">
        <f>IF(ISNUMBER(D16),Population!P16,"")</f>
        <v>54200</v>
      </c>
      <c r="AB16" s="205">
        <f>IF(ISNUMBER(E16),Population!Q16,"")</f>
        <v>53400</v>
      </c>
      <c r="AC16" s="205">
        <f>IF(ISNUMBER(F16),Population!R16,"")</f>
        <v>52800</v>
      </c>
      <c r="AD16" s="205">
        <f>IF(ISNUMBER(G16),Population!S16,"")</f>
        <v>52300</v>
      </c>
      <c r="AE16" s="205">
        <f>IF(ISNUMBER(H16),Population!T16,"")</f>
        <v>50859</v>
      </c>
      <c r="AF16" s="93" t="s">
        <v>9</v>
      </c>
      <c r="AG16" s="231">
        <f t="shared" si="8"/>
        <v>271.92827228219193</v>
      </c>
      <c r="AH16" s="206">
        <f t="shared" si="9"/>
        <v>19</v>
      </c>
      <c r="AI16" s="202"/>
      <c r="AJ16" s="160"/>
      <c r="AK16" s="853">
        <f t="shared" si="3"/>
        <v>0.14391534391534391</v>
      </c>
      <c r="AL16" s="853">
        <f t="shared" si="4"/>
        <v>0.2479185938945421</v>
      </c>
      <c r="AM16" s="853">
        <f t="shared" si="5"/>
        <v>0.12601927353595255</v>
      </c>
      <c r="AN16" s="853">
        <f t="shared" si="6"/>
        <v>-8.9532587228439764E-2</v>
      </c>
      <c r="AO16" s="853">
        <f t="shared" si="10"/>
        <v>0.10708015602934969</v>
      </c>
      <c r="AQ16" s="74"/>
      <c r="AR16" s="74"/>
      <c r="AS16" s="74"/>
      <c r="AT16" s="74"/>
      <c r="AU16" s="74"/>
      <c r="AV16" s="74"/>
    </row>
    <row r="17" spans="1:48" s="87" customFormat="1" ht="13.5" customHeight="1" x14ac:dyDescent="0.2">
      <c r="A17" s="488">
        <f>VLOOKUP(B17,Sheet1!$AQ$4:$AR$25,2,FALSE)</f>
        <v>0</v>
      </c>
      <c r="B17" s="93" t="str">
        <f>Sheet1!$K$11</f>
        <v>Medway</v>
      </c>
      <c r="C17" s="85"/>
      <c r="D17" s="100">
        <f>IF(Year1_Medway Year1_Care_Leavers_at_end_of_period="","",Year1_Medway Year1_Care_Leavers_at_end_of_period)</f>
        <v>156</v>
      </c>
      <c r="E17" s="100">
        <f>IF(Year2_Medway Year2_Care_Leavers_at_end_of_period="","",Year2_Medway Year2_Care_Leavers_at_end_of_period)</f>
        <v>117</v>
      </c>
      <c r="F17" s="100">
        <f>IF(Year3_Medway Year3_Care_Leavers_at_end_of_period="","",Year3_Medway Year3_Care_Leavers_at_end_of_period)</f>
        <v>112</v>
      </c>
      <c r="G17" s="100">
        <f>IF(Year4_Medway Year4_Care_Leavers_at_end_of_period="","",Year4_Medway Year4_Care_Leavers_at_end_of_period)</f>
        <v>119</v>
      </c>
      <c r="H17" s="589">
        <f>IF(Year5_Medway Year5_Care_Leavers_at_end_of_period="","",Year5_Medway Year5_Care_Leavers_at_end_of_period)</f>
        <v>121</v>
      </c>
      <c r="I17" s="1093">
        <f t="shared" si="0"/>
        <v>-5.3357080011491781E-2</v>
      </c>
      <c r="J17" s="863">
        <f t="shared" si="1"/>
        <v>-5.3357080011491781E-2</v>
      </c>
      <c r="K17" s="96"/>
      <c r="L17" s="97">
        <f>IF(ISNUMBER(D17),D17/Population!P17*10000,NA())</f>
        <v>145.79439252336448</v>
      </c>
      <c r="M17" s="97">
        <f>IF(ISNUMBER(E17),E17/Population!Q17*10000,NA())</f>
        <v>113.59223300970874</v>
      </c>
      <c r="N17" s="97">
        <f>IF(ISNUMBER(F17),F17/Population!R17*10000,NA())</f>
        <v>113.13131313131314</v>
      </c>
      <c r="O17" s="97">
        <f>IF(ISNUMBER(G17),G17/Population!S17*10000,NA())</f>
        <v>123.95833333333333</v>
      </c>
      <c r="P17" s="98">
        <f>IF(ISNUMBER(H17),H17/Population!T17*10000,NA())</f>
        <v>129.50872310820935</v>
      </c>
      <c r="Q17" s="99">
        <f t="shared" si="7"/>
        <v>129.50872310820935</v>
      </c>
      <c r="R17" s="822">
        <f t="shared" si="11"/>
        <v>7</v>
      </c>
      <c r="S17" s="70"/>
      <c r="T17" s="752">
        <f>IDACI!C16</f>
        <v>18.899999999999999</v>
      </c>
      <c r="U17" s="122"/>
      <c r="V17" s="139"/>
      <c r="W17" s="152"/>
      <c r="X17" s="72" t="str">
        <f t="shared" si="2"/>
        <v>Medway</v>
      </c>
      <c r="Y17" s="44">
        <f>IF(ISNUMBER(H17),IDACI!D16,0)</f>
        <v>55993</v>
      </c>
      <c r="Z17" s="44">
        <f>IF(ISNUMBER(H17),IDACI!E16,0)</f>
        <v>10582.676999999998</v>
      </c>
      <c r="AA17" s="205">
        <f>IF(ISNUMBER(D17),Population!P17,"")</f>
        <v>10700</v>
      </c>
      <c r="AB17" s="205">
        <f>IF(ISNUMBER(E17),Population!Q17,"")</f>
        <v>10300</v>
      </c>
      <c r="AC17" s="205">
        <f>IF(ISNUMBER(F17),Population!R17,"")</f>
        <v>9900</v>
      </c>
      <c r="AD17" s="205">
        <f>IF(ISNUMBER(G17),Population!S17,"")</f>
        <v>9600</v>
      </c>
      <c r="AE17" s="205">
        <f>IF(ISNUMBER(H17),Population!T17,"")</f>
        <v>9343</v>
      </c>
      <c r="AF17" s="93" t="s">
        <v>2</v>
      </c>
      <c r="AG17" s="231">
        <f t="shared" si="8"/>
        <v>129.50872310820935</v>
      </c>
      <c r="AH17" s="206">
        <f t="shared" si="9"/>
        <v>7</v>
      </c>
      <c r="AI17" s="202"/>
      <c r="AJ17" s="160"/>
      <c r="AK17" s="853">
        <f t="shared" si="3"/>
        <v>-0.25</v>
      </c>
      <c r="AL17" s="853">
        <f t="shared" si="4"/>
        <v>-4.2735042735042736E-2</v>
      </c>
      <c r="AM17" s="853">
        <f t="shared" si="5"/>
        <v>6.25E-2</v>
      </c>
      <c r="AN17" s="853">
        <f t="shared" si="6"/>
        <v>1.680672268907563E-2</v>
      </c>
      <c r="AO17" s="853">
        <f t="shared" si="10"/>
        <v>-5.3357080011491781E-2</v>
      </c>
      <c r="AQ17" s="74"/>
      <c r="AR17" s="74"/>
      <c r="AS17" s="74"/>
      <c r="AT17" s="74"/>
      <c r="AU17" s="74"/>
      <c r="AV17" s="74"/>
    </row>
    <row r="18" spans="1:48" s="87" customFormat="1" ht="13.5" customHeight="1" x14ac:dyDescent="0.2">
      <c r="A18" s="488">
        <f>VLOOKUP(B18,Sheet1!$AQ$4:$AR$25,2,FALSE)</f>
        <v>0</v>
      </c>
      <c r="B18" s="93" t="str">
        <f>Sheet1!$K$12</f>
        <v>Milton Keynes</v>
      </c>
      <c r="C18" s="85"/>
      <c r="D18" s="100">
        <f>IF(Year1_Milton_Keynes Year1_Care_Leavers_at_end_of_period="","",Year1_Milton_Keynes Year1_Care_Leavers_at_end_of_period)</f>
        <v>117</v>
      </c>
      <c r="E18" s="100">
        <f>IF(Year2_Milton_Keynes Year2_Care_Leavers_at_end_of_period="","",Year2_Milton_Keynes Year2_Care_Leavers_at_end_of_period)</f>
        <v>137</v>
      </c>
      <c r="F18" s="100">
        <f>IF(Year3_Milton_Keynes Year3_Care_Leavers_at_end_of_period="","",Year3_Milton_Keynes Year3_Care_Leavers_at_end_of_period)</f>
        <v>149</v>
      </c>
      <c r="G18" s="100">
        <f>IF(Year4_Milton_Keynes Year4_Care_Leavers_at_end_of_period="","",Year4_Milton_Keynes Year4_Care_Leavers_at_end_of_period)</f>
        <v>167</v>
      </c>
      <c r="H18" s="589">
        <f>IF(Year5_Milton_Keynes Year5_Care_Leavers_at_end_of_period="","",Year5_Milton_Keynes Year5_Care_Leavers_at_end_of_period)</f>
        <v>165</v>
      </c>
      <c r="I18" s="1093">
        <f t="shared" si="0"/>
        <v>9.1840183259852132E-2</v>
      </c>
      <c r="J18" s="863">
        <f t="shared" si="1"/>
        <v>9.1840183259852132E-2</v>
      </c>
      <c r="K18" s="96"/>
      <c r="L18" s="97">
        <f>IF(ISNUMBER(D18),D18/Population!P18*10000,NA())</f>
        <v>164.78873239436621</v>
      </c>
      <c r="M18" s="97">
        <f>IF(ISNUMBER(E18),E18/Population!Q18*10000,NA())</f>
        <v>204.47761194029849</v>
      </c>
      <c r="N18" s="97">
        <f>IF(ISNUMBER(F18),F18/Population!R18*10000,NA())</f>
        <v>222.38805970149252</v>
      </c>
      <c r="O18" s="97">
        <f>IF(ISNUMBER(G18),G18/Population!S18*10000,NA())</f>
        <v>256.92307692307691</v>
      </c>
      <c r="P18" s="98">
        <f>IF(ISNUMBER(H18),H18/Population!T18*10000,NA())</f>
        <v>260.66350710900474</v>
      </c>
      <c r="Q18" s="99">
        <f t="shared" si="7"/>
        <v>260.66350710900474</v>
      </c>
      <c r="R18" s="822">
        <f t="shared" si="11"/>
        <v>18</v>
      </c>
      <c r="S18" s="70"/>
      <c r="T18" s="752">
        <f>IDACI!C17</f>
        <v>15</v>
      </c>
      <c r="U18" s="122"/>
      <c r="V18" s="139"/>
      <c r="W18" s="152"/>
      <c r="X18" s="72" t="str">
        <f t="shared" si="2"/>
        <v>Milton Keynes</v>
      </c>
      <c r="Y18" s="44">
        <f>IF(ISNUMBER(H18),IDACI!D17,0)</f>
        <v>59903</v>
      </c>
      <c r="Z18" s="44">
        <f>IF(ISNUMBER(H18),IDACI!E17,0)</f>
        <v>8985.4499999999989</v>
      </c>
      <c r="AA18" s="205">
        <f>IF(ISNUMBER(D18),Population!P18,"")</f>
        <v>7100</v>
      </c>
      <c r="AB18" s="205">
        <f>IF(ISNUMBER(E18),Population!Q18,"")</f>
        <v>6700</v>
      </c>
      <c r="AC18" s="205">
        <f>IF(ISNUMBER(F18),Population!R18,"")</f>
        <v>6700</v>
      </c>
      <c r="AD18" s="205">
        <f>IF(ISNUMBER(G18),Population!S18,"")</f>
        <v>6500</v>
      </c>
      <c r="AE18" s="205">
        <f>IF(ISNUMBER(H18),Population!T18,"")</f>
        <v>6330</v>
      </c>
      <c r="AF18" s="93" t="s">
        <v>10</v>
      </c>
      <c r="AG18" s="231">
        <f t="shared" si="8"/>
        <v>260.66350710900474</v>
      </c>
      <c r="AH18" s="206">
        <f t="shared" si="9"/>
        <v>18</v>
      </c>
      <c r="AI18" s="202"/>
      <c r="AJ18" s="160"/>
      <c r="AK18" s="853">
        <f t="shared" si="3"/>
        <v>0.17094017094017094</v>
      </c>
      <c r="AL18" s="853">
        <f t="shared" si="4"/>
        <v>8.7591240875912413E-2</v>
      </c>
      <c r="AM18" s="853">
        <f t="shared" si="5"/>
        <v>0.12080536912751678</v>
      </c>
      <c r="AN18" s="853">
        <f t="shared" si="6"/>
        <v>-1.1976047904191617E-2</v>
      </c>
      <c r="AO18" s="853">
        <f t="shared" si="10"/>
        <v>9.1840183259852132E-2</v>
      </c>
      <c r="AQ18" s="74"/>
      <c r="AR18" s="74"/>
      <c r="AS18" s="74"/>
      <c r="AT18" s="74"/>
      <c r="AU18" s="74"/>
      <c r="AV18" s="74"/>
    </row>
    <row r="19" spans="1:48" s="87" customFormat="1" ht="13.5" customHeight="1" x14ac:dyDescent="0.2">
      <c r="A19" s="488">
        <f>VLOOKUP(B19,Sheet1!$AQ$4:$AR$25,2,FALSE)</f>
        <v>0</v>
      </c>
      <c r="B19" s="93" t="str">
        <f>Sheet1!$K$13</f>
        <v>Oxfordshire</v>
      </c>
      <c r="C19" s="85"/>
      <c r="D19" s="100">
        <f>IF(Year1_Oxfordshire Year1_Care_Leavers_at_end_of_period="","",Year1_Oxfordshire Year1_Care_Leavers_at_end_of_period)</f>
        <v>254</v>
      </c>
      <c r="E19" s="100">
        <f>IF(Year2_Oxfordshire Year2_Care_Leavers_at_end_of_period="","",Year2_Oxfordshire Year2_Care_Leavers_at_end_of_period)</f>
        <v>230</v>
      </c>
      <c r="F19" s="100">
        <f>IF(Year3_Oxfordshire Year3_Care_Leavers_at_end_of_period="","",Year3_Oxfordshire Year3_Care_Leavers_at_end_of_period)</f>
        <v>242</v>
      </c>
      <c r="G19" s="100">
        <f>IF(Year4_Oxfordshire Year4_Care_Leavers_at_end_of_period="","",Year4_Oxfordshire Year4_Care_Leavers_at_end_of_period)</f>
        <v>275</v>
      </c>
      <c r="H19" s="589">
        <f>IF(Year5_Oxfordshire Year5_Care_Leavers_at_end_of_period="","",Year5_Oxfordshire Year5_Care_Leavers_at_end_of_period)</f>
        <v>291</v>
      </c>
      <c r="I19" s="1093">
        <f t="shared" si="0"/>
        <v>3.8057794653138716E-2</v>
      </c>
      <c r="J19" s="863">
        <f t="shared" si="1"/>
        <v>3.8057794653138716E-2</v>
      </c>
      <c r="K19" s="96"/>
      <c r="L19" s="97">
        <f>IF(ISNUMBER(D19),D19/Population!P19*10000,NA())</f>
        <v>83.828382838283829</v>
      </c>
      <c r="M19" s="97">
        <f>IF(ISNUMBER(E19),E19/Population!Q19*10000,NA())</f>
        <v>75.65789473684211</v>
      </c>
      <c r="N19" s="97">
        <f>IF(ISNUMBER(F19),F19/Population!R19*10000,NA())</f>
        <v>80.936454849498318</v>
      </c>
      <c r="O19" s="97">
        <f>IF(ISNUMBER(G19),G19/Population!S19*10000,NA())</f>
        <v>91.973244147157203</v>
      </c>
      <c r="P19" s="98">
        <f>IF(ISNUMBER(H19),H19/Population!T19*10000,NA())</f>
        <v>97.249607325468702</v>
      </c>
      <c r="Q19" s="99">
        <f t="shared" si="7"/>
        <v>97.249607325468702</v>
      </c>
      <c r="R19" s="822">
        <f t="shared" si="11"/>
        <v>3</v>
      </c>
      <c r="S19" s="70"/>
      <c r="T19" s="752">
        <f>IDACI!C18</f>
        <v>10.100000000000001</v>
      </c>
      <c r="U19" s="122"/>
      <c r="V19" s="139"/>
      <c r="W19" s="152"/>
      <c r="X19" s="72" t="str">
        <f t="shared" si="2"/>
        <v>Oxfordshire</v>
      </c>
      <c r="Y19" s="44">
        <f>IF(ISNUMBER(H19),IDACI!D18,0)</f>
        <v>126119</v>
      </c>
      <c r="Z19" s="44">
        <f>IF(ISNUMBER(H19),IDACI!E18,0)</f>
        <v>12738.019000000002</v>
      </c>
      <c r="AA19" s="205">
        <f>IF(ISNUMBER(D19),Population!P19,"")</f>
        <v>30300</v>
      </c>
      <c r="AB19" s="205">
        <f>IF(ISNUMBER(E19),Population!Q19,"")</f>
        <v>30400</v>
      </c>
      <c r="AC19" s="205">
        <f>IF(ISNUMBER(F19),Population!R19,"")</f>
        <v>29900</v>
      </c>
      <c r="AD19" s="205">
        <f>IF(ISNUMBER(G19),Population!S19,"")</f>
        <v>29900</v>
      </c>
      <c r="AE19" s="205">
        <f>IF(ISNUMBER(H19),Population!T19,"")</f>
        <v>29923</v>
      </c>
      <c r="AF19" s="93" t="s">
        <v>11</v>
      </c>
      <c r="AG19" s="231">
        <f t="shared" si="8"/>
        <v>97.249607325468702</v>
      </c>
      <c r="AH19" s="206">
        <f t="shared" si="9"/>
        <v>3</v>
      </c>
      <c r="AI19" s="202"/>
      <c r="AJ19" s="160"/>
      <c r="AK19" s="853">
        <f t="shared" si="3"/>
        <v>-9.4488188976377951E-2</v>
      </c>
      <c r="AL19" s="853">
        <f t="shared" si="4"/>
        <v>5.2173913043478258E-2</v>
      </c>
      <c r="AM19" s="853">
        <f t="shared" si="5"/>
        <v>0.13636363636363635</v>
      </c>
      <c r="AN19" s="853">
        <f t="shared" si="6"/>
        <v>5.8181818181818182E-2</v>
      </c>
      <c r="AO19" s="853">
        <f t="shared" si="10"/>
        <v>3.8057794653138716E-2</v>
      </c>
      <c r="AQ19" s="74"/>
      <c r="AR19" s="74"/>
      <c r="AS19" s="74"/>
      <c r="AT19" s="74"/>
      <c r="AU19" s="74"/>
      <c r="AV19" s="74"/>
    </row>
    <row r="20" spans="1:48" s="87" customFormat="1" ht="13.5" customHeight="1" x14ac:dyDescent="0.2">
      <c r="A20" s="488">
        <f>VLOOKUP(B20,Sheet1!$AQ$4:$AR$25,2,FALSE)</f>
        <v>0</v>
      </c>
      <c r="B20" s="93" t="str">
        <f>Sheet1!$K$14</f>
        <v>Portsmouth</v>
      </c>
      <c r="C20" s="85"/>
      <c r="D20" s="100">
        <f>IF(Year1_Portsmouth Year1_Care_Leavers_at_end_of_period="","",Year1_Portsmouth Year1_Care_Leavers_at_end_of_period)</f>
        <v>106</v>
      </c>
      <c r="E20" s="100">
        <f>IF(Year2_Portsmouth Year2_Care_Leavers_at_end_of_period="","",Year2_Portsmouth Year2_Care_Leavers_at_end_of_period)</f>
        <v>113</v>
      </c>
      <c r="F20" s="100">
        <f>IF(Year3_Portsmouth Year3_Care_Leavers_at_end_of_period="","",Year3_Portsmouth Year3_Care_Leavers_at_end_of_period)</f>
        <v>115</v>
      </c>
      <c r="G20" s="100">
        <f>IF(Year4_Portsmouth Year4_Care_Leavers_at_end_of_period="","",Year4_Portsmouth Year4_Care_Leavers_at_end_of_period)</f>
        <v>123</v>
      </c>
      <c r="H20" s="589">
        <f>IF(Year5_Portsmouth Year5_Care_Leavers_at_end_of_period="","",Year5_Portsmouth Year5_Care_Leavers_at_end_of_period)</f>
        <v>153</v>
      </c>
      <c r="I20" s="1093">
        <f t="shared" si="0"/>
        <v>9.9301126827249744E-2</v>
      </c>
      <c r="J20" s="863">
        <f t="shared" si="1"/>
        <v>9.9301126827249744E-2</v>
      </c>
      <c r="K20" s="96"/>
      <c r="L20" s="97">
        <f>IF(ISNUMBER(D20),D20/Population!P20*10000,NA())</f>
        <v>69.736842105263165</v>
      </c>
      <c r="M20" s="97">
        <f>IF(ISNUMBER(E20),E20/Population!Q20*10000,NA())</f>
        <v>72.903225806451616</v>
      </c>
      <c r="N20" s="97">
        <f>IF(ISNUMBER(F20),F20/Population!R20*10000,NA())</f>
        <v>70.987654320987659</v>
      </c>
      <c r="O20" s="97">
        <f>IF(ISNUMBER(G20),G20/Population!S20*10000,NA())</f>
        <v>75</v>
      </c>
      <c r="P20" s="98">
        <f>IF(ISNUMBER(H20),H20/Population!T20*10000,NA())</f>
        <v>92.024539877300626</v>
      </c>
      <c r="Q20" s="99">
        <f t="shared" si="7"/>
        <v>92.024539877300626</v>
      </c>
      <c r="R20" s="822">
        <f t="shared" si="11"/>
        <v>2</v>
      </c>
      <c r="S20" s="70"/>
      <c r="T20" s="752">
        <f>IDACI!C19</f>
        <v>20.200000000000003</v>
      </c>
      <c r="U20" s="122"/>
      <c r="V20" s="139"/>
      <c r="W20" s="152"/>
      <c r="X20" s="72" t="str">
        <f t="shared" si="2"/>
        <v>Portsmouth</v>
      </c>
      <c r="Y20" s="44">
        <f>IF(ISNUMBER(H20),IDACI!D19,0)</f>
        <v>39325</v>
      </c>
      <c r="Z20" s="44">
        <f>IF(ISNUMBER(H20),IDACI!E19,0)</f>
        <v>7943.6500000000015</v>
      </c>
      <c r="AA20" s="205">
        <f>IF(ISNUMBER(D20),Population!P20,"")</f>
        <v>15200</v>
      </c>
      <c r="AB20" s="205">
        <f>IF(ISNUMBER(E20),Population!Q20,"")</f>
        <v>15500</v>
      </c>
      <c r="AC20" s="205">
        <f>IF(ISNUMBER(F20),Population!R20,"")</f>
        <v>16200</v>
      </c>
      <c r="AD20" s="205">
        <f>IF(ISNUMBER(G20),Population!S20,"")</f>
        <v>16400</v>
      </c>
      <c r="AE20" s="205">
        <f>IF(ISNUMBER(H20),Population!T20,"")</f>
        <v>16626</v>
      </c>
      <c r="AF20" s="93" t="s">
        <v>12</v>
      </c>
      <c r="AG20" s="231">
        <f t="shared" si="8"/>
        <v>92.024539877300626</v>
      </c>
      <c r="AH20" s="206">
        <f t="shared" si="9"/>
        <v>2</v>
      </c>
      <c r="AI20" s="202"/>
      <c r="AJ20" s="160"/>
      <c r="AK20" s="853">
        <f t="shared" si="3"/>
        <v>6.6037735849056603E-2</v>
      </c>
      <c r="AL20" s="853">
        <f t="shared" si="4"/>
        <v>1.7699115044247787E-2</v>
      </c>
      <c r="AM20" s="853">
        <f t="shared" si="5"/>
        <v>6.9565217391304349E-2</v>
      </c>
      <c r="AN20" s="853">
        <f t="shared" si="6"/>
        <v>0.24390243902439024</v>
      </c>
      <c r="AO20" s="853">
        <f t="shared" si="10"/>
        <v>9.9301126827249744E-2</v>
      </c>
      <c r="AQ20" s="74"/>
      <c r="AR20" s="74"/>
      <c r="AS20" s="74"/>
      <c r="AT20" s="74"/>
      <c r="AU20" s="74"/>
      <c r="AV20" s="74"/>
    </row>
    <row r="21" spans="1:48" s="87" customFormat="1" ht="13.5" customHeight="1" x14ac:dyDescent="0.2">
      <c r="A21" s="488">
        <f>VLOOKUP(B21,Sheet1!$AQ$4:$AR$25,2,FALSE)</f>
        <v>0</v>
      </c>
      <c r="B21" s="93" t="str">
        <f>Sheet1!$K$15</f>
        <v>Reading</v>
      </c>
      <c r="C21" s="85"/>
      <c r="D21" s="100">
        <f>IF(Year1_Reading Year1_Care_Leavers_at_end_of_period="","",Year1_Reading Year1_Care_Leavers_at_end_of_period)</f>
        <v>68</v>
      </c>
      <c r="E21" s="100">
        <f>IF(Year2_Reading Year2_Care_Leavers_at_end_of_period="","",Year2_Reading Year2_Care_Leavers_at_end_of_period)</f>
        <v>78</v>
      </c>
      <c r="F21" s="100">
        <f>IF(Year3_Reading Year3_Care_Leavers_at_end_of_period="","",Year3_Reading Year3_Care_Leavers_at_end_of_period)</f>
        <v>87</v>
      </c>
      <c r="G21" s="100">
        <f>IF(Year4_Reading Year4_Care_Leavers_at_end_of_period="","",Year4_Reading Year4_Care_Leavers_at_end_of_period)</f>
        <v>98</v>
      </c>
      <c r="H21" s="589">
        <f>IF(Year5_Reading Year5_Care_Leavers_at_end_of_period="","",Year5_Reading Year5_Care_Leavers_at_end_of_period)</f>
        <v>101</v>
      </c>
      <c r="I21" s="1093">
        <f t="shared" si="0"/>
        <v>0.10487311635529543</v>
      </c>
      <c r="J21" s="863">
        <f t="shared" si="1"/>
        <v>0.10487311635529543</v>
      </c>
      <c r="K21" s="96"/>
      <c r="L21" s="97">
        <f>IF(ISNUMBER(D21),D21/Population!P21*10000,NA())</f>
        <v>77.27272727272728</v>
      </c>
      <c r="M21" s="97">
        <f>IF(ISNUMBER(E21),E21/Population!Q21*10000,NA())</f>
        <v>88.63636363636364</v>
      </c>
      <c r="N21" s="97">
        <f>IF(ISNUMBER(F21),F21/Population!R21*10000,NA())</f>
        <v>95.604395604395592</v>
      </c>
      <c r="O21" s="97">
        <f>IF(ISNUMBER(G21),G21/Population!S21*10000,NA())</f>
        <v>104.25531914893618</v>
      </c>
      <c r="P21" s="98">
        <f>IF(ISNUMBER(H21),H21/Population!T21*10000,NA())</f>
        <v>114.20171867933063</v>
      </c>
      <c r="Q21" s="99">
        <f t="shared" si="7"/>
        <v>114.20171867933063</v>
      </c>
      <c r="R21" s="822">
        <f t="shared" si="11"/>
        <v>5</v>
      </c>
      <c r="S21" s="70"/>
      <c r="T21" s="752">
        <f>IDACI!C20</f>
        <v>16</v>
      </c>
      <c r="U21" s="122"/>
      <c r="V21" s="139"/>
      <c r="W21" s="152"/>
      <c r="X21" s="72" t="str">
        <f t="shared" si="2"/>
        <v>Reading</v>
      </c>
      <c r="Y21" s="44">
        <f>IF(ISNUMBER(H21),IDACI!D20,0)</f>
        <v>33203</v>
      </c>
      <c r="Z21" s="44">
        <f>IF(ISNUMBER(H21),IDACI!E20,0)</f>
        <v>5312.4800000000005</v>
      </c>
      <c r="AA21" s="205">
        <f>IF(ISNUMBER(D21),Population!P21,"")</f>
        <v>8800</v>
      </c>
      <c r="AB21" s="205">
        <f>IF(ISNUMBER(E21),Population!Q21,"")</f>
        <v>8800</v>
      </c>
      <c r="AC21" s="205">
        <f>IF(ISNUMBER(F21),Population!R21,"")</f>
        <v>9100</v>
      </c>
      <c r="AD21" s="205">
        <f>IF(ISNUMBER(G21),Population!S21,"")</f>
        <v>9400</v>
      </c>
      <c r="AE21" s="205">
        <f>IF(ISNUMBER(H21),Population!T21,"")</f>
        <v>8844</v>
      </c>
      <c r="AF21" s="93" t="s">
        <v>3</v>
      </c>
      <c r="AG21" s="231">
        <f t="shared" si="8"/>
        <v>114.20171867933063</v>
      </c>
      <c r="AH21" s="206">
        <f t="shared" si="9"/>
        <v>5</v>
      </c>
      <c r="AI21" s="202"/>
      <c r="AJ21" s="160"/>
      <c r="AK21" s="853">
        <f t="shared" si="3"/>
        <v>0.14705882352941177</v>
      </c>
      <c r="AL21" s="853">
        <f t="shared" si="4"/>
        <v>0.11538461538461539</v>
      </c>
      <c r="AM21" s="853">
        <f t="shared" si="5"/>
        <v>0.12643678160919541</v>
      </c>
      <c r="AN21" s="853">
        <f t="shared" si="6"/>
        <v>3.0612244897959183E-2</v>
      </c>
      <c r="AO21" s="853">
        <f t="shared" si="10"/>
        <v>0.10487311635529543</v>
      </c>
      <c r="AQ21" s="74"/>
      <c r="AR21" s="74"/>
      <c r="AS21" s="74"/>
      <c r="AT21" s="74"/>
      <c r="AU21" s="74"/>
      <c r="AV21" s="74"/>
    </row>
    <row r="22" spans="1:48" s="87" customFormat="1" ht="13.5" customHeight="1" x14ac:dyDescent="0.2">
      <c r="A22" s="488">
        <f>VLOOKUP(B22,Sheet1!$AQ$4:$AR$25,2,FALSE)</f>
        <v>0</v>
      </c>
      <c r="B22" s="93" t="str">
        <f>Sheet1!$K$16</f>
        <v>Slough</v>
      </c>
      <c r="C22" s="85"/>
      <c r="D22" s="100">
        <f>IF(Year1_Slough Year1_Care_Leavers_at_end_of_period="","",Year1_Slough Year1_Care_Leavers_at_end_of_period)</f>
        <v>89</v>
      </c>
      <c r="E22" s="100">
        <f>IF(Year2_Slough Year2_Care_Leavers_at_end_of_period="","",Year2_Slough Year2_Care_Leavers_at_end_of_period)</f>
        <v>83</v>
      </c>
      <c r="F22" s="100">
        <f>IF(Year3_Slough Year3_Care_Leavers_at_end_of_period="","",Year3_Slough Year3_Care_Leavers_at_end_of_period)</f>
        <v>89</v>
      </c>
      <c r="G22" s="100">
        <f>IF(Year4_Slough Year4_Care_Leavers_at_end_of_period="","",Year4_Slough Year4_Care_Leavers_at_end_of_period)</f>
        <v>87</v>
      </c>
      <c r="H22" s="589">
        <f>IF(Year5_Slough Year5_Care_Leavers_at_end_of_period="","",Year5_Slough Year5_Care_Leavers_at_end_of_period)</f>
        <v>93</v>
      </c>
      <c r="I22" s="1093">
        <f t="shared" si="0"/>
        <v>1.2841758354611783E-2</v>
      </c>
      <c r="J22" s="863">
        <f t="shared" si="1"/>
        <v>1.2841758354611783E-2</v>
      </c>
      <c r="K22" s="96"/>
      <c r="L22" s="97">
        <f>IF(ISNUMBER(D22),D22/Population!P22*10000,NA())</f>
        <v>197.77777777777777</v>
      </c>
      <c r="M22" s="97">
        <f>IF(ISNUMBER(E22),E22/Population!Q22*10000,NA())</f>
        <v>188.63636363636363</v>
      </c>
      <c r="N22" s="97">
        <f>IF(ISNUMBER(F22),F22/Population!R22*10000,NA())</f>
        <v>206.97674418604649</v>
      </c>
      <c r="O22" s="97">
        <f>IF(ISNUMBER(G22),G22/Population!S22*10000,NA())</f>
        <v>207.14285714285714</v>
      </c>
      <c r="P22" s="98">
        <f>IF(ISNUMBER(H22),H22/Population!T22*10000,NA())</f>
        <v>227.1062271062271</v>
      </c>
      <c r="Q22" s="99">
        <f t="shared" si="7"/>
        <v>227.1062271062271</v>
      </c>
      <c r="R22" s="822">
        <f t="shared" si="11"/>
        <v>16</v>
      </c>
      <c r="S22" s="70"/>
      <c r="T22" s="752">
        <f>IDACI!C21</f>
        <v>14.7</v>
      </c>
      <c r="U22" s="122"/>
      <c r="V22" s="139"/>
      <c r="W22" s="152"/>
      <c r="X22" s="72" t="str">
        <f t="shared" si="2"/>
        <v>Slough</v>
      </c>
      <c r="Y22" s="44">
        <f>IF(ISNUMBER(H22),IDACI!D21,0)</f>
        <v>37031</v>
      </c>
      <c r="Z22" s="44">
        <f>IF(ISNUMBER(H22),IDACI!E21,0)</f>
        <v>5443.5569999999998</v>
      </c>
      <c r="AA22" s="205">
        <f>IF(ISNUMBER(D22),Population!P22,"")</f>
        <v>4500</v>
      </c>
      <c r="AB22" s="205">
        <f>IF(ISNUMBER(E22),Population!Q22,"")</f>
        <v>4400</v>
      </c>
      <c r="AC22" s="205">
        <f>IF(ISNUMBER(F22),Population!R22,"")</f>
        <v>4300</v>
      </c>
      <c r="AD22" s="205">
        <f>IF(ISNUMBER(G22),Population!S22,"")</f>
        <v>4200</v>
      </c>
      <c r="AE22" s="205">
        <f>IF(ISNUMBER(H22),Population!T22,"")</f>
        <v>4095</v>
      </c>
      <c r="AF22" s="93" t="s">
        <v>13</v>
      </c>
      <c r="AG22" s="231">
        <f t="shared" si="8"/>
        <v>227.1062271062271</v>
      </c>
      <c r="AH22" s="206">
        <f t="shared" si="9"/>
        <v>16</v>
      </c>
      <c r="AI22" s="202"/>
      <c r="AJ22" s="160"/>
      <c r="AK22" s="853">
        <f t="shared" si="3"/>
        <v>-6.741573033707865E-2</v>
      </c>
      <c r="AL22" s="853">
        <f t="shared" si="4"/>
        <v>7.2289156626506021E-2</v>
      </c>
      <c r="AM22" s="853">
        <f t="shared" si="5"/>
        <v>-2.247191011235955E-2</v>
      </c>
      <c r="AN22" s="853">
        <f t="shared" si="6"/>
        <v>6.8965517241379309E-2</v>
      </c>
      <c r="AO22" s="853">
        <f t="shared" si="10"/>
        <v>1.2841758354611783E-2</v>
      </c>
      <c r="AQ22" s="74"/>
      <c r="AR22" s="74"/>
      <c r="AS22" s="74"/>
      <c r="AT22" s="74"/>
      <c r="AU22" s="74"/>
      <c r="AV22" s="74"/>
    </row>
    <row r="23" spans="1:48" s="87" customFormat="1" ht="13.5" customHeight="1" x14ac:dyDescent="0.2">
      <c r="A23" s="488">
        <f>VLOOKUP(B23,Sheet1!$AQ$4:$AR$25,2,FALSE)</f>
        <v>0</v>
      </c>
      <c r="B23" s="93" t="str">
        <f>Sheet1!$K$17</f>
        <v>Somerset</v>
      </c>
      <c r="C23" s="85"/>
      <c r="D23" s="100">
        <f>IF(Year1_Somerset Year1_Care_Leavers_at_end_of_period="","",Year1_Somerset Year1_Care_Leavers_at_end_of_period)</f>
        <v>260</v>
      </c>
      <c r="E23" s="100">
        <f>IF(Year2_Somerset Year2_Care_Leavers_at_end_of_period="","",Year2_Somerset Year2_Care_Leavers_at_end_of_period)</f>
        <v>220</v>
      </c>
      <c r="F23" s="100">
        <f>IF(Year3_Somerset Year3_Care_Leavers_at_end_of_period="","",Year3_Somerset Year3_Care_Leavers_at_end_of_period)</f>
        <v>201</v>
      </c>
      <c r="G23" s="100">
        <f>IF(Year4_Somerset Year4_Care_Leavers_at_end_of_period="","",Year4_Somerset Year4_Care_Leavers_at_end_of_period)</f>
        <v>181</v>
      </c>
      <c r="H23" s="589">
        <f>IF(Year5_Somerset Year5_Care_Leavers_at_end_of_period="","",Year5_Somerset Year5_Care_Leavers_at_end_of_period)</f>
        <v>209</v>
      </c>
      <c r="I23" s="1093">
        <f t="shared" si="0"/>
        <v>-4.6254036293823547E-2</v>
      </c>
      <c r="J23" s="863">
        <f t="shared" si="1"/>
        <v>-4.6254036293823547E-2</v>
      </c>
      <c r="K23" s="96"/>
      <c r="L23" s="97">
        <f>IF(ISNUMBER(D23),D23/Population!P23*10000,NA())</f>
        <v>169.93464052287581</v>
      </c>
      <c r="M23" s="97">
        <f>IF(ISNUMBER(E23),E23/Population!Q23*10000,NA())</f>
        <v>147.65100671140939</v>
      </c>
      <c r="N23" s="97">
        <f>IF(ISNUMBER(F23),F23/Population!R23*10000,NA())</f>
        <v>135.81081081081081</v>
      </c>
      <c r="O23" s="97">
        <f>IF(ISNUMBER(G23),G23/Population!S23*10000,NA())</f>
        <v>124.82758620689656</v>
      </c>
      <c r="P23" s="98">
        <f>IF(ISNUMBER(H23),H23/Population!T23*10000,NA())</f>
        <v>149.78857593349102</v>
      </c>
      <c r="Q23" s="99">
        <f t="shared" si="7"/>
        <v>149.78857593349102</v>
      </c>
      <c r="R23" s="807" t="str">
        <f t="shared" si="11"/>
        <v>--</v>
      </c>
      <c r="S23" s="70"/>
      <c r="T23" s="752">
        <f>IDACI!C22</f>
        <v>13.600000000000001</v>
      </c>
      <c r="U23" s="122"/>
      <c r="V23" s="139"/>
      <c r="W23" s="152"/>
      <c r="X23" s="72" t="str">
        <f t="shared" si="2"/>
        <v>Somerset</v>
      </c>
      <c r="Y23" s="44">
        <f>IF(ISNUMBER(H23),IDACI!D22,0)</f>
        <v>95875</v>
      </c>
      <c r="Z23" s="44">
        <f>IF(ISNUMBER(H23),IDACI!E22,0)</f>
        <v>13039.000000000002</v>
      </c>
      <c r="AA23" s="205">
        <f>IF(ISNUMBER(D23),Population!P23,"")</f>
        <v>15300</v>
      </c>
      <c r="AB23" s="205">
        <f>IF(ISNUMBER(E23),Population!Q23,"")</f>
        <v>14900</v>
      </c>
      <c r="AC23" s="205">
        <f>IF(ISNUMBER(F23),Population!R23,"")</f>
        <v>14800</v>
      </c>
      <c r="AD23" s="205">
        <f>IF(ISNUMBER(G23),Population!S23,"")</f>
        <v>14500</v>
      </c>
      <c r="AE23" s="205">
        <f>IF(ISNUMBER(H23),Population!T23,"")</f>
        <v>13953</v>
      </c>
      <c r="AF23" s="93" t="s">
        <v>14</v>
      </c>
      <c r="AG23" s="231">
        <f t="shared" si="8"/>
        <v>63.961720619110395</v>
      </c>
      <c r="AH23" s="206">
        <f t="shared" si="9"/>
        <v>1</v>
      </c>
      <c r="AI23" s="202"/>
      <c r="AJ23" s="160"/>
      <c r="AK23" s="853">
        <f t="shared" si="3"/>
        <v>-0.15384615384615385</v>
      </c>
      <c r="AL23" s="853">
        <f t="shared" si="4"/>
        <v>-8.6363636363636365E-2</v>
      </c>
      <c r="AM23" s="853">
        <f t="shared" si="5"/>
        <v>-9.950248756218906E-2</v>
      </c>
      <c r="AN23" s="853">
        <f t="shared" si="6"/>
        <v>0.15469613259668508</v>
      </c>
      <c r="AO23" s="853">
        <f t="shared" si="10"/>
        <v>-4.6254036293823547E-2</v>
      </c>
      <c r="AQ23" s="74"/>
      <c r="AR23" s="74"/>
      <c r="AS23" s="74"/>
      <c r="AT23" s="74"/>
      <c r="AU23" s="74"/>
      <c r="AV23" s="74"/>
    </row>
    <row r="24" spans="1:48" s="87" customFormat="1" ht="13.5" customHeight="1" x14ac:dyDescent="0.2">
      <c r="A24" s="488">
        <f>VLOOKUP(B24,Sheet1!$AQ$4:$AR$25,2,FALSE)</f>
        <v>0</v>
      </c>
      <c r="B24" s="93" t="str">
        <f>Sheet1!$K$18</f>
        <v>Southampton</v>
      </c>
      <c r="C24" s="85"/>
      <c r="D24" s="100">
        <f>IF(Year1_Southampton Year1_Care_Leavers_at_end_of_period="","",Year1_Southampton Year1_Care_Leavers_at_end_of_period)</f>
        <v>130</v>
      </c>
      <c r="E24" s="100">
        <f>IF(Year2_Southampton Year2_Care_Leavers_at_end_of_period="","",Year2_Southampton Year2_Care_Leavers_at_end_of_period)</f>
        <v>124</v>
      </c>
      <c r="F24" s="100">
        <f>IF(Year3_Southampton Year3_Care_Leavers_at_end_of_period="","",Year3_Southampton Year3_Care_Leavers_at_end_of_period)</f>
        <v>124</v>
      </c>
      <c r="G24" s="100">
        <f>IF(Year4_Southampton Year4_Care_Leavers_at_end_of_period="","",Year4_Southampton Year4_Care_Leavers_at_end_of_period)</f>
        <v>127</v>
      </c>
      <c r="H24" s="589">
        <f>IF(Year5_Southampton Year5_Care_Leavers_at_end_of_period="","",Year5_Southampton Year5_Care_Leavers_at_end_of_period)</f>
        <v>131</v>
      </c>
      <c r="I24" s="1093">
        <f t="shared" si="0"/>
        <v>2.3839413063441502E-3</v>
      </c>
      <c r="J24" s="863">
        <f t="shared" si="1"/>
        <v>2.3839413063441502E-3</v>
      </c>
      <c r="K24" s="96"/>
      <c r="L24" s="97">
        <f>IF(ISNUMBER(D24),D24/Population!P24*10000,NA())</f>
        <v>62.5</v>
      </c>
      <c r="M24" s="97">
        <f>IF(ISNUMBER(E24),E24/Population!Q24*10000,NA())</f>
        <v>56.88073394495413</v>
      </c>
      <c r="N24" s="97">
        <f>IF(ISNUMBER(F24),F24/Population!R24*10000,NA())</f>
        <v>56.108597285067873</v>
      </c>
      <c r="O24" s="97">
        <f>IF(ISNUMBER(G24),G24/Population!S24*10000,NA())</f>
        <v>57.727272727272734</v>
      </c>
      <c r="P24" s="98">
        <f>IF(ISNUMBER(H24),H24/Population!T24*10000,NA())</f>
        <v>63.961720619110395</v>
      </c>
      <c r="Q24" s="99">
        <f t="shared" si="7"/>
        <v>63.961720619110395</v>
      </c>
      <c r="R24" s="822">
        <f t="shared" si="11"/>
        <v>1</v>
      </c>
      <c r="S24" s="70"/>
      <c r="T24" s="752">
        <f>IDACI!C23</f>
        <v>20.5</v>
      </c>
      <c r="U24" s="122"/>
      <c r="V24" s="139"/>
      <c r="W24" s="152"/>
      <c r="X24" s="72" t="str">
        <f t="shared" si="2"/>
        <v>Southampton</v>
      </c>
      <c r="Y24" s="44">
        <f>IF(ISNUMBER(H24),IDACI!D23,0)</f>
        <v>44295</v>
      </c>
      <c r="Z24" s="44">
        <f>IF(ISNUMBER(H24),IDACI!E23,0)</f>
        <v>9080.4750000000004</v>
      </c>
      <c r="AA24" s="205">
        <f>IF(ISNUMBER(D24),Population!P24,"")</f>
        <v>20800</v>
      </c>
      <c r="AB24" s="205">
        <f>IF(ISNUMBER(E24),Population!Q24,"")</f>
        <v>21800</v>
      </c>
      <c r="AC24" s="205">
        <f>IF(ISNUMBER(F24),Population!R24,"")</f>
        <v>22100</v>
      </c>
      <c r="AD24" s="205">
        <f>IF(ISNUMBER(G24),Population!S24,"")</f>
        <v>22000</v>
      </c>
      <c r="AE24" s="205">
        <f>IF(ISNUMBER(H24),Population!T24,"")</f>
        <v>20481</v>
      </c>
      <c r="AF24" s="93" t="s">
        <v>7</v>
      </c>
      <c r="AG24" s="231">
        <f t="shared" si="8"/>
        <v>137.1105420401195</v>
      </c>
      <c r="AH24" s="206">
        <f t="shared" si="9"/>
        <v>8</v>
      </c>
      <c r="AI24" s="202"/>
      <c r="AJ24" s="160"/>
      <c r="AK24" s="853">
        <f t="shared" si="3"/>
        <v>-4.6153846153846156E-2</v>
      </c>
      <c r="AL24" s="853">
        <f t="shared" si="4"/>
        <v>0</v>
      </c>
      <c r="AM24" s="853">
        <f t="shared" si="5"/>
        <v>2.4193548387096774E-2</v>
      </c>
      <c r="AN24" s="853">
        <f t="shared" si="6"/>
        <v>3.1496062992125984E-2</v>
      </c>
      <c r="AO24" s="853">
        <f t="shared" si="10"/>
        <v>2.3839413063441502E-3</v>
      </c>
      <c r="AQ24" s="74"/>
      <c r="AR24" s="74"/>
      <c r="AS24" s="74"/>
      <c r="AT24" s="74"/>
      <c r="AU24" s="74"/>
      <c r="AV24" s="74"/>
    </row>
    <row r="25" spans="1:48" s="87" customFormat="1" ht="13.5" customHeight="1" x14ac:dyDescent="0.2">
      <c r="A25" s="488">
        <f>VLOOKUP(B25,Sheet1!$AQ$4:$AR$25,2,FALSE)</f>
        <v>0</v>
      </c>
      <c r="B25" s="93" t="str">
        <f>Sheet1!$K$19</f>
        <v>Surrey</v>
      </c>
      <c r="C25" s="85"/>
      <c r="D25" s="100">
        <f>IF(Year1_Surrey Year1_Care_Leavers_at_end_of_period="","",Year1_Surrey Year1_Care_Leavers_at_end_of_period)</f>
        <v>363</v>
      </c>
      <c r="E25" s="100">
        <f>IF(Year2_Surrey Year2_Care_Leavers_at_end_of_period="","",Year2_Surrey Year2_Care_Leavers_at_end_of_period)</f>
        <v>380</v>
      </c>
      <c r="F25" s="100">
        <f>IF(Year3_Surrey Year3_Care_Leavers_at_end_of_period="","",Year3_Surrey Year3_Care_Leavers_at_end_of_period)</f>
        <v>418</v>
      </c>
      <c r="G25" s="100">
        <f>IF(Year4_Surrey Year4_Care_Leavers_at_end_of_period="","",Year4_Surrey Year4_Care_Leavers_at_end_of_period)</f>
        <v>475</v>
      </c>
      <c r="H25" s="589">
        <f>IF(Year5_Surrey Year5_Care_Leavers_at_end_of_period="","",Year5_Surrey Year5_Care_Leavers_at_end_of_period)</f>
        <v>514</v>
      </c>
      <c r="I25" s="1093">
        <f t="shared" si="0"/>
        <v>9.1325213861099028E-2</v>
      </c>
      <c r="J25" s="863">
        <f t="shared" si="1"/>
        <v>9.1325213861099028E-2</v>
      </c>
      <c r="K25" s="96"/>
      <c r="L25" s="97">
        <f>IF(ISNUMBER(D25),D25/Population!P25*10000,NA())</f>
        <v>98.910081743869213</v>
      </c>
      <c r="M25" s="97">
        <f>IF(ISNUMBER(E25),E25/Population!Q25*10000,NA())</f>
        <v>103.82513661202186</v>
      </c>
      <c r="N25" s="97">
        <f>IF(ISNUMBER(F25),F25/Population!R25*10000,NA())</f>
        <v>112.36559139784946</v>
      </c>
      <c r="O25" s="97">
        <f>IF(ISNUMBER(G25),G25/Population!S25*10000,NA())</f>
        <v>126.66666666666666</v>
      </c>
      <c r="P25" s="98">
        <f>IF(ISNUMBER(H25),H25/Population!T25*10000,NA())</f>
        <v>137.1105420401195</v>
      </c>
      <c r="Q25" s="99">
        <f t="shared" si="7"/>
        <v>137.1105420401195</v>
      </c>
      <c r="R25" s="822">
        <f t="shared" si="11"/>
        <v>8</v>
      </c>
      <c r="S25" s="70"/>
      <c r="T25" s="752">
        <f>IDACI!C24</f>
        <v>8.3000000000000007</v>
      </c>
      <c r="U25" s="122"/>
      <c r="V25" s="139"/>
      <c r="W25" s="152"/>
      <c r="X25" s="72" t="str">
        <f t="shared" si="2"/>
        <v>Surrey</v>
      </c>
      <c r="Y25" s="44">
        <f>IF(ISNUMBER(H25),IDACI!D24,0)</f>
        <v>228466</v>
      </c>
      <c r="Z25" s="44">
        <f>IF(ISNUMBER(H25),IDACI!E24,0)</f>
        <v>18962.678</v>
      </c>
      <c r="AA25" s="205">
        <f>IF(ISNUMBER(D25),Population!P25,"")</f>
        <v>36700</v>
      </c>
      <c r="AB25" s="205">
        <f>IF(ISNUMBER(E25),Population!Q25,"")</f>
        <v>36600</v>
      </c>
      <c r="AC25" s="205">
        <f>IF(ISNUMBER(F25),Population!R25,"")</f>
        <v>37200</v>
      </c>
      <c r="AD25" s="205">
        <f>IF(ISNUMBER(G25),Population!S25,"")</f>
        <v>37500</v>
      </c>
      <c r="AE25" s="205">
        <f>IF(ISNUMBER(H25),Population!T25,"")</f>
        <v>37488</v>
      </c>
      <c r="AF25" s="93" t="s">
        <v>15</v>
      </c>
      <c r="AG25" s="231">
        <f t="shared" si="8"/>
        <v>213.33333333333331</v>
      </c>
      <c r="AH25" s="206">
        <f t="shared" si="9"/>
        <v>15</v>
      </c>
      <c r="AI25" s="202"/>
      <c r="AJ25" s="160"/>
      <c r="AK25" s="853">
        <f t="shared" si="3"/>
        <v>4.6831955922865015E-2</v>
      </c>
      <c r="AL25" s="853">
        <f t="shared" si="4"/>
        <v>0.1</v>
      </c>
      <c r="AM25" s="853">
        <f t="shared" si="5"/>
        <v>0.13636363636363635</v>
      </c>
      <c r="AN25" s="853">
        <f t="shared" si="6"/>
        <v>8.2105263157894737E-2</v>
      </c>
      <c r="AO25" s="853">
        <f t="shared" si="10"/>
        <v>9.1325213861099028E-2</v>
      </c>
      <c r="AQ25" s="74"/>
      <c r="AR25" s="74"/>
      <c r="AS25" s="74"/>
      <c r="AT25" s="74"/>
      <c r="AU25" s="74"/>
      <c r="AV25" s="74"/>
    </row>
    <row r="26" spans="1:48" s="87" customFormat="1" ht="13.5" customHeight="1" x14ac:dyDescent="0.2">
      <c r="A26" s="488">
        <f>VLOOKUP(B26,Sheet1!$AQ$4:$AR$25,2,FALSE)</f>
        <v>0</v>
      </c>
      <c r="B26" s="93" t="str">
        <f>Sheet1!$K$20</f>
        <v>Swindon</v>
      </c>
      <c r="C26" s="85"/>
      <c r="D26" s="100">
        <f>IF(Year1_Swindon Year1_Care_Leavers_at_end_of_period="","",Year1_Swindon Year1_Care_Leavers_at_end_of_period)</f>
        <v>142</v>
      </c>
      <c r="E26" s="100">
        <f>IF(Year2_Swindon Year2_Care_Leavers_at_end_of_period="","",Year2_Swindon Year2_Care_Leavers_at_end_of_period)</f>
        <v>127</v>
      </c>
      <c r="F26" s="100">
        <f>IF(Year3_Swindon Year3_Care_Leavers_at_end_of_period="","",Year3_Swindon Year3_Care_Leavers_at_end_of_period)</f>
        <v>124</v>
      </c>
      <c r="G26" s="100">
        <f>IF(Year4_Swindon Year4_Care_Leavers_at_end_of_period="","",Year4_Swindon Year4_Care_Leavers_at_end_of_period)</f>
        <v>135</v>
      </c>
      <c r="H26" s="589">
        <f>IF(Year5_Swindon Year5_Care_Leavers_at_end_of_period="","",Year5_Swindon Year5_Care_Leavers_at_end_of_period)</f>
        <v>142</v>
      </c>
      <c r="I26" s="1093">
        <f t="shared" si="0"/>
        <v>2.8264198025527033E-3</v>
      </c>
      <c r="J26" s="863">
        <f t="shared" si="1"/>
        <v>2.8264198025527033E-3</v>
      </c>
      <c r="K26" s="96"/>
      <c r="L26" s="97">
        <f>IF(ISNUMBER(D26),D26/Population!P26*10000,NA())</f>
        <v>218.46153846153845</v>
      </c>
      <c r="M26" s="97">
        <f>IF(ISNUMBER(E26),E26/Population!Q26*10000,NA())</f>
        <v>201.58730158730157</v>
      </c>
      <c r="N26" s="97">
        <f>IF(ISNUMBER(F26),F26/Population!R26*10000,NA())</f>
        <v>196.82539682539684</v>
      </c>
      <c r="O26" s="97">
        <f>IF(ISNUMBER(G26),G26/Population!S26*10000,NA())</f>
        <v>214.28571428571428</v>
      </c>
      <c r="P26" s="98">
        <f>IF(ISNUMBER(H26),H26/Population!T26*10000,NA())</f>
        <v>230.03401911550301</v>
      </c>
      <c r="Q26" s="99">
        <f t="shared" si="7"/>
        <v>230.03401911550301</v>
      </c>
      <c r="R26" s="807" t="str">
        <f t="shared" si="11"/>
        <v>--</v>
      </c>
      <c r="S26" s="70"/>
      <c r="T26" s="752">
        <f>IDACI!C25</f>
        <v>14.899999999999999</v>
      </c>
      <c r="U26" s="122"/>
      <c r="V26" s="139"/>
      <c r="W26" s="152"/>
      <c r="X26" s="72" t="str">
        <f t="shared" si="2"/>
        <v>Swindon</v>
      </c>
      <c r="Y26" s="44">
        <f>IF(ISNUMBER(H26),IDACI!D25,0)</f>
        <v>43899</v>
      </c>
      <c r="Z26" s="44">
        <f>IF(ISNUMBER(H26),IDACI!E25,0)</f>
        <v>6540.951</v>
      </c>
      <c r="AA26" s="205">
        <f>IF(ISNUMBER(D26),Population!P26,"")</f>
        <v>6500</v>
      </c>
      <c r="AB26" s="205">
        <f>IF(ISNUMBER(E26),Population!Q26,"")</f>
        <v>6300</v>
      </c>
      <c r="AC26" s="205">
        <f>IF(ISNUMBER(F26),Population!R26,"")</f>
        <v>6300</v>
      </c>
      <c r="AD26" s="205">
        <f>IF(ISNUMBER(G26),Population!S26,"")</f>
        <v>6300</v>
      </c>
      <c r="AE26" s="205">
        <f>IF(ISNUMBER(H26),Population!T26,"")</f>
        <v>6173</v>
      </c>
      <c r="AF26" s="93" t="s">
        <v>5</v>
      </c>
      <c r="AG26" s="231">
        <f t="shared" si="8"/>
        <v>171.77971230389645</v>
      </c>
      <c r="AH26" s="206">
        <f t="shared" si="9"/>
        <v>14</v>
      </c>
      <c r="AI26" s="202"/>
      <c r="AJ26" s="160"/>
      <c r="AK26" s="853">
        <f t="shared" si="3"/>
        <v>-0.10563380281690141</v>
      </c>
      <c r="AL26" s="853">
        <f t="shared" si="4"/>
        <v>-2.3622047244094488E-2</v>
      </c>
      <c r="AM26" s="853">
        <f t="shared" si="5"/>
        <v>8.8709677419354843E-2</v>
      </c>
      <c r="AN26" s="853">
        <f t="shared" si="6"/>
        <v>5.185185185185185E-2</v>
      </c>
      <c r="AO26" s="853">
        <f t="shared" si="10"/>
        <v>2.8264198025527033E-3</v>
      </c>
      <c r="AQ26" s="74"/>
      <c r="AR26" s="74"/>
      <c r="AS26" s="74"/>
      <c r="AT26" s="74"/>
      <c r="AU26" s="74"/>
      <c r="AV26" s="74"/>
    </row>
    <row r="27" spans="1:48" s="87" customFormat="1" ht="13.5" customHeight="1" x14ac:dyDescent="0.2">
      <c r="A27" s="488">
        <f>VLOOKUP(B27,Sheet1!$AQ$4:$AR$25,2,FALSE)</f>
        <v>0</v>
      </c>
      <c r="B27" s="93" t="str">
        <f>Sheet1!$K$21</f>
        <v>Torbay</v>
      </c>
      <c r="C27" s="85"/>
      <c r="D27" s="100">
        <f>IF(Year1_Torbay Year1_Care_Leavers_at_end_of_period="","",Year1_Torbay Year1_Care_Leavers_at_end_of_period)</f>
        <v>96</v>
      </c>
      <c r="E27" s="100">
        <f>IF(Year2_Torbay Year2_Care_Leavers_at_end_of_period="","",Year2_Torbay Year2_Care_Leavers_at_end_of_period)</f>
        <v>94</v>
      </c>
      <c r="F27" s="100">
        <f>IF(Year3_Torbay Year3_Care_Leavers_at_end_of_period="","",Year3_Torbay Year3_Care_Leavers_at_end_of_period)</f>
        <v>107</v>
      </c>
      <c r="G27" s="100">
        <f>IF(Year4_Torbay Year4_Care_Leavers_at_end_of_period="","",Year4_Torbay Year4_Care_Leavers_at_end_of_period)</f>
        <v>104</v>
      </c>
      <c r="H27" s="589">
        <f>IF(Year5_Torbay Year5_Care_Leavers_at_end_of_period="","",Year5_Torbay Year5_Care_Leavers_at_end_of_period)</f>
        <v>116</v>
      </c>
      <c r="I27" s="1093">
        <f t="shared" si="0"/>
        <v>5.1202942803534379E-2</v>
      </c>
      <c r="J27" s="863">
        <f t="shared" si="1"/>
        <v>5.1202942803534379E-2</v>
      </c>
      <c r="K27" s="96"/>
      <c r="L27" s="97">
        <f>IF(ISNUMBER(D27),D27/Population!P27*10000,NA())</f>
        <v>252.63157894736841</v>
      </c>
      <c r="M27" s="97">
        <f>IF(ISNUMBER(E27),E27/Population!Q27*10000,NA())</f>
        <v>254.05405405405406</v>
      </c>
      <c r="N27" s="97">
        <f>IF(ISNUMBER(F27),F27/Population!R27*10000,NA())</f>
        <v>297.22222222222223</v>
      </c>
      <c r="O27" s="97">
        <f>IF(ISNUMBER(G27),G27/Population!S27*10000,NA())</f>
        <v>297.14285714285717</v>
      </c>
      <c r="P27" s="98">
        <f>IF(ISNUMBER(H27),H27/Population!T27*10000,NA())</f>
        <v>343.39846062759028</v>
      </c>
      <c r="Q27" s="99">
        <f t="shared" si="7"/>
        <v>343.39846062759028</v>
      </c>
      <c r="R27" s="807" t="str">
        <f t="shared" si="11"/>
        <v>--</v>
      </c>
      <c r="S27" s="70"/>
      <c r="T27" s="752">
        <f>IDACI!C26</f>
        <v>21.9</v>
      </c>
      <c r="U27" s="122"/>
      <c r="V27" s="139"/>
      <c r="W27" s="152"/>
      <c r="X27" s="72" t="str">
        <f t="shared" si="2"/>
        <v>Torbay</v>
      </c>
      <c r="Y27" s="44">
        <f>IF(ISNUMBER(H27),IDACI!D26,0)</f>
        <v>22257</v>
      </c>
      <c r="Z27" s="44">
        <f>IF(ISNUMBER(H27),IDACI!E26,0)</f>
        <v>4874.2829999999994</v>
      </c>
      <c r="AA27" s="205">
        <f>IF(ISNUMBER(D27),Population!P27,"")</f>
        <v>3800</v>
      </c>
      <c r="AB27" s="205">
        <f>IF(ISNUMBER(E27),Population!Q27,"")</f>
        <v>3700</v>
      </c>
      <c r="AC27" s="205">
        <f>IF(ISNUMBER(F27),Population!R27,"")</f>
        <v>3600</v>
      </c>
      <c r="AD27" s="205">
        <f>IF(ISNUMBER(G27),Population!S27,"")</f>
        <v>3500</v>
      </c>
      <c r="AE27" s="205">
        <f>IF(ISNUMBER(H27),Population!T27,"")</f>
        <v>3378</v>
      </c>
      <c r="AF27" s="93" t="s">
        <v>30</v>
      </c>
      <c r="AG27" s="231">
        <f t="shared" si="8"/>
        <v>168.16816816816817</v>
      </c>
      <c r="AH27" s="206">
        <f t="shared" si="9"/>
        <v>12</v>
      </c>
      <c r="AI27" s="202"/>
      <c r="AJ27" s="160"/>
      <c r="AK27" s="853">
        <f t="shared" si="3"/>
        <v>-2.0833333333333332E-2</v>
      </c>
      <c r="AL27" s="853">
        <f t="shared" si="4"/>
        <v>0.13829787234042554</v>
      </c>
      <c r="AM27" s="853">
        <f t="shared" si="5"/>
        <v>-2.8037383177570093E-2</v>
      </c>
      <c r="AN27" s="853">
        <f t="shared" si="6"/>
        <v>0.11538461538461539</v>
      </c>
      <c r="AO27" s="853">
        <f t="shared" si="10"/>
        <v>5.1202942803534379E-2</v>
      </c>
      <c r="AQ27" s="74"/>
      <c r="AR27" s="74"/>
      <c r="AS27" s="74"/>
      <c r="AT27" s="74"/>
      <c r="AU27" s="74"/>
      <c r="AV27" s="74"/>
    </row>
    <row r="28" spans="1:48" s="87" customFormat="1" ht="13.5" customHeight="1" x14ac:dyDescent="0.2">
      <c r="A28" s="488">
        <f>VLOOKUP(B28,Sheet1!$AQ$4:$AR$25,2,FALSE)</f>
        <v>0</v>
      </c>
      <c r="B28" s="93" t="str">
        <f>Sheet1!$K$22</f>
        <v>West Berkshire</v>
      </c>
      <c r="C28" s="85"/>
      <c r="D28" s="100">
        <f>IF(Year1_West_Berkshire Year1_Care_Leavers_at_end_of_period="","",Year1_West_Berkshire Year1_Care_Leavers_at_end_of_period)</f>
        <v>55</v>
      </c>
      <c r="E28" s="100">
        <f>IF(Year2_West_Berkshire Year2_Care_Leavers_at_end_of_period="","",Year2_West_Berkshire Year2_Care_Leavers_at_end_of_period)</f>
        <v>56</v>
      </c>
      <c r="F28" s="100">
        <f>IF(Year3_West_Berkshire Year3_Care_Leavers_at_end_of_period="","",Year3_West_Berkshire Year3_Care_Leavers_at_end_of_period)</f>
        <v>78</v>
      </c>
      <c r="G28" s="100">
        <f>IF(Year4_West_Berkshire Year4_Care_Leavers_at_end_of_period="","",Year4_West_Berkshire Year4_Care_Leavers_at_end_of_period)</f>
        <v>76</v>
      </c>
      <c r="H28" s="589">
        <f>IF(Year5_West_Berkshire Year5_Care_Leavers_at_end_of_period="","",Year5_West_Berkshire Year5_Care_Leavers_at_end_of_period)</f>
        <v>80</v>
      </c>
      <c r="I28" s="1093">
        <f t="shared" si="0"/>
        <v>0.10950737858632595</v>
      </c>
      <c r="J28" s="863">
        <f t="shared" si="1"/>
        <v>0.10950737858632595</v>
      </c>
      <c r="K28" s="96"/>
      <c r="L28" s="97">
        <f>IF(ISNUMBER(D28),D28/Population!P28*10000,NA())</f>
        <v>144.73684210526315</v>
      </c>
      <c r="M28" s="97">
        <f>IF(ISNUMBER(E28),E28/Population!Q28*10000,NA())</f>
        <v>143.58974358974359</v>
      </c>
      <c r="N28" s="97">
        <f>IF(ISNUMBER(F28),F28/Population!R28*10000,NA())</f>
        <v>205.26315789473685</v>
      </c>
      <c r="O28" s="97">
        <f>IF(ISNUMBER(G28),G28/Population!S28*10000,NA())</f>
        <v>200</v>
      </c>
      <c r="P28" s="98">
        <f>IF(ISNUMBER(H28),H28/Population!T28*10000,NA())</f>
        <v>213.33333333333331</v>
      </c>
      <c r="Q28" s="99">
        <f t="shared" si="7"/>
        <v>213.33333333333331</v>
      </c>
      <c r="R28" s="822">
        <f t="shared" si="11"/>
        <v>15</v>
      </c>
      <c r="S28" s="70"/>
      <c r="T28" s="752">
        <f>IDACI!C27</f>
        <v>8.6999999999999993</v>
      </c>
      <c r="U28" s="122"/>
      <c r="V28" s="139"/>
      <c r="W28" s="152"/>
      <c r="X28" s="72" t="str">
        <f t="shared" si="2"/>
        <v>West Berkshire</v>
      </c>
      <c r="Y28" s="44">
        <f>IF(ISNUMBER(H28),IDACI!D27,0)</f>
        <v>31625</v>
      </c>
      <c r="Z28" s="44">
        <f>IF(ISNUMBER(H28),IDACI!E27,0)</f>
        <v>2751.375</v>
      </c>
      <c r="AA28" s="205">
        <f>IF(ISNUMBER(D28),Population!P28,"")</f>
        <v>3800</v>
      </c>
      <c r="AB28" s="205">
        <f>IF(ISNUMBER(E28),Population!Q28,"")</f>
        <v>3900</v>
      </c>
      <c r="AC28" s="205">
        <f>IF(ISNUMBER(F28),Population!R28,"")</f>
        <v>3800</v>
      </c>
      <c r="AD28" s="205">
        <f>IF(ISNUMBER(G28),Population!S28,"")</f>
        <v>3800</v>
      </c>
      <c r="AE28" s="205">
        <f>IF(ISNUMBER(H28),Population!T28,"")</f>
        <v>3750</v>
      </c>
      <c r="AF28" s="93" t="s">
        <v>16</v>
      </c>
      <c r="AG28" s="231">
        <f t="shared" si="8"/>
        <v>115.85642889595638</v>
      </c>
      <c r="AH28" s="206">
        <f t="shared" si="9"/>
        <v>6</v>
      </c>
      <c r="AI28" s="202"/>
      <c r="AJ28" s="160"/>
      <c r="AK28" s="853">
        <f t="shared" si="3"/>
        <v>1.8181818181818181E-2</v>
      </c>
      <c r="AL28" s="853">
        <f t="shared" si="4"/>
        <v>0.39285714285714285</v>
      </c>
      <c r="AM28" s="853">
        <f t="shared" si="5"/>
        <v>-2.564102564102564E-2</v>
      </c>
      <c r="AN28" s="853">
        <f t="shared" si="6"/>
        <v>5.2631578947368418E-2</v>
      </c>
      <c r="AO28" s="853">
        <f t="shared" si="10"/>
        <v>0.10950737858632595</v>
      </c>
      <c r="AQ28" s="74"/>
      <c r="AR28" s="74"/>
      <c r="AS28" s="74"/>
      <c r="AT28" s="74"/>
      <c r="AU28" s="74"/>
      <c r="AV28" s="74"/>
    </row>
    <row r="29" spans="1:48" s="87" customFormat="1" ht="13.5" customHeight="1" x14ac:dyDescent="0.2">
      <c r="A29" s="488">
        <f>VLOOKUP(B29,Sheet1!$AQ$4:$AR$25,2,FALSE)</f>
        <v>0</v>
      </c>
      <c r="B29" s="93" t="str">
        <f>Sheet1!$K$23</f>
        <v>West Sussex</v>
      </c>
      <c r="C29" s="85"/>
      <c r="D29" s="100">
        <f>IF(Year1_West_Sussex Year1_Care_Leavers_at_end_of_period="","",Year1_West_Sussex Year1_Care_Leavers_at_end_of_period)</f>
        <v>305</v>
      </c>
      <c r="E29" s="100">
        <f>IF(Year2_West_Sussex Year2_Care_Leavers_at_end_of_period="","",Year2_West_Sussex Year2_Care_Leavers_at_end_of_period)</f>
        <v>321</v>
      </c>
      <c r="F29" s="100">
        <f>IF(Year3_West_Sussex Year3_Care_Leavers_at_end_of_period="","",Year3_West_Sussex Year3_Care_Leavers_at_end_of_period)</f>
        <v>348</v>
      </c>
      <c r="G29" s="100">
        <f>IF(Year4_West_Sussex Year4_Care_Leavers_at_end_of_period="","",Year4_West_Sussex Year4_Care_Leavers_at_end_of_period)</f>
        <v>363</v>
      </c>
      <c r="H29" s="589">
        <f>IF(Year5_West_Sussex Year5_Care_Leavers_at_end_of_period="","",Year5_West_Sussex Year5_Care_Leavers_at_end_of_period)</f>
        <v>369</v>
      </c>
      <c r="I29" s="1093">
        <f t="shared" si="0"/>
        <v>4.905088495546242E-2</v>
      </c>
      <c r="J29" s="863">
        <f t="shared" si="1"/>
        <v>4.905088495546242E-2</v>
      </c>
      <c r="K29" s="96"/>
      <c r="L29" s="97">
        <f>IF(ISNUMBER(D29),D29/Population!P29*10000,NA())</f>
        <v>129.78723404255319</v>
      </c>
      <c r="M29" s="97">
        <f>IF(ISNUMBER(E29),E29/Population!Q29*10000,NA())</f>
        <v>138.96103896103895</v>
      </c>
      <c r="N29" s="97">
        <f>IF(ISNUMBER(F29),F29/Population!R29*10000,NA())</f>
        <v>152.63157894736841</v>
      </c>
      <c r="O29" s="97">
        <f>IF(ISNUMBER(G29),G29/Population!S29*10000,NA())</f>
        <v>161.33333333333331</v>
      </c>
      <c r="P29" s="98">
        <f>IF(ISNUMBER(H29),H29/Population!T29*10000,NA())</f>
        <v>171.77971230389645</v>
      </c>
      <c r="Q29" s="99">
        <f t="shared" si="7"/>
        <v>171.77971230389645</v>
      </c>
      <c r="R29" s="822">
        <f t="shared" si="11"/>
        <v>14</v>
      </c>
      <c r="S29" s="70"/>
      <c r="T29" s="752">
        <f>IDACI!C28</f>
        <v>11</v>
      </c>
      <c r="U29" s="122"/>
      <c r="V29" s="139"/>
      <c r="W29" s="152"/>
      <c r="X29" s="72" t="str">
        <f t="shared" si="2"/>
        <v>West Sussex</v>
      </c>
      <c r="Y29" s="44">
        <f>IF(ISNUMBER(H29),IDACI!D28,0)</f>
        <v>151487</v>
      </c>
      <c r="Z29" s="44">
        <f>IF(ISNUMBER(H29),IDACI!E28,0)</f>
        <v>16663.57</v>
      </c>
      <c r="AA29" s="205">
        <f>IF(ISNUMBER(D29),Population!P29,"")</f>
        <v>23500</v>
      </c>
      <c r="AB29" s="205">
        <f>IF(ISNUMBER(E29),Population!Q29,"")</f>
        <v>23100</v>
      </c>
      <c r="AC29" s="205">
        <f>IF(ISNUMBER(F29),Population!R29,"")</f>
        <v>22800</v>
      </c>
      <c r="AD29" s="205">
        <f>IF(ISNUMBER(G29),Population!S29,"")</f>
        <v>22500</v>
      </c>
      <c r="AE29" s="205">
        <f>IF(ISNUMBER(H29),Population!T29,"")</f>
        <v>21481</v>
      </c>
      <c r="AF29" s="202"/>
      <c r="AG29" s="202"/>
      <c r="AH29" s="190"/>
      <c r="AI29" s="202"/>
      <c r="AJ29" s="160"/>
      <c r="AK29" s="853">
        <f t="shared" si="3"/>
        <v>5.2459016393442623E-2</v>
      </c>
      <c r="AL29" s="853">
        <f t="shared" si="4"/>
        <v>8.4112149532710276E-2</v>
      </c>
      <c r="AM29" s="853">
        <f t="shared" si="5"/>
        <v>4.3103448275862072E-2</v>
      </c>
      <c r="AN29" s="853">
        <f t="shared" si="6"/>
        <v>1.6528925619834711E-2</v>
      </c>
      <c r="AO29" s="853">
        <f t="shared" si="10"/>
        <v>4.905088495546242E-2</v>
      </c>
      <c r="AQ29" s="74"/>
      <c r="AR29" s="74"/>
      <c r="AS29" s="74"/>
      <c r="AT29" s="74"/>
      <c r="AU29" s="74"/>
      <c r="AV29" s="74"/>
    </row>
    <row r="30" spans="1:48" s="87" customFormat="1" ht="13.5" customHeight="1" x14ac:dyDescent="0.2">
      <c r="A30" s="488">
        <f>VLOOKUP(B30,Sheet1!$AQ$4:$AR$25,2,FALSE)</f>
        <v>0</v>
      </c>
      <c r="B30" s="93" t="str">
        <f>Sheet1!$K$24</f>
        <v>Windsor &amp; Maidenhead</v>
      </c>
      <c r="C30" s="85"/>
      <c r="D30" s="100">
        <f>IF(Year1_Windsor_Maidenhead Year1_Care_Leavers_at_end_of_period="","",Year1_Windsor_Maidenhead Year1_Care_Leavers_at_end_of_period)</f>
        <v>42</v>
      </c>
      <c r="E30" s="100">
        <f>IF(Year2_Windsor_Maidenhead Year2_Care_Leavers_at_end_of_period="","",Year2_Windsor_Maidenhead Year2_Care_Leavers_at_end_of_period)</f>
        <v>45</v>
      </c>
      <c r="F30" s="100">
        <f>IF(Year3_Windsor_Maidenhead Year3_Care_Leavers_at_end_of_period="","",Year3_Windsor_Maidenhead Year3_Care_Leavers_at_end_of_period)</f>
        <v>48</v>
      </c>
      <c r="G30" s="100">
        <f>IF(Year4_Windsor_Maidenhead Year4_Care_Leavers_at_end_of_period="","",Year4_Windsor_Maidenhead Year4_Care_Leavers_at_end_of_period)</f>
        <v>56</v>
      </c>
      <c r="H30" s="589">
        <f>IF(Year5_Windsor_Maidenhead Year5_Care_Leavers_at_end_of_period="","",Year5_Windsor_Maidenhead Year5_Care_Leavers_at_end_of_period)</f>
        <v>56</v>
      </c>
      <c r="I30" s="1093">
        <f t="shared" si="0"/>
        <v>7.6190476190476197E-2</v>
      </c>
      <c r="J30" s="863">
        <f t="shared" si="1"/>
        <v>7.6190476190476197E-2</v>
      </c>
      <c r="K30" s="96"/>
      <c r="L30" s="97">
        <f>IF(ISNUMBER(D30),D30/Population!P30*10000,NA())</f>
        <v>135.48387096774192</v>
      </c>
      <c r="M30" s="97">
        <f>IF(ISNUMBER(E30),E30/Population!Q30*10000,NA())</f>
        <v>145.16129032258064</v>
      </c>
      <c r="N30" s="97">
        <f>IF(ISNUMBER(F30),F30/Population!R30*10000,NA())</f>
        <v>154.83870967741936</v>
      </c>
      <c r="O30" s="97">
        <f>IF(ISNUMBER(G30),G30/Population!S30*10000,NA())</f>
        <v>175.00000000000003</v>
      </c>
      <c r="P30" s="98">
        <f>IF(ISNUMBER(H30),H30/Population!T30*10000,NA())</f>
        <v>168.16816816816817</v>
      </c>
      <c r="Q30" s="99">
        <f t="shared" si="7"/>
        <v>168.16816816816817</v>
      </c>
      <c r="R30" s="822">
        <f t="shared" si="11"/>
        <v>12</v>
      </c>
      <c r="S30" s="70"/>
      <c r="T30" s="752">
        <f>IDACI!C29</f>
        <v>6.7</v>
      </c>
      <c r="U30" s="122"/>
      <c r="V30" s="139"/>
      <c r="W30" s="152"/>
      <c r="X30" s="72" t="str">
        <f t="shared" si="2"/>
        <v>Windsor &amp; Maidenhead</v>
      </c>
      <c r="Y30" s="44">
        <f>IF(ISNUMBER(H30),IDACI!D29,0)</f>
        <v>29792</v>
      </c>
      <c r="Z30" s="44">
        <f>IF(ISNUMBER(H30),IDACI!E29,0)</f>
        <v>1996.0640000000001</v>
      </c>
      <c r="AA30" s="205">
        <f>IF(ISNUMBER(D30),Population!P30,"")</f>
        <v>3100</v>
      </c>
      <c r="AB30" s="205">
        <f>IF(ISNUMBER(E30),Population!Q30,"")</f>
        <v>3100</v>
      </c>
      <c r="AC30" s="205">
        <f>IF(ISNUMBER(F30),Population!R30,"")</f>
        <v>3100</v>
      </c>
      <c r="AD30" s="205">
        <f>IF(ISNUMBER(G30),Population!S30,"")</f>
        <v>3200</v>
      </c>
      <c r="AE30" s="205">
        <f>IF(ISNUMBER(H30),Population!T30,"")</f>
        <v>3330</v>
      </c>
      <c r="AF30" s="202"/>
      <c r="AG30" s="202"/>
      <c r="AH30" s="190"/>
      <c r="AI30" s="202"/>
      <c r="AJ30" s="160"/>
      <c r="AK30" s="853">
        <f t="shared" si="3"/>
        <v>7.1428571428571425E-2</v>
      </c>
      <c r="AL30" s="853">
        <f t="shared" si="4"/>
        <v>6.6666666666666666E-2</v>
      </c>
      <c r="AM30" s="853">
        <f t="shared" si="5"/>
        <v>0.16666666666666666</v>
      </c>
      <c r="AN30" s="853">
        <f t="shared" si="6"/>
        <v>0</v>
      </c>
      <c r="AO30" s="853">
        <f t="shared" si="10"/>
        <v>7.6190476190476197E-2</v>
      </c>
      <c r="AQ30" s="74"/>
      <c r="AR30" s="74"/>
      <c r="AS30" s="74"/>
      <c r="AT30" s="74"/>
      <c r="AU30" s="74"/>
      <c r="AV30" s="74"/>
    </row>
    <row r="31" spans="1:48" s="87" customFormat="1" ht="13.5" customHeight="1" x14ac:dyDescent="0.2">
      <c r="A31" s="488">
        <f>VLOOKUP(B31,Sheet1!$AQ$4:$AR$25,2,FALSE)</f>
        <v>0</v>
      </c>
      <c r="B31" s="93" t="str">
        <f>Sheet1!$K$25</f>
        <v>Wokingham</v>
      </c>
      <c r="C31" s="85"/>
      <c r="D31" s="100">
        <f>IF(Year1_Wokingham Year1_Care_Leavers_at_end_of_period="","",Year1_Wokingham Year1_Care_Leavers_at_end_of_period)</f>
        <v>31</v>
      </c>
      <c r="E31" s="100">
        <f>IF(Year2_Wokingham Year2_Care_Leavers_at_end_of_period="","",Year2_Wokingham Year2_Care_Leavers_at_end_of_period)</f>
        <v>32</v>
      </c>
      <c r="F31" s="100">
        <f>IF(Year3_Wokingham Year3_Care_Leavers_at_end_of_period="","",Year3_Wokingham Year3_Care_Leavers_at_end_of_period)</f>
        <v>28</v>
      </c>
      <c r="G31" s="100">
        <f>IF(Year4_Wokingham Year4_Care_Leavers_at_end_of_period="","",Year4_Wokingham Year4_Care_Leavers_at_end_of_period)</f>
        <v>38</v>
      </c>
      <c r="H31" s="589">
        <f>IF(Year5_Wokingham Year5_Care_Leavers_at_end_of_period="","",Year5_Wokingham Year5_Care_Leavers_at_end_of_period)</f>
        <v>51</v>
      </c>
      <c r="I31" s="1093">
        <f t="shared" si="0"/>
        <v>0.15162654620422023</v>
      </c>
      <c r="J31" s="863">
        <f t="shared" si="1"/>
        <v>0.15162654620422023</v>
      </c>
      <c r="K31" s="96"/>
      <c r="L31" s="97">
        <f>IF(ISNUMBER(D31),D31/Population!P31*10000,NA())</f>
        <v>70.454545454545453</v>
      </c>
      <c r="M31" s="97">
        <f>IF(ISNUMBER(E31),E31/Population!Q31*10000,NA())</f>
        <v>74.418604651162795</v>
      </c>
      <c r="N31" s="97">
        <f>IF(ISNUMBER(F31),F31/Population!R31*10000,NA())</f>
        <v>63.63636363636364</v>
      </c>
      <c r="O31" s="97">
        <f>IF(ISNUMBER(G31),G31/Population!S31*10000,NA())</f>
        <v>86.36363636363636</v>
      </c>
      <c r="P31" s="98">
        <f>IF(ISNUMBER(H31),H31/Population!T31*10000,NA())</f>
        <v>115.85642889595638</v>
      </c>
      <c r="Q31" s="99">
        <f t="shared" si="7"/>
        <v>115.85642889595638</v>
      </c>
      <c r="R31" s="822">
        <f t="shared" si="11"/>
        <v>6</v>
      </c>
      <c r="S31" s="70"/>
      <c r="T31" s="752">
        <f>IDACI!C30</f>
        <v>5.6000000000000005</v>
      </c>
      <c r="U31" s="122"/>
      <c r="V31" s="139"/>
      <c r="W31" s="152"/>
      <c r="X31" s="72" t="str">
        <f t="shared" si="2"/>
        <v>Wokingham</v>
      </c>
      <c r="Y31" s="44">
        <f>IF(ISNUMBER(H31),IDACI!D30,0)</f>
        <v>33327</v>
      </c>
      <c r="Z31" s="44">
        <f>IF(ISNUMBER(H31),IDACI!E30,0)</f>
        <v>1866.3120000000004</v>
      </c>
      <c r="AA31" s="205">
        <f>IF(ISNUMBER(D31),Population!P31,"")</f>
        <v>4400</v>
      </c>
      <c r="AB31" s="205">
        <f>IF(ISNUMBER(E31),Population!Q31,"")</f>
        <v>4300</v>
      </c>
      <c r="AC31" s="205">
        <f>IF(ISNUMBER(F31),Population!R31,"")</f>
        <v>4400</v>
      </c>
      <c r="AD31" s="205">
        <f>IF(ISNUMBER(G31),Population!S31,"")</f>
        <v>4400</v>
      </c>
      <c r="AE31" s="205">
        <f>IF(ISNUMBER(H31),Population!T31,"")</f>
        <v>4402</v>
      </c>
      <c r="AF31" s="202"/>
      <c r="AG31" s="202"/>
      <c r="AH31" s="190"/>
      <c r="AI31" s="202"/>
      <c r="AJ31" s="160"/>
      <c r="AK31" s="853">
        <f t="shared" si="3"/>
        <v>3.2258064516129031E-2</v>
      </c>
      <c r="AL31" s="853">
        <f t="shared" si="4"/>
        <v>-0.125</v>
      </c>
      <c r="AM31" s="853">
        <f t="shared" si="5"/>
        <v>0.35714285714285715</v>
      </c>
      <c r="AN31" s="853">
        <f t="shared" si="6"/>
        <v>0.34210526315789475</v>
      </c>
      <c r="AO31" s="853">
        <f t="shared" si="10"/>
        <v>0.15162654620422023</v>
      </c>
      <c r="AQ31" s="74"/>
      <c r="AR31" s="74"/>
      <c r="AS31" s="74"/>
      <c r="AT31" s="74"/>
      <c r="AU31" s="74"/>
      <c r="AV31" s="74"/>
    </row>
    <row r="32" spans="1:48" s="87" customFormat="1" ht="13.5" customHeight="1" x14ac:dyDescent="0.2">
      <c r="A32" s="121"/>
      <c r="B32" s="129" t="str">
        <f>Sheet1!$K$26</f>
        <v>South East</v>
      </c>
      <c r="C32" s="85"/>
      <c r="D32" s="130">
        <f>IF(Year1_SouthEast Year1_Care_Leavers_at_end_of_period="","",Year1_SouthEast Year1_Care_Leavers_at_end_of_period)</f>
        <v>3750</v>
      </c>
      <c r="E32" s="130">
        <f>IF(Year2_SouthEast Year2_Care_Leavers_at_end_of_period="","",Year2_SouthEast Year2_Care_Leavers_at_end_of_period)</f>
        <v>3920</v>
      </c>
      <c r="F32" s="130">
        <f>IF(Year3_SouthEast Year3_Care_Leavers_at_end_of_period="","",Year3_SouthEast Year3_Care_Leavers_at_end_of_period)</f>
        <v>4400</v>
      </c>
      <c r="G32" s="130">
        <f>IF(Year4_SouthEast Year4_Care_Leavers_at_end_of_period="","",Year4_SouthEast Year4_Care_Leavers_at_end_of_period)</f>
        <v>4750</v>
      </c>
      <c r="H32" s="131">
        <f>IF(Year5_SouthEast Year5_Care_Leavers_at_end_of_period="","",Year5_SouthEast Year5_Care_Leavers_at_end_of_period)</f>
        <v>4830</v>
      </c>
      <c r="I32" s="862">
        <f>AO32</f>
        <v>7.4193427596081524E-2</v>
      </c>
      <c r="J32" s="863">
        <f t="shared" si="1"/>
        <v>7.4193427596081524E-2</v>
      </c>
      <c r="K32" s="96"/>
      <c r="L32" s="132">
        <f>IF(ISNUMBER(D32),D32/AA32*10000,NA())</f>
        <v>117.07773961910709</v>
      </c>
      <c r="M32" s="132">
        <f>IF(ISNUMBER(E32),E32/AB32*10000,NA())</f>
        <v>122.65331664580727</v>
      </c>
      <c r="N32" s="132">
        <f>IF(ISNUMBER(F32),F32/AC32*10000,NA())</f>
        <v>138.10420590081608</v>
      </c>
      <c r="O32" s="132">
        <f>IF(ISNUMBER(G32),G32/AD32*10000,NA())</f>
        <v>149.55919395465995</v>
      </c>
      <c r="P32" s="132">
        <f>IF(ISNUMBER(H32),H32/AE32*10000,NA())</f>
        <v>155.57659973329726</v>
      </c>
      <c r="Q32" s="99">
        <f t="shared" si="7"/>
        <v>155.57659973329726</v>
      </c>
      <c r="R32" s="134" t="str">
        <f t="shared" si="11"/>
        <v>--</v>
      </c>
      <c r="S32" s="70"/>
      <c r="T32" s="753">
        <f>Z32/Y32*100</f>
        <v>12.371268250968637</v>
      </c>
      <c r="U32" s="122"/>
      <c r="V32" s="139"/>
      <c r="W32" s="152"/>
      <c r="X32" s="72" t="str">
        <f t="shared" si="2"/>
        <v>South East</v>
      </c>
      <c r="Y32" s="44">
        <f>SUM(Y24:Y25,Y10:Y22,Y28:Y31)</f>
        <v>1704978</v>
      </c>
      <c r="Z32" s="44">
        <f>SUM(Z24:Z25,Z10:Z22,Z28:Z31)</f>
        <v>210927.40200000003</v>
      </c>
      <c r="AA32" s="205">
        <f>SUM(AA10:AA22,AA24:AA25,AA28:AA31)</f>
        <v>320300</v>
      </c>
      <c r="AB32" s="205">
        <f>SUM(AB10:AB22,AB24:AB25,AB28:AB31)</f>
        <v>319600</v>
      </c>
      <c r="AC32" s="205">
        <f>SUM(AC10:AC22,AC24:AC25,AC28:AC31)</f>
        <v>318600</v>
      </c>
      <c r="AD32" s="205">
        <f>SUM(AD10:AD22,AD24:AD25,AD28:AD31)</f>
        <v>317600</v>
      </c>
      <c r="AE32" s="205">
        <f>SUM(AE10:AE22,AE24:AE25,AE28:AE31)</f>
        <v>310458</v>
      </c>
      <c r="AF32" s="202"/>
      <c r="AG32" s="202"/>
      <c r="AH32" s="190"/>
      <c r="AI32" s="202"/>
      <c r="AJ32" s="160"/>
      <c r="AK32" s="1025">
        <f t="shared" ref="AK32:AN33" si="12">IF(ISERROR((M32-L32)/L32),"x",(M32-L32)/L32)</f>
        <v>4.762286191072175E-2</v>
      </c>
      <c r="AL32" s="1025">
        <f t="shared" si="12"/>
        <v>0.12597204606889842</v>
      </c>
      <c r="AM32" s="1025">
        <f t="shared" si="12"/>
        <v>8.2944527135333054E-2</v>
      </c>
      <c r="AN32" s="1025">
        <f t="shared" si="12"/>
        <v>4.0234275269372843E-2</v>
      </c>
      <c r="AO32" s="853">
        <f>AVERAGE(AK32:AN32)</f>
        <v>7.4193427596081524E-2</v>
      </c>
      <c r="AQ32" s="74"/>
      <c r="AR32" s="74"/>
      <c r="AS32" s="74"/>
      <c r="AT32" s="74"/>
      <c r="AU32" s="74"/>
      <c r="AV32" s="74"/>
    </row>
    <row r="33" spans="1:58" s="87" customFormat="1" ht="13.5" customHeight="1" x14ac:dyDescent="0.2">
      <c r="A33" s="292"/>
      <c r="B33" s="329" t="str">
        <f>Sheet1!$K$27</f>
        <v>England</v>
      </c>
      <c r="C33" s="85"/>
      <c r="D33" s="330">
        <f>IF(Year1_England Year1_Care_Leavers_at_end_of_period="","",Year1_England Year1_Care_Leavers_at_end_of_period)</f>
        <v>26340</v>
      </c>
      <c r="E33" s="330">
        <f>IF(Year2_England Year2_Care_Leavers_at_end_of_period="","",Year2_England Year2_Care_Leavers_at_end_of_period)</f>
        <v>27010</v>
      </c>
      <c r="F33" s="330">
        <f>IF(Year3_England Year3_Care_Leavers_at_end_of_period="","",Year3_England Year3_Care_Leavers_at_end_of_period)</f>
        <v>28510</v>
      </c>
      <c r="G33" s="330">
        <f>IF(Year4_England Year4_Care_Leavers_at_end_of_period="","",Year4_England Year4_Care_Leavers_at_end_of_period)</f>
        <v>29930</v>
      </c>
      <c r="H33" s="331">
        <f>IF(Year5_England Year5_Care_Leavers_at_end_of_period="","",Year5_England Year5_Care_Leavers_at_end_of_period)</f>
        <v>31260</v>
      </c>
      <c r="I33" s="1500">
        <f t="shared" ref="I33" si="13">AO33</f>
        <v>5.0946597630057905E-2</v>
      </c>
      <c r="J33" s="863">
        <f t="shared" ref="J33" si="14">I33</f>
        <v>5.0946597630057905E-2</v>
      </c>
      <c r="K33" s="96"/>
      <c r="L33" s="1501">
        <f>IF(ISNUMBER(D33),D33/Population!P33*10000,NA())</f>
        <v>128.97223718356756</v>
      </c>
      <c r="M33" s="1501">
        <f>IF(ISNUMBER(E33),E33/Population!Q33*10000,NA())</f>
        <v>132.47339251557213</v>
      </c>
      <c r="N33" s="1501">
        <f>IF(ISNUMBER(F33),F33/Population!R33*10000,NA())</f>
        <v>140.46410799625562</v>
      </c>
      <c r="O33" s="1501">
        <f>IF(ISNUMBER(G33),G33/Population!S33*10000,NA())</f>
        <v>148.13165058153922</v>
      </c>
      <c r="P33" s="1502">
        <f>IF(ISNUMBER(H33),H33/Population!T33*10000,NA())</f>
        <v>157.276292586229</v>
      </c>
      <c r="Q33" s="99">
        <f>IF(ISNUMBER(P33),P33,"")</f>
        <v>157.276292586229</v>
      </c>
      <c r="R33" s="1503" t="str">
        <f t="shared" ref="R33" si="15">IF(ISNA(VLOOKUP(B33,$AF$10:$AH$28,3,FALSE)),"--",IF(ISNUMBER(H33),VLOOKUP(B33,$AF$10:$AH$28,3,FALSE),NA()))</f>
        <v>--</v>
      </c>
      <c r="S33" s="70"/>
      <c r="T33" s="1504">
        <f>IDACI!C32</f>
        <v>17.084413405029373</v>
      </c>
      <c r="U33" s="122"/>
      <c r="V33" s="139"/>
      <c r="W33" s="152"/>
      <c r="X33" s="1498"/>
      <c r="Y33" s="1499"/>
      <c r="Z33" s="1499"/>
      <c r="AA33" s="1050"/>
      <c r="AB33" s="1050"/>
      <c r="AC33" s="1050"/>
      <c r="AD33" s="1050"/>
      <c r="AE33" s="1050"/>
      <c r="AF33" s="202"/>
      <c r="AG33" s="202"/>
      <c r="AH33" s="190"/>
      <c r="AI33" s="202"/>
      <c r="AJ33" s="160"/>
      <c r="AK33" s="1025">
        <f t="shared" si="12"/>
        <v>2.7146581376434841E-2</v>
      </c>
      <c r="AL33" s="1025">
        <f t="shared" si="12"/>
        <v>6.0319399457851051E-2</v>
      </c>
      <c r="AM33" s="1025">
        <f t="shared" si="12"/>
        <v>5.4587201632234718E-2</v>
      </c>
      <c r="AN33" s="1025">
        <f t="shared" si="12"/>
        <v>6.1733208053711033E-2</v>
      </c>
      <c r="AO33" s="853">
        <f>AVERAGE(AK33:AN33)</f>
        <v>5.0946597630057905E-2</v>
      </c>
      <c r="AQ33" s="74"/>
      <c r="AR33" s="74"/>
      <c r="AS33" s="74"/>
      <c r="AT33" s="74"/>
      <c r="AU33" s="74"/>
      <c r="AV33" s="74"/>
    </row>
    <row r="34" spans="1:58" s="81" customFormat="1" ht="13.5" customHeight="1" x14ac:dyDescent="0.2">
      <c r="A34" s="118"/>
      <c r="B34" s="123" t="s">
        <v>90</v>
      </c>
      <c r="C34" s="63"/>
      <c r="D34" s="63"/>
      <c r="E34" s="63"/>
      <c r="F34" s="63"/>
      <c r="G34" s="63"/>
      <c r="H34" s="63"/>
      <c r="I34" s="63"/>
      <c r="J34" s="63"/>
      <c r="K34" s="63"/>
      <c r="L34" s="63"/>
      <c r="M34" s="63"/>
      <c r="N34" s="63"/>
      <c r="O34" s="63"/>
      <c r="P34" s="63"/>
      <c r="Q34" s="63"/>
      <c r="R34" s="136" t="s">
        <v>108</v>
      </c>
      <c r="T34" s="63"/>
      <c r="U34" s="117"/>
      <c r="V34" s="137"/>
      <c r="W34" s="150"/>
      <c r="X34" s="80"/>
      <c r="Y34" s="184"/>
      <c r="Z34" s="184"/>
      <c r="AA34" s="184"/>
      <c r="AB34" s="184"/>
      <c r="AC34" s="184"/>
      <c r="AD34" s="184"/>
      <c r="AE34" s="184"/>
      <c r="AF34" s="184"/>
      <c r="AG34" s="184"/>
      <c r="AI34" s="184"/>
      <c r="AJ34" s="161"/>
    </row>
    <row r="35" spans="1:58" s="81" customFormat="1" ht="26.25" customHeight="1" x14ac:dyDescent="0.2">
      <c r="A35" s="118"/>
      <c r="B35" s="1923"/>
      <c r="C35" s="1763"/>
      <c r="D35" s="1763"/>
      <c r="E35" s="1763"/>
      <c r="F35" s="1763"/>
      <c r="G35" s="1763"/>
      <c r="H35" s="1763"/>
      <c r="I35" s="1763"/>
      <c r="J35" s="1763"/>
      <c r="K35" s="1763"/>
      <c r="L35" s="1763"/>
      <c r="M35" s="1763"/>
      <c r="N35" s="1763"/>
      <c r="O35" s="1763"/>
      <c r="P35" s="1763"/>
      <c r="Q35" s="1763"/>
      <c r="R35" s="1763"/>
      <c r="S35" s="1763"/>
      <c r="T35" s="1764"/>
      <c r="U35" s="117"/>
      <c r="V35" s="137"/>
      <c r="W35" s="150"/>
      <c r="X35" s="80"/>
      <c r="Y35" s="184"/>
      <c r="Z35" s="184"/>
      <c r="AA35" s="184"/>
      <c r="AB35" s="184"/>
      <c r="AC35" s="184"/>
      <c r="AD35" s="184"/>
      <c r="AE35" s="184"/>
      <c r="AF35" s="184"/>
      <c r="AG35" s="184"/>
      <c r="AI35" s="184"/>
      <c r="AJ35" s="157"/>
      <c r="AK35" s="74"/>
      <c r="AL35" s="74"/>
      <c r="AM35" s="74"/>
      <c r="AN35" s="74"/>
      <c r="AO35" s="74"/>
      <c r="AP35" s="74"/>
      <c r="AQ35" s="74"/>
    </row>
    <row r="36" spans="1:58" s="81" customFormat="1" ht="7.5" customHeight="1" x14ac:dyDescent="0.2">
      <c r="A36" s="118"/>
      <c r="B36" s="17"/>
      <c r="C36" s="17"/>
      <c r="D36" s="16"/>
      <c r="E36" s="16"/>
      <c r="F36" s="16"/>
      <c r="G36" s="16"/>
      <c r="H36" s="16"/>
      <c r="I36" s="16"/>
      <c r="J36" s="16"/>
      <c r="K36" s="12"/>
      <c r="L36" s="18"/>
      <c r="M36" s="18"/>
      <c r="N36" s="18"/>
      <c r="O36" s="18"/>
      <c r="P36" s="18"/>
      <c r="Q36" s="18"/>
      <c r="R36" s="18"/>
      <c r="S36" s="18"/>
      <c r="T36" s="18"/>
      <c r="U36" s="117"/>
      <c r="V36" s="137"/>
      <c r="W36" s="150"/>
      <c r="Y36" s="190"/>
      <c r="AI36" s="184"/>
      <c r="AJ36" s="157"/>
      <c r="AK36" s="74"/>
      <c r="AL36" s="74"/>
      <c r="AM36" s="74"/>
      <c r="AN36" s="74"/>
      <c r="AO36" s="74"/>
      <c r="AP36" s="74"/>
      <c r="AQ36" s="74"/>
    </row>
    <row r="37" spans="1:58" s="81" customFormat="1" ht="15" customHeight="1" x14ac:dyDescent="0.2">
      <c r="A37" s="1716"/>
      <c r="B37" s="1760"/>
      <c r="C37" s="1760"/>
      <c r="D37" s="1760"/>
      <c r="E37" s="1760"/>
      <c r="F37" s="1760"/>
      <c r="G37" s="1760"/>
      <c r="H37" s="1760"/>
      <c r="I37" s="1760"/>
      <c r="J37" s="1760"/>
      <c r="K37" s="1760"/>
      <c r="L37" s="1760"/>
      <c r="M37" s="1760"/>
      <c r="N37" s="1760"/>
      <c r="O37" s="1760"/>
      <c r="P37" s="1760"/>
      <c r="Q37" s="1760"/>
      <c r="R37" s="1760"/>
      <c r="S37" s="1760"/>
      <c r="T37" s="1760"/>
      <c r="U37" s="1761"/>
      <c r="V37" s="137"/>
      <c r="W37" s="150"/>
      <c r="Y37" s="190"/>
      <c r="AJ37" s="161"/>
      <c r="AL37" s="756">
        <v>11</v>
      </c>
      <c r="AM37" s="756">
        <v>12</v>
      </c>
      <c r="AN37" s="756">
        <v>13</v>
      </c>
      <c r="AO37" s="756">
        <v>14</v>
      </c>
      <c r="AP37" s="756">
        <v>15</v>
      </c>
      <c r="AQ37" s="756">
        <v>19</v>
      </c>
      <c r="AR37" s="756">
        <v>3</v>
      </c>
      <c r="AS37" s="1128">
        <v>4</v>
      </c>
      <c r="AT37" s="1128">
        <v>5</v>
      </c>
      <c r="AU37" s="1128">
        <v>6</v>
      </c>
      <c r="AV37" s="1129">
        <v>7</v>
      </c>
      <c r="AW37" s="756">
        <v>3</v>
      </c>
      <c r="AX37" s="1128">
        <v>4</v>
      </c>
      <c r="AY37" s="1128">
        <v>5</v>
      </c>
      <c r="AZ37" s="1128">
        <v>6</v>
      </c>
      <c r="BA37" s="1129">
        <v>7</v>
      </c>
      <c r="BB37" s="756">
        <v>3</v>
      </c>
      <c r="BC37" s="1128">
        <v>4</v>
      </c>
      <c r="BD37" s="1128">
        <v>5</v>
      </c>
      <c r="BE37" s="1128">
        <v>6</v>
      </c>
      <c r="BF37" s="1129">
        <v>7</v>
      </c>
    </row>
    <row r="38" spans="1:58" s="81" customFormat="1" ht="11.25" customHeight="1" x14ac:dyDescent="0.2">
      <c r="A38" s="1765" t="str">
        <f>Home!$A$39</f>
        <v xml:space="preserve"> </v>
      </c>
      <c r="B38" s="1766"/>
      <c r="C38" s="1766"/>
      <c r="D38" s="1766"/>
      <c r="E38" s="1766"/>
      <c r="F38" s="1766"/>
      <c r="G38" s="1766"/>
      <c r="H38" s="1766"/>
      <c r="I38" s="1768"/>
      <c r="J38" s="1767"/>
      <c r="K38" s="1766"/>
      <c r="L38" s="1766"/>
      <c r="M38" s="1766"/>
      <c r="N38" s="1766"/>
      <c r="O38" s="1766"/>
      <c r="P38" s="1766"/>
      <c r="Q38" s="1768"/>
      <c r="R38" s="1766"/>
      <c r="S38" s="1766"/>
      <c r="T38" s="1766"/>
      <c r="U38" s="1769"/>
      <c r="V38" s="137"/>
      <c r="W38" s="150"/>
      <c r="Y38" s="190"/>
      <c r="AI38" s="184"/>
      <c r="AJ38" s="160"/>
      <c r="AK38" s="87"/>
      <c r="AL38" s="1130" t="s">
        <v>89</v>
      </c>
      <c r="AM38" s="1131"/>
      <c r="AN38" s="1131"/>
      <c r="AO38" s="1131"/>
      <c r="AP38" s="1131"/>
      <c r="AQ38" s="1969" t="s">
        <v>1213</v>
      </c>
      <c r="AR38" s="1968" t="s">
        <v>736</v>
      </c>
      <c r="AS38" s="1968"/>
      <c r="AT38" s="1968"/>
      <c r="AU38" s="1968"/>
      <c r="AV38" s="1968"/>
      <c r="AW38" s="1968" t="s">
        <v>737</v>
      </c>
      <c r="AX38" s="1968"/>
      <c r="AY38" s="1968"/>
      <c r="AZ38" s="1968"/>
      <c r="BA38" s="1968"/>
      <c r="BB38" s="1968" t="s">
        <v>738</v>
      </c>
      <c r="BC38" s="1968"/>
      <c r="BD38" s="1968"/>
      <c r="BE38" s="1968"/>
      <c r="BF38" s="1968"/>
    </row>
    <row r="39" spans="1:58" s="81" customFormat="1" ht="11.25" customHeight="1" x14ac:dyDescent="0.2">
      <c r="A39" s="112"/>
      <c r="B39" s="113"/>
      <c r="C39" s="113"/>
      <c r="D39" s="113"/>
      <c r="E39" s="113"/>
      <c r="F39" s="113"/>
      <c r="G39" s="113"/>
      <c r="H39" s="113"/>
      <c r="I39" s="113"/>
      <c r="J39" s="113"/>
      <c r="K39" s="114"/>
      <c r="L39" s="113"/>
      <c r="M39" s="113"/>
      <c r="N39" s="113"/>
      <c r="O39" s="113"/>
      <c r="P39" s="113"/>
      <c r="Q39" s="113"/>
      <c r="R39" s="113"/>
      <c r="S39" s="113"/>
      <c r="T39" s="113"/>
      <c r="U39" s="115"/>
      <c r="V39" s="137"/>
      <c r="W39" s="149" t="s">
        <v>101</v>
      </c>
      <c r="Y39" s="190"/>
      <c r="AB39" s="197"/>
      <c r="AI39" s="184"/>
      <c r="AJ39" s="160"/>
      <c r="AK39" s="87"/>
      <c r="AL39" s="758" t="str">
        <f>Sheet1!$D$27</f>
        <v>2015-16</v>
      </c>
      <c r="AM39" s="758" t="str">
        <f>Sheet1!$E$27</f>
        <v>2016-17</v>
      </c>
      <c r="AN39" s="758" t="str">
        <f>Sheet1!$F$27</f>
        <v>2017-18</v>
      </c>
      <c r="AO39" s="758" t="str">
        <f>Sheet1!$G$27</f>
        <v>2018-19</v>
      </c>
      <c r="AP39" s="758" t="str">
        <f>Sheet1!$H$27</f>
        <v>2019-20</v>
      </c>
      <c r="AQ39" s="1969"/>
      <c r="AR39" s="758" t="str">
        <f>Sheet1!$D$27</f>
        <v>2015-16</v>
      </c>
      <c r="AS39" s="758" t="str">
        <f>Sheet1!$E$27</f>
        <v>2016-17</v>
      </c>
      <c r="AT39" s="758" t="str">
        <f>Sheet1!$F$27</f>
        <v>2017-18</v>
      </c>
      <c r="AU39" s="758" t="str">
        <f>Sheet1!$G$27</f>
        <v>2018-19</v>
      </c>
      <c r="AV39" s="758" t="str">
        <f>Sheet1!$H$27</f>
        <v>2019-20</v>
      </c>
      <c r="AW39" s="758" t="str">
        <f>Sheet1!$D$27</f>
        <v>2015-16</v>
      </c>
      <c r="AX39" s="758" t="str">
        <f>Sheet1!$E$27</f>
        <v>2016-17</v>
      </c>
      <c r="AY39" s="758" t="str">
        <f>Sheet1!$F$27</f>
        <v>2017-18</v>
      </c>
      <c r="AZ39" s="758" t="str">
        <f>Sheet1!$G$27</f>
        <v>2018-19</v>
      </c>
      <c r="BA39" s="758" t="str">
        <f>Sheet1!$H$27</f>
        <v>2019-20</v>
      </c>
      <c r="BB39" s="758" t="str">
        <f>Sheet1!$D$27</f>
        <v>2015-16</v>
      </c>
      <c r="BC39" s="758" t="str">
        <f>Sheet1!$E$27</f>
        <v>2016-17</v>
      </c>
      <c r="BD39" s="758" t="str">
        <f>Sheet1!$F$27</f>
        <v>2017-18</v>
      </c>
      <c r="BE39" s="758" t="str">
        <f>Sheet1!$G$27</f>
        <v>2018-19</v>
      </c>
      <c r="BF39" s="758" t="str">
        <f>Sheet1!$H$27</f>
        <v>2019-20</v>
      </c>
    </row>
    <row r="40" spans="1:58" s="81" customFormat="1" ht="3.75" customHeight="1" x14ac:dyDescent="0.25">
      <c r="A40" s="116"/>
      <c r="B40" s="9"/>
      <c r="C40" s="9"/>
      <c r="D40" s="9"/>
      <c r="E40" s="9"/>
      <c r="F40" s="9"/>
      <c r="G40" s="9"/>
      <c r="H40" s="9"/>
      <c r="I40" s="9"/>
      <c r="J40" s="9"/>
      <c r="K40" s="12"/>
      <c r="L40" s="9"/>
      <c r="M40" s="9"/>
      <c r="N40" s="9"/>
      <c r="O40" s="9"/>
      <c r="P40" s="9"/>
      <c r="Q40" s="9"/>
      <c r="R40" s="9"/>
      <c r="S40" s="9"/>
      <c r="T40" s="9"/>
      <c r="U40" s="117"/>
      <c r="V40" s="137"/>
      <c r="W40" s="294"/>
      <c r="AC40" s="1320" t="s">
        <v>977</v>
      </c>
      <c r="AJ40" s="160"/>
      <c r="AK40" s="87"/>
      <c r="AL40" s="758" t="e">
        <f>Sheet1!$D$28</f>
        <v>#N/A</v>
      </c>
      <c r="AM40" s="758" t="e">
        <f>Sheet1!$E$28</f>
        <v>#N/A</v>
      </c>
      <c r="AN40" s="758" t="e">
        <f>Sheet1!$F$28</f>
        <v>#N/A</v>
      </c>
      <c r="AO40" s="758" t="e">
        <f>Sheet1!$G$28</f>
        <v>#N/A</v>
      </c>
      <c r="AP40" s="758" t="e">
        <f>Sheet1!$H$28</f>
        <v>#N/A</v>
      </c>
      <c r="AQ40" s="1969"/>
      <c r="AR40" s="758" t="e">
        <f>Sheet1!$D$28</f>
        <v>#N/A</v>
      </c>
      <c r="AS40" s="758" t="e">
        <f>Sheet1!$E$28</f>
        <v>#N/A</v>
      </c>
      <c r="AT40" s="758" t="e">
        <f>Sheet1!$F$28</f>
        <v>#N/A</v>
      </c>
      <c r="AU40" s="758" t="e">
        <f>Sheet1!$G$28</f>
        <v>#N/A</v>
      </c>
      <c r="AV40" s="758" t="e">
        <f>Sheet1!$H$28</f>
        <v>#N/A</v>
      </c>
      <c r="AW40" s="758" t="e">
        <f>Sheet1!$D$28</f>
        <v>#N/A</v>
      </c>
      <c r="AX40" s="758" t="e">
        <f>Sheet1!$E$28</f>
        <v>#N/A</v>
      </c>
      <c r="AY40" s="758" t="e">
        <f>Sheet1!$F$28</f>
        <v>#N/A</v>
      </c>
      <c r="AZ40" s="758" t="e">
        <f>Sheet1!$G$28</f>
        <v>#N/A</v>
      </c>
      <c r="BA40" s="758" t="e">
        <f>Sheet1!$H$28</f>
        <v>#N/A</v>
      </c>
      <c r="BB40" s="758" t="e">
        <f>Sheet1!$D$28</f>
        <v>#N/A</v>
      </c>
      <c r="BC40" s="758" t="e">
        <f>Sheet1!$E$28</f>
        <v>#N/A</v>
      </c>
      <c r="BD40" s="758" t="e">
        <f>Sheet1!$F$28</f>
        <v>#N/A</v>
      </c>
      <c r="BE40" s="758" t="e">
        <f>Sheet1!$G$28</f>
        <v>#N/A</v>
      </c>
      <c r="BF40" s="758" t="e">
        <f>Sheet1!$H$28</f>
        <v>#N/A</v>
      </c>
    </row>
    <row r="41" spans="1:58" s="81" customFormat="1" ht="14.25" customHeight="1" x14ac:dyDescent="0.2">
      <c r="A41" s="118"/>
      <c r="B41" s="9"/>
      <c r="C41" s="9"/>
      <c r="D41" s="9"/>
      <c r="E41" s="9"/>
      <c r="F41" s="9"/>
      <c r="G41" s="9"/>
      <c r="H41" s="9"/>
      <c r="I41" s="9"/>
      <c r="J41" s="9"/>
      <c r="K41" s="12"/>
      <c r="L41" s="9"/>
      <c r="M41" s="9"/>
      <c r="N41" s="9"/>
      <c r="O41" s="9"/>
      <c r="P41" s="9"/>
      <c r="Q41" s="9"/>
      <c r="R41" s="9"/>
      <c r="S41" s="9"/>
      <c r="T41" s="9"/>
      <c r="U41" s="117"/>
      <c r="V41" s="137"/>
      <c r="W41" s="294"/>
      <c r="X41" s="43" t="s">
        <v>72</v>
      </c>
      <c r="Y41" s="43" t="s">
        <v>70</v>
      </c>
      <c r="Z41" s="43" t="s">
        <v>71</v>
      </c>
      <c r="AA41" s="1194">
        <v>5</v>
      </c>
      <c r="AB41" s="216">
        <f>(AA41*Y42)+Z42</f>
        <v>165.03591840912321</v>
      </c>
      <c r="AC41" s="206">
        <f>ROUND(ChartLabels!$AA20,3)</f>
        <v>4.0000000000000001E-3</v>
      </c>
      <c r="AI41" s="585" t="b">
        <v>1</v>
      </c>
      <c r="AJ41" s="160" t="s">
        <v>0</v>
      </c>
      <c r="AK41" s="87" t="str">
        <f t="shared" ref="AK41:AK63" si="16">IF(AI41=TRUE,B10,"")</f>
        <v>Bracknell Forest</v>
      </c>
      <c r="AL41" s="1135">
        <f t="shared" ref="AL41:AP50" si="17">VLOOKUP($AK41,$B$10:$P$32,AL$37,FALSE)</f>
        <v>121.21212121212122</v>
      </c>
      <c r="AM41" s="1135">
        <f t="shared" si="17"/>
        <v>103.2258064516129</v>
      </c>
      <c r="AN41" s="1135">
        <f t="shared" si="17"/>
        <v>131.25</v>
      </c>
      <c r="AO41" s="1135">
        <f t="shared" si="17"/>
        <v>142.42424242424241</v>
      </c>
      <c r="AP41" s="1135">
        <f t="shared" si="17"/>
        <v>169.13946587537092</v>
      </c>
      <c r="AQ41" s="1136">
        <f t="shared" ref="AQ41:AQ63" si="18">VLOOKUP(AK41,$B$10:$T$32,AQ$37,FALSE)</f>
        <v>8.9</v>
      </c>
      <c r="AR41" s="1137" t="e">
        <f t="shared" ref="AR41:AV50" si="19">VLOOKUP($AK41,$B$77:$H$99,AR$37,FALSE)</f>
        <v>#N/A</v>
      </c>
      <c r="AS41" s="1137">
        <f t="shared" si="19"/>
        <v>1</v>
      </c>
      <c r="AT41" s="1137">
        <f t="shared" si="19"/>
        <v>1</v>
      </c>
      <c r="AU41" s="1137">
        <f t="shared" si="19"/>
        <v>0.53191489361702127</v>
      </c>
      <c r="AV41" s="1137" t="e">
        <f t="shared" si="19"/>
        <v>#N/A</v>
      </c>
      <c r="AW41" s="1137">
        <f t="shared" ref="AW41:BA50" si="20">VLOOKUP($AK41,$B$113:$H$135,AW$37,FALSE)</f>
        <v>0.9</v>
      </c>
      <c r="AX41" s="1137">
        <f t="shared" si="20"/>
        <v>0.96875</v>
      </c>
      <c r="AY41" s="1137">
        <f t="shared" si="20"/>
        <v>1</v>
      </c>
      <c r="AZ41" s="1137" t="e">
        <f t="shared" si="20"/>
        <v>#N/A</v>
      </c>
      <c r="BA41" s="1137" t="e">
        <f t="shared" si="20"/>
        <v>#N/A</v>
      </c>
      <c r="BB41" s="1137" t="e">
        <f t="shared" ref="BB41:BF50" si="21">VLOOKUP($AK41,$B$149:$H$171,BB$37,FALSE)</f>
        <v>#N/A</v>
      </c>
      <c r="BC41" s="1137" t="e">
        <f t="shared" si="21"/>
        <v>#N/A</v>
      </c>
      <c r="BD41" s="1137">
        <f t="shared" si="21"/>
        <v>0.66666666666666663</v>
      </c>
      <c r="BE41" s="1137">
        <f t="shared" si="21"/>
        <v>0.53191489361702127</v>
      </c>
      <c r="BF41" s="1137">
        <f t="shared" si="21"/>
        <v>0.50877192982456143</v>
      </c>
    </row>
    <row r="42" spans="1:58" s="81" customFormat="1" ht="14.25" customHeight="1" x14ac:dyDescent="0.2">
      <c r="A42" s="118"/>
      <c r="B42" s="9"/>
      <c r="C42" s="9"/>
      <c r="D42" s="9"/>
      <c r="E42" s="9"/>
      <c r="F42" s="9"/>
      <c r="G42" s="9"/>
      <c r="H42" s="9"/>
      <c r="I42" s="9"/>
      <c r="J42" s="9"/>
      <c r="K42" s="12"/>
      <c r="L42" s="9"/>
      <c r="M42" s="9"/>
      <c r="N42" s="9"/>
      <c r="O42" s="9"/>
      <c r="P42" s="9"/>
      <c r="Q42" s="9"/>
      <c r="R42" s="9"/>
      <c r="S42" s="9"/>
      <c r="T42" s="9"/>
      <c r="U42" s="117"/>
      <c r="V42" s="137"/>
      <c r="W42" s="294"/>
      <c r="X42" s="212" t="str">
        <f>"Y= "&amp;Y42&amp;"x + "&amp;Z42</f>
        <v>Y= -0.768339908394441x + 168.877617951095</v>
      </c>
      <c r="Y42" s="743">
        <f>ChartLabels!$Y20</f>
        <v>-0.76833990839444088</v>
      </c>
      <c r="Z42" s="743">
        <f>ChartLabels!$Z20</f>
        <v>168.87761795109543</v>
      </c>
      <c r="AA42" s="215">
        <v>35</v>
      </c>
      <c r="AB42" s="216">
        <f>(AA42*Y42)+Z42</f>
        <v>141.98572115729002</v>
      </c>
      <c r="AC42" s="1319" t="str">
        <f>AC40&amp;" = "&amp;AC41</f>
        <v>r² = 0.004</v>
      </c>
      <c r="AI42" s="585" t="b">
        <v>1</v>
      </c>
      <c r="AJ42" s="160" t="s">
        <v>31</v>
      </c>
      <c r="AK42" s="87" t="str">
        <f t="shared" si="16"/>
        <v>Brighton &amp; Hove</v>
      </c>
      <c r="AL42" s="1135">
        <f t="shared" si="17"/>
        <v>88.461538461538453</v>
      </c>
      <c r="AM42" s="1135">
        <f t="shared" si="17"/>
        <v>90.155440414507765</v>
      </c>
      <c r="AN42" s="1135">
        <f t="shared" si="17"/>
        <v>95.588235294117652</v>
      </c>
      <c r="AO42" s="1135">
        <f t="shared" si="17"/>
        <v>103.7914691943128</v>
      </c>
      <c r="AP42" s="1135">
        <f t="shared" si="17"/>
        <v>109.36007640878702</v>
      </c>
      <c r="AQ42" s="1136">
        <f t="shared" si="18"/>
        <v>15.299999999999999</v>
      </c>
      <c r="AR42" s="1137" t="e">
        <f t="shared" si="19"/>
        <v>#N/A</v>
      </c>
      <c r="AS42" s="1137" t="e">
        <f t="shared" si="19"/>
        <v>#N/A</v>
      </c>
      <c r="AT42" s="1137" t="e">
        <f t="shared" si="19"/>
        <v>#N/A</v>
      </c>
      <c r="AU42" s="1137">
        <f t="shared" si="19"/>
        <v>0.9634703196347032</v>
      </c>
      <c r="AV42" s="1137">
        <f t="shared" si="19"/>
        <v>0.95633187772925765</v>
      </c>
      <c r="AW42" s="1137">
        <f t="shared" si="20"/>
        <v>0.95652173913043481</v>
      </c>
      <c r="AX42" s="1137">
        <f t="shared" si="20"/>
        <v>0.94252873563218387</v>
      </c>
      <c r="AY42" s="1137">
        <f t="shared" si="20"/>
        <v>0.9128205128205128</v>
      </c>
      <c r="AZ42" s="1137">
        <f t="shared" si="20"/>
        <v>0.90410958904109584</v>
      </c>
      <c r="BA42" s="1137">
        <f t="shared" si="20"/>
        <v>0.90393013100436681</v>
      </c>
      <c r="BB42" s="1137" t="e">
        <f t="shared" si="21"/>
        <v>#N/A</v>
      </c>
      <c r="BC42" s="1137" t="e">
        <f t="shared" si="21"/>
        <v>#N/A</v>
      </c>
      <c r="BD42" s="1137">
        <f t="shared" si="21"/>
        <v>0.69230769230769229</v>
      </c>
      <c r="BE42" s="1137">
        <f t="shared" si="21"/>
        <v>0.69406392694063923</v>
      </c>
      <c r="BF42" s="1137">
        <f t="shared" si="21"/>
        <v>0.68558951965065507</v>
      </c>
    </row>
    <row r="43" spans="1:58" ht="14.25" customHeight="1" x14ac:dyDescent="0.2">
      <c r="A43" s="118"/>
      <c r="B43" s="9"/>
      <c r="C43" s="9"/>
      <c r="D43" s="9"/>
      <c r="E43" s="9"/>
      <c r="F43" s="9"/>
      <c r="G43" s="9"/>
      <c r="H43" s="9"/>
      <c r="I43" s="9"/>
      <c r="J43" s="9"/>
      <c r="K43" s="12"/>
      <c r="L43" s="9"/>
      <c r="M43" s="9"/>
      <c r="N43" s="9"/>
      <c r="O43" s="9"/>
      <c r="P43" s="9"/>
      <c r="Q43" s="9"/>
      <c r="R43" s="9"/>
      <c r="S43" s="9"/>
      <c r="T43" s="9"/>
      <c r="U43" s="117"/>
      <c r="V43" s="137"/>
      <c r="W43" s="294"/>
      <c r="X43" s="1159" t="str">
        <f>"National Trend "&amp;Sheet1!$B$8</f>
        <v>National Trend 2020</v>
      </c>
      <c r="Y43" s="1160" t="s">
        <v>70</v>
      </c>
      <c r="Z43" s="1159" t="s">
        <v>71</v>
      </c>
      <c r="AA43" s="1161">
        <v>7</v>
      </c>
      <c r="AB43" s="1162">
        <f>(AA43*Y44)+Z44</f>
        <v>167.70349709665811</v>
      </c>
      <c r="AI43" s="585" t="b">
        <v>1</v>
      </c>
      <c r="AJ43" s="160" t="s">
        <v>8</v>
      </c>
      <c r="AK43" s="87" t="str">
        <f t="shared" si="16"/>
        <v>Buckinghamshire</v>
      </c>
      <c r="AL43" s="1135">
        <f t="shared" si="17"/>
        <v>102.72108843537416</v>
      </c>
      <c r="AM43" s="1135">
        <f t="shared" si="17"/>
        <v>118.05555555555556</v>
      </c>
      <c r="AN43" s="1135">
        <f t="shared" si="17"/>
        <v>145.25547445255475</v>
      </c>
      <c r="AO43" s="1135">
        <f t="shared" si="17"/>
        <v>139.84962406015038</v>
      </c>
      <c r="AP43" s="1135">
        <f t="shared" si="17"/>
        <v>151.5625</v>
      </c>
      <c r="AQ43" s="1136">
        <f t="shared" si="18"/>
        <v>8.5</v>
      </c>
      <c r="AR43" s="1137" t="e">
        <f t="shared" si="19"/>
        <v>#N/A</v>
      </c>
      <c r="AS43" s="1137">
        <f t="shared" si="19"/>
        <v>0.73529411764705888</v>
      </c>
      <c r="AT43" s="1137">
        <f t="shared" si="19"/>
        <v>0.78894472361809043</v>
      </c>
      <c r="AU43" s="1137">
        <f t="shared" si="19"/>
        <v>0.956989247311828</v>
      </c>
      <c r="AV43" s="1137">
        <f t="shared" si="19"/>
        <v>0.89175257731958768</v>
      </c>
      <c r="AW43" s="1137">
        <f t="shared" si="20"/>
        <v>0.79470198675496684</v>
      </c>
      <c r="AX43" s="1137">
        <f t="shared" si="20"/>
        <v>0.68823529411764706</v>
      </c>
      <c r="AY43" s="1137">
        <f t="shared" si="20"/>
        <v>0.76884422110552764</v>
      </c>
      <c r="AZ43" s="1137">
        <f t="shared" si="20"/>
        <v>0.89247311827956988</v>
      </c>
      <c r="BA43" s="1137">
        <f t="shared" si="20"/>
        <v>0.82989690721649489</v>
      </c>
      <c r="BB43" s="1137" t="e">
        <f t="shared" si="21"/>
        <v>#N/A</v>
      </c>
      <c r="BC43" s="1137" t="e">
        <f t="shared" si="21"/>
        <v>#N/A</v>
      </c>
      <c r="BD43" s="1137">
        <f t="shared" si="21"/>
        <v>0.51256281407035176</v>
      </c>
      <c r="BE43" s="1137">
        <f t="shared" si="21"/>
        <v>0.55913978494623651</v>
      </c>
      <c r="BF43" s="1137">
        <f t="shared" si="21"/>
        <v>0.4845360824742268</v>
      </c>
    </row>
    <row r="44" spans="1:58" ht="14.25" customHeight="1" x14ac:dyDescent="0.2">
      <c r="A44" s="118"/>
      <c r="B44" s="9"/>
      <c r="C44" s="9"/>
      <c r="D44" s="9"/>
      <c r="E44" s="9"/>
      <c r="F44" s="9"/>
      <c r="G44" s="9"/>
      <c r="H44" s="9"/>
      <c r="I44" s="9"/>
      <c r="J44" s="9"/>
      <c r="K44" s="12"/>
      <c r="L44" s="13"/>
      <c r="M44" s="13"/>
      <c r="N44" s="13"/>
      <c r="O44" s="13"/>
      <c r="P44" s="14"/>
      <c r="Q44" s="14"/>
      <c r="R44" s="14"/>
      <c r="S44" s="14"/>
      <c r="T44" s="14"/>
      <c r="U44" s="117"/>
      <c r="V44" s="137"/>
      <c r="W44" s="294"/>
      <c r="X44" s="1163" t="str">
        <f>"Y= "&amp;Y44&amp;"x + "&amp;Z44</f>
        <v>Y= 1.63319338266384x + 156.271143418011</v>
      </c>
      <c r="Y44" s="1164">
        <f>Sheet1!F15</f>
        <v>1.633193382663845</v>
      </c>
      <c r="Z44" s="1165">
        <f>Sheet1!F16</f>
        <v>156.27114341801121</v>
      </c>
      <c r="AA44" s="1166">
        <v>25</v>
      </c>
      <c r="AB44" s="1167">
        <f>(AA44*Y44)+Z44</f>
        <v>197.10097798460734</v>
      </c>
      <c r="AI44" s="585" t="b">
        <v>1</v>
      </c>
      <c r="AJ44" s="160" t="s">
        <v>4</v>
      </c>
      <c r="AK44" s="87" t="str">
        <f t="shared" si="16"/>
        <v>East Sussex</v>
      </c>
      <c r="AL44" s="1135">
        <f t="shared" si="17"/>
        <v>95.59748427672956</v>
      </c>
      <c r="AM44" s="1135">
        <f t="shared" si="17"/>
        <v>94.904458598726109</v>
      </c>
      <c r="AN44" s="1135">
        <f t="shared" si="17"/>
        <v>99.354838709677423</v>
      </c>
      <c r="AO44" s="1135">
        <f t="shared" si="17"/>
        <v>109.86842105263158</v>
      </c>
      <c r="AP44" s="1135">
        <f t="shared" si="17"/>
        <v>137.39298536315934</v>
      </c>
      <c r="AQ44" s="1136">
        <f t="shared" si="18"/>
        <v>16.100000000000001</v>
      </c>
      <c r="AR44" s="1137" t="e">
        <f t="shared" si="19"/>
        <v>#N/A</v>
      </c>
      <c r="AS44" s="1137">
        <f t="shared" si="19"/>
        <v>0.8523489932885906</v>
      </c>
      <c r="AT44" s="1137">
        <f t="shared" si="19"/>
        <v>0.79220779220779225</v>
      </c>
      <c r="AU44" s="1137">
        <f t="shared" si="19"/>
        <v>0.85029940119760483</v>
      </c>
      <c r="AV44" s="1137">
        <f t="shared" si="19"/>
        <v>0.83417085427135673</v>
      </c>
      <c r="AW44" s="1137">
        <f t="shared" si="20"/>
        <v>0.81578947368421051</v>
      </c>
      <c r="AX44" s="1137">
        <f t="shared" si="20"/>
        <v>0.7651006711409396</v>
      </c>
      <c r="AY44" s="1137">
        <f t="shared" si="20"/>
        <v>0.77272727272727271</v>
      </c>
      <c r="AZ44" s="1137">
        <f t="shared" si="20"/>
        <v>0.78443113772455086</v>
      </c>
      <c r="BA44" s="1137">
        <f t="shared" si="20"/>
        <v>0.7839195979899497</v>
      </c>
      <c r="BB44" s="1137" t="e">
        <f t="shared" si="21"/>
        <v>#N/A</v>
      </c>
      <c r="BC44" s="1137" t="e">
        <f t="shared" si="21"/>
        <v>#N/A</v>
      </c>
      <c r="BD44" s="1137">
        <f t="shared" si="21"/>
        <v>0.51948051948051943</v>
      </c>
      <c r="BE44" s="1137">
        <f t="shared" si="21"/>
        <v>0.52095808383233533</v>
      </c>
      <c r="BF44" s="1137">
        <f t="shared" si="21"/>
        <v>0.52763819095477382</v>
      </c>
    </row>
    <row r="45" spans="1:58" s="76" customFormat="1" ht="14.25" customHeight="1" x14ac:dyDescent="0.2">
      <c r="A45" s="119"/>
      <c r="B45" s="226"/>
      <c r="C45" s="226"/>
      <c r="D45" s="227"/>
      <c r="E45" s="227"/>
      <c r="F45" s="227"/>
      <c r="G45" s="227"/>
      <c r="H45" s="227"/>
      <c r="I45" s="227"/>
      <c r="J45" s="227"/>
      <c r="K45" s="15"/>
      <c r="L45" s="9"/>
      <c r="M45" s="9"/>
      <c r="N45" s="9"/>
      <c r="O45" s="9"/>
      <c r="P45" s="9"/>
      <c r="Q45" s="9"/>
      <c r="R45" s="9"/>
      <c r="S45" s="9"/>
      <c r="T45" s="9"/>
      <c r="U45" s="120"/>
      <c r="V45" s="138"/>
      <c r="W45" s="295"/>
      <c r="X45" s="81"/>
      <c r="Y45" s="190"/>
      <c r="Z45" s="81"/>
      <c r="AA45" s="81"/>
      <c r="AC45" s="81"/>
      <c r="AD45" s="81"/>
      <c r="AE45" s="81"/>
      <c r="AF45" s="81"/>
      <c r="AG45" s="81"/>
      <c r="AH45" s="81"/>
      <c r="AI45" s="585" t="b">
        <v>1</v>
      </c>
      <c r="AJ45" s="160" t="s">
        <v>6</v>
      </c>
      <c r="AK45" s="87" t="str">
        <f t="shared" si="16"/>
        <v>Hampshire</v>
      </c>
      <c r="AL45" s="1135">
        <f t="shared" si="17"/>
        <v>121.46341463414635</v>
      </c>
      <c r="AM45" s="1135">
        <f t="shared" si="17"/>
        <v>123.77450980392156</v>
      </c>
      <c r="AN45" s="1135">
        <f t="shared" si="17"/>
        <v>133.50125944584383</v>
      </c>
      <c r="AO45" s="1135">
        <f t="shared" si="17"/>
        <v>131.12244897959184</v>
      </c>
      <c r="AP45" s="1135">
        <f t="shared" si="17"/>
        <v>143.97871618978064</v>
      </c>
      <c r="AQ45" s="1136">
        <f t="shared" si="18"/>
        <v>10.100000000000001</v>
      </c>
      <c r="AR45" s="1137" t="e">
        <f t="shared" si="19"/>
        <v>#N/A</v>
      </c>
      <c r="AS45" s="1137">
        <f t="shared" si="19"/>
        <v>0.81980198019801975</v>
      </c>
      <c r="AT45" s="1137">
        <f t="shared" si="19"/>
        <v>0.80188679245283023</v>
      </c>
      <c r="AU45" s="1137">
        <f t="shared" si="19"/>
        <v>0.72957198443579763</v>
      </c>
      <c r="AV45" s="1137">
        <f t="shared" si="19"/>
        <v>0.78260869565217395</v>
      </c>
      <c r="AW45" s="1137">
        <f t="shared" si="20"/>
        <v>0.71084337349397586</v>
      </c>
      <c r="AX45" s="1137">
        <f t="shared" si="20"/>
        <v>0.75445544554455446</v>
      </c>
      <c r="AY45" s="1137">
        <f t="shared" si="20"/>
        <v>0.70754716981132071</v>
      </c>
      <c r="AZ45" s="1137">
        <f t="shared" si="20"/>
        <v>0.65758754863813229</v>
      </c>
      <c r="BA45" s="1137">
        <f t="shared" si="20"/>
        <v>0.70652173913043481</v>
      </c>
      <c r="BB45" s="1137" t="e">
        <f t="shared" si="21"/>
        <v>#N/A</v>
      </c>
      <c r="BC45" s="1137" t="e">
        <f t="shared" si="21"/>
        <v>#N/A</v>
      </c>
      <c r="BD45" s="1137">
        <f t="shared" si="21"/>
        <v>0.44905660377358492</v>
      </c>
      <c r="BE45" s="1137">
        <f t="shared" si="21"/>
        <v>0.44941634241245138</v>
      </c>
      <c r="BF45" s="1137">
        <f t="shared" si="21"/>
        <v>0.51449275362318836</v>
      </c>
    </row>
    <row r="46" spans="1:58" ht="14.25" customHeight="1" x14ac:dyDescent="0.2">
      <c r="A46" s="118"/>
      <c r="B46" s="227"/>
      <c r="C46" s="227"/>
      <c r="D46" s="227"/>
      <c r="E46" s="227"/>
      <c r="F46" s="227"/>
      <c r="G46" s="227"/>
      <c r="H46" s="227"/>
      <c r="I46" s="227"/>
      <c r="J46" s="227"/>
      <c r="K46" s="12"/>
      <c r="L46" s="14"/>
      <c r="M46" s="14"/>
      <c r="N46" s="14"/>
      <c r="O46" s="14"/>
      <c r="P46" s="9"/>
      <c r="Q46" s="9"/>
      <c r="R46" s="9"/>
      <c r="S46" s="9"/>
      <c r="T46" s="9"/>
      <c r="U46" s="117"/>
      <c r="V46" s="137"/>
      <c r="W46" s="294"/>
      <c r="Y46" s="190"/>
      <c r="AI46" s="585" t="b">
        <v>1</v>
      </c>
      <c r="AJ46" s="160" t="s">
        <v>1</v>
      </c>
      <c r="AK46" s="87" t="str">
        <f t="shared" si="16"/>
        <v>Isle of Wight</v>
      </c>
      <c r="AL46" s="1135">
        <f t="shared" si="17"/>
        <v>219.51219512195121</v>
      </c>
      <c r="AM46" s="1135">
        <f t="shared" si="17"/>
        <v>235</v>
      </c>
      <c r="AN46" s="1135">
        <f t="shared" si="17"/>
        <v>234.21052631578948</v>
      </c>
      <c r="AO46" s="1135">
        <f t="shared" si="17"/>
        <v>234.21052631578948</v>
      </c>
      <c r="AP46" s="1135">
        <f t="shared" si="17"/>
        <v>243.4928631402183</v>
      </c>
      <c r="AQ46" s="1136">
        <f t="shared" si="18"/>
        <v>18</v>
      </c>
      <c r="AR46" s="1137" t="e">
        <f t="shared" si="19"/>
        <v>#N/A</v>
      </c>
      <c r="AS46" s="1137">
        <f t="shared" si="19"/>
        <v>0.82978723404255317</v>
      </c>
      <c r="AT46" s="1137" t="e">
        <f t="shared" si="19"/>
        <v>#N/A</v>
      </c>
      <c r="AU46" s="1137">
        <f t="shared" si="19"/>
        <v>1</v>
      </c>
      <c r="AV46" s="1137" t="e">
        <f t="shared" si="19"/>
        <v>#N/A</v>
      </c>
      <c r="AW46" s="1137">
        <f t="shared" si="20"/>
        <v>0.91111111111111109</v>
      </c>
      <c r="AX46" s="1137">
        <f t="shared" si="20"/>
        <v>0.71276595744680848</v>
      </c>
      <c r="AY46" s="1137" t="e">
        <f t="shared" si="20"/>
        <v>#N/A</v>
      </c>
      <c r="AZ46" s="1137">
        <f t="shared" si="20"/>
        <v>0.88764044943820219</v>
      </c>
      <c r="BA46" s="1137" t="e">
        <f t="shared" si="20"/>
        <v>#N/A</v>
      </c>
      <c r="BB46" s="1137" t="e">
        <f t="shared" si="21"/>
        <v>#N/A</v>
      </c>
      <c r="BC46" s="1137" t="e">
        <f t="shared" si="21"/>
        <v>#N/A</v>
      </c>
      <c r="BD46" s="1137">
        <f t="shared" si="21"/>
        <v>0.5280898876404494</v>
      </c>
      <c r="BE46" s="1137">
        <f t="shared" si="21"/>
        <v>0.5955056179775281</v>
      </c>
      <c r="BF46" s="1137">
        <f t="shared" si="21"/>
        <v>0.63218390804597702</v>
      </c>
    </row>
    <row r="47" spans="1:58" ht="14.25" customHeight="1" x14ac:dyDescent="0.2">
      <c r="A47" s="118"/>
      <c r="B47" s="227"/>
      <c r="C47" s="227"/>
      <c r="D47" s="227"/>
      <c r="E47" s="227"/>
      <c r="F47" s="227"/>
      <c r="G47" s="227"/>
      <c r="H47" s="227"/>
      <c r="I47" s="227"/>
      <c r="J47" s="227"/>
      <c r="K47" s="12"/>
      <c r="L47" s="14"/>
      <c r="M47" s="14"/>
      <c r="N47" s="14"/>
      <c r="O47" s="14"/>
      <c r="P47" s="9"/>
      <c r="Q47" s="9"/>
      <c r="R47" s="9"/>
      <c r="S47" s="9"/>
      <c r="T47" s="9"/>
      <c r="U47" s="117"/>
      <c r="V47" s="137"/>
      <c r="W47" s="294"/>
      <c r="Y47" s="190"/>
      <c r="AC47" s="207"/>
      <c r="AI47" s="585" t="b">
        <v>1</v>
      </c>
      <c r="AJ47" s="160" t="s">
        <v>9</v>
      </c>
      <c r="AK47" s="87" t="str">
        <f t="shared" si="16"/>
        <v>Kent</v>
      </c>
      <c r="AL47" s="1135">
        <f t="shared" si="17"/>
        <v>174.35424354243543</v>
      </c>
      <c r="AM47" s="1135">
        <f t="shared" si="17"/>
        <v>202.43445692883896</v>
      </c>
      <c r="AN47" s="1135">
        <f t="shared" si="17"/>
        <v>255.49242424242425</v>
      </c>
      <c r="AO47" s="1135">
        <f t="shared" si="17"/>
        <v>290.43977055449329</v>
      </c>
      <c r="AP47" s="1135">
        <f t="shared" si="17"/>
        <v>271.92827228219193</v>
      </c>
      <c r="AQ47" s="1136">
        <f t="shared" si="18"/>
        <v>15.8</v>
      </c>
      <c r="AR47" s="1137" t="e">
        <f t="shared" si="19"/>
        <v>#N/A</v>
      </c>
      <c r="AS47" s="1137">
        <f t="shared" si="19"/>
        <v>0.81128584643848289</v>
      </c>
      <c r="AT47" s="1137">
        <f t="shared" si="19"/>
        <v>0.81541882876204597</v>
      </c>
      <c r="AU47" s="1137">
        <f t="shared" si="19"/>
        <v>0.82949308755760365</v>
      </c>
      <c r="AV47" s="1137">
        <f t="shared" si="19"/>
        <v>0.85104844540853219</v>
      </c>
      <c r="AW47" s="1137">
        <f t="shared" si="20"/>
        <v>0.67513227513227514</v>
      </c>
      <c r="AX47" s="1137">
        <f t="shared" si="20"/>
        <v>0.76133209990749307</v>
      </c>
      <c r="AY47" s="1137">
        <f t="shared" si="20"/>
        <v>0.76278724981467749</v>
      </c>
      <c r="AZ47" s="1137">
        <f t="shared" si="20"/>
        <v>0.7695852534562212</v>
      </c>
      <c r="BA47" s="1137">
        <f t="shared" si="20"/>
        <v>0.74620390455531449</v>
      </c>
      <c r="BB47" s="1137" t="e">
        <f t="shared" si="21"/>
        <v>#N/A</v>
      </c>
      <c r="BC47" s="1137" t="e">
        <f t="shared" si="21"/>
        <v>#N/A</v>
      </c>
      <c r="BD47" s="1137">
        <f t="shared" si="21"/>
        <v>0.52038547071905117</v>
      </c>
      <c r="BE47" s="1137">
        <f t="shared" si="21"/>
        <v>0.54838709677419351</v>
      </c>
      <c r="BF47" s="1137">
        <f t="shared" si="21"/>
        <v>0.54013015184381774</v>
      </c>
    </row>
    <row r="48" spans="1:58" ht="14.25" customHeight="1" x14ac:dyDescent="0.2">
      <c r="A48" s="118"/>
      <c r="B48" s="58"/>
      <c r="C48" s="58"/>
      <c r="D48" s="58"/>
      <c r="E48" s="58"/>
      <c r="F48" s="58"/>
      <c r="G48" s="58"/>
      <c r="H48" s="58"/>
      <c r="I48" s="58"/>
      <c r="J48" s="58"/>
      <c r="K48" s="12"/>
      <c r="L48" s="14"/>
      <c r="M48" s="14"/>
      <c r="N48" s="14"/>
      <c r="O48" s="14"/>
      <c r="P48" s="9"/>
      <c r="Q48" s="9"/>
      <c r="R48" s="9"/>
      <c r="S48" s="9"/>
      <c r="T48" s="9"/>
      <c r="U48" s="117"/>
      <c r="V48" s="137"/>
      <c r="W48" s="294"/>
      <c r="Y48" s="190"/>
      <c r="AC48" s="184"/>
      <c r="AI48" s="585" t="b">
        <v>1</v>
      </c>
      <c r="AJ48" s="160" t="s">
        <v>2</v>
      </c>
      <c r="AK48" s="87" t="str">
        <f t="shared" si="16"/>
        <v>Medway</v>
      </c>
      <c r="AL48" s="1135">
        <f t="shared" si="17"/>
        <v>145.79439252336448</v>
      </c>
      <c r="AM48" s="1135">
        <f t="shared" si="17"/>
        <v>113.59223300970874</v>
      </c>
      <c r="AN48" s="1135">
        <f t="shared" si="17"/>
        <v>113.13131313131314</v>
      </c>
      <c r="AO48" s="1135">
        <f t="shared" si="17"/>
        <v>123.95833333333333</v>
      </c>
      <c r="AP48" s="1135">
        <f t="shared" si="17"/>
        <v>129.50872310820935</v>
      </c>
      <c r="AQ48" s="1136">
        <f t="shared" si="18"/>
        <v>18.899999999999999</v>
      </c>
      <c r="AR48" s="1137" t="e">
        <f t="shared" si="19"/>
        <v>#N/A</v>
      </c>
      <c r="AS48" s="1137" t="e">
        <f t="shared" si="19"/>
        <v>#N/A</v>
      </c>
      <c r="AT48" s="1137" t="e">
        <f t="shared" si="19"/>
        <v>#N/A</v>
      </c>
      <c r="AU48" s="1137">
        <f t="shared" si="19"/>
        <v>0.49579831932773111</v>
      </c>
      <c r="AV48" s="1137" t="e">
        <f t="shared" si="19"/>
        <v>#N/A</v>
      </c>
      <c r="AW48" s="1137">
        <f t="shared" si="20"/>
        <v>0.89743589743589747</v>
      </c>
      <c r="AX48" s="1137">
        <f t="shared" si="20"/>
        <v>0.88034188034188032</v>
      </c>
      <c r="AY48" s="1137">
        <f t="shared" si="20"/>
        <v>0.9285714285714286</v>
      </c>
      <c r="AZ48" s="1137">
        <f t="shared" si="20"/>
        <v>0.90756302521008403</v>
      </c>
      <c r="BA48" s="1137">
        <f t="shared" si="20"/>
        <v>0.94214876033057848</v>
      </c>
      <c r="BB48" s="1137" t="e">
        <f t="shared" si="21"/>
        <v>#N/A</v>
      </c>
      <c r="BC48" s="1137" t="e">
        <f t="shared" si="21"/>
        <v>#N/A</v>
      </c>
      <c r="BD48" s="1137" t="e">
        <f t="shared" si="21"/>
        <v>#N/A</v>
      </c>
      <c r="BE48" s="1137" t="e">
        <f t="shared" si="21"/>
        <v>#N/A</v>
      </c>
      <c r="BF48" s="1137">
        <f t="shared" si="21"/>
        <v>0.47933884297520662</v>
      </c>
    </row>
    <row r="49" spans="1:58" ht="14.25" customHeight="1" x14ac:dyDescent="0.2">
      <c r="A49" s="118"/>
      <c r="B49" s="58"/>
      <c r="C49" s="58"/>
      <c r="D49" s="69"/>
      <c r="E49" s="70"/>
      <c r="F49" s="69"/>
      <c r="G49" s="70"/>
      <c r="H49" s="70"/>
      <c r="I49" s="70"/>
      <c r="J49" s="70"/>
      <c r="K49" s="12"/>
      <c r="L49" s="14"/>
      <c r="M49" s="14"/>
      <c r="N49" s="14"/>
      <c r="O49" s="14"/>
      <c r="P49" s="9"/>
      <c r="Q49" s="9"/>
      <c r="R49" s="9"/>
      <c r="S49" s="9"/>
      <c r="T49" s="9"/>
      <c r="U49" s="117"/>
      <c r="V49" s="137"/>
      <c r="W49" s="294"/>
      <c r="Y49" s="190"/>
      <c r="AI49" s="585" t="b">
        <v>1</v>
      </c>
      <c r="AJ49" s="160" t="s">
        <v>10</v>
      </c>
      <c r="AK49" s="87" t="str">
        <f t="shared" si="16"/>
        <v>Milton Keynes</v>
      </c>
      <c r="AL49" s="1135">
        <f t="shared" si="17"/>
        <v>164.78873239436621</v>
      </c>
      <c r="AM49" s="1135">
        <f t="shared" si="17"/>
        <v>204.47761194029849</v>
      </c>
      <c r="AN49" s="1135">
        <f t="shared" si="17"/>
        <v>222.38805970149252</v>
      </c>
      <c r="AO49" s="1135">
        <f t="shared" si="17"/>
        <v>256.92307692307691</v>
      </c>
      <c r="AP49" s="1135">
        <f t="shared" si="17"/>
        <v>260.66350710900474</v>
      </c>
      <c r="AQ49" s="1136">
        <f t="shared" si="18"/>
        <v>15</v>
      </c>
      <c r="AR49" s="1137" t="e">
        <f t="shared" si="19"/>
        <v>#N/A</v>
      </c>
      <c r="AS49" s="1137">
        <f t="shared" si="19"/>
        <v>0.82481751824817517</v>
      </c>
      <c r="AT49" s="1137">
        <f t="shared" si="19"/>
        <v>0.86577181208053688</v>
      </c>
      <c r="AU49" s="1137">
        <f t="shared" si="19"/>
        <v>0.91017964071856283</v>
      </c>
      <c r="AV49" s="1137">
        <f t="shared" si="19"/>
        <v>0.89090909090909087</v>
      </c>
      <c r="AW49" s="1137">
        <f t="shared" si="20"/>
        <v>0.77777777777777779</v>
      </c>
      <c r="AX49" s="1137">
        <f t="shared" si="20"/>
        <v>0.82481751824817517</v>
      </c>
      <c r="AY49" s="1137">
        <f t="shared" si="20"/>
        <v>0.79865771812080533</v>
      </c>
      <c r="AZ49" s="1137">
        <f t="shared" si="20"/>
        <v>0.81437125748502992</v>
      </c>
      <c r="BA49" s="1137">
        <f t="shared" si="20"/>
        <v>0.81818181818181823</v>
      </c>
      <c r="BB49" s="1137" t="e">
        <f t="shared" si="21"/>
        <v>#N/A</v>
      </c>
      <c r="BC49" s="1137" t="e">
        <f t="shared" si="21"/>
        <v>#N/A</v>
      </c>
      <c r="BD49" s="1137">
        <f t="shared" si="21"/>
        <v>0.4563758389261745</v>
      </c>
      <c r="BE49" s="1137">
        <f t="shared" si="21"/>
        <v>0.40119760479041916</v>
      </c>
      <c r="BF49" s="1137">
        <f t="shared" si="21"/>
        <v>0.40606060606060607</v>
      </c>
    </row>
    <row r="50" spans="1:58" ht="14.25" customHeight="1" x14ac:dyDescent="0.2">
      <c r="A50" s="118"/>
      <c r="B50" s="58"/>
      <c r="C50" s="58"/>
      <c r="D50" s="61"/>
      <c r="E50" s="61"/>
      <c r="F50" s="61"/>
      <c r="G50" s="61"/>
      <c r="H50" s="61"/>
      <c r="I50" s="61"/>
      <c r="J50" s="61"/>
      <c r="K50" s="12"/>
      <c r="L50" s="14"/>
      <c r="M50" s="14"/>
      <c r="N50" s="14"/>
      <c r="O50" s="14"/>
      <c r="P50" s="9"/>
      <c r="Q50" s="9"/>
      <c r="R50" s="9"/>
      <c r="S50" s="9"/>
      <c r="T50" s="9"/>
      <c r="U50" s="117"/>
      <c r="V50" s="137"/>
      <c r="W50" s="294"/>
      <c r="Y50" s="190"/>
      <c r="AI50" s="585" t="b">
        <v>1</v>
      </c>
      <c r="AJ50" s="160" t="s">
        <v>11</v>
      </c>
      <c r="AK50" s="87" t="str">
        <f t="shared" si="16"/>
        <v>Oxfordshire</v>
      </c>
      <c r="AL50" s="1135">
        <f t="shared" si="17"/>
        <v>83.828382838283829</v>
      </c>
      <c r="AM50" s="1135">
        <f t="shared" si="17"/>
        <v>75.65789473684211</v>
      </c>
      <c r="AN50" s="1135">
        <f t="shared" si="17"/>
        <v>80.936454849498318</v>
      </c>
      <c r="AO50" s="1135">
        <f t="shared" si="17"/>
        <v>91.973244147157203</v>
      </c>
      <c r="AP50" s="1135">
        <f t="shared" si="17"/>
        <v>97.249607325468702</v>
      </c>
      <c r="AQ50" s="1136">
        <f t="shared" si="18"/>
        <v>10.100000000000001</v>
      </c>
      <c r="AR50" s="1137" t="e">
        <f t="shared" si="19"/>
        <v>#N/A</v>
      </c>
      <c r="AS50" s="1137">
        <f t="shared" si="19"/>
        <v>0.86086956521739133</v>
      </c>
      <c r="AT50" s="1137">
        <f t="shared" si="19"/>
        <v>0.81818181818181823</v>
      </c>
      <c r="AU50" s="1137">
        <f t="shared" si="19"/>
        <v>0.81818181818181823</v>
      </c>
      <c r="AV50" s="1137">
        <f t="shared" si="19"/>
        <v>0.83848797250859108</v>
      </c>
      <c r="AW50" s="1137">
        <f t="shared" si="20"/>
        <v>0.70472440944881887</v>
      </c>
      <c r="AX50" s="1137">
        <f t="shared" si="20"/>
        <v>0.80869565217391304</v>
      </c>
      <c r="AY50" s="1137">
        <f t="shared" si="20"/>
        <v>0.77272727272727271</v>
      </c>
      <c r="AZ50" s="1137">
        <f t="shared" si="20"/>
        <v>0.74545454545454548</v>
      </c>
      <c r="BA50" s="1137">
        <f t="shared" si="20"/>
        <v>0.76975945017182135</v>
      </c>
      <c r="BB50" s="1137" t="e">
        <f t="shared" si="21"/>
        <v>#N/A</v>
      </c>
      <c r="BC50" s="1137" t="e">
        <f t="shared" si="21"/>
        <v>#N/A</v>
      </c>
      <c r="BD50" s="1137">
        <f t="shared" si="21"/>
        <v>0.48347107438016529</v>
      </c>
      <c r="BE50" s="1137">
        <f t="shared" si="21"/>
        <v>0.49454545454545457</v>
      </c>
      <c r="BF50" s="1137">
        <f t="shared" si="21"/>
        <v>0.45704467353951889</v>
      </c>
    </row>
    <row r="51" spans="1:58" ht="14.25" customHeight="1" x14ac:dyDescent="0.2">
      <c r="A51" s="118"/>
      <c r="B51" s="421"/>
      <c r="C51" s="421"/>
      <c r="D51" s="58"/>
      <c r="E51" s="58"/>
      <c r="F51" s="58"/>
      <c r="G51" s="58"/>
      <c r="H51" s="58"/>
      <c r="I51" s="58"/>
      <c r="J51" s="58"/>
      <c r="K51" s="12"/>
      <c r="L51" s="14"/>
      <c r="M51" s="14"/>
      <c r="N51" s="14"/>
      <c r="O51" s="14"/>
      <c r="P51" s="9"/>
      <c r="Q51" s="9"/>
      <c r="R51" s="9"/>
      <c r="S51" s="9"/>
      <c r="T51" s="9"/>
      <c r="U51" s="117"/>
      <c r="V51" s="137"/>
      <c r="W51" s="294"/>
      <c r="Y51" s="190"/>
      <c r="AI51" s="585" t="b">
        <v>1</v>
      </c>
      <c r="AJ51" s="160" t="s">
        <v>12</v>
      </c>
      <c r="AK51" s="87" t="str">
        <f t="shared" si="16"/>
        <v>Portsmouth</v>
      </c>
      <c r="AL51" s="1135">
        <f t="shared" ref="AL51:AP63" si="22">VLOOKUP($AK51,$B$10:$P$32,AL$37,FALSE)</f>
        <v>69.736842105263165</v>
      </c>
      <c r="AM51" s="1135">
        <f t="shared" si="22"/>
        <v>72.903225806451616</v>
      </c>
      <c r="AN51" s="1135">
        <f t="shared" si="22"/>
        <v>70.987654320987659</v>
      </c>
      <c r="AO51" s="1135">
        <f t="shared" si="22"/>
        <v>75</v>
      </c>
      <c r="AP51" s="1135">
        <f t="shared" si="22"/>
        <v>92.024539877300626</v>
      </c>
      <c r="AQ51" s="1136">
        <f t="shared" si="18"/>
        <v>20.200000000000003</v>
      </c>
      <c r="AR51" s="1137" t="e">
        <f t="shared" ref="AR51:AV63" si="23">VLOOKUP($AK51,$B$77:$H$99,AR$37,FALSE)</f>
        <v>#N/A</v>
      </c>
      <c r="AS51" s="1137">
        <f t="shared" si="23"/>
        <v>0.79646017699115046</v>
      </c>
      <c r="AT51" s="1137">
        <f t="shared" si="23"/>
        <v>0.76521739130434785</v>
      </c>
      <c r="AU51" s="1137">
        <f t="shared" si="23"/>
        <v>0.77235772357723576</v>
      </c>
      <c r="AV51" s="1137">
        <f t="shared" si="23"/>
        <v>0.76470588235294112</v>
      </c>
      <c r="AW51" s="1137">
        <f t="shared" ref="AW51:BA63" si="24">VLOOKUP($AK51,$B$113:$H$135,AW$37,FALSE)</f>
        <v>0.63207547169811318</v>
      </c>
      <c r="AX51" s="1137">
        <f t="shared" si="24"/>
        <v>0.65486725663716816</v>
      </c>
      <c r="AY51" s="1137">
        <f t="shared" si="24"/>
        <v>0.69565217391304346</v>
      </c>
      <c r="AZ51" s="1137">
        <f t="shared" si="24"/>
        <v>0.68292682926829273</v>
      </c>
      <c r="BA51" s="1137">
        <f t="shared" si="24"/>
        <v>0.70588235294117652</v>
      </c>
      <c r="BB51" s="1137" t="e">
        <f t="shared" ref="BB51:BF63" si="25">VLOOKUP($AK51,$B$149:$H$171,BB$37,FALSE)</f>
        <v>#N/A</v>
      </c>
      <c r="BC51" s="1137" t="e">
        <f t="shared" si="25"/>
        <v>#N/A</v>
      </c>
      <c r="BD51" s="1137">
        <f t="shared" si="25"/>
        <v>0.37391304347826088</v>
      </c>
      <c r="BE51" s="1137">
        <f t="shared" si="25"/>
        <v>0.44715447154471544</v>
      </c>
      <c r="BF51" s="1137">
        <f t="shared" si="25"/>
        <v>0.50326797385620914</v>
      </c>
    </row>
    <row r="52" spans="1:58" ht="14.25" customHeight="1" x14ac:dyDescent="0.2">
      <c r="A52" s="118"/>
      <c r="B52" s="421"/>
      <c r="C52" s="421"/>
      <c r="D52" s="58"/>
      <c r="E52" s="58"/>
      <c r="F52" s="58"/>
      <c r="G52" s="58"/>
      <c r="H52" s="58"/>
      <c r="I52" s="58"/>
      <c r="J52" s="58"/>
      <c r="K52" s="12"/>
      <c r="L52" s="14"/>
      <c r="M52" s="14"/>
      <c r="N52" s="14"/>
      <c r="O52" s="14"/>
      <c r="P52" s="9"/>
      <c r="Q52" s="9"/>
      <c r="R52" s="9"/>
      <c r="S52" s="9"/>
      <c r="T52" s="9"/>
      <c r="U52" s="117"/>
      <c r="V52" s="137"/>
      <c r="W52" s="294"/>
      <c r="Y52" s="190"/>
      <c r="AI52" s="585" t="b">
        <v>1</v>
      </c>
      <c r="AJ52" s="160" t="s">
        <v>3</v>
      </c>
      <c r="AK52" s="87" t="str">
        <f t="shared" si="16"/>
        <v>Reading</v>
      </c>
      <c r="AL52" s="1135">
        <f t="shared" si="22"/>
        <v>77.27272727272728</v>
      </c>
      <c r="AM52" s="1135">
        <f t="shared" si="22"/>
        <v>88.63636363636364</v>
      </c>
      <c r="AN52" s="1135">
        <f t="shared" si="22"/>
        <v>95.604395604395592</v>
      </c>
      <c r="AO52" s="1135">
        <f t="shared" si="22"/>
        <v>104.25531914893618</v>
      </c>
      <c r="AP52" s="1135">
        <f t="shared" si="22"/>
        <v>114.20171867933063</v>
      </c>
      <c r="AQ52" s="1136">
        <f t="shared" si="18"/>
        <v>16</v>
      </c>
      <c r="AR52" s="1137" t="e">
        <f t="shared" si="23"/>
        <v>#N/A</v>
      </c>
      <c r="AS52" s="1137">
        <f t="shared" si="23"/>
        <v>0.91025641025641024</v>
      </c>
      <c r="AT52" s="1137">
        <f t="shared" si="23"/>
        <v>0.83908045977011492</v>
      </c>
      <c r="AU52" s="1137">
        <f t="shared" si="23"/>
        <v>0.48979591836734693</v>
      </c>
      <c r="AV52" s="1137">
        <f t="shared" si="23"/>
        <v>0.90099009900990101</v>
      </c>
      <c r="AW52" s="1137">
        <f t="shared" si="24"/>
        <v>0.8970588235294118</v>
      </c>
      <c r="AX52" s="1137">
        <f t="shared" si="24"/>
        <v>0.88461538461538458</v>
      </c>
      <c r="AY52" s="1137">
        <f t="shared" si="24"/>
        <v>0.7816091954022989</v>
      </c>
      <c r="AZ52" s="1137">
        <f t="shared" si="24"/>
        <v>0.87755102040816324</v>
      </c>
      <c r="BA52" s="1137">
        <f t="shared" si="24"/>
        <v>0.84158415841584155</v>
      </c>
      <c r="BB52" s="1137" t="e">
        <f t="shared" si="25"/>
        <v>#N/A</v>
      </c>
      <c r="BC52" s="1137" t="e">
        <f t="shared" si="25"/>
        <v>#N/A</v>
      </c>
      <c r="BD52" s="1137">
        <f t="shared" si="25"/>
        <v>0.42528735632183906</v>
      </c>
      <c r="BE52" s="1137" t="e">
        <f t="shared" si="25"/>
        <v>#N/A</v>
      </c>
      <c r="BF52" s="1137">
        <f t="shared" si="25"/>
        <v>0.46534653465346537</v>
      </c>
    </row>
    <row r="53" spans="1:58" ht="14.25" customHeight="1" x14ac:dyDescent="0.2">
      <c r="A53" s="118"/>
      <c r="B53" s="421"/>
      <c r="C53" s="421"/>
      <c r="D53" s="58"/>
      <c r="E53" s="58"/>
      <c r="F53" s="58"/>
      <c r="G53" s="58"/>
      <c r="H53" s="58"/>
      <c r="I53" s="58"/>
      <c r="J53" s="58"/>
      <c r="K53" s="12"/>
      <c r="L53" s="14"/>
      <c r="M53" s="14"/>
      <c r="N53" s="14"/>
      <c r="O53" s="14"/>
      <c r="P53" s="9"/>
      <c r="Q53" s="9"/>
      <c r="R53" s="9"/>
      <c r="S53" s="9"/>
      <c r="T53" s="9"/>
      <c r="U53" s="117"/>
      <c r="V53" s="137"/>
      <c r="W53" s="294"/>
      <c r="Y53" s="190"/>
      <c r="AI53" s="585" t="b">
        <v>1</v>
      </c>
      <c r="AJ53" s="160" t="s">
        <v>13</v>
      </c>
      <c r="AK53" s="87" t="str">
        <f t="shared" si="16"/>
        <v>Slough</v>
      </c>
      <c r="AL53" s="1135">
        <f t="shared" si="22"/>
        <v>197.77777777777777</v>
      </c>
      <c r="AM53" s="1135">
        <f t="shared" si="22"/>
        <v>188.63636363636363</v>
      </c>
      <c r="AN53" s="1135">
        <f t="shared" si="22"/>
        <v>206.97674418604649</v>
      </c>
      <c r="AO53" s="1135">
        <f t="shared" si="22"/>
        <v>207.14285714285714</v>
      </c>
      <c r="AP53" s="1135">
        <f t="shared" si="22"/>
        <v>227.1062271062271</v>
      </c>
      <c r="AQ53" s="1136">
        <f t="shared" si="18"/>
        <v>14.7</v>
      </c>
      <c r="AR53" s="1137" t="e">
        <f t="shared" si="23"/>
        <v>#N/A</v>
      </c>
      <c r="AS53" s="1137">
        <f t="shared" si="23"/>
        <v>0.77108433734939763</v>
      </c>
      <c r="AT53" s="1137">
        <f t="shared" si="23"/>
        <v>0.8314606741573034</v>
      </c>
      <c r="AU53" s="1137">
        <f t="shared" si="23"/>
        <v>0.90804597701149425</v>
      </c>
      <c r="AV53" s="1137">
        <f t="shared" si="23"/>
        <v>0.90322580645161288</v>
      </c>
      <c r="AW53" s="1137">
        <f t="shared" si="24"/>
        <v>0.6741573033707865</v>
      </c>
      <c r="AX53" s="1137">
        <f t="shared" si="24"/>
        <v>0.68674698795180722</v>
      </c>
      <c r="AY53" s="1137">
        <f t="shared" si="24"/>
        <v>0.6741573033707865</v>
      </c>
      <c r="AZ53" s="1137">
        <f t="shared" si="24"/>
        <v>0.7931034482758621</v>
      </c>
      <c r="BA53" s="1137">
        <f t="shared" si="24"/>
        <v>0.79569892473118276</v>
      </c>
      <c r="BB53" s="1137" t="e">
        <f t="shared" si="25"/>
        <v>#N/A</v>
      </c>
      <c r="BC53" s="1137" t="e">
        <f t="shared" si="25"/>
        <v>#N/A</v>
      </c>
      <c r="BD53" s="1137">
        <f t="shared" si="25"/>
        <v>0.38202247191011235</v>
      </c>
      <c r="BE53" s="1137">
        <f t="shared" si="25"/>
        <v>0.58620689655172409</v>
      </c>
      <c r="BF53" s="1137">
        <f t="shared" si="25"/>
        <v>0.63440860215053763</v>
      </c>
    </row>
    <row r="54" spans="1:58" ht="14.25" customHeight="1" x14ac:dyDescent="0.2">
      <c r="A54" s="118"/>
      <c r="B54" s="421"/>
      <c r="C54" s="421"/>
      <c r="D54" s="58"/>
      <c r="E54" s="58"/>
      <c r="F54" s="58"/>
      <c r="G54" s="58"/>
      <c r="H54" s="58"/>
      <c r="I54" s="58"/>
      <c r="J54" s="58"/>
      <c r="K54" s="12"/>
      <c r="L54" s="14"/>
      <c r="M54" s="14"/>
      <c r="N54" s="14"/>
      <c r="O54" s="14"/>
      <c r="P54" s="9"/>
      <c r="Q54" s="9"/>
      <c r="R54" s="9"/>
      <c r="S54" s="9"/>
      <c r="T54" s="9"/>
      <c r="U54" s="117"/>
      <c r="V54" s="137"/>
      <c r="W54" s="294"/>
      <c r="Y54" s="190"/>
      <c r="AI54" s="585" t="b">
        <v>1</v>
      </c>
      <c r="AJ54" s="160" t="s">
        <v>95</v>
      </c>
      <c r="AK54" s="87" t="str">
        <f t="shared" si="16"/>
        <v>Somerset</v>
      </c>
      <c r="AL54" s="1135">
        <f t="shared" si="22"/>
        <v>169.93464052287581</v>
      </c>
      <c r="AM54" s="1135">
        <f t="shared" si="22"/>
        <v>147.65100671140939</v>
      </c>
      <c r="AN54" s="1135">
        <f t="shared" si="22"/>
        <v>135.81081081081081</v>
      </c>
      <c r="AO54" s="1135">
        <f t="shared" si="22"/>
        <v>124.82758620689656</v>
      </c>
      <c r="AP54" s="1135">
        <f t="shared" si="22"/>
        <v>149.78857593349102</v>
      </c>
      <c r="AQ54" s="1136">
        <f t="shared" si="18"/>
        <v>13.600000000000001</v>
      </c>
      <c r="AR54" s="1137" t="e">
        <f t="shared" si="23"/>
        <v>#N/A</v>
      </c>
      <c r="AS54" s="1137">
        <f t="shared" si="23"/>
        <v>0.97272727272727277</v>
      </c>
      <c r="AT54" s="1137" t="e">
        <f t="shared" si="23"/>
        <v>#N/A</v>
      </c>
      <c r="AU54" s="1137">
        <f t="shared" si="23"/>
        <v>0.574585635359116</v>
      </c>
      <c r="AV54" s="1137">
        <f t="shared" si="23"/>
        <v>0.9712918660287081</v>
      </c>
      <c r="AW54" s="1137">
        <f t="shared" si="24"/>
        <v>0.88846153846153841</v>
      </c>
      <c r="AX54" s="1137">
        <f t="shared" si="24"/>
        <v>0.92272727272727273</v>
      </c>
      <c r="AY54" s="1137">
        <f t="shared" si="24"/>
        <v>0.93034825870646765</v>
      </c>
      <c r="AZ54" s="1137" t="e">
        <f t="shared" si="24"/>
        <v>#N/A</v>
      </c>
      <c r="BA54" s="1137">
        <f t="shared" si="24"/>
        <v>0.95215311004784686</v>
      </c>
      <c r="BB54" s="1137" t="e">
        <f t="shared" si="25"/>
        <v>#N/A</v>
      </c>
      <c r="BC54" s="1137" t="e">
        <f t="shared" si="25"/>
        <v>#N/A</v>
      </c>
      <c r="BD54" s="1137">
        <f t="shared" si="25"/>
        <v>0.57711442786069655</v>
      </c>
      <c r="BE54" s="1137">
        <f t="shared" si="25"/>
        <v>0.574585635359116</v>
      </c>
      <c r="BF54" s="1137">
        <f t="shared" si="25"/>
        <v>0.59330143540669855</v>
      </c>
    </row>
    <row r="55" spans="1:58" ht="14.25" customHeight="1" x14ac:dyDescent="0.2">
      <c r="A55" s="118"/>
      <c r="B55" s="421"/>
      <c r="C55" s="421"/>
      <c r="D55" s="58"/>
      <c r="E55" s="58"/>
      <c r="F55" s="58"/>
      <c r="G55" s="58"/>
      <c r="H55" s="58"/>
      <c r="I55" s="58"/>
      <c r="J55" s="58"/>
      <c r="K55" s="12"/>
      <c r="L55" s="14"/>
      <c r="M55" s="14"/>
      <c r="N55" s="14"/>
      <c r="O55" s="14"/>
      <c r="P55" s="9"/>
      <c r="Q55" s="9"/>
      <c r="R55" s="9"/>
      <c r="S55" s="9"/>
      <c r="T55" s="9"/>
      <c r="U55" s="117"/>
      <c r="V55" s="137"/>
      <c r="W55" s="294"/>
      <c r="Y55" s="190"/>
      <c r="AI55" s="585" t="b">
        <v>1</v>
      </c>
      <c r="AJ55" s="160" t="s">
        <v>14</v>
      </c>
      <c r="AK55" s="87" t="str">
        <f t="shared" si="16"/>
        <v>Southampton</v>
      </c>
      <c r="AL55" s="1135">
        <f t="shared" si="22"/>
        <v>62.5</v>
      </c>
      <c r="AM55" s="1135">
        <f t="shared" si="22"/>
        <v>56.88073394495413</v>
      </c>
      <c r="AN55" s="1135">
        <f t="shared" si="22"/>
        <v>56.108597285067873</v>
      </c>
      <c r="AO55" s="1135">
        <f t="shared" si="22"/>
        <v>57.727272727272734</v>
      </c>
      <c r="AP55" s="1135">
        <f t="shared" si="22"/>
        <v>63.961720619110395</v>
      </c>
      <c r="AQ55" s="1136">
        <f t="shared" si="18"/>
        <v>20.5</v>
      </c>
      <c r="AR55" s="1137" t="e">
        <f t="shared" si="23"/>
        <v>#N/A</v>
      </c>
      <c r="AS55" s="1137">
        <f t="shared" si="23"/>
        <v>0.87096774193548387</v>
      </c>
      <c r="AT55" s="1137">
        <f t="shared" si="23"/>
        <v>0.86290322580645162</v>
      </c>
      <c r="AU55" s="1137">
        <f t="shared" si="23"/>
        <v>0.93700787401574803</v>
      </c>
      <c r="AV55" s="1137">
        <f t="shared" si="23"/>
        <v>0.90839694656488545</v>
      </c>
      <c r="AW55" s="1137">
        <f t="shared" si="24"/>
        <v>0.63076923076923075</v>
      </c>
      <c r="AX55" s="1137">
        <f t="shared" si="24"/>
        <v>0.77419354838709675</v>
      </c>
      <c r="AY55" s="1137">
        <f t="shared" si="24"/>
        <v>0.79838709677419351</v>
      </c>
      <c r="AZ55" s="1137">
        <f t="shared" si="24"/>
        <v>0.83464566929133854</v>
      </c>
      <c r="BA55" s="1137">
        <f t="shared" si="24"/>
        <v>0.79389312977099236</v>
      </c>
      <c r="BB55" s="1137" t="e">
        <f t="shared" si="25"/>
        <v>#N/A</v>
      </c>
      <c r="BC55" s="1137" t="e">
        <f t="shared" si="25"/>
        <v>#N/A</v>
      </c>
      <c r="BD55" s="1137">
        <f t="shared" si="25"/>
        <v>0.41129032258064518</v>
      </c>
      <c r="BE55" s="1137">
        <f t="shared" si="25"/>
        <v>0.44881889763779526</v>
      </c>
      <c r="BF55" s="1137">
        <f t="shared" si="25"/>
        <v>0.42748091603053434</v>
      </c>
    </row>
    <row r="56" spans="1:58" ht="14.25" customHeight="1" x14ac:dyDescent="0.2">
      <c r="A56" s="118"/>
      <c r="B56" s="421"/>
      <c r="C56" s="421"/>
      <c r="D56" s="58"/>
      <c r="E56" s="58"/>
      <c r="F56" s="58"/>
      <c r="G56" s="58"/>
      <c r="H56" s="58"/>
      <c r="I56" s="58"/>
      <c r="J56" s="58"/>
      <c r="K56" s="12"/>
      <c r="L56" s="14"/>
      <c r="M56" s="14"/>
      <c r="N56" s="14"/>
      <c r="O56" s="14"/>
      <c r="P56" s="9"/>
      <c r="Q56" s="9"/>
      <c r="R56" s="9"/>
      <c r="S56" s="9"/>
      <c r="T56" s="9"/>
      <c r="U56" s="117"/>
      <c r="V56" s="137"/>
      <c r="W56" s="294"/>
      <c r="Y56" s="190"/>
      <c r="AI56" s="585" t="b">
        <v>1</v>
      </c>
      <c r="AJ56" s="160" t="s">
        <v>7</v>
      </c>
      <c r="AK56" s="87" t="str">
        <f t="shared" si="16"/>
        <v>Surrey</v>
      </c>
      <c r="AL56" s="1135">
        <f t="shared" si="22"/>
        <v>98.910081743869213</v>
      </c>
      <c r="AM56" s="1135">
        <f t="shared" si="22"/>
        <v>103.82513661202186</v>
      </c>
      <c r="AN56" s="1135">
        <f t="shared" si="22"/>
        <v>112.36559139784946</v>
      </c>
      <c r="AO56" s="1135">
        <f t="shared" si="22"/>
        <v>126.66666666666666</v>
      </c>
      <c r="AP56" s="1135">
        <f t="shared" si="22"/>
        <v>137.1105420401195</v>
      </c>
      <c r="AQ56" s="1136">
        <f t="shared" si="18"/>
        <v>8.3000000000000007</v>
      </c>
      <c r="AR56" s="1137" t="e">
        <f t="shared" si="23"/>
        <v>#N/A</v>
      </c>
      <c r="AS56" s="1137">
        <f t="shared" si="23"/>
        <v>0.86578947368421055</v>
      </c>
      <c r="AT56" s="1137">
        <f t="shared" si="23"/>
        <v>0.83971291866028708</v>
      </c>
      <c r="AU56" s="1137">
        <f t="shared" si="23"/>
        <v>0.91157894736842104</v>
      </c>
      <c r="AV56" s="1137">
        <f t="shared" si="23"/>
        <v>0.8132295719844358</v>
      </c>
      <c r="AW56" s="1137">
        <f t="shared" si="24"/>
        <v>0.84297520661157022</v>
      </c>
      <c r="AX56" s="1137">
        <f t="shared" si="24"/>
        <v>0.83421052631578951</v>
      </c>
      <c r="AY56" s="1137">
        <f t="shared" si="24"/>
        <v>0.81578947368421051</v>
      </c>
      <c r="AZ56" s="1137">
        <f t="shared" si="24"/>
        <v>0.84842105263157896</v>
      </c>
      <c r="BA56" s="1137">
        <f t="shared" si="24"/>
        <v>0.78210116731517509</v>
      </c>
      <c r="BB56" s="1137" t="e">
        <f t="shared" si="25"/>
        <v>#N/A</v>
      </c>
      <c r="BC56" s="1137" t="e">
        <f t="shared" si="25"/>
        <v>#N/A</v>
      </c>
      <c r="BD56" s="1137">
        <f t="shared" si="25"/>
        <v>0.56220095693779903</v>
      </c>
      <c r="BE56" s="1137">
        <f t="shared" si="25"/>
        <v>0.57894736842105265</v>
      </c>
      <c r="BF56" s="1137">
        <f t="shared" si="25"/>
        <v>0.53307392996108949</v>
      </c>
    </row>
    <row r="57" spans="1:58" ht="14.25" customHeight="1" x14ac:dyDescent="0.2">
      <c r="A57" s="278"/>
      <c r="B57" s="421"/>
      <c r="C57" s="421"/>
      <c r="D57" s="58"/>
      <c r="E57" s="58"/>
      <c r="F57" s="58"/>
      <c r="G57" s="58"/>
      <c r="H57" s="58"/>
      <c r="I57" s="58"/>
      <c r="J57" s="58"/>
      <c r="K57" s="12"/>
      <c r="L57" s="14"/>
      <c r="M57" s="14"/>
      <c r="N57" s="14"/>
      <c r="O57" s="14"/>
      <c r="P57" s="9"/>
      <c r="Q57" s="9"/>
      <c r="R57" s="9"/>
      <c r="S57" s="9"/>
      <c r="T57" s="9"/>
      <c r="U57" s="117"/>
      <c r="V57" s="137"/>
      <c r="W57" s="294"/>
      <c r="Y57" s="190"/>
      <c r="AI57" s="585" t="b">
        <v>1</v>
      </c>
      <c r="AJ57" s="160" t="s">
        <v>113</v>
      </c>
      <c r="AK57" s="87" t="str">
        <f t="shared" si="16"/>
        <v>Swindon</v>
      </c>
      <c r="AL57" s="1135">
        <f t="shared" si="22"/>
        <v>218.46153846153845</v>
      </c>
      <c r="AM57" s="1135">
        <f t="shared" si="22"/>
        <v>201.58730158730157</v>
      </c>
      <c r="AN57" s="1135">
        <f t="shared" si="22"/>
        <v>196.82539682539684</v>
      </c>
      <c r="AO57" s="1135">
        <f t="shared" si="22"/>
        <v>214.28571428571428</v>
      </c>
      <c r="AP57" s="1135">
        <f t="shared" si="22"/>
        <v>230.03401911550301</v>
      </c>
      <c r="AQ57" s="1136">
        <f t="shared" si="18"/>
        <v>14.899999999999999</v>
      </c>
      <c r="AR57" s="1137" t="e">
        <f t="shared" si="23"/>
        <v>#N/A</v>
      </c>
      <c r="AS57" s="1137" t="e">
        <f t="shared" si="23"/>
        <v>#N/A</v>
      </c>
      <c r="AT57" s="1137">
        <f t="shared" si="23"/>
        <v>1</v>
      </c>
      <c r="AU57" s="1137">
        <f t="shared" si="23"/>
        <v>0.94814814814814818</v>
      </c>
      <c r="AV57" s="1137" t="e">
        <f t="shared" si="23"/>
        <v>#N/A</v>
      </c>
      <c r="AW57" s="1137">
        <f t="shared" si="24"/>
        <v>0.84507042253521125</v>
      </c>
      <c r="AX57" s="1137">
        <f t="shared" si="24"/>
        <v>0.83464566929133854</v>
      </c>
      <c r="AY57" s="1137">
        <f t="shared" si="24"/>
        <v>0.88709677419354838</v>
      </c>
      <c r="AZ57" s="1137">
        <f t="shared" si="24"/>
        <v>0.82222222222222219</v>
      </c>
      <c r="BA57" s="1137">
        <f t="shared" si="24"/>
        <v>0.8098591549295775</v>
      </c>
      <c r="BB57" s="1137" t="e">
        <f t="shared" si="25"/>
        <v>#N/A</v>
      </c>
      <c r="BC57" s="1137" t="e">
        <f t="shared" si="25"/>
        <v>#N/A</v>
      </c>
      <c r="BD57" s="1137">
        <f t="shared" si="25"/>
        <v>0.59677419354838712</v>
      </c>
      <c r="BE57" s="1137">
        <f t="shared" si="25"/>
        <v>0.51851851851851849</v>
      </c>
      <c r="BF57" s="1137">
        <f t="shared" si="25"/>
        <v>0.55633802816901412</v>
      </c>
    </row>
    <row r="58" spans="1:58" ht="14.25" customHeight="1" x14ac:dyDescent="0.2">
      <c r="A58" s="278"/>
      <c r="B58" s="421"/>
      <c r="C58" s="421"/>
      <c r="D58" s="58"/>
      <c r="E58" s="58"/>
      <c r="F58" s="58"/>
      <c r="G58" s="58"/>
      <c r="H58" s="58"/>
      <c r="I58" s="58"/>
      <c r="J58" s="58"/>
      <c r="K58" s="12"/>
      <c r="L58" s="14"/>
      <c r="M58" s="14"/>
      <c r="N58" s="14"/>
      <c r="O58" s="14"/>
      <c r="P58" s="9"/>
      <c r="Q58" s="9"/>
      <c r="R58" s="9"/>
      <c r="S58" s="9"/>
      <c r="T58" s="9"/>
      <c r="U58" s="117"/>
      <c r="V58" s="137"/>
      <c r="W58" s="294"/>
      <c r="Y58" s="190"/>
      <c r="AI58" s="585" t="b">
        <v>1</v>
      </c>
      <c r="AJ58" s="160" t="s">
        <v>114</v>
      </c>
      <c r="AK58" s="87" t="str">
        <f t="shared" si="16"/>
        <v>Torbay</v>
      </c>
      <c r="AL58" s="1135">
        <f t="shared" si="22"/>
        <v>252.63157894736841</v>
      </c>
      <c r="AM58" s="1135">
        <f t="shared" si="22"/>
        <v>254.05405405405406</v>
      </c>
      <c r="AN58" s="1135">
        <f t="shared" si="22"/>
        <v>297.22222222222223</v>
      </c>
      <c r="AO58" s="1135">
        <f t="shared" si="22"/>
        <v>297.14285714285717</v>
      </c>
      <c r="AP58" s="1135">
        <f t="shared" si="22"/>
        <v>343.39846062759028</v>
      </c>
      <c r="AQ58" s="1136">
        <f t="shared" si="18"/>
        <v>21.9</v>
      </c>
      <c r="AR58" s="1137" t="e">
        <f t="shared" si="23"/>
        <v>#N/A</v>
      </c>
      <c r="AS58" s="1137">
        <f t="shared" si="23"/>
        <v>0.88297872340425532</v>
      </c>
      <c r="AT58" s="1137" t="e">
        <f t="shared" si="23"/>
        <v>#N/A</v>
      </c>
      <c r="AU58" s="1137">
        <f t="shared" si="23"/>
        <v>0.55769230769230771</v>
      </c>
      <c r="AV58" s="1137" t="e">
        <f t="shared" si="23"/>
        <v>#N/A</v>
      </c>
      <c r="AW58" s="1137">
        <f t="shared" si="24"/>
        <v>0.9375</v>
      </c>
      <c r="AX58" s="1137">
        <f t="shared" si="24"/>
        <v>0.94680851063829785</v>
      </c>
      <c r="AY58" s="1137" t="e">
        <f t="shared" si="24"/>
        <v>#N/A</v>
      </c>
      <c r="AZ58" s="1137">
        <f t="shared" si="24"/>
        <v>0.91346153846153844</v>
      </c>
      <c r="BA58" s="1137">
        <f t="shared" si="24"/>
        <v>0.89655172413793105</v>
      </c>
      <c r="BB58" s="1137" t="e">
        <f t="shared" si="25"/>
        <v>#N/A</v>
      </c>
      <c r="BC58" s="1137" t="e">
        <f t="shared" si="25"/>
        <v>#N/A</v>
      </c>
      <c r="BD58" s="1137" t="e">
        <f t="shared" si="25"/>
        <v>#N/A</v>
      </c>
      <c r="BE58" s="1137">
        <f t="shared" si="25"/>
        <v>0.55769230769230771</v>
      </c>
      <c r="BF58" s="1137">
        <f t="shared" si="25"/>
        <v>0.55172413793103448</v>
      </c>
    </row>
    <row r="59" spans="1:58" ht="14.25" customHeight="1" x14ac:dyDescent="0.2">
      <c r="A59" s="118"/>
      <c r="B59" s="421"/>
      <c r="C59" s="421"/>
      <c r="D59" s="58"/>
      <c r="E59" s="58"/>
      <c r="F59" s="58"/>
      <c r="G59" s="58"/>
      <c r="H59" s="58"/>
      <c r="I59" s="58"/>
      <c r="J59" s="58"/>
      <c r="K59" s="12"/>
      <c r="L59" s="14"/>
      <c r="M59" s="14"/>
      <c r="N59" s="14"/>
      <c r="O59" s="14"/>
      <c r="P59" s="9"/>
      <c r="Q59" s="9"/>
      <c r="R59" s="9"/>
      <c r="S59" s="9"/>
      <c r="T59" s="9"/>
      <c r="U59" s="117"/>
      <c r="V59" s="137"/>
      <c r="W59" s="294"/>
      <c r="Y59" s="190"/>
      <c r="AI59" s="585" t="b">
        <v>1</v>
      </c>
      <c r="AJ59" s="160" t="s">
        <v>15</v>
      </c>
      <c r="AK59" s="87" t="str">
        <f t="shared" si="16"/>
        <v>West Berkshire</v>
      </c>
      <c r="AL59" s="1135">
        <f t="shared" si="22"/>
        <v>144.73684210526315</v>
      </c>
      <c r="AM59" s="1135">
        <f t="shared" si="22"/>
        <v>143.58974358974359</v>
      </c>
      <c r="AN59" s="1135">
        <f t="shared" si="22"/>
        <v>205.26315789473685</v>
      </c>
      <c r="AO59" s="1135">
        <f t="shared" si="22"/>
        <v>200</v>
      </c>
      <c r="AP59" s="1135">
        <f t="shared" si="22"/>
        <v>213.33333333333331</v>
      </c>
      <c r="AQ59" s="1136">
        <f t="shared" si="18"/>
        <v>8.6999999999999993</v>
      </c>
      <c r="AR59" s="1137" t="e">
        <f t="shared" si="23"/>
        <v>#N/A</v>
      </c>
      <c r="AS59" s="1137">
        <f t="shared" si="23"/>
        <v>0.6428571428571429</v>
      </c>
      <c r="AT59" s="1137">
        <f t="shared" si="23"/>
        <v>0.74358974358974361</v>
      </c>
      <c r="AU59" s="1137">
        <f t="shared" si="23"/>
        <v>0.88157894736842102</v>
      </c>
      <c r="AV59" s="1137">
        <f t="shared" si="23"/>
        <v>0.875</v>
      </c>
      <c r="AW59" s="1137">
        <f t="shared" si="24"/>
        <v>0.69090909090909092</v>
      </c>
      <c r="AX59" s="1137">
        <f t="shared" si="24"/>
        <v>0.6428571428571429</v>
      </c>
      <c r="AY59" s="1137">
        <f t="shared" si="24"/>
        <v>0.70512820512820518</v>
      </c>
      <c r="AZ59" s="1137" t="e">
        <f t="shared" si="24"/>
        <v>#N/A</v>
      </c>
      <c r="BA59" s="1137" t="e">
        <f t="shared" si="24"/>
        <v>#N/A</v>
      </c>
      <c r="BB59" s="1137" t="e">
        <f t="shared" si="25"/>
        <v>#N/A</v>
      </c>
      <c r="BC59" s="1137" t="e">
        <f t="shared" si="25"/>
        <v>#N/A</v>
      </c>
      <c r="BD59" s="1137">
        <f t="shared" si="25"/>
        <v>0.48717948717948717</v>
      </c>
      <c r="BE59" s="1137">
        <f t="shared" si="25"/>
        <v>0.46052631578947367</v>
      </c>
      <c r="BF59" s="1137">
        <f t="shared" si="25"/>
        <v>0.7</v>
      </c>
    </row>
    <row r="60" spans="1:58" ht="14.25" customHeight="1" x14ac:dyDescent="0.2">
      <c r="A60" s="118"/>
      <c r="B60" s="421"/>
      <c r="C60" s="421"/>
      <c r="D60" s="58"/>
      <c r="E60" s="58"/>
      <c r="F60" s="58"/>
      <c r="G60" s="58"/>
      <c r="H60" s="58"/>
      <c r="I60" s="58"/>
      <c r="J60" s="58"/>
      <c r="K60" s="12"/>
      <c r="L60" s="14"/>
      <c r="M60" s="14"/>
      <c r="N60" s="14"/>
      <c r="O60" s="14"/>
      <c r="P60" s="9"/>
      <c r="Q60" s="9"/>
      <c r="R60" s="9"/>
      <c r="S60" s="9"/>
      <c r="T60" s="9"/>
      <c r="U60" s="117"/>
      <c r="V60" s="137"/>
      <c r="W60" s="294"/>
      <c r="Y60" s="190"/>
      <c r="AI60" s="585" t="b">
        <v>1</v>
      </c>
      <c r="AJ60" s="160" t="s">
        <v>5</v>
      </c>
      <c r="AK60" s="87" t="str">
        <f t="shared" si="16"/>
        <v>West Sussex</v>
      </c>
      <c r="AL60" s="1135">
        <f t="shared" si="22"/>
        <v>129.78723404255319</v>
      </c>
      <c r="AM60" s="1135">
        <f t="shared" si="22"/>
        <v>138.96103896103895</v>
      </c>
      <c r="AN60" s="1135">
        <f t="shared" si="22"/>
        <v>152.63157894736841</v>
      </c>
      <c r="AO60" s="1135">
        <f t="shared" si="22"/>
        <v>161.33333333333331</v>
      </c>
      <c r="AP60" s="1135">
        <f t="shared" si="22"/>
        <v>171.77971230389645</v>
      </c>
      <c r="AQ60" s="1136">
        <f t="shared" si="18"/>
        <v>11</v>
      </c>
      <c r="AR60" s="1137" t="e">
        <f t="shared" si="23"/>
        <v>#N/A</v>
      </c>
      <c r="AS60" s="1137">
        <f t="shared" si="23"/>
        <v>0.96261682242990654</v>
      </c>
      <c r="AT60" s="1137">
        <f t="shared" si="23"/>
        <v>0.92816091954022983</v>
      </c>
      <c r="AU60" s="1137">
        <f t="shared" si="23"/>
        <v>0.92011019283746553</v>
      </c>
      <c r="AV60" s="1137">
        <f t="shared" si="23"/>
        <v>0.90243902439024393</v>
      </c>
      <c r="AW60" s="1137">
        <f t="shared" si="24"/>
        <v>0.84918032786885245</v>
      </c>
      <c r="AX60" s="1137">
        <f t="shared" si="24"/>
        <v>0.90342679127725856</v>
      </c>
      <c r="AY60" s="1137">
        <f t="shared" si="24"/>
        <v>0.91379310344827591</v>
      </c>
      <c r="AZ60" s="1137">
        <f t="shared" si="24"/>
        <v>0.87603305785123964</v>
      </c>
      <c r="BA60" s="1137">
        <f t="shared" si="24"/>
        <v>0.86178861788617889</v>
      </c>
      <c r="BB60" s="1137" t="e">
        <f t="shared" si="25"/>
        <v>#N/A</v>
      </c>
      <c r="BC60" s="1137" t="e">
        <f t="shared" si="25"/>
        <v>#N/A</v>
      </c>
      <c r="BD60" s="1137">
        <f t="shared" si="25"/>
        <v>0.71551724137931039</v>
      </c>
      <c r="BE60" s="1137">
        <f t="shared" si="25"/>
        <v>0.6584022038567493</v>
      </c>
      <c r="BF60" s="1137">
        <f t="shared" si="25"/>
        <v>0.5934959349593496</v>
      </c>
    </row>
    <row r="61" spans="1:58" s="81" customFormat="1" ht="14.25" customHeight="1" x14ac:dyDescent="0.2">
      <c r="A61" s="118"/>
      <c r="B61" s="421"/>
      <c r="C61" s="421"/>
      <c r="D61" s="58"/>
      <c r="E61" s="58"/>
      <c r="F61" s="58"/>
      <c r="G61" s="58"/>
      <c r="H61" s="58"/>
      <c r="I61" s="58"/>
      <c r="J61" s="58"/>
      <c r="K61" s="12"/>
      <c r="L61" s="14"/>
      <c r="M61" s="14"/>
      <c r="N61" s="14"/>
      <c r="O61" s="14"/>
      <c r="P61" s="9"/>
      <c r="Q61" s="9"/>
      <c r="R61" s="9"/>
      <c r="S61" s="9"/>
      <c r="T61" s="9"/>
      <c r="U61" s="117"/>
      <c r="V61" s="137"/>
      <c r="W61" s="294"/>
      <c r="Y61" s="190"/>
      <c r="AI61" s="585" t="b">
        <v>1</v>
      </c>
      <c r="AJ61" s="160" t="s">
        <v>30</v>
      </c>
      <c r="AK61" s="87" t="str">
        <f t="shared" si="16"/>
        <v>Windsor &amp; Maidenhead</v>
      </c>
      <c r="AL61" s="1135">
        <f t="shared" si="22"/>
        <v>135.48387096774192</v>
      </c>
      <c r="AM61" s="1135">
        <f t="shared" si="22"/>
        <v>145.16129032258064</v>
      </c>
      <c r="AN61" s="1135">
        <f t="shared" si="22"/>
        <v>154.83870967741936</v>
      </c>
      <c r="AO61" s="1135">
        <f t="shared" si="22"/>
        <v>175.00000000000003</v>
      </c>
      <c r="AP61" s="1135">
        <f t="shared" si="22"/>
        <v>168.16816816816817</v>
      </c>
      <c r="AQ61" s="1136">
        <f t="shared" si="18"/>
        <v>6.7</v>
      </c>
      <c r="AR61" s="1137" t="e">
        <f t="shared" si="23"/>
        <v>#N/A</v>
      </c>
      <c r="AS61" s="1137">
        <f t="shared" si="23"/>
        <v>0.8666666666666667</v>
      </c>
      <c r="AT61" s="1137">
        <f t="shared" si="23"/>
        <v>0.83333333333333337</v>
      </c>
      <c r="AU61" s="1137">
        <f t="shared" si="23"/>
        <v>0.875</v>
      </c>
      <c r="AV61" s="1137">
        <f t="shared" si="23"/>
        <v>0.8928571428571429</v>
      </c>
      <c r="AW61" s="1137">
        <f t="shared" si="24"/>
        <v>0.69047619047619047</v>
      </c>
      <c r="AX61" s="1137">
        <f t="shared" si="24"/>
        <v>0.77777777777777779</v>
      </c>
      <c r="AY61" s="1137">
        <f t="shared" si="24"/>
        <v>0.6875</v>
      </c>
      <c r="AZ61" s="1137">
        <f t="shared" si="24"/>
        <v>0.875</v>
      </c>
      <c r="BA61" s="1137">
        <f t="shared" si="24"/>
        <v>0.8035714285714286</v>
      </c>
      <c r="BB61" s="1137" t="e">
        <f t="shared" si="25"/>
        <v>#N/A</v>
      </c>
      <c r="BC61" s="1137" t="e">
        <f t="shared" si="25"/>
        <v>#N/A</v>
      </c>
      <c r="BD61" s="1137">
        <f t="shared" si="25"/>
        <v>0.52083333333333337</v>
      </c>
      <c r="BE61" s="1137">
        <f t="shared" si="25"/>
        <v>0.5535714285714286</v>
      </c>
      <c r="BF61" s="1137">
        <f t="shared" si="25"/>
        <v>0.44642857142857145</v>
      </c>
    </row>
    <row r="62" spans="1:58" s="81" customFormat="1" ht="14.25" customHeight="1" x14ac:dyDescent="0.2">
      <c r="A62" s="118"/>
      <c r="B62" s="421"/>
      <c r="C62" s="421"/>
      <c r="D62" s="58"/>
      <c r="E62" s="58"/>
      <c r="F62" s="58"/>
      <c r="G62" s="58"/>
      <c r="H62" s="58"/>
      <c r="I62" s="58"/>
      <c r="J62" s="58"/>
      <c r="K62" s="12"/>
      <c r="L62" s="14"/>
      <c r="M62" s="14"/>
      <c r="N62" s="14"/>
      <c r="O62" s="14"/>
      <c r="P62" s="9"/>
      <c r="Q62" s="9"/>
      <c r="R62" s="9"/>
      <c r="S62" s="9"/>
      <c r="T62" s="9"/>
      <c r="U62" s="117"/>
      <c r="V62" s="137"/>
      <c r="W62" s="294"/>
      <c r="Y62" s="190"/>
      <c r="AI62" s="585" t="b">
        <v>1</v>
      </c>
      <c r="AJ62" s="160" t="s">
        <v>16</v>
      </c>
      <c r="AK62" s="87" t="str">
        <f t="shared" si="16"/>
        <v>Wokingham</v>
      </c>
      <c r="AL62" s="1135">
        <f t="shared" si="22"/>
        <v>70.454545454545453</v>
      </c>
      <c r="AM62" s="1135">
        <f t="shared" si="22"/>
        <v>74.418604651162795</v>
      </c>
      <c r="AN62" s="1135">
        <f t="shared" si="22"/>
        <v>63.63636363636364</v>
      </c>
      <c r="AO62" s="1135">
        <f t="shared" si="22"/>
        <v>86.36363636363636</v>
      </c>
      <c r="AP62" s="1135">
        <f t="shared" si="22"/>
        <v>115.85642889595638</v>
      </c>
      <c r="AQ62" s="1136">
        <f t="shared" si="18"/>
        <v>5.6000000000000005</v>
      </c>
      <c r="AR62" s="1137" t="e">
        <f t="shared" si="23"/>
        <v>#N/A</v>
      </c>
      <c r="AS62" s="1137" t="e">
        <f t="shared" si="23"/>
        <v>#N/A</v>
      </c>
      <c r="AT62" s="1137" t="e">
        <f t="shared" si="23"/>
        <v>#N/A</v>
      </c>
      <c r="AU62" s="1137">
        <f t="shared" si="23"/>
        <v>1</v>
      </c>
      <c r="AV62" s="1137" t="e">
        <f t="shared" si="23"/>
        <v>#N/A</v>
      </c>
      <c r="AW62" s="1137">
        <f t="shared" si="24"/>
        <v>0.77419354838709675</v>
      </c>
      <c r="AX62" s="1137">
        <f t="shared" si="24"/>
        <v>0.84375</v>
      </c>
      <c r="AY62" s="1137" t="e">
        <f t="shared" si="24"/>
        <v>#N/A</v>
      </c>
      <c r="AZ62" s="1137" t="e">
        <f t="shared" si="24"/>
        <v>#N/A</v>
      </c>
      <c r="BA62" s="1137" t="e">
        <f t="shared" si="24"/>
        <v>#N/A</v>
      </c>
      <c r="BB62" s="1137" t="e">
        <f t="shared" si="25"/>
        <v>#N/A</v>
      </c>
      <c r="BC62" s="1137" t="e">
        <f t="shared" si="25"/>
        <v>#N/A</v>
      </c>
      <c r="BD62" s="1137">
        <f t="shared" si="25"/>
        <v>0.6071428571428571</v>
      </c>
      <c r="BE62" s="1137">
        <f t="shared" si="25"/>
        <v>0.55263157894736847</v>
      </c>
      <c r="BF62" s="1137">
        <f t="shared" si="25"/>
        <v>0.56862745098039214</v>
      </c>
    </row>
    <row r="63" spans="1:58" s="81" customFormat="1" ht="14.25" customHeight="1" x14ac:dyDescent="0.2">
      <c r="A63" s="118"/>
      <c r="B63" s="421"/>
      <c r="C63" s="421"/>
      <c r="D63" s="58"/>
      <c r="E63" s="58"/>
      <c r="F63" s="58"/>
      <c r="G63" s="58"/>
      <c r="H63" s="58"/>
      <c r="I63" s="58"/>
      <c r="J63" s="58"/>
      <c r="K63" s="12"/>
      <c r="L63" s="14"/>
      <c r="M63" s="14"/>
      <c r="N63" s="14"/>
      <c r="O63" s="14"/>
      <c r="P63" s="9"/>
      <c r="Q63" s="9"/>
      <c r="R63" s="9"/>
      <c r="S63" s="9"/>
      <c r="T63" s="9"/>
      <c r="U63" s="117"/>
      <c r="V63" s="137"/>
      <c r="W63" s="294"/>
      <c r="Y63" s="190"/>
      <c r="AI63" s="585" t="b">
        <v>1</v>
      </c>
      <c r="AJ63" s="160" t="s">
        <v>74</v>
      </c>
      <c r="AK63" s="87" t="str">
        <f t="shared" si="16"/>
        <v>South East</v>
      </c>
      <c r="AL63" s="1135">
        <f t="shared" si="22"/>
        <v>117.07773961910709</v>
      </c>
      <c r="AM63" s="1135">
        <f t="shared" si="22"/>
        <v>122.65331664580727</v>
      </c>
      <c r="AN63" s="1135">
        <f t="shared" si="22"/>
        <v>138.10420590081608</v>
      </c>
      <c r="AO63" s="1135">
        <f t="shared" si="22"/>
        <v>149.55919395465995</v>
      </c>
      <c r="AP63" s="1135">
        <f t="shared" si="22"/>
        <v>155.57659973329726</v>
      </c>
      <c r="AQ63" s="1136">
        <f t="shared" si="18"/>
        <v>12.371268250968637</v>
      </c>
      <c r="AR63" s="1137" t="e">
        <f>VLOOKUP($AK63,$B$77:$H$99,AR$37,FALSE)</f>
        <v>#N/A</v>
      </c>
      <c r="AS63" s="1137">
        <f t="shared" si="23"/>
        <v>0.84927314460596781</v>
      </c>
      <c r="AT63" s="1137">
        <f t="shared" si="23"/>
        <v>0.84167424931756141</v>
      </c>
      <c r="AU63" s="1137">
        <f t="shared" si="23"/>
        <v>0.86617492096944149</v>
      </c>
      <c r="AV63" s="1137">
        <f t="shared" si="23"/>
        <v>0.85992540406133444</v>
      </c>
      <c r="AW63" s="1137">
        <f t="shared" si="24"/>
        <v>0.7567279509725553</v>
      </c>
      <c r="AX63" s="1137">
        <f t="shared" si="24"/>
        <v>0.79061463912267282</v>
      </c>
      <c r="AY63" s="1137">
        <f t="shared" si="24"/>
        <v>0.78935395814376708</v>
      </c>
      <c r="AZ63" s="1137">
        <f t="shared" si="24"/>
        <v>0.7987355110642782</v>
      </c>
      <c r="BA63" s="1137">
        <f t="shared" si="24"/>
        <v>0.791545793617903</v>
      </c>
      <c r="BB63" s="1137" t="e">
        <f t="shared" si="25"/>
        <v>#N/A</v>
      </c>
      <c r="BC63" s="1137" t="e">
        <f t="shared" si="25"/>
        <v>#N/A</v>
      </c>
      <c r="BD63" s="1137">
        <f t="shared" si="25"/>
        <v>0.52272727272727271</v>
      </c>
      <c r="BE63" s="1137">
        <f t="shared" si="25"/>
        <v>0.53894736842105262</v>
      </c>
      <c r="BF63" s="1137">
        <f t="shared" si="25"/>
        <v>0.53209109730848858</v>
      </c>
    </row>
    <row r="64" spans="1:58" s="81" customFormat="1" ht="14.25" customHeight="1" x14ac:dyDescent="0.2">
      <c r="A64" s="118"/>
      <c r="B64" s="421"/>
      <c r="C64" s="421"/>
      <c r="D64" s="58"/>
      <c r="E64" s="58"/>
      <c r="F64" s="58"/>
      <c r="G64" s="58"/>
      <c r="H64" s="58"/>
      <c r="I64" s="58"/>
      <c r="J64" s="58"/>
      <c r="K64" s="12"/>
      <c r="L64" s="110"/>
      <c r="M64" s="1750" t="s">
        <v>72</v>
      </c>
      <c r="N64" s="1750"/>
      <c r="O64" s="1750"/>
      <c r="P64" s="1011"/>
      <c r="Q64" s="1751" t="s">
        <v>100</v>
      </c>
      <c r="R64" s="1751"/>
      <c r="S64" s="1751"/>
      <c r="T64" s="1751"/>
      <c r="U64" s="117"/>
      <c r="V64" s="137"/>
      <c r="W64" s="294"/>
      <c r="Y64" s="190"/>
      <c r="AI64" s="585"/>
      <c r="AJ64" s="1338"/>
      <c r="AK64" s="87" t="s">
        <v>127</v>
      </c>
      <c r="AL64" s="1135">
        <f>VLOOKUP($AK64,$B$10:$P$33,AL$37,FALSE)</f>
        <v>128.97223718356756</v>
      </c>
      <c r="AM64" s="1135">
        <f t="shared" ref="AM64:AP64" si="26">VLOOKUP($AK64,$B$10:$P$33,AM$37,FALSE)</f>
        <v>132.47339251557213</v>
      </c>
      <c r="AN64" s="1135">
        <f t="shared" si="26"/>
        <v>140.46410799625562</v>
      </c>
      <c r="AO64" s="1135">
        <f t="shared" si="26"/>
        <v>148.13165058153922</v>
      </c>
      <c r="AP64" s="1135">
        <f t="shared" si="26"/>
        <v>157.276292586229</v>
      </c>
      <c r="AQ64" s="1136">
        <f>VLOOKUP(AK64,$B$10:$T$33,AQ$37,FALSE)</f>
        <v>17.084413405029373</v>
      </c>
      <c r="AR64" s="1137" t="e">
        <f>VLOOKUP($AK64,$B$77:$H$100,AR$37,FALSE)</f>
        <v>#N/A</v>
      </c>
      <c r="AS64" s="1137">
        <f t="shared" ref="AS64:AV64" si="27">VLOOKUP($AK64,$B$77:$H$100,AS$37,FALSE)</f>
        <v>0.88041466123657908</v>
      </c>
      <c r="AT64" s="1137">
        <f t="shared" si="27"/>
        <v>0.881445106980007</v>
      </c>
      <c r="AU64" s="1137">
        <f t="shared" si="27"/>
        <v>0.90878717006348142</v>
      </c>
      <c r="AV64" s="1137">
        <f t="shared" si="27"/>
        <v>0.89763275751759442</v>
      </c>
      <c r="AW64" s="1137">
        <f>VLOOKUP($AK64,$B$113:$H$136,AW$37,FALSE)</f>
        <v>0.81624905087319666</v>
      </c>
      <c r="AX64" s="1137">
        <f t="shared" ref="AX64:BA64" si="28">VLOOKUP($AK64,$B$113:$H$136,AX$37,FALSE)</f>
        <v>0.82117734172528689</v>
      </c>
      <c r="AY64" s="1137">
        <f t="shared" si="28"/>
        <v>0.82462293931953701</v>
      </c>
      <c r="AZ64" s="1137">
        <f t="shared" si="28"/>
        <v>0.83695289007684592</v>
      </c>
      <c r="BA64" s="1137">
        <f t="shared" si="28"/>
        <v>0.84325015994881636</v>
      </c>
      <c r="BB64" s="1137" t="e">
        <f>VLOOKUP($AK64,$B$149:$H$172,BB$37,FALSE)</f>
        <v>#N/A</v>
      </c>
      <c r="BC64" s="1137" t="e">
        <f t="shared" ref="BC64:BF64" si="29">VLOOKUP($AK64,$B$149:$H$172,BC$37,FALSE)</f>
        <v>#N/A</v>
      </c>
      <c r="BD64" s="1137">
        <f t="shared" si="29"/>
        <v>0.51350403367239561</v>
      </c>
      <c r="BE64" s="1137">
        <f t="shared" si="29"/>
        <v>0.52255262278650183</v>
      </c>
      <c r="BF64" s="1137">
        <f t="shared" si="29"/>
        <v>0.52591170825335898</v>
      </c>
    </row>
    <row r="65" spans="1:58" s="81" customFormat="1" ht="14.25" customHeight="1" x14ac:dyDescent="0.2">
      <c r="A65" s="118"/>
      <c r="B65" s="421"/>
      <c r="C65" s="421"/>
      <c r="D65" s="58"/>
      <c r="E65" s="58"/>
      <c r="F65" s="58"/>
      <c r="G65" s="58"/>
      <c r="H65" s="58"/>
      <c r="I65" s="58"/>
      <c r="J65" s="58"/>
      <c r="K65" s="12"/>
      <c r="L65" s="111"/>
      <c r="M65" s="1751" t="str">
        <f>Z4</f>
        <v>Selected LA- (none)</v>
      </c>
      <c r="N65" s="1751"/>
      <c r="O65" s="1751"/>
      <c r="P65" s="1751"/>
      <c r="Q65" s="1751"/>
      <c r="R65" s="1751"/>
      <c r="S65" s="1751"/>
      <c r="T65" s="1751"/>
      <c r="U65" s="117"/>
      <c r="V65" s="137"/>
      <c r="W65" s="150"/>
      <c r="Y65" s="190"/>
      <c r="AJ65" s="311"/>
      <c r="AK65" s="74" t="str">
        <f>Z4</f>
        <v>Selected LA- (none)</v>
      </c>
      <c r="AL65" s="1138" t="e">
        <f>VLOOKUP($Y4,$B$10:$P$32,AL$37,FALSE)</f>
        <v>#N/A</v>
      </c>
      <c r="AM65" s="1138" t="e">
        <f>VLOOKUP($Y4,$B$10:$P$32,AM$37,FALSE)</f>
        <v>#N/A</v>
      </c>
      <c r="AN65" s="1138" t="e">
        <f>VLOOKUP($Y4,$B$10:$P$32,AN$37,FALSE)</f>
        <v>#N/A</v>
      </c>
      <c r="AO65" s="1138" t="e">
        <f>VLOOKUP($Y4,$B$10:$P$32,AO$37,FALSE)</f>
        <v>#N/A</v>
      </c>
      <c r="AP65" s="1138" t="e">
        <f>VLOOKUP($Y4,$B$10:$P$32,AP$37,FALSE)</f>
        <v>#N/A</v>
      </c>
      <c r="AQ65" s="1136" t="e">
        <f>VLOOKUP(Y4,$B$10:$T$32,AQ$37,FALSE)</f>
        <v>#N/A</v>
      </c>
      <c r="AR65" s="1139" t="e">
        <f>VLOOKUP($Y$4,$B$77:$H$99,AR$37,FALSE)</f>
        <v>#N/A</v>
      </c>
      <c r="AS65" s="1139" t="e">
        <f>VLOOKUP($Y$4,$B$77:$H$99,AS$37,FALSE)</f>
        <v>#N/A</v>
      </c>
      <c r="AT65" s="1139" t="e">
        <f>VLOOKUP($Y$4,$B$77:$H$99,AT$37,FALSE)</f>
        <v>#N/A</v>
      </c>
      <c r="AU65" s="1139" t="e">
        <f>VLOOKUP($Y$4,$B$77:$H$99,AU$37,FALSE)</f>
        <v>#N/A</v>
      </c>
      <c r="AV65" s="1139" t="e">
        <f>VLOOKUP($Y$4,$B$77:$H$99,AV$37,FALSE)</f>
        <v>#N/A</v>
      </c>
      <c r="AW65" s="1139" t="e">
        <f>VLOOKUP($Y$4,$B$113:$H$135,AW$37,FALSE)</f>
        <v>#N/A</v>
      </c>
      <c r="AX65" s="1139" t="e">
        <f>VLOOKUP($Y$4,$B$113:$H$135,AX$37,FALSE)</f>
        <v>#N/A</v>
      </c>
      <c r="AY65" s="1139" t="e">
        <f>VLOOKUP($Y$4,$B$113:$H$135,AY$37,FALSE)</f>
        <v>#N/A</v>
      </c>
      <c r="AZ65" s="1139" t="e">
        <f>VLOOKUP($Y$4,$B$113:$H$135,AZ$37,FALSE)</f>
        <v>#N/A</v>
      </c>
      <c r="BA65" s="1139" t="e">
        <f>VLOOKUP($Y$4,$B$113:$H$135,BA$37,FALSE)</f>
        <v>#N/A</v>
      </c>
      <c r="BB65" s="1139" t="e">
        <f>VLOOKUP($Y$4,$B$149:$H$171,BB$37,FALSE)</f>
        <v>#N/A</v>
      </c>
      <c r="BC65" s="1139" t="e">
        <f>VLOOKUP($Y$4,$B$149:$H$171,BC$37,FALSE)</f>
        <v>#N/A</v>
      </c>
      <c r="BD65" s="1139" t="e">
        <f>VLOOKUP($Y$4,$B$149:$H$171,BD$37,FALSE)</f>
        <v>#N/A</v>
      </c>
      <c r="BE65" s="1139" t="e">
        <f>VLOOKUP($Y$4,$B$149:$H$171,BE$37,FALSE)</f>
        <v>#N/A</v>
      </c>
      <c r="BF65" s="1139" t="e">
        <f>VLOOKUP($Y$4,$B$149:$H$171,BF$37,FALSE)</f>
        <v>#N/A</v>
      </c>
    </row>
    <row r="66" spans="1:58" s="81" customFormat="1" ht="41.25" customHeight="1" x14ac:dyDescent="0.2">
      <c r="A66" s="118"/>
      <c r="B66" s="421"/>
      <c r="C66" s="421"/>
      <c r="D66" s="58"/>
      <c r="E66" s="58"/>
      <c r="F66" s="58"/>
      <c r="G66" s="58"/>
      <c r="H66" s="58"/>
      <c r="I66" s="58"/>
      <c r="J66" s="58"/>
      <c r="K66" s="12"/>
      <c r="L66" s="9"/>
      <c r="M66" s="9"/>
      <c r="N66" s="9"/>
      <c r="O66" s="9"/>
      <c r="P66" s="9"/>
      <c r="Q66" s="9"/>
      <c r="R66" s="9"/>
      <c r="S66" s="9"/>
      <c r="T66" s="9"/>
      <c r="U66" s="117"/>
      <c r="V66" s="137"/>
      <c r="W66" s="150"/>
      <c r="Y66" s="190"/>
      <c r="AJ66" s="161"/>
    </row>
    <row r="67" spans="1:58" s="87" customFormat="1" ht="42.75" customHeight="1" x14ac:dyDescent="0.2">
      <c r="A67" s="121"/>
      <c r="B67" s="109"/>
      <c r="C67" s="109"/>
      <c r="D67" s="109"/>
      <c r="E67" s="109"/>
      <c r="F67" s="109"/>
      <c r="G67" s="109"/>
      <c r="H67" s="109"/>
      <c r="I67" s="109"/>
      <c r="J67" s="109"/>
      <c r="K67" s="96"/>
      <c r="L67" s="85"/>
      <c r="M67" s="85"/>
      <c r="N67" s="85"/>
      <c r="O67" s="85"/>
      <c r="P67" s="85"/>
      <c r="Q67" s="85"/>
      <c r="R67" s="85"/>
      <c r="S67" s="85"/>
      <c r="T67" s="85"/>
      <c r="U67" s="122"/>
      <c r="V67" s="139"/>
      <c r="W67" s="152"/>
      <c r="X67" s="81"/>
      <c r="Y67" s="190"/>
      <c r="Z67" s="81"/>
      <c r="AA67" s="81"/>
      <c r="AB67" s="81"/>
      <c r="AC67" s="81"/>
      <c r="AD67" s="190"/>
      <c r="AE67" s="190"/>
      <c r="AF67" s="190"/>
      <c r="AG67" s="190"/>
      <c r="AH67" s="190"/>
      <c r="AI67" s="202"/>
      <c r="AJ67" s="160"/>
    </row>
    <row r="68" spans="1:58" s="87" customFormat="1" ht="42.75" customHeight="1" x14ac:dyDescent="0.2">
      <c r="A68" s="121"/>
      <c r="B68" s="109"/>
      <c r="C68" s="109"/>
      <c r="D68" s="109"/>
      <c r="E68" s="109"/>
      <c r="F68" s="109"/>
      <c r="G68" s="109"/>
      <c r="H68" s="109"/>
      <c r="I68" s="109"/>
      <c r="J68" s="109"/>
      <c r="K68" s="96"/>
      <c r="L68" s="85"/>
      <c r="M68" s="85"/>
      <c r="N68" s="85"/>
      <c r="O68" s="85"/>
      <c r="P68" s="85"/>
      <c r="Q68" s="85"/>
      <c r="R68" s="85"/>
      <c r="S68" s="85"/>
      <c r="T68" s="85"/>
      <c r="U68" s="122"/>
      <c r="V68" s="139"/>
      <c r="W68" s="152"/>
      <c r="X68" s="81"/>
      <c r="Y68" s="190"/>
      <c r="Z68" s="81"/>
      <c r="AA68" s="81"/>
      <c r="AB68" s="81"/>
      <c r="AC68" s="81"/>
      <c r="AD68" s="190"/>
      <c r="AE68" s="190"/>
      <c r="AF68" s="190"/>
      <c r="AG68" s="190"/>
      <c r="AH68" s="190"/>
      <c r="AI68" s="202"/>
      <c r="AJ68" s="160"/>
    </row>
    <row r="69" spans="1:58" ht="7.5" customHeight="1" x14ac:dyDescent="0.2">
      <c r="A69" s="118"/>
      <c r="B69" s="17"/>
      <c r="C69" s="17"/>
      <c r="D69" s="16"/>
      <c r="E69" s="16"/>
      <c r="F69" s="16"/>
      <c r="G69" s="16"/>
      <c r="H69" s="16"/>
      <c r="I69" s="16"/>
      <c r="J69" s="16"/>
      <c r="K69" s="12"/>
      <c r="L69" s="18"/>
      <c r="M69" s="18"/>
      <c r="N69" s="18"/>
      <c r="O69" s="18"/>
      <c r="P69" s="18"/>
      <c r="Q69" s="18"/>
      <c r="R69" s="18"/>
      <c r="S69" s="18"/>
      <c r="T69" s="18"/>
      <c r="U69" s="117"/>
      <c r="V69" s="137"/>
      <c r="W69" s="150"/>
      <c r="Y69" s="190"/>
      <c r="AI69" s="184"/>
      <c r="AJ69" s="157"/>
    </row>
    <row r="70" spans="1:58" ht="15" customHeight="1" x14ac:dyDescent="0.2">
      <c r="A70" s="1716"/>
      <c r="B70" s="1760"/>
      <c r="C70" s="1760"/>
      <c r="D70" s="1760"/>
      <c r="E70" s="1760"/>
      <c r="F70" s="1760"/>
      <c r="G70" s="1760"/>
      <c r="H70" s="1760"/>
      <c r="I70" s="1760"/>
      <c r="J70" s="1760"/>
      <c r="K70" s="1760"/>
      <c r="L70" s="1760"/>
      <c r="M70" s="1760"/>
      <c r="N70" s="1760"/>
      <c r="O70" s="1760"/>
      <c r="P70" s="1760"/>
      <c r="Q70" s="1760"/>
      <c r="R70" s="1760"/>
      <c r="S70" s="1760"/>
      <c r="T70" s="1760"/>
      <c r="U70" s="1761"/>
      <c r="V70" s="137"/>
      <c r="W70" s="150"/>
      <c r="Y70" s="190"/>
      <c r="AI70" s="184"/>
      <c r="AJ70" s="157"/>
    </row>
    <row r="71" spans="1:58" ht="11.25" customHeight="1" x14ac:dyDescent="0.2">
      <c r="A71" s="1765" t="str">
        <f>Home!$A$39</f>
        <v xml:space="preserve"> </v>
      </c>
      <c r="B71" s="1766"/>
      <c r="C71" s="1766"/>
      <c r="D71" s="1766"/>
      <c r="E71" s="1766"/>
      <c r="F71" s="1766"/>
      <c r="G71" s="1766"/>
      <c r="H71" s="1766"/>
      <c r="I71" s="1768"/>
      <c r="J71" s="1767"/>
      <c r="K71" s="1766"/>
      <c r="L71" s="1766"/>
      <c r="M71" s="1766"/>
      <c r="N71" s="1766"/>
      <c r="O71" s="1766"/>
      <c r="P71" s="1766"/>
      <c r="Q71" s="1768"/>
      <c r="R71" s="1766"/>
      <c r="S71" s="1766"/>
      <c r="T71" s="1766"/>
      <c r="U71" s="1769"/>
      <c r="V71" s="137"/>
      <c r="W71" s="150"/>
      <c r="Y71" s="190"/>
      <c r="AI71" s="184"/>
      <c r="AJ71" s="157"/>
    </row>
    <row r="72" spans="1:58" ht="11.25" customHeight="1" x14ac:dyDescent="0.2">
      <c r="A72" s="440"/>
      <c r="B72" s="218"/>
      <c r="C72" s="218"/>
      <c r="D72" s="218"/>
      <c r="E72" s="218"/>
      <c r="F72" s="218"/>
      <c r="G72" s="218"/>
      <c r="H72" s="218"/>
      <c r="I72" s="218"/>
      <c r="J72" s="218"/>
      <c r="K72" s="219"/>
      <c r="L72" s="218"/>
      <c r="M72" s="218"/>
      <c r="N72" s="218"/>
      <c r="O72" s="218"/>
      <c r="P72" s="218"/>
      <c r="Q72" s="218"/>
      <c r="R72" s="218"/>
      <c r="S72" s="218"/>
      <c r="T72" s="218"/>
      <c r="U72" s="220"/>
      <c r="V72" s="1044"/>
      <c r="W72" s="150"/>
      <c r="Y72" s="190"/>
      <c r="AI72" s="184"/>
      <c r="AJ72" s="157"/>
    </row>
    <row r="73" spans="1:58" s="76" customFormat="1" ht="15" customHeight="1" x14ac:dyDescent="0.2">
      <c r="A73" s="119"/>
      <c r="B73" s="1770" t="s">
        <v>668</v>
      </c>
      <c r="C73" s="1770"/>
      <c r="D73" s="1770"/>
      <c r="E73" s="1770"/>
      <c r="F73" s="1770"/>
      <c r="G73" s="1770"/>
      <c r="H73" s="1770"/>
      <c r="I73" s="1770"/>
      <c r="J73" s="226"/>
      <c r="K73" s="70"/>
      <c r="L73" s="70"/>
      <c r="M73" s="70"/>
      <c r="N73" s="70"/>
      <c r="O73" s="825"/>
      <c r="P73" s="70"/>
      <c r="Q73" s="70"/>
      <c r="R73" s="70"/>
      <c r="S73" s="70"/>
      <c r="T73" s="70"/>
      <c r="U73" s="120"/>
      <c r="V73" s="138"/>
      <c r="W73" s="151"/>
      <c r="X73" s="609" t="s">
        <v>735</v>
      </c>
      <c r="Y73" s="609"/>
      <c r="Z73" s="609"/>
      <c r="AA73" s="609"/>
      <c r="AB73" s="609"/>
      <c r="AC73" s="609"/>
      <c r="AD73" s="609" t="s">
        <v>1240</v>
      </c>
      <c r="AE73" s="609"/>
      <c r="AF73" s="609"/>
      <c r="AG73" s="609"/>
      <c r="AH73" s="609"/>
      <c r="AI73" s="609"/>
      <c r="AJ73" s="158"/>
    </row>
    <row r="74" spans="1:58" ht="20.25" customHeight="1" x14ac:dyDescent="0.2">
      <c r="A74" s="118"/>
      <c r="B74" s="1770"/>
      <c r="C74" s="1770"/>
      <c r="D74" s="1770"/>
      <c r="E74" s="1770"/>
      <c r="F74" s="1770"/>
      <c r="G74" s="1770"/>
      <c r="H74" s="1770"/>
      <c r="I74" s="1770"/>
      <c r="J74" s="226"/>
      <c r="K74" s="70"/>
      <c r="L74" s="70"/>
      <c r="M74" s="70"/>
      <c r="N74" s="70"/>
      <c r="O74" s="825"/>
      <c r="P74" s="70"/>
      <c r="Q74" s="70"/>
      <c r="R74" s="70"/>
      <c r="S74" s="10"/>
      <c r="T74" s="70"/>
      <c r="U74" s="117"/>
      <c r="V74" s="137"/>
      <c r="W74" s="150"/>
      <c r="X74" s="383"/>
      <c r="Y74" s="382"/>
      <c r="Z74" s="383"/>
      <c r="AA74" s="383"/>
      <c r="AB74" s="383"/>
      <c r="AC74" s="596"/>
      <c r="AD74" s="383"/>
      <c r="AE74" s="382"/>
      <c r="AF74" s="383"/>
      <c r="AG74" s="383"/>
      <c r="AH74" s="383"/>
      <c r="AI74" s="596"/>
      <c r="AJ74" s="157"/>
    </row>
    <row r="75" spans="1:58" s="87" customFormat="1" ht="13.5" customHeight="1" x14ac:dyDescent="0.2">
      <c r="A75" s="121"/>
      <c r="B75" s="1771" t="s">
        <v>205</v>
      </c>
      <c r="C75" s="1007"/>
      <c r="D75" s="789" t="str">
        <f>Sheet1!$D$27</f>
        <v>2015-16</v>
      </c>
      <c r="E75" s="790" t="str">
        <f>Sheet1!$E$27</f>
        <v>2016-17</v>
      </c>
      <c r="F75" s="790" t="str">
        <f>Sheet1!$F$27</f>
        <v>2017-18</v>
      </c>
      <c r="G75" s="790" t="str">
        <f>Sheet1!$G$27</f>
        <v>2018-19</v>
      </c>
      <c r="H75" s="791" t="str">
        <f>Sheet1!$H$27</f>
        <v>2019-20</v>
      </c>
      <c r="I75" s="61"/>
      <c r="J75" s="96"/>
      <c r="K75" s="96"/>
      <c r="L75" s="61"/>
      <c r="M75" s="61"/>
      <c r="N75" s="61"/>
      <c r="O75" s="61"/>
      <c r="P75" s="61"/>
      <c r="Q75" s="61"/>
      <c r="R75" s="828"/>
      <c r="S75" s="828"/>
      <c r="T75" s="159"/>
      <c r="U75" s="122"/>
      <c r="V75" s="139"/>
      <c r="W75" s="152"/>
      <c r="X75" s="577"/>
      <c r="Y75" s="581" t="str">
        <f>IF(Sheet1!$C$3="Annual","",Sheet1!$D$28)</f>
        <v/>
      </c>
      <c r="Z75" s="489" t="str">
        <f>IF(Sheet1!$C$3="Annual","",Sheet1!$E$28)</f>
        <v/>
      </c>
      <c r="AA75" s="489" t="str">
        <f>IF(Sheet1!$C$3="Annual","",Sheet1!$F$28)</f>
        <v/>
      </c>
      <c r="AB75" s="489" t="str">
        <f>IF(Sheet1!$C$3="Annual","",Sheet1!$G$28)</f>
        <v/>
      </c>
      <c r="AC75" s="489" t="str">
        <f>IF(Sheet1!$C$3="Annual","",Sheet1!$H$28)</f>
        <v/>
      </c>
      <c r="AD75" s="577"/>
      <c r="AE75" s="581" t="str">
        <f>IF(Sheet1!$C$3="Annual","",Sheet1!$D$28)</f>
        <v/>
      </c>
      <c r="AF75" s="1385" t="str">
        <f>IF(Sheet1!$C$3="Annual","",Sheet1!$E$28)</f>
        <v/>
      </c>
      <c r="AG75" s="1385" t="str">
        <f>IF(Sheet1!$C$3="Annual","",Sheet1!$F$28)</f>
        <v/>
      </c>
      <c r="AH75" s="1385" t="str">
        <f>IF(Sheet1!$C$3="Annual","",Sheet1!$G$28)</f>
        <v/>
      </c>
      <c r="AI75" s="1385" t="str">
        <f>IF(Sheet1!$C$3="Annual","",Sheet1!$H$28)</f>
        <v/>
      </c>
      <c r="AJ75" s="160"/>
    </row>
    <row r="76" spans="1:58" s="87" customFormat="1" ht="13.5" customHeight="1" x14ac:dyDescent="0.2">
      <c r="A76" s="292"/>
      <c r="B76" s="1772"/>
      <c r="C76" s="85"/>
      <c r="D76" s="792" t="e">
        <f>Sheet1!$D$28</f>
        <v>#N/A</v>
      </c>
      <c r="E76" s="792" t="e">
        <f>Sheet1!$E$28</f>
        <v>#N/A</v>
      </c>
      <c r="F76" s="792" t="e">
        <f>Sheet1!$F$28</f>
        <v>#N/A</v>
      </c>
      <c r="G76" s="792" t="e">
        <f>Sheet1!$G$28</f>
        <v>#N/A</v>
      </c>
      <c r="H76" s="793" t="e">
        <f>Sheet1!$H$28</f>
        <v>#N/A</v>
      </c>
      <c r="I76" s="61"/>
      <c r="J76" s="96"/>
      <c r="K76" s="96"/>
      <c r="L76" s="61"/>
      <c r="M76" s="61"/>
      <c r="N76" s="61"/>
      <c r="O76" s="61"/>
      <c r="P76" s="61"/>
      <c r="Q76" s="61"/>
      <c r="R76" s="1009"/>
      <c r="S76" s="1009"/>
      <c r="T76" s="159"/>
      <c r="U76" s="122"/>
      <c r="V76" s="139"/>
      <c r="W76" s="152"/>
      <c r="X76" s="577"/>
      <c r="Y76" s="581" t="str">
        <f>Sheet1!$D$27</f>
        <v>2015-16</v>
      </c>
      <c r="Z76" s="489" t="str">
        <f>Sheet1!$E$27</f>
        <v>2016-17</v>
      </c>
      <c r="AA76" s="489" t="str">
        <f>Sheet1!$F$27</f>
        <v>2017-18</v>
      </c>
      <c r="AB76" s="489" t="str">
        <f>Sheet1!$G$27</f>
        <v>2018-19</v>
      </c>
      <c r="AC76" s="489" t="str">
        <f>Sheet1!$H$27</f>
        <v>2019-20</v>
      </c>
      <c r="AD76" s="577"/>
      <c r="AE76" s="581" t="str">
        <f>Sheet1!$D$27</f>
        <v>2015-16</v>
      </c>
      <c r="AF76" s="1385" t="str">
        <f>Sheet1!$E$27</f>
        <v>2016-17</v>
      </c>
      <c r="AG76" s="1385" t="str">
        <f>Sheet1!$F$27</f>
        <v>2017-18</v>
      </c>
      <c r="AH76" s="1385" t="str">
        <f>Sheet1!$G$27</f>
        <v>2018-19</v>
      </c>
      <c r="AI76" s="1385" t="str">
        <f>Sheet1!$H$27</f>
        <v>2019-20</v>
      </c>
      <c r="AJ76" s="160"/>
    </row>
    <row r="77" spans="1:58" s="87" customFormat="1" ht="12.75" customHeight="1" x14ac:dyDescent="0.2">
      <c r="A77" s="488">
        <f>VLOOKUP(B77,Sheet1!$AQ$4:$AR$25,2,FALSE)</f>
        <v>0</v>
      </c>
      <c r="B77" s="93" t="str">
        <f t="shared" ref="B77:B100" si="30">B10</f>
        <v>Bracknell Forest</v>
      </c>
      <c r="C77" s="85"/>
      <c r="D77" s="162" t="e">
        <f t="shared" ref="D77:D98" si="31">IF(AND(ISNUMBER(D10),ISNUMBER(Y77)),Y77/D10,NA())</f>
        <v>#N/A</v>
      </c>
      <c r="E77" s="162">
        <f t="shared" ref="E77:H77" si="32">IF(AND(ISNUMBER(E10),ISNUMBER(Z77)),Z77/E10,NA())</f>
        <v>1</v>
      </c>
      <c r="F77" s="162">
        <f t="shared" si="32"/>
        <v>1</v>
      </c>
      <c r="G77" s="162">
        <f t="shared" si="32"/>
        <v>0.53191489361702127</v>
      </c>
      <c r="H77" s="164" t="e">
        <f t="shared" si="32"/>
        <v>#N/A</v>
      </c>
      <c r="I77" s="443"/>
      <c r="J77" s="96"/>
      <c r="K77" s="96"/>
      <c r="L77" s="166"/>
      <c r="M77" s="166"/>
      <c r="N77" s="166"/>
      <c r="O77" s="166"/>
      <c r="P77" s="166"/>
      <c r="Q77" s="166"/>
      <c r="R77" s="166"/>
      <c r="S77" s="167"/>
      <c r="T77" s="159"/>
      <c r="U77" s="122"/>
      <c r="V77" s="139"/>
      <c r="W77" s="152"/>
      <c r="X77" s="577" t="str">
        <f t="shared" ref="X77:X99" si="33">B77</f>
        <v>Bracknell Forest</v>
      </c>
      <c r="Y77" s="581" t="str">
        <f>IF(Year1_Bracknell_Forest Year1_Care_Leavers_in_touch="","",Year1_Bracknell_Forest Year1_Care_Leavers_in_touch)</f>
        <v/>
      </c>
      <c r="Z77" s="372">
        <f>IF(Year2_Bracknell_Forest Year2_Care_Leavers_in_touch="","",Year2_Bracknell_Forest Year2_Care_Leavers_in_touch)</f>
        <v>32</v>
      </c>
      <c r="AA77" s="372">
        <f>IF(Year3_Bracknell_Forest Year3_Care_Leavers_in_touch="","",Year3_Bracknell_Forest Year3_Care_Leavers_in_touch)</f>
        <v>42</v>
      </c>
      <c r="AB77" s="372">
        <f>IF(Year4_Bracknell_Forest Year4_Care_Leavers_in_touch="","",Year4_Bracknell_Forest Year4_Care_Leavers_in_touch)</f>
        <v>25</v>
      </c>
      <c r="AC77" s="372" t="str">
        <f>IF(Year5_Bracknell_Forest Year5_Care_Leavers_in_touch="","",Year5_Bracknell_Forest Year5_Care_Leavers_in_touch)</f>
        <v>c</v>
      </c>
      <c r="AD77" s="577" t="str">
        <f>X77</f>
        <v>Bracknell Forest</v>
      </c>
      <c r="AE77" s="581">
        <f t="shared" ref="AE77:AE98" si="34">IF(Y77="",0,D10)</f>
        <v>0</v>
      </c>
      <c r="AF77" s="581">
        <f t="shared" ref="AF77:AF98" si="35">IF(Z77="",0,E10)</f>
        <v>32</v>
      </c>
      <c r="AG77" s="581">
        <f t="shared" ref="AG77:AG98" si="36">IF(AA77="",0,F10)</f>
        <v>42</v>
      </c>
      <c r="AH77" s="581">
        <f t="shared" ref="AH77:AH98" si="37">IF(AB77="",0,G10)</f>
        <v>47</v>
      </c>
      <c r="AI77" s="581">
        <f t="shared" ref="AI77:AI98" si="38">IF(AC77="",0,H10)</f>
        <v>57</v>
      </c>
      <c r="AJ77" s="160"/>
    </row>
    <row r="78" spans="1:58" s="87" customFormat="1" ht="12.75" customHeight="1" x14ac:dyDescent="0.2">
      <c r="A78" s="488">
        <f>VLOOKUP(B78,Sheet1!$AQ$4:$AR$25,2,FALSE)</f>
        <v>0</v>
      </c>
      <c r="B78" s="93" t="str">
        <f t="shared" si="30"/>
        <v>Brighton &amp; Hove</v>
      </c>
      <c r="C78" s="85"/>
      <c r="D78" s="162" t="e">
        <f t="shared" si="31"/>
        <v>#N/A</v>
      </c>
      <c r="E78" s="162" t="e">
        <f t="shared" ref="E78:E98" si="39">IF(AND(ISNUMBER(E11),ISNUMBER(Z78)),Z78/E11,NA())</f>
        <v>#N/A</v>
      </c>
      <c r="F78" s="162" t="e">
        <f t="shared" ref="F78:F98" si="40">IF(AND(ISNUMBER(F11),ISNUMBER(AA78)),AA78/F11,NA())</f>
        <v>#N/A</v>
      </c>
      <c r="G78" s="162">
        <f t="shared" ref="G78:G98" si="41">IF(AND(ISNUMBER(G11),ISNUMBER(AB78)),AB78/G11,NA())</f>
        <v>0.9634703196347032</v>
      </c>
      <c r="H78" s="164">
        <f t="shared" ref="H78:H98" si="42">IF(AND(ISNUMBER(H11),ISNUMBER(AC78)),AC78/H11,NA())</f>
        <v>0.95633187772925765</v>
      </c>
      <c r="I78" s="443"/>
      <c r="J78" s="96"/>
      <c r="K78" s="96"/>
      <c r="L78" s="166"/>
      <c r="M78" s="166"/>
      <c r="N78" s="166"/>
      <c r="O78" s="166"/>
      <c r="P78" s="166"/>
      <c r="Q78" s="166"/>
      <c r="R78" s="166"/>
      <c r="S78" s="167"/>
      <c r="T78" s="159"/>
      <c r="U78" s="122"/>
      <c r="V78" s="139"/>
      <c r="W78" s="152"/>
      <c r="X78" s="577" t="str">
        <f t="shared" si="33"/>
        <v>Brighton &amp; Hove</v>
      </c>
      <c r="Y78" s="581" t="str">
        <f>IF(Year1_Brighton_Hove Year1_Care_Leavers_in_touch="","",Year1_Brighton_Hove Year1_Care_Leavers_in_touch)</f>
        <v/>
      </c>
      <c r="Z78" s="372" t="str">
        <f>IF(Year2_Brighton_Hove Year2_Care_Leavers_in_touch="","",Year2_Brighton_Hove Year2_Care_Leavers_in_touch)</f>
        <v>x</v>
      </c>
      <c r="AA78" s="372" t="str">
        <f>IF(Year3_Brighton_Hove Year3_Care_Leavers_in_touch="","",Year3_Brighton_Hove Year3_Care_Leavers_in_touch)</f>
        <v>x</v>
      </c>
      <c r="AB78" s="372">
        <f>IF(Year4_Brighton_Hove Year4_Care_Leavers_in_touch="","",Year4_Brighton_Hove Year4_Care_Leavers_in_touch)</f>
        <v>211</v>
      </c>
      <c r="AC78" s="372">
        <f>IF(Year5_Brighton_Hove Year5_Care_Leavers_in_touch="","",Year5_Brighton_Hove Year5_Care_Leavers_in_touch)</f>
        <v>219</v>
      </c>
      <c r="AD78" s="577" t="str">
        <f t="shared" ref="AD78:AD99" si="43">X78</f>
        <v>Brighton &amp; Hove</v>
      </c>
      <c r="AE78" s="581">
        <f t="shared" si="34"/>
        <v>0</v>
      </c>
      <c r="AF78" s="581">
        <f t="shared" si="35"/>
        <v>174</v>
      </c>
      <c r="AG78" s="581">
        <f t="shared" si="36"/>
        <v>195</v>
      </c>
      <c r="AH78" s="581">
        <f t="shared" si="37"/>
        <v>219</v>
      </c>
      <c r="AI78" s="581">
        <f t="shared" si="38"/>
        <v>229</v>
      </c>
      <c r="AJ78" s="160"/>
    </row>
    <row r="79" spans="1:58" s="87" customFormat="1" ht="12.75" customHeight="1" x14ac:dyDescent="0.2">
      <c r="A79" s="488">
        <f>VLOOKUP(B79,Sheet1!$AQ$4:$AR$25,2,FALSE)</f>
        <v>0</v>
      </c>
      <c r="B79" s="93" t="str">
        <f t="shared" si="30"/>
        <v>Buckinghamshire</v>
      </c>
      <c r="C79" s="85"/>
      <c r="D79" s="162" t="e">
        <f t="shared" si="31"/>
        <v>#N/A</v>
      </c>
      <c r="E79" s="162">
        <f t="shared" si="39"/>
        <v>0.73529411764705888</v>
      </c>
      <c r="F79" s="162">
        <f t="shared" si="40"/>
        <v>0.78894472361809043</v>
      </c>
      <c r="G79" s="162">
        <f t="shared" si="41"/>
        <v>0.956989247311828</v>
      </c>
      <c r="H79" s="164">
        <f t="shared" si="42"/>
        <v>0.89175257731958768</v>
      </c>
      <c r="I79" s="443"/>
      <c r="J79" s="96"/>
      <c r="K79" s="96"/>
      <c r="L79" s="166"/>
      <c r="M79" s="166"/>
      <c r="N79" s="166"/>
      <c r="O79" s="166"/>
      <c r="P79" s="166"/>
      <c r="Q79" s="166"/>
      <c r="R79" s="166"/>
      <c r="S79" s="167"/>
      <c r="T79" s="159"/>
      <c r="U79" s="122"/>
      <c r="V79" s="139"/>
      <c r="W79" s="152"/>
      <c r="X79" s="577" t="str">
        <f t="shared" si="33"/>
        <v>Buckinghamshire</v>
      </c>
      <c r="Y79" s="581" t="str">
        <f>IF(Year1_Buckinghamshire Year1_Care_Leavers_in_touch="","",Year1_Buckinghamshire Year1_Care_Leavers_in_touch)</f>
        <v/>
      </c>
      <c r="Z79" s="372">
        <f>IF(Year2_Buckinghamshire Year2_Care_Leavers_in_touch="","",Year2_Buckinghamshire Year2_Care_Leavers_in_touch)</f>
        <v>125</v>
      </c>
      <c r="AA79" s="372">
        <f>IF(Year3_Buckinghamshire Year3_Care_Leavers_in_touch="","",Year3_Buckinghamshire Year3_Care_Leavers_in_touch)</f>
        <v>157</v>
      </c>
      <c r="AB79" s="372">
        <f>IF(Year4_Buckinghamshire Year4_Care_Leavers_in_touch="","",Year4_Buckinghamshire Year4_Care_Leavers_in_touch)</f>
        <v>178</v>
      </c>
      <c r="AC79" s="372">
        <f>IF(Year5_Buckinghamshire Year5_Care_Leavers_in_touch="","",Year5_Buckinghamshire Year5_Care_Leavers_in_touch)</f>
        <v>173</v>
      </c>
      <c r="AD79" s="577" t="str">
        <f t="shared" si="43"/>
        <v>Buckinghamshire</v>
      </c>
      <c r="AE79" s="581">
        <f t="shared" si="34"/>
        <v>0</v>
      </c>
      <c r="AF79" s="581">
        <f t="shared" si="35"/>
        <v>170</v>
      </c>
      <c r="AG79" s="581">
        <f t="shared" si="36"/>
        <v>199</v>
      </c>
      <c r="AH79" s="581">
        <f t="shared" si="37"/>
        <v>186</v>
      </c>
      <c r="AI79" s="581">
        <f t="shared" si="38"/>
        <v>194</v>
      </c>
      <c r="AJ79" s="160"/>
    </row>
    <row r="80" spans="1:58" s="87" customFormat="1" ht="12.75" customHeight="1" x14ac:dyDescent="0.2">
      <c r="A80" s="488">
        <f>VLOOKUP(B80,Sheet1!$AQ$4:$AR$25,2,FALSE)</f>
        <v>0</v>
      </c>
      <c r="B80" s="93" t="str">
        <f t="shared" si="30"/>
        <v>East Sussex</v>
      </c>
      <c r="C80" s="85"/>
      <c r="D80" s="162" t="e">
        <f t="shared" si="31"/>
        <v>#N/A</v>
      </c>
      <c r="E80" s="162">
        <f t="shared" si="39"/>
        <v>0.8523489932885906</v>
      </c>
      <c r="F80" s="162">
        <f t="shared" si="40"/>
        <v>0.79220779220779225</v>
      </c>
      <c r="G80" s="162">
        <f t="shared" si="41"/>
        <v>0.85029940119760483</v>
      </c>
      <c r="H80" s="164">
        <f t="shared" si="42"/>
        <v>0.83417085427135673</v>
      </c>
      <c r="I80" s="443"/>
      <c r="J80" s="96"/>
      <c r="K80" s="96"/>
      <c r="L80" s="166"/>
      <c r="M80" s="166"/>
      <c r="N80" s="166"/>
      <c r="O80" s="166"/>
      <c r="P80" s="166"/>
      <c r="Q80" s="166"/>
      <c r="R80" s="166"/>
      <c r="S80" s="167"/>
      <c r="T80" s="159"/>
      <c r="U80" s="122"/>
      <c r="V80" s="139"/>
      <c r="W80" s="152"/>
      <c r="X80" s="577" t="str">
        <f t="shared" si="33"/>
        <v>East Sussex</v>
      </c>
      <c r="Y80" s="581" t="str">
        <f>IF(Year1_East_Sussex Year1_Care_Leavers_in_touch="","",Year1_East_Sussex Year1_Care_Leavers_in_touch)</f>
        <v/>
      </c>
      <c r="Z80" s="372">
        <f>IF(Year2_East_Sussex Year2_Care_Leavers_in_touch="","",Year2_East_Sussex Year2_Care_Leavers_in_touch)</f>
        <v>127</v>
      </c>
      <c r="AA80" s="372">
        <f>IF(Year3_East_Sussex Year3_Care_Leavers_in_touch="","",Year3_East_Sussex Year3_Care_Leavers_in_touch)</f>
        <v>122</v>
      </c>
      <c r="AB80" s="372">
        <f>IF(Year4_East_Sussex Year4_Care_Leavers_in_touch="","",Year4_East_Sussex Year4_Care_Leavers_in_touch)</f>
        <v>142</v>
      </c>
      <c r="AC80" s="372">
        <f>IF(Year5_East_Sussex Year5_Care_Leavers_in_touch="","",Year5_East_Sussex Year5_Care_Leavers_in_touch)</f>
        <v>166</v>
      </c>
      <c r="AD80" s="577" t="str">
        <f t="shared" si="43"/>
        <v>East Sussex</v>
      </c>
      <c r="AE80" s="581">
        <f t="shared" si="34"/>
        <v>0</v>
      </c>
      <c r="AF80" s="581">
        <f t="shared" si="35"/>
        <v>149</v>
      </c>
      <c r="AG80" s="581">
        <f t="shared" si="36"/>
        <v>154</v>
      </c>
      <c r="AH80" s="581">
        <f t="shared" si="37"/>
        <v>167</v>
      </c>
      <c r="AI80" s="581">
        <f t="shared" si="38"/>
        <v>199</v>
      </c>
      <c r="AJ80" s="160"/>
    </row>
    <row r="81" spans="1:44" s="87" customFormat="1" ht="12.75" customHeight="1" x14ac:dyDescent="0.2">
      <c r="A81" s="488">
        <f>VLOOKUP(B81,Sheet1!$AQ$4:$AR$25,2,FALSE)</f>
        <v>0</v>
      </c>
      <c r="B81" s="93" t="str">
        <f t="shared" si="30"/>
        <v>Hampshire</v>
      </c>
      <c r="C81" s="85"/>
      <c r="D81" s="162" t="e">
        <f t="shared" si="31"/>
        <v>#N/A</v>
      </c>
      <c r="E81" s="162">
        <f t="shared" si="39"/>
        <v>0.81980198019801975</v>
      </c>
      <c r="F81" s="162">
        <f t="shared" si="40"/>
        <v>0.80188679245283023</v>
      </c>
      <c r="G81" s="162">
        <f t="shared" si="41"/>
        <v>0.72957198443579763</v>
      </c>
      <c r="H81" s="164">
        <f t="shared" si="42"/>
        <v>0.78260869565217395</v>
      </c>
      <c r="I81" s="443"/>
      <c r="J81" s="96"/>
      <c r="K81" s="96"/>
      <c r="L81" s="166"/>
      <c r="M81" s="166"/>
      <c r="N81" s="166"/>
      <c r="O81" s="166"/>
      <c r="P81" s="166"/>
      <c r="Q81" s="166"/>
      <c r="R81" s="166"/>
      <c r="S81" s="167"/>
      <c r="T81" s="159"/>
      <c r="U81" s="122"/>
      <c r="V81" s="139"/>
      <c r="W81" s="152"/>
      <c r="X81" s="577" t="str">
        <f t="shared" si="33"/>
        <v>Hampshire</v>
      </c>
      <c r="Y81" s="581" t="str">
        <f>IF(Year1_Hampshire Year1_Care_Leavers_in_touch="","",Year1_Hampshire Year1_Care_Leavers_in_touch)</f>
        <v/>
      </c>
      <c r="Z81" s="372">
        <f>IF(Year2_Hampshire Year2_Care_Leavers_in_touch="","",Year2_Hampshire Year2_Care_Leavers_in_touch)</f>
        <v>414</v>
      </c>
      <c r="AA81" s="372">
        <f>IF(Year3_Hampshire Year3_Care_Leavers_in_touch="","",Year3_Hampshire Year3_Care_Leavers_in_touch)</f>
        <v>425</v>
      </c>
      <c r="AB81" s="372">
        <f>IF(Year4_Hampshire Year4_Care_Leavers_in_touch="","",Year4_Hampshire Year4_Care_Leavers_in_touch)</f>
        <v>375</v>
      </c>
      <c r="AC81" s="372">
        <f>IF(Year5_Hampshire Year5_Care_Leavers_in_touch="","",Year5_Hampshire Year5_Care_Leavers_in_touch)</f>
        <v>432</v>
      </c>
      <c r="AD81" s="577" t="str">
        <f t="shared" si="43"/>
        <v>Hampshire</v>
      </c>
      <c r="AE81" s="581">
        <f t="shared" si="34"/>
        <v>0</v>
      </c>
      <c r="AF81" s="581">
        <f t="shared" si="35"/>
        <v>505</v>
      </c>
      <c r="AG81" s="581">
        <f t="shared" si="36"/>
        <v>530</v>
      </c>
      <c r="AH81" s="581">
        <f t="shared" si="37"/>
        <v>514</v>
      </c>
      <c r="AI81" s="581">
        <f t="shared" si="38"/>
        <v>552</v>
      </c>
      <c r="AJ81" s="160"/>
    </row>
    <row r="82" spans="1:44" s="87" customFormat="1" ht="12.75" customHeight="1" x14ac:dyDescent="0.2">
      <c r="A82" s="488">
        <f>VLOOKUP(B82,Sheet1!$AQ$4:$AR$25,2,FALSE)</f>
        <v>0</v>
      </c>
      <c r="B82" s="93" t="str">
        <f t="shared" si="30"/>
        <v>Isle of Wight</v>
      </c>
      <c r="C82" s="85"/>
      <c r="D82" s="162" t="e">
        <f t="shared" si="31"/>
        <v>#N/A</v>
      </c>
      <c r="E82" s="162">
        <f t="shared" si="39"/>
        <v>0.82978723404255317</v>
      </c>
      <c r="F82" s="162" t="e">
        <f t="shared" si="40"/>
        <v>#N/A</v>
      </c>
      <c r="G82" s="162">
        <f t="shared" si="41"/>
        <v>1</v>
      </c>
      <c r="H82" s="164" t="e">
        <f t="shared" si="42"/>
        <v>#N/A</v>
      </c>
      <c r="I82" s="443"/>
      <c r="J82" s="96"/>
      <c r="K82" s="96"/>
      <c r="L82" s="166"/>
      <c r="M82" s="166"/>
      <c r="N82" s="166"/>
      <c r="O82" s="166"/>
      <c r="P82" s="166"/>
      <c r="Q82" s="166"/>
      <c r="R82" s="166"/>
      <c r="S82" s="167"/>
      <c r="T82" s="159"/>
      <c r="U82" s="122"/>
      <c r="V82" s="139"/>
      <c r="W82" s="152"/>
      <c r="X82" s="577" t="str">
        <f t="shared" si="33"/>
        <v>Isle of Wight</v>
      </c>
      <c r="Y82" s="581" t="str">
        <f>IF(Year1_Isle_of_Wight Year1_Care_Leavers_in_touch="","",Year1_Isle_of_Wight Year1_Care_Leavers_in_touch)</f>
        <v/>
      </c>
      <c r="Z82" s="372">
        <f>IF(Year2_Isle_of_Wight Year2_Care_Leavers_in_touch="","",Year2_Isle_of_Wight Year2_Care_Leavers_in_touch)</f>
        <v>78</v>
      </c>
      <c r="AA82" s="372" t="str">
        <f>IF(Year3_Isle_of_Wight Year3_Care_Leavers_in_touch="","",Year3_Isle_of_Wight Year3_Care_Leavers_in_touch)</f>
        <v>x</v>
      </c>
      <c r="AB82" s="372">
        <f>IF(Year4_Isle_of_Wight Year4_Care_Leavers_in_touch="","",Year4_Isle_of_Wight Year4_Care_Leavers_in_touch)</f>
        <v>89</v>
      </c>
      <c r="AC82" s="372" t="str">
        <f>IF(Year5_Isle_of_Wight Year5_Care_Leavers_in_touch="","",Year5_Isle_of_Wight Year5_Care_Leavers_in_touch)</f>
        <v>c</v>
      </c>
      <c r="AD82" s="577" t="str">
        <f t="shared" si="43"/>
        <v>Isle of Wight</v>
      </c>
      <c r="AE82" s="581">
        <f t="shared" si="34"/>
        <v>0</v>
      </c>
      <c r="AF82" s="581">
        <f t="shared" si="35"/>
        <v>94</v>
      </c>
      <c r="AG82" s="581">
        <f t="shared" si="36"/>
        <v>89</v>
      </c>
      <c r="AH82" s="581">
        <f t="shared" si="37"/>
        <v>89</v>
      </c>
      <c r="AI82" s="581">
        <f t="shared" si="38"/>
        <v>87</v>
      </c>
      <c r="AJ82" s="160"/>
      <c r="AR82" s="87" t="s">
        <v>102</v>
      </c>
    </row>
    <row r="83" spans="1:44" s="87" customFormat="1" ht="12.75" customHeight="1" x14ac:dyDescent="0.2">
      <c r="A83" s="488">
        <f>VLOOKUP(B83,Sheet1!$AQ$4:$AR$25,2,FALSE)</f>
        <v>0</v>
      </c>
      <c r="B83" s="93" t="str">
        <f t="shared" si="30"/>
        <v>Kent</v>
      </c>
      <c r="C83" s="85"/>
      <c r="D83" s="162" t="e">
        <f t="shared" si="31"/>
        <v>#N/A</v>
      </c>
      <c r="E83" s="162">
        <f t="shared" si="39"/>
        <v>0.81128584643848289</v>
      </c>
      <c r="F83" s="162">
        <f t="shared" si="40"/>
        <v>0.81541882876204597</v>
      </c>
      <c r="G83" s="162">
        <f t="shared" si="41"/>
        <v>0.82949308755760365</v>
      </c>
      <c r="H83" s="164">
        <f t="shared" si="42"/>
        <v>0.85104844540853219</v>
      </c>
      <c r="I83" s="443"/>
      <c r="J83" s="96"/>
      <c r="K83" s="96"/>
      <c r="L83" s="166"/>
      <c r="M83" s="166"/>
      <c r="N83" s="166"/>
      <c r="O83" s="166"/>
      <c r="P83" s="166"/>
      <c r="Q83" s="166"/>
      <c r="R83" s="166"/>
      <c r="S83" s="167"/>
      <c r="T83" s="159"/>
      <c r="U83" s="122"/>
      <c r="V83" s="139"/>
      <c r="W83" s="152"/>
      <c r="X83" s="577" t="str">
        <f t="shared" si="33"/>
        <v>Kent</v>
      </c>
      <c r="Y83" s="581" t="str">
        <f>IF(Year1_Kent Year1_Care_Leavers_in_touch="","",Year1_Kent Year1_Care_Leavers_in_touch)</f>
        <v/>
      </c>
      <c r="Z83" s="372">
        <f>IF(Year2_Kent Year2_Care_Leavers_in_touch="","",Year2_Kent Year2_Care_Leavers_in_touch)</f>
        <v>877</v>
      </c>
      <c r="AA83" s="372">
        <f>IF(Year3_Kent Year3_Care_Leavers_in_touch="","",Year3_Kent Year3_Care_Leavers_in_touch)</f>
        <v>1100</v>
      </c>
      <c r="AB83" s="372">
        <f>IF(Year4_Kent Year4_Care_Leavers_in_touch="","",Year4_Kent Year4_Care_Leavers_in_touch)</f>
        <v>1260</v>
      </c>
      <c r="AC83" s="372">
        <f>IF(Year5_Kent Year5_Care_Leavers_in_touch="","",Year5_Kent Year5_Care_Leavers_in_touch)</f>
        <v>1177</v>
      </c>
      <c r="AD83" s="577" t="str">
        <f t="shared" si="43"/>
        <v>Kent</v>
      </c>
      <c r="AE83" s="581">
        <f t="shared" si="34"/>
        <v>0</v>
      </c>
      <c r="AF83" s="581">
        <f t="shared" si="35"/>
        <v>1081</v>
      </c>
      <c r="AG83" s="581">
        <f t="shared" si="36"/>
        <v>1349</v>
      </c>
      <c r="AH83" s="581">
        <f t="shared" si="37"/>
        <v>1519</v>
      </c>
      <c r="AI83" s="581">
        <f t="shared" si="38"/>
        <v>1383</v>
      </c>
      <c r="AJ83" s="160"/>
    </row>
    <row r="84" spans="1:44" s="87" customFormat="1" ht="12.75" customHeight="1" x14ac:dyDescent="0.2">
      <c r="A84" s="488">
        <f>VLOOKUP(B84,Sheet1!$AQ$4:$AR$25,2,FALSE)</f>
        <v>0</v>
      </c>
      <c r="B84" s="93" t="str">
        <f t="shared" si="30"/>
        <v>Medway</v>
      </c>
      <c r="C84" s="85"/>
      <c r="D84" s="162" t="e">
        <f t="shared" si="31"/>
        <v>#N/A</v>
      </c>
      <c r="E84" s="162" t="e">
        <f t="shared" si="39"/>
        <v>#N/A</v>
      </c>
      <c r="F84" s="162" t="e">
        <f t="shared" si="40"/>
        <v>#N/A</v>
      </c>
      <c r="G84" s="162">
        <f t="shared" si="41"/>
        <v>0.49579831932773111</v>
      </c>
      <c r="H84" s="164" t="e">
        <f t="shared" si="42"/>
        <v>#N/A</v>
      </c>
      <c r="I84" s="443"/>
      <c r="J84" s="96"/>
      <c r="K84" s="96"/>
      <c r="L84" s="166"/>
      <c r="M84" s="166"/>
      <c r="N84" s="166"/>
      <c r="O84" s="166"/>
      <c r="P84" s="166"/>
      <c r="Q84" s="166"/>
      <c r="R84" s="166"/>
      <c r="S84" s="167"/>
      <c r="T84" s="159"/>
      <c r="U84" s="122"/>
      <c r="V84" s="139"/>
      <c r="W84" s="152"/>
      <c r="X84" s="577" t="str">
        <f t="shared" si="33"/>
        <v>Medway</v>
      </c>
      <c r="Y84" s="581" t="str">
        <f>IF(Year1_Medway Year1_Care_Leavers_in_touch="","",Year1_Medway Year1_Care_Leavers_in_touch)</f>
        <v/>
      </c>
      <c r="Z84" s="372" t="str">
        <f>IF(Year2_Medway Year2_Care_Leavers_in_touch="","",Year2_Medway Year2_Care_Leavers_in_touch)</f>
        <v>x</v>
      </c>
      <c r="AA84" s="372" t="str">
        <f>IF(Year3_Medway Year3_Care_Leavers_in_touch="","",Year3_Medway Year3_Care_Leavers_in_touch)</f>
        <v>x</v>
      </c>
      <c r="AB84" s="372">
        <f>IF(Year4_Medway Year4_Care_Leavers_in_touch="","",Year4_Medway Year4_Care_Leavers_in_touch)</f>
        <v>59</v>
      </c>
      <c r="AC84" s="372" t="str">
        <f>IF(Year5_Medway Year5_Care_Leavers_in_touch="","",Year5_Medway Year5_Care_Leavers_in_touch)</f>
        <v>c</v>
      </c>
      <c r="AD84" s="577" t="str">
        <f t="shared" si="43"/>
        <v>Medway</v>
      </c>
      <c r="AE84" s="581">
        <f t="shared" si="34"/>
        <v>0</v>
      </c>
      <c r="AF84" s="581">
        <f t="shared" si="35"/>
        <v>117</v>
      </c>
      <c r="AG84" s="581">
        <f t="shared" si="36"/>
        <v>112</v>
      </c>
      <c r="AH84" s="581">
        <f t="shared" si="37"/>
        <v>119</v>
      </c>
      <c r="AI84" s="581">
        <f t="shared" si="38"/>
        <v>121</v>
      </c>
      <c r="AJ84" s="160"/>
    </row>
    <row r="85" spans="1:44" s="87" customFormat="1" ht="12.75" customHeight="1" x14ac:dyDescent="0.2">
      <c r="A85" s="488">
        <f>VLOOKUP(B85,Sheet1!$AQ$4:$AR$25,2,FALSE)</f>
        <v>0</v>
      </c>
      <c r="B85" s="93" t="str">
        <f t="shared" si="30"/>
        <v>Milton Keynes</v>
      </c>
      <c r="C85" s="85"/>
      <c r="D85" s="162" t="e">
        <f t="shared" si="31"/>
        <v>#N/A</v>
      </c>
      <c r="E85" s="162">
        <f t="shared" si="39"/>
        <v>0.82481751824817517</v>
      </c>
      <c r="F85" s="162">
        <f t="shared" si="40"/>
        <v>0.86577181208053688</v>
      </c>
      <c r="G85" s="162">
        <f t="shared" si="41"/>
        <v>0.91017964071856283</v>
      </c>
      <c r="H85" s="164">
        <f t="shared" si="42"/>
        <v>0.89090909090909087</v>
      </c>
      <c r="I85" s="443"/>
      <c r="J85" s="96"/>
      <c r="K85" s="96"/>
      <c r="L85" s="166"/>
      <c r="M85" s="166"/>
      <c r="N85" s="166"/>
      <c r="O85" s="166"/>
      <c r="P85" s="166"/>
      <c r="Q85" s="166"/>
      <c r="R85" s="166"/>
      <c r="S85" s="167"/>
      <c r="T85" s="159"/>
      <c r="U85" s="122"/>
      <c r="V85" s="139"/>
      <c r="W85" s="152"/>
      <c r="X85" s="577" t="str">
        <f t="shared" si="33"/>
        <v>Milton Keynes</v>
      </c>
      <c r="Y85" s="581" t="str">
        <f>IF(Year1_Milton_Keynes Year1_Care_Leavers_in_touch="","",Year1_Milton_Keynes Year1_Care_Leavers_in_touch)</f>
        <v/>
      </c>
      <c r="Z85" s="372">
        <f>IF(Year2_Milton_Keynes Year2_Care_Leavers_in_touch="","",Year2_Milton_Keynes Year2_Care_Leavers_in_touch)</f>
        <v>113</v>
      </c>
      <c r="AA85" s="372">
        <f>IF(Year3_Milton_Keynes Year3_Care_Leavers_in_touch="","",Year3_Milton_Keynes Year3_Care_Leavers_in_touch)</f>
        <v>129</v>
      </c>
      <c r="AB85" s="372">
        <f>IF(Year4_Milton_Keynes Year4_Care_Leavers_in_touch="","",Year4_Milton_Keynes Year4_Care_Leavers_in_touch)</f>
        <v>152</v>
      </c>
      <c r="AC85" s="372">
        <f>IF(Year5_Milton_Keynes Year5_Care_Leavers_in_touch="","",Year5_Milton_Keynes Year5_Care_Leavers_in_touch)</f>
        <v>147</v>
      </c>
      <c r="AD85" s="577" t="str">
        <f t="shared" si="43"/>
        <v>Milton Keynes</v>
      </c>
      <c r="AE85" s="581">
        <f t="shared" si="34"/>
        <v>0</v>
      </c>
      <c r="AF85" s="581">
        <f t="shared" si="35"/>
        <v>137</v>
      </c>
      <c r="AG85" s="581">
        <f t="shared" si="36"/>
        <v>149</v>
      </c>
      <c r="AH85" s="581">
        <f t="shared" si="37"/>
        <v>167</v>
      </c>
      <c r="AI85" s="581">
        <f t="shared" si="38"/>
        <v>165</v>
      </c>
      <c r="AJ85" s="160"/>
    </row>
    <row r="86" spans="1:44" s="87" customFormat="1" ht="12.75" customHeight="1" x14ac:dyDescent="0.2">
      <c r="A86" s="488">
        <f>VLOOKUP(B86,Sheet1!$AQ$4:$AR$25,2,FALSE)</f>
        <v>0</v>
      </c>
      <c r="B86" s="93" t="str">
        <f t="shared" si="30"/>
        <v>Oxfordshire</v>
      </c>
      <c r="C86" s="85"/>
      <c r="D86" s="162" t="e">
        <f t="shared" si="31"/>
        <v>#N/A</v>
      </c>
      <c r="E86" s="162">
        <f t="shared" si="39"/>
        <v>0.86086956521739133</v>
      </c>
      <c r="F86" s="162">
        <f t="shared" si="40"/>
        <v>0.81818181818181823</v>
      </c>
      <c r="G86" s="162">
        <f t="shared" si="41"/>
        <v>0.81818181818181823</v>
      </c>
      <c r="H86" s="164">
        <f t="shared" si="42"/>
        <v>0.83848797250859108</v>
      </c>
      <c r="I86" s="443"/>
      <c r="J86" s="96"/>
      <c r="K86" s="96"/>
      <c r="L86" s="166"/>
      <c r="M86" s="166"/>
      <c r="N86" s="166"/>
      <c r="O86" s="166"/>
      <c r="P86" s="166"/>
      <c r="Q86" s="166"/>
      <c r="R86" s="166"/>
      <c r="S86" s="167"/>
      <c r="T86" s="159"/>
      <c r="U86" s="122"/>
      <c r="V86" s="139"/>
      <c r="W86" s="152"/>
      <c r="X86" s="577" t="str">
        <f t="shared" si="33"/>
        <v>Oxfordshire</v>
      </c>
      <c r="Y86" s="581" t="str">
        <f>IF(Year1_Oxfordshire Year1_Care_Leavers_in_touch="","",Year1_Oxfordshire Year1_Care_Leavers_in_touch)</f>
        <v/>
      </c>
      <c r="Z86" s="372">
        <f>IF(Year2_Oxfordshire Year2_Care_Leavers_in_touch="","",Year2_Oxfordshire Year2_Care_Leavers_in_touch)</f>
        <v>198</v>
      </c>
      <c r="AA86" s="372">
        <f>IF(Year3_Oxfordshire Year3_Care_Leavers_in_touch="","",Year3_Oxfordshire Year3_Care_Leavers_in_touch)</f>
        <v>198</v>
      </c>
      <c r="AB86" s="372">
        <f>IF(Year4_Oxfordshire Year4_Care_Leavers_in_touch="","",Year4_Oxfordshire Year4_Care_Leavers_in_touch)</f>
        <v>225</v>
      </c>
      <c r="AC86" s="372">
        <f>IF(Year5_Oxfordshire Year5_Care_Leavers_in_touch="","",Year5_Oxfordshire Year5_Care_Leavers_in_touch)</f>
        <v>244</v>
      </c>
      <c r="AD86" s="577" t="str">
        <f t="shared" si="43"/>
        <v>Oxfordshire</v>
      </c>
      <c r="AE86" s="581">
        <f t="shared" si="34"/>
        <v>0</v>
      </c>
      <c r="AF86" s="581">
        <f t="shared" si="35"/>
        <v>230</v>
      </c>
      <c r="AG86" s="581">
        <f t="shared" si="36"/>
        <v>242</v>
      </c>
      <c r="AH86" s="581">
        <f t="shared" si="37"/>
        <v>275</v>
      </c>
      <c r="AI86" s="581">
        <f t="shared" si="38"/>
        <v>291</v>
      </c>
      <c r="AJ86" s="160"/>
    </row>
    <row r="87" spans="1:44" s="87" customFormat="1" ht="12.75" customHeight="1" x14ac:dyDescent="0.2">
      <c r="A87" s="488">
        <f>VLOOKUP(B87,Sheet1!$AQ$4:$AR$25,2,FALSE)</f>
        <v>0</v>
      </c>
      <c r="B87" s="93" t="str">
        <f t="shared" si="30"/>
        <v>Portsmouth</v>
      </c>
      <c r="C87" s="85"/>
      <c r="D87" s="162" t="e">
        <f t="shared" si="31"/>
        <v>#N/A</v>
      </c>
      <c r="E87" s="162">
        <f t="shared" si="39"/>
        <v>0.79646017699115046</v>
      </c>
      <c r="F87" s="162">
        <f t="shared" si="40"/>
        <v>0.76521739130434785</v>
      </c>
      <c r="G87" s="162">
        <f t="shared" si="41"/>
        <v>0.77235772357723576</v>
      </c>
      <c r="H87" s="164">
        <f t="shared" si="42"/>
        <v>0.76470588235294112</v>
      </c>
      <c r="I87" s="443"/>
      <c r="J87" s="96"/>
      <c r="K87" s="96"/>
      <c r="L87" s="166"/>
      <c r="M87" s="166"/>
      <c r="N87" s="166"/>
      <c r="O87" s="166"/>
      <c r="P87" s="166"/>
      <c r="Q87" s="166"/>
      <c r="R87" s="166"/>
      <c r="S87" s="167"/>
      <c r="T87" s="159"/>
      <c r="U87" s="122"/>
      <c r="V87" s="139"/>
      <c r="W87" s="152"/>
      <c r="X87" s="577" t="str">
        <f t="shared" si="33"/>
        <v>Portsmouth</v>
      </c>
      <c r="Y87" s="581" t="str">
        <f>IF(Year1_Portsmouth Year1_Care_Leavers_in_touch="","",Year1_Portsmouth Year1_Care_Leavers_in_touch)</f>
        <v/>
      </c>
      <c r="Z87" s="372">
        <f>IF(Year2_Portsmouth Year2_Care_Leavers_in_touch="","",Year2_Portsmouth Year2_Care_Leavers_in_touch)</f>
        <v>90</v>
      </c>
      <c r="AA87" s="372">
        <f>IF(Year3_Portsmouth Year3_Care_Leavers_in_touch="","",Year3_Portsmouth Year3_Care_Leavers_in_touch)</f>
        <v>88</v>
      </c>
      <c r="AB87" s="372">
        <f>IF(Year4_Portsmouth Year4_Care_Leavers_in_touch="","",Year4_Portsmouth Year4_Care_Leavers_in_touch)</f>
        <v>95</v>
      </c>
      <c r="AC87" s="372">
        <f>IF(Year5_Portsmouth Year5_Care_Leavers_in_touch="","",Year5_Portsmouth Year5_Care_Leavers_in_touch)</f>
        <v>117</v>
      </c>
      <c r="AD87" s="577" t="str">
        <f t="shared" si="43"/>
        <v>Portsmouth</v>
      </c>
      <c r="AE87" s="581">
        <f t="shared" si="34"/>
        <v>0</v>
      </c>
      <c r="AF87" s="581">
        <f t="shared" si="35"/>
        <v>113</v>
      </c>
      <c r="AG87" s="581">
        <f t="shared" si="36"/>
        <v>115</v>
      </c>
      <c r="AH87" s="581">
        <f t="shared" si="37"/>
        <v>123</v>
      </c>
      <c r="AI87" s="581">
        <f t="shared" si="38"/>
        <v>153</v>
      </c>
      <c r="AJ87" s="160"/>
    </row>
    <row r="88" spans="1:44" s="87" customFormat="1" ht="12.75" customHeight="1" x14ac:dyDescent="0.2">
      <c r="A88" s="488">
        <f>VLOOKUP(B88,Sheet1!$AQ$4:$AR$25,2,FALSE)</f>
        <v>0</v>
      </c>
      <c r="B88" s="93" t="str">
        <f t="shared" si="30"/>
        <v>Reading</v>
      </c>
      <c r="C88" s="85"/>
      <c r="D88" s="162" t="e">
        <f t="shared" si="31"/>
        <v>#N/A</v>
      </c>
      <c r="E88" s="162">
        <f t="shared" si="39"/>
        <v>0.91025641025641024</v>
      </c>
      <c r="F88" s="162">
        <f t="shared" si="40"/>
        <v>0.83908045977011492</v>
      </c>
      <c r="G88" s="162">
        <f t="shared" si="41"/>
        <v>0.48979591836734693</v>
      </c>
      <c r="H88" s="164">
        <f t="shared" si="42"/>
        <v>0.90099009900990101</v>
      </c>
      <c r="I88" s="443"/>
      <c r="J88" s="96"/>
      <c r="K88" s="96"/>
      <c r="L88" s="166"/>
      <c r="M88" s="166"/>
      <c r="N88" s="166"/>
      <c r="O88" s="166"/>
      <c r="P88" s="166"/>
      <c r="Q88" s="166"/>
      <c r="R88" s="166"/>
      <c r="S88" s="167"/>
      <c r="T88" s="159"/>
      <c r="U88" s="122"/>
      <c r="V88" s="139"/>
      <c r="W88" s="152"/>
      <c r="X88" s="577" t="str">
        <f t="shared" si="33"/>
        <v>Reading</v>
      </c>
      <c r="Y88" s="581" t="str">
        <f>IF(Year1_Reading Year1_Care_Leavers_in_touch="","",Year1_Reading Year1_Care_Leavers_in_touch)</f>
        <v/>
      </c>
      <c r="Z88" s="372">
        <f>IF(Year2_Reading Year2_Care_Leavers_in_touch="","",Year2_Reading Year2_Care_Leavers_in_touch)</f>
        <v>71</v>
      </c>
      <c r="AA88" s="372">
        <f>IF(Year3_Reading Year3_Care_Leavers_in_touch="","",Year3_Reading Year3_Care_Leavers_in_touch)</f>
        <v>73</v>
      </c>
      <c r="AB88" s="372">
        <f>IF(Year4_Reading Year4_Care_Leavers_in_touch="","",Year4_Reading Year4_Care_Leavers_in_touch)</f>
        <v>48</v>
      </c>
      <c r="AC88" s="372">
        <f>IF(Year5_Reading Year5_Care_Leavers_in_touch="","",Year5_Reading Year5_Care_Leavers_in_touch)</f>
        <v>91</v>
      </c>
      <c r="AD88" s="577" t="str">
        <f t="shared" si="43"/>
        <v>Reading</v>
      </c>
      <c r="AE88" s="581">
        <f t="shared" si="34"/>
        <v>0</v>
      </c>
      <c r="AF88" s="581">
        <f t="shared" si="35"/>
        <v>78</v>
      </c>
      <c r="AG88" s="581">
        <f t="shared" si="36"/>
        <v>87</v>
      </c>
      <c r="AH88" s="581">
        <f t="shared" si="37"/>
        <v>98</v>
      </c>
      <c r="AI88" s="581">
        <f t="shared" si="38"/>
        <v>101</v>
      </c>
      <c r="AJ88" s="160"/>
    </row>
    <row r="89" spans="1:44" s="87" customFormat="1" ht="12.75" customHeight="1" x14ac:dyDescent="0.2">
      <c r="A89" s="488">
        <f>VLOOKUP(B89,Sheet1!$AQ$4:$AR$25,2,FALSE)</f>
        <v>0</v>
      </c>
      <c r="B89" s="93" t="str">
        <f t="shared" si="30"/>
        <v>Slough</v>
      </c>
      <c r="C89" s="85"/>
      <c r="D89" s="162" t="e">
        <f t="shared" si="31"/>
        <v>#N/A</v>
      </c>
      <c r="E89" s="162">
        <f t="shared" si="39"/>
        <v>0.77108433734939763</v>
      </c>
      <c r="F89" s="162">
        <f t="shared" si="40"/>
        <v>0.8314606741573034</v>
      </c>
      <c r="G89" s="162">
        <f t="shared" si="41"/>
        <v>0.90804597701149425</v>
      </c>
      <c r="H89" s="164">
        <f t="shared" si="42"/>
        <v>0.90322580645161288</v>
      </c>
      <c r="I89" s="443"/>
      <c r="J89" s="96"/>
      <c r="K89" s="96"/>
      <c r="L89" s="166"/>
      <c r="M89" s="166"/>
      <c r="N89" s="166"/>
      <c r="O89" s="166"/>
      <c r="P89" s="166"/>
      <c r="Q89" s="166"/>
      <c r="R89" s="166"/>
      <c r="S89" s="167"/>
      <c r="T89" s="159"/>
      <c r="U89" s="122"/>
      <c r="V89" s="139"/>
      <c r="W89" s="152"/>
      <c r="X89" s="577" t="str">
        <f t="shared" si="33"/>
        <v>Slough</v>
      </c>
      <c r="Y89" s="581" t="str">
        <f>IF(Year1_Slough Year1_Care_Leavers_in_touch="","",Year1_Slough Year1_Care_Leavers_in_touch)</f>
        <v/>
      </c>
      <c r="Z89" s="372">
        <f>IF(Year2_Slough Year2_Care_Leavers_in_touch="","",Year2_Slough Year2_Care_Leavers_in_touch)</f>
        <v>64</v>
      </c>
      <c r="AA89" s="372">
        <f>IF(Year3_Slough Year3_Care_Leavers_in_touch="","",Year3_Slough Year3_Care_Leavers_in_touch)</f>
        <v>74</v>
      </c>
      <c r="AB89" s="372">
        <f>IF(Year4_Slough Year4_Care_Leavers_in_touch="","",Year4_Slough Year4_Care_Leavers_in_touch)</f>
        <v>79</v>
      </c>
      <c r="AC89" s="372">
        <f>IF(Year5_Slough Year5_Care_Leavers_in_touch="","",Year5_Slough Year5_Care_Leavers_in_touch)</f>
        <v>84</v>
      </c>
      <c r="AD89" s="577" t="str">
        <f t="shared" si="43"/>
        <v>Slough</v>
      </c>
      <c r="AE89" s="581">
        <f t="shared" si="34"/>
        <v>0</v>
      </c>
      <c r="AF89" s="581">
        <f t="shared" si="35"/>
        <v>83</v>
      </c>
      <c r="AG89" s="581">
        <f t="shared" si="36"/>
        <v>89</v>
      </c>
      <c r="AH89" s="581">
        <f t="shared" si="37"/>
        <v>87</v>
      </c>
      <c r="AI89" s="581">
        <f t="shared" si="38"/>
        <v>93</v>
      </c>
      <c r="AJ89" s="160"/>
    </row>
    <row r="90" spans="1:44" s="87" customFormat="1" ht="12.75" customHeight="1" x14ac:dyDescent="0.2">
      <c r="A90" s="488">
        <f>VLOOKUP(B90,Sheet1!$AQ$4:$AR$25,2,FALSE)</f>
        <v>0</v>
      </c>
      <c r="B90" s="93" t="str">
        <f t="shared" si="30"/>
        <v>Somerset</v>
      </c>
      <c r="C90" s="85"/>
      <c r="D90" s="162" t="e">
        <f t="shared" si="31"/>
        <v>#N/A</v>
      </c>
      <c r="E90" s="162">
        <f t="shared" si="39"/>
        <v>0.97272727272727277</v>
      </c>
      <c r="F90" s="162" t="e">
        <f t="shared" si="40"/>
        <v>#N/A</v>
      </c>
      <c r="G90" s="162">
        <f t="shared" si="41"/>
        <v>0.574585635359116</v>
      </c>
      <c r="H90" s="164">
        <f t="shared" si="42"/>
        <v>0.9712918660287081</v>
      </c>
      <c r="I90" s="443"/>
      <c r="J90" s="96"/>
      <c r="K90" s="96"/>
      <c r="L90" s="166"/>
      <c r="M90" s="166"/>
      <c r="N90" s="166"/>
      <c r="O90" s="166"/>
      <c r="P90" s="166"/>
      <c r="Q90" s="166"/>
      <c r="R90" s="166"/>
      <c r="S90" s="167"/>
      <c r="T90" s="159"/>
      <c r="U90" s="122"/>
      <c r="V90" s="139"/>
      <c r="W90" s="152"/>
      <c r="X90" s="577" t="str">
        <f t="shared" si="33"/>
        <v>Somerset</v>
      </c>
      <c r="Y90" s="581" t="str">
        <f>IF(Year1_Somerset Year1_Care_Leavers_in_touch="","",Year1_Somerset Year1_Care_Leavers_in_touch)</f>
        <v/>
      </c>
      <c r="Z90" s="372">
        <f>IF(Year2_Somerset Year2_Care_Leavers_in_touch="","",Year2_Somerset Year2_Care_Leavers_in_touch)</f>
        <v>214</v>
      </c>
      <c r="AA90" s="372" t="str">
        <f>IF(Year3_Somerset Year3_Care_Leavers_in_touch="","",Year3_Somerset Year3_Care_Leavers_in_touch)</f>
        <v>x</v>
      </c>
      <c r="AB90" s="372">
        <f>IF(Year4_Somerset Year4_Care_Leavers_in_touch="","",Year4_Somerset Year4_Care_Leavers_in_touch)</f>
        <v>104</v>
      </c>
      <c r="AC90" s="372">
        <f>IF(Year5_Somerset Year5_Care_Leavers_in_touch="","",Year5_Somerset Year5_Care_Leavers_in_touch)</f>
        <v>203</v>
      </c>
      <c r="AD90" s="577" t="str">
        <f t="shared" si="43"/>
        <v>Somerset</v>
      </c>
      <c r="AE90" s="581">
        <f t="shared" si="34"/>
        <v>0</v>
      </c>
      <c r="AF90" s="581">
        <f t="shared" si="35"/>
        <v>220</v>
      </c>
      <c r="AG90" s="581">
        <f t="shared" si="36"/>
        <v>201</v>
      </c>
      <c r="AH90" s="581">
        <f t="shared" si="37"/>
        <v>181</v>
      </c>
      <c r="AI90" s="581">
        <f t="shared" si="38"/>
        <v>209</v>
      </c>
      <c r="AJ90" s="160"/>
    </row>
    <row r="91" spans="1:44" s="87" customFormat="1" ht="12.75" customHeight="1" x14ac:dyDescent="0.2">
      <c r="A91" s="488">
        <f>VLOOKUP(B91,Sheet1!$AQ$4:$AR$25,2,FALSE)</f>
        <v>0</v>
      </c>
      <c r="B91" s="93" t="str">
        <f t="shared" si="30"/>
        <v>Southampton</v>
      </c>
      <c r="C91" s="85"/>
      <c r="D91" s="162" t="e">
        <f t="shared" si="31"/>
        <v>#N/A</v>
      </c>
      <c r="E91" s="162">
        <f t="shared" si="39"/>
        <v>0.87096774193548387</v>
      </c>
      <c r="F91" s="162">
        <f t="shared" si="40"/>
        <v>0.86290322580645162</v>
      </c>
      <c r="G91" s="162">
        <f t="shared" si="41"/>
        <v>0.93700787401574803</v>
      </c>
      <c r="H91" s="164">
        <f t="shared" si="42"/>
        <v>0.90839694656488545</v>
      </c>
      <c r="I91" s="443"/>
      <c r="J91" s="96"/>
      <c r="K91" s="96"/>
      <c r="L91" s="166"/>
      <c r="M91" s="166"/>
      <c r="N91" s="166"/>
      <c r="O91" s="166"/>
      <c r="P91" s="166"/>
      <c r="Q91" s="166"/>
      <c r="R91" s="166"/>
      <c r="S91" s="167"/>
      <c r="T91" s="159"/>
      <c r="U91" s="122"/>
      <c r="V91" s="139"/>
      <c r="W91" s="152"/>
      <c r="X91" s="577" t="str">
        <f t="shared" si="33"/>
        <v>Southampton</v>
      </c>
      <c r="Y91" s="581" t="str">
        <f>IF(Year1_Southampton Year1_Care_Leavers_in_touch="","",Year1_Southampton Year1_Care_Leavers_in_touch)</f>
        <v/>
      </c>
      <c r="Z91" s="372">
        <f>IF(Year2_Southampton Year2_Care_Leavers_in_touch="","",Year2_Southampton Year2_Care_Leavers_in_touch)</f>
        <v>108</v>
      </c>
      <c r="AA91" s="372">
        <f>IF(Year3_Southampton Year3_Care_Leavers_in_touch="","",Year3_Southampton Year3_Care_Leavers_in_touch)</f>
        <v>107</v>
      </c>
      <c r="AB91" s="372">
        <f>IF(Year4_Southampton Year4_Care_Leavers_in_touch="","",Year4_Southampton Year4_Care_Leavers_in_touch)</f>
        <v>119</v>
      </c>
      <c r="AC91" s="372">
        <f>IF(Year5_Southampton Year5_Care_Leavers_in_touch="","",Year5_Southampton Year5_Care_Leavers_in_touch)</f>
        <v>119</v>
      </c>
      <c r="AD91" s="577" t="str">
        <f t="shared" si="43"/>
        <v>Southampton</v>
      </c>
      <c r="AE91" s="581">
        <f t="shared" si="34"/>
        <v>0</v>
      </c>
      <c r="AF91" s="581">
        <f t="shared" si="35"/>
        <v>124</v>
      </c>
      <c r="AG91" s="581">
        <f t="shared" si="36"/>
        <v>124</v>
      </c>
      <c r="AH91" s="581">
        <f t="shared" si="37"/>
        <v>127</v>
      </c>
      <c r="AI91" s="581">
        <f t="shared" si="38"/>
        <v>131</v>
      </c>
      <c r="AJ91" s="160"/>
    </row>
    <row r="92" spans="1:44" s="87" customFormat="1" ht="12.75" customHeight="1" x14ac:dyDescent="0.2">
      <c r="A92" s="488">
        <f>VLOOKUP(B92,Sheet1!$AQ$4:$AR$25,2,FALSE)</f>
        <v>0</v>
      </c>
      <c r="B92" s="93" t="str">
        <f t="shared" si="30"/>
        <v>Surrey</v>
      </c>
      <c r="C92" s="85"/>
      <c r="D92" s="162" t="e">
        <f t="shared" si="31"/>
        <v>#N/A</v>
      </c>
      <c r="E92" s="162">
        <f t="shared" si="39"/>
        <v>0.86578947368421055</v>
      </c>
      <c r="F92" s="162">
        <f t="shared" si="40"/>
        <v>0.83971291866028708</v>
      </c>
      <c r="G92" s="162">
        <f t="shared" si="41"/>
        <v>0.91157894736842104</v>
      </c>
      <c r="H92" s="164">
        <f t="shared" si="42"/>
        <v>0.8132295719844358</v>
      </c>
      <c r="I92" s="443"/>
      <c r="J92" s="96"/>
      <c r="K92" s="96"/>
      <c r="L92" s="166"/>
      <c r="M92" s="166"/>
      <c r="N92" s="166"/>
      <c r="O92" s="166"/>
      <c r="P92" s="166"/>
      <c r="Q92" s="166"/>
      <c r="R92" s="166"/>
      <c r="S92" s="167"/>
      <c r="T92" s="159"/>
      <c r="U92" s="122"/>
      <c r="V92" s="139"/>
      <c r="W92" s="152"/>
      <c r="X92" s="577" t="str">
        <f t="shared" si="33"/>
        <v>Surrey</v>
      </c>
      <c r="Y92" s="581" t="str">
        <f>IF(Year1_Surrey Year1_Care_Leavers_in_touch="","",Year1_Surrey Year1_Care_Leavers_in_touch)</f>
        <v/>
      </c>
      <c r="Z92" s="372">
        <f>IF(Year2_Surrey Year2_Care_Leavers_in_touch="","",Year2_Surrey Year2_Care_Leavers_in_touch)</f>
        <v>329</v>
      </c>
      <c r="AA92" s="372">
        <f>IF(Year3_Surrey Year3_Care_Leavers_in_touch="","",Year3_Surrey Year3_Care_Leavers_in_touch)</f>
        <v>351</v>
      </c>
      <c r="AB92" s="372">
        <f>IF(Year4_Surrey Year4_Care_Leavers_in_touch="","",Year4_Surrey Year4_Care_Leavers_in_touch)</f>
        <v>433</v>
      </c>
      <c r="AC92" s="372">
        <f>IF(Year5_Surrey Year5_Care_Leavers_in_touch="","",Year5_Surrey Year5_Care_Leavers_in_touch)</f>
        <v>418</v>
      </c>
      <c r="AD92" s="577" t="str">
        <f t="shared" si="43"/>
        <v>Surrey</v>
      </c>
      <c r="AE92" s="581">
        <f t="shared" si="34"/>
        <v>0</v>
      </c>
      <c r="AF92" s="581">
        <f t="shared" si="35"/>
        <v>380</v>
      </c>
      <c r="AG92" s="581">
        <f t="shared" si="36"/>
        <v>418</v>
      </c>
      <c r="AH92" s="581">
        <f t="shared" si="37"/>
        <v>475</v>
      </c>
      <c r="AI92" s="581">
        <f t="shared" si="38"/>
        <v>514</v>
      </c>
      <c r="AJ92" s="160"/>
    </row>
    <row r="93" spans="1:44" s="87" customFormat="1" ht="12.75" customHeight="1" x14ac:dyDescent="0.2">
      <c r="A93" s="488">
        <f>VLOOKUP(B93,Sheet1!$AQ$4:$AR$25,2,FALSE)</f>
        <v>0</v>
      </c>
      <c r="B93" s="93" t="str">
        <f t="shared" si="30"/>
        <v>Swindon</v>
      </c>
      <c r="C93" s="85"/>
      <c r="D93" s="162" t="e">
        <f t="shared" si="31"/>
        <v>#N/A</v>
      </c>
      <c r="E93" s="162" t="e">
        <f t="shared" si="39"/>
        <v>#N/A</v>
      </c>
      <c r="F93" s="162">
        <f t="shared" si="40"/>
        <v>1</v>
      </c>
      <c r="G93" s="162">
        <f t="shared" si="41"/>
        <v>0.94814814814814818</v>
      </c>
      <c r="H93" s="164" t="e">
        <f t="shared" si="42"/>
        <v>#N/A</v>
      </c>
      <c r="I93" s="443"/>
      <c r="J93" s="96"/>
      <c r="K93" s="96"/>
      <c r="L93" s="166"/>
      <c r="M93" s="166"/>
      <c r="N93" s="166"/>
      <c r="O93" s="166"/>
      <c r="P93" s="166"/>
      <c r="Q93" s="166"/>
      <c r="R93" s="166"/>
      <c r="S93" s="167"/>
      <c r="T93" s="159"/>
      <c r="U93" s="122"/>
      <c r="V93" s="139"/>
      <c r="W93" s="152"/>
      <c r="X93" s="577" t="str">
        <f t="shared" si="33"/>
        <v>Swindon</v>
      </c>
      <c r="Y93" s="581" t="str">
        <f>IF(Year1_Swindon Year1_Care_Leavers_in_touch="","",Year1_Swindon Year1_Care_Leavers_in_touch)</f>
        <v/>
      </c>
      <c r="Z93" s="372" t="str">
        <f>IF(Year2_Swindon Year2_Care_Leavers_in_touch="","",Year2_Swindon Year2_Care_Leavers_in_touch)</f>
        <v>x</v>
      </c>
      <c r="AA93" s="372">
        <f>IF(Year3_Swindon Year3_Care_Leavers_in_touch="","",Year3_Swindon Year3_Care_Leavers_in_touch)</f>
        <v>124</v>
      </c>
      <c r="AB93" s="580">
        <f>IF(Year4_Swindon Year4_Care_Leavers_in_touch="","",Year4_Swindon Year4_Care_Leavers_in_touch)</f>
        <v>128</v>
      </c>
      <c r="AC93" s="605" t="str">
        <f>IF(Year5_Swindon Year5_Care_Leavers_in_touch="","",Year5_Swindon Year5_Care_Leavers_in_touch)</f>
        <v>c</v>
      </c>
      <c r="AD93" s="577" t="str">
        <f t="shared" si="43"/>
        <v>Swindon</v>
      </c>
      <c r="AE93" s="581">
        <f t="shared" si="34"/>
        <v>0</v>
      </c>
      <c r="AF93" s="581">
        <f t="shared" si="35"/>
        <v>127</v>
      </c>
      <c r="AG93" s="581">
        <f t="shared" si="36"/>
        <v>124</v>
      </c>
      <c r="AH93" s="581">
        <f t="shared" si="37"/>
        <v>135</v>
      </c>
      <c r="AI93" s="581">
        <f t="shared" si="38"/>
        <v>142</v>
      </c>
      <c r="AJ93" s="160"/>
    </row>
    <row r="94" spans="1:44" s="87" customFormat="1" ht="12.75" customHeight="1" x14ac:dyDescent="0.2">
      <c r="A94" s="488">
        <f>VLOOKUP(B94,Sheet1!$AQ$4:$AR$25,2,FALSE)</f>
        <v>0</v>
      </c>
      <c r="B94" s="93" t="str">
        <f t="shared" si="30"/>
        <v>Torbay</v>
      </c>
      <c r="C94" s="85"/>
      <c r="D94" s="162" t="e">
        <f t="shared" si="31"/>
        <v>#N/A</v>
      </c>
      <c r="E94" s="162">
        <f t="shared" si="39"/>
        <v>0.88297872340425532</v>
      </c>
      <c r="F94" s="162" t="e">
        <f t="shared" si="40"/>
        <v>#N/A</v>
      </c>
      <c r="G94" s="162">
        <f t="shared" si="41"/>
        <v>0.55769230769230771</v>
      </c>
      <c r="H94" s="164" t="e">
        <f t="shared" si="42"/>
        <v>#N/A</v>
      </c>
      <c r="I94" s="443"/>
      <c r="J94" s="96"/>
      <c r="K94" s="96"/>
      <c r="L94" s="166"/>
      <c r="M94" s="166"/>
      <c r="N94" s="166"/>
      <c r="O94" s="166"/>
      <c r="P94" s="166"/>
      <c r="Q94" s="166"/>
      <c r="R94" s="166"/>
      <c r="S94" s="167"/>
      <c r="T94" s="159"/>
      <c r="U94" s="122"/>
      <c r="V94" s="139"/>
      <c r="W94" s="152"/>
      <c r="X94" s="577" t="str">
        <f t="shared" si="33"/>
        <v>Torbay</v>
      </c>
      <c r="Y94" s="581" t="str">
        <f>IF(Year1_Torbay Year1_Care_Leavers_in_touch="","",Year1_Torbay Year1_Care_Leavers_in_touch)</f>
        <v/>
      </c>
      <c r="Z94" s="372">
        <f>IF(Year2_Torbay Year2_Care_Leavers_in_touch="","",Year2_Torbay Year2_Care_Leavers_in_touch)</f>
        <v>83</v>
      </c>
      <c r="AA94" s="372" t="str">
        <f>IF(Year3_Torbay Year3_Care_Leavers_in_touch="","",Year3_Torbay Year3_Care_Leavers_in_touch)</f>
        <v>x</v>
      </c>
      <c r="AB94" s="580">
        <f>IF(Year4_Torbay Year4_Care_Leavers_in_touch="","",Year4_Torbay Year4_Care_Leavers_in_touch)</f>
        <v>58</v>
      </c>
      <c r="AC94" s="605" t="str">
        <f>IF(Year5_Torbay Year5_Care_Leavers_in_touch="","",Year5_Torbay Year5_Care_Leavers_in_touch)</f>
        <v>c</v>
      </c>
      <c r="AD94" s="577" t="str">
        <f t="shared" si="43"/>
        <v>Torbay</v>
      </c>
      <c r="AE94" s="581">
        <f t="shared" si="34"/>
        <v>0</v>
      </c>
      <c r="AF94" s="581">
        <f t="shared" si="35"/>
        <v>94</v>
      </c>
      <c r="AG94" s="581">
        <f t="shared" si="36"/>
        <v>107</v>
      </c>
      <c r="AH94" s="581">
        <f t="shared" si="37"/>
        <v>104</v>
      </c>
      <c r="AI94" s="581">
        <f t="shared" si="38"/>
        <v>116</v>
      </c>
      <c r="AJ94" s="160"/>
    </row>
    <row r="95" spans="1:44" s="87" customFormat="1" ht="12.75" customHeight="1" x14ac:dyDescent="0.2">
      <c r="A95" s="488">
        <f>VLOOKUP(B95,Sheet1!$AQ$4:$AR$25,2,FALSE)</f>
        <v>0</v>
      </c>
      <c r="B95" s="93" t="str">
        <f t="shared" si="30"/>
        <v>West Berkshire</v>
      </c>
      <c r="C95" s="85"/>
      <c r="D95" s="162" t="e">
        <f t="shared" si="31"/>
        <v>#N/A</v>
      </c>
      <c r="E95" s="162">
        <f t="shared" si="39"/>
        <v>0.6428571428571429</v>
      </c>
      <c r="F95" s="162">
        <f t="shared" si="40"/>
        <v>0.74358974358974361</v>
      </c>
      <c r="G95" s="162">
        <f t="shared" si="41"/>
        <v>0.88157894736842102</v>
      </c>
      <c r="H95" s="164">
        <f t="shared" si="42"/>
        <v>0.875</v>
      </c>
      <c r="I95" s="443"/>
      <c r="J95" s="96"/>
      <c r="K95" s="96"/>
      <c r="L95" s="166"/>
      <c r="M95" s="166"/>
      <c r="N95" s="166"/>
      <c r="O95" s="166"/>
      <c r="P95" s="166"/>
      <c r="Q95" s="166"/>
      <c r="R95" s="166"/>
      <c r="S95" s="167"/>
      <c r="T95" s="159"/>
      <c r="U95" s="122"/>
      <c r="V95" s="139"/>
      <c r="W95" s="152"/>
      <c r="X95" s="577" t="str">
        <f t="shared" si="33"/>
        <v>West Berkshire</v>
      </c>
      <c r="Y95" s="581" t="str">
        <f>IF(Year1_West_Berkshire Year1_Care_Leavers_in_touch="","",Year1_West_Berkshire Year1_Care_Leavers_in_touch)</f>
        <v/>
      </c>
      <c r="Z95" s="372">
        <f>IF(Year2_West_Berkshire Year2_Care_Leavers_in_touch="","",Year2_West_Berkshire Year2_Care_Leavers_in_touch)</f>
        <v>36</v>
      </c>
      <c r="AA95" s="372">
        <f>IF(Year3_West_Berkshire Year3_Care_Leavers_in_touch="","",Year3_West_Berkshire Year3_Care_Leavers_in_touch)</f>
        <v>58</v>
      </c>
      <c r="AB95" s="372">
        <f>IF(Year4_West_Berkshire Year4_Care_Leavers_in_touch="","",Year4_West_Berkshire Year4_Care_Leavers_in_touch)</f>
        <v>67</v>
      </c>
      <c r="AC95" s="372">
        <f>IF(Year5_West_Berkshire Year5_Care_Leavers_in_touch="","",Year5_West_Berkshire Year5_Care_Leavers_in_touch)</f>
        <v>70</v>
      </c>
      <c r="AD95" s="577" t="str">
        <f t="shared" si="43"/>
        <v>West Berkshire</v>
      </c>
      <c r="AE95" s="581">
        <f t="shared" si="34"/>
        <v>0</v>
      </c>
      <c r="AF95" s="581">
        <f t="shared" si="35"/>
        <v>56</v>
      </c>
      <c r="AG95" s="581">
        <f t="shared" si="36"/>
        <v>78</v>
      </c>
      <c r="AH95" s="581">
        <f t="shared" si="37"/>
        <v>76</v>
      </c>
      <c r="AI95" s="581">
        <f t="shared" si="38"/>
        <v>80</v>
      </c>
      <c r="AJ95" s="160"/>
    </row>
    <row r="96" spans="1:44" s="87" customFormat="1" ht="12.75" customHeight="1" x14ac:dyDescent="0.2">
      <c r="A96" s="488">
        <f>VLOOKUP(B96,Sheet1!$AQ$4:$AR$25,2,FALSE)</f>
        <v>0</v>
      </c>
      <c r="B96" s="93" t="str">
        <f t="shared" si="30"/>
        <v>West Sussex</v>
      </c>
      <c r="C96" s="85"/>
      <c r="D96" s="162" t="e">
        <f t="shared" si="31"/>
        <v>#N/A</v>
      </c>
      <c r="E96" s="162">
        <f t="shared" si="39"/>
        <v>0.96261682242990654</v>
      </c>
      <c r="F96" s="162">
        <f t="shared" si="40"/>
        <v>0.92816091954022983</v>
      </c>
      <c r="G96" s="162">
        <f t="shared" si="41"/>
        <v>0.92011019283746553</v>
      </c>
      <c r="H96" s="164">
        <f t="shared" si="42"/>
        <v>0.90243902439024393</v>
      </c>
      <c r="I96" s="443"/>
      <c r="J96" s="96"/>
      <c r="K96" s="96"/>
      <c r="L96" s="166"/>
      <c r="M96" s="166"/>
      <c r="N96" s="166"/>
      <c r="O96" s="166"/>
      <c r="P96" s="166"/>
      <c r="Q96" s="166"/>
      <c r="R96" s="166"/>
      <c r="S96" s="167"/>
      <c r="T96" s="159"/>
      <c r="U96" s="122"/>
      <c r="V96" s="139"/>
      <c r="W96" s="152"/>
      <c r="X96" s="577" t="str">
        <f t="shared" si="33"/>
        <v>West Sussex</v>
      </c>
      <c r="Y96" s="581" t="str">
        <f>IF(Year1_West_Sussex Year1_Care_Leavers_in_touch="","",Year1_West_Sussex Year1_Care_Leavers_in_touch)</f>
        <v/>
      </c>
      <c r="Z96" s="372">
        <f>IF(Year2_West_Sussex Year2_Care_Leavers_in_touch="","",Year2_West_Sussex Year2_Care_Leavers_in_touch)</f>
        <v>309</v>
      </c>
      <c r="AA96" s="372">
        <f>IF(Year3_West_Sussex Year3_Care_Leavers_in_touch="","",Year3_West_Sussex Year3_Care_Leavers_in_touch)</f>
        <v>323</v>
      </c>
      <c r="AB96" s="372">
        <f>IF(Year4_West_Sussex Year4_Care_Leavers_in_touch="","",Year4_West_Sussex Year4_Care_Leavers_in_touch)</f>
        <v>334</v>
      </c>
      <c r="AC96" s="372">
        <f>IF(Year5_West_Sussex Year5_Care_Leavers_in_touch="","",Year5_West_Sussex Year5_Care_Leavers_in_touch)</f>
        <v>333</v>
      </c>
      <c r="AD96" s="577" t="str">
        <f t="shared" si="43"/>
        <v>West Sussex</v>
      </c>
      <c r="AE96" s="581">
        <f t="shared" si="34"/>
        <v>0</v>
      </c>
      <c r="AF96" s="581">
        <f t="shared" si="35"/>
        <v>321</v>
      </c>
      <c r="AG96" s="581">
        <f t="shared" si="36"/>
        <v>348</v>
      </c>
      <c r="AH96" s="581">
        <f t="shared" si="37"/>
        <v>363</v>
      </c>
      <c r="AI96" s="581">
        <f t="shared" si="38"/>
        <v>369</v>
      </c>
      <c r="AJ96" s="160"/>
    </row>
    <row r="97" spans="1:45" s="87" customFormat="1" ht="12.75" customHeight="1" x14ac:dyDescent="0.2">
      <c r="A97" s="488">
        <f>VLOOKUP(B97,Sheet1!$AQ$4:$AR$25,2,FALSE)</f>
        <v>0</v>
      </c>
      <c r="B97" s="93" t="str">
        <f t="shared" si="30"/>
        <v>Windsor &amp; Maidenhead</v>
      </c>
      <c r="C97" s="85"/>
      <c r="D97" s="162" t="e">
        <f t="shared" si="31"/>
        <v>#N/A</v>
      </c>
      <c r="E97" s="162">
        <f t="shared" si="39"/>
        <v>0.8666666666666667</v>
      </c>
      <c r="F97" s="162">
        <f t="shared" si="40"/>
        <v>0.83333333333333337</v>
      </c>
      <c r="G97" s="162">
        <f t="shared" si="41"/>
        <v>0.875</v>
      </c>
      <c r="H97" s="164">
        <f t="shared" si="42"/>
        <v>0.8928571428571429</v>
      </c>
      <c r="I97" s="443"/>
      <c r="J97" s="96"/>
      <c r="K97" s="96"/>
      <c r="L97" s="166"/>
      <c r="M97" s="166"/>
      <c r="N97" s="166"/>
      <c r="O97" s="166"/>
      <c r="P97" s="166"/>
      <c r="Q97" s="166"/>
      <c r="R97" s="166"/>
      <c r="S97" s="167"/>
      <c r="T97" s="159"/>
      <c r="U97" s="122"/>
      <c r="V97" s="139"/>
      <c r="W97" s="152"/>
      <c r="X97" s="577" t="str">
        <f t="shared" si="33"/>
        <v>Windsor &amp; Maidenhead</v>
      </c>
      <c r="Y97" s="581" t="str">
        <f>IF(Year1_Windsor_Maidenhead Year1_Care_Leavers_in_touch="","",Year1_Windsor_Maidenhead Year1_Care_Leavers_in_touch)</f>
        <v/>
      </c>
      <c r="Z97" s="372">
        <f>IF(Year2_Windsor_Maidenhead Year2_Care_Leavers_in_touch="","",Year2_Windsor_Maidenhead Year2_Care_Leavers_in_touch)</f>
        <v>39</v>
      </c>
      <c r="AA97" s="372">
        <f>IF(Year3_Windsor_Maidenhead Year3_Care_Leavers_in_touch="","",Year3_Windsor_Maidenhead Year3_Care_Leavers_in_touch)</f>
        <v>40</v>
      </c>
      <c r="AB97" s="372">
        <f>IF(Year4_Windsor_Maidenhead Year4_Care_Leavers_in_touch="","",Year4_Windsor_Maidenhead Year4_Care_Leavers_in_touch)</f>
        <v>49</v>
      </c>
      <c r="AC97" s="372">
        <f>IF(Year5_Windsor_Maidenhead Year5_Care_Leavers_in_touch="","",Year5_Windsor_Maidenhead Year5_Care_Leavers_in_touch)</f>
        <v>50</v>
      </c>
      <c r="AD97" s="577" t="str">
        <f t="shared" si="43"/>
        <v>Windsor &amp; Maidenhead</v>
      </c>
      <c r="AE97" s="581">
        <f t="shared" si="34"/>
        <v>0</v>
      </c>
      <c r="AF97" s="581">
        <f t="shared" si="35"/>
        <v>45</v>
      </c>
      <c r="AG97" s="581">
        <f t="shared" si="36"/>
        <v>48</v>
      </c>
      <c r="AH97" s="581">
        <f t="shared" si="37"/>
        <v>56</v>
      </c>
      <c r="AI97" s="581">
        <f t="shared" si="38"/>
        <v>56</v>
      </c>
      <c r="AJ97" s="160"/>
    </row>
    <row r="98" spans="1:45" s="87" customFormat="1" ht="12.75" customHeight="1" x14ac:dyDescent="0.2">
      <c r="A98" s="488">
        <f>VLOOKUP(B98,Sheet1!$AQ$4:$AR$25,2,FALSE)</f>
        <v>0</v>
      </c>
      <c r="B98" s="93" t="str">
        <f t="shared" si="30"/>
        <v>Wokingham</v>
      </c>
      <c r="C98" s="85"/>
      <c r="D98" s="162" t="e">
        <f t="shared" si="31"/>
        <v>#N/A</v>
      </c>
      <c r="E98" s="162" t="e">
        <f t="shared" si="39"/>
        <v>#N/A</v>
      </c>
      <c r="F98" s="162" t="e">
        <f t="shared" si="40"/>
        <v>#N/A</v>
      </c>
      <c r="G98" s="162">
        <f t="shared" si="41"/>
        <v>1</v>
      </c>
      <c r="H98" s="164" t="e">
        <f t="shared" si="42"/>
        <v>#N/A</v>
      </c>
      <c r="I98" s="443"/>
      <c r="J98" s="96"/>
      <c r="K98" s="96"/>
      <c r="L98" s="166"/>
      <c r="M98" s="166"/>
      <c r="N98" s="166"/>
      <c r="O98" s="166"/>
      <c r="P98" s="166"/>
      <c r="Q98" s="166"/>
      <c r="R98" s="166"/>
      <c r="S98" s="167"/>
      <c r="T98" s="159"/>
      <c r="U98" s="122"/>
      <c r="V98" s="139"/>
      <c r="W98" s="152"/>
      <c r="X98" s="577" t="str">
        <f t="shared" si="33"/>
        <v>Wokingham</v>
      </c>
      <c r="Y98" s="581" t="str">
        <f>IF(Year1_Wokingham Year1_Care_Leavers_in_touch="","",Year1_Wokingham Year1_Care_Leavers_in_touch)</f>
        <v/>
      </c>
      <c r="Z98" s="372" t="str">
        <f>IF(Year2_Wokingham Year2_Care_Leavers_in_touch="","",Year2_Wokingham Year2_Care_Leavers_in_touch)</f>
        <v>x</v>
      </c>
      <c r="AA98" s="372" t="str">
        <f>IF(Year3_Wokingham Year3_Care_Leavers_in_touch="","",Year3_Wokingham Year3_Care_Leavers_in_touch)</f>
        <v>x</v>
      </c>
      <c r="AB98" s="372">
        <f>IF(Year4_Wokingham Year4_Care_Leavers_in_touch="","",Year4_Wokingham Year4_Care_Leavers_in_touch)</f>
        <v>38</v>
      </c>
      <c r="AC98" s="372" t="str">
        <f>IF(Year5_Wokingham Year5_Care_Leavers_in_touch="","",Year5_Wokingham Year5_Care_Leavers_in_touch)</f>
        <v>c</v>
      </c>
      <c r="AD98" s="577" t="str">
        <f t="shared" si="43"/>
        <v>Wokingham</v>
      </c>
      <c r="AE98" s="581">
        <f t="shared" si="34"/>
        <v>0</v>
      </c>
      <c r="AF98" s="581">
        <f t="shared" si="35"/>
        <v>32</v>
      </c>
      <c r="AG98" s="581">
        <f t="shared" si="36"/>
        <v>28</v>
      </c>
      <c r="AH98" s="581">
        <f t="shared" si="37"/>
        <v>38</v>
      </c>
      <c r="AI98" s="581">
        <f t="shared" si="38"/>
        <v>51</v>
      </c>
      <c r="AJ98" s="160"/>
    </row>
    <row r="99" spans="1:45" s="87" customFormat="1" ht="12.75" customHeight="1" x14ac:dyDescent="0.2">
      <c r="A99" s="121"/>
      <c r="B99" s="129" t="str">
        <f t="shared" si="30"/>
        <v>South East</v>
      </c>
      <c r="C99" s="85"/>
      <c r="D99" s="163" t="e">
        <f>IF(AND(ISNUMBER(AE99),ISNUMBER(Y99)),Y99/AE99,NA())</f>
        <v>#N/A</v>
      </c>
      <c r="E99" s="163">
        <f t="shared" ref="E99:G99" si="44">IF(AND(ISNUMBER(AF99),ISNUMBER(Z99)),Z99/AF99,NA())</f>
        <v>0.84927314460596781</v>
      </c>
      <c r="F99" s="163">
        <f t="shared" si="44"/>
        <v>0.84167424931756141</v>
      </c>
      <c r="G99" s="163">
        <f t="shared" si="44"/>
        <v>0.86617492096944149</v>
      </c>
      <c r="H99" s="165">
        <f>IF(AND(ISNUMBER(AI99),ISNUMBER(AC99)),AC99/AI99,NA())</f>
        <v>0.85992540406133444</v>
      </c>
      <c r="I99" s="443"/>
      <c r="J99" s="96"/>
      <c r="K99" s="96"/>
      <c r="L99" s="168"/>
      <c r="M99" s="168"/>
      <c r="N99" s="168"/>
      <c r="O99" s="168"/>
      <c r="P99" s="168"/>
      <c r="Q99" s="168"/>
      <c r="R99" s="168"/>
      <c r="S99" s="169"/>
      <c r="T99" s="159"/>
      <c r="U99" s="122"/>
      <c r="V99" s="139"/>
      <c r="W99" s="152"/>
      <c r="X99" s="577" t="str">
        <f t="shared" si="33"/>
        <v>South East</v>
      </c>
      <c r="Y99" s="606" t="str">
        <f>IF(Year1_SouthEast Year1_Care_Leavers_in_touch="","",Year1_SouthEast Year1_Care_Leavers_in_touch)</f>
        <v/>
      </c>
      <c r="Z99" s="607">
        <f>IF(Year2_SouthEast Year2_Care_Leavers_in_touch="","",Year2_SouthEast Year2_Care_Leavers_in_touch)</f>
        <v>3330</v>
      </c>
      <c r="AA99" s="607">
        <f>IF(Year3_SouthEast Year3_Care_Leavers_in_touch="","",Year3_SouthEast Year3_Care_Leavers_in_touch)</f>
        <v>3700</v>
      </c>
      <c r="AB99" s="372">
        <f>IF(Year4_SouthEast Year4_Care_Leavers_in_touch="","",Year4_SouthEast Year4_Care_Leavers_in_touch)</f>
        <v>4110</v>
      </c>
      <c r="AC99" s="372">
        <f>IF(Year5_SouthEast Year5_Care_Leavers_in_touch="","",Year5_SouthEast Year5_Care_Leavers_in_touch)</f>
        <v>4150</v>
      </c>
      <c r="AD99" s="577" t="str">
        <f t="shared" si="43"/>
        <v>South East</v>
      </c>
      <c r="AE99" s="606">
        <f>SUM(AE77:AE89,AE91:AE92,AE95:AE98)</f>
        <v>0</v>
      </c>
      <c r="AF99" s="606">
        <f t="shared" ref="AF99:AI99" si="45">SUM(AF77:AF89,AF91:AF92,AF95:AF98)</f>
        <v>3921</v>
      </c>
      <c r="AG99" s="606">
        <f t="shared" si="45"/>
        <v>4396</v>
      </c>
      <c r="AH99" s="606">
        <f t="shared" si="45"/>
        <v>4745</v>
      </c>
      <c r="AI99" s="606">
        <f t="shared" si="45"/>
        <v>4826</v>
      </c>
      <c r="AJ99" s="160"/>
    </row>
    <row r="100" spans="1:45" s="87" customFormat="1" ht="12.75" customHeight="1" x14ac:dyDescent="0.2">
      <c r="A100" s="292"/>
      <c r="B100" s="329" t="str">
        <f t="shared" si="30"/>
        <v>England</v>
      </c>
      <c r="C100" s="85"/>
      <c r="D100" s="351" t="e">
        <f>IF(AND(ISNUMBER(AE100),ISNUMBER(Y100)),Y100/AE100,NA())</f>
        <v>#N/A</v>
      </c>
      <c r="E100" s="351">
        <f t="shared" ref="E100" si="46">IF(AND(ISNUMBER(AF100),ISNUMBER(Z100)),Z100/AF100,NA())</f>
        <v>0.88041466123657908</v>
      </c>
      <c r="F100" s="351">
        <f t="shared" ref="F100" si="47">IF(AND(ISNUMBER(AG100),ISNUMBER(AA100)),AA100/AG100,NA())</f>
        <v>0.881445106980007</v>
      </c>
      <c r="G100" s="351">
        <f t="shared" ref="G100" si="48">IF(AND(ISNUMBER(AH100),ISNUMBER(AB100)),AB100/AH100,NA())</f>
        <v>0.90878717006348142</v>
      </c>
      <c r="H100" s="352">
        <f>IF(AND(ISNUMBER(AI100),ISNUMBER(AC100)),AC100/AI100,NA())</f>
        <v>0.89763275751759442</v>
      </c>
      <c r="I100" s="443"/>
      <c r="J100" s="96"/>
      <c r="K100" s="96"/>
      <c r="L100" s="168"/>
      <c r="M100" s="168"/>
      <c r="N100" s="168"/>
      <c r="O100" s="168"/>
      <c r="P100" s="168"/>
      <c r="Q100" s="168"/>
      <c r="R100" s="168"/>
      <c r="S100" s="169"/>
      <c r="T100" s="159"/>
      <c r="U100" s="122"/>
      <c r="V100" s="139"/>
      <c r="W100" s="152"/>
      <c r="X100" s="577" t="str">
        <f t="shared" ref="X100" si="49">B100</f>
        <v>England</v>
      </c>
      <c r="Y100" s="581" t="str">
        <f>IF(Year1_England Year1_Care_Leavers_in_touch="","",Year1_England Year1_Care_Leavers_in_touch)</f>
        <v/>
      </c>
      <c r="Z100" s="372">
        <f>IF(Year2_England Year2_Care_Leavers_in_touch="","",Year2_England Year2_Care_Leavers_in_touch)</f>
        <v>23780</v>
      </c>
      <c r="AA100" s="372">
        <f>IF(Year3_England Year3_Care_Leavers_in_touch="","",Year3_England Year3_Care_Leavers_in_touch)</f>
        <v>25130</v>
      </c>
      <c r="AB100" s="372">
        <f>IF(Year4_England Year4_Care_Leavers_in_touch="","",Year4_England Year4_Care_Leavers_in_touch)</f>
        <v>27200</v>
      </c>
      <c r="AC100" s="372">
        <f>IF(Year5_England Year5_Care_Leavers_in_touch="","",Year5_England Year5_Care_Leavers_in_touch)</f>
        <v>28060</v>
      </c>
      <c r="AD100" s="577" t="str">
        <f t="shared" ref="AD100" si="50">X100</f>
        <v>England</v>
      </c>
      <c r="AE100" s="581">
        <f>IF(Y100="",0,D33)</f>
        <v>0</v>
      </c>
      <c r="AF100" s="581">
        <f>IF(Z100="",0,E33)</f>
        <v>27010</v>
      </c>
      <c r="AG100" s="581">
        <f>IF(AA100="",0,F33)</f>
        <v>28510</v>
      </c>
      <c r="AH100" s="581">
        <f>IF(AB100="",0,G33)</f>
        <v>29930</v>
      </c>
      <c r="AI100" s="581">
        <f>IF(AC100="",0,H33)</f>
        <v>31260</v>
      </c>
      <c r="AJ100" s="160"/>
    </row>
    <row r="101" spans="1:45" s="87" customFormat="1" ht="7.5" customHeight="1" x14ac:dyDescent="0.2">
      <c r="A101" s="292"/>
      <c r="B101" s="96"/>
      <c r="C101" s="96"/>
      <c r="D101" s="96"/>
      <c r="E101" s="96"/>
      <c r="F101" s="96"/>
      <c r="G101" s="96"/>
      <c r="H101" s="96"/>
      <c r="I101" s="96"/>
      <c r="J101" s="96"/>
      <c r="K101" s="96"/>
      <c r="L101" s="168"/>
      <c r="M101" s="168"/>
      <c r="N101" s="168"/>
      <c r="O101" s="168"/>
      <c r="P101" s="168"/>
      <c r="Q101" s="168"/>
      <c r="R101" s="168"/>
      <c r="S101" s="169"/>
      <c r="T101" s="159"/>
      <c r="U101" s="122"/>
      <c r="V101" s="139"/>
      <c r="W101" s="152"/>
      <c r="X101" s="188"/>
      <c r="Y101" s="188"/>
      <c r="Z101" s="81"/>
      <c r="AA101" s="81"/>
      <c r="AB101" s="81"/>
      <c r="AC101" s="81"/>
      <c r="AD101" s="81"/>
      <c r="AE101" s="202"/>
      <c r="AF101" s="202"/>
      <c r="AG101" s="202"/>
      <c r="AH101" s="190"/>
      <c r="AI101" s="202"/>
      <c r="AJ101" s="160"/>
    </row>
    <row r="102" spans="1:45" s="81" customFormat="1" ht="36.75" customHeight="1" x14ac:dyDescent="0.2">
      <c r="A102" s="217"/>
      <c r="B102" s="392"/>
      <c r="C102" s="392"/>
      <c r="D102" s="392"/>
      <c r="E102" s="392"/>
      <c r="F102" s="392"/>
      <c r="G102" s="392"/>
      <c r="H102" s="392"/>
      <c r="I102" s="392"/>
      <c r="J102" s="392"/>
      <c r="K102" s="172"/>
      <c r="L102" s="172"/>
      <c r="M102" s="172"/>
      <c r="N102" s="172"/>
      <c r="O102" s="172"/>
      <c r="P102" s="172"/>
      <c r="Q102" s="172"/>
      <c r="R102" s="172"/>
      <c r="S102" s="136"/>
      <c r="T102" s="172"/>
      <c r="U102" s="117"/>
      <c r="V102" s="137"/>
      <c r="W102" s="150"/>
      <c r="AC102" s="197"/>
      <c r="AD102" s="199"/>
      <c r="AE102" s="184"/>
      <c r="AF102" s="184"/>
      <c r="AG102" s="184"/>
      <c r="AI102" s="184"/>
      <c r="AJ102" s="161"/>
    </row>
    <row r="103" spans="1:45" s="81" customFormat="1" ht="36.75" customHeight="1" x14ac:dyDescent="0.2">
      <c r="A103" s="217"/>
      <c r="B103" s="392"/>
      <c r="C103" s="392"/>
      <c r="D103" s="392"/>
      <c r="E103" s="392"/>
      <c r="F103" s="392"/>
      <c r="G103" s="392"/>
      <c r="H103" s="392"/>
      <c r="I103" s="392"/>
      <c r="J103" s="392"/>
      <c r="K103" s="172"/>
      <c r="L103" s="172"/>
      <c r="M103" s="172"/>
      <c r="N103" s="172"/>
      <c r="O103" s="172"/>
      <c r="P103" s="172"/>
      <c r="Q103" s="172"/>
      <c r="R103" s="172"/>
      <c r="S103" s="136"/>
      <c r="T103" s="172"/>
      <c r="U103" s="117"/>
      <c r="V103" s="137"/>
      <c r="W103" s="150"/>
      <c r="AD103" s="199"/>
      <c r="AE103" s="184"/>
      <c r="AF103" s="184"/>
      <c r="AG103" s="184"/>
      <c r="AI103" s="184"/>
      <c r="AJ103" s="161"/>
    </row>
    <row r="104" spans="1:45" s="81" customFormat="1" ht="36.75" customHeight="1" x14ac:dyDescent="0.2">
      <c r="A104" s="217"/>
      <c r="B104" s="392"/>
      <c r="C104" s="392"/>
      <c r="D104" s="392"/>
      <c r="E104" s="392"/>
      <c r="F104" s="392"/>
      <c r="G104" s="392"/>
      <c r="H104" s="392"/>
      <c r="I104" s="392"/>
      <c r="J104" s="392"/>
      <c r="K104" s="172"/>
      <c r="L104" s="172"/>
      <c r="M104" s="172"/>
      <c r="N104" s="172"/>
      <c r="O104" s="172"/>
      <c r="P104" s="172"/>
      <c r="Q104" s="172"/>
      <c r="R104" s="172"/>
      <c r="S104" s="136"/>
      <c r="T104" s="172"/>
      <c r="U104" s="117"/>
      <c r="V104" s="137"/>
      <c r="W104" s="150"/>
      <c r="AD104" s="199"/>
      <c r="AE104" s="184"/>
      <c r="AF104" s="184"/>
      <c r="AG104" s="184"/>
      <c r="AI104" s="184"/>
      <c r="AJ104" s="161"/>
    </row>
    <row r="105" spans="1:45" s="81" customFormat="1" ht="7.5" customHeight="1" x14ac:dyDescent="0.2">
      <c r="A105" s="118"/>
      <c r="B105" s="17"/>
      <c r="C105" s="17"/>
      <c r="D105" s="16"/>
      <c r="E105" s="16"/>
      <c r="F105" s="16"/>
      <c r="G105" s="16"/>
      <c r="H105" s="16"/>
      <c r="I105" s="16"/>
      <c r="J105" s="16"/>
      <c r="K105" s="12"/>
      <c r="L105" s="18"/>
      <c r="M105" s="18"/>
      <c r="N105" s="18"/>
      <c r="O105" s="18"/>
      <c r="P105" s="18"/>
      <c r="Q105" s="18"/>
      <c r="R105" s="18"/>
      <c r="S105" s="18"/>
      <c r="T105" s="18"/>
      <c r="U105" s="117"/>
      <c r="V105" s="137"/>
      <c r="W105" s="150"/>
      <c r="Y105" s="190"/>
      <c r="AI105" s="184"/>
      <c r="AJ105" s="157"/>
      <c r="AK105" s="74"/>
      <c r="AL105" s="74"/>
      <c r="AM105" s="74"/>
      <c r="AN105" s="74"/>
      <c r="AO105" s="74"/>
      <c r="AP105" s="74"/>
      <c r="AQ105" s="74"/>
    </row>
    <row r="106" spans="1:45" s="81" customFormat="1" ht="15" customHeight="1" x14ac:dyDescent="0.2">
      <c r="A106" s="1716"/>
      <c r="B106" s="1760"/>
      <c r="C106" s="1760"/>
      <c r="D106" s="1760"/>
      <c r="E106" s="1760"/>
      <c r="F106" s="1760"/>
      <c r="G106" s="1760"/>
      <c r="H106" s="1760"/>
      <c r="I106" s="1760"/>
      <c r="J106" s="1760"/>
      <c r="K106" s="1760"/>
      <c r="L106" s="1760"/>
      <c r="M106" s="1760"/>
      <c r="N106" s="1760"/>
      <c r="O106" s="1760"/>
      <c r="P106" s="1760"/>
      <c r="Q106" s="1760"/>
      <c r="R106" s="1760"/>
      <c r="S106" s="1760"/>
      <c r="T106" s="1760"/>
      <c r="U106" s="1761"/>
      <c r="V106" s="137"/>
      <c r="W106" s="150"/>
      <c r="AJ106" s="161"/>
      <c r="AS106" s="74"/>
    </row>
    <row r="107" spans="1:45" s="81" customFormat="1" ht="11.25" customHeight="1" x14ac:dyDescent="0.2">
      <c r="A107" s="1765" t="str">
        <f>Home!$A$39</f>
        <v xml:space="preserve"> </v>
      </c>
      <c r="B107" s="1766"/>
      <c r="C107" s="1766"/>
      <c r="D107" s="1766"/>
      <c r="E107" s="1766"/>
      <c r="F107" s="1766"/>
      <c r="G107" s="1766"/>
      <c r="H107" s="1766"/>
      <c r="I107" s="1768"/>
      <c r="J107" s="1767"/>
      <c r="K107" s="1766"/>
      <c r="L107" s="1766"/>
      <c r="M107" s="1766"/>
      <c r="N107" s="1766"/>
      <c r="O107" s="1766"/>
      <c r="P107" s="1766"/>
      <c r="Q107" s="1768"/>
      <c r="R107" s="1766"/>
      <c r="S107" s="1766"/>
      <c r="T107" s="1766"/>
      <c r="U107" s="1769"/>
      <c r="V107" s="137"/>
      <c r="W107" s="150"/>
      <c r="AI107" s="184"/>
      <c r="AJ107" s="160"/>
      <c r="AK107" s="87"/>
      <c r="AS107" s="74"/>
    </row>
    <row r="108" spans="1:45" ht="11.25" customHeight="1" x14ac:dyDescent="0.2">
      <c r="A108" s="112"/>
      <c r="B108" s="113"/>
      <c r="C108" s="113"/>
      <c r="D108" s="113"/>
      <c r="E108" s="113"/>
      <c r="F108" s="113"/>
      <c r="G108" s="113"/>
      <c r="H108" s="113"/>
      <c r="I108" s="113"/>
      <c r="J108" s="113"/>
      <c r="K108" s="114"/>
      <c r="L108" s="113"/>
      <c r="M108" s="113"/>
      <c r="N108" s="113"/>
      <c r="O108" s="113"/>
      <c r="P108" s="113"/>
      <c r="Q108" s="113"/>
      <c r="R108" s="113"/>
      <c r="S108" s="113"/>
      <c r="T108" s="113"/>
      <c r="U108" s="115"/>
      <c r="V108" s="137"/>
      <c r="W108" s="150"/>
      <c r="X108" s="74"/>
      <c r="Y108" s="609"/>
      <c r="Z108" s="609"/>
      <c r="AA108" s="609"/>
      <c r="AB108" s="609"/>
      <c r="AC108" s="609"/>
      <c r="AI108" s="184"/>
      <c r="AJ108" s="161"/>
    </row>
    <row r="109" spans="1:45" s="76" customFormat="1" ht="15" customHeight="1" x14ac:dyDescent="0.2">
      <c r="A109" s="119"/>
      <c r="B109" s="1770" t="s">
        <v>669</v>
      </c>
      <c r="C109" s="1770"/>
      <c r="D109" s="1770"/>
      <c r="E109" s="1770"/>
      <c r="F109" s="1770"/>
      <c r="G109" s="1770"/>
      <c r="H109" s="1770"/>
      <c r="I109" s="1770"/>
      <c r="J109" s="226"/>
      <c r="K109" s="70"/>
      <c r="L109" s="70"/>
      <c r="M109" s="70"/>
      <c r="N109" s="70"/>
      <c r="O109" s="825"/>
      <c r="P109" s="70"/>
      <c r="Q109" s="70"/>
      <c r="R109" s="70"/>
      <c r="S109" s="70"/>
      <c r="T109" s="70"/>
      <c r="U109" s="120"/>
      <c r="V109" s="138"/>
      <c r="W109" s="151"/>
      <c r="X109" s="609" t="s">
        <v>739</v>
      </c>
      <c r="Y109" s="382"/>
      <c r="Z109" s="383"/>
      <c r="AA109" s="383"/>
      <c r="AB109" s="383"/>
      <c r="AC109" s="596"/>
      <c r="AD109" s="609" t="s">
        <v>1241</v>
      </c>
      <c r="AE109" s="609"/>
      <c r="AF109" s="609"/>
      <c r="AG109" s="609"/>
      <c r="AH109" s="609"/>
      <c r="AI109" s="609"/>
      <c r="AJ109" s="160"/>
    </row>
    <row r="110" spans="1:45" ht="20.25" customHeight="1" x14ac:dyDescent="0.2">
      <c r="A110" s="118"/>
      <c r="B110" s="1770"/>
      <c r="C110" s="1770"/>
      <c r="D110" s="1770"/>
      <c r="E110" s="1770"/>
      <c r="F110" s="1770"/>
      <c r="G110" s="1770"/>
      <c r="H110" s="1770"/>
      <c r="I110" s="1770"/>
      <c r="J110" s="226"/>
      <c r="K110" s="70"/>
      <c r="L110" s="70"/>
      <c r="M110" s="70"/>
      <c r="N110" s="70"/>
      <c r="O110" s="825"/>
      <c r="P110" s="70"/>
      <c r="Q110" s="70"/>
      <c r="R110" s="70"/>
      <c r="S110" s="10"/>
      <c r="T110" s="70"/>
      <c r="U110" s="117"/>
      <c r="V110" s="137"/>
      <c r="W110" s="150"/>
      <c r="X110" s="74"/>
      <c r="Y110" s="74"/>
      <c r="Z110" s="74"/>
      <c r="AA110" s="74"/>
      <c r="AB110" s="74"/>
      <c r="AC110" s="74"/>
      <c r="AD110" s="383"/>
      <c r="AE110" s="382"/>
      <c r="AF110" s="383"/>
      <c r="AG110" s="383"/>
      <c r="AH110" s="383"/>
      <c r="AI110" s="596"/>
      <c r="AJ110" s="161"/>
    </row>
    <row r="111" spans="1:45" s="87" customFormat="1" ht="13.5" customHeight="1" x14ac:dyDescent="0.2">
      <c r="A111" s="121"/>
      <c r="B111" s="1771" t="s">
        <v>205</v>
      </c>
      <c r="C111" s="1007"/>
      <c r="D111" s="789" t="str">
        <f>Sheet1!$D$27</f>
        <v>2015-16</v>
      </c>
      <c r="E111" s="790" t="str">
        <f>Sheet1!$E$27</f>
        <v>2016-17</v>
      </c>
      <c r="F111" s="790" t="str">
        <f>Sheet1!$F$27</f>
        <v>2017-18</v>
      </c>
      <c r="G111" s="790" t="str">
        <f>Sheet1!$G$27</f>
        <v>2018-19</v>
      </c>
      <c r="H111" s="791" t="str">
        <f>Sheet1!$H$27</f>
        <v>2019-20</v>
      </c>
      <c r="I111" s="61"/>
      <c r="J111" s="96"/>
      <c r="K111" s="96"/>
      <c r="L111" s="61"/>
      <c r="M111" s="61"/>
      <c r="N111" s="61"/>
      <c r="O111" s="61"/>
      <c r="P111" s="61"/>
      <c r="Q111" s="61"/>
      <c r="R111" s="828"/>
      <c r="S111" s="828"/>
      <c r="T111" s="159"/>
      <c r="U111" s="122"/>
      <c r="V111" s="139"/>
      <c r="W111" s="152"/>
      <c r="X111" s="577"/>
      <c r="Y111" s="581" t="str">
        <f>IF(Sheet1!$C$3="Annual","",Sheet1!$D$28)</f>
        <v/>
      </c>
      <c r="Z111" s="489" t="str">
        <f>IF(Sheet1!$C$3="Annual","",Sheet1!$E$28)</f>
        <v/>
      </c>
      <c r="AA111" s="489" t="str">
        <f>IF(Sheet1!$C$3="Annual","",Sheet1!$F$28)</f>
        <v/>
      </c>
      <c r="AB111" s="489" t="str">
        <f>IF(Sheet1!$C$3="Annual","",Sheet1!$G$28)</f>
        <v/>
      </c>
      <c r="AC111" s="489" t="str">
        <f>IF(Sheet1!$C$3="Annual","",Sheet1!$H$28)</f>
        <v/>
      </c>
      <c r="AD111" s="577"/>
      <c r="AE111" s="581" t="str">
        <f>IF(Sheet1!$C$3="Annual","",Sheet1!$D$28)</f>
        <v/>
      </c>
      <c r="AF111" s="1421" t="str">
        <f>IF(Sheet1!$C$3="Annual","",Sheet1!$E$28)</f>
        <v/>
      </c>
      <c r="AG111" s="1421" t="str">
        <f>IF(Sheet1!$C$3="Annual","",Sheet1!$F$28)</f>
        <v/>
      </c>
      <c r="AH111" s="1421" t="str">
        <f>IF(Sheet1!$C$3="Annual","",Sheet1!$G$28)</f>
        <v/>
      </c>
      <c r="AI111" s="1421" t="str">
        <f>IF(Sheet1!$C$3="Annual","",Sheet1!$H$28)</f>
        <v/>
      </c>
      <c r="AJ111" s="160"/>
    </row>
    <row r="112" spans="1:45" s="87" customFormat="1" ht="13.5" customHeight="1" x14ac:dyDescent="0.2">
      <c r="A112" s="292"/>
      <c r="B112" s="1772"/>
      <c r="C112" s="85"/>
      <c r="D112" s="792" t="e">
        <f>Sheet1!$D$28</f>
        <v>#N/A</v>
      </c>
      <c r="E112" s="792" t="e">
        <f>Sheet1!$E$28</f>
        <v>#N/A</v>
      </c>
      <c r="F112" s="792" t="e">
        <f>Sheet1!$F$28</f>
        <v>#N/A</v>
      </c>
      <c r="G112" s="792" t="e">
        <f>Sheet1!$G$28</f>
        <v>#N/A</v>
      </c>
      <c r="H112" s="793" t="e">
        <f>Sheet1!$H$28</f>
        <v>#N/A</v>
      </c>
      <c r="I112" s="61"/>
      <c r="J112" s="96"/>
      <c r="K112" s="96"/>
      <c r="L112" s="61"/>
      <c r="M112" s="61"/>
      <c r="N112" s="61"/>
      <c r="O112" s="61"/>
      <c r="P112" s="61"/>
      <c r="Q112" s="61"/>
      <c r="R112" s="1009"/>
      <c r="S112" s="1009"/>
      <c r="T112" s="159"/>
      <c r="U112" s="122"/>
      <c r="V112" s="139"/>
      <c r="W112" s="152"/>
      <c r="X112" s="577"/>
      <c r="Y112" s="581" t="str">
        <f>Sheet1!$D$27</f>
        <v>2015-16</v>
      </c>
      <c r="Z112" s="489" t="str">
        <f>Sheet1!$E$27</f>
        <v>2016-17</v>
      </c>
      <c r="AA112" s="489" t="str">
        <f>Sheet1!$F$27</f>
        <v>2017-18</v>
      </c>
      <c r="AB112" s="489" t="str">
        <f>Sheet1!$G$27</f>
        <v>2018-19</v>
      </c>
      <c r="AC112" s="489" t="str">
        <f>Sheet1!$H$27</f>
        <v>2019-20</v>
      </c>
      <c r="AD112" s="577"/>
      <c r="AE112" s="581" t="str">
        <f>Sheet1!$D$27</f>
        <v>2015-16</v>
      </c>
      <c r="AF112" s="1421" t="str">
        <f>Sheet1!$E$27</f>
        <v>2016-17</v>
      </c>
      <c r="AG112" s="1421" t="str">
        <f>Sheet1!$F$27</f>
        <v>2017-18</v>
      </c>
      <c r="AH112" s="1421" t="str">
        <f>Sheet1!$G$27</f>
        <v>2018-19</v>
      </c>
      <c r="AI112" s="1421" t="str">
        <f>Sheet1!$H$27</f>
        <v>2019-20</v>
      </c>
      <c r="AJ112" s="160"/>
    </row>
    <row r="113" spans="1:44" s="87" customFormat="1" ht="12.75" customHeight="1" x14ac:dyDescent="0.2">
      <c r="A113" s="488">
        <f>VLOOKUP(B113,Sheet1!$AQ$4:$AR$25,2,FALSE)</f>
        <v>0</v>
      </c>
      <c r="B113" s="93" t="str">
        <f t="shared" ref="B113:B136" si="51">B10</f>
        <v>Bracknell Forest</v>
      </c>
      <c r="C113" s="85"/>
      <c r="D113" s="162">
        <f t="shared" ref="D113:D134" si="52">IF(AND(ISNUMBER(Y113),ISNUMBER(D10)),Y113/D10,NA())</f>
        <v>0.9</v>
      </c>
      <c r="E113" s="162">
        <f t="shared" ref="E113:H113" si="53">IF(AND(ISNUMBER(Z113),ISNUMBER(E10)),Z113/E10,NA())</f>
        <v>0.96875</v>
      </c>
      <c r="F113" s="162">
        <f t="shared" si="53"/>
        <v>1</v>
      </c>
      <c r="G113" s="162" t="e">
        <f t="shared" si="53"/>
        <v>#N/A</v>
      </c>
      <c r="H113" s="164" t="e">
        <f t="shared" si="53"/>
        <v>#N/A</v>
      </c>
      <c r="I113" s="443"/>
      <c r="J113" s="96"/>
      <c r="K113" s="96"/>
      <c r="L113" s="166"/>
      <c r="M113" s="166"/>
      <c r="N113" s="166"/>
      <c r="O113" s="166"/>
      <c r="P113" s="166"/>
      <c r="Q113" s="166"/>
      <c r="R113" s="166"/>
      <c r="S113" s="167"/>
      <c r="T113" s="159"/>
      <c r="U113" s="122"/>
      <c r="V113" s="139"/>
      <c r="W113" s="152"/>
      <c r="X113" s="372" t="str">
        <f t="shared" ref="X113:X135" si="54">B113</f>
        <v>Bracknell Forest</v>
      </c>
      <c r="Y113" s="489">
        <f>IF(Year1_Bracknell_Forest Year1_Care_Leavers_in_suitable_accommodation="","",Year1_Bracknell_Forest Year1_Care_Leavers_in_suitable_accommodation)</f>
        <v>36</v>
      </c>
      <c r="Z113" s="372">
        <f>IF(Year2_Bracknell_Forest Year2_Care_Leavers_in_suitable_accommodation="","",Year2_Bracknell_Forest Year2_Care_Leavers_in_suitable_accommodation)</f>
        <v>31</v>
      </c>
      <c r="AA113" s="372">
        <f>IF(Year3_Bracknell_Forest Year3_Care_Leavers_in_suitable_accommodation="","",Year3_Bracknell_Forest Year3_Care_Leavers_in_suitable_accommodation)</f>
        <v>42</v>
      </c>
      <c r="AB113" s="372" t="str">
        <f>IF(Year4_Bracknell_Forest Year4_Care_Leavers_in_suitable_accommodation="","",Year4_Bracknell_Forest Year4_Care_Leavers_in_suitable_accommodation)</f>
        <v>x</v>
      </c>
      <c r="AC113" s="372" t="str">
        <f>IF(Year5_Bracknell_Forest Year5_Care_Leavers_in_suitable_accommodation="","",Year5_Bracknell_Forest Year5_Care_Leavers_in_suitable_accommodation)</f>
        <v>c</v>
      </c>
      <c r="AD113" s="577" t="str">
        <f>X113</f>
        <v>Bracknell Forest</v>
      </c>
      <c r="AE113" s="581">
        <f t="shared" ref="AE113:AE134" si="55">IF(Y113="",0,D10)</f>
        <v>40</v>
      </c>
      <c r="AF113" s="581">
        <f t="shared" ref="AF113:AF134" si="56">IF(Z113="",0,E10)</f>
        <v>32</v>
      </c>
      <c r="AG113" s="581">
        <f t="shared" ref="AG113:AG134" si="57">IF(AA113="",0,F10)</f>
        <v>42</v>
      </c>
      <c r="AH113" s="581">
        <f t="shared" ref="AH113:AH134" si="58">IF(AB113="",0,G10)</f>
        <v>47</v>
      </c>
      <c r="AI113" s="581">
        <f t="shared" ref="AI113:AI134" si="59">IF(AC113="",0,H10)</f>
        <v>57</v>
      </c>
      <c r="AJ113" s="161"/>
    </row>
    <row r="114" spans="1:44" s="87" customFormat="1" ht="12.75" customHeight="1" x14ac:dyDescent="0.2">
      <c r="A114" s="488">
        <f>VLOOKUP(B114,Sheet1!$AQ$4:$AR$25,2,FALSE)</f>
        <v>0</v>
      </c>
      <c r="B114" s="93" t="str">
        <f t="shared" si="51"/>
        <v>Brighton &amp; Hove</v>
      </c>
      <c r="C114" s="85"/>
      <c r="D114" s="162">
        <f t="shared" si="52"/>
        <v>0.95652173913043481</v>
      </c>
      <c r="E114" s="162">
        <f t="shared" ref="E114:E134" si="60">IF(AND(ISNUMBER(Z114),ISNUMBER(E11)),Z114/E11,NA())</f>
        <v>0.94252873563218387</v>
      </c>
      <c r="F114" s="162">
        <f t="shared" ref="F114:F134" si="61">IF(AND(ISNUMBER(AA114),ISNUMBER(F11)),AA114/F11,NA())</f>
        <v>0.9128205128205128</v>
      </c>
      <c r="G114" s="162">
        <f t="shared" ref="G114:G134" si="62">IF(AND(ISNUMBER(AB114),ISNUMBER(G11)),AB114/G11,NA())</f>
        <v>0.90410958904109584</v>
      </c>
      <c r="H114" s="164">
        <f t="shared" ref="H114:H134" si="63">IF(AND(ISNUMBER(AC114),ISNUMBER(H11)),AC114/H11,NA())</f>
        <v>0.90393013100436681</v>
      </c>
      <c r="I114" s="443"/>
      <c r="J114" s="96"/>
      <c r="K114" s="96"/>
      <c r="L114" s="166"/>
      <c r="M114" s="166"/>
      <c r="N114" s="166"/>
      <c r="O114" s="166"/>
      <c r="P114" s="166"/>
      <c r="Q114" s="166"/>
      <c r="R114" s="166"/>
      <c r="S114" s="167"/>
      <c r="T114" s="159"/>
      <c r="U114" s="122"/>
      <c r="V114" s="139"/>
      <c r="W114" s="152"/>
      <c r="X114" s="372" t="str">
        <f t="shared" si="54"/>
        <v>Brighton &amp; Hove</v>
      </c>
      <c r="Y114" s="489">
        <f>IF(Year1_Brighton_Hove Year1_Care_Leavers_in_suitable_accommodation="","",Year1_Brighton_Hove Year1_Care_Leavers_in_suitable_accommodation)</f>
        <v>154</v>
      </c>
      <c r="Z114" s="372">
        <f>IF(Year2_Brighton_Hove Year2_Care_Leavers_in_suitable_accommodation="","",Year2_Brighton_Hove Year2_Care_Leavers_in_suitable_accommodation)</f>
        <v>164</v>
      </c>
      <c r="AA114" s="372">
        <f>IF(Year3_Brighton_Hove Year3_Care_Leavers_in_suitable_accommodation="","",Year3_Brighton_Hove Year3_Care_Leavers_in_suitable_accommodation)</f>
        <v>178</v>
      </c>
      <c r="AB114" s="372">
        <f>IF(Year4_Brighton_Hove Year4_Care_Leavers_in_suitable_accommodation="","",Year4_Brighton_Hove Year4_Care_Leavers_in_suitable_accommodation)</f>
        <v>198</v>
      </c>
      <c r="AC114" s="372">
        <f>IF(Year5_Brighton_Hove Year5_Care_Leavers_in_suitable_accommodation="","",Year5_Brighton_Hove Year5_Care_Leavers_in_suitable_accommodation)</f>
        <v>207</v>
      </c>
      <c r="AD114" s="577" t="str">
        <f t="shared" ref="AD114:AD135" si="64">X114</f>
        <v>Brighton &amp; Hove</v>
      </c>
      <c r="AE114" s="581">
        <f t="shared" si="55"/>
        <v>161</v>
      </c>
      <c r="AF114" s="581">
        <f t="shared" si="56"/>
        <v>174</v>
      </c>
      <c r="AG114" s="581">
        <f t="shared" si="57"/>
        <v>195</v>
      </c>
      <c r="AH114" s="581">
        <f t="shared" si="58"/>
        <v>219</v>
      </c>
      <c r="AI114" s="581">
        <f t="shared" si="59"/>
        <v>229</v>
      </c>
      <c r="AJ114" s="160"/>
    </row>
    <row r="115" spans="1:44" s="87" customFormat="1" ht="12.75" customHeight="1" x14ac:dyDescent="0.2">
      <c r="A115" s="488">
        <f>VLOOKUP(B115,Sheet1!$AQ$4:$AR$25,2,FALSE)</f>
        <v>0</v>
      </c>
      <c r="B115" s="93" t="str">
        <f t="shared" si="51"/>
        <v>Buckinghamshire</v>
      </c>
      <c r="C115" s="85"/>
      <c r="D115" s="162">
        <f t="shared" si="52"/>
        <v>0.79470198675496684</v>
      </c>
      <c r="E115" s="162">
        <f t="shared" si="60"/>
        <v>0.68823529411764706</v>
      </c>
      <c r="F115" s="162">
        <f t="shared" si="61"/>
        <v>0.76884422110552764</v>
      </c>
      <c r="G115" s="162">
        <f t="shared" si="62"/>
        <v>0.89247311827956988</v>
      </c>
      <c r="H115" s="164">
        <f t="shared" si="63"/>
        <v>0.82989690721649489</v>
      </c>
      <c r="I115" s="443"/>
      <c r="J115" s="96"/>
      <c r="K115" s="96"/>
      <c r="L115" s="166"/>
      <c r="M115" s="166"/>
      <c r="N115" s="166"/>
      <c r="O115" s="166"/>
      <c r="P115" s="166"/>
      <c r="Q115" s="166"/>
      <c r="R115" s="166"/>
      <c r="S115" s="167"/>
      <c r="T115" s="159"/>
      <c r="U115" s="122"/>
      <c r="V115" s="139"/>
      <c r="W115" s="152"/>
      <c r="X115" s="372" t="str">
        <f t="shared" si="54"/>
        <v>Buckinghamshire</v>
      </c>
      <c r="Y115" s="489">
        <f>IF(Year1_Buckinghamshire Year1_Care_Leavers_in_suitable_accommodation="","",Year1_Buckinghamshire Year1_Care_Leavers_in_suitable_accommodation)</f>
        <v>120</v>
      </c>
      <c r="Z115" s="372">
        <f>IF(Year2_Buckinghamshire Year2_Care_Leavers_in_suitable_accommodation="","",Year2_Buckinghamshire Year2_Care_Leavers_in_suitable_accommodation)</f>
        <v>117</v>
      </c>
      <c r="AA115" s="372">
        <f>IF(Year3_Buckinghamshire Year3_Care_Leavers_in_suitable_accommodation="","",Year3_Buckinghamshire Year3_Care_Leavers_in_suitable_accommodation)</f>
        <v>153</v>
      </c>
      <c r="AB115" s="372">
        <f>IF(Year4_Buckinghamshire Year4_Care_Leavers_in_suitable_accommodation="","",Year4_Buckinghamshire Year4_Care_Leavers_in_suitable_accommodation)</f>
        <v>166</v>
      </c>
      <c r="AC115" s="372">
        <f>IF(Year5_Buckinghamshire Year5_Care_Leavers_in_suitable_accommodation="","",Year5_Buckinghamshire Year5_Care_Leavers_in_suitable_accommodation)</f>
        <v>161</v>
      </c>
      <c r="AD115" s="577" t="str">
        <f t="shared" si="64"/>
        <v>Buckinghamshire</v>
      </c>
      <c r="AE115" s="581">
        <f t="shared" si="55"/>
        <v>151</v>
      </c>
      <c r="AF115" s="581">
        <f t="shared" si="56"/>
        <v>170</v>
      </c>
      <c r="AG115" s="581">
        <f t="shared" si="57"/>
        <v>199</v>
      </c>
      <c r="AH115" s="581">
        <f t="shared" si="58"/>
        <v>186</v>
      </c>
      <c r="AI115" s="581">
        <f t="shared" si="59"/>
        <v>194</v>
      </c>
      <c r="AJ115" s="161"/>
    </row>
    <row r="116" spans="1:44" s="87" customFormat="1" ht="12.75" customHeight="1" x14ac:dyDescent="0.2">
      <c r="A116" s="488">
        <f>VLOOKUP(B116,Sheet1!$AQ$4:$AR$25,2,FALSE)</f>
        <v>0</v>
      </c>
      <c r="B116" s="93" t="str">
        <f t="shared" si="51"/>
        <v>East Sussex</v>
      </c>
      <c r="C116" s="85"/>
      <c r="D116" s="162">
        <f t="shared" si="52"/>
        <v>0.81578947368421051</v>
      </c>
      <c r="E116" s="162">
        <f t="shared" si="60"/>
        <v>0.7651006711409396</v>
      </c>
      <c r="F116" s="162">
        <f t="shared" si="61"/>
        <v>0.77272727272727271</v>
      </c>
      <c r="G116" s="162">
        <f t="shared" si="62"/>
        <v>0.78443113772455086</v>
      </c>
      <c r="H116" s="164">
        <f t="shared" si="63"/>
        <v>0.7839195979899497</v>
      </c>
      <c r="I116" s="443"/>
      <c r="J116" s="96"/>
      <c r="K116" s="96"/>
      <c r="L116" s="166"/>
      <c r="M116" s="166"/>
      <c r="N116" s="166"/>
      <c r="O116" s="166"/>
      <c r="P116" s="166"/>
      <c r="Q116" s="166"/>
      <c r="R116" s="166"/>
      <c r="S116" s="167"/>
      <c r="T116" s="159"/>
      <c r="U116" s="122"/>
      <c r="V116" s="139"/>
      <c r="W116" s="152"/>
      <c r="X116" s="372" t="str">
        <f t="shared" si="54"/>
        <v>East Sussex</v>
      </c>
      <c r="Y116" s="489">
        <f>IF(Year1_East_Sussex Year1_Care_Leavers_in_suitable_accommodation="","",Year1_East_Sussex Year1_Care_Leavers_in_suitable_accommodation)</f>
        <v>124</v>
      </c>
      <c r="Z116" s="372">
        <f>IF(Year2_East_Sussex Year2_Care_Leavers_in_suitable_accommodation="","",Year2_East_Sussex Year2_Care_Leavers_in_suitable_accommodation)</f>
        <v>114</v>
      </c>
      <c r="AA116" s="372">
        <f>IF(Year3_East_Sussex Year3_Care_Leavers_in_suitable_accommodation="","",Year3_East_Sussex Year3_Care_Leavers_in_suitable_accommodation)</f>
        <v>119</v>
      </c>
      <c r="AB116" s="372">
        <f>IF(Year4_East_Sussex Year4_Care_Leavers_in_suitable_accommodation="","",Year4_East_Sussex Year4_Care_Leavers_in_suitable_accommodation)</f>
        <v>131</v>
      </c>
      <c r="AC116" s="372">
        <f>IF(Year5_East_Sussex Year5_Care_Leavers_in_suitable_accommodation="","",Year5_East_Sussex Year5_Care_Leavers_in_suitable_accommodation)</f>
        <v>156</v>
      </c>
      <c r="AD116" s="577" t="str">
        <f t="shared" si="64"/>
        <v>East Sussex</v>
      </c>
      <c r="AE116" s="581">
        <f t="shared" si="55"/>
        <v>152</v>
      </c>
      <c r="AF116" s="581">
        <f t="shared" si="56"/>
        <v>149</v>
      </c>
      <c r="AG116" s="581">
        <f t="shared" si="57"/>
        <v>154</v>
      </c>
      <c r="AH116" s="581">
        <f t="shared" si="58"/>
        <v>167</v>
      </c>
      <c r="AI116" s="581">
        <f t="shared" si="59"/>
        <v>199</v>
      </c>
      <c r="AJ116" s="160"/>
    </row>
    <row r="117" spans="1:44" s="87" customFormat="1" ht="12.75" customHeight="1" x14ac:dyDescent="0.2">
      <c r="A117" s="488">
        <f>VLOOKUP(B117,Sheet1!$AQ$4:$AR$25,2,FALSE)</f>
        <v>0</v>
      </c>
      <c r="B117" s="93" t="str">
        <f t="shared" si="51"/>
        <v>Hampshire</v>
      </c>
      <c r="C117" s="85"/>
      <c r="D117" s="162">
        <f t="shared" si="52"/>
        <v>0.71084337349397586</v>
      </c>
      <c r="E117" s="162">
        <f t="shared" si="60"/>
        <v>0.75445544554455446</v>
      </c>
      <c r="F117" s="162">
        <f t="shared" si="61"/>
        <v>0.70754716981132071</v>
      </c>
      <c r="G117" s="162">
        <f t="shared" si="62"/>
        <v>0.65758754863813229</v>
      </c>
      <c r="H117" s="164">
        <f t="shared" si="63"/>
        <v>0.70652173913043481</v>
      </c>
      <c r="I117" s="443"/>
      <c r="J117" s="96"/>
      <c r="K117" s="96"/>
      <c r="L117" s="166"/>
      <c r="M117" s="166"/>
      <c r="N117" s="166"/>
      <c r="O117" s="166"/>
      <c r="P117" s="166"/>
      <c r="Q117" s="166"/>
      <c r="R117" s="166"/>
      <c r="S117" s="167"/>
      <c r="T117" s="159"/>
      <c r="U117" s="122"/>
      <c r="V117" s="139"/>
      <c r="W117" s="152"/>
      <c r="X117" s="372" t="str">
        <f t="shared" si="54"/>
        <v>Hampshire</v>
      </c>
      <c r="Y117" s="489">
        <f>IF(Year1_Hampshire Year1_Care_Leavers_in_suitable_accommodation="","",Year1_Hampshire Year1_Care_Leavers_in_suitable_accommodation)</f>
        <v>354</v>
      </c>
      <c r="Z117" s="372">
        <f>IF(Year2_Hampshire Year2_Care_Leavers_in_suitable_accommodation="","",Year2_Hampshire Year2_Care_Leavers_in_suitable_accommodation)</f>
        <v>381</v>
      </c>
      <c r="AA117" s="372">
        <f>IF(Year3_Hampshire Year3_Care_Leavers_in_suitable_accommodation="","",Year3_Hampshire Year3_Care_Leavers_in_suitable_accommodation)</f>
        <v>375</v>
      </c>
      <c r="AB117" s="372">
        <f>IF(Year4_Hampshire Year4_Care_Leavers_in_suitable_accommodation="","",Year4_Hampshire Year4_Care_Leavers_in_suitable_accommodation)</f>
        <v>338</v>
      </c>
      <c r="AC117" s="372">
        <f>IF(Year5_Hampshire Year5_Care_Leavers_in_suitable_accommodation="","",Year5_Hampshire Year5_Care_Leavers_in_suitable_accommodation)</f>
        <v>390</v>
      </c>
      <c r="AD117" s="577" t="str">
        <f t="shared" si="64"/>
        <v>Hampshire</v>
      </c>
      <c r="AE117" s="581">
        <f t="shared" si="55"/>
        <v>498</v>
      </c>
      <c r="AF117" s="581">
        <f t="shared" si="56"/>
        <v>505</v>
      </c>
      <c r="AG117" s="581">
        <f t="shared" si="57"/>
        <v>530</v>
      </c>
      <c r="AH117" s="581">
        <f t="shared" si="58"/>
        <v>514</v>
      </c>
      <c r="AI117" s="581">
        <f t="shared" si="59"/>
        <v>552</v>
      </c>
      <c r="AJ117" s="161"/>
    </row>
    <row r="118" spans="1:44" s="87" customFormat="1" ht="12.75" customHeight="1" x14ac:dyDescent="0.2">
      <c r="A118" s="488">
        <f>VLOOKUP(B118,Sheet1!$AQ$4:$AR$25,2,FALSE)</f>
        <v>0</v>
      </c>
      <c r="B118" s="93" t="str">
        <f t="shared" si="51"/>
        <v>Isle of Wight</v>
      </c>
      <c r="C118" s="85"/>
      <c r="D118" s="162">
        <f t="shared" si="52"/>
        <v>0.91111111111111109</v>
      </c>
      <c r="E118" s="162">
        <f t="shared" si="60"/>
        <v>0.71276595744680848</v>
      </c>
      <c r="F118" s="162" t="e">
        <f t="shared" si="61"/>
        <v>#N/A</v>
      </c>
      <c r="G118" s="162">
        <f t="shared" si="62"/>
        <v>0.88764044943820219</v>
      </c>
      <c r="H118" s="164" t="e">
        <f t="shared" si="63"/>
        <v>#N/A</v>
      </c>
      <c r="I118" s="443"/>
      <c r="J118" s="96"/>
      <c r="K118" s="96"/>
      <c r="L118" s="166"/>
      <c r="M118" s="166"/>
      <c r="N118" s="166"/>
      <c r="O118" s="166"/>
      <c r="P118" s="166"/>
      <c r="Q118" s="166"/>
      <c r="R118" s="166"/>
      <c r="S118" s="167"/>
      <c r="T118" s="159"/>
      <c r="U118" s="122"/>
      <c r="V118" s="139"/>
      <c r="W118" s="152"/>
      <c r="X118" s="372" t="str">
        <f t="shared" si="54"/>
        <v>Isle of Wight</v>
      </c>
      <c r="Y118" s="489">
        <f>IF(Year1_Isle_of_Wight Year1_Care_Leavers_in_suitable_accommodation="","",Year1_Isle_of_Wight Year1_Care_Leavers_in_suitable_accommodation)</f>
        <v>82</v>
      </c>
      <c r="Z118" s="372">
        <f>IF(Year2_Isle_of_Wight Year2_Care_Leavers_in_suitable_accommodation="","",Year2_Isle_of_Wight Year2_Care_Leavers_in_suitable_accommodation)</f>
        <v>67</v>
      </c>
      <c r="AA118" s="372" t="str">
        <f>IF(Year3_Isle_of_Wight Year3_Care_Leavers_in_suitable_accommodation="","",Year3_Isle_of_Wight Year3_Care_Leavers_in_suitable_accommodation)</f>
        <v>x</v>
      </c>
      <c r="AB118" s="372">
        <f>IF(Year4_Isle_of_Wight Year4_Care_Leavers_in_suitable_accommodation="","",Year4_Isle_of_Wight Year4_Care_Leavers_in_suitable_accommodation)</f>
        <v>79</v>
      </c>
      <c r="AC118" s="372" t="str">
        <f>IF(Year5_Isle_of_Wight Year5_Care_Leavers_in_suitable_accommodation="","",Year5_Isle_of_Wight Year5_Care_Leavers_in_suitable_accommodation)</f>
        <v>c</v>
      </c>
      <c r="AD118" s="577" t="str">
        <f t="shared" si="64"/>
        <v>Isle of Wight</v>
      </c>
      <c r="AE118" s="581">
        <f t="shared" si="55"/>
        <v>90</v>
      </c>
      <c r="AF118" s="581">
        <f t="shared" si="56"/>
        <v>94</v>
      </c>
      <c r="AG118" s="581">
        <f t="shared" si="57"/>
        <v>89</v>
      </c>
      <c r="AH118" s="581">
        <f t="shared" si="58"/>
        <v>89</v>
      </c>
      <c r="AI118" s="581">
        <f t="shared" si="59"/>
        <v>87</v>
      </c>
      <c r="AJ118" s="160"/>
      <c r="AR118" s="87" t="s">
        <v>102</v>
      </c>
    </row>
    <row r="119" spans="1:44" s="87" customFormat="1" ht="12.75" customHeight="1" x14ac:dyDescent="0.2">
      <c r="A119" s="488">
        <f>VLOOKUP(B119,Sheet1!$AQ$4:$AR$25,2,FALSE)</f>
        <v>0</v>
      </c>
      <c r="B119" s="93" t="str">
        <f t="shared" si="51"/>
        <v>Kent</v>
      </c>
      <c r="C119" s="85"/>
      <c r="D119" s="162">
        <f t="shared" si="52"/>
        <v>0.67513227513227514</v>
      </c>
      <c r="E119" s="162">
        <f t="shared" si="60"/>
        <v>0.76133209990749307</v>
      </c>
      <c r="F119" s="162">
        <f t="shared" si="61"/>
        <v>0.76278724981467749</v>
      </c>
      <c r="G119" s="162">
        <f t="shared" si="62"/>
        <v>0.7695852534562212</v>
      </c>
      <c r="H119" s="164">
        <f t="shared" si="63"/>
        <v>0.74620390455531449</v>
      </c>
      <c r="I119" s="443"/>
      <c r="J119" s="96"/>
      <c r="K119" s="96"/>
      <c r="L119" s="166"/>
      <c r="M119" s="166"/>
      <c r="N119" s="166"/>
      <c r="O119" s="166"/>
      <c r="P119" s="166"/>
      <c r="Q119" s="166"/>
      <c r="R119" s="166"/>
      <c r="S119" s="167"/>
      <c r="T119" s="159"/>
      <c r="U119" s="122"/>
      <c r="V119" s="139"/>
      <c r="W119" s="152"/>
      <c r="X119" s="372" t="str">
        <f t="shared" si="54"/>
        <v>Kent</v>
      </c>
      <c r="Y119" s="489">
        <f>IF(Year1_Kent Year1_Care_Leavers_in_suitable_accommodation="","",Year1_Kent Year1_Care_Leavers_in_suitable_accommodation)</f>
        <v>638</v>
      </c>
      <c r="Z119" s="372">
        <f>IF(Year2_Kent Year2_Care_Leavers_in_suitable_accommodation="","",Year2_Kent Year2_Care_Leavers_in_suitable_accommodation)</f>
        <v>823</v>
      </c>
      <c r="AA119" s="372">
        <f>IF(Year3_Kent Year3_Care_Leavers_in_suitable_accommodation="","",Year3_Kent Year3_Care_Leavers_in_suitable_accommodation)</f>
        <v>1029</v>
      </c>
      <c r="AB119" s="372">
        <f>IF(Year4_Kent Year4_Care_Leavers_in_suitable_accommodation="","",Year4_Kent Year4_Care_Leavers_in_suitable_accommodation)</f>
        <v>1169</v>
      </c>
      <c r="AC119" s="372">
        <f>IF(Year5_Kent Year5_Care_Leavers_in_suitable_accommodation="","",Year5_Kent Year5_Care_Leavers_in_suitable_accommodation)</f>
        <v>1032</v>
      </c>
      <c r="AD119" s="577" t="str">
        <f t="shared" si="64"/>
        <v>Kent</v>
      </c>
      <c r="AE119" s="581">
        <f t="shared" si="55"/>
        <v>945</v>
      </c>
      <c r="AF119" s="581">
        <f t="shared" si="56"/>
        <v>1081</v>
      </c>
      <c r="AG119" s="581">
        <f t="shared" si="57"/>
        <v>1349</v>
      </c>
      <c r="AH119" s="581">
        <f t="shared" si="58"/>
        <v>1519</v>
      </c>
      <c r="AI119" s="581">
        <f t="shared" si="59"/>
        <v>1383</v>
      </c>
      <c r="AJ119" s="161"/>
    </row>
    <row r="120" spans="1:44" s="87" customFormat="1" ht="12.75" customHeight="1" x14ac:dyDescent="0.2">
      <c r="A120" s="488">
        <f>VLOOKUP(B120,Sheet1!$AQ$4:$AR$25,2,FALSE)</f>
        <v>0</v>
      </c>
      <c r="B120" s="93" t="str">
        <f t="shared" si="51"/>
        <v>Medway</v>
      </c>
      <c r="C120" s="85"/>
      <c r="D120" s="162">
        <f t="shared" si="52"/>
        <v>0.89743589743589747</v>
      </c>
      <c r="E120" s="162">
        <f t="shared" si="60"/>
        <v>0.88034188034188032</v>
      </c>
      <c r="F120" s="162">
        <f t="shared" si="61"/>
        <v>0.9285714285714286</v>
      </c>
      <c r="G120" s="162">
        <f t="shared" si="62"/>
        <v>0.90756302521008403</v>
      </c>
      <c r="H120" s="164">
        <f t="shared" si="63"/>
        <v>0.94214876033057848</v>
      </c>
      <c r="I120" s="443"/>
      <c r="J120" s="96"/>
      <c r="K120" s="96"/>
      <c r="L120" s="166"/>
      <c r="M120" s="166"/>
      <c r="N120" s="166"/>
      <c r="O120" s="166"/>
      <c r="P120" s="166"/>
      <c r="Q120" s="166"/>
      <c r="R120" s="166"/>
      <c r="S120" s="167"/>
      <c r="T120" s="159"/>
      <c r="U120" s="122"/>
      <c r="V120" s="139"/>
      <c r="W120" s="152"/>
      <c r="X120" s="372" t="str">
        <f t="shared" si="54"/>
        <v>Medway</v>
      </c>
      <c r="Y120" s="489">
        <f>IF(Year1_Medway Year1_Care_Leavers_in_suitable_accommodation="","",Year1_Medway Year1_Care_Leavers_in_suitable_accommodation)</f>
        <v>140</v>
      </c>
      <c r="Z120" s="372">
        <f>IF(Year2_Medway Year2_Care_Leavers_in_suitable_accommodation="","",Year2_Medway Year2_Care_Leavers_in_suitable_accommodation)</f>
        <v>103</v>
      </c>
      <c r="AA120" s="372">
        <f>IF(Year3_Medway Year3_Care_Leavers_in_suitable_accommodation="","",Year3_Medway Year3_Care_Leavers_in_suitable_accommodation)</f>
        <v>104</v>
      </c>
      <c r="AB120" s="372">
        <f>IF(Year4_Medway Year4_Care_Leavers_in_suitable_accommodation="","",Year4_Medway Year4_Care_Leavers_in_suitable_accommodation)</f>
        <v>108</v>
      </c>
      <c r="AC120" s="372">
        <f>IF(Year5_Medway Year5_Care_Leavers_in_suitable_accommodation="","",Year5_Medway Year5_Care_Leavers_in_suitable_accommodation)</f>
        <v>114</v>
      </c>
      <c r="AD120" s="577" t="str">
        <f t="shared" si="64"/>
        <v>Medway</v>
      </c>
      <c r="AE120" s="581">
        <f t="shared" si="55"/>
        <v>156</v>
      </c>
      <c r="AF120" s="581">
        <f t="shared" si="56"/>
        <v>117</v>
      </c>
      <c r="AG120" s="581">
        <f t="shared" si="57"/>
        <v>112</v>
      </c>
      <c r="AH120" s="581">
        <f t="shared" si="58"/>
        <v>119</v>
      </c>
      <c r="AI120" s="581">
        <f t="shared" si="59"/>
        <v>121</v>
      </c>
      <c r="AJ120" s="160"/>
    </row>
    <row r="121" spans="1:44" s="87" customFormat="1" ht="12.75" customHeight="1" x14ac:dyDescent="0.2">
      <c r="A121" s="488">
        <f>VLOOKUP(B121,Sheet1!$AQ$4:$AR$25,2,FALSE)</f>
        <v>0</v>
      </c>
      <c r="B121" s="93" t="str">
        <f t="shared" si="51"/>
        <v>Milton Keynes</v>
      </c>
      <c r="C121" s="85"/>
      <c r="D121" s="162">
        <f t="shared" si="52"/>
        <v>0.77777777777777779</v>
      </c>
      <c r="E121" s="162">
        <f t="shared" si="60"/>
        <v>0.82481751824817517</v>
      </c>
      <c r="F121" s="162">
        <f t="shared" si="61"/>
        <v>0.79865771812080533</v>
      </c>
      <c r="G121" s="162">
        <f t="shared" si="62"/>
        <v>0.81437125748502992</v>
      </c>
      <c r="H121" s="164">
        <f t="shared" si="63"/>
        <v>0.81818181818181823</v>
      </c>
      <c r="I121" s="443"/>
      <c r="J121" s="96"/>
      <c r="K121" s="96"/>
      <c r="L121" s="166"/>
      <c r="M121" s="166"/>
      <c r="N121" s="166"/>
      <c r="O121" s="166"/>
      <c r="P121" s="166"/>
      <c r="Q121" s="166"/>
      <c r="R121" s="166"/>
      <c r="S121" s="167"/>
      <c r="T121" s="159"/>
      <c r="U121" s="122"/>
      <c r="V121" s="139"/>
      <c r="W121" s="152"/>
      <c r="X121" s="372" t="str">
        <f t="shared" si="54"/>
        <v>Milton Keynes</v>
      </c>
      <c r="Y121" s="489">
        <f>IF(Year1_Milton_Keynes Year1_Care_Leavers_in_suitable_accommodation="","",Year1_Milton_Keynes Year1_Care_Leavers_in_suitable_accommodation)</f>
        <v>91</v>
      </c>
      <c r="Z121" s="372">
        <f>IF(Year2_Milton_Keynes Year2_Care_Leavers_in_suitable_accommodation="","",Year2_Milton_Keynes Year2_Care_Leavers_in_suitable_accommodation)</f>
        <v>113</v>
      </c>
      <c r="AA121" s="372">
        <f>IF(Year3_Milton_Keynes Year3_Care_Leavers_in_suitable_accommodation="","",Year3_Milton_Keynes Year3_Care_Leavers_in_suitable_accommodation)</f>
        <v>119</v>
      </c>
      <c r="AB121" s="372">
        <f>IF(Year4_Milton_Keynes Year4_Care_Leavers_in_suitable_accommodation="","",Year4_Milton_Keynes Year4_Care_Leavers_in_suitable_accommodation)</f>
        <v>136</v>
      </c>
      <c r="AC121" s="372">
        <f>IF(Year5_Milton_Keynes Year5_Care_Leavers_in_suitable_accommodation="","",Year5_Milton_Keynes Year5_Care_Leavers_in_suitable_accommodation)</f>
        <v>135</v>
      </c>
      <c r="AD121" s="577" t="str">
        <f t="shared" si="64"/>
        <v>Milton Keynes</v>
      </c>
      <c r="AE121" s="581">
        <f t="shared" si="55"/>
        <v>117</v>
      </c>
      <c r="AF121" s="581">
        <f t="shared" si="56"/>
        <v>137</v>
      </c>
      <c r="AG121" s="581">
        <f t="shared" si="57"/>
        <v>149</v>
      </c>
      <c r="AH121" s="581">
        <f t="shared" si="58"/>
        <v>167</v>
      </c>
      <c r="AI121" s="581">
        <f t="shared" si="59"/>
        <v>165</v>
      </c>
      <c r="AJ121" s="161"/>
    </row>
    <row r="122" spans="1:44" s="87" customFormat="1" ht="12.75" customHeight="1" x14ac:dyDescent="0.2">
      <c r="A122" s="488">
        <f>VLOOKUP(B122,Sheet1!$AQ$4:$AR$25,2,FALSE)</f>
        <v>0</v>
      </c>
      <c r="B122" s="93" t="str">
        <f t="shared" si="51"/>
        <v>Oxfordshire</v>
      </c>
      <c r="C122" s="85"/>
      <c r="D122" s="162">
        <f t="shared" si="52"/>
        <v>0.70472440944881887</v>
      </c>
      <c r="E122" s="162">
        <f t="shared" si="60"/>
        <v>0.80869565217391304</v>
      </c>
      <c r="F122" s="162">
        <f t="shared" si="61"/>
        <v>0.77272727272727271</v>
      </c>
      <c r="G122" s="162">
        <f t="shared" si="62"/>
        <v>0.74545454545454548</v>
      </c>
      <c r="H122" s="164">
        <f t="shared" si="63"/>
        <v>0.76975945017182135</v>
      </c>
      <c r="I122" s="443"/>
      <c r="J122" s="96"/>
      <c r="K122" s="96"/>
      <c r="L122" s="166"/>
      <c r="M122" s="166"/>
      <c r="N122" s="166"/>
      <c r="O122" s="166"/>
      <c r="P122" s="166"/>
      <c r="Q122" s="166"/>
      <c r="R122" s="166"/>
      <c r="S122" s="167"/>
      <c r="T122" s="159"/>
      <c r="U122" s="122"/>
      <c r="V122" s="139"/>
      <c r="W122" s="152"/>
      <c r="X122" s="372" t="str">
        <f t="shared" si="54"/>
        <v>Oxfordshire</v>
      </c>
      <c r="Y122" s="489">
        <f>IF(Year1_Oxfordshire Year1_Care_Leavers_in_suitable_accommodation="","",Year1_Oxfordshire Year1_Care_Leavers_in_suitable_accommodation)</f>
        <v>179</v>
      </c>
      <c r="Z122" s="372">
        <f>IF(Year2_Oxfordshire Year2_Care_Leavers_in_suitable_accommodation="","",Year2_Oxfordshire Year2_Care_Leavers_in_suitable_accommodation)</f>
        <v>186</v>
      </c>
      <c r="AA122" s="372">
        <f>IF(Year3_Oxfordshire Year3_Care_Leavers_in_suitable_accommodation="","",Year3_Oxfordshire Year3_Care_Leavers_in_suitable_accommodation)</f>
        <v>187</v>
      </c>
      <c r="AB122" s="372">
        <f>IF(Year4_Oxfordshire Year4_Care_Leavers_in_suitable_accommodation="","",Year4_Oxfordshire Year4_Care_Leavers_in_suitable_accommodation)</f>
        <v>205</v>
      </c>
      <c r="AC122" s="372">
        <f>IF(Year5_Oxfordshire Year5_Care_Leavers_in_suitable_accommodation="","",Year5_Oxfordshire Year5_Care_Leavers_in_suitable_accommodation)</f>
        <v>224</v>
      </c>
      <c r="AD122" s="577" t="str">
        <f t="shared" si="64"/>
        <v>Oxfordshire</v>
      </c>
      <c r="AE122" s="581">
        <f t="shared" si="55"/>
        <v>254</v>
      </c>
      <c r="AF122" s="581">
        <f t="shared" si="56"/>
        <v>230</v>
      </c>
      <c r="AG122" s="581">
        <f t="shared" si="57"/>
        <v>242</v>
      </c>
      <c r="AH122" s="581">
        <f t="shared" si="58"/>
        <v>275</v>
      </c>
      <c r="AI122" s="581">
        <f t="shared" si="59"/>
        <v>291</v>
      </c>
      <c r="AJ122" s="160"/>
    </row>
    <row r="123" spans="1:44" s="87" customFormat="1" ht="12.75" customHeight="1" x14ac:dyDescent="0.2">
      <c r="A123" s="488">
        <f>VLOOKUP(B123,Sheet1!$AQ$4:$AR$25,2,FALSE)</f>
        <v>0</v>
      </c>
      <c r="B123" s="93" t="str">
        <f t="shared" si="51"/>
        <v>Portsmouth</v>
      </c>
      <c r="C123" s="85"/>
      <c r="D123" s="162">
        <f t="shared" si="52"/>
        <v>0.63207547169811318</v>
      </c>
      <c r="E123" s="162">
        <f t="shared" si="60"/>
        <v>0.65486725663716816</v>
      </c>
      <c r="F123" s="162">
        <f t="shared" si="61"/>
        <v>0.69565217391304346</v>
      </c>
      <c r="G123" s="162">
        <f t="shared" si="62"/>
        <v>0.68292682926829273</v>
      </c>
      <c r="H123" s="164">
        <f t="shared" si="63"/>
        <v>0.70588235294117652</v>
      </c>
      <c r="I123" s="443"/>
      <c r="J123" s="96"/>
      <c r="K123" s="96"/>
      <c r="L123" s="166"/>
      <c r="M123" s="166"/>
      <c r="N123" s="166"/>
      <c r="O123" s="166"/>
      <c r="P123" s="166"/>
      <c r="Q123" s="166"/>
      <c r="R123" s="166"/>
      <c r="S123" s="167"/>
      <c r="T123" s="159"/>
      <c r="U123" s="122"/>
      <c r="V123" s="139"/>
      <c r="W123" s="152"/>
      <c r="X123" s="372" t="str">
        <f t="shared" si="54"/>
        <v>Portsmouth</v>
      </c>
      <c r="Y123" s="489">
        <f>IF(Year1_Portsmouth Year1_Care_Leavers_in_suitable_accommodation="","",Year1_Portsmouth Year1_Care_Leavers_in_suitable_accommodation)</f>
        <v>67</v>
      </c>
      <c r="Z123" s="372">
        <f>IF(Year2_Portsmouth Year2_Care_Leavers_in_suitable_accommodation="","",Year2_Portsmouth Year2_Care_Leavers_in_suitable_accommodation)</f>
        <v>74</v>
      </c>
      <c r="AA123" s="372">
        <f>IF(Year3_Portsmouth Year3_Care_Leavers_in_suitable_accommodation="","",Year3_Portsmouth Year3_Care_Leavers_in_suitable_accommodation)</f>
        <v>80</v>
      </c>
      <c r="AB123" s="372">
        <f>IF(Year4_Portsmouth Year4_Care_Leavers_in_suitable_accommodation="","",Year4_Portsmouth Year4_Care_Leavers_in_suitable_accommodation)</f>
        <v>84</v>
      </c>
      <c r="AC123" s="372">
        <f>IF(Year5_Portsmouth Year5_Care_Leavers_in_suitable_accommodation="","",Year5_Portsmouth Year5_Care_Leavers_in_suitable_accommodation)</f>
        <v>108</v>
      </c>
      <c r="AD123" s="577" t="str">
        <f t="shared" si="64"/>
        <v>Portsmouth</v>
      </c>
      <c r="AE123" s="581">
        <f t="shared" si="55"/>
        <v>106</v>
      </c>
      <c r="AF123" s="581">
        <f t="shared" si="56"/>
        <v>113</v>
      </c>
      <c r="AG123" s="581">
        <f t="shared" si="57"/>
        <v>115</v>
      </c>
      <c r="AH123" s="581">
        <f t="shared" si="58"/>
        <v>123</v>
      </c>
      <c r="AI123" s="581">
        <f t="shared" si="59"/>
        <v>153</v>
      </c>
      <c r="AJ123" s="161"/>
    </row>
    <row r="124" spans="1:44" s="87" customFormat="1" ht="12.75" customHeight="1" x14ac:dyDescent="0.2">
      <c r="A124" s="488">
        <f>VLOOKUP(B124,Sheet1!$AQ$4:$AR$25,2,FALSE)</f>
        <v>0</v>
      </c>
      <c r="B124" s="93" t="str">
        <f t="shared" si="51"/>
        <v>Reading</v>
      </c>
      <c r="C124" s="85"/>
      <c r="D124" s="162">
        <f t="shared" si="52"/>
        <v>0.8970588235294118</v>
      </c>
      <c r="E124" s="162">
        <f t="shared" si="60"/>
        <v>0.88461538461538458</v>
      </c>
      <c r="F124" s="162">
        <f t="shared" si="61"/>
        <v>0.7816091954022989</v>
      </c>
      <c r="G124" s="162">
        <f t="shared" si="62"/>
        <v>0.87755102040816324</v>
      </c>
      <c r="H124" s="164">
        <f t="shared" si="63"/>
        <v>0.84158415841584155</v>
      </c>
      <c r="I124" s="443"/>
      <c r="J124" s="96"/>
      <c r="K124" s="96"/>
      <c r="L124" s="166"/>
      <c r="M124" s="166"/>
      <c r="N124" s="166"/>
      <c r="O124" s="166"/>
      <c r="P124" s="166"/>
      <c r="Q124" s="166"/>
      <c r="R124" s="166"/>
      <c r="S124" s="167"/>
      <c r="T124" s="159"/>
      <c r="U124" s="122"/>
      <c r="V124" s="139"/>
      <c r="W124" s="152"/>
      <c r="X124" s="372" t="str">
        <f t="shared" si="54"/>
        <v>Reading</v>
      </c>
      <c r="Y124" s="489">
        <f>IF(Year1_Reading Year1_Care_Leavers_in_suitable_accommodation="","",Year1_Reading Year1_Care_Leavers_in_suitable_accommodation)</f>
        <v>61</v>
      </c>
      <c r="Z124" s="372">
        <f>IF(Year2_Reading Year2_Care_Leavers_in_suitable_accommodation="","",Year2_Reading Year2_Care_Leavers_in_suitable_accommodation)</f>
        <v>69</v>
      </c>
      <c r="AA124" s="372">
        <f>IF(Year3_Reading Year3_Care_Leavers_in_suitable_accommodation="","",Year3_Reading Year3_Care_Leavers_in_suitable_accommodation)</f>
        <v>68</v>
      </c>
      <c r="AB124" s="372">
        <f>IF(Year4_Reading Year4_Care_Leavers_in_suitable_accommodation="","",Year4_Reading Year4_Care_Leavers_in_suitable_accommodation)</f>
        <v>86</v>
      </c>
      <c r="AC124" s="372">
        <f>IF(Year5_Reading Year5_Care_Leavers_in_suitable_accommodation="","",Year5_Reading Year5_Care_Leavers_in_suitable_accommodation)</f>
        <v>85</v>
      </c>
      <c r="AD124" s="577" t="str">
        <f t="shared" si="64"/>
        <v>Reading</v>
      </c>
      <c r="AE124" s="581">
        <f t="shared" si="55"/>
        <v>68</v>
      </c>
      <c r="AF124" s="581">
        <f t="shared" si="56"/>
        <v>78</v>
      </c>
      <c r="AG124" s="581">
        <f t="shared" si="57"/>
        <v>87</v>
      </c>
      <c r="AH124" s="581">
        <f t="shared" si="58"/>
        <v>98</v>
      </c>
      <c r="AI124" s="581">
        <f t="shared" si="59"/>
        <v>101</v>
      </c>
      <c r="AJ124" s="160"/>
    </row>
    <row r="125" spans="1:44" s="87" customFormat="1" ht="12.75" customHeight="1" x14ac:dyDescent="0.2">
      <c r="A125" s="488">
        <f>VLOOKUP(B125,Sheet1!$AQ$4:$AR$25,2,FALSE)</f>
        <v>0</v>
      </c>
      <c r="B125" s="93" t="str">
        <f t="shared" si="51"/>
        <v>Slough</v>
      </c>
      <c r="C125" s="85"/>
      <c r="D125" s="162">
        <f t="shared" si="52"/>
        <v>0.6741573033707865</v>
      </c>
      <c r="E125" s="162">
        <f t="shared" si="60"/>
        <v>0.68674698795180722</v>
      </c>
      <c r="F125" s="162">
        <f t="shared" si="61"/>
        <v>0.6741573033707865</v>
      </c>
      <c r="G125" s="162">
        <f t="shared" si="62"/>
        <v>0.7931034482758621</v>
      </c>
      <c r="H125" s="164">
        <f t="shared" si="63"/>
        <v>0.79569892473118276</v>
      </c>
      <c r="I125" s="443"/>
      <c r="J125" s="96"/>
      <c r="K125" s="96"/>
      <c r="L125" s="166"/>
      <c r="M125" s="166"/>
      <c r="N125" s="166"/>
      <c r="O125" s="166"/>
      <c r="P125" s="166"/>
      <c r="Q125" s="166"/>
      <c r="R125" s="166"/>
      <c r="S125" s="167"/>
      <c r="T125" s="159"/>
      <c r="U125" s="122"/>
      <c r="V125" s="139"/>
      <c r="W125" s="152"/>
      <c r="X125" s="372" t="str">
        <f t="shared" si="54"/>
        <v>Slough</v>
      </c>
      <c r="Y125" s="489">
        <f>IF(Year1_Slough Year1_Care_Leavers_in_suitable_accommodation="","",Year1_Slough Year1_Care_Leavers_in_suitable_accommodation)</f>
        <v>60</v>
      </c>
      <c r="Z125" s="372">
        <f>IF(Year2_Slough Year2_Care_Leavers_in_suitable_accommodation="","",Year2_Slough Year2_Care_Leavers_in_suitable_accommodation)</f>
        <v>57</v>
      </c>
      <c r="AA125" s="372">
        <f>IF(Year3_Slough Year3_Care_Leavers_in_suitable_accommodation="","",Year3_Slough Year3_Care_Leavers_in_suitable_accommodation)</f>
        <v>60</v>
      </c>
      <c r="AB125" s="372">
        <f>IF(Year4_Slough Year4_Care_Leavers_in_suitable_accommodation="","",Year4_Slough Year4_Care_Leavers_in_suitable_accommodation)</f>
        <v>69</v>
      </c>
      <c r="AC125" s="372">
        <f>IF(Year5_Slough Year5_Care_Leavers_in_suitable_accommodation="","",Year5_Slough Year5_Care_Leavers_in_suitable_accommodation)</f>
        <v>74</v>
      </c>
      <c r="AD125" s="577" t="str">
        <f t="shared" si="64"/>
        <v>Slough</v>
      </c>
      <c r="AE125" s="581">
        <f t="shared" si="55"/>
        <v>89</v>
      </c>
      <c r="AF125" s="581">
        <f t="shared" si="56"/>
        <v>83</v>
      </c>
      <c r="AG125" s="581">
        <f t="shared" si="57"/>
        <v>89</v>
      </c>
      <c r="AH125" s="581">
        <f t="shared" si="58"/>
        <v>87</v>
      </c>
      <c r="AI125" s="581">
        <f t="shared" si="59"/>
        <v>93</v>
      </c>
      <c r="AJ125" s="161"/>
    </row>
    <row r="126" spans="1:44" s="87" customFormat="1" ht="12.75" customHeight="1" x14ac:dyDescent="0.2">
      <c r="A126" s="488">
        <f>VLOOKUP(B126,Sheet1!$AQ$4:$AR$25,2,FALSE)</f>
        <v>0</v>
      </c>
      <c r="B126" s="93" t="str">
        <f t="shared" si="51"/>
        <v>Somerset</v>
      </c>
      <c r="C126" s="85"/>
      <c r="D126" s="162">
        <f t="shared" si="52"/>
        <v>0.88846153846153841</v>
      </c>
      <c r="E126" s="162">
        <f t="shared" si="60"/>
        <v>0.92272727272727273</v>
      </c>
      <c r="F126" s="162">
        <f t="shared" si="61"/>
        <v>0.93034825870646765</v>
      </c>
      <c r="G126" s="162" t="e">
        <f t="shared" si="62"/>
        <v>#N/A</v>
      </c>
      <c r="H126" s="164">
        <f t="shared" si="63"/>
        <v>0.95215311004784686</v>
      </c>
      <c r="I126" s="443"/>
      <c r="J126" s="96"/>
      <c r="K126" s="96"/>
      <c r="L126" s="166"/>
      <c r="M126" s="166"/>
      <c r="N126" s="166"/>
      <c r="O126" s="166"/>
      <c r="P126" s="166"/>
      <c r="Q126" s="166"/>
      <c r="R126" s="166"/>
      <c r="S126" s="167"/>
      <c r="T126" s="159"/>
      <c r="U126" s="122"/>
      <c r="V126" s="139"/>
      <c r="W126" s="152"/>
      <c r="X126" s="372" t="str">
        <f t="shared" si="54"/>
        <v>Somerset</v>
      </c>
      <c r="Y126" s="489">
        <f>IF(Year1_Somerset Year1_Care_Leavers_in_suitable_accommodation="","",Year1_Somerset Year1_Care_Leavers_in_suitable_accommodation)</f>
        <v>231</v>
      </c>
      <c r="Z126" s="372">
        <f>IF(Year2_Somerset Year2_Care_Leavers_in_suitable_accommodation="","",Year2_Somerset Year2_Care_Leavers_in_suitable_accommodation)</f>
        <v>203</v>
      </c>
      <c r="AA126" s="372">
        <f>IF(Year3_Somerset Year3_Care_Leavers_in_suitable_accommodation="","",Year3_Somerset Year3_Care_Leavers_in_suitable_accommodation)</f>
        <v>187</v>
      </c>
      <c r="AB126" s="372" t="str">
        <f>IF(Year4_Somerset Year4_Care_Leavers_in_suitable_accommodation="","",Year4_Somerset Year4_Care_Leavers_in_suitable_accommodation)</f>
        <v>x</v>
      </c>
      <c r="AC126" s="372">
        <f>IF(Year5_Somerset Year5_Care_Leavers_in_suitable_accommodation="","",Year5_Somerset Year5_Care_Leavers_in_suitable_accommodation)</f>
        <v>199</v>
      </c>
      <c r="AD126" s="577" t="str">
        <f t="shared" si="64"/>
        <v>Somerset</v>
      </c>
      <c r="AE126" s="581">
        <f t="shared" si="55"/>
        <v>260</v>
      </c>
      <c r="AF126" s="581">
        <f t="shared" si="56"/>
        <v>220</v>
      </c>
      <c r="AG126" s="581">
        <f t="shared" si="57"/>
        <v>201</v>
      </c>
      <c r="AH126" s="581">
        <f t="shared" si="58"/>
        <v>181</v>
      </c>
      <c r="AI126" s="581">
        <f t="shared" si="59"/>
        <v>209</v>
      </c>
      <c r="AJ126" s="160"/>
    </row>
    <row r="127" spans="1:44" s="87" customFormat="1" ht="12.75" customHeight="1" x14ac:dyDescent="0.2">
      <c r="A127" s="488">
        <f>VLOOKUP(B127,Sheet1!$AQ$4:$AR$25,2,FALSE)</f>
        <v>0</v>
      </c>
      <c r="B127" s="93" t="str">
        <f t="shared" si="51"/>
        <v>Southampton</v>
      </c>
      <c r="C127" s="85"/>
      <c r="D127" s="162">
        <f t="shared" si="52"/>
        <v>0.63076923076923075</v>
      </c>
      <c r="E127" s="162">
        <f t="shared" si="60"/>
        <v>0.77419354838709675</v>
      </c>
      <c r="F127" s="162">
        <f t="shared" si="61"/>
        <v>0.79838709677419351</v>
      </c>
      <c r="G127" s="162">
        <f t="shared" si="62"/>
        <v>0.83464566929133854</v>
      </c>
      <c r="H127" s="164">
        <f t="shared" si="63"/>
        <v>0.79389312977099236</v>
      </c>
      <c r="I127" s="443"/>
      <c r="J127" s="96"/>
      <c r="K127" s="96"/>
      <c r="L127" s="166"/>
      <c r="M127" s="166"/>
      <c r="N127" s="166"/>
      <c r="O127" s="166"/>
      <c r="P127" s="166"/>
      <c r="Q127" s="166"/>
      <c r="R127" s="166"/>
      <c r="S127" s="167"/>
      <c r="T127" s="159"/>
      <c r="U127" s="122"/>
      <c r="V127" s="139"/>
      <c r="W127" s="152"/>
      <c r="X127" s="372" t="str">
        <f t="shared" si="54"/>
        <v>Southampton</v>
      </c>
      <c r="Y127" s="489">
        <f>IF(Year1_Southampton Year1_Care_Leavers_in_suitable_accommodation="","",Year1_Southampton Year1_Care_Leavers_in_suitable_accommodation)</f>
        <v>82</v>
      </c>
      <c r="Z127" s="372">
        <f>IF(Year2_Southampton Year2_Care_Leavers_in_suitable_accommodation="","",Year2_Southampton Year2_Care_Leavers_in_suitable_accommodation)</f>
        <v>96</v>
      </c>
      <c r="AA127" s="372">
        <f>IF(Year3_Southampton Year3_Care_Leavers_in_suitable_accommodation="","",Year3_Southampton Year3_Care_Leavers_in_suitable_accommodation)</f>
        <v>99</v>
      </c>
      <c r="AB127" s="372">
        <f>IF(Year4_Southampton Year4_Care_Leavers_in_suitable_accommodation="","",Year4_Southampton Year4_Care_Leavers_in_suitable_accommodation)</f>
        <v>106</v>
      </c>
      <c r="AC127" s="372">
        <f>IF(Year5_Southampton Year5_Care_Leavers_in_suitable_accommodation="","",Year5_Southampton Year5_Care_Leavers_in_suitable_accommodation)</f>
        <v>104</v>
      </c>
      <c r="AD127" s="577" t="str">
        <f t="shared" si="64"/>
        <v>Southampton</v>
      </c>
      <c r="AE127" s="581">
        <f t="shared" si="55"/>
        <v>130</v>
      </c>
      <c r="AF127" s="581">
        <f t="shared" si="56"/>
        <v>124</v>
      </c>
      <c r="AG127" s="581">
        <f t="shared" si="57"/>
        <v>124</v>
      </c>
      <c r="AH127" s="581">
        <f t="shared" si="58"/>
        <v>127</v>
      </c>
      <c r="AI127" s="581">
        <f t="shared" si="59"/>
        <v>131</v>
      </c>
      <c r="AJ127" s="161"/>
    </row>
    <row r="128" spans="1:44" s="87" customFormat="1" ht="12.75" customHeight="1" x14ac:dyDescent="0.2">
      <c r="A128" s="488">
        <f>VLOOKUP(B128,Sheet1!$AQ$4:$AR$25,2,FALSE)</f>
        <v>0</v>
      </c>
      <c r="B128" s="93" t="str">
        <f t="shared" si="51"/>
        <v>Surrey</v>
      </c>
      <c r="C128" s="85"/>
      <c r="D128" s="162">
        <f t="shared" si="52"/>
        <v>0.84297520661157022</v>
      </c>
      <c r="E128" s="162">
        <f t="shared" si="60"/>
        <v>0.83421052631578951</v>
      </c>
      <c r="F128" s="162">
        <f t="shared" si="61"/>
        <v>0.81578947368421051</v>
      </c>
      <c r="G128" s="162">
        <f t="shared" si="62"/>
        <v>0.84842105263157896</v>
      </c>
      <c r="H128" s="164">
        <f t="shared" si="63"/>
        <v>0.78210116731517509</v>
      </c>
      <c r="I128" s="443"/>
      <c r="J128" s="96"/>
      <c r="K128" s="96"/>
      <c r="L128" s="166"/>
      <c r="M128" s="166"/>
      <c r="N128" s="166"/>
      <c r="O128" s="166"/>
      <c r="P128" s="166"/>
      <c r="Q128" s="166"/>
      <c r="R128" s="166"/>
      <c r="S128" s="167"/>
      <c r="T128" s="159"/>
      <c r="U128" s="122"/>
      <c r="V128" s="139"/>
      <c r="W128" s="152"/>
      <c r="X128" s="372" t="str">
        <f t="shared" si="54"/>
        <v>Surrey</v>
      </c>
      <c r="Y128" s="489">
        <f>IF(Year1_Surrey Year1_Care_Leavers_in_suitable_accommodation="","",Year1_Surrey Year1_Care_Leavers_in_suitable_accommodation)</f>
        <v>306</v>
      </c>
      <c r="Z128" s="372">
        <f>IF(Year2_Surrey Year2_Care_Leavers_in_suitable_accommodation="","",Year2_Surrey Year2_Care_Leavers_in_suitable_accommodation)</f>
        <v>317</v>
      </c>
      <c r="AA128" s="372">
        <f>IF(Year3_Surrey Year3_Care_Leavers_in_suitable_accommodation="","",Year3_Surrey Year3_Care_Leavers_in_suitable_accommodation)</f>
        <v>341</v>
      </c>
      <c r="AB128" s="372">
        <f>IF(Year4_Surrey Year4_Care_Leavers_in_suitable_accommodation="","",Year4_Surrey Year4_Care_Leavers_in_suitable_accommodation)</f>
        <v>403</v>
      </c>
      <c r="AC128" s="372">
        <f>IF(Year5_Surrey Year5_Care_Leavers_in_suitable_accommodation="","",Year5_Surrey Year5_Care_Leavers_in_suitable_accommodation)</f>
        <v>402</v>
      </c>
      <c r="AD128" s="577" t="str">
        <f t="shared" si="64"/>
        <v>Surrey</v>
      </c>
      <c r="AE128" s="581">
        <f t="shared" si="55"/>
        <v>363</v>
      </c>
      <c r="AF128" s="581">
        <f t="shared" si="56"/>
        <v>380</v>
      </c>
      <c r="AG128" s="581">
        <f t="shared" si="57"/>
        <v>418</v>
      </c>
      <c r="AH128" s="581">
        <f t="shared" si="58"/>
        <v>475</v>
      </c>
      <c r="AI128" s="581">
        <f t="shared" si="59"/>
        <v>514</v>
      </c>
      <c r="AJ128" s="160"/>
    </row>
    <row r="129" spans="1:45" s="87" customFormat="1" ht="12.75" customHeight="1" x14ac:dyDescent="0.2">
      <c r="A129" s="488">
        <f>VLOOKUP(B129,Sheet1!$AQ$4:$AR$25,2,FALSE)</f>
        <v>0</v>
      </c>
      <c r="B129" s="93" t="str">
        <f t="shared" si="51"/>
        <v>Swindon</v>
      </c>
      <c r="C129" s="85"/>
      <c r="D129" s="162">
        <f t="shared" si="52"/>
        <v>0.84507042253521125</v>
      </c>
      <c r="E129" s="162">
        <f t="shared" si="60"/>
        <v>0.83464566929133854</v>
      </c>
      <c r="F129" s="162">
        <f t="shared" si="61"/>
        <v>0.88709677419354838</v>
      </c>
      <c r="G129" s="162">
        <f t="shared" si="62"/>
        <v>0.82222222222222219</v>
      </c>
      <c r="H129" s="164">
        <f t="shared" si="63"/>
        <v>0.8098591549295775</v>
      </c>
      <c r="I129" s="443"/>
      <c r="J129" s="96"/>
      <c r="K129" s="96"/>
      <c r="L129" s="166"/>
      <c r="M129" s="166"/>
      <c r="N129" s="166"/>
      <c r="O129" s="166"/>
      <c r="P129" s="166"/>
      <c r="Q129" s="166"/>
      <c r="R129" s="166"/>
      <c r="S129" s="167"/>
      <c r="T129" s="159"/>
      <c r="U129" s="122"/>
      <c r="V129" s="139"/>
      <c r="W129" s="152"/>
      <c r="X129" s="372" t="str">
        <f t="shared" si="54"/>
        <v>Swindon</v>
      </c>
      <c r="Y129" s="489">
        <f>IF(Year1_Swindon Year1_Care_Leavers_in_suitable_accommodation="","",Year1_Swindon Year1_Care_Leavers_in_suitable_accommodation)</f>
        <v>120</v>
      </c>
      <c r="Z129" s="372">
        <f>IF(Year2_Swindon Year2_Care_Leavers_in_suitable_accommodation="","",Year2_Swindon Year2_Care_Leavers_in_suitable_accommodation)</f>
        <v>106</v>
      </c>
      <c r="AA129" s="372">
        <f>IF(Year3_Swindon Year3_Care_Leavers_in_suitable_accommodation="","",Year3_Swindon Year3_Care_Leavers_in_suitable_accommodation)</f>
        <v>110</v>
      </c>
      <c r="AB129" s="372">
        <f>IF(Year4_Swindon Year4_Care_Leavers_in_suitable_accommodation="","",Year4_Swindon Year4_Care_Leavers_in_suitable_accommodation)</f>
        <v>111</v>
      </c>
      <c r="AC129" s="372">
        <f>IF(Year5_Swindon Year5_Care_Leavers_in_suitable_accommodation="","",Year5_Swindon Year5_Care_Leavers_in_suitable_accommodation)</f>
        <v>115</v>
      </c>
      <c r="AD129" s="577" t="str">
        <f t="shared" si="64"/>
        <v>Swindon</v>
      </c>
      <c r="AE129" s="581">
        <f t="shared" si="55"/>
        <v>142</v>
      </c>
      <c r="AF129" s="581">
        <f t="shared" si="56"/>
        <v>127</v>
      </c>
      <c r="AG129" s="581">
        <f t="shared" si="57"/>
        <v>124</v>
      </c>
      <c r="AH129" s="581">
        <f t="shared" si="58"/>
        <v>135</v>
      </c>
      <c r="AI129" s="581">
        <f t="shared" si="59"/>
        <v>142</v>
      </c>
      <c r="AJ129" s="161"/>
    </row>
    <row r="130" spans="1:45" s="87" customFormat="1" ht="12.75" customHeight="1" x14ac:dyDescent="0.2">
      <c r="A130" s="488">
        <f>VLOOKUP(B130,Sheet1!$AQ$4:$AR$25,2,FALSE)</f>
        <v>0</v>
      </c>
      <c r="B130" s="93" t="str">
        <f t="shared" si="51"/>
        <v>Torbay</v>
      </c>
      <c r="C130" s="85"/>
      <c r="D130" s="162">
        <f t="shared" si="52"/>
        <v>0.9375</v>
      </c>
      <c r="E130" s="162">
        <f t="shared" si="60"/>
        <v>0.94680851063829785</v>
      </c>
      <c r="F130" s="162" t="e">
        <f t="shared" si="61"/>
        <v>#N/A</v>
      </c>
      <c r="G130" s="162">
        <f t="shared" si="62"/>
        <v>0.91346153846153844</v>
      </c>
      <c r="H130" s="164">
        <f t="shared" si="63"/>
        <v>0.89655172413793105</v>
      </c>
      <c r="I130" s="443"/>
      <c r="J130" s="96"/>
      <c r="K130" s="96"/>
      <c r="L130" s="166"/>
      <c r="M130" s="166"/>
      <c r="N130" s="166"/>
      <c r="O130" s="166"/>
      <c r="P130" s="166"/>
      <c r="Q130" s="166"/>
      <c r="R130" s="166"/>
      <c r="S130" s="167"/>
      <c r="T130" s="159"/>
      <c r="U130" s="122"/>
      <c r="V130" s="139"/>
      <c r="W130" s="152"/>
      <c r="X130" s="372" t="str">
        <f t="shared" si="54"/>
        <v>Torbay</v>
      </c>
      <c r="Y130" s="489">
        <f>IF(Year1_Torbay Year1_Care_Leavers_in_suitable_accommodation="","",Year1_Torbay Year1_Care_Leavers_in_suitable_accommodation)</f>
        <v>90</v>
      </c>
      <c r="Z130" s="372">
        <f>IF(Year2_Torbay Year2_Care_Leavers_in_suitable_accommodation="","",Year2_Torbay Year2_Care_Leavers_in_suitable_accommodation)</f>
        <v>89</v>
      </c>
      <c r="AA130" s="372" t="str">
        <f>IF(Year3_Torbay Year3_Care_Leavers_in_suitable_accommodation="","",Year3_Torbay Year3_Care_Leavers_in_suitable_accommodation)</f>
        <v>x</v>
      </c>
      <c r="AB130" s="372">
        <f>IF(Year4_Torbay Year4_Care_Leavers_in_suitable_accommodation="","",Year4_Torbay Year4_Care_Leavers_in_suitable_accommodation)</f>
        <v>95</v>
      </c>
      <c r="AC130" s="372">
        <f>IF(Year5_Torbay Year5_Care_Leavers_in_suitable_accommodation="","",Year5_Torbay Year5_Care_Leavers_in_suitable_accommodation)</f>
        <v>104</v>
      </c>
      <c r="AD130" s="577" t="str">
        <f t="shared" si="64"/>
        <v>Torbay</v>
      </c>
      <c r="AE130" s="581">
        <f t="shared" si="55"/>
        <v>96</v>
      </c>
      <c r="AF130" s="581">
        <f t="shared" si="56"/>
        <v>94</v>
      </c>
      <c r="AG130" s="581">
        <f t="shared" si="57"/>
        <v>107</v>
      </c>
      <c r="AH130" s="581">
        <f t="shared" si="58"/>
        <v>104</v>
      </c>
      <c r="AI130" s="581">
        <f t="shared" si="59"/>
        <v>116</v>
      </c>
      <c r="AJ130" s="160"/>
    </row>
    <row r="131" spans="1:45" s="87" customFormat="1" ht="12.75" customHeight="1" x14ac:dyDescent="0.2">
      <c r="A131" s="488">
        <f>VLOOKUP(B131,Sheet1!$AQ$4:$AR$25,2,FALSE)</f>
        <v>0</v>
      </c>
      <c r="B131" s="93" t="str">
        <f t="shared" si="51"/>
        <v>West Berkshire</v>
      </c>
      <c r="C131" s="85"/>
      <c r="D131" s="162">
        <f t="shared" si="52"/>
        <v>0.69090909090909092</v>
      </c>
      <c r="E131" s="162">
        <f t="shared" si="60"/>
        <v>0.6428571428571429</v>
      </c>
      <c r="F131" s="162">
        <f t="shared" si="61"/>
        <v>0.70512820512820518</v>
      </c>
      <c r="G131" s="162" t="e">
        <f t="shared" si="62"/>
        <v>#N/A</v>
      </c>
      <c r="H131" s="164" t="e">
        <f t="shared" si="63"/>
        <v>#N/A</v>
      </c>
      <c r="I131" s="443"/>
      <c r="J131" s="96"/>
      <c r="K131" s="96"/>
      <c r="L131" s="166"/>
      <c r="M131" s="166"/>
      <c r="N131" s="166"/>
      <c r="O131" s="166"/>
      <c r="P131" s="166"/>
      <c r="Q131" s="166"/>
      <c r="R131" s="166"/>
      <c r="S131" s="167"/>
      <c r="T131" s="159"/>
      <c r="U131" s="122"/>
      <c r="V131" s="139"/>
      <c r="W131" s="152"/>
      <c r="X131" s="372" t="str">
        <f t="shared" si="54"/>
        <v>West Berkshire</v>
      </c>
      <c r="Y131" s="489">
        <f>IF(Year1_West_Berkshire Year1_Care_Leavers_in_suitable_accommodation="","",Year1_West_Berkshire Year1_Care_Leavers_in_suitable_accommodation)</f>
        <v>38</v>
      </c>
      <c r="Z131" s="372">
        <f>IF(Year2_West_Berkshire Year2_Care_Leavers_in_suitable_accommodation="","",Year2_West_Berkshire Year2_Care_Leavers_in_suitable_accommodation)</f>
        <v>36</v>
      </c>
      <c r="AA131" s="372">
        <f>IF(Year3_West_Berkshire Year3_Care_Leavers_in_suitable_accommodation="","",Year3_West_Berkshire Year3_Care_Leavers_in_suitable_accommodation)</f>
        <v>55</v>
      </c>
      <c r="AB131" s="372" t="str">
        <f>IF(Year4_West_Berkshire Year4_Care_Leavers_in_suitable_accommodation="","",Year4_West_Berkshire Year4_Care_Leavers_in_suitable_accommodation)</f>
        <v>x</v>
      </c>
      <c r="AC131" s="580" t="str">
        <f>IF(Year5_West_Berkshire Year5_Care_Leavers_in_suitable_accommodation="","",Year5_West_Berkshire Year5_Care_Leavers_in_suitable_accommodation)</f>
        <v>c</v>
      </c>
      <c r="AD131" s="577" t="str">
        <f t="shared" si="64"/>
        <v>West Berkshire</v>
      </c>
      <c r="AE131" s="581">
        <f t="shared" si="55"/>
        <v>55</v>
      </c>
      <c r="AF131" s="581">
        <f t="shared" si="56"/>
        <v>56</v>
      </c>
      <c r="AG131" s="581">
        <f t="shared" si="57"/>
        <v>78</v>
      </c>
      <c r="AH131" s="581">
        <f t="shared" si="58"/>
        <v>76</v>
      </c>
      <c r="AI131" s="581">
        <f t="shared" si="59"/>
        <v>80</v>
      </c>
      <c r="AJ131" s="161"/>
    </row>
    <row r="132" spans="1:45" s="87" customFormat="1" ht="12.75" customHeight="1" x14ac:dyDescent="0.2">
      <c r="A132" s="488">
        <f>VLOOKUP(B132,Sheet1!$AQ$4:$AR$25,2,FALSE)</f>
        <v>0</v>
      </c>
      <c r="B132" s="93" t="str">
        <f t="shared" si="51"/>
        <v>West Sussex</v>
      </c>
      <c r="C132" s="85"/>
      <c r="D132" s="162">
        <f t="shared" si="52"/>
        <v>0.84918032786885245</v>
      </c>
      <c r="E132" s="162">
        <f t="shared" si="60"/>
        <v>0.90342679127725856</v>
      </c>
      <c r="F132" s="162">
        <f t="shared" si="61"/>
        <v>0.91379310344827591</v>
      </c>
      <c r="G132" s="162">
        <f t="shared" si="62"/>
        <v>0.87603305785123964</v>
      </c>
      <c r="H132" s="164">
        <f t="shared" si="63"/>
        <v>0.86178861788617889</v>
      </c>
      <c r="I132" s="443"/>
      <c r="J132" s="96"/>
      <c r="K132" s="96"/>
      <c r="L132" s="166"/>
      <c r="M132" s="166"/>
      <c r="N132" s="166"/>
      <c r="O132" s="166"/>
      <c r="P132" s="166"/>
      <c r="Q132" s="166"/>
      <c r="R132" s="166"/>
      <c r="S132" s="167"/>
      <c r="T132" s="159"/>
      <c r="U132" s="122"/>
      <c r="V132" s="139"/>
      <c r="W132" s="152"/>
      <c r="X132" s="372" t="str">
        <f t="shared" si="54"/>
        <v>West Sussex</v>
      </c>
      <c r="Y132" s="489">
        <f>IF(Year1_West_Sussex Year1_Care_Leavers_in_suitable_accommodation="","",Year1_West_Sussex Year1_Care_Leavers_in_suitable_accommodation)</f>
        <v>259</v>
      </c>
      <c r="Z132" s="372">
        <f>IF(Year2_West_Sussex Year2_Care_Leavers_in_suitable_accommodation="","",Year2_West_Sussex Year2_Care_Leavers_in_suitable_accommodation)</f>
        <v>290</v>
      </c>
      <c r="AA132" s="372">
        <f>IF(Year3_West_Sussex Year3_Care_Leavers_in_suitable_accommodation="","",Year3_West_Sussex Year3_Care_Leavers_in_suitable_accommodation)</f>
        <v>318</v>
      </c>
      <c r="AB132" s="372">
        <f>IF(Year4_West_Sussex Year4_Care_Leavers_in_suitable_accommodation="","",Year4_West_Sussex Year4_Care_Leavers_in_suitable_accommodation)</f>
        <v>318</v>
      </c>
      <c r="AC132" s="580">
        <f>IF(Year5_West_Sussex Year5_Care_Leavers_in_suitable_accommodation="","",Year5_West_Sussex Year5_Care_Leavers_in_suitable_accommodation)</f>
        <v>318</v>
      </c>
      <c r="AD132" s="577" t="str">
        <f t="shared" si="64"/>
        <v>West Sussex</v>
      </c>
      <c r="AE132" s="581">
        <f t="shared" si="55"/>
        <v>305</v>
      </c>
      <c r="AF132" s="581">
        <f t="shared" si="56"/>
        <v>321</v>
      </c>
      <c r="AG132" s="581">
        <f t="shared" si="57"/>
        <v>348</v>
      </c>
      <c r="AH132" s="581">
        <f t="shared" si="58"/>
        <v>363</v>
      </c>
      <c r="AI132" s="581">
        <f t="shared" si="59"/>
        <v>369</v>
      </c>
      <c r="AJ132" s="160"/>
    </row>
    <row r="133" spans="1:45" s="87" customFormat="1" ht="12.75" customHeight="1" x14ac:dyDescent="0.2">
      <c r="A133" s="488">
        <f>VLOOKUP(B133,Sheet1!$AQ$4:$AR$25,2,FALSE)</f>
        <v>0</v>
      </c>
      <c r="B133" s="93" t="str">
        <f t="shared" si="51"/>
        <v>Windsor &amp; Maidenhead</v>
      </c>
      <c r="C133" s="85"/>
      <c r="D133" s="162">
        <f t="shared" si="52"/>
        <v>0.69047619047619047</v>
      </c>
      <c r="E133" s="162">
        <f t="shared" si="60"/>
        <v>0.77777777777777779</v>
      </c>
      <c r="F133" s="162">
        <f t="shared" si="61"/>
        <v>0.6875</v>
      </c>
      <c r="G133" s="162">
        <f t="shared" si="62"/>
        <v>0.875</v>
      </c>
      <c r="H133" s="164">
        <f t="shared" si="63"/>
        <v>0.8035714285714286</v>
      </c>
      <c r="I133" s="443"/>
      <c r="J133" s="96"/>
      <c r="K133" s="96"/>
      <c r="L133" s="166"/>
      <c r="M133" s="166"/>
      <c r="N133" s="166"/>
      <c r="O133" s="166"/>
      <c r="P133" s="166"/>
      <c r="Q133" s="166"/>
      <c r="R133" s="166"/>
      <c r="S133" s="167"/>
      <c r="T133" s="159"/>
      <c r="U133" s="122"/>
      <c r="V133" s="139"/>
      <c r="W133" s="152"/>
      <c r="X133" s="372" t="str">
        <f t="shared" si="54"/>
        <v>Windsor &amp; Maidenhead</v>
      </c>
      <c r="Y133" s="489">
        <f>IF(Year1_Windsor_Maidenhead Year1_Care_Leavers_in_suitable_accommodation="","",Year1_Windsor_Maidenhead Year1_Care_Leavers_in_suitable_accommodation)</f>
        <v>29</v>
      </c>
      <c r="Z133" s="372">
        <f>IF(Year2_Windsor_Maidenhead Year2_Care_Leavers_in_suitable_accommodation="","",Year2_Windsor_Maidenhead Year2_Care_Leavers_in_suitable_accommodation)</f>
        <v>35</v>
      </c>
      <c r="AA133" s="372">
        <f>IF(Year3_Windsor_Maidenhead Year3_Care_Leavers_in_suitable_accommodation="","",Year3_Windsor_Maidenhead Year3_Care_Leavers_in_suitable_accommodation)</f>
        <v>33</v>
      </c>
      <c r="AB133" s="372">
        <f>IF(Year4_Windsor_Maidenhead Year4_Care_Leavers_in_suitable_accommodation="","",Year4_Windsor_Maidenhead Year4_Care_Leavers_in_suitable_accommodation)</f>
        <v>49</v>
      </c>
      <c r="AC133" s="580">
        <f>IF(Year5_Windsor_Maidenhead Year5_Care_Leavers_in_suitable_accommodation="","",Year5_Windsor_Maidenhead Year5_Care_Leavers_in_suitable_accommodation)</f>
        <v>45</v>
      </c>
      <c r="AD133" s="577" t="str">
        <f t="shared" si="64"/>
        <v>Windsor &amp; Maidenhead</v>
      </c>
      <c r="AE133" s="581">
        <f t="shared" si="55"/>
        <v>42</v>
      </c>
      <c r="AF133" s="581">
        <f t="shared" si="56"/>
        <v>45</v>
      </c>
      <c r="AG133" s="581">
        <f t="shared" si="57"/>
        <v>48</v>
      </c>
      <c r="AH133" s="581">
        <f t="shared" si="58"/>
        <v>56</v>
      </c>
      <c r="AI133" s="581">
        <f t="shared" si="59"/>
        <v>56</v>
      </c>
      <c r="AJ133" s="161"/>
    </row>
    <row r="134" spans="1:45" s="87" customFormat="1" ht="12.75" customHeight="1" x14ac:dyDescent="0.2">
      <c r="A134" s="488">
        <f>VLOOKUP(B134,Sheet1!$AQ$4:$AR$25,2,FALSE)</f>
        <v>0</v>
      </c>
      <c r="B134" s="93" t="str">
        <f t="shared" si="51"/>
        <v>Wokingham</v>
      </c>
      <c r="C134" s="85"/>
      <c r="D134" s="162">
        <f t="shared" si="52"/>
        <v>0.77419354838709675</v>
      </c>
      <c r="E134" s="162">
        <f t="shared" si="60"/>
        <v>0.84375</v>
      </c>
      <c r="F134" s="162" t="e">
        <f t="shared" si="61"/>
        <v>#N/A</v>
      </c>
      <c r="G134" s="162" t="e">
        <f t="shared" si="62"/>
        <v>#N/A</v>
      </c>
      <c r="H134" s="164" t="e">
        <f t="shared" si="63"/>
        <v>#N/A</v>
      </c>
      <c r="I134" s="443"/>
      <c r="J134" s="96"/>
      <c r="K134" s="96"/>
      <c r="L134" s="166"/>
      <c r="M134" s="166"/>
      <c r="N134" s="166"/>
      <c r="O134" s="166"/>
      <c r="P134" s="166"/>
      <c r="Q134" s="166"/>
      <c r="R134" s="166"/>
      <c r="S134" s="167"/>
      <c r="T134" s="159"/>
      <c r="U134" s="122"/>
      <c r="V134" s="139"/>
      <c r="W134" s="152"/>
      <c r="X134" s="372" t="str">
        <f t="shared" si="54"/>
        <v>Wokingham</v>
      </c>
      <c r="Y134" s="489">
        <f>IF(Year1_Wokingham Year1_Care_Leavers_in_suitable_accommodation="","",Year1_Wokingham Year1_Care_Leavers_in_suitable_accommodation)</f>
        <v>24</v>
      </c>
      <c r="Z134" s="372">
        <f>IF(Year2_Wokingham Year2_Care_Leavers_in_suitable_accommodation="","",Year2_Wokingham Year2_Care_Leavers_in_suitable_accommodation)</f>
        <v>27</v>
      </c>
      <c r="AA134" s="372" t="str">
        <f>IF(Year3_Wokingham Year3_Care_Leavers_in_suitable_accommodation="","",Year3_Wokingham Year3_Care_Leavers_in_suitable_accommodation)</f>
        <v>x</v>
      </c>
      <c r="AB134" s="372" t="str">
        <f>IF(Year4_Wokingham Year4_Care_Leavers_in_suitable_accommodation="","",Year4_Wokingham Year4_Care_Leavers_in_suitable_accommodation)</f>
        <v>x</v>
      </c>
      <c r="AC134" s="580" t="str">
        <f>IF(Year5_Wokingham Year5_Care_Leavers_in_suitable_accommodation="","",Year5_Wokingham Year5_Care_Leavers_in_suitable_accommodation)</f>
        <v>c</v>
      </c>
      <c r="AD134" s="577" t="str">
        <f t="shared" si="64"/>
        <v>Wokingham</v>
      </c>
      <c r="AE134" s="581">
        <f t="shared" si="55"/>
        <v>31</v>
      </c>
      <c r="AF134" s="581">
        <f t="shared" si="56"/>
        <v>32</v>
      </c>
      <c r="AG134" s="581">
        <f t="shared" si="57"/>
        <v>28</v>
      </c>
      <c r="AH134" s="581">
        <f t="shared" si="58"/>
        <v>38</v>
      </c>
      <c r="AI134" s="581">
        <f t="shared" si="59"/>
        <v>51</v>
      </c>
      <c r="AJ134" s="160"/>
    </row>
    <row r="135" spans="1:45" s="87" customFormat="1" ht="12.75" customHeight="1" x14ac:dyDescent="0.2">
      <c r="A135" s="121"/>
      <c r="B135" s="129" t="str">
        <f t="shared" si="51"/>
        <v>South East</v>
      </c>
      <c r="C135" s="85"/>
      <c r="D135" s="163">
        <f>IF(AND(ISNUMBER(Y135),ISNUMBER(AE135)),Y135/AE135,NA())</f>
        <v>0.7567279509725553</v>
      </c>
      <c r="E135" s="163">
        <f t="shared" ref="E135:H135" si="65">IF(AND(ISNUMBER(Z135),ISNUMBER(AF135)),Z135/AF135,NA())</f>
        <v>0.79061463912267282</v>
      </c>
      <c r="F135" s="163">
        <f t="shared" si="65"/>
        <v>0.78935395814376708</v>
      </c>
      <c r="G135" s="163">
        <f t="shared" si="65"/>
        <v>0.7987355110642782</v>
      </c>
      <c r="H135" s="165">
        <f t="shared" si="65"/>
        <v>0.791545793617903</v>
      </c>
      <c r="I135" s="443"/>
      <c r="J135" s="96"/>
      <c r="K135" s="96"/>
      <c r="L135" s="168"/>
      <c r="M135" s="168"/>
      <c r="N135" s="168"/>
      <c r="O135" s="168"/>
      <c r="P135" s="168"/>
      <c r="Q135" s="168"/>
      <c r="R135" s="168"/>
      <c r="S135" s="169"/>
      <c r="T135" s="159"/>
      <c r="U135" s="122"/>
      <c r="V135" s="139"/>
      <c r="W135" s="152"/>
      <c r="X135" s="372" t="str">
        <f t="shared" si="54"/>
        <v>South East</v>
      </c>
      <c r="Y135" s="372">
        <f>IF(Year1_SouthEast Year1_Care_Leavers_in_suitable_accommodation="","",Year1_SouthEast Year1_Care_Leavers_in_suitable_accommodation)</f>
        <v>2840</v>
      </c>
      <c r="Z135" s="372">
        <f>IF(Year2_SouthEast Year2_Care_Leavers_in_suitable_accommodation="","",Year2_SouthEast Year2_Care_Leavers_in_suitable_accommodation)</f>
        <v>3100</v>
      </c>
      <c r="AA135" s="372">
        <f>IF(Year3_SouthEast Year3_Care_Leavers_in_suitable_accommodation="","",Year3_SouthEast Year3_Care_Leavers_in_suitable_accommodation)</f>
        <v>3470</v>
      </c>
      <c r="AB135" s="372">
        <f>IF(Year4_SouthEast Year4_Care_Leavers_in_suitable_accommodation="","",Year4_SouthEast Year4_Care_Leavers_in_suitable_accommodation)</f>
        <v>3790</v>
      </c>
      <c r="AC135" s="372">
        <f>IF(Year5_SouthEast Year5_Care_Leavers_in_suitable_accommodation="","",Year5_SouthEast Year5_Care_Leavers_in_suitable_accommodation)</f>
        <v>3820</v>
      </c>
      <c r="AD135" s="577" t="str">
        <f t="shared" si="64"/>
        <v>South East</v>
      </c>
      <c r="AE135" s="606">
        <f>SUM(AE113:AE125,AE127:AE128,AE131:AE134)</f>
        <v>3753</v>
      </c>
      <c r="AF135" s="606">
        <f>SUM(AF113:AF125,AF127:AF128,AF131:AF134)</f>
        <v>3921</v>
      </c>
      <c r="AG135" s="606">
        <f t="shared" ref="AG135:AI135" si="66">SUM(AG113:AG125,AG127:AG128,AG131:AG134)</f>
        <v>4396</v>
      </c>
      <c r="AH135" s="606">
        <f t="shared" si="66"/>
        <v>4745</v>
      </c>
      <c r="AI135" s="606">
        <f t="shared" si="66"/>
        <v>4826</v>
      </c>
      <c r="AJ135" s="161"/>
    </row>
    <row r="136" spans="1:45" s="87" customFormat="1" ht="12.75" customHeight="1" x14ac:dyDescent="0.2">
      <c r="A136" s="292"/>
      <c r="B136" s="329" t="str">
        <f t="shared" si="51"/>
        <v>England</v>
      </c>
      <c r="C136" s="85"/>
      <c r="D136" s="351">
        <f>IF(AND(ISNUMBER(Y136),ISNUMBER(AE136)),Y136/AE136,NA())</f>
        <v>0.81624905087319666</v>
      </c>
      <c r="E136" s="351">
        <f t="shared" ref="E136" si="67">IF(AND(ISNUMBER(Z136),ISNUMBER(AF136)),Z136/AF136,NA())</f>
        <v>0.82117734172528689</v>
      </c>
      <c r="F136" s="351">
        <f t="shared" ref="F136" si="68">IF(AND(ISNUMBER(AA136),ISNUMBER(AG136)),AA136/AG136,NA())</f>
        <v>0.82462293931953701</v>
      </c>
      <c r="G136" s="351">
        <f t="shared" ref="G136" si="69">IF(AND(ISNUMBER(AB136),ISNUMBER(AH136)),AB136/AH136,NA())</f>
        <v>0.83695289007684592</v>
      </c>
      <c r="H136" s="352">
        <f t="shared" ref="H136" si="70">IF(AND(ISNUMBER(AC136),ISNUMBER(AI136)),AC136/AI136,NA())</f>
        <v>0.84325015994881636</v>
      </c>
      <c r="I136" s="443"/>
      <c r="J136" s="96"/>
      <c r="K136" s="96"/>
      <c r="L136" s="168"/>
      <c r="M136" s="168"/>
      <c r="N136" s="168"/>
      <c r="O136" s="168"/>
      <c r="P136" s="168"/>
      <c r="Q136" s="168"/>
      <c r="R136" s="168"/>
      <c r="S136" s="169"/>
      <c r="T136" s="159"/>
      <c r="U136" s="122"/>
      <c r="V136" s="139"/>
      <c r="W136" s="152"/>
      <c r="X136" s="372" t="str">
        <f t="shared" ref="X136" si="71">B136</f>
        <v>England</v>
      </c>
      <c r="Y136" s="1496">
        <f>IF(Year1_England Year1_Care_Leavers_in_suitable_accommodation="","",Year1_England Year1_Care_Leavers_in_suitable_accommodation)</f>
        <v>21500</v>
      </c>
      <c r="Z136" s="372">
        <f>IF(Year2_England Year2_Care_Leavers_in_suitable_accommodation="","",Year2_England Year2_Care_Leavers_in_suitable_accommodation)</f>
        <v>22180</v>
      </c>
      <c r="AA136" s="372">
        <f>IF(Year3_England Year3_Care_Leavers_in_suitable_accommodation="","",Year3_England Year3_Care_Leavers_in_suitable_accommodation)</f>
        <v>23510</v>
      </c>
      <c r="AB136" s="372">
        <f>IF(Year4_England Year4_Care_Leavers_in_suitable_accommodation="","",Year4_England Year4_Care_Leavers_in_suitable_accommodation)</f>
        <v>25050</v>
      </c>
      <c r="AC136" s="580">
        <f>IF(Year5_England Year5_Care_Leavers_in_suitable_accommodation="","",Year5_England Year5_Care_Leavers_in_suitable_accommodation)</f>
        <v>26360</v>
      </c>
      <c r="AD136" s="577" t="str">
        <f t="shared" ref="AD136" si="72">X136</f>
        <v>England</v>
      </c>
      <c r="AE136" s="581">
        <f>IF(Y136="",0,D33)</f>
        <v>26340</v>
      </c>
      <c r="AF136" s="581">
        <f>IF(Z136="",0,E33)</f>
        <v>27010</v>
      </c>
      <c r="AG136" s="581">
        <f>IF(AA136="",0,F33)</f>
        <v>28510</v>
      </c>
      <c r="AH136" s="581">
        <f>IF(AB136="",0,G33)</f>
        <v>29930</v>
      </c>
      <c r="AI136" s="581">
        <f>IF(AC136="",0,H33)</f>
        <v>31260</v>
      </c>
      <c r="AJ136" s="161"/>
    </row>
    <row r="137" spans="1:45" s="87" customFormat="1" ht="7.5" customHeight="1" x14ac:dyDescent="0.2">
      <c r="A137" s="292"/>
      <c r="B137" s="96"/>
      <c r="C137" s="96"/>
      <c r="D137" s="96"/>
      <c r="E137" s="96"/>
      <c r="F137" s="96"/>
      <c r="G137" s="96"/>
      <c r="H137" s="96"/>
      <c r="I137" s="96"/>
      <c r="J137" s="96"/>
      <c r="K137" s="96"/>
      <c r="L137" s="168"/>
      <c r="M137" s="168"/>
      <c r="N137" s="168"/>
      <c r="O137" s="168"/>
      <c r="P137" s="168"/>
      <c r="Q137" s="168"/>
      <c r="R137" s="168"/>
      <c r="S137" s="169"/>
      <c r="T137" s="159"/>
      <c r="U137" s="122"/>
      <c r="V137" s="139"/>
      <c r="W137" s="152"/>
      <c r="X137" s="81"/>
      <c r="Y137" s="81"/>
      <c r="Z137" s="196"/>
      <c r="AA137" s="196"/>
      <c r="AB137" s="197"/>
      <c r="AC137" s="197"/>
      <c r="AD137" s="199"/>
      <c r="AE137" s="202"/>
      <c r="AF137" s="202"/>
      <c r="AG137" s="202"/>
      <c r="AH137" s="190"/>
      <c r="AI137" s="202"/>
      <c r="AJ137" s="160"/>
    </row>
    <row r="138" spans="1:45" s="81" customFormat="1" ht="36.75" customHeight="1" x14ac:dyDescent="0.2">
      <c r="A138" s="217"/>
      <c r="B138" s="392"/>
      <c r="C138" s="392"/>
      <c r="D138" s="392"/>
      <c r="E138" s="392"/>
      <c r="F138" s="392"/>
      <c r="G138" s="392"/>
      <c r="H138" s="392"/>
      <c r="I138" s="392"/>
      <c r="J138" s="392"/>
      <c r="K138" s="172"/>
      <c r="L138" s="172"/>
      <c r="M138" s="172"/>
      <c r="N138" s="172"/>
      <c r="O138" s="172"/>
      <c r="P138" s="172"/>
      <c r="Q138" s="172"/>
      <c r="R138" s="172"/>
      <c r="S138" s="136"/>
      <c r="T138" s="172"/>
      <c r="U138" s="117"/>
      <c r="V138" s="137"/>
      <c r="W138" s="150"/>
      <c r="AC138" s="197"/>
      <c r="AD138" s="199"/>
      <c r="AE138" s="184"/>
      <c r="AF138" s="184"/>
      <c r="AG138" s="184"/>
      <c r="AI138" s="184"/>
      <c r="AJ138" s="161"/>
    </row>
    <row r="139" spans="1:45" s="81" customFormat="1" ht="36.75" customHeight="1" x14ac:dyDescent="0.2">
      <c r="A139" s="217"/>
      <c r="B139" s="392"/>
      <c r="C139" s="392"/>
      <c r="D139" s="392"/>
      <c r="E139" s="392"/>
      <c r="F139" s="392"/>
      <c r="G139" s="392"/>
      <c r="H139" s="392"/>
      <c r="I139" s="392"/>
      <c r="J139" s="392"/>
      <c r="K139" s="172"/>
      <c r="L139" s="172"/>
      <c r="M139" s="172"/>
      <c r="N139" s="172"/>
      <c r="O139" s="172"/>
      <c r="P139" s="172"/>
      <c r="Q139" s="172"/>
      <c r="R139" s="172"/>
      <c r="S139" s="136"/>
      <c r="T139" s="172"/>
      <c r="U139" s="117"/>
      <c r="V139" s="137"/>
      <c r="W139" s="150"/>
      <c r="Y139" s="190"/>
      <c r="AD139" s="199"/>
      <c r="AE139" s="184"/>
      <c r="AF139" s="184"/>
      <c r="AG139" s="184"/>
      <c r="AI139" s="184"/>
      <c r="AJ139" s="161"/>
    </row>
    <row r="140" spans="1:45" s="81" customFormat="1" ht="36.75" customHeight="1" x14ac:dyDescent="0.2">
      <c r="A140" s="217"/>
      <c r="B140" s="392"/>
      <c r="C140" s="392"/>
      <c r="D140" s="392"/>
      <c r="E140" s="392"/>
      <c r="F140" s="392"/>
      <c r="G140" s="392"/>
      <c r="H140" s="392"/>
      <c r="I140" s="392"/>
      <c r="J140" s="392"/>
      <c r="K140" s="172"/>
      <c r="L140" s="172"/>
      <c r="M140" s="172"/>
      <c r="N140" s="172"/>
      <c r="O140" s="172"/>
      <c r="P140" s="172"/>
      <c r="Q140" s="172"/>
      <c r="R140" s="172"/>
      <c r="S140" s="136"/>
      <c r="T140" s="172"/>
      <c r="U140" s="117"/>
      <c r="V140" s="137"/>
      <c r="W140" s="150"/>
      <c r="Y140" s="190"/>
      <c r="AD140" s="199"/>
      <c r="AE140" s="184"/>
      <c r="AF140" s="184"/>
      <c r="AG140" s="184"/>
      <c r="AI140" s="184"/>
      <c r="AJ140" s="161"/>
    </row>
    <row r="141" spans="1:45" s="81" customFormat="1" ht="7.5" customHeight="1" x14ac:dyDescent="0.2">
      <c r="A141" s="118"/>
      <c r="B141" s="17"/>
      <c r="C141" s="17"/>
      <c r="D141" s="16"/>
      <c r="E141" s="16"/>
      <c r="F141" s="16"/>
      <c r="G141" s="16"/>
      <c r="H141" s="16"/>
      <c r="I141" s="16"/>
      <c r="J141" s="16"/>
      <c r="K141" s="12"/>
      <c r="L141" s="18"/>
      <c r="M141" s="18"/>
      <c r="N141" s="18"/>
      <c r="O141" s="18"/>
      <c r="P141" s="18"/>
      <c r="Q141" s="18"/>
      <c r="R141" s="18"/>
      <c r="S141" s="18"/>
      <c r="T141" s="18"/>
      <c r="U141" s="117"/>
      <c r="V141" s="137"/>
      <c r="W141" s="150"/>
      <c r="Y141" s="190"/>
      <c r="AI141" s="184"/>
      <c r="AJ141" s="157"/>
      <c r="AK141" s="74"/>
      <c r="AL141" s="74"/>
      <c r="AM141" s="74"/>
      <c r="AN141" s="74"/>
      <c r="AO141" s="74"/>
      <c r="AP141" s="74"/>
      <c r="AQ141" s="74"/>
    </row>
    <row r="142" spans="1:45" s="81" customFormat="1" ht="15" customHeight="1" x14ac:dyDescent="0.2">
      <c r="A142" s="1716"/>
      <c r="B142" s="1760"/>
      <c r="C142" s="1760"/>
      <c r="D142" s="1760"/>
      <c r="E142" s="1760"/>
      <c r="F142" s="1760"/>
      <c r="G142" s="1760"/>
      <c r="H142" s="1760"/>
      <c r="I142" s="1760"/>
      <c r="J142" s="1760"/>
      <c r="K142" s="1760"/>
      <c r="L142" s="1760"/>
      <c r="M142" s="1760"/>
      <c r="N142" s="1760"/>
      <c r="O142" s="1760"/>
      <c r="P142" s="1760"/>
      <c r="Q142" s="1760"/>
      <c r="R142" s="1760"/>
      <c r="S142" s="1760"/>
      <c r="T142" s="1760"/>
      <c r="U142" s="1761"/>
      <c r="V142" s="137"/>
      <c r="W142" s="150"/>
      <c r="AJ142" s="161"/>
      <c r="AS142" s="74"/>
    </row>
    <row r="143" spans="1:45" s="81" customFormat="1" ht="11.25" customHeight="1" x14ac:dyDescent="0.2">
      <c r="A143" s="1765" t="str">
        <f>Home!$A$39</f>
        <v xml:space="preserve"> </v>
      </c>
      <c r="B143" s="1766"/>
      <c r="C143" s="1766"/>
      <c r="D143" s="1766"/>
      <c r="E143" s="1766"/>
      <c r="F143" s="1766"/>
      <c r="G143" s="1766"/>
      <c r="H143" s="1766"/>
      <c r="I143" s="1768"/>
      <c r="J143" s="1767"/>
      <c r="K143" s="1766"/>
      <c r="L143" s="1766"/>
      <c r="M143" s="1766"/>
      <c r="N143" s="1766"/>
      <c r="O143" s="1766"/>
      <c r="P143" s="1766"/>
      <c r="Q143" s="1768"/>
      <c r="R143" s="1766"/>
      <c r="S143" s="1766"/>
      <c r="T143" s="1766"/>
      <c r="U143" s="1769"/>
      <c r="V143" s="137"/>
      <c r="W143" s="150"/>
      <c r="AI143" s="184"/>
      <c r="AJ143" s="160"/>
      <c r="AK143" s="87"/>
      <c r="AS143" s="74"/>
    </row>
    <row r="144" spans="1:45" ht="11.25" customHeight="1" x14ac:dyDescent="0.2">
      <c r="A144" s="112"/>
      <c r="B144" s="113"/>
      <c r="C144" s="113"/>
      <c r="D144" s="113"/>
      <c r="E144" s="113"/>
      <c r="F144" s="113"/>
      <c r="G144" s="113"/>
      <c r="H144" s="113"/>
      <c r="I144" s="113"/>
      <c r="J144" s="113"/>
      <c r="K144" s="114"/>
      <c r="L144" s="113"/>
      <c r="M144" s="113"/>
      <c r="N144" s="113"/>
      <c r="O144" s="113"/>
      <c r="P144" s="113"/>
      <c r="Q144" s="113"/>
      <c r="R144" s="113"/>
      <c r="S144" s="113"/>
      <c r="T144" s="113"/>
      <c r="U144" s="115"/>
      <c r="V144" s="137"/>
      <c r="W144" s="150"/>
      <c r="X144" s="198"/>
      <c r="Y144" s="196"/>
      <c r="Z144" s="188"/>
      <c r="AI144" s="184"/>
      <c r="AJ144" s="160"/>
    </row>
    <row r="145" spans="1:44" s="76" customFormat="1" ht="15" customHeight="1" x14ac:dyDescent="0.2">
      <c r="A145" s="119"/>
      <c r="B145" s="1770" t="s">
        <v>740</v>
      </c>
      <c r="C145" s="1770"/>
      <c r="D145" s="1770"/>
      <c r="E145" s="1770"/>
      <c r="F145" s="1770"/>
      <c r="G145" s="1770"/>
      <c r="H145" s="1770"/>
      <c r="I145" s="1770"/>
      <c r="J145" s="226"/>
      <c r="K145" s="70"/>
      <c r="L145" s="70"/>
      <c r="M145" s="70"/>
      <c r="N145" s="70"/>
      <c r="O145" s="825"/>
      <c r="P145" s="70"/>
      <c r="Q145" s="70"/>
      <c r="R145" s="70"/>
      <c r="S145" s="70"/>
      <c r="T145" s="70"/>
      <c r="U145" s="120"/>
      <c r="V145" s="138"/>
      <c r="W145" s="151"/>
      <c r="X145" s="609" t="s">
        <v>741</v>
      </c>
      <c r="Y145" s="382"/>
      <c r="Z145" s="383"/>
      <c r="AA145" s="383"/>
      <c r="AB145" s="383"/>
      <c r="AC145" s="596"/>
      <c r="AD145" s="609" t="s">
        <v>1241</v>
      </c>
      <c r="AE145" s="609"/>
      <c r="AF145" s="609"/>
      <c r="AG145" s="609"/>
      <c r="AH145" s="609"/>
      <c r="AI145" s="609"/>
      <c r="AJ145" s="160"/>
    </row>
    <row r="146" spans="1:44" ht="20.25" customHeight="1" x14ac:dyDescent="0.2">
      <c r="A146" s="118"/>
      <c r="B146" s="1770"/>
      <c r="C146" s="1770"/>
      <c r="D146" s="1770"/>
      <c r="E146" s="1770"/>
      <c r="F146" s="1770"/>
      <c r="G146" s="1770"/>
      <c r="H146" s="1770"/>
      <c r="I146" s="1770"/>
      <c r="J146" s="226"/>
      <c r="K146" s="70"/>
      <c r="L146" s="70"/>
      <c r="M146" s="70"/>
      <c r="N146" s="70"/>
      <c r="O146" s="825"/>
      <c r="P146" s="70"/>
      <c r="Q146" s="70"/>
      <c r="R146" s="70"/>
      <c r="S146" s="10"/>
      <c r="T146" s="70"/>
      <c r="U146" s="117"/>
      <c r="V146" s="137"/>
      <c r="W146" s="150"/>
      <c r="X146" s="74"/>
      <c r="Y146" s="74"/>
      <c r="Z146" s="74"/>
      <c r="AA146" s="74"/>
      <c r="AB146" s="74"/>
      <c r="AC146" s="74"/>
      <c r="AD146" s="383"/>
      <c r="AE146" s="382"/>
      <c r="AF146" s="383"/>
      <c r="AG146" s="383"/>
      <c r="AH146" s="383"/>
      <c r="AI146" s="596"/>
      <c r="AJ146" s="160"/>
    </row>
    <row r="147" spans="1:44" s="87" customFormat="1" ht="13.5" customHeight="1" x14ac:dyDescent="0.2">
      <c r="A147" s="121"/>
      <c r="B147" s="1771" t="s">
        <v>205</v>
      </c>
      <c r="C147" s="1007"/>
      <c r="D147" s="789" t="str">
        <f>Sheet1!$D$27</f>
        <v>2015-16</v>
      </c>
      <c r="E147" s="790" t="str">
        <f>Sheet1!$E$27</f>
        <v>2016-17</v>
      </c>
      <c r="F147" s="790" t="str">
        <f>Sheet1!$F$27</f>
        <v>2017-18</v>
      </c>
      <c r="G147" s="790" t="str">
        <f>Sheet1!$G$27</f>
        <v>2018-19</v>
      </c>
      <c r="H147" s="791" t="str">
        <f>Sheet1!$H$27</f>
        <v>2019-20</v>
      </c>
      <c r="I147" s="61"/>
      <c r="J147" s="96"/>
      <c r="K147" s="96"/>
      <c r="L147" s="61"/>
      <c r="M147" s="61"/>
      <c r="N147" s="61"/>
      <c r="O147" s="61"/>
      <c r="P147" s="61"/>
      <c r="Q147" s="61"/>
      <c r="R147" s="828"/>
      <c r="S147" s="828"/>
      <c r="T147" s="159"/>
      <c r="U147" s="122"/>
      <c r="V147" s="139"/>
      <c r="W147" s="152"/>
      <c r="X147" s="1422"/>
      <c r="Y147" s="489" t="str">
        <f>IF(Sheet1!$C$3="Annual","",Sheet1!$D$28)</f>
        <v/>
      </c>
      <c r="Z147" s="489" t="str">
        <f>IF(Sheet1!$C$3="Annual","",Sheet1!$E$28)</f>
        <v/>
      </c>
      <c r="AA147" s="489" t="str">
        <f>IF(Sheet1!$C$3="Annual","",Sheet1!$F$28)</f>
        <v/>
      </c>
      <c r="AB147" s="489" t="str">
        <f>IF(Sheet1!$C$3="Annual","",Sheet1!$G$28)</f>
        <v/>
      </c>
      <c r="AC147" s="489" t="str">
        <f>IF(Sheet1!$C$3="Annual","",Sheet1!$H$28)</f>
        <v/>
      </c>
      <c r="AD147" s="577"/>
      <c r="AE147" s="581" t="str">
        <f>IF(Sheet1!$C$3="Annual","",Sheet1!$D$28)</f>
        <v/>
      </c>
      <c r="AF147" s="1421" t="str">
        <f>IF(Sheet1!$C$3="Annual","",Sheet1!$E$28)</f>
        <v/>
      </c>
      <c r="AG147" s="1421" t="str">
        <f>IF(Sheet1!$C$3="Annual","",Sheet1!$F$28)</f>
        <v/>
      </c>
      <c r="AH147" s="1421" t="str">
        <f>IF(Sheet1!$C$3="Annual","",Sheet1!$G$28)</f>
        <v/>
      </c>
      <c r="AI147" s="1421" t="str">
        <f>IF(Sheet1!$C$3="Annual","",Sheet1!$H$28)</f>
        <v/>
      </c>
      <c r="AJ147" s="160"/>
    </row>
    <row r="148" spans="1:44" s="87" customFormat="1" ht="13.5" customHeight="1" x14ac:dyDescent="0.2">
      <c r="A148" s="292"/>
      <c r="B148" s="1772"/>
      <c r="C148" s="85"/>
      <c r="D148" s="792" t="e">
        <f>Sheet1!$D$28</f>
        <v>#N/A</v>
      </c>
      <c r="E148" s="792" t="e">
        <f>Sheet1!$E$28</f>
        <v>#N/A</v>
      </c>
      <c r="F148" s="792" t="e">
        <f>Sheet1!$F$28</f>
        <v>#N/A</v>
      </c>
      <c r="G148" s="792" t="e">
        <f>Sheet1!$G$28</f>
        <v>#N/A</v>
      </c>
      <c r="H148" s="793" t="e">
        <f>Sheet1!$H$28</f>
        <v>#N/A</v>
      </c>
      <c r="I148" s="61"/>
      <c r="J148" s="96"/>
      <c r="K148" s="96"/>
      <c r="L148" s="61"/>
      <c r="M148" s="61"/>
      <c r="N148" s="61"/>
      <c r="O148" s="61"/>
      <c r="P148" s="61"/>
      <c r="Q148" s="61"/>
      <c r="R148" s="1009"/>
      <c r="S148" s="1009"/>
      <c r="T148" s="159"/>
      <c r="U148" s="122"/>
      <c r="V148" s="139"/>
      <c r="W148" s="152"/>
      <c r="X148" s="1423"/>
      <c r="Y148" s="489" t="str">
        <f>Sheet1!$D$27</f>
        <v>2015-16</v>
      </c>
      <c r="Z148" s="489" t="str">
        <f>Sheet1!$E$27</f>
        <v>2016-17</v>
      </c>
      <c r="AA148" s="489" t="str">
        <f>Sheet1!$F$27</f>
        <v>2017-18</v>
      </c>
      <c r="AB148" s="489" t="str">
        <f>Sheet1!$G$27</f>
        <v>2018-19</v>
      </c>
      <c r="AC148" s="489" t="str">
        <f>Sheet1!$H$27</f>
        <v>2019-20</v>
      </c>
      <c r="AD148" s="577"/>
      <c r="AE148" s="581" t="str">
        <f>Sheet1!$D$27</f>
        <v>2015-16</v>
      </c>
      <c r="AF148" s="1421" t="str">
        <f>Sheet1!$E$27</f>
        <v>2016-17</v>
      </c>
      <c r="AG148" s="1421" t="str">
        <f>Sheet1!$F$27</f>
        <v>2017-18</v>
      </c>
      <c r="AH148" s="1421" t="str">
        <f>Sheet1!$G$27</f>
        <v>2018-19</v>
      </c>
      <c r="AI148" s="1421" t="str">
        <f>Sheet1!$H$27</f>
        <v>2019-20</v>
      </c>
      <c r="AJ148" s="160"/>
    </row>
    <row r="149" spans="1:44" s="87" customFormat="1" ht="12.75" customHeight="1" x14ac:dyDescent="0.2">
      <c r="A149" s="488">
        <f>VLOOKUP(B149,Sheet1!$AQ$4:$AR$25,2,FALSE)</f>
        <v>0</v>
      </c>
      <c r="B149" s="93" t="str">
        <f t="shared" ref="B149:B172" si="73">B113</f>
        <v>Bracknell Forest</v>
      </c>
      <c r="C149" s="85"/>
      <c r="D149" s="162" t="e">
        <f t="shared" ref="D149:D172" si="74">IF(AND(ISNUMBER(D10),ISNUMBER(Y149)),Y149/D10,NA())</f>
        <v>#N/A</v>
      </c>
      <c r="E149" s="162" t="e">
        <f t="shared" ref="E149:E172" si="75">IF(AND(ISNUMBER(E10),ISNUMBER(Z149)),Z149/E10,NA())</f>
        <v>#N/A</v>
      </c>
      <c r="F149" s="162">
        <f t="shared" ref="F149:F172" si="76">IF(AND(ISNUMBER(F10),ISNUMBER(AA149)),AA149/F10,NA())</f>
        <v>0.66666666666666663</v>
      </c>
      <c r="G149" s="162">
        <f t="shared" ref="G149:G172" si="77">IF(AND(ISNUMBER(G10),ISNUMBER(AB149)),AB149/G10,NA())</f>
        <v>0.53191489361702127</v>
      </c>
      <c r="H149" s="164">
        <f t="shared" ref="H149:H172" si="78">IF(AND(ISNUMBER(H10),ISNUMBER(AC149)),AC149/H10,NA())</f>
        <v>0.50877192982456143</v>
      </c>
      <c r="I149" s="443"/>
      <c r="J149" s="96"/>
      <c r="K149" s="96"/>
      <c r="L149" s="166"/>
      <c r="M149" s="166"/>
      <c r="N149" s="166"/>
      <c r="O149" s="166"/>
      <c r="P149" s="166"/>
      <c r="Q149" s="166"/>
      <c r="R149" s="166"/>
      <c r="S149" s="167"/>
      <c r="T149" s="159"/>
      <c r="U149" s="122"/>
      <c r="V149" s="139"/>
      <c r="W149" s="152"/>
      <c r="X149" s="372" t="str">
        <f>B149</f>
        <v>Bracknell Forest</v>
      </c>
      <c r="Y149" s="489" t="str">
        <f>IF(Year1_Bracknell_Forest Year1_Care_Leavers_in_EET="","",Year1_Bracknell_Forest Year1_Care_Leavers_in_EET)</f>
        <v/>
      </c>
      <c r="Z149" s="372" t="str">
        <f>IF(Year2_Bracknell_Forest Year2_Care_Leavers_in_EET="","",Year2_Bracknell_Forest Year2_Care_Leavers_in_EET)</f>
        <v/>
      </c>
      <c r="AA149" s="372">
        <f>IF(Year3_Bracknell_Forest Year3_Care_Leavers_in_EET="","",Year3_Bracknell_Forest Year3_Care_Leavers_in_EET)</f>
        <v>28</v>
      </c>
      <c r="AB149" s="372">
        <f>IF(Year4_Bracknell_Forest Year4_Care_Leavers_in_EET="","",Year4_Bracknell_Forest Year4_Care_Leavers_in_EET)</f>
        <v>25</v>
      </c>
      <c r="AC149" s="577">
        <f>IF(Year5_Bracknell_Forest Year5_Care_Leavers_in_EET="","",Year5_Bracknell_Forest Year5_Care_Leavers_in_EET)</f>
        <v>29</v>
      </c>
      <c r="AD149" s="577" t="str">
        <f>X149</f>
        <v>Bracknell Forest</v>
      </c>
      <c r="AE149" s="581">
        <f t="shared" ref="AE149:AE170" si="79">IF(Y149="",0,D10)</f>
        <v>0</v>
      </c>
      <c r="AF149" s="581">
        <f t="shared" ref="AF149:AF170" si="80">IF(Z149="",0,E10)</f>
        <v>0</v>
      </c>
      <c r="AG149" s="581">
        <f t="shared" ref="AG149:AG170" si="81">IF(AA149="",0,F10)</f>
        <v>42</v>
      </c>
      <c r="AH149" s="581">
        <f t="shared" ref="AH149:AH170" si="82">IF(AB149="",0,G10)</f>
        <v>47</v>
      </c>
      <c r="AI149" s="581">
        <f t="shared" ref="AI149:AI170" si="83">IF(AC149="",0,H10)</f>
        <v>57</v>
      </c>
      <c r="AJ149" s="160"/>
    </row>
    <row r="150" spans="1:44" s="87" customFormat="1" ht="12.75" customHeight="1" x14ac:dyDescent="0.2">
      <c r="A150" s="488">
        <f>VLOOKUP(B150,Sheet1!$AQ$4:$AR$25,2,FALSE)</f>
        <v>0</v>
      </c>
      <c r="B150" s="93" t="str">
        <f t="shared" si="73"/>
        <v>Brighton &amp; Hove</v>
      </c>
      <c r="C150" s="85"/>
      <c r="D150" s="162" t="e">
        <f t="shared" si="74"/>
        <v>#N/A</v>
      </c>
      <c r="E150" s="162" t="e">
        <f t="shared" si="75"/>
        <v>#N/A</v>
      </c>
      <c r="F150" s="162">
        <f t="shared" si="76"/>
        <v>0.69230769230769229</v>
      </c>
      <c r="G150" s="162">
        <f t="shared" si="77"/>
        <v>0.69406392694063923</v>
      </c>
      <c r="H150" s="164">
        <f t="shared" si="78"/>
        <v>0.68558951965065507</v>
      </c>
      <c r="I150" s="443"/>
      <c r="J150" s="96"/>
      <c r="K150" s="96"/>
      <c r="L150" s="166"/>
      <c r="M150" s="166"/>
      <c r="N150" s="166"/>
      <c r="O150" s="166"/>
      <c r="P150" s="166"/>
      <c r="Q150" s="166"/>
      <c r="R150" s="166"/>
      <c r="S150" s="167"/>
      <c r="T150" s="159"/>
      <c r="U150" s="122"/>
      <c r="V150" s="139"/>
      <c r="W150" s="152"/>
      <c r="X150" s="372" t="str">
        <f t="shared" ref="X150:X171" si="84">B150</f>
        <v>Brighton &amp; Hove</v>
      </c>
      <c r="Y150" s="489" t="str">
        <f>IF(Year1_Brighton_Hove Year1_Care_Leavers_in_EET="","",Year1_Brighton_Hove Year1_Care_Leavers_in_EET)</f>
        <v/>
      </c>
      <c r="Z150" s="372" t="str">
        <f>IF(Year2_Brighton_Hove Year2_Care_Leavers_in_EET="","",Year2_Brighton_Hove Year2_Care_Leavers_in_EET)</f>
        <v/>
      </c>
      <c r="AA150" s="372">
        <f>IF(Year3_Brighton_Hove Year3_Care_Leavers_in_EET="","",Year3_Brighton_Hove Year3_Care_Leavers_in_EET)</f>
        <v>135</v>
      </c>
      <c r="AB150" s="372">
        <f>IF(Year4_Brighton_Hove Year4_Care_Leavers_in_EET="","",Year4_Brighton_Hove Year4_Care_Leavers_in_EET)</f>
        <v>152</v>
      </c>
      <c r="AC150" s="577">
        <f>IF(Year5_Brighton_Hove Year5_Care_Leavers_in_EET="","",Year5_Brighton_Hove Year5_Care_Leavers_in_EET)</f>
        <v>157</v>
      </c>
      <c r="AD150" s="577" t="str">
        <f t="shared" ref="AD150:AD171" si="85">X150</f>
        <v>Brighton &amp; Hove</v>
      </c>
      <c r="AE150" s="581">
        <f t="shared" si="79"/>
        <v>0</v>
      </c>
      <c r="AF150" s="581">
        <f t="shared" si="80"/>
        <v>0</v>
      </c>
      <c r="AG150" s="581">
        <f t="shared" si="81"/>
        <v>195</v>
      </c>
      <c r="AH150" s="581">
        <f t="shared" si="82"/>
        <v>219</v>
      </c>
      <c r="AI150" s="581">
        <f t="shared" si="83"/>
        <v>229</v>
      </c>
      <c r="AJ150" s="160"/>
    </row>
    <row r="151" spans="1:44" s="87" customFormat="1" ht="12.75" customHeight="1" x14ac:dyDescent="0.2">
      <c r="A151" s="488">
        <f>VLOOKUP(B151,Sheet1!$AQ$4:$AR$25,2,FALSE)</f>
        <v>0</v>
      </c>
      <c r="B151" s="93" t="str">
        <f t="shared" si="73"/>
        <v>Buckinghamshire</v>
      </c>
      <c r="C151" s="85"/>
      <c r="D151" s="162" t="e">
        <f t="shared" si="74"/>
        <v>#N/A</v>
      </c>
      <c r="E151" s="162" t="e">
        <f t="shared" si="75"/>
        <v>#N/A</v>
      </c>
      <c r="F151" s="162">
        <f t="shared" si="76"/>
        <v>0.51256281407035176</v>
      </c>
      <c r="G151" s="162">
        <f t="shared" si="77"/>
        <v>0.55913978494623651</v>
      </c>
      <c r="H151" s="164">
        <f t="shared" si="78"/>
        <v>0.4845360824742268</v>
      </c>
      <c r="I151" s="443"/>
      <c r="J151" s="96"/>
      <c r="K151" s="96"/>
      <c r="L151" s="166"/>
      <c r="M151" s="166"/>
      <c r="N151" s="166"/>
      <c r="O151" s="166"/>
      <c r="P151" s="166"/>
      <c r="Q151" s="166"/>
      <c r="R151" s="166"/>
      <c r="S151" s="167"/>
      <c r="T151" s="159"/>
      <c r="U151" s="122"/>
      <c r="V151" s="139"/>
      <c r="W151" s="152"/>
      <c r="X151" s="372" t="str">
        <f t="shared" si="84"/>
        <v>Buckinghamshire</v>
      </c>
      <c r="Y151" s="489" t="str">
        <f>IF(Year1_Buckinghamshire Year1_Care_Leavers_in_EET="","",Year1_Buckinghamshire Year1_Care_Leavers_in_EET)</f>
        <v/>
      </c>
      <c r="Z151" s="372" t="str">
        <f>IF(Year2_Buckinghamshire Year2_Care_Leavers_in_EET="","",Year2_Buckinghamshire Year2_Care_Leavers_in_EET)</f>
        <v/>
      </c>
      <c r="AA151" s="372">
        <f>IF(Year3_Buckinghamshire Year3_Care_Leavers_in_EET="","",Year3_Buckinghamshire Year3_Care_Leavers_in_EET)</f>
        <v>102</v>
      </c>
      <c r="AB151" s="372">
        <f>IF(Year4_Buckinghamshire Year4_Care_Leavers_in_EET="","",Year4_Buckinghamshire Year4_Care_Leavers_in_EET)</f>
        <v>104</v>
      </c>
      <c r="AC151" s="577">
        <f>IF(Year5_Buckinghamshire Year5_Care_Leavers_in_EET="","",Year5_Buckinghamshire Year5_Care_Leavers_in_EET)</f>
        <v>94</v>
      </c>
      <c r="AD151" s="577" t="str">
        <f t="shared" si="85"/>
        <v>Buckinghamshire</v>
      </c>
      <c r="AE151" s="581">
        <f t="shared" si="79"/>
        <v>0</v>
      </c>
      <c r="AF151" s="581">
        <f t="shared" si="80"/>
        <v>0</v>
      </c>
      <c r="AG151" s="581">
        <f t="shared" si="81"/>
        <v>199</v>
      </c>
      <c r="AH151" s="581">
        <f t="shared" si="82"/>
        <v>186</v>
      </c>
      <c r="AI151" s="581">
        <f t="shared" si="83"/>
        <v>194</v>
      </c>
      <c r="AJ151" s="160"/>
    </row>
    <row r="152" spans="1:44" s="87" customFormat="1" ht="12.75" customHeight="1" x14ac:dyDescent="0.2">
      <c r="A152" s="488">
        <f>VLOOKUP(B152,Sheet1!$AQ$4:$AR$25,2,FALSE)</f>
        <v>0</v>
      </c>
      <c r="B152" s="93" t="str">
        <f t="shared" si="73"/>
        <v>East Sussex</v>
      </c>
      <c r="C152" s="85"/>
      <c r="D152" s="162" t="e">
        <f t="shared" si="74"/>
        <v>#N/A</v>
      </c>
      <c r="E152" s="162" t="e">
        <f t="shared" si="75"/>
        <v>#N/A</v>
      </c>
      <c r="F152" s="162">
        <f t="shared" si="76"/>
        <v>0.51948051948051943</v>
      </c>
      <c r="G152" s="162">
        <f t="shared" si="77"/>
        <v>0.52095808383233533</v>
      </c>
      <c r="H152" s="164">
        <f t="shared" si="78"/>
        <v>0.52763819095477382</v>
      </c>
      <c r="I152" s="443"/>
      <c r="J152" s="96"/>
      <c r="K152" s="96"/>
      <c r="L152" s="166"/>
      <c r="M152" s="166"/>
      <c r="N152" s="166"/>
      <c r="O152" s="166"/>
      <c r="P152" s="166"/>
      <c r="Q152" s="166"/>
      <c r="R152" s="166"/>
      <c r="S152" s="167"/>
      <c r="T152" s="159"/>
      <c r="U152" s="122"/>
      <c r="V152" s="139"/>
      <c r="W152" s="152"/>
      <c r="X152" s="372" t="str">
        <f t="shared" si="84"/>
        <v>East Sussex</v>
      </c>
      <c r="Y152" s="489" t="str">
        <f>IF(Year1_East_Sussex Year1_Care_Leavers_in_EET="","",Year1_East_Sussex Year1_Care_Leavers_in_EET)</f>
        <v/>
      </c>
      <c r="Z152" s="372" t="str">
        <f>IF(Year2_East_Sussex Year2_Care_Leavers_in_EET="","",Year2_East_Sussex Year2_Care_Leavers_in_EET)</f>
        <v/>
      </c>
      <c r="AA152" s="372">
        <f>IF(Year3_East_Sussex Year3_Care_Leavers_in_EET="","",Year3_East_Sussex Year3_Care_Leavers_in_EET)</f>
        <v>80</v>
      </c>
      <c r="AB152" s="372">
        <f>IF(Year4_East_Sussex Year4_Care_Leavers_in_EET="","",Year4_East_Sussex Year4_Care_Leavers_in_EET)</f>
        <v>87</v>
      </c>
      <c r="AC152" s="577">
        <f>IF(Year5_East_Sussex Year5_Care_Leavers_in_EET="","",Year5_East_Sussex Year5_Care_Leavers_in_EET)</f>
        <v>105</v>
      </c>
      <c r="AD152" s="577" t="str">
        <f t="shared" si="85"/>
        <v>East Sussex</v>
      </c>
      <c r="AE152" s="581">
        <f t="shared" si="79"/>
        <v>0</v>
      </c>
      <c r="AF152" s="581">
        <f t="shared" si="80"/>
        <v>0</v>
      </c>
      <c r="AG152" s="581">
        <f t="shared" si="81"/>
        <v>154</v>
      </c>
      <c r="AH152" s="581">
        <f t="shared" si="82"/>
        <v>167</v>
      </c>
      <c r="AI152" s="581">
        <f t="shared" si="83"/>
        <v>199</v>
      </c>
      <c r="AJ152" s="160"/>
    </row>
    <row r="153" spans="1:44" s="87" customFormat="1" ht="12.75" customHeight="1" x14ac:dyDescent="0.2">
      <c r="A153" s="488">
        <f>VLOOKUP(B153,Sheet1!$AQ$4:$AR$25,2,FALSE)</f>
        <v>0</v>
      </c>
      <c r="B153" s="93" t="str">
        <f t="shared" si="73"/>
        <v>Hampshire</v>
      </c>
      <c r="C153" s="85"/>
      <c r="D153" s="162" t="e">
        <f t="shared" si="74"/>
        <v>#N/A</v>
      </c>
      <c r="E153" s="162" t="e">
        <f t="shared" si="75"/>
        <v>#N/A</v>
      </c>
      <c r="F153" s="162">
        <f t="shared" si="76"/>
        <v>0.44905660377358492</v>
      </c>
      <c r="G153" s="162">
        <f t="shared" si="77"/>
        <v>0.44941634241245138</v>
      </c>
      <c r="H153" s="164">
        <f t="shared" si="78"/>
        <v>0.51449275362318836</v>
      </c>
      <c r="I153" s="443"/>
      <c r="J153" s="96"/>
      <c r="K153" s="96"/>
      <c r="L153" s="166"/>
      <c r="M153" s="166"/>
      <c r="N153" s="166"/>
      <c r="O153" s="166"/>
      <c r="P153" s="166"/>
      <c r="Q153" s="166"/>
      <c r="R153" s="166"/>
      <c r="S153" s="167"/>
      <c r="T153" s="159"/>
      <c r="U153" s="122"/>
      <c r="V153" s="139"/>
      <c r="W153" s="152"/>
      <c r="X153" s="372" t="str">
        <f t="shared" si="84"/>
        <v>Hampshire</v>
      </c>
      <c r="Y153" s="489" t="str">
        <f>IF(Year1_Hampshire Year1_Care_Leavers_in_EET="","",Year1_Hampshire Year1_Care_Leavers_in_EET)</f>
        <v/>
      </c>
      <c r="Z153" s="372" t="str">
        <f>IF(Year2_Hampshire Year2_Care_Leavers_in_EET="","",Year2_Hampshire Year2_Care_Leavers_in_EET)</f>
        <v/>
      </c>
      <c r="AA153" s="372">
        <f>IF(Year3_Hampshire Year3_Care_Leavers_in_EET="","",Year3_Hampshire Year3_Care_Leavers_in_EET)</f>
        <v>238</v>
      </c>
      <c r="AB153" s="372">
        <f>IF(Year4_Hampshire Year4_Care_Leavers_in_EET="","",Year4_Hampshire Year4_Care_Leavers_in_EET)</f>
        <v>231</v>
      </c>
      <c r="AC153" s="577">
        <f>IF(Year5_Hampshire Year5_Care_Leavers_in_EET="","",Year5_Hampshire Year5_Care_Leavers_in_EET)</f>
        <v>284</v>
      </c>
      <c r="AD153" s="577" t="str">
        <f t="shared" si="85"/>
        <v>Hampshire</v>
      </c>
      <c r="AE153" s="581">
        <f t="shared" si="79"/>
        <v>0</v>
      </c>
      <c r="AF153" s="581">
        <f t="shared" si="80"/>
        <v>0</v>
      </c>
      <c r="AG153" s="581">
        <f t="shared" si="81"/>
        <v>530</v>
      </c>
      <c r="AH153" s="581">
        <f t="shared" si="82"/>
        <v>514</v>
      </c>
      <c r="AI153" s="581">
        <f t="shared" si="83"/>
        <v>552</v>
      </c>
      <c r="AJ153" s="160"/>
    </row>
    <row r="154" spans="1:44" s="87" customFormat="1" ht="12.75" customHeight="1" x14ac:dyDescent="0.2">
      <c r="A154" s="488">
        <f>VLOOKUP(B154,Sheet1!$AQ$4:$AR$25,2,FALSE)</f>
        <v>0</v>
      </c>
      <c r="B154" s="93" t="str">
        <f t="shared" si="73"/>
        <v>Isle of Wight</v>
      </c>
      <c r="C154" s="85"/>
      <c r="D154" s="162" t="e">
        <f t="shared" si="74"/>
        <v>#N/A</v>
      </c>
      <c r="E154" s="162" t="e">
        <f t="shared" si="75"/>
        <v>#N/A</v>
      </c>
      <c r="F154" s="162">
        <f t="shared" si="76"/>
        <v>0.5280898876404494</v>
      </c>
      <c r="G154" s="162">
        <f t="shared" si="77"/>
        <v>0.5955056179775281</v>
      </c>
      <c r="H154" s="164">
        <f t="shared" si="78"/>
        <v>0.63218390804597702</v>
      </c>
      <c r="I154" s="443"/>
      <c r="J154" s="96"/>
      <c r="K154" s="96"/>
      <c r="L154" s="166"/>
      <c r="M154" s="166"/>
      <c r="N154" s="166"/>
      <c r="O154" s="166"/>
      <c r="P154" s="166"/>
      <c r="Q154" s="166"/>
      <c r="R154" s="166"/>
      <c r="S154" s="167"/>
      <c r="T154" s="159"/>
      <c r="U154" s="122"/>
      <c r="V154" s="139"/>
      <c r="W154" s="152"/>
      <c r="X154" s="372" t="str">
        <f t="shared" si="84"/>
        <v>Isle of Wight</v>
      </c>
      <c r="Y154" s="489" t="str">
        <f>IF(Year1_Isle_of_Wight Year1_Care_Leavers_in_EET="","",Year1_Isle_of_Wight Year1_Care_Leavers_in_EET)</f>
        <v/>
      </c>
      <c r="Z154" s="372" t="str">
        <f>IF(Year2_Isle_of_Wight Year2_Care_Leavers_in_EET="","",Year2_Isle_of_Wight Year2_Care_Leavers_in_EET)</f>
        <v/>
      </c>
      <c r="AA154" s="372">
        <f>IF(Year3_Isle_of_Wight Year3_Care_Leavers_in_EET="","",Year3_Isle_of_Wight Year3_Care_Leavers_in_EET)</f>
        <v>47</v>
      </c>
      <c r="AB154" s="372">
        <f>IF(Year4_Isle_of_Wight Year4_Care_Leavers_in_EET="","",Year4_Isle_of_Wight Year4_Care_Leavers_in_EET)</f>
        <v>53</v>
      </c>
      <c r="AC154" s="577">
        <f>IF(Year5_Isle_of_Wight Year5_Care_Leavers_in_EET="","",Year5_Isle_of_Wight Year5_Care_Leavers_in_EET)</f>
        <v>55</v>
      </c>
      <c r="AD154" s="577" t="str">
        <f t="shared" si="85"/>
        <v>Isle of Wight</v>
      </c>
      <c r="AE154" s="581">
        <f t="shared" si="79"/>
        <v>0</v>
      </c>
      <c r="AF154" s="581">
        <f t="shared" si="80"/>
        <v>0</v>
      </c>
      <c r="AG154" s="581">
        <f t="shared" si="81"/>
        <v>89</v>
      </c>
      <c r="AH154" s="581">
        <f t="shared" si="82"/>
        <v>89</v>
      </c>
      <c r="AI154" s="581">
        <f t="shared" si="83"/>
        <v>87</v>
      </c>
      <c r="AJ154" s="160"/>
      <c r="AR154" s="87" t="s">
        <v>102</v>
      </c>
    </row>
    <row r="155" spans="1:44" s="87" customFormat="1" ht="12.75" customHeight="1" x14ac:dyDescent="0.2">
      <c r="A155" s="488">
        <f>VLOOKUP(B155,Sheet1!$AQ$4:$AR$25,2,FALSE)</f>
        <v>0</v>
      </c>
      <c r="B155" s="93" t="str">
        <f t="shared" si="73"/>
        <v>Kent</v>
      </c>
      <c r="C155" s="85"/>
      <c r="D155" s="162" t="e">
        <f t="shared" si="74"/>
        <v>#N/A</v>
      </c>
      <c r="E155" s="162" t="e">
        <f t="shared" si="75"/>
        <v>#N/A</v>
      </c>
      <c r="F155" s="162">
        <f t="shared" si="76"/>
        <v>0.52038547071905117</v>
      </c>
      <c r="G155" s="162">
        <f t="shared" si="77"/>
        <v>0.54838709677419351</v>
      </c>
      <c r="H155" s="164">
        <f t="shared" si="78"/>
        <v>0.54013015184381774</v>
      </c>
      <c r="I155" s="443"/>
      <c r="J155" s="96"/>
      <c r="K155" s="96"/>
      <c r="L155" s="166"/>
      <c r="M155" s="166"/>
      <c r="N155" s="166"/>
      <c r="O155" s="166"/>
      <c r="P155" s="166"/>
      <c r="Q155" s="166"/>
      <c r="R155" s="166"/>
      <c r="S155" s="167"/>
      <c r="T155" s="159"/>
      <c r="U155" s="122"/>
      <c r="V155" s="139"/>
      <c r="W155" s="152"/>
      <c r="X155" s="372" t="str">
        <f t="shared" si="84"/>
        <v>Kent</v>
      </c>
      <c r="Y155" s="489" t="str">
        <f>IF(Year1_Kent Year1_Care_Leavers_in_EET="","",Year1_Kent Year1_Care_Leavers_in_EET)</f>
        <v/>
      </c>
      <c r="Z155" s="372" t="str">
        <f>IF(Year2_Kent Year2_Care_Leavers_in_EET="","",Year2_Kent Year2_Care_Leavers_in_EET)</f>
        <v/>
      </c>
      <c r="AA155" s="372">
        <f>IF(Year3_Kent Year3_Care_Leavers_in_EET="","",Year3_Kent Year3_Care_Leavers_in_EET)</f>
        <v>702</v>
      </c>
      <c r="AB155" s="372">
        <f>IF(Year4_Kent Year4_Care_Leavers_in_EET="","",Year4_Kent Year4_Care_Leavers_in_EET)</f>
        <v>833</v>
      </c>
      <c r="AC155" s="577">
        <f>IF(Year5_Kent Year5_Care_Leavers_in_EET="","",Year5_Kent Year5_Care_Leavers_in_EET)</f>
        <v>747</v>
      </c>
      <c r="AD155" s="577" t="str">
        <f t="shared" si="85"/>
        <v>Kent</v>
      </c>
      <c r="AE155" s="581">
        <f t="shared" si="79"/>
        <v>0</v>
      </c>
      <c r="AF155" s="581">
        <f t="shared" si="80"/>
        <v>0</v>
      </c>
      <c r="AG155" s="581">
        <f t="shared" si="81"/>
        <v>1349</v>
      </c>
      <c r="AH155" s="581">
        <f t="shared" si="82"/>
        <v>1519</v>
      </c>
      <c r="AI155" s="581">
        <f t="shared" si="83"/>
        <v>1383</v>
      </c>
      <c r="AJ155" s="160"/>
    </row>
    <row r="156" spans="1:44" s="87" customFormat="1" ht="12.75" customHeight="1" x14ac:dyDescent="0.2">
      <c r="A156" s="488">
        <f>VLOOKUP(B156,Sheet1!$AQ$4:$AR$25,2,FALSE)</f>
        <v>0</v>
      </c>
      <c r="B156" s="93" t="str">
        <f t="shared" si="73"/>
        <v>Medway</v>
      </c>
      <c r="C156" s="85"/>
      <c r="D156" s="162" t="e">
        <f t="shared" si="74"/>
        <v>#N/A</v>
      </c>
      <c r="E156" s="162" t="e">
        <f t="shared" si="75"/>
        <v>#N/A</v>
      </c>
      <c r="F156" s="162" t="e">
        <f t="shared" si="76"/>
        <v>#N/A</v>
      </c>
      <c r="G156" s="162" t="e">
        <f t="shared" si="77"/>
        <v>#N/A</v>
      </c>
      <c r="H156" s="164">
        <f t="shared" si="78"/>
        <v>0.47933884297520662</v>
      </c>
      <c r="I156" s="443"/>
      <c r="J156" s="96"/>
      <c r="K156" s="96"/>
      <c r="L156" s="166"/>
      <c r="M156" s="166"/>
      <c r="N156" s="166"/>
      <c r="O156" s="166"/>
      <c r="P156" s="166"/>
      <c r="Q156" s="166"/>
      <c r="R156" s="166"/>
      <c r="S156" s="167"/>
      <c r="T156" s="159"/>
      <c r="U156" s="122"/>
      <c r="V156" s="139"/>
      <c r="W156" s="152"/>
      <c r="X156" s="372" t="str">
        <f t="shared" si="84"/>
        <v>Medway</v>
      </c>
      <c r="Y156" s="489" t="str">
        <f>IF(Year1_Medway Year1_Care_Leavers_in_EET="","",Year1_Medway Year1_Care_Leavers_in_EET)</f>
        <v/>
      </c>
      <c r="Z156" s="372" t="str">
        <f>IF(Year2_Medway Year2_Care_Leavers_in_EET="","",Year2_Medway Year2_Care_Leavers_in_EET)</f>
        <v/>
      </c>
      <c r="AA156" s="372" t="str">
        <f>IF(Year3_Medway Year3_Care_Leavers_in_EET="","",Year3_Medway Year3_Care_Leavers_in_EET)</f>
        <v>x</v>
      </c>
      <c r="AB156" s="372" t="str">
        <f>IF(Year4_Medway Year4_Care_Leavers_in_EET="","",Year4_Medway Year4_Care_Leavers_in_EET)</f>
        <v>x</v>
      </c>
      <c r="AC156" s="577">
        <f>IF(Year5_Medway Year5_Care_Leavers_in_EET="","",Year5_Medway Year5_Care_Leavers_in_EET)</f>
        <v>58</v>
      </c>
      <c r="AD156" s="577" t="str">
        <f t="shared" si="85"/>
        <v>Medway</v>
      </c>
      <c r="AE156" s="581">
        <f t="shared" si="79"/>
        <v>0</v>
      </c>
      <c r="AF156" s="581">
        <f t="shared" si="80"/>
        <v>0</v>
      </c>
      <c r="AG156" s="581">
        <f t="shared" si="81"/>
        <v>112</v>
      </c>
      <c r="AH156" s="581">
        <f t="shared" si="82"/>
        <v>119</v>
      </c>
      <c r="AI156" s="581">
        <f t="shared" si="83"/>
        <v>121</v>
      </c>
      <c r="AJ156" s="160"/>
    </row>
    <row r="157" spans="1:44" s="87" customFormat="1" ht="12.75" customHeight="1" x14ac:dyDescent="0.2">
      <c r="A157" s="488">
        <f>VLOOKUP(B157,Sheet1!$AQ$4:$AR$25,2,FALSE)</f>
        <v>0</v>
      </c>
      <c r="B157" s="93" t="str">
        <f t="shared" si="73"/>
        <v>Milton Keynes</v>
      </c>
      <c r="C157" s="85"/>
      <c r="D157" s="162" t="e">
        <f t="shared" si="74"/>
        <v>#N/A</v>
      </c>
      <c r="E157" s="162" t="e">
        <f t="shared" si="75"/>
        <v>#N/A</v>
      </c>
      <c r="F157" s="162">
        <f t="shared" si="76"/>
        <v>0.4563758389261745</v>
      </c>
      <c r="G157" s="162">
        <f t="shared" si="77"/>
        <v>0.40119760479041916</v>
      </c>
      <c r="H157" s="164">
        <f t="shared" si="78"/>
        <v>0.40606060606060607</v>
      </c>
      <c r="I157" s="443"/>
      <c r="J157" s="96"/>
      <c r="K157" s="96"/>
      <c r="L157" s="166"/>
      <c r="M157" s="166"/>
      <c r="N157" s="166"/>
      <c r="O157" s="166"/>
      <c r="P157" s="166"/>
      <c r="Q157" s="166"/>
      <c r="R157" s="166"/>
      <c r="S157" s="167"/>
      <c r="T157" s="159"/>
      <c r="U157" s="122"/>
      <c r="V157" s="139"/>
      <c r="W157" s="152"/>
      <c r="X157" s="372" t="str">
        <f t="shared" si="84"/>
        <v>Milton Keynes</v>
      </c>
      <c r="Y157" s="489" t="str">
        <f>IF(Year1_Milton_Keynes Year1_Care_Leavers_in_EET="","",Year1_Milton_Keynes Year1_Care_Leavers_in_EET)</f>
        <v/>
      </c>
      <c r="Z157" s="372" t="str">
        <f>IF(Year2_Milton_Keynes Year2_Care_Leavers_in_EET="","",Year2_Milton_Keynes Year2_Care_Leavers_in_EET)</f>
        <v/>
      </c>
      <c r="AA157" s="372">
        <f>IF(Year3_Milton_Keynes Year3_Care_Leavers_in_EET="","",Year3_Milton_Keynes Year3_Care_Leavers_in_EET)</f>
        <v>68</v>
      </c>
      <c r="AB157" s="372">
        <f>IF(Year4_Milton_Keynes Year4_Care_Leavers_in_EET="","",Year4_Milton_Keynes Year4_Care_Leavers_in_EET)</f>
        <v>67</v>
      </c>
      <c r="AC157" s="577">
        <f>IF(Year5_Milton_Keynes Year5_Care_Leavers_in_EET="","",Year5_Milton_Keynes Year5_Care_Leavers_in_EET)</f>
        <v>67</v>
      </c>
      <c r="AD157" s="577" t="str">
        <f t="shared" si="85"/>
        <v>Milton Keynes</v>
      </c>
      <c r="AE157" s="581">
        <f t="shared" si="79"/>
        <v>0</v>
      </c>
      <c r="AF157" s="581">
        <f t="shared" si="80"/>
        <v>0</v>
      </c>
      <c r="AG157" s="581">
        <f t="shared" si="81"/>
        <v>149</v>
      </c>
      <c r="AH157" s="581">
        <f t="shared" si="82"/>
        <v>167</v>
      </c>
      <c r="AI157" s="581">
        <f t="shared" si="83"/>
        <v>165</v>
      </c>
      <c r="AJ157" s="160"/>
    </row>
    <row r="158" spans="1:44" s="87" customFormat="1" ht="12.75" customHeight="1" x14ac:dyDescent="0.2">
      <c r="A158" s="488">
        <f>VLOOKUP(B158,Sheet1!$AQ$4:$AR$25,2,FALSE)</f>
        <v>0</v>
      </c>
      <c r="B158" s="93" t="str">
        <f t="shared" si="73"/>
        <v>Oxfordshire</v>
      </c>
      <c r="C158" s="85"/>
      <c r="D158" s="162" t="e">
        <f t="shared" si="74"/>
        <v>#N/A</v>
      </c>
      <c r="E158" s="162" t="e">
        <f t="shared" si="75"/>
        <v>#N/A</v>
      </c>
      <c r="F158" s="162">
        <f t="shared" si="76"/>
        <v>0.48347107438016529</v>
      </c>
      <c r="G158" s="162">
        <f t="shared" si="77"/>
        <v>0.49454545454545457</v>
      </c>
      <c r="H158" s="164">
        <f t="shared" si="78"/>
        <v>0.45704467353951889</v>
      </c>
      <c r="I158" s="443"/>
      <c r="J158" s="96"/>
      <c r="K158" s="96"/>
      <c r="L158" s="166"/>
      <c r="M158" s="166"/>
      <c r="N158" s="166"/>
      <c r="O158" s="166"/>
      <c r="P158" s="166"/>
      <c r="Q158" s="166"/>
      <c r="R158" s="166"/>
      <c r="S158" s="167"/>
      <c r="T158" s="159"/>
      <c r="U158" s="122"/>
      <c r="V158" s="139"/>
      <c r="W158" s="152"/>
      <c r="X158" s="372" t="str">
        <f t="shared" si="84"/>
        <v>Oxfordshire</v>
      </c>
      <c r="Y158" s="489" t="str">
        <f>IF(Year1_Oxfordshire Year1_Care_Leavers_in_EET="","",Year1_Oxfordshire Year1_Care_Leavers_in_EET)</f>
        <v/>
      </c>
      <c r="Z158" s="372" t="str">
        <f>IF(Year2_Oxfordshire Year2_Care_Leavers_in_EET="","",Year2_Oxfordshire Year2_Care_Leavers_in_EET)</f>
        <v/>
      </c>
      <c r="AA158" s="372">
        <f>IF(Year3_Oxfordshire Year3_Care_Leavers_in_EET="","",Year3_Oxfordshire Year3_Care_Leavers_in_EET)</f>
        <v>117</v>
      </c>
      <c r="AB158" s="372">
        <f>IF(Year4_Oxfordshire Year4_Care_Leavers_in_EET="","",Year4_Oxfordshire Year4_Care_Leavers_in_EET)</f>
        <v>136</v>
      </c>
      <c r="AC158" s="577">
        <f>IF(Year5_Oxfordshire Year5_Care_Leavers_in_EET="","",Year5_Oxfordshire Year5_Care_Leavers_in_EET)</f>
        <v>133</v>
      </c>
      <c r="AD158" s="577" t="str">
        <f t="shared" si="85"/>
        <v>Oxfordshire</v>
      </c>
      <c r="AE158" s="581">
        <f t="shared" si="79"/>
        <v>0</v>
      </c>
      <c r="AF158" s="581">
        <f t="shared" si="80"/>
        <v>0</v>
      </c>
      <c r="AG158" s="581">
        <f t="shared" si="81"/>
        <v>242</v>
      </c>
      <c r="AH158" s="581">
        <f t="shared" si="82"/>
        <v>275</v>
      </c>
      <c r="AI158" s="581">
        <f t="shared" si="83"/>
        <v>291</v>
      </c>
      <c r="AJ158" s="160"/>
    </row>
    <row r="159" spans="1:44" s="87" customFormat="1" ht="12.75" customHeight="1" x14ac:dyDescent="0.2">
      <c r="A159" s="488">
        <f>VLOOKUP(B159,Sheet1!$AQ$4:$AR$25,2,FALSE)</f>
        <v>0</v>
      </c>
      <c r="B159" s="93" t="str">
        <f t="shared" si="73"/>
        <v>Portsmouth</v>
      </c>
      <c r="C159" s="85"/>
      <c r="D159" s="162" t="e">
        <f t="shared" si="74"/>
        <v>#N/A</v>
      </c>
      <c r="E159" s="162" t="e">
        <f t="shared" si="75"/>
        <v>#N/A</v>
      </c>
      <c r="F159" s="162">
        <f t="shared" si="76"/>
        <v>0.37391304347826088</v>
      </c>
      <c r="G159" s="162">
        <f t="shared" si="77"/>
        <v>0.44715447154471544</v>
      </c>
      <c r="H159" s="164">
        <f t="shared" si="78"/>
        <v>0.50326797385620914</v>
      </c>
      <c r="I159" s="443"/>
      <c r="J159" s="96"/>
      <c r="K159" s="96"/>
      <c r="L159" s="166"/>
      <c r="M159" s="166"/>
      <c r="N159" s="166"/>
      <c r="O159" s="166"/>
      <c r="P159" s="166"/>
      <c r="Q159" s="166"/>
      <c r="R159" s="166"/>
      <c r="S159" s="167"/>
      <c r="T159" s="159"/>
      <c r="U159" s="122"/>
      <c r="V159" s="139"/>
      <c r="W159" s="152"/>
      <c r="X159" s="372" t="str">
        <f t="shared" si="84"/>
        <v>Portsmouth</v>
      </c>
      <c r="Y159" s="489" t="str">
        <f>IF(Year1_Portsmouth Year1_Care_Leavers_in_EET="","",Year1_Portsmouth Year1_Care_Leavers_in_EET)</f>
        <v/>
      </c>
      <c r="Z159" s="372" t="str">
        <f>IF(Year2_Portsmouth Year2_Care_Leavers_in_EET="","",Year2_Portsmouth Year2_Care_Leavers_in_EET)</f>
        <v/>
      </c>
      <c r="AA159" s="372">
        <f>IF(Year3_Portsmouth Year3_Care_Leavers_in_EET="","",Year3_Portsmouth Year3_Care_Leavers_in_EET)</f>
        <v>43</v>
      </c>
      <c r="AB159" s="372">
        <f>IF(Year4_Portsmouth Year4_Care_Leavers_in_EET="","",Year4_Portsmouth Year4_Care_Leavers_in_EET)</f>
        <v>55</v>
      </c>
      <c r="AC159" s="577">
        <f>IF(Year5_Portsmouth Year5_Care_Leavers_in_EET="","",Year5_Portsmouth Year5_Care_Leavers_in_EET)</f>
        <v>77</v>
      </c>
      <c r="AD159" s="577" t="str">
        <f t="shared" si="85"/>
        <v>Portsmouth</v>
      </c>
      <c r="AE159" s="581">
        <f t="shared" si="79"/>
        <v>0</v>
      </c>
      <c r="AF159" s="581">
        <f t="shared" si="80"/>
        <v>0</v>
      </c>
      <c r="AG159" s="581">
        <f t="shared" si="81"/>
        <v>115</v>
      </c>
      <c r="AH159" s="581">
        <f t="shared" si="82"/>
        <v>123</v>
      </c>
      <c r="AI159" s="581">
        <f t="shared" si="83"/>
        <v>153</v>
      </c>
      <c r="AJ159" s="160"/>
    </row>
    <row r="160" spans="1:44" s="87" customFormat="1" ht="12.75" customHeight="1" x14ac:dyDescent="0.2">
      <c r="A160" s="488">
        <f>VLOOKUP(B160,Sheet1!$AQ$4:$AR$25,2,FALSE)</f>
        <v>0</v>
      </c>
      <c r="B160" s="93" t="str">
        <f t="shared" si="73"/>
        <v>Reading</v>
      </c>
      <c r="C160" s="85"/>
      <c r="D160" s="162" t="e">
        <f t="shared" si="74"/>
        <v>#N/A</v>
      </c>
      <c r="E160" s="162" t="e">
        <f t="shared" si="75"/>
        <v>#N/A</v>
      </c>
      <c r="F160" s="162">
        <f t="shared" si="76"/>
        <v>0.42528735632183906</v>
      </c>
      <c r="G160" s="162" t="e">
        <f t="shared" si="77"/>
        <v>#N/A</v>
      </c>
      <c r="H160" s="164">
        <f t="shared" si="78"/>
        <v>0.46534653465346537</v>
      </c>
      <c r="I160" s="443"/>
      <c r="J160" s="96"/>
      <c r="K160" s="96"/>
      <c r="L160" s="166"/>
      <c r="M160" s="166"/>
      <c r="N160" s="166"/>
      <c r="O160" s="166"/>
      <c r="P160" s="166"/>
      <c r="Q160" s="166"/>
      <c r="R160" s="166"/>
      <c r="S160" s="167"/>
      <c r="T160" s="159"/>
      <c r="U160" s="122"/>
      <c r="V160" s="139"/>
      <c r="W160" s="152"/>
      <c r="X160" s="372" t="str">
        <f t="shared" si="84"/>
        <v>Reading</v>
      </c>
      <c r="Y160" s="489" t="str">
        <f>IF(Year1_Reading Year1_Care_Leavers_in_EET="","",Year1_Reading Year1_Care_Leavers_in_EET)</f>
        <v/>
      </c>
      <c r="Z160" s="372" t="str">
        <f>IF(Year2_Reading Year2_Care_Leavers_in_EET="","",Year2_Reading Year2_Care_Leavers_in_EET)</f>
        <v/>
      </c>
      <c r="AA160" s="372">
        <f>IF(Year3_Reading Year3_Care_Leavers_in_EET="","",Year3_Reading Year3_Care_Leavers_in_EET)</f>
        <v>37</v>
      </c>
      <c r="AB160" s="372" t="str">
        <f>IF(Year4_Reading Year4_Care_Leavers_in_EET="","",Year4_Reading Year4_Care_Leavers_in_EET)</f>
        <v>x</v>
      </c>
      <c r="AC160" s="577">
        <f>IF(Year5_Reading Year5_Care_Leavers_in_EET="","",Year5_Reading Year5_Care_Leavers_in_EET)</f>
        <v>47</v>
      </c>
      <c r="AD160" s="577" t="str">
        <f t="shared" si="85"/>
        <v>Reading</v>
      </c>
      <c r="AE160" s="581">
        <f t="shared" si="79"/>
        <v>0</v>
      </c>
      <c r="AF160" s="581">
        <f t="shared" si="80"/>
        <v>0</v>
      </c>
      <c r="AG160" s="581">
        <f t="shared" si="81"/>
        <v>87</v>
      </c>
      <c r="AH160" s="581">
        <f t="shared" si="82"/>
        <v>98</v>
      </c>
      <c r="AI160" s="581">
        <f t="shared" si="83"/>
        <v>101</v>
      </c>
      <c r="AJ160" s="160"/>
    </row>
    <row r="161" spans="1:36" s="87" customFormat="1" ht="12.75" customHeight="1" x14ac:dyDescent="0.2">
      <c r="A161" s="488">
        <f>VLOOKUP(B161,Sheet1!$AQ$4:$AR$25,2,FALSE)</f>
        <v>0</v>
      </c>
      <c r="B161" s="93" t="str">
        <f t="shared" si="73"/>
        <v>Slough</v>
      </c>
      <c r="C161" s="85"/>
      <c r="D161" s="162" t="e">
        <f t="shared" si="74"/>
        <v>#N/A</v>
      </c>
      <c r="E161" s="162" t="e">
        <f t="shared" si="75"/>
        <v>#N/A</v>
      </c>
      <c r="F161" s="162">
        <f t="shared" si="76"/>
        <v>0.38202247191011235</v>
      </c>
      <c r="G161" s="162">
        <f t="shared" si="77"/>
        <v>0.58620689655172409</v>
      </c>
      <c r="H161" s="164">
        <f t="shared" si="78"/>
        <v>0.63440860215053763</v>
      </c>
      <c r="I161" s="443"/>
      <c r="J161" s="96"/>
      <c r="K161" s="96"/>
      <c r="L161" s="166"/>
      <c r="M161" s="166"/>
      <c r="N161" s="166"/>
      <c r="O161" s="166"/>
      <c r="P161" s="166"/>
      <c r="Q161" s="166"/>
      <c r="R161" s="166"/>
      <c r="S161" s="167"/>
      <c r="T161" s="159"/>
      <c r="U161" s="122"/>
      <c r="V161" s="139"/>
      <c r="W161" s="152"/>
      <c r="X161" s="372" t="str">
        <f t="shared" si="84"/>
        <v>Slough</v>
      </c>
      <c r="Y161" s="489" t="str">
        <f>IF(Year1_Slough Year1_Care_Leavers_in_EET="","",Year1_Slough Year1_Care_Leavers_in_EET)</f>
        <v/>
      </c>
      <c r="Z161" s="372" t="str">
        <f>IF(Year2_Slough Year2_Care_Leavers_in_EET="","",Year2_Slough Year2_Care_Leavers_in_EET)</f>
        <v/>
      </c>
      <c r="AA161" s="372">
        <f>IF(Year3_Slough Year3_Care_Leavers_in_EET="","",Year3_Slough Year3_Care_Leavers_in_EET)</f>
        <v>34</v>
      </c>
      <c r="AB161" s="372">
        <f>IF(Year4_Slough Year4_Care_Leavers_in_EET="","",Year4_Slough Year4_Care_Leavers_in_EET)</f>
        <v>51</v>
      </c>
      <c r="AC161" s="577">
        <f>IF(Year5_Slough Year5_Care_Leavers_in_EET="","",Year5_Slough Year5_Care_Leavers_in_EET)</f>
        <v>59</v>
      </c>
      <c r="AD161" s="577" t="str">
        <f t="shared" si="85"/>
        <v>Slough</v>
      </c>
      <c r="AE161" s="581">
        <f t="shared" si="79"/>
        <v>0</v>
      </c>
      <c r="AF161" s="581">
        <f t="shared" si="80"/>
        <v>0</v>
      </c>
      <c r="AG161" s="581">
        <f t="shared" si="81"/>
        <v>89</v>
      </c>
      <c r="AH161" s="581">
        <f t="shared" si="82"/>
        <v>87</v>
      </c>
      <c r="AI161" s="581">
        <f t="shared" si="83"/>
        <v>93</v>
      </c>
      <c r="AJ161" s="160"/>
    </row>
    <row r="162" spans="1:36" s="87" customFormat="1" ht="12.75" customHeight="1" x14ac:dyDescent="0.2">
      <c r="A162" s="488">
        <f>VLOOKUP(B162,Sheet1!$AQ$4:$AR$25,2,FALSE)</f>
        <v>0</v>
      </c>
      <c r="B162" s="93" t="str">
        <f t="shared" si="73"/>
        <v>Somerset</v>
      </c>
      <c r="C162" s="85"/>
      <c r="D162" s="162" t="e">
        <f t="shared" si="74"/>
        <v>#N/A</v>
      </c>
      <c r="E162" s="162" t="e">
        <f t="shared" si="75"/>
        <v>#N/A</v>
      </c>
      <c r="F162" s="162">
        <f t="shared" si="76"/>
        <v>0.57711442786069655</v>
      </c>
      <c r="G162" s="162">
        <f t="shared" si="77"/>
        <v>0.574585635359116</v>
      </c>
      <c r="H162" s="164">
        <f t="shared" si="78"/>
        <v>0.59330143540669855</v>
      </c>
      <c r="I162" s="443"/>
      <c r="J162" s="96"/>
      <c r="K162" s="96"/>
      <c r="L162" s="166"/>
      <c r="M162" s="166"/>
      <c r="N162" s="166"/>
      <c r="O162" s="166"/>
      <c r="P162" s="166"/>
      <c r="Q162" s="166"/>
      <c r="R162" s="166"/>
      <c r="S162" s="167"/>
      <c r="T162" s="159"/>
      <c r="U162" s="122"/>
      <c r="V162" s="139"/>
      <c r="W162" s="152"/>
      <c r="X162" s="372" t="str">
        <f t="shared" si="84"/>
        <v>Somerset</v>
      </c>
      <c r="Y162" s="489" t="str">
        <f>IF(Year1_Somerset Year1_Care_Leavers_in_EET="","",Year1_Somerset Year1_Care_Leavers_in_EET)</f>
        <v/>
      </c>
      <c r="Z162" s="372" t="str">
        <f>IF(Year2_Somerset Year2_Care_Leavers_in_EET="","",Year2_Somerset Year2_Care_Leavers_in_EET)</f>
        <v/>
      </c>
      <c r="AA162" s="372">
        <f>IF(Year3_Somerset Year3_Care_Leavers_in_EET="","",Year3_Somerset Year3_Care_Leavers_in_EET)</f>
        <v>116</v>
      </c>
      <c r="AB162" s="372">
        <f>IF(Year4_Somerset Year4_Care_Leavers_in_EET="","",Year4_Somerset Year4_Care_Leavers_in_EET)</f>
        <v>104</v>
      </c>
      <c r="AC162" s="577">
        <f>IF(Year5_Somerset Year5_Care_Leavers_in_EET="","",Year5_Somerset Year5_Care_Leavers_in_EET)</f>
        <v>124</v>
      </c>
      <c r="AD162" s="577" t="str">
        <f t="shared" si="85"/>
        <v>Somerset</v>
      </c>
      <c r="AE162" s="581">
        <f t="shared" si="79"/>
        <v>0</v>
      </c>
      <c r="AF162" s="581">
        <f t="shared" si="80"/>
        <v>0</v>
      </c>
      <c r="AG162" s="581">
        <f t="shared" si="81"/>
        <v>201</v>
      </c>
      <c r="AH162" s="581">
        <f t="shared" si="82"/>
        <v>181</v>
      </c>
      <c r="AI162" s="581">
        <f t="shared" si="83"/>
        <v>209</v>
      </c>
      <c r="AJ162" s="160"/>
    </row>
    <row r="163" spans="1:36" s="87" customFormat="1" ht="12.75" customHeight="1" x14ac:dyDescent="0.2">
      <c r="A163" s="488">
        <f>VLOOKUP(B163,Sheet1!$AQ$4:$AR$25,2,FALSE)</f>
        <v>0</v>
      </c>
      <c r="B163" s="93" t="str">
        <f t="shared" si="73"/>
        <v>Southampton</v>
      </c>
      <c r="C163" s="85"/>
      <c r="D163" s="162" t="e">
        <f t="shared" si="74"/>
        <v>#N/A</v>
      </c>
      <c r="E163" s="162" t="e">
        <f t="shared" si="75"/>
        <v>#N/A</v>
      </c>
      <c r="F163" s="162">
        <f t="shared" si="76"/>
        <v>0.41129032258064518</v>
      </c>
      <c r="G163" s="162">
        <f t="shared" si="77"/>
        <v>0.44881889763779526</v>
      </c>
      <c r="H163" s="164">
        <f t="shared" si="78"/>
        <v>0.42748091603053434</v>
      </c>
      <c r="I163" s="443"/>
      <c r="J163" s="96"/>
      <c r="K163" s="96"/>
      <c r="L163" s="166"/>
      <c r="M163" s="166"/>
      <c r="N163" s="166"/>
      <c r="O163" s="166"/>
      <c r="P163" s="166"/>
      <c r="Q163" s="166"/>
      <c r="R163" s="166"/>
      <c r="S163" s="167"/>
      <c r="T163" s="159"/>
      <c r="U163" s="122"/>
      <c r="V163" s="139"/>
      <c r="W163" s="152"/>
      <c r="X163" s="372" t="str">
        <f t="shared" si="84"/>
        <v>Southampton</v>
      </c>
      <c r="Y163" s="489" t="str">
        <f>IF(Year1_Southampton Year1_Care_Leavers_in_EET="","",Year1_Southampton Year1_Care_Leavers_in_EET)</f>
        <v/>
      </c>
      <c r="Z163" s="372" t="str">
        <f>IF(Year2_Southampton Year2_Care_Leavers_in_EET="","",Year2_Southampton Year2_Care_Leavers_in_EET)</f>
        <v/>
      </c>
      <c r="AA163" s="372">
        <f>IF(Year3_Southampton Year3_Care_Leavers_in_EET="","",Year3_Southampton Year3_Care_Leavers_in_EET)</f>
        <v>51</v>
      </c>
      <c r="AB163" s="372">
        <f>IF(Year4_Southampton Year4_Care_Leavers_in_EET="","",Year4_Southampton Year4_Care_Leavers_in_EET)</f>
        <v>57</v>
      </c>
      <c r="AC163" s="577">
        <f>IF(Year5_Southampton Year5_Care_Leavers_in_EET="","",Year5_Southampton Year5_Care_Leavers_in_EET)</f>
        <v>56</v>
      </c>
      <c r="AD163" s="577" t="str">
        <f t="shared" si="85"/>
        <v>Southampton</v>
      </c>
      <c r="AE163" s="581">
        <f t="shared" si="79"/>
        <v>0</v>
      </c>
      <c r="AF163" s="581">
        <f t="shared" si="80"/>
        <v>0</v>
      </c>
      <c r="AG163" s="581">
        <f t="shared" si="81"/>
        <v>124</v>
      </c>
      <c r="AH163" s="581">
        <f t="shared" si="82"/>
        <v>127</v>
      </c>
      <c r="AI163" s="581">
        <f t="shared" si="83"/>
        <v>131</v>
      </c>
      <c r="AJ163" s="160"/>
    </row>
    <row r="164" spans="1:36" s="87" customFormat="1" ht="12.75" customHeight="1" x14ac:dyDescent="0.2">
      <c r="A164" s="488">
        <f>VLOOKUP(B164,Sheet1!$AQ$4:$AR$25,2,FALSE)</f>
        <v>0</v>
      </c>
      <c r="B164" s="93" t="str">
        <f t="shared" si="73"/>
        <v>Surrey</v>
      </c>
      <c r="C164" s="85"/>
      <c r="D164" s="162" t="e">
        <f t="shared" si="74"/>
        <v>#N/A</v>
      </c>
      <c r="E164" s="162" t="e">
        <f t="shared" si="75"/>
        <v>#N/A</v>
      </c>
      <c r="F164" s="162">
        <f t="shared" si="76"/>
        <v>0.56220095693779903</v>
      </c>
      <c r="G164" s="162">
        <f t="shared" si="77"/>
        <v>0.57894736842105265</v>
      </c>
      <c r="H164" s="164">
        <f t="shared" si="78"/>
        <v>0.53307392996108949</v>
      </c>
      <c r="I164" s="443"/>
      <c r="J164" s="96"/>
      <c r="K164" s="96"/>
      <c r="L164" s="166"/>
      <c r="M164" s="166"/>
      <c r="N164" s="166"/>
      <c r="O164" s="166"/>
      <c r="P164" s="166"/>
      <c r="Q164" s="166"/>
      <c r="R164" s="166"/>
      <c r="S164" s="167"/>
      <c r="T164" s="159"/>
      <c r="U164" s="122"/>
      <c r="V164" s="139"/>
      <c r="W164" s="152"/>
      <c r="X164" s="372" t="str">
        <f t="shared" si="84"/>
        <v>Surrey</v>
      </c>
      <c r="Y164" s="489" t="str">
        <f>IF(Year1_Surrey Year1_Care_Leavers_in_EET="","",Year1_Surrey Year1_Care_Leavers_in_EET)</f>
        <v/>
      </c>
      <c r="Z164" s="372" t="str">
        <f>IF(Year2_Surrey Year2_Care_Leavers_in_EET="","",Year2_Surrey Year2_Care_Leavers_in_EET)</f>
        <v/>
      </c>
      <c r="AA164" s="372">
        <f>IF(Year3_Surrey Year3_Care_Leavers_in_EET="","",Year3_Surrey Year3_Care_Leavers_in_EET)</f>
        <v>235</v>
      </c>
      <c r="AB164" s="372">
        <f>IF(Year4_Surrey Year4_Care_Leavers_in_EET="","",Year4_Surrey Year4_Care_Leavers_in_EET)</f>
        <v>275</v>
      </c>
      <c r="AC164" s="577">
        <f>IF(Year5_Surrey Year5_Care_Leavers_in_EET="","",Year5_Surrey Year5_Care_Leavers_in_EET)</f>
        <v>274</v>
      </c>
      <c r="AD164" s="577" t="str">
        <f t="shared" si="85"/>
        <v>Surrey</v>
      </c>
      <c r="AE164" s="581">
        <f t="shared" si="79"/>
        <v>0</v>
      </c>
      <c r="AF164" s="581">
        <f t="shared" si="80"/>
        <v>0</v>
      </c>
      <c r="AG164" s="581">
        <f t="shared" si="81"/>
        <v>418</v>
      </c>
      <c r="AH164" s="581">
        <f t="shared" si="82"/>
        <v>475</v>
      </c>
      <c r="AI164" s="581">
        <f t="shared" si="83"/>
        <v>514</v>
      </c>
      <c r="AJ164" s="160"/>
    </row>
    <row r="165" spans="1:36" s="87" customFormat="1" ht="12.75" customHeight="1" x14ac:dyDescent="0.2">
      <c r="A165" s="488">
        <f>VLOOKUP(B165,Sheet1!$AQ$4:$AR$25,2,FALSE)</f>
        <v>0</v>
      </c>
      <c r="B165" s="93" t="str">
        <f t="shared" si="73"/>
        <v>Swindon</v>
      </c>
      <c r="C165" s="85"/>
      <c r="D165" s="162" t="e">
        <f t="shared" si="74"/>
        <v>#N/A</v>
      </c>
      <c r="E165" s="162" t="e">
        <f t="shared" si="75"/>
        <v>#N/A</v>
      </c>
      <c r="F165" s="162">
        <f t="shared" si="76"/>
        <v>0.59677419354838712</v>
      </c>
      <c r="G165" s="162">
        <f t="shared" si="77"/>
        <v>0.51851851851851849</v>
      </c>
      <c r="H165" s="164">
        <f t="shared" si="78"/>
        <v>0.55633802816901412</v>
      </c>
      <c r="I165" s="443"/>
      <c r="J165" s="96"/>
      <c r="K165" s="96"/>
      <c r="L165" s="166"/>
      <c r="M165" s="166"/>
      <c r="N165" s="166"/>
      <c r="O165" s="166"/>
      <c r="P165" s="166"/>
      <c r="Q165" s="166"/>
      <c r="R165" s="166"/>
      <c r="S165" s="167"/>
      <c r="T165" s="159"/>
      <c r="U165" s="122"/>
      <c r="V165" s="139"/>
      <c r="W165" s="152"/>
      <c r="X165" s="372" t="str">
        <f t="shared" si="84"/>
        <v>Swindon</v>
      </c>
      <c r="Y165" s="489" t="str">
        <f>IF(Year1_Swindon Year1_Care_Leavers_in_EET="","",Year1_Swindon Year1_Care_Leavers_in_EET)</f>
        <v/>
      </c>
      <c r="Z165" s="372" t="str">
        <f>IF(Year2_Swindon Year2_Care_Leavers_in_EET="","",Year2_Swindon Year2_Care_Leavers_in_EET)</f>
        <v/>
      </c>
      <c r="AA165" s="372">
        <f>IF(Year3_Swindon Year3_Care_Leavers_in_EET="","",Year3_Swindon Year3_Care_Leavers_in_EET)</f>
        <v>74</v>
      </c>
      <c r="AB165" s="580">
        <f>IF(Year4_Swindon Year4_Care_Leavers_in_EET="","",Year4_Swindon Year4_Care_Leavers_in_EET)</f>
        <v>70</v>
      </c>
      <c r="AC165" s="604">
        <f>IF(Year5_Swindon Year5_Care_Leavers_in_EET="","",Year5_Swindon Year5_Care_Leavers_in_EET)</f>
        <v>79</v>
      </c>
      <c r="AD165" s="577" t="str">
        <f t="shared" si="85"/>
        <v>Swindon</v>
      </c>
      <c r="AE165" s="581">
        <f t="shared" si="79"/>
        <v>0</v>
      </c>
      <c r="AF165" s="581">
        <f t="shared" si="80"/>
        <v>0</v>
      </c>
      <c r="AG165" s="581">
        <f t="shared" si="81"/>
        <v>124</v>
      </c>
      <c r="AH165" s="581">
        <f t="shared" si="82"/>
        <v>135</v>
      </c>
      <c r="AI165" s="581">
        <f t="shared" si="83"/>
        <v>142</v>
      </c>
      <c r="AJ165" s="160"/>
    </row>
    <row r="166" spans="1:36" s="87" customFormat="1" ht="12.75" customHeight="1" x14ac:dyDescent="0.2">
      <c r="A166" s="488">
        <f>VLOOKUP(B166,Sheet1!$AQ$4:$AR$25,2,FALSE)</f>
        <v>0</v>
      </c>
      <c r="B166" s="93" t="str">
        <f t="shared" si="73"/>
        <v>Torbay</v>
      </c>
      <c r="C166" s="85"/>
      <c r="D166" s="162" t="e">
        <f t="shared" si="74"/>
        <v>#N/A</v>
      </c>
      <c r="E166" s="162" t="e">
        <f t="shared" si="75"/>
        <v>#N/A</v>
      </c>
      <c r="F166" s="162" t="e">
        <f t="shared" si="76"/>
        <v>#N/A</v>
      </c>
      <c r="G166" s="162">
        <f t="shared" si="77"/>
        <v>0.55769230769230771</v>
      </c>
      <c r="H166" s="164">
        <f t="shared" si="78"/>
        <v>0.55172413793103448</v>
      </c>
      <c r="I166" s="443"/>
      <c r="J166" s="96"/>
      <c r="K166" s="96"/>
      <c r="L166" s="166"/>
      <c r="M166" s="166"/>
      <c r="N166" s="166"/>
      <c r="O166" s="166"/>
      <c r="P166" s="166"/>
      <c r="Q166" s="166"/>
      <c r="R166" s="166"/>
      <c r="S166" s="167"/>
      <c r="T166" s="159"/>
      <c r="U166" s="122"/>
      <c r="V166" s="139"/>
      <c r="W166" s="152"/>
      <c r="X166" s="372" t="str">
        <f t="shared" si="84"/>
        <v>Torbay</v>
      </c>
      <c r="Y166" s="489" t="str">
        <f>IF(Year1_Torbay Year1_Care_Leavers_in_EET="","",Year1_Torbay Year1_Care_Leavers_in_EET)</f>
        <v/>
      </c>
      <c r="Z166" s="372" t="str">
        <f>IF(Year2_Torbay Year2_Care_Leavers_in_EET="","",Year2_Torbay Year2_Care_Leavers_in_EET)</f>
        <v/>
      </c>
      <c r="AA166" s="372" t="str">
        <f>IF(Year3_Torbay Year3_Care_Leavers_in_EET="","",Year3_Torbay Year3_Care_Leavers_in_EET)</f>
        <v>x</v>
      </c>
      <c r="AB166" s="580">
        <f>IF(Year4_Torbay Year4_Care_Leavers_in_EET="","",Year4_Torbay Year4_Care_Leavers_in_EET)</f>
        <v>58</v>
      </c>
      <c r="AC166" s="604">
        <f>IF(Year5_Torbay Year5_Care_Leavers_in_EET="","",Year5_Torbay Year5_Care_Leavers_in_EET)</f>
        <v>64</v>
      </c>
      <c r="AD166" s="577" t="str">
        <f t="shared" si="85"/>
        <v>Torbay</v>
      </c>
      <c r="AE166" s="581">
        <f t="shared" si="79"/>
        <v>0</v>
      </c>
      <c r="AF166" s="581">
        <f t="shared" si="80"/>
        <v>0</v>
      </c>
      <c r="AG166" s="581">
        <f t="shared" si="81"/>
        <v>107</v>
      </c>
      <c r="AH166" s="581">
        <f t="shared" si="82"/>
        <v>104</v>
      </c>
      <c r="AI166" s="581">
        <f t="shared" si="83"/>
        <v>116</v>
      </c>
      <c r="AJ166" s="160"/>
    </row>
    <row r="167" spans="1:36" s="87" customFormat="1" ht="12.75" customHeight="1" x14ac:dyDescent="0.2">
      <c r="A167" s="488">
        <f>VLOOKUP(B167,Sheet1!$AQ$4:$AR$25,2,FALSE)</f>
        <v>0</v>
      </c>
      <c r="B167" s="93" t="str">
        <f t="shared" si="73"/>
        <v>West Berkshire</v>
      </c>
      <c r="C167" s="85"/>
      <c r="D167" s="162" t="e">
        <f t="shared" si="74"/>
        <v>#N/A</v>
      </c>
      <c r="E167" s="162" t="e">
        <f t="shared" si="75"/>
        <v>#N/A</v>
      </c>
      <c r="F167" s="162">
        <f t="shared" si="76"/>
        <v>0.48717948717948717</v>
      </c>
      <c r="G167" s="162">
        <f t="shared" si="77"/>
        <v>0.46052631578947367</v>
      </c>
      <c r="H167" s="164">
        <f t="shared" si="78"/>
        <v>0.7</v>
      </c>
      <c r="I167" s="443"/>
      <c r="J167" s="96"/>
      <c r="K167" s="96"/>
      <c r="L167" s="166"/>
      <c r="M167" s="166"/>
      <c r="N167" s="166"/>
      <c r="O167" s="166"/>
      <c r="P167" s="166"/>
      <c r="Q167" s="166"/>
      <c r="R167" s="166"/>
      <c r="S167" s="167"/>
      <c r="T167" s="159"/>
      <c r="U167" s="122"/>
      <c r="V167" s="139"/>
      <c r="W167" s="152"/>
      <c r="X167" s="372" t="str">
        <f t="shared" si="84"/>
        <v>West Berkshire</v>
      </c>
      <c r="Y167" s="489" t="str">
        <f>IF(Year1_West_Berkshire Year1_Care_Leavers_in_EET="","",Year1_West_Berkshire Year1_Care_Leavers_in_EET)</f>
        <v/>
      </c>
      <c r="Z167" s="372" t="str">
        <f>IF(Year2_West_Berkshire Year2_Care_Leavers_in_EET="","",Year2_West_Berkshire Year2_Care_Leavers_in_EET)</f>
        <v/>
      </c>
      <c r="AA167" s="372">
        <f>IF(Year3_West_Berkshire Year3_Care_Leavers_in_EET="","",Year3_West_Berkshire Year3_Care_Leavers_in_EET)</f>
        <v>38</v>
      </c>
      <c r="AB167" s="372">
        <f>IF(Year4_West_Berkshire Year4_Care_Leavers_in_EET="","",Year4_West_Berkshire Year4_Care_Leavers_in_EET)</f>
        <v>35</v>
      </c>
      <c r="AC167" s="577">
        <f>IF(Year5_West_Berkshire Year5_Care_Leavers_in_EET="","",Year5_West_Berkshire Year5_Care_Leavers_in_EET)</f>
        <v>56</v>
      </c>
      <c r="AD167" s="577" t="str">
        <f t="shared" si="85"/>
        <v>West Berkshire</v>
      </c>
      <c r="AE167" s="581">
        <f t="shared" si="79"/>
        <v>0</v>
      </c>
      <c r="AF167" s="581">
        <f t="shared" si="80"/>
        <v>0</v>
      </c>
      <c r="AG167" s="581">
        <f t="shared" si="81"/>
        <v>78</v>
      </c>
      <c r="AH167" s="581">
        <f t="shared" si="82"/>
        <v>76</v>
      </c>
      <c r="AI167" s="581">
        <f t="shared" si="83"/>
        <v>80</v>
      </c>
      <c r="AJ167" s="160"/>
    </row>
    <row r="168" spans="1:36" s="87" customFormat="1" ht="12.75" customHeight="1" x14ac:dyDescent="0.2">
      <c r="A168" s="488">
        <f>VLOOKUP(B168,Sheet1!$AQ$4:$AR$25,2,FALSE)</f>
        <v>0</v>
      </c>
      <c r="B168" s="93" t="str">
        <f t="shared" si="73"/>
        <v>West Sussex</v>
      </c>
      <c r="C168" s="85"/>
      <c r="D168" s="162" t="e">
        <f t="shared" si="74"/>
        <v>#N/A</v>
      </c>
      <c r="E168" s="162" t="e">
        <f t="shared" si="75"/>
        <v>#N/A</v>
      </c>
      <c r="F168" s="162">
        <f t="shared" si="76"/>
        <v>0.71551724137931039</v>
      </c>
      <c r="G168" s="162">
        <f t="shared" si="77"/>
        <v>0.6584022038567493</v>
      </c>
      <c r="H168" s="164">
        <f t="shared" si="78"/>
        <v>0.5934959349593496</v>
      </c>
      <c r="I168" s="443"/>
      <c r="J168" s="96"/>
      <c r="K168" s="96"/>
      <c r="L168" s="166"/>
      <c r="M168" s="166"/>
      <c r="N168" s="166"/>
      <c r="O168" s="166"/>
      <c r="P168" s="166"/>
      <c r="Q168" s="166"/>
      <c r="R168" s="166"/>
      <c r="S168" s="167"/>
      <c r="T168" s="159"/>
      <c r="U168" s="122"/>
      <c r="V168" s="139"/>
      <c r="W168" s="152"/>
      <c r="X168" s="372" t="str">
        <f t="shared" si="84"/>
        <v>West Sussex</v>
      </c>
      <c r="Y168" s="489" t="str">
        <f>IF(Year1_West_Sussex Year1_Care_Leavers_in_EET="","",Year1_West_Sussex Year1_Care_Leavers_in_EET)</f>
        <v/>
      </c>
      <c r="Z168" s="372" t="str">
        <f>IF(Year2_West_Sussex Year2_Care_Leavers_in_EET="","",Year2_West_Sussex Year2_Care_Leavers_in_EET)</f>
        <v/>
      </c>
      <c r="AA168" s="372">
        <f>IF(Year3_West_Sussex Year3_Care_Leavers_in_EET="","",Year3_West_Sussex Year3_Care_Leavers_in_EET)</f>
        <v>249</v>
      </c>
      <c r="AB168" s="372">
        <f>IF(Year4_West_Sussex Year4_Care_Leavers_in_EET="","",Year4_West_Sussex Year4_Care_Leavers_in_EET)</f>
        <v>239</v>
      </c>
      <c r="AC168" s="577">
        <f>IF(Year5_West_Sussex Year5_Care_Leavers_in_EET="","",Year5_West_Sussex Year5_Care_Leavers_in_EET)</f>
        <v>219</v>
      </c>
      <c r="AD168" s="577" t="str">
        <f t="shared" si="85"/>
        <v>West Sussex</v>
      </c>
      <c r="AE168" s="581">
        <f t="shared" si="79"/>
        <v>0</v>
      </c>
      <c r="AF168" s="581">
        <f t="shared" si="80"/>
        <v>0</v>
      </c>
      <c r="AG168" s="581">
        <f t="shared" si="81"/>
        <v>348</v>
      </c>
      <c r="AH168" s="581">
        <f t="shared" si="82"/>
        <v>363</v>
      </c>
      <c r="AI168" s="581">
        <f t="shared" si="83"/>
        <v>369</v>
      </c>
      <c r="AJ168" s="160"/>
    </row>
    <row r="169" spans="1:36" s="87" customFormat="1" ht="12.75" customHeight="1" x14ac:dyDescent="0.2">
      <c r="A169" s="488">
        <f>VLOOKUP(B169,Sheet1!$AQ$4:$AR$25,2,FALSE)</f>
        <v>0</v>
      </c>
      <c r="B169" s="93" t="str">
        <f t="shared" si="73"/>
        <v>Windsor &amp; Maidenhead</v>
      </c>
      <c r="C169" s="85"/>
      <c r="D169" s="162" t="e">
        <f t="shared" si="74"/>
        <v>#N/A</v>
      </c>
      <c r="E169" s="162" t="e">
        <f t="shared" si="75"/>
        <v>#N/A</v>
      </c>
      <c r="F169" s="162">
        <f t="shared" si="76"/>
        <v>0.52083333333333337</v>
      </c>
      <c r="G169" s="162">
        <f t="shared" si="77"/>
        <v>0.5535714285714286</v>
      </c>
      <c r="H169" s="164">
        <f t="shared" si="78"/>
        <v>0.44642857142857145</v>
      </c>
      <c r="I169" s="443"/>
      <c r="J169" s="96"/>
      <c r="K169" s="96"/>
      <c r="L169" s="166"/>
      <c r="M169" s="166"/>
      <c r="N169" s="166"/>
      <c r="O169" s="166"/>
      <c r="P169" s="166"/>
      <c r="Q169" s="166"/>
      <c r="R169" s="166"/>
      <c r="S169" s="167"/>
      <c r="T169" s="159"/>
      <c r="U169" s="122"/>
      <c r="V169" s="139"/>
      <c r="W169" s="152"/>
      <c r="X169" s="372" t="str">
        <f t="shared" si="84"/>
        <v>Windsor &amp; Maidenhead</v>
      </c>
      <c r="Y169" s="489" t="str">
        <f>IF(Year1_Windsor_Maidenhead Year1_Care_Leavers_in_EET="","",Year1_Windsor_Maidenhead Year1_Care_Leavers_in_EET)</f>
        <v/>
      </c>
      <c r="Z169" s="372" t="str">
        <f>IF(Year2_Windsor_Maidenhead Year2_Care_Leavers_in_EET="","",Year2_Windsor_Maidenhead Year2_Care_Leavers_in_EET)</f>
        <v/>
      </c>
      <c r="AA169" s="372">
        <f>IF(Year3_Windsor_Maidenhead Year3_Care_Leavers_in_EET="","",Year3_Windsor_Maidenhead Year3_Care_Leavers_in_EET)</f>
        <v>25</v>
      </c>
      <c r="AB169" s="372">
        <f>IF(Year4_Windsor_Maidenhead Year4_Care_Leavers_in_EET="","",Year4_Windsor_Maidenhead Year4_Care_Leavers_in_EET)</f>
        <v>31</v>
      </c>
      <c r="AC169" s="577">
        <f>IF(Year5_Windsor_Maidenhead Year5_Care_Leavers_in_EET="","",Year5_Windsor_Maidenhead Year5_Care_Leavers_in_EET)</f>
        <v>25</v>
      </c>
      <c r="AD169" s="577" t="str">
        <f t="shared" si="85"/>
        <v>Windsor &amp; Maidenhead</v>
      </c>
      <c r="AE169" s="581">
        <f t="shared" si="79"/>
        <v>0</v>
      </c>
      <c r="AF169" s="581">
        <f t="shared" si="80"/>
        <v>0</v>
      </c>
      <c r="AG169" s="581">
        <f t="shared" si="81"/>
        <v>48</v>
      </c>
      <c r="AH169" s="581">
        <f t="shared" si="82"/>
        <v>56</v>
      </c>
      <c r="AI169" s="581">
        <f t="shared" si="83"/>
        <v>56</v>
      </c>
      <c r="AJ169" s="160"/>
    </row>
    <row r="170" spans="1:36" s="87" customFormat="1" ht="12.75" customHeight="1" x14ac:dyDescent="0.2">
      <c r="A170" s="488">
        <f>VLOOKUP(B170,Sheet1!$AQ$4:$AR$25,2,FALSE)</f>
        <v>0</v>
      </c>
      <c r="B170" s="93" t="str">
        <f t="shared" si="73"/>
        <v>Wokingham</v>
      </c>
      <c r="C170" s="85"/>
      <c r="D170" s="162" t="e">
        <f t="shared" si="74"/>
        <v>#N/A</v>
      </c>
      <c r="E170" s="162" t="e">
        <f t="shared" si="75"/>
        <v>#N/A</v>
      </c>
      <c r="F170" s="162">
        <f t="shared" si="76"/>
        <v>0.6071428571428571</v>
      </c>
      <c r="G170" s="162">
        <f t="shared" si="77"/>
        <v>0.55263157894736847</v>
      </c>
      <c r="H170" s="164">
        <f t="shared" si="78"/>
        <v>0.56862745098039214</v>
      </c>
      <c r="I170" s="443"/>
      <c r="J170" s="96"/>
      <c r="K170" s="96"/>
      <c r="L170" s="166"/>
      <c r="M170" s="166"/>
      <c r="N170" s="166"/>
      <c r="O170" s="166"/>
      <c r="P170" s="166"/>
      <c r="Q170" s="166"/>
      <c r="R170" s="166"/>
      <c r="S170" s="167"/>
      <c r="T170" s="159"/>
      <c r="U170" s="122"/>
      <c r="V170" s="139"/>
      <c r="W170" s="152"/>
      <c r="X170" s="372" t="str">
        <f t="shared" si="84"/>
        <v>Wokingham</v>
      </c>
      <c r="Y170" s="489" t="str">
        <f>IF(Year1_Wokingham Year1_Care_Leavers_in_EET="","",Year1_Wokingham Year1_Care_Leavers_in_EET)</f>
        <v/>
      </c>
      <c r="Z170" s="372" t="str">
        <f>IF(Year2_Wokingham Year2_Care_Leavers_in_EET="","",Year2_Wokingham Year2_Care_Leavers_in_EET)</f>
        <v/>
      </c>
      <c r="AA170" s="372">
        <f>IF(Year3_Wokingham Year3_Care_Leavers_in_EET="","",Year3_Wokingham Year3_Care_Leavers_in_EET)</f>
        <v>17</v>
      </c>
      <c r="AB170" s="372">
        <f>IF(Year4_Wokingham Year4_Care_Leavers_in_EET="","",Year4_Wokingham Year4_Care_Leavers_in_EET)</f>
        <v>21</v>
      </c>
      <c r="AC170" s="577">
        <f>IF(Year5_Wokingham Year5_Care_Leavers_in_EET="","",Year5_Wokingham Year5_Care_Leavers_in_EET)</f>
        <v>29</v>
      </c>
      <c r="AD170" s="577" t="str">
        <f t="shared" si="85"/>
        <v>Wokingham</v>
      </c>
      <c r="AE170" s="581">
        <f t="shared" si="79"/>
        <v>0</v>
      </c>
      <c r="AF170" s="581">
        <f t="shared" si="80"/>
        <v>0</v>
      </c>
      <c r="AG170" s="581">
        <f t="shared" si="81"/>
        <v>28</v>
      </c>
      <c r="AH170" s="581">
        <f t="shared" si="82"/>
        <v>38</v>
      </c>
      <c r="AI170" s="581">
        <f t="shared" si="83"/>
        <v>51</v>
      </c>
      <c r="AJ170" s="160"/>
    </row>
    <row r="171" spans="1:36" s="87" customFormat="1" ht="12.75" customHeight="1" x14ac:dyDescent="0.2">
      <c r="A171" s="121"/>
      <c r="B171" s="129" t="str">
        <f t="shared" si="73"/>
        <v>South East</v>
      </c>
      <c r="C171" s="85"/>
      <c r="D171" s="163" t="e">
        <f t="shared" si="74"/>
        <v>#N/A</v>
      </c>
      <c r="E171" s="163" t="e">
        <f t="shared" si="75"/>
        <v>#N/A</v>
      </c>
      <c r="F171" s="163">
        <f t="shared" si="76"/>
        <v>0.52272727272727271</v>
      </c>
      <c r="G171" s="163">
        <f t="shared" si="77"/>
        <v>0.53894736842105262</v>
      </c>
      <c r="H171" s="165">
        <f t="shared" si="78"/>
        <v>0.53209109730848858</v>
      </c>
      <c r="I171" s="443"/>
      <c r="J171" s="96"/>
      <c r="K171" s="96"/>
      <c r="L171" s="168"/>
      <c r="M171" s="168"/>
      <c r="N171" s="168"/>
      <c r="O171" s="168"/>
      <c r="P171" s="168"/>
      <c r="Q171" s="168"/>
      <c r="R171" s="168"/>
      <c r="S171" s="169"/>
      <c r="T171" s="159"/>
      <c r="U171" s="122"/>
      <c r="V171" s="139"/>
      <c r="W171" s="152"/>
      <c r="X171" s="372" t="str">
        <f t="shared" si="84"/>
        <v>South East</v>
      </c>
      <c r="Y171" s="607" t="str">
        <f>IF(Year1_SouthEast Year1_Care_Leavers_in_EET="","",Year1_SouthEast Year1_Care_Leavers_in_EET)</f>
        <v/>
      </c>
      <c r="Z171" s="607" t="str">
        <f>IF(Year2_SouthEast Year2_Care_Leavers_in_EET="","",Year2_SouthEast Year2_Care_Leavers_in_EET)</f>
        <v/>
      </c>
      <c r="AA171" s="607">
        <f>IF(Year3_SouthEast Year3_Care_Leavers_in_EET="","",Year3_SouthEast Year3_Care_Leavers_in_EET)</f>
        <v>2300</v>
      </c>
      <c r="AB171" s="372">
        <f>IF(Year4_SouthEast Year4_Care_Leavers_in_EET="","",Year4_SouthEast Year4_Care_Leavers_in_EET)</f>
        <v>2560</v>
      </c>
      <c r="AC171" s="577">
        <f>IF(Year5_SouthEast Year5_Care_Leavers_in_EET="","",Year5_SouthEast Year5_Care_Leavers_in_EET)</f>
        <v>2570</v>
      </c>
      <c r="AD171" s="577" t="str">
        <f t="shared" si="85"/>
        <v>South East</v>
      </c>
      <c r="AE171" s="606">
        <f>SUM(AE149:AE161,AE163:AE164,AE167:AE170)</f>
        <v>0</v>
      </c>
      <c r="AF171" s="606">
        <f>SUM(AF149:AF161,AF163:AF164,AF167:AF170)</f>
        <v>0</v>
      </c>
      <c r="AG171" s="606">
        <f t="shared" ref="AG171:AI171" si="86">SUM(AG149:AG161,AG163:AG164,AG167:AG170)</f>
        <v>4396</v>
      </c>
      <c r="AH171" s="606">
        <f t="shared" si="86"/>
        <v>4745</v>
      </c>
      <c r="AI171" s="606">
        <f t="shared" si="86"/>
        <v>4826</v>
      </c>
      <c r="AJ171" s="160"/>
    </row>
    <row r="172" spans="1:36" s="87" customFormat="1" ht="12.75" customHeight="1" x14ac:dyDescent="0.2">
      <c r="A172" s="292"/>
      <c r="B172" s="329" t="str">
        <f t="shared" si="73"/>
        <v>England</v>
      </c>
      <c r="C172" s="85"/>
      <c r="D172" s="351" t="e">
        <f t="shared" si="74"/>
        <v>#N/A</v>
      </c>
      <c r="E172" s="351" t="e">
        <f t="shared" si="75"/>
        <v>#N/A</v>
      </c>
      <c r="F172" s="351">
        <f t="shared" si="76"/>
        <v>0.51350403367239561</v>
      </c>
      <c r="G172" s="351">
        <f t="shared" si="77"/>
        <v>0.52255262278650183</v>
      </c>
      <c r="H172" s="352">
        <f t="shared" si="78"/>
        <v>0.52591170825335898</v>
      </c>
      <c r="I172" s="443"/>
      <c r="J172" s="96"/>
      <c r="K172" s="96"/>
      <c r="L172" s="168"/>
      <c r="M172" s="168"/>
      <c r="N172" s="168"/>
      <c r="O172" s="168"/>
      <c r="P172" s="168"/>
      <c r="Q172" s="168"/>
      <c r="R172" s="168"/>
      <c r="S172" s="169"/>
      <c r="T172" s="159"/>
      <c r="U172" s="122"/>
      <c r="V172" s="139"/>
      <c r="W172" s="152"/>
      <c r="X172" s="372" t="str">
        <f t="shared" ref="X172" si="87">B172</f>
        <v>England</v>
      </c>
      <c r="Y172" s="1496" t="str">
        <f>IF(Year1_England Year1_Care_Leavers_in_EET="","",Year1_England Year1_Care_Leavers_in_EET)</f>
        <v/>
      </c>
      <c r="Z172" s="372" t="str">
        <f>IF(Year2_England Year2_Care_Leavers_in_EET="","",Year2_England Year2_Care_Leavers_in_EET)</f>
        <v/>
      </c>
      <c r="AA172" s="372">
        <f>IF(Year3_England Year3_Care_Leavers_in_EET="","",Year3_England Year3_Care_Leavers_in_EET)</f>
        <v>14640</v>
      </c>
      <c r="AB172" s="372">
        <f>IF(Year4_England Year4_Care_Leavers_in_EET="","",Year4_England Year4_Care_Leavers_in_EET)</f>
        <v>15640</v>
      </c>
      <c r="AC172" s="577">
        <f>IF(Year5_England Year5_Care_Leavers_in_EET="","",Year5_England Year5_Care_Leavers_in_EET)</f>
        <v>16440</v>
      </c>
      <c r="AD172" s="577" t="str">
        <f t="shared" ref="AD172" si="88">X172</f>
        <v>England</v>
      </c>
      <c r="AE172" s="581">
        <f>IF(Y172="",0,D33)</f>
        <v>0</v>
      </c>
      <c r="AF172" s="581">
        <f>IF(Z172="",0,E33)</f>
        <v>0</v>
      </c>
      <c r="AG172" s="581">
        <f>IF(AA172="",0,F33)</f>
        <v>28510</v>
      </c>
      <c r="AH172" s="581">
        <f>IF(AB172="",0,G33)</f>
        <v>29930</v>
      </c>
      <c r="AI172" s="581">
        <f>IF(AC172="",0,H33)</f>
        <v>31260</v>
      </c>
      <c r="AJ172" s="160"/>
    </row>
    <row r="173" spans="1:36" s="87" customFormat="1" ht="7.5" customHeight="1" x14ac:dyDescent="0.2">
      <c r="A173" s="292"/>
      <c r="B173" s="96"/>
      <c r="C173" s="96"/>
      <c r="D173" s="96"/>
      <c r="E173" s="96"/>
      <c r="F173" s="96"/>
      <c r="G173" s="96"/>
      <c r="H173" s="96"/>
      <c r="I173" s="96"/>
      <c r="J173" s="96"/>
      <c r="K173" s="96"/>
      <c r="L173" s="168"/>
      <c r="M173" s="168"/>
      <c r="N173" s="168"/>
      <c r="O173" s="168"/>
      <c r="P173" s="168"/>
      <c r="Q173" s="168"/>
      <c r="R173" s="168"/>
      <c r="S173" s="169"/>
      <c r="T173" s="159"/>
      <c r="U173" s="122"/>
      <c r="V173" s="139"/>
      <c r="W173" s="152"/>
      <c r="X173" s="81"/>
      <c r="Y173" s="81"/>
      <c r="Z173" s="196"/>
      <c r="AA173" s="196"/>
      <c r="AB173" s="197"/>
      <c r="AC173" s="81"/>
      <c r="AD173" s="81"/>
      <c r="AE173" s="81"/>
      <c r="AF173" s="81"/>
      <c r="AG173" s="81"/>
      <c r="AH173" s="81"/>
      <c r="AI173" s="184"/>
      <c r="AJ173" s="160"/>
    </row>
    <row r="174" spans="1:36" s="81" customFormat="1" ht="36.75" customHeight="1" x14ac:dyDescent="0.2">
      <c r="A174" s="217"/>
      <c r="B174" s="392"/>
      <c r="C174" s="392"/>
      <c r="D174" s="392"/>
      <c r="E174" s="392"/>
      <c r="F174" s="392"/>
      <c r="G174" s="392"/>
      <c r="H174" s="392"/>
      <c r="I174" s="392"/>
      <c r="J174" s="392"/>
      <c r="K174" s="172"/>
      <c r="L174" s="172"/>
      <c r="M174" s="172"/>
      <c r="N174" s="172"/>
      <c r="O174" s="172"/>
      <c r="P174" s="172"/>
      <c r="Q174" s="172"/>
      <c r="R174" s="172"/>
      <c r="S174" s="136"/>
      <c r="T174" s="172"/>
      <c r="U174" s="117"/>
      <c r="V174" s="137"/>
      <c r="W174" s="150"/>
      <c r="AC174" s="197"/>
      <c r="AD174" s="199"/>
      <c r="AE174" s="184"/>
      <c r="AF174" s="184"/>
      <c r="AG174" s="184"/>
      <c r="AI174" s="184"/>
      <c r="AJ174" s="161"/>
    </row>
    <row r="175" spans="1:36" s="81" customFormat="1" ht="36.75" customHeight="1" x14ac:dyDescent="0.2">
      <c r="A175" s="217"/>
      <c r="B175" s="392"/>
      <c r="C175" s="392"/>
      <c r="D175" s="392"/>
      <c r="E175" s="392"/>
      <c r="F175" s="392"/>
      <c r="G175" s="392"/>
      <c r="H175" s="392"/>
      <c r="I175" s="392"/>
      <c r="J175" s="392"/>
      <c r="K175" s="172"/>
      <c r="L175" s="172"/>
      <c r="M175" s="172"/>
      <c r="N175" s="172"/>
      <c r="O175" s="172"/>
      <c r="P175" s="172"/>
      <c r="Q175" s="172"/>
      <c r="R175" s="172"/>
      <c r="S175" s="136"/>
      <c r="T175" s="172"/>
      <c r="U175" s="117"/>
      <c r="V175" s="137"/>
      <c r="W175" s="150"/>
      <c r="Y175" s="190"/>
      <c r="AD175" s="199"/>
      <c r="AE175" s="184"/>
      <c r="AF175" s="184"/>
      <c r="AG175" s="184"/>
      <c r="AI175" s="184"/>
      <c r="AJ175" s="161"/>
    </row>
    <row r="176" spans="1:36" s="81" customFormat="1" ht="36.75" customHeight="1" x14ac:dyDescent="0.2">
      <c r="A176" s="217"/>
      <c r="B176" s="392"/>
      <c r="C176" s="392"/>
      <c r="D176" s="392"/>
      <c r="E176" s="392"/>
      <c r="F176" s="392"/>
      <c r="G176" s="392"/>
      <c r="H176" s="392"/>
      <c r="I176" s="392"/>
      <c r="J176" s="392"/>
      <c r="K176" s="172"/>
      <c r="L176" s="172"/>
      <c r="M176" s="172"/>
      <c r="N176" s="172"/>
      <c r="O176" s="172"/>
      <c r="P176" s="172"/>
      <c r="Q176" s="172"/>
      <c r="R176" s="172"/>
      <c r="S176" s="136"/>
      <c r="T176" s="172"/>
      <c r="U176" s="117"/>
      <c r="V176" s="137"/>
      <c r="W176" s="150"/>
      <c r="Y176" s="190"/>
      <c r="AD176" s="199"/>
      <c r="AE176" s="184"/>
      <c r="AF176" s="184"/>
      <c r="AG176" s="184"/>
      <c r="AI176" s="184"/>
      <c r="AJ176" s="161"/>
    </row>
    <row r="177" spans="1:66" s="81" customFormat="1" ht="7.5" customHeight="1" x14ac:dyDescent="0.2">
      <c r="A177" s="118"/>
      <c r="B177" s="17"/>
      <c r="C177" s="17"/>
      <c r="D177" s="16"/>
      <c r="E177" s="16"/>
      <c r="F177" s="16"/>
      <c r="G177" s="16"/>
      <c r="H177" s="16"/>
      <c r="I177" s="16"/>
      <c r="J177" s="16"/>
      <c r="K177" s="12"/>
      <c r="L177" s="18"/>
      <c r="M177" s="18"/>
      <c r="N177" s="18"/>
      <c r="O177" s="18"/>
      <c r="P177" s="18"/>
      <c r="Q177" s="18"/>
      <c r="R177" s="18"/>
      <c r="S177" s="18"/>
      <c r="T177" s="18"/>
      <c r="U177" s="117"/>
      <c r="V177" s="137"/>
      <c r="W177" s="150"/>
      <c r="Y177" s="190"/>
      <c r="AI177" s="184"/>
      <c r="AJ177" s="157"/>
      <c r="AK177" s="74"/>
      <c r="AL177" s="74"/>
      <c r="AM177" s="74"/>
      <c r="AN177" s="74"/>
      <c r="AO177" s="74"/>
      <c r="AP177" s="74"/>
      <c r="AQ177" s="74"/>
    </row>
    <row r="178" spans="1:66" s="81" customFormat="1" ht="15" customHeight="1" x14ac:dyDescent="0.2">
      <c r="A178" s="1716"/>
      <c r="B178" s="1760"/>
      <c r="C178" s="1760"/>
      <c r="D178" s="1760"/>
      <c r="E178" s="1760"/>
      <c r="F178" s="1760"/>
      <c r="G178" s="1760"/>
      <c r="H178" s="1760"/>
      <c r="I178" s="1760"/>
      <c r="J178" s="1760"/>
      <c r="K178" s="1760"/>
      <c r="L178" s="1760"/>
      <c r="M178" s="1760"/>
      <c r="N178" s="1760"/>
      <c r="O178" s="1760"/>
      <c r="P178" s="1760"/>
      <c r="Q178" s="1760"/>
      <c r="R178" s="1760"/>
      <c r="S178" s="1760"/>
      <c r="T178" s="1760"/>
      <c r="U178" s="1761"/>
      <c r="V178" s="137"/>
      <c r="W178" s="150"/>
      <c r="AJ178" s="161"/>
      <c r="AS178" s="74"/>
    </row>
    <row r="179" spans="1:66" s="81" customFormat="1" ht="11.25" customHeight="1" x14ac:dyDescent="0.2">
      <c r="A179" s="1765" t="str">
        <f>Home!$A$39</f>
        <v xml:space="preserve"> </v>
      </c>
      <c r="B179" s="1766"/>
      <c r="C179" s="1766"/>
      <c r="D179" s="1766"/>
      <c r="E179" s="1766"/>
      <c r="F179" s="1766"/>
      <c r="G179" s="1766"/>
      <c r="H179" s="1766"/>
      <c r="I179" s="1768"/>
      <c r="J179" s="1767"/>
      <c r="K179" s="1766"/>
      <c r="L179" s="1766"/>
      <c r="M179" s="1766"/>
      <c r="N179" s="1766"/>
      <c r="O179" s="1766"/>
      <c r="P179" s="1766"/>
      <c r="Q179" s="1768"/>
      <c r="R179" s="1766"/>
      <c r="S179" s="1766"/>
      <c r="T179" s="1766"/>
      <c r="U179" s="1769"/>
      <c r="V179" s="137"/>
      <c r="W179" s="150"/>
      <c r="AI179" s="184"/>
      <c r="AJ179" s="160"/>
      <c r="AK179" s="87"/>
      <c r="AS179" s="74"/>
    </row>
    <row r="180" spans="1:66" ht="11.25" customHeight="1" x14ac:dyDescent="0.2">
      <c r="A180" s="142"/>
      <c r="B180" s="9"/>
      <c r="C180" s="9"/>
      <c r="D180" s="9"/>
      <c r="E180" s="9"/>
      <c r="F180" s="58"/>
      <c r="G180" s="58"/>
      <c r="H180" s="58"/>
      <c r="I180" s="58"/>
      <c r="J180" s="114"/>
      <c r="K180" s="113"/>
      <c r="L180" s="113"/>
      <c r="M180" s="113"/>
      <c r="N180" s="113"/>
      <c r="O180" s="113"/>
      <c r="P180" s="113"/>
      <c r="Q180" s="113"/>
      <c r="R180" s="113"/>
      <c r="S180" s="113"/>
      <c r="T180" s="113"/>
      <c r="U180" s="113"/>
      <c r="V180" s="113"/>
      <c r="W180" s="137"/>
      <c r="X180" s="150"/>
      <c r="AI180" s="81"/>
      <c r="AJ180" s="161"/>
      <c r="AK180" s="81"/>
      <c r="AL180" s="82"/>
      <c r="AM180" s="81"/>
      <c r="AN180" s="81"/>
      <c r="AO180" s="184"/>
      <c r="AP180" s="184"/>
      <c r="AQ180" s="184"/>
      <c r="AR180" s="157"/>
      <c r="AZ180" s="81"/>
      <c r="BA180" s="81"/>
      <c r="BB180" s="81"/>
      <c r="BC180" s="81"/>
      <c r="BD180" s="81"/>
      <c r="BE180" s="81"/>
      <c r="BF180" s="81"/>
      <c r="BG180" s="81"/>
      <c r="BH180" s="81"/>
      <c r="BI180" s="81"/>
      <c r="BJ180" s="81"/>
      <c r="BK180" s="81"/>
      <c r="BL180" s="81"/>
      <c r="BM180" s="81"/>
      <c r="BN180" s="81"/>
    </row>
    <row r="181" spans="1:66" ht="11.25" customHeight="1" x14ac:dyDescent="0.2">
      <c r="A181" s="142"/>
      <c r="B181" s="1685" t="s">
        <v>82</v>
      </c>
      <c r="C181" s="1685"/>
      <c r="D181" s="1685"/>
      <c r="E181" s="1685"/>
      <c r="F181" s="1685"/>
      <c r="G181" s="1685"/>
      <c r="H181" s="1685"/>
      <c r="I181" s="1685"/>
      <c r="J181" s="12"/>
      <c r="K181" s="9"/>
      <c r="L181" s="9"/>
      <c r="M181" s="9"/>
      <c r="N181" s="9"/>
      <c r="O181" s="9"/>
      <c r="P181" s="9"/>
      <c r="Q181" s="9"/>
      <c r="R181" s="9"/>
      <c r="S181" s="9"/>
      <c r="T181" s="9"/>
      <c r="U181" s="9"/>
      <c r="V181" s="9"/>
      <c r="W181" s="137"/>
      <c r="X181" s="150"/>
      <c r="AI181" s="81"/>
      <c r="AJ181" s="161"/>
      <c r="AK181" s="81"/>
      <c r="AL181" s="82"/>
      <c r="AM181" s="81"/>
      <c r="AN181" s="81"/>
      <c r="AO181" s="184"/>
      <c r="AP181" s="184"/>
      <c r="AQ181" s="184"/>
      <c r="AR181" s="157"/>
      <c r="AT181" s="81"/>
      <c r="AU181" s="81"/>
      <c r="AV181" s="81"/>
      <c r="AW181" s="81"/>
      <c r="AX181" s="81"/>
      <c r="AY181" s="81"/>
    </row>
    <row r="182" spans="1:66" ht="11.25" customHeight="1" x14ac:dyDescent="0.2">
      <c r="A182" s="142"/>
      <c r="B182" s="1685"/>
      <c r="C182" s="1685"/>
      <c r="D182" s="1685"/>
      <c r="E182" s="1685"/>
      <c r="F182" s="1685"/>
      <c r="G182" s="1685"/>
      <c r="H182" s="1685"/>
      <c r="I182" s="1685"/>
      <c r="J182" s="12"/>
      <c r="K182" s="9"/>
      <c r="L182" s="9"/>
      <c r="M182" s="9"/>
      <c r="N182" s="9"/>
      <c r="O182" s="9"/>
      <c r="P182" s="9"/>
      <c r="Q182" s="9"/>
      <c r="R182" s="9"/>
      <c r="S182" s="9"/>
      <c r="T182" s="9"/>
      <c r="U182" s="9"/>
      <c r="V182" s="9"/>
      <c r="W182" s="137"/>
      <c r="X182" s="150"/>
      <c r="AI182" s="81"/>
      <c r="AJ182" s="161"/>
      <c r="AK182" s="81"/>
      <c r="AL182" s="82"/>
      <c r="AM182" s="81"/>
      <c r="AN182" s="81"/>
      <c r="AO182" s="184"/>
      <c r="AP182" s="184"/>
      <c r="AQ182" s="184"/>
      <c r="AR182" s="157"/>
    </row>
    <row r="183" spans="1:66" ht="11.25" customHeight="1" x14ac:dyDescent="0.2">
      <c r="A183" s="142"/>
      <c r="B183" s="1680" t="s">
        <v>800</v>
      </c>
      <c r="C183" s="1680"/>
      <c r="D183" s="1680"/>
      <c r="E183" s="1680"/>
      <c r="F183" s="1680"/>
      <c r="G183" s="1680"/>
      <c r="H183" s="1680"/>
      <c r="I183" s="1680"/>
      <c r="J183" s="12"/>
      <c r="K183" s="9"/>
      <c r="L183" s="9"/>
      <c r="M183" s="9"/>
      <c r="N183" s="9"/>
      <c r="O183" s="9"/>
      <c r="P183" s="9"/>
      <c r="Q183" s="9"/>
      <c r="R183" s="9"/>
      <c r="S183" s="9"/>
      <c r="T183" s="9"/>
      <c r="U183" s="9"/>
      <c r="V183" s="9"/>
      <c r="W183" s="137"/>
      <c r="X183" s="150"/>
      <c r="AI183" s="81"/>
      <c r="AJ183" s="161"/>
      <c r="AK183" s="81"/>
      <c r="AL183" s="82"/>
      <c r="AM183" s="81"/>
      <c r="AN183" s="81"/>
      <c r="AO183" s="184"/>
      <c r="AP183" s="184"/>
      <c r="AQ183" s="184"/>
      <c r="AR183" s="157"/>
    </row>
    <row r="184" spans="1:66" ht="11.25" customHeight="1" x14ac:dyDescent="0.2">
      <c r="A184" s="142"/>
      <c r="B184" s="1680"/>
      <c r="C184" s="1680"/>
      <c r="D184" s="1680"/>
      <c r="E184" s="1680"/>
      <c r="F184" s="1680"/>
      <c r="G184" s="1680"/>
      <c r="H184" s="1680"/>
      <c r="I184" s="1680"/>
      <c r="J184" s="12"/>
      <c r="K184" s="9"/>
      <c r="L184" s="9"/>
      <c r="M184" s="9"/>
      <c r="N184" s="9"/>
      <c r="O184" s="9"/>
      <c r="P184" s="9"/>
      <c r="Q184" s="9"/>
      <c r="R184" s="9"/>
      <c r="S184" s="9"/>
      <c r="T184" s="9"/>
      <c r="U184" s="9"/>
      <c r="V184" s="9"/>
      <c r="W184" s="137"/>
      <c r="X184" s="150"/>
      <c r="AI184" s="81"/>
      <c r="AJ184" s="161"/>
      <c r="AK184" s="81"/>
      <c r="AL184" s="82"/>
      <c r="AM184" s="81"/>
      <c r="AN184" s="81"/>
      <c r="AO184" s="188"/>
      <c r="AP184" s="188"/>
      <c r="AQ184" s="188"/>
      <c r="AR184" s="158"/>
    </row>
    <row r="185" spans="1:66" s="76" customFormat="1" ht="11.25" hidden="1" customHeight="1" x14ac:dyDescent="0.2">
      <c r="A185" s="142"/>
      <c r="B185" s="1680" t="s">
        <v>81</v>
      </c>
      <c r="C185" s="1680"/>
      <c r="D185" s="1680"/>
      <c r="E185" s="1680"/>
      <c r="F185" s="1680"/>
      <c r="G185" s="1680"/>
      <c r="H185" s="1680"/>
      <c r="I185" s="1680"/>
      <c r="J185" s="14"/>
      <c r="K185" s="14"/>
      <c r="L185" s="14"/>
      <c r="M185" s="14"/>
      <c r="N185" s="14"/>
      <c r="O185" s="14"/>
      <c r="P185" s="14"/>
      <c r="Q185" s="14"/>
      <c r="R185" s="14"/>
      <c r="S185" s="14"/>
      <c r="T185" s="14"/>
      <c r="U185" s="14"/>
      <c r="V185" s="14"/>
      <c r="W185" s="140"/>
      <c r="X185" s="154"/>
      <c r="Y185" s="81"/>
      <c r="Z185" s="81"/>
      <c r="AA185" s="81"/>
      <c r="AB185" s="81"/>
      <c r="AC185" s="81"/>
      <c r="AD185" s="81"/>
      <c r="AE185" s="81"/>
      <c r="AF185" s="81"/>
      <c r="AG185" s="81"/>
      <c r="AH185" s="81"/>
      <c r="AI185" s="81"/>
      <c r="AJ185" s="161"/>
      <c r="AK185" s="81"/>
      <c r="AL185" s="82"/>
      <c r="AM185" s="81"/>
      <c r="AN185" s="81"/>
      <c r="AO185" s="184"/>
      <c r="AP185" s="184"/>
      <c r="AQ185" s="184"/>
      <c r="AR185" s="157"/>
    </row>
    <row r="186" spans="1:66" ht="11.25" hidden="1" customHeight="1" x14ac:dyDescent="0.2">
      <c r="A186" s="142"/>
      <c r="B186" s="1680"/>
      <c r="C186" s="1680"/>
      <c r="D186" s="1680"/>
      <c r="E186" s="1680"/>
      <c r="F186" s="1680"/>
      <c r="G186" s="1680"/>
      <c r="H186" s="1680"/>
      <c r="I186" s="1680"/>
      <c r="J186" s="12"/>
      <c r="K186" s="9"/>
      <c r="L186" s="9"/>
      <c r="M186" s="9"/>
      <c r="N186" s="9"/>
      <c r="O186" s="9"/>
      <c r="P186" s="9"/>
      <c r="Q186" s="9"/>
      <c r="R186" s="9"/>
      <c r="S186" s="9"/>
      <c r="T186" s="9"/>
      <c r="U186" s="9"/>
      <c r="V186" s="9"/>
      <c r="W186" s="137"/>
      <c r="X186" s="150"/>
      <c r="AI186" s="81"/>
      <c r="AJ186" s="161"/>
      <c r="AK186" s="81"/>
      <c r="AL186" s="82"/>
      <c r="AM186" s="81"/>
      <c r="AN186" s="81"/>
      <c r="AO186" s="184"/>
      <c r="AP186" s="184"/>
      <c r="AQ186" s="184"/>
      <c r="AR186" s="157"/>
    </row>
    <row r="187" spans="1:66" ht="11.25" customHeight="1" x14ac:dyDescent="0.2">
      <c r="A187" s="142"/>
      <c r="B187" s="1680" t="s">
        <v>78</v>
      </c>
      <c r="C187" s="1680"/>
      <c r="D187" s="1680"/>
      <c r="E187" s="1680"/>
      <c r="F187" s="1680"/>
      <c r="G187" s="1680"/>
      <c r="H187" s="1680"/>
      <c r="I187" s="1680"/>
      <c r="J187" s="12"/>
      <c r="K187" s="9"/>
      <c r="L187" s="9"/>
      <c r="M187" s="9"/>
      <c r="N187" s="9"/>
      <c r="O187" s="9"/>
      <c r="P187" s="9"/>
      <c r="Q187" s="9"/>
      <c r="R187" s="9"/>
      <c r="S187" s="9"/>
      <c r="T187" s="9"/>
      <c r="U187" s="9"/>
      <c r="V187" s="9"/>
      <c r="W187" s="137"/>
      <c r="X187" s="150"/>
      <c r="AI187" s="81"/>
      <c r="AJ187" s="161"/>
      <c r="AK187" s="81"/>
      <c r="AL187" s="82"/>
      <c r="AM187" s="81"/>
      <c r="AN187" s="81"/>
      <c r="AO187" s="184"/>
      <c r="AP187" s="184"/>
      <c r="AQ187" s="184"/>
      <c r="AR187" s="157"/>
      <c r="AS187" s="76"/>
      <c r="AT187" s="76"/>
    </row>
    <row r="188" spans="1:66" ht="11.25" customHeight="1" x14ac:dyDescent="0.2">
      <c r="A188" s="142"/>
      <c r="B188" s="1680"/>
      <c r="C188" s="1680"/>
      <c r="D188" s="1680"/>
      <c r="E188" s="1680"/>
      <c r="F188" s="1680"/>
      <c r="G188" s="1680"/>
      <c r="H188" s="1680"/>
      <c r="I188" s="1680"/>
      <c r="J188" s="12"/>
      <c r="K188" s="9"/>
      <c r="L188" s="9"/>
      <c r="M188" s="9"/>
      <c r="N188" s="9"/>
      <c r="O188" s="9"/>
      <c r="P188" s="9"/>
      <c r="Q188" s="9"/>
      <c r="R188" s="9"/>
      <c r="S188" s="9"/>
      <c r="T188" s="9"/>
      <c r="U188" s="9"/>
      <c r="V188" s="9"/>
      <c r="W188" s="137"/>
      <c r="X188" s="150"/>
      <c r="AI188" s="81"/>
      <c r="AJ188" s="161"/>
      <c r="AK188" s="81"/>
      <c r="AL188" s="82"/>
      <c r="AM188" s="81"/>
      <c r="AN188" s="81"/>
      <c r="AO188" s="184"/>
      <c r="AP188" s="184"/>
      <c r="AQ188" s="184"/>
      <c r="AR188" s="157"/>
    </row>
    <row r="189" spans="1:66" ht="11.25" customHeight="1" x14ac:dyDescent="0.2">
      <c r="A189" s="142"/>
      <c r="B189" s="1680" t="s">
        <v>17</v>
      </c>
      <c r="C189" s="1680"/>
      <c r="D189" s="1680"/>
      <c r="E189" s="1680"/>
      <c r="F189" s="1680"/>
      <c r="G189" s="1680"/>
      <c r="H189" s="1680"/>
      <c r="I189" s="1680"/>
      <c r="J189" s="12"/>
      <c r="K189" s="9"/>
      <c r="L189" s="9"/>
      <c r="M189" s="9"/>
      <c r="N189" s="9"/>
      <c r="O189" s="9"/>
      <c r="P189" s="9"/>
      <c r="Q189" s="9"/>
      <c r="R189" s="9"/>
      <c r="S189" s="9"/>
      <c r="T189" s="9"/>
      <c r="U189" s="9"/>
      <c r="V189" s="11"/>
      <c r="W189" s="252"/>
      <c r="X189" s="150"/>
      <c r="AA189" s="74"/>
      <c r="AB189" s="74"/>
      <c r="AI189" s="81"/>
      <c r="AJ189" s="161"/>
      <c r="AK189" s="81"/>
      <c r="AL189" s="82"/>
      <c r="AM189" s="81"/>
      <c r="AN189" s="81"/>
      <c r="AO189" s="184"/>
      <c r="AP189" s="184"/>
      <c r="AQ189" s="184"/>
      <c r="AR189" s="157"/>
      <c r="AS189" s="76"/>
      <c r="AT189" s="76"/>
    </row>
    <row r="190" spans="1:66" ht="11.25" customHeight="1" x14ac:dyDescent="0.2">
      <c r="A190" s="142"/>
      <c r="B190" s="1680"/>
      <c r="C190" s="1680"/>
      <c r="D190" s="1680"/>
      <c r="E190" s="1680"/>
      <c r="F190" s="1680"/>
      <c r="G190" s="1680"/>
      <c r="H190" s="1680"/>
      <c r="I190" s="1680"/>
      <c r="J190" s="12"/>
      <c r="K190" s="9"/>
      <c r="L190" s="9"/>
      <c r="M190" s="9"/>
      <c r="N190" s="9"/>
      <c r="O190" s="9"/>
      <c r="P190" s="9"/>
      <c r="Q190" s="9"/>
      <c r="R190" s="9"/>
      <c r="S190" s="9"/>
      <c r="T190" s="9"/>
      <c r="U190" s="9"/>
      <c r="V190" s="11"/>
      <c r="W190" s="252"/>
      <c r="X190" s="150"/>
      <c r="AA190" s="74"/>
      <c r="AB190" s="74"/>
      <c r="AI190" s="81"/>
      <c r="AJ190" s="161"/>
      <c r="AK190" s="81"/>
      <c r="AL190" s="82"/>
      <c r="AM190" s="81"/>
      <c r="AN190" s="81"/>
      <c r="AO190" s="184"/>
      <c r="AP190" s="184"/>
      <c r="AQ190" s="184"/>
      <c r="AR190" s="157"/>
    </row>
    <row r="191" spans="1:66" ht="11.25" customHeight="1" x14ac:dyDescent="0.2">
      <c r="A191" s="142"/>
      <c r="B191" s="1680" t="s">
        <v>80</v>
      </c>
      <c r="C191" s="1680"/>
      <c r="D191" s="1680"/>
      <c r="E191" s="1680"/>
      <c r="F191" s="1680"/>
      <c r="G191" s="1680"/>
      <c r="H191" s="1680"/>
      <c r="I191" s="1680"/>
      <c r="J191" s="12"/>
      <c r="K191" s="9"/>
      <c r="L191" s="9"/>
      <c r="M191" s="9"/>
      <c r="N191" s="9"/>
      <c r="O191" s="9"/>
      <c r="P191" s="9"/>
      <c r="Q191" s="9"/>
      <c r="R191" s="9"/>
      <c r="S191" s="9"/>
      <c r="T191" s="9"/>
      <c r="U191" s="9"/>
      <c r="V191" s="11"/>
      <c r="W191" s="252"/>
      <c r="X191" s="150"/>
      <c r="AA191" s="74"/>
      <c r="AB191" s="74"/>
      <c r="AI191" s="81"/>
      <c r="AJ191" s="161"/>
      <c r="AK191" s="81"/>
      <c r="AL191" s="82"/>
      <c r="AM191" s="81"/>
      <c r="AN191" s="81"/>
      <c r="AO191" s="184"/>
      <c r="AP191" s="184"/>
      <c r="AQ191" s="184"/>
      <c r="AR191" s="157"/>
      <c r="AS191" s="76"/>
      <c r="AT191" s="76"/>
    </row>
    <row r="192" spans="1:66" ht="11.25" customHeight="1" x14ac:dyDescent="0.2">
      <c r="A192" s="142"/>
      <c r="B192" s="1680"/>
      <c r="C192" s="1680"/>
      <c r="D192" s="1680"/>
      <c r="E192" s="1680"/>
      <c r="F192" s="1680"/>
      <c r="G192" s="1680"/>
      <c r="H192" s="1680"/>
      <c r="I192" s="1680"/>
      <c r="J192" s="12"/>
      <c r="K192" s="9"/>
      <c r="L192" s="9"/>
      <c r="M192" s="9"/>
      <c r="N192" s="9"/>
      <c r="O192" s="9"/>
      <c r="P192" s="9"/>
      <c r="Q192" s="9"/>
      <c r="R192" s="9"/>
      <c r="S192" s="9"/>
      <c r="T192" s="9"/>
      <c r="U192" s="9"/>
      <c r="V192" s="11"/>
      <c r="W192" s="252"/>
      <c r="X192" s="150"/>
      <c r="AA192" s="74"/>
      <c r="AB192" s="74"/>
      <c r="AI192" s="81"/>
      <c r="AJ192" s="161"/>
      <c r="AK192" s="81"/>
      <c r="AL192" s="82"/>
      <c r="AM192" s="81"/>
      <c r="AN192" s="81"/>
      <c r="AO192" s="184"/>
      <c r="AP192" s="184"/>
      <c r="AQ192" s="184"/>
      <c r="AR192" s="157"/>
    </row>
    <row r="193" spans="1:46" ht="11.25" customHeight="1" x14ac:dyDescent="0.2">
      <c r="A193" s="142"/>
      <c r="B193" s="1680" t="s">
        <v>69</v>
      </c>
      <c r="C193" s="1680"/>
      <c r="D193" s="1680"/>
      <c r="E193" s="1680"/>
      <c r="F193" s="1680"/>
      <c r="G193" s="1680"/>
      <c r="H193" s="1680"/>
      <c r="I193" s="1680"/>
      <c r="J193" s="12"/>
      <c r="K193" s="9"/>
      <c r="L193" s="9"/>
      <c r="M193" s="9"/>
      <c r="N193" s="9"/>
      <c r="O193" s="9"/>
      <c r="P193" s="9"/>
      <c r="Q193" s="9"/>
      <c r="R193" s="9"/>
      <c r="S193" s="9"/>
      <c r="T193" s="9"/>
      <c r="U193" s="9"/>
      <c r="V193" s="11"/>
      <c r="W193" s="252"/>
      <c r="X193" s="150"/>
      <c r="AA193" s="74"/>
      <c r="AB193" s="74"/>
      <c r="AI193" s="81"/>
      <c r="AJ193" s="161"/>
      <c r="AK193" s="81"/>
      <c r="AL193" s="82"/>
      <c r="AM193" s="81"/>
      <c r="AN193" s="81"/>
      <c r="AO193" s="184"/>
      <c r="AP193" s="184"/>
      <c r="AQ193" s="184"/>
      <c r="AR193" s="157"/>
      <c r="AS193" s="76"/>
      <c r="AT193" s="76"/>
    </row>
    <row r="194" spans="1:46" ht="11.25" customHeight="1" x14ac:dyDescent="0.2">
      <c r="A194" s="142"/>
      <c r="B194" s="1680"/>
      <c r="C194" s="1680"/>
      <c r="D194" s="1680"/>
      <c r="E194" s="1680"/>
      <c r="F194" s="1680"/>
      <c r="G194" s="1680"/>
      <c r="H194" s="1680"/>
      <c r="I194" s="1680"/>
      <c r="J194" s="12"/>
      <c r="K194" s="9"/>
      <c r="L194" s="9"/>
      <c r="M194" s="9"/>
      <c r="N194" s="9"/>
      <c r="O194" s="9"/>
      <c r="P194" s="9"/>
      <c r="Q194" s="9"/>
      <c r="R194" s="9"/>
      <c r="S194" s="9"/>
      <c r="T194" s="9"/>
      <c r="U194" s="9"/>
      <c r="V194" s="11"/>
      <c r="W194" s="252"/>
      <c r="X194" s="150"/>
      <c r="AA194" s="74"/>
      <c r="AB194" s="74"/>
      <c r="AI194" s="81"/>
      <c r="AJ194" s="161"/>
      <c r="AK194" s="81"/>
      <c r="AL194" s="82"/>
      <c r="AM194" s="81"/>
      <c r="AN194" s="81"/>
      <c r="AO194" s="184"/>
      <c r="AP194" s="184"/>
      <c r="AQ194" s="184"/>
      <c r="AR194" s="157"/>
    </row>
    <row r="195" spans="1:46" ht="11.25" customHeight="1" x14ac:dyDescent="0.2">
      <c r="A195" s="142"/>
      <c r="B195" s="1680" t="s">
        <v>24</v>
      </c>
      <c r="C195" s="1680"/>
      <c r="D195" s="1680"/>
      <c r="E195" s="1680"/>
      <c r="F195" s="1680"/>
      <c r="G195" s="1680"/>
      <c r="H195" s="1680"/>
      <c r="I195" s="1680"/>
      <c r="J195" s="12"/>
      <c r="K195" s="9"/>
      <c r="L195" s="9"/>
      <c r="M195" s="9"/>
      <c r="N195" s="9"/>
      <c r="O195" s="9"/>
      <c r="P195" s="9"/>
      <c r="Q195" s="9"/>
      <c r="R195" s="9"/>
      <c r="S195" s="9"/>
      <c r="T195" s="9"/>
      <c r="U195" s="9"/>
      <c r="V195" s="9"/>
      <c r="W195" s="137"/>
      <c r="X195" s="150"/>
      <c r="AI195" s="81"/>
      <c r="AJ195" s="161"/>
      <c r="AK195" s="81"/>
      <c r="AL195" s="82"/>
      <c r="AM195" s="81"/>
      <c r="AN195" s="81"/>
      <c r="AO195" s="184"/>
      <c r="AP195" s="184"/>
      <c r="AQ195" s="184"/>
      <c r="AR195" s="157"/>
      <c r="AS195" s="76"/>
      <c r="AT195" s="76"/>
    </row>
    <row r="196" spans="1:46" ht="11.25" customHeight="1" x14ac:dyDescent="0.2">
      <c r="A196" s="142"/>
      <c r="B196" s="1680"/>
      <c r="C196" s="1680"/>
      <c r="D196" s="1680"/>
      <c r="E196" s="1680"/>
      <c r="F196" s="1680"/>
      <c r="G196" s="1680"/>
      <c r="H196" s="1680"/>
      <c r="I196" s="1680"/>
      <c r="J196" s="12"/>
      <c r="K196" s="9"/>
      <c r="L196" s="9"/>
      <c r="M196" s="9"/>
      <c r="N196" s="9"/>
      <c r="O196" s="9"/>
      <c r="P196" s="9"/>
      <c r="Q196" s="9"/>
      <c r="R196" s="9"/>
      <c r="S196" s="9"/>
      <c r="T196" s="9"/>
      <c r="U196" s="9"/>
      <c r="V196" s="9"/>
      <c r="W196" s="137"/>
      <c r="X196" s="150"/>
      <c r="AI196" s="81"/>
      <c r="AJ196" s="161"/>
      <c r="AK196" s="81"/>
      <c r="AL196" s="82"/>
      <c r="AM196" s="81"/>
      <c r="AN196" s="81"/>
      <c r="AO196" s="184"/>
      <c r="AP196" s="184"/>
      <c r="AQ196" s="184"/>
      <c r="AR196" s="157"/>
    </row>
    <row r="197" spans="1:46" ht="11.25" customHeight="1" x14ac:dyDescent="0.2">
      <c r="A197" s="142"/>
      <c r="B197" s="1680" t="s">
        <v>22</v>
      </c>
      <c r="C197" s="1680"/>
      <c r="D197" s="1680"/>
      <c r="E197" s="1680"/>
      <c r="F197" s="1680"/>
      <c r="G197" s="1680"/>
      <c r="H197" s="1680"/>
      <c r="I197" s="1680"/>
      <c r="J197" s="12"/>
      <c r="K197" s="9"/>
      <c r="L197" s="9"/>
      <c r="M197" s="9"/>
      <c r="N197" s="9"/>
      <c r="O197" s="9"/>
      <c r="P197" s="9"/>
      <c r="Q197" s="9"/>
      <c r="R197" s="9"/>
      <c r="S197" s="9"/>
      <c r="T197" s="9"/>
      <c r="U197" s="9"/>
      <c r="V197" s="9"/>
      <c r="W197" s="137"/>
      <c r="X197" s="150"/>
      <c r="AI197" s="81"/>
      <c r="AJ197" s="161"/>
      <c r="AK197" s="81"/>
      <c r="AL197" s="82"/>
      <c r="AM197" s="81"/>
      <c r="AN197" s="81"/>
      <c r="AO197" s="184"/>
      <c r="AP197" s="184"/>
      <c r="AQ197" s="184"/>
      <c r="AR197" s="157"/>
      <c r="AS197" s="76"/>
      <c r="AT197" s="76"/>
    </row>
    <row r="198" spans="1:46" ht="11.25" customHeight="1" x14ac:dyDescent="0.2">
      <c r="A198" s="142"/>
      <c r="B198" s="1680"/>
      <c r="C198" s="1680"/>
      <c r="D198" s="1680"/>
      <c r="E198" s="1680"/>
      <c r="F198" s="1680"/>
      <c r="G198" s="1680"/>
      <c r="H198" s="1680"/>
      <c r="I198" s="1680"/>
      <c r="J198" s="12"/>
      <c r="K198" s="9"/>
      <c r="L198" s="9"/>
      <c r="M198" s="9"/>
      <c r="N198" s="9"/>
      <c r="O198" s="9"/>
      <c r="P198" s="9"/>
      <c r="Q198" s="9"/>
      <c r="R198" s="9"/>
      <c r="S198" s="9"/>
      <c r="T198" s="9"/>
      <c r="U198" s="9"/>
      <c r="V198" s="9"/>
      <c r="W198" s="137"/>
      <c r="X198" s="150"/>
      <c r="AI198" s="81"/>
      <c r="AJ198" s="161"/>
      <c r="AK198" s="81"/>
      <c r="AL198" s="82"/>
      <c r="AM198" s="81"/>
      <c r="AN198" s="81"/>
      <c r="AO198" s="184"/>
      <c r="AP198" s="184"/>
      <c r="AQ198" s="184"/>
      <c r="AR198" s="157"/>
    </row>
    <row r="199" spans="1:46" ht="11.25" customHeight="1" x14ac:dyDescent="0.2">
      <c r="A199" s="142"/>
      <c r="B199" s="1680" t="s">
        <v>25</v>
      </c>
      <c r="C199" s="1680"/>
      <c r="D199" s="1680"/>
      <c r="E199" s="1680"/>
      <c r="F199" s="1680"/>
      <c r="G199" s="1680"/>
      <c r="H199" s="1680"/>
      <c r="I199" s="1680"/>
      <c r="J199" s="12"/>
      <c r="K199" s="9"/>
      <c r="L199" s="9"/>
      <c r="M199" s="9"/>
      <c r="N199" s="9"/>
      <c r="O199" s="9"/>
      <c r="P199" s="9"/>
      <c r="Q199" s="9"/>
      <c r="R199" s="9"/>
      <c r="S199" s="9"/>
      <c r="T199" s="9"/>
      <c r="U199" s="9"/>
      <c r="V199" s="9"/>
      <c r="W199" s="137"/>
      <c r="X199" s="150"/>
      <c r="AI199" s="81"/>
      <c r="AJ199" s="161"/>
      <c r="AK199" s="81"/>
      <c r="AL199" s="82"/>
      <c r="AM199" s="81"/>
      <c r="AN199" s="81"/>
      <c r="AO199" s="184"/>
      <c r="AP199" s="184"/>
      <c r="AQ199" s="184"/>
      <c r="AR199" s="157"/>
      <c r="AS199" s="76"/>
      <c r="AT199" s="76"/>
    </row>
    <row r="200" spans="1:46" ht="11.25" customHeight="1" x14ac:dyDescent="0.2">
      <c r="A200" s="142"/>
      <c r="B200" s="1680"/>
      <c r="C200" s="1680"/>
      <c r="D200" s="1680"/>
      <c r="E200" s="1680"/>
      <c r="F200" s="1680"/>
      <c r="G200" s="1680"/>
      <c r="H200" s="1680"/>
      <c r="I200" s="1680"/>
      <c r="J200" s="12"/>
      <c r="K200" s="9"/>
      <c r="L200" s="9"/>
      <c r="M200" s="9"/>
      <c r="N200" s="9"/>
      <c r="O200" s="9"/>
      <c r="P200" s="9"/>
      <c r="Q200" s="9"/>
      <c r="R200" s="9"/>
      <c r="S200" s="9"/>
      <c r="T200" s="9"/>
      <c r="U200" s="9"/>
      <c r="V200" s="9"/>
      <c r="W200" s="137"/>
      <c r="X200" s="150"/>
      <c r="AI200" s="81"/>
      <c r="AJ200" s="161"/>
      <c r="AK200" s="81"/>
      <c r="AL200" s="82"/>
      <c r="AM200" s="81"/>
      <c r="AN200" s="81"/>
      <c r="AO200" s="184"/>
      <c r="AP200" s="184"/>
      <c r="AQ200" s="184"/>
      <c r="AR200" s="157"/>
    </row>
    <row r="201" spans="1:46" ht="11.25" customHeight="1" x14ac:dyDescent="0.2">
      <c r="A201" s="142"/>
      <c r="B201" s="1680" t="s">
        <v>18</v>
      </c>
      <c r="C201" s="1680"/>
      <c r="D201" s="1680"/>
      <c r="E201" s="1680"/>
      <c r="F201" s="1680"/>
      <c r="G201" s="1680"/>
      <c r="H201" s="1680"/>
      <c r="I201" s="1680"/>
      <c r="J201" s="12"/>
      <c r="K201" s="9"/>
      <c r="L201" s="9"/>
      <c r="M201" s="9"/>
      <c r="N201" s="9"/>
      <c r="O201" s="9"/>
      <c r="P201" s="9"/>
      <c r="Q201" s="9"/>
      <c r="R201" s="9"/>
      <c r="S201" s="9"/>
      <c r="T201" s="9"/>
      <c r="U201" s="9"/>
      <c r="V201" s="9"/>
      <c r="W201" s="137"/>
      <c r="X201" s="150"/>
      <c r="AI201" s="81"/>
      <c r="AJ201" s="161"/>
      <c r="AK201" s="81"/>
      <c r="AL201" s="82"/>
      <c r="AM201" s="81"/>
      <c r="AN201" s="81"/>
      <c r="AO201" s="184"/>
      <c r="AP201" s="184"/>
      <c r="AQ201" s="184"/>
      <c r="AR201" s="157"/>
    </row>
    <row r="202" spans="1:46" ht="11.25" customHeight="1" x14ac:dyDescent="0.2">
      <c r="A202" s="142"/>
      <c r="B202" s="1680"/>
      <c r="C202" s="1680"/>
      <c r="D202" s="1680"/>
      <c r="E202" s="1680"/>
      <c r="F202" s="1680"/>
      <c r="G202" s="1680"/>
      <c r="H202" s="1680"/>
      <c r="I202" s="1680"/>
      <c r="J202" s="12"/>
      <c r="K202" s="9"/>
      <c r="L202" s="9"/>
      <c r="M202" s="9"/>
      <c r="N202" s="9"/>
      <c r="O202" s="9"/>
      <c r="P202" s="9"/>
      <c r="Q202" s="9"/>
      <c r="R202" s="9"/>
      <c r="S202" s="9"/>
      <c r="T202" s="9"/>
      <c r="U202" s="9"/>
      <c r="V202" s="9"/>
      <c r="W202" s="137"/>
      <c r="X202" s="150"/>
      <c r="AI202" s="81"/>
      <c r="AJ202" s="161"/>
      <c r="AK202" s="81"/>
      <c r="AL202" s="82"/>
      <c r="AM202" s="81"/>
      <c r="AN202" s="81"/>
      <c r="AO202" s="184"/>
      <c r="AP202" s="184"/>
      <c r="AQ202" s="184"/>
      <c r="AR202" s="157"/>
    </row>
    <row r="203" spans="1:46" ht="11.25" customHeight="1" x14ac:dyDescent="0.2">
      <c r="A203" s="142"/>
      <c r="B203" s="1680" t="s">
        <v>19</v>
      </c>
      <c r="C203" s="1680"/>
      <c r="D203" s="1680"/>
      <c r="E203" s="1680"/>
      <c r="F203" s="1680"/>
      <c r="G203" s="1680"/>
      <c r="H203" s="1680"/>
      <c r="I203" s="1680"/>
      <c r="J203" s="12"/>
      <c r="K203" s="9"/>
      <c r="L203" s="9"/>
      <c r="M203" s="9"/>
      <c r="N203" s="9"/>
      <c r="O203" s="9"/>
      <c r="P203" s="9"/>
      <c r="Q203" s="9"/>
      <c r="R203" s="9"/>
      <c r="S203" s="9"/>
      <c r="T203" s="9"/>
      <c r="U203" s="9"/>
      <c r="V203" s="9"/>
      <c r="W203" s="137"/>
      <c r="X203" s="150"/>
      <c r="AI203" s="81"/>
      <c r="AJ203" s="161"/>
      <c r="AK203" s="81"/>
      <c r="AL203" s="82"/>
      <c r="AM203" s="81"/>
      <c r="AN203" s="81"/>
      <c r="AO203" s="184"/>
      <c r="AP203" s="184"/>
      <c r="AQ203" s="184"/>
      <c r="AR203" s="157"/>
    </row>
    <row r="204" spans="1:46" ht="11.25" customHeight="1" x14ac:dyDescent="0.2">
      <c r="A204" s="142"/>
      <c r="B204" s="1680"/>
      <c r="C204" s="1680"/>
      <c r="D204" s="1680"/>
      <c r="E204" s="1680"/>
      <c r="F204" s="1680"/>
      <c r="G204" s="1680"/>
      <c r="H204" s="1680"/>
      <c r="I204" s="1680"/>
      <c r="J204" s="12"/>
      <c r="K204" s="9"/>
      <c r="L204" s="9"/>
      <c r="M204" s="9"/>
      <c r="N204" s="9"/>
      <c r="O204" s="9"/>
      <c r="P204" s="9"/>
      <c r="Q204" s="9"/>
      <c r="R204" s="9"/>
      <c r="S204" s="9"/>
      <c r="T204" s="9"/>
      <c r="U204" s="9"/>
      <c r="V204" s="9"/>
      <c r="W204" s="137"/>
      <c r="X204" s="150"/>
      <c r="AI204" s="81"/>
      <c r="AJ204" s="161"/>
      <c r="AK204" s="81"/>
      <c r="AL204" s="82"/>
      <c r="AM204" s="81"/>
      <c r="AN204" s="81"/>
      <c r="AO204" s="184"/>
      <c r="AP204" s="184"/>
      <c r="AQ204" s="184"/>
      <c r="AR204" s="157"/>
    </row>
    <row r="205" spans="1:46" ht="11.25" customHeight="1" x14ac:dyDescent="0.2">
      <c r="A205" s="142"/>
      <c r="B205" s="1680" t="s">
        <v>20</v>
      </c>
      <c r="C205" s="1680"/>
      <c r="D205" s="1680"/>
      <c r="E205" s="1680"/>
      <c r="F205" s="1680"/>
      <c r="G205" s="1680"/>
      <c r="H205" s="1680"/>
      <c r="I205" s="1680"/>
      <c r="J205" s="12"/>
      <c r="K205" s="9"/>
      <c r="L205" s="9"/>
      <c r="M205" s="9"/>
      <c r="N205" s="9"/>
      <c r="O205" s="9"/>
      <c r="P205" s="9"/>
      <c r="Q205" s="9"/>
      <c r="R205" s="9"/>
      <c r="S205" s="9"/>
      <c r="T205" s="9"/>
      <c r="U205" s="9"/>
      <c r="V205" s="9"/>
      <c r="W205" s="137"/>
      <c r="X205" s="150"/>
      <c r="AI205" s="81"/>
      <c r="AJ205" s="161"/>
      <c r="AK205" s="81"/>
      <c r="AL205" s="82"/>
      <c r="AM205" s="81"/>
      <c r="AN205" s="81"/>
      <c r="AO205" s="184"/>
      <c r="AP205" s="184"/>
      <c r="AQ205" s="184"/>
      <c r="AR205" s="157"/>
    </row>
    <row r="206" spans="1:46" ht="11.25" customHeight="1" x14ac:dyDescent="0.2">
      <c r="A206" s="142"/>
      <c r="B206" s="1680"/>
      <c r="C206" s="1680"/>
      <c r="D206" s="1680"/>
      <c r="E206" s="1680"/>
      <c r="F206" s="1680"/>
      <c r="G206" s="1680"/>
      <c r="H206" s="1680"/>
      <c r="I206" s="1680"/>
      <c r="J206" s="12"/>
      <c r="K206" s="9"/>
      <c r="L206" s="9"/>
      <c r="M206" s="9"/>
      <c r="N206" s="9"/>
      <c r="O206" s="9"/>
      <c r="P206" s="9"/>
      <c r="Q206" s="9"/>
      <c r="R206" s="9"/>
      <c r="S206" s="9"/>
      <c r="T206" s="9"/>
      <c r="U206" s="9"/>
      <c r="V206" s="9"/>
      <c r="W206" s="137"/>
      <c r="X206" s="150"/>
      <c r="AI206" s="81"/>
      <c r="AJ206" s="161"/>
      <c r="AK206" s="81"/>
      <c r="AL206" s="82"/>
      <c r="AM206" s="81"/>
      <c r="AN206" s="81"/>
      <c r="AO206" s="184"/>
      <c r="AP206" s="184"/>
      <c r="AQ206" s="184"/>
      <c r="AR206" s="157"/>
    </row>
    <row r="207" spans="1:46" ht="11.25" customHeight="1" x14ac:dyDescent="0.2">
      <c r="A207" s="142"/>
      <c r="B207" s="1680" t="s">
        <v>26</v>
      </c>
      <c r="C207" s="1680"/>
      <c r="D207" s="1680"/>
      <c r="E207" s="1680"/>
      <c r="F207" s="1680"/>
      <c r="G207" s="1680"/>
      <c r="H207" s="1680"/>
      <c r="I207" s="1680"/>
      <c r="J207" s="12"/>
      <c r="K207" s="9"/>
      <c r="L207" s="9"/>
      <c r="M207" s="9"/>
      <c r="N207" s="9"/>
      <c r="O207" s="9"/>
      <c r="P207" s="9"/>
      <c r="Q207" s="9"/>
      <c r="R207" s="9"/>
      <c r="S207" s="9"/>
      <c r="T207" s="9"/>
      <c r="U207" s="9"/>
      <c r="V207" s="9"/>
      <c r="W207" s="137"/>
      <c r="X207" s="150"/>
      <c r="AI207" s="81"/>
      <c r="AJ207" s="161"/>
      <c r="AK207" s="81"/>
      <c r="AL207" s="82"/>
      <c r="AM207" s="81"/>
      <c r="AN207" s="81"/>
      <c r="AO207" s="184"/>
      <c r="AP207" s="184"/>
      <c r="AQ207" s="184"/>
      <c r="AR207" s="157"/>
    </row>
    <row r="208" spans="1:46" ht="11.25" customHeight="1" x14ac:dyDescent="0.2">
      <c r="A208" s="142"/>
      <c r="B208" s="1680"/>
      <c r="C208" s="1680"/>
      <c r="D208" s="1680"/>
      <c r="E208" s="1680"/>
      <c r="F208" s="1680"/>
      <c r="G208" s="1680"/>
      <c r="H208" s="1680"/>
      <c r="I208" s="1680"/>
      <c r="J208" s="12"/>
      <c r="K208" s="9"/>
      <c r="L208" s="9"/>
      <c r="M208" s="9"/>
      <c r="N208" s="9"/>
      <c r="O208" s="9"/>
      <c r="P208" s="9"/>
      <c r="Q208" s="9"/>
      <c r="R208" s="9"/>
      <c r="S208" s="9"/>
      <c r="T208" s="9"/>
      <c r="U208" s="9"/>
      <c r="V208" s="9"/>
      <c r="W208" s="137"/>
      <c r="X208" s="150"/>
      <c r="AI208" s="81"/>
      <c r="AJ208" s="161"/>
      <c r="AK208" s="81"/>
      <c r="AL208" s="82"/>
      <c r="AM208" s="81"/>
      <c r="AN208" s="81"/>
      <c r="AO208" s="184"/>
      <c r="AP208" s="184"/>
      <c r="AQ208" s="184"/>
      <c r="AR208" s="157"/>
    </row>
    <row r="209" spans="1:58" ht="11.25" customHeight="1" x14ac:dyDescent="0.2">
      <c r="A209" s="142"/>
      <c r="B209" s="1680" t="s">
        <v>21</v>
      </c>
      <c r="C209" s="1680"/>
      <c r="D209" s="1680"/>
      <c r="E209" s="1680"/>
      <c r="F209" s="1680"/>
      <c r="G209" s="1680"/>
      <c r="H209" s="1680"/>
      <c r="I209" s="1680"/>
      <c r="J209" s="12"/>
      <c r="K209" s="9"/>
      <c r="L209" s="9"/>
      <c r="M209" s="9"/>
      <c r="N209" s="9"/>
      <c r="O209" s="9"/>
      <c r="P209" s="9"/>
      <c r="Q209" s="9"/>
      <c r="R209" s="9"/>
      <c r="S209" s="9"/>
      <c r="T209" s="9"/>
      <c r="U209" s="9"/>
      <c r="V209" s="9"/>
      <c r="W209" s="137"/>
      <c r="X209" s="150"/>
      <c r="AI209" s="81"/>
      <c r="AJ209" s="161"/>
      <c r="AK209" s="81"/>
      <c r="AL209" s="82"/>
      <c r="AM209" s="81"/>
      <c r="AN209" s="81"/>
      <c r="AO209" s="184"/>
      <c r="AP209" s="184"/>
      <c r="AQ209" s="184"/>
      <c r="AR209" s="157"/>
    </row>
    <row r="210" spans="1:58" ht="11.25" customHeight="1" x14ac:dyDescent="0.2">
      <c r="A210" s="142"/>
      <c r="B210" s="1680"/>
      <c r="C210" s="1680"/>
      <c r="D210" s="1680"/>
      <c r="E210" s="1680"/>
      <c r="F210" s="1680"/>
      <c r="G210" s="1680"/>
      <c r="H210" s="1680"/>
      <c r="I210" s="1680"/>
      <c r="J210" s="12"/>
      <c r="K210" s="9"/>
      <c r="L210" s="9"/>
      <c r="M210" s="9"/>
      <c r="N210" s="9"/>
      <c r="O210" s="9"/>
      <c r="P210" s="9"/>
      <c r="Q210" s="9"/>
      <c r="R210" s="9"/>
      <c r="S210" s="9"/>
      <c r="T210" s="9"/>
      <c r="U210" s="9"/>
      <c r="V210" s="9"/>
      <c r="W210" s="137"/>
      <c r="X210" s="150"/>
      <c r="AI210" s="81"/>
      <c r="AJ210" s="161"/>
      <c r="AK210" s="81"/>
      <c r="AL210" s="82"/>
      <c r="AM210" s="81"/>
      <c r="AN210" s="81"/>
      <c r="AO210" s="184"/>
      <c r="AP210" s="184"/>
      <c r="AQ210" s="184"/>
      <c r="AR210" s="157"/>
    </row>
    <row r="211" spans="1:58" ht="11.25" customHeight="1" x14ac:dyDescent="0.2">
      <c r="A211" s="142"/>
      <c r="B211" s="1680" t="s">
        <v>905</v>
      </c>
      <c r="C211" s="1680"/>
      <c r="D211" s="1680"/>
      <c r="E211" s="1680"/>
      <c r="F211" s="1680"/>
      <c r="G211" s="1680"/>
      <c r="H211" s="1680"/>
      <c r="I211" s="1680"/>
      <c r="J211" s="12"/>
      <c r="K211" s="9"/>
      <c r="L211" s="9"/>
      <c r="M211" s="9"/>
      <c r="N211" s="9"/>
      <c r="O211" s="9"/>
      <c r="P211" s="9"/>
      <c r="Q211" s="9"/>
      <c r="R211" s="9"/>
      <c r="S211" s="9"/>
      <c r="T211" s="9"/>
      <c r="U211" s="9"/>
      <c r="V211" s="9"/>
      <c r="W211" s="137"/>
      <c r="X211" s="150"/>
      <c r="AI211" s="81"/>
      <c r="AJ211" s="161"/>
      <c r="AK211" s="81"/>
      <c r="AL211" s="82"/>
      <c r="AM211" s="81"/>
      <c r="AN211" s="81"/>
      <c r="AO211" s="184"/>
      <c r="AP211" s="184"/>
      <c r="AQ211" s="184"/>
      <c r="AR211" s="157"/>
    </row>
    <row r="212" spans="1:58" ht="11.25" customHeight="1" x14ac:dyDescent="0.2">
      <c r="A212" s="142"/>
      <c r="B212" s="1680"/>
      <c r="C212" s="1680"/>
      <c r="D212" s="1680"/>
      <c r="E212" s="1680"/>
      <c r="F212" s="1680"/>
      <c r="G212" s="1680"/>
      <c r="H212" s="1680"/>
      <c r="I212" s="1680"/>
      <c r="J212" s="12"/>
      <c r="K212" s="9"/>
      <c r="L212" s="9"/>
      <c r="M212" s="9"/>
      <c r="N212" s="9"/>
      <c r="O212" s="9"/>
      <c r="P212" s="9"/>
      <c r="Q212" s="9"/>
      <c r="R212" s="9"/>
      <c r="S212" s="9"/>
      <c r="T212" s="9"/>
      <c r="U212" s="9"/>
      <c r="V212" s="9"/>
      <c r="W212" s="137"/>
      <c r="X212" s="150"/>
      <c r="AI212" s="81"/>
      <c r="AJ212" s="161"/>
      <c r="AK212" s="81"/>
      <c r="AL212" s="82"/>
      <c r="AM212" s="81"/>
      <c r="AN212" s="81"/>
      <c r="AO212" s="184"/>
      <c r="AP212" s="184"/>
      <c r="AQ212" s="184"/>
      <c r="AR212" s="157"/>
    </row>
    <row r="213" spans="1:58" ht="11.25" customHeight="1" x14ac:dyDescent="0.2">
      <c r="A213" s="142"/>
      <c r="B213" s="1680" t="s">
        <v>32</v>
      </c>
      <c r="C213" s="1680"/>
      <c r="D213" s="1680"/>
      <c r="E213" s="1680"/>
      <c r="F213" s="1680"/>
      <c r="G213" s="1680"/>
      <c r="H213" s="1680"/>
      <c r="I213" s="1680"/>
      <c r="J213" s="12"/>
      <c r="K213" s="9"/>
      <c r="L213" s="9"/>
      <c r="M213" s="9"/>
      <c r="N213" s="9"/>
      <c r="O213" s="9"/>
      <c r="P213" s="9"/>
      <c r="Q213" s="9"/>
      <c r="R213" s="9"/>
      <c r="S213" s="9"/>
      <c r="T213" s="9"/>
      <c r="U213" s="9"/>
      <c r="V213" s="9"/>
      <c r="W213" s="137"/>
      <c r="X213" s="150"/>
      <c r="AI213" s="81"/>
      <c r="AJ213" s="161"/>
      <c r="AK213" s="81"/>
      <c r="AL213" s="82"/>
      <c r="AM213" s="81"/>
      <c r="AN213" s="81"/>
      <c r="AO213" s="184"/>
      <c r="AP213" s="184"/>
      <c r="AQ213" s="184"/>
      <c r="AR213" s="157"/>
    </row>
    <row r="214" spans="1:58" ht="11.25" customHeight="1" x14ac:dyDescent="0.2">
      <c r="A214" s="142"/>
      <c r="B214" s="1680"/>
      <c r="C214" s="1680"/>
      <c r="D214" s="1680"/>
      <c r="E214" s="1680"/>
      <c r="F214" s="1680"/>
      <c r="G214" s="1680"/>
      <c r="H214" s="1680"/>
      <c r="I214" s="1680"/>
      <c r="J214" s="12"/>
      <c r="K214" s="9"/>
      <c r="L214" s="9"/>
      <c r="M214" s="9"/>
      <c r="N214" s="9"/>
      <c r="O214" s="9"/>
      <c r="P214" s="9"/>
      <c r="Q214" s="9"/>
      <c r="R214" s="9"/>
      <c r="S214" s="9"/>
      <c r="T214" s="9"/>
      <c r="U214" s="9"/>
      <c r="V214" s="9"/>
      <c r="W214" s="137"/>
      <c r="X214" s="150"/>
      <c r="AI214" s="81"/>
      <c r="AJ214" s="161"/>
      <c r="AK214" s="81"/>
      <c r="AL214" s="82"/>
      <c r="AM214" s="81"/>
      <c r="AN214" s="81"/>
      <c r="AO214" s="184"/>
      <c r="AP214" s="184"/>
      <c r="AQ214" s="184"/>
      <c r="AR214" s="157"/>
    </row>
    <row r="215" spans="1:58" ht="11.25" customHeight="1" x14ac:dyDescent="0.2">
      <c r="A215" s="142"/>
      <c r="B215" s="1680" t="s">
        <v>666</v>
      </c>
      <c r="C215" s="1680"/>
      <c r="D215" s="1680"/>
      <c r="E215" s="1680"/>
      <c r="F215" s="1680"/>
      <c r="G215" s="1680"/>
      <c r="H215" s="1680"/>
      <c r="I215" s="1680"/>
      <c r="J215" s="12"/>
      <c r="K215" s="9"/>
      <c r="L215" s="9"/>
      <c r="M215" s="9"/>
      <c r="N215" s="9"/>
      <c r="O215" s="9"/>
      <c r="P215" s="9"/>
      <c r="Q215" s="9"/>
      <c r="R215" s="9"/>
      <c r="S215" s="9"/>
      <c r="T215" s="9"/>
      <c r="U215" s="9"/>
      <c r="V215" s="9"/>
      <c r="W215" s="137"/>
      <c r="X215" s="150"/>
      <c r="AI215" s="81"/>
      <c r="AJ215" s="161"/>
      <c r="AK215" s="81"/>
      <c r="AL215" s="82"/>
      <c r="AM215" s="81"/>
      <c r="AN215" s="81"/>
      <c r="AO215" s="184"/>
      <c r="AP215" s="184"/>
      <c r="AQ215" s="184"/>
      <c r="AR215" s="157"/>
    </row>
    <row r="216" spans="1:58" ht="11.25" customHeight="1" x14ac:dyDescent="0.2">
      <c r="A216" s="142"/>
      <c r="B216" s="1680"/>
      <c r="C216" s="1680"/>
      <c r="D216" s="1680"/>
      <c r="E216" s="1680"/>
      <c r="F216" s="1680"/>
      <c r="G216" s="1680"/>
      <c r="H216" s="1680"/>
      <c r="I216" s="1680"/>
      <c r="J216" s="12"/>
      <c r="K216" s="9"/>
      <c r="L216" s="9"/>
      <c r="M216" s="9"/>
      <c r="N216" s="9"/>
      <c r="O216" s="9"/>
      <c r="P216" s="9"/>
      <c r="Q216" s="9"/>
      <c r="R216" s="9"/>
      <c r="S216" s="9"/>
      <c r="T216" s="9"/>
      <c r="U216" s="9"/>
      <c r="V216" s="9"/>
      <c r="W216" s="137"/>
      <c r="X216" s="150"/>
      <c r="AI216" s="81"/>
      <c r="AJ216" s="161"/>
      <c r="AK216" s="81"/>
      <c r="AL216" s="82"/>
      <c r="AM216" s="81"/>
      <c r="AN216" s="81"/>
      <c r="AO216" s="184"/>
      <c r="AP216" s="184"/>
      <c r="AQ216" s="184"/>
      <c r="AR216" s="157"/>
    </row>
    <row r="217" spans="1:58" ht="11.25" customHeight="1" x14ac:dyDescent="0.2">
      <c r="A217" s="142"/>
      <c r="B217" s="1680" t="s">
        <v>906</v>
      </c>
      <c r="C217" s="1680"/>
      <c r="D217" s="1680"/>
      <c r="E217" s="1680"/>
      <c r="F217" s="1680"/>
      <c r="G217" s="1680"/>
      <c r="H217" s="1680"/>
      <c r="I217" s="1680"/>
      <c r="J217" s="12"/>
      <c r="K217" s="9"/>
      <c r="L217" s="9"/>
      <c r="M217" s="9"/>
      <c r="N217" s="9"/>
      <c r="O217" s="9"/>
      <c r="P217" s="9"/>
      <c r="Q217" s="9"/>
      <c r="R217" s="9"/>
      <c r="S217" s="9"/>
      <c r="T217" s="9"/>
      <c r="U217" s="9"/>
      <c r="V217" s="9"/>
      <c r="W217" s="137"/>
      <c r="X217" s="150"/>
      <c r="AI217" s="81"/>
      <c r="AJ217" s="161"/>
      <c r="AK217" s="81"/>
      <c r="AL217" s="82"/>
      <c r="AM217" s="81"/>
      <c r="AN217" s="81"/>
      <c r="AO217" s="184"/>
      <c r="AP217" s="184"/>
      <c r="AQ217" s="184"/>
      <c r="AR217" s="157"/>
    </row>
    <row r="218" spans="1:58" ht="11.25" customHeight="1" x14ac:dyDescent="0.2">
      <c r="A218" s="142"/>
      <c r="B218" s="1680"/>
      <c r="C218" s="1680"/>
      <c r="D218" s="1680"/>
      <c r="E218" s="1680"/>
      <c r="F218" s="1680"/>
      <c r="G218" s="1680"/>
      <c r="H218" s="1680"/>
      <c r="I218" s="1680"/>
      <c r="J218" s="12"/>
      <c r="K218" s="9"/>
      <c r="L218" s="9"/>
      <c r="M218" s="9"/>
      <c r="N218" s="9"/>
      <c r="O218" s="9"/>
      <c r="P218" s="9"/>
      <c r="Q218" s="9"/>
      <c r="R218" s="9"/>
      <c r="S218" s="9"/>
      <c r="T218" s="9"/>
      <c r="U218" s="9"/>
      <c r="V218" s="9"/>
      <c r="W218" s="137"/>
      <c r="X218" s="150"/>
      <c r="AI218" s="81"/>
      <c r="AJ218" s="161"/>
      <c r="AK218" s="81"/>
      <c r="AL218" s="82"/>
      <c r="AM218" s="81"/>
      <c r="AN218" s="81"/>
      <c r="AO218" s="184"/>
      <c r="AP218" s="184"/>
      <c r="AQ218" s="184"/>
      <c r="AR218" s="157"/>
    </row>
    <row r="219" spans="1:58" ht="11.25" customHeight="1" x14ac:dyDescent="0.2">
      <c r="A219" s="142"/>
      <c r="B219" s="1680" t="s">
        <v>672</v>
      </c>
      <c r="C219" s="1680"/>
      <c r="D219" s="1680"/>
      <c r="E219" s="1680"/>
      <c r="F219" s="1680"/>
      <c r="G219" s="1680"/>
      <c r="H219" s="1680"/>
      <c r="I219" s="1680"/>
      <c r="J219" s="12"/>
      <c r="K219" s="9"/>
      <c r="L219" s="9"/>
      <c r="M219" s="9"/>
      <c r="N219" s="9"/>
      <c r="O219" s="9"/>
      <c r="P219" s="9"/>
      <c r="Q219" s="9"/>
      <c r="R219" s="9"/>
      <c r="S219" s="9"/>
      <c r="T219" s="9"/>
      <c r="U219" s="9"/>
      <c r="V219" s="9"/>
      <c r="W219" s="137"/>
      <c r="X219" s="150"/>
      <c r="AI219" s="81"/>
      <c r="AJ219" s="161"/>
      <c r="AK219" s="81"/>
      <c r="AL219" s="82"/>
      <c r="AM219" s="81"/>
      <c r="AN219" s="81"/>
      <c r="AO219" s="184"/>
      <c r="AP219" s="184"/>
      <c r="AQ219" s="184"/>
      <c r="AR219" s="157"/>
    </row>
    <row r="220" spans="1:58" s="80" customFormat="1" ht="11.25" customHeight="1" x14ac:dyDescent="0.2">
      <c r="A220" s="142"/>
      <c r="B220" s="1680"/>
      <c r="C220" s="1680"/>
      <c r="D220" s="1680"/>
      <c r="E220" s="1680"/>
      <c r="F220" s="1680"/>
      <c r="G220" s="1680"/>
      <c r="H220" s="1680"/>
      <c r="I220" s="1680"/>
      <c r="J220" s="12"/>
      <c r="K220" s="9"/>
      <c r="L220" s="9"/>
      <c r="M220" s="9"/>
      <c r="N220" s="9"/>
      <c r="O220" s="9"/>
      <c r="P220" s="9"/>
      <c r="Q220" s="9"/>
      <c r="R220" s="9"/>
      <c r="S220" s="9"/>
      <c r="T220" s="9"/>
      <c r="U220" s="9"/>
      <c r="V220" s="9"/>
      <c r="W220" s="137"/>
      <c r="X220" s="150"/>
      <c r="Y220" s="81"/>
      <c r="Z220" s="81"/>
      <c r="AA220" s="81"/>
      <c r="AB220" s="81"/>
      <c r="AC220" s="81"/>
      <c r="AD220" s="81"/>
      <c r="AE220" s="81"/>
      <c r="AF220" s="81"/>
      <c r="AG220" s="81"/>
      <c r="AH220" s="81"/>
      <c r="AI220" s="81"/>
      <c r="AJ220" s="161"/>
      <c r="AK220" s="81"/>
      <c r="AL220" s="82"/>
      <c r="AM220" s="81"/>
      <c r="AN220" s="81"/>
      <c r="AO220" s="184"/>
      <c r="AP220" s="184"/>
      <c r="AQ220" s="184"/>
      <c r="AR220" s="157"/>
      <c r="AS220" s="74"/>
      <c r="AT220" s="74"/>
      <c r="AU220" s="74"/>
      <c r="AV220" s="74"/>
      <c r="AW220" s="74"/>
      <c r="AX220" s="74"/>
      <c r="AY220" s="74"/>
      <c r="AZ220" s="74"/>
      <c r="BA220" s="74"/>
      <c r="BB220" s="74"/>
      <c r="BC220" s="74"/>
      <c r="BD220" s="74"/>
      <c r="BE220" s="74"/>
      <c r="BF220" s="74"/>
    </row>
    <row r="221" spans="1:58" ht="11.25" customHeight="1" x14ac:dyDescent="0.2">
      <c r="A221" s="1273"/>
      <c r="B221" s="1274"/>
      <c r="C221" s="1275"/>
      <c r="D221" s="1275"/>
      <c r="E221" s="1275"/>
      <c r="F221" s="1275"/>
      <c r="G221" s="1275"/>
      <c r="H221" s="1275"/>
      <c r="I221" s="1275"/>
      <c r="J221" s="1276"/>
      <c r="K221" s="201"/>
      <c r="L221" s="201"/>
      <c r="M221" s="201"/>
      <c r="N221" s="201"/>
      <c r="O221" s="201"/>
      <c r="P221" s="201"/>
      <c r="Q221" s="201"/>
      <c r="R221" s="201"/>
      <c r="S221" s="201"/>
      <c r="T221" s="201"/>
      <c r="U221" s="201"/>
      <c r="V221" s="201"/>
      <c r="W221" s="1277"/>
      <c r="X221" s="1271"/>
      <c r="Y221" s="200"/>
      <c r="Z221" s="200"/>
      <c r="AA221" s="200"/>
      <c r="AB221" s="200"/>
      <c r="AC221" s="200"/>
      <c r="AD221" s="200"/>
      <c r="AE221" s="200"/>
      <c r="AF221" s="200"/>
      <c r="AG221" s="200"/>
      <c r="AH221" s="200"/>
      <c r="AI221" s="200"/>
      <c r="AJ221" s="1614"/>
      <c r="AK221" s="200"/>
      <c r="AL221" s="1278"/>
      <c r="AM221" s="200"/>
      <c r="AN221" s="200"/>
      <c r="AO221" s="201"/>
      <c r="AP221" s="201"/>
      <c r="AQ221" s="201"/>
      <c r="AR221" s="251"/>
    </row>
    <row r="222" spans="1:58" ht="11.25" customHeight="1" x14ac:dyDescent="0.2">
      <c r="J222" s="88"/>
      <c r="K222" s="74"/>
      <c r="V222" s="74"/>
      <c r="X222" s="80"/>
      <c r="AI222" s="81"/>
      <c r="AJ222" s="81"/>
      <c r="AK222" s="81"/>
      <c r="AL222" s="81"/>
      <c r="AM222" s="81"/>
      <c r="AN222" s="81"/>
      <c r="AO222" s="81"/>
      <c r="AR222" s="184"/>
    </row>
    <row r="223" spans="1:58" ht="11.25" customHeight="1" x14ac:dyDescent="0.2">
      <c r="J223" s="88"/>
      <c r="K223" s="74"/>
      <c r="V223" s="74"/>
      <c r="X223" s="80"/>
      <c r="AI223" s="81"/>
      <c r="AJ223" s="81"/>
      <c r="AK223" s="81"/>
      <c r="AL223" s="81"/>
      <c r="AM223" s="81"/>
      <c r="AN223" s="81"/>
      <c r="AO223" s="81"/>
      <c r="AR223" s="184"/>
    </row>
    <row r="224" spans="1:58" ht="11.25" customHeight="1" x14ac:dyDescent="0.2">
      <c r="J224" s="88"/>
      <c r="K224" s="74"/>
      <c r="V224" s="74"/>
      <c r="X224" s="80"/>
      <c r="AI224" s="81"/>
      <c r="AJ224" s="81"/>
      <c r="AK224" s="81"/>
      <c r="AL224" s="81"/>
      <c r="AM224" s="81"/>
      <c r="AN224" s="81"/>
      <c r="AO224" s="81"/>
      <c r="AR224" s="184"/>
    </row>
    <row r="225" spans="10:44" ht="11.25" customHeight="1" x14ac:dyDescent="0.2">
      <c r="J225" s="88"/>
      <c r="K225" s="74"/>
      <c r="V225" s="74"/>
      <c r="X225" s="80"/>
      <c r="AI225" s="81"/>
      <c r="AJ225" s="81"/>
      <c r="AK225" s="81"/>
      <c r="AL225" s="81"/>
      <c r="AM225" s="81"/>
      <c r="AN225" s="81"/>
      <c r="AO225" s="81"/>
      <c r="AR225" s="184"/>
    </row>
    <row r="226" spans="10:44" ht="11.25" customHeight="1" x14ac:dyDescent="0.2">
      <c r="J226" s="88"/>
      <c r="K226" s="74"/>
      <c r="V226" s="74"/>
      <c r="X226" s="80"/>
      <c r="AI226" s="81"/>
      <c r="AJ226" s="81"/>
      <c r="AK226" s="81"/>
      <c r="AL226" s="81"/>
      <c r="AM226" s="81"/>
      <c r="AN226" s="81"/>
      <c r="AO226" s="81"/>
      <c r="AR226" s="184"/>
    </row>
    <row r="227" spans="10:44" ht="11.25" customHeight="1" x14ac:dyDescent="0.2">
      <c r="J227" s="88"/>
      <c r="K227" s="74"/>
      <c r="V227" s="74"/>
      <c r="X227" s="80"/>
      <c r="AI227" s="81"/>
      <c r="AJ227" s="81"/>
      <c r="AK227" s="81"/>
      <c r="AL227" s="81"/>
      <c r="AM227" s="81"/>
      <c r="AN227" s="81"/>
      <c r="AO227" s="81"/>
      <c r="AR227" s="184"/>
    </row>
    <row r="228" spans="10:44" ht="11.25" customHeight="1" x14ac:dyDescent="0.2">
      <c r="J228" s="88"/>
      <c r="K228" s="74"/>
      <c r="V228" s="74"/>
      <c r="X228" s="80"/>
      <c r="AI228" s="81"/>
      <c r="AJ228" s="81"/>
      <c r="AK228" s="81"/>
      <c r="AL228" s="81"/>
      <c r="AM228" s="81"/>
      <c r="AN228" s="81"/>
      <c r="AO228" s="81"/>
      <c r="AR228" s="184"/>
    </row>
    <row r="229" spans="10:44" ht="11.25" customHeight="1" x14ac:dyDescent="0.2">
      <c r="J229" s="88"/>
      <c r="K229" s="74"/>
      <c r="V229" s="74"/>
      <c r="X229" s="80"/>
      <c r="AI229" s="81"/>
      <c r="AJ229" s="81"/>
      <c r="AK229" s="81"/>
      <c r="AL229" s="81"/>
      <c r="AM229" s="81"/>
      <c r="AN229" s="81"/>
      <c r="AO229" s="81"/>
      <c r="AR229" s="184"/>
    </row>
    <row r="230" spans="10:44" ht="11.25" customHeight="1" x14ac:dyDescent="0.2">
      <c r="J230" s="88"/>
      <c r="K230" s="74"/>
      <c r="V230" s="74"/>
      <c r="X230" s="80"/>
      <c r="AI230" s="81"/>
      <c r="AJ230" s="81"/>
      <c r="AK230" s="81"/>
      <c r="AL230" s="81"/>
      <c r="AM230" s="81"/>
      <c r="AN230" s="81"/>
      <c r="AO230" s="81"/>
      <c r="AR230" s="184"/>
    </row>
    <row r="231" spans="10:44" ht="11.25" customHeight="1" x14ac:dyDescent="0.2">
      <c r="J231" s="88"/>
      <c r="K231" s="74"/>
      <c r="V231" s="74"/>
      <c r="X231" s="80"/>
      <c r="AI231" s="81"/>
      <c r="AJ231" s="81"/>
      <c r="AK231" s="81"/>
      <c r="AL231" s="81"/>
      <c r="AM231" s="81"/>
      <c r="AN231" s="81"/>
      <c r="AO231" s="81"/>
      <c r="AR231" s="184"/>
    </row>
    <row r="232" spans="10:44" ht="11.25" customHeight="1" x14ac:dyDescent="0.2">
      <c r="J232" s="88"/>
      <c r="K232" s="74"/>
      <c r="V232" s="74"/>
      <c r="X232" s="80"/>
      <c r="AI232" s="81"/>
      <c r="AJ232" s="81"/>
      <c r="AK232" s="81"/>
      <c r="AL232" s="81"/>
      <c r="AM232" s="81"/>
      <c r="AN232" s="81"/>
      <c r="AO232" s="81"/>
      <c r="AR232" s="184"/>
    </row>
    <row r="233" spans="10:44" ht="11.25" customHeight="1" x14ac:dyDescent="0.2">
      <c r="J233" s="88"/>
      <c r="K233" s="74"/>
      <c r="V233" s="74"/>
      <c r="X233" s="80"/>
      <c r="AI233" s="81"/>
      <c r="AJ233" s="81"/>
      <c r="AK233" s="81"/>
      <c r="AL233" s="81"/>
      <c r="AM233" s="81"/>
      <c r="AN233" s="81"/>
      <c r="AO233" s="81"/>
      <c r="AR233" s="184"/>
    </row>
    <row r="234" spans="10:44" ht="11.25" customHeight="1" x14ac:dyDescent="0.2">
      <c r="J234" s="88"/>
      <c r="K234" s="74"/>
      <c r="V234" s="74"/>
      <c r="X234" s="80"/>
      <c r="AI234" s="81"/>
      <c r="AJ234" s="81"/>
      <c r="AK234" s="81"/>
      <c r="AL234" s="81"/>
      <c r="AM234" s="81"/>
      <c r="AN234" s="81"/>
      <c r="AO234" s="81"/>
      <c r="AR234" s="184"/>
    </row>
    <row r="235" spans="10:44" ht="11.25" customHeight="1" x14ac:dyDescent="0.2">
      <c r="J235" s="88"/>
      <c r="K235" s="74"/>
      <c r="V235" s="74"/>
      <c r="X235" s="80"/>
      <c r="AI235" s="81"/>
      <c r="AJ235" s="81"/>
      <c r="AK235" s="81"/>
      <c r="AL235" s="81"/>
      <c r="AM235" s="81"/>
      <c r="AN235" s="81"/>
      <c r="AO235" s="81"/>
      <c r="AR235" s="184"/>
    </row>
    <row r="236" spans="10:44" ht="11.25" customHeight="1" x14ac:dyDescent="0.2">
      <c r="J236" s="88"/>
      <c r="K236" s="74"/>
      <c r="V236" s="74"/>
      <c r="X236" s="80"/>
      <c r="AI236" s="81"/>
      <c r="AJ236" s="81"/>
      <c r="AK236" s="81"/>
      <c r="AL236" s="81"/>
      <c r="AM236" s="81"/>
      <c r="AN236" s="81"/>
      <c r="AO236" s="81"/>
      <c r="AR236" s="184"/>
    </row>
    <row r="237" spans="10:44" ht="11.25" customHeight="1" x14ac:dyDescent="0.2">
      <c r="J237" s="88"/>
      <c r="K237" s="74"/>
      <c r="V237" s="74"/>
      <c r="X237" s="80"/>
      <c r="AI237" s="81"/>
      <c r="AJ237" s="81"/>
      <c r="AK237" s="81"/>
      <c r="AL237" s="81"/>
      <c r="AM237" s="81"/>
      <c r="AN237" s="81"/>
      <c r="AO237" s="81"/>
      <c r="AR237" s="184"/>
    </row>
    <row r="238" spans="10:44" ht="11.25" customHeight="1" x14ac:dyDescent="0.2">
      <c r="J238" s="88"/>
      <c r="K238" s="74"/>
      <c r="V238" s="74"/>
      <c r="X238" s="80"/>
      <c r="AI238" s="81"/>
      <c r="AJ238" s="81"/>
      <c r="AK238" s="81"/>
      <c r="AL238" s="81"/>
      <c r="AM238" s="81"/>
      <c r="AN238" s="81"/>
      <c r="AO238" s="81"/>
      <c r="AR238" s="184"/>
    </row>
    <row r="239" spans="10:44" ht="11.25" customHeight="1" x14ac:dyDescent="0.2">
      <c r="J239" s="88"/>
      <c r="K239" s="74"/>
      <c r="V239" s="74"/>
      <c r="X239" s="80"/>
      <c r="AI239" s="81"/>
      <c r="AJ239" s="81"/>
      <c r="AK239" s="81"/>
      <c r="AL239" s="81"/>
      <c r="AM239" s="81"/>
      <c r="AN239" s="81"/>
      <c r="AO239" s="81"/>
      <c r="AR239" s="184"/>
    </row>
    <row r="240" spans="10:44" ht="11.25" customHeight="1" x14ac:dyDescent="0.2">
      <c r="J240" s="88"/>
      <c r="K240" s="74"/>
      <c r="V240" s="74"/>
      <c r="X240" s="80"/>
      <c r="AI240" s="81"/>
      <c r="AJ240" s="81"/>
      <c r="AK240" s="81"/>
      <c r="AL240" s="81"/>
      <c r="AM240" s="81"/>
      <c r="AN240" s="81"/>
      <c r="AO240" s="81"/>
      <c r="AR240" s="184"/>
    </row>
    <row r="241" spans="10:44" ht="11.25" customHeight="1" x14ac:dyDescent="0.2">
      <c r="J241" s="88"/>
      <c r="K241" s="74"/>
      <c r="V241" s="74"/>
      <c r="X241" s="80"/>
      <c r="AI241" s="81"/>
      <c r="AJ241" s="81"/>
      <c r="AK241" s="81"/>
      <c r="AL241" s="81"/>
      <c r="AM241" s="81"/>
      <c r="AN241" s="81"/>
      <c r="AO241" s="81"/>
      <c r="AR241" s="184"/>
    </row>
    <row r="242" spans="10:44" ht="11.25" customHeight="1" x14ac:dyDescent="0.2">
      <c r="J242" s="88"/>
      <c r="K242" s="74"/>
      <c r="V242" s="74"/>
      <c r="X242" s="80"/>
      <c r="AI242" s="81"/>
      <c r="AJ242" s="81"/>
      <c r="AK242" s="81"/>
      <c r="AL242" s="81"/>
      <c r="AM242" s="81"/>
      <c r="AN242" s="81"/>
      <c r="AO242" s="81"/>
      <c r="AR242" s="184"/>
    </row>
    <row r="243" spans="10:44" ht="11.25" customHeight="1" x14ac:dyDescent="0.2">
      <c r="J243" s="88"/>
      <c r="K243" s="74"/>
      <c r="V243" s="74"/>
      <c r="X243" s="80"/>
      <c r="AI243" s="81"/>
      <c r="AJ243" s="81"/>
      <c r="AK243" s="81"/>
      <c r="AL243" s="81"/>
      <c r="AM243" s="81"/>
      <c r="AN243" s="81"/>
      <c r="AO243" s="81"/>
      <c r="AR243" s="184"/>
    </row>
    <row r="244" spans="10:44" ht="11.25" customHeight="1" x14ac:dyDescent="0.2">
      <c r="J244" s="88"/>
      <c r="K244" s="74"/>
      <c r="V244" s="74"/>
      <c r="X244" s="80"/>
      <c r="AI244" s="81"/>
      <c r="AJ244" s="81"/>
      <c r="AK244" s="81"/>
      <c r="AL244" s="81"/>
      <c r="AM244" s="81"/>
      <c r="AN244" s="81"/>
      <c r="AO244" s="81"/>
      <c r="AR244" s="184"/>
    </row>
    <row r="245" spans="10:44" ht="11.25" customHeight="1" x14ac:dyDescent="0.2">
      <c r="J245" s="88"/>
      <c r="K245" s="74"/>
      <c r="V245" s="74"/>
      <c r="X245" s="80"/>
      <c r="AI245" s="81"/>
      <c r="AJ245" s="81"/>
      <c r="AK245" s="81"/>
      <c r="AL245" s="81"/>
      <c r="AM245" s="81"/>
      <c r="AN245" s="81"/>
      <c r="AO245" s="81"/>
      <c r="AR245" s="184"/>
    </row>
    <row r="246" spans="10:44" ht="11.25" customHeight="1" x14ac:dyDescent="0.2">
      <c r="J246" s="88"/>
      <c r="K246" s="74"/>
      <c r="V246" s="74"/>
      <c r="X246" s="80"/>
      <c r="AI246" s="81"/>
      <c r="AJ246" s="81"/>
      <c r="AK246" s="81"/>
      <c r="AL246" s="81"/>
      <c r="AM246" s="81"/>
      <c r="AN246" s="81"/>
      <c r="AO246" s="81"/>
      <c r="AR246" s="184"/>
    </row>
    <row r="247" spans="10:44" ht="11.25" customHeight="1" x14ac:dyDescent="0.2">
      <c r="J247" s="88"/>
      <c r="K247" s="74"/>
      <c r="V247" s="74"/>
      <c r="X247" s="80"/>
      <c r="AI247" s="81"/>
      <c r="AJ247" s="81"/>
      <c r="AK247" s="81"/>
      <c r="AL247" s="81"/>
      <c r="AM247" s="81"/>
      <c r="AN247" s="81"/>
      <c r="AO247" s="81"/>
      <c r="AR247" s="184"/>
    </row>
    <row r="248" spans="10:44" ht="11.25" customHeight="1" x14ac:dyDescent="0.2">
      <c r="J248" s="88"/>
      <c r="K248" s="74"/>
      <c r="V248" s="74"/>
      <c r="X248" s="80"/>
      <c r="AI248" s="81"/>
      <c r="AJ248" s="81"/>
      <c r="AK248" s="81"/>
      <c r="AL248" s="81"/>
      <c r="AM248" s="81"/>
      <c r="AN248" s="81"/>
      <c r="AO248" s="81"/>
      <c r="AR248" s="184"/>
    </row>
    <row r="249" spans="10:44" ht="11.25" customHeight="1" x14ac:dyDescent="0.2">
      <c r="J249" s="88"/>
      <c r="K249" s="74"/>
      <c r="V249" s="74"/>
      <c r="X249" s="80"/>
      <c r="AI249" s="81"/>
      <c r="AJ249" s="81"/>
      <c r="AK249" s="81"/>
      <c r="AL249" s="81"/>
      <c r="AM249" s="81"/>
      <c r="AN249" s="81"/>
      <c r="AO249" s="81"/>
      <c r="AR249" s="184"/>
    </row>
    <row r="250" spans="10:44" ht="11.25" customHeight="1" x14ac:dyDescent="0.2">
      <c r="J250" s="88"/>
      <c r="K250" s="74"/>
      <c r="V250" s="74"/>
      <c r="X250" s="80"/>
      <c r="AI250" s="81"/>
      <c r="AJ250" s="81"/>
      <c r="AK250" s="81"/>
      <c r="AL250" s="81"/>
      <c r="AM250" s="81"/>
      <c r="AN250" s="81"/>
      <c r="AO250" s="81"/>
      <c r="AR250" s="184"/>
    </row>
    <row r="251" spans="10:44" ht="11.25" customHeight="1" x14ac:dyDescent="0.2">
      <c r="J251" s="88"/>
      <c r="K251" s="74"/>
      <c r="V251" s="74"/>
      <c r="X251" s="80"/>
      <c r="AI251" s="81"/>
      <c r="AJ251" s="81"/>
      <c r="AK251" s="81"/>
      <c r="AL251" s="81"/>
      <c r="AM251" s="81"/>
      <c r="AN251" s="81"/>
      <c r="AO251" s="81"/>
      <c r="AR251" s="184"/>
    </row>
    <row r="252" spans="10:44" ht="11.25" customHeight="1" x14ac:dyDescent="0.2">
      <c r="J252" s="88"/>
      <c r="K252" s="74"/>
      <c r="V252" s="74"/>
      <c r="X252" s="80"/>
      <c r="AI252" s="81"/>
      <c r="AJ252" s="81"/>
      <c r="AK252" s="81"/>
      <c r="AL252" s="81"/>
      <c r="AM252" s="81"/>
      <c r="AN252" s="81"/>
      <c r="AO252" s="81"/>
      <c r="AR252" s="184"/>
    </row>
    <row r="253" spans="10:44" ht="11.25" customHeight="1" x14ac:dyDescent="0.2">
      <c r="J253" s="88"/>
      <c r="K253" s="74"/>
      <c r="V253" s="74"/>
      <c r="X253" s="80"/>
      <c r="AI253" s="81"/>
      <c r="AJ253" s="81"/>
      <c r="AK253" s="81"/>
      <c r="AL253" s="81"/>
      <c r="AM253" s="81"/>
      <c r="AN253" s="81"/>
      <c r="AO253" s="81"/>
      <c r="AR253" s="184"/>
    </row>
    <row r="254" spans="10:44" ht="11.25" customHeight="1" x14ac:dyDescent="0.2">
      <c r="J254" s="88"/>
      <c r="K254" s="74"/>
      <c r="V254" s="74"/>
      <c r="X254" s="80"/>
      <c r="AI254" s="81"/>
      <c r="AJ254" s="81"/>
      <c r="AK254" s="81"/>
      <c r="AL254" s="81"/>
      <c r="AM254" s="81"/>
      <c r="AN254" s="81"/>
      <c r="AO254" s="81"/>
      <c r="AR254" s="184"/>
    </row>
    <row r="347" spans="37:37" ht="11.25" customHeight="1" x14ac:dyDescent="0.2">
      <c r="AK347" s="74" t="b">
        <v>1</v>
      </c>
    </row>
  </sheetData>
  <sheetProtection sheet="1" objects="1" scenarios="1"/>
  <mergeCells count="57">
    <mergeCell ref="A143:U143"/>
    <mergeCell ref="A179:U179"/>
    <mergeCell ref="B201:I202"/>
    <mergeCell ref="B203:I204"/>
    <mergeCell ref="B205:I206"/>
    <mergeCell ref="A178:U178"/>
    <mergeCell ref="Y8:Y9"/>
    <mergeCell ref="B75:B76"/>
    <mergeCell ref="B73:I74"/>
    <mergeCell ref="B111:B112"/>
    <mergeCell ref="B109:I110"/>
    <mergeCell ref="B145:I146"/>
    <mergeCell ref="M64:O64"/>
    <mergeCell ref="Q64:T64"/>
    <mergeCell ref="M65:T65"/>
    <mergeCell ref="A106:U106"/>
    <mergeCell ref="A107:U107"/>
    <mergeCell ref="A142:U142"/>
    <mergeCell ref="B147:B148"/>
    <mergeCell ref="A70:U70"/>
    <mergeCell ref="A71:U71"/>
    <mergeCell ref="Z8:Z9"/>
    <mergeCell ref="B35:T35"/>
    <mergeCell ref="A37:U37"/>
    <mergeCell ref="A38:U38"/>
    <mergeCell ref="B5:T6"/>
    <mergeCell ref="B7:B9"/>
    <mergeCell ref="D7:H7"/>
    <mergeCell ref="R7:R9"/>
    <mergeCell ref="L7:Q7"/>
    <mergeCell ref="P8:Q8"/>
    <mergeCell ref="P9:Q9"/>
    <mergeCell ref="T7:T9"/>
    <mergeCell ref="I7:J9"/>
    <mergeCell ref="Y7:Z7"/>
    <mergeCell ref="AA7:AE7"/>
    <mergeCell ref="BB38:BF38"/>
    <mergeCell ref="AW38:BA38"/>
    <mergeCell ref="AR38:AV38"/>
    <mergeCell ref="AQ38:AQ40"/>
    <mergeCell ref="B181:I182"/>
    <mergeCell ref="B183:I184"/>
    <mergeCell ref="B185:I186"/>
    <mergeCell ref="B187:I188"/>
    <mergeCell ref="B189:I190"/>
    <mergeCell ref="B213:I214"/>
    <mergeCell ref="B215:I216"/>
    <mergeCell ref="B217:I218"/>
    <mergeCell ref="B219:I220"/>
    <mergeCell ref="B191:I192"/>
    <mergeCell ref="B193:I194"/>
    <mergeCell ref="B195:I196"/>
    <mergeCell ref="B197:I198"/>
    <mergeCell ref="B199:I200"/>
    <mergeCell ref="B207:I208"/>
    <mergeCell ref="B209:I210"/>
    <mergeCell ref="B211:I212"/>
  </mergeCells>
  <conditionalFormatting sqref="B10:B31 B51:C66 B113:B134 D10:H31 D113:H134 L10:P31 A1:A37 A72:A106 A108:A142 A144:A178 R10:R31">
    <cfRule type="containsErrors" dxfId="254" priority="115">
      <formula>ISERROR(A1)</formula>
    </cfRule>
  </conditionalFormatting>
  <conditionalFormatting sqref="T10:T31">
    <cfRule type="containsErrors" dxfId="253" priority="95">
      <formula>ISERROR(T10)</formula>
    </cfRule>
  </conditionalFormatting>
  <conditionalFormatting sqref="A10:A31">
    <cfRule type="cellIs" dxfId="252" priority="93" operator="equal">
      <formula>0</formula>
    </cfRule>
  </conditionalFormatting>
  <conditionalFormatting sqref="A77:A98">
    <cfRule type="cellIs" dxfId="251" priority="92" operator="equal">
      <formula>0</formula>
    </cfRule>
  </conditionalFormatting>
  <conditionalFormatting sqref="A113:A134">
    <cfRule type="cellIs" dxfId="250" priority="91" operator="equal">
      <formula>0</formula>
    </cfRule>
  </conditionalFormatting>
  <conditionalFormatting sqref="A149:A170">
    <cfRule type="cellIs" dxfId="249" priority="90" operator="equal">
      <formula>0</formula>
    </cfRule>
  </conditionalFormatting>
  <conditionalFormatting sqref="A39:A70 A255:A1048576">
    <cfRule type="containsErrors" dxfId="248" priority="85">
      <formula>ISERROR(A39)</formula>
    </cfRule>
  </conditionalFormatting>
  <conditionalFormatting sqref="AF10:AG28">
    <cfRule type="containsErrors" dxfId="247" priority="84">
      <formula>ISERROR(AF10)</formula>
    </cfRule>
  </conditionalFormatting>
  <conditionalFormatting sqref="AF10:AG21 AG11:AG28">
    <cfRule type="expression" dxfId="246" priority="83">
      <formula>$B10=$W$4</formula>
    </cfRule>
  </conditionalFormatting>
  <conditionalFormatting sqref="R10:R31">
    <cfRule type="containsErrors" dxfId="245" priority="113">
      <formula>ISERROR(R10)</formula>
    </cfRule>
  </conditionalFormatting>
  <conditionalFormatting sqref="A38">
    <cfRule type="cellIs" dxfId="244" priority="75" operator="equal">
      <formula>0</formula>
    </cfRule>
    <cfRule type="containsErrors" dxfId="243" priority="76">
      <formula>ISERROR(A38)</formula>
    </cfRule>
  </conditionalFormatting>
  <conditionalFormatting sqref="A71">
    <cfRule type="cellIs" dxfId="242" priority="73" operator="equal">
      <formula>0</formula>
    </cfRule>
    <cfRule type="containsErrors" dxfId="241" priority="74">
      <formula>ISERROR(A71)</formula>
    </cfRule>
  </conditionalFormatting>
  <conditionalFormatting sqref="A107">
    <cfRule type="cellIs" dxfId="240" priority="69" operator="equal">
      <formula>0</formula>
    </cfRule>
    <cfRule type="containsErrors" dxfId="239" priority="70">
      <formula>ISERROR(A107)</formula>
    </cfRule>
  </conditionalFormatting>
  <conditionalFormatting sqref="A143">
    <cfRule type="cellIs" dxfId="238" priority="67" operator="equal">
      <formula>0</formula>
    </cfRule>
    <cfRule type="containsErrors" dxfId="237" priority="68">
      <formula>ISERROR(A143)</formula>
    </cfRule>
  </conditionalFormatting>
  <conditionalFormatting sqref="A179">
    <cfRule type="cellIs" dxfId="236" priority="65" operator="equal">
      <formula>0</formula>
    </cfRule>
    <cfRule type="containsErrors" dxfId="235" priority="66">
      <formula>ISERROR(A179)</formula>
    </cfRule>
  </conditionalFormatting>
  <conditionalFormatting sqref="D8:H8">
    <cfRule type="containsErrors" dxfId="234" priority="54">
      <formula>ISERROR(D8)</formula>
    </cfRule>
  </conditionalFormatting>
  <conditionalFormatting sqref="D9:H9">
    <cfRule type="containsErrors" dxfId="233" priority="56">
      <formula>ISERROR(D9)</formula>
    </cfRule>
  </conditionalFormatting>
  <conditionalFormatting sqref="L8:P8">
    <cfRule type="containsErrors" dxfId="232" priority="53">
      <formula>ISERROR(L8)</formula>
    </cfRule>
  </conditionalFormatting>
  <conditionalFormatting sqref="L9:P9">
    <cfRule type="containsErrors" dxfId="231" priority="1266">
      <formula>ISERROR(L9)</formula>
    </cfRule>
  </conditionalFormatting>
  <conditionalFormatting sqref="Q32">
    <cfRule type="containsErrors" dxfId="230" priority="50">
      <formula>ISERROR(Q32)</formula>
    </cfRule>
  </conditionalFormatting>
  <conditionalFormatting sqref="Y3:AC3">
    <cfRule type="containsErrors" dxfId="229" priority="45">
      <formula>ISERROR(Y3)</formula>
    </cfRule>
  </conditionalFormatting>
  <conditionalFormatting sqref="Y2:AC2">
    <cfRule type="containsErrors" dxfId="228" priority="44">
      <formula>ISERROR(Y2)</formula>
    </cfRule>
  </conditionalFormatting>
  <conditionalFormatting sqref="X2">
    <cfRule type="containsErrors" dxfId="227" priority="42">
      <formula>ISERROR(X2)</formula>
    </cfRule>
  </conditionalFormatting>
  <conditionalFormatting sqref="X3">
    <cfRule type="containsErrors" dxfId="226" priority="43">
      <formula>ISERROR(X3)</formula>
    </cfRule>
  </conditionalFormatting>
  <conditionalFormatting sqref="AA9:AE9">
    <cfRule type="cellIs" dxfId="225" priority="41" stopIfTrue="1" operator="equal">
      <formula>0</formula>
    </cfRule>
  </conditionalFormatting>
  <conditionalFormatting sqref="B77:B98 D77:H98 B149:B170 D149:H170">
    <cfRule type="expression" dxfId="224" priority="1257">
      <formula>$B77=$Y$4</formula>
    </cfRule>
    <cfRule type="containsErrors" dxfId="223" priority="1258">
      <formula>ISERROR(B77)</formula>
    </cfRule>
  </conditionalFormatting>
  <conditionalFormatting sqref="B10:B31 T10:T31 D10:H31 L10:P31 Q10:Q32 J10:J32 R10:R31 B51:C66 B113:B134 D113:H134">
    <cfRule type="expression" dxfId="222" priority="1265">
      <formula>$B10=$Y$4</formula>
    </cfRule>
  </conditionalFormatting>
  <conditionalFormatting sqref="J10:J33">
    <cfRule type="containsErrors" dxfId="221" priority="39">
      <formula>ISERROR(J10)</formula>
    </cfRule>
    <cfRule type="dataBar" priority="40">
      <dataBar showValue="0">
        <cfvo type="min"/>
        <cfvo type="max"/>
        <color theme="9"/>
      </dataBar>
      <extLst>
        <ext xmlns:x14="http://schemas.microsoft.com/office/spreadsheetml/2009/9/main" uri="{B025F937-C7B1-47D3-B67F-A62EFF666E3E}">
          <x14:id>{EB6EBBD3-3B0C-4DCE-97F7-215EED3E924E}</x14:id>
        </ext>
      </extLst>
    </cfRule>
  </conditionalFormatting>
  <conditionalFormatting sqref="J32">
    <cfRule type="containsErrors" dxfId="220" priority="37">
      <formula>ISERROR(J32)</formula>
    </cfRule>
  </conditionalFormatting>
  <conditionalFormatting sqref="I10:I31">
    <cfRule type="containsErrors" dxfId="219" priority="27">
      <formula>ISERROR(I10)</formula>
    </cfRule>
    <cfRule type="expression" dxfId="218" priority="36">
      <formula>$B10=$Y$4</formula>
    </cfRule>
  </conditionalFormatting>
  <conditionalFormatting sqref="I10:I31">
    <cfRule type="containsErrors" dxfId="217" priority="35">
      <formula>ISERROR(I10)</formula>
    </cfRule>
  </conditionalFormatting>
  <conditionalFormatting sqref="I32">
    <cfRule type="containsErrors" dxfId="216" priority="34">
      <formula>ISERROR(I32)</formula>
    </cfRule>
  </conditionalFormatting>
  <conditionalFormatting sqref="D75:H75">
    <cfRule type="containsErrors" dxfId="215" priority="32">
      <formula>ISERROR(D75)</formula>
    </cfRule>
  </conditionalFormatting>
  <conditionalFormatting sqref="D76:H76">
    <cfRule type="containsErrors" dxfId="214" priority="33">
      <formula>ISERROR(D76)</formula>
    </cfRule>
  </conditionalFormatting>
  <conditionalFormatting sqref="D111:H111">
    <cfRule type="containsErrors" dxfId="213" priority="30">
      <formula>ISERROR(D111)</formula>
    </cfRule>
  </conditionalFormatting>
  <conditionalFormatting sqref="D112:H112">
    <cfRule type="containsErrors" dxfId="212" priority="31">
      <formula>ISERROR(D112)</formula>
    </cfRule>
  </conditionalFormatting>
  <conditionalFormatting sqref="D147:H147">
    <cfRule type="containsErrors" dxfId="211" priority="28">
      <formula>ISERROR(D147)</formula>
    </cfRule>
  </conditionalFormatting>
  <conditionalFormatting sqref="D148:H148">
    <cfRule type="containsErrors" dxfId="210" priority="29">
      <formula>ISERROR(D148)</formula>
    </cfRule>
  </conditionalFormatting>
  <conditionalFormatting sqref="AL40:AP40">
    <cfRule type="cellIs" dxfId="209" priority="26" stopIfTrue="1" operator="equal">
      <formula>0</formula>
    </cfRule>
  </conditionalFormatting>
  <conditionalFormatting sqref="AR40:AV40">
    <cfRule type="cellIs" dxfId="208" priority="25" stopIfTrue="1" operator="equal">
      <formula>0</formula>
    </cfRule>
  </conditionalFormatting>
  <conditionalFormatting sqref="AW40:BA40">
    <cfRule type="cellIs" dxfId="207" priority="24" stopIfTrue="1" operator="equal">
      <formula>0</formula>
    </cfRule>
  </conditionalFormatting>
  <conditionalFormatting sqref="BB40:BF40">
    <cfRule type="cellIs" dxfId="206" priority="23" stopIfTrue="1" operator="equal">
      <formula>0</formula>
    </cfRule>
  </conditionalFormatting>
  <conditionalFormatting sqref="D33:H33 L33:P33 R33">
    <cfRule type="containsErrors" dxfId="205" priority="13">
      <formula>ISERROR(D33)</formula>
    </cfRule>
  </conditionalFormatting>
  <conditionalFormatting sqref="T33">
    <cfRule type="containsErrors" dxfId="204" priority="11">
      <formula>ISERROR(T33)</formula>
    </cfRule>
  </conditionalFormatting>
  <conditionalFormatting sqref="R33">
    <cfRule type="containsErrors" dxfId="203" priority="12">
      <formula>ISERROR(R33)</formula>
    </cfRule>
  </conditionalFormatting>
  <conditionalFormatting sqref="T33 D33:H33 J33 L33:R33">
    <cfRule type="expression" dxfId="202" priority="14">
      <formula>$B33=$Y$4</formula>
    </cfRule>
  </conditionalFormatting>
  <conditionalFormatting sqref="I33">
    <cfRule type="containsErrors" dxfId="201" priority="4">
      <formula>ISERROR(I33)</formula>
    </cfRule>
    <cfRule type="expression" dxfId="200" priority="6">
      <formula>$B33=$Y$4</formula>
    </cfRule>
  </conditionalFormatting>
  <conditionalFormatting sqref="I33">
    <cfRule type="containsErrors" dxfId="199" priority="5">
      <formula>ISERROR(I33)</formula>
    </cfRule>
  </conditionalFormatting>
  <conditionalFormatting sqref="Q10:Q33">
    <cfRule type="containsErrors" dxfId="198" priority="48">
      <formula>ISERROR(Q10)</formula>
    </cfRule>
    <cfRule type="dataBar" priority="49">
      <dataBar showValue="0">
        <cfvo type="min"/>
        <cfvo type="max"/>
        <color theme="9"/>
      </dataBar>
      <extLst>
        <ext xmlns:x14="http://schemas.microsoft.com/office/spreadsheetml/2009/9/main" uri="{B025F937-C7B1-47D3-B67F-A62EFF666E3E}">
          <x14:id>{6E339818-BE0E-4C9B-8126-03E9EC6F1A0C}</x14:id>
        </ext>
      </extLst>
    </cfRule>
  </conditionalFormatting>
  <conditionalFormatting sqref="D136:H136 D100:H100 D172:H172">
    <cfRule type="containsErrors" dxfId="197" priority="3">
      <formula>ISERROR(D100)</formula>
    </cfRule>
  </conditionalFormatting>
  <conditionalFormatting sqref="D171:H171 D135:H135 D99:H99">
    <cfRule type="containsErrors" dxfId="196" priority="2">
      <formula>ISERROR(D99)</formula>
    </cfRule>
  </conditionalFormatting>
  <conditionalFormatting sqref="A222:A254">
    <cfRule type="containsErrors" dxfId="195" priority="1">
      <formula>ISERROR(A222)</formula>
    </cfRule>
  </conditionalFormatting>
  <hyperlinks>
    <hyperlink ref="B185:H186" location="IDACI!A1" display="IDACI" xr:uid="{A0837100-97DC-46F3-9A5A-080B3F87FF8F}"/>
    <hyperlink ref="B209:I210" location="ROSGO!A1" display="Child Arrangement &amp; Special Guardianship Orders" xr:uid="{C43CB4BB-8D26-401C-AD2D-315D8697AFE4}"/>
    <hyperlink ref="B189:G190" location="EH_Referrals!A1" display="Early Help Referrals" xr:uid="{20A45ED7-D827-4914-A4C8-49E45BA22244}"/>
    <hyperlink ref="B209:E210" location="ROSGO!A1" display="Child Arrangement &amp; Special Guardianship Orders" xr:uid="{2CD7552D-65CC-4475-BC14-27C36235B7D6}"/>
    <hyperlink ref="B189:E190" location="EH_Referrals!A1" display="Early Help Referrals" xr:uid="{E8BEBDFB-E9D2-4B04-90A0-ACE666F3C7B8}"/>
    <hyperlink ref="B187:D188" location="IDACI!A1" display="IDACI" xr:uid="{3F36FC9D-F6A5-4340-9F8F-D0491A599A33}"/>
    <hyperlink ref="B183:D184" location="Indicators!A1" display="Indicators" xr:uid="{12343F20-544F-402D-BC74-D26205CE5328}"/>
    <hyperlink ref="B211:D212" location="New_Ceased_LAC!A1" display="New/ Ceased Looked After Children" xr:uid="{957FBE9B-9701-4BF3-B8E1-472A798AB403}"/>
    <hyperlink ref="B215:D216" location="Care_Leavers!A1" display="Care Leavers" xr:uid="{28D41667-7FD4-474B-891F-789428846CE1}"/>
    <hyperlink ref="B219:D220" location="Offending!A1" display="Offending" xr:uid="{36EF7F38-213E-4C39-B18F-8B335DC320AE}"/>
    <hyperlink ref="B217:D218" location="EHCP!A1" display="Education Health and Care Plans (EHCP)" xr:uid="{CED9EBC8-E842-4758-9F58-FCA4EA5383C9}"/>
    <hyperlink ref="B185:B186" location="Coverage!A1" display="Participating LA's" xr:uid="{E85A7486-AE56-4B07-8D90-9A4F4A945E1F}"/>
    <hyperlink ref="B187:B188" location="IDACI!A1" display="IDACI" xr:uid="{4FCA6E94-900C-4CB1-A53A-BB90EEB6E07E}"/>
    <hyperlink ref="B213:B214" location="Adoption!A1" display="Adoption" xr:uid="{F38E2530-8983-4138-9FCE-5F60E425B44F}"/>
    <hyperlink ref="B209:B210" location="'Looked After Children'!A1" display="Looked After Children" xr:uid="{022CB91F-81EA-423B-8D74-8022241936D7}"/>
    <hyperlink ref="B207:B208" location="'Court Applications'!A1" display="Court Applications" xr:uid="{D4421F06-E960-4521-958C-934BB7FE547B}"/>
    <hyperlink ref="B205:B206" location="'Child Protection Plans'!A1" display="Child Protection Plans" xr:uid="{B942CB74-B991-472D-A0CE-EE5CF19DC57B}"/>
    <hyperlink ref="B203:B204" location="'Initial CP Conferences'!A1" display="Initial Child Protection Conferences" xr:uid="{15E667D9-9BBC-47BA-B6D2-BABFB44482B8}"/>
    <hyperlink ref="B201:B202" location="'Section 47 Enquiries'!A1" display="Section 47 Enquiries" xr:uid="{C4EF8963-5110-4FD4-BFBE-D3779527D54A}"/>
    <hyperlink ref="B199:B200" location="'Children in Need'!A1" display="Children in Need" xr:uid="{1A78605C-FF83-4EE8-B587-4F1B47A6F963}"/>
    <hyperlink ref="B197:B198" location="Assessments!A1" display="Assessments" xr:uid="{72625E75-8AD2-44DE-AA7F-39DEBA80D2F3}"/>
    <hyperlink ref="B195:B196" location="'Re-referrals'!A1" display="Re-referrals" xr:uid="{7388C221-CE08-4E61-A197-70E3407D21ED}"/>
    <hyperlink ref="B193:B194" location="Referral_Source!A1" display="Referral Source" xr:uid="{FDBB029E-DF92-4D33-9C9D-5DE7A962B12F}"/>
    <hyperlink ref="B191:B192" location="Referrals!A1" display="Referrals" xr:uid="{D8A83B29-4C8E-454F-8257-53F0312E2D14}"/>
    <hyperlink ref="B189:B190" location="Population!A1" display="Population" xr:uid="{21870CE3-2BD0-4DB5-BABC-47C60E5ABBE6}"/>
    <hyperlink ref="B187:C188" location="IDACI!A1" display="IDACI" xr:uid="{7F825140-A525-4C05-AD56-EF1D180CCD0D}"/>
    <hyperlink ref="B183:B184" location="Coverage!A1" display="Participating LA's" xr:uid="{BF54E646-4989-43D8-9B09-B0B330AF7F53}"/>
    <hyperlink ref="B183:C184" location="Indicators!A1" display="Indicators" xr:uid="{C125AE48-ACCF-44BD-9C29-A56CBA38C4D5}"/>
    <hyperlink ref="B215:B216" location="'Looked After Children'!A1" display="Looked After Children" xr:uid="{65C89090-1ECB-4330-A02C-2A84EEFF7762}"/>
    <hyperlink ref="B211:B212" location="'Court Applications'!A1" display="Court Applications" xr:uid="{B5E8F46D-1ED2-4922-82B2-4F062A81FF95}"/>
    <hyperlink ref="B211:C212" location="New_Ceased_LAC!A1" display="New/ Ceased Looked After Children" xr:uid="{F0157EEC-F076-4686-A13D-BFCBC5F1D1B0}"/>
    <hyperlink ref="B215:C216" location="Care_Leavers!A1" display="Care Leavers" xr:uid="{3FFB68AC-3F5F-4A05-BA6A-299C177F5B84}"/>
    <hyperlink ref="B218:B220" location="Adoption!A1" display="Adoption" xr:uid="{B9D85668-1E69-4721-91D1-8ABA43EDEA49}"/>
    <hyperlink ref="B219:B220" location="'Looked After Children'!A1" display="Looked After Children" xr:uid="{12CCBFBC-5129-442B-A2DA-E649199C2B66}"/>
    <hyperlink ref="B219:C220" location="Offending!A1" display="Offending" xr:uid="{12B22CD7-7565-4F0D-9FD7-4764B60C8199}"/>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8" max="20" man="1"/>
    <brk id="71" max="20" man="1"/>
    <brk id="107" max="20" man="1"/>
    <brk id="143"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68961" r:id="rId4" name="Check Box 1">
              <controlPr defaultSize="0" autoFill="0" autoLine="0" autoPict="0" macro="[0]!CheckBox1_Click" altText="">
                <anchor>
                  <from>
                    <xdr:col>22</xdr:col>
                    <xdr:colOff>95250</xdr:colOff>
                    <xdr:row>39</xdr:row>
                    <xdr:rowOff>19050</xdr:rowOff>
                  </from>
                  <to>
                    <xdr:col>35</xdr:col>
                    <xdr:colOff>66675</xdr:colOff>
                    <xdr:row>41</xdr:row>
                    <xdr:rowOff>9525</xdr:rowOff>
                  </to>
                </anchor>
              </controlPr>
            </control>
          </mc:Choice>
        </mc:AlternateContent>
        <mc:AlternateContent xmlns:mc="http://schemas.openxmlformats.org/markup-compatibility/2006">
          <mc:Choice Requires="x14">
            <control shapeId="168962" r:id="rId5" name="Check Box 2">
              <controlPr defaultSize="0" autoFill="0" autoLine="0" autoPict="0" macro="[0]!CheckBox1_Click" altText="">
                <anchor>
                  <from>
                    <xdr:col>22</xdr:col>
                    <xdr:colOff>95250</xdr:colOff>
                    <xdr:row>40</xdr:row>
                    <xdr:rowOff>142875</xdr:rowOff>
                  </from>
                  <to>
                    <xdr:col>35</xdr:col>
                    <xdr:colOff>66675</xdr:colOff>
                    <xdr:row>42</xdr:row>
                    <xdr:rowOff>9525</xdr:rowOff>
                  </to>
                </anchor>
              </controlPr>
            </control>
          </mc:Choice>
        </mc:AlternateContent>
        <mc:AlternateContent xmlns:mc="http://schemas.openxmlformats.org/markup-compatibility/2006">
          <mc:Choice Requires="x14">
            <control shapeId="168963" r:id="rId6" name="Check Box 3">
              <controlPr defaultSize="0" autoFill="0" autoLine="0" autoPict="0" macro="[0]!CheckBox1_Click" altText="">
                <anchor>
                  <from>
                    <xdr:col>22</xdr:col>
                    <xdr:colOff>95250</xdr:colOff>
                    <xdr:row>41</xdr:row>
                    <xdr:rowOff>142875</xdr:rowOff>
                  </from>
                  <to>
                    <xdr:col>35</xdr:col>
                    <xdr:colOff>66675</xdr:colOff>
                    <xdr:row>43</xdr:row>
                    <xdr:rowOff>9525</xdr:rowOff>
                  </to>
                </anchor>
              </controlPr>
            </control>
          </mc:Choice>
        </mc:AlternateContent>
        <mc:AlternateContent xmlns:mc="http://schemas.openxmlformats.org/markup-compatibility/2006">
          <mc:Choice Requires="x14">
            <control shapeId="168964" r:id="rId7" name="Check Box 4">
              <controlPr defaultSize="0" autoFill="0" autoLine="0" autoPict="0" macro="[0]!CheckBox1_Click" altText="">
                <anchor>
                  <from>
                    <xdr:col>22</xdr:col>
                    <xdr:colOff>95250</xdr:colOff>
                    <xdr:row>42</xdr:row>
                    <xdr:rowOff>142875</xdr:rowOff>
                  </from>
                  <to>
                    <xdr:col>35</xdr:col>
                    <xdr:colOff>66675</xdr:colOff>
                    <xdr:row>44</xdr:row>
                    <xdr:rowOff>9525</xdr:rowOff>
                  </to>
                </anchor>
              </controlPr>
            </control>
          </mc:Choice>
        </mc:AlternateContent>
        <mc:AlternateContent xmlns:mc="http://schemas.openxmlformats.org/markup-compatibility/2006">
          <mc:Choice Requires="x14">
            <control shapeId="168965" r:id="rId8" name="Check Box 5">
              <controlPr defaultSize="0" autoFill="0" autoLine="0" autoPict="0" macro="[0]!CheckBox1_Click" altText="">
                <anchor>
                  <from>
                    <xdr:col>22</xdr:col>
                    <xdr:colOff>95250</xdr:colOff>
                    <xdr:row>43</xdr:row>
                    <xdr:rowOff>142875</xdr:rowOff>
                  </from>
                  <to>
                    <xdr:col>35</xdr:col>
                    <xdr:colOff>66675</xdr:colOff>
                    <xdr:row>45</xdr:row>
                    <xdr:rowOff>9525</xdr:rowOff>
                  </to>
                </anchor>
              </controlPr>
            </control>
          </mc:Choice>
        </mc:AlternateContent>
        <mc:AlternateContent xmlns:mc="http://schemas.openxmlformats.org/markup-compatibility/2006">
          <mc:Choice Requires="x14">
            <control shapeId="168966" r:id="rId9" name="Check Box 6">
              <controlPr defaultSize="0" autoFill="0" autoLine="0" autoPict="0" macro="[0]!CheckBox1_Click" altText="">
                <anchor>
                  <from>
                    <xdr:col>22</xdr:col>
                    <xdr:colOff>95250</xdr:colOff>
                    <xdr:row>44</xdr:row>
                    <xdr:rowOff>142875</xdr:rowOff>
                  </from>
                  <to>
                    <xdr:col>35</xdr:col>
                    <xdr:colOff>66675</xdr:colOff>
                    <xdr:row>46</xdr:row>
                    <xdr:rowOff>9525</xdr:rowOff>
                  </to>
                </anchor>
              </controlPr>
            </control>
          </mc:Choice>
        </mc:AlternateContent>
        <mc:AlternateContent xmlns:mc="http://schemas.openxmlformats.org/markup-compatibility/2006">
          <mc:Choice Requires="x14">
            <control shapeId="168967" r:id="rId10" name="Check Box 7">
              <controlPr defaultSize="0" autoFill="0" autoLine="0" autoPict="0" macro="[0]!CheckBox1_Click" altText="">
                <anchor>
                  <from>
                    <xdr:col>22</xdr:col>
                    <xdr:colOff>95250</xdr:colOff>
                    <xdr:row>45</xdr:row>
                    <xdr:rowOff>142875</xdr:rowOff>
                  </from>
                  <to>
                    <xdr:col>35</xdr:col>
                    <xdr:colOff>66675</xdr:colOff>
                    <xdr:row>47</xdr:row>
                    <xdr:rowOff>9525</xdr:rowOff>
                  </to>
                </anchor>
              </controlPr>
            </control>
          </mc:Choice>
        </mc:AlternateContent>
        <mc:AlternateContent xmlns:mc="http://schemas.openxmlformats.org/markup-compatibility/2006">
          <mc:Choice Requires="x14">
            <control shapeId="168968" r:id="rId11" name="Check Box 8">
              <controlPr defaultSize="0" autoFill="0" autoLine="0" autoPict="0" macro="[0]!CheckBox1_Click" altText="">
                <anchor>
                  <from>
                    <xdr:col>22</xdr:col>
                    <xdr:colOff>95250</xdr:colOff>
                    <xdr:row>46</xdr:row>
                    <xdr:rowOff>142875</xdr:rowOff>
                  </from>
                  <to>
                    <xdr:col>35</xdr:col>
                    <xdr:colOff>66675</xdr:colOff>
                    <xdr:row>48</xdr:row>
                    <xdr:rowOff>9525</xdr:rowOff>
                  </to>
                </anchor>
              </controlPr>
            </control>
          </mc:Choice>
        </mc:AlternateContent>
        <mc:AlternateContent xmlns:mc="http://schemas.openxmlformats.org/markup-compatibility/2006">
          <mc:Choice Requires="x14">
            <control shapeId="168969" r:id="rId12" name="Check Box 9">
              <controlPr defaultSize="0" autoFill="0" autoLine="0" autoPict="0" macro="[0]!CheckBox1_Click" altText="">
                <anchor>
                  <from>
                    <xdr:col>22</xdr:col>
                    <xdr:colOff>95250</xdr:colOff>
                    <xdr:row>47</xdr:row>
                    <xdr:rowOff>142875</xdr:rowOff>
                  </from>
                  <to>
                    <xdr:col>35</xdr:col>
                    <xdr:colOff>66675</xdr:colOff>
                    <xdr:row>49</xdr:row>
                    <xdr:rowOff>9525</xdr:rowOff>
                  </to>
                </anchor>
              </controlPr>
            </control>
          </mc:Choice>
        </mc:AlternateContent>
        <mc:AlternateContent xmlns:mc="http://schemas.openxmlformats.org/markup-compatibility/2006">
          <mc:Choice Requires="x14">
            <control shapeId="168970" r:id="rId13" name="Check Box 10">
              <controlPr defaultSize="0" autoFill="0" autoLine="0" autoPict="0" macro="[0]!CheckBox1_Click" altText="">
                <anchor>
                  <from>
                    <xdr:col>22</xdr:col>
                    <xdr:colOff>95250</xdr:colOff>
                    <xdr:row>48</xdr:row>
                    <xdr:rowOff>142875</xdr:rowOff>
                  </from>
                  <to>
                    <xdr:col>35</xdr:col>
                    <xdr:colOff>66675</xdr:colOff>
                    <xdr:row>50</xdr:row>
                    <xdr:rowOff>9525</xdr:rowOff>
                  </to>
                </anchor>
              </controlPr>
            </control>
          </mc:Choice>
        </mc:AlternateContent>
        <mc:AlternateContent xmlns:mc="http://schemas.openxmlformats.org/markup-compatibility/2006">
          <mc:Choice Requires="x14">
            <control shapeId="168971" r:id="rId14" name="Check Box 11">
              <controlPr defaultSize="0" autoFill="0" autoLine="0" autoPict="0" macro="[0]!CheckBox1_Click" altText="">
                <anchor>
                  <from>
                    <xdr:col>22</xdr:col>
                    <xdr:colOff>95250</xdr:colOff>
                    <xdr:row>49</xdr:row>
                    <xdr:rowOff>142875</xdr:rowOff>
                  </from>
                  <to>
                    <xdr:col>35</xdr:col>
                    <xdr:colOff>66675</xdr:colOff>
                    <xdr:row>51</xdr:row>
                    <xdr:rowOff>9525</xdr:rowOff>
                  </to>
                </anchor>
              </controlPr>
            </control>
          </mc:Choice>
        </mc:AlternateContent>
        <mc:AlternateContent xmlns:mc="http://schemas.openxmlformats.org/markup-compatibility/2006">
          <mc:Choice Requires="x14">
            <control shapeId="168972" r:id="rId15" name="Check Box 12">
              <controlPr defaultSize="0" autoFill="0" autoLine="0" autoPict="0" macro="[0]!CheckBox1_Click" altText="">
                <anchor>
                  <from>
                    <xdr:col>22</xdr:col>
                    <xdr:colOff>95250</xdr:colOff>
                    <xdr:row>50</xdr:row>
                    <xdr:rowOff>142875</xdr:rowOff>
                  </from>
                  <to>
                    <xdr:col>35</xdr:col>
                    <xdr:colOff>66675</xdr:colOff>
                    <xdr:row>52</xdr:row>
                    <xdr:rowOff>9525</xdr:rowOff>
                  </to>
                </anchor>
              </controlPr>
            </control>
          </mc:Choice>
        </mc:AlternateContent>
        <mc:AlternateContent xmlns:mc="http://schemas.openxmlformats.org/markup-compatibility/2006">
          <mc:Choice Requires="x14">
            <control shapeId="168973" r:id="rId16" name="Check Box 13">
              <controlPr defaultSize="0" autoFill="0" autoLine="0" autoPict="0" macro="[0]!CheckBox1_Click" altText="">
                <anchor>
                  <from>
                    <xdr:col>22</xdr:col>
                    <xdr:colOff>95250</xdr:colOff>
                    <xdr:row>51</xdr:row>
                    <xdr:rowOff>142875</xdr:rowOff>
                  </from>
                  <to>
                    <xdr:col>35</xdr:col>
                    <xdr:colOff>66675</xdr:colOff>
                    <xdr:row>53</xdr:row>
                    <xdr:rowOff>9525</xdr:rowOff>
                  </to>
                </anchor>
              </controlPr>
            </control>
          </mc:Choice>
        </mc:AlternateContent>
        <mc:AlternateContent xmlns:mc="http://schemas.openxmlformats.org/markup-compatibility/2006">
          <mc:Choice Requires="x14">
            <control shapeId="168974" r:id="rId17" name="Check Box 14">
              <controlPr defaultSize="0" autoFill="0" autoLine="0" autoPict="0" macro="[0]!CheckBox1_Click" altText="">
                <anchor>
                  <from>
                    <xdr:col>22</xdr:col>
                    <xdr:colOff>95250</xdr:colOff>
                    <xdr:row>52</xdr:row>
                    <xdr:rowOff>142875</xdr:rowOff>
                  </from>
                  <to>
                    <xdr:col>35</xdr:col>
                    <xdr:colOff>66675</xdr:colOff>
                    <xdr:row>54</xdr:row>
                    <xdr:rowOff>9525</xdr:rowOff>
                  </to>
                </anchor>
              </controlPr>
            </control>
          </mc:Choice>
        </mc:AlternateContent>
        <mc:AlternateContent xmlns:mc="http://schemas.openxmlformats.org/markup-compatibility/2006">
          <mc:Choice Requires="x14">
            <control shapeId="168975" r:id="rId18" name="Check Box 15">
              <controlPr defaultSize="0" autoFill="0" autoLine="0" autoPict="0" macro="[0]!CheckBox1_Click" altText="">
                <anchor>
                  <from>
                    <xdr:col>22</xdr:col>
                    <xdr:colOff>95250</xdr:colOff>
                    <xdr:row>53</xdr:row>
                    <xdr:rowOff>142875</xdr:rowOff>
                  </from>
                  <to>
                    <xdr:col>35</xdr:col>
                    <xdr:colOff>66675</xdr:colOff>
                    <xdr:row>55</xdr:row>
                    <xdr:rowOff>9525</xdr:rowOff>
                  </to>
                </anchor>
              </controlPr>
            </control>
          </mc:Choice>
        </mc:AlternateContent>
        <mc:AlternateContent xmlns:mc="http://schemas.openxmlformats.org/markup-compatibility/2006">
          <mc:Choice Requires="x14">
            <control shapeId="168976" r:id="rId19" name="Check Box 16">
              <controlPr defaultSize="0" autoFill="0" autoLine="0" autoPict="0" macro="[0]!CheckBox1_Click" altText="">
                <anchor>
                  <from>
                    <xdr:col>22</xdr:col>
                    <xdr:colOff>95250</xdr:colOff>
                    <xdr:row>54</xdr:row>
                    <xdr:rowOff>142875</xdr:rowOff>
                  </from>
                  <to>
                    <xdr:col>35</xdr:col>
                    <xdr:colOff>66675</xdr:colOff>
                    <xdr:row>56</xdr:row>
                    <xdr:rowOff>9525</xdr:rowOff>
                  </to>
                </anchor>
              </controlPr>
            </control>
          </mc:Choice>
        </mc:AlternateContent>
        <mc:AlternateContent xmlns:mc="http://schemas.openxmlformats.org/markup-compatibility/2006">
          <mc:Choice Requires="x14">
            <control shapeId="168977" r:id="rId20" name="Check Box 17">
              <controlPr defaultSize="0" autoFill="0" autoLine="0" autoPict="0" macro="[0]!CheckBox1_Click" altText="">
                <anchor>
                  <from>
                    <xdr:col>22</xdr:col>
                    <xdr:colOff>95250</xdr:colOff>
                    <xdr:row>57</xdr:row>
                    <xdr:rowOff>142875</xdr:rowOff>
                  </from>
                  <to>
                    <xdr:col>35</xdr:col>
                    <xdr:colOff>66675</xdr:colOff>
                    <xdr:row>59</xdr:row>
                    <xdr:rowOff>9525</xdr:rowOff>
                  </to>
                </anchor>
              </controlPr>
            </control>
          </mc:Choice>
        </mc:AlternateContent>
        <mc:AlternateContent xmlns:mc="http://schemas.openxmlformats.org/markup-compatibility/2006">
          <mc:Choice Requires="x14">
            <control shapeId="168978" r:id="rId21" name="Check Box 18">
              <controlPr defaultSize="0" autoFill="0" autoLine="0" autoPict="0" macro="[0]!CheckBox1_Click" altText="">
                <anchor>
                  <from>
                    <xdr:col>22</xdr:col>
                    <xdr:colOff>95250</xdr:colOff>
                    <xdr:row>58</xdr:row>
                    <xdr:rowOff>142875</xdr:rowOff>
                  </from>
                  <to>
                    <xdr:col>35</xdr:col>
                    <xdr:colOff>66675</xdr:colOff>
                    <xdr:row>60</xdr:row>
                    <xdr:rowOff>9525</xdr:rowOff>
                  </to>
                </anchor>
              </controlPr>
            </control>
          </mc:Choice>
        </mc:AlternateContent>
        <mc:AlternateContent xmlns:mc="http://schemas.openxmlformats.org/markup-compatibility/2006">
          <mc:Choice Requires="x14">
            <control shapeId="168979" r:id="rId22" name="Check Box 19">
              <controlPr defaultSize="0" autoFill="0" autoLine="0" autoPict="0" macro="[0]!CheckBox1_Click" altText="">
                <anchor>
                  <from>
                    <xdr:col>22</xdr:col>
                    <xdr:colOff>95250</xdr:colOff>
                    <xdr:row>59</xdr:row>
                    <xdr:rowOff>142875</xdr:rowOff>
                  </from>
                  <to>
                    <xdr:col>35</xdr:col>
                    <xdr:colOff>66675</xdr:colOff>
                    <xdr:row>61</xdr:row>
                    <xdr:rowOff>9525</xdr:rowOff>
                  </to>
                </anchor>
              </controlPr>
            </control>
          </mc:Choice>
        </mc:AlternateContent>
        <mc:AlternateContent xmlns:mc="http://schemas.openxmlformats.org/markup-compatibility/2006">
          <mc:Choice Requires="x14">
            <control shapeId="168980" r:id="rId23" name="Check Box 20">
              <controlPr defaultSize="0" autoFill="0" autoLine="0" autoPict="0" macro="[0]!CheckBox1_Click" altText="">
                <anchor>
                  <from>
                    <xdr:col>22</xdr:col>
                    <xdr:colOff>95250</xdr:colOff>
                    <xdr:row>60</xdr:row>
                    <xdr:rowOff>142875</xdr:rowOff>
                  </from>
                  <to>
                    <xdr:col>35</xdr:col>
                    <xdr:colOff>66675</xdr:colOff>
                    <xdr:row>62</xdr:row>
                    <xdr:rowOff>9525</xdr:rowOff>
                  </to>
                </anchor>
              </controlPr>
            </control>
          </mc:Choice>
        </mc:AlternateContent>
        <mc:AlternateContent xmlns:mc="http://schemas.openxmlformats.org/markup-compatibility/2006">
          <mc:Choice Requires="x14">
            <control shapeId="168981" r:id="rId24" name="Check Box 21">
              <controlPr defaultSize="0" autoFill="0" autoLine="0" autoPict="0" macro="[0]!CheckBox1_Click" altText="">
                <anchor>
                  <from>
                    <xdr:col>22</xdr:col>
                    <xdr:colOff>95250</xdr:colOff>
                    <xdr:row>61</xdr:row>
                    <xdr:rowOff>142875</xdr:rowOff>
                  </from>
                  <to>
                    <xdr:col>35</xdr:col>
                    <xdr:colOff>66675</xdr:colOff>
                    <xdr:row>63</xdr:row>
                    <xdr:rowOff>9525</xdr:rowOff>
                  </to>
                </anchor>
              </controlPr>
            </control>
          </mc:Choice>
        </mc:AlternateContent>
        <mc:AlternateContent xmlns:mc="http://schemas.openxmlformats.org/markup-compatibility/2006">
          <mc:Choice Requires="x14">
            <control shapeId="168982" r:id="rId25" name="Check Box 22">
              <controlPr defaultSize="0" autoFill="0" autoLine="0" autoPict="0" macro="[0]!CheckBox1_Click" altText="">
                <anchor>
                  <from>
                    <xdr:col>22</xdr:col>
                    <xdr:colOff>95250</xdr:colOff>
                    <xdr:row>55</xdr:row>
                    <xdr:rowOff>142875</xdr:rowOff>
                  </from>
                  <to>
                    <xdr:col>35</xdr:col>
                    <xdr:colOff>66675</xdr:colOff>
                    <xdr:row>57</xdr:row>
                    <xdr:rowOff>9525</xdr:rowOff>
                  </to>
                </anchor>
              </controlPr>
            </control>
          </mc:Choice>
        </mc:AlternateContent>
        <mc:AlternateContent xmlns:mc="http://schemas.openxmlformats.org/markup-compatibility/2006">
          <mc:Choice Requires="x14">
            <control shapeId="168983" r:id="rId26" name="Check Box 23">
              <controlPr defaultSize="0" autoFill="0" autoLine="0" autoPict="0" macro="[0]!CheckBox1_Click" altText="">
                <anchor>
                  <from>
                    <xdr:col>22</xdr:col>
                    <xdr:colOff>95250</xdr:colOff>
                    <xdr:row>56</xdr:row>
                    <xdr:rowOff>142875</xdr:rowOff>
                  </from>
                  <to>
                    <xdr:col>35</xdr:col>
                    <xdr:colOff>66675</xdr:colOff>
                    <xdr:row>58</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EB6EBBD3-3B0C-4DCE-97F7-215EED3E924E}">
            <x14:dataBar minLength="0" maxLength="100" gradient="0" negativeBarColorSameAsPositive="1" axisPosition="middle">
              <x14:cfvo type="autoMin"/>
              <x14:cfvo type="autoMax"/>
              <x14:axisColor theme="0" tint="-0.499984740745262"/>
            </x14:dataBar>
          </x14:cfRule>
          <xm:sqref>J10:J33</xm:sqref>
        </x14:conditionalFormatting>
        <x14:conditionalFormatting xmlns:xm="http://schemas.microsoft.com/office/excel/2006/main">
          <x14:cfRule type="dataBar" id="{6E339818-BE0E-4C9B-8126-03E9EC6F1A0C}">
            <x14:dataBar minLength="0" maxLength="100" gradient="0" negativeBarColorSameAsPositive="1">
              <x14:cfvo type="autoMin"/>
              <x14:cfvo type="autoMax"/>
              <x14:axisColor rgb="FF000000"/>
            </x14:dataBar>
          </x14:cfRule>
          <xm:sqref>Q10:Q33</xm:sqref>
        </x14:conditionalFormatting>
      </x14:conditionalFormatting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1">
    <tabColor rgb="FFFFC000"/>
  </sheetPr>
  <dimension ref="A1:BC382"/>
  <sheetViews>
    <sheetView topLeftCell="E171" workbookViewId="0">
      <selection activeCell="Y184" sqref="Y184:AC207"/>
    </sheetView>
  </sheetViews>
  <sheetFormatPr defaultColWidth="9.140625" defaultRowHeight="11.25" customHeight="1" x14ac:dyDescent="0.2"/>
  <cols>
    <col min="1" max="1" width="2.140625" style="74" customWidth="1"/>
    <col min="2" max="2" width="17.140625" style="74" customWidth="1"/>
    <col min="3" max="3" width="1.42578125" style="74" customWidth="1"/>
    <col min="4" max="10" width="7.42578125" style="74" customWidth="1"/>
    <col min="11" max="11" width="1.42578125" style="88" customWidth="1"/>
    <col min="12" max="18" width="7.42578125" style="74" customWidth="1"/>
    <col min="19" max="19" width="1.42578125" style="74" customWidth="1"/>
    <col min="20" max="20" width="8" style="74" customWidth="1"/>
    <col min="21" max="21" width="2.140625" style="74" customWidth="1"/>
    <col min="22" max="22" width="6.42578125" style="80" customWidth="1"/>
    <col min="23" max="23" width="4.85546875" style="80" customWidth="1"/>
    <col min="24" max="24" width="17.85546875" style="81" customWidth="1"/>
    <col min="25" max="26" width="15.85546875" style="81" customWidth="1"/>
    <col min="27" max="31" width="13.85546875" style="81" customWidth="1"/>
    <col min="32" max="32" width="17" style="81" customWidth="1"/>
    <col min="33" max="33" width="5.42578125" style="81" customWidth="1"/>
    <col min="34" max="34" width="10.42578125" style="81" customWidth="1"/>
    <col min="35" max="35" width="5.5703125" style="74" customWidth="1"/>
    <col min="36" max="36" width="31.5703125" style="74" customWidth="1"/>
    <col min="37" max="37" width="17" style="74" customWidth="1"/>
    <col min="38" max="38" width="24.42578125" style="74" customWidth="1"/>
    <col min="39" max="40" width="5.5703125" style="74" customWidth="1"/>
    <col min="41" max="42" width="6.5703125" style="74" customWidth="1"/>
    <col min="43" max="54" width="9.140625" style="74" customWidth="1"/>
    <col min="55" max="16384" width="9.140625" style="74"/>
  </cols>
  <sheetData>
    <row r="1" spans="1:44" ht="18.75" customHeight="1" thickBot="1" x14ac:dyDescent="0.25">
      <c r="A1" s="112"/>
      <c r="B1" s="113"/>
      <c r="C1" s="113"/>
      <c r="D1" s="113"/>
      <c r="E1" s="113"/>
      <c r="F1" s="113"/>
      <c r="G1" s="113"/>
      <c r="H1" s="113"/>
      <c r="I1" s="113"/>
      <c r="J1" s="113"/>
      <c r="K1" s="114"/>
      <c r="L1" s="113"/>
      <c r="M1" s="113"/>
      <c r="N1" s="113"/>
      <c r="O1" s="113"/>
      <c r="P1" s="113"/>
      <c r="Q1" s="113"/>
      <c r="R1" s="113"/>
      <c r="S1" s="113"/>
      <c r="T1" s="113"/>
      <c r="U1" s="115"/>
      <c r="V1" s="275"/>
      <c r="W1" s="155"/>
      <c r="X1" s="180"/>
      <c r="Y1" s="180"/>
      <c r="Z1" s="939" t="str">
        <f>IF(Sheet1!$C$3="Annual"," at 31st March"," at last day in quarter")</f>
        <v xml:space="preserve"> at 31st March</v>
      </c>
      <c r="AA1" s="180"/>
      <c r="AB1" s="180"/>
      <c r="AC1" s="180"/>
      <c r="AD1" s="180"/>
      <c r="AE1" s="180"/>
      <c r="AF1" s="180"/>
      <c r="AG1" s="180"/>
      <c r="AH1" s="180"/>
      <c r="AI1" s="181"/>
      <c r="AJ1" s="156"/>
    </row>
    <row r="2" spans="1:44" ht="18.75" customHeight="1" x14ac:dyDescent="0.2">
      <c r="A2" s="278"/>
      <c r="B2" s="128" t="s">
        <v>746</v>
      </c>
      <c r="C2" s="9"/>
      <c r="D2" s="9"/>
      <c r="E2" s="9"/>
      <c r="F2" s="9"/>
      <c r="G2" s="9"/>
      <c r="H2" s="9"/>
      <c r="I2" s="9"/>
      <c r="J2" s="9"/>
      <c r="K2" s="12"/>
      <c r="L2" s="9"/>
      <c r="M2" s="9"/>
      <c r="N2" s="9"/>
      <c r="O2" s="9"/>
      <c r="P2" s="9"/>
      <c r="Q2" s="9"/>
      <c r="R2" s="9"/>
      <c r="S2" s="9"/>
      <c r="T2" s="9"/>
      <c r="U2" s="117"/>
      <c r="V2" s="161"/>
      <c r="W2" s="150"/>
      <c r="Y2" s="866">
        <f>IF(Sheet1!$C$3="Annual",1,4)</f>
        <v>1</v>
      </c>
      <c r="Z2" s="800" t="str">
        <f>IF(Sheet1!$C$3="Annual","",Sheet1!$D$28)</f>
        <v/>
      </c>
      <c r="AA2" s="801" t="str">
        <f>IF(Sheet1!$C$3="Annual","",Sheet1!$E$28)</f>
        <v/>
      </c>
      <c r="AB2" s="801" t="str">
        <f>IF(Sheet1!$C$3="Annual","",Sheet1!$F$28)</f>
        <v/>
      </c>
      <c r="AC2" s="801" t="str">
        <f>IF(Sheet1!$C$3="Annual","",Sheet1!$G$28)</f>
        <v/>
      </c>
      <c r="AD2" s="802" t="str">
        <f>IF(Sheet1!$C$3="Annual","",Sheet1!$H$28)</f>
        <v/>
      </c>
      <c r="AI2" s="184"/>
      <c r="AJ2" s="157"/>
    </row>
    <row r="3" spans="1:44" ht="18.75" customHeight="1" thickBot="1" x14ac:dyDescent="0.25">
      <c r="A3" s="457"/>
      <c r="B3" s="1060"/>
      <c r="C3" s="553"/>
      <c r="D3" s="553"/>
      <c r="E3" s="553"/>
      <c r="F3" s="553"/>
      <c r="G3" s="553"/>
      <c r="H3" s="553"/>
      <c r="I3" s="553"/>
      <c r="J3" s="553"/>
      <c r="K3" s="819"/>
      <c r="L3" s="553"/>
      <c r="M3" s="553"/>
      <c r="N3" s="553"/>
      <c r="O3" s="553"/>
      <c r="P3" s="553"/>
      <c r="Q3" s="553"/>
      <c r="R3" s="553"/>
      <c r="S3" s="553"/>
      <c r="T3" s="553"/>
      <c r="U3" s="1061"/>
      <c r="V3" s="161"/>
      <c r="W3" s="150"/>
      <c r="Y3" s="803"/>
      <c r="Z3" s="803" t="str">
        <f>Sheet1!$D$27</f>
        <v>2015-16</v>
      </c>
      <c r="AA3" s="804" t="str">
        <f>Sheet1!$E$27</f>
        <v>2016-17</v>
      </c>
      <c r="AB3" s="804" t="str">
        <f>Sheet1!$F$27</f>
        <v>2017-18</v>
      </c>
      <c r="AC3" s="804" t="str">
        <f>Sheet1!$G$27</f>
        <v>2018-19</v>
      </c>
      <c r="AD3" s="805" t="str">
        <f>Sheet1!$H$27</f>
        <v>2019-20</v>
      </c>
      <c r="AI3" s="184"/>
      <c r="AJ3" s="157"/>
    </row>
    <row r="4" spans="1:44" ht="11.25" customHeight="1" x14ac:dyDescent="0.2">
      <c r="A4" s="112"/>
      <c r="B4" s="113"/>
      <c r="C4" s="113"/>
      <c r="D4" s="113"/>
      <c r="E4" s="113"/>
      <c r="F4" s="113"/>
      <c r="G4" s="113"/>
      <c r="H4" s="113"/>
      <c r="I4" s="113"/>
      <c r="J4" s="113"/>
      <c r="K4" s="114"/>
      <c r="L4" s="113"/>
      <c r="M4" s="113"/>
      <c r="N4" s="113"/>
      <c r="O4" s="113"/>
      <c r="P4" s="113"/>
      <c r="Q4" s="113"/>
      <c r="R4" s="113"/>
      <c r="S4" s="113"/>
      <c r="T4" s="113"/>
      <c r="U4" s="115"/>
      <c r="V4" s="137"/>
      <c r="W4" s="150"/>
      <c r="Y4" s="186" t="str">
        <f>Home!$D$10</f>
        <v>(none)</v>
      </c>
      <c r="Z4" s="42" t="str">
        <f>"Selected LA- "&amp;Y4</f>
        <v>Selected LA- (none)</v>
      </c>
      <c r="AI4" s="184"/>
      <c r="AJ4" s="157"/>
    </row>
    <row r="5" spans="1:44" s="76" customFormat="1" ht="15" customHeight="1" x14ac:dyDescent="0.2">
      <c r="A5" s="119"/>
      <c r="B5" s="639" t="str">
        <f>"Number of Children Subject to Residence/ Child Arrangement Orders"&amp;Z1</f>
        <v>Number of Children Subject to Residence/ Child Arrangement Orders at 31st March</v>
      </c>
      <c r="C5" s="1038"/>
      <c r="D5" s="1038"/>
      <c r="E5" s="1038"/>
      <c r="F5" s="1038"/>
      <c r="G5" s="1038"/>
      <c r="H5" s="1038"/>
      <c r="I5" s="1038"/>
      <c r="J5" s="1038"/>
      <c r="K5" s="1038"/>
      <c r="L5" s="1038"/>
      <c r="M5" s="1038"/>
      <c r="N5" s="1038"/>
      <c r="O5" s="1038"/>
      <c r="P5" s="1038"/>
      <c r="Q5" s="1038"/>
      <c r="R5" s="1038"/>
      <c r="S5" s="1038"/>
      <c r="T5" s="1038"/>
      <c r="U5" s="120"/>
      <c r="V5" s="138"/>
      <c r="W5" s="151"/>
      <c r="X5" s="81"/>
      <c r="Y5" s="188"/>
      <c r="Z5" s="188"/>
      <c r="AA5" s="188"/>
      <c r="AB5" s="188"/>
      <c r="AC5" s="188"/>
      <c r="AD5" s="188"/>
      <c r="AE5" s="188"/>
      <c r="AF5" s="188"/>
      <c r="AG5" s="188"/>
      <c r="AH5" s="188"/>
      <c r="AI5" s="188"/>
      <c r="AJ5" s="158"/>
      <c r="AK5" s="188" t="str">
        <f>CONCATENATE($I$8,"in Number of "&amp;$B2)</f>
        <v xml:space="preserve">Average Annual Change in Number of Child Arrangement Orders
</v>
      </c>
    </row>
    <row r="6" spans="1:44" ht="13.5" customHeight="1" x14ac:dyDescent="0.2">
      <c r="A6" s="118"/>
      <c r="B6" s="1062" t="s">
        <v>745</v>
      </c>
      <c r="C6" s="1038"/>
      <c r="D6" s="1038"/>
      <c r="E6" s="1038"/>
      <c r="F6" s="1038"/>
      <c r="G6" s="1038"/>
      <c r="H6" s="1038"/>
      <c r="I6" s="1038"/>
      <c r="J6" s="1038"/>
      <c r="K6" s="1038"/>
      <c r="L6" s="1038"/>
      <c r="M6" s="1038"/>
      <c r="N6" s="1038"/>
      <c r="O6" s="1038"/>
      <c r="P6" s="1038"/>
      <c r="Q6" s="1038"/>
      <c r="R6" s="1038"/>
      <c r="S6" s="1038"/>
      <c r="T6" s="1038"/>
      <c r="U6" s="117"/>
      <c r="V6" s="137"/>
      <c r="W6" s="150"/>
      <c r="Y6" s="190"/>
      <c r="AI6" s="184"/>
      <c r="AJ6" s="157"/>
    </row>
    <row r="7" spans="1:44" ht="6" customHeight="1" x14ac:dyDescent="0.2">
      <c r="A7" s="278"/>
      <c r="B7" s="742"/>
      <c r="C7" s="742"/>
      <c r="D7" s="742"/>
      <c r="E7" s="742"/>
      <c r="F7" s="742"/>
      <c r="G7" s="742"/>
      <c r="H7" s="742"/>
      <c r="I7" s="1034"/>
      <c r="J7" s="742"/>
      <c r="K7" s="742"/>
      <c r="L7" s="742"/>
      <c r="M7" s="742"/>
      <c r="N7" s="742"/>
      <c r="O7" s="742"/>
      <c r="P7" s="742"/>
      <c r="Q7" s="742"/>
      <c r="R7" s="742"/>
      <c r="S7" s="742"/>
      <c r="T7" s="742"/>
      <c r="U7" s="117"/>
      <c r="V7" s="137"/>
      <c r="W7" s="150"/>
      <c r="Y7" s="190"/>
      <c r="AA7" s="190"/>
      <c r="AB7" s="190"/>
      <c r="AC7" s="199"/>
      <c r="AD7" s="199"/>
      <c r="AI7" s="184"/>
      <c r="AJ7" s="157"/>
      <c r="AK7" s="575"/>
      <c r="AL7" s="575"/>
      <c r="AM7" s="575"/>
      <c r="AN7" s="575"/>
      <c r="AO7" s="575"/>
    </row>
    <row r="8" spans="1:44" s="87" customFormat="1" ht="12.75" customHeight="1" x14ac:dyDescent="0.2">
      <c r="A8" s="121"/>
      <c r="B8" s="1789" t="s">
        <v>205</v>
      </c>
      <c r="C8" s="85"/>
      <c r="D8" s="1757" t="s">
        <v>88</v>
      </c>
      <c r="E8" s="1758"/>
      <c r="F8" s="1758"/>
      <c r="G8" s="1758"/>
      <c r="H8" s="1759"/>
      <c r="I8" s="1752" t="str">
        <f>"Average "&amp;Sheet1!$C$3&amp;" Change "</f>
        <v xml:space="preserve">Average Annual Change </v>
      </c>
      <c r="J8" s="1753"/>
      <c r="K8" s="96"/>
      <c r="L8" s="1757" t="s">
        <v>89</v>
      </c>
      <c r="M8" s="1758"/>
      <c r="N8" s="1758"/>
      <c r="O8" s="1758"/>
      <c r="P8" s="1758"/>
      <c r="Q8" s="1758"/>
      <c r="R8" s="1759"/>
      <c r="S8" s="85"/>
      <c r="T8" s="1731" t="s">
        <v>1213</v>
      </c>
      <c r="U8" s="122"/>
      <c r="V8" s="139"/>
      <c r="W8" s="152"/>
      <c r="Y8" s="1945" t="s">
        <v>767</v>
      </c>
      <c r="Z8" s="1947"/>
      <c r="AA8" s="1971" t="s">
        <v>79</v>
      </c>
      <c r="AB8" s="1972"/>
      <c r="AC8" s="1972"/>
      <c r="AD8" s="1972"/>
      <c r="AE8" s="1973"/>
      <c r="AF8" s="204" t="s">
        <v>94</v>
      </c>
      <c r="AG8" s="190"/>
      <c r="AH8" s="190"/>
      <c r="AI8" s="202"/>
      <c r="AJ8" s="160"/>
      <c r="AK8" s="1035"/>
      <c r="AL8" s="1035"/>
      <c r="AM8" s="1035"/>
      <c r="AN8" s="1035"/>
      <c r="AO8" s="1035"/>
    </row>
    <row r="9" spans="1:44" s="87" customFormat="1" ht="12.75" customHeight="1" x14ac:dyDescent="0.2">
      <c r="A9" s="292"/>
      <c r="B9" s="1789"/>
      <c r="C9" s="85"/>
      <c r="D9" s="789" t="str">
        <f>Sheet1!$D$27</f>
        <v>2015-16</v>
      </c>
      <c r="E9" s="790" t="str">
        <f>Sheet1!$E$27</f>
        <v>2016-17</v>
      </c>
      <c r="F9" s="790" t="str">
        <f>Sheet1!$F$27</f>
        <v>2017-18</v>
      </c>
      <c r="G9" s="790" t="str">
        <f>Sheet1!$G$27</f>
        <v>2018-19</v>
      </c>
      <c r="H9" s="1033" t="str">
        <f>Sheet1!$H$27</f>
        <v>2019-20</v>
      </c>
      <c r="I9" s="1754"/>
      <c r="J9" s="1755"/>
      <c r="K9" s="96"/>
      <c r="L9" s="789" t="str">
        <f>Sheet1!$D$27</f>
        <v>2015-16</v>
      </c>
      <c r="M9" s="790" t="str">
        <f>Sheet1!$E$27</f>
        <v>2016-17</v>
      </c>
      <c r="N9" s="790" t="str">
        <f>Sheet1!$F$27</f>
        <v>2017-18</v>
      </c>
      <c r="O9" s="790" t="str">
        <f>Sheet1!$G$27</f>
        <v>2018-19</v>
      </c>
      <c r="P9" s="1741" t="str">
        <f>Sheet1!$H$27</f>
        <v>2019-20</v>
      </c>
      <c r="Q9" s="1780"/>
      <c r="R9" s="1753" t="str">
        <f>IF(ISNA(P10),"SE Rank "&amp;P9,"SE Rank "&amp;P10)</f>
        <v>SE Rank 2019-20</v>
      </c>
      <c r="S9" s="85"/>
      <c r="T9" s="1743"/>
      <c r="U9" s="122"/>
      <c r="V9" s="139"/>
      <c r="W9" s="152"/>
      <c r="X9" s="202"/>
      <c r="Y9" s="1975" t="s">
        <v>76</v>
      </c>
      <c r="Z9" s="1977" t="s">
        <v>77</v>
      </c>
      <c r="AA9" s="1103" t="str">
        <f>Sheet1!$D$27</f>
        <v>2015-16</v>
      </c>
      <c r="AB9" s="758" t="str">
        <f>Sheet1!$E$27</f>
        <v>2016-17</v>
      </c>
      <c r="AC9" s="758" t="str">
        <f>Sheet1!$F$27</f>
        <v>2017-18</v>
      </c>
      <c r="AD9" s="758" t="str">
        <f>Sheet1!$G$27</f>
        <v>2018-19</v>
      </c>
      <c r="AE9" s="1104" t="str">
        <f>Sheet1!$H$27</f>
        <v>2019-20</v>
      </c>
      <c r="AF9" s="204"/>
      <c r="AG9" s="190"/>
      <c r="AH9" s="190"/>
      <c r="AI9" s="202"/>
      <c r="AJ9" s="160"/>
    </row>
    <row r="10" spans="1:44" s="87" customFormat="1" ht="12.75" customHeight="1" x14ac:dyDescent="0.2">
      <c r="A10" s="121"/>
      <c r="B10" s="1910"/>
      <c r="C10" s="85"/>
      <c r="D10" s="792" t="e">
        <f>Sheet1!$D$28</f>
        <v>#N/A</v>
      </c>
      <c r="E10" s="792" t="e">
        <f>Sheet1!$E$28</f>
        <v>#N/A</v>
      </c>
      <c r="F10" s="792" t="e">
        <f>Sheet1!$F$28</f>
        <v>#N/A</v>
      </c>
      <c r="G10" s="792" t="e">
        <f>Sheet1!$G$28</f>
        <v>#N/A</v>
      </c>
      <c r="H10" s="1032" t="e">
        <f>Sheet1!$H$28</f>
        <v>#N/A</v>
      </c>
      <c r="I10" s="1754"/>
      <c r="J10" s="1756"/>
      <c r="K10" s="784"/>
      <c r="L10" s="792" t="e">
        <f>Sheet1!$D$28</f>
        <v>#N/A</v>
      </c>
      <c r="M10" s="792" t="e">
        <f>Sheet1!$E$28</f>
        <v>#N/A</v>
      </c>
      <c r="N10" s="792" t="e">
        <f>Sheet1!$F$28</f>
        <v>#N/A</v>
      </c>
      <c r="O10" s="792" t="e">
        <f>Sheet1!$G$28</f>
        <v>#N/A</v>
      </c>
      <c r="P10" s="1739" t="e">
        <f>Sheet1!$H$28</f>
        <v>#N/A</v>
      </c>
      <c r="Q10" s="1781"/>
      <c r="R10" s="1756"/>
      <c r="S10" s="465"/>
      <c r="T10" s="1732"/>
      <c r="U10" s="122"/>
      <c r="V10" s="139"/>
      <c r="W10" s="152"/>
      <c r="X10" s="202"/>
      <c r="Y10" s="1976"/>
      <c r="Z10" s="1978"/>
      <c r="AA10" s="1103" t="e">
        <f>Sheet1!$D$28</f>
        <v>#N/A</v>
      </c>
      <c r="AB10" s="758" t="e">
        <f>Sheet1!$E$28</f>
        <v>#N/A</v>
      </c>
      <c r="AC10" s="758" t="e">
        <f>Sheet1!$F$28</f>
        <v>#N/A</v>
      </c>
      <c r="AD10" s="758" t="e">
        <f>Sheet1!$G$28</f>
        <v>#N/A</v>
      </c>
      <c r="AE10" s="1104" t="e">
        <f>Sheet1!$H$28</f>
        <v>#N/A</v>
      </c>
      <c r="AF10" s="190"/>
      <c r="AG10" s="1158">
        <v>15</v>
      </c>
      <c r="AH10" s="190"/>
      <c r="AI10" s="202"/>
      <c r="AJ10" s="160"/>
      <c r="AK10" s="1039" t="s">
        <v>676</v>
      </c>
      <c r="AL10" s="1039" t="s">
        <v>677</v>
      </c>
      <c r="AM10" s="1039" t="s">
        <v>678</v>
      </c>
      <c r="AN10" s="1039" t="s">
        <v>679</v>
      </c>
      <c r="AO10" s="1039" t="s">
        <v>680</v>
      </c>
    </row>
    <row r="11" spans="1:44" s="87" customFormat="1" ht="13.5" customHeight="1" x14ac:dyDescent="0.2">
      <c r="A11" s="488">
        <f>VLOOKUP(B11,Sheet1!$AQ$4:$AR$25,2,FALSE)</f>
        <v>0</v>
      </c>
      <c r="B11" s="93" t="str">
        <f>Sheet1!$K$4</f>
        <v>Bracknell Forest</v>
      </c>
      <c r="C11" s="85"/>
      <c r="D11" s="94" t="str">
        <f>IF(Year1_Bracknell_Forest Year1_CAO_RO_Total="","",Year1_Bracknell_Forest Year1_CAO_RO_Total)</f>
        <v/>
      </c>
      <c r="E11" s="94" t="str">
        <f>IF(Year2_Bracknell_Forest Year2_CAO_RO_Total="","",Year2_Bracknell_Forest Year2_CAO_RO_Total)</f>
        <v/>
      </c>
      <c r="F11" s="94" t="str">
        <f>IF(Year3_Bracknell_Forest Year3_CAO_RO_Total="","",Year3_Bracknell_Forest Year3_CAO_RO_Total)</f>
        <v/>
      </c>
      <c r="G11" s="94" t="str">
        <f>IF(Year4_Bracknell_Forest Year4_CAO_RO_Total="","",Year4_Bracknell_Forest Year4_CAO_RO_Total)</f>
        <v/>
      </c>
      <c r="H11" s="298" t="str">
        <f>IF(Year5_Bracknell_Forest Year5_CAO_RO_Total="","",Year5_Bracknell_Forest Year5_CAO_RO_Total)</f>
        <v/>
      </c>
      <c r="I11" s="1092" t="e">
        <f>AO11</f>
        <v>#DIV/0!</v>
      </c>
      <c r="J11" s="863" t="e">
        <f t="shared" ref="J11:J33" si="0">I11</f>
        <v>#DIV/0!</v>
      </c>
      <c r="K11" s="96"/>
      <c r="L11" s="97" t="e">
        <f>IF(ISNUMBER(D11),D11/Population!D10*10000,NA())</f>
        <v>#N/A</v>
      </c>
      <c r="M11" s="97" t="e">
        <f>IF(ISNUMBER(E11),E11/Population!E10*10000,NA())</f>
        <v>#N/A</v>
      </c>
      <c r="N11" s="97" t="e">
        <f>IF(ISNUMBER(F11),F11/Population!F10*10000,NA())</f>
        <v>#N/A</v>
      </c>
      <c r="O11" s="97" t="e">
        <f>IF(ISNUMBER(G11),G11/Population!G10*10000,NA())</f>
        <v>#N/A</v>
      </c>
      <c r="P11" s="98" t="e">
        <f>IF(ISNUMBER(H11),H11/Population!H10*10000,NA())</f>
        <v>#N/A</v>
      </c>
      <c r="Q11" s="99" t="str">
        <f>IF(ISNUMBER(P11),P11,"")</f>
        <v/>
      </c>
      <c r="R11" s="822" t="e">
        <f>IF(ISNA(VLOOKUP(B11,$AF$11:$AH$29,3,FALSE)),"--",IF(ISNUMBER(H11),VLOOKUP(B11,$AF$11:$AH$29,3,FALSE),NA()))</f>
        <v>#N/A</v>
      </c>
      <c r="S11" s="85"/>
      <c r="T11" s="99" t="e">
        <f>IF(ISNA(P11),NA(),IDACI!C9)</f>
        <v>#N/A</v>
      </c>
      <c r="U11" s="122"/>
      <c r="V11" s="139"/>
      <c r="W11" s="152"/>
      <c r="X11" s="1099" t="str">
        <f>B11</f>
        <v>Bracknell Forest</v>
      </c>
      <c r="Y11" s="44">
        <f>IF(ISNUMBER(H11),IDACI!D9,0)</f>
        <v>0</v>
      </c>
      <c r="Z11" s="44">
        <f>IF(ISNUMBER(H11),IDACI!E9,0)</f>
        <v>0</v>
      </c>
      <c r="AA11" s="1105" t="str">
        <f>IF(ISNUMBER(D11),Population!D10,"")</f>
        <v/>
      </c>
      <c r="AB11" s="205" t="str">
        <f>IF(ISNUMBER(E11),Population!E10,"")</f>
        <v/>
      </c>
      <c r="AC11" s="205" t="str">
        <f>IF(ISNUMBER(F11),Population!F10,"")</f>
        <v/>
      </c>
      <c r="AD11" s="205" t="str">
        <f>IF(ISNUMBER(G11),Population!G10,"")</f>
        <v/>
      </c>
      <c r="AE11" s="1106" t="str">
        <f>IF(ISNUMBER(H11),Population!H10,"")</f>
        <v/>
      </c>
      <c r="AF11" s="1100" t="s">
        <v>0</v>
      </c>
      <c r="AG11" s="231" t="str">
        <f>IFERROR(VLOOKUP(AF11,$B$11:$P$32,AG$10,FALSE),"")</f>
        <v/>
      </c>
      <c r="AH11" s="206" t="e">
        <f>RANK(AG11,$AG$11:$AG$29,1)</f>
        <v>#VALUE!</v>
      </c>
      <c r="AI11" s="202"/>
      <c r="AJ11" s="160"/>
      <c r="AK11" s="853" t="str">
        <f t="shared" ref="AK11:AN31" si="1">IF(ISERROR((E11-D11)/D11),"x",(E11-D11)/D11)</f>
        <v>x</v>
      </c>
      <c r="AL11" s="853" t="str">
        <f t="shared" si="1"/>
        <v>x</v>
      </c>
      <c r="AM11" s="853" t="str">
        <f t="shared" si="1"/>
        <v>x</v>
      </c>
      <c r="AN11" s="853" t="str">
        <f t="shared" si="1"/>
        <v>x</v>
      </c>
      <c r="AO11" s="853" t="e">
        <f t="shared" ref="AO11:AO31" si="2">AVERAGE(AK11:AN11)</f>
        <v>#DIV/0!</v>
      </c>
    </row>
    <row r="12" spans="1:44" s="87" customFormat="1" ht="13.5" customHeight="1" x14ac:dyDescent="0.2">
      <c r="A12" s="488">
        <f>VLOOKUP(B12,Sheet1!$AQ$4:$AR$25,2,FALSE)</f>
        <v>0</v>
      </c>
      <c r="B12" s="93" t="str">
        <f>Sheet1!$K$5</f>
        <v>Brighton &amp; Hove</v>
      </c>
      <c r="C12" s="85"/>
      <c r="D12" s="94" t="str">
        <f>IF(Year1_Brighton_Hove Year1_CAO_RO_Total="","",Year1_Brighton_Hove Year1_CAO_RO_Total)</f>
        <v/>
      </c>
      <c r="E12" s="94" t="str">
        <f>IF(Year2_Brighton_Hove Year2_CAO_RO_Total="","",Year2_Brighton_Hove Year2_CAO_RO_Total)</f>
        <v/>
      </c>
      <c r="F12" s="94" t="str">
        <f>IF(Year3_Brighton_Hove Year3_CAO_RO_Total="","",Year3_Brighton_Hove Year3_CAO_RO_Total)</f>
        <v/>
      </c>
      <c r="G12" s="94" t="str">
        <f>IF(Year4_Brighton_Hove Year4_CAO_RO_Total="","",Year4_Brighton_Hove Year4_CAO_RO_Total)</f>
        <v/>
      </c>
      <c r="H12" s="298" t="str">
        <f>IF(Year5_Brighton_Hove Year5_CAO_RO_Total="","",Year5_Brighton_Hove Year5_CAO_RO_Total)</f>
        <v/>
      </c>
      <c r="I12" s="1093" t="e">
        <f t="shared" ref="I12:I33" si="3">AO12</f>
        <v>#DIV/0!</v>
      </c>
      <c r="J12" s="863" t="e">
        <f t="shared" si="0"/>
        <v>#DIV/0!</v>
      </c>
      <c r="K12" s="96"/>
      <c r="L12" s="97" t="e">
        <f>IF(ISNUMBER(D12),D12/Population!D11*10000,NA())</f>
        <v>#N/A</v>
      </c>
      <c r="M12" s="97" t="e">
        <f>IF(ISNUMBER(E12),E12/Population!E11*10000,NA())</f>
        <v>#N/A</v>
      </c>
      <c r="N12" s="97" t="e">
        <f>IF(ISNUMBER(F12),F12/Population!F11*10000,NA())</f>
        <v>#N/A</v>
      </c>
      <c r="O12" s="97" t="e">
        <f>IF(ISNUMBER(G12),G12/Population!G11*10000,NA())</f>
        <v>#N/A</v>
      </c>
      <c r="P12" s="98" t="e">
        <f>IF(ISNUMBER(H12),H12/Population!H11*10000,NA())</f>
        <v>#N/A</v>
      </c>
      <c r="Q12" s="99" t="str">
        <f t="shared" ref="Q12:Q33" si="4">IF(ISNUMBER(P12),P12,"")</f>
        <v/>
      </c>
      <c r="R12" s="822" t="e">
        <f t="shared" ref="R12:R33" si="5">IF(ISNA(VLOOKUP(B12,$AF$11:$AH$29,3,FALSE)),"--",IF(ISNUMBER(H12),VLOOKUP(B12,$AF$11:$AH$29,3,FALSE),NA()))</f>
        <v>#N/A</v>
      </c>
      <c r="S12" s="85"/>
      <c r="T12" s="99" t="e">
        <f>IF(ISNA(P12),NA(),IDACI!C10)</f>
        <v>#N/A</v>
      </c>
      <c r="U12" s="122"/>
      <c r="V12" s="139"/>
      <c r="W12" s="152"/>
      <c r="X12" s="1099" t="str">
        <f t="shared" ref="X12:X33" si="6">B12</f>
        <v>Brighton &amp; Hove</v>
      </c>
      <c r="Y12" s="44">
        <f>IF(ISNUMBER(H12),IDACI!D10,0)</f>
        <v>0</v>
      </c>
      <c r="Z12" s="44">
        <f>IF(ISNUMBER(H12),IDACI!E10,0)</f>
        <v>0</v>
      </c>
      <c r="AA12" s="1105" t="str">
        <f>IF(ISNUMBER(D12),Population!D11,"")</f>
        <v/>
      </c>
      <c r="AB12" s="205" t="str">
        <f>IF(ISNUMBER(E12),Population!E11,"")</f>
        <v/>
      </c>
      <c r="AC12" s="205" t="str">
        <f>IF(ISNUMBER(F12),Population!F11,"")</f>
        <v/>
      </c>
      <c r="AD12" s="205" t="str">
        <f>IF(ISNUMBER(G12),Population!G11,"")</f>
        <v/>
      </c>
      <c r="AE12" s="1106" t="str">
        <f>IF(ISNUMBER(H12),Population!H11,"")</f>
        <v/>
      </c>
      <c r="AF12" s="1100" t="s">
        <v>31</v>
      </c>
      <c r="AG12" s="231" t="str">
        <f t="shared" ref="AG12:AG29" si="7">IFERROR(VLOOKUP(AF12,$B$11:$P$32,AG$10,FALSE),"")</f>
        <v/>
      </c>
      <c r="AH12" s="206" t="e">
        <f t="shared" ref="AH12:AH29" si="8">RANK(AG12,$AG$11:$AG$29,1)</f>
        <v>#VALUE!</v>
      </c>
      <c r="AI12" s="202"/>
      <c r="AJ12" s="160"/>
      <c r="AK12" s="853" t="str">
        <f t="shared" si="1"/>
        <v>x</v>
      </c>
      <c r="AL12" s="853" t="str">
        <f t="shared" si="1"/>
        <v>x</v>
      </c>
      <c r="AM12" s="853" t="str">
        <f t="shared" si="1"/>
        <v>x</v>
      </c>
      <c r="AN12" s="853" t="str">
        <f t="shared" si="1"/>
        <v>x</v>
      </c>
      <c r="AO12" s="853" t="e">
        <f t="shared" si="2"/>
        <v>#DIV/0!</v>
      </c>
    </row>
    <row r="13" spans="1:44" s="87" customFormat="1" ht="13.5" customHeight="1" x14ac:dyDescent="0.2">
      <c r="A13" s="488">
        <f>VLOOKUP(B13,Sheet1!$AQ$4:$AR$25,2,FALSE)</f>
        <v>0</v>
      </c>
      <c r="B13" s="93" t="str">
        <f>Sheet1!$K$6</f>
        <v>Buckinghamshire</v>
      </c>
      <c r="C13" s="85"/>
      <c r="D13" s="94" t="str">
        <f>IF(Year1_Buckinghamshire Year1_CAO_RO_Total="","",Year1_Buckinghamshire Year1_CAO_RO_Total)</f>
        <v/>
      </c>
      <c r="E13" s="94" t="str">
        <f>IF(Year2_Buckinghamshire Year2_CAO_RO_Total="","",Year2_Buckinghamshire Year2_CAO_RO_Total)</f>
        <v/>
      </c>
      <c r="F13" s="94" t="str">
        <f>IF(Year3_Buckinghamshire Year3_CAO_RO_Total="","",Year3_Buckinghamshire Year3_CAO_RO_Total)</f>
        <v/>
      </c>
      <c r="G13" s="94" t="str">
        <f>IF(Year4_Buckinghamshire Year4_CAO_RO_Total="","",Year4_Buckinghamshire Year4_CAO_RO_Total)</f>
        <v/>
      </c>
      <c r="H13" s="298" t="str">
        <f>IF(Year5_Buckinghamshire Year5_CAO_RO_Total="","",Year5_Buckinghamshire Year5_CAO_RO_Total)</f>
        <v/>
      </c>
      <c r="I13" s="1093" t="e">
        <f t="shared" si="3"/>
        <v>#DIV/0!</v>
      </c>
      <c r="J13" s="863" t="e">
        <f t="shared" si="0"/>
        <v>#DIV/0!</v>
      </c>
      <c r="K13" s="96"/>
      <c r="L13" s="97" t="e">
        <f>IF(ISNUMBER(D13),D13/Population!D12*10000,NA())</f>
        <v>#N/A</v>
      </c>
      <c r="M13" s="97" t="e">
        <f>IF(ISNUMBER(E13),E13/Population!E12*10000,NA())</f>
        <v>#N/A</v>
      </c>
      <c r="N13" s="97" t="e">
        <f>IF(ISNUMBER(F13),F13/Population!F12*10000,NA())</f>
        <v>#N/A</v>
      </c>
      <c r="O13" s="97" t="e">
        <f>IF(ISNUMBER(G13),G13/Population!G12*10000,NA())</f>
        <v>#N/A</v>
      </c>
      <c r="P13" s="98" t="e">
        <f>IF(ISNUMBER(H13),H13/Population!H12*10000,NA())</f>
        <v>#N/A</v>
      </c>
      <c r="Q13" s="99" t="str">
        <f t="shared" si="4"/>
        <v/>
      </c>
      <c r="R13" s="822" t="e">
        <f t="shared" si="5"/>
        <v>#N/A</v>
      </c>
      <c r="S13" s="85"/>
      <c r="T13" s="99" t="e">
        <f>IF(ISNA(P13),NA(),IDACI!C11)</f>
        <v>#N/A</v>
      </c>
      <c r="U13" s="122"/>
      <c r="V13" s="139"/>
      <c r="W13" s="152"/>
      <c r="X13" s="1099" t="str">
        <f t="shared" si="6"/>
        <v>Buckinghamshire</v>
      </c>
      <c r="Y13" s="44">
        <f>IF(ISNUMBER(H13),IDACI!D11,0)</f>
        <v>0</v>
      </c>
      <c r="Z13" s="44">
        <f>IF(ISNUMBER(H13),IDACI!E11,0)</f>
        <v>0</v>
      </c>
      <c r="AA13" s="1105" t="str">
        <f>IF(ISNUMBER(D13),Population!D12,"")</f>
        <v/>
      </c>
      <c r="AB13" s="205" t="str">
        <f>IF(ISNUMBER(E13),Population!E12,"")</f>
        <v/>
      </c>
      <c r="AC13" s="205" t="str">
        <f>IF(ISNUMBER(F13),Population!F12,"")</f>
        <v/>
      </c>
      <c r="AD13" s="205" t="str">
        <f>IF(ISNUMBER(G13),Population!G12,"")</f>
        <v/>
      </c>
      <c r="AE13" s="1106" t="str">
        <f>IF(ISNUMBER(H13),Population!H12,"")</f>
        <v/>
      </c>
      <c r="AF13" s="1100" t="s">
        <v>8</v>
      </c>
      <c r="AG13" s="231" t="str">
        <f t="shared" si="7"/>
        <v/>
      </c>
      <c r="AH13" s="206" t="e">
        <f t="shared" si="8"/>
        <v>#VALUE!</v>
      </c>
      <c r="AI13" s="202"/>
      <c r="AJ13" s="160"/>
      <c r="AK13" s="853" t="str">
        <f t="shared" si="1"/>
        <v>x</v>
      </c>
      <c r="AL13" s="853" t="str">
        <f t="shared" si="1"/>
        <v>x</v>
      </c>
      <c r="AM13" s="853" t="str">
        <f t="shared" si="1"/>
        <v>x</v>
      </c>
      <c r="AN13" s="853" t="str">
        <f t="shared" si="1"/>
        <v>x</v>
      </c>
      <c r="AO13" s="853" t="e">
        <f t="shared" si="2"/>
        <v>#DIV/0!</v>
      </c>
    </row>
    <row r="14" spans="1:44" s="87" customFormat="1" ht="13.5" customHeight="1" x14ac:dyDescent="0.2">
      <c r="A14" s="488">
        <f>VLOOKUP(B14,Sheet1!$AQ$4:$AR$25,2,FALSE)</f>
        <v>0</v>
      </c>
      <c r="B14" s="93" t="str">
        <f>Sheet1!$K$7</f>
        <v>East Sussex</v>
      </c>
      <c r="C14" s="85"/>
      <c r="D14" s="100" t="str">
        <f>IF(Year1_East_Sussex Year1_CAO_RO_Total="","",Year1_East_Sussex Year1_CAO_RO_Total)</f>
        <v/>
      </c>
      <c r="E14" s="94" t="str">
        <f>IF(Year2_East_Sussex Year2_CAO_RO_Total="","",Year2_East_Sussex Year2_CAO_RO_Total)</f>
        <v/>
      </c>
      <c r="F14" s="100" t="str">
        <f>IF(Year3_East_Sussex Year3_CAO_RO_Total="","",Year3_East_Sussex Year3_CAO_RO_Total)</f>
        <v/>
      </c>
      <c r="G14" s="94" t="str">
        <f>IF(Year4_East_Sussex Year4_CAO_RO_Total="","",Year4_East_Sussex Year4_CAO_RO_Total)</f>
        <v/>
      </c>
      <c r="H14" s="298" t="str">
        <f>IF(Year5_East_Sussex Year5_CAO_RO_Total="","",Year5_East_Sussex Year5_CAO_RO_Total)</f>
        <v/>
      </c>
      <c r="I14" s="1093" t="e">
        <f t="shared" si="3"/>
        <v>#DIV/0!</v>
      </c>
      <c r="J14" s="863" t="e">
        <f t="shared" si="0"/>
        <v>#DIV/0!</v>
      </c>
      <c r="K14" s="96"/>
      <c r="L14" s="97" t="e">
        <f>IF(ISNUMBER(D14),D14/Population!D13*10000,NA())</f>
        <v>#N/A</v>
      </c>
      <c r="M14" s="97" t="e">
        <f>IF(ISNUMBER(E14),E14/Population!E13*10000,NA())</f>
        <v>#N/A</v>
      </c>
      <c r="N14" s="97" t="e">
        <f>IF(ISNUMBER(F14),F14/Population!F13*10000,NA())</f>
        <v>#N/A</v>
      </c>
      <c r="O14" s="97" t="e">
        <f>IF(ISNUMBER(G14),G14/Population!G13*10000,NA())</f>
        <v>#N/A</v>
      </c>
      <c r="P14" s="98" t="e">
        <f>IF(ISNUMBER(H14),H14/Population!H13*10000,NA())</f>
        <v>#N/A</v>
      </c>
      <c r="Q14" s="99" t="str">
        <f t="shared" si="4"/>
        <v/>
      </c>
      <c r="R14" s="822" t="e">
        <f t="shared" si="5"/>
        <v>#N/A</v>
      </c>
      <c r="S14" s="85"/>
      <c r="T14" s="99" t="e">
        <f>IF(ISNA(P14),NA(),IDACI!C12)</f>
        <v>#N/A</v>
      </c>
      <c r="U14" s="122"/>
      <c r="V14" s="139"/>
      <c r="W14" s="152"/>
      <c r="X14" s="1099" t="str">
        <f t="shared" si="6"/>
        <v>East Sussex</v>
      </c>
      <c r="Y14" s="44">
        <f>IF(ISNUMBER(H14),IDACI!D12,0)</f>
        <v>0</v>
      </c>
      <c r="Z14" s="44">
        <f>IF(ISNUMBER(H14),IDACI!E12,0)</f>
        <v>0</v>
      </c>
      <c r="AA14" s="1105" t="str">
        <f>IF(ISNUMBER(D14),Population!D13,"")</f>
        <v/>
      </c>
      <c r="AB14" s="205" t="str">
        <f>IF(ISNUMBER(E14),Population!E13,"")</f>
        <v/>
      </c>
      <c r="AC14" s="205" t="str">
        <f>IF(ISNUMBER(F14),Population!F13,"")</f>
        <v/>
      </c>
      <c r="AD14" s="205" t="str">
        <f>IF(ISNUMBER(G14),Population!G13,"")</f>
        <v/>
      </c>
      <c r="AE14" s="1106" t="str">
        <f>IF(ISNUMBER(H14),Population!H13,"")</f>
        <v/>
      </c>
      <c r="AF14" s="1100" t="s">
        <v>4</v>
      </c>
      <c r="AG14" s="231" t="str">
        <f t="shared" si="7"/>
        <v/>
      </c>
      <c r="AH14" s="206" t="e">
        <f t="shared" si="8"/>
        <v>#VALUE!</v>
      </c>
      <c r="AI14" s="202"/>
      <c r="AJ14" s="160"/>
      <c r="AK14" s="853" t="str">
        <f t="shared" si="1"/>
        <v>x</v>
      </c>
      <c r="AL14" s="853" t="str">
        <f t="shared" si="1"/>
        <v>x</v>
      </c>
      <c r="AM14" s="853" t="str">
        <f t="shared" si="1"/>
        <v>x</v>
      </c>
      <c r="AN14" s="853" t="str">
        <f t="shared" si="1"/>
        <v>x</v>
      </c>
      <c r="AO14" s="853" t="e">
        <f t="shared" si="2"/>
        <v>#DIV/0!</v>
      </c>
    </row>
    <row r="15" spans="1:44" s="87" customFormat="1" ht="13.5" customHeight="1" x14ac:dyDescent="0.2">
      <c r="A15" s="488">
        <f>VLOOKUP(B15,Sheet1!$AQ$4:$AR$25,2,FALSE)</f>
        <v>0</v>
      </c>
      <c r="B15" s="93" t="str">
        <f>Sheet1!$K$8</f>
        <v>Hampshire</v>
      </c>
      <c r="C15" s="85"/>
      <c r="D15" s="94" t="str">
        <f>IF(Year1_Hampshire Year1_CAO_RO_Total="","",Year1_Hampshire Year1_CAO_RO_Total)</f>
        <v/>
      </c>
      <c r="E15" s="101" t="str">
        <f>IF(Year2_Hampshire Year2_CAO_RO_Total="","",Year2_Hampshire Year2_CAO_RO_Total)</f>
        <v/>
      </c>
      <c r="F15" s="94" t="str">
        <f>IF(Year3_Hampshire Year3_CAO_RO_Total="","",Year3_Hampshire Year3_CAO_RO_Total)</f>
        <v/>
      </c>
      <c r="G15" s="94" t="str">
        <f>IF(Year4_Hampshire Year4_CAO_RO_Total="","",Year4_Hampshire Year4_CAO_RO_Total)</f>
        <v/>
      </c>
      <c r="H15" s="298" t="str">
        <f>IF(Year5_Hampshire Year5_CAO_RO_Total="","",Year5_Hampshire Year5_CAO_RO_Total)</f>
        <v/>
      </c>
      <c r="I15" s="1093" t="e">
        <f t="shared" si="3"/>
        <v>#DIV/0!</v>
      </c>
      <c r="J15" s="863" t="e">
        <f t="shared" si="0"/>
        <v>#DIV/0!</v>
      </c>
      <c r="K15" s="96"/>
      <c r="L15" s="97" t="e">
        <f>IF(ISNUMBER(D15),D15/Population!D14*10000,NA())</f>
        <v>#N/A</v>
      </c>
      <c r="M15" s="97" t="e">
        <f>IF(ISNUMBER(E15),E15/Population!E14*10000,NA())</f>
        <v>#N/A</v>
      </c>
      <c r="N15" s="97" t="e">
        <f>IF(ISNUMBER(F15),F15/Population!F14*10000,NA())</f>
        <v>#N/A</v>
      </c>
      <c r="O15" s="97" t="e">
        <f>IF(ISNUMBER(G15),G15/Population!G14*10000,NA())</f>
        <v>#N/A</v>
      </c>
      <c r="P15" s="98" t="e">
        <f>IF(ISNUMBER(H15),H15/Population!H14*10000,NA())</f>
        <v>#N/A</v>
      </c>
      <c r="Q15" s="99" t="str">
        <f t="shared" si="4"/>
        <v/>
      </c>
      <c r="R15" s="822" t="e">
        <f t="shared" si="5"/>
        <v>#N/A</v>
      </c>
      <c r="S15" s="85"/>
      <c r="T15" s="99" t="e">
        <f>IF(ISNA(P15),NA(),IDACI!C13)</f>
        <v>#N/A</v>
      </c>
      <c r="U15" s="122"/>
      <c r="V15" s="139"/>
      <c r="W15" s="152"/>
      <c r="X15" s="1099" t="str">
        <f t="shared" si="6"/>
        <v>Hampshire</v>
      </c>
      <c r="Y15" s="44">
        <f>IF(ISNUMBER(H15),IDACI!D13,0)</f>
        <v>0</v>
      </c>
      <c r="Z15" s="44">
        <f>IF(ISNUMBER(H15),IDACI!E13,0)</f>
        <v>0</v>
      </c>
      <c r="AA15" s="1105" t="str">
        <f>IF(ISNUMBER(D15),Population!D14,"")</f>
        <v/>
      </c>
      <c r="AB15" s="205" t="str">
        <f>IF(ISNUMBER(E15),Population!E14,"")</f>
        <v/>
      </c>
      <c r="AC15" s="205" t="str">
        <f>IF(ISNUMBER(F15),Population!F14,"")</f>
        <v/>
      </c>
      <c r="AD15" s="205" t="str">
        <f>IF(ISNUMBER(G15),Population!G14,"")</f>
        <v/>
      </c>
      <c r="AE15" s="1106" t="str">
        <f>IF(ISNUMBER(H15),Population!H14,"")</f>
        <v/>
      </c>
      <c r="AF15" s="1100" t="s">
        <v>6</v>
      </c>
      <c r="AG15" s="231" t="str">
        <f t="shared" si="7"/>
        <v/>
      </c>
      <c r="AH15" s="206" t="e">
        <f t="shared" si="8"/>
        <v>#VALUE!</v>
      </c>
      <c r="AI15" s="202"/>
      <c r="AJ15" s="160"/>
      <c r="AK15" s="853" t="str">
        <f t="shared" si="1"/>
        <v>x</v>
      </c>
      <c r="AL15" s="853" t="str">
        <f t="shared" si="1"/>
        <v>x</v>
      </c>
      <c r="AM15" s="853" t="str">
        <f t="shared" si="1"/>
        <v>x</v>
      </c>
      <c r="AN15" s="853" t="str">
        <f t="shared" si="1"/>
        <v>x</v>
      </c>
      <c r="AO15" s="853" t="e">
        <f t="shared" si="2"/>
        <v>#DIV/0!</v>
      </c>
    </row>
    <row r="16" spans="1:44" s="87" customFormat="1" ht="13.5" customHeight="1" x14ac:dyDescent="0.2">
      <c r="A16" s="488">
        <f>VLOOKUP(B16,Sheet1!$AQ$4:$AR$25,2,FALSE)</f>
        <v>0</v>
      </c>
      <c r="B16" s="93" t="str">
        <f>Sheet1!$K$9</f>
        <v>Isle of Wight</v>
      </c>
      <c r="C16" s="85"/>
      <c r="D16" s="94" t="str">
        <f>IF(Year1_Isle_of_Wight Year1_CAO_RO_Total="","",Year1_Isle_of_Wight Year1_CAO_RO_Total)</f>
        <v/>
      </c>
      <c r="E16" s="94" t="str">
        <f>IF(Year2_Isle_of_Wight Year2_CAO_RO_Total="","",Year2_Isle_of_Wight Year2_CAO_RO_Total)</f>
        <v/>
      </c>
      <c r="F16" s="94" t="str">
        <f>IF(Year3_Isle_of_Wight Year3_CAO_RO_Total="","",Year3_Isle_of_Wight Year3_CAO_RO_Total)</f>
        <v/>
      </c>
      <c r="G16" s="94" t="str">
        <f>IF(Year4_Isle_of_Wight Year4_CAO_RO_Total="","",Year4_Isle_of_Wight Year4_CAO_RO_Total)</f>
        <v/>
      </c>
      <c r="H16" s="298" t="str">
        <f>IF(Year5_Isle_of_Wight Year5_CAO_RO_Total="","",Year5_Isle_of_Wight Year5_CAO_RO_Total)</f>
        <v/>
      </c>
      <c r="I16" s="1093" t="e">
        <f t="shared" si="3"/>
        <v>#DIV/0!</v>
      </c>
      <c r="J16" s="863" t="e">
        <f t="shared" si="0"/>
        <v>#DIV/0!</v>
      </c>
      <c r="K16" s="96"/>
      <c r="L16" s="97" t="e">
        <f>IF(ISNUMBER(D16),D16/Population!D15*10000,NA())</f>
        <v>#N/A</v>
      </c>
      <c r="M16" s="97" t="e">
        <f>IF(ISNUMBER(E16),E16/Population!E15*10000,NA())</f>
        <v>#N/A</v>
      </c>
      <c r="N16" s="97" t="e">
        <f>IF(ISNUMBER(F16),F16/Population!F15*10000,NA())</f>
        <v>#N/A</v>
      </c>
      <c r="O16" s="97" t="e">
        <f>IF(ISNUMBER(G16),G16/Population!G15*10000,NA())</f>
        <v>#N/A</v>
      </c>
      <c r="P16" s="98" t="e">
        <f>IF(ISNUMBER(H16),H16/Population!H15*10000,NA())</f>
        <v>#N/A</v>
      </c>
      <c r="Q16" s="99" t="str">
        <f t="shared" si="4"/>
        <v/>
      </c>
      <c r="R16" s="822" t="e">
        <f t="shared" si="5"/>
        <v>#N/A</v>
      </c>
      <c r="S16" s="85"/>
      <c r="T16" s="99" t="e">
        <f>IF(ISNA(P16),NA(),IDACI!C14)</f>
        <v>#N/A</v>
      </c>
      <c r="U16" s="122"/>
      <c r="V16" s="139"/>
      <c r="W16" s="152"/>
      <c r="X16" s="1099" t="str">
        <f t="shared" si="6"/>
        <v>Isle of Wight</v>
      </c>
      <c r="Y16" s="44">
        <f>IF(ISNUMBER(H16),IDACI!D14,0)</f>
        <v>0</v>
      </c>
      <c r="Z16" s="44">
        <f>IF(ISNUMBER(H16),IDACI!E14,0)</f>
        <v>0</v>
      </c>
      <c r="AA16" s="1105" t="str">
        <f>IF(ISNUMBER(D16),Population!D15,"")</f>
        <v/>
      </c>
      <c r="AB16" s="205" t="str">
        <f>IF(ISNUMBER(E16),Population!E15,"")</f>
        <v/>
      </c>
      <c r="AC16" s="205" t="str">
        <f>IF(ISNUMBER(F16),Population!F15,"")</f>
        <v/>
      </c>
      <c r="AD16" s="205" t="str">
        <f>IF(ISNUMBER(G16),Population!G15,"")</f>
        <v/>
      </c>
      <c r="AE16" s="1106" t="str">
        <f>IF(ISNUMBER(H16),Population!H15,"")</f>
        <v/>
      </c>
      <c r="AF16" s="1100" t="s">
        <v>1</v>
      </c>
      <c r="AG16" s="231" t="str">
        <f t="shared" si="7"/>
        <v/>
      </c>
      <c r="AH16" s="206" t="e">
        <f t="shared" si="8"/>
        <v>#VALUE!</v>
      </c>
      <c r="AI16" s="202"/>
      <c r="AJ16" s="160"/>
      <c r="AK16" s="853" t="str">
        <f t="shared" si="1"/>
        <v>x</v>
      </c>
      <c r="AL16" s="853" t="str">
        <f t="shared" si="1"/>
        <v>x</v>
      </c>
      <c r="AM16" s="853" t="str">
        <f t="shared" si="1"/>
        <v>x</v>
      </c>
      <c r="AN16" s="853" t="str">
        <f t="shared" si="1"/>
        <v>x</v>
      </c>
      <c r="AO16" s="853" t="e">
        <f t="shared" si="2"/>
        <v>#DIV/0!</v>
      </c>
      <c r="AR16" s="87" t="s">
        <v>102</v>
      </c>
    </row>
    <row r="17" spans="1:41" s="87" customFormat="1" ht="13.5" customHeight="1" x14ac:dyDescent="0.2">
      <c r="A17" s="488">
        <f>VLOOKUP(B17,Sheet1!$AQ$4:$AR$25,2,FALSE)</f>
        <v>0</v>
      </c>
      <c r="B17" s="93" t="str">
        <f>Sheet1!$K$10</f>
        <v>Kent</v>
      </c>
      <c r="C17" s="85"/>
      <c r="D17" s="94" t="str">
        <f>IF(Year1_Kent Year1_CAO_RO_Total="","",Year1_Kent Year1_CAO_RO_Total)</f>
        <v/>
      </c>
      <c r="E17" s="94" t="str">
        <f>IF(Year2_Kent Year2_CAO_RO_Total="","",Year2_Kent Year2_CAO_RO_Total)</f>
        <v/>
      </c>
      <c r="F17" s="94" t="str">
        <f>IF(Year3_Kent Year3_CAO_RO_Total="","",Year3_Kent Year3_CAO_RO_Total)</f>
        <v/>
      </c>
      <c r="G17" s="94" t="str">
        <f>IF(Year4_Kent Year4_CAO_RO_Total="","",Year4_Kent Year4_CAO_RO_Total)</f>
        <v/>
      </c>
      <c r="H17" s="298" t="str">
        <f>IF(Year5_Kent Year5_CAO_RO_Total="","",Year5_Kent Year5_CAO_RO_Total)</f>
        <v/>
      </c>
      <c r="I17" s="1093" t="e">
        <f t="shared" si="3"/>
        <v>#DIV/0!</v>
      </c>
      <c r="J17" s="863" t="e">
        <f t="shared" si="0"/>
        <v>#DIV/0!</v>
      </c>
      <c r="K17" s="96"/>
      <c r="L17" s="97" t="e">
        <f>IF(ISNUMBER(D17),D17/Population!D16*10000,NA())</f>
        <v>#N/A</v>
      </c>
      <c r="M17" s="97" t="e">
        <f>IF(ISNUMBER(E17),E17/Population!E16*10000,NA())</f>
        <v>#N/A</v>
      </c>
      <c r="N17" s="97" t="e">
        <f>IF(ISNUMBER(F17),F17/Population!F16*10000,NA())</f>
        <v>#N/A</v>
      </c>
      <c r="O17" s="97" t="e">
        <f>IF(ISNUMBER(G17),G17/Population!G16*10000,NA())</f>
        <v>#N/A</v>
      </c>
      <c r="P17" s="98" t="e">
        <f>IF(ISNUMBER(H17),H17/Population!H16*10000,NA())</f>
        <v>#N/A</v>
      </c>
      <c r="Q17" s="99" t="str">
        <f t="shared" si="4"/>
        <v/>
      </c>
      <c r="R17" s="822" t="e">
        <f t="shared" si="5"/>
        <v>#N/A</v>
      </c>
      <c r="S17" s="85"/>
      <c r="T17" s="99" t="e">
        <f>IF(ISNA(P17),NA(),IDACI!C15)</f>
        <v>#N/A</v>
      </c>
      <c r="U17" s="122"/>
      <c r="V17" s="139"/>
      <c r="W17" s="152"/>
      <c r="X17" s="1099" t="str">
        <f t="shared" si="6"/>
        <v>Kent</v>
      </c>
      <c r="Y17" s="44">
        <f>IF(ISNUMBER(H17),IDACI!D15,0)</f>
        <v>0</v>
      </c>
      <c r="Z17" s="44">
        <f>IF(ISNUMBER(H17),IDACI!E15,0)</f>
        <v>0</v>
      </c>
      <c r="AA17" s="1105" t="str">
        <f>IF(ISNUMBER(D17),Population!D16,"")</f>
        <v/>
      </c>
      <c r="AB17" s="205" t="str">
        <f>IF(ISNUMBER(E17),Population!E16,"")</f>
        <v/>
      </c>
      <c r="AC17" s="205" t="str">
        <f>IF(ISNUMBER(F17),Population!F16,"")</f>
        <v/>
      </c>
      <c r="AD17" s="205" t="str">
        <f>IF(ISNUMBER(G17),Population!G16,"")</f>
        <v/>
      </c>
      <c r="AE17" s="1106" t="str">
        <f>IF(ISNUMBER(H17),Population!H16,"")</f>
        <v/>
      </c>
      <c r="AF17" s="1100" t="s">
        <v>9</v>
      </c>
      <c r="AG17" s="231" t="str">
        <f t="shared" si="7"/>
        <v/>
      </c>
      <c r="AH17" s="206" t="e">
        <f t="shared" si="8"/>
        <v>#VALUE!</v>
      </c>
      <c r="AI17" s="202"/>
      <c r="AJ17" s="160"/>
      <c r="AK17" s="853" t="str">
        <f t="shared" si="1"/>
        <v>x</v>
      </c>
      <c r="AL17" s="853" t="str">
        <f t="shared" si="1"/>
        <v>x</v>
      </c>
      <c r="AM17" s="853" t="str">
        <f t="shared" si="1"/>
        <v>x</v>
      </c>
      <c r="AN17" s="853" t="str">
        <f t="shared" si="1"/>
        <v>x</v>
      </c>
      <c r="AO17" s="853" t="e">
        <f t="shared" si="2"/>
        <v>#DIV/0!</v>
      </c>
    </row>
    <row r="18" spans="1:41" s="87" customFormat="1" ht="13.5" customHeight="1" x14ac:dyDescent="0.2">
      <c r="A18" s="488">
        <f>VLOOKUP(B18,Sheet1!$AQ$4:$AR$25,2,FALSE)</f>
        <v>0</v>
      </c>
      <c r="B18" s="93" t="str">
        <f>Sheet1!$K$11</f>
        <v>Medway</v>
      </c>
      <c r="C18" s="85"/>
      <c r="D18" s="94" t="str">
        <f>IF(Year1_Medway Year1_CAO_RO_Total="","",Year1_Medway Year1_CAO_RO_Total)</f>
        <v/>
      </c>
      <c r="E18" s="94" t="str">
        <f>IF(Year2_Medway Year2_CAO_RO_Total="","",Year2_Medway Year2_CAO_RO_Total)</f>
        <v/>
      </c>
      <c r="F18" s="94" t="str">
        <f>IF(Year3_Medway Year3_CAO_RO_Total="","",Year3_Medway Year3_CAO_RO_Total)</f>
        <v/>
      </c>
      <c r="G18" s="94" t="str">
        <f>IF(Year4_Medway Year4_CAO_RO_Total="","",Year4_Medway Year4_CAO_RO_Total)</f>
        <v/>
      </c>
      <c r="H18" s="298" t="str">
        <f>IF(Year5_Medway Year5_CAO_RO_Total="","",Year5_Medway Year5_CAO_RO_Total)</f>
        <v/>
      </c>
      <c r="I18" s="1093" t="e">
        <f t="shared" si="3"/>
        <v>#DIV/0!</v>
      </c>
      <c r="J18" s="863" t="e">
        <f t="shared" si="0"/>
        <v>#DIV/0!</v>
      </c>
      <c r="K18" s="96"/>
      <c r="L18" s="97" t="e">
        <f>IF(ISNUMBER(D18),D18/Population!D17*10000,NA())</f>
        <v>#N/A</v>
      </c>
      <c r="M18" s="97" t="e">
        <f>IF(ISNUMBER(E18),E18/Population!E17*10000,NA())</f>
        <v>#N/A</v>
      </c>
      <c r="N18" s="97" t="e">
        <f>IF(ISNUMBER(F18),F18/Population!F17*10000,NA())</f>
        <v>#N/A</v>
      </c>
      <c r="O18" s="97" t="e">
        <f>IF(ISNUMBER(G18),G18/Population!G17*10000,NA())</f>
        <v>#N/A</v>
      </c>
      <c r="P18" s="98" t="e">
        <f>IF(ISNUMBER(H18),H18/Population!H17*10000,NA())</f>
        <v>#N/A</v>
      </c>
      <c r="Q18" s="99" t="str">
        <f t="shared" si="4"/>
        <v/>
      </c>
      <c r="R18" s="822" t="e">
        <f t="shared" si="5"/>
        <v>#N/A</v>
      </c>
      <c r="S18" s="85"/>
      <c r="T18" s="99" t="e">
        <f>IF(ISNA(P18),NA(),IDACI!C16)</f>
        <v>#N/A</v>
      </c>
      <c r="U18" s="122"/>
      <c r="V18" s="139"/>
      <c r="W18" s="152"/>
      <c r="X18" s="1099" t="str">
        <f t="shared" si="6"/>
        <v>Medway</v>
      </c>
      <c r="Y18" s="44">
        <f>IF(ISNUMBER(H18),IDACI!D16,0)</f>
        <v>0</v>
      </c>
      <c r="Z18" s="44">
        <f>IF(ISNUMBER(H18),IDACI!E16,0)</f>
        <v>0</v>
      </c>
      <c r="AA18" s="1105" t="str">
        <f>IF(ISNUMBER(D18),Population!D17,"")</f>
        <v/>
      </c>
      <c r="AB18" s="205" t="str">
        <f>IF(ISNUMBER(E18),Population!E17,"")</f>
        <v/>
      </c>
      <c r="AC18" s="205" t="str">
        <f>IF(ISNUMBER(F18),Population!F17,"")</f>
        <v/>
      </c>
      <c r="AD18" s="205" t="str">
        <f>IF(ISNUMBER(G18),Population!G17,"")</f>
        <v/>
      </c>
      <c r="AE18" s="1106" t="str">
        <f>IF(ISNUMBER(H18),Population!H17,"")</f>
        <v/>
      </c>
      <c r="AF18" s="1100" t="s">
        <v>2</v>
      </c>
      <c r="AG18" s="231" t="str">
        <f t="shared" si="7"/>
        <v/>
      </c>
      <c r="AH18" s="206" t="e">
        <f t="shared" si="8"/>
        <v>#VALUE!</v>
      </c>
      <c r="AI18" s="202"/>
      <c r="AJ18" s="160"/>
      <c r="AK18" s="853" t="str">
        <f t="shared" si="1"/>
        <v>x</v>
      </c>
      <c r="AL18" s="853" t="str">
        <f t="shared" si="1"/>
        <v>x</v>
      </c>
      <c r="AM18" s="853" t="str">
        <f t="shared" si="1"/>
        <v>x</v>
      </c>
      <c r="AN18" s="853" t="str">
        <f t="shared" si="1"/>
        <v>x</v>
      </c>
      <c r="AO18" s="853" t="e">
        <f t="shared" si="2"/>
        <v>#DIV/0!</v>
      </c>
    </row>
    <row r="19" spans="1:41" s="87" customFormat="1" ht="13.5" customHeight="1" x14ac:dyDescent="0.2">
      <c r="A19" s="488">
        <f>VLOOKUP(B19,Sheet1!$AQ$4:$AR$25,2,FALSE)</f>
        <v>0</v>
      </c>
      <c r="B19" s="93" t="str">
        <f>Sheet1!$K$12</f>
        <v>Milton Keynes</v>
      </c>
      <c r="C19" s="85"/>
      <c r="D19" s="94" t="str">
        <f>IF(Year1_Milton_Keynes Year1_CAO_RO_Total="","",Year1_Milton_Keynes Year1_CAO_RO_Total)</f>
        <v/>
      </c>
      <c r="E19" s="94" t="str">
        <f>IF(Year2_Milton_Keynes Year2_CAO_RO_Total="","",Year2_Milton_Keynes Year2_CAO_RO_Total)</f>
        <v/>
      </c>
      <c r="F19" s="94" t="str">
        <f>IF(Year3_Milton_Keynes Year3_CAO_RO_Total="","",Year3_Milton_Keynes Year3_CAO_RO_Total)</f>
        <v/>
      </c>
      <c r="G19" s="94" t="str">
        <f>IF(Year4_Milton_Keynes Year4_CAO_RO_Total="","",Year4_Milton_Keynes Year4_CAO_RO_Total)</f>
        <v/>
      </c>
      <c r="H19" s="298" t="str">
        <f>IF(Year5_Milton_Keynes Year5_CAO_RO_Total="","",Year5_Milton_Keynes Year5_CAO_RO_Total)</f>
        <v/>
      </c>
      <c r="I19" s="1093" t="e">
        <f t="shared" si="3"/>
        <v>#DIV/0!</v>
      </c>
      <c r="J19" s="863" t="e">
        <f t="shared" si="0"/>
        <v>#DIV/0!</v>
      </c>
      <c r="K19" s="96"/>
      <c r="L19" s="97" t="e">
        <f>IF(ISNUMBER(D19),D19/Population!D18*10000,NA())</f>
        <v>#N/A</v>
      </c>
      <c r="M19" s="97" t="e">
        <f>IF(ISNUMBER(E19),E19/Population!E18*10000,NA())</f>
        <v>#N/A</v>
      </c>
      <c r="N19" s="97" t="e">
        <f>IF(ISNUMBER(F19),F19/Population!F18*10000,NA())</f>
        <v>#N/A</v>
      </c>
      <c r="O19" s="97" t="e">
        <f>IF(ISNUMBER(G19),G19/Population!G18*10000,NA())</f>
        <v>#N/A</v>
      </c>
      <c r="P19" s="98" t="e">
        <f>IF(ISNUMBER(H19),H19/Population!H18*10000,NA())</f>
        <v>#N/A</v>
      </c>
      <c r="Q19" s="99" t="str">
        <f t="shared" si="4"/>
        <v/>
      </c>
      <c r="R19" s="822" t="e">
        <f t="shared" si="5"/>
        <v>#N/A</v>
      </c>
      <c r="S19" s="85"/>
      <c r="T19" s="99" t="e">
        <f>IF(ISNA(P19),NA(),IDACI!C17)</f>
        <v>#N/A</v>
      </c>
      <c r="U19" s="122"/>
      <c r="V19" s="139"/>
      <c r="W19" s="152"/>
      <c r="X19" s="1099" t="str">
        <f t="shared" si="6"/>
        <v>Milton Keynes</v>
      </c>
      <c r="Y19" s="44">
        <f>IF(ISNUMBER(H19),IDACI!D17,0)</f>
        <v>0</v>
      </c>
      <c r="Z19" s="44">
        <f>IF(ISNUMBER(H19),IDACI!E17,0)</f>
        <v>0</v>
      </c>
      <c r="AA19" s="1105" t="str">
        <f>IF(ISNUMBER(D19),Population!D18,"")</f>
        <v/>
      </c>
      <c r="AB19" s="205" t="str">
        <f>IF(ISNUMBER(E19),Population!E18,"")</f>
        <v/>
      </c>
      <c r="AC19" s="205" t="str">
        <f>IF(ISNUMBER(F19),Population!F18,"")</f>
        <v/>
      </c>
      <c r="AD19" s="205" t="str">
        <f>IF(ISNUMBER(G19),Population!G18,"")</f>
        <v/>
      </c>
      <c r="AE19" s="1106" t="str">
        <f>IF(ISNUMBER(H19),Population!H18,"")</f>
        <v/>
      </c>
      <c r="AF19" s="1100" t="s">
        <v>10</v>
      </c>
      <c r="AG19" s="231" t="str">
        <f t="shared" si="7"/>
        <v/>
      </c>
      <c r="AH19" s="206" t="e">
        <f t="shared" si="8"/>
        <v>#VALUE!</v>
      </c>
      <c r="AI19" s="202"/>
      <c r="AJ19" s="160"/>
      <c r="AK19" s="853" t="str">
        <f t="shared" si="1"/>
        <v>x</v>
      </c>
      <c r="AL19" s="853" t="str">
        <f t="shared" si="1"/>
        <v>x</v>
      </c>
      <c r="AM19" s="853" t="str">
        <f t="shared" si="1"/>
        <v>x</v>
      </c>
      <c r="AN19" s="853" t="str">
        <f t="shared" si="1"/>
        <v>x</v>
      </c>
      <c r="AO19" s="853" t="e">
        <f t="shared" si="2"/>
        <v>#DIV/0!</v>
      </c>
    </row>
    <row r="20" spans="1:41" s="87" customFormat="1" ht="13.5" customHeight="1" x14ac:dyDescent="0.2">
      <c r="A20" s="488">
        <f>VLOOKUP(B20,Sheet1!$AQ$4:$AR$25,2,FALSE)</f>
        <v>0</v>
      </c>
      <c r="B20" s="93" t="str">
        <f>Sheet1!$K$13</f>
        <v>Oxfordshire</v>
      </c>
      <c r="C20" s="85"/>
      <c r="D20" s="94" t="str">
        <f>IF(Year1_Oxfordshire Year1_CAO_RO_Total="","",Year1_Oxfordshire Year1_CAO_RO_Total)</f>
        <v/>
      </c>
      <c r="E20" s="94" t="str">
        <f>IF(Year2_Oxfordshire Year2_CAO_RO_Total="","",Year2_Oxfordshire Year2_CAO_RO_Total)</f>
        <v/>
      </c>
      <c r="F20" s="94" t="str">
        <f>IF(Year3_Oxfordshire Year3_CAO_RO_Total="","",Year3_Oxfordshire Year3_CAO_RO_Total)</f>
        <v/>
      </c>
      <c r="G20" s="94" t="str">
        <f>IF(Year4_Oxfordshire Year4_CAO_RO_Total="","",Year4_Oxfordshire Year4_CAO_RO_Total)</f>
        <v/>
      </c>
      <c r="H20" s="298" t="str">
        <f>IF(Year5_Oxfordshire Year5_CAO_RO_Total="","",Year5_Oxfordshire Year5_CAO_RO_Total)</f>
        <v/>
      </c>
      <c r="I20" s="1093" t="e">
        <f t="shared" si="3"/>
        <v>#DIV/0!</v>
      </c>
      <c r="J20" s="863" t="e">
        <f t="shared" si="0"/>
        <v>#DIV/0!</v>
      </c>
      <c r="K20" s="96"/>
      <c r="L20" s="97" t="e">
        <f>IF(ISNUMBER(D20),D20/Population!D19*10000,NA())</f>
        <v>#N/A</v>
      </c>
      <c r="M20" s="97" t="e">
        <f>IF(ISNUMBER(E20),E20/Population!E19*10000,NA())</f>
        <v>#N/A</v>
      </c>
      <c r="N20" s="97" t="e">
        <f>IF(ISNUMBER(F20),F20/Population!F19*10000,NA())</f>
        <v>#N/A</v>
      </c>
      <c r="O20" s="97" t="e">
        <f>IF(ISNUMBER(G20),G20/Population!G19*10000,NA())</f>
        <v>#N/A</v>
      </c>
      <c r="P20" s="98" t="e">
        <f>IF(ISNUMBER(H20),H20/Population!H19*10000,NA())</f>
        <v>#N/A</v>
      </c>
      <c r="Q20" s="99" t="str">
        <f t="shared" si="4"/>
        <v/>
      </c>
      <c r="R20" s="822" t="e">
        <f t="shared" si="5"/>
        <v>#N/A</v>
      </c>
      <c r="S20" s="85"/>
      <c r="T20" s="99" t="e">
        <f>IF(ISNA(P20),NA(),IDACI!C18)</f>
        <v>#N/A</v>
      </c>
      <c r="U20" s="122"/>
      <c r="V20" s="139"/>
      <c r="W20" s="152"/>
      <c r="X20" s="1099" t="str">
        <f t="shared" si="6"/>
        <v>Oxfordshire</v>
      </c>
      <c r="Y20" s="44">
        <f>IF(ISNUMBER(H20),IDACI!D18,0)</f>
        <v>0</v>
      </c>
      <c r="Z20" s="44">
        <f>IF(ISNUMBER(H20),IDACI!E18,0)</f>
        <v>0</v>
      </c>
      <c r="AA20" s="1105" t="str">
        <f>IF(ISNUMBER(D20),Population!D19,"")</f>
        <v/>
      </c>
      <c r="AB20" s="205" t="str">
        <f>IF(ISNUMBER(E20),Population!E19,"")</f>
        <v/>
      </c>
      <c r="AC20" s="205" t="str">
        <f>IF(ISNUMBER(F20),Population!F19,"")</f>
        <v/>
      </c>
      <c r="AD20" s="205" t="str">
        <f>IF(ISNUMBER(G20),Population!G19,"")</f>
        <v/>
      </c>
      <c r="AE20" s="1106" t="str">
        <f>IF(ISNUMBER(H20),Population!H19,"")</f>
        <v/>
      </c>
      <c r="AF20" s="1100" t="s">
        <v>11</v>
      </c>
      <c r="AG20" s="231" t="str">
        <f t="shared" si="7"/>
        <v/>
      </c>
      <c r="AH20" s="206" t="e">
        <f t="shared" si="8"/>
        <v>#VALUE!</v>
      </c>
      <c r="AI20" s="202"/>
      <c r="AJ20" s="160"/>
      <c r="AK20" s="853" t="str">
        <f t="shared" si="1"/>
        <v>x</v>
      </c>
      <c r="AL20" s="853" t="str">
        <f t="shared" si="1"/>
        <v>x</v>
      </c>
      <c r="AM20" s="853" t="str">
        <f t="shared" si="1"/>
        <v>x</v>
      </c>
      <c r="AN20" s="853" t="str">
        <f t="shared" si="1"/>
        <v>x</v>
      </c>
      <c r="AO20" s="853" t="e">
        <f t="shared" si="2"/>
        <v>#DIV/0!</v>
      </c>
    </row>
    <row r="21" spans="1:41" s="87" customFormat="1" ht="13.5" customHeight="1" x14ac:dyDescent="0.2">
      <c r="A21" s="488">
        <f>VLOOKUP(B21,Sheet1!$AQ$4:$AR$25,2,FALSE)</f>
        <v>0</v>
      </c>
      <c r="B21" s="93" t="str">
        <f>Sheet1!$K$14</f>
        <v>Portsmouth</v>
      </c>
      <c r="C21" s="85"/>
      <c r="D21" s="94" t="str">
        <f>IF(Year1_Portsmouth Year1_CAO_RO_Total="","",Year1_Portsmouth Year1_CAO_RO_Total)</f>
        <v/>
      </c>
      <c r="E21" s="94" t="str">
        <f>IF(Year2_Portsmouth Year2_CAO_RO_Total="","",Year2_Portsmouth Year2_CAO_RO_Total)</f>
        <v/>
      </c>
      <c r="F21" s="94" t="str">
        <f>IF(Year3_Portsmouth Year3_CAO_RO_Total="","",Year3_Portsmouth Year3_CAO_RO_Total)</f>
        <v/>
      </c>
      <c r="G21" s="94" t="str">
        <f>IF(Year4_Portsmouth Year4_CAO_RO_Total="","",Year4_Portsmouth Year4_CAO_RO_Total)</f>
        <v/>
      </c>
      <c r="H21" s="298" t="str">
        <f>IF(Year5_Portsmouth Year5_CAO_RO_Total="","",Year5_Portsmouth Year5_CAO_RO_Total)</f>
        <v/>
      </c>
      <c r="I21" s="1093" t="e">
        <f t="shared" si="3"/>
        <v>#DIV/0!</v>
      </c>
      <c r="J21" s="863" t="e">
        <f t="shared" si="0"/>
        <v>#DIV/0!</v>
      </c>
      <c r="K21" s="96"/>
      <c r="L21" s="97" t="e">
        <f>IF(ISNUMBER(D21),D21/Population!D20*10000,NA())</f>
        <v>#N/A</v>
      </c>
      <c r="M21" s="97" t="e">
        <f>IF(ISNUMBER(E21),E21/Population!E20*10000,NA())</f>
        <v>#N/A</v>
      </c>
      <c r="N21" s="97" t="e">
        <f>IF(ISNUMBER(F21),F21/Population!F20*10000,NA())</f>
        <v>#N/A</v>
      </c>
      <c r="O21" s="97" t="e">
        <f>IF(ISNUMBER(G21),G21/Population!G20*10000,NA())</f>
        <v>#N/A</v>
      </c>
      <c r="P21" s="98" t="e">
        <f>IF(ISNUMBER(H21),H21/Population!H20*10000,NA())</f>
        <v>#N/A</v>
      </c>
      <c r="Q21" s="99" t="str">
        <f t="shared" si="4"/>
        <v/>
      </c>
      <c r="R21" s="822" t="e">
        <f t="shared" si="5"/>
        <v>#N/A</v>
      </c>
      <c r="S21" s="85"/>
      <c r="T21" s="99" t="e">
        <f>IF(ISNA(P21),NA(),IDACI!C19)</f>
        <v>#N/A</v>
      </c>
      <c r="U21" s="122"/>
      <c r="V21" s="139"/>
      <c r="W21" s="152"/>
      <c r="X21" s="1099" t="str">
        <f t="shared" si="6"/>
        <v>Portsmouth</v>
      </c>
      <c r="Y21" s="44">
        <f>IF(ISNUMBER(H21),IDACI!D19,0)</f>
        <v>0</v>
      </c>
      <c r="Z21" s="44">
        <f>IF(ISNUMBER(H21),IDACI!E19,0)</f>
        <v>0</v>
      </c>
      <c r="AA21" s="1105" t="str">
        <f>IF(ISNUMBER(D21),Population!D20,"")</f>
        <v/>
      </c>
      <c r="AB21" s="205" t="str">
        <f>IF(ISNUMBER(E21),Population!E20,"")</f>
        <v/>
      </c>
      <c r="AC21" s="205" t="str">
        <f>IF(ISNUMBER(F21),Population!F20,"")</f>
        <v/>
      </c>
      <c r="AD21" s="205" t="str">
        <f>IF(ISNUMBER(G21),Population!G20,"")</f>
        <v/>
      </c>
      <c r="AE21" s="1106" t="str">
        <f>IF(ISNUMBER(H21),Population!H20,"")</f>
        <v/>
      </c>
      <c r="AF21" s="1100" t="s">
        <v>12</v>
      </c>
      <c r="AG21" s="231" t="str">
        <f t="shared" si="7"/>
        <v/>
      </c>
      <c r="AH21" s="206" t="e">
        <f t="shared" si="8"/>
        <v>#VALUE!</v>
      </c>
      <c r="AI21" s="202"/>
      <c r="AJ21" s="160"/>
      <c r="AK21" s="853" t="str">
        <f t="shared" si="1"/>
        <v>x</v>
      </c>
      <c r="AL21" s="853" t="str">
        <f t="shared" si="1"/>
        <v>x</v>
      </c>
      <c r="AM21" s="853" t="str">
        <f t="shared" si="1"/>
        <v>x</v>
      </c>
      <c r="AN21" s="853" t="str">
        <f t="shared" si="1"/>
        <v>x</v>
      </c>
      <c r="AO21" s="853" t="e">
        <f t="shared" si="2"/>
        <v>#DIV/0!</v>
      </c>
    </row>
    <row r="22" spans="1:41" s="87" customFormat="1" ht="13.5" customHeight="1" x14ac:dyDescent="0.2">
      <c r="A22" s="488">
        <f>VLOOKUP(B22,Sheet1!$AQ$4:$AR$25,2,FALSE)</f>
        <v>0</v>
      </c>
      <c r="B22" s="93" t="str">
        <f>Sheet1!$K$15</f>
        <v>Reading</v>
      </c>
      <c r="C22" s="85"/>
      <c r="D22" s="94" t="str">
        <f>IF(Year1_Reading Year1_CAO_RO_Total="","",Year1_Reading Year1_CAO_RO_Total)</f>
        <v/>
      </c>
      <c r="E22" s="94" t="str">
        <f>IF(Year2_Reading Year2_CAO_RO_Total="","",Year2_Reading Year2_CAO_RO_Total)</f>
        <v/>
      </c>
      <c r="F22" s="94" t="str">
        <f>IF(Year3_Reading Year3_CAO_RO_Total="","",Year3_Reading Year3_CAO_RO_Total)</f>
        <v/>
      </c>
      <c r="G22" s="94" t="str">
        <f>IF(Year4_Reading Year4_CAO_RO_Total="","",Year4_Reading Year4_CAO_RO_Total)</f>
        <v/>
      </c>
      <c r="H22" s="298" t="str">
        <f>IF(Year5_Reading Year5_CAO_RO_Total="","",Year5_Reading Year5_CAO_RO_Total)</f>
        <v/>
      </c>
      <c r="I22" s="1093" t="e">
        <f t="shared" si="3"/>
        <v>#DIV/0!</v>
      </c>
      <c r="J22" s="863" t="e">
        <f t="shared" si="0"/>
        <v>#DIV/0!</v>
      </c>
      <c r="K22" s="96"/>
      <c r="L22" s="97" t="e">
        <f>IF(ISNUMBER(D22),D22/Population!D21*10000,NA())</f>
        <v>#N/A</v>
      </c>
      <c r="M22" s="97" t="e">
        <f>IF(ISNUMBER(E22),E22/Population!E21*10000,NA())</f>
        <v>#N/A</v>
      </c>
      <c r="N22" s="97" t="e">
        <f>IF(ISNUMBER(F22),F22/Population!F21*10000,NA())</f>
        <v>#N/A</v>
      </c>
      <c r="O22" s="97" t="e">
        <f>IF(ISNUMBER(G22),G22/Population!G21*10000,NA())</f>
        <v>#N/A</v>
      </c>
      <c r="P22" s="98" t="e">
        <f>IF(ISNUMBER(H22),H22/Population!H21*10000,NA())</f>
        <v>#N/A</v>
      </c>
      <c r="Q22" s="99" t="str">
        <f t="shared" si="4"/>
        <v/>
      </c>
      <c r="R22" s="822" t="e">
        <f t="shared" si="5"/>
        <v>#N/A</v>
      </c>
      <c r="S22" s="85"/>
      <c r="T22" s="99" t="e">
        <f>IF(ISNA(P22),NA(),IDACI!C20)</f>
        <v>#N/A</v>
      </c>
      <c r="U22" s="122"/>
      <c r="V22" s="139"/>
      <c r="W22" s="152"/>
      <c r="X22" s="1099" t="str">
        <f t="shared" si="6"/>
        <v>Reading</v>
      </c>
      <c r="Y22" s="44">
        <f>IF(ISNUMBER(H22),IDACI!D20,0)</f>
        <v>0</v>
      </c>
      <c r="Z22" s="44">
        <f>IF(ISNUMBER(H22),IDACI!E20,0)</f>
        <v>0</v>
      </c>
      <c r="AA22" s="1105" t="str">
        <f>IF(ISNUMBER(D22),Population!D21,"")</f>
        <v/>
      </c>
      <c r="AB22" s="205" t="str">
        <f>IF(ISNUMBER(E22),Population!E21,"")</f>
        <v/>
      </c>
      <c r="AC22" s="205" t="str">
        <f>IF(ISNUMBER(F22),Population!F21,"")</f>
        <v/>
      </c>
      <c r="AD22" s="205" t="str">
        <f>IF(ISNUMBER(G22),Population!G21,"")</f>
        <v/>
      </c>
      <c r="AE22" s="1106" t="str">
        <f>IF(ISNUMBER(H22),Population!H21,"")</f>
        <v/>
      </c>
      <c r="AF22" s="1100" t="s">
        <v>3</v>
      </c>
      <c r="AG22" s="231" t="str">
        <f t="shared" si="7"/>
        <v/>
      </c>
      <c r="AH22" s="206" t="e">
        <f t="shared" si="8"/>
        <v>#VALUE!</v>
      </c>
      <c r="AI22" s="202"/>
      <c r="AJ22" s="160"/>
      <c r="AK22" s="853" t="str">
        <f t="shared" si="1"/>
        <v>x</v>
      </c>
      <c r="AL22" s="853" t="str">
        <f t="shared" si="1"/>
        <v>x</v>
      </c>
      <c r="AM22" s="853" t="str">
        <f t="shared" si="1"/>
        <v>x</v>
      </c>
      <c r="AN22" s="853" t="str">
        <f t="shared" si="1"/>
        <v>x</v>
      </c>
      <c r="AO22" s="853" t="e">
        <f t="shared" si="2"/>
        <v>#DIV/0!</v>
      </c>
    </row>
    <row r="23" spans="1:41" s="87" customFormat="1" ht="13.5" customHeight="1" x14ac:dyDescent="0.2">
      <c r="A23" s="488">
        <f>VLOOKUP(B23,Sheet1!$AQ$4:$AR$25,2,FALSE)</f>
        <v>0</v>
      </c>
      <c r="B23" s="93" t="str">
        <f>Sheet1!$K$16</f>
        <v>Slough</v>
      </c>
      <c r="C23" s="85"/>
      <c r="D23" s="94" t="str">
        <f>IF(Year1_Slough Year1_CAO_RO_Total="","",Year1_Slough Year1_CAO_RO_Total)</f>
        <v/>
      </c>
      <c r="E23" s="94" t="str">
        <f>IF(Year2_Slough Year2_CAO_RO_Total="","",Year2_Slough Year2_CAO_RO_Total)</f>
        <v/>
      </c>
      <c r="F23" s="94" t="str">
        <f>IF(Year3_Slough Year3_CAO_RO_Total="","",Year3_Slough Year3_CAO_RO_Total)</f>
        <v/>
      </c>
      <c r="G23" s="94" t="str">
        <f>IF(Year4_Slough Year4_CAO_RO_Total="","",Year4_Slough Year4_CAO_RO_Total)</f>
        <v/>
      </c>
      <c r="H23" s="298" t="str">
        <f>IF(Year5_Slough Year5_CAO_RO_Total="","",Year5_Slough Year5_CAO_RO_Total)</f>
        <v/>
      </c>
      <c r="I23" s="1093" t="e">
        <f t="shared" si="3"/>
        <v>#DIV/0!</v>
      </c>
      <c r="J23" s="863" t="e">
        <f t="shared" si="0"/>
        <v>#DIV/0!</v>
      </c>
      <c r="K23" s="96"/>
      <c r="L23" s="97" t="e">
        <f>IF(ISNUMBER(D23),D23/Population!D22*10000,NA())</f>
        <v>#N/A</v>
      </c>
      <c r="M23" s="97" t="e">
        <f>IF(ISNUMBER(E23),E23/Population!E22*10000,NA())</f>
        <v>#N/A</v>
      </c>
      <c r="N23" s="97" t="e">
        <f>IF(ISNUMBER(F23),F23/Population!F22*10000,NA())</f>
        <v>#N/A</v>
      </c>
      <c r="O23" s="97" t="e">
        <f>IF(ISNUMBER(G23),G23/Population!G22*10000,NA())</f>
        <v>#N/A</v>
      </c>
      <c r="P23" s="98" t="e">
        <f>IF(ISNUMBER(H23),H23/Population!H22*10000,NA())</f>
        <v>#N/A</v>
      </c>
      <c r="Q23" s="99" t="str">
        <f t="shared" si="4"/>
        <v/>
      </c>
      <c r="R23" s="822" t="e">
        <f t="shared" si="5"/>
        <v>#N/A</v>
      </c>
      <c r="S23" s="85"/>
      <c r="T23" s="99" t="e">
        <f>IF(ISNA(P23),NA(),IDACI!C21)</f>
        <v>#N/A</v>
      </c>
      <c r="U23" s="122"/>
      <c r="V23" s="139"/>
      <c r="W23" s="152"/>
      <c r="X23" s="1099" t="str">
        <f t="shared" si="6"/>
        <v>Slough</v>
      </c>
      <c r="Y23" s="44">
        <f>IF(ISNUMBER(H23),IDACI!D21,0)</f>
        <v>0</v>
      </c>
      <c r="Z23" s="44">
        <f>IF(ISNUMBER(H23),IDACI!E21,0)</f>
        <v>0</v>
      </c>
      <c r="AA23" s="1105" t="str">
        <f>IF(ISNUMBER(D23),Population!D22,"")</f>
        <v/>
      </c>
      <c r="AB23" s="205" t="str">
        <f>IF(ISNUMBER(E23),Population!E22,"")</f>
        <v/>
      </c>
      <c r="AC23" s="205" t="str">
        <f>IF(ISNUMBER(F23),Population!F22,"")</f>
        <v/>
      </c>
      <c r="AD23" s="205" t="str">
        <f>IF(ISNUMBER(G23),Population!G22,"")</f>
        <v/>
      </c>
      <c r="AE23" s="1106" t="str">
        <f>IF(ISNUMBER(H23),Population!H22,"")</f>
        <v/>
      </c>
      <c r="AF23" s="1100" t="s">
        <v>13</v>
      </c>
      <c r="AG23" s="231" t="str">
        <f t="shared" si="7"/>
        <v/>
      </c>
      <c r="AH23" s="206" t="e">
        <f t="shared" si="8"/>
        <v>#VALUE!</v>
      </c>
      <c r="AI23" s="202"/>
      <c r="AJ23" s="160"/>
      <c r="AK23" s="853" t="str">
        <f t="shared" si="1"/>
        <v>x</v>
      </c>
      <c r="AL23" s="853" t="str">
        <f t="shared" si="1"/>
        <v>x</v>
      </c>
      <c r="AM23" s="853" t="str">
        <f t="shared" si="1"/>
        <v>x</v>
      </c>
      <c r="AN23" s="853" t="str">
        <f t="shared" si="1"/>
        <v>x</v>
      </c>
      <c r="AO23" s="853" t="e">
        <f t="shared" si="2"/>
        <v>#DIV/0!</v>
      </c>
    </row>
    <row r="24" spans="1:41" s="87" customFormat="1" ht="13.5" customHeight="1" x14ac:dyDescent="0.2">
      <c r="A24" s="488">
        <f>VLOOKUP(B24,Sheet1!$AQ$4:$AR$25,2,FALSE)</f>
        <v>0</v>
      </c>
      <c r="B24" s="93" t="str">
        <f>Sheet1!$K$17</f>
        <v>Somerset</v>
      </c>
      <c r="C24" s="85"/>
      <c r="D24" s="94" t="str">
        <f>IF(Year1_Somerset Year1_CAO_RO_Total="","",Year1_Somerset Year1_CAO_RO_Total)</f>
        <v/>
      </c>
      <c r="E24" s="94" t="str">
        <f>IF(Year2_Somerset Year2_CAO_RO_Total="","",Year2_Somerset Year2_CAO_RO_Total)</f>
        <v/>
      </c>
      <c r="F24" s="94" t="str">
        <f>IF(Year3_Somerset Year3_CAO_RO_Total="","",Year3_Somerset Year3_CAO_RO_Total)</f>
        <v/>
      </c>
      <c r="G24" s="101" t="str">
        <f>IF(Year4_Somerset Year4_CAO_RO_Total="","",Year4_Somerset Year4_CAO_RO_Total)</f>
        <v/>
      </c>
      <c r="H24" s="299" t="str">
        <f>IF(Year5_Somerset Year5_CAO_RO_Total="","",Year5_Somerset Year5_CAO_RO_Total)</f>
        <v/>
      </c>
      <c r="I24" s="1093" t="e">
        <f t="shared" si="3"/>
        <v>#DIV/0!</v>
      </c>
      <c r="J24" s="863" t="e">
        <f t="shared" si="0"/>
        <v>#DIV/0!</v>
      </c>
      <c r="K24" s="96"/>
      <c r="L24" s="97" t="e">
        <f>IF(ISNUMBER(D24),D24/Population!D23*10000,NA())</f>
        <v>#N/A</v>
      </c>
      <c r="M24" s="97" t="e">
        <f>IF(ISNUMBER(E24),E24/Population!E23*10000,NA())</f>
        <v>#N/A</v>
      </c>
      <c r="N24" s="97" t="e">
        <f>IF(ISNUMBER(F24),F24/Population!F23*10000,NA())</f>
        <v>#N/A</v>
      </c>
      <c r="O24" s="97" t="e">
        <f>IF(ISNUMBER(G24),G24/Population!G23*10000,NA())</f>
        <v>#N/A</v>
      </c>
      <c r="P24" s="98" t="e">
        <f>IF(ISNUMBER(H24),H24/Population!H23*10000,NA())</f>
        <v>#N/A</v>
      </c>
      <c r="Q24" s="99" t="str">
        <f t="shared" si="4"/>
        <v/>
      </c>
      <c r="R24" s="807" t="str">
        <f t="shared" si="5"/>
        <v>--</v>
      </c>
      <c r="S24" s="85"/>
      <c r="T24" s="99" t="e">
        <f>IF(ISNA(P24),NA(),IDACI!C22)</f>
        <v>#N/A</v>
      </c>
      <c r="U24" s="122"/>
      <c r="V24" s="139"/>
      <c r="W24" s="152"/>
      <c r="X24" s="1099" t="str">
        <f t="shared" si="6"/>
        <v>Somerset</v>
      </c>
      <c r="Y24" s="44">
        <f>IF(ISNUMBER(H24),IDACI!D22,0)</f>
        <v>0</v>
      </c>
      <c r="Z24" s="44">
        <f>IF(ISNUMBER(H24),IDACI!E22,0)</f>
        <v>0</v>
      </c>
      <c r="AA24" s="1105" t="str">
        <f>IF(ISNUMBER(D24),Population!D23,"")</f>
        <v/>
      </c>
      <c r="AB24" s="205" t="str">
        <f>IF(ISNUMBER(E24),Population!E23,"")</f>
        <v/>
      </c>
      <c r="AC24" s="205" t="str">
        <f>IF(ISNUMBER(F24),Population!F23,"")</f>
        <v/>
      </c>
      <c r="AD24" s="205" t="str">
        <f>IF(ISNUMBER(G24),Population!G23,"")</f>
        <v/>
      </c>
      <c r="AE24" s="1106" t="str">
        <f>IF(ISNUMBER(H24),Population!H23,"")</f>
        <v/>
      </c>
      <c r="AF24" s="1100" t="s">
        <v>14</v>
      </c>
      <c r="AG24" s="231" t="str">
        <f t="shared" si="7"/>
        <v/>
      </c>
      <c r="AH24" s="206" t="e">
        <f t="shared" si="8"/>
        <v>#VALUE!</v>
      </c>
      <c r="AI24" s="202"/>
      <c r="AJ24" s="160"/>
      <c r="AK24" s="853" t="str">
        <f t="shared" si="1"/>
        <v>x</v>
      </c>
      <c r="AL24" s="853" t="str">
        <f t="shared" si="1"/>
        <v>x</v>
      </c>
      <c r="AM24" s="853" t="str">
        <f t="shared" si="1"/>
        <v>x</v>
      </c>
      <c r="AN24" s="853" t="str">
        <f t="shared" si="1"/>
        <v>x</v>
      </c>
      <c r="AO24" s="853" t="e">
        <f t="shared" si="2"/>
        <v>#DIV/0!</v>
      </c>
    </row>
    <row r="25" spans="1:41" s="87" customFormat="1" ht="13.5" customHeight="1" x14ac:dyDescent="0.2">
      <c r="A25" s="488">
        <f>VLOOKUP(B25,Sheet1!$AQ$4:$AR$25,2,FALSE)</f>
        <v>0</v>
      </c>
      <c r="B25" s="93" t="str">
        <f>Sheet1!$K$18</f>
        <v>Southampton</v>
      </c>
      <c r="C25" s="85"/>
      <c r="D25" s="94" t="str">
        <f>IF(Year1_Southampton Year1_CAO_RO_Total="","",Year1_Southampton Year1_CAO_RO_Total)</f>
        <v/>
      </c>
      <c r="E25" s="94" t="str">
        <f>IF(Year2_Southampton Year2_CAO_RO_Total="","",Year2_Southampton Year2_CAO_RO_Total)</f>
        <v/>
      </c>
      <c r="F25" s="94" t="str">
        <f>IF(Year3_Southampton Year3_CAO_RO_Total="","",Year3_Southampton Year3_CAO_RO_Total)</f>
        <v/>
      </c>
      <c r="G25" s="94" t="str">
        <f>IF(Year4_Southampton Year4_CAO_RO_Total="","",Year4_Southampton Year4_CAO_RO_Total)</f>
        <v/>
      </c>
      <c r="H25" s="298" t="str">
        <f>IF(Year5_Southampton Year5_CAO_RO_Total="","",Year5_Southampton Year5_CAO_RO_Total)</f>
        <v/>
      </c>
      <c r="I25" s="1093" t="e">
        <f t="shared" si="3"/>
        <v>#DIV/0!</v>
      </c>
      <c r="J25" s="863" t="e">
        <f t="shared" si="0"/>
        <v>#DIV/0!</v>
      </c>
      <c r="K25" s="96"/>
      <c r="L25" s="97" t="e">
        <f>IF(ISNUMBER(D25),D25/Population!D24*10000,NA())</f>
        <v>#N/A</v>
      </c>
      <c r="M25" s="97" t="e">
        <f>IF(ISNUMBER(E25),E25/Population!E24*10000,NA())</f>
        <v>#N/A</v>
      </c>
      <c r="N25" s="97" t="e">
        <f>IF(ISNUMBER(F25),F25/Population!F24*10000,NA())</f>
        <v>#N/A</v>
      </c>
      <c r="O25" s="97" t="e">
        <f>IF(ISNUMBER(G25),G25/Population!G24*10000,NA())</f>
        <v>#N/A</v>
      </c>
      <c r="P25" s="98" t="e">
        <f>IF(ISNUMBER(H25),H25/Population!H24*10000,NA())</f>
        <v>#N/A</v>
      </c>
      <c r="Q25" s="99" t="str">
        <f t="shared" si="4"/>
        <v/>
      </c>
      <c r="R25" s="822" t="e">
        <f t="shared" si="5"/>
        <v>#N/A</v>
      </c>
      <c r="S25" s="85"/>
      <c r="T25" s="99" t="e">
        <f>IF(ISNA(P25),NA(),IDACI!C23)</f>
        <v>#N/A</v>
      </c>
      <c r="U25" s="122"/>
      <c r="V25" s="139"/>
      <c r="W25" s="152"/>
      <c r="X25" s="1099" t="str">
        <f t="shared" si="6"/>
        <v>Southampton</v>
      </c>
      <c r="Y25" s="44">
        <f>IF(ISNUMBER(H25),IDACI!D23,0)</f>
        <v>0</v>
      </c>
      <c r="Z25" s="44">
        <f>IF(ISNUMBER(H25),IDACI!E23,0)</f>
        <v>0</v>
      </c>
      <c r="AA25" s="1105" t="str">
        <f>IF(ISNUMBER(D25),Population!D24,"")</f>
        <v/>
      </c>
      <c r="AB25" s="205" t="str">
        <f>IF(ISNUMBER(E25),Population!E24,"")</f>
        <v/>
      </c>
      <c r="AC25" s="205" t="str">
        <f>IF(ISNUMBER(F25),Population!F24,"")</f>
        <v/>
      </c>
      <c r="AD25" s="205" t="str">
        <f>IF(ISNUMBER(G25),Population!G24,"")</f>
        <v/>
      </c>
      <c r="AE25" s="1106" t="str">
        <f>IF(ISNUMBER(H25),Population!H24,"")</f>
        <v/>
      </c>
      <c r="AF25" s="1100" t="s">
        <v>7</v>
      </c>
      <c r="AG25" s="231" t="str">
        <f t="shared" si="7"/>
        <v/>
      </c>
      <c r="AH25" s="206" t="e">
        <f t="shared" si="8"/>
        <v>#VALUE!</v>
      </c>
      <c r="AI25" s="202"/>
      <c r="AJ25" s="160"/>
      <c r="AK25" s="853" t="str">
        <f t="shared" si="1"/>
        <v>x</v>
      </c>
      <c r="AL25" s="853" t="str">
        <f t="shared" si="1"/>
        <v>x</v>
      </c>
      <c r="AM25" s="853" t="str">
        <f t="shared" si="1"/>
        <v>x</v>
      </c>
      <c r="AN25" s="853" t="str">
        <f t="shared" si="1"/>
        <v>x</v>
      </c>
      <c r="AO25" s="853" t="e">
        <f t="shared" si="2"/>
        <v>#DIV/0!</v>
      </c>
    </row>
    <row r="26" spans="1:41" s="87" customFormat="1" ht="13.5" customHeight="1" x14ac:dyDescent="0.2">
      <c r="A26" s="488">
        <f>VLOOKUP(B26,Sheet1!$AQ$4:$AR$25,2,FALSE)</f>
        <v>0</v>
      </c>
      <c r="B26" s="93" t="str">
        <f>Sheet1!$K$19</f>
        <v>Surrey</v>
      </c>
      <c r="C26" s="85"/>
      <c r="D26" s="94" t="str">
        <f>IF(Year1_Surrey Year1_CAO_RO_Total="","",Year1_Surrey Year1_CAO_RO_Total)</f>
        <v/>
      </c>
      <c r="E26" s="94" t="str">
        <f>IF(Year2_Surrey Year2_CAO_RO_Total="","",Year2_Surrey Year2_CAO_RO_Total)</f>
        <v/>
      </c>
      <c r="F26" s="94" t="str">
        <f>IF(Year3_Surrey Year3_CAO_RO_Total="","",Year3_Surrey Year3_CAO_RO_Total)</f>
        <v/>
      </c>
      <c r="G26" s="94" t="str">
        <f>IF(Year4_Surrey Year4_CAO_RO_Total="","",Year4_Surrey Year4_CAO_RO_Total)</f>
        <v/>
      </c>
      <c r="H26" s="298" t="str">
        <f>IF(Year5_Surrey Year5_CAO_RO_Total="","",Year5_Surrey Year5_CAO_RO_Total)</f>
        <v/>
      </c>
      <c r="I26" s="1093" t="e">
        <f t="shared" si="3"/>
        <v>#DIV/0!</v>
      </c>
      <c r="J26" s="863" t="e">
        <f t="shared" si="0"/>
        <v>#DIV/0!</v>
      </c>
      <c r="K26" s="96"/>
      <c r="L26" s="97" t="e">
        <f>IF(ISNUMBER(D26),D26/Population!D25*10000,NA())</f>
        <v>#N/A</v>
      </c>
      <c r="M26" s="97" t="e">
        <f>IF(ISNUMBER(E26),E26/Population!E25*10000,NA())</f>
        <v>#N/A</v>
      </c>
      <c r="N26" s="97" t="e">
        <f>IF(ISNUMBER(F26),F26/Population!F25*10000,NA())</f>
        <v>#N/A</v>
      </c>
      <c r="O26" s="97" t="e">
        <f>IF(ISNUMBER(G26),G26/Population!G25*10000,NA())</f>
        <v>#N/A</v>
      </c>
      <c r="P26" s="98" t="e">
        <f>IF(ISNUMBER(H26),H26/Population!H25*10000,NA())</f>
        <v>#N/A</v>
      </c>
      <c r="Q26" s="99" t="str">
        <f t="shared" si="4"/>
        <v/>
      </c>
      <c r="R26" s="822" t="e">
        <f t="shared" si="5"/>
        <v>#N/A</v>
      </c>
      <c r="S26" s="85"/>
      <c r="T26" s="99" t="e">
        <f>IF(ISNA(P26),NA(),IDACI!C24)</f>
        <v>#N/A</v>
      </c>
      <c r="U26" s="122"/>
      <c r="V26" s="139"/>
      <c r="W26" s="152"/>
      <c r="X26" s="1099" t="str">
        <f t="shared" si="6"/>
        <v>Surrey</v>
      </c>
      <c r="Y26" s="44">
        <f>IF(ISNUMBER(H26),IDACI!D24,0)</f>
        <v>0</v>
      </c>
      <c r="Z26" s="44">
        <f>IF(ISNUMBER(H26),IDACI!E24,0)</f>
        <v>0</v>
      </c>
      <c r="AA26" s="1105" t="str">
        <f>IF(ISNUMBER(D26),Population!D25,"")</f>
        <v/>
      </c>
      <c r="AB26" s="205" t="str">
        <f>IF(ISNUMBER(E26),Population!E25,"")</f>
        <v/>
      </c>
      <c r="AC26" s="205" t="str">
        <f>IF(ISNUMBER(F26),Population!F25,"")</f>
        <v/>
      </c>
      <c r="AD26" s="205" t="str">
        <f>IF(ISNUMBER(G26),Population!G25,"")</f>
        <v/>
      </c>
      <c r="AE26" s="1106" t="str">
        <f>IF(ISNUMBER(H26),Population!H25,"")</f>
        <v/>
      </c>
      <c r="AF26" s="1100" t="s">
        <v>15</v>
      </c>
      <c r="AG26" s="231" t="str">
        <f t="shared" si="7"/>
        <v/>
      </c>
      <c r="AH26" s="206" t="e">
        <f t="shared" si="8"/>
        <v>#VALUE!</v>
      </c>
      <c r="AI26" s="202"/>
      <c r="AJ26" s="160"/>
      <c r="AK26" s="853" t="str">
        <f t="shared" si="1"/>
        <v>x</v>
      </c>
      <c r="AL26" s="853" t="str">
        <f t="shared" si="1"/>
        <v>x</v>
      </c>
      <c r="AM26" s="853" t="str">
        <f t="shared" si="1"/>
        <v>x</v>
      </c>
      <c r="AN26" s="853" t="str">
        <f t="shared" si="1"/>
        <v>x</v>
      </c>
      <c r="AO26" s="853" t="e">
        <f t="shared" si="2"/>
        <v>#DIV/0!</v>
      </c>
    </row>
    <row r="27" spans="1:41" s="87" customFormat="1" ht="13.5" customHeight="1" x14ac:dyDescent="0.2">
      <c r="A27" s="488">
        <f>VLOOKUP(B27,Sheet1!$AQ$4:$AR$25,2,FALSE)</f>
        <v>0</v>
      </c>
      <c r="B27" s="93" t="str">
        <f>Sheet1!$K$20</f>
        <v>Swindon</v>
      </c>
      <c r="C27" s="85"/>
      <c r="D27" s="94" t="str">
        <f>IF(Year1_Swindon Year1_CAO_RO_Total="","",Year1_Swindon Year1_CAO_RO_Total)</f>
        <v/>
      </c>
      <c r="E27" s="94" t="str">
        <f>IF(Year2_Swindon Year2_CAO_RO_Total="","",Year2_Swindon Year2_CAO_RO_Total)</f>
        <v/>
      </c>
      <c r="F27" s="94" t="str">
        <f>IF(Year3_Swindon Year3_CAO_RO_Total="","",Year3_Swindon Year3_CAO_RO_Total)</f>
        <v/>
      </c>
      <c r="G27" s="94" t="str">
        <f>IF(Year4_Swindon Year4_CAO_RO_Total="","",Year4_Swindon Year4_CAO_RO_Total)</f>
        <v/>
      </c>
      <c r="H27" s="298" t="str">
        <f>IF(Year5_Swindon Year5_CAO_RO_Total="","",Year5_Swindon Year5_CAO_RO_Total)</f>
        <v/>
      </c>
      <c r="I27" s="1093" t="e">
        <f t="shared" si="3"/>
        <v>#DIV/0!</v>
      </c>
      <c r="J27" s="863" t="e">
        <f t="shared" si="0"/>
        <v>#DIV/0!</v>
      </c>
      <c r="K27" s="96"/>
      <c r="L27" s="97" t="e">
        <f>IF(ISNUMBER(D27),D27/Population!D26*10000,NA())</f>
        <v>#N/A</v>
      </c>
      <c r="M27" s="97" t="e">
        <f>IF(ISNUMBER(E27),E27/Population!E26*10000,NA())</f>
        <v>#N/A</v>
      </c>
      <c r="N27" s="97" t="e">
        <f>IF(ISNUMBER(F27),F27/Population!F26*10000,NA())</f>
        <v>#N/A</v>
      </c>
      <c r="O27" s="97" t="e">
        <f>IF(ISNUMBER(G27),G27/Population!G26*10000,NA())</f>
        <v>#N/A</v>
      </c>
      <c r="P27" s="98" t="e">
        <f>IF(ISNUMBER(H27),H27/Population!H26*10000,NA())</f>
        <v>#N/A</v>
      </c>
      <c r="Q27" s="99" t="str">
        <f t="shared" si="4"/>
        <v/>
      </c>
      <c r="R27" s="807" t="str">
        <f t="shared" si="5"/>
        <v>--</v>
      </c>
      <c r="S27" s="85"/>
      <c r="T27" s="99" t="e">
        <f>IF(ISNA(P27),NA(),IDACI!C25)</f>
        <v>#N/A</v>
      </c>
      <c r="U27" s="122"/>
      <c r="V27" s="139"/>
      <c r="W27" s="152"/>
      <c r="X27" s="1099" t="str">
        <f t="shared" si="6"/>
        <v>Swindon</v>
      </c>
      <c r="Y27" s="44">
        <f>IF(ISNUMBER(H27),IDACI!D25,0)</f>
        <v>0</v>
      </c>
      <c r="Z27" s="44">
        <f>IF(ISNUMBER(H27),IDACI!E25,0)</f>
        <v>0</v>
      </c>
      <c r="AA27" s="1105" t="str">
        <f>IF(ISNUMBER(D27),Population!D26,"")</f>
        <v/>
      </c>
      <c r="AB27" s="205" t="str">
        <f>IF(ISNUMBER(E27),Population!E26,"")</f>
        <v/>
      </c>
      <c r="AC27" s="205" t="str">
        <f>IF(ISNUMBER(F27),Population!F26,"")</f>
        <v/>
      </c>
      <c r="AD27" s="205" t="str">
        <f>IF(ISNUMBER(G27),Population!G26,"")</f>
        <v/>
      </c>
      <c r="AE27" s="1106" t="str">
        <f>IF(ISNUMBER(H27),Population!H26,"")</f>
        <v/>
      </c>
      <c r="AF27" s="1100" t="s">
        <v>5</v>
      </c>
      <c r="AG27" s="231" t="str">
        <f t="shared" si="7"/>
        <v/>
      </c>
      <c r="AH27" s="206" t="e">
        <f t="shared" si="8"/>
        <v>#VALUE!</v>
      </c>
      <c r="AI27" s="202"/>
      <c r="AJ27" s="160"/>
      <c r="AK27" s="853" t="str">
        <f t="shared" si="1"/>
        <v>x</v>
      </c>
      <c r="AL27" s="853" t="str">
        <f t="shared" si="1"/>
        <v>x</v>
      </c>
      <c r="AM27" s="853" t="str">
        <f t="shared" si="1"/>
        <v>x</v>
      </c>
      <c r="AN27" s="853" t="str">
        <f t="shared" si="1"/>
        <v>x</v>
      </c>
      <c r="AO27" s="853" t="e">
        <f t="shared" si="2"/>
        <v>#DIV/0!</v>
      </c>
    </row>
    <row r="28" spans="1:41" s="87" customFormat="1" ht="13.5" customHeight="1" x14ac:dyDescent="0.2">
      <c r="A28" s="488">
        <f>VLOOKUP(B28,Sheet1!$AQ$4:$AR$25,2,FALSE)</f>
        <v>0</v>
      </c>
      <c r="B28" s="93" t="str">
        <f>Sheet1!$K$21</f>
        <v>Torbay</v>
      </c>
      <c r="C28" s="85"/>
      <c r="D28" s="94" t="str">
        <f>IF(Year1_Torbay Year1_CAO_RO_Total="","",Year1_Torbay Year1_CAO_RO_Total)</f>
        <v/>
      </c>
      <c r="E28" s="94" t="str">
        <f>IF(Year2_Torbay Year2_CAO_RO_Total="","",Year2_Torbay Year2_CAO_RO_Total)</f>
        <v/>
      </c>
      <c r="F28" s="94" t="str">
        <f>IF(Year3_Torbay Year3_CAO_RO_Total="","",Year3_Torbay Year3_CAO_RO_Total)</f>
        <v/>
      </c>
      <c r="G28" s="94" t="str">
        <f>IF(Year4_Torbay Year4_CAO_RO_Total="","",Year4_Torbay Year4_CAO_RO_Total)</f>
        <v/>
      </c>
      <c r="H28" s="298" t="str">
        <f>IF(Year5_Torbay Year5_CAO_RO_Total="","",Year5_Torbay Year5_CAO_RO_Total)</f>
        <v/>
      </c>
      <c r="I28" s="1093" t="e">
        <f t="shared" si="3"/>
        <v>#DIV/0!</v>
      </c>
      <c r="J28" s="863" t="e">
        <f t="shared" si="0"/>
        <v>#DIV/0!</v>
      </c>
      <c r="K28" s="96"/>
      <c r="L28" s="97" t="e">
        <f>IF(ISNUMBER(D28),D28/Population!D27*10000,NA())</f>
        <v>#N/A</v>
      </c>
      <c r="M28" s="97" t="e">
        <f>IF(ISNUMBER(E28),E28/Population!E27*10000,NA())</f>
        <v>#N/A</v>
      </c>
      <c r="N28" s="97" t="e">
        <f>IF(ISNUMBER(F28),F28/Population!F27*10000,NA())</f>
        <v>#N/A</v>
      </c>
      <c r="O28" s="97" t="e">
        <f>IF(ISNUMBER(G28),G28/Population!G27*10000,NA())</f>
        <v>#N/A</v>
      </c>
      <c r="P28" s="98" t="e">
        <f>IF(ISNUMBER(H28),H28/Population!H27*10000,NA())</f>
        <v>#N/A</v>
      </c>
      <c r="Q28" s="99" t="str">
        <f t="shared" si="4"/>
        <v/>
      </c>
      <c r="R28" s="807" t="str">
        <f t="shared" si="5"/>
        <v>--</v>
      </c>
      <c r="S28" s="85"/>
      <c r="T28" s="99" t="e">
        <f>IF(ISNA(P28),NA(),IDACI!C26)</f>
        <v>#N/A</v>
      </c>
      <c r="U28" s="122"/>
      <c r="V28" s="139"/>
      <c r="W28" s="152"/>
      <c r="X28" s="1099" t="str">
        <f t="shared" si="6"/>
        <v>Torbay</v>
      </c>
      <c r="Y28" s="44">
        <f>IF(ISNUMBER(H28),IDACI!D26,0)</f>
        <v>0</v>
      </c>
      <c r="Z28" s="44">
        <f>IF(ISNUMBER(H28),IDACI!E26,0)</f>
        <v>0</v>
      </c>
      <c r="AA28" s="1105" t="str">
        <f>IF(ISNUMBER(D28),Population!D27,"")</f>
        <v/>
      </c>
      <c r="AB28" s="205" t="str">
        <f>IF(ISNUMBER(E28),Population!E27,"")</f>
        <v/>
      </c>
      <c r="AC28" s="205" t="str">
        <f>IF(ISNUMBER(F28),Population!F27,"")</f>
        <v/>
      </c>
      <c r="AD28" s="205" t="str">
        <f>IF(ISNUMBER(G28),Population!G27,"")</f>
        <v/>
      </c>
      <c r="AE28" s="1106" t="str">
        <f>IF(ISNUMBER(H28),Population!H27,"")</f>
        <v/>
      </c>
      <c r="AF28" s="1100" t="s">
        <v>30</v>
      </c>
      <c r="AG28" s="231" t="str">
        <f t="shared" si="7"/>
        <v/>
      </c>
      <c r="AH28" s="206" t="e">
        <f t="shared" si="8"/>
        <v>#VALUE!</v>
      </c>
      <c r="AI28" s="202"/>
      <c r="AJ28" s="160"/>
      <c r="AK28" s="853" t="str">
        <f t="shared" si="1"/>
        <v>x</v>
      </c>
      <c r="AL28" s="853" t="str">
        <f t="shared" si="1"/>
        <v>x</v>
      </c>
      <c r="AM28" s="853" t="str">
        <f t="shared" si="1"/>
        <v>x</v>
      </c>
      <c r="AN28" s="853" t="str">
        <f t="shared" si="1"/>
        <v>x</v>
      </c>
      <c r="AO28" s="853" t="e">
        <f t="shared" si="2"/>
        <v>#DIV/0!</v>
      </c>
    </row>
    <row r="29" spans="1:41" s="87" customFormat="1" ht="13.5" customHeight="1" x14ac:dyDescent="0.2">
      <c r="A29" s="488">
        <f>VLOOKUP(B29,Sheet1!$AQ$4:$AR$25,2,FALSE)</f>
        <v>0</v>
      </c>
      <c r="B29" s="93" t="str">
        <f>Sheet1!$K$22</f>
        <v>West Berkshire</v>
      </c>
      <c r="C29" s="85"/>
      <c r="D29" s="100" t="str">
        <f>IF(Year1_West_Berkshire Year1_CAO_RO_Total="","",Year1_West_Berkshire Year1_CAO_RO_Total)</f>
        <v/>
      </c>
      <c r="E29" s="94" t="str">
        <f>IF(Year2_West_Berkshire Year2_CAO_RO_Total="","",Year2_West_Berkshire Year2_CAO_RO_Total)</f>
        <v/>
      </c>
      <c r="F29" s="100" t="str">
        <f>IF(Year3_West_Berkshire Year3_CAO_RO_Total="","",Year3_West_Berkshire Year3_CAO_RO_Total)</f>
        <v/>
      </c>
      <c r="G29" s="94" t="str">
        <f>IF(Year4_West_Berkshire Year4_CAO_RO_Total="","",Year4_West_Berkshire Year4_CAO_RO_Total)</f>
        <v/>
      </c>
      <c r="H29" s="298" t="str">
        <f>IF(Year5_West_Berkshire Year5_CAO_RO_Total="","",Year5_West_Berkshire Year5_CAO_RO_Total)</f>
        <v/>
      </c>
      <c r="I29" s="1093" t="e">
        <f t="shared" si="3"/>
        <v>#DIV/0!</v>
      </c>
      <c r="J29" s="863" t="e">
        <f t="shared" si="0"/>
        <v>#DIV/0!</v>
      </c>
      <c r="K29" s="96"/>
      <c r="L29" s="97" t="e">
        <f>IF(ISNUMBER(D29),D29/Population!D28*10000,NA())</f>
        <v>#N/A</v>
      </c>
      <c r="M29" s="97" t="e">
        <f>IF(ISNUMBER(E29),E29/Population!E28*10000,NA())</f>
        <v>#N/A</v>
      </c>
      <c r="N29" s="97" t="e">
        <f>IF(ISNUMBER(F29),F29/Population!F28*10000,NA())</f>
        <v>#N/A</v>
      </c>
      <c r="O29" s="97" t="e">
        <f>IF(ISNUMBER(G29),G29/Population!G28*10000,NA())</f>
        <v>#N/A</v>
      </c>
      <c r="P29" s="98" t="e">
        <f>IF(ISNUMBER(H29),H29/Population!H28*10000,NA())</f>
        <v>#N/A</v>
      </c>
      <c r="Q29" s="99" t="str">
        <f t="shared" si="4"/>
        <v/>
      </c>
      <c r="R29" s="822" t="e">
        <f t="shared" si="5"/>
        <v>#N/A</v>
      </c>
      <c r="S29" s="85"/>
      <c r="T29" s="99" t="e">
        <f>IF(ISNA(P29),NA(),IDACI!C27)</f>
        <v>#N/A</v>
      </c>
      <c r="U29" s="122"/>
      <c r="V29" s="139"/>
      <c r="W29" s="152"/>
      <c r="X29" s="1099" t="str">
        <f t="shared" si="6"/>
        <v>West Berkshire</v>
      </c>
      <c r="Y29" s="44">
        <f>IF(ISNUMBER(H29),IDACI!D27,0)</f>
        <v>0</v>
      </c>
      <c r="Z29" s="44">
        <f>IF(ISNUMBER(H29),IDACI!E27,0)</f>
        <v>0</v>
      </c>
      <c r="AA29" s="1105" t="str">
        <f>IF(ISNUMBER(D29),Population!D28,"")</f>
        <v/>
      </c>
      <c r="AB29" s="205" t="str">
        <f>IF(ISNUMBER(E29),Population!E28,"")</f>
        <v/>
      </c>
      <c r="AC29" s="205" t="str">
        <f>IF(ISNUMBER(F29),Population!F28,"")</f>
        <v/>
      </c>
      <c r="AD29" s="205" t="str">
        <f>IF(ISNUMBER(G29),Population!G28,"")</f>
        <v/>
      </c>
      <c r="AE29" s="1106" t="str">
        <f>IF(ISNUMBER(H29),Population!H28,"")</f>
        <v/>
      </c>
      <c r="AF29" s="1100" t="s">
        <v>16</v>
      </c>
      <c r="AG29" s="231" t="str">
        <f t="shared" si="7"/>
        <v/>
      </c>
      <c r="AH29" s="206" t="e">
        <f t="shared" si="8"/>
        <v>#VALUE!</v>
      </c>
      <c r="AI29" s="202"/>
      <c r="AJ29" s="160"/>
      <c r="AK29" s="853" t="str">
        <f t="shared" si="1"/>
        <v>x</v>
      </c>
      <c r="AL29" s="853" t="str">
        <f t="shared" si="1"/>
        <v>x</v>
      </c>
      <c r="AM29" s="853" t="str">
        <f t="shared" si="1"/>
        <v>x</v>
      </c>
      <c r="AN29" s="853" t="str">
        <f t="shared" si="1"/>
        <v>x</v>
      </c>
      <c r="AO29" s="853" t="e">
        <f t="shared" si="2"/>
        <v>#DIV/0!</v>
      </c>
    </row>
    <row r="30" spans="1:41" s="87" customFormat="1" ht="13.5" customHeight="1" x14ac:dyDescent="0.2">
      <c r="A30" s="488">
        <f>VLOOKUP(B30,Sheet1!$AQ$4:$AR$25,2,FALSE)</f>
        <v>0</v>
      </c>
      <c r="B30" s="93" t="str">
        <f>Sheet1!$K$23</f>
        <v>West Sussex</v>
      </c>
      <c r="C30" s="85"/>
      <c r="D30" s="100" t="str">
        <f>IF(Year1_West_Sussex Year1_CAO_RO_Total="","",Year1_West_Sussex Year1_CAO_RO_Total)</f>
        <v/>
      </c>
      <c r="E30" s="94" t="str">
        <f>IF(Year2_West_Sussex Year2_CAO_RO_Total="","",Year2_West_Sussex Year2_CAO_RO_Total)</f>
        <v/>
      </c>
      <c r="F30" s="100" t="str">
        <f>IF(Year3_West_Sussex Year3_CAO_RO_Total="","",Year3_West_Sussex Year3_CAO_RO_Total)</f>
        <v/>
      </c>
      <c r="G30" s="94" t="str">
        <f>IF(Year4_West_Sussex Year4_CAO_RO_Total="","",Year4_West_Sussex Year4_CAO_RO_Total)</f>
        <v/>
      </c>
      <c r="H30" s="298" t="str">
        <f>IF(Year5_West_Sussex Year5_CAO_RO_Total="","",Year5_West_Sussex Year5_CAO_RO_Total)</f>
        <v/>
      </c>
      <c r="I30" s="1093" t="e">
        <f t="shared" si="3"/>
        <v>#DIV/0!</v>
      </c>
      <c r="J30" s="863" t="e">
        <f t="shared" si="0"/>
        <v>#DIV/0!</v>
      </c>
      <c r="K30" s="96"/>
      <c r="L30" s="97" t="e">
        <f>IF(ISNUMBER(D30),D30/Population!D29*10000,NA())</f>
        <v>#N/A</v>
      </c>
      <c r="M30" s="97" t="e">
        <f>IF(ISNUMBER(E30),E30/Population!E29*10000,NA())</f>
        <v>#N/A</v>
      </c>
      <c r="N30" s="97" t="e">
        <f>IF(ISNUMBER(F30),F30/Population!F29*10000,NA())</f>
        <v>#N/A</v>
      </c>
      <c r="O30" s="97" t="e">
        <f>IF(ISNUMBER(G30),G30/Population!G29*10000,NA())</f>
        <v>#N/A</v>
      </c>
      <c r="P30" s="98" t="e">
        <f>IF(ISNUMBER(H30),H30/Population!H29*10000,NA())</f>
        <v>#N/A</v>
      </c>
      <c r="Q30" s="99" t="str">
        <f t="shared" si="4"/>
        <v/>
      </c>
      <c r="R30" s="822" t="e">
        <f t="shared" si="5"/>
        <v>#N/A</v>
      </c>
      <c r="S30" s="85"/>
      <c r="T30" s="99" t="e">
        <f>IF(ISNA(P30),NA(),IDACI!C28)</f>
        <v>#N/A</v>
      </c>
      <c r="U30" s="122"/>
      <c r="V30" s="139"/>
      <c r="W30" s="152"/>
      <c r="X30" s="1099" t="str">
        <f t="shared" si="6"/>
        <v>West Sussex</v>
      </c>
      <c r="Y30" s="44">
        <f>IF(ISNUMBER(H30),IDACI!D28,0)</f>
        <v>0</v>
      </c>
      <c r="Z30" s="44">
        <f>IF(ISNUMBER(H30),IDACI!E28,0)</f>
        <v>0</v>
      </c>
      <c r="AA30" s="1105" t="str">
        <f>IF(ISNUMBER(D30),Population!D29,"")</f>
        <v/>
      </c>
      <c r="AB30" s="205" t="str">
        <f>IF(ISNUMBER(E30),Population!E29,"")</f>
        <v/>
      </c>
      <c r="AC30" s="205" t="str">
        <f>IF(ISNUMBER(F30),Population!F29,"")</f>
        <v/>
      </c>
      <c r="AD30" s="205" t="str">
        <f>IF(ISNUMBER(G30),Population!G29,"")</f>
        <v/>
      </c>
      <c r="AE30" s="1106" t="str">
        <f>IF(ISNUMBER(H30),Population!H29,"")</f>
        <v/>
      </c>
      <c r="AF30" s="296"/>
      <c r="AG30" s="297"/>
      <c r="AH30" s="190"/>
      <c r="AI30" s="202"/>
      <c r="AJ30" s="160"/>
      <c r="AK30" s="853" t="str">
        <f t="shared" si="1"/>
        <v>x</v>
      </c>
      <c r="AL30" s="853" t="str">
        <f t="shared" si="1"/>
        <v>x</v>
      </c>
      <c r="AM30" s="853" t="str">
        <f t="shared" si="1"/>
        <v>x</v>
      </c>
      <c r="AN30" s="853" t="str">
        <f t="shared" si="1"/>
        <v>x</v>
      </c>
      <c r="AO30" s="853" t="e">
        <f t="shared" si="2"/>
        <v>#DIV/0!</v>
      </c>
    </row>
    <row r="31" spans="1:41" s="87" customFormat="1" ht="13.5" customHeight="1" x14ac:dyDescent="0.2">
      <c r="A31" s="488">
        <f>VLOOKUP(B31,Sheet1!$AQ$4:$AR$25,2,FALSE)</f>
        <v>0</v>
      </c>
      <c r="B31" s="93" t="str">
        <f>Sheet1!$K$24</f>
        <v>Windsor &amp; Maidenhead</v>
      </c>
      <c r="C31" s="85"/>
      <c r="D31" s="94" t="str">
        <f>IF(Year1_Windsor_Maidenhead Year1_CAO_RO_Total="","",Year1_Windsor_Maidenhead Year1_CAO_RO_Total)</f>
        <v/>
      </c>
      <c r="E31" s="94" t="str">
        <f>IF(Year2_Windsor_Maidenhead Year2_CAO_RO_Total="","",Year2_Windsor_Maidenhead Year2_CAO_RO_Total)</f>
        <v/>
      </c>
      <c r="F31" s="94" t="str">
        <f>IF(Year3_Windsor_Maidenhead Year3_CAO_RO_Total="","",Year3_Windsor_Maidenhead Year3_CAO_RO_Total)</f>
        <v/>
      </c>
      <c r="G31" s="94" t="str">
        <f>IF(Year4_Windsor_Maidenhead Year4_CAO_RO_Total="","",Year4_Windsor_Maidenhead Year4_CAO_RO_Total)</f>
        <v/>
      </c>
      <c r="H31" s="298" t="str">
        <f>IF(Year5_Windsor_Maidenhead Year5_CAO_RO_Total="","",Year5_Windsor_Maidenhead Year5_CAO_RO_Total)</f>
        <v/>
      </c>
      <c r="I31" s="1093" t="e">
        <f t="shared" si="3"/>
        <v>#DIV/0!</v>
      </c>
      <c r="J31" s="863" t="e">
        <f t="shared" si="0"/>
        <v>#DIV/0!</v>
      </c>
      <c r="K31" s="96"/>
      <c r="L31" s="97" t="e">
        <f>IF(ISNUMBER(D31),D31/Population!D30*10000,NA())</f>
        <v>#N/A</v>
      </c>
      <c r="M31" s="97" t="e">
        <f>IF(ISNUMBER(E31),E31/Population!E30*10000,NA())</f>
        <v>#N/A</v>
      </c>
      <c r="N31" s="97" t="e">
        <f>IF(ISNUMBER(F31),F31/Population!F30*10000,NA())</f>
        <v>#N/A</v>
      </c>
      <c r="O31" s="97" t="e">
        <f>IF(ISNUMBER(G31),G31/Population!G30*10000,NA())</f>
        <v>#N/A</v>
      </c>
      <c r="P31" s="98" t="e">
        <f>IF(ISNUMBER(H31),H31/Population!H30*10000,NA())</f>
        <v>#N/A</v>
      </c>
      <c r="Q31" s="99" t="str">
        <f t="shared" si="4"/>
        <v/>
      </c>
      <c r="R31" s="822" t="e">
        <f t="shared" si="5"/>
        <v>#N/A</v>
      </c>
      <c r="S31" s="85"/>
      <c r="T31" s="99" t="e">
        <f>IF(ISNA(P31),NA(),IDACI!C29)</f>
        <v>#N/A</v>
      </c>
      <c r="U31" s="122"/>
      <c r="V31" s="139"/>
      <c r="W31" s="152"/>
      <c r="X31" s="1099" t="str">
        <f t="shared" si="6"/>
        <v>Windsor &amp; Maidenhead</v>
      </c>
      <c r="Y31" s="44">
        <f>IF(ISNUMBER(H31),IDACI!D29,0)</f>
        <v>0</v>
      </c>
      <c r="Z31" s="44">
        <f>IF(ISNUMBER(H31),IDACI!E29,0)</f>
        <v>0</v>
      </c>
      <c r="AA31" s="1105" t="str">
        <f>IF(ISNUMBER(D31),Population!D30,"")</f>
        <v/>
      </c>
      <c r="AB31" s="205" t="str">
        <f>IF(ISNUMBER(E31),Population!E30,"")</f>
        <v/>
      </c>
      <c r="AC31" s="205" t="str">
        <f>IF(ISNUMBER(F31),Population!F30,"")</f>
        <v/>
      </c>
      <c r="AD31" s="205" t="str">
        <f>IF(ISNUMBER(G31),Population!G30,"")</f>
        <v/>
      </c>
      <c r="AE31" s="1106" t="str">
        <f>IF(ISNUMBER(H31),Population!H30,"")</f>
        <v/>
      </c>
      <c r="AF31" s="296"/>
      <c r="AG31" s="297"/>
      <c r="AH31" s="190"/>
      <c r="AI31" s="202"/>
      <c r="AJ31" s="160"/>
      <c r="AK31" s="853" t="str">
        <f t="shared" si="1"/>
        <v>x</v>
      </c>
      <c r="AL31" s="853" t="str">
        <f t="shared" si="1"/>
        <v>x</v>
      </c>
      <c r="AM31" s="853" t="str">
        <f t="shared" si="1"/>
        <v>x</v>
      </c>
      <c r="AN31" s="853" t="str">
        <f t="shared" si="1"/>
        <v>x</v>
      </c>
      <c r="AO31" s="853" t="e">
        <f t="shared" si="2"/>
        <v>#DIV/0!</v>
      </c>
    </row>
    <row r="32" spans="1:41" s="87" customFormat="1" ht="13.5" customHeight="1" x14ac:dyDescent="0.2">
      <c r="A32" s="488">
        <f>VLOOKUP(B32,Sheet1!$AQ$4:$AR$25,2,FALSE)</f>
        <v>0</v>
      </c>
      <c r="B32" s="93" t="str">
        <f>Sheet1!$K$25</f>
        <v>Wokingham</v>
      </c>
      <c r="C32" s="85"/>
      <c r="D32" s="94" t="str">
        <f>IF(Year1_Wokingham Year1_CAO_RO_Total="","",Year1_Wokingham Year1_CAO_RO_Total)</f>
        <v/>
      </c>
      <c r="E32" s="94" t="str">
        <f>IF(Year2_Wokingham Year2_CAO_RO_Total="","",Year2_Wokingham Year2_CAO_RO_Total)</f>
        <v/>
      </c>
      <c r="F32" s="94" t="str">
        <f>IF(Year3_Wokingham Year3_CAO_RO_Total="","",Year3_Wokingham Year3_CAO_RO_Total)</f>
        <v/>
      </c>
      <c r="G32" s="94" t="str">
        <f>IF(Year4_Wokingham Year4_CAO_RO_Total="","",Year4_Wokingham Year4_CAO_RO_Total)</f>
        <v/>
      </c>
      <c r="H32" s="298" t="str">
        <f>IF(Year5_Wokingham Year5_CAO_RO_Total="","",Year5_Wokingham Year5_CAO_RO_Total)</f>
        <v/>
      </c>
      <c r="I32" s="1093" t="e">
        <f t="shared" si="3"/>
        <v>#DIV/0!</v>
      </c>
      <c r="J32" s="863" t="e">
        <f t="shared" si="0"/>
        <v>#DIV/0!</v>
      </c>
      <c r="K32" s="96"/>
      <c r="L32" s="97" t="e">
        <f>IF(ISNUMBER(D32),D32/Population!D31*10000,NA())</f>
        <v>#N/A</v>
      </c>
      <c r="M32" s="97" t="e">
        <f>IF(ISNUMBER(E32),E32/Population!E31*10000,NA())</f>
        <v>#N/A</v>
      </c>
      <c r="N32" s="97" t="e">
        <f>IF(ISNUMBER(F32),F32/Population!F31*10000,NA())</f>
        <v>#N/A</v>
      </c>
      <c r="O32" s="97" t="e">
        <f>IF(ISNUMBER(G32),G32/Population!G31*10000,NA())</f>
        <v>#N/A</v>
      </c>
      <c r="P32" s="98" t="e">
        <f>IF(ISNUMBER(H32),H32/Population!H31*10000,NA())</f>
        <v>#N/A</v>
      </c>
      <c r="Q32" s="99" t="str">
        <f t="shared" si="4"/>
        <v/>
      </c>
      <c r="R32" s="822" t="e">
        <f t="shared" si="5"/>
        <v>#N/A</v>
      </c>
      <c r="S32" s="85"/>
      <c r="T32" s="99" t="e">
        <f>IF(ISNA(P32),NA(),IDACI!C30)</f>
        <v>#N/A</v>
      </c>
      <c r="U32" s="122"/>
      <c r="V32" s="139"/>
      <c r="W32" s="152"/>
      <c r="X32" s="1099" t="str">
        <f t="shared" si="6"/>
        <v>Wokingham</v>
      </c>
      <c r="Y32" s="44">
        <f>IF(ISNUMBER(H32),IDACI!D30,0)</f>
        <v>0</v>
      </c>
      <c r="Z32" s="44">
        <f>IF(ISNUMBER(H32),IDACI!E30,0)</f>
        <v>0</v>
      </c>
      <c r="AA32" s="1105" t="str">
        <f>IF(ISNUMBER(D32),Population!D31,"")</f>
        <v/>
      </c>
      <c r="AB32" s="205" t="str">
        <f>IF(ISNUMBER(E32),Population!E31,"")</f>
        <v/>
      </c>
      <c r="AC32" s="205" t="str">
        <f>IF(ISNUMBER(F32),Population!F31,"")</f>
        <v/>
      </c>
      <c r="AD32" s="205" t="str">
        <f>IF(ISNUMBER(G32),Population!G31,"")</f>
        <v/>
      </c>
      <c r="AE32" s="1106" t="str">
        <f>IF(ISNUMBER(H32),Population!H31,"")</f>
        <v/>
      </c>
      <c r="AF32" s="296"/>
      <c r="AG32" s="297"/>
      <c r="AH32" s="190"/>
      <c r="AI32" s="202"/>
      <c r="AJ32" s="160"/>
      <c r="AK32" s="1025" t="str">
        <f t="shared" ref="AK32:AN33" si="9">IF(ISERROR((M32-L32)/L32),"x",(M32-L32)/L32)</f>
        <v>x</v>
      </c>
      <c r="AL32" s="1025" t="str">
        <f t="shared" si="9"/>
        <v>x</v>
      </c>
      <c r="AM32" s="1025" t="str">
        <f t="shared" si="9"/>
        <v>x</v>
      </c>
      <c r="AN32" s="1025" t="str">
        <f t="shared" si="9"/>
        <v>x</v>
      </c>
      <c r="AO32" s="853" t="e">
        <f>AVERAGE(AK32:AN32)</f>
        <v>#DIV/0!</v>
      </c>
    </row>
    <row r="33" spans="1:53" s="87" customFormat="1" ht="13.5" customHeight="1" x14ac:dyDescent="0.2">
      <c r="A33" s="121"/>
      <c r="B33" s="129" t="str">
        <f>Sheet1!$K$26</f>
        <v>South East</v>
      </c>
      <c r="C33" s="85"/>
      <c r="D33" s="130" t="e">
        <f>IF(Year1_SouthEast Year1_CAO_RO_Total=0,NA(),Year1_SouthEast Year1_CAO_RO_Total)</f>
        <v>#N/A</v>
      </c>
      <c r="E33" s="130" t="str">
        <f>IF(Year2_SouthEast Year2_CAO_RO_Total="","",Year2_SouthEast Year2_CAO_RO_Total)</f>
        <v/>
      </c>
      <c r="F33" s="130" t="str">
        <f>IF(Year3_SouthEast Year3_CAO_RO_Total="","",Year3_SouthEast Year3_CAO_RO_Total)</f>
        <v/>
      </c>
      <c r="G33" s="130" t="str">
        <f>IF(Year4_SouthEast Year4_CAO_RO_Total="","",Year4_SouthEast Year4_CAO_RO_Total)</f>
        <v/>
      </c>
      <c r="H33" s="425" t="str">
        <f>IF(Year5_SouthEast Year5_CAO_RO_Total="","",Year5_SouthEast Year5_CAO_RO_Total)</f>
        <v/>
      </c>
      <c r="I33" s="862" t="e">
        <f t="shared" si="3"/>
        <v>#DIV/0!</v>
      </c>
      <c r="J33" s="863" t="e">
        <f t="shared" si="0"/>
        <v>#DIV/0!</v>
      </c>
      <c r="K33" s="96"/>
      <c r="L33" s="132" t="e">
        <f>IF(ISNUMBER(D33),D33/AA33*10000,NA())</f>
        <v>#N/A</v>
      </c>
      <c r="M33" s="132" t="e">
        <f>IF(ISNUMBER(E33),E33/AB33*10000,NA())</f>
        <v>#N/A</v>
      </c>
      <c r="N33" s="132" t="e">
        <f>IF(ISNUMBER(F33),F33/AC33*10000,NA())</f>
        <v>#N/A</v>
      </c>
      <c r="O33" s="132" t="e">
        <f>IF(ISNUMBER(G33),G33/AD33*10000,NA())</f>
        <v>#N/A</v>
      </c>
      <c r="P33" s="133" t="e">
        <f>IF(ISNUMBER(H33),H33/AE33*10000,NA())</f>
        <v>#N/A</v>
      </c>
      <c r="Q33" s="99" t="str">
        <f t="shared" si="4"/>
        <v/>
      </c>
      <c r="R33" s="134" t="str">
        <f t="shared" si="5"/>
        <v>--</v>
      </c>
      <c r="S33" s="85"/>
      <c r="T33" s="135" t="e">
        <f>$Z$33/$Y$33*100</f>
        <v>#DIV/0!</v>
      </c>
      <c r="U33" s="122"/>
      <c r="V33" s="139"/>
      <c r="W33" s="152"/>
      <c r="X33" s="1099" t="str">
        <f t="shared" si="6"/>
        <v>South East</v>
      </c>
      <c r="Y33" s="1097">
        <f t="shared" ref="Y33:AE33" si="10">SUM(Y11:Y23,Y25:Y26,Y29:Y32)</f>
        <v>0</v>
      </c>
      <c r="Z33" s="1098">
        <f t="shared" si="10"/>
        <v>0</v>
      </c>
      <c r="AA33" s="1105">
        <f t="shared" si="10"/>
        <v>0</v>
      </c>
      <c r="AB33" s="205">
        <f t="shared" si="10"/>
        <v>0</v>
      </c>
      <c r="AC33" s="205">
        <f t="shared" si="10"/>
        <v>0</v>
      </c>
      <c r="AD33" s="205">
        <f t="shared" si="10"/>
        <v>0</v>
      </c>
      <c r="AE33" s="1106">
        <f t="shared" si="10"/>
        <v>0</v>
      </c>
      <c r="AF33" s="296"/>
      <c r="AG33" s="202"/>
      <c r="AH33" s="190"/>
      <c r="AI33" s="202"/>
      <c r="AJ33" s="160"/>
      <c r="AK33" s="1025" t="str">
        <f t="shared" si="9"/>
        <v>x</v>
      </c>
      <c r="AL33" s="1025" t="str">
        <f t="shared" si="9"/>
        <v>x</v>
      </c>
      <c r="AM33" s="1025" t="str">
        <f t="shared" si="9"/>
        <v>x</v>
      </c>
      <c r="AN33" s="1025" t="str">
        <f t="shared" si="9"/>
        <v>x</v>
      </c>
      <c r="AO33" s="853" t="e">
        <f>AVERAGE(AK33:AN33)</f>
        <v>#DIV/0!</v>
      </c>
    </row>
    <row r="34" spans="1:53" s="81" customFormat="1" ht="15" customHeight="1" x14ac:dyDescent="0.2">
      <c r="A34" s="118"/>
      <c r="B34" s="123" t="s">
        <v>90</v>
      </c>
      <c r="C34" s="63"/>
      <c r="D34" s="63"/>
      <c r="E34" s="63"/>
      <c r="F34" s="63"/>
      <c r="G34" s="63"/>
      <c r="H34" s="63"/>
      <c r="I34" s="63"/>
      <c r="J34" s="63"/>
      <c r="K34" s="63"/>
      <c r="L34" s="63"/>
      <c r="M34" s="63"/>
      <c r="N34" s="63"/>
      <c r="O34" s="63"/>
      <c r="P34" s="63"/>
      <c r="Q34" s="63"/>
      <c r="R34" s="136" t="s">
        <v>108</v>
      </c>
      <c r="S34" s="63"/>
      <c r="T34" s="63"/>
      <c r="U34" s="117"/>
      <c r="V34" s="137"/>
      <c r="W34" s="150"/>
      <c r="X34" s="80"/>
      <c r="Y34" s="80"/>
      <c r="Z34" s="80"/>
      <c r="AA34" s="80"/>
      <c r="AB34" s="80"/>
      <c r="AC34" s="80"/>
      <c r="AD34" s="80"/>
      <c r="AE34" s="80"/>
      <c r="AF34" s="184"/>
      <c r="AG34" s="184"/>
      <c r="AI34" s="184"/>
      <c r="AJ34" s="161"/>
      <c r="AR34" s="87"/>
      <c r="AS34" s="87"/>
      <c r="AT34" s="87"/>
      <c r="AU34" s="87"/>
      <c r="AV34" s="87"/>
    </row>
    <row r="35" spans="1:53" s="81" customFormat="1" ht="32.25" customHeight="1" x14ac:dyDescent="0.2">
      <c r="A35" s="118"/>
      <c r="B35" s="1923"/>
      <c r="C35" s="1763"/>
      <c r="D35" s="1763"/>
      <c r="E35" s="1763"/>
      <c r="F35" s="1763"/>
      <c r="G35" s="1763"/>
      <c r="H35" s="1763"/>
      <c r="I35" s="1763"/>
      <c r="J35" s="1763"/>
      <c r="K35" s="1763"/>
      <c r="L35" s="1763"/>
      <c r="M35" s="1763"/>
      <c r="N35" s="1763"/>
      <c r="O35" s="1763"/>
      <c r="P35" s="1763"/>
      <c r="Q35" s="1763"/>
      <c r="R35" s="1763"/>
      <c r="S35" s="1763"/>
      <c r="T35" s="1764"/>
      <c r="U35" s="117"/>
      <c r="V35" s="137"/>
      <c r="W35" s="150"/>
      <c r="X35" s="80"/>
      <c r="Y35" s="184"/>
      <c r="Z35" s="184"/>
      <c r="AA35" s="184"/>
      <c r="AB35" s="184"/>
      <c r="AC35" s="184"/>
      <c r="AD35" s="184"/>
      <c r="AE35" s="184"/>
      <c r="AF35" s="184"/>
      <c r="AG35" s="184"/>
      <c r="AI35" s="184"/>
      <c r="AJ35" s="157"/>
      <c r="AK35" s="74"/>
      <c r="AL35" s="74">
        <v>11</v>
      </c>
      <c r="AM35" s="74">
        <v>12</v>
      </c>
      <c r="AN35" s="74">
        <v>13</v>
      </c>
      <c r="AO35" s="74">
        <v>14</v>
      </c>
      <c r="AP35" s="74">
        <v>15</v>
      </c>
      <c r="AQ35" s="74">
        <v>19</v>
      </c>
      <c r="AR35" s="87"/>
      <c r="AS35" s="87"/>
      <c r="AT35" s="87"/>
      <c r="AU35" s="87"/>
      <c r="AV35" s="87"/>
    </row>
    <row r="36" spans="1:53" s="81" customFormat="1" ht="7.5" customHeight="1" x14ac:dyDescent="0.2">
      <c r="A36" s="118"/>
      <c r="B36" s="17"/>
      <c r="C36" s="17"/>
      <c r="D36" s="16"/>
      <c r="E36" s="16"/>
      <c r="F36" s="16"/>
      <c r="G36" s="16"/>
      <c r="H36" s="16"/>
      <c r="I36" s="16"/>
      <c r="J36" s="16"/>
      <c r="K36" s="12"/>
      <c r="L36" s="18"/>
      <c r="M36" s="18"/>
      <c r="N36" s="18"/>
      <c r="O36" s="18"/>
      <c r="P36" s="18"/>
      <c r="Q36" s="18"/>
      <c r="R36" s="18"/>
      <c r="S36" s="18"/>
      <c r="T36" s="19"/>
      <c r="U36" s="117"/>
      <c r="V36" s="137"/>
      <c r="W36" s="150"/>
      <c r="Y36" s="190"/>
      <c r="AI36" s="184"/>
      <c r="AJ36" s="157"/>
      <c r="AK36" s="74"/>
      <c r="AL36" s="74"/>
      <c r="AM36" s="74"/>
      <c r="AN36" s="74"/>
      <c r="AO36" s="74"/>
      <c r="AP36" s="74"/>
      <c r="AQ36" s="74"/>
      <c r="AR36" s="87"/>
      <c r="AS36" s="87"/>
      <c r="AT36" s="87"/>
      <c r="AU36" s="87"/>
      <c r="AV36" s="87"/>
    </row>
    <row r="37" spans="1:53" s="81" customFormat="1" ht="15" customHeight="1" x14ac:dyDescent="0.2">
      <c r="A37" s="1716"/>
      <c r="B37" s="1760"/>
      <c r="C37" s="1760"/>
      <c r="D37" s="1760"/>
      <c r="E37" s="1760"/>
      <c r="F37" s="1760"/>
      <c r="G37" s="1760"/>
      <c r="H37" s="1760"/>
      <c r="I37" s="1760"/>
      <c r="J37" s="1760"/>
      <c r="K37" s="1760"/>
      <c r="L37" s="1760"/>
      <c r="M37" s="1760"/>
      <c r="N37" s="1760"/>
      <c r="O37" s="1760"/>
      <c r="P37" s="1760"/>
      <c r="Q37" s="1760"/>
      <c r="R37" s="1760"/>
      <c r="S37" s="1760"/>
      <c r="T37" s="1760"/>
      <c r="U37" s="1761"/>
      <c r="V37" s="137"/>
      <c r="W37" s="150"/>
      <c r="Y37" s="190"/>
      <c r="AJ37" s="161"/>
      <c r="AK37" s="755" t="s">
        <v>116</v>
      </c>
      <c r="AR37" s="87"/>
      <c r="AS37" s="87"/>
      <c r="AT37" s="87"/>
      <c r="AU37" s="87"/>
      <c r="AV37" s="87"/>
    </row>
    <row r="38" spans="1:53" s="81" customFormat="1" ht="11.25" customHeight="1" x14ac:dyDescent="0.2">
      <c r="A38" s="1847" t="str">
        <f>Home!$A$39</f>
        <v xml:space="preserve"> </v>
      </c>
      <c r="B38" s="1828"/>
      <c r="C38" s="1828"/>
      <c r="D38" s="1828"/>
      <c r="E38" s="1828"/>
      <c r="F38" s="1828"/>
      <c r="G38" s="1828"/>
      <c r="H38" s="1828"/>
      <c r="I38" s="1828"/>
      <c r="J38" s="1828"/>
      <c r="K38" s="1828"/>
      <c r="L38" s="1828"/>
      <c r="M38" s="1828"/>
      <c r="N38" s="1828"/>
      <c r="O38" s="1828"/>
      <c r="P38" s="1828"/>
      <c r="Q38" s="1828"/>
      <c r="R38" s="1828"/>
      <c r="S38" s="1828"/>
      <c r="T38" s="1828"/>
      <c r="U38" s="1829"/>
      <c r="V38" s="137"/>
      <c r="W38" s="150"/>
      <c r="Y38" s="190"/>
      <c r="AI38" s="184"/>
      <c r="AJ38" s="160"/>
      <c r="AK38" s="87"/>
      <c r="AL38" s="224" t="s">
        <v>89</v>
      </c>
      <c r="AM38" s="225"/>
      <c r="AN38" s="225"/>
      <c r="AO38" s="225"/>
      <c r="AP38" s="225"/>
      <c r="AQ38" s="1773" t="s">
        <v>1213</v>
      </c>
      <c r="AR38" s="87"/>
      <c r="AS38" s="87"/>
      <c r="AT38" s="87"/>
      <c r="AU38" s="87"/>
      <c r="AV38" s="87"/>
    </row>
    <row r="39" spans="1:53" s="81" customFormat="1" ht="11.25" customHeight="1" x14ac:dyDescent="0.2">
      <c r="A39" s="112"/>
      <c r="B39" s="113"/>
      <c r="C39" s="113"/>
      <c r="D39" s="113"/>
      <c r="E39" s="113"/>
      <c r="F39" s="113"/>
      <c r="G39" s="113"/>
      <c r="H39" s="113"/>
      <c r="I39" s="113"/>
      <c r="J39" s="113"/>
      <c r="K39" s="114"/>
      <c r="L39" s="113"/>
      <c r="M39" s="113"/>
      <c r="N39" s="113"/>
      <c r="O39" s="113"/>
      <c r="P39" s="113"/>
      <c r="Q39" s="113"/>
      <c r="R39" s="113"/>
      <c r="S39" s="113"/>
      <c r="T39" s="113"/>
      <c r="U39" s="115"/>
      <c r="V39" s="137"/>
      <c r="W39" s="300" t="s">
        <v>101</v>
      </c>
      <c r="X39" s="197"/>
      <c r="Y39" s="197"/>
      <c r="Z39" s="197"/>
      <c r="AA39" s="197"/>
      <c r="AB39" s="197"/>
      <c r="AI39" s="184"/>
      <c r="AJ39" s="160"/>
      <c r="AK39" s="87"/>
      <c r="AL39" s="758" t="str">
        <f>Sheet1!$D$27</f>
        <v>2015-16</v>
      </c>
      <c r="AM39" s="758" t="str">
        <f>Sheet1!$E$27</f>
        <v>2016-17</v>
      </c>
      <c r="AN39" s="758" t="str">
        <f>Sheet1!$F$27</f>
        <v>2017-18</v>
      </c>
      <c r="AO39" s="758" t="str">
        <f>Sheet1!$G$27</f>
        <v>2018-19</v>
      </c>
      <c r="AP39" s="758" t="str">
        <f>Sheet1!$H$27</f>
        <v>2019-20</v>
      </c>
      <c r="AQ39" s="1974"/>
      <c r="AR39" s="87"/>
      <c r="AS39" s="87"/>
      <c r="AT39" s="87"/>
      <c r="AU39" s="87"/>
      <c r="AV39" s="87"/>
    </row>
    <row r="40" spans="1:53" s="81" customFormat="1" ht="3.75" customHeight="1" x14ac:dyDescent="0.25">
      <c r="A40" s="116"/>
      <c r="B40" s="9"/>
      <c r="C40" s="9"/>
      <c r="D40" s="9"/>
      <c r="E40" s="9"/>
      <c r="F40" s="9"/>
      <c r="G40" s="9"/>
      <c r="H40" s="9"/>
      <c r="I40" s="9"/>
      <c r="J40" s="9"/>
      <c r="K40" s="12"/>
      <c r="L40" s="9"/>
      <c r="M40" s="9"/>
      <c r="N40" s="9"/>
      <c r="O40" s="9"/>
      <c r="P40" s="9"/>
      <c r="Q40" s="9"/>
      <c r="R40" s="9"/>
      <c r="S40" s="9"/>
      <c r="T40" s="9"/>
      <c r="U40" s="117"/>
      <c r="V40" s="137"/>
      <c r="W40" s="294"/>
      <c r="AC40" s="1320" t="s">
        <v>977</v>
      </c>
      <c r="AJ40" s="160"/>
      <c r="AK40" s="87"/>
      <c r="AL40" s="758" t="e">
        <f>Sheet1!$D$28</f>
        <v>#N/A</v>
      </c>
      <c r="AM40" s="758" t="e">
        <f>Sheet1!$E$28</f>
        <v>#N/A</v>
      </c>
      <c r="AN40" s="758" t="e">
        <f>Sheet1!$F$28</f>
        <v>#N/A</v>
      </c>
      <c r="AO40" s="758" t="e">
        <f>Sheet1!$G$28</f>
        <v>#N/A</v>
      </c>
      <c r="AP40" s="758" t="e">
        <f>Sheet1!$H$28</f>
        <v>#N/A</v>
      </c>
      <c r="AQ40" s="1974"/>
      <c r="AR40" s="87"/>
      <c r="AS40" s="87"/>
      <c r="AT40" s="87"/>
      <c r="AU40" s="87"/>
      <c r="AV40" s="87"/>
    </row>
    <row r="41" spans="1:53" s="81" customFormat="1" ht="14.25" customHeight="1" x14ac:dyDescent="0.2">
      <c r="A41" s="118"/>
      <c r="B41" s="9"/>
      <c r="C41" s="9"/>
      <c r="D41" s="9"/>
      <c r="E41" s="9"/>
      <c r="F41" s="9"/>
      <c r="G41" s="9"/>
      <c r="H41" s="9"/>
      <c r="I41" s="9"/>
      <c r="J41" s="9"/>
      <c r="K41" s="12"/>
      <c r="L41" s="9"/>
      <c r="M41" s="9"/>
      <c r="N41" s="9"/>
      <c r="O41" s="9"/>
      <c r="P41" s="9"/>
      <c r="Q41" s="9"/>
      <c r="R41" s="9"/>
      <c r="S41" s="9"/>
      <c r="T41" s="9"/>
      <c r="U41" s="117"/>
      <c r="V41" s="137"/>
      <c r="W41" s="294"/>
      <c r="X41" s="43" t="s">
        <v>72</v>
      </c>
      <c r="Y41" s="43" t="s">
        <v>70</v>
      </c>
      <c r="Z41" s="43" t="s">
        <v>71</v>
      </c>
      <c r="AA41" s="1194">
        <v>5</v>
      </c>
      <c r="AB41" s="216" t="e">
        <f>(AA41*Y42)+Z42</f>
        <v>#DIV/0!</v>
      </c>
      <c r="AC41" s="206" t="e">
        <f>ROUND(ChartLabels!$AA23,4)</f>
        <v>#DIV/0!</v>
      </c>
      <c r="AI41" s="585" t="b">
        <v>1</v>
      </c>
      <c r="AJ41" s="160" t="s">
        <v>0</v>
      </c>
      <c r="AK41" s="87" t="str">
        <f t="shared" ref="AK41:AK56" si="11">IF(AI41=TRUE,B11,"")</f>
        <v>Bracknell Forest</v>
      </c>
      <c r="AL41" s="146" t="e">
        <f>VLOOKUP($AK41,$B$11:$P$33,AL$35,FALSE)</f>
        <v>#N/A</v>
      </c>
      <c r="AM41" s="146" t="e">
        <f t="shared" ref="AM41:AP56" si="12">VLOOKUP($AK41,$B$11:$P$33,AM$35,FALSE)</f>
        <v>#N/A</v>
      </c>
      <c r="AN41" s="146" t="e">
        <f t="shared" si="12"/>
        <v>#N/A</v>
      </c>
      <c r="AO41" s="146" t="e">
        <f t="shared" si="12"/>
        <v>#N/A</v>
      </c>
      <c r="AP41" s="146" t="e">
        <f t="shared" si="12"/>
        <v>#N/A</v>
      </c>
      <c r="AQ41" s="1136" t="e">
        <f>VLOOKUP(AK41,$B$11:$T$33,AQ$35,FALSE)</f>
        <v>#N/A</v>
      </c>
      <c r="AR41" s="87"/>
      <c r="AS41" s="87"/>
      <c r="AT41" s="87"/>
      <c r="AU41" s="87"/>
      <c r="AV41" s="87"/>
    </row>
    <row r="42" spans="1:53" s="81" customFormat="1" ht="14.25" customHeight="1" x14ac:dyDescent="0.2">
      <c r="A42" s="118"/>
      <c r="B42" s="9"/>
      <c r="C42" s="9"/>
      <c r="D42" s="9"/>
      <c r="E42" s="9"/>
      <c r="F42" s="9"/>
      <c r="G42" s="9"/>
      <c r="H42" s="9"/>
      <c r="I42" s="9"/>
      <c r="J42" s="9"/>
      <c r="K42" s="12"/>
      <c r="L42" s="9"/>
      <c r="M42" s="9"/>
      <c r="N42" s="9"/>
      <c r="O42" s="9"/>
      <c r="P42" s="9"/>
      <c r="Q42" s="9"/>
      <c r="R42" s="9"/>
      <c r="S42" s="9"/>
      <c r="T42" s="9"/>
      <c r="U42" s="117"/>
      <c r="V42" s="137"/>
      <c r="W42" s="294"/>
      <c r="X42" s="212" t="e">
        <f>"Y= "&amp;Y42&amp;"x + "&amp;Z42</f>
        <v>#DIV/0!</v>
      </c>
      <c r="Y42" s="743" t="e">
        <f>ChartLabels!$Y23</f>
        <v>#DIV/0!</v>
      </c>
      <c r="Z42" s="743" t="e">
        <f>ChartLabels!$Z23</f>
        <v>#DIV/0!</v>
      </c>
      <c r="AA42" s="215">
        <v>35</v>
      </c>
      <c r="AB42" s="216" t="e">
        <f>(AA42*Y42)+Z42</f>
        <v>#DIV/0!</v>
      </c>
      <c r="AC42" s="1319" t="e">
        <f>AC40&amp;" = "&amp;AC41</f>
        <v>#DIV/0!</v>
      </c>
      <c r="AI42" s="585" t="b">
        <v>1</v>
      </c>
      <c r="AJ42" s="160" t="s">
        <v>31</v>
      </c>
      <c r="AK42" s="87" t="str">
        <f t="shared" si="11"/>
        <v>Brighton &amp; Hove</v>
      </c>
      <c r="AL42" s="146" t="e">
        <f t="shared" ref="AL42:AP64" si="13">VLOOKUP($AK42,$B$11:$P$33,AL$35,FALSE)</f>
        <v>#N/A</v>
      </c>
      <c r="AM42" s="146" t="e">
        <f t="shared" si="12"/>
        <v>#N/A</v>
      </c>
      <c r="AN42" s="146" t="e">
        <f t="shared" si="12"/>
        <v>#N/A</v>
      </c>
      <c r="AO42" s="146" t="e">
        <f t="shared" si="12"/>
        <v>#N/A</v>
      </c>
      <c r="AP42" s="146" t="e">
        <f t="shared" si="12"/>
        <v>#N/A</v>
      </c>
      <c r="AQ42" s="1136" t="e">
        <f t="shared" ref="AQ42:AQ63" si="14">VLOOKUP(AK42,$B$11:$T$33,AQ$35,FALSE)</f>
        <v>#N/A</v>
      </c>
      <c r="AR42" s="87"/>
      <c r="AS42" s="87"/>
      <c r="AT42" s="87"/>
      <c r="AU42" s="87"/>
      <c r="AV42" s="87"/>
    </row>
    <row r="43" spans="1:53" ht="14.25" customHeight="1" x14ac:dyDescent="0.2">
      <c r="A43" s="118"/>
      <c r="B43" s="9"/>
      <c r="C43" s="9"/>
      <c r="D43" s="9"/>
      <c r="E43" s="9"/>
      <c r="F43" s="9"/>
      <c r="G43" s="9"/>
      <c r="H43" s="9"/>
      <c r="I43" s="9"/>
      <c r="J43" s="9"/>
      <c r="K43" s="12"/>
      <c r="L43" s="9"/>
      <c r="M43" s="9"/>
      <c r="N43" s="9"/>
      <c r="O43" s="9"/>
      <c r="P43" s="9"/>
      <c r="Q43" s="9"/>
      <c r="R43" s="9"/>
      <c r="S43" s="9"/>
      <c r="T43" s="9"/>
      <c r="U43" s="117"/>
      <c r="V43" s="137"/>
      <c r="W43" s="294"/>
      <c r="X43" s="1159" t="str">
        <f>"National Trend "&amp;Sheet1!$B$8</f>
        <v>National Trend 2020</v>
      </c>
      <c r="Y43" s="1160" t="s">
        <v>70</v>
      </c>
      <c r="Z43" s="1159" t="s">
        <v>71</v>
      </c>
      <c r="AA43" s="1161">
        <v>7</v>
      </c>
      <c r="AB43" s="1162">
        <f>((AA43*Y44)+Z44)</f>
        <v>0</v>
      </c>
      <c r="AI43" s="585" t="b">
        <v>1</v>
      </c>
      <c r="AJ43" s="160" t="s">
        <v>8</v>
      </c>
      <c r="AK43" s="87" t="str">
        <f t="shared" si="11"/>
        <v>Buckinghamshire</v>
      </c>
      <c r="AL43" s="146" t="e">
        <f t="shared" si="13"/>
        <v>#N/A</v>
      </c>
      <c r="AM43" s="146" t="e">
        <f t="shared" si="12"/>
        <v>#N/A</v>
      </c>
      <c r="AN43" s="146" t="e">
        <f t="shared" si="12"/>
        <v>#N/A</v>
      </c>
      <c r="AO43" s="146" t="e">
        <f t="shared" si="12"/>
        <v>#N/A</v>
      </c>
      <c r="AP43" s="146" t="e">
        <f t="shared" si="12"/>
        <v>#N/A</v>
      </c>
      <c r="AQ43" s="1136" t="e">
        <f t="shared" si="14"/>
        <v>#N/A</v>
      </c>
      <c r="AR43" s="87"/>
      <c r="AS43" s="87"/>
      <c r="AT43" s="87"/>
      <c r="AU43" s="87"/>
      <c r="AV43" s="87"/>
      <c r="AW43" s="81"/>
      <c r="AX43" s="81"/>
      <c r="AY43" s="81"/>
      <c r="AZ43" s="81"/>
      <c r="BA43" s="81"/>
    </row>
    <row r="44" spans="1:53" ht="14.25" customHeight="1" x14ac:dyDescent="0.2">
      <c r="A44" s="118"/>
      <c r="B44" s="9"/>
      <c r="C44" s="9"/>
      <c r="D44" s="9"/>
      <c r="E44" s="9"/>
      <c r="F44" s="9"/>
      <c r="G44" s="9"/>
      <c r="H44" s="9"/>
      <c r="I44" s="9"/>
      <c r="J44" s="9"/>
      <c r="K44" s="12"/>
      <c r="L44" s="13"/>
      <c r="M44" s="13"/>
      <c r="N44" s="13"/>
      <c r="O44" s="13"/>
      <c r="P44" s="14"/>
      <c r="Q44" s="14"/>
      <c r="R44" s="14"/>
      <c r="S44" s="14"/>
      <c r="T44" s="14"/>
      <c r="U44" s="117"/>
      <c r="V44" s="137"/>
      <c r="W44" s="294"/>
      <c r="X44" s="1163" t="str">
        <f>"Y= "&amp;Y44&amp;"x + "&amp;Z44</f>
        <v xml:space="preserve">Y= x + </v>
      </c>
      <c r="Y44" s="1164"/>
      <c r="Z44" s="1165"/>
      <c r="AA44" s="1166">
        <v>25</v>
      </c>
      <c r="AB44" s="1167">
        <f>((AA44*Y44)+Z44)</f>
        <v>0</v>
      </c>
      <c r="AI44" s="585" t="b">
        <v>1</v>
      </c>
      <c r="AJ44" s="160" t="s">
        <v>4</v>
      </c>
      <c r="AK44" s="87" t="str">
        <f t="shared" si="11"/>
        <v>East Sussex</v>
      </c>
      <c r="AL44" s="146" t="e">
        <f t="shared" si="13"/>
        <v>#N/A</v>
      </c>
      <c r="AM44" s="146" t="e">
        <f t="shared" si="12"/>
        <v>#N/A</v>
      </c>
      <c r="AN44" s="146" t="e">
        <f t="shared" si="12"/>
        <v>#N/A</v>
      </c>
      <c r="AO44" s="146" t="e">
        <f t="shared" si="12"/>
        <v>#N/A</v>
      </c>
      <c r="AP44" s="146" t="e">
        <f t="shared" si="12"/>
        <v>#N/A</v>
      </c>
      <c r="AQ44" s="1136" t="e">
        <f t="shared" si="14"/>
        <v>#N/A</v>
      </c>
      <c r="AR44" s="87"/>
      <c r="AS44" s="87"/>
      <c r="AT44" s="87"/>
      <c r="AU44" s="87"/>
      <c r="AV44" s="87"/>
      <c r="AW44" s="81"/>
      <c r="AX44" s="81"/>
      <c r="AY44" s="81"/>
      <c r="AZ44" s="81"/>
      <c r="BA44" s="81"/>
    </row>
    <row r="45" spans="1:53" s="76" customFormat="1" ht="14.25" customHeight="1" x14ac:dyDescent="0.2">
      <c r="A45" s="119"/>
      <c r="B45" s="226"/>
      <c r="C45" s="226"/>
      <c r="D45" s="227"/>
      <c r="E45" s="227"/>
      <c r="F45" s="227"/>
      <c r="G45" s="227"/>
      <c r="H45" s="227"/>
      <c r="I45" s="227"/>
      <c r="J45" s="227"/>
      <c r="K45" s="15"/>
      <c r="L45" s="9"/>
      <c r="M45" s="9"/>
      <c r="N45" s="9"/>
      <c r="O45" s="9"/>
      <c r="P45" s="9"/>
      <c r="Q45" s="9"/>
      <c r="R45" s="9"/>
      <c r="S45" s="9"/>
      <c r="T45" s="9"/>
      <c r="U45" s="120"/>
      <c r="V45" s="138"/>
      <c r="W45" s="295"/>
      <c r="X45" s="81"/>
      <c r="Y45" s="81"/>
      <c r="Z45" s="81"/>
      <c r="AA45" s="81"/>
      <c r="AB45" s="81"/>
      <c r="AC45" s="81"/>
      <c r="AD45" s="81"/>
      <c r="AE45" s="81"/>
      <c r="AF45" s="81"/>
      <c r="AG45" s="81"/>
      <c r="AH45" s="81"/>
      <c r="AI45" s="585" t="b">
        <v>1</v>
      </c>
      <c r="AJ45" s="160" t="s">
        <v>6</v>
      </c>
      <c r="AK45" s="87" t="str">
        <f t="shared" si="11"/>
        <v>Hampshire</v>
      </c>
      <c r="AL45" s="146" t="e">
        <f t="shared" si="13"/>
        <v>#N/A</v>
      </c>
      <c r="AM45" s="146" t="e">
        <f t="shared" si="12"/>
        <v>#N/A</v>
      </c>
      <c r="AN45" s="146" t="e">
        <f t="shared" si="12"/>
        <v>#N/A</v>
      </c>
      <c r="AO45" s="146" t="e">
        <f t="shared" si="12"/>
        <v>#N/A</v>
      </c>
      <c r="AP45" s="146" t="e">
        <f t="shared" si="12"/>
        <v>#N/A</v>
      </c>
      <c r="AQ45" s="1136" t="e">
        <f t="shared" si="14"/>
        <v>#N/A</v>
      </c>
      <c r="AR45" s="171"/>
      <c r="AS45" s="171"/>
      <c r="AT45" s="171"/>
      <c r="AU45" s="171"/>
      <c r="AV45" s="171"/>
      <c r="AW45" s="81"/>
      <c r="AX45" s="81"/>
      <c r="AY45" s="81"/>
      <c r="AZ45" s="81"/>
      <c r="BA45" s="81"/>
    </row>
    <row r="46" spans="1:53" ht="14.25" customHeight="1" x14ac:dyDescent="0.2">
      <c r="A46" s="118"/>
      <c r="B46" s="227"/>
      <c r="C46" s="227"/>
      <c r="D46" s="227"/>
      <c r="E46" s="227"/>
      <c r="F46" s="227"/>
      <c r="G46" s="227"/>
      <c r="H46" s="227"/>
      <c r="I46" s="227"/>
      <c r="J46" s="227"/>
      <c r="K46" s="12"/>
      <c r="L46" s="14"/>
      <c r="M46" s="14"/>
      <c r="N46" s="14"/>
      <c r="O46" s="14"/>
      <c r="P46" s="9"/>
      <c r="Q46" s="9"/>
      <c r="R46" s="9"/>
      <c r="S46" s="9"/>
      <c r="T46" s="9"/>
      <c r="U46" s="117"/>
      <c r="V46" s="137"/>
      <c r="W46" s="294"/>
      <c r="AI46" s="585" t="b">
        <v>1</v>
      </c>
      <c r="AJ46" s="160" t="s">
        <v>1</v>
      </c>
      <c r="AK46" s="87" t="str">
        <f t="shared" si="11"/>
        <v>Isle of Wight</v>
      </c>
      <c r="AL46" s="146" t="e">
        <f t="shared" si="13"/>
        <v>#N/A</v>
      </c>
      <c r="AM46" s="146" t="e">
        <f t="shared" si="12"/>
        <v>#N/A</v>
      </c>
      <c r="AN46" s="146" t="e">
        <f t="shared" si="12"/>
        <v>#N/A</v>
      </c>
      <c r="AO46" s="146" t="e">
        <f t="shared" si="12"/>
        <v>#N/A</v>
      </c>
      <c r="AP46" s="146" t="e">
        <f t="shared" si="12"/>
        <v>#N/A</v>
      </c>
      <c r="AQ46" s="1136" t="e">
        <f t="shared" si="14"/>
        <v>#N/A</v>
      </c>
      <c r="AR46" s="171"/>
      <c r="AS46" s="171"/>
      <c r="AT46" s="171"/>
      <c r="AU46" s="171"/>
      <c r="AV46" s="171"/>
      <c r="AW46" s="81"/>
      <c r="AX46" s="81"/>
      <c r="AY46" s="81"/>
      <c r="AZ46" s="81"/>
      <c r="BA46" s="81"/>
    </row>
    <row r="47" spans="1:53" ht="14.25" customHeight="1" x14ac:dyDescent="0.2">
      <c r="A47" s="118"/>
      <c r="B47" s="227"/>
      <c r="C47" s="227"/>
      <c r="D47" s="227"/>
      <c r="E47" s="227"/>
      <c r="F47" s="227"/>
      <c r="G47" s="227"/>
      <c r="H47" s="227"/>
      <c r="I47" s="227"/>
      <c r="J47" s="227"/>
      <c r="K47" s="12"/>
      <c r="L47" s="14"/>
      <c r="M47" s="14"/>
      <c r="N47" s="14"/>
      <c r="O47" s="14"/>
      <c r="P47" s="9"/>
      <c r="Q47" s="9"/>
      <c r="R47" s="9"/>
      <c r="S47" s="9"/>
      <c r="T47" s="9"/>
      <c r="U47" s="117"/>
      <c r="V47" s="137"/>
      <c r="W47" s="294"/>
      <c r="X47" s="207"/>
      <c r="Y47" s="207"/>
      <c r="Z47" s="207"/>
      <c r="AA47" s="207"/>
      <c r="AB47" s="207"/>
      <c r="AC47" s="207"/>
      <c r="AI47" s="585" t="b">
        <v>1</v>
      </c>
      <c r="AJ47" s="160" t="s">
        <v>9</v>
      </c>
      <c r="AK47" s="87" t="str">
        <f t="shared" si="11"/>
        <v>Kent</v>
      </c>
      <c r="AL47" s="146" t="e">
        <f t="shared" si="13"/>
        <v>#N/A</v>
      </c>
      <c r="AM47" s="146" t="e">
        <f t="shared" si="12"/>
        <v>#N/A</v>
      </c>
      <c r="AN47" s="146" t="e">
        <f t="shared" si="12"/>
        <v>#N/A</v>
      </c>
      <c r="AO47" s="146" t="e">
        <f t="shared" si="12"/>
        <v>#N/A</v>
      </c>
      <c r="AP47" s="146" t="e">
        <f t="shared" si="12"/>
        <v>#N/A</v>
      </c>
      <c r="AQ47" s="1136" t="e">
        <f t="shared" si="14"/>
        <v>#N/A</v>
      </c>
      <c r="AR47" s="171"/>
      <c r="AS47" s="171"/>
      <c r="AT47" s="171"/>
      <c r="AU47" s="171"/>
      <c r="AV47" s="171"/>
      <c r="AW47" s="81"/>
      <c r="AX47" s="81"/>
      <c r="AY47" s="81"/>
      <c r="AZ47" s="81"/>
      <c r="BA47" s="81"/>
    </row>
    <row r="48" spans="1:53" ht="14.25" customHeight="1" x14ac:dyDescent="0.2">
      <c r="A48" s="118"/>
      <c r="B48" s="58"/>
      <c r="C48" s="58"/>
      <c r="D48" s="58"/>
      <c r="E48" s="58"/>
      <c r="F48" s="58"/>
      <c r="G48" s="58"/>
      <c r="H48" s="58"/>
      <c r="I48" s="58"/>
      <c r="J48" s="58"/>
      <c r="K48" s="12"/>
      <c r="L48" s="14"/>
      <c r="M48" s="14"/>
      <c r="N48" s="14"/>
      <c r="O48" s="14"/>
      <c r="P48" s="9"/>
      <c r="Q48" s="9"/>
      <c r="R48" s="9"/>
      <c r="S48" s="9"/>
      <c r="T48" s="9"/>
      <c r="U48" s="117"/>
      <c r="V48" s="137"/>
      <c r="W48" s="294"/>
      <c r="X48" s="184"/>
      <c r="Y48" s="184"/>
      <c r="Z48" s="184"/>
      <c r="AA48" s="184"/>
      <c r="AB48" s="184"/>
      <c r="AC48" s="184"/>
      <c r="AI48" s="585" t="b">
        <v>1</v>
      </c>
      <c r="AJ48" s="160" t="s">
        <v>2</v>
      </c>
      <c r="AK48" s="87" t="str">
        <f t="shared" si="11"/>
        <v>Medway</v>
      </c>
      <c r="AL48" s="146" t="e">
        <f t="shared" si="13"/>
        <v>#N/A</v>
      </c>
      <c r="AM48" s="146" t="e">
        <f t="shared" si="12"/>
        <v>#N/A</v>
      </c>
      <c r="AN48" s="146" t="e">
        <f t="shared" si="12"/>
        <v>#N/A</v>
      </c>
      <c r="AO48" s="146" t="e">
        <f t="shared" si="12"/>
        <v>#N/A</v>
      </c>
      <c r="AP48" s="146" t="e">
        <f t="shared" si="12"/>
        <v>#N/A</v>
      </c>
      <c r="AQ48" s="1136" t="e">
        <f t="shared" si="14"/>
        <v>#N/A</v>
      </c>
      <c r="AR48" s="171"/>
      <c r="AS48" s="171"/>
      <c r="AT48" s="171"/>
      <c r="AU48" s="171"/>
      <c r="AV48" s="171"/>
      <c r="AW48" s="81"/>
      <c r="AX48" s="81"/>
      <c r="AY48" s="81"/>
      <c r="AZ48" s="81"/>
      <c r="BA48" s="81"/>
    </row>
    <row r="49" spans="1:53" ht="14.25" customHeight="1" x14ac:dyDescent="0.2">
      <c r="A49" s="118"/>
      <c r="B49" s="58"/>
      <c r="C49" s="58"/>
      <c r="D49" s="69"/>
      <c r="E49" s="70"/>
      <c r="F49" s="69"/>
      <c r="G49" s="70"/>
      <c r="H49" s="70"/>
      <c r="I49" s="70"/>
      <c r="J49" s="70"/>
      <c r="K49" s="12"/>
      <c r="L49" s="14"/>
      <c r="M49" s="14"/>
      <c r="N49" s="14"/>
      <c r="O49" s="14"/>
      <c r="P49" s="9"/>
      <c r="Q49" s="9"/>
      <c r="R49" s="9"/>
      <c r="S49" s="9"/>
      <c r="T49" s="9"/>
      <c r="U49" s="117"/>
      <c r="V49" s="137"/>
      <c r="W49" s="294"/>
      <c r="AI49" s="585" t="b">
        <v>1</v>
      </c>
      <c r="AJ49" s="160" t="s">
        <v>10</v>
      </c>
      <c r="AK49" s="87" t="str">
        <f t="shared" si="11"/>
        <v>Milton Keynes</v>
      </c>
      <c r="AL49" s="146" t="e">
        <f t="shared" si="13"/>
        <v>#N/A</v>
      </c>
      <c r="AM49" s="146" t="e">
        <f t="shared" si="12"/>
        <v>#N/A</v>
      </c>
      <c r="AN49" s="146" t="e">
        <f t="shared" si="12"/>
        <v>#N/A</v>
      </c>
      <c r="AO49" s="146" t="e">
        <f t="shared" si="12"/>
        <v>#N/A</v>
      </c>
      <c r="AP49" s="146" t="e">
        <f t="shared" si="12"/>
        <v>#N/A</v>
      </c>
      <c r="AQ49" s="1136" t="e">
        <f t="shared" si="14"/>
        <v>#N/A</v>
      </c>
      <c r="AR49" s="171"/>
      <c r="AS49" s="171"/>
      <c r="AT49" s="171"/>
      <c r="AU49" s="171"/>
      <c r="AV49" s="171"/>
      <c r="AW49" s="81"/>
      <c r="AX49" s="81"/>
      <c r="AY49" s="81"/>
      <c r="AZ49" s="81"/>
      <c r="BA49" s="81"/>
    </row>
    <row r="50" spans="1:53" ht="14.25" customHeight="1" x14ac:dyDescent="0.2">
      <c r="A50" s="118"/>
      <c r="B50" s="58"/>
      <c r="C50" s="58"/>
      <c r="D50" s="61"/>
      <c r="E50" s="61"/>
      <c r="F50" s="61"/>
      <c r="G50" s="61"/>
      <c r="H50" s="61"/>
      <c r="I50" s="61"/>
      <c r="J50" s="61"/>
      <c r="K50" s="12"/>
      <c r="L50" s="14"/>
      <c r="M50" s="14"/>
      <c r="N50" s="14"/>
      <c r="O50" s="14"/>
      <c r="P50" s="9"/>
      <c r="Q50" s="9"/>
      <c r="R50" s="9"/>
      <c r="S50" s="9"/>
      <c r="T50" s="9"/>
      <c r="U50" s="117"/>
      <c r="V50" s="137"/>
      <c r="W50" s="294"/>
      <c r="AI50" s="585" t="b">
        <v>1</v>
      </c>
      <c r="AJ50" s="160" t="s">
        <v>11</v>
      </c>
      <c r="AK50" s="87" t="str">
        <f t="shared" si="11"/>
        <v>Oxfordshire</v>
      </c>
      <c r="AL50" s="146" t="e">
        <f t="shared" si="13"/>
        <v>#N/A</v>
      </c>
      <c r="AM50" s="146" t="e">
        <f t="shared" si="12"/>
        <v>#N/A</v>
      </c>
      <c r="AN50" s="146" t="e">
        <f t="shared" si="12"/>
        <v>#N/A</v>
      </c>
      <c r="AO50" s="146" t="e">
        <f t="shared" si="12"/>
        <v>#N/A</v>
      </c>
      <c r="AP50" s="146" t="e">
        <f t="shared" si="12"/>
        <v>#N/A</v>
      </c>
      <c r="AQ50" s="1136" t="e">
        <f t="shared" si="14"/>
        <v>#N/A</v>
      </c>
      <c r="AR50" s="171"/>
      <c r="AS50" s="171"/>
      <c r="AT50" s="171"/>
      <c r="AU50" s="171"/>
      <c r="AV50" s="171"/>
      <c r="AW50" s="81"/>
      <c r="AX50" s="81"/>
      <c r="AY50" s="81"/>
      <c r="AZ50" s="81"/>
      <c r="BA50" s="81"/>
    </row>
    <row r="51" spans="1:53" ht="14.25" customHeight="1" x14ac:dyDescent="0.2">
      <c r="A51" s="118"/>
      <c r="B51" s="67"/>
      <c r="C51" s="67"/>
      <c r="D51" s="58"/>
      <c r="E51" s="58"/>
      <c r="F51" s="58"/>
      <c r="G51" s="58"/>
      <c r="H51" s="58"/>
      <c r="I51" s="58"/>
      <c r="J51" s="58"/>
      <c r="K51" s="12"/>
      <c r="L51" s="14"/>
      <c r="M51" s="14"/>
      <c r="N51" s="14"/>
      <c r="O51" s="14"/>
      <c r="P51" s="9"/>
      <c r="Q51" s="9"/>
      <c r="R51" s="9"/>
      <c r="S51" s="9"/>
      <c r="T51" s="9"/>
      <c r="U51" s="117"/>
      <c r="V51" s="137"/>
      <c r="W51" s="294"/>
      <c r="AI51" s="585" t="b">
        <v>1</v>
      </c>
      <c r="AJ51" s="160" t="s">
        <v>12</v>
      </c>
      <c r="AK51" s="87" t="str">
        <f t="shared" si="11"/>
        <v>Portsmouth</v>
      </c>
      <c r="AL51" s="146" t="e">
        <f t="shared" si="13"/>
        <v>#N/A</v>
      </c>
      <c r="AM51" s="146" t="e">
        <f t="shared" si="12"/>
        <v>#N/A</v>
      </c>
      <c r="AN51" s="146" t="e">
        <f t="shared" si="12"/>
        <v>#N/A</v>
      </c>
      <c r="AO51" s="146" t="e">
        <f t="shared" si="12"/>
        <v>#N/A</v>
      </c>
      <c r="AP51" s="146" t="e">
        <f t="shared" si="12"/>
        <v>#N/A</v>
      </c>
      <c r="AQ51" s="1136" t="e">
        <f t="shared" si="14"/>
        <v>#N/A</v>
      </c>
      <c r="AR51" s="171"/>
      <c r="AS51" s="171"/>
      <c r="AT51" s="171"/>
      <c r="AU51" s="171"/>
      <c r="AV51" s="171"/>
      <c r="AW51" s="81"/>
      <c r="AX51" s="81"/>
      <c r="AY51" s="81"/>
      <c r="AZ51" s="81"/>
      <c r="BA51" s="81"/>
    </row>
    <row r="52" spans="1:53" ht="14.25" customHeight="1" x14ac:dyDescent="0.2">
      <c r="A52" s="118"/>
      <c r="B52" s="67"/>
      <c r="C52" s="67"/>
      <c r="D52" s="58"/>
      <c r="E52" s="58"/>
      <c r="F52" s="58"/>
      <c r="G52" s="58"/>
      <c r="H52" s="58"/>
      <c r="I52" s="58"/>
      <c r="J52" s="58"/>
      <c r="K52" s="12"/>
      <c r="L52" s="14"/>
      <c r="M52" s="14"/>
      <c r="N52" s="14"/>
      <c r="O52" s="14"/>
      <c r="P52" s="9"/>
      <c r="Q52" s="9"/>
      <c r="R52" s="9"/>
      <c r="S52" s="9"/>
      <c r="T52" s="9"/>
      <c r="U52" s="117"/>
      <c r="V52" s="137"/>
      <c r="W52" s="294"/>
      <c r="AI52" s="585" t="b">
        <v>1</v>
      </c>
      <c r="AJ52" s="160" t="s">
        <v>3</v>
      </c>
      <c r="AK52" s="87" t="str">
        <f t="shared" si="11"/>
        <v>Reading</v>
      </c>
      <c r="AL52" s="146" t="e">
        <f t="shared" si="13"/>
        <v>#N/A</v>
      </c>
      <c r="AM52" s="146" t="e">
        <f t="shared" si="12"/>
        <v>#N/A</v>
      </c>
      <c r="AN52" s="146" t="e">
        <f t="shared" si="12"/>
        <v>#N/A</v>
      </c>
      <c r="AO52" s="146" t="e">
        <f t="shared" si="12"/>
        <v>#N/A</v>
      </c>
      <c r="AP52" s="146" t="e">
        <f t="shared" si="12"/>
        <v>#N/A</v>
      </c>
      <c r="AQ52" s="1136" t="e">
        <f t="shared" si="14"/>
        <v>#N/A</v>
      </c>
      <c r="AR52" s="171"/>
      <c r="AS52" s="171"/>
      <c r="AT52" s="171"/>
      <c r="AU52" s="171"/>
      <c r="AV52" s="171"/>
      <c r="AW52" s="81"/>
      <c r="AX52" s="81"/>
      <c r="AY52" s="81"/>
      <c r="AZ52" s="81"/>
      <c r="BA52" s="81"/>
    </row>
    <row r="53" spans="1:53" ht="14.25" customHeight="1" x14ac:dyDescent="0.2">
      <c r="A53" s="118"/>
      <c r="B53" s="67"/>
      <c r="C53" s="67"/>
      <c r="D53" s="58"/>
      <c r="E53" s="58"/>
      <c r="F53" s="58"/>
      <c r="G53" s="58"/>
      <c r="H53" s="58"/>
      <c r="I53" s="58"/>
      <c r="J53" s="58"/>
      <c r="K53" s="12"/>
      <c r="L53" s="14"/>
      <c r="M53" s="14"/>
      <c r="N53" s="14"/>
      <c r="O53" s="14"/>
      <c r="P53" s="9"/>
      <c r="Q53" s="9"/>
      <c r="R53" s="9"/>
      <c r="S53" s="9"/>
      <c r="T53" s="9"/>
      <c r="U53" s="117"/>
      <c r="V53" s="137"/>
      <c r="W53" s="294"/>
      <c r="AI53" s="585" t="b">
        <v>1</v>
      </c>
      <c r="AJ53" s="160" t="s">
        <v>13</v>
      </c>
      <c r="AK53" s="87" t="str">
        <f t="shared" si="11"/>
        <v>Slough</v>
      </c>
      <c r="AL53" s="146" t="e">
        <f t="shared" si="13"/>
        <v>#N/A</v>
      </c>
      <c r="AM53" s="146" t="e">
        <f t="shared" si="12"/>
        <v>#N/A</v>
      </c>
      <c r="AN53" s="146" t="e">
        <f t="shared" si="12"/>
        <v>#N/A</v>
      </c>
      <c r="AO53" s="146" t="e">
        <f t="shared" si="12"/>
        <v>#N/A</v>
      </c>
      <c r="AP53" s="146" t="e">
        <f t="shared" si="12"/>
        <v>#N/A</v>
      </c>
      <c r="AQ53" s="1136" t="e">
        <f t="shared" si="14"/>
        <v>#N/A</v>
      </c>
      <c r="AR53" s="171"/>
      <c r="AS53" s="171"/>
      <c r="AT53" s="171"/>
      <c r="AU53" s="171"/>
      <c r="AV53" s="171"/>
      <c r="AW53" s="81"/>
      <c r="AX53" s="81"/>
      <c r="AY53" s="81"/>
      <c r="AZ53" s="81"/>
      <c r="BA53" s="81"/>
    </row>
    <row r="54" spans="1:53" ht="14.25" customHeight="1" x14ac:dyDescent="0.2">
      <c r="A54" s="118"/>
      <c r="B54" s="67"/>
      <c r="C54" s="67"/>
      <c r="D54" s="58"/>
      <c r="E54" s="58"/>
      <c r="F54" s="58"/>
      <c r="G54" s="58"/>
      <c r="H54" s="58"/>
      <c r="I54" s="58"/>
      <c r="J54" s="58"/>
      <c r="K54" s="12"/>
      <c r="L54" s="14"/>
      <c r="M54" s="14"/>
      <c r="N54" s="14"/>
      <c r="O54" s="14"/>
      <c r="P54" s="9"/>
      <c r="Q54" s="9"/>
      <c r="R54" s="9"/>
      <c r="S54" s="9"/>
      <c r="T54" s="9"/>
      <c r="U54" s="117"/>
      <c r="V54" s="137"/>
      <c r="W54" s="294"/>
      <c r="AI54" s="585" t="b">
        <v>1</v>
      </c>
      <c r="AJ54" s="160" t="s">
        <v>95</v>
      </c>
      <c r="AK54" s="87" t="str">
        <f t="shared" si="11"/>
        <v>Somerset</v>
      </c>
      <c r="AL54" s="146" t="e">
        <f t="shared" si="13"/>
        <v>#N/A</v>
      </c>
      <c r="AM54" s="146" t="e">
        <f t="shared" si="12"/>
        <v>#N/A</v>
      </c>
      <c r="AN54" s="146" t="e">
        <f t="shared" si="12"/>
        <v>#N/A</v>
      </c>
      <c r="AO54" s="146" t="e">
        <f t="shared" si="12"/>
        <v>#N/A</v>
      </c>
      <c r="AP54" s="146" t="e">
        <f t="shared" si="12"/>
        <v>#N/A</v>
      </c>
      <c r="AQ54" s="1136" t="e">
        <f t="shared" si="14"/>
        <v>#N/A</v>
      </c>
      <c r="AR54" s="171"/>
      <c r="AS54" s="171"/>
      <c r="AT54" s="171"/>
      <c r="AU54" s="171"/>
      <c r="AV54" s="171"/>
      <c r="AW54" s="81"/>
      <c r="AX54" s="81"/>
      <c r="AY54" s="81"/>
      <c r="AZ54" s="81"/>
      <c r="BA54" s="81"/>
    </row>
    <row r="55" spans="1:53" ht="14.25" customHeight="1" x14ac:dyDescent="0.2">
      <c r="A55" s="118"/>
      <c r="B55" s="67"/>
      <c r="C55" s="67"/>
      <c r="D55" s="58"/>
      <c r="E55" s="58"/>
      <c r="F55" s="58"/>
      <c r="G55" s="58"/>
      <c r="H55" s="58"/>
      <c r="I55" s="58"/>
      <c r="J55" s="58"/>
      <c r="K55" s="12"/>
      <c r="L55" s="14"/>
      <c r="M55" s="14"/>
      <c r="N55" s="14"/>
      <c r="O55" s="14"/>
      <c r="P55" s="9"/>
      <c r="Q55" s="9"/>
      <c r="R55" s="9"/>
      <c r="S55" s="9"/>
      <c r="T55" s="9"/>
      <c r="U55" s="117"/>
      <c r="V55" s="137"/>
      <c r="W55" s="294"/>
      <c r="AI55" s="585" t="b">
        <v>1</v>
      </c>
      <c r="AJ55" s="160" t="s">
        <v>14</v>
      </c>
      <c r="AK55" s="87" t="str">
        <f t="shared" si="11"/>
        <v>Southampton</v>
      </c>
      <c r="AL55" s="146" t="e">
        <f t="shared" si="13"/>
        <v>#N/A</v>
      </c>
      <c r="AM55" s="146" t="e">
        <f t="shared" si="12"/>
        <v>#N/A</v>
      </c>
      <c r="AN55" s="146" t="e">
        <f t="shared" si="12"/>
        <v>#N/A</v>
      </c>
      <c r="AO55" s="146" t="e">
        <f t="shared" si="12"/>
        <v>#N/A</v>
      </c>
      <c r="AP55" s="146" t="e">
        <f t="shared" si="12"/>
        <v>#N/A</v>
      </c>
      <c r="AQ55" s="1136" t="e">
        <f t="shared" si="14"/>
        <v>#N/A</v>
      </c>
      <c r="AR55" s="171"/>
      <c r="AS55" s="171"/>
      <c r="AT55" s="171"/>
      <c r="AU55" s="171"/>
      <c r="AV55" s="171"/>
      <c r="AW55" s="81"/>
      <c r="AX55" s="81"/>
      <c r="AY55" s="81"/>
      <c r="AZ55" s="81"/>
      <c r="BA55" s="81"/>
    </row>
    <row r="56" spans="1:53" ht="14.25" customHeight="1" x14ac:dyDescent="0.2">
      <c r="A56" s="118"/>
      <c r="B56" s="67"/>
      <c r="C56" s="67"/>
      <c r="D56" s="58"/>
      <c r="E56" s="58"/>
      <c r="F56" s="58"/>
      <c r="G56" s="58"/>
      <c r="H56" s="58"/>
      <c r="I56" s="58"/>
      <c r="J56" s="58"/>
      <c r="K56" s="12"/>
      <c r="L56" s="14"/>
      <c r="M56" s="14"/>
      <c r="N56" s="14"/>
      <c r="O56" s="14"/>
      <c r="P56" s="9"/>
      <c r="Q56" s="9"/>
      <c r="R56" s="9"/>
      <c r="S56" s="9"/>
      <c r="T56" s="9"/>
      <c r="U56" s="117"/>
      <c r="V56" s="137"/>
      <c r="W56" s="294"/>
      <c r="AI56" s="585" t="b">
        <v>1</v>
      </c>
      <c r="AJ56" s="160" t="s">
        <v>7</v>
      </c>
      <c r="AK56" s="87" t="str">
        <f t="shared" si="11"/>
        <v>Surrey</v>
      </c>
      <c r="AL56" s="146" t="e">
        <f t="shared" si="13"/>
        <v>#N/A</v>
      </c>
      <c r="AM56" s="146" t="e">
        <f t="shared" si="12"/>
        <v>#N/A</v>
      </c>
      <c r="AN56" s="146" t="e">
        <f t="shared" si="12"/>
        <v>#N/A</v>
      </c>
      <c r="AO56" s="146" t="e">
        <f t="shared" si="12"/>
        <v>#N/A</v>
      </c>
      <c r="AP56" s="146" t="e">
        <f t="shared" si="12"/>
        <v>#N/A</v>
      </c>
      <c r="AQ56" s="1136" t="e">
        <f t="shared" si="14"/>
        <v>#N/A</v>
      </c>
      <c r="AR56" s="171"/>
      <c r="AS56" s="171"/>
      <c r="AT56" s="171"/>
      <c r="AU56" s="171"/>
      <c r="AV56" s="171"/>
      <c r="AW56" s="81"/>
      <c r="AX56" s="81"/>
      <c r="AY56" s="81"/>
      <c r="AZ56" s="81"/>
      <c r="BA56" s="81"/>
    </row>
    <row r="57" spans="1:53" ht="14.25" customHeight="1" x14ac:dyDescent="0.2">
      <c r="A57" s="278"/>
      <c r="B57" s="67"/>
      <c r="C57" s="67"/>
      <c r="D57" s="58"/>
      <c r="E57" s="58"/>
      <c r="F57" s="58"/>
      <c r="G57" s="58"/>
      <c r="H57" s="58"/>
      <c r="I57" s="58"/>
      <c r="J57" s="58"/>
      <c r="K57" s="12"/>
      <c r="L57" s="14"/>
      <c r="M57" s="14"/>
      <c r="N57" s="14"/>
      <c r="O57" s="14"/>
      <c r="P57" s="9"/>
      <c r="Q57" s="9"/>
      <c r="R57" s="9"/>
      <c r="S57" s="9"/>
      <c r="T57" s="9"/>
      <c r="U57" s="117"/>
      <c r="V57" s="137"/>
      <c r="W57" s="294"/>
      <c r="AI57" s="585" t="b">
        <v>1</v>
      </c>
      <c r="AJ57" s="160" t="s">
        <v>113</v>
      </c>
      <c r="AK57" s="87" t="str">
        <f t="shared" ref="AK57:AK59" si="15">IF(AI57=TRUE,B27,"")</f>
        <v>Swindon</v>
      </c>
      <c r="AL57" s="146" t="e">
        <f t="shared" si="13"/>
        <v>#N/A</v>
      </c>
      <c r="AM57" s="146" t="e">
        <f t="shared" si="13"/>
        <v>#N/A</v>
      </c>
      <c r="AN57" s="146" t="e">
        <f t="shared" si="13"/>
        <v>#N/A</v>
      </c>
      <c r="AO57" s="146" t="e">
        <f t="shared" si="13"/>
        <v>#N/A</v>
      </c>
      <c r="AP57" s="146" t="e">
        <f t="shared" si="13"/>
        <v>#N/A</v>
      </c>
      <c r="AQ57" s="1136" t="e">
        <f t="shared" si="14"/>
        <v>#N/A</v>
      </c>
      <c r="AR57" s="171"/>
      <c r="AS57" s="171"/>
      <c r="AT57" s="171"/>
      <c r="AU57" s="171"/>
      <c r="AV57" s="171"/>
      <c r="AW57" s="81"/>
      <c r="AX57" s="81"/>
      <c r="AY57" s="81"/>
      <c r="AZ57" s="81"/>
      <c r="BA57" s="81"/>
    </row>
    <row r="58" spans="1:53" ht="14.25" customHeight="1" x14ac:dyDescent="0.2">
      <c r="A58" s="278"/>
      <c r="B58" s="67"/>
      <c r="C58" s="67"/>
      <c r="D58" s="58"/>
      <c r="E58" s="58"/>
      <c r="F58" s="58"/>
      <c r="G58" s="58"/>
      <c r="H58" s="58"/>
      <c r="I58" s="58"/>
      <c r="J58" s="58"/>
      <c r="K58" s="12"/>
      <c r="L58" s="14"/>
      <c r="M58" s="14"/>
      <c r="N58" s="14"/>
      <c r="O58" s="14"/>
      <c r="P58" s="9"/>
      <c r="Q58" s="9"/>
      <c r="R58" s="9"/>
      <c r="S58" s="9"/>
      <c r="T58" s="9"/>
      <c r="U58" s="117"/>
      <c r="V58" s="137"/>
      <c r="W58" s="294"/>
      <c r="AI58" s="585" t="b">
        <v>1</v>
      </c>
      <c r="AJ58" s="160" t="s">
        <v>114</v>
      </c>
      <c r="AK58" s="87" t="str">
        <f t="shared" si="15"/>
        <v>Torbay</v>
      </c>
      <c r="AL58" s="146" t="e">
        <f t="shared" si="13"/>
        <v>#N/A</v>
      </c>
      <c r="AM58" s="146" t="e">
        <f t="shared" si="13"/>
        <v>#N/A</v>
      </c>
      <c r="AN58" s="146" t="e">
        <f t="shared" si="13"/>
        <v>#N/A</v>
      </c>
      <c r="AO58" s="146" t="e">
        <f t="shared" si="13"/>
        <v>#N/A</v>
      </c>
      <c r="AP58" s="146" t="e">
        <f t="shared" si="13"/>
        <v>#N/A</v>
      </c>
      <c r="AQ58" s="1136" t="e">
        <f t="shared" si="14"/>
        <v>#N/A</v>
      </c>
      <c r="AR58" s="171"/>
      <c r="AS58" s="171"/>
      <c r="AT58" s="171"/>
      <c r="AU58" s="171"/>
      <c r="AV58" s="171"/>
      <c r="AW58" s="81"/>
      <c r="AX58" s="81"/>
      <c r="AY58" s="81"/>
      <c r="AZ58" s="81"/>
      <c r="BA58" s="81"/>
    </row>
    <row r="59" spans="1:53" ht="14.25" customHeight="1" x14ac:dyDescent="0.2">
      <c r="A59" s="118"/>
      <c r="B59" s="67"/>
      <c r="C59" s="67"/>
      <c r="D59" s="58"/>
      <c r="E59" s="58"/>
      <c r="F59" s="58"/>
      <c r="G59" s="58"/>
      <c r="H59" s="58"/>
      <c r="I59" s="58"/>
      <c r="J59" s="58"/>
      <c r="K59" s="12"/>
      <c r="L59" s="14"/>
      <c r="M59" s="14"/>
      <c r="N59" s="14"/>
      <c r="O59" s="14"/>
      <c r="P59" s="9"/>
      <c r="Q59" s="9"/>
      <c r="R59" s="9"/>
      <c r="S59" s="9"/>
      <c r="T59" s="9"/>
      <c r="U59" s="117"/>
      <c r="V59" s="137"/>
      <c r="W59" s="294"/>
      <c r="AI59" s="585" t="b">
        <v>1</v>
      </c>
      <c r="AJ59" s="160" t="s">
        <v>15</v>
      </c>
      <c r="AK59" s="87" t="str">
        <f t="shared" si="15"/>
        <v>West Berkshire</v>
      </c>
      <c r="AL59" s="146" t="e">
        <f t="shared" si="13"/>
        <v>#N/A</v>
      </c>
      <c r="AM59" s="146" t="e">
        <f t="shared" si="13"/>
        <v>#N/A</v>
      </c>
      <c r="AN59" s="146" t="e">
        <f t="shared" si="13"/>
        <v>#N/A</v>
      </c>
      <c r="AO59" s="146" t="e">
        <f t="shared" si="13"/>
        <v>#N/A</v>
      </c>
      <c r="AP59" s="146" t="e">
        <f t="shared" si="13"/>
        <v>#N/A</v>
      </c>
      <c r="AQ59" s="1136" t="e">
        <f t="shared" si="14"/>
        <v>#N/A</v>
      </c>
      <c r="AR59" s="171"/>
      <c r="AS59" s="171"/>
      <c r="AT59" s="171"/>
      <c r="AU59" s="171"/>
      <c r="AV59" s="171"/>
      <c r="AW59" s="81"/>
      <c r="AX59" s="81"/>
      <c r="AY59" s="81"/>
      <c r="AZ59" s="81"/>
      <c r="BA59" s="81"/>
    </row>
    <row r="60" spans="1:53" ht="14.25" customHeight="1" x14ac:dyDescent="0.2">
      <c r="A60" s="118"/>
      <c r="B60" s="67"/>
      <c r="C60" s="67"/>
      <c r="D60" s="58"/>
      <c r="E60" s="58"/>
      <c r="F60" s="58"/>
      <c r="G60" s="58"/>
      <c r="H60" s="58"/>
      <c r="I60" s="58"/>
      <c r="J60" s="58"/>
      <c r="K60" s="12"/>
      <c r="L60" s="14"/>
      <c r="M60" s="14"/>
      <c r="N60" s="14"/>
      <c r="O60" s="14"/>
      <c r="P60" s="9"/>
      <c r="Q60" s="9"/>
      <c r="R60" s="9"/>
      <c r="S60" s="9"/>
      <c r="T60" s="9"/>
      <c r="U60" s="117"/>
      <c r="V60" s="137"/>
      <c r="W60" s="294"/>
      <c r="AI60" s="585" t="b">
        <v>1</v>
      </c>
      <c r="AJ60" s="160" t="s">
        <v>5</v>
      </c>
      <c r="AK60" s="87" t="str">
        <f>IF(AI60=TRUE,B30,"")</f>
        <v>West Sussex</v>
      </c>
      <c r="AL60" s="146" t="e">
        <f t="shared" si="13"/>
        <v>#N/A</v>
      </c>
      <c r="AM60" s="146" t="e">
        <f t="shared" si="13"/>
        <v>#N/A</v>
      </c>
      <c r="AN60" s="146" t="e">
        <f t="shared" si="13"/>
        <v>#N/A</v>
      </c>
      <c r="AO60" s="146" t="e">
        <f t="shared" si="13"/>
        <v>#N/A</v>
      </c>
      <c r="AP60" s="146" t="e">
        <f t="shared" si="13"/>
        <v>#N/A</v>
      </c>
      <c r="AQ60" s="1136" t="e">
        <f t="shared" si="14"/>
        <v>#N/A</v>
      </c>
      <c r="AR60" s="171"/>
      <c r="AS60" s="171"/>
      <c r="AT60" s="171"/>
      <c r="AU60" s="171"/>
      <c r="AV60" s="171"/>
      <c r="AW60" s="81"/>
      <c r="AX60" s="81"/>
      <c r="AY60" s="81"/>
      <c r="AZ60" s="81"/>
      <c r="BA60" s="81"/>
    </row>
    <row r="61" spans="1:53" s="81" customFormat="1" ht="14.25" customHeight="1" x14ac:dyDescent="0.2">
      <c r="A61" s="118"/>
      <c r="B61" s="67"/>
      <c r="C61" s="67"/>
      <c r="D61" s="58"/>
      <c r="E61" s="58"/>
      <c r="F61" s="58"/>
      <c r="G61" s="58"/>
      <c r="H61" s="58"/>
      <c r="I61" s="58"/>
      <c r="J61" s="58"/>
      <c r="K61" s="12"/>
      <c r="L61" s="14"/>
      <c r="M61" s="14"/>
      <c r="N61" s="14"/>
      <c r="O61" s="14"/>
      <c r="P61" s="9"/>
      <c r="Q61" s="9"/>
      <c r="R61" s="9"/>
      <c r="S61" s="9"/>
      <c r="T61" s="9"/>
      <c r="U61" s="117"/>
      <c r="V61" s="137"/>
      <c r="W61" s="294"/>
      <c r="AI61" s="585" t="b">
        <v>1</v>
      </c>
      <c r="AJ61" s="160" t="s">
        <v>30</v>
      </c>
      <c r="AK61" s="87" t="str">
        <f>IF(AI61=TRUE,B31,"")</f>
        <v>Windsor &amp; Maidenhead</v>
      </c>
      <c r="AL61" s="146" t="e">
        <f t="shared" si="13"/>
        <v>#N/A</v>
      </c>
      <c r="AM61" s="146" t="e">
        <f t="shared" si="13"/>
        <v>#N/A</v>
      </c>
      <c r="AN61" s="146" t="e">
        <f t="shared" si="13"/>
        <v>#N/A</v>
      </c>
      <c r="AO61" s="146" t="e">
        <f t="shared" si="13"/>
        <v>#N/A</v>
      </c>
      <c r="AP61" s="146" t="e">
        <f t="shared" si="13"/>
        <v>#N/A</v>
      </c>
      <c r="AQ61" s="1136" t="e">
        <f t="shared" si="14"/>
        <v>#N/A</v>
      </c>
      <c r="AR61" s="171"/>
      <c r="AS61" s="171"/>
      <c r="AT61" s="171"/>
      <c r="AU61" s="171"/>
      <c r="AV61" s="171"/>
    </row>
    <row r="62" spans="1:53" s="81" customFormat="1" ht="14.25" customHeight="1" x14ac:dyDescent="0.2">
      <c r="A62" s="118"/>
      <c r="B62" s="67"/>
      <c r="C62" s="67"/>
      <c r="D62" s="58"/>
      <c r="E62" s="58"/>
      <c r="F62" s="58"/>
      <c r="G62" s="58"/>
      <c r="H62" s="58"/>
      <c r="I62" s="58"/>
      <c r="J62" s="58"/>
      <c r="K62" s="12"/>
      <c r="L62" s="14"/>
      <c r="M62" s="14"/>
      <c r="N62" s="14"/>
      <c r="O62" s="14"/>
      <c r="P62" s="9"/>
      <c r="Q62" s="9"/>
      <c r="R62" s="9"/>
      <c r="S62" s="9"/>
      <c r="T62" s="9"/>
      <c r="U62" s="117"/>
      <c r="V62" s="137"/>
      <c r="W62" s="294"/>
      <c r="AI62" s="585" t="b">
        <v>1</v>
      </c>
      <c r="AJ62" s="160" t="s">
        <v>16</v>
      </c>
      <c r="AK62" s="87" t="str">
        <f>IF(AI62=TRUE,B32,"")</f>
        <v>Wokingham</v>
      </c>
      <c r="AL62" s="146" t="e">
        <f t="shared" si="13"/>
        <v>#N/A</v>
      </c>
      <c r="AM62" s="146" t="e">
        <f t="shared" si="13"/>
        <v>#N/A</v>
      </c>
      <c r="AN62" s="146" t="e">
        <f t="shared" si="13"/>
        <v>#N/A</v>
      </c>
      <c r="AO62" s="146" t="e">
        <f t="shared" si="13"/>
        <v>#N/A</v>
      </c>
      <c r="AP62" s="146" t="e">
        <f t="shared" si="13"/>
        <v>#N/A</v>
      </c>
      <c r="AQ62" s="1136" t="e">
        <f t="shared" si="14"/>
        <v>#N/A</v>
      </c>
      <c r="AR62" s="171"/>
      <c r="AS62" s="171"/>
      <c r="AT62" s="171"/>
      <c r="AU62" s="171"/>
      <c r="AV62" s="171"/>
    </row>
    <row r="63" spans="1:53" s="81" customFormat="1" ht="14.25" customHeight="1" x14ac:dyDescent="0.2">
      <c r="A63" s="118"/>
      <c r="B63" s="67"/>
      <c r="C63" s="67"/>
      <c r="D63" s="58"/>
      <c r="E63" s="58"/>
      <c r="F63" s="58"/>
      <c r="G63" s="58"/>
      <c r="H63" s="58"/>
      <c r="I63" s="58"/>
      <c r="J63" s="58"/>
      <c r="K63" s="12"/>
      <c r="L63" s="14"/>
      <c r="M63" s="14"/>
      <c r="N63" s="14"/>
      <c r="O63" s="14"/>
      <c r="P63" s="9"/>
      <c r="Q63" s="9"/>
      <c r="R63" s="9"/>
      <c r="S63" s="9"/>
      <c r="T63" s="9"/>
      <c r="U63" s="117"/>
      <c r="V63" s="137"/>
      <c r="W63" s="294"/>
      <c r="AI63" s="585" t="b">
        <v>1</v>
      </c>
      <c r="AJ63" s="160" t="s">
        <v>74</v>
      </c>
      <c r="AK63" s="87" t="str">
        <f>IF(AI63=TRUE,B33,"")</f>
        <v>South East</v>
      </c>
      <c r="AL63" s="146" t="e">
        <f t="shared" si="13"/>
        <v>#N/A</v>
      </c>
      <c r="AM63" s="146" t="e">
        <f t="shared" si="13"/>
        <v>#N/A</v>
      </c>
      <c r="AN63" s="146" t="e">
        <f t="shared" si="13"/>
        <v>#N/A</v>
      </c>
      <c r="AO63" s="146" t="e">
        <f t="shared" si="13"/>
        <v>#N/A</v>
      </c>
      <c r="AP63" s="146" t="e">
        <f t="shared" si="13"/>
        <v>#N/A</v>
      </c>
      <c r="AQ63" s="1136" t="e">
        <f t="shared" si="14"/>
        <v>#DIV/0!</v>
      </c>
      <c r="AR63" s="171"/>
      <c r="AS63" s="171"/>
      <c r="AT63" s="171"/>
      <c r="AU63" s="171"/>
      <c r="AV63" s="171"/>
    </row>
    <row r="64" spans="1:53" s="81" customFormat="1" ht="14.25" customHeight="1" x14ac:dyDescent="0.2">
      <c r="A64" s="118"/>
      <c r="B64" s="67"/>
      <c r="C64" s="67"/>
      <c r="D64" s="58"/>
      <c r="E64" s="58"/>
      <c r="F64" s="58"/>
      <c r="G64" s="58"/>
      <c r="H64" s="58"/>
      <c r="I64" s="58"/>
      <c r="J64" s="58"/>
      <c r="K64" s="12"/>
      <c r="L64" s="110"/>
      <c r="M64" s="1750" t="s">
        <v>72</v>
      </c>
      <c r="N64" s="1750"/>
      <c r="O64" s="1750"/>
      <c r="P64" s="1011"/>
      <c r="Q64" s="1751" t="s">
        <v>100</v>
      </c>
      <c r="R64" s="1751"/>
      <c r="S64" s="1751"/>
      <c r="T64" s="1751"/>
      <c r="U64" s="117"/>
      <c r="V64" s="137"/>
      <c r="W64" s="294"/>
      <c r="AJ64" s="161"/>
      <c r="AK64" s="81" t="s">
        <v>127</v>
      </c>
      <c r="AL64" s="146" t="e">
        <f t="shared" si="13"/>
        <v>#N/A</v>
      </c>
      <c r="AM64" s="146" t="e">
        <f t="shared" si="13"/>
        <v>#N/A</v>
      </c>
      <c r="AN64" s="146" t="e">
        <f t="shared" si="13"/>
        <v>#N/A</v>
      </c>
      <c r="AO64" s="146" t="e">
        <f t="shared" si="13"/>
        <v>#N/A</v>
      </c>
      <c r="AP64" s="146" t="e">
        <f t="shared" si="13"/>
        <v>#N/A</v>
      </c>
      <c r="AQ64" s="1136" t="e">
        <f t="shared" ref="AQ64" si="16">VLOOKUP(AK64,$B$11:$T$33,AQ$35,FALSE)</f>
        <v>#N/A</v>
      </c>
    </row>
    <row r="65" spans="1:50" s="81" customFormat="1" ht="14.25" customHeight="1" x14ac:dyDescent="0.2">
      <c r="A65" s="118"/>
      <c r="B65" s="67"/>
      <c r="C65" s="67"/>
      <c r="D65" s="58"/>
      <c r="E65" s="58"/>
      <c r="F65" s="58"/>
      <c r="G65" s="58"/>
      <c r="H65" s="58"/>
      <c r="I65" s="58"/>
      <c r="J65" s="58"/>
      <c r="K65" s="12"/>
      <c r="L65" s="111"/>
      <c r="M65" s="1751" t="str">
        <f>$Z$4</f>
        <v>Selected LA- (none)</v>
      </c>
      <c r="N65" s="1751"/>
      <c r="O65" s="1751"/>
      <c r="P65" s="1751"/>
      <c r="Q65" s="1751"/>
      <c r="R65" s="1751"/>
      <c r="S65" s="1751"/>
      <c r="T65" s="1751"/>
      <c r="U65" s="117"/>
      <c r="V65" s="137"/>
      <c r="W65" s="294"/>
      <c r="AJ65" s="161"/>
      <c r="AK65" s="74" t="str">
        <f>Z4</f>
        <v>Selected LA- (none)</v>
      </c>
      <c r="AL65" s="148" t="e">
        <f>VLOOKUP($Y4,$B$11:$P$33,AL35,FALSE)</f>
        <v>#N/A</v>
      </c>
      <c r="AM65" s="148" t="e">
        <f>VLOOKUP($Y4,$B$11:$P$33,AM35,FALSE)</f>
        <v>#N/A</v>
      </c>
      <c r="AN65" s="148" t="e">
        <f>VLOOKUP($Y4,$B$11:$P$33,AN35,FALSE)</f>
        <v>#N/A</v>
      </c>
      <c r="AO65" s="148" t="e">
        <f>VLOOKUP($Y4,$B$11:$P$33,AO35,FALSE)</f>
        <v>#N/A</v>
      </c>
      <c r="AP65" s="148" t="e">
        <f>VLOOKUP($Y4,$B$11:$P$33,AP35,FALSE)</f>
        <v>#N/A</v>
      </c>
      <c r="AQ65" s="1136" t="e">
        <f>VLOOKUP(Y4,$B$11:$T$33,AQ$35,FALSE)</f>
        <v>#N/A</v>
      </c>
    </row>
    <row r="66" spans="1:50" s="81" customFormat="1" ht="42" customHeight="1" x14ac:dyDescent="0.2">
      <c r="A66" s="118"/>
      <c r="B66" s="67"/>
      <c r="C66" s="67"/>
      <c r="D66" s="58"/>
      <c r="E66" s="58"/>
      <c r="F66" s="58"/>
      <c r="G66" s="58"/>
      <c r="H66" s="58"/>
      <c r="I66" s="58"/>
      <c r="J66" s="58"/>
      <c r="K66" s="12"/>
      <c r="L66" s="9"/>
      <c r="M66" s="9"/>
      <c r="N66" s="9"/>
      <c r="O66" s="9"/>
      <c r="P66" s="9"/>
      <c r="Q66" s="9"/>
      <c r="R66" s="9"/>
      <c r="S66" s="9"/>
      <c r="T66" s="9"/>
      <c r="U66" s="117"/>
      <c r="V66" s="137"/>
      <c r="W66" s="150"/>
      <c r="AJ66" s="161"/>
    </row>
    <row r="67" spans="1:50" s="81" customFormat="1" ht="42" customHeight="1" x14ac:dyDescent="0.2">
      <c r="A67" s="118"/>
      <c r="B67" s="68"/>
      <c r="C67" s="68"/>
      <c r="D67" s="58"/>
      <c r="E67" s="58"/>
      <c r="F67" s="58"/>
      <c r="G67" s="58"/>
      <c r="H67" s="58"/>
      <c r="I67" s="58"/>
      <c r="J67" s="58"/>
      <c r="K67" s="12"/>
      <c r="L67" s="9"/>
      <c r="M67" s="9"/>
      <c r="N67" s="9"/>
      <c r="O67" s="9"/>
      <c r="P67" s="9"/>
      <c r="Q67" s="9"/>
      <c r="R67" s="9"/>
      <c r="S67" s="9"/>
      <c r="T67" s="9"/>
      <c r="U67" s="117"/>
      <c r="V67" s="137"/>
      <c r="W67" s="150"/>
      <c r="AD67" s="208"/>
      <c r="AJ67" s="161"/>
    </row>
    <row r="68" spans="1:50" s="81" customFormat="1" ht="42.75" customHeight="1" x14ac:dyDescent="0.2">
      <c r="A68" s="118"/>
      <c r="B68" s="58"/>
      <c r="C68" s="58"/>
      <c r="D68" s="58"/>
      <c r="E68" s="58"/>
      <c r="F68" s="58"/>
      <c r="G68" s="58"/>
      <c r="H68" s="58"/>
      <c r="I68" s="58"/>
      <c r="J68" s="58"/>
      <c r="K68" s="12"/>
      <c r="L68" s="9"/>
      <c r="M68" s="9"/>
      <c r="N68" s="9"/>
      <c r="O68" s="9"/>
      <c r="P68" s="9"/>
      <c r="Q68" s="9"/>
      <c r="R68" s="9"/>
      <c r="S68" s="9"/>
      <c r="T68" s="9"/>
      <c r="U68" s="117"/>
      <c r="V68" s="137"/>
      <c r="W68" s="150"/>
      <c r="AI68" s="184"/>
      <c r="AJ68" s="157"/>
      <c r="AK68" s="74"/>
      <c r="AL68" s="74"/>
      <c r="AM68" s="74"/>
      <c r="AN68" s="74"/>
      <c r="AO68" s="74"/>
      <c r="AP68" s="74"/>
      <c r="AQ68" s="74"/>
    </row>
    <row r="69" spans="1:50" ht="7.5" customHeight="1" x14ac:dyDescent="0.2">
      <c r="A69" s="118"/>
      <c r="B69" s="17"/>
      <c r="C69" s="17"/>
      <c r="D69" s="16"/>
      <c r="E69" s="16"/>
      <c r="F69" s="16"/>
      <c r="G69" s="16"/>
      <c r="H69" s="16"/>
      <c r="I69" s="16"/>
      <c r="J69" s="16"/>
      <c r="K69" s="12"/>
      <c r="L69" s="18"/>
      <c r="M69" s="18"/>
      <c r="N69" s="18"/>
      <c r="O69" s="18"/>
      <c r="P69" s="18"/>
      <c r="Q69" s="18"/>
      <c r="R69" s="18"/>
      <c r="S69" s="18"/>
      <c r="T69" s="19"/>
      <c r="U69" s="117"/>
      <c r="V69" s="137"/>
      <c r="W69" s="150"/>
      <c r="AI69" s="184"/>
      <c r="AJ69" s="157"/>
    </row>
    <row r="70" spans="1:50" ht="15" customHeight="1" x14ac:dyDescent="0.2">
      <c r="A70" s="1716"/>
      <c r="B70" s="1760"/>
      <c r="C70" s="1760"/>
      <c r="D70" s="1760"/>
      <c r="E70" s="1760"/>
      <c r="F70" s="1760"/>
      <c r="G70" s="1760"/>
      <c r="H70" s="1760"/>
      <c r="I70" s="1760"/>
      <c r="J70" s="1760"/>
      <c r="K70" s="1760"/>
      <c r="L70" s="1760"/>
      <c r="M70" s="1760"/>
      <c r="N70" s="1760"/>
      <c r="O70" s="1760"/>
      <c r="P70" s="1760"/>
      <c r="Q70" s="1760"/>
      <c r="R70" s="1760"/>
      <c r="S70" s="1760"/>
      <c r="T70" s="1760"/>
      <c r="U70" s="1761"/>
      <c r="V70" s="137"/>
      <c r="W70" s="150"/>
      <c r="AI70" s="184"/>
      <c r="AJ70" s="157"/>
    </row>
    <row r="71" spans="1:50" ht="11.25" customHeight="1" x14ac:dyDescent="0.2">
      <c r="A71" s="1847" t="str">
        <f>Home!$A$39</f>
        <v xml:space="preserve"> </v>
      </c>
      <c r="B71" s="1828"/>
      <c r="C71" s="1828"/>
      <c r="D71" s="1828"/>
      <c r="E71" s="1828"/>
      <c r="F71" s="1828"/>
      <c r="G71" s="1828"/>
      <c r="H71" s="1828"/>
      <c r="I71" s="1828"/>
      <c r="J71" s="1828"/>
      <c r="K71" s="1828"/>
      <c r="L71" s="1828"/>
      <c r="M71" s="1828"/>
      <c r="N71" s="1828"/>
      <c r="O71" s="1828"/>
      <c r="P71" s="1828"/>
      <c r="Q71" s="1828"/>
      <c r="R71" s="1828"/>
      <c r="S71" s="1828"/>
      <c r="T71" s="1828"/>
      <c r="U71" s="1829"/>
      <c r="V71" s="137"/>
      <c r="W71" s="150"/>
      <c r="AI71" s="184"/>
      <c r="AJ71" s="157"/>
    </row>
    <row r="72" spans="1:50" ht="11.25" customHeight="1" x14ac:dyDescent="0.2">
      <c r="A72" s="112"/>
      <c r="B72" s="113"/>
      <c r="C72" s="113"/>
      <c r="D72" s="113"/>
      <c r="E72" s="113"/>
      <c r="F72" s="113"/>
      <c r="G72" s="113"/>
      <c r="H72" s="113"/>
      <c r="I72" s="113"/>
      <c r="J72" s="113"/>
      <c r="K72" s="113"/>
      <c r="L72" s="114"/>
      <c r="M72" s="113"/>
      <c r="N72" s="113"/>
      <c r="O72" s="113"/>
      <c r="P72" s="113"/>
      <c r="Q72" s="113"/>
      <c r="R72" s="113"/>
      <c r="S72" s="113"/>
      <c r="T72" s="113"/>
      <c r="U72" s="115"/>
      <c r="V72" s="137"/>
      <c r="W72" s="150"/>
      <c r="AA72" s="196"/>
      <c r="AB72" s="188"/>
      <c r="AI72" s="81"/>
      <c r="AJ72" s="157"/>
    </row>
    <row r="73" spans="1:50" s="76" customFormat="1" ht="15" customHeight="1" x14ac:dyDescent="0.2">
      <c r="A73" s="119"/>
      <c r="B73" s="1770" t="s">
        <v>771</v>
      </c>
      <c r="C73" s="1770"/>
      <c r="D73" s="1770"/>
      <c r="E73" s="1770"/>
      <c r="F73" s="1770"/>
      <c r="G73" s="1770"/>
      <c r="H73" s="1770"/>
      <c r="I73" s="1770"/>
      <c r="J73" s="1770"/>
      <c r="K73" s="226"/>
      <c r="L73" s="226"/>
      <c r="M73" s="70"/>
      <c r="N73" s="70"/>
      <c r="O73" s="70"/>
      <c r="P73" s="501"/>
      <c r="Q73" s="70"/>
      <c r="R73" s="70"/>
      <c r="S73" s="70"/>
      <c r="T73" s="70"/>
      <c r="U73" s="120"/>
      <c r="V73" s="137"/>
      <c r="W73" s="150"/>
      <c r="X73" s="381" t="s">
        <v>242</v>
      </c>
      <c r="Y73" s="382"/>
      <c r="AB73" s="383"/>
      <c r="AC73" s="383"/>
      <c r="AD73" s="383"/>
      <c r="AE73" s="81"/>
      <c r="AF73" s="81"/>
      <c r="AG73" s="81"/>
      <c r="AH73" s="81"/>
      <c r="AI73" s="81"/>
      <c r="AJ73" s="157"/>
      <c r="AK73" s="74"/>
      <c r="AL73" s="74"/>
      <c r="AM73" s="74"/>
      <c r="AN73" s="74"/>
      <c r="AO73" s="74"/>
      <c r="AP73" s="74"/>
      <c r="AQ73" s="74"/>
      <c r="AR73" s="74"/>
      <c r="AS73" s="74"/>
      <c r="AT73" s="74"/>
      <c r="AU73" s="74"/>
      <c r="AV73" s="74"/>
      <c r="AW73" s="74"/>
      <c r="AX73" s="74"/>
    </row>
    <row r="74" spans="1:50" ht="15" customHeight="1" x14ac:dyDescent="0.2">
      <c r="A74" s="118"/>
      <c r="B74" s="1770"/>
      <c r="C74" s="1770"/>
      <c r="D74" s="1770"/>
      <c r="E74" s="1770"/>
      <c r="F74" s="1770"/>
      <c r="G74" s="1770"/>
      <c r="H74" s="1770"/>
      <c r="I74" s="1770"/>
      <c r="J74" s="1770"/>
      <c r="K74" s="226"/>
      <c r="L74" s="226"/>
      <c r="M74" s="70"/>
      <c r="N74" s="70"/>
      <c r="O74" s="70"/>
      <c r="P74" s="501"/>
      <c r="Q74" s="70"/>
      <c r="R74" s="70"/>
      <c r="S74" s="10"/>
      <c r="T74" s="70"/>
      <c r="U74" s="117"/>
      <c r="V74" s="137"/>
      <c r="W74" s="150"/>
      <c r="X74" s="383"/>
      <c r="Y74" s="382"/>
      <c r="Z74" s="74"/>
      <c r="AA74" s="74"/>
      <c r="AB74" s="383"/>
      <c r="AC74" s="383"/>
      <c r="AD74" s="383"/>
      <c r="AI74" s="81"/>
      <c r="AJ74" s="157"/>
    </row>
    <row r="75" spans="1:50" s="87" customFormat="1" ht="13.5" customHeight="1" x14ac:dyDescent="0.2">
      <c r="A75" s="121"/>
      <c r="B75" s="1771" t="s">
        <v>205</v>
      </c>
      <c r="C75" s="1031"/>
      <c r="D75" s="789" t="str">
        <f>Sheet1!$D$27</f>
        <v>2015-16</v>
      </c>
      <c r="E75" s="790" t="str">
        <f>Sheet1!$E$27</f>
        <v>2016-17</v>
      </c>
      <c r="F75" s="790" t="str">
        <f>Sheet1!$F$27</f>
        <v>2017-18</v>
      </c>
      <c r="G75" s="790" t="str">
        <f>Sheet1!$G$27</f>
        <v>2018-19</v>
      </c>
      <c r="H75" s="791" t="str">
        <f>Sheet1!$H$27</f>
        <v>2019-20</v>
      </c>
      <c r="I75" s="61"/>
      <c r="J75" s="96"/>
      <c r="K75" s="96"/>
      <c r="L75" s="96"/>
      <c r="M75" s="61"/>
      <c r="N75" s="61"/>
      <c r="O75" s="61"/>
      <c r="P75" s="61"/>
      <c r="Q75" s="61"/>
      <c r="R75" s="503"/>
      <c r="S75" s="503"/>
      <c r="T75" s="504"/>
      <c r="U75" s="122"/>
      <c r="V75" s="137"/>
      <c r="W75" s="150"/>
      <c r="X75" s="372"/>
      <c r="Y75" s="489" t="str">
        <f>IF(Sheet1!$C$3="Annual","",Sheet1!$D$28)</f>
        <v/>
      </c>
      <c r="Z75" s="489" t="str">
        <f>IF(Sheet1!$C$3="Annual","",Sheet1!$E$28)</f>
        <v/>
      </c>
      <c r="AA75" s="489" t="str">
        <f>IF(Sheet1!$C$3="Annual","",Sheet1!$F$28)</f>
        <v/>
      </c>
      <c r="AB75" s="489" t="str">
        <f>IF(Sheet1!$C$3="Annual","",Sheet1!$G$28)</f>
        <v/>
      </c>
      <c r="AC75" s="489" t="str">
        <f>IF(Sheet1!$C$3="Annual","",Sheet1!$H$28)</f>
        <v/>
      </c>
      <c r="AD75" s="383"/>
      <c r="AE75" s="81"/>
      <c r="AF75" s="81"/>
      <c r="AG75" s="81"/>
      <c r="AH75" s="81"/>
      <c r="AI75" s="81"/>
      <c r="AJ75" s="157"/>
      <c r="AK75" s="74"/>
      <c r="AL75" s="74"/>
      <c r="AM75" s="74"/>
      <c r="AN75" s="74"/>
      <c r="AO75" s="74"/>
      <c r="AP75" s="74"/>
      <c r="AQ75" s="74"/>
      <c r="AR75" s="74"/>
      <c r="AS75" s="74"/>
      <c r="AT75" s="74"/>
      <c r="AU75" s="74"/>
      <c r="AV75" s="74"/>
      <c r="AW75" s="74"/>
      <c r="AX75" s="74"/>
    </row>
    <row r="76" spans="1:50" s="87" customFormat="1" ht="13.5" customHeight="1" x14ac:dyDescent="0.2">
      <c r="A76" s="292"/>
      <c r="B76" s="1772"/>
      <c r="C76" s="85"/>
      <c r="D76" s="792" t="e">
        <f>Sheet1!$D$28</f>
        <v>#N/A</v>
      </c>
      <c r="E76" s="792" t="e">
        <f>Sheet1!$E$28</f>
        <v>#N/A</v>
      </c>
      <c r="F76" s="792" t="e">
        <f>Sheet1!$F$28</f>
        <v>#N/A</v>
      </c>
      <c r="G76" s="792" t="e">
        <f>Sheet1!$G$28</f>
        <v>#N/A</v>
      </c>
      <c r="H76" s="793" t="e">
        <f>Sheet1!$H$28</f>
        <v>#N/A</v>
      </c>
      <c r="I76" s="61"/>
      <c r="J76" s="96"/>
      <c r="K76" s="96"/>
      <c r="L76" s="96"/>
      <c r="M76" s="61"/>
      <c r="N76" s="61"/>
      <c r="O76" s="61"/>
      <c r="P76" s="61"/>
      <c r="Q76" s="61"/>
      <c r="R76" s="1036"/>
      <c r="S76" s="1036"/>
      <c r="T76" s="1037"/>
      <c r="U76" s="122"/>
      <c r="V76" s="137"/>
      <c r="W76" s="150"/>
      <c r="X76" s="372"/>
      <c r="Y76" s="489" t="str">
        <f>Sheet1!$D$27</f>
        <v>2015-16</v>
      </c>
      <c r="Z76" s="489" t="str">
        <f>Sheet1!$E$27</f>
        <v>2016-17</v>
      </c>
      <c r="AA76" s="489" t="str">
        <f>Sheet1!$F$27</f>
        <v>2017-18</v>
      </c>
      <c r="AB76" s="489" t="str">
        <f>Sheet1!$G$27</f>
        <v>2018-19</v>
      </c>
      <c r="AC76" s="489" t="str">
        <f>Sheet1!$H$27</f>
        <v>2019-20</v>
      </c>
      <c r="AD76" s="383"/>
      <c r="AE76" s="81"/>
      <c r="AF76" s="81"/>
      <c r="AG76" s="81"/>
      <c r="AH76" s="81"/>
      <c r="AI76" s="81"/>
      <c r="AJ76" s="157"/>
      <c r="AK76" s="74"/>
      <c r="AL76" s="74"/>
      <c r="AM76" s="74"/>
      <c r="AN76" s="74"/>
      <c r="AO76" s="74"/>
      <c r="AP76" s="74"/>
      <c r="AQ76" s="74"/>
      <c r="AR76" s="74"/>
      <c r="AS76" s="74"/>
      <c r="AT76" s="74"/>
      <c r="AU76" s="74"/>
      <c r="AV76" s="74"/>
      <c r="AW76" s="74"/>
      <c r="AX76" s="74"/>
    </row>
    <row r="77" spans="1:50" s="87" customFormat="1" ht="12.75" customHeight="1" x14ac:dyDescent="0.2">
      <c r="A77" s="549">
        <f>VLOOKUP(B77,Sheet1!$AQ$4:$AR$25,2,FALSE)</f>
        <v>0</v>
      </c>
      <c r="B77" s="93" t="str">
        <f>Adoption!B149</f>
        <v>Bracknell Forest</v>
      </c>
      <c r="C77" s="85"/>
      <c r="D77" s="162" t="e">
        <f>IF(AND(ISNUMBER(Adoption!Y149),ISNUMBER(Y77)),Y77/Adoption!Y149,NA())</f>
        <v>#N/A</v>
      </c>
      <c r="E77" s="162" t="e">
        <f>IF(AND(ISNUMBER(Adoption!Z149),ISNUMBER(Z77)),Z77/Adoption!Z149,NA())</f>
        <v>#N/A</v>
      </c>
      <c r="F77" s="162" t="e">
        <f>IF(AND(ISNUMBER(Adoption!AA149),ISNUMBER(AA77)),AA77/Adoption!AA149,NA())</f>
        <v>#N/A</v>
      </c>
      <c r="G77" s="162" t="e">
        <f>IF(AND(ISNUMBER(Adoption!AB149),ISNUMBER(AB77)),AB77/Adoption!AB149,NA())</f>
        <v>#N/A</v>
      </c>
      <c r="H77" s="164">
        <f>IF(AND(ISNUMBER(Adoption!AC149),ISNUMBER(AC77)),AC77/Adoption!AC149,NA())</f>
        <v>0</v>
      </c>
      <c r="I77" s="443"/>
      <c r="J77" s="96"/>
      <c r="K77" s="96"/>
      <c r="L77" s="96"/>
      <c r="M77" s="166"/>
      <c r="N77" s="166"/>
      <c r="O77" s="166"/>
      <c r="P77" s="166"/>
      <c r="Q77" s="166"/>
      <c r="R77" s="166"/>
      <c r="S77" s="167"/>
      <c r="T77" s="166"/>
      <c r="U77" s="122"/>
      <c r="V77" s="137"/>
      <c r="W77" s="150"/>
      <c r="X77" s="372" t="str">
        <f t="shared" ref="X77:X100" si="17">B77</f>
        <v>Bracknell Forest</v>
      </c>
      <c r="Y77" s="372" t="str">
        <f>IF(Year1_Bracknell_Forest Year1_ROSGO_ceased_LAC_CAO="","",Year1_Bracknell_Forest Year1_ROSGO_ceased_LAC_CAO)</f>
        <v>x</v>
      </c>
      <c r="Z77" s="372" t="str">
        <f>IF(Year2_Bracknell_Forest Year2_ROSGO_ceased_LAC_CAO="","",Year2_Bracknell_Forest Year2_ROSGO_ceased_LAC_CAO)</f>
        <v>x</v>
      </c>
      <c r="AA77" s="372" t="str">
        <f>IF(Year3_Bracknell_Forest Year3_ROSGO_ceased_LAC_CAO="","",Year3_Bracknell_Forest Year3_ROSGO_ceased_LAC_CAO)</f>
        <v>x</v>
      </c>
      <c r="AB77" s="372" t="str">
        <f>IF(Year4_Bracknell_Forest Year4_ROSGO_ceased_LAC_CAO="","",Year4_Bracknell_Forest Year4_ROSGO_ceased_LAC_CAO)</f>
        <v>x</v>
      </c>
      <c r="AC77" s="372">
        <f>IF(Year5_Bracknell_Forest Year5_ROSGO_ceased_LAC_CAO="","",Year5_Bracknell_Forest Year5_ROSGO_ceased_LAC_CAO)</f>
        <v>0</v>
      </c>
      <c r="AD77" s="383"/>
      <c r="AE77" s="81"/>
      <c r="AF77" s="81"/>
      <c r="AG77" s="81"/>
      <c r="AH77" s="81"/>
      <c r="AI77" s="81"/>
      <c r="AJ77" s="157"/>
      <c r="AK77" s="74"/>
      <c r="AL77" s="74"/>
      <c r="AM77" s="74"/>
      <c r="AN77" s="74"/>
      <c r="AO77" s="74"/>
      <c r="AP77" s="74"/>
      <c r="AQ77" s="74"/>
      <c r="AR77" s="74"/>
      <c r="AS77" s="74"/>
      <c r="AT77" s="74"/>
      <c r="AU77" s="74"/>
      <c r="AV77" s="74"/>
      <c r="AW77" s="74"/>
      <c r="AX77" s="74"/>
    </row>
    <row r="78" spans="1:50" s="87" customFormat="1" ht="12.75" customHeight="1" x14ac:dyDescent="0.2">
      <c r="A78" s="549">
        <f>VLOOKUP(B78,Sheet1!$AQ$4:$AR$25,2,FALSE)</f>
        <v>0</v>
      </c>
      <c r="B78" s="93" t="str">
        <f>Adoption!B150</f>
        <v>Brighton &amp; Hove</v>
      </c>
      <c r="C78" s="85"/>
      <c r="D78" s="162" t="e">
        <f>IF(AND(ISNUMBER(Adoption!Y150),ISNUMBER(Y78)),Y78/Adoption!Y150,NA())</f>
        <v>#N/A</v>
      </c>
      <c r="E78" s="162" t="e">
        <f>IF(AND(ISNUMBER(Adoption!Z150),ISNUMBER(Z78)),Z78/Adoption!Z150,NA())</f>
        <v>#N/A</v>
      </c>
      <c r="F78" s="162">
        <f>IF(AND(ISNUMBER(Adoption!AA150),ISNUMBER(AA78)),AA78/Adoption!AA150,NA())</f>
        <v>3.9772727272727272E-2</v>
      </c>
      <c r="G78" s="162" t="e">
        <f>IF(AND(ISNUMBER(Adoption!AB150),ISNUMBER(AB78)),AB78/Adoption!AB150,NA())</f>
        <v>#N/A</v>
      </c>
      <c r="H78" s="164">
        <f>IF(AND(ISNUMBER(Adoption!AC150),ISNUMBER(AC78)),AC78/Adoption!AC150,NA())</f>
        <v>3.3707865168539325E-2</v>
      </c>
      <c r="I78" s="443"/>
      <c r="J78" s="96"/>
      <c r="K78" s="96"/>
      <c r="L78" s="96"/>
      <c r="M78" s="166"/>
      <c r="N78" s="166"/>
      <c r="O78" s="166"/>
      <c r="P78" s="166"/>
      <c r="Q78" s="166"/>
      <c r="R78" s="166"/>
      <c r="S78" s="167"/>
      <c r="T78" s="166"/>
      <c r="U78" s="122"/>
      <c r="V78" s="137"/>
      <c r="W78" s="150"/>
      <c r="X78" s="372" t="str">
        <f t="shared" si="17"/>
        <v>Brighton &amp; Hove</v>
      </c>
      <c r="Y78" s="372" t="str">
        <f>IF(Year1_Brighton_Hove Year1_ROSGO_ceased_LAC_CAO="","",Year1_Brighton_Hove Year1_ROSGO_ceased_LAC_CAO)</f>
        <v>x</v>
      </c>
      <c r="Z78" s="372" t="str">
        <f>IF(Year2_Brighton_Hove Year2_ROSGO_ceased_LAC_CAO="","",Year2_Brighton_Hove Year2_ROSGO_ceased_LAC_CAO)</f>
        <v>x</v>
      </c>
      <c r="AA78" s="372">
        <f>IF(Year3_Brighton_Hove Year3_ROSGO_ceased_LAC_CAO="","",Year3_Brighton_Hove Year3_ROSGO_ceased_LAC_CAO)</f>
        <v>7</v>
      </c>
      <c r="AB78" s="372" t="str">
        <f>IF(Year4_Brighton_Hove Year4_ROSGO_ceased_LAC_CAO="","",Year4_Brighton_Hove Year4_ROSGO_ceased_LAC_CAO)</f>
        <v>x</v>
      </c>
      <c r="AC78" s="372">
        <f>IF(Year5_Brighton_Hove Year5_ROSGO_ceased_LAC_CAO="","",Year5_Brighton_Hove Year5_ROSGO_ceased_LAC_CAO)</f>
        <v>6</v>
      </c>
      <c r="AD78" s="383"/>
      <c r="AE78" s="81"/>
      <c r="AF78" s="81"/>
      <c r="AG78" s="81"/>
      <c r="AH78" s="81"/>
      <c r="AI78" s="81"/>
      <c r="AJ78" s="157"/>
      <c r="AK78" s="74"/>
      <c r="AL78" s="74"/>
      <c r="AM78" s="74"/>
      <c r="AN78" s="74"/>
      <c r="AO78" s="74"/>
      <c r="AP78" s="74"/>
      <c r="AQ78" s="74"/>
      <c r="AR78" s="74"/>
      <c r="AS78" s="74"/>
      <c r="AT78" s="74"/>
      <c r="AU78" s="74"/>
      <c r="AV78" s="74"/>
      <c r="AW78" s="74"/>
      <c r="AX78" s="74"/>
    </row>
    <row r="79" spans="1:50" s="87" customFormat="1" ht="12.75" customHeight="1" x14ac:dyDescent="0.2">
      <c r="A79" s="549">
        <f>VLOOKUP(B79,Sheet1!$AQ$4:$AR$25,2,FALSE)</f>
        <v>0</v>
      </c>
      <c r="B79" s="93" t="str">
        <f>Adoption!B151</f>
        <v>Buckinghamshire</v>
      </c>
      <c r="C79" s="85"/>
      <c r="D79" s="162">
        <f>IF(AND(ISNUMBER(Adoption!Y151),ISNUMBER(Y79)),Y79/Adoption!Y151,NA())</f>
        <v>2.2026431718061675E-2</v>
      </c>
      <c r="E79" s="162">
        <f>IF(AND(ISNUMBER(Adoption!Z151),ISNUMBER(Z79)),Z79/Adoption!Z151,NA())</f>
        <v>3.7209302325581395E-2</v>
      </c>
      <c r="F79" s="162" t="e">
        <f>IF(AND(ISNUMBER(Adoption!AA151),ISNUMBER(AA79)),AA79/Adoption!AA151,NA())</f>
        <v>#N/A</v>
      </c>
      <c r="G79" s="162" t="e">
        <f>IF(AND(ISNUMBER(Adoption!AB151),ISNUMBER(AB79)),AB79/Adoption!AB151,NA())</f>
        <v>#N/A</v>
      </c>
      <c r="H79" s="164">
        <f>IF(AND(ISNUMBER(Adoption!AC151),ISNUMBER(AC79)),AC79/Adoption!AC151,NA())</f>
        <v>2.9787234042553193E-2</v>
      </c>
      <c r="I79" s="443"/>
      <c r="J79" s="96"/>
      <c r="K79" s="96"/>
      <c r="L79" s="96"/>
      <c r="M79" s="166"/>
      <c r="N79" s="166"/>
      <c r="O79" s="166"/>
      <c r="P79" s="166"/>
      <c r="Q79" s="166"/>
      <c r="R79" s="166"/>
      <c r="S79" s="167"/>
      <c r="T79" s="166"/>
      <c r="U79" s="122"/>
      <c r="V79" s="137"/>
      <c r="W79" s="150"/>
      <c r="X79" s="372" t="str">
        <f t="shared" si="17"/>
        <v>Buckinghamshire</v>
      </c>
      <c r="Y79" s="372">
        <f>IF(Year1_Buckinghamshire Year1_ROSGO_ceased_LAC_CAO="","",Year1_Buckinghamshire Year1_ROSGO_ceased_LAC_CAO)</f>
        <v>5</v>
      </c>
      <c r="Z79" s="372">
        <f>IF(Year2_Buckinghamshire Year2_ROSGO_ceased_LAC_CAO="","",Year2_Buckinghamshire Year2_ROSGO_ceased_LAC_CAO)</f>
        <v>8</v>
      </c>
      <c r="AA79" s="372" t="str">
        <f>IF(Year3_Buckinghamshire Year3_ROSGO_ceased_LAC_CAO="","",Year3_Buckinghamshire Year3_ROSGO_ceased_LAC_CAO)</f>
        <v>x</v>
      </c>
      <c r="AB79" s="372" t="str">
        <f>IF(Year4_Buckinghamshire Year4_ROSGO_ceased_LAC_CAO="","",Year4_Buckinghamshire Year4_ROSGO_ceased_LAC_CAO)</f>
        <v>x</v>
      </c>
      <c r="AC79" s="372">
        <f>IF(Year5_Buckinghamshire Year5_ROSGO_ceased_LAC_CAO="","",Year5_Buckinghamshire Year5_ROSGO_ceased_LAC_CAO)</f>
        <v>7</v>
      </c>
      <c r="AD79" s="383"/>
      <c r="AE79" s="81"/>
      <c r="AF79" s="81"/>
      <c r="AG79" s="81"/>
      <c r="AH79" s="81"/>
      <c r="AI79" s="81"/>
      <c r="AJ79" s="157"/>
      <c r="AK79" s="74"/>
      <c r="AL79" s="74"/>
      <c r="AM79" s="74"/>
      <c r="AN79" s="74"/>
      <c r="AO79" s="74"/>
      <c r="AP79" s="74"/>
      <c r="AQ79" s="74"/>
      <c r="AR79" s="74"/>
      <c r="AS79" s="74"/>
      <c r="AT79" s="74"/>
      <c r="AU79" s="74"/>
      <c r="AV79" s="74"/>
      <c r="AW79" s="74"/>
      <c r="AX79" s="74"/>
    </row>
    <row r="80" spans="1:50" s="87" customFormat="1" ht="12.75" customHeight="1" x14ac:dyDescent="0.2">
      <c r="A80" s="549">
        <f>VLOOKUP(B80,Sheet1!$AQ$4:$AR$25,2,FALSE)</f>
        <v>0</v>
      </c>
      <c r="B80" s="93" t="str">
        <f>Adoption!B152</f>
        <v>East Sussex</v>
      </c>
      <c r="C80" s="85"/>
      <c r="D80" s="162" t="e">
        <f>IF(AND(ISNUMBER(Adoption!Y152),ISNUMBER(Y80)),Y80/Adoption!Y152,NA())</f>
        <v>#N/A</v>
      </c>
      <c r="E80" s="162" t="e">
        <f>IF(AND(ISNUMBER(Adoption!Z152),ISNUMBER(Z80)),Z80/Adoption!Z152,NA())</f>
        <v>#N/A</v>
      </c>
      <c r="F80" s="162" t="e">
        <f>IF(AND(ISNUMBER(Adoption!AA152),ISNUMBER(AA80)),AA80/Adoption!AA152,NA())</f>
        <v>#N/A</v>
      </c>
      <c r="G80" s="162" t="e">
        <f>IF(AND(ISNUMBER(Adoption!AB152),ISNUMBER(AB80)),AB80/Adoption!AB152,NA())</f>
        <v>#N/A</v>
      </c>
      <c r="H80" s="164">
        <f>IF(AND(ISNUMBER(Adoption!AC152),ISNUMBER(AC80)),AC80/Adoption!AC152,NA())</f>
        <v>0</v>
      </c>
      <c r="I80" s="443"/>
      <c r="J80" s="96"/>
      <c r="K80" s="96"/>
      <c r="L80" s="96"/>
      <c r="M80" s="166"/>
      <c r="N80" s="166"/>
      <c r="O80" s="166"/>
      <c r="P80" s="166"/>
      <c r="Q80" s="166"/>
      <c r="R80" s="166"/>
      <c r="S80" s="167"/>
      <c r="T80" s="166"/>
      <c r="U80" s="122"/>
      <c r="V80" s="137"/>
      <c r="W80" s="150"/>
      <c r="X80" s="372" t="str">
        <f t="shared" si="17"/>
        <v>East Sussex</v>
      </c>
      <c r="Y80" s="372" t="str">
        <f>IF(Year1_East_Sussex Year1_ROSGO_ceased_LAC_CAO="","",Year1_East_Sussex Year1_ROSGO_ceased_LAC_CAO)</f>
        <v>x</v>
      </c>
      <c r="Z80" s="372" t="str">
        <f>IF(Year2_East_Sussex Year2_ROSGO_ceased_LAC_CAO="","",Year2_East_Sussex Year2_ROSGO_ceased_LAC_CAO)</f>
        <v>x</v>
      </c>
      <c r="AA80" s="372" t="str">
        <f>IF(Year3_East_Sussex Year3_ROSGO_ceased_LAC_CAO="","",Year3_East_Sussex Year3_ROSGO_ceased_LAC_CAO)</f>
        <v>x</v>
      </c>
      <c r="AB80" s="372" t="str">
        <f>IF(Year4_East_Sussex Year4_ROSGO_ceased_LAC_CAO="","",Year4_East_Sussex Year4_ROSGO_ceased_LAC_CAO)</f>
        <v>x</v>
      </c>
      <c r="AC80" s="372">
        <f>IF(Year5_East_Sussex Year5_ROSGO_ceased_LAC_CAO="","",Year5_East_Sussex Year5_ROSGO_ceased_LAC_CAO)</f>
        <v>0</v>
      </c>
      <c r="AD80" s="383"/>
      <c r="AE80" s="81"/>
      <c r="AF80" s="81"/>
      <c r="AG80" s="81"/>
      <c r="AH80" s="81"/>
      <c r="AI80" s="81"/>
      <c r="AJ80" s="157"/>
      <c r="AK80" s="74"/>
      <c r="AL80" s="74"/>
      <c r="AM80" s="74"/>
      <c r="AN80" s="74"/>
      <c r="AO80" s="74"/>
      <c r="AP80" s="74"/>
      <c r="AQ80" s="74"/>
      <c r="AR80" s="74"/>
      <c r="AS80" s="74"/>
      <c r="AT80" s="74"/>
      <c r="AU80" s="74"/>
      <c r="AV80" s="74"/>
      <c r="AW80" s="74"/>
      <c r="AX80" s="74"/>
    </row>
    <row r="81" spans="1:50" s="87" customFormat="1" ht="12.75" customHeight="1" x14ac:dyDescent="0.2">
      <c r="A81" s="488">
        <f>VLOOKUP(B81,Sheet1!$AQ$4:$AR$25,2,FALSE)</f>
        <v>0</v>
      </c>
      <c r="B81" s="93" t="str">
        <f>Adoption!B153</f>
        <v>Hampshire</v>
      </c>
      <c r="C81" s="85"/>
      <c r="D81" s="162">
        <f>IF(AND(ISNUMBER(Adoption!Y153),ISNUMBER(Y81)),Y81/Adoption!Y153,NA())</f>
        <v>9.1743119266055051E-3</v>
      </c>
      <c r="E81" s="162">
        <f>IF(AND(ISNUMBER(Adoption!Z153),ISNUMBER(Z81)),Z81/Adoption!Z153,NA())</f>
        <v>3.9473684210526314E-2</v>
      </c>
      <c r="F81" s="162">
        <f>IF(AND(ISNUMBER(Adoption!AA153),ISNUMBER(AA81)),AA81/Adoption!AA153,NA())</f>
        <v>4.1152263374485597E-2</v>
      </c>
      <c r="G81" s="162">
        <f>IF(AND(ISNUMBER(Adoption!AB153),ISNUMBER(AB81)),AB81/Adoption!AB153,NA())</f>
        <v>3.0354131534569982E-2</v>
      </c>
      <c r="H81" s="164">
        <f>IF(AND(ISNUMBER(Adoption!AC153),ISNUMBER(AC81)),AC81/Adoption!AC153,NA())</f>
        <v>4.3269230769230768E-2</v>
      </c>
      <c r="I81" s="443"/>
      <c r="J81" s="96"/>
      <c r="K81" s="96"/>
      <c r="L81" s="96"/>
      <c r="M81" s="166"/>
      <c r="N81" s="166"/>
      <c r="O81" s="166"/>
      <c r="P81" s="166"/>
      <c r="Q81" s="166"/>
      <c r="R81" s="166"/>
      <c r="S81" s="167"/>
      <c r="T81" s="166"/>
      <c r="U81" s="122"/>
      <c r="V81" s="137"/>
      <c r="W81" s="150"/>
      <c r="X81" s="372" t="str">
        <f t="shared" si="17"/>
        <v>Hampshire</v>
      </c>
      <c r="Y81" s="372">
        <f>IF(Year1_Hampshire Year1_ROSGO_ceased_LAC_CAO="","",Year1_Hampshire Year1_ROSGO_ceased_LAC_CAO)</f>
        <v>5</v>
      </c>
      <c r="Z81" s="372">
        <f>IF(Year2_Hampshire Year2_ROSGO_ceased_LAC_CAO="","",Year2_Hampshire Year2_ROSGO_ceased_LAC_CAO)</f>
        <v>21</v>
      </c>
      <c r="AA81" s="372">
        <f>IF(Year3_Hampshire Year3_ROSGO_ceased_LAC_CAO="","",Year3_Hampshire Year3_ROSGO_ceased_LAC_CAO)</f>
        <v>20</v>
      </c>
      <c r="AB81" s="372">
        <f>IF(Year4_Hampshire Year4_ROSGO_ceased_LAC_CAO="","",Year4_Hampshire Year4_ROSGO_ceased_LAC_CAO)</f>
        <v>18</v>
      </c>
      <c r="AC81" s="372">
        <f>IF(Year5_Hampshire Year5_ROSGO_ceased_LAC_CAO="","",Year5_Hampshire Year5_ROSGO_ceased_LAC_CAO)</f>
        <v>27</v>
      </c>
      <c r="AD81" s="383"/>
      <c r="AG81" s="81"/>
      <c r="AH81" s="81"/>
      <c r="AI81" s="81"/>
      <c r="AJ81" s="157"/>
      <c r="AK81" s="74"/>
      <c r="AL81" s="74"/>
      <c r="AM81" s="74"/>
      <c r="AN81" s="74"/>
      <c r="AO81" s="74"/>
      <c r="AP81" s="74"/>
      <c r="AQ81" s="74"/>
      <c r="AR81" s="74"/>
      <c r="AS81" s="74"/>
      <c r="AT81" s="74"/>
      <c r="AU81" s="74"/>
      <c r="AV81" s="74"/>
      <c r="AW81" s="74"/>
      <c r="AX81" s="74"/>
    </row>
    <row r="82" spans="1:50" s="87" customFormat="1" ht="12.75" customHeight="1" x14ac:dyDescent="0.2">
      <c r="A82" s="488">
        <f>VLOOKUP(B82,Sheet1!$AQ$4:$AR$25,2,FALSE)</f>
        <v>0</v>
      </c>
      <c r="B82" s="93" t="str">
        <f>Adoption!B154</f>
        <v>Isle of Wight</v>
      </c>
      <c r="C82" s="85"/>
      <c r="D82" s="162" t="e">
        <f>IF(AND(ISNUMBER(Adoption!Y154),ISNUMBER(Y82)),Y82/Adoption!Y154,NA())</f>
        <v>#N/A</v>
      </c>
      <c r="E82" s="162" t="e">
        <f>IF(AND(ISNUMBER(Adoption!Z154),ISNUMBER(Z82)),Z82/Adoption!Z154,NA())</f>
        <v>#N/A</v>
      </c>
      <c r="F82" s="162" t="e">
        <f>IF(AND(ISNUMBER(Adoption!AA154),ISNUMBER(AA82)),AA82/Adoption!AA154,NA())</f>
        <v>#N/A</v>
      </c>
      <c r="G82" s="162" t="e">
        <f>IF(AND(ISNUMBER(Adoption!AB154),ISNUMBER(AB82)),AB82/Adoption!AB154,NA())</f>
        <v>#N/A</v>
      </c>
      <c r="H82" s="164">
        <f>IF(AND(ISNUMBER(Adoption!AC154),ISNUMBER(AC82)),AC82/Adoption!AC154,NA())</f>
        <v>0</v>
      </c>
      <c r="I82" s="443"/>
      <c r="J82" s="96"/>
      <c r="K82" s="96"/>
      <c r="L82" s="96"/>
      <c r="M82" s="166"/>
      <c r="N82" s="166"/>
      <c r="O82" s="166"/>
      <c r="P82" s="166"/>
      <c r="Q82" s="166"/>
      <c r="R82" s="166"/>
      <c r="S82" s="167"/>
      <c r="T82" s="166"/>
      <c r="U82" s="122"/>
      <c r="V82" s="137"/>
      <c r="W82" s="150"/>
      <c r="X82" s="372" t="str">
        <f t="shared" si="17"/>
        <v>Isle of Wight</v>
      </c>
      <c r="Y82" s="372" t="str">
        <f>IF(Year1_Isle_of_Wight Year1_ROSGO_ceased_LAC_CAO="","",Year1_Isle_of_Wight Year1_ROSGO_ceased_LAC_CAO)</f>
        <v>x</v>
      </c>
      <c r="Z82" s="372" t="str">
        <f>IF(Year2_Isle_of_Wight Year2_ROSGO_ceased_LAC_CAO="","",Year2_Isle_of_Wight Year2_ROSGO_ceased_LAC_CAO)</f>
        <v>x</v>
      </c>
      <c r="AA82" s="372" t="str">
        <f>IF(Year3_Isle_of_Wight Year3_ROSGO_ceased_LAC_CAO="","",Year3_Isle_of_Wight Year3_ROSGO_ceased_LAC_CAO)</f>
        <v>x</v>
      </c>
      <c r="AB82" s="372" t="str">
        <f>IF(Year4_Isle_of_Wight Year4_ROSGO_ceased_LAC_CAO="","",Year4_Isle_of_Wight Year4_ROSGO_ceased_LAC_CAO)</f>
        <v>x</v>
      </c>
      <c r="AC82" s="372">
        <f>IF(Year5_Isle_of_Wight Year5_ROSGO_ceased_LAC_CAO="","",Year5_Isle_of_Wight Year5_ROSGO_ceased_LAC_CAO)</f>
        <v>0</v>
      </c>
      <c r="AD82" s="383"/>
      <c r="AG82" s="81"/>
      <c r="AH82" s="81"/>
      <c r="AI82" s="81"/>
      <c r="AJ82" s="157"/>
      <c r="AK82" s="74"/>
      <c r="AL82" s="74"/>
      <c r="AM82" s="74"/>
      <c r="AN82" s="74"/>
      <c r="AO82" s="74"/>
      <c r="AP82" s="74"/>
      <c r="AQ82" s="74"/>
      <c r="AR82" s="74"/>
      <c r="AS82" s="74"/>
      <c r="AT82" s="74"/>
      <c r="AU82" s="74"/>
      <c r="AV82" s="74"/>
      <c r="AW82" s="74"/>
      <c r="AX82" s="74"/>
    </row>
    <row r="83" spans="1:50" s="87" customFormat="1" ht="12.75" customHeight="1" x14ac:dyDescent="0.2">
      <c r="A83" s="488">
        <f>VLOOKUP(B83,Sheet1!$AQ$4:$AR$25,2,FALSE)</f>
        <v>0</v>
      </c>
      <c r="B83" s="93" t="str">
        <f>Adoption!B155</f>
        <v>Kent</v>
      </c>
      <c r="C83" s="85"/>
      <c r="D83" s="162">
        <f>IF(AND(ISNUMBER(Adoption!Y155),ISNUMBER(Y83)),Y83/Adoption!Y155,NA())</f>
        <v>9.2678405931417972E-3</v>
      </c>
      <c r="E83" s="162">
        <f>IF(AND(ISNUMBER(Adoption!Z155),ISNUMBER(Z83)),Z83/Adoption!Z155,NA())</f>
        <v>8.3586626139817623E-3</v>
      </c>
      <c r="F83" s="162">
        <f>IF(AND(ISNUMBER(Adoption!AA155),ISNUMBER(AA83)),AA83/Adoption!AA155,NA())</f>
        <v>1.5252621544327931E-2</v>
      </c>
      <c r="G83" s="162">
        <f>IF(AND(ISNUMBER(Adoption!AB155),ISNUMBER(AB83)),AB83/Adoption!AB155,NA())</f>
        <v>1.310615989515072E-2</v>
      </c>
      <c r="H83" s="164">
        <f>IF(AND(ISNUMBER(Adoption!AC155),ISNUMBER(AC83)),AC83/Adoption!AC155,NA())</f>
        <v>2.4390243902439025E-2</v>
      </c>
      <c r="I83" s="443"/>
      <c r="J83" s="96"/>
      <c r="K83" s="96"/>
      <c r="L83" s="96"/>
      <c r="M83" s="166"/>
      <c r="N83" s="166"/>
      <c r="O83" s="166"/>
      <c r="P83" s="166"/>
      <c r="Q83" s="166"/>
      <c r="R83" s="166"/>
      <c r="S83" s="167"/>
      <c r="T83" s="166"/>
      <c r="U83" s="122"/>
      <c r="V83" s="137"/>
      <c r="W83" s="150"/>
      <c r="X83" s="372" t="str">
        <f t="shared" si="17"/>
        <v>Kent</v>
      </c>
      <c r="Y83" s="372">
        <f>IF(Year1_Kent Year1_ROSGO_ceased_LAC_CAO="","",Year1_Kent Year1_ROSGO_ceased_LAC_CAO)</f>
        <v>10</v>
      </c>
      <c r="Z83" s="372">
        <f>IF(Year2_Kent Year2_ROSGO_ceased_LAC_CAO="","",Year2_Kent Year2_ROSGO_ceased_LAC_CAO)</f>
        <v>11</v>
      </c>
      <c r="AA83" s="372">
        <f>IF(Year3_Kent Year3_ROSGO_ceased_LAC_CAO="","",Year3_Kent Year3_ROSGO_ceased_LAC_CAO)</f>
        <v>16</v>
      </c>
      <c r="AB83" s="372">
        <f>IF(Year4_Kent Year4_ROSGO_ceased_LAC_CAO="","",Year4_Kent Year4_ROSGO_ceased_LAC_CAO)</f>
        <v>10</v>
      </c>
      <c r="AC83" s="372">
        <f>IF(Year5_Kent Year5_ROSGO_ceased_LAC_CAO="","",Year5_Kent Year5_ROSGO_ceased_LAC_CAO)</f>
        <v>18</v>
      </c>
      <c r="AD83" s="383"/>
      <c r="AG83" s="81"/>
      <c r="AH83" s="81"/>
      <c r="AI83" s="81"/>
      <c r="AJ83" s="157"/>
      <c r="AK83" s="74"/>
      <c r="AL83" s="74"/>
      <c r="AM83" s="74"/>
      <c r="AN83" s="74"/>
      <c r="AO83" s="74"/>
      <c r="AP83" s="74"/>
      <c r="AQ83" s="74"/>
      <c r="AR83" s="74"/>
      <c r="AS83" s="74"/>
      <c r="AT83" s="74"/>
      <c r="AU83" s="74"/>
      <c r="AV83" s="74"/>
      <c r="AW83" s="74"/>
      <c r="AX83" s="74"/>
    </row>
    <row r="84" spans="1:50" s="87" customFormat="1" ht="12.75" customHeight="1" x14ac:dyDescent="0.2">
      <c r="A84" s="488">
        <f>VLOOKUP(B84,Sheet1!$AQ$4:$AR$25,2,FALSE)</f>
        <v>0</v>
      </c>
      <c r="B84" s="93" t="str">
        <f>Adoption!B156</f>
        <v>Medway</v>
      </c>
      <c r="C84" s="85"/>
      <c r="D84" s="162">
        <f>IF(AND(ISNUMBER(Adoption!Y156),ISNUMBER(Y84)),Y84/Adoption!Y156,NA())</f>
        <v>9.5238095238095233E-2</v>
      </c>
      <c r="E84" s="162">
        <f>IF(AND(ISNUMBER(Adoption!Z156),ISNUMBER(Z84)),Z84/Adoption!Z156,NA())</f>
        <v>6.4171122994652413E-2</v>
      </c>
      <c r="F84" s="162" t="e">
        <f>IF(AND(ISNUMBER(Adoption!AA156),ISNUMBER(AA84)),AA84/Adoption!AA156,NA())</f>
        <v>#N/A</v>
      </c>
      <c r="G84" s="162" t="e">
        <f>IF(AND(ISNUMBER(Adoption!AB156),ISNUMBER(AB84)),AB84/Adoption!AB156,NA())</f>
        <v>#N/A</v>
      </c>
      <c r="H84" s="164">
        <f>IF(AND(ISNUMBER(Adoption!AC156),ISNUMBER(AC84)),AC84/Adoption!AC156,NA())</f>
        <v>7.7777777777777779E-2</v>
      </c>
      <c r="I84" s="443"/>
      <c r="J84" s="96"/>
      <c r="K84" s="96"/>
      <c r="L84" s="96"/>
      <c r="M84" s="166"/>
      <c r="N84" s="166"/>
      <c r="O84" s="166"/>
      <c r="P84" s="166"/>
      <c r="Q84" s="166"/>
      <c r="R84" s="166"/>
      <c r="S84" s="167"/>
      <c r="T84" s="166"/>
      <c r="U84" s="122"/>
      <c r="V84" s="137"/>
      <c r="W84" s="150"/>
      <c r="X84" s="372" t="str">
        <f t="shared" si="17"/>
        <v>Medway</v>
      </c>
      <c r="Y84" s="372">
        <f>IF(Year1_Medway Year1_ROSGO_ceased_LAC_CAO="","",Year1_Medway Year1_ROSGO_ceased_LAC_CAO)</f>
        <v>20</v>
      </c>
      <c r="Z84" s="372">
        <f>IF(Year2_Medway Year2_ROSGO_ceased_LAC_CAO="","",Year2_Medway Year2_ROSGO_ceased_LAC_CAO)</f>
        <v>12</v>
      </c>
      <c r="AA84" s="372" t="str">
        <f>IF(Year3_Medway Year3_ROSGO_ceased_LAC_CAO="","",Year3_Medway Year3_ROSGO_ceased_LAC_CAO)</f>
        <v>x</v>
      </c>
      <c r="AB84" s="372" t="str">
        <f>IF(Year4_Medway Year4_ROSGO_ceased_LAC_CAO="","",Year4_Medway Year4_ROSGO_ceased_LAC_CAO)</f>
        <v>x</v>
      </c>
      <c r="AC84" s="372">
        <f>IF(Year5_Medway Year5_ROSGO_ceased_LAC_CAO="","",Year5_Medway Year5_ROSGO_ceased_LAC_CAO)</f>
        <v>14</v>
      </c>
      <c r="AD84" s="383"/>
      <c r="AG84" s="81"/>
      <c r="AH84" s="81"/>
      <c r="AI84" s="81"/>
      <c r="AJ84" s="157"/>
      <c r="AK84" s="74"/>
      <c r="AL84" s="74"/>
      <c r="AM84" s="74"/>
      <c r="AN84" s="74"/>
      <c r="AO84" s="74"/>
      <c r="AP84" s="74"/>
      <c r="AQ84" s="74"/>
      <c r="AR84" s="74"/>
      <c r="AS84" s="74"/>
      <c r="AT84" s="74"/>
      <c r="AU84" s="74"/>
      <c r="AV84" s="74"/>
      <c r="AW84" s="74"/>
      <c r="AX84" s="74"/>
    </row>
    <row r="85" spans="1:50" s="87" customFormat="1" ht="12.75" customHeight="1" x14ac:dyDescent="0.2">
      <c r="A85" s="488">
        <f>VLOOKUP(B85,Sheet1!$AQ$4:$AR$25,2,FALSE)</f>
        <v>0</v>
      </c>
      <c r="B85" s="93" t="str">
        <f>Adoption!B157</f>
        <v>Milton Keynes</v>
      </c>
      <c r="C85" s="85"/>
      <c r="D85" s="162">
        <f>IF(AND(ISNUMBER(Adoption!Y157),ISNUMBER(Y85)),Y85/Adoption!Y157,NA())</f>
        <v>2.6881720430107527E-2</v>
      </c>
      <c r="E85" s="162" t="e">
        <f>IF(AND(ISNUMBER(Adoption!Z157),ISNUMBER(Z85)),Z85/Adoption!Z157,NA())</f>
        <v>#N/A</v>
      </c>
      <c r="F85" s="162" t="e">
        <f>IF(AND(ISNUMBER(Adoption!AA157),ISNUMBER(AA85)),AA85/Adoption!AA157,NA())</f>
        <v>#N/A</v>
      </c>
      <c r="G85" s="162" t="e">
        <f>IF(AND(ISNUMBER(Adoption!AB157),ISNUMBER(AB85)),AB85/Adoption!AB157,NA())</f>
        <v>#N/A</v>
      </c>
      <c r="H85" s="164">
        <f>IF(AND(ISNUMBER(Adoption!AC157),ISNUMBER(AC85)),AC85/Adoption!AC157,NA())</f>
        <v>6.0810810810810814E-2</v>
      </c>
      <c r="I85" s="443"/>
      <c r="J85" s="96"/>
      <c r="K85" s="96"/>
      <c r="L85" s="96"/>
      <c r="M85" s="166"/>
      <c r="N85" s="166"/>
      <c r="O85" s="166"/>
      <c r="P85" s="166"/>
      <c r="Q85" s="166"/>
      <c r="R85" s="166"/>
      <c r="S85" s="167"/>
      <c r="T85" s="166"/>
      <c r="U85" s="122"/>
      <c r="V85" s="137"/>
      <c r="W85" s="150"/>
      <c r="X85" s="372" t="str">
        <f t="shared" si="17"/>
        <v>Milton Keynes</v>
      </c>
      <c r="Y85" s="372">
        <f>IF(Year1_Milton_Keynes Year1_ROSGO_ceased_LAC_CAO="","",Year1_Milton_Keynes Year1_ROSGO_ceased_LAC_CAO)</f>
        <v>5</v>
      </c>
      <c r="Z85" s="372" t="str">
        <f>IF(Year2_Milton_Keynes Year2_ROSGO_ceased_LAC_CAO="","",Year2_Milton_Keynes Year2_ROSGO_ceased_LAC_CAO)</f>
        <v>x</v>
      </c>
      <c r="AA85" s="372" t="str">
        <f>IF(Year3_Milton_Keynes Year3_ROSGO_ceased_LAC_CAO="","",Year3_Milton_Keynes Year3_ROSGO_ceased_LAC_CAO)</f>
        <v>x</v>
      </c>
      <c r="AB85" s="372" t="str">
        <f>IF(Year4_Milton_Keynes Year4_ROSGO_ceased_LAC_CAO="","",Year4_Milton_Keynes Year4_ROSGO_ceased_LAC_CAO)</f>
        <v>x</v>
      </c>
      <c r="AC85" s="372">
        <f>IF(Year5_Milton_Keynes Year5_ROSGO_ceased_LAC_CAO="","",Year5_Milton_Keynes Year5_ROSGO_ceased_LAC_CAO)</f>
        <v>9</v>
      </c>
      <c r="AD85" s="383"/>
      <c r="AG85" s="81"/>
      <c r="AH85" s="81"/>
      <c r="AI85" s="81"/>
      <c r="AJ85" s="157"/>
      <c r="AK85" s="74"/>
      <c r="AL85" s="74"/>
      <c r="AM85" s="74"/>
      <c r="AN85" s="74"/>
      <c r="AO85" s="74"/>
      <c r="AP85" s="74"/>
      <c r="AQ85" s="74"/>
      <c r="AR85" s="74"/>
      <c r="AS85" s="74"/>
      <c r="AT85" s="74"/>
      <c r="AU85" s="74"/>
      <c r="AV85" s="74"/>
      <c r="AW85" s="74"/>
      <c r="AX85" s="74"/>
    </row>
    <row r="86" spans="1:50" s="87" customFormat="1" ht="12.75" customHeight="1" x14ac:dyDescent="0.2">
      <c r="A86" s="488">
        <f>VLOOKUP(B86,Sheet1!$AQ$4:$AR$25,2,FALSE)</f>
        <v>0</v>
      </c>
      <c r="B86" s="93" t="str">
        <f>Adoption!B158</f>
        <v>Oxfordshire</v>
      </c>
      <c r="C86" s="85"/>
      <c r="D86" s="162">
        <f>IF(AND(ISNUMBER(Adoption!Y158),ISNUMBER(Y86)),Y86/Adoption!Y158,NA())</f>
        <v>3.5714285714285712E-2</v>
      </c>
      <c r="E86" s="162">
        <f>IF(AND(ISNUMBER(Adoption!Z158),ISNUMBER(Z86)),Z86/Adoption!Z158,NA())</f>
        <v>6.9930069930069935E-2</v>
      </c>
      <c r="F86" s="162">
        <f>IF(AND(ISNUMBER(Adoption!AA158),ISNUMBER(AA86)),AA86/Adoption!AA158,NA())</f>
        <v>2.6845637583892617E-2</v>
      </c>
      <c r="G86" s="162">
        <f>IF(AND(ISNUMBER(Adoption!AB158),ISNUMBER(AB86)),AB86/Adoption!AB158,NA())</f>
        <v>6.95970695970696E-2</v>
      </c>
      <c r="H86" s="164">
        <f>IF(AND(ISNUMBER(Adoption!AC158),ISNUMBER(AC86)),AC86/Adoption!AC158,NA())</f>
        <v>5.2795031055900624E-2</v>
      </c>
      <c r="I86" s="443"/>
      <c r="J86" s="96"/>
      <c r="K86" s="96"/>
      <c r="L86" s="96"/>
      <c r="M86" s="166"/>
      <c r="N86" s="166"/>
      <c r="O86" s="166"/>
      <c r="P86" s="166"/>
      <c r="Q86" s="166"/>
      <c r="R86" s="166"/>
      <c r="S86" s="167"/>
      <c r="T86" s="166"/>
      <c r="U86" s="122"/>
      <c r="V86" s="137"/>
      <c r="W86" s="150"/>
      <c r="X86" s="372" t="str">
        <f t="shared" si="17"/>
        <v>Oxfordshire</v>
      </c>
      <c r="Y86" s="372">
        <f>IF(Year1_Oxfordshire Year1_ROSGO_ceased_LAC_CAO="","",Year1_Oxfordshire Year1_ROSGO_ceased_LAC_CAO)</f>
        <v>10</v>
      </c>
      <c r="Z86" s="372">
        <f>IF(Year2_Oxfordshire Year2_ROSGO_ceased_LAC_CAO="","",Year2_Oxfordshire Year2_ROSGO_ceased_LAC_CAO)</f>
        <v>20</v>
      </c>
      <c r="AA86" s="372">
        <f>IF(Year3_Oxfordshire Year3_ROSGO_ceased_LAC_CAO="","",Year3_Oxfordshire Year3_ROSGO_ceased_LAC_CAO)</f>
        <v>8</v>
      </c>
      <c r="AB86" s="372">
        <f>IF(Year4_Oxfordshire Year4_ROSGO_ceased_LAC_CAO="","",Year4_Oxfordshire Year4_ROSGO_ceased_LAC_CAO)</f>
        <v>19</v>
      </c>
      <c r="AC86" s="372">
        <f>IF(Year5_Oxfordshire Year5_ROSGO_ceased_LAC_CAO="","",Year5_Oxfordshire Year5_ROSGO_ceased_LAC_CAO)</f>
        <v>17</v>
      </c>
      <c r="AD86" s="383"/>
      <c r="AG86" s="81"/>
      <c r="AH86" s="81"/>
      <c r="AI86" s="81"/>
      <c r="AJ86" s="157"/>
      <c r="AK86" s="74"/>
      <c r="AL86" s="74"/>
      <c r="AM86" s="74"/>
      <c r="AN86" s="74"/>
      <c r="AO86" s="74"/>
      <c r="AP86" s="74"/>
      <c r="AQ86" s="74"/>
      <c r="AR86" s="74"/>
      <c r="AS86" s="74"/>
      <c r="AT86" s="74"/>
      <c r="AU86" s="74"/>
      <c r="AV86" s="74"/>
      <c r="AW86" s="74"/>
      <c r="AX86" s="74"/>
    </row>
    <row r="87" spans="1:50" s="87" customFormat="1" ht="12.75" customHeight="1" x14ac:dyDescent="0.2">
      <c r="A87" s="488">
        <f>VLOOKUP(B87,Sheet1!$AQ$4:$AR$25,2,FALSE)</f>
        <v>0</v>
      </c>
      <c r="B87" s="93" t="str">
        <f>Adoption!B159</f>
        <v>Portsmouth</v>
      </c>
      <c r="C87" s="85"/>
      <c r="D87" s="162">
        <f>IF(AND(ISNUMBER(Adoption!Y159),ISNUMBER(Y87)),Y87/Adoption!Y159,NA())</f>
        <v>0.11904761904761904</v>
      </c>
      <c r="E87" s="162" t="e">
        <f>IF(AND(ISNUMBER(Adoption!Z159),ISNUMBER(Z87)),Z87/Adoption!Z159,NA())</f>
        <v>#N/A</v>
      </c>
      <c r="F87" s="162">
        <f>IF(AND(ISNUMBER(Adoption!AA159),ISNUMBER(AA87)),AA87/Adoption!AA159,NA())</f>
        <v>4.3010752688172046E-2</v>
      </c>
      <c r="G87" s="162">
        <f>IF(AND(ISNUMBER(Adoption!AB159),ISNUMBER(AB87)),AB87/Adoption!AB159,NA())</f>
        <v>6.2111801242236024E-2</v>
      </c>
      <c r="H87" s="164">
        <f>IF(AND(ISNUMBER(Adoption!AC159),ISNUMBER(AC87)),AC87/Adoption!AC159,NA())</f>
        <v>0</v>
      </c>
      <c r="I87" s="443"/>
      <c r="J87" s="96"/>
      <c r="K87" s="96"/>
      <c r="L87" s="96"/>
      <c r="M87" s="166"/>
      <c r="N87" s="166"/>
      <c r="O87" s="166"/>
      <c r="P87" s="166"/>
      <c r="Q87" s="166"/>
      <c r="R87" s="166"/>
      <c r="S87" s="167"/>
      <c r="T87" s="166"/>
      <c r="U87" s="122"/>
      <c r="V87" s="137"/>
      <c r="W87" s="150"/>
      <c r="X87" s="372" t="str">
        <f t="shared" si="17"/>
        <v>Portsmouth</v>
      </c>
      <c r="Y87" s="372">
        <f>IF(Year1_Portsmouth Year1_ROSGO_ceased_LAC_CAO="","",Year1_Portsmouth Year1_ROSGO_ceased_LAC_CAO)</f>
        <v>15</v>
      </c>
      <c r="Z87" s="372" t="str">
        <f>IF(Year2_Portsmouth Year2_ROSGO_ceased_LAC_CAO="","",Year2_Portsmouth Year2_ROSGO_ceased_LAC_CAO)</f>
        <v>x</v>
      </c>
      <c r="AA87" s="372">
        <f>IF(Year3_Portsmouth Year3_ROSGO_ceased_LAC_CAO="","",Year3_Portsmouth Year3_ROSGO_ceased_LAC_CAO)</f>
        <v>8</v>
      </c>
      <c r="AB87" s="372">
        <f>IF(Year4_Portsmouth Year4_ROSGO_ceased_LAC_CAO="","",Year4_Portsmouth Year4_ROSGO_ceased_LAC_CAO)</f>
        <v>10</v>
      </c>
      <c r="AC87" s="372">
        <f>IF(Year5_Portsmouth Year5_ROSGO_ceased_LAC_CAO="","",Year5_Portsmouth Year5_ROSGO_ceased_LAC_CAO)</f>
        <v>0</v>
      </c>
      <c r="AD87" s="383"/>
      <c r="AG87" s="81"/>
      <c r="AH87" s="81"/>
      <c r="AI87" s="81"/>
      <c r="AJ87" s="157"/>
      <c r="AK87" s="74"/>
      <c r="AL87" s="74"/>
      <c r="AM87" s="74"/>
      <c r="AN87" s="74"/>
      <c r="AO87" s="74"/>
      <c r="AP87" s="74"/>
      <c r="AQ87" s="74"/>
      <c r="AR87" s="74"/>
      <c r="AS87" s="74"/>
      <c r="AT87" s="74"/>
      <c r="AU87" s="74"/>
      <c r="AV87" s="74"/>
      <c r="AW87" s="74"/>
      <c r="AX87" s="74"/>
    </row>
    <row r="88" spans="1:50" s="87" customFormat="1" ht="12.75" customHeight="1" x14ac:dyDescent="0.2">
      <c r="A88" s="488">
        <f>VLOOKUP(B88,Sheet1!$AQ$4:$AR$25,2,FALSE)</f>
        <v>0</v>
      </c>
      <c r="B88" s="93" t="str">
        <f>Adoption!B160</f>
        <v>Reading</v>
      </c>
      <c r="C88" s="85"/>
      <c r="D88" s="162">
        <f>IF(AND(ISNUMBER(Adoption!Y160),ISNUMBER(Y88)),Y88/Adoption!Y160,NA())</f>
        <v>8.1300813008130079E-2</v>
      </c>
      <c r="E88" s="162">
        <f>IF(AND(ISNUMBER(Adoption!Z160),ISNUMBER(Z88)),Z88/Adoption!Z160,NA())</f>
        <v>0</v>
      </c>
      <c r="F88" s="162" t="e">
        <f>IF(AND(ISNUMBER(Adoption!AA160),ISNUMBER(AA88)),AA88/Adoption!AA160,NA())</f>
        <v>#N/A</v>
      </c>
      <c r="G88" s="162">
        <f>IF(AND(ISNUMBER(Adoption!AB160),ISNUMBER(AB88)),AB88/Adoption!AB160,NA())</f>
        <v>0</v>
      </c>
      <c r="H88" s="164">
        <f>IF(AND(ISNUMBER(Adoption!AC160),ISNUMBER(AC88)),AC88/Adoption!AC160,NA())</f>
        <v>0</v>
      </c>
      <c r="I88" s="443"/>
      <c r="J88" s="96"/>
      <c r="K88" s="96"/>
      <c r="L88" s="96"/>
      <c r="M88" s="166"/>
      <c r="N88" s="166"/>
      <c r="O88" s="166"/>
      <c r="P88" s="166"/>
      <c r="Q88" s="166"/>
      <c r="R88" s="166"/>
      <c r="S88" s="167"/>
      <c r="T88" s="166"/>
      <c r="U88" s="122"/>
      <c r="V88" s="137"/>
      <c r="W88" s="150"/>
      <c r="X88" s="372" t="str">
        <f t="shared" si="17"/>
        <v>Reading</v>
      </c>
      <c r="Y88" s="372">
        <f>IF(Year1_Reading Year1_ROSGO_ceased_LAC_CAO="","",Year1_Reading Year1_ROSGO_ceased_LAC_CAO)</f>
        <v>10</v>
      </c>
      <c r="Z88" s="372">
        <f>IF(Year2_Reading Year2_ROSGO_ceased_LAC_CAO="","",Year2_Reading Year2_ROSGO_ceased_LAC_CAO)</f>
        <v>0</v>
      </c>
      <c r="AA88" s="372" t="str">
        <f>IF(Year3_Reading Year3_ROSGO_ceased_LAC_CAO="","",Year3_Reading Year3_ROSGO_ceased_LAC_CAO)</f>
        <v>x</v>
      </c>
      <c r="AB88" s="372">
        <f>IF(Year4_Reading Year4_ROSGO_ceased_LAC_CAO="","",Year4_Reading Year4_ROSGO_ceased_LAC_CAO)</f>
        <v>0</v>
      </c>
      <c r="AC88" s="372">
        <f>IF(Year5_Reading Year5_ROSGO_ceased_LAC_CAO="","",Year5_Reading Year5_ROSGO_ceased_LAC_CAO)</f>
        <v>0</v>
      </c>
      <c r="AD88" s="383"/>
      <c r="AG88" s="81"/>
      <c r="AH88" s="81"/>
      <c r="AI88" s="81"/>
      <c r="AJ88" s="157"/>
      <c r="AK88" s="74"/>
      <c r="AL88" s="74"/>
      <c r="AM88" s="74"/>
      <c r="AN88" s="74"/>
      <c r="AO88" s="74"/>
      <c r="AP88" s="74"/>
      <c r="AQ88" s="74"/>
      <c r="AR88" s="74"/>
      <c r="AS88" s="74"/>
      <c r="AT88" s="74"/>
      <c r="AU88" s="74"/>
      <c r="AV88" s="74"/>
      <c r="AW88" s="74"/>
      <c r="AX88" s="74"/>
    </row>
    <row r="89" spans="1:50" s="87" customFormat="1" ht="12.75" customHeight="1" x14ac:dyDescent="0.2">
      <c r="A89" s="488">
        <f>VLOOKUP(B89,Sheet1!$AQ$4:$AR$25,2,FALSE)</f>
        <v>0</v>
      </c>
      <c r="B89" s="93" t="str">
        <f>Adoption!B161</f>
        <v>Slough</v>
      </c>
      <c r="C89" s="85"/>
      <c r="D89" s="162">
        <f>IF(AND(ISNUMBER(Adoption!Y161),ISNUMBER(Y89)),Y89/Adoption!Y161,NA())</f>
        <v>6.4935064935064929E-2</v>
      </c>
      <c r="E89" s="162">
        <f>IF(AND(ISNUMBER(Adoption!Z161),ISNUMBER(Z89)),Z89/Adoption!Z161,NA())</f>
        <v>8.0357142857142863E-2</v>
      </c>
      <c r="F89" s="162" t="e">
        <f>IF(AND(ISNUMBER(Adoption!AA161),ISNUMBER(AA89)),AA89/Adoption!AA161,NA())</f>
        <v>#N/A</v>
      </c>
      <c r="G89" s="162" t="e">
        <f>IF(AND(ISNUMBER(Adoption!AB161),ISNUMBER(AB89)),AB89/Adoption!AB161,NA())</f>
        <v>#N/A</v>
      </c>
      <c r="H89" s="164">
        <f>IF(AND(ISNUMBER(Adoption!AC161),ISNUMBER(AC89)),AC89/Adoption!AC161,NA())</f>
        <v>0</v>
      </c>
      <c r="I89" s="443"/>
      <c r="J89" s="96"/>
      <c r="K89" s="96"/>
      <c r="L89" s="96"/>
      <c r="M89" s="166"/>
      <c r="N89" s="166"/>
      <c r="O89" s="166"/>
      <c r="P89" s="166"/>
      <c r="Q89" s="166"/>
      <c r="R89" s="166"/>
      <c r="S89" s="167"/>
      <c r="T89" s="166"/>
      <c r="U89" s="122"/>
      <c r="V89" s="137"/>
      <c r="W89" s="150"/>
      <c r="X89" s="372" t="str">
        <f t="shared" si="17"/>
        <v>Slough</v>
      </c>
      <c r="Y89" s="372">
        <f>IF(Year1_Slough Year1_ROSGO_ceased_LAC_CAO="","",Year1_Slough Year1_ROSGO_ceased_LAC_CAO)</f>
        <v>10</v>
      </c>
      <c r="Z89" s="372">
        <f>IF(Year2_Slough Year2_ROSGO_ceased_LAC_CAO="","",Year2_Slough Year2_ROSGO_ceased_LAC_CAO)</f>
        <v>9</v>
      </c>
      <c r="AA89" s="372" t="str">
        <f>IF(Year3_Slough Year3_ROSGO_ceased_LAC_CAO="","",Year3_Slough Year3_ROSGO_ceased_LAC_CAO)</f>
        <v>x</v>
      </c>
      <c r="AB89" s="372" t="str">
        <f>IF(Year4_Slough Year4_ROSGO_ceased_LAC_CAO="","",Year4_Slough Year4_ROSGO_ceased_LAC_CAO)</f>
        <v>x</v>
      </c>
      <c r="AC89" s="372">
        <f>IF(Year5_Slough Year5_ROSGO_ceased_LAC_CAO="","",Year5_Slough Year5_ROSGO_ceased_LAC_CAO)</f>
        <v>0</v>
      </c>
      <c r="AD89" s="383"/>
      <c r="AG89" s="81"/>
      <c r="AH89" s="81"/>
      <c r="AI89" s="81"/>
      <c r="AJ89" s="157"/>
      <c r="AK89" s="74"/>
      <c r="AL89" s="74"/>
      <c r="AM89" s="74"/>
      <c r="AN89" s="74"/>
      <c r="AO89" s="74"/>
      <c r="AP89" s="74"/>
      <c r="AQ89" s="74"/>
      <c r="AR89" s="74"/>
      <c r="AS89" s="74"/>
      <c r="AT89" s="74"/>
      <c r="AU89" s="74"/>
      <c r="AV89" s="74"/>
      <c r="AW89" s="74"/>
      <c r="AX89" s="74"/>
    </row>
    <row r="90" spans="1:50" s="87" customFormat="1" ht="12.75" customHeight="1" x14ac:dyDescent="0.2">
      <c r="A90" s="488">
        <f>VLOOKUP(B90,Sheet1!$AQ$4:$AR$25,2,FALSE)</f>
        <v>0</v>
      </c>
      <c r="B90" s="93" t="str">
        <f>Adoption!B162</f>
        <v>Somerset</v>
      </c>
      <c r="C90" s="85"/>
      <c r="D90" s="162" t="e">
        <f>IF(AND(ISNUMBER(Adoption!Y162),ISNUMBER(Y90)),Y90/Adoption!Y162,NA())</f>
        <v>#N/A</v>
      </c>
      <c r="E90" s="162">
        <f>IF(AND(ISNUMBER(Adoption!Z162),ISNUMBER(Z90)),Z90/Adoption!Z162,NA())</f>
        <v>4.5977011494252873E-2</v>
      </c>
      <c r="F90" s="162">
        <f>IF(AND(ISNUMBER(Adoption!AA162),ISNUMBER(AA90)),AA90/Adoption!AA162,NA())</f>
        <v>2.6905829596412557E-2</v>
      </c>
      <c r="G90" s="162" t="e">
        <f>IF(AND(ISNUMBER(Adoption!AB162),ISNUMBER(AB90)),AB90/Adoption!AB162,NA())</f>
        <v>#N/A</v>
      </c>
      <c r="H90" s="164">
        <f>IF(AND(ISNUMBER(Adoption!AC162),ISNUMBER(AC90)),AC90/Adoption!AC162,NA())</f>
        <v>5.5837563451776651E-2</v>
      </c>
      <c r="I90" s="443"/>
      <c r="J90" s="96"/>
      <c r="K90" s="96"/>
      <c r="L90" s="96"/>
      <c r="M90" s="166"/>
      <c r="N90" s="166"/>
      <c r="O90" s="166"/>
      <c r="P90" s="166"/>
      <c r="Q90" s="166"/>
      <c r="R90" s="166"/>
      <c r="S90" s="167"/>
      <c r="T90" s="166"/>
      <c r="U90" s="122"/>
      <c r="V90" s="137"/>
      <c r="W90" s="150"/>
      <c r="X90" s="372" t="str">
        <f t="shared" si="17"/>
        <v>Somerset</v>
      </c>
      <c r="Y90" s="372" t="str">
        <f>IF(Year1_Somerset Year1_ROSGO_ceased_LAC_CAO="","",Year1_Somerset Year1_ROSGO_ceased_LAC_CAO)</f>
        <v>x</v>
      </c>
      <c r="Z90" s="372">
        <f>IF(Year2_Somerset Year2_ROSGO_ceased_LAC_CAO="","",Year2_Somerset Year2_ROSGO_ceased_LAC_CAO)</f>
        <v>12</v>
      </c>
      <c r="AA90" s="372">
        <f>IF(Year3_Somerset Year3_ROSGO_ceased_LAC_CAO="","",Year3_Somerset Year3_ROSGO_ceased_LAC_CAO)</f>
        <v>6</v>
      </c>
      <c r="AB90" s="372" t="str">
        <f>IF(Year4_Somerset Year4_ROSGO_ceased_LAC_CAO="","",Year4_Somerset Year4_ROSGO_ceased_LAC_CAO)</f>
        <v>x</v>
      </c>
      <c r="AC90" s="372">
        <f>IF(Year5_Somerset Year5_ROSGO_ceased_LAC_CAO="","",Year5_Somerset Year5_ROSGO_ceased_LAC_CAO)</f>
        <v>11</v>
      </c>
      <c r="AD90" s="383"/>
      <c r="AG90" s="81"/>
      <c r="AH90" s="81"/>
      <c r="AI90" s="81"/>
      <c r="AJ90" s="157"/>
      <c r="AK90" s="74"/>
      <c r="AL90" s="74"/>
      <c r="AM90" s="74"/>
      <c r="AN90" s="74"/>
      <c r="AO90" s="74"/>
      <c r="AP90" s="74"/>
      <c r="AQ90" s="74"/>
      <c r="AR90" s="74"/>
      <c r="AS90" s="74"/>
      <c r="AT90" s="74"/>
      <c r="AU90" s="74"/>
      <c r="AV90" s="74"/>
      <c r="AW90" s="74"/>
      <c r="AX90" s="74"/>
    </row>
    <row r="91" spans="1:50" s="87" customFormat="1" ht="12.75" customHeight="1" x14ac:dyDescent="0.2">
      <c r="A91" s="488">
        <f>VLOOKUP(B91,Sheet1!$AQ$4:$AR$25,2,FALSE)</f>
        <v>0</v>
      </c>
      <c r="B91" s="93" t="str">
        <f>Adoption!B163</f>
        <v>Southampton</v>
      </c>
      <c r="C91" s="85"/>
      <c r="D91" s="162" t="e">
        <f>IF(AND(ISNUMBER(Adoption!Y163),ISNUMBER(Y91)),Y91/Adoption!Y163,NA())</f>
        <v>#N/A</v>
      </c>
      <c r="E91" s="162" t="e">
        <f>IF(AND(ISNUMBER(Adoption!Z163),ISNUMBER(Z91)),Z91/Adoption!Z163,NA())</f>
        <v>#N/A</v>
      </c>
      <c r="F91" s="162">
        <f>IF(AND(ISNUMBER(Adoption!AA163),ISNUMBER(AA91)),AA91/Adoption!AA163,NA())</f>
        <v>6.5989847715736044E-2</v>
      </c>
      <c r="G91" s="162">
        <f>IF(AND(ISNUMBER(Adoption!AB163),ISNUMBER(AB91)),AB91/Adoption!AB163,NA())</f>
        <v>3.7383177570093455E-2</v>
      </c>
      <c r="H91" s="164">
        <f>IF(AND(ISNUMBER(Adoption!AC163),ISNUMBER(AC91)),AC91/Adoption!AC163,NA())</f>
        <v>0.10552763819095477</v>
      </c>
      <c r="I91" s="443"/>
      <c r="J91" s="96"/>
      <c r="K91" s="96"/>
      <c r="L91" s="96"/>
      <c r="M91" s="166"/>
      <c r="N91" s="166"/>
      <c r="O91" s="166"/>
      <c r="P91" s="166"/>
      <c r="Q91" s="166"/>
      <c r="R91" s="166"/>
      <c r="S91" s="167"/>
      <c r="T91" s="166"/>
      <c r="U91" s="122"/>
      <c r="V91" s="137"/>
      <c r="W91" s="150"/>
      <c r="X91" s="372" t="str">
        <f t="shared" si="17"/>
        <v>Southampton</v>
      </c>
      <c r="Y91" s="372" t="str">
        <f>IF(Year1_Southampton Year1_ROSGO_ceased_LAC_CAO="","",Year1_Southampton Year1_ROSGO_ceased_LAC_CAO)</f>
        <v>x</v>
      </c>
      <c r="Z91" s="372" t="str">
        <f>IF(Year2_Southampton Year2_ROSGO_ceased_LAC_CAO="","",Year2_Southampton Year2_ROSGO_ceased_LAC_CAO)</f>
        <v>x</v>
      </c>
      <c r="AA91" s="372">
        <f>IF(Year3_Southampton Year3_ROSGO_ceased_LAC_CAO="","",Year3_Southampton Year3_ROSGO_ceased_LAC_CAO)</f>
        <v>13</v>
      </c>
      <c r="AB91" s="372">
        <f>IF(Year4_Southampton Year4_ROSGO_ceased_LAC_CAO="","",Year4_Southampton Year4_ROSGO_ceased_LAC_CAO)</f>
        <v>8</v>
      </c>
      <c r="AC91" s="372">
        <f>IF(Year5_Southampton Year5_ROSGO_ceased_LAC_CAO="","",Year5_Southampton Year5_ROSGO_ceased_LAC_CAO)</f>
        <v>21</v>
      </c>
      <c r="AD91" s="383"/>
      <c r="AG91" s="81"/>
      <c r="AH91" s="81"/>
      <c r="AI91" s="81"/>
      <c r="AJ91" s="157"/>
      <c r="AK91" s="74"/>
      <c r="AL91" s="74"/>
      <c r="AM91" s="74"/>
      <c r="AN91" s="74"/>
      <c r="AO91" s="74"/>
      <c r="AP91" s="74"/>
      <c r="AQ91" s="74"/>
      <c r="AR91" s="74"/>
      <c r="AS91" s="74"/>
      <c r="AT91" s="74"/>
      <c r="AU91" s="74"/>
      <c r="AV91" s="74"/>
      <c r="AW91" s="74"/>
      <c r="AX91" s="74"/>
    </row>
    <row r="92" spans="1:50" s="87" customFormat="1" ht="12.75" customHeight="1" x14ac:dyDescent="0.2">
      <c r="A92" s="488">
        <f>VLOOKUP(B92,Sheet1!$AQ$4:$AR$25,2,FALSE)</f>
        <v>0</v>
      </c>
      <c r="B92" s="93" t="str">
        <f>Adoption!B164</f>
        <v>Surrey</v>
      </c>
      <c r="C92" s="85"/>
      <c r="D92" s="162">
        <f>IF(AND(ISNUMBER(Adoption!Y164),ISNUMBER(Y92)),Y92/Adoption!Y164,NA())</f>
        <v>3.7037037037037035E-2</v>
      </c>
      <c r="E92" s="162">
        <f>IF(AND(ISNUMBER(Adoption!Z164),ISNUMBER(Z92)),Z92/Adoption!Z164,NA())</f>
        <v>1.6706443914081145E-2</v>
      </c>
      <c r="F92" s="162">
        <f>IF(AND(ISNUMBER(Adoption!AA164),ISNUMBER(AA92)),AA92/Adoption!AA164,NA())</f>
        <v>3.1784841075794622E-2</v>
      </c>
      <c r="G92" s="162">
        <f>IF(AND(ISNUMBER(Adoption!AB164),ISNUMBER(AB92)),AB92/Adoption!AB164,NA())</f>
        <v>2.7918781725888325E-2</v>
      </c>
      <c r="H92" s="164">
        <f>IF(AND(ISNUMBER(Adoption!AC164),ISNUMBER(AC92)),AC92/Adoption!AC164,NA())</f>
        <v>2.7397260273972601E-2</v>
      </c>
      <c r="I92" s="443"/>
      <c r="J92" s="96"/>
      <c r="K92" s="96"/>
      <c r="L92" s="96"/>
      <c r="M92" s="166"/>
      <c r="N92" s="166"/>
      <c r="O92" s="166"/>
      <c r="P92" s="166"/>
      <c r="Q92" s="166"/>
      <c r="R92" s="166"/>
      <c r="S92" s="167"/>
      <c r="T92" s="166"/>
      <c r="U92" s="122"/>
      <c r="V92" s="137"/>
      <c r="W92" s="150"/>
      <c r="X92" s="372" t="str">
        <f t="shared" si="17"/>
        <v>Surrey</v>
      </c>
      <c r="Y92" s="372">
        <f>IF(Year1_Surrey Year1_ROSGO_ceased_LAC_CAO="","",Year1_Surrey Year1_ROSGO_ceased_LAC_CAO)</f>
        <v>15</v>
      </c>
      <c r="Z92" s="372">
        <f>IF(Year2_Surrey Year2_ROSGO_ceased_LAC_CAO="","",Year2_Surrey Year2_ROSGO_ceased_LAC_CAO)</f>
        <v>7</v>
      </c>
      <c r="AA92" s="372">
        <f>IF(Year3_Surrey Year3_ROSGO_ceased_LAC_CAO="","",Year3_Surrey Year3_ROSGO_ceased_LAC_CAO)</f>
        <v>13</v>
      </c>
      <c r="AB92" s="372">
        <f>IF(Year4_Surrey Year4_ROSGO_ceased_LAC_CAO="","",Year4_Surrey Year4_ROSGO_ceased_LAC_CAO)</f>
        <v>11</v>
      </c>
      <c r="AC92" s="372">
        <f>IF(Year5_Surrey Year5_ROSGO_ceased_LAC_CAO="","",Year5_Surrey Year5_ROSGO_ceased_LAC_CAO)</f>
        <v>10</v>
      </c>
      <c r="AD92" s="383"/>
      <c r="AG92" s="81"/>
      <c r="AH92" s="81"/>
      <c r="AI92" s="81"/>
      <c r="AJ92" s="157"/>
      <c r="AK92" s="74"/>
      <c r="AL92" s="74"/>
      <c r="AM92" s="74"/>
      <c r="AN92" s="74"/>
      <c r="AO92" s="74"/>
      <c r="AP92" s="74"/>
      <c r="AQ92" s="74"/>
      <c r="AR92" s="74"/>
      <c r="AS92" s="74"/>
      <c r="AT92" s="74"/>
      <c r="AU92" s="74"/>
      <c r="AV92" s="74"/>
      <c r="AW92" s="74"/>
      <c r="AX92" s="74"/>
    </row>
    <row r="93" spans="1:50" s="87" customFormat="1" ht="12.75" customHeight="1" x14ac:dyDescent="0.2">
      <c r="A93" s="488">
        <f>VLOOKUP(B93,Sheet1!$AQ$4:$AR$25,2,FALSE)</f>
        <v>0</v>
      </c>
      <c r="B93" s="93" t="str">
        <f>Adoption!B165</f>
        <v>Swindon</v>
      </c>
      <c r="C93" s="85"/>
      <c r="D93" s="162" t="e">
        <f>IF(AND(ISNUMBER(Adoption!Y165),ISNUMBER(Y93)),Y93/Adoption!Y165,NA())</f>
        <v>#N/A</v>
      </c>
      <c r="E93" s="162">
        <f>IF(AND(ISNUMBER(Adoption!Z165),ISNUMBER(Z93)),Z93/Adoption!Z165,NA())</f>
        <v>6.6666666666666666E-2</v>
      </c>
      <c r="F93" s="162">
        <f>IF(AND(ISNUMBER(Adoption!AA165),ISNUMBER(AA93)),AA93/Adoption!AA165,NA())</f>
        <v>5.1612903225806452E-2</v>
      </c>
      <c r="G93" s="162" t="e">
        <f>IF(AND(ISNUMBER(Adoption!AB165),ISNUMBER(AB93)),AB93/Adoption!AB165,NA())</f>
        <v>#N/A</v>
      </c>
      <c r="H93" s="164">
        <f>IF(AND(ISNUMBER(Adoption!AC165),ISNUMBER(AC93)),AC93/Adoption!AC165,NA())</f>
        <v>0</v>
      </c>
      <c r="I93" s="443"/>
      <c r="J93" s="96"/>
      <c r="K93" s="96"/>
      <c r="L93" s="96"/>
      <c r="M93" s="166"/>
      <c r="N93" s="166"/>
      <c r="O93" s="166"/>
      <c r="P93" s="166"/>
      <c r="Q93" s="166"/>
      <c r="R93" s="166"/>
      <c r="S93" s="167"/>
      <c r="T93" s="166"/>
      <c r="U93" s="122"/>
      <c r="V93" s="137"/>
      <c r="W93" s="150"/>
      <c r="X93" s="372" t="str">
        <f t="shared" si="17"/>
        <v>Swindon</v>
      </c>
      <c r="Y93" s="372" t="str">
        <f>IF(Year1_Swindon Year1_ROSGO_ceased_LAC_CAO="","",Year1_Swindon Year1_ROSGO_ceased_LAC_CAO)</f>
        <v>x</v>
      </c>
      <c r="Z93" s="372">
        <f>IF(Year2_Swindon Year2_ROSGO_ceased_LAC_CAO="","",Year2_Swindon Year2_ROSGO_ceased_LAC_CAO)</f>
        <v>10</v>
      </c>
      <c r="AA93" s="372">
        <f>IF(Year3_Swindon Year3_ROSGO_ceased_LAC_CAO="","",Year3_Swindon Year3_ROSGO_ceased_LAC_CAO)</f>
        <v>8</v>
      </c>
      <c r="AB93" s="605" t="str">
        <f>IF(Year4_Swindon Year4_ROSGO_ceased_LAC_CAO="","",Year4_Swindon Year4_ROSGO_ceased_LAC_CAO)</f>
        <v>x</v>
      </c>
      <c r="AC93" s="605">
        <f>IF(Year5_Swindon Year5_ROSGO_ceased_LAC_CAO="","",Year5_Swindon Year5_ROSGO_ceased_LAC_CAO)</f>
        <v>0</v>
      </c>
      <c r="AD93" s="383"/>
      <c r="AG93" s="81"/>
      <c r="AH93" s="81"/>
      <c r="AI93" s="81"/>
      <c r="AJ93" s="157"/>
      <c r="AK93" s="74"/>
      <c r="AL93" s="74"/>
      <c r="AM93" s="74"/>
      <c r="AN93" s="74"/>
      <c r="AO93" s="74"/>
      <c r="AP93" s="74"/>
      <c r="AQ93" s="74"/>
      <c r="AR93" s="74"/>
      <c r="AS93" s="74"/>
      <c r="AT93" s="74"/>
      <c r="AU93" s="74"/>
      <c r="AV93" s="74"/>
      <c r="AW93" s="74"/>
      <c r="AX93" s="74"/>
    </row>
    <row r="94" spans="1:50" s="87" customFormat="1" ht="12.75" customHeight="1" x14ac:dyDescent="0.2">
      <c r="A94" s="488">
        <f>VLOOKUP(B94,Sheet1!$AQ$4:$AR$25,2,FALSE)</f>
        <v>0</v>
      </c>
      <c r="B94" s="93" t="str">
        <f>Adoption!B166</f>
        <v>Torbay</v>
      </c>
      <c r="C94" s="85"/>
      <c r="D94" s="162">
        <f>IF(AND(ISNUMBER(Adoption!Y166),ISNUMBER(Y94)),Y94/Adoption!Y166,NA())</f>
        <v>0.04</v>
      </c>
      <c r="E94" s="162">
        <f>IF(AND(ISNUMBER(Adoption!Z166),ISNUMBER(Z94)),Z94/Adoption!Z166,NA())</f>
        <v>0.1111111111111111</v>
      </c>
      <c r="F94" s="162">
        <f>IF(AND(ISNUMBER(Adoption!AA166),ISNUMBER(AA94)),AA94/Adoption!AA166,NA())</f>
        <v>5.8823529411764705E-2</v>
      </c>
      <c r="G94" s="162">
        <f>IF(AND(ISNUMBER(Adoption!AB166),ISNUMBER(AB94)),AB94/Adoption!AB166,NA())</f>
        <v>6.7796610169491525E-2</v>
      </c>
      <c r="H94" s="164">
        <f>IF(AND(ISNUMBER(Adoption!AC166),ISNUMBER(AC94)),AC94/Adoption!AC166,NA())</f>
        <v>0</v>
      </c>
      <c r="I94" s="443"/>
      <c r="J94" s="96"/>
      <c r="K94" s="96"/>
      <c r="L94" s="96"/>
      <c r="M94" s="166"/>
      <c r="N94" s="166"/>
      <c r="O94" s="166"/>
      <c r="P94" s="166"/>
      <c r="Q94" s="166"/>
      <c r="R94" s="166"/>
      <c r="S94" s="167"/>
      <c r="T94" s="166"/>
      <c r="U94" s="122"/>
      <c r="V94" s="137"/>
      <c r="W94" s="150"/>
      <c r="X94" s="372" t="str">
        <f t="shared" si="17"/>
        <v>Torbay</v>
      </c>
      <c r="Y94" s="372">
        <f>IF(Year1_Torbay Year1_ROSGO_ceased_LAC_CAO="","",Year1_Torbay Year1_ROSGO_ceased_LAC_CAO)</f>
        <v>5</v>
      </c>
      <c r="Z94" s="372">
        <f>IF(Year2_Torbay Year2_ROSGO_ceased_LAC_CAO="","",Year2_Torbay Year2_ROSGO_ceased_LAC_CAO)</f>
        <v>12</v>
      </c>
      <c r="AA94" s="372">
        <f>IF(Year3_Torbay Year3_ROSGO_ceased_LAC_CAO="","",Year3_Torbay Year3_ROSGO_ceased_LAC_CAO)</f>
        <v>6</v>
      </c>
      <c r="AB94" s="605">
        <f>IF(Year4_Torbay Year4_ROSGO_ceased_LAC_CAO="","",Year4_Torbay Year4_ROSGO_ceased_LAC_CAO)</f>
        <v>8</v>
      </c>
      <c r="AC94" s="605">
        <f>IF(Year5_Torbay Year5_ROSGO_ceased_LAC_CAO="","",Year5_Torbay Year5_ROSGO_ceased_LAC_CAO)</f>
        <v>0</v>
      </c>
      <c r="AD94" s="383"/>
      <c r="AG94" s="81"/>
      <c r="AH94" s="81"/>
      <c r="AI94" s="81"/>
      <c r="AJ94" s="157"/>
      <c r="AK94" s="74"/>
      <c r="AL94" s="74"/>
      <c r="AM94" s="74"/>
      <c r="AN94" s="74"/>
      <c r="AO94" s="74"/>
      <c r="AP94" s="74"/>
      <c r="AQ94" s="74"/>
      <c r="AR94" s="74"/>
      <c r="AS94" s="74"/>
      <c r="AT94" s="74"/>
      <c r="AU94" s="74"/>
      <c r="AV94" s="74"/>
      <c r="AW94" s="74"/>
      <c r="AX94" s="74"/>
    </row>
    <row r="95" spans="1:50" s="87" customFormat="1" ht="12.75" customHeight="1" x14ac:dyDescent="0.2">
      <c r="A95" s="488">
        <f>VLOOKUP(B95,Sheet1!$AQ$4:$AR$25,2,FALSE)</f>
        <v>0</v>
      </c>
      <c r="B95" s="93" t="str">
        <f>Adoption!B167</f>
        <v>West Berkshire</v>
      </c>
      <c r="C95" s="85"/>
      <c r="D95" s="162">
        <f>IF(AND(ISNUMBER(Adoption!Y167),ISNUMBER(Y95)),Y95/Adoption!Y167,NA())</f>
        <v>0.14492753623188406</v>
      </c>
      <c r="E95" s="162">
        <f>IF(AND(ISNUMBER(Adoption!Z167),ISNUMBER(Z95)),Z95/Adoption!Z167,NA())</f>
        <v>9.45945945945946E-2</v>
      </c>
      <c r="F95" s="162">
        <f>IF(AND(ISNUMBER(Adoption!AA167),ISNUMBER(AA95)),AA95/Adoption!AA167,NA())</f>
        <v>0.10465116279069768</v>
      </c>
      <c r="G95" s="162" t="e">
        <f>IF(AND(ISNUMBER(Adoption!AB167),ISNUMBER(AB95)),AB95/Adoption!AB167,NA())</f>
        <v>#N/A</v>
      </c>
      <c r="H95" s="164">
        <f>IF(AND(ISNUMBER(Adoption!AC167),ISNUMBER(AC95)),AC95/Adoption!AC167,NA())</f>
        <v>0</v>
      </c>
      <c r="I95" s="443"/>
      <c r="J95" s="96"/>
      <c r="K95" s="96"/>
      <c r="L95" s="96"/>
      <c r="M95" s="166"/>
      <c r="N95" s="166"/>
      <c r="O95" s="166"/>
      <c r="P95" s="166"/>
      <c r="Q95" s="166"/>
      <c r="R95" s="166"/>
      <c r="S95" s="167"/>
      <c r="T95" s="166"/>
      <c r="U95" s="122"/>
      <c r="V95" s="137"/>
      <c r="W95" s="150"/>
      <c r="X95" s="372" t="str">
        <f t="shared" si="17"/>
        <v>West Berkshire</v>
      </c>
      <c r="Y95" s="372">
        <f>IF(Year1_West_Berkshire Year1_ROSGO_ceased_LAC_CAO="","",Year1_West_Berkshire Year1_ROSGO_ceased_LAC_CAO)</f>
        <v>10</v>
      </c>
      <c r="Z95" s="372">
        <f>IF(Year2_West_Berkshire Year2_ROSGO_ceased_LAC_CAO="","",Year2_West_Berkshire Year2_ROSGO_ceased_LAC_CAO)</f>
        <v>7</v>
      </c>
      <c r="AA95" s="372">
        <f>IF(Year3_West_Berkshire Year3_ROSGO_ceased_LAC_CAO="","",Year3_West_Berkshire Year3_ROSGO_ceased_LAC_CAO)</f>
        <v>9</v>
      </c>
      <c r="AB95" s="372" t="str">
        <f>IF(Year4_West_Berkshire Year4_ROSGO_ceased_LAC_CAO="","",Year4_West_Berkshire Year4_ROSGO_ceased_LAC_CAO)</f>
        <v>x</v>
      </c>
      <c r="AC95" s="372">
        <f>IF(Year5_West_Berkshire Year5_ROSGO_ceased_LAC_CAO="","",Year5_West_Berkshire Year5_ROSGO_ceased_LAC_CAO)</f>
        <v>0</v>
      </c>
      <c r="AD95" s="383"/>
      <c r="AG95" s="81"/>
      <c r="AH95" s="81"/>
      <c r="AI95" s="81"/>
      <c r="AJ95" s="157"/>
      <c r="AK95" s="74"/>
      <c r="AL95" s="74"/>
      <c r="AM95" s="74"/>
      <c r="AN95" s="74"/>
      <c r="AO95" s="74"/>
      <c r="AP95" s="74"/>
      <c r="AQ95" s="74"/>
      <c r="AR95" s="74"/>
      <c r="AS95" s="74"/>
      <c r="AT95" s="74"/>
      <c r="AU95" s="74"/>
      <c r="AV95" s="74"/>
      <c r="AW95" s="74"/>
      <c r="AX95" s="74"/>
    </row>
    <row r="96" spans="1:50" s="87" customFormat="1" ht="12.75" customHeight="1" x14ac:dyDescent="0.2">
      <c r="A96" s="488">
        <f>VLOOKUP(B96,Sheet1!$AQ$4:$AR$25,2,FALSE)</f>
        <v>0</v>
      </c>
      <c r="B96" s="93" t="str">
        <f>Adoption!B168</f>
        <v>West Sussex</v>
      </c>
      <c r="C96" s="85"/>
      <c r="D96" s="162" t="e">
        <f>IF(AND(ISNUMBER(Adoption!Y168),ISNUMBER(Y96)),Y96/Adoption!Y168,NA())</f>
        <v>#N/A</v>
      </c>
      <c r="E96" s="162">
        <f>IF(AND(ISNUMBER(Adoption!Z168),ISNUMBER(Z96)),Z96/Adoption!Z168,NA())</f>
        <v>0</v>
      </c>
      <c r="F96" s="162">
        <f>IF(AND(ISNUMBER(Adoption!AA168),ISNUMBER(AA96)),AA96/Adoption!AA168,NA())</f>
        <v>0</v>
      </c>
      <c r="G96" s="162" t="e">
        <f>IF(AND(ISNUMBER(Adoption!AB168),ISNUMBER(AB96)),AB96/Adoption!AB168,NA())</f>
        <v>#N/A</v>
      </c>
      <c r="H96" s="164">
        <f>IF(AND(ISNUMBER(Adoption!AC168),ISNUMBER(AC96)),AC96/Adoption!AC168,NA())</f>
        <v>0</v>
      </c>
      <c r="I96" s="443"/>
      <c r="J96" s="96"/>
      <c r="K96" s="96"/>
      <c r="L96" s="96"/>
      <c r="M96" s="166"/>
      <c r="N96" s="166"/>
      <c r="O96" s="166"/>
      <c r="P96" s="166"/>
      <c r="Q96" s="166"/>
      <c r="R96" s="166"/>
      <c r="S96" s="167"/>
      <c r="T96" s="166"/>
      <c r="U96" s="122"/>
      <c r="V96" s="137"/>
      <c r="W96" s="150"/>
      <c r="X96" s="372" t="str">
        <f t="shared" si="17"/>
        <v>West Sussex</v>
      </c>
      <c r="Y96" s="372" t="str">
        <f>IF(Year1_West_Sussex Year1_ROSGO_ceased_LAC_CAO="","",Year1_West_Sussex Year1_ROSGO_ceased_LAC_CAO)</f>
        <v>x</v>
      </c>
      <c r="Z96" s="372">
        <f>IF(Year2_West_Sussex Year2_ROSGO_ceased_LAC_CAO="","",Year2_West_Sussex Year2_ROSGO_ceased_LAC_CAO)</f>
        <v>0</v>
      </c>
      <c r="AA96" s="372">
        <f>IF(Year3_West_Sussex Year3_ROSGO_ceased_LAC_CAO="","",Year3_West_Sussex Year3_ROSGO_ceased_LAC_CAO)</f>
        <v>0</v>
      </c>
      <c r="AB96" s="372" t="str">
        <f>IF(Year4_West_Sussex Year4_ROSGO_ceased_LAC_CAO="","",Year4_West_Sussex Year4_ROSGO_ceased_LAC_CAO)</f>
        <v>x</v>
      </c>
      <c r="AC96" s="372">
        <f>IF(Year5_West_Sussex Year5_ROSGO_ceased_LAC_CAO="","",Year5_West_Sussex Year5_ROSGO_ceased_LAC_CAO)</f>
        <v>0</v>
      </c>
      <c r="AD96" s="383"/>
      <c r="AG96" s="81"/>
      <c r="AH96" s="81"/>
      <c r="AI96" s="81"/>
      <c r="AJ96" s="157"/>
      <c r="AK96" s="74"/>
      <c r="AL96" s="74"/>
      <c r="AM96" s="74"/>
      <c r="AN96" s="74"/>
      <c r="AO96" s="74"/>
      <c r="AP96" s="74"/>
      <c r="AQ96" s="74"/>
      <c r="AR96" s="74"/>
      <c r="AS96" s="74"/>
      <c r="AT96" s="74"/>
      <c r="AU96" s="74"/>
      <c r="AV96" s="74"/>
      <c r="AW96" s="74"/>
      <c r="AX96" s="74"/>
    </row>
    <row r="97" spans="1:50" s="87" customFormat="1" ht="12.75" customHeight="1" x14ac:dyDescent="0.2">
      <c r="A97" s="488">
        <f>VLOOKUP(B97,Sheet1!$AQ$4:$AR$25,2,FALSE)</f>
        <v>0</v>
      </c>
      <c r="B97" s="93" t="str">
        <f>Adoption!B169</f>
        <v>Windsor &amp; Maidenhead</v>
      </c>
      <c r="C97" s="85"/>
      <c r="D97" s="162" t="e">
        <f>IF(AND(ISNUMBER(Adoption!Y169),ISNUMBER(Y97)),Y97/Adoption!Y169,NA())</f>
        <v>#N/A</v>
      </c>
      <c r="E97" s="162" t="e">
        <f>IF(AND(ISNUMBER(Adoption!Z169),ISNUMBER(Z97)),Z97/Adoption!Z169,NA())</f>
        <v>#N/A</v>
      </c>
      <c r="F97" s="162" t="e">
        <f>IF(AND(ISNUMBER(Adoption!AA169),ISNUMBER(AA97)),AA97/Adoption!AA169,NA())</f>
        <v>#N/A</v>
      </c>
      <c r="G97" s="162">
        <f>IF(AND(ISNUMBER(Adoption!AB169),ISNUMBER(AB97)),AB97/Adoption!AB169,NA())</f>
        <v>0</v>
      </c>
      <c r="H97" s="164">
        <f>IF(AND(ISNUMBER(Adoption!AC169),ISNUMBER(AC97)),AC97/Adoption!AC169,NA())</f>
        <v>0</v>
      </c>
      <c r="I97" s="443"/>
      <c r="J97" s="96"/>
      <c r="K97" s="96"/>
      <c r="L97" s="96"/>
      <c r="M97" s="166"/>
      <c r="N97" s="166"/>
      <c r="O97" s="166"/>
      <c r="P97" s="166"/>
      <c r="Q97" s="166"/>
      <c r="R97" s="166"/>
      <c r="S97" s="167"/>
      <c r="T97" s="166"/>
      <c r="U97" s="122"/>
      <c r="V97" s="137"/>
      <c r="W97" s="150"/>
      <c r="X97" s="372" t="str">
        <f t="shared" si="17"/>
        <v>Windsor &amp; Maidenhead</v>
      </c>
      <c r="Y97" s="372" t="str">
        <f>IF(Year1_Windsor_Maidenhead Year1_ROSGO_ceased_LAC_CAO="","",Year1_Windsor_Maidenhead Year1_ROSGO_ceased_LAC_CAO)</f>
        <v>x</v>
      </c>
      <c r="Z97" s="372" t="str">
        <f>IF(Year2_Windsor_Maidenhead Year2_ROSGO_ceased_LAC_CAO="","",Year2_Windsor_Maidenhead Year2_ROSGO_ceased_LAC_CAO)</f>
        <v>x</v>
      </c>
      <c r="AA97" s="372" t="str">
        <f>IF(Year3_Windsor_Maidenhead Year3_ROSGO_ceased_LAC_CAO="","",Year3_Windsor_Maidenhead Year3_ROSGO_ceased_LAC_CAO)</f>
        <v>x</v>
      </c>
      <c r="AB97" s="372">
        <f>IF(Year4_Windsor_Maidenhead Year4_ROSGO_ceased_LAC_CAO="","",Year4_Windsor_Maidenhead Year4_ROSGO_ceased_LAC_CAO)</f>
        <v>0</v>
      </c>
      <c r="AC97" s="372">
        <f>IF(Year5_Windsor_Maidenhead Year5_ROSGO_ceased_LAC_CAO="","",Year5_Windsor_Maidenhead Year5_ROSGO_ceased_LAC_CAO)</f>
        <v>0</v>
      </c>
      <c r="AD97" s="383"/>
      <c r="AG97" s="81"/>
      <c r="AH97" s="81"/>
      <c r="AI97" s="81"/>
      <c r="AJ97" s="157"/>
      <c r="AK97" s="74"/>
      <c r="AL97" s="74"/>
      <c r="AM97" s="74"/>
      <c r="AN97" s="74"/>
      <c r="AO97" s="74"/>
      <c r="AP97" s="74"/>
      <c r="AQ97" s="74"/>
      <c r="AR97" s="74"/>
      <c r="AS97" s="74"/>
      <c r="AT97" s="74"/>
      <c r="AU97" s="74"/>
      <c r="AV97" s="74"/>
      <c r="AW97" s="74"/>
      <c r="AX97" s="74"/>
    </row>
    <row r="98" spans="1:50" s="87" customFormat="1" ht="12.75" customHeight="1" x14ac:dyDescent="0.2">
      <c r="A98" s="488">
        <f>VLOOKUP(B98,Sheet1!$AQ$4:$AR$25,2,FALSE)</f>
        <v>0</v>
      </c>
      <c r="B98" s="93" t="str">
        <f>Adoption!B170</f>
        <v>Wokingham</v>
      </c>
      <c r="C98" s="85"/>
      <c r="D98" s="162">
        <f>IF(AND(ISNUMBER(Adoption!Y170),ISNUMBER(Y98)),Y98/Adoption!Y170,NA())</f>
        <v>0</v>
      </c>
      <c r="E98" s="162" t="e">
        <f>IF(AND(ISNUMBER(Adoption!Z170),ISNUMBER(Z98)),Z98/Adoption!Z170,NA())</f>
        <v>#N/A</v>
      </c>
      <c r="F98" s="162">
        <f>IF(AND(ISNUMBER(Adoption!AA170),ISNUMBER(AA98)),AA98/Adoption!AA170,NA())</f>
        <v>0</v>
      </c>
      <c r="G98" s="162" t="e">
        <f>IF(AND(ISNUMBER(Adoption!AB170),ISNUMBER(AB98)),AB98/Adoption!AB170,NA())</f>
        <v>#N/A</v>
      </c>
      <c r="H98" s="164">
        <f>IF(AND(ISNUMBER(Adoption!AC170),ISNUMBER(AC98)),AC98/Adoption!AC170,NA())</f>
        <v>0.10909090909090909</v>
      </c>
      <c r="I98" s="443"/>
      <c r="J98" s="96"/>
      <c r="K98" s="96"/>
      <c r="L98" s="96"/>
      <c r="M98" s="166"/>
      <c r="N98" s="166"/>
      <c r="O98" s="166"/>
      <c r="P98" s="166"/>
      <c r="Q98" s="166"/>
      <c r="R98" s="166"/>
      <c r="S98" s="167"/>
      <c r="T98" s="166"/>
      <c r="U98" s="122"/>
      <c r="V98" s="137"/>
      <c r="W98" s="150"/>
      <c r="X98" s="372" t="str">
        <f t="shared" si="17"/>
        <v>Wokingham</v>
      </c>
      <c r="Y98" s="372">
        <f>IF(Year1_Wokingham Year1_ROSGO_ceased_LAC_CAO="","",Year1_Wokingham Year1_ROSGO_ceased_LAC_CAO)</f>
        <v>0</v>
      </c>
      <c r="Z98" s="372" t="str">
        <f>IF(Year2_Wokingham Year2_ROSGO_ceased_LAC_CAO="","",Year2_Wokingham Year2_ROSGO_ceased_LAC_CAO)</f>
        <v>x</v>
      </c>
      <c r="AA98" s="372">
        <f>IF(Year3_Wokingham Year3_ROSGO_ceased_LAC_CAO="","",Year3_Wokingham Year3_ROSGO_ceased_LAC_CAO)</f>
        <v>0</v>
      </c>
      <c r="AB98" s="372" t="str">
        <f>IF(Year4_Wokingham Year4_ROSGO_ceased_LAC_CAO="","",Year4_Wokingham Year4_ROSGO_ceased_LAC_CAO)</f>
        <v>x</v>
      </c>
      <c r="AC98" s="372">
        <f>IF(Year5_Wokingham Year5_ROSGO_ceased_LAC_CAO="","",Year5_Wokingham Year5_ROSGO_ceased_LAC_CAO)</f>
        <v>6</v>
      </c>
      <c r="AD98" s="383"/>
      <c r="AG98" s="81"/>
      <c r="AH98" s="81"/>
      <c r="AI98" s="81"/>
      <c r="AJ98" s="157"/>
      <c r="AK98" s="74"/>
      <c r="AL98" s="74"/>
      <c r="AM98" s="74"/>
      <c r="AN98" s="74"/>
      <c r="AO98" s="74"/>
      <c r="AP98" s="74"/>
      <c r="AQ98" s="74"/>
      <c r="AR98" s="74"/>
      <c r="AS98" s="74"/>
      <c r="AT98" s="74"/>
      <c r="AU98" s="74"/>
      <c r="AV98" s="74"/>
      <c r="AW98" s="74"/>
      <c r="AX98" s="74"/>
    </row>
    <row r="99" spans="1:50" s="87" customFormat="1" ht="12.75" customHeight="1" x14ac:dyDescent="0.2">
      <c r="A99" s="121"/>
      <c r="B99" s="129" t="str">
        <f>Adoption!B171</f>
        <v>South East</v>
      </c>
      <c r="C99" s="85"/>
      <c r="D99" s="163">
        <f>IF(AND(ISNUMBER(Adoption!Y171),ISNUMBER(Y99)),Y99/Adoption!Y171,NA())</f>
        <v>2.7956989247311829E-2</v>
      </c>
      <c r="E99" s="163">
        <f>IF(AND(ISNUMBER(Adoption!Z171),ISNUMBER(Z99)),Z99/Adoption!Z171,NA())</f>
        <v>2.7956989247311829E-2</v>
      </c>
      <c r="F99" s="163">
        <f>IF(AND(ISNUMBER(Adoption!AA171),ISNUMBER(AA99)),AA99/Adoption!AA171,NA())</f>
        <v>2.7842227378190254E-2</v>
      </c>
      <c r="G99" s="163">
        <f>IF(AND(ISNUMBER(Adoption!AB171),ISNUMBER(AB99)),AB99/Adoption!AB171,NA())</f>
        <v>2.6570048309178744E-2</v>
      </c>
      <c r="H99" s="165">
        <f>IF(AND(ISNUMBER(Adoption!AC171),ISNUMBER(AC99)),AC99/Adoption!AC171,NA())</f>
        <v>3.7558685446009391E-2</v>
      </c>
      <c r="I99" s="443"/>
      <c r="J99" s="96"/>
      <c r="K99" s="96"/>
      <c r="L99" s="96"/>
      <c r="M99" s="168"/>
      <c r="N99" s="168"/>
      <c r="O99" s="168"/>
      <c r="P99" s="168"/>
      <c r="Q99" s="168"/>
      <c r="R99" s="168"/>
      <c r="S99" s="169"/>
      <c r="T99" s="170"/>
      <c r="U99" s="122"/>
      <c r="V99" s="137"/>
      <c r="W99" s="150"/>
      <c r="X99" s="372" t="str">
        <f t="shared" si="17"/>
        <v>South East</v>
      </c>
      <c r="Y99" s="632">
        <f>IF(Year1_SouthEast Year1_ROSGO_ceased_LAC_CAO=0,NA(),Year1_SouthEast Year1_ROSGO_ceased_LAC_CAO)</f>
        <v>130</v>
      </c>
      <c r="Z99" s="631">
        <f>IF(Year2_SouthEast Year2_ROSGO_ceased_LAC_CAO=0,NA(),Year2_SouthEast Year2_ROSGO_ceased_LAC_CAO)</f>
        <v>130</v>
      </c>
      <c r="AA99" s="631">
        <f>IF(Year3_SouthEast Year3_ROSGO_ceased_LAC_CAO=0,NA(),Year3_SouthEast Year3_ROSGO_ceased_LAC_CAO)</f>
        <v>120</v>
      </c>
      <c r="AB99" s="372">
        <f>IF(Year4_SouthEast Year4_ROSGO_ceased_LAC_CAO=0,NA(),Year4_SouthEast Year4_ROSGO_ceased_LAC_CAO)</f>
        <v>110</v>
      </c>
      <c r="AC99" s="372">
        <f>IF(Year5_SouthEast Year5_ROSGO_ceased_LAC_CAO=0,NA(),Year5_SouthEast Year5_ROSGO_ceased_LAC_CAO)</f>
        <v>160</v>
      </c>
      <c r="AD99" s="383"/>
      <c r="AG99" s="81"/>
      <c r="AH99" s="81"/>
      <c r="AI99" s="81"/>
      <c r="AJ99" s="157"/>
      <c r="AK99" s="74"/>
      <c r="AL99" s="74"/>
      <c r="AM99" s="74"/>
      <c r="AN99" s="74"/>
      <c r="AO99" s="74"/>
      <c r="AP99" s="74"/>
      <c r="AQ99" s="74"/>
      <c r="AR99" s="74"/>
      <c r="AS99" s="74"/>
      <c r="AT99" s="74"/>
      <c r="AU99" s="74"/>
      <c r="AV99" s="74"/>
      <c r="AW99" s="74"/>
      <c r="AX99" s="74"/>
    </row>
    <row r="100" spans="1:50" s="87" customFormat="1" ht="12.75" customHeight="1" x14ac:dyDescent="0.2">
      <c r="A100" s="121"/>
      <c r="B100" s="329" t="str">
        <f>Adoption!B172</f>
        <v>England</v>
      </c>
      <c r="C100" s="85"/>
      <c r="D100" s="351">
        <f>IF(AND(ISNUMBER(Adoption!Y172),ISNUMBER(Y100)),Y100/Adoption!Y172,NA())</f>
        <v>3.5153797865662272E-2</v>
      </c>
      <c r="E100" s="351">
        <f>IF(AND(ISNUMBER(Adoption!Z172),ISNUMBER(Z100)),Z100/Adoption!Z172,NA())</f>
        <v>3.8216560509554139E-2</v>
      </c>
      <c r="F100" s="351">
        <f>IF(AND(ISNUMBER(Adoption!AA172),ISNUMBER(AA100)),AA100/Adoption!AA172,NA())</f>
        <v>3.8935108153078206E-2</v>
      </c>
      <c r="G100" s="351">
        <f>IF(AND(ISNUMBER(Adoption!AB172),ISNUMBER(AB100)),AB100/Adoption!AB172,NA())</f>
        <v>3.8017651052274268E-2</v>
      </c>
      <c r="H100" s="352">
        <f>IF(AND(ISNUMBER(Adoption!AC172),ISNUMBER(AC100)),AC100/Adoption!AC172,NA())</f>
        <v>3.9202433254477864E-2</v>
      </c>
      <c r="I100" s="1045"/>
      <c r="J100" s="96"/>
      <c r="K100" s="96"/>
      <c r="L100" s="96"/>
      <c r="M100" s="168"/>
      <c r="N100" s="168"/>
      <c r="O100" s="168"/>
      <c r="P100" s="168"/>
      <c r="Q100" s="168"/>
      <c r="R100" s="168"/>
      <c r="S100" s="169"/>
      <c r="T100" s="170"/>
      <c r="U100" s="122"/>
      <c r="V100" s="137"/>
      <c r="W100" s="150"/>
      <c r="X100" s="372" t="str">
        <f t="shared" si="17"/>
        <v>England</v>
      </c>
      <c r="Y100" s="632">
        <f>IF(Year1_England Year1_ROSGO_ceased_LAC_CAO=0,NA(),Year1_England Year1_ROSGO_ceased_LAC_CAO)</f>
        <v>1120</v>
      </c>
      <c r="Z100" s="631">
        <f>IF(Year2_England Year2_ROSGO_ceased_LAC_CAO=0,NA(),Year2_England Year2_ROSGO_ceased_LAC_CAO)</f>
        <v>1200</v>
      </c>
      <c r="AA100" s="631">
        <f>IF(Year3_England Year3_ROSGO_ceased_LAC_CAO=0,NA(),Year3_England Year3_ROSGO_ceased_LAC_CAO)</f>
        <v>1170</v>
      </c>
      <c r="AB100" s="372">
        <f>IF(Year4_England Year4_ROSGO_ceased_LAC_CAO=0,NA(),Year4_England Year4_ROSGO_ceased_LAC_CAO)</f>
        <v>1120</v>
      </c>
      <c r="AC100" s="372">
        <f>IF(Year5_England Year5_ROSGO_ceased_LAC_CAO=0,NA(),Year5_England Year5_ROSGO_ceased_LAC_CAO)</f>
        <v>1160</v>
      </c>
      <c r="AD100" s="383"/>
      <c r="AG100" s="81"/>
      <c r="AH100" s="81"/>
      <c r="AI100" s="81"/>
      <c r="AJ100" s="157"/>
      <c r="AK100" s="74"/>
      <c r="AL100" s="74"/>
      <c r="AM100" s="74"/>
      <c r="AN100" s="74"/>
      <c r="AO100" s="74"/>
      <c r="AP100" s="74"/>
      <c r="AQ100" s="74"/>
      <c r="AR100" s="74"/>
      <c r="AS100" s="74"/>
      <c r="AT100" s="74"/>
      <c r="AU100" s="74"/>
      <c r="AV100" s="74"/>
      <c r="AW100" s="74"/>
      <c r="AX100" s="74"/>
    </row>
    <row r="101" spans="1:50" s="87" customFormat="1" ht="7.5" customHeight="1" x14ac:dyDescent="0.2">
      <c r="A101" s="292"/>
      <c r="B101" s="96"/>
      <c r="C101" s="96"/>
      <c r="D101" s="96"/>
      <c r="E101" s="96"/>
      <c r="F101" s="96"/>
      <c r="G101" s="96"/>
      <c r="H101" s="96"/>
      <c r="I101" s="96"/>
      <c r="J101" s="96"/>
      <c r="K101" s="96"/>
      <c r="L101" s="96"/>
      <c r="M101" s="168"/>
      <c r="N101" s="168"/>
      <c r="O101" s="168"/>
      <c r="P101" s="168"/>
      <c r="Q101" s="168"/>
      <c r="R101" s="168"/>
      <c r="S101" s="169"/>
      <c r="T101" s="170"/>
      <c r="U101" s="122"/>
      <c r="V101" s="137"/>
      <c r="W101" s="150"/>
      <c r="X101" s="81"/>
      <c r="Y101" s="81"/>
      <c r="AB101" s="196"/>
      <c r="AC101" s="196"/>
      <c r="AD101" s="383"/>
      <c r="AG101" s="81"/>
      <c r="AH101" s="81"/>
      <c r="AI101" s="81"/>
      <c r="AJ101" s="157"/>
      <c r="AK101" s="74"/>
      <c r="AL101" s="74"/>
      <c r="AM101" s="74"/>
      <c r="AN101" s="74"/>
      <c r="AO101" s="74"/>
      <c r="AP101" s="74"/>
      <c r="AQ101" s="74"/>
      <c r="AR101" s="74"/>
      <c r="AS101" s="74"/>
      <c r="AT101" s="74"/>
      <c r="AU101" s="74"/>
      <c r="AV101" s="74"/>
      <c r="AW101" s="74"/>
      <c r="AX101" s="74"/>
    </row>
    <row r="102" spans="1:50" s="81" customFormat="1" ht="38.25" customHeight="1" x14ac:dyDescent="0.2">
      <c r="A102" s="217"/>
      <c r="B102" s="392"/>
      <c r="C102" s="392"/>
      <c r="D102" s="392"/>
      <c r="E102" s="392"/>
      <c r="F102" s="392"/>
      <c r="G102" s="392"/>
      <c r="H102" s="392"/>
      <c r="I102" s="392"/>
      <c r="J102" s="392"/>
      <c r="K102" s="392"/>
      <c r="L102" s="172"/>
      <c r="M102" s="172"/>
      <c r="N102" s="172"/>
      <c r="O102" s="172"/>
      <c r="P102" s="172"/>
      <c r="Q102" s="172"/>
      <c r="R102" s="172"/>
      <c r="S102" s="136"/>
      <c r="T102" s="172"/>
      <c r="U102" s="117"/>
      <c r="V102" s="137"/>
      <c r="W102" s="150"/>
      <c r="Y102" s="188"/>
      <c r="Z102" s="188"/>
      <c r="AA102" s="188"/>
      <c r="AG102" s="184"/>
      <c r="AH102" s="184"/>
      <c r="AI102" s="184"/>
      <c r="AJ102" s="157"/>
      <c r="AK102" s="74"/>
      <c r="AL102" s="74"/>
      <c r="AM102" s="74"/>
      <c r="AN102" s="74"/>
      <c r="AO102" s="74"/>
      <c r="AP102" s="74"/>
      <c r="AQ102" s="74"/>
      <c r="AR102" s="74"/>
      <c r="AS102" s="74"/>
      <c r="AT102" s="74"/>
      <c r="AU102" s="74"/>
      <c r="AV102" s="74"/>
      <c r="AW102" s="74"/>
      <c r="AX102" s="74"/>
    </row>
    <row r="103" spans="1:50" s="81" customFormat="1" ht="39" customHeight="1" x14ac:dyDescent="0.2">
      <c r="A103" s="217"/>
      <c r="B103" s="392"/>
      <c r="C103" s="392"/>
      <c r="D103" s="392"/>
      <c r="E103" s="392"/>
      <c r="F103" s="392"/>
      <c r="G103" s="392"/>
      <c r="H103" s="392"/>
      <c r="I103" s="392"/>
      <c r="J103" s="392"/>
      <c r="K103" s="392"/>
      <c r="L103" s="172"/>
      <c r="M103" s="172"/>
      <c r="N103" s="172"/>
      <c r="O103" s="172"/>
      <c r="P103" s="172"/>
      <c r="Q103" s="172"/>
      <c r="R103" s="172"/>
      <c r="S103" s="136"/>
      <c r="T103" s="172"/>
      <c r="U103" s="117"/>
      <c r="V103" s="137"/>
      <c r="W103" s="150"/>
      <c r="Y103" s="188"/>
      <c r="Z103" s="188"/>
      <c r="AA103" s="188"/>
      <c r="AG103" s="184"/>
      <c r="AH103" s="184"/>
      <c r="AI103" s="184"/>
      <c r="AJ103" s="157"/>
      <c r="AK103" s="74"/>
      <c r="AL103" s="74"/>
      <c r="AM103" s="74"/>
      <c r="AN103" s="74"/>
      <c r="AO103" s="74"/>
      <c r="AP103" s="74"/>
      <c r="AQ103" s="74"/>
      <c r="AR103" s="74"/>
      <c r="AS103" s="74"/>
      <c r="AT103" s="74"/>
      <c r="AU103" s="74"/>
      <c r="AV103" s="74"/>
      <c r="AW103" s="74"/>
      <c r="AX103" s="74"/>
    </row>
    <row r="104" spans="1:50" s="81" customFormat="1" ht="38.25" customHeight="1" x14ac:dyDescent="0.2">
      <c r="A104" s="217"/>
      <c r="B104" s="392"/>
      <c r="C104" s="392"/>
      <c r="D104" s="392"/>
      <c r="E104" s="392"/>
      <c r="F104" s="392"/>
      <c r="G104" s="392"/>
      <c r="H104" s="392"/>
      <c r="I104" s="392"/>
      <c r="J104" s="392"/>
      <c r="K104" s="392"/>
      <c r="L104" s="172"/>
      <c r="M104" s="172"/>
      <c r="N104" s="172"/>
      <c r="O104" s="172"/>
      <c r="P104" s="172"/>
      <c r="Q104" s="172"/>
      <c r="R104" s="172"/>
      <c r="S104" s="136"/>
      <c r="T104" s="172"/>
      <c r="U104" s="117"/>
      <c r="V104" s="137"/>
      <c r="W104" s="150"/>
      <c r="Y104" s="188"/>
      <c r="Z104" s="188"/>
      <c r="AA104" s="188"/>
      <c r="AF104" s="199"/>
      <c r="AG104" s="184"/>
      <c r="AH104" s="184"/>
      <c r="AI104" s="184"/>
      <c r="AJ104" s="157"/>
      <c r="AK104" s="74"/>
      <c r="AL104" s="74"/>
      <c r="AM104" s="74"/>
      <c r="AN104" s="74"/>
      <c r="AO104" s="74"/>
      <c r="AP104" s="74"/>
      <c r="AQ104" s="74"/>
      <c r="AR104" s="74"/>
      <c r="AS104" s="74"/>
      <c r="AT104" s="74"/>
      <c r="AU104" s="74"/>
      <c r="AV104" s="74"/>
      <c r="AW104" s="74"/>
      <c r="AX104" s="74"/>
    </row>
    <row r="105" spans="1:50" s="81" customFormat="1" ht="7.5" customHeight="1" x14ac:dyDescent="0.2">
      <c r="A105" s="118"/>
      <c r="B105" s="17"/>
      <c r="C105" s="17"/>
      <c r="D105" s="16"/>
      <c r="E105" s="16"/>
      <c r="F105" s="16"/>
      <c r="G105" s="16"/>
      <c r="H105" s="16"/>
      <c r="I105" s="16"/>
      <c r="J105" s="16"/>
      <c r="K105" s="16"/>
      <c r="L105" s="12"/>
      <c r="M105" s="18"/>
      <c r="N105" s="18"/>
      <c r="O105" s="18"/>
      <c r="P105" s="18"/>
      <c r="Q105" s="18"/>
      <c r="R105" s="18"/>
      <c r="S105" s="18"/>
      <c r="T105" s="19"/>
      <c r="U105" s="117"/>
      <c r="V105" s="137"/>
      <c r="W105" s="150"/>
      <c r="Y105" s="188"/>
      <c r="Z105" s="188"/>
      <c r="AA105" s="188"/>
      <c r="AF105" s="199"/>
      <c r="AG105" s="184"/>
      <c r="AH105" s="184"/>
      <c r="AI105" s="184"/>
      <c r="AJ105" s="157"/>
      <c r="AK105" s="74"/>
      <c r="AL105" s="74"/>
      <c r="AM105" s="74"/>
      <c r="AN105" s="74"/>
      <c r="AO105" s="74"/>
      <c r="AP105" s="74"/>
      <c r="AQ105" s="74"/>
      <c r="AR105" s="74"/>
      <c r="AS105" s="74"/>
      <c r="AT105" s="74"/>
      <c r="AU105" s="74"/>
      <c r="AV105" s="74"/>
      <c r="AW105" s="74"/>
      <c r="AX105" s="74"/>
    </row>
    <row r="106" spans="1:50" s="81" customFormat="1" ht="15" customHeight="1" x14ac:dyDescent="0.2">
      <c r="A106" s="550"/>
      <c r="B106" s="551"/>
      <c r="C106" s="551"/>
      <c r="D106" s="551"/>
      <c r="E106" s="551"/>
      <c r="F106" s="551"/>
      <c r="G106" s="551"/>
      <c r="H106" s="551"/>
      <c r="I106" s="551"/>
      <c r="J106" s="551"/>
      <c r="K106" s="551"/>
      <c r="L106" s="551"/>
      <c r="M106" s="551"/>
      <c r="N106" s="551"/>
      <c r="O106" s="551"/>
      <c r="P106" s="551"/>
      <c r="Q106" s="551"/>
      <c r="R106" s="551"/>
      <c r="S106" s="551"/>
      <c r="T106" s="551"/>
      <c r="U106" s="552"/>
      <c r="V106" s="137"/>
      <c r="W106" s="150"/>
      <c r="Y106" s="188"/>
      <c r="Z106" s="188"/>
      <c r="AA106" s="188"/>
      <c r="AB106" s="188"/>
      <c r="AC106" s="188"/>
      <c r="AD106" s="188"/>
      <c r="AF106" s="199"/>
      <c r="AG106" s="184"/>
      <c r="AH106" s="184"/>
      <c r="AI106" s="184"/>
      <c r="AJ106" s="157"/>
      <c r="AK106" s="74"/>
      <c r="AL106" s="74"/>
      <c r="AM106" s="74"/>
      <c r="AN106" s="74"/>
      <c r="AO106" s="74"/>
      <c r="AP106" s="74"/>
      <c r="AQ106" s="74"/>
      <c r="AR106" s="74"/>
      <c r="AS106" s="74"/>
      <c r="AT106" s="74"/>
      <c r="AU106" s="74"/>
      <c r="AV106" s="74"/>
      <c r="AW106" s="74"/>
      <c r="AX106" s="74"/>
    </row>
    <row r="107" spans="1:50" s="81" customFormat="1" ht="11.25" customHeight="1" x14ac:dyDescent="0.2">
      <c r="A107" s="1847" t="str">
        <f>Home!$A$39</f>
        <v xml:space="preserve"> </v>
      </c>
      <c r="B107" s="1828"/>
      <c r="C107" s="1828"/>
      <c r="D107" s="1828"/>
      <c r="E107" s="1828"/>
      <c r="F107" s="1828"/>
      <c r="G107" s="1828"/>
      <c r="H107" s="1828"/>
      <c r="I107" s="1828"/>
      <c r="J107" s="1828"/>
      <c r="K107" s="1828"/>
      <c r="L107" s="1828"/>
      <c r="M107" s="1828"/>
      <c r="N107" s="1828"/>
      <c r="O107" s="1828"/>
      <c r="P107" s="1828"/>
      <c r="Q107" s="1828"/>
      <c r="R107" s="1828"/>
      <c r="S107" s="1828"/>
      <c r="T107" s="1828"/>
      <c r="U107" s="1829"/>
      <c r="V107" s="137"/>
      <c r="W107" s="150"/>
      <c r="Y107" s="188"/>
      <c r="Z107" s="188"/>
      <c r="AA107" s="188"/>
      <c r="AB107" s="188"/>
      <c r="AC107" s="188"/>
      <c r="AD107" s="188"/>
      <c r="AF107" s="199"/>
      <c r="AG107" s="184"/>
      <c r="AH107" s="184"/>
      <c r="AI107" s="184"/>
      <c r="AJ107" s="157"/>
      <c r="AK107" s="74"/>
      <c r="AL107" s="74"/>
      <c r="AM107" s="74"/>
      <c r="AN107" s="74"/>
      <c r="AO107" s="74"/>
      <c r="AP107" s="74"/>
      <c r="AQ107" s="74"/>
      <c r="AR107" s="74"/>
      <c r="AS107" s="74"/>
      <c r="AT107" s="74"/>
      <c r="AU107" s="74"/>
      <c r="AV107" s="74"/>
      <c r="AW107" s="74"/>
      <c r="AX107" s="74"/>
    </row>
    <row r="108" spans="1:50" ht="18.75" customHeight="1" x14ac:dyDescent="0.2">
      <c r="A108" s="112"/>
      <c r="B108" s="113"/>
      <c r="C108" s="113"/>
      <c r="D108" s="113"/>
      <c r="E108" s="113"/>
      <c r="F108" s="113"/>
      <c r="G108" s="113"/>
      <c r="H108" s="113"/>
      <c r="I108" s="113"/>
      <c r="J108" s="113"/>
      <c r="K108" s="114"/>
      <c r="L108" s="113"/>
      <c r="M108" s="113"/>
      <c r="N108" s="113"/>
      <c r="O108" s="113"/>
      <c r="P108" s="113"/>
      <c r="Q108" s="113"/>
      <c r="R108" s="113"/>
      <c r="S108" s="113"/>
      <c r="T108" s="113"/>
      <c r="U108" s="115"/>
      <c r="V108" s="1064"/>
      <c r="W108" s="150"/>
      <c r="Y108" s="188"/>
      <c r="Z108" s="188"/>
      <c r="AA108" s="188"/>
      <c r="AB108" s="188"/>
      <c r="AC108" s="188"/>
      <c r="AD108" s="188"/>
      <c r="AF108" s="199"/>
      <c r="AG108" s="184"/>
      <c r="AH108" s="184"/>
      <c r="AI108" s="184"/>
      <c r="AJ108" s="157"/>
    </row>
    <row r="109" spans="1:50" ht="18.75" customHeight="1" x14ac:dyDescent="0.2">
      <c r="A109" s="278"/>
      <c r="B109" s="128" t="s">
        <v>747</v>
      </c>
      <c r="C109" s="9"/>
      <c r="D109" s="9"/>
      <c r="E109" s="9"/>
      <c r="F109" s="9"/>
      <c r="G109" s="9"/>
      <c r="H109" s="9"/>
      <c r="I109" s="9"/>
      <c r="J109" s="9"/>
      <c r="K109" s="12"/>
      <c r="L109" s="9"/>
      <c r="M109" s="9"/>
      <c r="N109" s="9"/>
      <c r="O109" s="9"/>
      <c r="P109" s="9"/>
      <c r="Q109" s="9"/>
      <c r="R109" s="9"/>
      <c r="S109" s="9"/>
      <c r="T109" s="9"/>
      <c r="U109" s="117"/>
      <c r="V109" s="161"/>
      <c r="W109" s="150"/>
      <c r="Y109" s="188"/>
      <c r="Z109" s="188"/>
      <c r="AA109" s="188"/>
      <c r="AB109" s="188"/>
      <c r="AC109" s="188"/>
      <c r="AD109" s="188"/>
      <c r="AF109" s="199"/>
      <c r="AG109" s="184"/>
      <c r="AH109" s="184"/>
      <c r="AI109" s="184"/>
      <c r="AJ109" s="157"/>
    </row>
    <row r="110" spans="1:50" ht="18.75" customHeight="1" x14ac:dyDescent="0.2">
      <c r="A110" s="457"/>
      <c r="B110" s="1060"/>
      <c r="C110" s="553"/>
      <c r="D110" s="553"/>
      <c r="E110" s="553"/>
      <c r="F110" s="553"/>
      <c r="G110" s="553"/>
      <c r="H110" s="553"/>
      <c r="I110" s="553"/>
      <c r="J110" s="553"/>
      <c r="K110" s="819"/>
      <c r="L110" s="553"/>
      <c r="M110" s="553"/>
      <c r="N110" s="553"/>
      <c r="O110" s="553"/>
      <c r="P110" s="553"/>
      <c r="Q110" s="553"/>
      <c r="R110" s="553"/>
      <c r="S110" s="553"/>
      <c r="T110" s="553"/>
      <c r="U110" s="1061"/>
      <c r="V110" s="161"/>
      <c r="W110" s="150"/>
      <c r="Y110" s="188"/>
      <c r="Z110" s="188"/>
      <c r="AA110" s="188"/>
      <c r="AB110" s="188"/>
      <c r="AC110" s="188"/>
      <c r="AD110" s="188"/>
      <c r="AF110" s="199"/>
      <c r="AG110" s="184"/>
      <c r="AH110" s="184"/>
      <c r="AI110" s="184"/>
      <c r="AJ110" s="157"/>
    </row>
    <row r="111" spans="1:50" ht="11.25" customHeight="1" x14ac:dyDescent="0.2">
      <c r="A111" s="112"/>
      <c r="B111" s="113"/>
      <c r="C111" s="113"/>
      <c r="D111" s="113"/>
      <c r="E111" s="113"/>
      <c r="F111" s="113"/>
      <c r="G111" s="113"/>
      <c r="H111" s="113"/>
      <c r="I111" s="113"/>
      <c r="J111" s="113"/>
      <c r="K111" s="114"/>
      <c r="L111" s="113"/>
      <c r="M111" s="113"/>
      <c r="N111" s="113"/>
      <c r="O111" s="113"/>
      <c r="P111" s="113"/>
      <c r="Q111" s="113"/>
      <c r="R111" s="113"/>
      <c r="S111" s="113"/>
      <c r="T111" s="113"/>
      <c r="U111" s="115"/>
      <c r="V111" s="137"/>
      <c r="W111" s="150"/>
      <c r="Y111" s="188"/>
      <c r="Z111" s="188"/>
      <c r="AA111" s="188"/>
      <c r="AB111" s="188"/>
      <c r="AC111" s="188"/>
      <c r="AD111" s="188"/>
      <c r="AI111" s="184"/>
      <c r="AJ111" s="157"/>
    </row>
    <row r="112" spans="1:50" s="76" customFormat="1" ht="15" customHeight="1" x14ac:dyDescent="0.2">
      <c r="A112" s="119"/>
      <c r="B112" s="639" t="str">
        <f>"Number of Children Subject to Special Guardianship Orders"&amp;Z1</f>
        <v>Number of Children Subject to Special Guardianship Orders at 31st March</v>
      </c>
      <c r="C112" s="1038"/>
      <c r="D112" s="1038"/>
      <c r="E112" s="1038"/>
      <c r="F112" s="1038"/>
      <c r="G112" s="1038"/>
      <c r="H112" s="1038"/>
      <c r="I112" s="1038"/>
      <c r="J112" s="1038"/>
      <c r="K112" s="1038"/>
      <c r="L112" s="1038"/>
      <c r="M112" s="1038"/>
      <c r="N112" s="1038"/>
      <c r="O112" s="1038"/>
      <c r="P112" s="1038"/>
      <c r="Q112" s="1038"/>
      <c r="R112" s="1038"/>
      <c r="S112" s="1038"/>
      <c r="T112" s="1038"/>
      <c r="U112" s="120"/>
      <c r="V112" s="138"/>
      <c r="W112" s="151"/>
      <c r="X112" s="188"/>
      <c r="Y112" s="188"/>
      <c r="Z112" s="188"/>
      <c r="AA112" s="188"/>
      <c r="AB112" s="188"/>
      <c r="AC112" s="188"/>
      <c r="AD112" s="188"/>
      <c r="AE112" s="188"/>
      <c r="AF112" s="188"/>
      <c r="AG112" s="188"/>
      <c r="AH112" s="188"/>
      <c r="AI112" s="188"/>
      <c r="AJ112" s="158"/>
    </row>
    <row r="113" spans="1:44" ht="13.5" customHeight="1" x14ac:dyDescent="0.2">
      <c r="A113" s="118"/>
      <c r="B113" s="1063" t="s">
        <v>745</v>
      </c>
      <c r="C113" s="1038"/>
      <c r="D113" s="1038"/>
      <c r="E113" s="1038"/>
      <c r="F113" s="1038"/>
      <c r="G113" s="1038"/>
      <c r="H113" s="1038"/>
      <c r="I113" s="1038"/>
      <c r="J113" s="1038"/>
      <c r="K113" s="1038"/>
      <c r="L113" s="1038"/>
      <c r="M113" s="1038"/>
      <c r="N113" s="1038"/>
      <c r="O113" s="1038"/>
      <c r="P113" s="1038"/>
      <c r="Q113" s="1038"/>
      <c r="R113" s="1038"/>
      <c r="S113" s="1038"/>
      <c r="T113" s="1038"/>
      <c r="U113" s="117"/>
      <c r="V113" s="137"/>
      <c r="W113" s="150"/>
      <c r="AF113" s="190"/>
      <c r="AI113" s="184"/>
      <c r="AJ113" s="157"/>
    </row>
    <row r="114" spans="1:44" s="87" customFormat="1" ht="6" customHeight="1" x14ac:dyDescent="0.2">
      <c r="A114" s="121"/>
      <c r="B114" s="85"/>
      <c r="C114" s="85"/>
      <c r="D114" s="85"/>
      <c r="E114" s="85"/>
      <c r="F114" s="85"/>
      <c r="G114" s="85"/>
      <c r="H114" s="85"/>
      <c r="I114" s="85"/>
      <c r="J114" s="85"/>
      <c r="K114" s="85"/>
      <c r="L114" s="85"/>
      <c r="M114" s="85"/>
      <c r="N114" s="85"/>
      <c r="O114" s="85"/>
      <c r="P114" s="85"/>
      <c r="Q114" s="85"/>
      <c r="R114" s="85"/>
      <c r="S114" s="85"/>
      <c r="U114" s="122"/>
      <c r="V114" s="139"/>
      <c r="W114" s="152"/>
      <c r="X114" s="81"/>
      <c r="Y114" s="81"/>
      <c r="Z114" s="81"/>
      <c r="AA114" s="81"/>
      <c r="AB114" s="81"/>
      <c r="AC114" s="81"/>
      <c r="AD114" s="81"/>
      <c r="AE114" s="81"/>
      <c r="AF114" s="223" t="s">
        <v>93</v>
      </c>
      <c r="AG114" s="75"/>
      <c r="AH114" s="75"/>
      <c r="AI114" s="74"/>
      <c r="AJ114" s="157"/>
      <c r="AK114" s="74"/>
      <c r="AL114" s="74"/>
      <c r="AM114" s="74"/>
      <c r="AN114" s="74"/>
      <c r="AO114" s="74"/>
    </row>
    <row r="115" spans="1:44" s="87" customFormat="1" ht="12.75" customHeight="1" x14ac:dyDescent="0.2">
      <c r="A115" s="121"/>
      <c r="B115" s="1865" t="s">
        <v>205</v>
      </c>
      <c r="C115" s="85"/>
      <c r="D115" s="1757" t="s">
        <v>88</v>
      </c>
      <c r="E115" s="1758"/>
      <c r="F115" s="1758"/>
      <c r="G115" s="1758"/>
      <c r="H115" s="1759"/>
      <c r="I115" s="1752" t="str">
        <f>"Average "&amp;Sheet1!$C$3&amp;" Change "</f>
        <v xml:space="preserve">Average Annual Change </v>
      </c>
      <c r="J115" s="1753"/>
      <c r="K115" s="96"/>
      <c r="L115" s="1757" t="s">
        <v>89</v>
      </c>
      <c r="M115" s="1758"/>
      <c r="N115" s="1758"/>
      <c r="O115" s="1758"/>
      <c r="P115" s="1758"/>
      <c r="Q115" s="1758"/>
      <c r="R115" s="1759"/>
      <c r="S115" s="85"/>
      <c r="T115" s="1731" t="s">
        <v>1213</v>
      </c>
      <c r="U115" s="122"/>
      <c r="V115" s="139"/>
      <c r="W115" s="152"/>
      <c r="Y115" s="1945" t="s">
        <v>767</v>
      </c>
      <c r="Z115" s="1947"/>
      <c r="AA115" s="633" t="s">
        <v>79</v>
      </c>
      <c r="AB115" s="633"/>
      <c r="AC115" s="633"/>
      <c r="AD115" s="633"/>
      <c r="AE115" s="634"/>
      <c r="AF115" s="81"/>
      <c r="AG115" s="75"/>
      <c r="AH115" s="75"/>
      <c r="AI115" s="74"/>
      <c r="AJ115" s="157"/>
      <c r="AK115" s="74"/>
      <c r="AL115" s="74"/>
      <c r="AM115" s="74"/>
      <c r="AN115" s="74"/>
      <c r="AO115" s="74"/>
    </row>
    <row r="116" spans="1:44" s="87" customFormat="1" ht="12.75" customHeight="1" x14ac:dyDescent="0.2">
      <c r="A116" s="292"/>
      <c r="B116" s="1865"/>
      <c r="C116" s="85"/>
      <c r="D116" s="789" t="str">
        <f>Sheet1!$D$27</f>
        <v>2015-16</v>
      </c>
      <c r="E116" s="790" t="str">
        <f>Sheet1!$E$27</f>
        <v>2016-17</v>
      </c>
      <c r="F116" s="790" t="str">
        <f>Sheet1!$F$27</f>
        <v>2017-18</v>
      </c>
      <c r="G116" s="790" t="str">
        <f>Sheet1!$G$27</f>
        <v>2018-19</v>
      </c>
      <c r="H116" s="1033" t="str">
        <f>Sheet1!$H$27</f>
        <v>2019-20</v>
      </c>
      <c r="I116" s="1754"/>
      <c r="J116" s="1755"/>
      <c r="K116" s="96"/>
      <c r="L116" s="789" t="str">
        <f>Sheet1!$D$27</f>
        <v>2015-16</v>
      </c>
      <c r="M116" s="790" t="str">
        <f>Sheet1!$E$27</f>
        <v>2016-17</v>
      </c>
      <c r="N116" s="790" t="str">
        <f>Sheet1!$F$27</f>
        <v>2017-18</v>
      </c>
      <c r="O116" s="790" t="str">
        <f>Sheet1!$G$27</f>
        <v>2018-19</v>
      </c>
      <c r="P116" s="1741" t="str">
        <f>Sheet1!$H$27</f>
        <v>2019-20</v>
      </c>
      <c r="Q116" s="1780"/>
      <c r="R116" s="1753" t="str">
        <f>IF(ISNA(P117),"SE Rank "&amp;P116,"SE Rank "&amp;P117)</f>
        <v>SE Rank 2019-20</v>
      </c>
      <c r="S116" s="85"/>
      <c r="T116" s="1743"/>
      <c r="U116" s="122"/>
      <c r="V116" s="139"/>
      <c r="W116" s="152"/>
      <c r="X116" s="633"/>
      <c r="Y116" s="1961" t="s">
        <v>76</v>
      </c>
      <c r="Z116" s="1963" t="s">
        <v>77</v>
      </c>
      <c r="AA116" s="758" t="str">
        <f>IF(Sheet1!$C$3="Annual","",Sheet1!$D$28)</f>
        <v/>
      </c>
      <c r="AB116" s="758" t="str">
        <f>IF(Sheet1!$C$3="Annual","",Sheet1!$E$28)</f>
        <v/>
      </c>
      <c r="AC116" s="758" t="str">
        <f>IF(Sheet1!$C$3="Annual","",Sheet1!$F$28)</f>
        <v/>
      </c>
      <c r="AD116" s="758" t="str">
        <f>IF(Sheet1!$C$3="Annual","",Sheet1!$G$28)</f>
        <v/>
      </c>
      <c r="AE116" s="758" t="str">
        <f>IF(Sheet1!$C$3="Annual","",Sheet1!$H$28)</f>
        <v/>
      </c>
      <c r="AF116" s="81"/>
      <c r="AG116" s="75"/>
      <c r="AH116" s="75"/>
      <c r="AI116" s="74"/>
      <c r="AJ116" s="157"/>
      <c r="AK116" s="188" t="str">
        <f>CONCATENATE($I$8,"in Number of "&amp;$B109)</f>
        <v xml:space="preserve">Average Annual Change in Number of Special Guardianship Orders
</v>
      </c>
      <c r="AL116" s="74"/>
      <c r="AM116" s="74"/>
      <c r="AN116" s="74"/>
      <c r="AO116" s="74"/>
    </row>
    <row r="117" spans="1:44" s="87" customFormat="1" ht="12.75" customHeight="1" x14ac:dyDescent="0.2">
      <c r="A117" s="121"/>
      <c r="B117" s="1981"/>
      <c r="C117" s="85"/>
      <c r="D117" s="792" t="e">
        <f>Sheet1!$D$28</f>
        <v>#N/A</v>
      </c>
      <c r="E117" s="792" t="e">
        <f>Sheet1!$E$28</f>
        <v>#N/A</v>
      </c>
      <c r="F117" s="792" t="e">
        <f>Sheet1!$F$28</f>
        <v>#N/A</v>
      </c>
      <c r="G117" s="792" t="e">
        <f>Sheet1!$G$28</f>
        <v>#N/A</v>
      </c>
      <c r="H117" s="1032" t="e">
        <f>Sheet1!$H$28</f>
        <v>#N/A</v>
      </c>
      <c r="I117" s="1754"/>
      <c r="J117" s="1756"/>
      <c r="K117" s="784"/>
      <c r="L117" s="792" t="e">
        <f>Sheet1!$D$28</f>
        <v>#N/A</v>
      </c>
      <c r="M117" s="792" t="e">
        <f>Sheet1!$E$28</f>
        <v>#N/A</v>
      </c>
      <c r="N117" s="792" t="e">
        <f>Sheet1!$F$28</f>
        <v>#N/A</v>
      </c>
      <c r="O117" s="792" t="e">
        <f>Sheet1!$G$28</f>
        <v>#N/A</v>
      </c>
      <c r="P117" s="1739" t="e">
        <f>Sheet1!$H$28</f>
        <v>#N/A</v>
      </c>
      <c r="Q117" s="1781"/>
      <c r="R117" s="1756"/>
      <c r="S117" s="465"/>
      <c r="T117" s="1732"/>
      <c r="U117" s="122"/>
      <c r="V117" s="139"/>
      <c r="W117" s="152"/>
      <c r="X117" s="202"/>
      <c r="Y117" s="1962"/>
      <c r="Z117" s="1964"/>
      <c r="AA117" s="758" t="str">
        <f>Sheet1!$D$27</f>
        <v>2015-16</v>
      </c>
      <c r="AB117" s="758" t="str">
        <f>Sheet1!$E$27</f>
        <v>2016-17</v>
      </c>
      <c r="AC117" s="758" t="str">
        <f>Sheet1!$F$27</f>
        <v>2017-18</v>
      </c>
      <c r="AD117" s="758" t="str">
        <f>Sheet1!$G$27</f>
        <v>2018-19</v>
      </c>
      <c r="AE117" s="758" t="str">
        <f>Sheet1!$H$27</f>
        <v>2019-20</v>
      </c>
      <c r="AI117" s="74"/>
      <c r="AJ117" s="157"/>
      <c r="AK117" s="1039" t="s">
        <v>676</v>
      </c>
      <c r="AL117" s="1039" t="s">
        <v>677</v>
      </c>
      <c r="AM117" s="1039" t="s">
        <v>678</v>
      </c>
      <c r="AN117" s="1039" t="s">
        <v>679</v>
      </c>
      <c r="AO117" s="1039" t="s">
        <v>680</v>
      </c>
    </row>
    <row r="118" spans="1:44" s="87" customFormat="1" ht="13.5" customHeight="1" x14ac:dyDescent="0.2">
      <c r="A118" s="488">
        <f>VLOOKUP(B118,Sheet1!$AQ$4:$AR$25,2,FALSE)</f>
        <v>0</v>
      </c>
      <c r="B118" s="93" t="str">
        <f t="shared" ref="B118:B140" si="18">B11</f>
        <v>Bracknell Forest</v>
      </c>
      <c r="C118" s="85"/>
      <c r="D118" s="94" t="str">
        <f>IF(Year1_Bracknell_Forest Year1_SGO_total="","",Year1_Bracknell_Forest Year1_SGO_total)</f>
        <v/>
      </c>
      <c r="E118" s="94" t="str">
        <f>IF(Year2_Bracknell_Forest Year2_SGO_total="","",Year2_Bracknell_Forest Year2_SGO_total)</f>
        <v/>
      </c>
      <c r="F118" s="94" t="str">
        <f>IF(Year3_Bracknell_Forest Year3_SGO_total="","",Year3_Bracknell_Forest Year3_SGO_total)</f>
        <v/>
      </c>
      <c r="G118" s="94" t="str">
        <f>IF(Year4_Bracknell_Forest Year4_SGO_total="","",Year4_Bracknell_Forest Year4_SGO_total)</f>
        <v/>
      </c>
      <c r="H118" s="298" t="str">
        <f>IF(Year5_Bracknell_Forest Year5_SGO_total="","",Year5_Bracknell_Forest Year5_SGO_total)</f>
        <v/>
      </c>
      <c r="I118" s="1092" t="e">
        <f t="shared" ref="I118:I140" si="19">AO118</f>
        <v>#DIV/0!</v>
      </c>
      <c r="J118" s="863" t="e">
        <f t="shared" ref="J118:J140" si="20">I118</f>
        <v>#DIV/0!</v>
      </c>
      <c r="K118" s="96"/>
      <c r="L118" s="234" t="e">
        <f>IF(ISNUMBER(D118),D118/Population!D10*10000,NA())</f>
        <v>#N/A</v>
      </c>
      <c r="M118" s="234" t="e">
        <f>IF(ISNUMBER(E118),E118/Population!E10*10000,NA())</f>
        <v>#N/A</v>
      </c>
      <c r="N118" s="234" t="e">
        <f>IF(ISNUMBER(F118),F118/Population!F10*10000,NA())</f>
        <v>#N/A</v>
      </c>
      <c r="O118" s="234" t="e">
        <f>IF(ISNUMBER(G118),G118/Population!G10*10000,NA())</f>
        <v>#N/A</v>
      </c>
      <c r="P118" s="235" t="e">
        <f>IF(ISNUMBER(H118),H118/Population!H10*10000,NA())</f>
        <v>#N/A</v>
      </c>
      <c r="Q118" s="99" t="str">
        <f>IF(ISNUMBER(P118),P118,"")</f>
        <v/>
      </c>
      <c r="R118" s="822" t="e">
        <f t="shared" ref="R118:R139" si="21">IF(ISNA(VLOOKUP(B118,$AF$118:$AH$136,3,FALSE)),"--",IF(ISNUMBER(H118),VLOOKUP(B118,$AF$118:$AH$136,3,FALSE),NA()))</f>
        <v>#N/A</v>
      </c>
      <c r="S118" s="85"/>
      <c r="T118" s="99" t="e">
        <f>IF(ISNA(P118),NA(),IDACI!C9)</f>
        <v>#N/A</v>
      </c>
      <c r="U118" s="122"/>
      <c r="V118" s="139"/>
      <c r="W118" s="152"/>
      <c r="X118" s="72" t="str">
        <f t="shared" ref="X118:X140" si="22">B118</f>
        <v>Bracknell Forest</v>
      </c>
      <c r="Y118" s="44">
        <f>IF(ISNUMBER(H118),IDACI!D9,0)</f>
        <v>0</v>
      </c>
      <c r="Z118" s="44">
        <f>IF(ISNUMBER(H118),IDACI!E9,0)</f>
        <v>0</v>
      </c>
      <c r="AA118" s="205" t="str">
        <f>IF(ISNUMBER(D118),Population!D10,"")</f>
        <v/>
      </c>
      <c r="AB118" s="205" t="str">
        <f>IF(ISNUMBER(E118),Population!E10,"")</f>
        <v/>
      </c>
      <c r="AC118" s="205" t="str">
        <f>IF(ISNUMBER(F118),Population!F10,"")</f>
        <v/>
      </c>
      <c r="AD118" s="205" t="str">
        <f>IF(ISNUMBER(G118),Population!G10,"")</f>
        <v/>
      </c>
      <c r="AE118" s="205" t="str">
        <f>IF(ISNUMBER(H118),Population!H10,"")</f>
        <v/>
      </c>
      <c r="AF118" s="93" t="s">
        <v>0</v>
      </c>
      <c r="AG118" s="231" t="str">
        <f>IFERROR(VLOOKUP(AF118,$B$118:$P$140,14,FALSE),"")</f>
        <v/>
      </c>
      <c r="AH118" s="206" t="e">
        <f t="shared" ref="AH118:AH136" si="23">RANK(AG118,$AG$118:$AG$136,1)</f>
        <v>#VALUE!</v>
      </c>
      <c r="AI118" s="74"/>
      <c r="AJ118" s="157"/>
      <c r="AK118" s="853" t="str">
        <f t="shared" ref="AK118:AK138" si="24">IF(ISERROR((E118-D118)/D118),"x",(E118-D118)/D118)</f>
        <v>x</v>
      </c>
      <c r="AL118" s="853" t="str">
        <f t="shared" ref="AL118:AL138" si="25">IF(ISERROR((F118-E118)/E118),"x",(F118-E118)/E118)</f>
        <v>x</v>
      </c>
      <c r="AM118" s="853" t="str">
        <f t="shared" ref="AM118:AM138" si="26">IF(ISERROR((G118-F118)/F118),"x",(G118-F118)/F118)</f>
        <v>x</v>
      </c>
      <c r="AN118" s="853" t="str">
        <f t="shared" ref="AN118:AN138" si="27">IF(ISERROR((H118-G118)/G118),"x",(H118-G118)/G118)</f>
        <v>x</v>
      </c>
      <c r="AO118" s="853" t="e">
        <f t="shared" ref="AO118:AO138" si="28">AVERAGE(AK118:AN118)</f>
        <v>#DIV/0!</v>
      </c>
    </row>
    <row r="119" spans="1:44" s="87" customFormat="1" ht="13.5" customHeight="1" x14ac:dyDescent="0.2">
      <c r="A119" s="488">
        <f>VLOOKUP(B119,Sheet1!$AQ$4:$AR$25,2,FALSE)</f>
        <v>0</v>
      </c>
      <c r="B119" s="93" t="str">
        <f t="shared" si="18"/>
        <v>Brighton &amp; Hove</v>
      </c>
      <c r="C119" s="85"/>
      <c r="D119" s="94" t="str">
        <f>IF(Year1_Brighton_Hove Year1_SGO_total="","",Year1_Brighton_Hove Year1_SGO_total)</f>
        <v/>
      </c>
      <c r="E119" s="94" t="str">
        <f>IF(Year2_Brighton_Hove Year2_SGO_total="","",Year2_Brighton_Hove Year2_SGO_total)</f>
        <v/>
      </c>
      <c r="F119" s="94" t="str">
        <f>IF(Year3_Brighton_Hove Year3_SGO_total="","",Year3_Brighton_Hove Year3_SGO_total)</f>
        <v/>
      </c>
      <c r="G119" s="94" t="str">
        <f>IF(Year4_Brighton_Hove Year4_SGO_total="","",Year4_Brighton_Hove Year4_SGO_total)</f>
        <v/>
      </c>
      <c r="H119" s="298" t="str">
        <f>IF(Year5_Brighton_Hove Year5_SGO_total="","",Year5_Brighton_Hove Year5_SGO_total)</f>
        <v/>
      </c>
      <c r="I119" s="1093" t="e">
        <f t="shared" si="19"/>
        <v>#DIV/0!</v>
      </c>
      <c r="J119" s="863" t="e">
        <f t="shared" si="20"/>
        <v>#DIV/0!</v>
      </c>
      <c r="K119" s="96"/>
      <c r="L119" s="234" t="e">
        <f>IF(ISNUMBER(D119),D119/Population!D11*10000,NA())</f>
        <v>#N/A</v>
      </c>
      <c r="M119" s="234" t="e">
        <f>IF(ISNUMBER(E119),E119/Population!E11*10000,NA())</f>
        <v>#N/A</v>
      </c>
      <c r="N119" s="234" t="e">
        <f>IF(ISNUMBER(F119),F119/Population!F11*10000,NA())</f>
        <v>#N/A</v>
      </c>
      <c r="O119" s="234" t="e">
        <f>IF(ISNUMBER(G119),G119/Population!G11*10000,NA())</f>
        <v>#N/A</v>
      </c>
      <c r="P119" s="235" t="e">
        <f>IF(ISNUMBER(H119),H119/Population!H11*10000,NA())</f>
        <v>#N/A</v>
      </c>
      <c r="Q119" s="99" t="str">
        <f t="shared" ref="Q119:Q140" si="29">IF(ISNUMBER(P119),P119,"")</f>
        <v/>
      </c>
      <c r="R119" s="822" t="e">
        <f t="shared" si="21"/>
        <v>#N/A</v>
      </c>
      <c r="S119" s="85"/>
      <c r="T119" s="99" t="e">
        <f>IF(ISNA(P119),NA(),IDACI!C10)</f>
        <v>#N/A</v>
      </c>
      <c r="U119" s="122"/>
      <c r="V119" s="139"/>
      <c r="W119" s="152"/>
      <c r="X119" s="72" t="str">
        <f t="shared" si="22"/>
        <v>Brighton &amp; Hove</v>
      </c>
      <c r="Y119" s="44">
        <f>IF(ISNUMBER(H119),IDACI!D10,0)</f>
        <v>0</v>
      </c>
      <c r="Z119" s="44">
        <f>IF(ISNUMBER(H119),IDACI!E10,0)</f>
        <v>0</v>
      </c>
      <c r="AA119" s="205" t="str">
        <f>IF(ISNUMBER(D119),Population!D11,"")</f>
        <v/>
      </c>
      <c r="AB119" s="205" t="str">
        <f>IF(ISNUMBER(E119),Population!E11,"")</f>
        <v/>
      </c>
      <c r="AC119" s="205" t="str">
        <f>IF(ISNUMBER(F119),Population!F11,"")</f>
        <v/>
      </c>
      <c r="AD119" s="205" t="str">
        <f>IF(ISNUMBER(G119),Population!G11,"")</f>
        <v/>
      </c>
      <c r="AE119" s="205" t="str">
        <f>IF(ISNUMBER(H119),Population!H11,"")</f>
        <v/>
      </c>
      <c r="AF119" s="93" t="s">
        <v>31</v>
      </c>
      <c r="AG119" s="231" t="str">
        <f t="shared" ref="AG119:AG136" si="30">IFERROR(VLOOKUP(AF119,$B$118:$P$140,14,FALSE),"")</f>
        <v/>
      </c>
      <c r="AH119" s="206" t="e">
        <f t="shared" si="23"/>
        <v>#VALUE!</v>
      </c>
      <c r="AI119" s="74"/>
      <c r="AJ119" s="157"/>
      <c r="AK119" s="853" t="str">
        <f t="shared" si="24"/>
        <v>x</v>
      </c>
      <c r="AL119" s="853" t="str">
        <f t="shared" si="25"/>
        <v>x</v>
      </c>
      <c r="AM119" s="853" t="str">
        <f t="shared" si="26"/>
        <v>x</v>
      </c>
      <c r="AN119" s="853" t="str">
        <f t="shared" si="27"/>
        <v>x</v>
      </c>
      <c r="AO119" s="853" t="e">
        <f t="shared" si="28"/>
        <v>#DIV/0!</v>
      </c>
    </row>
    <row r="120" spans="1:44" s="87" customFormat="1" ht="13.5" customHeight="1" x14ac:dyDescent="0.2">
      <c r="A120" s="488">
        <f>VLOOKUP(B120,Sheet1!$AQ$4:$AR$25,2,FALSE)</f>
        <v>0</v>
      </c>
      <c r="B120" s="93" t="str">
        <f t="shared" si="18"/>
        <v>Buckinghamshire</v>
      </c>
      <c r="C120" s="85"/>
      <c r="D120" s="94" t="str">
        <f>IF(Year1_Buckinghamshire Year1_SGO_total="","",Year1_Buckinghamshire Year1_SGO_total)</f>
        <v/>
      </c>
      <c r="E120" s="94" t="str">
        <f>IF(Year2_Buckinghamshire Year2_SGO_total="","",Year2_Buckinghamshire Year2_SGO_total)</f>
        <v/>
      </c>
      <c r="F120" s="94" t="str">
        <f>IF(Year3_Buckinghamshire Year3_SGO_total="","",Year3_Buckinghamshire Year3_SGO_total)</f>
        <v/>
      </c>
      <c r="G120" s="94" t="str">
        <f>IF(Year4_Buckinghamshire Year4_SGO_total="","",Year4_Buckinghamshire Year4_SGO_total)</f>
        <v/>
      </c>
      <c r="H120" s="298" t="str">
        <f>IF(Year5_Buckinghamshire Year5_SGO_total="","",Year5_Buckinghamshire Year5_SGO_total)</f>
        <v/>
      </c>
      <c r="I120" s="1093" t="e">
        <f t="shared" si="19"/>
        <v>#DIV/0!</v>
      </c>
      <c r="J120" s="863" t="e">
        <f t="shared" si="20"/>
        <v>#DIV/0!</v>
      </c>
      <c r="K120" s="96"/>
      <c r="L120" s="234" t="e">
        <f>IF(ISNUMBER(D120),D120/Population!D12*10000,NA())</f>
        <v>#N/A</v>
      </c>
      <c r="M120" s="234" t="e">
        <f>IF(ISNUMBER(E120),E120/Population!E12*10000,NA())</f>
        <v>#N/A</v>
      </c>
      <c r="N120" s="234" t="e">
        <f>IF(ISNUMBER(F120),F120/Population!F12*10000,NA())</f>
        <v>#N/A</v>
      </c>
      <c r="O120" s="234" t="e">
        <f>IF(ISNUMBER(G120),G120/Population!G12*10000,NA())</f>
        <v>#N/A</v>
      </c>
      <c r="P120" s="235" t="e">
        <f>IF(ISNUMBER(H120),H120/Population!H12*10000,NA())</f>
        <v>#N/A</v>
      </c>
      <c r="Q120" s="99" t="str">
        <f t="shared" si="29"/>
        <v/>
      </c>
      <c r="R120" s="822" t="e">
        <f t="shared" si="21"/>
        <v>#N/A</v>
      </c>
      <c r="S120" s="85"/>
      <c r="T120" s="99" t="e">
        <f>IF(ISNA(P120),NA(),IDACI!C11)</f>
        <v>#N/A</v>
      </c>
      <c r="U120" s="122"/>
      <c r="V120" s="139"/>
      <c r="W120" s="152"/>
      <c r="X120" s="72" t="str">
        <f t="shared" si="22"/>
        <v>Buckinghamshire</v>
      </c>
      <c r="Y120" s="44">
        <f>IF(ISNUMBER(H120),IDACI!D11,0)</f>
        <v>0</v>
      </c>
      <c r="Z120" s="44">
        <f>IF(ISNUMBER(H120),IDACI!E11,0)</f>
        <v>0</v>
      </c>
      <c r="AA120" s="205" t="str">
        <f>IF(ISNUMBER(D120),Population!D12,"")</f>
        <v/>
      </c>
      <c r="AB120" s="205" t="str">
        <f>IF(ISNUMBER(E120),Population!E12,"")</f>
        <v/>
      </c>
      <c r="AC120" s="205" t="str">
        <f>IF(ISNUMBER(F120),Population!F12,"")</f>
        <v/>
      </c>
      <c r="AD120" s="205" t="str">
        <f>IF(ISNUMBER(G120),Population!G12,"")</f>
        <v/>
      </c>
      <c r="AE120" s="205" t="str">
        <f>IF(ISNUMBER(H120),Population!H12,"")</f>
        <v/>
      </c>
      <c r="AF120" s="93" t="s">
        <v>8</v>
      </c>
      <c r="AG120" s="231" t="str">
        <f t="shared" si="30"/>
        <v/>
      </c>
      <c r="AH120" s="206" t="e">
        <f t="shared" si="23"/>
        <v>#VALUE!</v>
      </c>
      <c r="AI120" s="74"/>
      <c r="AJ120" s="157"/>
      <c r="AK120" s="853" t="str">
        <f t="shared" si="24"/>
        <v>x</v>
      </c>
      <c r="AL120" s="853" t="str">
        <f t="shared" si="25"/>
        <v>x</v>
      </c>
      <c r="AM120" s="853" t="str">
        <f t="shared" si="26"/>
        <v>x</v>
      </c>
      <c r="AN120" s="853" t="str">
        <f t="shared" si="27"/>
        <v>x</v>
      </c>
      <c r="AO120" s="853" t="e">
        <f t="shared" si="28"/>
        <v>#DIV/0!</v>
      </c>
    </row>
    <row r="121" spans="1:44" s="87" customFormat="1" ht="13.5" customHeight="1" x14ac:dyDescent="0.2">
      <c r="A121" s="488">
        <f>VLOOKUP(B121,Sheet1!$AQ$4:$AR$25,2,FALSE)</f>
        <v>0</v>
      </c>
      <c r="B121" s="93" t="str">
        <f t="shared" si="18"/>
        <v>East Sussex</v>
      </c>
      <c r="C121" s="85"/>
      <c r="D121" s="100" t="str">
        <f>IF(Year1_East_Sussex Year1_SGO_total="","",Year1_East_Sussex Year1_SGO_total)</f>
        <v/>
      </c>
      <c r="E121" s="94" t="str">
        <f>IF(Year2_East_Sussex Year2_SGO_total="","",Year2_East_Sussex Year2_SGO_total)</f>
        <v/>
      </c>
      <c r="F121" s="100" t="str">
        <f>IF(Year3_East_Sussex Year3_SGO_total="","",Year3_East_Sussex Year3_SGO_total)</f>
        <v/>
      </c>
      <c r="G121" s="94" t="str">
        <f>IF(Year4_East_Sussex Year4_SGO_total="","",Year4_East_Sussex Year4_SGO_total)</f>
        <v/>
      </c>
      <c r="H121" s="298" t="str">
        <f>IF(Year5_East_Sussex Year5_SGO_total="","",Year5_East_Sussex Year5_SGO_total)</f>
        <v/>
      </c>
      <c r="I121" s="1093" t="e">
        <f t="shared" si="19"/>
        <v>#DIV/0!</v>
      </c>
      <c r="J121" s="863" t="e">
        <f t="shared" si="20"/>
        <v>#DIV/0!</v>
      </c>
      <c r="K121" s="96"/>
      <c r="L121" s="234" t="e">
        <f>IF(ISNUMBER(D121),D121/Population!D13*10000,NA())</f>
        <v>#N/A</v>
      </c>
      <c r="M121" s="234" t="e">
        <f>IF(ISNUMBER(E121),E121/Population!E13*10000,NA())</f>
        <v>#N/A</v>
      </c>
      <c r="N121" s="234" t="e">
        <f>IF(ISNUMBER(F121),F121/Population!F13*10000,NA())</f>
        <v>#N/A</v>
      </c>
      <c r="O121" s="234" t="e">
        <f>IF(ISNUMBER(G121),G121/Population!G13*10000,NA())</f>
        <v>#N/A</v>
      </c>
      <c r="P121" s="235" t="e">
        <f>IF(ISNUMBER(H121),H121/Population!H13*10000,NA())</f>
        <v>#N/A</v>
      </c>
      <c r="Q121" s="99" t="str">
        <f t="shared" si="29"/>
        <v/>
      </c>
      <c r="R121" s="822" t="e">
        <f t="shared" si="21"/>
        <v>#N/A</v>
      </c>
      <c r="S121" s="85"/>
      <c r="T121" s="99" t="e">
        <f>IF(ISNA(P121),NA(),IDACI!C12)</f>
        <v>#N/A</v>
      </c>
      <c r="U121" s="122"/>
      <c r="V121" s="139"/>
      <c r="W121" s="152"/>
      <c r="X121" s="72" t="str">
        <f t="shared" si="22"/>
        <v>East Sussex</v>
      </c>
      <c r="Y121" s="44">
        <f>IF(ISNUMBER(H121),IDACI!D12,0)</f>
        <v>0</v>
      </c>
      <c r="Z121" s="44">
        <f>IF(ISNUMBER(H121),IDACI!E12,0)</f>
        <v>0</v>
      </c>
      <c r="AA121" s="205" t="str">
        <f>IF(ISNUMBER(D121),Population!D13,"")</f>
        <v/>
      </c>
      <c r="AB121" s="205" t="str">
        <f>IF(ISNUMBER(E121),Population!E13,"")</f>
        <v/>
      </c>
      <c r="AC121" s="205" t="str">
        <f>IF(ISNUMBER(F121),Population!F13,"")</f>
        <v/>
      </c>
      <c r="AD121" s="205" t="str">
        <f>IF(ISNUMBER(G121),Population!G13,"")</f>
        <v/>
      </c>
      <c r="AE121" s="205" t="str">
        <f>IF(ISNUMBER(H121),Population!H13,"")</f>
        <v/>
      </c>
      <c r="AF121" s="93" t="s">
        <v>4</v>
      </c>
      <c r="AG121" s="231" t="str">
        <f t="shared" si="30"/>
        <v/>
      </c>
      <c r="AH121" s="206" t="e">
        <f t="shared" si="23"/>
        <v>#VALUE!</v>
      </c>
      <c r="AI121" s="74"/>
      <c r="AJ121" s="157"/>
      <c r="AK121" s="853" t="str">
        <f t="shared" si="24"/>
        <v>x</v>
      </c>
      <c r="AL121" s="853" t="str">
        <f t="shared" si="25"/>
        <v>x</v>
      </c>
      <c r="AM121" s="853" t="str">
        <f t="shared" si="26"/>
        <v>x</v>
      </c>
      <c r="AN121" s="853" t="str">
        <f t="shared" si="27"/>
        <v>x</v>
      </c>
      <c r="AO121" s="853" t="e">
        <f t="shared" si="28"/>
        <v>#DIV/0!</v>
      </c>
    </row>
    <row r="122" spans="1:44" s="87" customFormat="1" ht="13.5" customHeight="1" x14ac:dyDescent="0.2">
      <c r="A122" s="488">
        <f>VLOOKUP(B122,Sheet1!$AQ$4:$AR$25,2,FALSE)</f>
        <v>0</v>
      </c>
      <c r="B122" s="93" t="str">
        <f t="shared" si="18"/>
        <v>Hampshire</v>
      </c>
      <c r="C122" s="85"/>
      <c r="D122" s="94" t="str">
        <f>IF(Year1_Hampshire Year1_SGO_total="","",Year1_Hampshire Year1_SGO_total)</f>
        <v/>
      </c>
      <c r="E122" s="101" t="str">
        <f>IF(Year2_Hampshire Year2_SGO_total="","",Year2_Hampshire Year2_SGO_total)</f>
        <v/>
      </c>
      <c r="F122" s="94" t="str">
        <f>IF(Year3_Hampshire Year3_SGO_total="","",Year3_Hampshire Year3_SGO_total)</f>
        <v/>
      </c>
      <c r="G122" s="94" t="str">
        <f>IF(Year4_Hampshire Year4_SGO_total="","",Year4_Hampshire Year4_SGO_total)</f>
        <v/>
      </c>
      <c r="H122" s="298" t="str">
        <f>IF(Year5_Hampshire Year5_SGO_total="","",Year5_Hampshire Year5_SGO_total)</f>
        <v/>
      </c>
      <c r="I122" s="1093" t="e">
        <f t="shared" si="19"/>
        <v>#DIV/0!</v>
      </c>
      <c r="J122" s="863" t="e">
        <f t="shared" si="20"/>
        <v>#DIV/0!</v>
      </c>
      <c r="K122" s="96"/>
      <c r="L122" s="234" t="e">
        <f>IF(ISNUMBER(D122),D122/Population!D14*10000,NA())</f>
        <v>#N/A</v>
      </c>
      <c r="M122" s="234" t="e">
        <f>IF(ISNUMBER(E122),E122/Population!E14*10000,NA())</f>
        <v>#N/A</v>
      </c>
      <c r="N122" s="234" t="e">
        <f>IF(ISNUMBER(F122),F122/Population!F14*10000,NA())</f>
        <v>#N/A</v>
      </c>
      <c r="O122" s="234" t="e">
        <f>IF(ISNUMBER(G122),G122/Population!G14*10000,NA())</f>
        <v>#N/A</v>
      </c>
      <c r="P122" s="235" t="e">
        <f>IF(ISNUMBER(H122),H122/Population!H14*10000,NA())</f>
        <v>#N/A</v>
      </c>
      <c r="Q122" s="99" t="str">
        <f t="shared" si="29"/>
        <v/>
      </c>
      <c r="R122" s="822" t="e">
        <f t="shared" si="21"/>
        <v>#N/A</v>
      </c>
      <c r="S122" s="85"/>
      <c r="T122" s="99" t="e">
        <f>IF(ISNA(P122),NA(),IDACI!C13)</f>
        <v>#N/A</v>
      </c>
      <c r="U122" s="122"/>
      <c r="V122" s="139"/>
      <c r="W122" s="152"/>
      <c r="X122" s="72" t="str">
        <f t="shared" si="22"/>
        <v>Hampshire</v>
      </c>
      <c r="Y122" s="44">
        <f>IF(ISNUMBER(H122),IDACI!D13,0)</f>
        <v>0</v>
      </c>
      <c r="Z122" s="44">
        <f>IF(ISNUMBER(H122),IDACI!E13,0)</f>
        <v>0</v>
      </c>
      <c r="AA122" s="205" t="str">
        <f>IF(ISNUMBER(D122),Population!D14,"")</f>
        <v/>
      </c>
      <c r="AB122" s="205" t="str">
        <f>IF(ISNUMBER(E122),Population!E14,"")</f>
        <v/>
      </c>
      <c r="AC122" s="205" t="str">
        <f>IF(ISNUMBER(F122),Population!F14,"")</f>
        <v/>
      </c>
      <c r="AD122" s="205" t="str">
        <f>IF(ISNUMBER(G122),Population!G14,"")</f>
        <v/>
      </c>
      <c r="AE122" s="205" t="str">
        <f>IF(ISNUMBER(H122),Population!H14,"")</f>
        <v/>
      </c>
      <c r="AF122" s="93" t="s">
        <v>6</v>
      </c>
      <c r="AG122" s="231" t="str">
        <f t="shared" si="30"/>
        <v/>
      </c>
      <c r="AH122" s="206" t="e">
        <f t="shared" si="23"/>
        <v>#VALUE!</v>
      </c>
      <c r="AI122" s="74"/>
      <c r="AJ122" s="157"/>
      <c r="AK122" s="853" t="str">
        <f t="shared" si="24"/>
        <v>x</v>
      </c>
      <c r="AL122" s="853" t="str">
        <f t="shared" si="25"/>
        <v>x</v>
      </c>
      <c r="AM122" s="853" t="str">
        <f t="shared" si="26"/>
        <v>x</v>
      </c>
      <c r="AN122" s="853" t="str">
        <f t="shared" si="27"/>
        <v>x</v>
      </c>
      <c r="AO122" s="853" t="e">
        <f t="shared" si="28"/>
        <v>#DIV/0!</v>
      </c>
    </row>
    <row r="123" spans="1:44" s="87" customFormat="1" ht="13.5" customHeight="1" x14ac:dyDescent="0.2">
      <c r="A123" s="488">
        <f>VLOOKUP(B123,Sheet1!$AQ$4:$AR$25,2,FALSE)</f>
        <v>0</v>
      </c>
      <c r="B123" s="93" t="str">
        <f t="shared" si="18"/>
        <v>Isle of Wight</v>
      </c>
      <c r="C123" s="85"/>
      <c r="D123" s="94" t="str">
        <f>IF(Year1_Isle_of_Wight Year1_SGO_total="","",Year1_Isle_of_Wight Year1_SGO_total)</f>
        <v/>
      </c>
      <c r="E123" s="94" t="str">
        <f>IF(Year2_Isle_of_Wight Year2_SGO_total="","",Year2_Isle_of_Wight Year2_SGO_total)</f>
        <v/>
      </c>
      <c r="F123" s="94" t="str">
        <f>IF(Year3_Isle_of_Wight Year3_SGO_total="","",Year3_Isle_of_Wight Year3_SGO_total)</f>
        <v/>
      </c>
      <c r="G123" s="94" t="str">
        <f>IF(Year4_Isle_of_Wight Year4_SGO_total="","",Year4_Isle_of_Wight Year4_SGO_total)</f>
        <v/>
      </c>
      <c r="H123" s="298" t="str">
        <f>IF(Year5_Isle_of_Wight Year5_SGO_total="","",Year5_Isle_of_Wight Year5_SGO_total)</f>
        <v/>
      </c>
      <c r="I123" s="1093" t="e">
        <f t="shared" si="19"/>
        <v>#DIV/0!</v>
      </c>
      <c r="J123" s="863" t="e">
        <f t="shared" si="20"/>
        <v>#DIV/0!</v>
      </c>
      <c r="K123" s="96"/>
      <c r="L123" s="234" t="e">
        <f>IF(ISNUMBER(D123),D123/Population!D15*10000,NA())</f>
        <v>#N/A</v>
      </c>
      <c r="M123" s="234" t="e">
        <f>IF(ISNUMBER(E123),E123/Population!E15*10000,NA())</f>
        <v>#N/A</v>
      </c>
      <c r="N123" s="234" t="e">
        <f>IF(ISNUMBER(F123),F123/Population!F15*10000,NA())</f>
        <v>#N/A</v>
      </c>
      <c r="O123" s="234" t="e">
        <f>IF(ISNUMBER(G123),G123/Population!G15*10000,NA())</f>
        <v>#N/A</v>
      </c>
      <c r="P123" s="235" t="e">
        <f>IF(ISNUMBER(H123),H123/Population!H15*10000,NA())</f>
        <v>#N/A</v>
      </c>
      <c r="Q123" s="99" t="str">
        <f t="shared" si="29"/>
        <v/>
      </c>
      <c r="R123" s="822" t="e">
        <f t="shared" si="21"/>
        <v>#N/A</v>
      </c>
      <c r="S123" s="85"/>
      <c r="T123" s="99" t="e">
        <f>IF(ISNA(P123),NA(),IDACI!C14)</f>
        <v>#N/A</v>
      </c>
      <c r="U123" s="122"/>
      <c r="V123" s="139"/>
      <c r="W123" s="152"/>
      <c r="X123" s="72" t="str">
        <f t="shared" si="22"/>
        <v>Isle of Wight</v>
      </c>
      <c r="Y123" s="44">
        <f>IF(ISNUMBER(H123),IDACI!D14,0)</f>
        <v>0</v>
      </c>
      <c r="Z123" s="44">
        <f>IF(ISNUMBER(H123),IDACI!E14,0)</f>
        <v>0</v>
      </c>
      <c r="AA123" s="205" t="str">
        <f>IF(ISNUMBER(D123),Population!D15,"")</f>
        <v/>
      </c>
      <c r="AB123" s="205" t="str">
        <f>IF(ISNUMBER(E123),Population!E15,"")</f>
        <v/>
      </c>
      <c r="AC123" s="205" t="str">
        <f>IF(ISNUMBER(F123),Population!F15,"")</f>
        <v/>
      </c>
      <c r="AD123" s="205" t="str">
        <f>IF(ISNUMBER(G123),Population!G15,"")</f>
        <v/>
      </c>
      <c r="AE123" s="205" t="str">
        <f>IF(ISNUMBER(H123),Population!H15,"")</f>
        <v/>
      </c>
      <c r="AF123" s="93" t="s">
        <v>1</v>
      </c>
      <c r="AG123" s="231" t="str">
        <f t="shared" si="30"/>
        <v/>
      </c>
      <c r="AH123" s="206" t="e">
        <f t="shared" si="23"/>
        <v>#VALUE!</v>
      </c>
      <c r="AI123" s="74"/>
      <c r="AJ123" s="157"/>
      <c r="AK123" s="853" t="str">
        <f t="shared" si="24"/>
        <v>x</v>
      </c>
      <c r="AL123" s="853" t="str">
        <f t="shared" si="25"/>
        <v>x</v>
      </c>
      <c r="AM123" s="853" t="str">
        <f t="shared" si="26"/>
        <v>x</v>
      </c>
      <c r="AN123" s="853" t="str">
        <f t="shared" si="27"/>
        <v>x</v>
      </c>
      <c r="AO123" s="853" t="e">
        <f t="shared" si="28"/>
        <v>#DIV/0!</v>
      </c>
      <c r="AR123" s="87" t="s">
        <v>102</v>
      </c>
    </row>
    <row r="124" spans="1:44" s="87" customFormat="1" ht="13.5" customHeight="1" x14ac:dyDescent="0.2">
      <c r="A124" s="488">
        <f>VLOOKUP(B124,Sheet1!$AQ$4:$AR$25,2,FALSE)</f>
        <v>0</v>
      </c>
      <c r="B124" s="93" t="str">
        <f t="shared" si="18"/>
        <v>Kent</v>
      </c>
      <c r="C124" s="85"/>
      <c r="D124" s="94" t="str">
        <f>IF(Year1_Kent Year1_SGO_total="","",Year1_Kent Year1_SGO_total)</f>
        <v/>
      </c>
      <c r="E124" s="94" t="str">
        <f>IF(Year2_Kent Year2_SGO_total="","",Year2_Kent Year2_SGO_total)</f>
        <v/>
      </c>
      <c r="F124" s="94" t="str">
        <f>IF(Year3_Kent Year3_SGO_total="","",Year3_Kent Year3_SGO_total)</f>
        <v/>
      </c>
      <c r="G124" s="94" t="str">
        <f>IF(Year4_Kent Year4_SGO_total="","",Year4_Kent Year4_SGO_total)</f>
        <v/>
      </c>
      <c r="H124" s="298" t="str">
        <f>IF(Year5_Kent Year5_SGO_total="","",Year5_Kent Year5_SGO_total)</f>
        <v/>
      </c>
      <c r="I124" s="1093" t="e">
        <f t="shared" si="19"/>
        <v>#DIV/0!</v>
      </c>
      <c r="J124" s="863" t="e">
        <f t="shared" si="20"/>
        <v>#DIV/0!</v>
      </c>
      <c r="K124" s="96"/>
      <c r="L124" s="234" t="e">
        <f>IF(ISNUMBER(D124),D124/Population!D16*10000,NA())</f>
        <v>#N/A</v>
      </c>
      <c r="M124" s="234" t="e">
        <f>IF(ISNUMBER(E124),E124/Population!E16*10000,NA())</f>
        <v>#N/A</v>
      </c>
      <c r="N124" s="234" t="e">
        <f>IF(ISNUMBER(F124),F124/Population!F16*10000,NA())</f>
        <v>#N/A</v>
      </c>
      <c r="O124" s="234" t="e">
        <f>IF(ISNUMBER(G124),G124/Population!G16*10000,NA())</f>
        <v>#N/A</v>
      </c>
      <c r="P124" s="235" t="e">
        <f>IF(ISNUMBER(H124),H124/Population!H16*10000,NA())</f>
        <v>#N/A</v>
      </c>
      <c r="Q124" s="99" t="str">
        <f t="shared" si="29"/>
        <v/>
      </c>
      <c r="R124" s="822" t="e">
        <f t="shared" si="21"/>
        <v>#N/A</v>
      </c>
      <c r="S124" s="85"/>
      <c r="T124" s="99" t="e">
        <f>IF(ISNA(P124),NA(),IDACI!C15)</f>
        <v>#N/A</v>
      </c>
      <c r="U124" s="122"/>
      <c r="V124" s="139"/>
      <c r="W124" s="152"/>
      <c r="X124" s="72" t="str">
        <f t="shared" si="22"/>
        <v>Kent</v>
      </c>
      <c r="Y124" s="44">
        <f>IF(ISNUMBER(H124),IDACI!D15,0)</f>
        <v>0</v>
      </c>
      <c r="Z124" s="44">
        <f>IF(ISNUMBER(H124),IDACI!E15,0)</f>
        <v>0</v>
      </c>
      <c r="AA124" s="205" t="str">
        <f>IF(ISNUMBER(D124),Population!D16,"")</f>
        <v/>
      </c>
      <c r="AB124" s="205" t="str">
        <f>IF(ISNUMBER(E124),Population!E16,"")</f>
        <v/>
      </c>
      <c r="AC124" s="205" t="str">
        <f>IF(ISNUMBER(F124),Population!F16,"")</f>
        <v/>
      </c>
      <c r="AD124" s="205" t="str">
        <f>IF(ISNUMBER(G124),Population!G16,"")</f>
        <v/>
      </c>
      <c r="AE124" s="205" t="str">
        <f>IF(ISNUMBER(H124),Population!H16,"")</f>
        <v/>
      </c>
      <c r="AF124" s="93" t="s">
        <v>9</v>
      </c>
      <c r="AG124" s="231" t="str">
        <f t="shared" si="30"/>
        <v/>
      </c>
      <c r="AH124" s="206" t="e">
        <f t="shared" si="23"/>
        <v>#VALUE!</v>
      </c>
      <c r="AI124" s="74"/>
      <c r="AJ124" s="157"/>
      <c r="AK124" s="853" t="str">
        <f t="shared" si="24"/>
        <v>x</v>
      </c>
      <c r="AL124" s="853" t="str">
        <f t="shared" si="25"/>
        <v>x</v>
      </c>
      <c r="AM124" s="853" t="str">
        <f t="shared" si="26"/>
        <v>x</v>
      </c>
      <c r="AN124" s="853" t="str">
        <f t="shared" si="27"/>
        <v>x</v>
      </c>
      <c r="AO124" s="853" t="e">
        <f t="shared" si="28"/>
        <v>#DIV/0!</v>
      </c>
    </row>
    <row r="125" spans="1:44" s="87" customFormat="1" ht="13.5" customHeight="1" x14ac:dyDescent="0.2">
      <c r="A125" s="488">
        <f>VLOOKUP(B125,Sheet1!$AQ$4:$AR$25,2,FALSE)</f>
        <v>0</v>
      </c>
      <c r="B125" s="93" t="str">
        <f t="shared" si="18"/>
        <v>Medway</v>
      </c>
      <c r="C125" s="85"/>
      <c r="D125" s="94" t="str">
        <f>IF(Year1_Medway Year1_SGO_total="","",Year1_Medway Year1_SGO_total)</f>
        <v/>
      </c>
      <c r="E125" s="94" t="str">
        <f>IF(Year2_Medway Year2_SGO_total="","",Year2_Medway Year2_SGO_total)</f>
        <v/>
      </c>
      <c r="F125" s="94" t="str">
        <f>IF(Year3_Medway Year3_SGO_total="","",Year3_Medway Year3_SGO_total)</f>
        <v/>
      </c>
      <c r="G125" s="94" t="str">
        <f>IF(Year4_Medway Year4_SGO_total="","",Year4_Medway Year4_SGO_total)</f>
        <v/>
      </c>
      <c r="H125" s="298" t="str">
        <f>IF(Year5_Medway Year5_SGO_total="","",Year5_Medway Year5_SGO_total)</f>
        <v/>
      </c>
      <c r="I125" s="1093" t="e">
        <f t="shared" si="19"/>
        <v>#DIV/0!</v>
      </c>
      <c r="J125" s="863" t="e">
        <f t="shared" si="20"/>
        <v>#DIV/0!</v>
      </c>
      <c r="K125" s="96"/>
      <c r="L125" s="234" t="e">
        <f>IF(ISNUMBER(D125),D125/Population!D17*10000,NA())</f>
        <v>#N/A</v>
      </c>
      <c r="M125" s="234" t="e">
        <f>IF(ISNUMBER(E125),E125/Population!E17*10000,NA())</f>
        <v>#N/A</v>
      </c>
      <c r="N125" s="234" t="e">
        <f>IF(ISNUMBER(F125),F125/Population!F17*10000,NA())</f>
        <v>#N/A</v>
      </c>
      <c r="O125" s="234" t="e">
        <f>IF(ISNUMBER(G125),G125/Population!G17*10000,NA())</f>
        <v>#N/A</v>
      </c>
      <c r="P125" s="235" t="e">
        <f>IF(ISNUMBER(H125),H125/Population!H17*10000,NA())</f>
        <v>#N/A</v>
      </c>
      <c r="Q125" s="99" t="str">
        <f t="shared" si="29"/>
        <v/>
      </c>
      <c r="R125" s="822" t="e">
        <f t="shared" si="21"/>
        <v>#N/A</v>
      </c>
      <c r="S125" s="85"/>
      <c r="T125" s="99" t="e">
        <f>IF(ISNA(P125),NA(),IDACI!C16)</f>
        <v>#N/A</v>
      </c>
      <c r="U125" s="122"/>
      <c r="V125" s="139"/>
      <c r="W125" s="152"/>
      <c r="X125" s="72" t="str">
        <f t="shared" si="22"/>
        <v>Medway</v>
      </c>
      <c r="Y125" s="44">
        <f>IF(ISNUMBER(H125),IDACI!D16,0)</f>
        <v>0</v>
      </c>
      <c r="Z125" s="44">
        <f>IF(ISNUMBER(H125),IDACI!E16,0)</f>
        <v>0</v>
      </c>
      <c r="AA125" s="205" t="str">
        <f>IF(ISNUMBER(D125),Population!D17,"")</f>
        <v/>
      </c>
      <c r="AB125" s="205" t="str">
        <f>IF(ISNUMBER(E125),Population!E17,"")</f>
        <v/>
      </c>
      <c r="AC125" s="205" t="str">
        <f>IF(ISNUMBER(F125),Population!F17,"")</f>
        <v/>
      </c>
      <c r="AD125" s="205" t="str">
        <f>IF(ISNUMBER(G125),Population!G17,"")</f>
        <v/>
      </c>
      <c r="AE125" s="205" t="str">
        <f>IF(ISNUMBER(H125),Population!H17,"")</f>
        <v/>
      </c>
      <c r="AF125" s="93" t="s">
        <v>2</v>
      </c>
      <c r="AG125" s="231" t="str">
        <f t="shared" si="30"/>
        <v/>
      </c>
      <c r="AH125" s="206" t="e">
        <f t="shared" si="23"/>
        <v>#VALUE!</v>
      </c>
      <c r="AI125" s="74"/>
      <c r="AJ125" s="157"/>
      <c r="AK125" s="853" t="str">
        <f t="shared" si="24"/>
        <v>x</v>
      </c>
      <c r="AL125" s="853" t="str">
        <f t="shared" si="25"/>
        <v>x</v>
      </c>
      <c r="AM125" s="853" t="str">
        <f t="shared" si="26"/>
        <v>x</v>
      </c>
      <c r="AN125" s="853" t="str">
        <f t="shared" si="27"/>
        <v>x</v>
      </c>
      <c r="AO125" s="853" t="e">
        <f t="shared" si="28"/>
        <v>#DIV/0!</v>
      </c>
    </row>
    <row r="126" spans="1:44" s="87" customFormat="1" ht="13.5" customHeight="1" x14ac:dyDescent="0.2">
      <c r="A126" s="488">
        <f>VLOOKUP(B126,Sheet1!$AQ$4:$AR$25,2,FALSE)</f>
        <v>0</v>
      </c>
      <c r="B126" s="93" t="str">
        <f t="shared" si="18"/>
        <v>Milton Keynes</v>
      </c>
      <c r="C126" s="85"/>
      <c r="D126" s="94" t="str">
        <f>IF(Year1_Milton_Keynes Year1_SGO_total="","",Year1_Milton_Keynes Year1_SGO_total)</f>
        <v/>
      </c>
      <c r="E126" s="94" t="str">
        <f>IF(Year2_Milton_Keynes Year2_SGO_total="","",Year2_Milton_Keynes Year2_SGO_total)</f>
        <v/>
      </c>
      <c r="F126" s="94" t="str">
        <f>IF(Year3_Milton_Keynes Year3_SGO_total="","",Year3_Milton_Keynes Year3_SGO_total)</f>
        <v/>
      </c>
      <c r="G126" s="94" t="str">
        <f>IF(Year4_Milton_Keynes Year4_SGO_total="","",Year4_Milton_Keynes Year4_SGO_total)</f>
        <v/>
      </c>
      <c r="H126" s="298" t="str">
        <f>IF(Year5_Milton_Keynes Year5_SGO_total="","",Year5_Milton_Keynes Year5_SGO_total)</f>
        <v/>
      </c>
      <c r="I126" s="1093" t="e">
        <f t="shared" si="19"/>
        <v>#DIV/0!</v>
      </c>
      <c r="J126" s="863" t="e">
        <f t="shared" si="20"/>
        <v>#DIV/0!</v>
      </c>
      <c r="K126" s="96"/>
      <c r="L126" s="234" t="e">
        <f>IF(ISNUMBER(D126),D126/Population!D18*10000,NA())</f>
        <v>#N/A</v>
      </c>
      <c r="M126" s="234" t="e">
        <f>IF(ISNUMBER(E126),E126/Population!E18*10000,NA())</f>
        <v>#N/A</v>
      </c>
      <c r="N126" s="234" t="e">
        <f>IF(ISNUMBER(F126),F126/Population!F18*10000,NA())</f>
        <v>#N/A</v>
      </c>
      <c r="O126" s="234" t="e">
        <f>IF(ISNUMBER(G126),G126/Population!G18*10000,NA())</f>
        <v>#N/A</v>
      </c>
      <c r="P126" s="235" t="e">
        <f>IF(ISNUMBER(H126),H126/Population!H18*10000,NA())</f>
        <v>#N/A</v>
      </c>
      <c r="Q126" s="99" t="str">
        <f t="shared" si="29"/>
        <v/>
      </c>
      <c r="R126" s="822" t="e">
        <f t="shared" si="21"/>
        <v>#N/A</v>
      </c>
      <c r="S126" s="85"/>
      <c r="T126" s="99" t="e">
        <f>IF(ISNA(P126),NA(),IDACI!C17)</f>
        <v>#N/A</v>
      </c>
      <c r="U126" s="122"/>
      <c r="V126" s="139"/>
      <c r="W126" s="152"/>
      <c r="X126" s="72" t="str">
        <f t="shared" si="22"/>
        <v>Milton Keynes</v>
      </c>
      <c r="Y126" s="44">
        <f>IF(ISNUMBER(H126),IDACI!D17,0)</f>
        <v>0</v>
      </c>
      <c r="Z126" s="44">
        <f>IF(ISNUMBER(H126),IDACI!E17,0)</f>
        <v>0</v>
      </c>
      <c r="AA126" s="205" t="str">
        <f>IF(ISNUMBER(D126),Population!D18,"")</f>
        <v/>
      </c>
      <c r="AB126" s="205" t="str">
        <f>IF(ISNUMBER(E126),Population!E18,"")</f>
        <v/>
      </c>
      <c r="AC126" s="205" t="str">
        <f>IF(ISNUMBER(F126),Population!F18,"")</f>
        <v/>
      </c>
      <c r="AD126" s="205" t="str">
        <f>IF(ISNUMBER(G126),Population!G18,"")</f>
        <v/>
      </c>
      <c r="AE126" s="205" t="str">
        <f>IF(ISNUMBER(H126),Population!H18,"")</f>
        <v/>
      </c>
      <c r="AF126" s="93" t="s">
        <v>10</v>
      </c>
      <c r="AG126" s="231" t="str">
        <f t="shared" si="30"/>
        <v/>
      </c>
      <c r="AH126" s="206" t="e">
        <f t="shared" si="23"/>
        <v>#VALUE!</v>
      </c>
      <c r="AI126" s="74"/>
      <c r="AJ126" s="157"/>
      <c r="AK126" s="853" t="str">
        <f t="shared" si="24"/>
        <v>x</v>
      </c>
      <c r="AL126" s="853" t="str">
        <f t="shared" si="25"/>
        <v>x</v>
      </c>
      <c r="AM126" s="853" t="str">
        <f t="shared" si="26"/>
        <v>x</v>
      </c>
      <c r="AN126" s="853" t="str">
        <f t="shared" si="27"/>
        <v>x</v>
      </c>
      <c r="AO126" s="853" t="e">
        <f t="shared" si="28"/>
        <v>#DIV/0!</v>
      </c>
    </row>
    <row r="127" spans="1:44" s="87" customFormat="1" ht="13.5" customHeight="1" x14ac:dyDescent="0.2">
      <c r="A127" s="488">
        <f>VLOOKUP(B127,Sheet1!$AQ$4:$AR$25,2,FALSE)</f>
        <v>0</v>
      </c>
      <c r="B127" s="93" t="str">
        <f t="shared" si="18"/>
        <v>Oxfordshire</v>
      </c>
      <c r="C127" s="85"/>
      <c r="D127" s="94" t="str">
        <f>IF(Year1_Oxfordshire Year1_SGO_total="","",Year1_Oxfordshire Year1_SGO_total)</f>
        <v/>
      </c>
      <c r="E127" s="94" t="str">
        <f>IF(Year2_Oxfordshire Year2_SGO_total="","",Year2_Oxfordshire Year2_SGO_total)</f>
        <v/>
      </c>
      <c r="F127" s="94" t="str">
        <f>IF(Year3_Oxfordshire Year3_SGO_total="","",Year3_Oxfordshire Year3_SGO_total)</f>
        <v/>
      </c>
      <c r="G127" s="94" t="str">
        <f>IF(Year4_Oxfordshire Year4_SGO_total="","",Year4_Oxfordshire Year4_SGO_total)</f>
        <v/>
      </c>
      <c r="H127" s="298" t="str">
        <f>IF(Year5_Oxfordshire Year5_SGO_total="","",Year5_Oxfordshire Year5_SGO_total)</f>
        <v/>
      </c>
      <c r="I127" s="1093" t="e">
        <f t="shared" si="19"/>
        <v>#DIV/0!</v>
      </c>
      <c r="J127" s="863" t="e">
        <f t="shared" si="20"/>
        <v>#DIV/0!</v>
      </c>
      <c r="K127" s="96"/>
      <c r="L127" s="234" t="e">
        <f>IF(ISNUMBER(D127),D127/Population!D19*10000,NA())</f>
        <v>#N/A</v>
      </c>
      <c r="M127" s="234" t="e">
        <f>IF(ISNUMBER(E127),E127/Population!E19*10000,NA())</f>
        <v>#N/A</v>
      </c>
      <c r="N127" s="234" t="e">
        <f>IF(ISNUMBER(F127),F127/Population!F19*10000,NA())</f>
        <v>#N/A</v>
      </c>
      <c r="O127" s="234" t="e">
        <f>IF(ISNUMBER(G127),G127/Population!G19*10000,NA())</f>
        <v>#N/A</v>
      </c>
      <c r="P127" s="235" t="e">
        <f>IF(ISNUMBER(H127),H127/Population!H19*10000,NA())</f>
        <v>#N/A</v>
      </c>
      <c r="Q127" s="99" t="str">
        <f t="shared" si="29"/>
        <v/>
      </c>
      <c r="R127" s="822" t="e">
        <f t="shared" si="21"/>
        <v>#N/A</v>
      </c>
      <c r="S127" s="85"/>
      <c r="T127" s="99" t="e">
        <f>IF(ISNA(P127),NA(),IDACI!C18)</f>
        <v>#N/A</v>
      </c>
      <c r="U127" s="122"/>
      <c r="V127" s="139"/>
      <c r="W127" s="152"/>
      <c r="X127" s="72" t="str">
        <f t="shared" si="22"/>
        <v>Oxfordshire</v>
      </c>
      <c r="Y127" s="44">
        <f>IF(ISNUMBER(H127),IDACI!D18,0)</f>
        <v>0</v>
      </c>
      <c r="Z127" s="44">
        <f>IF(ISNUMBER(H127),IDACI!E18,0)</f>
        <v>0</v>
      </c>
      <c r="AA127" s="205" t="str">
        <f>IF(ISNUMBER(D127),Population!D19,"")</f>
        <v/>
      </c>
      <c r="AB127" s="205" t="str">
        <f>IF(ISNUMBER(E127),Population!E19,"")</f>
        <v/>
      </c>
      <c r="AC127" s="205" t="str">
        <f>IF(ISNUMBER(F127),Population!F19,"")</f>
        <v/>
      </c>
      <c r="AD127" s="205" t="str">
        <f>IF(ISNUMBER(G127),Population!G19,"")</f>
        <v/>
      </c>
      <c r="AE127" s="205" t="str">
        <f>IF(ISNUMBER(H127),Population!H19,"")</f>
        <v/>
      </c>
      <c r="AF127" s="93" t="s">
        <v>11</v>
      </c>
      <c r="AG127" s="231" t="str">
        <f t="shared" si="30"/>
        <v/>
      </c>
      <c r="AH127" s="206" t="e">
        <f t="shared" si="23"/>
        <v>#VALUE!</v>
      </c>
      <c r="AI127" s="74"/>
      <c r="AJ127" s="157"/>
      <c r="AK127" s="853" t="str">
        <f t="shared" si="24"/>
        <v>x</v>
      </c>
      <c r="AL127" s="853" t="str">
        <f t="shared" si="25"/>
        <v>x</v>
      </c>
      <c r="AM127" s="853" t="str">
        <f t="shared" si="26"/>
        <v>x</v>
      </c>
      <c r="AN127" s="853" t="str">
        <f t="shared" si="27"/>
        <v>x</v>
      </c>
      <c r="AO127" s="853" t="e">
        <f t="shared" si="28"/>
        <v>#DIV/0!</v>
      </c>
    </row>
    <row r="128" spans="1:44" s="87" customFormat="1" ht="13.5" customHeight="1" x14ac:dyDescent="0.2">
      <c r="A128" s="488">
        <f>VLOOKUP(B128,Sheet1!$AQ$4:$AR$25,2,FALSE)</f>
        <v>0</v>
      </c>
      <c r="B128" s="93" t="str">
        <f t="shared" si="18"/>
        <v>Portsmouth</v>
      </c>
      <c r="C128" s="85"/>
      <c r="D128" s="94" t="str">
        <f>IF(Year1_Portsmouth Year1_SGO_total="","",Year1_Portsmouth Year1_SGO_total)</f>
        <v/>
      </c>
      <c r="E128" s="94" t="str">
        <f>IF(Year2_Portsmouth Year2_SGO_total="","",Year2_Portsmouth Year2_SGO_total)</f>
        <v/>
      </c>
      <c r="F128" s="94" t="str">
        <f>IF(Year3_Portsmouth Year3_SGO_total="","",Year3_Portsmouth Year3_SGO_total)</f>
        <v/>
      </c>
      <c r="G128" s="94" t="str">
        <f>IF(Year4_Portsmouth Year4_SGO_total="","",Year4_Portsmouth Year4_SGO_total)</f>
        <v/>
      </c>
      <c r="H128" s="298" t="str">
        <f>IF(Year5_Portsmouth Year5_SGO_total="","",Year5_Portsmouth Year5_SGO_total)</f>
        <v/>
      </c>
      <c r="I128" s="1093" t="e">
        <f t="shared" si="19"/>
        <v>#DIV/0!</v>
      </c>
      <c r="J128" s="863" t="e">
        <f t="shared" si="20"/>
        <v>#DIV/0!</v>
      </c>
      <c r="K128" s="96"/>
      <c r="L128" s="234" t="e">
        <f>IF(ISNUMBER(D128),D128/Population!D20*10000,NA())</f>
        <v>#N/A</v>
      </c>
      <c r="M128" s="234" t="e">
        <f>IF(ISNUMBER(E128),E128/Population!E20*10000,NA())</f>
        <v>#N/A</v>
      </c>
      <c r="N128" s="234" t="e">
        <f>IF(ISNUMBER(F128),F128/Population!F20*10000,NA())</f>
        <v>#N/A</v>
      </c>
      <c r="O128" s="234" t="e">
        <f>IF(ISNUMBER(G128),G128/Population!G20*10000,NA())</f>
        <v>#N/A</v>
      </c>
      <c r="P128" s="235" t="e">
        <f>IF(ISNUMBER(H128),H128/Population!H20*10000,NA())</f>
        <v>#N/A</v>
      </c>
      <c r="Q128" s="99" t="str">
        <f t="shared" si="29"/>
        <v/>
      </c>
      <c r="R128" s="822" t="e">
        <f t="shared" si="21"/>
        <v>#N/A</v>
      </c>
      <c r="S128" s="85"/>
      <c r="T128" s="99" t="e">
        <f>IF(ISNA(P128),NA(),IDACI!C19)</f>
        <v>#N/A</v>
      </c>
      <c r="U128" s="122"/>
      <c r="V128" s="139"/>
      <c r="W128" s="152"/>
      <c r="X128" s="72" t="str">
        <f t="shared" si="22"/>
        <v>Portsmouth</v>
      </c>
      <c r="Y128" s="44">
        <f>IF(ISNUMBER(H128),IDACI!D19,0)</f>
        <v>0</v>
      </c>
      <c r="Z128" s="44">
        <f>IF(ISNUMBER(H128),IDACI!E19,0)</f>
        <v>0</v>
      </c>
      <c r="AA128" s="205" t="str">
        <f>IF(ISNUMBER(D128),Population!D20,"")</f>
        <v/>
      </c>
      <c r="AB128" s="205" t="str">
        <f>IF(ISNUMBER(E128),Population!E20,"")</f>
        <v/>
      </c>
      <c r="AC128" s="205" t="str">
        <f>IF(ISNUMBER(F128),Population!F20,"")</f>
        <v/>
      </c>
      <c r="AD128" s="205" t="str">
        <f>IF(ISNUMBER(G128),Population!G20,"")</f>
        <v/>
      </c>
      <c r="AE128" s="205" t="str">
        <f>IF(ISNUMBER(H128),Population!H20,"")</f>
        <v/>
      </c>
      <c r="AF128" s="93" t="s">
        <v>12</v>
      </c>
      <c r="AG128" s="231" t="str">
        <f t="shared" si="30"/>
        <v/>
      </c>
      <c r="AH128" s="206" t="e">
        <f t="shared" si="23"/>
        <v>#VALUE!</v>
      </c>
      <c r="AI128" s="74"/>
      <c r="AJ128" s="157"/>
      <c r="AK128" s="853" t="str">
        <f t="shared" si="24"/>
        <v>x</v>
      </c>
      <c r="AL128" s="853" t="str">
        <f t="shared" si="25"/>
        <v>x</v>
      </c>
      <c r="AM128" s="853" t="str">
        <f t="shared" si="26"/>
        <v>x</v>
      </c>
      <c r="AN128" s="853" t="str">
        <f t="shared" si="27"/>
        <v>x</v>
      </c>
      <c r="AO128" s="853" t="e">
        <f t="shared" si="28"/>
        <v>#DIV/0!</v>
      </c>
    </row>
    <row r="129" spans="1:48" s="87" customFormat="1" ht="13.5" customHeight="1" x14ac:dyDescent="0.2">
      <c r="A129" s="488">
        <f>VLOOKUP(B129,Sheet1!$AQ$4:$AR$25,2,FALSE)</f>
        <v>0</v>
      </c>
      <c r="B129" s="93" t="str">
        <f t="shared" si="18"/>
        <v>Reading</v>
      </c>
      <c r="C129" s="85"/>
      <c r="D129" s="94" t="str">
        <f>IF(Year1_Reading Year1_SGO_total="","",Year1_Reading Year1_SGO_total)</f>
        <v/>
      </c>
      <c r="E129" s="94" t="str">
        <f>IF(Year2_Reading Year2_SGO_total="","",Year2_Reading Year2_SGO_total)</f>
        <v/>
      </c>
      <c r="F129" s="94" t="str">
        <f>IF(Year3_Reading Year3_SGO_total="","",Year3_Reading Year3_SGO_total)</f>
        <v/>
      </c>
      <c r="G129" s="94" t="str">
        <f>IF(Year4_Reading Year4_SGO_total="","",Year4_Reading Year4_SGO_total)</f>
        <v/>
      </c>
      <c r="H129" s="298" t="str">
        <f>IF(Year5_Reading Year5_SGO_total="","",Year5_Reading Year5_SGO_total)</f>
        <v/>
      </c>
      <c r="I129" s="1093" t="e">
        <f t="shared" si="19"/>
        <v>#DIV/0!</v>
      </c>
      <c r="J129" s="863" t="e">
        <f t="shared" si="20"/>
        <v>#DIV/0!</v>
      </c>
      <c r="K129" s="96"/>
      <c r="L129" s="234" t="e">
        <f>IF(ISNUMBER(D129),D129/Population!D21*10000,NA())</f>
        <v>#N/A</v>
      </c>
      <c r="M129" s="234" t="e">
        <f>IF(ISNUMBER(E129),E129/Population!E21*10000,NA())</f>
        <v>#N/A</v>
      </c>
      <c r="N129" s="234" t="e">
        <f>IF(ISNUMBER(F129),F129/Population!F21*10000,NA())</f>
        <v>#N/A</v>
      </c>
      <c r="O129" s="234" t="e">
        <f>IF(ISNUMBER(G129),G129/Population!G21*10000,NA())</f>
        <v>#N/A</v>
      </c>
      <c r="P129" s="235" t="e">
        <f>IF(ISNUMBER(H129),H129/Population!H21*10000,NA())</f>
        <v>#N/A</v>
      </c>
      <c r="Q129" s="99" t="str">
        <f t="shared" si="29"/>
        <v/>
      </c>
      <c r="R129" s="822" t="e">
        <f t="shared" si="21"/>
        <v>#N/A</v>
      </c>
      <c r="S129" s="85"/>
      <c r="T129" s="99" t="e">
        <f>IF(ISNA(P129),NA(),IDACI!C20)</f>
        <v>#N/A</v>
      </c>
      <c r="U129" s="122"/>
      <c r="V129" s="139"/>
      <c r="W129" s="152"/>
      <c r="X129" s="72" t="str">
        <f t="shared" si="22"/>
        <v>Reading</v>
      </c>
      <c r="Y129" s="44">
        <f>IF(ISNUMBER(H129),IDACI!D20,0)</f>
        <v>0</v>
      </c>
      <c r="Z129" s="44">
        <f>IF(ISNUMBER(H129),IDACI!E20,0)</f>
        <v>0</v>
      </c>
      <c r="AA129" s="205" t="str">
        <f>IF(ISNUMBER(D129),Population!D21,"")</f>
        <v/>
      </c>
      <c r="AB129" s="205" t="str">
        <f>IF(ISNUMBER(E129),Population!E21,"")</f>
        <v/>
      </c>
      <c r="AC129" s="205" t="str">
        <f>IF(ISNUMBER(F129),Population!F21,"")</f>
        <v/>
      </c>
      <c r="AD129" s="205" t="str">
        <f>IF(ISNUMBER(G129),Population!G21,"")</f>
        <v/>
      </c>
      <c r="AE129" s="205" t="str">
        <f>IF(ISNUMBER(H129),Population!H21,"")</f>
        <v/>
      </c>
      <c r="AF129" s="93" t="s">
        <v>3</v>
      </c>
      <c r="AG129" s="231" t="str">
        <f t="shared" si="30"/>
        <v/>
      </c>
      <c r="AH129" s="206" t="e">
        <f t="shared" si="23"/>
        <v>#VALUE!</v>
      </c>
      <c r="AI129" s="74"/>
      <c r="AJ129" s="157"/>
      <c r="AK129" s="853" t="str">
        <f t="shared" si="24"/>
        <v>x</v>
      </c>
      <c r="AL129" s="853" t="str">
        <f t="shared" si="25"/>
        <v>x</v>
      </c>
      <c r="AM129" s="853" t="str">
        <f t="shared" si="26"/>
        <v>x</v>
      </c>
      <c r="AN129" s="853" t="str">
        <f t="shared" si="27"/>
        <v>x</v>
      </c>
      <c r="AO129" s="853" t="e">
        <f t="shared" si="28"/>
        <v>#DIV/0!</v>
      </c>
    </row>
    <row r="130" spans="1:48" s="87" customFormat="1" ht="13.5" customHeight="1" x14ac:dyDescent="0.2">
      <c r="A130" s="488">
        <f>VLOOKUP(B130,Sheet1!$AQ$4:$AR$25,2,FALSE)</f>
        <v>0</v>
      </c>
      <c r="B130" s="93" t="str">
        <f t="shared" si="18"/>
        <v>Slough</v>
      </c>
      <c r="C130" s="85"/>
      <c r="D130" s="94" t="str">
        <f>IF(Year1_Slough Year1_SGO_total="","",Year1_Slough Year1_SGO_total)</f>
        <v/>
      </c>
      <c r="E130" s="94" t="str">
        <f>IF(Year2_Slough Year2_SGO_total="","",Year2_Slough Year2_SGO_total)</f>
        <v/>
      </c>
      <c r="F130" s="94" t="str">
        <f>IF(Year3_Slough Year3_SGO_total="","",Year3_Slough Year3_SGO_total)</f>
        <v/>
      </c>
      <c r="G130" s="94" t="str">
        <f>IF(Year4_Slough Year4_SGO_total="","",Year4_Slough Year4_SGO_total)</f>
        <v/>
      </c>
      <c r="H130" s="298" t="str">
        <f>IF(Year5_Slough Year5_SGO_total="","",Year5_Slough Year5_SGO_total)</f>
        <v/>
      </c>
      <c r="I130" s="1093" t="e">
        <f t="shared" si="19"/>
        <v>#DIV/0!</v>
      </c>
      <c r="J130" s="863" t="e">
        <f t="shared" si="20"/>
        <v>#DIV/0!</v>
      </c>
      <c r="K130" s="96"/>
      <c r="L130" s="234" t="e">
        <f>IF(ISNUMBER(D130),D130/Population!D22*10000,NA())</f>
        <v>#N/A</v>
      </c>
      <c r="M130" s="234" t="e">
        <f>IF(ISNUMBER(E130),E130/Population!E22*10000,NA())</f>
        <v>#N/A</v>
      </c>
      <c r="N130" s="234" t="e">
        <f>IF(ISNUMBER(F130),F130/Population!F22*10000,NA())</f>
        <v>#N/A</v>
      </c>
      <c r="O130" s="234" t="e">
        <f>IF(ISNUMBER(G130),G130/Population!G22*10000,NA())</f>
        <v>#N/A</v>
      </c>
      <c r="P130" s="235" t="e">
        <f>IF(ISNUMBER(H130),H130/Population!H22*10000,NA())</f>
        <v>#N/A</v>
      </c>
      <c r="Q130" s="99" t="str">
        <f t="shared" si="29"/>
        <v/>
      </c>
      <c r="R130" s="822" t="e">
        <f t="shared" si="21"/>
        <v>#N/A</v>
      </c>
      <c r="S130" s="85"/>
      <c r="T130" s="99" t="e">
        <f>IF(ISNA(P130),NA(),IDACI!C21)</f>
        <v>#N/A</v>
      </c>
      <c r="U130" s="122"/>
      <c r="V130" s="139"/>
      <c r="W130" s="152"/>
      <c r="X130" s="72" t="str">
        <f t="shared" si="22"/>
        <v>Slough</v>
      </c>
      <c r="Y130" s="44">
        <f>IF(ISNUMBER(H130),IDACI!D21,0)</f>
        <v>0</v>
      </c>
      <c r="Z130" s="44">
        <f>IF(ISNUMBER(H130),IDACI!E21,0)</f>
        <v>0</v>
      </c>
      <c r="AA130" s="205" t="str">
        <f>IF(ISNUMBER(D130),Population!D22,"")</f>
        <v/>
      </c>
      <c r="AB130" s="205" t="str">
        <f>IF(ISNUMBER(E130),Population!E22,"")</f>
        <v/>
      </c>
      <c r="AC130" s="205" t="str">
        <f>IF(ISNUMBER(F130),Population!F22,"")</f>
        <v/>
      </c>
      <c r="AD130" s="205" t="str">
        <f>IF(ISNUMBER(G130),Population!G22,"")</f>
        <v/>
      </c>
      <c r="AE130" s="205" t="str">
        <f>IF(ISNUMBER(H130),Population!H22,"")</f>
        <v/>
      </c>
      <c r="AF130" s="93" t="s">
        <v>13</v>
      </c>
      <c r="AG130" s="231" t="str">
        <f t="shared" si="30"/>
        <v/>
      </c>
      <c r="AH130" s="206" t="e">
        <f t="shared" si="23"/>
        <v>#VALUE!</v>
      </c>
      <c r="AI130" s="74"/>
      <c r="AJ130" s="157"/>
      <c r="AK130" s="853" t="str">
        <f t="shared" si="24"/>
        <v>x</v>
      </c>
      <c r="AL130" s="853" t="str">
        <f t="shared" si="25"/>
        <v>x</v>
      </c>
      <c r="AM130" s="853" t="str">
        <f t="shared" si="26"/>
        <v>x</v>
      </c>
      <c r="AN130" s="853" t="str">
        <f t="shared" si="27"/>
        <v>x</v>
      </c>
      <c r="AO130" s="853" t="e">
        <f t="shared" si="28"/>
        <v>#DIV/0!</v>
      </c>
    </row>
    <row r="131" spans="1:48" s="87" customFormat="1" ht="13.5" customHeight="1" x14ac:dyDescent="0.2">
      <c r="A131" s="488">
        <f>VLOOKUP(B131,Sheet1!$AQ$4:$AR$25,2,FALSE)</f>
        <v>0</v>
      </c>
      <c r="B131" s="93" t="str">
        <f t="shared" si="18"/>
        <v>Somerset</v>
      </c>
      <c r="C131" s="85"/>
      <c r="D131" s="94" t="str">
        <f>IF(Year1_Somerset Year1_SGO_total="","",Year1_Somerset Year1_SGO_total)</f>
        <v/>
      </c>
      <c r="E131" s="94" t="str">
        <f>IF(Year2_Somerset Year2_SGO_total="","",Year2_Somerset Year2_SGO_total)</f>
        <v/>
      </c>
      <c r="F131" s="94" t="str">
        <f>IF(Year3_Somerset Year3_SGO_total="","",Year3_Somerset Year3_SGO_total)</f>
        <v/>
      </c>
      <c r="G131" s="101" t="str">
        <f>IF(Year4_Somerset Year4_SGO_total="","",Year4_Somerset Year4_SGO_total)</f>
        <v/>
      </c>
      <c r="H131" s="299" t="str">
        <f>IF(Year5_Somerset Year5_SGO_total="","",Year5_Somerset Year5_SGO_total)</f>
        <v/>
      </c>
      <c r="I131" s="1093" t="e">
        <f t="shared" si="19"/>
        <v>#DIV/0!</v>
      </c>
      <c r="J131" s="863" t="e">
        <f t="shared" si="20"/>
        <v>#DIV/0!</v>
      </c>
      <c r="K131" s="96"/>
      <c r="L131" s="234" t="e">
        <f>IF(ISNUMBER(D131),D131/Population!D23*10000,NA())</f>
        <v>#N/A</v>
      </c>
      <c r="M131" s="234" t="e">
        <f>IF(ISNUMBER(E131),E131/Population!E23*10000,NA())</f>
        <v>#N/A</v>
      </c>
      <c r="N131" s="234" t="e">
        <f>IF(ISNUMBER(F131),F131/Population!F23*10000,NA())</f>
        <v>#N/A</v>
      </c>
      <c r="O131" s="234" t="e">
        <f>IF(ISNUMBER(G131),G131/Population!G23*10000,NA())</f>
        <v>#N/A</v>
      </c>
      <c r="P131" s="235" t="e">
        <f>IF(ISNUMBER(H131),H131/Population!H23*10000,NA())</f>
        <v>#N/A</v>
      </c>
      <c r="Q131" s="99" t="str">
        <f t="shared" si="29"/>
        <v/>
      </c>
      <c r="R131" s="822" t="str">
        <f t="shared" si="21"/>
        <v>--</v>
      </c>
      <c r="S131" s="85"/>
      <c r="T131" s="99" t="e">
        <f>IF(ISNA(P131),NA(),IDACI!C22)</f>
        <v>#N/A</v>
      </c>
      <c r="U131" s="122"/>
      <c r="V131" s="139"/>
      <c r="W131" s="152"/>
      <c r="X131" s="72" t="str">
        <f t="shared" si="22"/>
        <v>Somerset</v>
      </c>
      <c r="Y131" s="44">
        <f>IF(ISNUMBER(H131),IDACI!D22,0)</f>
        <v>0</v>
      </c>
      <c r="Z131" s="44">
        <f>IF(ISNUMBER(H131),IDACI!E22,0)</f>
        <v>0</v>
      </c>
      <c r="AA131" s="205" t="str">
        <f>IF(ISNUMBER(D131),Population!D23,"")</f>
        <v/>
      </c>
      <c r="AB131" s="205" t="str">
        <f>IF(ISNUMBER(E131),Population!E23,"")</f>
        <v/>
      </c>
      <c r="AC131" s="205" t="str">
        <f>IF(ISNUMBER(F131),Population!F23,"")</f>
        <v/>
      </c>
      <c r="AD131" s="205" t="str">
        <f>IF(ISNUMBER(G131),Population!G23,"")</f>
        <v/>
      </c>
      <c r="AE131" s="205" t="str">
        <f>IF(ISNUMBER(H131),Population!H23,"")</f>
        <v/>
      </c>
      <c r="AF131" s="93" t="s">
        <v>14</v>
      </c>
      <c r="AG131" s="231" t="str">
        <f t="shared" si="30"/>
        <v/>
      </c>
      <c r="AH131" s="206" t="e">
        <f t="shared" si="23"/>
        <v>#VALUE!</v>
      </c>
      <c r="AI131" s="74"/>
      <c r="AJ131" s="157"/>
      <c r="AK131" s="853" t="str">
        <f t="shared" si="24"/>
        <v>x</v>
      </c>
      <c r="AL131" s="853" t="str">
        <f t="shared" si="25"/>
        <v>x</v>
      </c>
      <c r="AM131" s="853" t="str">
        <f t="shared" si="26"/>
        <v>x</v>
      </c>
      <c r="AN131" s="853" t="str">
        <f t="shared" si="27"/>
        <v>x</v>
      </c>
      <c r="AO131" s="853" t="e">
        <f t="shared" si="28"/>
        <v>#DIV/0!</v>
      </c>
    </row>
    <row r="132" spans="1:48" s="87" customFormat="1" ht="13.5" customHeight="1" x14ac:dyDescent="0.2">
      <c r="A132" s="488">
        <f>VLOOKUP(B132,Sheet1!$AQ$4:$AR$25,2,FALSE)</f>
        <v>0</v>
      </c>
      <c r="B132" s="93" t="str">
        <f t="shared" si="18"/>
        <v>Southampton</v>
      </c>
      <c r="C132" s="85"/>
      <c r="D132" s="94" t="str">
        <f>IF(Year1_Southampton Year1_SGO_total="","",Year1_Southampton Year1_SGO_total)</f>
        <v/>
      </c>
      <c r="E132" s="94" t="str">
        <f>IF(Year2_Southampton Year2_SGO_total="","",Year2_Southampton Year2_SGO_total)</f>
        <v/>
      </c>
      <c r="F132" s="94" t="str">
        <f>IF(Year3_Southampton Year3_SGO_total="","",Year3_Southampton Year3_SGO_total)</f>
        <v/>
      </c>
      <c r="G132" s="94" t="str">
        <f>IF(Year4_Southampton Year4_SGO_total="","",Year4_Southampton Year4_SGO_total)</f>
        <v/>
      </c>
      <c r="H132" s="298" t="str">
        <f>IF(Year5_Southampton Year5_SGO_total="","",Year5_Southampton Year5_SGO_total)</f>
        <v/>
      </c>
      <c r="I132" s="1093" t="e">
        <f t="shared" si="19"/>
        <v>#DIV/0!</v>
      </c>
      <c r="J132" s="863" t="e">
        <f t="shared" si="20"/>
        <v>#DIV/0!</v>
      </c>
      <c r="K132" s="96"/>
      <c r="L132" s="234" t="e">
        <f>IF(ISNUMBER(D132),D132/Population!D24*10000,NA())</f>
        <v>#N/A</v>
      </c>
      <c r="M132" s="234" t="e">
        <f>IF(ISNUMBER(E132),E132/Population!E24*10000,NA())</f>
        <v>#N/A</v>
      </c>
      <c r="N132" s="234" t="e">
        <f>IF(ISNUMBER(F132),F132/Population!F24*10000,NA())</f>
        <v>#N/A</v>
      </c>
      <c r="O132" s="234" t="e">
        <f>IF(ISNUMBER(G132),G132/Population!G24*10000,NA())</f>
        <v>#N/A</v>
      </c>
      <c r="P132" s="235" t="e">
        <f>IF(ISNUMBER(H132),H132/Population!H24*10000,NA())</f>
        <v>#N/A</v>
      </c>
      <c r="Q132" s="99" t="str">
        <f t="shared" si="29"/>
        <v/>
      </c>
      <c r="R132" s="822" t="e">
        <f t="shared" si="21"/>
        <v>#N/A</v>
      </c>
      <c r="S132" s="85"/>
      <c r="T132" s="99" t="e">
        <f>IF(ISNA(P132),NA(),IDACI!C23)</f>
        <v>#N/A</v>
      </c>
      <c r="U132" s="122"/>
      <c r="V132" s="139"/>
      <c r="W132" s="152"/>
      <c r="X132" s="72" t="str">
        <f t="shared" si="22"/>
        <v>Southampton</v>
      </c>
      <c r="Y132" s="44">
        <f>IF(ISNUMBER(H132),IDACI!D23,0)</f>
        <v>0</v>
      </c>
      <c r="Z132" s="44">
        <f>IF(ISNUMBER(H132),IDACI!E23,0)</f>
        <v>0</v>
      </c>
      <c r="AA132" s="205" t="str">
        <f>IF(ISNUMBER(D132),Population!D24,"")</f>
        <v/>
      </c>
      <c r="AB132" s="205" t="str">
        <f>IF(ISNUMBER(E132),Population!E24,"")</f>
        <v/>
      </c>
      <c r="AC132" s="205" t="str">
        <f>IF(ISNUMBER(F132),Population!F24,"")</f>
        <v/>
      </c>
      <c r="AD132" s="205" t="str">
        <f>IF(ISNUMBER(G132),Population!G24,"")</f>
        <v/>
      </c>
      <c r="AE132" s="205" t="str">
        <f>IF(ISNUMBER(H132),Population!H24,"")</f>
        <v/>
      </c>
      <c r="AF132" s="93" t="s">
        <v>7</v>
      </c>
      <c r="AG132" s="231" t="str">
        <f t="shared" si="30"/>
        <v/>
      </c>
      <c r="AH132" s="206" t="e">
        <f t="shared" si="23"/>
        <v>#VALUE!</v>
      </c>
      <c r="AI132" s="81"/>
      <c r="AJ132" s="157"/>
      <c r="AK132" s="853" t="str">
        <f t="shared" si="24"/>
        <v>x</v>
      </c>
      <c r="AL132" s="853" t="str">
        <f t="shared" si="25"/>
        <v>x</v>
      </c>
      <c r="AM132" s="853" t="str">
        <f t="shared" si="26"/>
        <v>x</v>
      </c>
      <c r="AN132" s="853" t="str">
        <f t="shared" si="27"/>
        <v>x</v>
      </c>
      <c r="AO132" s="853" t="e">
        <f t="shared" si="28"/>
        <v>#DIV/0!</v>
      </c>
    </row>
    <row r="133" spans="1:48" s="87" customFormat="1" ht="13.5" customHeight="1" x14ac:dyDescent="0.2">
      <c r="A133" s="488">
        <f>VLOOKUP(B133,Sheet1!$AQ$4:$AR$25,2,FALSE)</f>
        <v>0</v>
      </c>
      <c r="B133" s="93" t="str">
        <f t="shared" si="18"/>
        <v>Surrey</v>
      </c>
      <c r="C133" s="85"/>
      <c r="D133" s="94" t="str">
        <f>IF(Year1_Surrey Year1_SGO_total="","",Year1_Surrey Year1_SGO_total)</f>
        <v/>
      </c>
      <c r="E133" s="94" t="str">
        <f>IF(Year2_Surrey Year2_SGO_total="","",Year2_Surrey Year2_SGO_total)</f>
        <v/>
      </c>
      <c r="F133" s="94" t="str">
        <f>IF(Year3_Surrey Year3_SGO_total="","",Year3_Surrey Year3_SGO_total)</f>
        <v/>
      </c>
      <c r="G133" s="94" t="str">
        <f>IF(Year4_Surrey Year4_SGO_total="","",Year4_Surrey Year4_SGO_total)</f>
        <v/>
      </c>
      <c r="H133" s="298" t="str">
        <f>IF(Year5_Surrey Year5_SGO_total="","",Year5_Surrey Year5_SGO_total)</f>
        <v/>
      </c>
      <c r="I133" s="1093" t="e">
        <f t="shared" si="19"/>
        <v>#DIV/0!</v>
      </c>
      <c r="J133" s="863" t="e">
        <f t="shared" si="20"/>
        <v>#DIV/0!</v>
      </c>
      <c r="K133" s="96"/>
      <c r="L133" s="234" t="e">
        <f>IF(ISNUMBER(D133),D133/Population!D25*10000,NA())</f>
        <v>#N/A</v>
      </c>
      <c r="M133" s="234" t="e">
        <f>IF(ISNUMBER(E133),E133/Population!E25*10000,NA())</f>
        <v>#N/A</v>
      </c>
      <c r="N133" s="234" t="e">
        <f>IF(ISNUMBER(F133),F133/Population!F25*10000,NA())</f>
        <v>#N/A</v>
      </c>
      <c r="O133" s="234" t="e">
        <f>IF(ISNUMBER(G133),G133/Population!G25*10000,NA())</f>
        <v>#N/A</v>
      </c>
      <c r="P133" s="235" t="e">
        <f>IF(ISNUMBER(H133),H133/Population!H25*10000,NA())</f>
        <v>#N/A</v>
      </c>
      <c r="Q133" s="99" t="str">
        <f t="shared" si="29"/>
        <v/>
      </c>
      <c r="R133" s="822" t="e">
        <f t="shared" si="21"/>
        <v>#N/A</v>
      </c>
      <c r="S133" s="85"/>
      <c r="T133" s="99" t="e">
        <f>IF(ISNA(P133),NA(),IDACI!C24)</f>
        <v>#N/A</v>
      </c>
      <c r="U133" s="122"/>
      <c r="V133" s="139"/>
      <c r="W133" s="152"/>
      <c r="X133" s="72" t="str">
        <f t="shared" si="22"/>
        <v>Surrey</v>
      </c>
      <c r="Y133" s="44">
        <f>IF(ISNUMBER(H133),IDACI!D24,0)</f>
        <v>0</v>
      </c>
      <c r="Z133" s="44">
        <f>IF(ISNUMBER(H133),IDACI!E24,0)</f>
        <v>0</v>
      </c>
      <c r="AA133" s="205" t="str">
        <f>IF(ISNUMBER(D133),Population!D25,"")</f>
        <v/>
      </c>
      <c r="AB133" s="205" t="str">
        <f>IF(ISNUMBER(E133),Population!E25,"")</f>
        <v/>
      </c>
      <c r="AC133" s="205" t="str">
        <f>IF(ISNUMBER(F133),Population!F25,"")</f>
        <v/>
      </c>
      <c r="AD133" s="205" t="str">
        <f>IF(ISNUMBER(G133),Population!G25,"")</f>
        <v/>
      </c>
      <c r="AE133" s="205" t="str">
        <f>IF(ISNUMBER(H133),Population!H25,"")</f>
        <v/>
      </c>
      <c r="AF133" s="93" t="s">
        <v>15</v>
      </c>
      <c r="AG133" s="231" t="str">
        <f t="shared" si="30"/>
        <v/>
      </c>
      <c r="AH133" s="206" t="e">
        <f t="shared" si="23"/>
        <v>#VALUE!</v>
      </c>
      <c r="AI133" s="81"/>
      <c r="AJ133" s="157"/>
      <c r="AK133" s="853" t="str">
        <f t="shared" si="24"/>
        <v>x</v>
      </c>
      <c r="AL133" s="853" t="str">
        <f t="shared" si="25"/>
        <v>x</v>
      </c>
      <c r="AM133" s="853" t="str">
        <f t="shared" si="26"/>
        <v>x</v>
      </c>
      <c r="AN133" s="853" t="str">
        <f t="shared" si="27"/>
        <v>x</v>
      </c>
      <c r="AO133" s="853" t="e">
        <f t="shared" si="28"/>
        <v>#DIV/0!</v>
      </c>
    </row>
    <row r="134" spans="1:48" s="87" customFormat="1" ht="13.5" customHeight="1" x14ac:dyDescent="0.2">
      <c r="A134" s="488">
        <f>VLOOKUP(B134,Sheet1!$AQ$4:$AR$25,2,FALSE)</f>
        <v>0</v>
      </c>
      <c r="B134" s="93" t="str">
        <f t="shared" si="18"/>
        <v>Swindon</v>
      </c>
      <c r="C134" s="85"/>
      <c r="D134" s="94" t="str">
        <f>IF(Year1_Swindon Year1_SGO_total="","",Year1_Swindon Year1_SGO_total)</f>
        <v/>
      </c>
      <c r="E134" s="94" t="str">
        <f>IF(Year2_Swindon Year2_SGO_total="","",Year2_Swindon Year2_SGO_total)</f>
        <v/>
      </c>
      <c r="F134" s="94" t="str">
        <f>IF(Year3_Swindon Year3_SGO_total="","",Year3_Swindon Year3_SGO_total)</f>
        <v/>
      </c>
      <c r="G134" s="94" t="str">
        <f>IF(Year4_Swindon Year4_SGO_total="","",Year4_Swindon Year4_SGO_total)</f>
        <v/>
      </c>
      <c r="H134" s="298" t="str">
        <f>IF(Year5_Swindon Year5_SGO_total="","",Year5_Swindon Year5_SGO_total)</f>
        <v/>
      </c>
      <c r="I134" s="1093" t="e">
        <f t="shared" si="19"/>
        <v>#DIV/0!</v>
      </c>
      <c r="J134" s="863" t="e">
        <f t="shared" si="20"/>
        <v>#DIV/0!</v>
      </c>
      <c r="K134" s="96"/>
      <c r="L134" s="234" t="e">
        <f>IF(ISNUMBER(D134),D134/Population!D26*10000,NA())</f>
        <v>#N/A</v>
      </c>
      <c r="M134" s="234" t="e">
        <f>IF(ISNUMBER(E134),E134/Population!E26*10000,NA())</f>
        <v>#N/A</v>
      </c>
      <c r="N134" s="234" t="e">
        <f>IF(ISNUMBER(F134),F134/Population!F26*10000,NA())</f>
        <v>#N/A</v>
      </c>
      <c r="O134" s="234" t="e">
        <f>IF(ISNUMBER(G134),G134/Population!G26*10000,NA())</f>
        <v>#N/A</v>
      </c>
      <c r="P134" s="235" t="e">
        <f>IF(ISNUMBER(H134),H134/Population!H26*10000,NA())</f>
        <v>#N/A</v>
      </c>
      <c r="Q134" s="99" t="str">
        <f t="shared" si="29"/>
        <v/>
      </c>
      <c r="R134" s="822" t="str">
        <f t="shared" si="21"/>
        <v>--</v>
      </c>
      <c r="S134" s="85"/>
      <c r="T134" s="99" t="e">
        <f>IF(ISNA(P134),NA(),IDACI!C25)</f>
        <v>#N/A</v>
      </c>
      <c r="U134" s="122"/>
      <c r="V134" s="139"/>
      <c r="W134" s="152"/>
      <c r="X134" s="72" t="str">
        <f t="shared" si="22"/>
        <v>Swindon</v>
      </c>
      <c r="Y134" s="44">
        <f>IF(ISNUMBER(H134),IDACI!D25,0)</f>
        <v>0</v>
      </c>
      <c r="Z134" s="44">
        <f>IF(ISNUMBER(H134),IDACI!E25,0)</f>
        <v>0</v>
      </c>
      <c r="AA134" s="205" t="str">
        <f>IF(ISNUMBER(D134),Population!D26,"")</f>
        <v/>
      </c>
      <c r="AB134" s="205" t="str">
        <f>IF(ISNUMBER(E134),Population!E26,"")</f>
        <v/>
      </c>
      <c r="AC134" s="205" t="str">
        <f>IF(ISNUMBER(F134),Population!F26,"")</f>
        <v/>
      </c>
      <c r="AD134" s="205" t="str">
        <f>IF(ISNUMBER(G134),Population!G26,"")</f>
        <v/>
      </c>
      <c r="AE134" s="205" t="str">
        <f>IF(ISNUMBER(H134),Population!H26,"")</f>
        <v/>
      </c>
      <c r="AF134" s="93" t="s">
        <v>5</v>
      </c>
      <c r="AG134" s="231" t="str">
        <f t="shared" si="30"/>
        <v/>
      </c>
      <c r="AH134" s="206" t="e">
        <f t="shared" si="23"/>
        <v>#VALUE!</v>
      </c>
      <c r="AI134" s="81"/>
      <c r="AJ134" s="157"/>
      <c r="AK134" s="853" t="str">
        <f t="shared" si="24"/>
        <v>x</v>
      </c>
      <c r="AL134" s="853" t="str">
        <f t="shared" si="25"/>
        <v>x</v>
      </c>
      <c r="AM134" s="853" t="str">
        <f t="shared" si="26"/>
        <v>x</v>
      </c>
      <c r="AN134" s="853" t="str">
        <f t="shared" si="27"/>
        <v>x</v>
      </c>
      <c r="AO134" s="853" t="e">
        <f t="shared" si="28"/>
        <v>#DIV/0!</v>
      </c>
    </row>
    <row r="135" spans="1:48" s="87" customFormat="1" ht="13.5" customHeight="1" x14ac:dyDescent="0.2">
      <c r="A135" s="488">
        <f>VLOOKUP(B135,Sheet1!$AQ$4:$AR$25,2,FALSE)</f>
        <v>0</v>
      </c>
      <c r="B135" s="93" t="str">
        <f t="shared" si="18"/>
        <v>Torbay</v>
      </c>
      <c r="C135" s="85"/>
      <c r="D135" s="94" t="str">
        <f>IF(Year1_Torbay Year1_SGO_total="","",Year1_Torbay Year1_SGO_total)</f>
        <v/>
      </c>
      <c r="E135" s="94" t="str">
        <f>IF(Year2_Torbay Year2_SGO_total="","",Year2_Torbay Year2_SGO_total)</f>
        <v/>
      </c>
      <c r="F135" s="94" t="str">
        <f>IF(Year3_Torbay Year3_SGO_total="","",Year3_Torbay Year3_SGO_total)</f>
        <v/>
      </c>
      <c r="G135" s="94" t="str">
        <f>IF(Year4_Torbay Year4_SGO_total="","",Year4_Torbay Year4_SGO_total)</f>
        <v/>
      </c>
      <c r="H135" s="298" t="str">
        <f>IF(Year5_Torbay Year5_SGO_total="","",Year5_Torbay Year5_SGO_total)</f>
        <v/>
      </c>
      <c r="I135" s="1093" t="e">
        <f t="shared" si="19"/>
        <v>#DIV/0!</v>
      </c>
      <c r="J135" s="863" t="e">
        <f t="shared" si="20"/>
        <v>#DIV/0!</v>
      </c>
      <c r="K135" s="96"/>
      <c r="L135" s="234" t="e">
        <f>IF(ISNUMBER(D135),D135/Population!D27*10000,NA())</f>
        <v>#N/A</v>
      </c>
      <c r="M135" s="234" t="e">
        <f>IF(ISNUMBER(E135),E135/Population!E27*10000,NA())</f>
        <v>#N/A</v>
      </c>
      <c r="N135" s="234" t="e">
        <f>IF(ISNUMBER(F135),F135/Population!F27*10000,NA())</f>
        <v>#N/A</v>
      </c>
      <c r="O135" s="234" t="e">
        <f>IF(ISNUMBER(G135),G135/Population!G27*10000,NA())</f>
        <v>#N/A</v>
      </c>
      <c r="P135" s="235" t="e">
        <f>IF(ISNUMBER(H135),H135/Population!H27*10000,NA())</f>
        <v>#N/A</v>
      </c>
      <c r="Q135" s="99" t="str">
        <f t="shared" si="29"/>
        <v/>
      </c>
      <c r="R135" s="822" t="str">
        <f t="shared" si="21"/>
        <v>--</v>
      </c>
      <c r="S135" s="85"/>
      <c r="T135" s="99" t="e">
        <f>IF(ISNA(P135),NA(),IDACI!C26)</f>
        <v>#N/A</v>
      </c>
      <c r="U135" s="122"/>
      <c r="V135" s="139"/>
      <c r="W135" s="152"/>
      <c r="X135" s="72" t="str">
        <f t="shared" si="22"/>
        <v>Torbay</v>
      </c>
      <c r="Y135" s="44">
        <f>IF(ISNUMBER(H135),IDACI!D26,0)</f>
        <v>0</v>
      </c>
      <c r="Z135" s="44">
        <f>IF(ISNUMBER(H135),IDACI!E26,0)</f>
        <v>0</v>
      </c>
      <c r="AA135" s="205" t="str">
        <f>IF(ISNUMBER(D135),Population!D27,"")</f>
        <v/>
      </c>
      <c r="AB135" s="205" t="str">
        <f>IF(ISNUMBER(E135),Population!E27,"")</f>
        <v/>
      </c>
      <c r="AC135" s="205" t="str">
        <f>IF(ISNUMBER(F135),Population!F27,"")</f>
        <v/>
      </c>
      <c r="AD135" s="205" t="str">
        <f>IF(ISNUMBER(G135),Population!G27,"")</f>
        <v/>
      </c>
      <c r="AE135" s="205" t="str">
        <f>IF(ISNUMBER(H135),Population!H27,"")</f>
        <v/>
      </c>
      <c r="AF135" s="93" t="s">
        <v>30</v>
      </c>
      <c r="AG135" s="231" t="str">
        <f t="shared" si="30"/>
        <v/>
      </c>
      <c r="AH135" s="206" t="e">
        <f t="shared" si="23"/>
        <v>#VALUE!</v>
      </c>
      <c r="AI135" s="81"/>
      <c r="AJ135" s="157"/>
      <c r="AK135" s="853" t="str">
        <f t="shared" si="24"/>
        <v>x</v>
      </c>
      <c r="AL135" s="853" t="str">
        <f t="shared" si="25"/>
        <v>x</v>
      </c>
      <c r="AM135" s="853" t="str">
        <f t="shared" si="26"/>
        <v>x</v>
      </c>
      <c r="AN135" s="853" t="str">
        <f t="shared" si="27"/>
        <v>x</v>
      </c>
      <c r="AO135" s="853" t="e">
        <f t="shared" si="28"/>
        <v>#DIV/0!</v>
      </c>
    </row>
    <row r="136" spans="1:48" s="87" customFormat="1" ht="13.5" customHeight="1" x14ac:dyDescent="0.2">
      <c r="A136" s="488">
        <f>VLOOKUP(B136,Sheet1!$AQ$4:$AR$25,2,FALSE)</f>
        <v>0</v>
      </c>
      <c r="B136" s="93" t="str">
        <f t="shared" si="18"/>
        <v>West Berkshire</v>
      </c>
      <c r="C136" s="85"/>
      <c r="D136" s="100" t="str">
        <f>IF(Year1_West_Berkshire Year1_SGO_total="","",Year1_West_Berkshire Year1_SGO_total)</f>
        <v/>
      </c>
      <c r="E136" s="94" t="str">
        <f>IF(Year2_West_Berkshire Year2_SGO_total="","",Year2_West_Berkshire Year2_SGO_total)</f>
        <v/>
      </c>
      <c r="F136" s="100" t="str">
        <f>IF(Year3_West_Berkshire Year3_SGO_total="","",Year3_West_Berkshire Year3_SGO_total)</f>
        <v/>
      </c>
      <c r="G136" s="94" t="str">
        <f>IF(Year4_West_Berkshire Year4_SGO_total="","",Year4_West_Berkshire Year4_SGO_total)</f>
        <v/>
      </c>
      <c r="H136" s="298" t="str">
        <f>IF(Year5_West_Berkshire Year5_SGO_total="","",Year5_West_Berkshire Year5_SGO_total)</f>
        <v/>
      </c>
      <c r="I136" s="1093" t="e">
        <f t="shared" si="19"/>
        <v>#DIV/0!</v>
      </c>
      <c r="J136" s="863" t="e">
        <f t="shared" si="20"/>
        <v>#DIV/0!</v>
      </c>
      <c r="K136" s="96"/>
      <c r="L136" s="234" t="e">
        <f>IF(ISNUMBER(D136),D136/Population!D28*10000,NA())</f>
        <v>#N/A</v>
      </c>
      <c r="M136" s="234" t="e">
        <f>IF(ISNUMBER(E136),E136/Population!E28*10000,NA())</f>
        <v>#N/A</v>
      </c>
      <c r="N136" s="234" t="e">
        <f>IF(ISNUMBER(F136),F136/Population!F28*10000,NA())</f>
        <v>#N/A</v>
      </c>
      <c r="O136" s="234" t="e">
        <f>IF(ISNUMBER(G136),G136/Population!G28*10000,NA())</f>
        <v>#N/A</v>
      </c>
      <c r="P136" s="235" t="e">
        <f>IF(ISNUMBER(H136),H136/Population!H28*10000,NA())</f>
        <v>#N/A</v>
      </c>
      <c r="Q136" s="99" t="str">
        <f t="shared" si="29"/>
        <v/>
      </c>
      <c r="R136" s="822" t="e">
        <f t="shared" si="21"/>
        <v>#N/A</v>
      </c>
      <c r="S136" s="85"/>
      <c r="T136" s="99" t="e">
        <f>IF(ISNA(P136),NA(),IDACI!C27)</f>
        <v>#N/A</v>
      </c>
      <c r="U136" s="122"/>
      <c r="V136" s="139"/>
      <c r="W136" s="152"/>
      <c r="X136" s="72" t="str">
        <f t="shared" si="22"/>
        <v>West Berkshire</v>
      </c>
      <c r="Y136" s="44">
        <f>IF(ISNUMBER(H136),IDACI!D27,0)</f>
        <v>0</v>
      </c>
      <c r="Z136" s="44">
        <f>IF(ISNUMBER(H136),IDACI!E27,0)</f>
        <v>0</v>
      </c>
      <c r="AA136" s="205" t="str">
        <f>IF(ISNUMBER(D136),Population!D28,"")</f>
        <v/>
      </c>
      <c r="AB136" s="205" t="str">
        <f>IF(ISNUMBER(E136),Population!E28,"")</f>
        <v/>
      </c>
      <c r="AC136" s="205" t="str">
        <f>IF(ISNUMBER(F136),Population!F28,"")</f>
        <v/>
      </c>
      <c r="AD136" s="205" t="str">
        <f>IF(ISNUMBER(G136),Population!G28,"")</f>
        <v/>
      </c>
      <c r="AE136" s="205" t="str">
        <f>IF(ISNUMBER(H136),Population!H28,"")</f>
        <v/>
      </c>
      <c r="AF136" s="93" t="s">
        <v>16</v>
      </c>
      <c r="AG136" s="231" t="str">
        <f t="shared" si="30"/>
        <v/>
      </c>
      <c r="AH136" s="206" t="e">
        <f t="shared" si="23"/>
        <v>#VALUE!</v>
      </c>
      <c r="AI136" s="81"/>
      <c r="AJ136" s="157"/>
      <c r="AK136" s="853" t="str">
        <f t="shared" si="24"/>
        <v>x</v>
      </c>
      <c r="AL136" s="853" t="str">
        <f t="shared" si="25"/>
        <v>x</v>
      </c>
      <c r="AM136" s="853" t="str">
        <f t="shared" si="26"/>
        <v>x</v>
      </c>
      <c r="AN136" s="853" t="str">
        <f t="shared" si="27"/>
        <v>x</v>
      </c>
      <c r="AO136" s="853" t="e">
        <f t="shared" si="28"/>
        <v>#DIV/0!</v>
      </c>
    </row>
    <row r="137" spans="1:48" s="87" customFormat="1" ht="13.5" customHeight="1" x14ac:dyDescent="0.2">
      <c r="A137" s="488">
        <f>VLOOKUP(B137,Sheet1!$AQ$4:$AR$25,2,FALSE)</f>
        <v>0</v>
      </c>
      <c r="B137" s="93" t="str">
        <f t="shared" si="18"/>
        <v>West Sussex</v>
      </c>
      <c r="C137" s="85"/>
      <c r="D137" s="100" t="str">
        <f>IF(Year1_West_Sussex Year1_SGO_total="","",Year1_West_Sussex Year1_SGO_total)</f>
        <v/>
      </c>
      <c r="E137" s="94" t="str">
        <f>IF(Year2_West_Sussex Year2_SGO_total="","",Year2_West_Sussex Year2_SGO_total)</f>
        <v/>
      </c>
      <c r="F137" s="100" t="str">
        <f>IF(Year3_West_Sussex Year3_SGO_total="","",Year3_West_Sussex Year3_SGO_total)</f>
        <v/>
      </c>
      <c r="G137" s="94" t="str">
        <f>IF(Year4_West_Sussex Year4_SGO_total="","",Year4_West_Sussex Year4_SGO_total)</f>
        <v/>
      </c>
      <c r="H137" s="298" t="str">
        <f>IF(Year5_West_Sussex Year5_SGO_total="","",Year5_West_Sussex Year5_SGO_total)</f>
        <v/>
      </c>
      <c r="I137" s="1093" t="e">
        <f t="shared" si="19"/>
        <v>#DIV/0!</v>
      </c>
      <c r="J137" s="863" t="e">
        <f t="shared" si="20"/>
        <v>#DIV/0!</v>
      </c>
      <c r="K137" s="96"/>
      <c r="L137" s="234" t="e">
        <f>IF(ISNUMBER(D137),D137/Population!D29*10000,NA())</f>
        <v>#N/A</v>
      </c>
      <c r="M137" s="234" t="e">
        <f>IF(ISNUMBER(E137),E137/Population!E29*10000,NA())</f>
        <v>#N/A</v>
      </c>
      <c r="N137" s="234" t="e">
        <f>IF(ISNUMBER(F137),F137/Population!F29*10000,NA())</f>
        <v>#N/A</v>
      </c>
      <c r="O137" s="234" t="e">
        <f>IF(ISNUMBER(G137),G137/Population!G29*10000,NA())</f>
        <v>#N/A</v>
      </c>
      <c r="P137" s="235" t="e">
        <f>IF(ISNUMBER(H137),H137/Population!H29*10000,NA())</f>
        <v>#N/A</v>
      </c>
      <c r="Q137" s="99" t="str">
        <f t="shared" si="29"/>
        <v/>
      </c>
      <c r="R137" s="822" t="e">
        <f t="shared" si="21"/>
        <v>#N/A</v>
      </c>
      <c r="S137" s="85"/>
      <c r="T137" s="99" t="e">
        <f>IF(ISNA(P137),NA(),IDACI!C28)</f>
        <v>#N/A</v>
      </c>
      <c r="U137" s="122"/>
      <c r="V137" s="139"/>
      <c r="W137" s="152"/>
      <c r="X137" s="72" t="str">
        <f t="shared" si="22"/>
        <v>West Sussex</v>
      </c>
      <c r="Y137" s="44">
        <f>IF(ISNUMBER(H137),IDACI!D28,0)</f>
        <v>0</v>
      </c>
      <c r="Z137" s="44">
        <f>IF(ISNUMBER(H137),IDACI!E28,0)</f>
        <v>0</v>
      </c>
      <c r="AA137" s="205" t="str">
        <f>IF(ISNUMBER(D137),Population!D29,"")</f>
        <v/>
      </c>
      <c r="AB137" s="205" t="str">
        <f>IF(ISNUMBER(E137),Population!E29,"")</f>
        <v/>
      </c>
      <c r="AC137" s="205" t="str">
        <f>IF(ISNUMBER(F137),Population!F29,"")</f>
        <v/>
      </c>
      <c r="AD137" s="205" t="str">
        <f>IF(ISNUMBER(G137),Population!G29,"")</f>
        <v/>
      </c>
      <c r="AE137" s="205" t="str">
        <f>IF(ISNUMBER(H137),Population!H29,"")</f>
        <v/>
      </c>
      <c r="AF137" s="296"/>
      <c r="AG137" s="297"/>
      <c r="AH137" s="190"/>
      <c r="AI137" s="81"/>
      <c r="AJ137" s="157"/>
      <c r="AK137" s="853" t="str">
        <f t="shared" si="24"/>
        <v>x</v>
      </c>
      <c r="AL137" s="853" t="str">
        <f t="shared" si="25"/>
        <v>x</v>
      </c>
      <c r="AM137" s="853" t="str">
        <f t="shared" si="26"/>
        <v>x</v>
      </c>
      <c r="AN137" s="853" t="str">
        <f t="shared" si="27"/>
        <v>x</v>
      </c>
      <c r="AO137" s="853" t="e">
        <f t="shared" si="28"/>
        <v>#DIV/0!</v>
      </c>
    </row>
    <row r="138" spans="1:48" s="87" customFormat="1" ht="13.5" customHeight="1" x14ac:dyDescent="0.2">
      <c r="A138" s="488">
        <f>VLOOKUP(B138,Sheet1!$AQ$4:$AR$25,2,FALSE)</f>
        <v>0</v>
      </c>
      <c r="B138" s="93" t="str">
        <f t="shared" si="18"/>
        <v>Windsor &amp; Maidenhead</v>
      </c>
      <c r="C138" s="85"/>
      <c r="D138" s="94" t="str">
        <f>IF(Year1_Windsor_Maidenhead Year1_SGO_total="","",Year1_Windsor_Maidenhead Year1_SGO_total)</f>
        <v/>
      </c>
      <c r="E138" s="94" t="str">
        <f>IF(Year2_Windsor_Maidenhead Year2_SGO_total="","",Year2_Windsor_Maidenhead Year2_SGO_total)</f>
        <v/>
      </c>
      <c r="F138" s="94" t="str">
        <f>IF(Year3_Windsor_Maidenhead Year3_SGO_total="","",Year3_Windsor_Maidenhead Year3_SGO_total)</f>
        <v/>
      </c>
      <c r="G138" s="94" t="str">
        <f>IF(Year4_Windsor_Maidenhead Year4_SGO_total="","",Year4_Windsor_Maidenhead Year4_SGO_total)</f>
        <v/>
      </c>
      <c r="H138" s="298" t="str">
        <f>IF(Year5_Windsor_Maidenhead Year5_SGO_total="","",Year5_Windsor_Maidenhead Year5_SGO_total)</f>
        <v/>
      </c>
      <c r="I138" s="1093" t="e">
        <f t="shared" si="19"/>
        <v>#DIV/0!</v>
      </c>
      <c r="J138" s="863" t="e">
        <f t="shared" si="20"/>
        <v>#DIV/0!</v>
      </c>
      <c r="K138" s="96"/>
      <c r="L138" s="234" t="e">
        <f>IF(ISNUMBER(D138),D138/Population!D30*10000,NA())</f>
        <v>#N/A</v>
      </c>
      <c r="M138" s="234" t="e">
        <f>IF(ISNUMBER(E138),E138/Population!E30*10000,NA())</f>
        <v>#N/A</v>
      </c>
      <c r="N138" s="234" t="e">
        <f>IF(ISNUMBER(F138),F138/Population!F30*10000,NA())</f>
        <v>#N/A</v>
      </c>
      <c r="O138" s="234" t="e">
        <f>IF(ISNUMBER(G138),G138/Population!G30*10000,NA())</f>
        <v>#N/A</v>
      </c>
      <c r="P138" s="235" t="e">
        <f>IF(ISNUMBER(H138),H138/Population!H30*10000,NA())</f>
        <v>#N/A</v>
      </c>
      <c r="Q138" s="99" t="str">
        <f t="shared" si="29"/>
        <v/>
      </c>
      <c r="R138" s="822" t="e">
        <f t="shared" si="21"/>
        <v>#N/A</v>
      </c>
      <c r="S138" s="85"/>
      <c r="T138" s="99" t="e">
        <f>IF(ISNA(P138),NA(),IDACI!C29)</f>
        <v>#N/A</v>
      </c>
      <c r="U138" s="122"/>
      <c r="V138" s="139"/>
      <c r="W138" s="152"/>
      <c r="X138" s="72" t="str">
        <f t="shared" si="22"/>
        <v>Windsor &amp; Maidenhead</v>
      </c>
      <c r="Y138" s="44">
        <f>IF(ISNUMBER(H138),IDACI!D29,0)</f>
        <v>0</v>
      </c>
      <c r="Z138" s="44">
        <f>IF(ISNUMBER(H138),IDACI!E29,0)</f>
        <v>0</v>
      </c>
      <c r="AA138" s="205" t="str">
        <f>IF(ISNUMBER(D138),Population!D30,"")</f>
        <v/>
      </c>
      <c r="AB138" s="205" t="str">
        <f>IF(ISNUMBER(E138),Population!E30,"")</f>
        <v/>
      </c>
      <c r="AC138" s="205" t="str">
        <f>IF(ISNUMBER(F138),Population!F30,"")</f>
        <v/>
      </c>
      <c r="AD138" s="205" t="str">
        <f>IF(ISNUMBER(G138),Population!G30,"")</f>
        <v/>
      </c>
      <c r="AE138" s="205" t="str">
        <f>IF(ISNUMBER(H138),Population!H30,"")</f>
        <v/>
      </c>
      <c r="AF138" s="296"/>
      <c r="AG138" s="297"/>
      <c r="AH138" s="190"/>
      <c r="AI138" s="81"/>
      <c r="AJ138" s="157"/>
      <c r="AK138" s="853" t="str">
        <f t="shared" si="24"/>
        <v>x</v>
      </c>
      <c r="AL138" s="853" t="str">
        <f t="shared" si="25"/>
        <v>x</v>
      </c>
      <c r="AM138" s="853" t="str">
        <f t="shared" si="26"/>
        <v>x</v>
      </c>
      <c r="AN138" s="853" t="str">
        <f t="shared" si="27"/>
        <v>x</v>
      </c>
      <c r="AO138" s="853" t="e">
        <f t="shared" si="28"/>
        <v>#DIV/0!</v>
      </c>
    </row>
    <row r="139" spans="1:48" s="87" customFormat="1" ht="13.5" customHeight="1" x14ac:dyDescent="0.2">
      <c r="A139" s="488">
        <f>VLOOKUP(B139,Sheet1!$AQ$4:$AR$25,2,FALSE)</f>
        <v>0</v>
      </c>
      <c r="B139" s="93" t="str">
        <f t="shared" si="18"/>
        <v>Wokingham</v>
      </c>
      <c r="C139" s="85"/>
      <c r="D139" s="94" t="str">
        <f>IF(Year1_Wokingham Year1_SGO_total="","",Year1_Wokingham Year1_SGO_total)</f>
        <v/>
      </c>
      <c r="E139" s="94" t="str">
        <f>IF(Year2_Wokingham Year2_SGO_total="","",Year2_Wokingham Year2_SGO_total)</f>
        <v/>
      </c>
      <c r="F139" s="94" t="str">
        <f>IF(Year3_Wokingham Year3_SGO_total="","",Year3_Wokingham Year3_SGO_total)</f>
        <v/>
      </c>
      <c r="G139" s="94" t="str">
        <f>IF(Year4_Wokingham Year4_SGO_total="","",Year4_Wokingham Year4_SGO_total)</f>
        <v/>
      </c>
      <c r="H139" s="298" t="str">
        <f>IF(Year5_Wokingham Year5_SGO_total="","",Year5_Wokingham Year5_SGO_total)</f>
        <v/>
      </c>
      <c r="I139" s="1093" t="e">
        <f t="shared" si="19"/>
        <v>#DIV/0!</v>
      </c>
      <c r="J139" s="863" t="e">
        <f t="shared" si="20"/>
        <v>#DIV/0!</v>
      </c>
      <c r="K139" s="96"/>
      <c r="L139" s="234" t="e">
        <f>IF(ISNUMBER(D139),D139/Population!D31*10000,NA())</f>
        <v>#N/A</v>
      </c>
      <c r="M139" s="234" t="e">
        <f>IF(ISNUMBER(E139),E139/Population!E31*10000,NA())</f>
        <v>#N/A</v>
      </c>
      <c r="N139" s="234" t="e">
        <f>IF(ISNUMBER(F139),F139/Population!F31*10000,NA())</f>
        <v>#N/A</v>
      </c>
      <c r="O139" s="234" t="e">
        <f>IF(ISNUMBER(G139),G139/Population!G31*10000,NA())</f>
        <v>#N/A</v>
      </c>
      <c r="P139" s="235" t="e">
        <f>IF(ISNUMBER(H139),H139/Population!H31*10000,NA())</f>
        <v>#N/A</v>
      </c>
      <c r="Q139" s="99" t="str">
        <f t="shared" si="29"/>
        <v/>
      </c>
      <c r="R139" s="822" t="e">
        <f t="shared" si="21"/>
        <v>#N/A</v>
      </c>
      <c r="S139" s="85"/>
      <c r="T139" s="99" t="e">
        <f>IF(ISNA(P139),NA(),IDACI!C30)</f>
        <v>#N/A</v>
      </c>
      <c r="U139" s="122"/>
      <c r="V139" s="139"/>
      <c r="W139" s="152"/>
      <c r="X139" s="72" t="str">
        <f t="shared" si="22"/>
        <v>Wokingham</v>
      </c>
      <c r="Y139" s="44">
        <f>IF(ISNUMBER(H139),IDACI!D30,0)</f>
        <v>0</v>
      </c>
      <c r="Z139" s="44">
        <f>IF(ISNUMBER(H139),IDACI!E30,0)</f>
        <v>0</v>
      </c>
      <c r="AA139" s="205" t="str">
        <f>IF(ISNUMBER(D139),Population!D31,"")</f>
        <v/>
      </c>
      <c r="AB139" s="205" t="str">
        <f>IF(ISNUMBER(E139),Population!E31,"")</f>
        <v/>
      </c>
      <c r="AC139" s="205" t="str">
        <f>IF(ISNUMBER(F139),Population!F31,"")</f>
        <v/>
      </c>
      <c r="AD139" s="205" t="str">
        <f>IF(ISNUMBER(G139),Population!G31,"")</f>
        <v/>
      </c>
      <c r="AE139" s="205" t="str">
        <f>IF(ISNUMBER(H139),Population!H31,"")</f>
        <v/>
      </c>
      <c r="AF139" s="296"/>
      <c r="AG139" s="297"/>
      <c r="AH139" s="190"/>
      <c r="AI139" s="81"/>
      <c r="AJ139" s="157"/>
      <c r="AK139" s="1025" t="str">
        <f t="shared" ref="AK139:AN140" si="31">IF(ISERROR((M139-L139)/L139),"x",(M139-L139)/L139)</f>
        <v>x</v>
      </c>
      <c r="AL139" s="1025" t="str">
        <f t="shared" si="31"/>
        <v>x</v>
      </c>
      <c r="AM139" s="1025" t="str">
        <f t="shared" si="31"/>
        <v>x</v>
      </c>
      <c r="AN139" s="1025" t="str">
        <f t="shared" si="31"/>
        <v>x</v>
      </c>
      <c r="AO139" s="853" t="e">
        <f>AVERAGE(AK139:AN139)</f>
        <v>#DIV/0!</v>
      </c>
    </row>
    <row r="140" spans="1:48" s="87" customFormat="1" ht="13.5" customHeight="1" x14ac:dyDescent="0.2">
      <c r="A140" s="121"/>
      <c r="B140" s="129" t="str">
        <f t="shared" si="18"/>
        <v>South East</v>
      </c>
      <c r="C140" s="85"/>
      <c r="D140" s="130" t="e">
        <f>IF(Year1_SouthEast Year1_SGO_total=0,NA(),Year1_SouthEast Year1_SGO_total)</f>
        <v>#N/A</v>
      </c>
      <c r="E140" s="130" t="e">
        <f>IF(Year2_SouthEast Year2_SGO_total=0,NA(),Year2_SouthEast Year2_SGO_total)</f>
        <v>#N/A</v>
      </c>
      <c r="F140" s="130" t="e">
        <f>IF(Year3_SouthEast Year3_SGO_total=0,NA(),Year3_SouthEast Year3_SGO_total)</f>
        <v>#N/A</v>
      </c>
      <c r="G140" s="130" t="e">
        <f>IF(Year4_SouthEast Year4_SGO_total=0,NA(),Year4_SouthEast Year4_SGO_total)</f>
        <v>#N/A</v>
      </c>
      <c r="H140" s="425" t="e">
        <f>IF(Year5_SouthEast Year5_SGO_total=0,NA(),Year5_SouthEast Year5_SGO_total)</f>
        <v>#N/A</v>
      </c>
      <c r="I140" s="862" t="e">
        <f t="shared" si="19"/>
        <v>#DIV/0!</v>
      </c>
      <c r="J140" s="863" t="e">
        <f t="shared" si="20"/>
        <v>#DIV/0!</v>
      </c>
      <c r="K140" s="96"/>
      <c r="L140" s="132" t="e">
        <f>IF(ISNUMBER(D140),D140/AA140*10000,NA())</f>
        <v>#N/A</v>
      </c>
      <c r="M140" s="132" t="e">
        <f>IF(ISNUMBER(E140),E140/AB140*10000,NA())</f>
        <v>#N/A</v>
      </c>
      <c r="N140" s="132" t="e">
        <f>IF(ISNUMBER(F140),F140/AC140*10000,NA())</f>
        <v>#N/A</v>
      </c>
      <c r="O140" s="132" t="e">
        <f>IF(ISNUMBER(G140),G140/AD140*10000,NA())</f>
        <v>#N/A</v>
      </c>
      <c r="P140" s="133" t="e">
        <f>IF(ISNUMBER(H140),H140/AE140*10000,NA())</f>
        <v>#N/A</v>
      </c>
      <c r="Q140" s="99" t="str">
        <f t="shared" si="29"/>
        <v/>
      </c>
      <c r="R140" s="134" t="str">
        <f>IF(ISNA(VLOOKUP(B140,$AF$118:$AH$136,3,FALSE)),"--",IF(ISNUMBER(H140),VLOOKUP(B140,$AF$11:$AH$29,3,FALSE),NA()))</f>
        <v>--</v>
      </c>
      <c r="S140" s="85"/>
      <c r="T140" s="135" t="e">
        <f>$Z$140/$Y$140*100</f>
        <v>#DIV/0!</v>
      </c>
      <c r="U140" s="122"/>
      <c r="V140" s="139"/>
      <c r="W140" s="152"/>
      <c r="X140" s="72" t="str">
        <f t="shared" si="22"/>
        <v>South East</v>
      </c>
      <c r="Y140" s="44">
        <f>SUM(Y118:Y130,Y132:Y133,Y136:Y139)</f>
        <v>0</v>
      </c>
      <c r="Z140" s="44">
        <f>SUM(Z118:Z130,Z132:Z133,Z136:Z139)</f>
        <v>0</v>
      </c>
      <c r="AA140" s="205">
        <f>SUM(AA118:AA130,AA132:AA133,AA136:AA139)</f>
        <v>0</v>
      </c>
      <c r="AB140" s="205">
        <f t="shared" ref="AB140" si="32">SUM(AB118:AB130,AB132:AB133,AB136:AB139)</f>
        <v>0</v>
      </c>
      <c r="AC140" s="205">
        <f>SUM(AC118:AC130,AC132:AC133,AC136:AC139)</f>
        <v>0</v>
      </c>
      <c r="AD140" s="205">
        <f t="shared" ref="AD140:AE140" si="33">SUM(AD118:AD130,AD132:AD133,AD136:AD139)</f>
        <v>0</v>
      </c>
      <c r="AE140" s="205">
        <f t="shared" si="33"/>
        <v>0</v>
      </c>
      <c r="AF140" s="81"/>
      <c r="AG140" s="190"/>
      <c r="AH140" s="81"/>
      <c r="AI140" s="81"/>
      <c r="AJ140" s="157"/>
      <c r="AK140" s="1025" t="str">
        <f t="shared" si="31"/>
        <v>x</v>
      </c>
      <c r="AL140" s="1025" t="str">
        <f t="shared" si="31"/>
        <v>x</v>
      </c>
      <c r="AM140" s="1025" t="str">
        <f t="shared" si="31"/>
        <v>x</v>
      </c>
      <c r="AN140" s="1025" t="str">
        <f t="shared" si="31"/>
        <v>x</v>
      </c>
      <c r="AO140" s="853" t="e">
        <f>AVERAGE(AK140:AN140)</f>
        <v>#DIV/0!</v>
      </c>
    </row>
    <row r="141" spans="1:48" s="81" customFormat="1" ht="14.25" customHeight="1" x14ac:dyDescent="0.2">
      <c r="A141" s="118"/>
      <c r="B141" s="123" t="s">
        <v>90</v>
      </c>
      <c r="C141" s="63"/>
      <c r="D141" s="63"/>
      <c r="E141" s="63"/>
      <c r="F141" s="63"/>
      <c r="G141" s="63"/>
      <c r="H141" s="63"/>
      <c r="I141" s="63"/>
      <c r="J141" s="63"/>
      <c r="K141" s="63"/>
      <c r="L141" s="63"/>
      <c r="M141" s="63"/>
      <c r="N141" s="63"/>
      <c r="O141" s="63"/>
      <c r="P141" s="63"/>
      <c r="Q141" s="63"/>
      <c r="R141" s="136" t="s">
        <v>108</v>
      </c>
      <c r="S141" s="63"/>
      <c r="T141" s="63"/>
      <c r="U141" s="117"/>
      <c r="V141" s="137"/>
      <c r="W141" s="150"/>
      <c r="AD141" s="75"/>
      <c r="AF141" s="190"/>
      <c r="AI141" s="75"/>
      <c r="AJ141" s="157"/>
      <c r="AK141" s="74"/>
      <c r="AL141" s="10"/>
      <c r="AM141" s="10"/>
      <c r="AN141" s="10"/>
      <c r="AO141" s="10"/>
    </row>
    <row r="142" spans="1:48" s="81" customFormat="1" ht="33" customHeight="1" x14ac:dyDescent="0.2">
      <c r="A142" s="118"/>
      <c r="B142" s="1923"/>
      <c r="C142" s="1763"/>
      <c r="D142" s="1763"/>
      <c r="E142" s="1763"/>
      <c r="F142" s="1763"/>
      <c r="G142" s="1763"/>
      <c r="H142" s="1763"/>
      <c r="I142" s="1763"/>
      <c r="J142" s="1763"/>
      <c r="K142" s="1763"/>
      <c r="L142" s="1763"/>
      <c r="M142" s="1763"/>
      <c r="N142" s="1763"/>
      <c r="O142" s="1763"/>
      <c r="P142" s="1763"/>
      <c r="Q142" s="1763"/>
      <c r="R142" s="1763"/>
      <c r="S142" s="1763"/>
      <c r="T142" s="1764"/>
      <c r="U142" s="117"/>
      <c r="V142" s="137"/>
      <c r="W142" s="150"/>
      <c r="X142" s="80"/>
      <c r="Y142" s="184"/>
      <c r="Z142" s="184"/>
      <c r="AA142" s="184"/>
      <c r="AB142" s="184"/>
      <c r="AC142" s="184"/>
      <c r="AD142" s="184"/>
      <c r="AE142" s="184"/>
      <c r="AF142" s="184"/>
      <c r="AG142" s="184"/>
      <c r="AI142" s="184"/>
      <c r="AJ142" s="157"/>
      <c r="AK142" s="74" t="s">
        <v>115</v>
      </c>
      <c r="AL142" s="74"/>
      <c r="AM142" s="74"/>
      <c r="AN142" s="74"/>
      <c r="AO142" s="74"/>
      <c r="AP142" s="74"/>
      <c r="AQ142" s="74"/>
    </row>
    <row r="143" spans="1:48" s="81" customFormat="1" ht="7.5" customHeight="1" x14ac:dyDescent="0.2">
      <c r="A143" s="118"/>
      <c r="B143" s="17"/>
      <c r="C143" s="17"/>
      <c r="D143" s="16"/>
      <c r="E143" s="16"/>
      <c r="F143" s="16"/>
      <c r="G143" s="16"/>
      <c r="H143" s="16"/>
      <c r="I143" s="16"/>
      <c r="J143" s="16"/>
      <c r="K143" s="12"/>
      <c r="L143" s="18"/>
      <c r="M143" s="18"/>
      <c r="N143" s="18"/>
      <c r="O143" s="18"/>
      <c r="P143" s="18"/>
      <c r="Q143" s="18"/>
      <c r="R143" s="18"/>
      <c r="S143" s="18"/>
      <c r="T143" s="19"/>
      <c r="U143" s="117"/>
      <c r="V143" s="137"/>
      <c r="W143" s="150"/>
      <c r="Y143" s="190"/>
      <c r="AI143" s="184"/>
      <c r="AJ143" s="157"/>
      <c r="AK143" s="74"/>
      <c r="AL143" s="74"/>
      <c r="AM143" s="74"/>
      <c r="AN143" s="74"/>
      <c r="AO143" s="74"/>
      <c r="AP143" s="74"/>
      <c r="AQ143" s="74"/>
    </row>
    <row r="144" spans="1:48" s="81" customFormat="1" ht="15" customHeight="1" x14ac:dyDescent="0.2">
      <c r="A144" s="1716"/>
      <c r="B144" s="1760"/>
      <c r="C144" s="1760"/>
      <c r="D144" s="1760"/>
      <c r="E144" s="1760"/>
      <c r="F144" s="1760"/>
      <c r="G144" s="1760"/>
      <c r="H144" s="1760"/>
      <c r="I144" s="1760"/>
      <c r="J144" s="1760"/>
      <c r="K144" s="1760"/>
      <c r="L144" s="1760"/>
      <c r="M144" s="1760"/>
      <c r="N144" s="1760"/>
      <c r="O144" s="1760"/>
      <c r="P144" s="1760"/>
      <c r="Q144" s="1760"/>
      <c r="R144" s="1760"/>
      <c r="S144" s="1760"/>
      <c r="T144" s="1760"/>
      <c r="U144" s="1761"/>
      <c r="V144" s="137"/>
      <c r="W144" s="150"/>
      <c r="Y144" s="190"/>
      <c r="AJ144" s="161"/>
      <c r="AL144" s="81">
        <v>11</v>
      </c>
      <c r="AM144" s="81">
        <v>12</v>
      </c>
      <c r="AN144" s="81">
        <v>13</v>
      </c>
      <c r="AO144" s="81">
        <v>14</v>
      </c>
      <c r="AP144" s="81">
        <v>15</v>
      </c>
      <c r="AQ144" s="81">
        <v>19</v>
      </c>
      <c r="AR144" s="81">
        <v>3</v>
      </c>
      <c r="AS144" s="81">
        <v>4</v>
      </c>
      <c r="AT144" s="81">
        <v>5</v>
      </c>
      <c r="AU144" s="81">
        <v>6</v>
      </c>
      <c r="AV144" s="81">
        <v>7</v>
      </c>
    </row>
    <row r="145" spans="1:53" s="81" customFormat="1" ht="11.25" customHeight="1" x14ac:dyDescent="0.2">
      <c r="A145" s="1847" t="str">
        <f>Home!$A$39</f>
        <v xml:space="preserve"> </v>
      </c>
      <c r="B145" s="1828"/>
      <c r="C145" s="1828"/>
      <c r="D145" s="1828"/>
      <c r="E145" s="1828"/>
      <c r="F145" s="1828"/>
      <c r="G145" s="1828"/>
      <c r="H145" s="1828"/>
      <c r="I145" s="1828"/>
      <c r="J145" s="1828"/>
      <c r="K145" s="1828"/>
      <c r="L145" s="1828"/>
      <c r="M145" s="1828"/>
      <c r="N145" s="1828"/>
      <c r="O145" s="1828"/>
      <c r="P145" s="1828"/>
      <c r="Q145" s="1828"/>
      <c r="R145" s="1828"/>
      <c r="S145" s="1828"/>
      <c r="T145" s="1828"/>
      <c r="U145" s="1829"/>
      <c r="V145" s="137"/>
      <c r="W145" s="150"/>
      <c r="Y145" s="190"/>
      <c r="AI145" s="184"/>
      <c r="AJ145" s="160"/>
      <c r="AK145" s="87"/>
      <c r="AL145" s="224" t="s">
        <v>89</v>
      </c>
      <c r="AM145" s="225"/>
      <c r="AN145" s="225"/>
      <c r="AO145" s="225"/>
      <c r="AP145" s="225"/>
      <c r="AQ145" s="1979" t="s">
        <v>1213</v>
      </c>
      <c r="AR145" s="1970" t="s">
        <v>608</v>
      </c>
      <c r="AS145" s="1970"/>
      <c r="AT145" s="1970"/>
      <c r="AU145" s="1970"/>
      <c r="AV145" s="1970"/>
      <c r="AW145" s="1970" t="s">
        <v>609</v>
      </c>
      <c r="AX145" s="1970"/>
      <c r="AY145" s="1970"/>
      <c r="AZ145" s="1970"/>
      <c r="BA145" s="1970"/>
    </row>
    <row r="146" spans="1:53" s="81" customFormat="1" ht="11.25" customHeight="1" x14ac:dyDescent="0.2">
      <c r="A146" s="112"/>
      <c r="B146" s="113"/>
      <c r="C146" s="113"/>
      <c r="D146" s="113"/>
      <c r="E146" s="113"/>
      <c r="F146" s="113"/>
      <c r="G146" s="113"/>
      <c r="H146" s="113"/>
      <c r="I146" s="113"/>
      <c r="J146" s="113"/>
      <c r="K146" s="114"/>
      <c r="L146" s="113"/>
      <c r="M146" s="113"/>
      <c r="N146" s="113"/>
      <c r="O146" s="113"/>
      <c r="P146" s="113"/>
      <c r="Q146" s="113"/>
      <c r="R146" s="113"/>
      <c r="S146" s="113"/>
      <c r="T146" s="113"/>
      <c r="U146" s="115"/>
      <c r="V146" s="137"/>
      <c r="W146" s="149"/>
      <c r="Y146" s="190"/>
      <c r="AA146" s="197"/>
      <c r="AB146" s="197"/>
      <c r="AI146" s="184"/>
      <c r="AJ146" s="160"/>
      <c r="AK146" s="87"/>
      <c r="AL146" s="758" t="str">
        <f>IF(Sheet1!$C$3="Annual","",Sheet1!$D$28)</f>
        <v/>
      </c>
      <c r="AM146" s="758" t="str">
        <f>IF(Sheet1!$C$3="Annual","",Sheet1!$E$28)</f>
        <v/>
      </c>
      <c r="AN146" s="758" t="str">
        <f>IF(Sheet1!$C$3="Annual","",Sheet1!$F$28)</f>
        <v/>
      </c>
      <c r="AO146" s="758" t="str">
        <f>IF(Sheet1!$C$3="Annual","",Sheet1!$G$28)</f>
        <v/>
      </c>
      <c r="AP146" s="758" t="str">
        <f>IF(Sheet1!$C$3="Annual","",Sheet1!$H$28)</f>
        <v/>
      </c>
      <c r="AQ146" s="1980"/>
      <c r="AR146" s="758" t="str">
        <f>IF(Sheet1!$C$3="Annual","",Sheet1!$D$28)</f>
        <v/>
      </c>
      <c r="AS146" s="758" t="str">
        <f>IF(Sheet1!$C$3="Annual","",Sheet1!$E$28)</f>
        <v/>
      </c>
      <c r="AT146" s="758" t="str">
        <f>IF(Sheet1!$C$3="Annual","",Sheet1!$F$28)</f>
        <v/>
      </c>
      <c r="AU146" s="758" t="str">
        <f>IF(Sheet1!$C$3="Annual","",Sheet1!$G$28)</f>
        <v/>
      </c>
      <c r="AV146" s="758" t="str">
        <f>IF(Sheet1!$C$3="Annual","",Sheet1!$H$28)</f>
        <v/>
      </c>
      <c r="AW146" s="758" t="str">
        <f>IF(Sheet1!$C$3="Annual","",Sheet1!$D$28)</f>
        <v/>
      </c>
      <c r="AX146" s="758" t="str">
        <f>IF(Sheet1!$C$3="Annual","",Sheet1!$E$28)</f>
        <v/>
      </c>
      <c r="AY146" s="758" t="str">
        <f>IF(Sheet1!$C$3="Annual","",Sheet1!$F$28)</f>
        <v/>
      </c>
      <c r="AZ146" s="758" t="str">
        <f>IF(Sheet1!$C$3="Annual","",Sheet1!$G$28)</f>
        <v/>
      </c>
      <c r="BA146" s="758" t="str">
        <f>IF(Sheet1!$C$3="Annual","",Sheet1!$H$28)</f>
        <v/>
      </c>
    </row>
    <row r="147" spans="1:53" s="81" customFormat="1" ht="3.75" customHeight="1" x14ac:dyDescent="0.25">
      <c r="A147" s="116"/>
      <c r="B147" s="9"/>
      <c r="C147" s="9"/>
      <c r="D147" s="9"/>
      <c r="E147" s="9"/>
      <c r="F147" s="9"/>
      <c r="G147" s="9"/>
      <c r="H147" s="9"/>
      <c r="I147" s="9"/>
      <c r="J147" s="9"/>
      <c r="K147" s="12"/>
      <c r="L147" s="9"/>
      <c r="M147" s="9"/>
      <c r="N147" s="9"/>
      <c r="O147" s="9"/>
      <c r="P147" s="9"/>
      <c r="Q147" s="9"/>
      <c r="R147" s="9"/>
      <c r="S147" s="9"/>
      <c r="T147" s="9"/>
      <c r="U147" s="117"/>
      <c r="V147" s="137"/>
      <c r="W147" s="150"/>
      <c r="AC147" s="1320" t="s">
        <v>977</v>
      </c>
      <c r="AJ147" s="160"/>
      <c r="AK147" s="87"/>
      <c r="AL147" s="758" t="str">
        <f>Sheet1!$D$27</f>
        <v>2015-16</v>
      </c>
      <c r="AM147" s="758" t="str">
        <f>Sheet1!$E$27</f>
        <v>2016-17</v>
      </c>
      <c r="AN147" s="758" t="str">
        <f>Sheet1!$F$27</f>
        <v>2017-18</v>
      </c>
      <c r="AO147" s="758" t="str">
        <f>Sheet1!$G$27</f>
        <v>2018-19</v>
      </c>
      <c r="AP147" s="758" t="str">
        <f>Sheet1!$H$27</f>
        <v>2019-20</v>
      </c>
      <c r="AQ147" s="1980"/>
      <c r="AR147" s="758" t="str">
        <f>Sheet1!$D$27</f>
        <v>2015-16</v>
      </c>
      <c r="AS147" s="758" t="str">
        <f>Sheet1!$E$27</f>
        <v>2016-17</v>
      </c>
      <c r="AT147" s="758" t="str">
        <f>Sheet1!$F$27</f>
        <v>2017-18</v>
      </c>
      <c r="AU147" s="758" t="str">
        <f>Sheet1!$G$27</f>
        <v>2018-19</v>
      </c>
      <c r="AV147" s="758" t="str">
        <f>Sheet1!$H$27</f>
        <v>2019-20</v>
      </c>
      <c r="AW147" s="758" t="str">
        <f>Sheet1!$D$27</f>
        <v>2015-16</v>
      </c>
      <c r="AX147" s="758" t="str">
        <f>Sheet1!$E$27</f>
        <v>2016-17</v>
      </c>
      <c r="AY147" s="758" t="str">
        <f>Sheet1!$F$27</f>
        <v>2017-18</v>
      </c>
      <c r="AZ147" s="758" t="str">
        <f>Sheet1!$G$27</f>
        <v>2018-19</v>
      </c>
      <c r="BA147" s="758" t="str">
        <f>Sheet1!$H$27</f>
        <v>2019-20</v>
      </c>
    </row>
    <row r="148" spans="1:53" s="81" customFormat="1" ht="14.25" customHeight="1" x14ac:dyDescent="0.2">
      <c r="A148" s="118"/>
      <c r="B148" s="9"/>
      <c r="C148" s="9"/>
      <c r="D148" s="9"/>
      <c r="E148" s="9"/>
      <c r="F148" s="9"/>
      <c r="G148" s="9"/>
      <c r="H148" s="9"/>
      <c r="I148" s="9"/>
      <c r="J148" s="9"/>
      <c r="K148" s="12"/>
      <c r="L148" s="9"/>
      <c r="M148" s="9"/>
      <c r="N148" s="9"/>
      <c r="O148" s="9"/>
      <c r="P148" s="9"/>
      <c r="Q148" s="9"/>
      <c r="R148" s="9"/>
      <c r="S148" s="9"/>
      <c r="T148" s="9"/>
      <c r="U148" s="117"/>
      <c r="V148" s="137"/>
      <c r="W148" s="150"/>
      <c r="X148" s="43" t="s">
        <v>72</v>
      </c>
      <c r="Y148" s="43" t="s">
        <v>70</v>
      </c>
      <c r="Z148" s="43" t="s">
        <v>71</v>
      </c>
      <c r="AA148" s="1194">
        <v>5</v>
      </c>
      <c r="AB148" s="216" t="e">
        <f>(AA148*Y149)+Z149</f>
        <v>#DIV/0!</v>
      </c>
      <c r="AC148" s="206" t="e">
        <f>ROUND(ChartLabels!$AA24,3)</f>
        <v>#DIV/0!</v>
      </c>
      <c r="AI148" s="202"/>
      <c r="AJ148" s="160"/>
      <c r="AK148" s="87" t="str">
        <f t="shared" ref="AK148:AK171" si="34">AK41</f>
        <v>Bracknell Forest</v>
      </c>
      <c r="AL148" s="146" t="e">
        <f t="shared" ref="AL148:AP157" si="35">VLOOKUP($AK148,$B$118:$P$140,AL$144,FALSE)</f>
        <v>#N/A</v>
      </c>
      <c r="AM148" s="146" t="e">
        <f t="shared" si="35"/>
        <v>#N/A</v>
      </c>
      <c r="AN148" s="146" t="e">
        <f t="shared" si="35"/>
        <v>#N/A</v>
      </c>
      <c r="AO148" s="146" t="e">
        <f t="shared" si="35"/>
        <v>#N/A</v>
      </c>
      <c r="AP148" s="146" t="e">
        <f t="shared" si="35"/>
        <v>#N/A</v>
      </c>
      <c r="AQ148" s="1136" t="e">
        <f>VLOOKUP(AK148,$B$118:$T$140,AQ$144,FALSE)</f>
        <v>#N/A</v>
      </c>
      <c r="AR148" s="1137" t="e">
        <f>VLOOKUP($AK148,ROSGO!$B$77:$H$100,AR$144,FALSE)</f>
        <v>#N/A</v>
      </c>
      <c r="AS148" s="1137" t="e">
        <f>VLOOKUP($AK148,ROSGO!$B$77:$H$100,AS$144,FALSE)</f>
        <v>#N/A</v>
      </c>
      <c r="AT148" s="1137" t="e">
        <f>VLOOKUP($AK148,ROSGO!$B$77:$H$100,AT$144,FALSE)</f>
        <v>#N/A</v>
      </c>
      <c r="AU148" s="1137" t="e">
        <f>VLOOKUP($AK148,ROSGO!$B$77:$H$100,AU$144,FALSE)</f>
        <v>#N/A</v>
      </c>
      <c r="AV148" s="1137">
        <f>VLOOKUP($AK148,ROSGO!$B$77:$H$100,AV$144,FALSE)</f>
        <v>0</v>
      </c>
      <c r="AW148" s="1137" t="e">
        <f>VLOOKUP($AK148,ROSGO!$B$184:$H$207,AR$144,FALSE)</f>
        <v>#N/A</v>
      </c>
      <c r="AX148" s="1137" t="e">
        <f>VLOOKUP($AK148,ROSGO!$B$184:$H$207,AS$144,FALSE)</f>
        <v>#N/A</v>
      </c>
      <c r="AY148" s="1137" t="e">
        <f>VLOOKUP($AK148,ROSGO!$B$184:$H$207,AT$144,FALSE)</f>
        <v>#N/A</v>
      </c>
      <c r="AZ148" s="1137" t="e">
        <f>VLOOKUP($AK148,ROSGO!$B$184:$H$207,AU$144,FALSE)</f>
        <v>#N/A</v>
      </c>
      <c r="BA148" s="1137" t="e">
        <f>VLOOKUP($AK148,ROSGO!$B$184:$H$207,AV$144,FALSE)</f>
        <v>#N/A</v>
      </c>
    </row>
    <row r="149" spans="1:53" s="81" customFormat="1" ht="14.25" customHeight="1" x14ac:dyDescent="0.2">
      <c r="A149" s="118"/>
      <c r="B149" s="9"/>
      <c r="C149" s="9"/>
      <c r="D149" s="9"/>
      <c r="E149" s="9"/>
      <c r="F149" s="9"/>
      <c r="G149" s="9"/>
      <c r="H149" s="9"/>
      <c r="I149" s="9"/>
      <c r="J149" s="9"/>
      <c r="K149" s="12"/>
      <c r="L149" s="9"/>
      <c r="M149" s="9"/>
      <c r="N149" s="9"/>
      <c r="O149" s="9"/>
      <c r="P149" s="9"/>
      <c r="Q149" s="9"/>
      <c r="R149" s="9"/>
      <c r="S149" s="9"/>
      <c r="T149" s="9"/>
      <c r="U149" s="117"/>
      <c r="V149" s="137"/>
      <c r="W149" s="150"/>
      <c r="X149" s="212" t="e">
        <f>"Y= "&amp;Y149&amp;"x + "&amp;Z149</f>
        <v>#DIV/0!</v>
      </c>
      <c r="Y149" s="743" t="e">
        <f>ChartLabels!$Y24</f>
        <v>#DIV/0!</v>
      </c>
      <c r="Z149" s="743" t="e">
        <f>ChartLabels!$Z24</f>
        <v>#DIV/0!</v>
      </c>
      <c r="AA149" s="215">
        <v>35</v>
      </c>
      <c r="AB149" s="216" t="e">
        <f>(AA149*Y149)+Z149</f>
        <v>#DIV/0!</v>
      </c>
      <c r="AC149" s="1319" t="e">
        <f>AC147&amp;" = "&amp;AC148</f>
        <v>#DIV/0!</v>
      </c>
      <c r="AI149" s="202"/>
      <c r="AJ149" s="160"/>
      <c r="AK149" s="87" t="str">
        <f t="shared" si="34"/>
        <v>Brighton &amp; Hove</v>
      </c>
      <c r="AL149" s="146" t="e">
        <f t="shared" si="35"/>
        <v>#N/A</v>
      </c>
      <c r="AM149" s="146" t="e">
        <f t="shared" si="35"/>
        <v>#N/A</v>
      </c>
      <c r="AN149" s="146" t="e">
        <f t="shared" si="35"/>
        <v>#N/A</v>
      </c>
      <c r="AO149" s="146" t="e">
        <f t="shared" si="35"/>
        <v>#N/A</v>
      </c>
      <c r="AP149" s="146" t="e">
        <f t="shared" si="35"/>
        <v>#N/A</v>
      </c>
      <c r="AQ149" s="1136" t="e">
        <f t="shared" ref="AQ149:AQ170" si="36">VLOOKUP(AK149,$B$118:$T$140,AQ$144,FALSE)</f>
        <v>#N/A</v>
      </c>
      <c r="AR149" s="1137" t="e">
        <f>VLOOKUP($AK149,ROSGO!$B$77:$H$100,AR$144,FALSE)</f>
        <v>#N/A</v>
      </c>
      <c r="AS149" s="1137" t="e">
        <f>VLOOKUP($AK149,ROSGO!$B$77:$H$100,AS$144,FALSE)</f>
        <v>#N/A</v>
      </c>
      <c r="AT149" s="1137">
        <f>VLOOKUP($AK149,ROSGO!$B$77:$H$100,AT$144,FALSE)</f>
        <v>3.9772727272727272E-2</v>
      </c>
      <c r="AU149" s="1137" t="e">
        <f>VLOOKUP($AK149,ROSGO!$B$77:$H$100,AU$144,FALSE)</f>
        <v>#N/A</v>
      </c>
      <c r="AV149" s="1137">
        <f>VLOOKUP($AK149,ROSGO!$B$77:$H$100,AV$144,FALSE)</f>
        <v>3.3707865168539325E-2</v>
      </c>
      <c r="AW149" s="1137" t="e">
        <f>VLOOKUP($AK149,ROSGO!$B$184:$H$207,AR$144,FALSE)</f>
        <v>#N/A</v>
      </c>
      <c r="AX149" s="1137" t="e">
        <f>VLOOKUP($AK149,ROSGO!$B$184:$H$207,AS$144,FALSE)</f>
        <v>#N/A</v>
      </c>
      <c r="AY149" s="1137" t="e">
        <f>VLOOKUP($AK149,ROSGO!$B$184:$H$207,AT$144,FALSE)</f>
        <v>#N/A</v>
      </c>
      <c r="AZ149" s="1137" t="e">
        <f>VLOOKUP($AK149,ROSGO!$B$184:$H$207,AU$144,FALSE)</f>
        <v>#N/A</v>
      </c>
      <c r="BA149" s="1137" t="e">
        <f>VLOOKUP($AK149,ROSGO!$B$184:$H$207,AV$144,FALSE)</f>
        <v>#N/A</v>
      </c>
    </row>
    <row r="150" spans="1:53" ht="14.25" customHeight="1" x14ac:dyDescent="0.2">
      <c r="A150" s="118"/>
      <c r="B150" s="9"/>
      <c r="C150" s="9"/>
      <c r="D150" s="9"/>
      <c r="E150" s="9"/>
      <c r="F150" s="9"/>
      <c r="G150" s="9"/>
      <c r="H150" s="9"/>
      <c r="I150" s="9"/>
      <c r="J150" s="9"/>
      <c r="K150" s="12"/>
      <c r="L150" s="9"/>
      <c r="M150" s="9"/>
      <c r="N150" s="9"/>
      <c r="O150" s="9"/>
      <c r="P150" s="9"/>
      <c r="Q150" s="9"/>
      <c r="R150" s="9"/>
      <c r="S150" s="9"/>
      <c r="T150" s="9"/>
      <c r="U150" s="117"/>
      <c r="V150" s="137"/>
      <c r="W150" s="150"/>
      <c r="X150" s="1159" t="str">
        <f>"National Trend "&amp;Sheet1!$B$8</f>
        <v>National Trend 2020</v>
      </c>
      <c r="Y150" s="1160" t="s">
        <v>70</v>
      </c>
      <c r="Z150" s="1159" t="s">
        <v>71</v>
      </c>
      <c r="AA150" s="1161">
        <v>7</v>
      </c>
      <c r="AB150" s="1162">
        <f>((AA150*Y151)+Z151)</f>
        <v>0</v>
      </c>
      <c r="AI150" s="202"/>
      <c r="AJ150" s="160"/>
      <c r="AK150" s="87" t="str">
        <f t="shared" si="34"/>
        <v>Buckinghamshire</v>
      </c>
      <c r="AL150" s="146" t="e">
        <f t="shared" si="35"/>
        <v>#N/A</v>
      </c>
      <c r="AM150" s="146" t="e">
        <f t="shared" si="35"/>
        <v>#N/A</v>
      </c>
      <c r="AN150" s="146" t="e">
        <f t="shared" si="35"/>
        <v>#N/A</v>
      </c>
      <c r="AO150" s="146" t="e">
        <f t="shared" si="35"/>
        <v>#N/A</v>
      </c>
      <c r="AP150" s="146" t="e">
        <f t="shared" si="35"/>
        <v>#N/A</v>
      </c>
      <c r="AQ150" s="1136" t="e">
        <f t="shared" si="36"/>
        <v>#N/A</v>
      </c>
      <c r="AR150" s="1137">
        <f>VLOOKUP($AK150,ROSGO!$B$77:$H$100,AR$144,FALSE)</f>
        <v>2.2026431718061675E-2</v>
      </c>
      <c r="AS150" s="1137">
        <f>VLOOKUP($AK150,ROSGO!$B$77:$H$100,AS$144,FALSE)</f>
        <v>3.7209302325581395E-2</v>
      </c>
      <c r="AT150" s="1137" t="e">
        <f>VLOOKUP($AK150,ROSGO!$B$77:$H$100,AT$144,FALSE)</f>
        <v>#N/A</v>
      </c>
      <c r="AU150" s="1137" t="e">
        <f>VLOOKUP($AK150,ROSGO!$B$77:$H$100,AU$144,FALSE)</f>
        <v>#N/A</v>
      </c>
      <c r="AV150" s="1137">
        <f>VLOOKUP($AK150,ROSGO!$B$77:$H$100,AV$144,FALSE)</f>
        <v>2.9787234042553193E-2</v>
      </c>
      <c r="AW150" s="1137" t="e">
        <f>VLOOKUP($AK150,ROSGO!$B$184:$H$207,AR$144,FALSE)</f>
        <v>#N/A</v>
      </c>
      <c r="AX150" s="1137" t="e">
        <f>VLOOKUP($AK150,ROSGO!$B$184:$H$207,AS$144,FALSE)</f>
        <v>#N/A</v>
      </c>
      <c r="AY150" s="1137" t="e">
        <f>VLOOKUP($AK150,ROSGO!$B$184:$H$207,AT$144,FALSE)</f>
        <v>#N/A</v>
      </c>
      <c r="AZ150" s="1137" t="e">
        <f>VLOOKUP($AK150,ROSGO!$B$184:$H$207,AU$144,FALSE)</f>
        <v>#N/A</v>
      </c>
      <c r="BA150" s="1137" t="e">
        <f>VLOOKUP($AK150,ROSGO!$B$184:$H$207,AV$144,FALSE)</f>
        <v>#N/A</v>
      </c>
    </row>
    <row r="151" spans="1:53" ht="14.25" customHeight="1" x14ac:dyDescent="0.2">
      <c r="A151" s="118"/>
      <c r="B151" s="9"/>
      <c r="C151" s="9"/>
      <c r="D151" s="9"/>
      <c r="E151" s="9"/>
      <c r="F151" s="9"/>
      <c r="G151" s="9"/>
      <c r="H151" s="9"/>
      <c r="I151" s="9"/>
      <c r="J151" s="9"/>
      <c r="K151" s="12"/>
      <c r="L151" s="13"/>
      <c r="M151" s="13"/>
      <c r="N151" s="13"/>
      <c r="O151" s="13"/>
      <c r="P151" s="14"/>
      <c r="Q151" s="14"/>
      <c r="R151" s="14"/>
      <c r="S151" s="14"/>
      <c r="T151" s="14"/>
      <c r="U151" s="117"/>
      <c r="V151" s="137"/>
      <c r="W151" s="150"/>
      <c r="X151" s="1163" t="str">
        <f>"Y= "&amp;Y151&amp;"x + "&amp;Z151</f>
        <v xml:space="preserve">Y= x + </v>
      </c>
      <c r="Y151" s="1164"/>
      <c r="Z151" s="1165"/>
      <c r="AA151" s="1166">
        <v>25</v>
      </c>
      <c r="AB151" s="1167">
        <f>((AA151*Y151)+Z151)</f>
        <v>0</v>
      </c>
      <c r="AI151" s="202"/>
      <c r="AJ151" s="160"/>
      <c r="AK151" s="87" t="str">
        <f t="shared" si="34"/>
        <v>East Sussex</v>
      </c>
      <c r="AL151" s="146" t="e">
        <f t="shared" si="35"/>
        <v>#N/A</v>
      </c>
      <c r="AM151" s="146" t="e">
        <f t="shared" si="35"/>
        <v>#N/A</v>
      </c>
      <c r="AN151" s="146" t="e">
        <f t="shared" si="35"/>
        <v>#N/A</v>
      </c>
      <c r="AO151" s="146" t="e">
        <f t="shared" si="35"/>
        <v>#N/A</v>
      </c>
      <c r="AP151" s="146" t="e">
        <f t="shared" si="35"/>
        <v>#N/A</v>
      </c>
      <c r="AQ151" s="1136" t="e">
        <f t="shared" si="36"/>
        <v>#N/A</v>
      </c>
      <c r="AR151" s="1137" t="e">
        <f>VLOOKUP($AK151,ROSGO!$B$77:$H$100,AR$144,FALSE)</f>
        <v>#N/A</v>
      </c>
      <c r="AS151" s="1137" t="e">
        <f>VLOOKUP($AK151,ROSGO!$B$77:$H$100,AS$144,FALSE)</f>
        <v>#N/A</v>
      </c>
      <c r="AT151" s="1137" t="e">
        <f>VLOOKUP($AK151,ROSGO!$B$77:$H$100,AT$144,FALSE)</f>
        <v>#N/A</v>
      </c>
      <c r="AU151" s="1137" t="e">
        <f>VLOOKUP($AK151,ROSGO!$B$77:$H$100,AU$144,FALSE)</f>
        <v>#N/A</v>
      </c>
      <c r="AV151" s="1137">
        <f>VLOOKUP($AK151,ROSGO!$B$77:$H$100,AV$144,FALSE)</f>
        <v>0</v>
      </c>
      <c r="AW151" s="1137" t="e">
        <f>VLOOKUP($AK151,ROSGO!$B$184:$H$207,AR$144,FALSE)</f>
        <v>#N/A</v>
      </c>
      <c r="AX151" s="1137" t="e">
        <f>VLOOKUP($AK151,ROSGO!$B$184:$H$207,AS$144,FALSE)</f>
        <v>#N/A</v>
      </c>
      <c r="AY151" s="1137" t="e">
        <f>VLOOKUP($AK151,ROSGO!$B$184:$H$207,AT$144,FALSE)</f>
        <v>#N/A</v>
      </c>
      <c r="AZ151" s="1137" t="e">
        <f>VLOOKUP($AK151,ROSGO!$B$184:$H$207,AU$144,FALSE)</f>
        <v>#N/A</v>
      </c>
      <c r="BA151" s="1137" t="e">
        <f>VLOOKUP($AK151,ROSGO!$B$184:$H$207,AV$144,FALSE)</f>
        <v>#N/A</v>
      </c>
    </row>
    <row r="152" spans="1:53" s="76" customFormat="1" ht="14.25" customHeight="1" x14ac:dyDescent="0.2">
      <c r="A152" s="119"/>
      <c r="B152" s="226"/>
      <c r="C152" s="226"/>
      <c r="D152" s="227"/>
      <c r="E152" s="227"/>
      <c r="F152" s="227"/>
      <c r="G152" s="227"/>
      <c r="H152" s="227"/>
      <c r="I152" s="227"/>
      <c r="J152" s="227"/>
      <c r="K152" s="15"/>
      <c r="L152" s="9"/>
      <c r="M152" s="9"/>
      <c r="N152" s="9"/>
      <c r="O152" s="9"/>
      <c r="P152" s="9"/>
      <c r="Q152" s="9"/>
      <c r="R152" s="9"/>
      <c r="S152" s="9"/>
      <c r="T152" s="9"/>
      <c r="U152" s="120"/>
      <c r="V152" s="138"/>
      <c r="W152" s="151"/>
      <c r="X152" s="81"/>
      <c r="Y152" s="190"/>
      <c r="Z152" s="81"/>
      <c r="AC152" s="81"/>
      <c r="AD152" s="81"/>
      <c r="AE152" s="81"/>
      <c r="AF152" s="81"/>
      <c r="AG152" s="81"/>
      <c r="AH152" s="81"/>
      <c r="AI152" s="202"/>
      <c r="AJ152" s="160"/>
      <c r="AK152" s="87" t="str">
        <f t="shared" si="34"/>
        <v>Hampshire</v>
      </c>
      <c r="AL152" s="146" t="e">
        <f t="shared" si="35"/>
        <v>#N/A</v>
      </c>
      <c r="AM152" s="146" t="e">
        <f t="shared" si="35"/>
        <v>#N/A</v>
      </c>
      <c r="AN152" s="146" t="e">
        <f t="shared" si="35"/>
        <v>#N/A</v>
      </c>
      <c r="AO152" s="146" t="e">
        <f t="shared" si="35"/>
        <v>#N/A</v>
      </c>
      <c r="AP152" s="146" t="e">
        <f t="shared" si="35"/>
        <v>#N/A</v>
      </c>
      <c r="AQ152" s="1136" t="e">
        <f t="shared" si="36"/>
        <v>#N/A</v>
      </c>
      <c r="AR152" s="1137">
        <f>VLOOKUP($AK152,ROSGO!$B$77:$H$100,AR$144,FALSE)</f>
        <v>9.1743119266055051E-3</v>
      </c>
      <c r="AS152" s="1137">
        <f>VLOOKUP($AK152,ROSGO!$B$77:$H$100,AS$144,FALSE)</f>
        <v>3.9473684210526314E-2</v>
      </c>
      <c r="AT152" s="1137">
        <f>VLOOKUP($AK152,ROSGO!$B$77:$H$100,AT$144,FALSE)</f>
        <v>4.1152263374485597E-2</v>
      </c>
      <c r="AU152" s="1137">
        <f>VLOOKUP($AK152,ROSGO!$B$77:$H$100,AU$144,FALSE)</f>
        <v>3.0354131534569982E-2</v>
      </c>
      <c r="AV152" s="1137">
        <f>VLOOKUP($AK152,ROSGO!$B$77:$H$100,AV$144,FALSE)</f>
        <v>4.3269230769230768E-2</v>
      </c>
      <c r="AW152" s="1137" t="e">
        <f>VLOOKUP($AK152,ROSGO!$B$184:$H$207,AR$144,FALSE)</f>
        <v>#N/A</v>
      </c>
      <c r="AX152" s="1137" t="e">
        <f>VLOOKUP($AK152,ROSGO!$B$184:$H$207,AS$144,FALSE)</f>
        <v>#N/A</v>
      </c>
      <c r="AY152" s="1137" t="e">
        <f>VLOOKUP($AK152,ROSGO!$B$184:$H$207,AT$144,FALSE)</f>
        <v>#N/A</v>
      </c>
      <c r="AZ152" s="1137" t="e">
        <f>VLOOKUP($AK152,ROSGO!$B$184:$H$207,AU$144,FALSE)</f>
        <v>#N/A</v>
      </c>
      <c r="BA152" s="1137" t="e">
        <f>VLOOKUP($AK152,ROSGO!$B$184:$H$207,AV$144,FALSE)</f>
        <v>#N/A</v>
      </c>
    </row>
    <row r="153" spans="1:53" ht="14.25" customHeight="1" x14ac:dyDescent="0.2">
      <c r="A153" s="118"/>
      <c r="B153" s="227"/>
      <c r="C153" s="227"/>
      <c r="D153" s="227"/>
      <c r="E153" s="227"/>
      <c r="F153" s="227"/>
      <c r="G153" s="227"/>
      <c r="H153" s="227"/>
      <c r="I153" s="227"/>
      <c r="J153" s="227"/>
      <c r="K153" s="12"/>
      <c r="L153" s="14"/>
      <c r="M153" s="14"/>
      <c r="N153" s="14"/>
      <c r="O153" s="14"/>
      <c r="P153" s="9"/>
      <c r="Q153" s="9"/>
      <c r="R153" s="9"/>
      <c r="S153" s="9"/>
      <c r="T153" s="9"/>
      <c r="U153" s="117"/>
      <c r="V153" s="137"/>
      <c r="W153" s="150"/>
      <c r="Y153" s="190"/>
      <c r="AI153" s="202"/>
      <c r="AJ153" s="160"/>
      <c r="AK153" s="87" t="str">
        <f t="shared" si="34"/>
        <v>Isle of Wight</v>
      </c>
      <c r="AL153" s="146" t="e">
        <f t="shared" si="35"/>
        <v>#N/A</v>
      </c>
      <c r="AM153" s="146" t="e">
        <f t="shared" si="35"/>
        <v>#N/A</v>
      </c>
      <c r="AN153" s="146" t="e">
        <f t="shared" si="35"/>
        <v>#N/A</v>
      </c>
      <c r="AO153" s="146" t="e">
        <f t="shared" si="35"/>
        <v>#N/A</v>
      </c>
      <c r="AP153" s="146" t="e">
        <f t="shared" si="35"/>
        <v>#N/A</v>
      </c>
      <c r="AQ153" s="1136" t="e">
        <f t="shared" si="36"/>
        <v>#N/A</v>
      </c>
      <c r="AR153" s="1137" t="e">
        <f>VLOOKUP($AK153,ROSGO!$B$77:$H$100,AR$144,FALSE)</f>
        <v>#N/A</v>
      </c>
      <c r="AS153" s="1137" t="e">
        <f>VLOOKUP($AK153,ROSGO!$B$77:$H$100,AS$144,FALSE)</f>
        <v>#N/A</v>
      </c>
      <c r="AT153" s="1137" t="e">
        <f>VLOOKUP($AK153,ROSGO!$B$77:$H$100,AT$144,FALSE)</f>
        <v>#N/A</v>
      </c>
      <c r="AU153" s="1137" t="e">
        <f>VLOOKUP($AK153,ROSGO!$B$77:$H$100,AU$144,FALSE)</f>
        <v>#N/A</v>
      </c>
      <c r="AV153" s="1137">
        <f>VLOOKUP($AK153,ROSGO!$B$77:$H$100,AV$144,FALSE)</f>
        <v>0</v>
      </c>
      <c r="AW153" s="1137" t="e">
        <f>VLOOKUP($AK153,ROSGO!$B$184:$H$207,AR$144,FALSE)</f>
        <v>#N/A</v>
      </c>
      <c r="AX153" s="1137" t="e">
        <f>VLOOKUP($AK153,ROSGO!$B$184:$H$207,AS$144,FALSE)</f>
        <v>#N/A</v>
      </c>
      <c r="AY153" s="1137" t="e">
        <f>VLOOKUP($AK153,ROSGO!$B$184:$H$207,AT$144,FALSE)</f>
        <v>#N/A</v>
      </c>
      <c r="AZ153" s="1137" t="e">
        <f>VLOOKUP($AK153,ROSGO!$B$184:$H$207,AU$144,FALSE)</f>
        <v>#N/A</v>
      </c>
      <c r="BA153" s="1137" t="e">
        <f>VLOOKUP($AK153,ROSGO!$B$184:$H$207,AV$144,FALSE)</f>
        <v>#N/A</v>
      </c>
    </row>
    <row r="154" spans="1:53" ht="14.25" customHeight="1" x14ac:dyDescent="0.2">
      <c r="A154" s="118"/>
      <c r="B154" s="227"/>
      <c r="C154" s="227"/>
      <c r="D154" s="227"/>
      <c r="E154" s="227"/>
      <c r="F154" s="227"/>
      <c r="G154" s="227"/>
      <c r="H154" s="227"/>
      <c r="I154" s="227"/>
      <c r="J154" s="227"/>
      <c r="K154" s="12"/>
      <c r="L154" s="14"/>
      <c r="M154" s="14"/>
      <c r="N154" s="14"/>
      <c r="O154" s="14"/>
      <c r="P154" s="9"/>
      <c r="Q154" s="9"/>
      <c r="R154" s="9"/>
      <c r="S154" s="9"/>
      <c r="T154" s="9"/>
      <c r="U154" s="117"/>
      <c r="V154" s="137"/>
      <c r="W154" s="150"/>
      <c r="Y154" s="190"/>
      <c r="AC154" s="207"/>
      <c r="AI154" s="202"/>
      <c r="AJ154" s="160"/>
      <c r="AK154" s="87" t="str">
        <f t="shared" si="34"/>
        <v>Kent</v>
      </c>
      <c r="AL154" s="146" t="e">
        <f t="shared" si="35"/>
        <v>#N/A</v>
      </c>
      <c r="AM154" s="146" t="e">
        <f t="shared" si="35"/>
        <v>#N/A</v>
      </c>
      <c r="AN154" s="146" t="e">
        <f t="shared" si="35"/>
        <v>#N/A</v>
      </c>
      <c r="AO154" s="146" t="e">
        <f t="shared" si="35"/>
        <v>#N/A</v>
      </c>
      <c r="AP154" s="146" t="e">
        <f t="shared" si="35"/>
        <v>#N/A</v>
      </c>
      <c r="AQ154" s="1136" t="e">
        <f t="shared" si="36"/>
        <v>#N/A</v>
      </c>
      <c r="AR154" s="1137">
        <f>VLOOKUP($AK154,ROSGO!$B$77:$H$100,AR$144,FALSE)</f>
        <v>9.2678405931417972E-3</v>
      </c>
      <c r="AS154" s="1137">
        <f>VLOOKUP($AK154,ROSGO!$B$77:$H$100,AS$144,FALSE)</f>
        <v>8.3586626139817623E-3</v>
      </c>
      <c r="AT154" s="1137">
        <f>VLOOKUP($AK154,ROSGO!$B$77:$H$100,AT$144,FALSE)</f>
        <v>1.5252621544327931E-2</v>
      </c>
      <c r="AU154" s="1137">
        <f>VLOOKUP($AK154,ROSGO!$B$77:$H$100,AU$144,FALSE)</f>
        <v>1.310615989515072E-2</v>
      </c>
      <c r="AV154" s="1137">
        <f>VLOOKUP($AK154,ROSGO!$B$77:$H$100,AV$144,FALSE)</f>
        <v>2.4390243902439025E-2</v>
      </c>
      <c r="AW154" s="1137" t="e">
        <f>VLOOKUP($AK154,ROSGO!$B$184:$H$207,AR$144,FALSE)</f>
        <v>#N/A</v>
      </c>
      <c r="AX154" s="1137" t="e">
        <f>VLOOKUP($AK154,ROSGO!$B$184:$H$207,AS$144,FALSE)</f>
        <v>#N/A</v>
      </c>
      <c r="AY154" s="1137" t="e">
        <f>VLOOKUP($AK154,ROSGO!$B$184:$H$207,AT$144,FALSE)</f>
        <v>#N/A</v>
      </c>
      <c r="AZ154" s="1137" t="e">
        <f>VLOOKUP($AK154,ROSGO!$B$184:$H$207,AU$144,FALSE)</f>
        <v>#N/A</v>
      </c>
      <c r="BA154" s="1137" t="e">
        <f>VLOOKUP($AK154,ROSGO!$B$184:$H$207,AV$144,FALSE)</f>
        <v>#N/A</v>
      </c>
    </row>
    <row r="155" spans="1:53" ht="14.25" customHeight="1" x14ac:dyDescent="0.2">
      <c r="A155" s="118"/>
      <c r="B155" s="58"/>
      <c r="C155" s="58"/>
      <c r="D155" s="58"/>
      <c r="E155" s="58"/>
      <c r="F155" s="58"/>
      <c r="G155" s="58"/>
      <c r="H155" s="58"/>
      <c r="I155" s="58"/>
      <c r="J155" s="58"/>
      <c r="K155" s="12"/>
      <c r="L155" s="14"/>
      <c r="M155" s="14"/>
      <c r="N155" s="14"/>
      <c r="O155" s="14"/>
      <c r="P155" s="9"/>
      <c r="Q155" s="9"/>
      <c r="R155" s="9"/>
      <c r="S155" s="9"/>
      <c r="T155" s="9"/>
      <c r="U155" s="117"/>
      <c r="V155" s="137"/>
      <c r="W155" s="150"/>
      <c r="Y155" s="190"/>
      <c r="AC155" s="184"/>
      <c r="AI155" s="202"/>
      <c r="AJ155" s="160"/>
      <c r="AK155" s="87" t="str">
        <f t="shared" si="34"/>
        <v>Medway</v>
      </c>
      <c r="AL155" s="146" t="e">
        <f t="shared" si="35"/>
        <v>#N/A</v>
      </c>
      <c r="AM155" s="146" t="e">
        <f t="shared" si="35"/>
        <v>#N/A</v>
      </c>
      <c r="AN155" s="146" t="e">
        <f t="shared" si="35"/>
        <v>#N/A</v>
      </c>
      <c r="AO155" s="146" t="e">
        <f t="shared" si="35"/>
        <v>#N/A</v>
      </c>
      <c r="AP155" s="146" t="e">
        <f t="shared" si="35"/>
        <v>#N/A</v>
      </c>
      <c r="AQ155" s="1136" t="e">
        <f t="shared" si="36"/>
        <v>#N/A</v>
      </c>
      <c r="AR155" s="1137">
        <f>VLOOKUP($AK155,ROSGO!$B$77:$H$100,AR$144,FALSE)</f>
        <v>9.5238095238095233E-2</v>
      </c>
      <c r="AS155" s="1137">
        <f>VLOOKUP($AK155,ROSGO!$B$77:$H$100,AS$144,FALSE)</f>
        <v>6.4171122994652413E-2</v>
      </c>
      <c r="AT155" s="1137" t="e">
        <f>VLOOKUP($AK155,ROSGO!$B$77:$H$100,AT$144,FALSE)</f>
        <v>#N/A</v>
      </c>
      <c r="AU155" s="1137" t="e">
        <f>VLOOKUP($AK155,ROSGO!$B$77:$H$100,AU$144,FALSE)</f>
        <v>#N/A</v>
      </c>
      <c r="AV155" s="1137">
        <f>VLOOKUP($AK155,ROSGO!$B$77:$H$100,AV$144,FALSE)</f>
        <v>7.7777777777777779E-2</v>
      </c>
      <c r="AW155" s="1137" t="e">
        <f>VLOOKUP($AK155,ROSGO!$B$184:$H$207,AR$144,FALSE)</f>
        <v>#N/A</v>
      </c>
      <c r="AX155" s="1137" t="e">
        <f>VLOOKUP($AK155,ROSGO!$B$184:$H$207,AS$144,FALSE)</f>
        <v>#N/A</v>
      </c>
      <c r="AY155" s="1137" t="e">
        <f>VLOOKUP($AK155,ROSGO!$B$184:$H$207,AT$144,FALSE)</f>
        <v>#N/A</v>
      </c>
      <c r="AZ155" s="1137" t="e">
        <f>VLOOKUP($AK155,ROSGO!$B$184:$H$207,AU$144,FALSE)</f>
        <v>#N/A</v>
      </c>
      <c r="BA155" s="1137" t="e">
        <f>VLOOKUP($AK155,ROSGO!$B$184:$H$207,AV$144,FALSE)</f>
        <v>#N/A</v>
      </c>
    </row>
    <row r="156" spans="1:53" ht="14.25" customHeight="1" x14ac:dyDescent="0.2">
      <c r="A156" s="118"/>
      <c r="B156" s="58"/>
      <c r="C156" s="58"/>
      <c r="D156" s="69"/>
      <c r="E156" s="70"/>
      <c r="F156" s="69"/>
      <c r="G156" s="70"/>
      <c r="H156" s="70"/>
      <c r="I156" s="70"/>
      <c r="J156" s="70"/>
      <c r="K156" s="12"/>
      <c r="L156" s="14"/>
      <c r="M156" s="14"/>
      <c r="N156" s="14"/>
      <c r="O156" s="14"/>
      <c r="P156" s="9"/>
      <c r="Q156" s="9"/>
      <c r="R156" s="9"/>
      <c r="S156" s="9"/>
      <c r="T156" s="9"/>
      <c r="U156" s="117"/>
      <c r="V156" s="137"/>
      <c r="W156" s="150"/>
      <c r="Y156" s="190"/>
      <c r="AI156" s="202"/>
      <c r="AJ156" s="160"/>
      <c r="AK156" s="87" t="str">
        <f t="shared" si="34"/>
        <v>Milton Keynes</v>
      </c>
      <c r="AL156" s="146" t="e">
        <f t="shared" si="35"/>
        <v>#N/A</v>
      </c>
      <c r="AM156" s="146" t="e">
        <f t="shared" si="35"/>
        <v>#N/A</v>
      </c>
      <c r="AN156" s="146" t="e">
        <f t="shared" si="35"/>
        <v>#N/A</v>
      </c>
      <c r="AO156" s="146" t="e">
        <f t="shared" si="35"/>
        <v>#N/A</v>
      </c>
      <c r="AP156" s="146" t="e">
        <f t="shared" si="35"/>
        <v>#N/A</v>
      </c>
      <c r="AQ156" s="1136" t="e">
        <f t="shared" si="36"/>
        <v>#N/A</v>
      </c>
      <c r="AR156" s="1137">
        <f>VLOOKUP($AK156,ROSGO!$B$77:$H$100,AR$144,FALSE)</f>
        <v>2.6881720430107527E-2</v>
      </c>
      <c r="AS156" s="1137" t="e">
        <f>VLOOKUP($AK156,ROSGO!$B$77:$H$100,AS$144,FALSE)</f>
        <v>#N/A</v>
      </c>
      <c r="AT156" s="1137" t="e">
        <f>VLOOKUP($AK156,ROSGO!$B$77:$H$100,AT$144,FALSE)</f>
        <v>#N/A</v>
      </c>
      <c r="AU156" s="1137" t="e">
        <f>VLOOKUP($AK156,ROSGO!$B$77:$H$100,AU$144,FALSE)</f>
        <v>#N/A</v>
      </c>
      <c r="AV156" s="1137">
        <f>VLOOKUP($AK156,ROSGO!$B$77:$H$100,AV$144,FALSE)</f>
        <v>6.0810810810810814E-2</v>
      </c>
      <c r="AW156" s="1137" t="e">
        <f>VLOOKUP($AK156,ROSGO!$B$184:$H$207,AR$144,FALSE)</f>
        <v>#N/A</v>
      </c>
      <c r="AX156" s="1137" t="e">
        <f>VLOOKUP($AK156,ROSGO!$B$184:$H$207,AS$144,FALSE)</f>
        <v>#N/A</v>
      </c>
      <c r="AY156" s="1137" t="e">
        <f>VLOOKUP($AK156,ROSGO!$B$184:$H$207,AT$144,FALSE)</f>
        <v>#N/A</v>
      </c>
      <c r="AZ156" s="1137" t="e">
        <f>VLOOKUP($AK156,ROSGO!$B$184:$H$207,AU$144,FALSE)</f>
        <v>#N/A</v>
      </c>
      <c r="BA156" s="1137" t="e">
        <f>VLOOKUP($AK156,ROSGO!$B$184:$H$207,AV$144,FALSE)</f>
        <v>#N/A</v>
      </c>
    </row>
    <row r="157" spans="1:53" ht="14.25" customHeight="1" x14ac:dyDescent="0.2">
      <c r="A157" s="118"/>
      <c r="B157" s="58"/>
      <c r="C157" s="58"/>
      <c r="D157" s="61"/>
      <c r="E157" s="61"/>
      <c r="F157" s="61"/>
      <c r="G157" s="61"/>
      <c r="H157" s="61"/>
      <c r="I157" s="61"/>
      <c r="J157" s="61"/>
      <c r="K157" s="12"/>
      <c r="L157" s="14"/>
      <c r="M157" s="14"/>
      <c r="N157" s="14"/>
      <c r="O157" s="14"/>
      <c r="P157" s="9"/>
      <c r="Q157" s="9"/>
      <c r="R157" s="9"/>
      <c r="S157" s="9"/>
      <c r="T157" s="9"/>
      <c r="U157" s="117"/>
      <c r="V157" s="137"/>
      <c r="W157" s="150"/>
      <c r="Y157" s="190"/>
      <c r="AI157" s="202"/>
      <c r="AJ157" s="160"/>
      <c r="AK157" s="87" t="str">
        <f t="shared" si="34"/>
        <v>Oxfordshire</v>
      </c>
      <c r="AL157" s="146" t="e">
        <f t="shared" si="35"/>
        <v>#N/A</v>
      </c>
      <c r="AM157" s="146" t="e">
        <f t="shared" si="35"/>
        <v>#N/A</v>
      </c>
      <c r="AN157" s="146" t="e">
        <f t="shared" si="35"/>
        <v>#N/A</v>
      </c>
      <c r="AO157" s="146" t="e">
        <f t="shared" si="35"/>
        <v>#N/A</v>
      </c>
      <c r="AP157" s="146" t="e">
        <f t="shared" si="35"/>
        <v>#N/A</v>
      </c>
      <c r="AQ157" s="1136" t="e">
        <f t="shared" si="36"/>
        <v>#N/A</v>
      </c>
      <c r="AR157" s="1137">
        <f>VLOOKUP($AK157,ROSGO!$B$77:$H$100,AR$144,FALSE)</f>
        <v>3.5714285714285712E-2</v>
      </c>
      <c r="AS157" s="1137">
        <f>VLOOKUP($AK157,ROSGO!$B$77:$H$100,AS$144,FALSE)</f>
        <v>6.9930069930069935E-2</v>
      </c>
      <c r="AT157" s="1137">
        <f>VLOOKUP($AK157,ROSGO!$B$77:$H$100,AT$144,FALSE)</f>
        <v>2.6845637583892617E-2</v>
      </c>
      <c r="AU157" s="1137">
        <f>VLOOKUP($AK157,ROSGO!$B$77:$H$100,AU$144,FALSE)</f>
        <v>6.95970695970696E-2</v>
      </c>
      <c r="AV157" s="1137">
        <f>VLOOKUP($AK157,ROSGO!$B$77:$H$100,AV$144,FALSE)</f>
        <v>5.2795031055900624E-2</v>
      </c>
      <c r="AW157" s="1137" t="e">
        <f>VLOOKUP($AK157,ROSGO!$B$184:$H$207,AR$144,FALSE)</f>
        <v>#N/A</v>
      </c>
      <c r="AX157" s="1137" t="e">
        <f>VLOOKUP($AK157,ROSGO!$B$184:$H$207,AS$144,FALSE)</f>
        <v>#N/A</v>
      </c>
      <c r="AY157" s="1137" t="e">
        <f>VLOOKUP($AK157,ROSGO!$B$184:$H$207,AT$144,FALSE)</f>
        <v>#N/A</v>
      </c>
      <c r="AZ157" s="1137" t="e">
        <f>VLOOKUP($AK157,ROSGO!$B$184:$H$207,AU$144,FALSE)</f>
        <v>#N/A</v>
      </c>
      <c r="BA157" s="1137" t="e">
        <f>VLOOKUP($AK157,ROSGO!$B$184:$H$207,AV$144,FALSE)</f>
        <v>#N/A</v>
      </c>
    </row>
    <row r="158" spans="1:53" ht="14.25" customHeight="1" x14ac:dyDescent="0.2">
      <c r="A158" s="118"/>
      <c r="B158" s="67"/>
      <c r="C158" s="67"/>
      <c r="D158" s="58"/>
      <c r="E158" s="58"/>
      <c r="F158" s="58"/>
      <c r="G158" s="58"/>
      <c r="H158" s="58"/>
      <c r="I158" s="58"/>
      <c r="J158" s="58"/>
      <c r="K158" s="12"/>
      <c r="L158" s="14"/>
      <c r="M158" s="14"/>
      <c r="N158" s="14"/>
      <c r="O158" s="14"/>
      <c r="P158" s="9"/>
      <c r="Q158" s="9"/>
      <c r="R158" s="9"/>
      <c r="S158" s="9"/>
      <c r="T158" s="9"/>
      <c r="U158" s="117"/>
      <c r="V158" s="137"/>
      <c r="W158" s="150"/>
      <c r="Y158" s="190"/>
      <c r="AI158" s="202"/>
      <c r="AJ158" s="160"/>
      <c r="AK158" s="87" t="str">
        <f t="shared" si="34"/>
        <v>Portsmouth</v>
      </c>
      <c r="AL158" s="146" t="e">
        <f t="shared" ref="AL158:AP171" si="37">VLOOKUP($AK158,$B$118:$P$140,AL$144,FALSE)</f>
        <v>#N/A</v>
      </c>
      <c r="AM158" s="146" t="e">
        <f t="shared" si="37"/>
        <v>#N/A</v>
      </c>
      <c r="AN158" s="146" t="e">
        <f t="shared" si="37"/>
        <v>#N/A</v>
      </c>
      <c r="AO158" s="146" t="e">
        <f t="shared" si="37"/>
        <v>#N/A</v>
      </c>
      <c r="AP158" s="146" t="e">
        <f t="shared" si="37"/>
        <v>#N/A</v>
      </c>
      <c r="AQ158" s="1136" t="e">
        <f t="shared" si="36"/>
        <v>#N/A</v>
      </c>
      <c r="AR158" s="1137">
        <f>VLOOKUP($AK158,ROSGO!$B$77:$H$100,AR$144,FALSE)</f>
        <v>0.11904761904761904</v>
      </c>
      <c r="AS158" s="1137" t="e">
        <f>VLOOKUP($AK158,ROSGO!$B$77:$H$100,AS$144,FALSE)</f>
        <v>#N/A</v>
      </c>
      <c r="AT158" s="1137">
        <f>VLOOKUP($AK158,ROSGO!$B$77:$H$100,AT$144,FALSE)</f>
        <v>4.3010752688172046E-2</v>
      </c>
      <c r="AU158" s="1137">
        <f>VLOOKUP($AK158,ROSGO!$B$77:$H$100,AU$144,FALSE)</f>
        <v>6.2111801242236024E-2</v>
      </c>
      <c r="AV158" s="1137">
        <f>VLOOKUP($AK158,ROSGO!$B$77:$H$100,AV$144,FALSE)</f>
        <v>0</v>
      </c>
      <c r="AW158" s="1137" t="e">
        <f>VLOOKUP($AK158,ROSGO!$B$184:$H$207,AR$144,FALSE)</f>
        <v>#N/A</v>
      </c>
      <c r="AX158" s="1137" t="e">
        <f>VLOOKUP($AK158,ROSGO!$B$184:$H$207,AS$144,FALSE)</f>
        <v>#N/A</v>
      </c>
      <c r="AY158" s="1137" t="e">
        <f>VLOOKUP($AK158,ROSGO!$B$184:$H$207,AT$144,FALSE)</f>
        <v>#N/A</v>
      </c>
      <c r="AZ158" s="1137" t="e">
        <f>VLOOKUP($AK158,ROSGO!$B$184:$H$207,AU$144,FALSE)</f>
        <v>#N/A</v>
      </c>
      <c r="BA158" s="1137" t="e">
        <f>VLOOKUP($AK158,ROSGO!$B$184:$H$207,AV$144,FALSE)</f>
        <v>#N/A</v>
      </c>
    </row>
    <row r="159" spans="1:53" ht="14.25" customHeight="1" x14ac:dyDescent="0.2">
      <c r="A159" s="118"/>
      <c r="B159" s="67"/>
      <c r="C159" s="67"/>
      <c r="D159" s="58"/>
      <c r="E159" s="58"/>
      <c r="F159" s="58"/>
      <c r="G159" s="58"/>
      <c r="H159" s="58"/>
      <c r="I159" s="58"/>
      <c r="J159" s="58"/>
      <c r="K159" s="12"/>
      <c r="L159" s="14"/>
      <c r="M159" s="14"/>
      <c r="N159" s="14"/>
      <c r="O159" s="14"/>
      <c r="P159" s="9"/>
      <c r="Q159" s="9"/>
      <c r="R159" s="9"/>
      <c r="S159" s="9"/>
      <c r="T159" s="9"/>
      <c r="U159" s="117"/>
      <c r="V159" s="137"/>
      <c r="W159" s="150"/>
      <c r="Y159" s="190"/>
      <c r="AI159" s="202"/>
      <c r="AJ159" s="160"/>
      <c r="AK159" s="87" t="str">
        <f t="shared" si="34"/>
        <v>Reading</v>
      </c>
      <c r="AL159" s="146" t="e">
        <f t="shared" si="37"/>
        <v>#N/A</v>
      </c>
      <c r="AM159" s="146" t="e">
        <f t="shared" si="37"/>
        <v>#N/A</v>
      </c>
      <c r="AN159" s="146" t="e">
        <f t="shared" si="37"/>
        <v>#N/A</v>
      </c>
      <c r="AO159" s="146" t="e">
        <f t="shared" si="37"/>
        <v>#N/A</v>
      </c>
      <c r="AP159" s="146" t="e">
        <f t="shared" si="37"/>
        <v>#N/A</v>
      </c>
      <c r="AQ159" s="1136" t="e">
        <f t="shared" si="36"/>
        <v>#N/A</v>
      </c>
      <c r="AR159" s="1137">
        <f>VLOOKUP($AK159,ROSGO!$B$77:$H$100,AR$144,FALSE)</f>
        <v>8.1300813008130079E-2</v>
      </c>
      <c r="AS159" s="1137">
        <f>VLOOKUP($AK159,ROSGO!$B$77:$H$100,AS$144,FALSE)</f>
        <v>0</v>
      </c>
      <c r="AT159" s="1137" t="e">
        <f>VLOOKUP($AK159,ROSGO!$B$77:$H$100,AT$144,FALSE)</f>
        <v>#N/A</v>
      </c>
      <c r="AU159" s="1137">
        <f>VLOOKUP($AK159,ROSGO!$B$77:$H$100,AU$144,FALSE)</f>
        <v>0</v>
      </c>
      <c r="AV159" s="1137">
        <f>VLOOKUP($AK159,ROSGO!$B$77:$H$100,AV$144,FALSE)</f>
        <v>0</v>
      </c>
      <c r="AW159" s="1137" t="e">
        <f>VLOOKUP($AK159,ROSGO!$B$184:$H$207,AR$144,FALSE)</f>
        <v>#N/A</v>
      </c>
      <c r="AX159" s="1137" t="e">
        <f>VLOOKUP($AK159,ROSGO!$B$184:$H$207,AS$144,FALSE)</f>
        <v>#N/A</v>
      </c>
      <c r="AY159" s="1137" t="e">
        <f>VLOOKUP($AK159,ROSGO!$B$184:$H$207,AT$144,FALSE)</f>
        <v>#N/A</v>
      </c>
      <c r="AZ159" s="1137" t="e">
        <f>VLOOKUP($AK159,ROSGO!$B$184:$H$207,AU$144,FALSE)</f>
        <v>#N/A</v>
      </c>
      <c r="BA159" s="1137" t="e">
        <f>VLOOKUP($AK159,ROSGO!$B$184:$H$207,AV$144,FALSE)</f>
        <v>#N/A</v>
      </c>
    </row>
    <row r="160" spans="1:53" ht="14.25" customHeight="1" x14ac:dyDescent="0.2">
      <c r="A160" s="118"/>
      <c r="B160" s="67"/>
      <c r="C160" s="67"/>
      <c r="D160" s="58"/>
      <c r="E160" s="58"/>
      <c r="F160" s="58"/>
      <c r="G160" s="58"/>
      <c r="H160" s="58"/>
      <c r="I160" s="58"/>
      <c r="J160" s="58"/>
      <c r="K160" s="12"/>
      <c r="L160" s="14"/>
      <c r="M160" s="14"/>
      <c r="N160" s="14"/>
      <c r="O160" s="14"/>
      <c r="P160" s="9"/>
      <c r="Q160" s="9"/>
      <c r="R160" s="9"/>
      <c r="S160" s="9"/>
      <c r="T160" s="9"/>
      <c r="U160" s="117"/>
      <c r="V160" s="137"/>
      <c r="W160" s="150"/>
      <c r="Y160" s="190"/>
      <c r="AI160" s="202"/>
      <c r="AJ160" s="160"/>
      <c r="AK160" s="87" t="str">
        <f t="shared" si="34"/>
        <v>Slough</v>
      </c>
      <c r="AL160" s="146" t="e">
        <f t="shared" si="37"/>
        <v>#N/A</v>
      </c>
      <c r="AM160" s="146" t="e">
        <f t="shared" si="37"/>
        <v>#N/A</v>
      </c>
      <c r="AN160" s="146" t="e">
        <f t="shared" si="37"/>
        <v>#N/A</v>
      </c>
      <c r="AO160" s="146" t="e">
        <f t="shared" si="37"/>
        <v>#N/A</v>
      </c>
      <c r="AP160" s="146" t="e">
        <f t="shared" si="37"/>
        <v>#N/A</v>
      </c>
      <c r="AQ160" s="1136" t="e">
        <f t="shared" si="36"/>
        <v>#N/A</v>
      </c>
      <c r="AR160" s="1137">
        <f>VLOOKUP($AK160,ROSGO!$B$77:$H$100,AR$144,FALSE)</f>
        <v>6.4935064935064929E-2</v>
      </c>
      <c r="AS160" s="1137">
        <f>VLOOKUP($AK160,ROSGO!$B$77:$H$100,AS$144,FALSE)</f>
        <v>8.0357142857142863E-2</v>
      </c>
      <c r="AT160" s="1137" t="e">
        <f>VLOOKUP($AK160,ROSGO!$B$77:$H$100,AT$144,FALSE)</f>
        <v>#N/A</v>
      </c>
      <c r="AU160" s="1137" t="e">
        <f>VLOOKUP($AK160,ROSGO!$B$77:$H$100,AU$144,FALSE)</f>
        <v>#N/A</v>
      </c>
      <c r="AV160" s="1137">
        <f>VLOOKUP($AK160,ROSGO!$B$77:$H$100,AV$144,FALSE)</f>
        <v>0</v>
      </c>
      <c r="AW160" s="1137" t="e">
        <f>VLOOKUP($AK160,ROSGO!$B$184:$H$207,AR$144,FALSE)</f>
        <v>#N/A</v>
      </c>
      <c r="AX160" s="1137" t="e">
        <f>VLOOKUP($AK160,ROSGO!$B$184:$H$207,AS$144,FALSE)</f>
        <v>#N/A</v>
      </c>
      <c r="AY160" s="1137" t="e">
        <f>VLOOKUP($AK160,ROSGO!$B$184:$H$207,AT$144,FALSE)</f>
        <v>#N/A</v>
      </c>
      <c r="AZ160" s="1137" t="e">
        <f>VLOOKUP($AK160,ROSGO!$B$184:$H$207,AU$144,FALSE)</f>
        <v>#N/A</v>
      </c>
      <c r="BA160" s="1137" t="e">
        <f>VLOOKUP($AK160,ROSGO!$B$184:$H$207,AV$144,FALSE)</f>
        <v>#N/A</v>
      </c>
    </row>
    <row r="161" spans="1:53" ht="14.25" customHeight="1" x14ac:dyDescent="0.2">
      <c r="A161" s="118"/>
      <c r="B161" s="67"/>
      <c r="C161" s="67"/>
      <c r="D161" s="58"/>
      <c r="E161" s="58"/>
      <c r="F161" s="58"/>
      <c r="G161" s="58"/>
      <c r="H161" s="58"/>
      <c r="I161" s="58"/>
      <c r="J161" s="58"/>
      <c r="K161" s="12"/>
      <c r="L161" s="14"/>
      <c r="M161" s="14"/>
      <c r="N161" s="14"/>
      <c r="O161" s="14"/>
      <c r="P161" s="9"/>
      <c r="Q161" s="9"/>
      <c r="R161" s="9"/>
      <c r="S161" s="9"/>
      <c r="T161" s="9"/>
      <c r="U161" s="117"/>
      <c r="V161" s="137"/>
      <c r="W161" s="150"/>
      <c r="Y161" s="190"/>
      <c r="AI161" s="202"/>
      <c r="AJ161" s="160"/>
      <c r="AK161" s="87" t="str">
        <f t="shared" si="34"/>
        <v>Somerset</v>
      </c>
      <c r="AL161" s="146" t="e">
        <f t="shared" si="37"/>
        <v>#N/A</v>
      </c>
      <c r="AM161" s="146" t="e">
        <f t="shared" si="37"/>
        <v>#N/A</v>
      </c>
      <c r="AN161" s="146" t="e">
        <f t="shared" si="37"/>
        <v>#N/A</v>
      </c>
      <c r="AO161" s="146" t="e">
        <f t="shared" si="37"/>
        <v>#N/A</v>
      </c>
      <c r="AP161" s="146" t="e">
        <f t="shared" si="37"/>
        <v>#N/A</v>
      </c>
      <c r="AQ161" s="1136" t="e">
        <f t="shared" si="36"/>
        <v>#N/A</v>
      </c>
      <c r="AR161" s="1137" t="e">
        <f>VLOOKUP($AK161,ROSGO!$B$77:$H$100,AR$144,FALSE)</f>
        <v>#N/A</v>
      </c>
      <c r="AS161" s="1137">
        <f>VLOOKUP($AK161,ROSGO!$B$77:$H$100,AS$144,FALSE)</f>
        <v>4.5977011494252873E-2</v>
      </c>
      <c r="AT161" s="1137">
        <f>VLOOKUP($AK161,ROSGO!$B$77:$H$100,AT$144,FALSE)</f>
        <v>2.6905829596412557E-2</v>
      </c>
      <c r="AU161" s="1137" t="e">
        <f>VLOOKUP($AK161,ROSGO!$B$77:$H$100,AU$144,FALSE)</f>
        <v>#N/A</v>
      </c>
      <c r="AV161" s="1137">
        <f>VLOOKUP($AK161,ROSGO!$B$77:$H$100,AV$144,FALSE)</f>
        <v>5.5837563451776651E-2</v>
      </c>
      <c r="AW161" s="1137" t="e">
        <f>VLOOKUP($AK161,ROSGO!$B$184:$H$207,AR$144,FALSE)</f>
        <v>#N/A</v>
      </c>
      <c r="AX161" s="1137" t="e">
        <f>VLOOKUP($AK161,ROSGO!$B$184:$H$207,AS$144,FALSE)</f>
        <v>#N/A</v>
      </c>
      <c r="AY161" s="1137" t="e">
        <f>VLOOKUP($AK161,ROSGO!$B$184:$H$207,AT$144,FALSE)</f>
        <v>#N/A</v>
      </c>
      <c r="AZ161" s="1137" t="e">
        <f>VLOOKUP($AK161,ROSGO!$B$184:$H$207,AU$144,FALSE)</f>
        <v>#N/A</v>
      </c>
      <c r="BA161" s="1137" t="e">
        <f>VLOOKUP($AK161,ROSGO!$B$184:$H$207,AV$144,FALSE)</f>
        <v>#N/A</v>
      </c>
    </row>
    <row r="162" spans="1:53" ht="14.25" customHeight="1" x14ac:dyDescent="0.2">
      <c r="A162" s="118"/>
      <c r="B162" s="67"/>
      <c r="C162" s="67"/>
      <c r="D162" s="58"/>
      <c r="E162" s="58"/>
      <c r="F162" s="58"/>
      <c r="G162" s="58"/>
      <c r="H162" s="58"/>
      <c r="I162" s="58"/>
      <c r="J162" s="58"/>
      <c r="K162" s="12"/>
      <c r="L162" s="14"/>
      <c r="M162" s="14"/>
      <c r="N162" s="14"/>
      <c r="O162" s="14"/>
      <c r="P162" s="9"/>
      <c r="Q162" s="9"/>
      <c r="R162" s="9"/>
      <c r="S162" s="9"/>
      <c r="T162" s="9"/>
      <c r="U162" s="117"/>
      <c r="V162" s="137"/>
      <c r="W162" s="150"/>
      <c r="Y162" s="190"/>
      <c r="AI162" s="202"/>
      <c r="AJ162" s="160"/>
      <c r="AK162" s="87" t="str">
        <f t="shared" si="34"/>
        <v>Southampton</v>
      </c>
      <c r="AL162" s="146" t="e">
        <f t="shared" si="37"/>
        <v>#N/A</v>
      </c>
      <c r="AM162" s="146" t="e">
        <f t="shared" si="37"/>
        <v>#N/A</v>
      </c>
      <c r="AN162" s="146" t="e">
        <f t="shared" si="37"/>
        <v>#N/A</v>
      </c>
      <c r="AO162" s="146" t="e">
        <f t="shared" si="37"/>
        <v>#N/A</v>
      </c>
      <c r="AP162" s="146" t="e">
        <f t="shared" si="37"/>
        <v>#N/A</v>
      </c>
      <c r="AQ162" s="1136" t="e">
        <f t="shared" si="36"/>
        <v>#N/A</v>
      </c>
      <c r="AR162" s="1137" t="e">
        <f>VLOOKUP($AK162,ROSGO!$B$77:$H$100,AR$144,FALSE)</f>
        <v>#N/A</v>
      </c>
      <c r="AS162" s="1137" t="e">
        <f>VLOOKUP($AK162,ROSGO!$B$77:$H$100,AS$144,FALSE)</f>
        <v>#N/A</v>
      </c>
      <c r="AT162" s="1137">
        <f>VLOOKUP($AK162,ROSGO!$B$77:$H$100,AT$144,FALSE)</f>
        <v>6.5989847715736044E-2</v>
      </c>
      <c r="AU162" s="1137">
        <f>VLOOKUP($AK162,ROSGO!$B$77:$H$100,AU$144,FALSE)</f>
        <v>3.7383177570093455E-2</v>
      </c>
      <c r="AV162" s="1137">
        <f>VLOOKUP($AK162,ROSGO!$B$77:$H$100,AV$144,FALSE)</f>
        <v>0.10552763819095477</v>
      </c>
      <c r="AW162" s="1137" t="e">
        <f>VLOOKUP($AK162,ROSGO!$B$184:$H$207,AR$144,FALSE)</f>
        <v>#N/A</v>
      </c>
      <c r="AX162" s="1137" t="e">
        <f>VLOOKUP($AK162,ROSGO!$B$184:$H$207,AS$144,FALSE)</f>
        <v>#N/A</v>
      </c>
      <c r="AY162" s="1137" t="e">
        <f>VLOOKUP($AK162,ROSGO!$B$184:$H$207,AT$144,FALSE)</f>
        <v>#N/A</v>
      </c>
      <c r="AZ162" s="1137" t="e">
        <f>VLOOKUP($AK162,ROSGO!$B$184:$H$207,AU$144,FALSE)</f>
        <v>#N/A</v>
      </c>
      <c r="BA162" s="1137" t="e">
        <f>VLOOKUP($AK162,ROSGO!$B$184:$H$207,AV$144,FALSE)</f>
        <v>#N/A</v>
      </c>
    </row>
    <row r="163" spans="1:53" ht="14.25" customHeight="1" x14ac:dyDescent="0.2">
      <c r="A163" s="118"/>
      <c r="B163" s="67"/>
      <c r="C163" s="67"/>
      <c r="D163" s="58"/>
      <c r="E163" s="58"/>
      <c r="F163" s="58"/>
      <c r="G163" s="58"/>
      <c r="H163" s="58"/>
      <c r="I163" s="58"/>
      <c r="J163" s="58"/>
      <c r="K163" s="12"/>
      <c r="L163" s="14"/>
      <c r="M163" s="14"/>
      <c r="N163" s="14"/>
      <c r="O163" s="14"/>
      <c r="P163" s="9"/>
      <c r="Q163" s="9"/>
      <c r="R163" s="9"/>
      <c r="S163" s="9"/>
      <c r="T163" s="9"/>
      <c r="U163" s="117"/>
      <c r="V163" s="137"/>
      <c r="W163" s="150"/>
      <c r="Y163" s="190"/>
      <c r="AI163" s="202"/>
      <c r="AJ163" s="160"/>
      <c r="AK163" s="87" t="str">
        <f t="shared" si="34"/>
        <v>Surrey</v>
      </c>
      <c r="AL163" s="146" t="e">
        <f t="shared" si="37"/>
        <v>#N/A</v>
      </c>
      <c r="AM163" s="146" t="e">
        <f t="shared" si="37"/>
        <v>#N/A</v>
      </c>
      <c r="AN163" s="146" t="e">
        <f t="shared" si="37"/>
        <v>#N/A</v>
      </c>
      <c r="AO163" s="146" t="e">
        <f t="shared" si="37"/>
        <v>#N/A</v>
      </c>
      <c r="AP163" s="146" t="e">
        <f t="shared" si="37"/>
        <v>#N/A</v>
      </c>
      <c r="AQ163" s="1136" t="e">
        <f t="shared" si="36"/>
        <v>#N/A</v>
      </c>
      <c r="AR163" s="1137">
        <f>VLOOKUP($AK163,ROSGO!$B$77:$H$100,AR$144,FALSE)</f>
        <v>3.7037037037037035E-2</v>
      </c>
      <c r="AS163" s="1137">
        <f>VLOOKUP($AK163,ROSGO!$B$77:$H$100,AS$144,FALSE)</f>
        <v>1.6706443914081145E-2</v>
      </c>
      <c r="AT163" s="1137">
        <f>VLOOKUP($AK163,ROSGO!$B$77:$H$100,AT$144,FALSE)</f>
        <v>3.1784841075794622E-2</v>
      </c>
      <c r="AU163" s="1137">
        <f>VLOOKUP($AK163,ROSGO!$B$77:$H$100,AU$144,FALSE)</f>
        <v>2.7918781725888325E-2</v>
      </c>
      <c r="AV163" s="1137">
        <f>VLOOKUP($AK163,ROSGO!$B$77:$H$100,AV$144,FALSE)</f>
        <v>2.7397260273972601E-2</v>
      </c>
      <c r="AW163" s="1137" t="e">
        <f>VLOOKUP($AK163,ROSGO!$B$184:$H$207,AR$144,FALSE)</f>
        <v>#N/A</v>
      </c>
      <c r="AX163" s="1137" t="e">
        <f>VLOOKUP($AK163,ROSGO!$B$184:$H$207,AS$144,FALSE)</f>
        <v>#N/A</v>
      </c>
      <c r="AY163" s="1137" t="e">
        <f>VLOOKUP($AK163,ROSGO!$B$184:$H$207,AT$144,FALSE)</f>
        <v>#N/A</v>
      </c>
      <c r="AZ163" s="1137" t="e">
        <f>VLOOKUP($AK163,ROSGO!$B$184:$H$207,AU$144,FALSE)</f>
        <v>#N/A</v>
      </c>
      <c r="BA163" s="1137" t="e">
        <f>VLOOKUP($AK163,ROSGO!$B$184:$H$207,AV$144,FALSE)</f>
        <v>#N/A</v>
      </c>
    </row>
    <row r="164" spans="1:53" ht="14.25" customHeight="1" x14ac:dyDescent="0.2">
      <c r="A164" s="118"/>
      <c r="B164" s="67"/>
      <c r="C164" s="67"/>
      <c r="D164" s="58"/>
      <c r="E164" s="58"/>
      <c r="F164" s="58"/>
      <c r="G164" s="58"/>
      <c r="H164" s="58"/>
      <c r="I164" s="58"/>
      <c r="J164" s="58"/>
      <c r="K164" s="12"/>
      <c r="L164" s="14"/>
      <c r="M164" s="14"/>
      <c r="N164" s="14"/>
      <c r="O164" s="14"/>
      <c r="P164" s="9"/>
      <c r="Q164" s="9"/>
      <c r="R164" s="9"/>
      <c r="S164" s="9"/>
      <c r="T164" s="9"/>
      <c r="U164" s="117"/>
      <c r="V164" s="137"/>
      <c r="W164" s="150"/>
      <c r="Y164" s="190"/>
      <c r="AI164" s="202"/>
      <c r="AJ164" s="160"/>
      <c r="AK164" s="87" t="str">
        <f t="shared" si="34"/>
        <v>Swindon</v>
      </c>
      <c r="AL164" s="146" t="e">
        <f t="shared" si="37"/>
        <v>#N/A</v>
      </c>
      <c r="AM164" s="146" t="e">
        <f t="shared" si="37"/>
        <v>#N/A</v>
      </c>
      <c r="AN164" s="146" t="e">
        <f t="shared" si="37"/>
        <v>#N/A</v>
      </c>
      <c r="AO164" s="146" t="e">
        <f t="shared" si="37"/>
        <v>#N/A</v>
      </c>
      <c r="AP164" s="146" t="e">
        <f t="shared" si="37"/>
        <v>#N/A</v>
      </c>
      <c r="AQ164" s="1136" t="e">
        <f t="shared" si="36"/>
        <v>#N/A</v>
      </c>
      <c r="AR164" s="1137" t="e">
        <f>VLOOKUP($AK164,ROSGO!$B$77:$H$100,AR$144,FALSE)</f>
        <v>#N/A</v>
      </c>
      <c r="AS164" s="1137">
        <f>VLOOKUP($AK164,ROSGO!$B$77:$H$100,AS$144,FALSE)</f>
        <v>6.6666666666666666E-2</v>
      </c>
      <c r="AT164" s="1137">
        <f>VLOOKUP($AK164,ROSGO!$B$77:$H$100,AT$144,FALSE)</f>
        <v>5.1612903225806452E-2</v>
      </c>
      <c r="AU164" s="1137" t="e">
        <f>VLOOKUP($AK164,ROSGO!$B$77:$H$100,AU$144,FALSE)</f>
        <v>#N/A</v>
      </c>
      <c r="AV164" s="1137">
        <f>VLOOKUP($AK164,ROSGO!$B$77:$H$100,AV$144,FALSE)</f>
        <v>0</v>
      </c>
      <c r="AW164" s="1137" t="e">
        <f>VLOOKUP($AK164,ROSGO!$B$184:$H$207,AR$144,FALSE)</f>
        <v>#N/A</v>
      </c>
      <c r="AX164" s="1137" t="e">
        <f>VLOOKUP($AK164,ROSGO!$B$184:$H$207,AS$144,FALSE)</f>
        <v>#N/A</v>
      </c>
      <c r="AY164" s="1137" t="e">
        <f>VLOOKUP($AK164,ROSGO!$B$184:$H$207,AT$144,FALSE)</f>
        <v>#N/A</v>
      </c>
      <c r="AZ164" s="1137" t="e">
        <f>VLOOKUP($AK164,ROSGO!$B$184:$H$207,AU$144,FALSE)</f>
        <v>#N/A</v>
      </c>
      <c r="BA164" s="1137" t="e">
        <f>VLOOKUP($AK164,ROSGO!$B$184:$H$207,AV$144,FALSE)</f>
        <v>#N/A</v>
      </c>
    </row>
    <row r="165" spans="1:53" ht="14.25" customHeight="1" x14ac:dyDescent="0.2">
      <c r="A165" s="278"/>
      <c r="B165" s="67"/>
      <c r="C165" s="67"/>
      <c r="D165" s="58"/>
      <c r="E165" s="58"/>
      <c r="F165" s="58"/>
      <c r="G165" s="58"/>
      <c r="H165" s="58"/>
      <c r="I165" s="58"/>
      <c r="J165" s="58"/>
      <c r="K165" s="12"/>
      <c r="L165" s="14"/>
      <c r="M165" s="14"/>
      <c r="N165" s="14"/>
      <c r="O165" s="14"/>
      <c r="P165" s="9"/>
      <c r="Q165" s="9"/>
      <c r="R165" s="9"/>
      <c r="S165" s="9"/>
      <c r="T165" s="9"/>
      <c r="U165" s="117"/>
      <c r="V165" s="137"/>
      <c r="W165" s="150"/>
      <c r="Y165" s="190"/>
      <c r="AI165" s="202"/>
      <c r="AJ165" s="160"/>
      <c r="AK165" s="87" t="str">
        <f t="shared" si="34"/>
        <v>Torbay</v>
      </c>
      <c r="AL165" s="146" t="e">
        <f t="shared" si="37"/>
        <v>#N/A</v>
      </c>
      <c r="AM165" s="146" t="e">
        <f t="shared" si="37"/>
        <v>#N/A</v>
      </c>
      <c r="AN165" s="146" t="e">
        <f t="shared" si="37"/>
        <v>#N/A</v>
      </c>
      <c r="AO165" s="146" t="e">
        <f t="shared" si="37"/>
        <v>#N/A</v>
      </c>
      <c r="AP165" s="146" t="e">
        <f t="shared" si="37"/>
        <v>#N/A</v>
      </c>
      <c r="AQ165" s="1136" t="e">
        <f t="shared" si="36"/>
        <v>#N/A</v>
      </c>
      <c r="AR165" s="1137">
        <f>VLOOKUP($AK165,ROSGO!$B$77:$H$100,AR$144,FALSE)</f>
        <v>0.04</v>
      </c>
      <c r="AS165" s="1137">
        <f>VLOOKUP($AK165,ROSGO!$B$77:$H$100,AS$144,FALSE)</f>
        <v>0.1111111111111111</v>
      </c>
      <c r="AT165" s="1137">
        <f>VLOOKUP($AK165,ROSGO!$B$77:$H$100,AT$144,FALSE)</f>
        <v>5.8823529411764705E-2</v>
      </c>
      <c r="AU165" s="1137">
        <f>VLOOKUP($AK165,ROSGO!$B$77:$H$100,AU$144,FALSE)</f>
        <v>6.7796610169491525E-2</v>
      </c>
      <c r="AV165" s="1137">
        <f>VLOOKUP($AK165,ROSGO!$B$77:$H$100,AV$144,FALSE)</f>
        <v>0</v>
      </c>
      <c r="AW165" s="1137" t="e">
        <f>VLOOKUP($AK165,ROSGO!$B$184:$H$207,AR$144,FALSE)</f>
        <v>#N/A</v>
      </c>
      <c r="AX165" s="1137" t="e">
        <f>VLOOKUP($AK165,ROSGO!$B$184:$H$207,AS$144,FALSE)</f>
        <v>#N/A</v>
      </c>
      <c r="AY165" s="1137" t="e">
        <f>VLOOKUP($AK165,ROSGO!$B$184:$H$207,AT$144,FALSE)</f>
        <v>#N/A</v>
      </c>
      <c r="AZ165" s="1137" t="e">
        <f>VLOOKUP($AK165,ROSGO!$B$184:$H$207,AU$144,FALSE)</f>
        <v>#N/A</v>
      </c>
      <c r="BA165" s="1137" t="e">
        <f>VLOOKUP($AK165,ROSGO!$B$184:$H$207,AV$144,FALSE)</f>
        <v>#N/A</v>
      </c>
    </row>
    <row r="166" spans="1:53" ht="14.25" customHeight="1" x14ac:dyDescent="0.2">
      <c r="A166" s="278"/>
      <c r="B166" s="67"/>
      <c r="C166" s="67"/>
      <c r="D166" s="58"/>
      <c r="E166" s="58"/>
      <c r="F166" s="58"/>
      <c r="G166" s="58"/>
      <c r="H166" s="58"/>
      <c r="I166" s="58"/>
      <c r="J166" s="58"/>
      <c r="K166" s="12"/>
      <c r="L166" s="14"/>
      <c r="M166" s="14"/>
      <c r="N166" s="14"/>
      <c r="O166" s="14"/>
      <c r="P166" s="9"/>
      <c r="Q166" s="9"/>
      <c r="R166" s="9"/>
      <c r="S166" s="9"/>
      <c r="T166" s="9"/>
      <c r="U166" s="117"/>
      <c r="V166" s="137"/>
      <c r="W166" s="150"/>
      <c r="Y166" s="190"/>
      <c r="AI166" s="202"/>
      <c r="AJ166" s="160"/>
      <c r="AK166" s="87" t="str">
        <f t="shared" si="34"/>
        <v>West Berkshire</v>
      </c>
      <c r="AL166" s="146" t="e">
        <f t="shared" si="37"/>
        <v>#N/A</v>
      </c>
      <c r="AM166" s="146" t="e">
        <f t="shared" si="37"/>
        <v>#N/A</v>
      </c>
      <c r="AN166" s="146" t="e">
        <f t="shared" si="37"/>
        <v>#N/A</v>
      </c>
      <c r="AO166" s="146" t="e">
        <f t="shared" si="37"/>
        <v>#N/A</v>
      </c>
      <c r="AP166" s="146" t="e">
        <f t="shared" si="37"/>
        <v>#N/A</v>
      </c>
      <c r="AQ166" s="1136" t="e">
        <f t="shared" si="36"/>
        <v>#N/A</v>
      </c>
      <c r="AR166" s="1137">
        <f>VLOOKUP($AK166,ROSGO!$B$77:$H$100,AR$144,FALSE)</f>
        <v>0.14492753623188406</v>
      </c>
      <c r="AS166" s="1137">
        <f>VLOOKUP($AK166,ROSGO!$B$77:$H$100,AS$144,FALSE)</f>
        <v>9.45945945945946E-2</v>
      </c>
      <c r="AT166" s="1137">
        <f>VLOOKUP($AK166,ROSGO!$B$77:$H$100,AT$144,FALSE)</f>
        <v>0.10465116279069768</v>
      </c>
      <c r="AU166" s="1137" t="e">
        <f>VLOOKUP($AK166,ROSGO!$B$77:$H$100,AU$144,FALSE)</f>
        <v>#N/A</v>
      </c>
      <c r="AV166" s="1137">
        <f>VLOOKUP($AK166,ROSGO!$B$77:$H$100,AV$144,FALSE)</f>
        <v>0</v>
      </c>
      <c r="AW166" s="1137" t="e">
        <f>VLOOKUP($AK166,ROSGO!$B$184:$H$207,AR$144,FALSE)</f>
        <v>#N/A</v>
      </c>
      <c r="AX166" s="1137" t="e">
        <f>VLOOKUP($AK166,ROSGO!$B$184:$H$207,AS$144,FALSE)</f>
        <v>#N/A</v>
      </c>
      <c r="AY166" s="1137" t="e">
        <f>VLOOKUP($AK166,ROSGO!$B$184:$H$207,AT$144,FALSE)</f>
        <v>#N/A</v>
      </c>
      <c r="AZ166" s="1137" t="e">
        <f>VLOOKUP($AK166,ROSGO!$B$184:$H$207,AU$144,FALSE)</f>
        <v>#N/A</v>
      </c>
      <c r="BA166" s="1137" t="e">
        <f>VLOOKUP($AK166,ROSGO!$B$184:$H$207,AV$144,FALSE)</f>
        <v>#N/A</v>
      </c>
    </row>
    <row r="167" spans="1:53" ht="14.25" customHeight="1" x14ac:dyDescent="0.2">
      <c r="A167" s="118"/>
      <c r="B167" s="67"/>
      <c r="C167" s="67"/>
      <c r="D167" s="58"/>
      <c r="E167" s="58"/>
      <c r="F167" s="58"/>
      <c r="G167" s="58"/>
      <c r="H167" s="58"/>
      <c r="I167" s="58"/>
      <c r="J167" s="58"/>
      <c r="K167" s="12"/>
      <c r="L167" s="14"/>
      <c r="M167" s="14"/>
      <c r="N167" s="14"/>
      <c r="O167" s="14"/>
      <c r="P167" s="9"/>
      <c r="Q167" s="9"/>
      <c r="R167" s="9"/>
      <c r="S167" s="9"/>
      <c r="T167" s="9"/>
      <c r="U167" s="117"/>
      <c r="V167" s="137"/>
      <c r="W167" s="150"/>
      <c r="Y167" s="190"/>
      <c r="AI167" s="202"/>
      <c r="AJ167" s="160"/>
      <c r="AK167" s="87" t="str">
        <f t="shared" si="34"/>
        <v>West Sussex</v>
      </c>
      <c r="AL167" s="146" t="e">
        <f t="shared" si="37"/>
        <v>#N/A</v>
      </c>
      <c r="AM167" s="146" t="e">
        <f t="shared" si="37"/>
        <v>#N/A</v>
      </c>
      <c r="AN167" s="146" t="e">
        <f t="shared" si="37"/>
        <v>#N/A</v>
      </c>
      <c r="AO167" s="146" t="e">
        <f t="shared" si="37"/>
        <v>#N/A</v>
      </c>
      <c r="AP167" s="146" t="e">
        <f t="shared" si="37"/>
        <v>#N/A</v>
      </c>
      <c r="AQ167" s="1136" t="e">
        <f t="shared" si="36"/>
        <v>#N/A</v>
      </c>
      <c r="AR167" s="1137" t="e">
        <f>VLOOKUP($AK167,ROSGO!$B$77:$H$100,AR$144,FALSE)</f>
        <v>#N/A</v>
      </c>
      <c r="AS167" s="1137">
        <f>VLOOKUP($AK167,ROSGO!$B$77:$H$100,AS$144,FALSE)</f>
        <v>0</v>
      </c>
      <c r="AT167" s="1137">
        <f>VLOOKUP($AK167,ROSGO!$B$77:$H$100,AT$144,FALSE)</f>
        <v>0</v>
      </c>
      <c r="AU167" s="1137" t="e">
        <f>VLOOKUP($AK167,ROSGO!$B$77:$H$100,AU$144,FALSE)</f>
        <v>#N/A</v>
      </c>
      <c r="AV167" s="1137">
        <f>VLOOKUP($AK167,ROSGO!$B$77:$H$100,AV$144,FALSE)</f>
        <v>0</v>
      </c>
      <c r="AW167" s="1137" t="e">
        <f>VLOOKUP($AK167,ROSGO!$B$184:$H$207,AR$144,FALSE)</f>
        <v>#N/A</v>
      </c>
      <c r="AX167" s="1137" t="e">
        <f>VLOOKUP($AK167,ROSGO!$B$184:$H$207,AS$144,FALSE)</f>
        <v>#N/A</v>
      </c>
      <c r="AY167" s="1137" t="e">
        <f>VLOOKUP($AK167,ROSGO!$B$184:$H$207,AT$144,FALSE)</f>
        <v>#N/A</v>
      </c>
      <c r="AZ167" s="1137" t="e">
        <f>VLOOKUP($AK167,ROSGO!$B$184:$H$207,AU$144,FALSE)</f>
        <v>#N/A</v>
      </c>
      <c r="BA167" s="1137" t="e">
        <f>VLOOKUP($AK167,ROSGO!$B$184:$H$207,AV$144,FALSE)</f>
        <v>#N/A</v>
      </c>
    </row>
    <row r="168" spans="1:53" s="81" customFormat="1" ht="14.25" customHeight="1" x14ac:dyDescent="0.2">
      <c r="A168" s="118"/>
      <c r="B168" s="67"/>
      <c r="C168" s="67"/>
      <c r="D168" s="58"/>
      <c r="E168" s="58"/>
      <c r="F168" s="58"/>
      <c r="G168" s="58"/>
      <c r="H168" s="58"/>
      <c r="I168" s="58"/>
      <c r="J168" s="58"/>
      <c r="K168" s="12"/>
      <c r="L168" s="14"/>
      <c r="M168" s="14"/>
      <c r="N168" s="14"/>
      <c r="O168" s="14"/>
      <c r="P168" s="9"/>
      <c r="Q168" s="9"/>
      <c r="R168" s="9"/>
      <c r="S168" s="9"/>
      <c r="T168" s="9"/>
      <c r="U168" s="117"/>
      <c r="V168" s="137"/>
      <c r="W168" s="150"/>
      <c r="Y168" s="190"/>
      <c r="AI168" s="202"/>
      <c r="AJ168" s="160"/>
      <c r="AK168" s="87" t="str">
        <f t="shared" si="34"/>
        <v>Windsor &amp; Maidenhead</v>
      </c>
      <c r="AL168" s="146" t="e">
        <f t="shared" si="37"/>
        <v>#N/A</v>
      </c>
      <c r="AM168" s="146" t="e">
        <f t="shared" si="37"/>
        <v>#N/A</v>
      </c>
      <c r="AN168" s="146" t="e">
        <f t="shared" si="37"/>
        <v>#N/A</v>
      </c>
      <c r="AO168" s="146" t="e">
        <f t="shared" si="37"/>
        <v>#N/A</v>
      </c>
      <c r="AP168" s="146" t="e">
        <f t="shared" si="37"/>
        <v>#N/A</v>
      </c>
      <c r="AQ168" s="1136" t="e">
        <f t="shared" si="36"/>
        <v>#N/A</v>
      </c>
      <c r="AR168" s="1137" t="e">
        <f>VLOOKUP($AK168,ROSGO!$B$77:$H$100,AR$144,FALSE)</f>
        <v>#N/A</v>
      </c>
      <c r="AS168" s="1137" t="e">
        <f>VLOOKUP($AK168,ROSGO!$B$77:$H$100,AS$144,FALSE)</f>
        <v>#N/A</v>
      </c>
      <c r="AT168" s="1137" t="e">
        <f>VLOOKUP($AK168,ROSGO!$B$77:$H$100,AT$144,FALSE)</f>
        <v>#N/A</v>
      </c>
      <c r="AU168" s="1137">
        <f>VLOOKUP($AK168,ROSGO!$B$77:$H$100,AU$144,FALSE)</f>
        <v>0</v>
      </c>
      <c r="AV168" s="1137">
        <f>VLOOKUP($AK168,ROSGO!$B$77:$H$100,AV$144,FALSE)</f>
        <v>0</v>
      </c>
      <c r="AW168" s="1137" t="e">
        <f>VLOOKUP($AK168,ROSGO!$B$184:$H$207,AR$144,FALSE)</f>
        <v>#N/A</v>
      </c>
      <c r="AX168" s="1137" t="e">
        <f>VLOOKUP($AK168,ROSGO!$B$184:$H$207,AS$144,FALSE)</f>
        <v>#N/A</v>
      </c>
      <c r="AY168" s="1137" t="e">
        <f>VLOOKUP($AK168,ROSGO!$B$184:$H$207,AT$144,FALSE)</f>
        <v>#N/A</v>
      </c>
      <c r="AZ168" s="1137" t="e">
        <f>VLOOKUP($AK168,ROSGO!$B$184:$H$207,AU$144,FALSE)</f>
        <v>#N/A</v>
      </c>
      <c r="BA168" s="1137" t="e">
        <f>VLOOKUP($AK168,ROSGO!$B$184:$H$207,AV$144,FALSE)</f>
        <v>#N/A</v>
      </c>
    </row>
    <row r="169" spans="1:53" s="81" customFormat="1" ht="14.25" customHeight="1" x14ac:dyDescent="0.2">
      <c r="A169" s="118"/>
      <c r="B169" s="67"/>
      <c r="C169" s="67"/>
      <c r="D169" s="58"/>
      <c r="E169" s="58"/>
      <c r="F169" s="58"/>
      <c r="G169" s="58"/>
      <c r="H169" s="58"/>
      <c r="I169" s="58"/>
      <c r="J169" s="58"/>
      <c r="K169" s="12"/>
      <c r="L169" s="14"/>
      <c r="M169" s="14"/>
      <c r="N169" s="14"/>
      <c r="O169" s="14"/>
      <c r="P169" s="9"/>
      <c r="Q169" s="9"/>
      <c r="R169" s="9"/>
      <c r="S169" s="9"/>
      <c r="T169" s="9"/>
      <c r="U169" s="117"/>
      <c r="V169" s="137"/>
      <c r="W169" s="150"/>
      <c r="Y169" s="190"/>
      <c r="AI169" s="202"/>
      <c r="AJ169" s="160"/>
      <c r="AK169" s="87" t="str">
        <f t="shared" si="34"/>
        <v>Wokingham</v>
      </c>
      <c r="AL169" s="146" t="e">
        <f t="shared" si="37"/>
        <v>#N/A</v>
      </c>
      <c r="AM169" s="146" t="e">
        <f t="shared" si="37"/>
        <v>#N/A</v>
      </c>
      <c r="AN169" s="146" t="e">
        <f t="shared" si="37"/>
        <v>#N/A</v>
      </c>
      <c r="AO169" s="146" t="e">
        <f t="shared" si="37"/>
        <v>#N/A</v>
      </c>
      <c r="AP169" s="146" t="e">
        <f t="shared" si="37"/>
        <v>#N/A</v>
      </c>
      <c r="AQ169" s="1136" t="e">
        <f t="shared" si="36"/>
        <v>#N/A</v>
      </c>
      <c r="AR169" s="1137">
        <f>VLOOKUP($AK169,ROSGO!$B$77:$H$100,AR$144,FALSE)</f>
        <v>0</v>
      </c>
      <c r="AS169" s="1137" t="e">
        <f>VLOOKUP($AK169,ROSGO!$B$77:$H$100,AS$144,FALSE)</f>
        <v>#N/A</v>
      </c>
      <c r="AT169" s="1137">
        <f>VLOOKUP($AK169,ROSGO!$B$77:$H$100,AT$144,FALSE)</f>
        <v>0</v>
      </c>
      <c r="AU169" s="1137" t="e">
        <f>VLOOKUP($AK169,ROSGO!$B$77:$H$100,AU$144,FALSE)</f>
        <v>#N/A</v>
      </c>
      <c r="AV169" s="1137">
        <f>VLOOKUP($AK169,ROSGO!$B$77:$H$100,AV$144,FALSE)</f>
        <v>0.10909090909090909</v>
      </c>
      <c r="AW169" s="1137" t="e">
        <f>VLOOKUP($AK169,ROSGO!$B$184:$H$207,AR$144,FALSE)</f>
        <v>#N/A</v>
      </c>
      <c r="AX169" s="1137" t="e">
        <f>VLOOKUP($AK169,ROSGO!$B$184:$H$207,AS$144,FALSE)</f>
        <v>#N/A</v>
      </c>
      <c r="AY169" s="1137" t="e">
        <f>VLOOKUP($AK169,ROSGO!$B$184:$H$207,AT$144,FALSE)</f>
        <v>#N/A</v>
      </c>
      <c r="AZ169" s="1137" t="e">
        <f>VLOOKUP($AK169,ROSGO!$B$184:$H$207,AU$144,FALSE)</f>
        <v>#N/A</v>
      </c>
      <c r="BA169" s="1137" t="e">
        <f>VLOOKUP($AK169,ROSGO!$B$184:$H$207,AV$144,FALSE)</f>
        <v>#N/A</v>
      </c>
    </row>
    <row r="170" spans="1:53" s="81" customFormat="1" ht="14.25" customHeight="1" x14ac:dyDescent="0.2">
      <c r="A170" s="118"/>
      <c r="B170" s="67"/>
      <c r="C170" s="67"/>
      <c r="D170" s="58"/>
      <c r="E170" s="58"/>
      <c r="F170" s="58"/>
      <c r="G170" s="58"/>
      <c r="H170" s="58"/>
      <c r="I170" s="58"/>
      <c r="J170" s="58"/>
      <c r="K170" s="12"/>
      <c r="L170" s="14"/>
      <c r="M170" s="14"/>
      <c r="N170" s="14"/>
      <c r="O170" s="14"/>
      <c r="P170" s="9"/>
      <c r="Q170" s="9"/>
      <c r="R170" s="9"/>
      <c r="S170" s="9"/>
      <c r="T170" s="9"/>
      <c r="U170" s="117"/>
      <c r="V170" s="137"/>
      <c r="W170" s="150"/>
      <c r="Y170" s="190"/>
      <c r="AI170" s="202"/>
      <c r="AJ170" s="160"/>
      <c r="AK170" s="87" t="str">
        <f t="shared" si="34"/>
        <v>South East</v>
      </c>
      <c r="AL170" s="146" t="e">
        <f t="shared" si="37"/>
        <v>#N/A</v>
      </c>
      <c r="AM170" s="146" t="e">
        <f t="shared" si="37"/>
        <v>#N/A</v>
      </c>
      <c r="AN170" s="146" t="e">
        <f t="shared" si="37"/>
        <v>#N/A</v>
      </c>
      <c r="AO170" s="146" t="e">
        <f t="shared" si="37"/>
        <v>#N/A</v>
      </c>
      <c r="AP170" s="146" t="e">
        <f t="shared" si="37"/>
        <v>#N/A</v>
      </c>
      <c r="AQ170" s="1136" t="e">
        <f t="shared" si="36"/>
        <v>#DIV/0!</v>
      </c>
      <c r="AR170" s="1137">
        <f>VLOOKUP($AK170,ROSGO!$B$77:$H$100,AR$144,FALSE)</f>
        <v>2.7956989247311829E-2</v>
      </c>
      <c r="AS170" s="1137">
        <f>VLOOKUP($AK170,ROSGO!$B$77:$H$100,AS$144,FALSE)</f>
        <v>2.7956989247311829E-2</v>
      </c>
      <c r="AT170" s="1137">
        <f>VLOOKUP($AK170,ROSGO!$B$77:$H$100,AT$144,FALSE)</f>
        <v>2.7842227378190254E-2</v>
      </c>
      <c r="AU170" s="1137">
        <f>VLOOKUP($AK170,ROSGO!$B$77:$H$100,AU$144,FALSE)</f>
        <v>2.6570048309178744E-2</v>
      </c>
      <c r="AV170" s="1137">
        <f>VLOOKUP($AK170,ROSGO!$B$77:$H$100,AV$144,FALSE)</f>
        <v>3.7558685446009391E-2</v>
      </c>
      <c r="AW170" s="1137" t="e">
        <f>VLOOKUP($AK170,ROSGO!$B$184:$H$207,AR$144,FALSE)</f>
        <v>#N/A</v>
      </c>
      <c r="AX170" s="1137" t="e">
        <f>VLOOKUP($AK170,ROSGO!$B$184:$H$207,AS$144,FALSE)</f>
        <v>#N/A</v>
      </c>
      <c r="AY170" s="1137" t="e">
        <f>VLOOKUP($AK170,ROSGO!$B$184:$H$207,AT$144,FALSE)</f>
        <v>#N/A</v>
      </c>
      <c r="AZ170" s="1137" t="e">
        <f>VLOOKUP($AK170,ROSGO!$B$184:$H$207,AU$144,FALSE)</f>
        <v>#N/A</v>
      </c>
      <c r="BA170" s="1137" t="e">
        <f>VLOOKUP($AK170,ROSGO!$B$184:$H$207,AV$144,FALSE)</f>
        <v>#N/A</v>
      </c>
    </row>
    <row r="171" spans="1:53" s="81" customFormat="1" ht="14.25" customHeight="1" x14ac:dyDescent="0.2">
      <c r="A171" s="118"/>
      <c r="B171" s="67"/>
      <c r="C171" s="67"/>
      <c r="D171" s="58"/>
      <c r="E171" s="58"/>
      <c r="F171" s="58"/>
      <c r="G171" s="58"/>
      <c r="H171" s="58"/>
      <c r="I171" s="58"/>
      <c r="J171" s="58"/>
      <c r="K171" s="12"/>
      <c r="L171" s="110"/>
      <c r="M171" s="1750" t="s">
        <v>72</v>
      </c>
      <c r="N171" s="1750"/>
      <c r="O171" s="1750"/>
      <c r="P171" s="1011"/>
      <c r="Q171" s="1751" t="s">
        <v>100</v>
      </c>
      <c r="R171" s="1751"/>
      <c r="S171" s="1751"/>
      <c r="T171" s="1751"/>
      <c r="U171" s="117"/>
      <c r="V171" s="137"/>
      <c r="W171" s="150"/>
      <c r="Y171" s="190"/>
      <c r="AJ171" s="161"/>
      <c r="AK171" s="87" t="str">
        <f t="shared" si="34"/>
        <v>England</v>
      </c>
      <c r="AL171" s="146" t="e">
        <f t="shared" si="37"/>
        <v>#N/A</v>
      </c>
      <c r="AM171" s="146" t="e">
        <f t="shared" si="37"/>
        <v>#N/A</v>
      </c>
      <c r="AN171" s="146" t="e">
        <f t="shared" si="37"/>
        <v>#N/A</v>
      </c>
      <c r="AO171" s="146" t="e">
        <f t="shared" si="37"/>
        <v>#N/A</v>
      </c>
      <c r="AP171" s="146" t="e">
        <f t="shared" si="37"/>
        <v>#N/A</v>
      </c>
      <c r="AQ171" s="1136" t="e">
        <f t="shared" ref="AQ171" si="38">VLOOKUP(AK171,$B$118:$T$140,AQ$144,FALSE)</f>
        <v>#N/A</v>
      </c>
      <c r="AR171" s="1137">
        <f>VLOOKUP($AK171,ROSGO!$B$77:$H$100,AR$144,FALSE)</f>
        <v>3.5153797865662272E-2</v>
      </c>
      <c r="AS171" s="1137">
        <f>VLOOKUP($AK171,ROSGO!$B$77:$H$100,AS$144,FALSE)</f>
        <v>3.8216560509554139E-2</v>
      </c>
      <c r="AT171" s="1137">
        <f>VLOOKUP($AK171,ROSGO!$B$77:$H$100,AT$144,FALSE)</f>
        <v>3.8935108153078206E-2</v>
      </c>
      <c r="AU171" s="1137">
        <f>VLOOKUP($AK171,ROSGO!$B$77:$H$100,AU$144,FALSE)</f>
        <v>3.8017651052274268E-2</v>
      </c>
      <c r="AV171" s="1137">
        <f>VLOOKUP($AK171,ROSGO!$B$77:$H$100,AV$144,FALSE)</f>
        <v>3.9202433254477864E-2</v>
      </c>
      <c r="AW171" s="1137" t="e">
        <f>VLOOKUP($AK171,ROSGO!$B$184:$H$207,AR$144,FALSE)</f>
        <v>#N/A</v>
      </c>
      <c r="AX171" s="1137" t="e">
        <f>VLOOKUP($AK171,ROSGO!$B$184:$H$207,AS$144,FALSE)</f>
        <v>#N/A</v>
      </c>
      <c r="AY171" s="1137" t="e">
        <f>VLOOKUP($AK171,ROSGO!$B$184:$H$207,AT$144,FALSE)</f>
        <v>#N/A</v>
      </c>
      <c r="AZ171" s="1137" t="e">
        <f>VLOOKUP($AK171,ROSGO!$B$184:$H$207,AU$144,FALSE)</f>
        <v>#N/A</v>
      </c>
      <c r="BA171" s="1137" t="e">
        <f>VLOOKUP($AK171,ROSGO!$B$184:$H$207,AV$144,FALSE)</f>
        <v>#N/A</v>
      </c>
    </row>
    <row r="172" spans="1:53" s="81" customFormat="1" ht="14.25" customHeight="1" x14ac:dyDescent="0.2">
      <c r="A172" s="118"/>
      <c r="B172" s="67"/>
      <c r="C172" s="67"/>
      <c r="D172" s="58"/>
      <c r="E172" s="58"/>
      <c r="F172" s="58"/>
      <c r="G172" s="58"/>
      <c r="H172" s="58"/>
      <c r="I172" s="58"/>
      <c r="J172" s="58"/>
      <c r="K172" s="12"/>
      <c r="L172" s="111"/>
      <c r="M172" s="1751" t="str">
        <f>$Z$4</f>
        <v>Selected LA- (none)</v>
      </c>
      <c r="N172" s="1751"/>
      <c r="O172" s="1751"/>
      <c r="P172" s="1751"/>
      <c r="Q172" s="1751"/>
      <c r="R172" s="1751"/>
      <c r="S172" s="1751"/>
      <c r="T172" s="1751"/>
      <c r="U172" s="117"/>
      <c r="V172" s="137"/>
      <c r="W172" s="150"/>
      <c r="X172" s="196"/>
      <c r="AJ172" s="161"/>
      <c r="AK172" s="87" t="str">
        <f>AK65</f>
        <v>Selected LA- (none)</v>
      </c>
      <c r="AL172" s="146" t="e">
        <f>VLOOKUP($Y$4,$B$118:$P$140,AL$144,FALSE)</f>
        <v>#N/A</v>
      </c>
      <c r="AM172" s="146" t="e">
        <f>VLOOKUP($Y$4,$B$118:$P$140,AM$144,FALSE)</f>
        <v>#N/A</v>
      </c>
      <c r="AN172" s="146" t="e">
        <f>VLOOKUP($Y$4,$B$118:$P$140,AN$144,FALSE)</f>
        <v>#N/A</v>
      </c>
      <c r="AO172" s="146" t="e">
        <f>VLOOKUP($Y$4,$B$118:$P$140,AO$144,FALSE)</f>
        <v>#N/A</v>
      </c>
      <c r="AP172" s="146" t="e">
        <f>VLOOKUP($Y$4,$B$118:$P$140,AP$144,FALSE)</f>
        <v>#N/A</v>
      </c>
      <c r="AQ172" s="1136" t="e">
        <f>VLOOKUP($Y$4,$B$118:$T$140,$AQ$144,FALSE)</f>
        <v>#N/A</v>
      </c>
      <c r="AR172" s="1137" t="e">
        <f>VLOOKUP($Y$4,ROSGO!$B$77:$H$100,AR$144,FALSE)</f>
        <v>#N/A</v>
      </c>
      <c r="AS172" s="1137" t="e">
        <f>VLOOKUP($Y$4,ROSGO!$B$77:$H$100,AS$144,FALSE)</f>
        <v>#N/A</v>
      </c>
      <c r="AT172" s="1137" t="e">
        <f>VLOOKUP($Y$4,ROSGO!$B$77:$H$100,AT$144,FALSE)</f>
        <v>#N/A</v>
      </c>
      <c r="AU172" s="1137" t="e">
        <f>VLOOKUP($Y$4,ROSGO!$B$77:$H$100,AU$144,FALSE)</f>
        <v>#N/A</v>
      </c>
      <c r="AV172" s="1137" t="e">
        <f>VLOOKUP($Y$4,ROSGO!$B$77:$H$100,AV$144,FALSE)</f>
        <v>#N/A</v>
      </c>
      <c r="AW172" s="1137" t="e">
        <f>VLOOKUP($Y$4,ROSGO!$B$184:$H$207,AR$144,FALSE)</f>
        <v>#N/A</v>
      </c>
      <c r="AX172" s="1137" t="e">
        <f>VLOOKUP($Y$4,ROSGO!$B$184:$H$207,AS$144,FALSE)</f>
        <v>#N/A</v>
      </c>
      <c r="AY172" s="1137" t="e">
        <f>VLOOKUP($Y$4,ROSGO!$B$184:$H$207,AT$144,FALSE)</f>
        <v>#N/A</v>
      </c>
      <c r="AZ172" s="1137" t="e">
        <f>VLOOKUP($Y$4,ROSGO!$B$184:$H$207,AU$144,FALSE)</f>
        <v>#N/A</v>
      </c>
      <c r="BA172" s="1137" t="e">
        <f>VLOOKUP($Y$4,ROSGO!$B$184:$H$207,AV$144,FALSE)</f>
        <v>#N/A</v>
      </c>
    </row>
    <row r="173" spans="1:53" s="81" customFormat="1" ht="42" customHeight="1" x14ac:dyDescent="0.2">
      <c r="A173" s="118"/>
      <c r="B173" s="67"/>
      <c r="C173" s="67"/>
      <c r="D173" s="58"/>
      <c r="E173" s="58"/>
      <c r="F173" s="58"/>
      <c r="G173" s="58"/>
      <c r="H173" s="58"/>
      <c r="I173" s="58"/>
      <c r="J173" s="58"/>
      <c r="K173" s="12"/>
      <c r="L173" s="9"/>
      <c r="M173" s="9"/>
      <c r="N173" s="9"/>
      <c r="O173" s="9"/>
      <c r="P173" s="9"/>
      <c r="Q173" s="9"/>
      <c r="R173" s="9"/>
      <c r="S173" s="9"/>
      <c r="T173" s="9"/>
      <c r="U173" s="117"/>
      <c r="V173" s="137"/>
      <c r="W173" s="150"/>
      <c r="AJ173" s="311"/>
    </row>
    <row r="174" spans="1:53" s="81" customFormat="1" ht="42" customHeight="1" x14ac:dyDescent="0.2">
      <c r="A174" s="118"/>
      <c r="B174" s="68"/>
      <c r="C174" s="68"/>
      <c r="D174" s="58"/>
      <c r="E174" s="58"/>
      <c r="F174" s="58"/>
      <c r="G174" s="58"/>
      <c r="H174" s="58"/>
      <c r="I174" s="58"/>
      <c r="J174" s="58"/>
      <c r="K174" s="12"/>
      <c r="L174" s="9"/>
      <c r="M174" s="9"/>
      <c r="N174" s="9"/>
      <c r="O174" s="9"/>
      <c r="P174" s="9"/>
      <c r="Q174" s="9"/>
      <c r="R174" s="9"/>
      <c r="S174" s="9"/>
      <c r="T174" s="9"/>
      <c r="U174" s="117"/>
      <c r="V174" s="137"/>
      <c r="W174" s="150"/>
      <c r="AD174" s="208"/>
      <c r="AJ174" s="161"/>
    </row>
    <row r="175" spans="1:53" s="81" customFormat="1" ht="42.75" customHeight="1" x14ac:dyDescent="0.2">
      <c r="A175" s="118"/>
      <c r="B175" s="58"/>
      <c r="C175" s="58"/>
      <c r="D175" s="58"/>
      <c r="E175" s="58"/>
      <c r="F175" s="58"/>
      <c r="G175" s="58"/>
      <c r="H175" s="58"/>
      <c r="I175" s="58"/>
      <c r="J175" s="58"/>
      <c r="K175" s="12"/>
      <c r="L175" s="9"/>
      <c r="M175" s="9"/>
      <c r="N175" s="9"/>
      <c r="O175" s="9"/>
      <c r="P175" s="9"/>
      <c r="Q175" s="9"/>
      <c r="R175" s="9"/>
      <c r="S175" s="9"/>
      <c r="T175" s="9"/>
      <c r="U175" s="117"/>
      <c r="V175" s="137"/>
      <c r="W175" s="150"/>
      <c r="AI175" s="184"/>
      <c r="AJ175" s="157"/>
      <c r="AK175" s="74"/>
      <c r="AL175" s="74"/>
      <c r="AM175" s="74"/>
      <c r="AN175" s="74"/>
      <c r="AO175" s="74"/>
      <c r="AP175" s="74"/>
      <c r="AQ175" s="74"/>
    </row>
    <row r="176" spans="1:53" ht="7.5" customHeight="1" x14ac:dyDescent="0.2">
      <c r="A176" s="118"/>
      <c r="B176" s="17"/>
      <c r="C176" s="17"/>
      <c r="D176" s="16"/>
      <c r="E176" s="16"/>
      <c r="F176" s="16"/>
      <c r="G176" s="16"/>
      <c r="H176" s="16"/>
      <c r="I176" s="16"/>
      <c r="J176" s="16"/>
      <c r="K176" s="12"/>
      <c r="L176" s="18"/>
      <c r="M176" s="18"/>
      <c r="N176" s="18"/>
      <c r="O176" s="18"/>
      <c r="P176" s="18"/>
      <c r="Q176" s="18"/>
      <c r="R176" s="18"/>
      <c r="S176" s="18"/>
      <c r="T176" s="19"/>
      <c r="U176" s="117"/>
      <c r="V176" s="137"/>
      <c r="W176" s="150"/>
      <c r="AI176" s="184"/>
      <c r="AJ176" s="157"/>
    </row>
    <row r="177" spans="1:50" ht="15" customHeight="1" x14ac:dyDescent="0.2">
      <c r="A177" s="1716"/>
      <c r="B177" s="1760"/>
      <c r="C177" s="1760"/>
      <c r="D177" s="1760"/>
      <c r="E177" s="1760"/>
      <c r="F177" s="1760"/>
      <c r="G177" s="1760"/>
      <c r="H177" s="1760"/>
      <c r="I177" s="1760"/>
      <c r="J177" s="1760"/>
      <c r="K177" s="1760"/>
      <c r="L177" s="1760"/>
      <c r="M177" s="1760"/>
      <c r="N177" s="1760"/>
      <c r="O177" s="1760"/>
      <c r="P177" s="1760"/>
      <c r="Q177" s="1760"/>
      <c r="R177" s="1760"/>
      <c r="S177" s="1760"/>
      <c r="T177" s="1760"/>
      <c r="U177" s="1761"/>
      <c r="V177" s="137"/>
      <c r="W177" s="150"/>
      <c r="AI177" s="184"/>
      <c r="AJ177" s="157"/>
    </row>
    <row r="178" spans="1:50" ht="11.25" customHeight="1" x14ac:dyDescent="0.2">
      <c r="A178" s="1847" t="str">
        <f>Home!$A$39</f>
        <v xml:space="preserve"> </v>
      </c>
      <c r="B178" s="1828"/>
      <c r="C178" s="1828"/>
      <c r="D178" s="1828"/>
      <c r="E178" s="1828"/>
      <c r="F178" s="1828"/>
      <c r="G178" s="1828"/>
      <c r="H178" s="1828"/>
      <c r="I178" s="1828"/>
      <c r="J178" s="1828"/>
      <c r="K178" s="1828"/>
      <c r="L178" s="1828"/>
      <c r="M178" s="1828"/>
      <c r="N178" s="1828"/>
      <c r="O178" s="1828"/>
      <c r="P178" s="1828"/>
      <c r="Q178" s="1828"/>
      <c r="R178" s="1828"/>
      <c r="S178" s="1828"/>
      <c r="T178" s="1828"/>
      <c r="U178" s="1829"/>
      <c r="V178" s="137"/>
      <c r="W178" s="150"/>
      <c r="AI178" s="184"/>
      <c r="AJ178" s="157"/>
    </row>
    <row r="179" spans="1:50" ht="11.25" customHeight="1" x14ac:dyDescent="0.2">
      <c r="A179" s="112"/>
      <c r="B179" s="113"/>
      <c r="C179" s="113"/>
      <c r="D179" s="113"/>
      <c r="E179" s="113"/>
      <c r="F179" s="113"/>
      <c r="G179" s="113"/>
      <c r="H179" s="113"/>
      <c r="I179" s="113"/>
      <c r="J179" s="113"/>
      <c r="K179" s="113"/>
      <c r="L179" s="114"/>
      <c r="M179" s="113"/>
      <c r="N179" s="113"/>
      <c r="O179" s="113"/>
      <c r="P179" s="113"/>
      <c r="Q179" s="113"/>
      <c r="R179" s="113"/>
      <c r="S179" s="113"/>
      <c r="T179" s="113"/>
      <c r="U179" s="115"/>
      <c r="V179" s="137"/>
      <c r="W179" s="150"/>
      <c r="AI179" s="81"/>
      <c r="AJ179" s="157"/>
    </row>
    <row r="180" spans="1:50" s="76" customFormat="1" ht="15" customHeight="1" x14ac:dyDescent="0.2">
      <c r="A180" s="119"/>
      <c r="B180" s="1770" t="s">
        <v>770</v>
      </c>
      <c r="C180" s="1770"/>
      <c r="D180" s="1770"/>
      <c r="E180" s="1770"/>
      <c r="F180" s="1770"/>
      <c r="G180" s="1770"/>
      <c r="H180" s="1770"/>
      <c r="I180" s="1770"/>
      <c r="J180" s="1770"/>
      <c r="K180" s="226"/>
      <c r="L180" s="226"/>
      <c r="M180" s="70"/>
      <c r="N180" s="70"/>
      <c r="O180" s="70"/>
      <c r="P180" s="501"/>
      <c r="Q180" s="70"/>
      <c r="R180" s="70"/>
      <c r="S180" s="70"/>
      <c r="T180" s="70"/>
      <c r="U180" s="120"/>
      <c r="V180" s="137"/>
      <c r="W180" s="150"/>
      <c r="X180" s="381" t="s">
        <v>241</v>
      </c>
      <c r="Y180" s="382"/>
      <c r="AB180" s="383"/>
      <c r="AC180" s="383"/>
      <c r="AD180" s="383"/>
      <c r="AE180" s="81"/>
      <c r="AF180" s="81"/>
      <c r="AG180" s="81"/>
      <c r="AH180" s="81"/>
      <c r="AI180" s="81"/>
      <c r="AJ180" s="157"/>
      <c r="AK180" s="74"/>
      <c r="AL180" s="74"/>
      <c r="AM180" s="74"/>
      <c r="AN180" s="74"/>
      <c r="AO180" s="74"/>
      <c r="AP180" s="74"/>
      <c r="AQ180" s="74"/>
      <c r="AR180" s="74"/>
      <c r="AS180" s="74"/>
      <c r="AT180" s="74"/>
      <c r="AU180" s="74"/>
      <c r="AV180" s="74"/>
      <c r="AW180" s="74"/>
      <c r="AX180" s="74"/>
    </row>
    <row r="181" spans="1:50" ht="15" customHeight="1" x14ac:dyDescent="0.2">
      <c r="A181" s="118"/>
      <c r="B181" s="1770"/>
      <c r="C181" s="1770"/>
      <c r="D181" s="1770"/>
      <c r="E181" s="1770"/>
      <c r="F181" s="1770"/>
      <c r="G181" s="1770"/>
      <c r="H181" s="1770"/>
      <c r="I181" s="1770"/>
      <c r="J181" s="1770"/>
      <c r="K181" s="226"/>
      <c r="L181" s="226"/>
      <c r="M181" s="70"/>
      <c r="N181" s="70"/>
      <c r="O181" s="70"/>
      <c r="P181" s="501"/>
      <c r="Q181" s="70"/>
      <c r="R181" s="70"/>
      <c r="S181" s="10"/>
      <c r="T181" s="70"/>
      <c r="U181" s="117"/>
      <c r="V181" s="137"/>
      <c r="W181" s="150"/>
      <c r="X181" s="383"/>
      <c r="Y181" s="382"/>
      <c r="Z181" s="74"/>
      <c r="AA181" s="74"/>
      <c r="AB181" s="383"/>
      <c r="AC181" s="383"/>
      <c r="AD181" s="383"/>
      <c r="AI181" s="81"/>
      <c r="AJ181" s="157"/>
    </row>
    <row r="182" spans="1:50" s="87" customFormat="1" ht="13.5" customHeight="1" x14ac:dyDescent="0.2">
      <c r="A182" s="121"/>
      <c r="B182" s="1771" t="s">
        <v>205</v>
      </c>
      <c r="C182" s="1031"/>
      <c r="D182" s="789" t="str">
        <f>Sheet1!$D$27</f>
        <v>2015-16</v>
      </c>
      <c r="E182" s="790" t="str">
        <f>Sheet1!$E$27</f>
        <v>2016-17</v>
      </c>
      <c r="F182" s="790" t="str">
        <f>Sheet1!$F$27</f>
        <v>2017-18</v>
      </c>
      <c r="G182" s="790" t="str">
        <f>Sheet1!$G$27</f>
        <v>2018-19</v>
      </c>
      <c r="H182" s="791" t="str">
        <f>Sheet1!$H$27</f>
        <v>2019-20</v>
      </c>
      <c r="I182" s="61"/>
      <c r="J182" s="96"/>
      <c r="K182" s="96"/>
      <c r="L182" s="96"/>
      <c r="M182" s="61"/>
      <c r="N182" s="61"/>
      <c r="O182" s="61"/>
      <c r="P182" s="61"/>
      <c r="Q182" s="61"/>
      <c r="R182" s="503"/>
      <c r="S182" s="503"/>
      <c r="T182" s="504"/>
      <c r="U182" s="122"/>
      <c r="V182" s="137"/>
      <c r="W182" s="150"/>
      <c r="X182" s="372"/>
      <c r="Y182" s="489" t="str">
        <f>IF(Sheet1!$C$3="Annual","",Sheet1!$D$28)</f>
        <v/>
      </c>
      <c r="Z182" s="489" t="str">
        <f>IF(Sheet1!$C$3="Annual","",Sheet1!$E$28)</f>
        <v/>
      </c>
      <c r="AA182" s="489" t="str">
        <f>IF(Sheet1!$C$3="Annual","",Sheet1!$F$28)</f>
        <v/>
      </c>
      <c r="AB182" s="489" t="str">
        <f>IF(Sheet1!$C$3="Annual","",Sheet1!$G$28)</f>
        <v/>
      </c>
      <c r="AC182" s="489" t="str">
        <f>IF(Sheet1!$C$3="Annual","",Sheet1!$H$28)</f>
        <v/>
      </c>
      <c r="AD182" s="383"/>
      <c r="AE182" s="81"/>
      <c r="AF182" s="81"/>
      <c r="AG182" s="81"/>
      <c r="AH182" s="81"/>
      <c r="AI182" s="81"/>
      <c r="AJ182" s="157"/>
      <c r="AK182" s="74"/>
      <c r="AL182" s="74"/>
      <c r="AM182" s="74"/>
      <c r="AN182" s="74"/>
      <c r="AO182" s="74"/>
      <c r="AP182" s="74"/>
      <c r="AQ182" s="74"/>
      <c r="AR182" s="74"/>
      <c r="AS182" s="74"/>
      <c r="AT182" s="74"/>
      <c r="AU182" s="74"/>
      <c r="AV182" s="74"/>
      <c r="AW182" s="74"/>
      <c r="AX182" s="74"/>
    </row>
    <row r="183" spans="1:50" s="87" customFormat="1" ht="13.5" customHeight="1" x14ac:dyDescent="0.2">
      <c r="A183" s="292"/>
      <c r="B183" s="1772"/>
      <c r="C183" s="85"/>
      <c r="D183" s="792" t="e">
        <f>Sheet1!$D$28</f>
        <v>#N/A</v>
      </c>
      <c r="E183" s="792" t="e">
        <f>Sheet1!$E$28</f>
        <v>#N/A</v>
      </c>
      <c r="F183" s="792" t="e">
        <f>Sheet1!$F$28</f>
        <v>#N/A</v>
      </c>
      <c r="G183" s="792" t="e">
        <f>Sheet1!$G$28</f>
        <v>#N/A</v>
      </c>
      <c r="H183" s="793" t="e">
        <f>Sheet1!$H$28</f>
        <v>#N/A</v>
      </c>
      <c r="I183" s="61"/>
      <c r="J183" s="96"/>
      <c r="K183" s="96"/>
      <c r="L183" s="96"/>
      <c r="M183" s="61"/>
      <c r="N183" s="61"/>
      <c r="O183" s="61"/>
      <c r="P183" s="61"/>
      <c r="Q183" s="61"/>
      <c r="R183" s="1036"/>
      <c r="S183" s="1036"/>
      <c r="T183" s="1037"/>
      <c r="U183" s="122"/>
      <c r="V183" s="137"/>
      <c r="W183" s="150"/>
      <c r="X183" s="372"/>
      <c r="Y183" s="489" t="str">
        <f>Sheet1!$D$27</f>
        <v>2015-16</v>
      </c>
      <c r="Z183" s="489" t="str">
        <f>Sheet1!$E$27</f>
        <v>2016-17</v>
      </c>
      <c r="AA183" s="489" t="str">
        <f>Sheet1!$F$27</f>
        <v>2017-18</v>
      </c>
      <c r="AB183" s="489" t="str">
        <f>Sheet1!$G$27</f>
        <v>2018-19</v>
      </c>
      <c r="AC183" s="489" t="str">
        <f>Sheet1!$H$27</f>
        <v>2019-20</v>
      </c>
      <c r="AD183" s="383"/>
      <c r="AE183" s="81"/>
      <c r="AF183" s="81"/>
      <c r="AG183" s="81"/>
      <c r="AH183" s="81"/>
      <c r="AI183" s="81"/>
      <c r="AJ183" s="157"/>
      <c r="AK183" s="74"/>
      <c r="AL183" s="74"/>
      <c r="AM183" s="74"/>
      <c r="AN183" s="74"/>
      <c r="AO183" s="74"/>
      <c r="AP183" s="74"/>
      <c r="AQ183" s="74"/>
      <c r="AR183" s="74"/>
      <c r="AS183" s="74"/>
      <c r="AT183" s="74"/>
      <c r="AU183" s="74"/>
      <c r="AV183" s="74"/>
      <c r="AW183" s="74"/>
      <c r="AX183" s="74"/>
    </row>
    <row r="184" spans="1:50" s="87" customFormat="1" ht="12.75" customHeight="1" x14ac:dyDescent="0.2">
      <c r="A184" s="549" t="e">
        <f>VLOOKUP(B184,Sheet1!$AQ$4:$AR$25,2,FALSE)</f>
        <v>#REF!</v>
      </c>
      <c r="B184" s="93" t="e">
        <f>Adoption!#REF!</f>
        <v>#REF!</v>
      </c>
      <c r="C184" s="85"/>
      <c r="D184" s="162">
        <f>IF(AND(ISNUMBER(Adoption!Y149),ISNUMBER(Y184)),Y184/Adoption!Y149,NA())</f>
        <v>0.14705882352941177</v>
      </c>
      <c r="E184" s="162">
        <f>IF(AND(ISNUMBER(Adoption!Z149),ISNUMBER(Z184)),Z184/Adoption!Z149,NA())</f>
        <v>0.20408163265306123</v>
      </c>
      <c r="F184" s="162" t="e">
        <f>IF(AND(ISNUMBER(Adoption!AA149),ISNUMBER(AA184)),AA184/Adoption!AA149,NA())</f>
        <v>#N/A</v>
      </c>
      <c r="G184" s="162">
        <f>IF(AND(ISNUMBER(Adoption!AB149),ISNUMBER(AB184)),AB184/Adoption!AB149,NA())</f>
        <v>0</v>
      </c>
      <c r="H184" s="164">
        <f>IF(AND(ISNUMBER(Adoption!AC149),ISNUMBER(AC184)),AC184/Adoption!AC149,NA())</f>
        <v>0</v>
      </c>
      <c r="I184" s="443"/>
      <c r="J184" s="96"/>
      <c r="K184" s="96"/>
      <c r="L184" s="96"/>
      <c r="M184" s="166"/>
      <c r="N184" s="166"/>
      <c r="O184" s="166"/>
      <c r="P184" s="166"/>
      <c r="Q184" s="166"/>
      <c r="R184" s="166"/>
      <c r="S184" s="167"/>
      <c r="T184" s="166"/>
      <c r="U184" s="122"/>
      <c r="V184" s="137"/>
      <c r="W184" s="150"/>
      <c r="X184" s="372" t="e">
        <f t="shared" ref="X184:X207" si="39">B184</f>
        <v>#REF!</v>
      </c>
      <c r="Y184" s="372">
        <f>IF(Year1_Bracknell_Forest Year1_ROSGO_ceased_LAC_SGO="","",Year1_Bracknell_Forest Year1_ROSGO_ceased_LAC_SGO)</f>
        <v>10</v>
      </c>
      <c r="Z184" s="372">
        <f>IF(Year2_Bracknell_Forest Year2_ROSGO_ceased_LAC_SGO="","",Year2_Bracknell_Forest Year2_ROSGO_ceased_LAC_SGO)</f>
        <v>10</v>
      </c>
      <c r="AA184" s="372" t="str">
        <f>IF(Year3_Bracknell_Forest Year3_ROSGO_ceased_LAC_SGO="","",Year3_Bracknell_Forest Year3_ROSGO_ceased_LAC_SGO)</f>
        <v>x</v>
      </c>
      <c r="AB184" s="372">
        <f>IF(Year4_Bracknell_Forest Year4_ROSGO_ceased_LAC_SGO="","",Year4_Bracknell_Forest Year4_ROSGO_ceased_LAC_SGO)</f>
        <v>0</v>
      </c>
      <c r="AC184" s="372">
        <f>IF(Year5_Bracknell_Forest Year5_ROSGO_ceased_LAC_SGO="","",Year5_Bracknell_Forest Year5_ROSGO_ceased_LAC_SGO)</f>
        <v>0</v>
      </c>
      <c r="AD184" s="383"/>
      <c r="AE184" s="81"/>
      <c r="AF184" s="81"/>
      <c r="AG184" s="81"/>
      <c r="AH184" s="81"/>
      <c r="AI184" s="81"/>
      <c r="AJ184" s="157"/>
      <c r="AK184" s="74"/>
      <c r="AL184" s="74"/>
      <c r="AM184" s="74"/>
      <c r="AN184" s="74"/>
      <c r="AO184" s="74"/>
      <c r="AP184" s="74"/>
      <c r="AQ184" s="74"/>
      <c r="AR184" s="74"/>
      <c r="AS184" s="74"/>
      <c r="AT184" s="74"/>
      <c r="AU184" s="74"/>
      <c r="AV184" s="74"/>
      <c r="AW184" s="74"/>
      <c r="AX184" s="74"/>
    </row>
    <row r="185" spans="1:50" s="87" customFormat="1" ht="12.75" customHeight="1" x14ac:dyDescent="0.2">
      <c r="A185" s="549" t="e">
        <f>VLOOKUP(B185,Sheet1!$AQ$4:$AR$25,2,FALSE)</f>
        <v>#REF!</v>
      </c>
      <c r="B185" s="93" t="e">
        <f>Adoption!#REF!</f>
        <v>#REF!</v>
      </c>
      <c r="C185" s="85"/>
      <c r="D185" s="162">
        <f>IF(AND(ISNUMBER(Adoption!Y150),ISNUMBER(Y185)),Y185/Adoption!Y150,NA())</f>
        <v>0.16326530612244897</v>
      </c>
      <c r="E185" s="162">
        <f>IF(AND(ISNUMBER(Adoption!Z150),ISNUMBER(Z185)),Z185/Adoption!Z150,NA())</f>
        <v>9.4972067039106142E-2</v>
      </c>
      <c r="F185" s="162">
        <f>IF(AND(ISNUMBER(Adoption!AA150),ISNUMBER(AA185)),AA185/Adoption!AA150,NA())</f>
        <v>0.14204545454545456</v>
      </c>
      <c r="G185" s="162">
        <f>IF(AND(ISNUMBER(Adoption!AB150),ISNUMBER(AB185)),AB185/Adoption!AB150,NA())</f>
        <v>0.13368983957219252</v>
      </c>
      <c r="H185" s="164">
        <f>IF(AND(ISNUMBER(Adoption!AC150),ISNUMBER(AC185)),AC185/Adoption!AC150,NA())</f>
        <v>0.16292134831460675</v>
      </c>
      <c r="I185" s="443"/>
      <c r="J185" s="96"/>
      <c r="K185" s="96"/>
      <c r="L185" s="96"/>
      <c r="M185" s="166"/>
      <c r="N185" s="166"/>
      <c r="O185" s="166"/>
      <c r="P185" s="166"/>
      <c r="Q185" s="166"/>
      <c r="R185" s="166"/>
      <c r="S185" s="167"/>
      <c r="T185" s="166"/>
      <c r="U185" s="122"/>
      <c r="V185" s="137"/>
      <c r="W185" s="150"/>
      <c r="X185" s="372" t="e">
        <f t="shared" si="39"/>
        <v>#REF!</v>
      </c>
      <c r="Y185" s="372">
        <f>IF(Year1_Brighton_Hove Year1_ROSGO_ceased_LAC_SGO="","",Year1_Brighton_Hove Year1_ROSGO_ceased_LAC_SGO)</f>
        <v>40</v>
      </c>
      <c r="Z185" s="372">
        <f>IF(Year2_Brighton_Hove Year2_ROSGO_ceased_LAC_SGO="","",Year2_Brighton_Hove Year2_ROSGO_ceased_LAC_SGO)</f>
        <v>17</v>
      </c>
      <c r="AA185" s="372">
        <f>IF(Year3_Brighton_Hove Year3_ROSGO_ceased_LAC_SGO="","",Year3_Brighton_Hove Year3_ROSGO_ceased_LAC_SGO)</f>
        <v>25</v>
      </c>
      <c r="AB185" s="372">
        <f>IF(Year4_Brighton_Hove Year4_ROSGO_ceased_LAC_SGO="","",Year4_Brighton_Hove Year4_ROSGO_ceased_LAC_SGO)</f>
        <v>25</v>
      </c>
      <c r="AC185" s="372">
        <f>IF(Year5_Brighton_Hove Year5_ROSGO_ceased_LAC_SGO="","",Year5_Brighton_Hove Year5_ROSGO_ceased_LAC_SGO)</f>
        <v>29</v>
      </c>
      <c r="AD185" s="383"/>
      <c r="AE185" s="81"/>
      <c r="AF185" s="81"/>
      <c r="AG185" s="81"/>
      <c r="AH185" s="81"/>
      <c r="AI185" s="81"/>
      <c r="AJ185" s="157"/>
      <c r="AK185" s="74"/>
      <c r="AL185" s="74"/>
      <c r="AM185" s="74"/>
      <c r="AN185" s="74"/>
      <c r="AO185" s="74"/>
      <c r="AP185" s="74"/>
      <c r="AQ185" s="74"/>
      <c r="AR185" s="74"/>
      <c r="AS185" s="74"/>
      <c r="AT185" s="74"/>
      <c r="AU185" s="74"/>
      <c r="AV185" s="74"/>
      <c r="AW185" s="74"/>
      <c r="AX185" s="74"/>
    </row>
    <row r="186" spans="1:50" s="87" customFormat="1" ht="12.75" customHeight="1" x14ac:dyDescent="0.2">
      <c r="A186" s="549" t="e">
        <f>VLOOKUP(B186,Sheet1!$AQ$4:$AR$25,2,FALSE)</f>
        <v>#REF!</v>
      </c>
      <c r="B186" s="93" t="e">
        <f>Adoption!#REF!</f>
        <v>#REF!</v>
      </c>
      <c r="C186" s="85"/>
      <c r="D186" s="162">
        <f>IF(AND(ISNUMBER(Adoption!Y151),ISNUMBER(Y186)),Y186/Adoption!Y151,NA())</f>
        <v>8.8105726872246701E-2</v>
      </c>
      <c r="E186" s="162">
        <f>IF(AND(ISNUMBER(Adoption!Z151),ISNUMBER(Z186)),Z186/Adoption!Z151,NA())</f>
        <v>8.3720930232558138E-2</v>
      </c>
      <c r="F186" s="162">
        <f>IF(AND(ISNUMBER(Adoption!AA151),ISNUMBER(AA186)),AA186/Adoption!AA151,NA())</f>
        <v>0.17222222222222222</v>
      </c>
      <c r="G186" s="162">
        <f>IF(AND(ISNUMBER(Adoption!AB151),ISNUMBER(AB186)),AB186/Adoption!AB151,NA())</f>
        <v>8.2352941176470587E-2</v>
      </c>
      <c r="H186" s="164">
        <f>IF(AND(ISNUMBER(Adoption!AC151),ISNUMBER(AC186)),AC186/Adoption!AC151,NA())</f>
        <v>7.6595744680851063E-2</v>
      </c>
      <c r="I186" s="443"/>
      <c r="J186" s="96"/>
      <c r="K186" s="96"/>
      <c r="L186" s="96"/>
      <c r="M186" s="166"/>
      <c r="N186" s="166"/>
      <c r="O186" s="166"/>
      <c r="P186" s="166"/>
      <c r="Q186" s="166"/>
      <c r="R186" s="166"/>
      <c r="S186" s="167"/>
      <c r="T186" s="166"/>
      <c r="U186" s="122"/>
      <c r="V186" s="137"/>
      <c r="W186" s="150"/>
      <c r="X186" s="372" t="e">
        <f t="shared" si="39"/>
        <v>#REF!</v>
      </c>
      <c r="Y186" s="372">
        <f>IF(Year1_Buckinghamshire Year1_ROSGO_ceased_LAC_SGO="","",Year1_Buckinghamshire Year1_ROSGO_ceased_LAC_SGO)</f>
        <v>20</v>
      </c>
      <c r="Z186" s="372">
        <f>IF(Year2_Buckinghamshire Year2_ROSGO_ceased_LAC_SGO="","",Year2_Buckinghamshire Year2_ROSGO_ceased_LAC_SGO)</f>
        <v>18</v>
      </c>
      <c r="AA186" s="372">
        <f>IF(Year3_Buckinghamshire Year3_ROSGO_ceased_LAC_SGO="","",Year3_Buckinghamshire Year3_ROSGO_ceased_LAC_SGO)</f>
        <v>31</v>
      </c>
      <c r="AB186" s="372">
        <f>IF(Year4_Buckinghamshire Year4_ROSGO_ceased_LAC_SGO="","",Year4_Buckinghamshire Year4_ROSGO_ceased_LAC_SGO)</f>
        <v>14</v>
      </c>
      <c r="AC186" s="372">
        <f>IF(Year5_Buckinghamshire Year5_ROSGO_ceased_LAC_SGO="","",Year5_Buckinghamshire Year5_ROSGO_ceased_LAC_SGO)</f>
        <v>18</v>
      </c>
      <c r="AD186" s="383"/>
      <c r="AE186" s="81"/>
      <c r="AF186" s="81"/>
      <c r="AG186" s="81"/>
      <c r="AH186" s="81"/>
      <c r="AI186" s="81"/>
      <c r="AJ186" s="157"/>
      <c r="AK186" s="74"/>
      <c r="AL186" s="74"/>
      <c r="AM186" s="74"/>
      <c r="AN186" s="74"/>
      <c r="AO186" s="74"/>
      <c r="AP186" s="74"/>
      <c r="AQ186" s="74"/>
      <c r="AR186" s="74"/>
      <c r="AS186" s="74"/>
      <c r="AT186" s="74"/>
      <c r="AU186" s="74"/>
      <c r="AV186" s="74"/>
      <c r="AW186" s="74"/>
      <c r="AX186" s="74"/>
    </row>
    <row r="187" spans="1:50" s="87" customFormat="1" ht="12.75" customHeight="1" x14ac:dyDescent="0.2">
      <c r="A187" s="549" t="e">
        <f>VLOOKUP(B187,Sheet1!$AQ$4:$AR$25,2,FALSE)</f>
        <v>#REF!</v>
      </c>
      <c r="B187" s="93" t="e">
        <f>Adoption!#REF!</f>
        <v>#REF!</v>
      </c>
      <c r="C187" s="85"/>
      <c r="D187" s="162">
        <f>IF(AND(ISNUMBER(Adoption!Y152),ISNUMBER(Y187)),Y187/Adoption!Y152,NA())</f>
        <v>0.10416666666666667</v>
      </c>
      <c r="E187" s="162">
        <f>IF(AND(ISNUMBER(Adoption!Z152),ISNUMBER(Z187)),Z187/Adoption!Z152,NA())</f>
        <v>0.16216216216216217</v>
      </c>
      <c r="F187" s="162">
        <f>IF(AND(ISNUMBER(Adoption!AA152),ISNUMBER(AA187)),AA187/Adoption!AA152,NA())</f>
        <v>0.1111111111111111</v>
      </c>
      <c r="G187" s="162">
        <f>IF(AND(ISNUMBER(Adoption!AB152),ISNUMBER(AB187)),AB187/Adoption!AB152,NA())</f>
        <v>0.125</v>
      </c>
      <c r="H187" s="164">
        <f>IF(AND(ISNUMBER(Adoption!AC152),ISNUMBER(AC187)),AC187/Adoption!AC152,NA())</f>
        <v>0.125</v>
      </c>
      <c r="I187" s="443"/>
      <c r="J187" s="96"/>
      <c r="K187" s="96"/>
      <c r="L187" s="96"/>
      <c r="M187" s="166"/>
      <c r="N187" s="166"/>
      <c r="O187" s="166"/>
      <c r="P187" s="166"/>
      <c r="Q187" s="166"/>
      <c r="R187" s="166"/>
      <c r="S187" s="167"/>
      <c r="T187" s="166"/>
      <c r="U187" s="122"/>
      <c r="V187" s="137"/>
      <c r="W187" s="150"/>
      <c r="X187" s="372" t="e">
        <f t="shared" si="39"/>
        <v>#REF!</v>
      </c>
      <c r="Y187" s="372">
        <f>IF(Year1_East_Sussex Year1_ROSGO_ceased_LAC_SGO="","",Year1_East_Sussex Year1_ROSGO_ceased_LAC_SGO)</f>
        <v>20</v>
      </c>
      <c r="Z187" s="372">
        <f>IF(Year2_East_Sussex Year2_ROSGO_ceased_LAC_SGO="","",Year2_East_Sussex Year2_ROSGO_ceased_LAC_SGO)</f>
        <v>30</v>
      </c>
      <c r="AA187" s="372">
        <f>IF(Year3_East_Sussex Year3_ROSGO_ceased_LAC_SGO="","",Year3_East_Sussex Year3_ROSGO_ceased_LAC_SGO)</f>
        <v>18</v>
      </c>
      <c r="AB187" s="372">
        <f>IF(Year4_East_Sussex Year4_ROSGO_ceased_LAC_SGO="","",Year4_East_Sussex Year4_ROSGO_ceased_LAC_SGO)</f>
        <v>24</v>
      </c>
      <c r="AC187" s="372">
        <f>IF(Year5_East_Sussex Year5_ROSGO_ceased_LAC_SGO="","",Year5_East_Sussex Year5_ROSGO_ceased_LAC_SGO)</f>
        <v>22</v>
      </c>
      <c r="AD187" s="383"/>
      <c r="AE187" s="81"/>
      <c r="AF187" s="81"/>
      <c r="AG187" s="81"/>
      <c r="AH187" s="81"/>
      <c r="AI187" s="81"/>
      <c r="AJ187" s="157"/>
      <c r="AK187" s="74"/>
      <c r="AL187" s="74"/>
      <c r="AM187" s="74"/>
      <c r="AN187" s="74"/>
      <c r="AO187" s="74"/>
      <c r="AP187" s="74"/>
      <c r="AQ187" s="74"/>
      <c r="AR187" s="74"/>
      <c r="AS187" s="74"/>
      <c r="AT187" s="74"/>
      <c r="AU187" s="74"/>
      <c r="AV187" s="74"/>
      <c r="AW187" s="74"/>
      <c r="AX187" s="74"/>
    </row>
    <row r="188" spans="1:50" s="87" customFormat="1" ht="12.75" customHeight="1" x14ac:dyDescent="0.2">
      <c r="A188" s="488" t="e">
        <f>VLOOKUP(B188,Sheet1!$AQ$4:$AR$25,2,FALSE)</f>
        <v>#REF!</v>
      </c>
      <c r="B188" s="93" t="e">
        <f>Adoption!#REF!</f>
        <v>#REF!</v>
      </c>
      <c r="C188" s="85"/>
      <c r="D188" s="162">
        <f>IF(AND(ISNUMBER(Adoption!Y153),ISNUMBER(Y188)),Y188/Adoption!Y153,NA())</f>
        <v>8.2568807339449546E-2</v>
      </c>
      <c r="E188" s="162">
        <f>IF(AND(ISNUMBER(Adoption!Z153),ISNUMBER(Z188)),Z188/Adoption!Z153,NA())</f>
        <v>9.5864661654135333E-2</v>
      </c>
      <c r="F188" s="162">
        <f>IF(AND(ISNUMBER(Adoption!AA153),ISNUMBER(AA188)),AA188/Adoption!AA153,NA())</f>
        <v>0.11522633744855967</v>
      </c>
      <c r="G188" s="162">
        <f>IF(AND(ISNUMBER(Adoption!AB153),ISNUMBER(AB188)),AB188/Adoption!AB153,NA())</f>
        <v>0.1551433389544688</v>
      </c>
      <c r="H188" s="164">
        <f>IF(AND(ISNUMBER(Adoption!AC153),ISNUMBER(AC188)),AC188/Adoption!AC153,NA())</f>
        <v>0.14423076923076922</v>
      </c>
      <c r="I188" s="443"/>
      <c r="J188" s="96"/>
      <c r="K188" s="96"/>
      <c r="L188" s="96"/>
      <c r="M188" s="166"/>
      <c r="N188" s="166"/>
      <c r="O188" s="166"/>
      <c r="P188" s="166"/>
      <c r="Q188" s="166"/>
      <c r="R188" s="166"/>
      <c r="S188" s="167"/>
      <c r="T188" s="166"/>
      <c r="U188" s="122"/>
      <c r="V188" s="137"/>
      <c r="W188" s="150"/>
      <c r="X188" s="372" t="e">
        <f t="shared" si="39"/>
        <v>#REF!</v>
      </c>
      <c r="Y188" s="372">
        <f>IF(Year1_Hampshire Year1_ROSGO_ceased_LAC_SGO="","",Year1_Hampshire Year1_ROSGO_ceased_LAC_SGO)</f>
        <v>45</v>
      </c>
      <c r="Z188" s="372">
        <f>IF(Year2_Hampshire Year2_ROSGO_ceased_LAC_SGO="","",Year2_Hampshire Year2_ROSGO_ceased_LAC_SGO)</f>
        <v>51</v>
      </c>
      <c r="AA188" s="372">
        <f>IF(Year3_Hampshire Year3_ROSGO_ceased_LAC_SGO="","",Year3_Hampshire Year3_ROSGO_ceased_LAC_SGO)</f>
        <v>56</v>
      </c>
      <c r="AB188" s="372">
        <f>IF(Year4_Hampshire Year4_ROSGO_ceased_LAC_SGO="","",Year4_Hampshire Year4_ROSGO_ceased_LAC_SGO)</f>
        <v>92</v>
      </c>
      <c r="AC188" s="372">
        <f>IF(Year5_Hampshire Year5_ROSGO_ceased_LAC_SGO="","",Year5_Hampshire Year5_ROSGO_ceased_LAC_SGO)</f>
        <v>90</v>
      </c>
      <c r="AD188" s="383"/>
      <c r="AE188" s="81"/>
      <c r="AF188" s="81"/>
      <c r="AG188" s="81"/>
      <c r="AH188" s="81"/>
      <c r="AI188" s="81"/>
      <c r="AJ188" s="157"/>
      <c r="AK188" s="74"/>
      <c r="AL188" s="74"/>
      <c r="AM188" s="74"/>
      <c r="AN188" s="74"/>
      <c r="AO188" s="74"/>
      <c r="AP188" s="74"/>
      <c r="AQ188" s="74"/>
      <c r="AR188" s="74"/>
      <c r="AS188" s="74"/>
      <c r="AT188" s="74"/>
      <c r="AU188" s="74"/>
      <c r="AV188" s="74"/>
      <c r="AW188" s="74"/>
      <c r="AX188" s="74"/>
    </row>
    <row r="189" spans="1:50" s="87" customFormat="1" ht="12.75" customHeight="1" x14ac:dyDescent="0.2">
      <c r="A189" s="488" t="e">
        <f>VLOOKUP(B189,Sheet1!$AQ$4:$AR$25,2,FALSE)</f>
        <v>#REF!</v>
      </c>
      <c r="B189" s="93" t="e">
        <f>Adoption!#REF!</f>
        <v>#REF!</v>
      </c>
      <c r="C189" s="85"/>
      <c r="D189" s="162">
        <f>IF(AND(ISNUMBER(Adoption!Y154),ISNUMBER(Y189)),Y189/Adoption!Y154,NA())</f>
        <v>0.13698630136986301</v>
      </c>
      <c r="E189" s="162" t="e">
        <f>IF(AND(ISNUMBER(Adoption!Z154),ISNUMBER(Z189)),Z189/Adoption!Z154,NA())</f>
        <v>#N/A</v>
      </c>
      <c r="F189" s="162" t="e">
        <f>IF(AND(ISNUMBER(Adoption!AA154),ISNUMBER(AA189)),AA189/Adoption!AA154,NA())</f>
        <v>#N/A</v>
      </c>
      <c r="G189" s="162">
        <f>IF(AND(ISNUMBER(Adoption!AB154),ISNUMBER(AB189)),AB189/Adoption!AB154,NA())</f>
        <v>0</v>
      </c>
      <c r="H189" s="164">
        <f>IF(AND(ISNUMBER(Adoption!AC154),ISNUMBER(AC189)),AC189/Adoption!AC154,NA())</f>
        <v>0</v>
      </c>
      <c r="I189" s="443"/>
      <c r="J189" s="96"/>
      <c r="K189" s="96"/>
      <c r="L189" s="96"/>
      <c r="M189" s="166"/>
      <c r="N189" s="166"/>
      <c r="O189" s="166"/>
      <c r="P189" s="166"/>
      <c r="Q189" s="166"/>
      <c r="R189" s="166"/>
      <c r="S189" s="167"/>
      <c r="T189" s="166"/>
      <c r="U189" s="122"/>
      <c r="V189" s="137"/>
      <c r="W189" s="150"/>
      <c r="X189" s="372" t="e">
        <f t="shared" si="39"/>
        <v>#REF!</v>
      </c>
      <c r="Y189" s="372">
        <f>IF(Year1_Isle_of_Wight Year1_ROSGO_ceased_LAC_SGO="","",Year1_Isle_of_Wight Year1_ROSGO_ceased_LAC_SGO)</f>
        <v>10</v>
      </c>
      <c r="Z189" s="372" t="str">
        <f>IF(Year2_Isle_of_Wight Year2_ROSGO_ceased_LAC_SGO="","",Year2_Isle_of_Wight Year2_ROSGO_ceased_LAC_SGO)</f>
        <v>x</v>
      </c>
      <c r="AA189" s="372" t="str">
        <f>IF(Year3_Isle_of_Wight Year3_ROSGO_ceased_LAC_SGO="","",Year3_Isle_of_Wight Year3_ROSGO_ceased_LAC_SGO)</f>
        <v>x</v>
      </c>
      <c r="AB189" s="372">
        <f>IF(Year4_Isle_of_Wight Year4_ROSGO_ceased_LAC_SGO="","",Year4_Isle_of_Wight Year4_ROSGO_ceased_LAC_SGO)</f>
        <v>0</v>
      </c>
      <c r="AC189" s="372">
        <f>IF(Year5_Isle_of_Wight Year5_ROSGO_ceased_LAC_SGO="","",Year5_Isle_of_Wight Year5_ROSGO_ceased_LAC_SGO)</f>
        <v>0</v>
      </c>
      <c r="AD189" s="383"/>
      <c r="AE189" s="81"/>
      <c r="AF189" s="81"/>
      <c r="AG189" s="81"/>
      <c r="AH189" s="81"/>
      <c r="AI189" s="81"/>
      <c r="AJ189" s="157"/>
      <c r="AK189" s="74"/>
      <c r="AL189" s="74"/>
      <c r="AM189" s="74"/>
      <c r="AN189" s="74"/>
      <c r="AO189" s="74"/>
      <c r="AP189" s="74"/>
      <c r="AQ189" s="74"/>
      <c r="AR189" s="74"/>
      <c r="AS189" s="74"/>
      <c r="AT189" s="74"/>
      <c r="AU189" s="74"/>
      <c r="AV189" s="74"/>
      <c r="AW189" s="74"/>
      <c r="AX189" s="74"/>
    </row>
    <row r="190" spans="1:50" s="87" customFormat="1" ht="12.75" customHeight="1" x14ac:dyDescent="0.2">
      <c r="A190" s="488" t="e">
        <f>VLOOKUP(B190,Sheet1!$AQ$4:$AR$25,2,FALSE)</f>
        <v>#REF!</v>
      </c>
      <c r="B190" s="93" t="e">
        <f>Adoption!#REF!</f>
        <v>#REF!</v>
      </c>
      <c r="C190" s="85"/>
      <c r="D190" s="162">
        <f>IF(AND(ISNUMBER(Adoption!Y155),ISNUMBER(Y190)),Y190/Adoption!Y155,NA())</f>
        <v>4.1705282669138088E-2</v>
      </c>
      <c r="E190" s="162">
        <f>IF(AND(ISNUMBER(Adoption!Z155),ISNUMBER(Z190)),Z190/Adoption!Z155,NA())</f>
        <v>4.1033434650455926E-2</v>
      </c>
      <c r="F190" s="162">
        <f>IF(AND(ISNUMBER(Adoption!AA155),ISNUMBER(AA190)),AA190/Adoption!AA155,NA())</f>
        <v>4.0991420400381312E-2</v>
      </c>
      <c r="G190" s="162">
        <f>IF(AND(ISNUMBER(Adoption!AB155),ISNUMBER(AB190)),AB190/Adoption!AB155,NA())</f>
        <v>5.8977719528178242E-2</v>
      </c>
      <c r="H190" s="164">
        <f>IF(AND(ISNUMBER(Adoption!AC155),ISNUMBER(AC190)),AC190/Adoption!AC155,NA())</f>
        <v>6.6395663956639567E-2</v>
      </c>
      <c r="I190" s="443"/>
      <c r="J190" s="96"/>
      <c r="K190" s="96"/>
      <c r="L190" s="96"/>
      <c r="M190" s="166"/>
      <c r="N190" s="166"/>
      <c r="O190" s="166"/>
      <c r="P190" s="166"/>
      <c r="Q190" s="166"/>
      <c r="R190" s="166"/>
      <c r="S190" s="167"/>
      <c r="T190" s="166"/>
      <c r="U190" s="122"/>
      <c r="V190" s="137"/>
      <c r="W190" s="150"/>
      <c r="X190" s="372" t="e">
        <f t="shared" si="39"/>
        <v>#REF!</v>
      </c>
      <c r="Y190" s="372">
        <f>IF(Year1_Kent Year1_ROSGO_ceased_LAC_SGO="","",Year1_Kent Year1_ROSGO_ceased_LAC_SGO)</f>
        <v>45</v>
      </c>
      <c r="Z190" s="372">
        <f>IF(Year2_Kent Year2_ROSGO_ceased_LAC_SGO="","",Year2_Kent Year2_ROSGO_ceased_LAC_SGO)</f>
        <v>54</v>
      </c>
      <c r="AA190" s="372">
        <f>IF(Year3_Kent Year3_ROSGO_ceased_LAC_SGO="","",Year3_Kent Year3_ROSGO_ceased_LAC_SGO)</f>
        <v>43</v>
      </c>
      <c r="AB190" s="372">
        <f>IF(Year4_Kent Year4_ROSGO_ceased_LAC_SGO="","",Year4_Kent Year4_ROSGO_ceased_LAC_SGO)</f>
        <v>45</v>
      </c>
      <c r="AC190" s="372">
        <f>IF(Year5_Kent Year5_ROSGO_ceased_LAC_SGO="","",Year5_Kent Year5_ROSGO_ceased_LAC_SGO)</f>
        <v>49</v>
      </c>
      <c r="AD190" s="383"/>
      <c r="AE190" s="81"/>
      <c r="AF190" s="81"/>
      <c r="AG190" s="81"/>
      <c r="AH190" s="81"/>
      <c r="AI190" s="81"/>
      <c r="AJ190" s="157"/>
      <c r="AK190" s="74"/>
      <c r="AL190" s="74"/>
      <c r="AM190" s="74"/>
      <c r="AN190" s="74"/>
      <c r="AO190" s="74"/>
      <c r="AP190" s="74"/>
      <c r="AQ190" s="74"/>
      <c r="AR190" s="74"/>
      <c r="AS190" s="74"/>
      <c r="AT190" s="74"/>
      <c r="AU190" s="74"/>
      <c r="AV190" s="74"/>
      <c r="AW190" s="74"/>
      <c r="AX190" s="74"/>
    </row>
    <row r="191" spans="1:50" s="87" customFormat="1" ht="12.75" customHeight="1" x14ac:dyDescent="0.2">
      <c r="A191" s="488" t="e">
        <f>VLOOKUP(B191,Sheet1!$AQ$4:$AR$25,2,FALSE)</f>
        <v>#REF!</v>
      </c>
      <c r="B191" s="93" t="e">
        <f>Adoption!#REF!</f>
        <v>#REF!</v>
      </c>
      <c r="C191" s="85"/>
      <c r="D191" s="162">
        <f>IF(AND(ISNUMBER(Adoption!Y156),ISNUMBER(Y191)),Y191/Adoption!Y156,NA())</f>
        <v>0.11904761904761904</v>
      </c>
      <c r="E191" s="162">
        <f>IF(AND(ISNUMBER(Adoption!Z156),ISNUMBER(Z191)),Z191/Adoption!Z156,NA())</f>
        <v>0.1497326203208556</v>
      </c>
      <c r="F191" s="162">
        <f>IF(AND(ISNUMBER(Adoption!AA156),ISNUMBER(AA191)),AA191/Adoption!AA156,NA())</f>
        <v>0.11949685534591195</v>
      </c>
      <c r="G191" s="162">
        <f>IF(AND(ISNUMBER(Adoption!AB156),ISNUMBER(AB191)),AB191/Adoption!AB156,NA())</f>
        <v>0.15822784810126583</v>
      </c>
      <c r="H191" s="164">
        <f>IF(AND(ISNUMBER(Adoption!AC156),ISNUMBER(AC191)),AC191/Adoption!AC156,NA())</f>
        <v>0.12777777777777777</v>
      </c>
      <c r="I191" s="443"/>
      <c r="J191" s="96"/>
      <c r="K191" s="96"/>
      <c r="L191" s="96"/>
      <c r="M191" s="166"/>
      <c r="N191" s="166"/>
      <c r="O191" s="166"/>
      <c r="P191" s="166"/>
      <c r="Q191" s="166"/>
      <c r="R191" s="166"/>
      <c r="S191" s="167"/>
      <c r="T191" s="166"/>
      <c r="U191" s="122"/>
      <c r="V191" s="137"/>
      <c r="W191" s="150"/>
      <c r="X191" s="372" t="e">
        <f t="shared" si="39"/>
        <v>#REF!</v>
      </c>
      <c r="Y191" s="372">
        <f>IF(Year1_Medway Year1_ROSGO_ceased_LAC_SGO="","",Year1_Medway Year1_ROSGO_ceased_LAC_SGO)</f>
        <v>25</v>
      </c>
      <c r="Z191" s="372">
        <f>IF(Year2_Medway Year2_ROSGO_ceased_LAC_SGO="","",Year2_Medway Year2_ROSGO_ceased_LAC_SGO)</f>
        <v>28</v>
      </c>
      <c r="AA191" s="372">
        <f>IF(Year3_Medway Year3_ROSGO_ceased_LAC_SGO="","",Year3_Medway Year3_ROSGO_ceased_LAC_SGO)</f>
        <v>19</v>
      </c>
      <c r="AB191" s="372">
        <f>IF(Year4_Medway Year4_ROSGO_ceased_LAC_SGO="","",Year4_Medway Year4_ROSGO_ceased_LAC_SGO)</f>
        <v>25</v>
      </c>
      <c r="AC191" s="372">
        <f>IF(Year5_Medway Year5_ROSGO_ceased_LAC_SGO="","",Year5_Medway Year5_ROSGO_ceased_LAC_SGO)</f>
        <v>23</v>
      </c>
      <c r="AD191" s="383"/>
      <c r="AE191" s="81"/>
      <c r="AF191" s="81"/>
      <c r="AG191" s="81"/>
      <c r="AH191" s="81"/>
      <c r="AI191" s="81"/>
      <c r="AJ191" s="157"/>
      <c r="AK191" s="74"/>
      <c r="AL191" s="74"/>
      <c r="AM191" s="74"/>
      <c r="AN191" s="74"/>
      <c r="AO191" s="74"/>
      <c r="AP191" s="74"/>
      <c r="AQ191" s="74"/>
      <c r="AR191" s="74"/>
      <c r="AS191" s="74"/>
      <c r="AT191" s="74"/>
      <c r="AU191" s="74"/>
      <c r="AV191" s="74"/>
      <c r="AW191" s="74"/>
      <c r="AX191" s="74"/>
    </row>
    <row r="192" spans="1:50" s="87" customFormat="1" ht="12.75" customHeight="1" x14ac:dyDescent="0.2">
      <c r="A192" s="488" t="e">
        <f>VLOOKUP(B192,Sheet1!$AQ$4:$AR$25,2,FALSE)</f>
        <v>#REF!</v>
      </c>
      <c r="B192" s="93" t="e">
        <f>Adoption!#REF!</f>
        <v>#REF!</v>
      </c>
      <c r="C192" s="85"/>
      <c r="D192" s="162">
        <f>IF(AND(ISNUMBER(Adoption!Y157),ISNUMBER(Y192)),Y192/Adoption!Y157,NA())</f>
        <v>0.10752688172043011</v>
      </c>
      <c r="E192" s="162">
        <f>IF(AND(ISNUMBER(Adoption!Z157),ISNUMBER(Z192)),Z192/Adoption!Z157,NA())</f>
        <v>0.17763157894736842</v>
      </c>
      <c r="F192" s="162">
        <f>IF(AND(ISNUMBER(Adoption!AA157),ISNUMBER(AA192)),AA192/Adoption!AA157,NA())</f>
        <v>0.24827586206896551</v>
      </c>
      <c r="G192" s="162">
        <f>IF(AND(ISNUMBER(Adoption!AB157),ISNUMBER(AB192)),AB192/Adoption!AB157,NA())</f>
        <v>0.15028901734104047</v>
      </c>
      <c r="H192" s="164">
        <f>IF(AND(ISNUMBER(Adoption!AC157),ISNUMBER(AC192)),AC192/Adoption!AC157,NA())</f>
        <v>0.13513513513513514</v>
      </c>
      <c r="I192" s="443"/>
      <c r="J192" s="96"/>
      <c r="K192" s="96"/>
      <c r="L192" s="96"/>
      <c r="M192" s="166"/>
      <c r="N192" s="166"/>
      <c r="O192" s="166"/>
      <c r="P192" s="166"/>
      <c r="Q192" s="166"/>
      <c r="R192" s="166"/>
      <c r="S192" s="167"/>
      <c r="T192" s="166"/>
      <c r="U192" s="122"/>
      <c r="V192" s="137"/>
      <c r="W192" s="150"/>
      <c r="X192" s="372" t="e">
        <f t="shared" si="39"/>
        <v>#REF!</v>
      </c>
      <c r="Y192" s="372">
        <f>IF(Year1_Milton_Keynes Year1_ROSGO_ceased_LAC_SGO="","",Year1_Milton_Keynes Year1_ROSGO_ceased_LAC_SGO)</f>
        <v>20</v>
      </c>
      <c r="Z192" s="372">
        <f>IF(Year2_Milton_Keynes Year2_ROSGO_ceased_LAC_SGO="","",Year2_Milton_Keynes Year2_ROSGO_ceased_LAC_SGO)</f>
        <v>27</v>
      </c>
      <c r="AA192" s="372">
        <f>IF(Year3_Milton_Keynes Year3_ROSGO_ceased_LAC_SGO="","",Year3_Milton_Keynes Year3_ROSGO_ceased_LAC_SGO)</f>
        <v>36</v>
      </c>
      <c r="AB192" s="372">
        <f>IF(Year4_Milton_Keynes Year4_ROSGO_ceased_LAC_SGO="","",Year4_Milton_Keynes Year4_ROSGO_ceased_LAC_SGO)</f>
        <v>26</v>
      </c>
      <c r="AC192" s="372">
        <f>IF(Year5_Milton_Keynes Year5_ROSGO_ceased_LAC_SGO="","",Year5_Milton_Keynes Year5_ROSGO_ceased_LAC_SGO)</f>
        <v>20</v>
      </c>
      <c r="AD192" s="383"/>
      <c r="AE192" s="81"/>
      <c r="AF192" s="81"/>
      <c r="AG192" s="81"/>
      <c r="AH192" s="81"/>
      <c r="AI192" s="81"/>
      <c r="AJ192" s="157"/>
      <c r="AK192" s="74"/>
      <c r="AL192" s="74"/>
      <c r="AM192" s="74"/>
      <c r="AN192" s="74"/>
      <c r="AO192" s="74"/>
      <c r="AP192" s="74"/>
      <c r="AQ192" s="74"/>
      <c r="AR192" s="74"/>
      <c r="AS192" s="74"/>
      <c r="AT192" s="74"/>
      <c r="AU192" s="74"/>
      <c r="AV192" s="74"/>
      <c r="AW192" s="74"/>
      <c r="AX192" s="74"/>
    </row>
    <row r="193" spans="1:50" s="87" customFormat="1" ht="12.75" customHeight="1" x14ac:dyDescent="0.2">
      <c r="A193" s="488" t="e">
        <f>VLOOKUP(B193,Sheet1!$AQ$4:$AR$25,2,FALSE)</f>
        <v>#REF!</v>
      </c>
      <c r="B193" s="93" t="e">
        <f>Adoption!#REF!</f>
        <v>#REF!</v>
      </c>
      <c r="C193" s="85"/>
      <c r="D193" s="162">
        <f>IF(AND(ISNUMBER(Adoption!Y158),ISNUMBER(Y193)),Y193/Adoption!Y158,NA())</f>
        <v>0.10714285714285714</v>
      </c>
      <c r="E193" s="162">
        <f>IF(AND(ISNUMBER(Adoption!Z158),ISNUMBER(Z193)),Z193/Adoption!Z158,NA())</f>
        <v>5.5944055944055944E-2</v>
      </c>
      <c r="F193" s="162">
        <f>IF(AND(ISNUMBER(Adoption!AA158),ISNUMBER(AA193)),AA193/Adoption!AA158,NA())</f>
        <v>0.1476510067114094</v>
      </c>
      <c r="G193" s="162">
        <f>IF(AND(ISNUMBER(Adoption!AB158),ISNUMBER(AB193)),AB193/Adoption!AB158,NA())</f>
        <v>9.5238095238095233E-2</v>
      </c>
      <c r="H193" s="164">
        <f>IF(AND(ISNUMBER(Adoption!AC158),ISNUMBER(AC193)),AC193/Adoption!AC158,NA())</f>
        <v>0.13664596273291926</v>
      </c>
      <c r="I193" s="443"/>
      <c r="J193" s="96"/>
      <c r="K193" s="96"/>
      <c r="L193" s="96"/>
      <c r="M193" s="166"/>
      <c r="N193" s="166"/>
      <c r="O193" s="166"/>
      <c r="P193" s="166"/>
      <c r="Q193" s="166"/>
      <c r="R193" s="166"/>
      <c r="S193" s="167"/>
      <c r="T193" s="166"/>
      <c r="U193" s="122"/>
      <c r="V193" s="137"/>
      <c r="W193" s="150"/>
      <c r="X193" s="372" t="e">
        <f t="shared" si="39"/>
        <v>#REF!</v>
      </c>
      <c r="Y193" s="372">
        <f>IF(Year1_Oxfordshire Year1_ROSGO_ceased_LAC_SGO="","",Year1_Oxfordshire Year1_ROSGO_ceased_LAC_SGO)</f>
        <v>30</v>
      </c>
      <c r="Z193" s="372">
        <f>IF(Year2_Oxfordshire Year2_ROSGO_ceased_LAC_SGO="","",Year2_Oxfordshire Year2_ROSGO_ceased_LAC_SGO)</f>
        <v>16</v>
      </c>
      <c r="AA193" s="372">
        <f>IF(Year3_Oxfordshire Year3_ROSGO_ceased_LAC_SGO="","",Year3_Oxfordshire Year3_ROSGO_ceased_LAC_SGO)</f>
        <v>44</v>
      </c>
      <c r="AB193" s="372">
        <f>IF(Year4_Oxfordshire Year4_ROSGO_ceased_LAC_SGO="","",Year4_Oxfordshire Year4_ROSGO_ceased_LAC_SGO)</f>
        <v>26</v>
      </c>
      <c r="AC193" s="372">
        <f>IF(Year5_Oxfordshire Year5_ROSGO_ceased_LAC_SGO="","",Year5_Oxfordshire Year5_ROSGO_ceased_LAC_SGO)</f>
        <v>44</v>
      </c>
      <c r="AD193" s="383"/>
      <c r="AE193" s="81"/>
      <c r="AF193" s="81"/>
      <c r="AG193" s="81"/>
      <c r="AH193" s="81"/>
      <c r="AI193" s="81"/>
      <c r="AJ193" s="157"/>
      <c r="AK193" s="74"/>
      <c r="AL193" s="74"/>
      <c r="AM193" s="74"/>
      <c r="AN193" s="74"/>
      <c r="AO193" s="74"/>
      <c r="AP193" s="74"/>
      <c r="AQ193" s="74"/>
      <c r="AR193" s="74"/>
      <c r="AS193" s="74"/>
      <c r="AT193" s="74"/>
      <c r="AU193" s="74"/>
      <c r="AV193" s="74"/>
      <c r="AW193" s="74"/>
      <c r="AX193" s="74"/>
    </row>
    <row r="194" spans="1:50" s="87" customFormat="1" ht="12.75" customHeight="1" x14ac:dyDescent="0.2">
      <c r="A194" s="488" t="e">
        <f>VLOOKUP(B194,Sheet1!$AQ$4:$AR$25,2,FALSE)</f>
        <v>#REF!</v>
      </c>
      <c r="B194" s="93" t="e">
        <f>Adoption!#REF!</f>
        <v>#REF!</v>
      </c>
      <c r="C194" s="85"/>
      <c r="D194" s="162">
        <f>IF(AND(ISNUMBER(Adoption!Y159),ISNUMBER(Y194)),Y194/Adoption!Y159,NA())</f>
        <v>0.11904761904761904</v>
      </c>
      <c r="E194" s="162">
        <f>IF(AND(ISNUMBER(Adoption!Z159),ISNUMBER(Z194)),Z194/Adoption!Z159,NA())</f>
        <v>9.7560975609756101E-2</v>
      </c>
      <c r="F194" s="162">
        <f>IF(AND(ISNUMBER(Adoption!AA159),ISNUMBER(AA194)),AA194/Adoption!AA159,NA())</f>
        <v>0.11827956989247312</v>
      </c>
      <c r="G194" s="162">
        <f>IF(AND(ISNUMBER(Adoption!AB159),ISNUMBER(AB194)),AB194/Adoption!AB159,NA())</f>
        <v>4.3478260869565216E-2</v>
      </c>
      <c r="H194" s="164">
        <f>IF(AND(ISNUMBER(Adoption!AC159),ISNUMBER(AC194)),AC194/Adoption!AC159,NA())</f>
        <v>3.4313725490196081E-2</v>
      </c>
      <c r="I194" s="443"/>
      <c r="J194" s="96"/>
      <c r="K194" s="96"/>
      <c r="L194" s="96"/>
      <c r="M194" s="166"/>
      <c r="N194" s="166"/>
      <c r="O194" s="166"/>
      <c r="P194" s="166"/>
      <c r="Q194" s="166"/>
      <c r="R194" s="166"/>
      <c r="S194" s="167"/>
      <c r="T194" s="166"/>
      <c r="U194" s="122"/>
      <c r="V194" s="137"/>
      <c r="W194" s="150"/>
      <c r="X194" s="372" t="e">
        <f t="shared" si="39"/>
        <v>#REF!</v>
      </c>
      <c r="Y194" s="372">
        <f>IF(Year1_Portsmouth Year1_ROSGO_ceased_LAC_SGO="","",Year1_Portsmouth Year1_ROSGO_ceased_LAC_SGO)</f>
        <v>15</v>
      </c>
      <c r="Z194" s="372">
        <f>IF(Year2_Portsmouth Year2_ROSGO_ceased_LAC_SGO="","",Year2_Portsmouth Year2_ROSGO_ceased_LAC_SGO)</f>
        <v>12</v>
      </c>
      <c r="AA194" s="372">
        <f>IF(Year3_Portsmouth Year3_ROSGO_ceased_LAC_SGO="","",Year3_Portsmouth Year3_ROSGO_ceased_LAC_SGO)</f>
        <v>22</v>
      </c>
      <c r="AB194" s="372">
        <f>IF(Year4_Portsmouth Year4_ROSGO_ceased_LAC_SGO="","",Year4_Portsmouth Year4_ROSGO_ceased_LAC_SGO)</f>
        <v>7</v>
      </c>
      <c r="AC194" s="372">
        <f>IF(Year5_Portsmouth Year5_ROSGO_ceased_LAC_SGO="","",Year5_Portsmouth Year5_ROSGO_ceased_LAC_SGO)</f>
        <v>7</v>
      </c>
      <c r="AD194" s="383"/>
      <c r="AE194" s="81"/>
      <c r="AF194" s="81"/>
      <c r="AG194" s="81"/>
      <c r="AH194" s="81"/>
      <c r="AI194" s="81"/>
      <c r="AJ194" s="157"/>
      <c r="AK194" s="74"/>
      <c r="AL194" s="74"/>
      <c r="AM194" s="74"/>
      <c r="AN194" s="74"/>
      <c r="AO194" s="74"/>
      <c r="AP194" s="74"/>
      <c r="AQ194" s="74"/>
      <c r="AR194" s="74"/>
      <c r="AS194" s="74"/>
      <c r="AT194" s="74"/>
      <c r="AU194" s="74"/>
      <c r="AV194" s="74"/>
      <c r="AW194" s="74"/>
      <c r="AX194" s="74"/>
    </row>
    <row r="195" spans="1:50" s="87" customFormat="1" ht="12.75" customHeight="1" x14ac:dyDescent="0.2">
      <c r="A195" s="488" t="e">
        <f>VLOOKUP(B195,Sheet1!$AQ$4:$AR$25,2,FALSE)</f>
        <v>#REF!</v>
      </c>
      <c r="B195" s="93" t="e">
        <f>Adoption!#REF!</f>
        <v>#REF!</v>
      </c>
      <c r="C195" s="85"/>
      <c r="D195" s="162">
        <f>IF(AND(ISNUMBER(Adoption!Y160),ISNUMBER(Y195)),Y195/Adoption!Y160,NA())</f>
        <v>0.16260162601626016</v>
      </c>
      <c r="E195" s="162">
        <f>IF(AND(ISNUMBER(Adoption!Z160),ISNUMBER(Z195)),Z195/Adoption!Z160,NA())</f>
        <v>0.08</v>
      </c>
      <c r="F195" s="162">
        <f>IF(AND(ISNUMBER(Adoption!AA160),ISNUMBER(AA195)),AA195/Adoption!AA160,NA())</f>
        <v>0.15217391304347827</v>
      </c>
      <c r="G195" s="162">
        <f>IF(AND(ISNUMBER(Adoption!AB160),ISNUMBER(AB195)),AB195/Adoption!AB160,NA())</f>
        <v>0.14736842105263157</v>
      </c>
      <c r="H195" s="164">
        <f>IF(AND(ISNUMBER(Adoption!AC160),ISNUMBER(AC195)),AC195/Adoption!AC160,NA())</f>
        <v>0.15596330275229359</v>
      </c>
      <c r="I195" s="443"/>
      <c r="J195" s="96"/>
      <c r="K195" s="96"/>
      <c r="L195" s="96"/>
      <c r="M195" s="166"/>
      <c r="N195" s="166"/>
      <c r="O195" s="166"/>
      <c r="P195" s="166"/>
      <c r="Q195" s="166"/>
      <c r="R195" s="166"/>
      <c r="S195" s="167"/>
      <c r="T195" s="166"/>
      <c r="U195" s="122"/>
      <c r="V195" s="137"/>
      <c r="W195" s="150"/>
      <c r="X195" s="372" t="e">
        <f t="shared" si="39"/>
        <v>#REF!</v>
      </c>
      <c r="Y195" s="372">
        <f>IF(Year1_Reading Year1_ROSGO_ceased_LAC_SGO="","",Year1_Reading Year1_ROSGO_ceased_LAC_SGO)</f>
        <v>20</v>
      </c>
      <c r="Z195" s="372">
        <f>IF(Year2_Reading Year2_ROSGO_ceased_LAC_SGO="","",Year2_Reading Year2_ROSGO_ceased_LAC_SGO)</f>
        <v>8</v>
      </c>
      <c r="AA195" s="372">
        <f>IF(Year3_Reading Year3_ROSGO_ceased_LAC_SGO="","",Year3_Reading Year3_ROSGO_ceased_LAC_SGO)</f>
        <v>14</v>
      </c>
      <c r="AB195" s="372">
        <f>IF(Year4_Reading Year4_ROSGO_ceased_LAC_SGO="","",Year4_Reading Year4_ROSGO_ceased_LAC_SGO)</f>
        <v>14</v>
      </c>
      <c r="AC195" s="372">
        <f>IF(Year5_Reading Year5_ROSGO_ceased_LAC_SGO="","",Year5_Reading Year5_ROSGO_ceased_LAC_SGO)</f>
        <v>17</v>
      </c>
      <c r="AD195" s="383"/>
      <c r="AE195" s="81"/>
      <c r="AF195" s="81"/>
      <c r="AG195" s="81"/>
      <c r="AH195" s="81"/>
      <c r="AI195" s="81"/>
      <c r="AJ195" s="157"/>
      <c r="AK195" s="74"/>
      <c r="AL195" s="74"/>
      <c r="AM195" s="74"/>
      <c r="AN195" s="74"/>
      <c r="AO195" s="74"/>
      <c r="AP195" s="74"/>
      <c r="AQ195" s="74"/>
      <c r="AR195" s="74"/>
      <c r="AS195" s="74"/>
      <c r="AT195" s="74"/>
      <c r="AU195" s="74"/>
      <c r="AV195" s="74"/>
      <c r="AW195" s="74"/>
      <c r="AX195" s="74"/>
    </row>
    <row r="196" spans="1:50" s="87" customFormat="1" ht="12.75" customHeight="1" x14ac:dyDescent="0.2">
      <c r="A196" s="488" t="e">
        <f>VLOOKUP(B196,Sheet1!$AQ$4:$AR$25,2,FALSE)</f>
        <v>#REF!</v>
      </c>
      <c r="B196" s="93" t="e">
        <f>Adoption!#REF!</f>
        <v>#REF!</v>
      </c>
      <c r="C196" s="85"/>
      <c r="D196" s="162">
        <f>IF(AND(ISNUMBER(Adoption!Y161),ISNUMBER(Y196)),Y196/Adoption!Y161,NA())</f>
        <v>0.16233766233766234</v>
      </c>
      <c r="E196" s="162">
        <f>IF(AND(ISNUMBER(Adoption!Z161),ISNUMBER(Z196)),Z196/Adoption!Z161,NA())</f>
        <v>8.9285714285714288E-2</v>
      </c>
      <c r="F196" s="162">
        <f>IF(AND(ISNUMBER(Adoption!AA161),ISNUMBER(AA196)),AA196/Adoption!AA161,NA())</f>
        <v>0.125</v>
      </c>
      <c r="G196" s="162">
        <f>IF(AND(ISNUMBER(Adoption!AB161),ISNUMBER(AB196)),AB196/Adoption!AB161,NA())</f>
        <v>7.0866141732283464E-2</v>
      </c>
      <c r="H196" s="164">
        <f>IF(AND(ISNUMBER(Adoption!AC161),ISNUMBER(AC196)),AC196/Adoption!AC161,NA())</f>
        <v>0</v>
      </c>
      <c r="I196" s="443"/>
      <c r="J196" s="96"/>
      <c r="K196" s="96"/>
      <c r="L196" s="96"/>
      <c r="M196" s="166"/>
      <c r="N196" s="166"/>
      <c r="O196" s="166"/>
      <c r="P196" s="166"/>
      <c r="Q196" s="166"/>
      <c r="R196" s="166"/>
      <c r="S196" s="167"/>
      <c r="T196" s="166"/>
      <c r="U196" s="122"/>
      <c r="V196" s="137"/>
      <c r="W196" s="150"/>
      <c r="X196" s="372" t="e">
        <f t="shared" si="39"/>
        <v>#REF!</v>
      </c>
      <c r="Y196" s="372">
        <f>IF(Year1_Slough Year1_ROSGO_ceased_LAC_SGO="","",Year1_Slough Year1_ROSGO_ceased_LAC_SGO)</f>
        <v>25</v>
      </c>
      <c r="Z196" s="372">
        <f>IF(Year2_Slough Year2_ROSGO_ceased_LAC_SGO="","",Year2_Slough Year2_ROSGO_ceased_LAC_SGO)</f>
        <v>10</v>
      </c>
      <c r="AA196" s="372">
        <f>IF(Year3_Slough Year3_ROSGO_ceased_LAC_SGO="","",Year3_Slough Year3_ROSGO_ceased_LAC_SGO)</f>
        <v>14</v>
      </c>
      <c r="AB196" s="372">
        <f>IF(Year4_Slough Year4_ROSGO_ceased_LAC_SGO="","",Year4_Slough Year4_ROSGO_ceased_LAC_SGO)</f>
        <v>9</v>
      </c>
      <c r="AC196" s="372">
        <f>IF(Year5_Slough Year5_ROSGO_ceased_LAC_SGO="","",Year5_Slough Year5_ROSGO_ceased_LAC_SGO)</f>
        <v>0</v>
      </c>
      <c r="AD196" s="383"/>
      <c r="AE196" s="81"/>
      <c r="AF196" s="81"/>
      <c r="AG196" s="81"/>
      <c r="AH196" s="81"/>
      <c r="AI196" s="81"/>
      <c r="AJ196" s="157"/>
      <c r="AK196" s="74"/>
      <c r="AL196" s="74"/>
      <c r="AM196" s="74"/>
      <c r="AN196" s="74"/>
      <c r="AO196" s="74"/>
      <c r="AP196" s="74"/>
      <c r="AQ196" s="74"/>
      <c r="AR196" s="74"/>
      <c r="AS196" s="74"/>
      <c r="AT196" s="74"/>
      <c r="AU196" s="74"/>
      <c r="AV196" s="74"/>
      <c r="AW196" s="74"/>
      <c r="AX196" s="74"/>
    </row>
    <row r="197" spans="1:50" s="87" customFormat="1" ht="12.75" customHeight="1" x14ac:dyDescent="0.2">
      <c r="A197" s="488" t="e">
        <f>VLOOKUP(B197,Sheet1!$AQ$4:$AR$25,2,FALSE)</f>
        <v>#REF!</v>
      </c>
      <c r="B197" s="93" t="e">
        <f>Adoption!#REF!</f>
        <v>#REF!</v>
      </c>
      <c r="C197" s="85"/>
      <c r="D197" s="162">
        <f>IF(AND(ISNUMBER(Adoption!Y162),ISNUMBER(Y197)),Y197/Adoption!Y162,NA())</f>
        <v>6.5502183406113537E-2</v>
      </c>
      <c r="E197" s="162">
        <f>IF(AND(ISNUMBER(Adoption!Z162),ISNUMBER(Z197)),Z197/Adoption!Z162,NA())</f>
        <v>0.11494252873563218</v>
      </c>
      <c r="F197" s="162">
        <f>IF(AND(ISNUMBER(Adoption!AA162),ISNUMBER(AA197)),AA197/Adoption!AA162,NA())</f>
        <v>0.12556053811659193</v>
      </c>
      <c r="G197" s="162">
        <f>IF(AND(ISNUMBER(Adoption!AB162),ISNUMBER(AB197)),AB197/Adoption!AB162,NA())</f>
        <v>7.0652173913043473E-2</v>
      </c>
      <c r="H197" s="164">
        <f>IF(AND(ISNUMBER(Adoption!AC162),ISNUMBER(AC197)),AC197/Adoption!AC162,NA())</f>
        <v>0.10152284263959391</v>
      </c>
      <c r="I197" s="443"/>
      <c r="J197" s="96"/>
      <c r="K197" s="96"/>
      <c r="L197" s="96"/>
      <c r="M197" s="166"/>
      <c r="N197" s="166"/>
      <c r="O197" s="166"/>
      <c r="P197" s="166"/>
      <c r="Q197" s="166"/>
      <c r="R197" s="166"/>
      <c r="S197" s="167"/>
      <c r="T197" s="166"/>
      <c r="U197" s="122"/>
      <c r="V197" s="137"/>
      <c r="W197" s="150"/>
      <c r="X197" s="372" t="e">
        <f t="shared" si="39"/>
        <v>#REF!</v>
      </c>
      <c r="Y197" s="372">
        <f>IF(Year1_Somerset Year1_ROSGO_ceased_LAC_SGO="","",Year1_Somerset Year1_ROSGO_ceased_LAC_SGO)</f>
        <v>15</v>
      </c>
      <c r="Z197" s="372">
        <f>IF(Year2_Somerset Year2_ROSGO_ceased_LAC_SGO="","",Year2_Somerset Year2_ROSGO_ceased_LAC_SGO)</f>
        <v>30</v>
      </c>
      <c r="AA197" s="372">
        <f>IF(Year3_Somerset Year3_ROSGO_ceased_LAC_SGO="","",Year3_Somerset Year3_ROSGO_ceased_LAC_SGO)</f>
        <v>28</v>
      </c>
      <c r="AB197" s="372">
        <f>IF(Year4_Somerset Year4_ROSGO_ceased_LAC_SGO="","",Year4_Somerset Year4_ROSGO_ceased_LAC_SGO)</f>
        <v>13</v>
      </c>
      <c r="AC197" s="372">
        <f>IF(Year5_Somerset Year5_ROSGO_ceased_LAC_SGO="","",Year5_Somerset Year5_ROSGO_ceased_LAC_SGO)</f>
        <v>20</v>
      </c>
      <c r="AD197" s="383"/>
      <c r="AE197" s="81"/>
      <c r="AF197" s="81"/>
      <c r="AG197" s="81"/>
      <c r="AH197" s="81"/>
      <c r="AI197" s="81"/>
      <c r="AJ197" s="157"/>
      <c r="AK197" s="74"/>
      <c r="AL197" s="74"/>
      <c r="AM197" s="74"/>
      <c r="AN197" s="74"/>
      <c r="AO197" s="74"/>
      <c r="AP197" s="74"/>
      <c r="AQ197" s="74"/>
      <c r="AR197" s="74"/>
      <c r="AS197" s="74"/>
      <c r="AT197" s="74"/>
      <c r="AU197" s="74"/>
      <c r="AV197" s="74"/>
      <c r="AW197" s="74"/>
      <c r="AX197" s="74"/>
    </row>
    <row r="198" spans="1:50" s="87" customFormat="1" ht="12.75" customHeight="1" x14ac:dyDescent="0.2">
      <c r="A198" s="488" t="e">
        <f>VLOOKUP(B198,Sheet1!$AQ$4:$AR$25,2,FALSE)</f>
        <v>#REF!</v>
      </c>
      <c r="B198" s="93" t="e">
        <f>Adoption!#REF!</f>
        <v>#REF!</v>
      </c>
      <c r="C198" s="85"/>
      <c r="D198" s="162">
        <f>IF(AND(ISNUMBER(Adoption!Y163),ISNUMBER(Y198)),Y198/Adoption!Y163,NA())</f>
        <v>0.14634146341463414</v>
      </c>
      <c r="E198" s="162">
        <f>IF(AND(ISNUMBER(Adoption!Z163),ISNUMBER(Z198)),Z198/Adoption!Z163,NA())</f>
        <v>0.15837104072398189</v>
      </c>
      <c r="F198" s="162">
        <f>IF(AND(ISNUMBER(Adoption!AA163),ISNUMBER(AA198)),AA198/Adoption!AA163,NA())</f>
        <v>0.19796954314720813</v>
      </c>
      <c r="G198" s="162">
        <f>IF(AND(ISNUMBER(Adoption!AB163),ISNUMBER(AB198)),AB198/Adoption!AB163,NA())</f>
        <v>0.17289719626168223</v>
      </c>
      <c r="H198" s="164">
        <f>IF(AND(ISNUMBER(Adoption!AC163),ISNUMBER(AC198)),AC198/Adoption!AC163,NA())</f>
        <v>8.5427135678391955E-2</v>
      </c>
      <c r="I198" s="443"/>
      <c r="J198" s="96"/>
      <c r="K198" s="96"/>
      <c r="L198" s="96"/>
      <c r="M198" s="166"/>
      <c r="N198" s="166"/>
      <c r="O198" s="166"/>
      <c r="P198" s="166"/>
      <c r="Q198" s="166"/>
      <c r="R198" s="166"/>
      <c r="S198" s="167"/>
      <c r="T198" s="166"/>
      <c r="U198" s="122"/>
      <c r="V198" s="137"/>
      <c r="W198" s="150"/>
      <c r="X198" s="372" t="e">
        <f t="shared" si="39"/>
        <v>#REF!</v>
      </c>
      <c r="Y198" s="372">
        <f>IF(Year1_Southampton Year1_ROSGO_ceased_LAC_SGO="","",Year1_Southampton Year1_ROSGO_ceased_LAC_SGO)</f>
        <v>30</v>
      </c>
      <c r="Z198" s="372">
        <f>IF(Year2_Southampton Year2_ROSGO_ceased_LAC_SGO="","",Year2_Southampton Year2_ROSGO_ceased_LAC_SGO)</f>
        <v>35</v>
      </c>
      <c r="AA198" s="372">
        <f>IF(Year3_Southampton Year3_ROSGO_ceased_LAC_SGO="","",Year3_Southampton Year3_ROSGO_ceased_LAC_SGO)</f>
        <v>39</v>
      </c>
      <c r="AB198" s="372">
        <f>IF(Year4_Southampton Year4_ROSGO_ceased_LAC_SGO="","",Year4_Southampton Year4_ROSGO_ceased_LAC_SGO)</f>
        <v>37</v>
      </c>
      <c r="AC198" s="372">
        <f>IF(Year5_Southampton Year5_ROSGO_ceased_LAC_SGO="","",Year5_Southampton Year5_ROSGO_ceased_LAC_SGO)</f>
        <v>17</v>
      </c>
      <c r="AD198" s="383"/>
      <c r="AE198" s="81"/>
      <c r="AF198" s="81"/>
      <c r="AG198" s="81"/>
      <c r="AH198" s="81"/>
      <c r="AI198" s="81"/>
      <c r="AJ198" s="157"/>
      <c r="AK198" s="74"/>
      <c r="AL198" s="74"/>
      <c r="AM198" s="74"/>
      <c r="AN198" s="74"/>
      <c r="AO198" s="74"/>
      <c r="AP198" s="74"/>
      <c r="AQ198" s="74"/>
      <c r="AR198" s="74"/>
      <c r="AS198" s="74"/>
      <c r="AT198" s="74"/>
      <c r="AU198" s="74"/>
      <c r="AV198" s="74"/>
      <c r="AW198" s="74"/>
      <c r="AX198" s="74"/>
    </row>
    <row r="199" spans="1:50" s="87" customFormat="1" ht="12.75" customHeight="1" x14ac:dyDescent="0.2">
      <c r="A199" s="488" t="e">
        <f>VLOOKUP(B199,Sheet1!$AQ$4:$AR$25,2,FALSE)</f>
        <v>#REF!</v>
      </c>
      <c r="B199" s="93" t="e">
        <f>Adoption!#REF!</f>
        <v>#REF!</v>
      </c>
      <c r="C199" s="85"/>
      <c r="D199" s="162">
        <f>IF(AND(ISNUMBER(Adoption!Y164),ISNUMBER(Y199)),Y199/Adoption!Y164,NA())</f>
        <v>9.8765432098765427E-2</v>
      </c>
      <c r="E199" s="162">
        <f>IF(AND(ISNUMBER(Adoption!Z164),ISNUMBER(Z199)),Z199/Adoption!Z164,NA())</f>
        <v>0.13365155131264916</v>
      </c>
      <c r="F199" s="162">
        <f>IF(AND(ISNUMBER(Adoption!AA164),ISNUMBER(AA199)),AA199/Adoption!AA164,NA())</f>
        <v>0.12469437652811736</v>
      </c>
      <c r="G199" s="162">
        <f>IF(AND(ISNUMBER(Adoption!AB164),ISNUMBER(AB199)),AB199/Adoption!AB164,NA())</f>
        <v>0.10913705583756345</v>
      </c>
      <c r="H199" s="164">
        <f>IF(AND(ISNUMBER(Adoption!AC164),ISNUMBER(AC199)),AC199/Adoption!AC164,NA())</f>
        <v>9.8630136986301367E-2</v>
      </c>
      <c r="I199" s="443"/>
      <c r="J199" s="96"/>
      <c r="K199" s="96"/>
      <c r="L199" s="96"/>
      <c r="M199" s="166"/>
      <c r="N199" s="166"/>
      <c r="O199" s="166"/>
      <c r="P199" s="166"/>
      <c r="Q199" s="166"/>
      <c r="R199" s="166"/>
      <c r="S199" s="167"/>
      <c r="T199" s="166"/>
      <c r="U199" s="122"/>
      <c r="V199" s="137"/>
      <c r="W199" s="150"/>
      <c r="X199" s="372" t="e">
        <f t="shared" si="39"/>
        <v>#REF!</v>
      </c>
      <c r="Y199" s="372">
        <f>IF(Year1_Surrey Year1_ROSGO_ceased_LAC_SGO="","",Year1_Surrey Year1_ROSGO_ceased_LAC_SGO)</f>
        <v>40</v>
      </c>
      <c r="Z199" s="372">
        <f>IF(Year2_Surrey Year2_ROSGO_ceased_LAC_SGO="","",Year2_Surrey Year2_ROSGO_ceased_LAC_SGO)</f>
        <v>56</v>
      </c>
      <c r="AA199" s="372">
        <f>IF(Year3_Surrey Year3_ROSGO_ceased_LAC_SGO="","",Year3_Surrey Year3_ROSGO_ceased_LAC_SGO)</f>
        <v>51</v>
      </c>
      <c r="AB199" s="372">
        <f>IF(Year4_Surrey Year4_ROSGO_ceased_LAC_SGO="","",Year4_Surrey Year4_ROSGO_ceased_LAC_SGO)</f>
        <v>43</v>
      </c>
      <c r="AC199" s="372">
        <f>IF(Year5_Surrey Year5_ROSGO_ceased_LAC_SGO="","",Year5_Surrey Year5_ROSGO_ceased_LAC_SGO)</f>
        <v>36</v>
      </c>
      <c r="AD199" s="383"/>
      <c r="AE199" s="81"/>
      <c r="AF199" s="81"/>
      <c r="AG199" s="81"/>
      <c r="AH199" s="81"/>
      <c r="AI199" s="81"/>
      <c r="AJ199" s="157"/>
      <c r="AK199" s="74"/>
      <c r="AL199" s="74"/>
      <c r="AM199" s="74"/>
      <c r="AN199" s="74"/>
      <c r="AO199" s="74"/>
      <c r="AP199" s="74"/>
      <c r="AQ199" s="74"/>
      <c r="AR199" s="74"/>
      <c r="AS199" s="74"/>
      <c r="AT199" s="74"/>
      <c r="AU199" s="74"/>
      <c r="AV199" s="74"/>
      <c r="AW199" s="74"/>
      <c r="AX199" s="74"/>
    </row>
    <row r="200" spans="1:50" s="87" customFormat="1" ht="12.75" customHeight="1" x14ac:dyDescent="0.2">
      <c r="A200" s="488" t="e">
        <f>VLOOKUP(B200,Sheet1!$AQ$4:$AR$25,2,FALSE)</f>
        <v>#REF!</v>
      </c>
      <c r="B200" s="93" t="e">
        <f>Adoption!#REF!</f>
        <v>#REF!</v>
      </c>
      <c r="C200" s="85"/>
      <c r="D200" s="162">
        <f>IF(AND(ISNUMBER(Adoption!Y165),ISNUMBER(Y200)),Y200/Adoption!Y165,NA())</f>
        <v>7.1942446043165464E-2</v>
      </c>
      <c r="E200" s="162">
        <f>IF(AND(ISNUMBER(Adoption!Z165),ISNUMBER(Z200)),Z200/Adoption!Z165,NA())</f>
        <v>0.12666666666666668</v>
      </c>
      <c r="F200" s="162">
        <f>IF(AND(ISNUMBER(Adoption!AA165),ISNUMBER(AA200)),AA200/Adoption!AA165,NA())</f>
        <v>0.18064516129032257</v>
      </c>
      <c r="G200" s="162">
        <f>IF(AND(ISNUMBER(Adoption!AB165),ISNUMBER(AB200)),AB200/Adoption!AB165,NA())</f>
        <v>0.21476510067114093</v>
      </c>
      <c r="H200" s="164">
        <f>IF(AND(ISNUMBER(Adoption!AC165),ISNUMBER(AC200)),AC200/Adoption!AC165,NA())</f>
        <v>9.6774193548387094E-2</v>
      </c>
      <c r="I200" s="443"/>
      <c r="J200" s="96"/>
      <c r="K200" s="96"/>
      <c r="L200" s="96"/>
      <c r="M200" s="166"/>
      <c r="N200" s="166"/>
      <c r="O200" s="166"/>
      <c r="P200" s="166"/>
      <c r="Q200" s="166"/>
      <c r="R200" s="166"/>
      <c r="S200" s="167"/>
      <c r="T200" s="166"/>
      <c r="U200" s="122"/>
      <c r="V200" s="137"/>
      <c r="W200" s="150"/>
      <c r="X200" s="372" t="e">
        <f t="shared" si="39"/>
        <v>#REF!</v>
      </c>
      <c r="Y200" s="372">
        <f>IF(Year1_Swindon Year1_ROSGO_ceased_LAC_SGO="","",Year1_Swindon Year1_ROSGO_ceased_LAC_SGO)</f>
        <v>10</v>
      </c>
      <c r="Z200" s="372">
        <f>IF(Year2_Swindon Year2_ROSGO_ceased_LAC_SGO="","",Year2_Swindon Year2_ROSGO_ceased_LAC_SGO)</f>
        <v>19</v>
      </c>
      <c r="AA200" s="372">
        <f>IF(Year3_Swindon Year3_ROSGO_ceased_LAC_SGO="","",Year3_Swindon Year3_ROSGO_ceased_LAC_SGO)</f>
        <v>28</v>
      </c>
      <c r="AB200" s="605">
        <f>IF(Year4_Swindon Year4_ROSGO_ceased_LAC_SGO="","",Year4_Swindon Year4_ROSGO_ceased_LAC_SGO)</f>
        <v>32</v>
      </c>
      <c r="AC200" s="605">
        <f>IF(Year5_Swindon Year5_ROSGO_ceased_LAC_SGO="","",Year5_Swindon Year5_ROSGO_ceased_LAC_SGO)</f>
        <v>15</v>
      </c>
      <c r="AD200" s="383"/>
      <c r="AE200" s="81"/>
      <c r="AF200" s="81"/>
      <c r="AG200" s="81"/>
      <c r="AH200" s="81"/>
      <c r="AI200" s="81"/>
      <c r="AJ200" s="157"/>
      <c r="AK200" s="74"/>
      <c r="AL200" s="74"/>
      <c r="AM200" s="74"/>
      <c r="AN200" s="74"/>
      <c r="AO200" s="74"/>
      <c r="AP200" s="74"/>
      <c r="AQ200" s="74"/>
      <c r="AR200" s="74"/>
      <c r="AS200" s="74"/>
      <c r="AT200" s="74"/>
      <c r="AU200" s="74"/>
      <c r="AV200" s="74"/>
      <c r="AW200" s="74"/>
      <c r="AX200" s="74"/>
    </row>
    <row r="201" spans="1:50" s="87" customFormat="1" ht="12.75" customHeight="1" x14ac:dyDescent="0.2">
      <c r="A201" s="488" t="e">
        <f>VLOOKUP(B201,Sheet1!$AQ$4:$AR$25,2,FALSE)</f>
        <v>#REF!</v>
      </c>
      <c r="B201" s="93" t="e">
        <f>Adoption!#REF!</f>
        <v>#REF!</v>
      </c>
      <c r="C201" s="85"/>
      <c r="D201" s="162">
        <f>IF(AND(ISNUMBER(Adoption!Y166),ISNUMBER(Y201)),Y201/Adoption!Y166,NA())</f>
        <v>0.08</v>
      </c>
      <c r="E201" s="162">
        <f>IF(AND(ISNUMBER(Adoption!Z166),ISNUMBER(Z201)),Z201/Adoption!Z166,NA())</f>
        <v>0.14814814814814814</v>
      </c>
      <c r="F201" s="162">
        <f>IF(AND(ISNUMBER(Adoption!AA166),ISNUMBER(AA201)),AA201/Adoption!AA166,NA())</f>
        <v>9.8039215686274508E-2</v>
      </c>
      <c r="G201" s="162">
        <f>IF(AND(ISNUMBER(Adoption!AB166),ISNUMBER(AB201)),AB201/Adoption!AB166,NA())</f>
        <v>0.10169491525423729</v>
      </c>
      <c r="H201" s="164">
        <f>IF(AND(ISNUMBER(Adoption!AC166),ISNUMBER(AC201)),AC201/Adoption!AC166,NA())</f>
        <v>0.1276595744680851</v>
      </c>
      <c r="I201" s="443"/>
      <c r="J201" s="96"/>
      <c r="K201" s="96"/>
      <c r="L201" s="96"/>
      <c r="M201" s="166"/>
      <c r="N201" s="166"/>
      <c r="O201" s="166"/>
      <c r="P201" s="166"/>
      <c r="Q201" s="166"/>
      <c r="R201" s="166"/>
      <c r="S201" s="167"/>
      <c r="T201" s="166"/>
      <c r="U201" s="122"/>
      <c r="V201" s="137"/>
      <c r="W201" s="150"/>
      <c r="X201" s="372" t="e">
        <f t="shared" si="39"/>
        <v>#REF!</v>
      </c>
      <c r="Y201" s="372">
        <f>IF(Year1_Torbay Year1_ROSGO_ceased_LAC_SGO="","",Year1_Torbay Year1_ROSGO_ceased_LAC_SGO)</f>
        <v>10</v>
      </c>
      <c r="Z201" s="372">
        <f>IF(Year2_Torbay Year2_ROSGO_ceased_LAC_SGO="","",Year2_Torbay Year2_ROSGO_ceased_LAC_SGO)</f>
        <v>16</v>
      </c>
      <c r="AA201" s="372">
        <f>IF(Year3_Torbay Year3_ROSGO_ceased_LAC_SGO="","",Year3_Torbay Year3_ROSGO_ceased_LAC_SGO)</f>
        <v>10</v>
      </c>
      <c r="AB201" s="605">
        <f>IF(Year4_Torbay Year4_ROSGO_ceased_LAC_SGO="","",Year4_Torbay Year4_ROSGO_ceased_LAC_SGO)</f>
        <v>12</v>
      </c>
      <c r="AC201" s="605">
        <f>IF(Year5_Torbay Year5_ROSGO_ceased_LAC_SGO="","",Year5_Torbay Year5_ROSGO_ceased_LAC_SGO)</f>
        <v>18</v>
      </c>
      <c r="AD201" s="383"/>
      <c r="AE201" s="81"/>
      <c r="AF201" s="81"/>
      <c r="AG201" s="81"/>
      <c r="AH201" s="81"/>
      <c r="AI201" s="81"/>
      <c r="AJ201" s="157"/>
      <c r="AK201" s="74"/>
      <c r="AL201" s="74"/>
      <c r="AM201" s="74"/>
      <c r="AN201" s="74"/>
      <c r="AO201" s="74"/>
      <c r="AP201" s="74"/>
      <c r="AQ201" s="74"/>
      <c r="AR201" s="74"/>
      <c r="AS201" s="74"/>
      <c r="AT201" s="74"/>
      <c r="AU201" s="74"/>
      <c r="AV201" s="74"/>
      <c r="AW201" s="74"/>
      <c r="AX201" s="74"/>
    </row>
    <row r="202" spans="1:50" s="87" customFormat="1" ht="12.75" customHeight="1" x14ac:dyDescent="0.2">
      <c r="A202" s="488" t="e">
        <f>VLOOKUP(B202,Sheet1!$AQ$4:$AR$25,2,FALSE)</f>
        <v>#REF!</v>
      </c>
      <c r="B202" s="93" t="e">
        <f>Adoption!#REF!</f>
        <v>#REF!</v>
      </c>
      <c r="C202" s="85"/>
      <c r="D202" s="162">
        <f>IF(AND(ISNUMBER(Adoption!Y167),ISNUMBER(Y202)),Y202/Adoption!Y167,NA())</f>
        <v>0.14492753623188406</v>
      </c>
      <c r="E202" s="162" t="e">
        <f>IF(AND(ISNUMBER(Adoption!Z167),ISNUMBER(Z202)),Z202/Adoption!Z167,NA())</f>
        <v>#N/A</v>
      </c>
      <c r="F202" s="162">
        <f>IF(AND(ISNUMBER(Adoption!AA167),ISNUMBER(AA202)),AA202/Adoption!AA167,NA())</f>
        <v>0.23255813953488372</v>
      </c>
      <c r="G202" s="162">
        <f>IF(AND(ISNUMBER(Adoption!AB167),ISNUMBER(AB202)),AB202/Adoption!AB167,NA())</f>
        <v>0.30188679245283018</v>
      </c>
      <c r="H202" s="164">
        <f>IF(AND(ISNUMBER(Adoption!AC167),ISNUMBER(AC202)),AC202/Adoption!AC167,NA())</f>
        <v>0</v>
      </c>
      <c r="I202" s="443"/>
      <c r="J202" s="96"/>
      <c r="K202" s="96"/>
      <c r="L202" s="96"/>
      <c r="M202" s="166"/>
      <c r="N202" s="166"/>
      <c r="O202" s="166"/>
      <c r="P202" s="166"/>
      <c r="Q202" s="166"/>
      <c r="R202" s="166"/>
      <c r="S202" s="167"/>
      <c r="T202" s="166"/>
      <c r="U202" s="122"/>
      <c r="V202" s="137"/>
      <c r="W202" s="150"/>
      <c r="X202" s="372" t="e">
        <f t="shared" si="39"/>
        <v>#REF!</v>
      </c>
      <c r="Y202" s="372">
        <f>IF(Year1_West_Berkshire Year1_ROSGO_ceased_LAC_SGO="","",Year1_West_Berkshire Year1_ROSGO_ceased_LAC_SGO)</f>
        <v>10</v>
      </c>
      <c r="Z202" s="372" t="str">
        <f>IF(Year2_West_Berkshire Year2_ROSGO_ceased_LAC_SGO="","",Year2_West_Berkshire Year2_ROSGO_ceased_LAC_SGO)</f>
        <v>x</v>
      </c>
      <c r="AA202" s="372">
        <f>IF(Year3_West_Berkshire Year3_ROSGO_ceased_LAC_SGO="","",Year3_West_Berkshire Year3_ROSGO_ceased_LAC_SGO)</f>
        <v>20</v>
      </c>
      <c r="AB202" s="372">
        <f>IF(Year4_West_Berkshire Year4_ROSGO_ceased_LAC_SGO="","",Year4_West_Berkshire Year4_ROSGO_ceased_LAC_SGO)</f>
        <v>16</v>
      </c>
      <c r="AC202" s="372">
        <f>IF(Year5_West_Berkshire Year5_ROSGO_ceased_LAC_SGO="","",Year5_West_Berkshire Year5_ROSGO_ceased_LAC_SGO)</f>
        <v>0</v>
      </c>
      <c r="AD202" s="383"/>
      <c r="AE202" s="81"/>
      <c r="AF202" s="81"/>
      <c r="AG202" s="81"/>
      <c r="AH202" s="81"/>
      <c r="AI202" s="81"/>
      <c r="AJ202" s="157"/>
      <c r="AK202" s="74"/>
      <c r="AL202" s="74"/>
      <c r="AM202" s="74"/>
      <c r="AN202" s="74"/>
      <c r="AO202" s="74"/>
      <c r="AP202" s="74"/>
      <c r="AQ202" s="74"/>
      <c r="AR202" s="74"/>
      <c r="AS202" s="74"/>
      <c r="AT202" s="74"/>
      <c r="AU202" s="74"/>
      <c r="AV202" s="74"/>
      <c r="AW202" s="74"/>
      <c r="AX202" s="74"/>
    </row>
    <row r="203" spans="1:50" s="87" customFormat="1" ht="12.75" customHeight="1" x14ac:dyDescent="0.2">
      <c r="A203" s="488" t="e">
        <f>VLOOKUP(B203,Sheet1!$AQ$4:$AR$25,2,FALSE)</f>
        <v>#REF!</v>
      </c>
      <c r="B203" s="93" t="e">
        <f>Adoption!#REF!</f>
        <v>#REF!</v>
      </c>
      <c r="C203" s="85"/>
      <c r="D203" s="162">
        <f>IF(AND(ISNUMBER(Adoption!Y168),ISNUMBER(Y203)),Y203/Adoption!Y168,NA())</f>
        <v>0.11658031088082901</v>
      </c>
      <c r="E203" s="162">
        <f>IF(AND(ISNUMBER(Adoption!Z168),ISNUMBER(Z203)),Z203/Adoption!Z168,NA())</f>
        <v>8.4033613445378158E-2</v>
      </c>
      <c r="F203" s="162">
        <f>IF(AND(ISNUMBER(Adoption!AA168),ISNUMBER(AA203)),AA203/Adoption!AA168,NA())</f>
        <v>0.10946745562130178</v>
      </c>
      <c r="G203" s="162">
        <f>IF(AND(ISNUMBER(Adoption!AB168),ISNUMBER(AB203)),AB203/Adoption!AB168,NA())</f>
        <v>9.6045197740112997E-2</v>
      </c>
      <c r="H203" s="164">
        <f>IF(AND(ISNUMBER(Adoption!AC168),ISNUMBER(AC203)),AC203/Adoption!AC168,NA())</f>
        <v>6.1971830985915494E-2</v>
      </c>
      <c r="I203" s="443"/>
      <c r="J203" s="96"/>
      <c r="K203" s="96"/>
      <c r="L203" s="96"/>
      <c r="M203" s="166"/>
      <c r="N203" s="166"/>
      <c r="O203" s="166"/>
      <c r="P203" s="166"/>
      <c r="Q203" s="166"/>
      <c r="R203" s="166"/>
      <c r="S203" s="167"/>
      <c r="T203" s="166"/>
      <c r="U203" s="122"/>
      <c r="V203" s="137"/>
      <c r="W203" s="150"/>
      <c r="X203" s="372" t="e">
        <f t="shared" si="39"/>
        <v>#REF!</v>
      </c>
      <c r="Y203" s="372">
        <f>IF(Year1_West_Sussex Year1_ROSGO_ceased_LAC_SGO="","",Year1_West_Sussex Year1_ROSGO_ceased_LAC_SGO)</f>
        <v>45</v>
      </c>
      <c r="Z203" s="372">
        <f>IF(Year2_West_Sussex Year2_ROSGO_ceased_LAC_SGO="","",Year2_West_Sussex Year2_ROSGO_ceased_LAC_SGO)</f>
        <v>30</v>
      </c>
      <c r="AA203" s="372">
        <f>IF(Year3_West_Sussex Year3_ROSGO_ceased_LAC_SGO="","",Year3_West_Sussex Year3_ROSGO_ceased_LAC_SGO)</f>
        <v>37</v>
      </c>
      <c r="AB203" s="372">
        <f>IF(Year4_West_Sussex Year4_ROSGO_ceased_LAC_SGO="","",Year4_West_Sussex Year4_ROSGO_ceased_LAC_SGO)</f>
        <v>34</v>
      </c>
      <c r="AC203" s="372">
        <f>IF(Year5_West_Sussex Year5_ROSGO_ceased_LAC_SGO="","",Year5_West_Sussex Year5_ROSGO_ceased_LAC_SGO)</f>
        <v>22</v>
      </c>
      <c r="AD203" s="383"/>
      <c r="AE203" s="81"/>
      <c r="AF203" s="81"/>
      <c r="AG203" s="81"/>
      <c r="AH203" s="81"/>
      <c r="AI203" s="81"/>
      <c r="AJ203" s="157"/>
      <c r="AK203" s="74"/>
      <c r="AL203" s="74"/>
      <c r="AM203" s="74"/>
      <c r="AN203" s="74"/>
      <c r="AO203" s="74"/>
      <c r="AP203" s="74"/>
      <c r="AQ203" s="74"/>
      <c r="AR203" s="74"/>
      <c r="AS203" s="74"/>
      <c r="AT203" s="74"/>
      <c r="AU203" s="74"/>
      <c r="AV203" s="74"/>
      <c r="AW203" s="74"/>
      <c r="AX203" s="74"/>
    </row>
    <row r="204" spans="1:50" s="87" customFormat="1" ht="12.75" customHeight="1" x14ac:dyDescent="0.2">
      <c r="A204" s="488" t="e">
        <f>VLOOKUP(B204,Sheet1!$AQ$4:$AR$25,2,FALSE)</f>
        <v>#REF!</v>
      </c>
      <c r="B204" s="93" t="e">
        <f>Adoption!#REF!</f>
        <v>#REF!</v>
      </c>
      <c r="C204" s="85"/>
      <c r="D204" s="162" t="e">
        <f>IF(AND(ISNUMBER(Adoption!Y169),ISNUMBER(Y204)),Y204/Adoption!Y169,NA())</f>
        <v>#N/A</v>
      </c>
      <c r="E204" s="162" t="e">
        <f>IF(AND(ISNUMBER(Adoption!Z169),ISNUMBER(Z204)),Z204/Adoption!Z169,NA())</f>
        <v>#N/A</v>
      </c>
      <c r="F204" s="162" t="e">
        <f>IF(AND(ISNUMBER(Adoption!AA169),ISNUMBER(AA204)),AA204/Adoption!AA169,NA())</f>
        <v>#N/A</v>
      </c>
      <c r="G204" s="162">
        <f>IF(AND(ISNUMBER(Adoption!AB169),ISNUMBER(AB204)),AB204/Adoption!AB169,NA())</f>
        <v>0</v>
      </c>
      <c r="H204" s="164">
        <f>IF(AND(ISNUMBER(Adoption!AC169),ISNUMBER(AC204)),AC204/Adoption!AC169,NA())</f>
        <v>9.6774193548387094E-2</v>
      </c>
      <c r="I204" s="443"/>
      <c r="J204" s="96"/>
      <c r="K204" s="96"/>
      <c r="L204" s="96"/>
      <c r="M204" s="166"/>
      <c r="N204" s="166"/>
      <c r="O204" s="166"/>
      <c r="P204" s="166"/>
      <c r="Q204" s="166"/>
      <c r="R204" s="166"/>
      <c r="S204" s="167"/>
      <c r="T204" s="166"/>
      <c r="U204" s="122"/>
      <c r="V204" s="137"/>
      <c r="W204" s="150"/>
      <c r="X204" s="372" t="e">
        <f t="shared" si="39"/>
        <v>#REF!</v>
      </c>
      <c r="Y204" s="372" t="str">
        <f>IF(Year1_Windsor_Maidenhead Year1_ROSGO_ceased_LAC_SGO="","",Year1_Windsor_Maidenhead Year1_ROSGO_ceased_LAC_SGO)</f>
        <v>-</v>
      </c>
      <c r="Z204" s="372" t="str">
        <f>IF(Year2_Windsor_Maidenhead Year2_ROSGO_ceased_LAC_SGO="","",Year2_Windsor_Maidenhead Year2_ROSGO_ceased_LAC_SGO)</f>
        <v>x</v>
      </c>
      <c r="AA204" s="372" t="str">
        <f>IF(Year3_Windsor_Maidenhead Year3_ROSGO_ceased_LAC_SGO="","",Year3_Windsor_Maidenhead Year3_ROSGO_ceased_LAC_SGO)</f>
        <v>x</v>
      </c>
      <c r="AB204" s="372">
        <f>IF(Year4_Windsor_Maidenhead Year4_ROSGO_ceased_LAC_SGO="","",Year4_Windsor_Maidenhead Year4_ROSGO_ceased_LAC_SGO)</f>
        <v>0</v>
      </c>
      <c r="AC204" s="372">
        <f>IF(Year5_Windsor_Maidenhead Year5_ROSGO_ceased_LAC_SGO="","",Year5_Windsor_Maidenhead Year5_ROSGO_ceased_LAC_SGO)</f>
        <v>6</v>
      </c>
      <c r="AD204" s="383"/>
      <c r="AE204" s="81"/>
      <c r="AF204" s="81"/>
      <c r="AG204" s="81"/>
      <c r="AH204" s="81"/>
      <c r="AI204" s="81"/>
      <c r="AJ204" s="157"/>
      <c r="AK204" s="74"/>
      <c r="AL204" s="74"/>
      <c r="AM204" s="74"/>
      <c r="AN204" s="74"/>
      <c r="AO204" s="74"/>
      <c r="AP204" s="74"/>
      <c r="AQ204" s="74"/>
      <c r="AR204" s="74"/>
      <c r="AS204" s="74"/>
      <c r="AT204" s="74"/>
      <c r="AU204" s="74"/>
      <c r="AV204" s="74"/>
      <c r="AW204" s="74"/>
      <c r="AX204" s="74"/>
    </row>
    <row r="205" spans="1:50" s="87" customFormat="1" ht="12.75" customHeight="1" x14ac:dyDescent="0.2">
      <c r="A205" s="488" t="e">
        <f>VLOOKUP(B205,Sheet1!$AQ$4:$AR$25,2,FALSE)</f>
        <v>#REF!</v>
      </c>
      <c r="B205" s="93" t="e">
        <f>Adoption!#REF!</f>
        <v>#REF!</v>
      </c>
      <c r="C205" s="85"/>
      <c r="D205" s="162" t="e">
        <f>IF(AND(ISNUMBER(Adoption!Y170),ISNUMBER(Y205)),Y205/Adoption!Y170,NA())</f>
        <v>#N/A</v>
      </c>
      <c r="E205" s="162" t="e">
        <f>IF(AND(ISNUMBER(Adoption!Z170),ISNUMBER(Z205)),Z205/Adoption!Z170,NA())</f>
        <v>#N/A</v>
      </c>
      <c r="F205" s="162" t="e">
        <f>IF(AND(ISNUMBER(Adoption!AA170),ISNUMBER(AA205)),AA205/Adoption!AA170,NA())</f>
        <v>#N/A</v>
      </c>
      <c r="G205" s="162">
        <f>IF(AND(ISNUMBER(Adoption!AB170),ISNUMBER(AB205)),AB205/Adoption!AB170,NA())</f>
        <v>0.15517241379310345</v>
      </c>
      <c r="H205" s="164">
        <f>IF(AND(ISNUMBER(Adoption!AC170),ISNUMBER(AC205)),AC205/Adoption!AC170,NA())</f>
        <v>0.16363636363636364</v>
      </c>
      <c r="I205" s="443"/>
      <c r="J205" s="96"/>
      <c r="K205" s="96"/>
      <c r="L205" s="96"/>
      <c r="M205" s="166"/>
      <c r="N205" s="166"/>
      <c r="O205" s="166"/>
      <c r="P205" s="166"/>
      <c r="Q205" s="166"/>
      <c r="R205" s="166"/>
      <c r="S205" s="167"/>
      <c r="T205" s="166"/>
      <c r="U205" s="122"/>
      <c r="V205" s="137"/>
      <c r="W205" s="150"/>
      <c r="X205" s="372" t="e">
        <f t="shared" si="39"/>
        <v>#REF!</v>
      </c>
      <c r="Y205" s="372" t="str">
        <f>IF(Year1_Wokingham Year1_ROSGO_ceased_LAC_SGO="","",Year1_Wokingham Year1_ROSGO_ceased_LAC_SGO)</f>
        <v>-</v>
      </c>
      <c r="Z205" s="372" t="str">
        <f>IF(Year2_Wokingham Year2_ROSGO_ceased_LAC_SGO="","",Year2_Wokingham Year2_ROSGO_ceased_LAC_SGO)</f>
        <v>x</v>
      </c>
      <c r="AA205" s="372" t="str">
        <f>IF(Year3_Wokingham Year3_ROSGO_ceased_LAC_SGO="","",Year3_Wokingham Year3_ROSGO_ceased_LAC_SGO)</f>
        <v>x</v>
      </c>
      <c r="AB205" s="372">
        <f>IF(Year4_Wokingham Year4_ROSGO_ceased_LAC_SGO="","",Year4_Wokingham Year4_ROSGO_ceased_LAC_SGO)</f>
        <v>9</v>
      </c>
      <c r="AC205" s="372">
        <f>IF(Year5_Wokingham Year5_ROSGO_ceased_LAC_SGO="","",Year5_Wokingham Year5_ROSGO_ceased_LAC_SGO)</f>
        <v>9</v>
      </c>
      <c r="AD205" s="383"/>
      <c r="AE205" s="81"/>
      <c r="AF205" s="81"/>
      <c r="AG205" s="81"/>
      <c r="AH205" s="81"/>
      <c r="AI205" s="81"/>
      <c r="AJ205" s="157"/>
      <c r="AK205" s="74"/>
      <c r="AL205" s="74"/>
      <c r="AM205" s="74"/>
      <c r="AN205" s="74"/>
      <c r="AO205" s="74"/>
      <c r="AP205" s="74"/>
      <c r="AQ205" s="74"/>
      <c r="AR205" s="74"/>
      <c r="AS205" s="74"/>
      <c r="AT205" s="74"/>
      <c r="AU205" s="74"/>
      <c r="AV205" s="74"/>
      <c r="AW205" s="74"/>
      <c r="AX205" s="74"/>
    </row>
    <row r="206" spans="1:50" s="87" customFormat="1" ht="12.75" customHeight="1" x14ac:dyDescent="0.2">
      <c r="A206" s="121"/>
      <c r="B206" s="129" t="e">
        <f>Adoption!#REF!</f>
        <v>#REF!</v>
      </c>
      <c r="C206" s="85"/>
      <c r="D206" s="163">
        <f>IF(AND(ISNUMBER(Adoption!Y171),ISNUMBER(Y206)),Y206/Adoption!Y171,NA())</f>
        <v>9.6774193548387094E-2</v>
      </c>
      <c r="E206" s="163">
        <f>IF(AND(ISNUMBER(Adoption!Z171),ISNUMBER(Z206)),Z206/Adoption!Z171,NA())</f>
        <v>9.8924731182795697E-2</v>
      </c>
      <c r="F206" s="163">
        <f>IF(AND(ISNUMBER(Adoption!AA171),ISNUMBER(AA206)),AA206/Adoption!AA171,NA())</f>
        <v>0.11600928074245939</v>
      </c>
      <c r="G206" s="163">
        <f>IF(AND(ISNUMBER(Adoption!AB171),ISNUMBER(AB206)),AB206/Adoption!AB171,NA())</f>
        <v>0.11835748792270531</v>
      </c>
      <c r="H206" s="165">
        <f>IF(AND(ISNUMBER(Adoption!AC171),ISNUMBER(AC206)),AC206/Adoption!AC171,NA())</f>
        <v>0.11267605633802817</v>
      </c>
      <c r="I206" s="443"/>
      <c r="J206" s="96"/>
      <c r="K206" s="96"/>
      <c r="L206" s="96"/>
      <c r="M206" s="168"/>
      <c r="N206" s="168"/>
      <c r="O206" s="168"/>
      <c r="P206" s="168"/>
      <c r="Q206" s="168"/>
      <c r="R206" s="168"/>
      <c r="S206" s="169"/>
      <c r="T206" s="170"/>
      <c r="U206" s="122"/>
      <c r="V206" s="137"/>
      <c r="W206" s="150"/>
      <c r="X206" s="372" t="e">
        <f t="shared" si="39"/>
        <v>#REF!</v>
      </c>
      <c r="Y206" s="632">
        <f>IF(Year1_SouthEast Year1_ROSGO_ceased_LAC_SGO=0,NA(),Year1_SouthEast Year1_ROSGO_ceased_LAC_SGO)</f>
        <v>450</v>
      </c>
      <c r="Z206" s="631">
        <f>IF(Year2_SouthEast Year2_ROSGO_ceased_LAC_SGO=0,NA(),Year2_SouthEast Year2_ROSGO_ceased_LAC_SGO)</f>
        <v>460</v>
      </c>
      <c r="AA206" s="631">
        <f>IF(Year3_SouthEast Year3_ROSGO_ceased_LAC_SGO=0,NA(),Year3_SouthEast Year3_ROSGO_ceased_LAC_SGO)</f>
        <v>500</v>
      </c>
      <c r="AB206" s="372">
        <f>IF(Year4_SouthEast Year4_ROSGO_ceased_LAC_SGO=0,NA(),Year4_SouthEast Year4_ROSGO_ceased_LAC_SGO)</f>
        <v>490</v>
      </c>
      <c r="AC206" s="372">
        <f>IF(Year5_SouthEast Year5_ROSGO_ceased_LAC_SGO=0,NA(),Year5_SouthEast Year5_ROSGO_ceased_LAC_SGO)</f>
        <v>480</v>
      </c>
      <c r="AD206" s="383"/>
      <c r="AE206" s="81"/>
      <c r="AF206" s="81"/>
      <c r="AG206" s="81"/>
      <c r="AH206" s="81"/>
      <c r="AI206" s="81"/>
      <c r="AJ206" s="157"/>
      <c r="AK206" s="74"/>
      <c r="AL206" s="74"/>
      <c r="AM206" s="74"/>
      <c r="AN206" s="74"/>
      <c r="AO206" s="74"/>
      <c r="AP206" s="74"/>
      <c r="AQ206" s="74"/>
      <c r="AR206" s="74"/>
      <c r="AS206" s="74"/>
      <c r="AT206" s="74"/>
      <c r="AU206" s="74"/>
      <c r="AV206" s="74"/>
      <c r="AW206" s="74"/>
      <c r="AX206" s="74"/>
    </row>
    <row r="207" spans="1:50" s="87" customFormat="1" ht="12.75" customHeight="1" x14ac:dyDescent="0.2">
      <c r="A207" s="121"/>
      <c r="B207" s="329" t="e">
        <f>Adoption!#REF!</f>
        <v>#REF!</v>
      </c>
      <c r="C207" s="85"/>
      <c r="D207" s="351">
        <f>IF(AND(ISNUMBER(Adoption!Y172),ISNUMBER(Y207)),Y207/Adoption!Y172,NA())</f>
        <v>0.12115505335844319</v>
      </c>
      <c r="E207" s="351">
        <f>IF(AND(ISNUMBER(Adoption!Z172),ISNUMBER(Z207)),Z207/Adoption!Z172,NA())</f>
        <v>0.11751592356687898</v>
      </c>
      <c r="F207" s="351">
        <f>IF(AND(ISNUMBER(Adoption!AA172),ISNUMBER(AA207)),AA207/Adoption!AA172,NA())</f>
        <v>0.11414309484193012</v>
      </c>
      <c r="G207" s="351">
        <f>IF(AND(ISNUMBER(Adoption!AB172),ISNUMBER(AB207)),AB207/Adoption!AB172,NA())</f>
        <v>0.13034623217922606</v>
      </c>
      <c r="H207" s="352">
        <f>IF(AND(ISNUMBER(Adoption!AC172),ISNUMBER(AC207)),AC207/Adoption!AC172,NA())</f>
        <v>0.1250422440013518</v>
      </c>
      <c r="I207" s="1045"/>
      <c r="J207" s="96"/>
      <c r="K207" s="96"/>
      <c r="L207" s="96"/>
      <c r="M207" s="168"/>
      <c r="N207" s="168"/>
      <c r="O207" s="168"/>
      <c r="P207" s="168"/>
      <c r="Q207" s="168"/>
      <c r="R207" s="168"/>
      <c r="S207" s="169"/>
      <c r="T207" s="170"/>
      <c r="U207" s="122"/>
      <c r="V207" s="137"/>
      <c r="W207" s="150"/>
      <c r="X207" s="372" t="e">
        <f t="shared" si="39"/>
        <v>#REF!</v>
      </c>
      <c r="Y207" s="632">
        <f>IF(Year1_England Year1_ROSGO_ceased_LAC_SGO="","",Year1_England Year1_ROSGO_ceased_LAC_SGO)</f>
        <v>3860</v>
      </c>
      <c r="Z207" s="631">
        <f>IF(Year2_England Year2_ROSGO_ceased_LAC_SGO="","",Year2_England Year2_ROSGO_ceased_LAC_SGO)</f>
        <v>3690</v>
      </c>
      <c r="AA207" s="631">
        <f>IF(Year3_England Year3_ROSGO_ceased_LAC_SGO="","",Year3_England Year3_ROSGO_ceased_LAC_SGO)</f>
        <v>3430</v>
      </c>
      <c r="AB207" s="372">
        <f>IF(Year4_England Year4_ROSGO_ceased_LAC_SGO="","",Year4_England Year4_ROSGO_ceased_LAC_SGO)</f>
        <v>3840</v>
      </c>
      <c r="AC207" s="372">
        <f>IF(Year5_England Year5_ROSGO_ceased_LAC_SGO="","",Year5_England Year5_ROSGO_ceased_LAC_SGO)</f>
        <v>3700</v>
      </c>
      <c r="AD207" s="383"/>
      <c r="AE207" s="81"/>
      <c r="AF207" s="81"/>
      <c r="AG207" s="81"/>
      <c r="AH207" s="81"/>
      <c r="AI207" s="81"/>
      <c r="AJ207" s="157"/>
      <c r="AK207" s="74"/>
      <c r="AL207" s="74"/>
      <c r="AM207" s="74"/>
      <c r="AN207" s="74"/>
      <c r="AO207" s="74"/>
      <c r="AP207" s="74"/>
      <c r="AQ207" s="74"/>
      <c r="AR207" s="74"/>
      <c r="AS207" s="74"/>
      <c r="AT207" s="74"/>
      <c r="AU207" s="74"/>
      <c r="AV207" s="74"/>
      <c r="AW207" s="74"/>
      <c r="AX207" s="74"/>
    </row>
    <row r="208" spans="1:50" s="87" customFormat="1" ht="7.5" customHeight="1" x14ac:dyDescent="0.2">
      <c r="A208" s="292"/>
      <c r="B208" s="96"/>
      <c r="C208" s="96"/>
      <c r="D208" s="96"/>
      <c r="E208" s="96"/>
      <c r="F208" s="96"/>
      <c r="G208" s="96"/>
      <c r="H208" s="96"/>
      <c r="I208" s="96"/>
      <c r="J208" s="96"/>
      <c r="K208" s="96"/>
      <c r="L208" s="96"/>
      <c r="M208" s="168"/>
      <c r="N208" s="168"/>
      <c r="O208" s="168"/>
      <c r="P208" s="168"/>
      <c r="Q208" s="168"/>
      <c r="R208" s="168"/>
      <c r="S208" s="169"/>
      <c r="T208" s="170"/>
      <c r="U208" s="122"/>
      <c r="V208" s="137"/>
      <c r="W208" s="150"/>
      <c r="X208" s="81"/>
      <c r="Y208" s="81"/>
      <c r="AB208" s="196"/>
      <c r="AC208" s="196"/>
      <c r="AD208" s="383"/>
      <c r="AE208" s="81"/>
      <c r="AF208" s="81"/>
      <c r="AG208" s="81"/>
      <c r="AH208" s="81"/>
      <c r="AI208" s="81"/>
      <c r="AJ208" s="157"/>
      <c r="AK208" s="74"/>
      <c r="AL208" s="74"/>
      <c r="AM208" s="74"/>
      <c r="AN208" s="74"/>
      <c r="AO208" s="74"/>
      <c r="AP208" s="74"/>
      <c r="AQ208" s="74"/>
      <c r="AR208" s="74"/>
      <c r="AS208" s="74"/>
      <c r="AT208" s="74"/>
      <c r="AU208" s="74"/>
      <c r="AV208" s="74"/>
      <c r="AW208" s="74"/>
      <c r="AX208" s="74"/>
    </row>
    <row r="209" spans="1:50" s="81" customFormat="1" ht="38.25" customHeight="1" x14ac:dyDescent="0.2">
      <c r="A209" s="217"/>
      <c r="B209" s="392"/>
      <c r="C209" s="392"/>
      <c r="D209" s="392"/>
      <c r="E209" s="392"/>
      <c r="F209" s="392"/>
      <c r="G209" s="392"/>
      <c r="H209" s="392"/>
      <c r="I209" s="392"/>
      <c r="J209" s="392"/>
      <c r="K209" s="392"/>
      <c r="L209" s="172"/>
      <c r="M209" s="172"/>
      <c r="N209" s="172"/>
      <c r="O209" s="172"/>
      <c r="P209" s="172"/>
      <c r="Q209" s="172"/>
      <c r="R209" s="172"/>
      <c r="S209" s="136"/>
      <c r="T209" s="172"/>
      <c r="U209" s="117"/>
      <c r="V209" s="137"/>
      <c r="W209" s="150"/>
      <c r="X209" s="80"/>
      <c r="Y209" s="80"/>
      <c r="AE209" s="197"/>
      <c r="AF209" s="199"/>
      <c r="AG209" s="184"/>
      <c r="AH209" s="184"/>
      <c r="AI209" s="184"/>
      <c r="AJ209" s="157"/>
      <c r="AK209" s="74"/>
      <c r="AL209" s="74"/>
      <c r="AM209" s="74"/>
      <c r="AN209" s="74"/>
      <c r="AO209" s="74"/>
      <c r="AP209" s="74"/>
      <c r="AQ209" s="74"/>
      <c r="AR209" s="74"/>
      <c r="AS209" s="74"/>
      <c r="AT209" s="74"/>
      <c r="AU209" s="74"/>
      <c r="AV209" s="74"/>
      <c r="AW209" s="74"/>
      <c r="AX209" s="74"/>
    </row>
    <row r="210" spans="1:50" s="81" customFormat="1" ht="39" customHeight="1" x14ac:dyDescent="0.2">
      <c r="A210" s="217"/>
      <c r="B210" s="392"/>
      <c r="C210" s="392"/>
      <c r="D210" s="392"/>
      <c r="E210" s="392"/>
      <c r="F210" s="392"/>
      <c r="G210" s="392"/>
      <c r="H210" s="392"/>
      <c r="I210" s="392"/>
      <c r="J210" s="392"/>
      <c r="K210" s="392"/>
      <c r="L210" s="172"/>
      <c r="M210" s="172"/>
      <c r="N210" s="172"/>
      <c r="O210" s="172"/>
      <c r="P210" s="172"/>
      <c r="Q210" s="172"/>
      <c r="R210" s="172"/>
      <c r="S210" s="136"/>
      <c r="T210" s="172"/>
      <c r="U210" s="117"/>
      <c r="V210" s="137"/>
      <c r="W210" s="150"/>
      <c r="X210" s="80"/>
      <c r="Y210" s="80"/>
      <c r="AA210" s="190"/>
      <c r="AF210" s="199"/>
      <c r="AG210" s="184"/>
      <c r="AH210" s="184"/>
      <c r="AI210" s="184"/>
      <c r="AJ210" s="157"/>
      <c r="AK210" s="74"/>
      <c r="AL210" s="74"/>
      <c r="AM210" s="74"/>
      <c r="AN210" s="74"/>
      <c r="AO210" s="74"/>
      <c r="AP210" s="74"/>
      <c r="AQ210" s="74"/>
      <c r="AR210" s="74"/>
      <c r="AS210" s="74"/>
      <c r="AT210" s="74"/>
      <c r="AU210" s="74"/>
      <c r="AV210" s="74"/>
      <c r="AW210" s="74"/>
      <c r="AX210" s="74"/>
    </row>
    <row r="211" spans="1:50" s="81" customFormat="1" ht="38.25" customHeight="1" x14ac:dyDescent="0.2">
      <c r="A211" s="217"/>
      <c r="B211" s="392"/>
      <c r="C211" s="392"/>
      <c r="D211" s="392"/>
      <c r="E211" s="392"/>
      <c r="F211" s="392"/>
      <c r="G211" s="392"/>
      <c r="H211" s="392"/>
      <c r="I211" s="392"/>
      <c r="J211" s="392"/>
      <c r="K211" s="392"/>
      <c r="L211" s="172"/>
      <c r="M211" s="172"/>
      <c r="N211" s="172"/>
      <c r="O211" s="172"/>
      <c r="P211" s="172"/>
      <c r="Q211" s="172"/>
      <c r="R211" s="172"/>
      <c r="S211" s="136"/>
      <c r="T211" s="172"/>
      <c r="U211" s="117"/>
      <c r="V211" s="137"/>
      <c r="W211" s="150"/>
      <c r="X211" s="80"/>
      <c r="Y211" s="80"/>
      <c r="AA211" s="190"/>
      <c r="AF211" s="199"/>
      <c r="AG211" s="184"/>
      <c r="AH211" s="184"/>
      <c r="AI211" s="184"/>
      <c r="AJ211" s="157"/>
      <c r="AK211" s="74"/>
      <c r="AL211" s="74"/>
      <c r="AM211" s="74"/>
      <c r="AN211" s="74"/>
      <c r="AO211" s="74"/>
      <c r="AP211" s="74"/>
      <c r="AQ211" s="74"/>
      <c r="AR211" s="74"/>
      <c r="AS211" s="74"/>
      <c r="AT211" s="74"/>
      <c r="AU211" s="74"/>
      <c r="AV211" s="74"/>
      <c r="AW211" s="74"/>
      <c r="AX211" s="74"/>
    </row>
    <row r="212" spans="1:50" s="81" customFormat="1" ht="7.5" customHeight="1" x14ac:dyDescent="0.2">
      <c r="A212" s="118"/>
      <c r="B212" s="17"/>
      <c r="C212" s="17"/>
      <c r="D212" s="16"/>
      <c r="E212" s="16"/>
      <c r="F212" s="16"/>
      <c r="G212" s="16"/>
      <c r="H212" s="16"/>
      <c r="I212" s="16"/>
      <c r="J212" s="16"/>
      <c r="K212" s="16"/>
      <c r="L212" s="12"/>
      <c r="M212" s="18"/>
      <c r="N212" s="18"/>
      <c r="O212" s="18"/>
      <c r="P212" s="18"/>
      <c r="Q212" s="18"/>
      <c r="R212" s="18"/>
      <c r="S212" s="18"/>
      <c r="T212" s="19"/>
      <c r="U212" s="117"/>
      <c r="V212" s="137"/>
      <c r="W212" s="150"/>
      <c r="X212" s="80"/>
      <c r="Y212" s="80"/>
      <c r="AA212" s="190"/>
      <c r="AJ212" s="157"/>
      <c r="AK212" s="74"/>
      <c r="AL212" s="74"/>
      <c r="AM212" s="74"/>
      <c r="AN212" s="74"/>
      <c r="AO212" s="74"/>
      <c r="AP212" s="74"/>
      <c r="AQ212" s="74"/>
      <c r="AR212" s="74"/>
      <c r="AS212" s="74"/>
      <c r="AT212" s="74"/>
      <c r="AU212" s="74"/>
      <c r="AV212" s="74"/>
      <c r="AW212" s="74"/>
      <c r="AX212" s="74"/>
    </row>
    <row r="213" spans="1:50" s="81" customFormat="1" ht="15" customHeight="1" x14ac:dyDescent="0.2">
      <c r="A213" s="550"/>
      <c r="B213" s="551"/>
      <c r="C213" s="551"/>
      <c r="D213" s="551"/>
      <c r="E213" s="551"/>
      <c r="F213" s="551"/>
      <c r="G213" s="551"/>
      <c r="H213" s="551"/>
      <c r="I213" s="551"/>
      <c r="J213" s="551"/>
      <c r="K213" s="551"/>
      <c r="L213" s="551"/>
      <c r="M213" s="551"/>
      <c r="N213" s="551"/>
      <c r="O213" s="551"/>
      <c r="P213" s="551"/>
      <c r="Q213" s="551"/>
      <c r="R213" s="551"/>
      <c r="S213" s="551"/>
      <c r="T213" s="551"/>
      <c r="U213" s="552"/>
      <c r="V213" s="137"/>
      <c r="W213" s="150"/>
      <c r="X213" s="80"/>
      <c r="Y213" s="80"/>
      <c r="AJ213" s="157"/>
      <c r="AK213" s="74"/>
      <c r="AL213" s="74"/>
      <c r="AM213" s="74"/>
      <c r="AN213" s="74"/>
      <c r="AO213" s="74"/>
      <c r="AP213" s="74"/>
      <c r="AQ213" s="74"/>
      <c r="AR213" s="74"/>
      <c r="AS213" s="74"/>
      <c r="AT213" s="74"/>
      <c r="AU213" s="74"/>
      <c r="AV213" s="74"/>
      <c r="AW213" s="74"/>
      <c r="AX213" s="74"/>
    </row>
    <row r="214" spans="1:50" s="81" customFormat="1" ht="11.25" customHeight="1" x14ac:dyDescent="0.2">
      <c r="A214" s="1847" t="str">
        <f>Home!$A$39</f>
        <v xml:space="preserve"> </v>
      </c>
      <c r="B214" s="1828"/>
      <c r="C214" s="1828"/>
      <c r="D214" s="1828"/>
      <c r="E214" s="1828"/>
      <c r="F214" s="1828"/>
      <c r="G214" s="1828"/>
      <c r="H214" s="1828"/>
      <c r="I214" s="1828"/>
      <c r="J214" s="1828"/>
      <c r="K214" s="1828"/>
      <c r="L214" s="1828"/>
      <c r="M214" s="1828"/>
      <c r="N214" s="1828"/>
      <c r="O214" s="1828"/>
      <c r="P214" s="1828"/>
      <c r="Q214" s="1828"/>
      <c r="R214" s="1828"/>
      <c r="S214" s="1828"/>
      <c r="T214" s="1828"/>
      <c r="U214" s="1829"/>
      <c r="V214" s="137"/>
      <c r="W214" s="150"/>
      <c r="X214" s="80"/>
      <c r="Y214" s="80"/>
      <c r="AA214" s="190"/>
      <c r="AF214" s="199"/>
      <c r="AG214" s="184"/>
      <c r="AH214" s="184"/>
      <c r="AJ214" s="157"/>
      <c r="AK214" s="74"/>
      <c r="AL214" s="74"/>
      <c r="AM214" s="74"/>
      <c r="AN214" s="74"/>
      <c r="AO214" s="74"/>
      <c r="AP214" s="74"/>
      <c r="AQ214" s="74"/>
      <c r="AR214" s="74"/>
      <c r="AS214" s="74"/>
      <c r="AT214" s="74"/>
      <c r="AU214" s="74"/>
      <c r="AV214" s="74"/>
      <c r="AW214" s="74"/>
      <c r="AX214" s="74"/>
    </row>
    <row r="215" spans="1:50" ht="11.25" customHeight="1" x14ac:dyDescent="0.2">
      <c r="A215" s="142"/>
      <c r="B215" s="9"/>
      <c r="C215" s="9"/>
      <c r="D215" s="9"/>
      <c r="E215" s="9"/>
      <c r="F215" s="58"/>
      <c r="G215" s="58"/>
      <c r="H215" s="58"/>
      <c r="I215" s="58"/>
      <c r="J215" s="113"/>
      <c r="K215" s="114"/>
      <c r="L215" s="113"/>
      <c r="M215" s="113"/>
      <c r="N215" s="113"/>
      <c r="O215" s="113"/>
      <c r="P215" s="113"/>
      <c r="Q215" s="113"/>
      <c r="R215" s="113"/>
      <c r="S215" s="113"/>
      <c r="T215" s="113"/>
      <c r="U215" s="113"/>
      <c r="V215" s="137"/>
      <c r="W215" s="150"/>
      <c r="X215" s="80"/>
      <c r="Y215" s="80"/>
      <c r="AA215" s="190"/>
      <c r="AF215" s="199"/>
      <c r="AG215" s="184"/>
      <c r="AH215" s="184"/>
      <c r="AI215" s="184"/>
      <c r="AJ215" s="157"/>
    </row>
    <row r="216" spans="1:50" ht="11.25" customHeight="1" x14ac:dyDescent="0.2">
      <c r="A216" s="142"/>
      <c r="B216" s="9"/>
      <c r="C216" s="9"/>
      <c r="D216" s="9"/>
      <c r="E216" s="9"/>
      <c r="F216" s="58"/>
      <c r="G216" s="58"/>
      <c r="H216" s="58"/>
      <c r="I216" s="58"/>
      <c r="J216" s="9"/>
      <c r="K216" s="12"/>
      <c r="L216" s="9"/>
      <c r="M216" s="9"/>
      <c r="N216" s="9"/>
      <c r="O216" s="9"/>
      <c r="P216" s="9"/>
      <c r="Q216" s="9"/>
      <c r="R216" s="9"/>
      <c r="S216" s="9"/>
      <c r="T216" s="9"/>
      <c r="U216" s="9"/>
      <c r="V216" s="137"/>
      <c r="W216" s="150"/>
      <c r="X216" s="80"/>
      <c r="Y216" s="80"/>
      <c r="AA216" s="190"/>
      <c r="AF216" s="199"/>
      <c r="AG216" s="184"/>
      <c r="AH216" s="184"/>
      <c r="AI216" s="184"/>
      <c r="AJ216" s="157"/>
      <c r="AL216" s="81"/>
      <c r="AM216" s="81"/>
      <c r="AN216" s="81"/>
      <c r="AO216" s="81"/>
      <c r="AP216" s="81"/>
      <c r="AQ216" s="81"/>
    </row>
    <row r="217" spans="1:50" ht="11.25" customHeight="1" x14ac:dyDescent="0.2">
      <c r="A217" s="142"/>
      <c r="B217" s="1685" t="s">
        <v>82</v>
      </c>
      <c r="C217" s="1685"/>
      <c r="D217" s="1685"/>
      <c r="E217" s="1685"/>
      <c r="F217" s="1685"/>
      <c r="G217" s="1685"/>
      <c r="H217" s="1685"/>
      <c r="I217" s="1685"/>
      <c r="J217" s="9"/>
      <c r="K217" s="12"/>
      <c r="L217" s="9"/>
      <c r="M217" s="9"/>
      <c r="N217" s="9"/>
      <c r="O217" s="9"/>
      <c r="P217" s="9"/>
      <c r="Q217" s="9"/>
      <c r="R217" s="9"/>
      <c r="S217" s="9"/>
      <c r="T217" s="9"/>
      <c r="U217" s="9"/>
      <c r="V217" s="137"/>
      <c r="W217" s="150"/>
      <c r="X217" s="80"/>
      <c r="Y217" s="80"/>
      <c r="AA217" s="190"/>
      <c r="AF217" s="199"/>
      <c r="AG217" s="184"/>
      <c r="AH217" s="184"/>
      <c r="AI217" s="184"/>
      <c r="AJ217" s="157"/>
      <c r="AL217" s="81"/>
      <c r="AM217" s="81"/>
      <c r="AN217" s="81"/>
      <c r="AO217" s="81"/>
      <c r="AP217" s="81"/>
      <c r="AQ217" s="81"/>
    </row>
    <row r="218" spans="1:50" ht="11.25" customHeight="1" x14ac:dyDescent="0.2">
      <c r="A218" s="142"/>
      <c r="B218" s="1685"/>
      <c r="C218" s="1685"/>
      <c r="D218" s="1685"/>
      <c r="E218" s="1685"/>
      <c r="F218" s="1685"/>
      <c r="G218" s="1685"/>
      <c r="H218" s="1685"/>
      <c r="I218" s="1685"/>
      <c r="J218" s="9"/>
      <c r="K218" s="12"/>
      <c r="L218" s="9"/>
      <c r="M218" s="9"/>
      <c r="N218" s="9"/>
      <c r="O218" s="9"/>
      <c r="P218" s="9"/>
      <c r="Q218" s="9"/>
      <c r="R218" s="9"/>
      <c r="S218" s="9"/>
      <c r="T218" s="9"/>
      <c r="U218" s="9"/>
      <c r="V218" s="137"/>
      <c r="W218" s="150"/>
      <c r="X218" s="80"/>
      <c r="Y218" s="80"/>
      <c r="AA218" s="190"/>
      <c r="AF218" s="199"/>
      <c r="AG218" s="184"/>
      <c r="AH218" s="184"/>
      <c r="AI218" s="184"/>
      <c r="AJ218" s="157"/>
    </row>
    <row r="219" spans="1:50" ht="11.25" customHeight="1" x14ac:dyDescent="0.2">
      <c r="A219" s="142"/>
      <c r="B219" s="1680" t="s">
        <v>800</v>
      </c>
      <c r="C219" s="1680"/>
      <c r="D219" s="1680"/>
      <c r="E219" s="1680"/>
      <c r="F219" s="1680"/>
      <c r="G219" s="1680"/>
      <c r="H219" s="1680"/>
      <c r="I219" s="1680"/>
      <c r="J219" s="9"/>
      <c r="K219" s="12"/>
      <c r="L219" s="9"/>
      <c r="M219" s="9"/>
      <c r="N219" s="9"/>
      <c r="O219" s="9"/>
      <c r="P219" s="9"/>
      <c r="Q219" s="9"/>
      <c r="R219" s="9"/>
      <c r="S219" s="9"/>
      <c r="T219" s="9"/>
      <c r="U219" s="9"/>
      <c r="V219" s="137"/>
      <c r="W219" s="150"/>
      <c r="X219" s="80"/>
      <c r="Y219" s="80"/>
      <c r="AA219" s="190"/>
      <c r="AF219" s="199"/>
      <c r="AG219" s="184"/>
      <c r="AH219" s="184"/>
      <c r="AI219" s="184"/>
      <c r="AJ219" s="157"/>
    </row>
    <row r="220" spans="1:50" ht="11.25" customHeight="1" x14ac:dyDescent="0.2">
      <c r="A220" s="142"/>
      <c r="B220" s="1680"/>
      <c r="C220" s="1680"/>
      <c r="D220" s="1680"/>
      <c r="E220" s="1680"/>
      <c r="F220" s="1680"/>
      <c r="G220" s="1680"/>
      <c r="H220" s="1680"/>
      <c r="I220" s="1680"/>
      <c r="J220" s="9"/>
      <c r="K220" s="12"/>
      <c r="L220" s="9"/>
      <c r="M220" s="9"/>
      <c r="N220" s="9"/>
      <c r="O220" s="9"/>
      <c r="P220" s="9"/>
      <c r="Q220" s="9"/>
      <c r="R220" s="9"/>
      <c r="S220" s="9"/>
      <c r="T220" s="9"/>
      <c r="U220" s="9"/>
      <c r="V220" s="137"/>
      <c r="W220" s="150"/>
      <c r="X220" s="80"/>
      <c r="Y220" s="80"/>
      <c r="AA220" s="190"/>
      <c r="AF220" s="199"/>
      <c r="AG220" s="184"/>
      <c r="AH220" s="184"/>
      <c r="AI220" s="188"/>
      <c r="AJ220" s="158"/>
    </row>
    <row r="221" spans="1:50" s="76" customFormat="1" ht="11.25" customHeight="1" x14ac:dyDescent="0.2">
      <c r="A221" s="142"/>
      <c r="B221" s="1680" t="s">
        <v>81</v>
      </c>
      <c r="C221" s="1680"/>
      <c r="D221" s="1680"/>
      <c r="E221" s="1680"/>
      <c r="F221" s="1680"/>
      <c r="G221" s="1680"/>
      <c r="H221" s="1680"/>
      <c r="I221" s="1680"/>
      <c r="J221" s="14"/>
      <c r="K221" s="14"/>
      <c r="L221" s="14"/>
      <c r="M221" s="14"/>
      <c r="N221" s="14"/>
      <c r="O221" s="14"/>
      <c r="P221" s="14"/>
      <c r="Q221" s="14"/>
      <c r="R221" s="14"/>
      <c r="S221" s="14"/>
      <c r="T221" s="14"/>
      <c r="U221" s="14"/>
      <c r="V221" s="140"/>
      <c r="W221" s="154"/>
      <c r="X221" s="80"/>
      <c r="Y221" s="80"/>
      <c r="Z221" s="81"/>
      <c r="AA221" s="190"/>
      <c r="AB221" s="81"/>
      <c r="AC221" s="81"/>
      <c r="AD221" s="81"/>
      <c r="AE221" s="81"/>
      <c r="AF221" s="199"/>
      <c r="AG221" s="184"/>
      <c r="AH221" s="184"/>
      <c r="AI221" s="184"/>
      <c r="AJ221" s="157"/>
    </row>
    <row r="222" spans="1:50" ht="11.25" customHeight="1" x14ac:dyDescent="0.2">
      <c r="A222" s="142"/>
      <c r="B222" s="1680"/>
      <c r="C222" s="1680"/>
      <c r="D222" s="1680"/>
      <c r="E222" s="1680"/>
      <c r="F222" s="1680"/>
      <c r="G222" s="1680"/>
      <c r="H222" s="1680"/>
      <c r="I222" s="1680"/>
      <c r="J222" s="9"/>
      <c r="K222" s="12"/>
      <c r="L222" s="9"/>
      <c r="M222" s="9"/>
      <c r="N222" s="9"/>
      <c r="O222" s="9"/>
      <c r="P222" s="9"/>
      <c r="Q222" s="9"/>
      <c r="R222" s="9"/>
      <c r="S222" s="9"/>
      <c r="T222" s="9"/>
      <c r="U222" s="9"/>
      <c r="V222" s="137"/>
      <c r="W222" s="150"/>
      <c r="X222" s="80"/>
      <c r="Y222" s="80"/>
      <c r="AA222" s="190"/>
      <c r="AF222" s="199"/>
      <c r="AG222" s="184"/>
      <c r="AH222" s="184"/>
      <c r="AI222" s="184"/>
      <c r="AJ222" s="157"/>
    </row>
    <row r="223" spans="1:50" ht="11.25" customHeight="1" x14ac:dyDescent="0.2">
      <c r="A223" s="142"/>
      <c r="B223" s="1680" t="s">
        <v>78</v>
      </c>
      <c r="C223" s="1680"/>
      <c r="D223" s="1680"/>
      <c r="E223" s="1680"/>
      <c r="F223" s="1680"/>
      <c r="G223" s="1680"/>
      <c r="H223" s="1680"/>
      <c r="I223" s="1680"/>
      <c r="J223" s="9"/>
      <c r="K223" s="12"/>
      <c r="L223" s="9"/>
      <c r="M223" s="9"/>
      <c r="N223" s="9"/>
      <c r="O223" s="9"/>
      <c r="P223" s="9"/>
      <c r="Q223" s="9"/>
      <c r="R223" s="9"/>
      <c r="S223" s="9"/>
      <c r="T223" s="9"/>
      <c r="U223" s="9"/>
      <c r="V223" s="137"/>
      <c r="W223" s="150"/>
      <c r="X223" s="80"/>
      <c r="Y223" s="80"/>
      <c r="AA223" s="190"/>
      <c r="AF223" s="199"/>
      <c r="AG223" s="184"/>
      <c r="AH223" s="184"/>
      <c r="AI223" s="184"/>
      <c r="AJ223" s="157"/>
    </row>
    <row r="224" spans="1:50" ht="11.25" customHeight="1" x14ac:dyDescent="0.2">
      <c r="A224" s="142"/>
      <c r="B224" s="1680"/>
      <c r="C224" s="1680"/>
      <c r="D224" s="1680"/>
      <c r="E224" s="1680"/>
      <c r="F224" s="1680"/>
      <c r="G224" s="1680"/>
      <c r="H224" s="1680"/>
      <c r="I224" s="1680"/>
      <c r="J224" s="9"/>
      <c r="K224" s="12"/>
      <c r="L224" s="9"/>
      <c r="M224" s="9"/>
      <c r="N224" s="9"/>
      <c r="O224" s="9"/>
      <c r="P224" s="9"/>
      <c r="Q224" s="9"/>
      <c r="R224" s="9"/>
      <c r="S224" s="9"/>
      <c r="T224" s="9"/>
      <c r="U224" s="9"/>
      <c r="V224" s="137"/>
      <c r="W224" s="150"/>
      <c r="X224" s="80"/>
      <c r="Y224" s="80"/>
      <c r="AA224" s="190"/>
      <c r="AF224" s="199"/>
      <c r="AG224" s="184"/>
      <c r="AH224" s="184"/>
      <c r="AI224" s="184"/>
      <c r="AJ224" s="157"/>
    </row>
    <row r="225" spans="1:40" ht="11.25" customHeight="1" x14ac:dyDescent="0.2">
      <c r="A225" s="142"/>
      <c r="B225" s="1680" t="s">
        <v>17</v>
      </c>
      <c r="C225" s="1680"/>
      <c r="D225" s="1680"/>
      <c r="E225" s="1680"/>
      <c r="F225" s="1680"/>
      <c r="G225" s="1680"/>
      <c r="H225" s="1680"/>
      <c r="I225" s="1680"/>
      <c r="J225" s="9"/>
      <c r="K225" s="9"/>
      <c r="L225" s="12"/>
      <c r="M225" s="9"/>
      <c r="N225" s="9"/>
      <c r="O225" s="9"/>
      <c r="P225" s="9"/>
      <c r="Q225" s="9"/>
      <c r="R225" s="9"/>
      <c r="S225" s="9"/>
      <c r="T225" s="9"/>
      <c r="U225" s="9"/>
      <c r="V225" s="9"/>
      <c r="W225" s="500"/>
      <c r="X225" s="80"/>
      <c r="Y225" s="80"/>
      <c r="AB225" s="184"/>
      <c r="AC225" s="184"/>
      <c r="AG225" s="82"/>
      <c r="AI225" s="81"/>
      <c r="AJ225" s="157"/>
      <c r="AK225" s="58"/>
      <c r="AL225" s="157"/>
      <c r="AM225" s="76"/>
      <c r="AN225" s="76"/>
    </row>
    <row r="226" spans="1:40" ht="11.25" customHeight="1" x14ac:dyDescent="0.2">
      <c r="A226" s="142"/>
      <c r="B226" s="1680"/>
      <c r="C226" s="1680"/>
      <c r="D226" s="1680"/>
      <c r="E226" s="1680"/>
      <c r="F226" s="1680"/>
      <c r="G226" s="1680"/>
      <c r="H226" s="1680"/>
      <c r="I226" s="1680"/>
      <c r="J226" s="9"/>
      <c r="K226" s="9"/>
      <c r="L226" s="12"/>
      <c r="M226" s="9"/>
      <c r="N226" s="9"/>
      <c r="O226" s="9"/>
      <c r="P226" s="9"/>
      <c r="Q226" s="9"/>
      <c r="R226" s="9"/>
      <c r="S226" s="9"/>
      <c r="T226" s="9"/>
      <c r="U226" s="9"/>
      <c r="V226" s="9"/>
      <c r="W226" s="500"/>
      <c r="X226" s="80"/>
      <c r="Y226" s="80"/>
      <c r="AB226" s="184"/>
      <c r="AC226" s="184"/>
      <c r="AG226" s="82"/>
      <c r="AI226" s="81"/>
      <c r="AJ226" s="157"/>
      <c r="AK226" s="58"/>
      <c r="AL226" s="157"/>
    </row>
    <row r="227" spans="1:40" ht="11.25" customHeight="1" x14ac:dyDescent="0.2">
      <c r="A227" s="142"/>
      <c r="B227" s="1680" t="s">
        <v>658</v>
      </c>
      <c r="C227" s="1680"/>
      <c r="D227" s="1680"/>
      <c r="E227" s="1680"/>
      <c r="F227" s="1680"/>
      <c r="G227" s="1680"/>
      <c r="H227" s="1680"/>
      <c r="I227" s="1680"/>
      <c r="J227" s="9"/>
      <c r="K227" s="9"/>
      <c r="L227" s="12"/>
      <c r="M227" s="9"/>
      <c r="N227" s="9"/>
      <c r="O227" s="9"/>
      <c r="P227" s="9"/>
      <c r="Q227" s="9"/>
      <c r="R227" s="9"/>
      <c r="S227" s="9"/>
      <c r="T227" s="9"/>
      <c r="U227" s="9"/>
      <c r="V227" s="9"/>
      <c r="W227" s="500"/>
      <c r="X227" s="247"/>
      <c r="Y227" s="80"/>
      <c r="AB227" s="184"/>
      <c r="AC227" s="184"/>
      <c r="AG227" s="82"/>
      <c r="AI227" s="81"/>
      <c r="AJ227" s="157"/>
      <c r="AK227" s="58"/>
      <c r="AL227" s="157"/>
      <c r="AM227" s="76"/>
      <c r="AN227" s="76"/>
    </row>
    <row r="228" spans="1:40" ht="11.25" customHeight="1" x14ac:dyDescent="0.2">
      <c r="A228" s="142"/>
      <c r="B228" s="1680"/>
      <c r="C228" s="1680"/>
      <c r="D228" s="1680"/>
      <c r="E228" s="1680"/>
      <c r="F228" s="1680"/>
      <c r="G228" s="1680"/>
      <c r="H228" s="1680"/>
      <c r="I228" s="1680"/>
      <c r="J228" s="9"/>
      <c r="K228" s="9"/>
      <c r="L228" s="12"/>
      <c r="M228" s="9"/>
      <c r="N228" s="9"/>
      <c r="O228" s="9"/>
      <c r="P228" s="9"/>
      <c r="Q228" s="9"/>
      <c r="R228" s="9"/>
      <c r="S228" s="9"/>
      <c r="T228" s="9"/>
      <c r="U228" s="9"/>
      <c r="V228" s="9"/>
      <c r="W228" s="500"/>
      <c r="X228" s="247"/>
      <c r="Y228" s="80"/>
      <c r="AB228" s="184"/>
      <c r="AC228" s="184"/>
      <c r="AG228" s="82"/>
      <c r="AI228" s="81"/>
      <c r="AJ228" s="157"/>
      <c r="AK228" s="58"/>
      <c r="AL228" s="157"/>
    </row>
    <row r="229" spans="1:40" ht="11.25" customHeight="1" x14ac:dyDescent="0.2">
      <c r="A229" s="142"/>
      <c r="B229" s="1680" t="s">
        <v>191</v>
      </c>
      <c r="C229" s="1680"/>
      <c r="D229" s="1680"/>
      <c r="E229" s="1680"/>
      <c r="F229" s="1680"/>
      <c r="G229" s="1680"/>
      <c r="H229" s="1680"/>
      <c r="I229" s="1680"/>
      <c r="J229" s="9"/>
      <c r="K229" s="9"/>
      <c r="L229" s="12"/>
      <c r="M229" s="9"/>
      <c r="N229" s="9"/>
      <c r="O229" s="9"/>
      <c r="P229" s="9"/>
      <c r="Q229" s="9"/>
      <c r="R229" s="9"/>
      <c r="S229" s="9"/>
      <c r="T229" s="9"/>
      <c r="U229" s="9"/>
      <c r="V229" s="9"/>
      <c r="W229" s="500"/>
      <c r="X229" s="247"/>
      <c r="Y229" s="80"/>
      <c r="AB229" s="184"/>
      <c r="AC229" s="184"/>
      <c r="AG229" s="82"/>
      <c r="AI229" s="81"/>
      <c r="AJ229" s="157"/>
      <c r="AK229" s="58"/>
      <c r="AL229" s="157"/>
      <c r="AM229" s="76"/>
      <c r="AN229" s="76"/>
    </row>
    <row r="230" spans="1:40" ht="11.25" customHeight="1" x14ac:dyDescent="0.2">
      <c r="A230" s="142"/>
      <c r="B230" s="1680"/>
      <c r="C230" s="1680"/>
      <c r="D230" s="1680"/>
      <c r="E230" s="1680"/>
      <c r="F230" s="1680"/>
      <c r="G230" s="1680"/>
      <c r="H230" s="1680"/>
      <c r="I230" s="1680"/>
      <c r="J230" s="9"/>
      <c r="K230" s="9"/>
      <c r="L230" s="12"/>
      <c r="M230" s="9"/>
      <c r="N230" s="9"/>
      <c r="O230" s="9"/>
      <c r="P230" s="9"/>
      <c r="Q230" s="9"/>
      <c r="R230" s="9"/>
      <c r="S230" s="9"/>
      <c r="T230" s="9"/>
      <c r="U230" s="9"/>
      <c r="V230" s="9"/>
      <c r="W230" s="500"/>
      <c r="X230" s="247"/>
      <c r="Y230" s="80"/>
      <c r="AB230" s="184"/>
      <c r="AC230" s="184"/>
      <c r="AG230" s="82"/>
      <c r="AI230" s="81"/>
      <c r="AJ230" s="157"/>
      <c r="AK230" s="58"/>
      <c r="AL230" s="157"/>
    </row>
    <row r="231" spans="1:40" ht="11.25" customHeight="1" x14ac:dyDescent="0.2">
      <c r="A231" s="142"/>
      <c r="B231" s="1680" t="s">
        <v>197</v>
      </c>
      <c r="C231" s="1680"/>
      <c r="D231" s="1680"/>
      <c r="E231" s="1680"/>
      <c r="F231" s="1680"/>
      <c r="G231" s="1680"/>
      <c r="H231" s="1680"/>
      <c r="I231" s="1680"/>
      <c r="J231" s="9"/>
      <c r="K231" s="12"/>
      <c r="L231" s="9"/>
      <c r="M231" s="9"/>
      <c r="N231" s="9"/>
      <c r="O231" s="9"/>
      <c r="P231" s="9"/>
      <c r="Q231" s="9"/>
      <c r="R231" s="9"/>
      <c r="S231" s="9"/>
      <c r="T231" s="9"/>
      <c r="U231" s="9"/>
      <c r="V231" s="137"/>
      <c r="W231" s="150"/>
      <c r="AE231" s="82"/>
      <c r="AH231" s="184"/>
      <c r="AI231" s="184"/>
      <c r="AJ231" s="157"/>
    </row>
    <row r="232" spans="1:40" ht="11.25" customHeight="1" x14ac:dyDescent="0.2">
      <c r="A232" s="142"/>
      <c r="B232" s="1680"/>
      <c r="C232" s="1680"/>
      <c r="D232" s="1680"/>
      <c r="E232" s="1680"/>
      <c r="F232" s="1680"/>
      <c r="G232" s="1680"/>
      <c r="H232" s="1680"/>
      <c r="I232" s="1680"/>
      <c r="J232" s="9"/>
      <c r="K232" s="12"/>
      <c r="L232" s="9"/>
      <c r="M232" s="9"/>
      <c r="N232" s="9"/>
      <c r="O232" s="9"/>
      <c r="P232" s="9"/>
      <c r="Q232" s="9"/>
      <c r="R232" s="9"/>
      <c r="S232" s="9"/>
      <c r="T232" s="9"/>
      <c r="U232" s="9"/>
      <c r="V232" s="137"/>
      <c r="W232" s="150"/>
      <c r="AE232" s="82"/>
      <c r="AH232" s="184"/>
      <c r="AI232" s="184"/>
      <c r="AJ232" s="157"/>
    </row>
    <row r="233" spans="1:40" ht="11.25" customHeight="1" x14ac:dyDescent="0.2">
      <c r="A233" s="142"/>
      <c r="B233" s="1680" t="s">
        <v>198</v>
      </c>
      <c r="C233" s="1680"/>
      <c r="D233" s="1680"/>
      <c r="E233" s="1680"/>
      <c r="F233" s="1680"/>
      <c r="G233" s="1680"/>
      <c r="H233" s="1680"/>
      <c r="I233" s="1680"/>
      <c r="J233" s="9"/>
      <c r="K233" s="12"/>
      <c r="L233" s="9"/>
      <c r="M233" s="9"/>
      <c r="N233" s="9"/>
      <c r="O233" s="9"/>
      <c r="P233" s="9"/>
      <c r="Q233" s="9"/>
      <c r="R233" s="9"/>
      <c r="S233" s="9"/>
      <c r="T233" s="9"/>
      <c r="U233" s="9"/>
      <c r="V233" s="137"/>
      <c r="W233" s="150"/>
      <c r="AE233" s="82"/>
      <c r="AH233" s="184"/>
      <c r="AI233" s="184"/>
      <c r="AJ233" s="157"/>
    </row>
    <row r="234" spans="1:40" ht="11.25" customHeight="1" x14ac:dyDescent="0.2">
      <c r="A234" s="142"/>
      <c r="B234" s="1680"/>
      <c r="C234" s="1680"/>
      <c r="D234" s="1680"/>
      <c r="E234" s="1680"/>
      <c r="F234" s="1680"/>
      <c r="G234" s="1680"/>
      <c r="H234" s="1680"/>
      <c r="I234" s="1680"/>
      <c r="J234" s="9"/>
      <c r="K234" s="12"/>
      <c r="L234" s="9"/>
      <c r="M234" s="9"/>
      <c r="N234" s="9"/>
      <c r="O234" s="9"/>
      <c r="P234" s="9"/>
      <c r="Q234" s="9"/>
      <c r="R234" s="9"/>
      <c r="S234" s="9"/>
      <c r="T234" s="9"/>
      <c r="U234" s="9"/>
      <c r="V234" s="137"/>
      <c r="W234" s="150"/>
      <c r="AE234" s="82"/>
      <c r="AH234" s="184"/>
      <c r="AI234" s="184"/>
      <c r="AJ234" s="157"/>
    </row>
    <row r="235" spans="1:40" ht="11.25" customHeight="1" x14ac:dyDescent="0.2">
      <c r="A235" s="142"/>
      <c r="B235" s="1680" t="s">
        <v>80</v>
      </c>
      <c r="C235" s="1680"/>
      <c r="D235" s="1680"/>
      <c r="E235" s="1680"/>
      <c r="F235" s="1680"/>
      <c r="G235" s="1680"/>
      <c r="H235" s="1680"/>
      <c r="I235" s="1680"/>
      <c r="J235" s="9"/>
      <c r="K235" s="12"/>
      <c r="L235" s="9"/>
      <c r="M235" s="9"/>
      <c r="N235" s="9"/>
      <c r="O235" s="9"/>
      <c r="P235" s="9"/>
      <c r="Q235" s="9"/>
      <c r="R235" s="9"/>
      <c r="S235" s="9"/>
      <c r="T235" s="9"/>
      <c r="U235" s="9"/>
      <c r="V235" s="137"/>
      <c r="W235" s="150"/>
      <c r="AE235" s="82"/>
      <c r="AH235" s="184"/>
      <c r="AI235" s="184"/>
      <c r="AJ235" s="157"/>
    </row>
    <row r="236" spans="1:40" ht="11.25" customHeight="1" x14ac:dyDescent="0.2">
      <c r="A236" s="142"/>
      <c r="B236" s="1680"/>
      <c r="C236" s="1680"/>
      <c r="D236" s="1680"/>
      <c r="E236" s="1680"/>
      <c r="F236" s="1680"/>
      <c r="G236" s="1680"/>
      <c r="H236" s="1680"/>
      <c r="I236" s="1680"/>
      <c r="J236" s="9"/>
      <c r="K236" s="12"/>
      <c r="L236" s="9"/>
      <c r="M236" s="9"/>
      <c r="N236" s="9"/>
      <c r="O236" s="9"/>
      <c r="P236" s="9"/>
      <c r="Q236" s="9"/>
      <c r="R236" s="9"/>
      <c r="S236" s="9"/>
      <c r="T236" s="9"/>
      <c r="U236" s="9"/>
      <c r="V236" s="137"/>
      <c r="W236" s="150"/>
      <c r="AE236" s="82"/>
      <c r="AH236" s="184"/>
      <c r="AI236" s="184"/>
      <c r="AJ236" s="157"/>
    </row>
    <row r="237" spans="1:40" ht="11.25" customHeight="1" x14ac:dyDescent="0.2">
      <c r="A237" s="142"/>
      <c r="B237" s="1680" t="s">
        <v>69</v>
      </c>
      <c r="C237" s="1680"/>
      <c r="D237" s="1680"/>
      <c r="E237" s="1680"/>
      <c r="F237" s="1680"/>
      <c r="G237" s="1680"/>
      <c r="H237" s="1680"/>
      <c r="I237" s="1680"/>
      <c r="J237" s="9"/>
      <c r="K237" s="12"/>
      <c r="L237" s="9"/>
      <c r="M237" s="9"/>
      <c r="N237" s="9"/>
      <c r="O237" s="9"/>
      <c r="P237" s="9"/>
      <c r="Q237" s="9"/>
      <c r="R237" s="9"/>
      <c r="S237" s="9"/>
      <c r="T237" s="9"/>
      <c r="U237" s="9"/>
      <c r="V237" s="137"/>
      <c r="W237" s="150"/>
      <c r="AE237" s="82"/>
      <c r="AH237" s="184"/>
      <c r="AI237" s="184"/>
      <c r="AJ237" s="157"/>
    </row>
    <row r="238" spans="1:40" ht="11.25" customHeight="1" x14ac:dyDescent="0.2">
      <c r="A238" s="142"/>
      <c r="B238" s="1680"/>
      <c r="C238" s="1680"/>
      <c r="D238" s="1680"/>
      <c r="E238" s="1680"/>
      <c r="F238" s="1680"/>
      <c r="G238" s="1680"/>
      <c r="H238" s="1680"/>
      <c r="I238" s="1680"/>
      <c r="J238" s="9"/>
      <c r="K238" s="12"/>
      <c r="L238" s="9"/>
      <c r="M238" s="9"/>
      <c r="N238" s="9"/>
      <c r="O238" s="9"/>
      <c r="P238" s="9"/>
      <c r="Q238" s="9"/>
      <c r="R238" s="9"/>
      <c r="S238" s="9"/>
      <c r="T238" s="9"/>
      <c r="U238" s="9"/>
      <c r="V238" s="137"/>
      <c r="W238" s="150"/>
      <c r="AE238" s="82"/>
      <c r="AH238" s="184"/>
      <c r="AI238" s="184"/>
      <c r="AJ238" s="157"/>
    </row>
    <row r="239" spans="1:40" ht="11.25" customHeight="1" x14ac:dyDescent="0.2">
      <c r="A239" s="142"/>
      <c r="B239" s="1680" t="s">
        <v>24</v>
      </c>
      <c r="C239" s="1680"/>
      <c r="D239" s="1680"/>
      <c r="E239" s="1680"/>
      <c r="F239" s="1680"/>
      <c r="G239" s="1680"/>
      <c r="H239" s="1680"/>
      <c r="I239" s="1680"/>
      <c r="J239" s="9"/>
      <c r="K239" s="12"/>
      <c r="L239" s="9"/>
      <c r="M239" s="9"/>
      <c r="N239" s="9"/>
      <c r="O239" s="9"/>
      <c r="P239" s="9"/>
      <c r="Q239" s="9"/>
      <c r="R239" s="9"/>
      <c r="S239" s="9"/>
      <c r="T239" s="9"/>
      <c r="U239" s="9"/>
      <c r="V239" s="137"/>
      <c r="W239" s="150"/>
      <c r="AE239" s="82"/>
      <c r="AH239" s="184"/>
      <c r="AI239" s="184"/>
      <c r="AJ239" s="157"/>
    </row>
    <row r="240" spans="1:40" ht="11.25" customHeight="1" x14ac:dyDescent="0.2">
      <c r="A240" s="142"/>
      <c r="B240" s="1680"/>
      <c r="C240" s="1680"/>
      <c r="D240" s="1680"/>
      <c r="E240" s="1680"/>
      <c r="F240" s="1680"/>
      <c r="G240" s="1680"/>
      <c r="H240" s="1680"/>
      <c r="I240" s="1680"/>
      <c r="J240" s="9"/>
      <c r="K240" s="12"/>
      <c r="L240" s="9"/>
      <c r="M240" s="9"/>
      <c r="N240" s="9"/>
      <c r="O240" s="9"/>
      <c r="P240" s="9"/>
      <c r="Q240" s="9"/>
      <c r="R240" s="9"/>
      <c r="S240" s="9"/>
      <c r="T240" s="9"/>
      <c r="U240" s="9"/>
      <c r="V240" s="137"/>
      <c r="W240" s="150"/>
      <c r="AE240" s="82"/>
      <c r="AH240" s="184"/>
      <c r="AI240" s="184"/>
      <c r="AJ240" s="157"/>
    </row>
    <row r="241" spans="1:55" ht="11.25" customHeight="1" x14ac:dyDescent="0.2">
      <c r="A241" s="142"/>
      <c r="B241" s="1680" t="s">
        <v>22</v>
      </c>
      <c r="C241" s="1680"/>
      <c r="D241" s="1680"/>
      <c r="E241" s="1680"/>
      <c r="F241" s="1680"/>
      <c r="G241" s="1680"/>
      <c r="H241" s="1680"/>
      <c r="I241" s="1680"/>
      <c r="J241" s="9"/>
      <c r="K241" s="12"/>
      <c r="L241" s="9"/>
      <c r="M241" s="9"/>
      <c r="N241" s="9"/>
      <c r="O241" s="9"/>
      <c r="P241" s="9"/>
      <c r="Q241" s="9"/>
      <c r="R241" s="9"/>
      <c r="S241" s="9"/>
      <c r="T241" s="9"/>
      <c r="U241" s="9"/>
      <c r="V241" s="137"/>
      <c r="W241" s="150"/>
      <c r="AE241" s="82"/>
      <c r="AH241" s="184"/>
      <c r="AI241" s="184"/>
      <c r="AJ241" s="157"/>
    </row>
    <row r="242" spans="1:55" ht="11.25" customHeight="1" x14ac:dyDescent="0.2">
      <c r="A242" s="142"/>
      <c r="B242" s="1680"/>
      <c r="C242" s="1680"/>
      <c r="D242" s="1680"/>
      <c r="E242" s="1680"/>
      <c r="F242" s="1680"/>
      <c r="G242" s="1680"/>
      <c r="H242" s="1680"/>
      <c r="I242" s="1680"/>
      <c r="J242" s="9"/>
      <c r="K242" s="12"/>
      <c r="L242" s="9"/>
      <c r="M242" s="9"/>
      <c r="N242" s="9"/>
      <c r="O242" s="9"/>
      <c r="P242" s="9"/>
      <c r="Q242" s="9"/>
      <c r="R242" s="9"/>
      <c r="S242" s="9"/>
      <c r="T242" s="9"/>
      <c r="U242" s="9"/>
      <c r="V242" s="137"/>
      <c r="W242" s="150"/>
      <c r="AE242" s="82"/>
      <c r="AH242" s="184"/>
      <c r="AI242" s="184"/>
      <c r="AJ242" s="157"/>
    </row>
    <row r="243" spans="1:55" ht="11.25" customHeight="1" x14ac:dyDescent="0.2">
      <c r="A243" s="142"/>
      <c r="B243" s="1680" t="s">
        <v>25</v>
      </c>
      <c r="C243" s="1680"/>
      <c r="D243" s="1680"/>
      <c r="E243" s="1680"/>
      <c r="F243" s="1680"/>
      <c r="G243" s="1680"/>
      <c r="H243" s="1680"/>
      <c r="I243" s="1680"/>
      <c r="J243" s="9"/>
      <c r="K243" s="12"/>
      <c r="L243" s="9"/>
      <c r="M243" s="9"/>
      <c r="N243" s="9"/>
      <c r="O243" s="9"/>
      <c r="P243" s="9"/>
      <c r="Q243" s="9"/>
      <c r="R243" s="9"/>
      <c r="S243" s="9"/>
      <c r="T243" s="9"/>
      <c r="U243" s="9"/>
      <c r="V243" s="137"/>
      <c r="W243" s="150"/>
      <c r="AE243" s="82"/>
      <c r="AH243" s="184"/>
      <c r="AI243" s="184"/>
      <c r="AJ243" s="157"/>
    </row>
    <row r="244" spans="1:55" ht="11.25" customHeight="1" x14ac:dyDescent="0.2">
      <c r="A244" s="142"/>
      <c r="B244" s="1680"/>
      <c r="C244" s="1680"/>
      <c r="D244" s="1680"/>
      <c r="E244" s="1680"/>
      <c r="F244" s="1680"/>
      <c r="G244" s="1680"/>
      <c r="H244" s="1680"/>
      <c r="I244" s="1680"/>
      <c r="J244" s="9"/>
      <c r="K244" s="12"/>
      <c r="L244" s="9"/>
      <c r="M244" s="9"/>
      <c r="N244" s="9"/>
      <c r="O244" s="9"/>
      <c r="P244" s="9"/>
      <c r="Q244" s="9"/>
      <c r="R244" s="9"/>
      <c r="S244" s="9"/>
      <c r="T244" s="9"/>
      <c r="U244" s="9"/>
      <c r="V244" s="137"/>
      <c r="W244" s="150"/>
      <c r="AE244" s="82"/>
      <c r="AH244" s="184"/>
      <c r="AI244" s="184"/>
      <c r="AJ244" s="157"/>
    </row>
    <row r="245" spans="1:55" ht="11.25" customHeight="1" x14ac:dyDescent="0.2">
      <c r="A245" s="142"/>
      <c r="B245" s="1680" t="s">
        <v>18</v>
      </c>
      <c r="C245" s="1680"/>
      <c r="D245" s="1680"/>
      <c r="E245" s="1680"/>
      <c r="F245" s="1680"/>
      <c r="G245" s="1680"/>
      <c r="H245" s="1680"/>
      <c r="I245" s="1680"/>
      <c r="J245" s="9"/>
      <c r="K245" s="12"/>
      <c r="L245" s="9"/>
      <c r="M245" s="9"/>
      <c r="N245" s="9"/>
      <c r="O245" s="9"/>
      <c r="P245" s="9"/>
      <c r="Q245" s="9"/>
      <c r="R245" s="9"/>
      <c r="S245" s="9"/>
      <c r="T245" s="9"/>
      <c r="U245" s="9"/>
      <c r="V245" s="137"/>
      <c r="W245" s="150"/>
      <c r="AE245" s="82"/>
      <c r="AH245" s="184"/>
      <c r="AI245" s="184"/>
      <c r="AJ245" s="157"/>
    </row>
    <row r="246" spans="1:55" ht="11.25" customHeight="1" x14ac:dyDescent="0.2">
      <c r="A246" s="142"/>
      <c r="B246" s="1680"/>
      <c r="C246" s="1680"/>
      <c r="D246" s="1680"/>
      <c r="E246" s="1680"/>
      <c r="F246" s="1680"/>
      <c r="G246" s="1680"/>
      <c r="H246" s="1680"/>
      <c r="I246" s="1680"/>
      <c r="J246" s="9"/>
      <c r="K246" s="12"/>
      <c r="L246" s="9"/>
      <c r="M246" s="9"/>
      <c r="N246" s="9"/>
      <c r="O246" s="9"/>
      <c r="P246" s="9"/>
      <c r="Q246" s="9"/>
      <c r="R246" s="9"/>
      <c r="S246" s="9"/>
      <c r="T246" s="9"/>
      <c r="U246" s="9"/>
      <c r="V246" s="137"/>
      <c r="W246" s="150"/>
      <c r="AE246" s="82"/>
      <c r="AH246" s="184"/>
      <c r="AI246" s="184"/>
      <c r="AJ246" s="157"/>
    </row>
    <row r="247" spans="1:55" ht="11.25" customHeight="1" x14ac:dyDescent="0.2">
      <c r="A247" s="142"/>
      <c r="B247" s="1680" t="s">
        <v>19</v>
      </c>
      <c r="C247" s="1680"/>
      <c r="D247" s="1680"/>
      <c r="E247" s="1680"/>
      <c r="F247" s="1680"/>
      <c r="G247" s="1680"/>
      <c r="H247" s="1680"/>
      <c r="I247" s="1680"/>
      <c r="J247" s="9"/>
      <c r="K247" s="12"/>
      <c r="L247" s="9"/>
      <c r="M247" s="9"/>
      <c r="N247" s="9"/>
      <c r="O247" s="9"/>
      <c r="P247" s="9"/>
      <c r="Q247" s="9"/>
      <c r="R247" s="9"/>
      <c r="S247" s="9"/>
      <c r="T247" s="9"/>
      <c r="U247" s="9"/>
      <c r="V247" s="137"/>
      <c r="W247" s="150"/>
      <c r="AE247" s="82"/>
      <c r="AH247" s="184"/>
      <c r="AI247" s="184"/>
      <c r="AJ247" s="157"/>
    </row>
    <row r="248" spans="1:55" ht="11.25" customHeight="1" x14ac:dyDescent="0.2">
      <c r="A248" s="142"/>
      <c r="B248" s="1680"/>
      <c r="C248" s="1680"/>
      <c r="D248" s="1680"/>
      <c r="E248" s="1680"/>
      <c r="F248" s="1680"/>
      <c r="G248" s="1680"/>
      <c r="H248" s="1680"/>
      <c r="I248" s="1680"/>
      <c r="J248" s="9"/>
      <c r="K248" s="12"/>
      <c r="L248" s="9"/>
      <c r="M248" s="9"/>
      <c r="N248" s="9"/>
      <c r="O248" s="9"/>
      <c r="P248" s="9"/>
      <c r="Q248" s="9"/>
      <c r="R248" s="9"/>
      <c r="S248" s="9"/>
      <c r="T248" s="9"/>
      <c r="U248" s="9"/>
      <c r="V248" s="137"/>
      <c r="W248" s="150"/>
      <c r="AE248" s="82"/>
      <c r="AH248" s="184"/>
      <c r="AI248" s="184"/>
      <c r="AJ248" s="157"/>
    </row>
    <row r="249" spans="1:55" ht="11.25" customHeight="1" x14ac:dyDescent="0.2">
      <c r="A249" s="142"/>
      <c r="B249" s="1680" t="s">
        <v>20</v>
      </c>
      <c r="C249" s="1680"/>
      <c r="D249" s="1680"/>
      <c r="E249" s="1680"/>
      <c r="F249" s="1680"/>
      <c r="G249" s="1680"/>
      <c r="H249" s="1680"/>
      <c r="I249" s="1680"/>
      <c r="J249" s="9"/>
      <c r="K249" s="12"/>
      <c r="L249" s="9"/>
      <c r="M249" s="9"/>
      <c r="N249" s="9"/>
      <c r="O249" s="9"/>
      <c r="P249" s="9"/>
      <c r="Q249" s="9"/>
      <c r="R249" s="9"/>
      <c r="S249" s="9"/>
      <c r="T249" s="9"/>
      <c r="U249" s="9"/>
      <c r="V249" s="137"/>
      <c r="W249" s="150"/>
      <c r="AE249" s="82"/>
      <c r="AH249" s="184"/>
      <c r="AI249" s="184"/>
      <c r="AJ249" s="157"/>
    </row>
    <row r="250" spans="1:55" ht="11.25" customHeight="1" x14ac:dyDescent="0.2">
      <c r="A250" s="142"/>
      <c r="B250" s="1680"/>
      <c r="C250" s="1680"/>
      <c r="D250" s="1680"/>
      <c r="E250" s="1680"/>
      <c r="F250" s="1680"/>
      <c r="G250" s="1680"/>
      <c r="H250" s="1680"/>
      <c r="I250" s="1680"/>
      <c r="J250" s="9"/>
      <c r="K250" s="12"/>
      <c r="L250" s="9"/>
      <c r="M250" s="9"/>
      <c r="N250" s="9"/>
      <c r="O250" s="9"/>
      <c r="P250" s="9"/>
      <c r="Q250" s="9"/>
      <c r="R250" s="9"/>
      <c r="S250" s="9"/>
      <c r="T250" s="9"/>
      <c r="U250" s="9"/>
      <c r="V250" s="137"/>
      <c r="W250" s="150"/>
      <c r="AE250" s="82"/>
      <c r="AH250" s="184"/>
      <c r="AI250" s="184"/>
      <c r="AJ250" s="157"/>
    </row>
    <row r="251" spans="1:55" ht="11.25" customHeight="1" x14ac:dyDescent="0.2">
      <c r="A251" s="142"/>
      <c r="B251" s="1680" t="s">
        <v>26</v>
      </c>
      <c r="C251" s="1680"/>
      <c r="D251" s="1680"/>
      <c r="E251" s="1680"/>
      <c r="F251" s="1680"/>
      <c r="G251" s="1680"/>
      <c r="H251" s="1680"/>
      <c r="I251" s="1680"/>
      <c r="J251" s="9"/>
      <c r="K251" s="12"/>
      <c r="L251" s="9"/>
      <c r="M251" s="9"/>
      <c r="N251" s="9"/>
      <c r="O251" s="9"/>
      <c r="P251" s="9"/>
      <c r="Q251" s="9"/>
      <c r="R251" s="9"/>
      <c r="S251" s="9"/>
      <c r="T251" s="9"/>
      <c r="U251" s="9"/>
      <c r="V251" s="137"/>
      <c r="W251" s="150"/>
      <c r="AE251" s="82"/>
      <c r="AH251" s="184"/>
      <c r="AI251" s="184"/>
      <c r="AJ251" s="157"/>
    </row>
    <row r="252" spans="1:55" ht="11.25" customHeight="1" x14ac:dyDescent="0.2">
      <c r="A252" s="142"/>
      <c r="B252" s="1680"/>
      <c r="C252" s="1680"/>
      <c r="D252" s="1680"/>
      <c r="E252" s="1680"/>
      <c r="F252" s="1680"/>
      <c r="G252" s="1680"/>
      <c r="H252" s="1680"/>
      <c r="I252" s="1680"/>
      <c r="J252" s="9"/>
      <c r="K252" s="12"/>
      <c r="L252" s="9"/>
      <c r="M252" s="9"/>
      <c r="N252" s="9"/>
      <c r="O252" s="9"/>
      <c r="P252" s="9"/>
      <c r="Q252" s="9"/>
      <c r="R252" s="9"/>
      <c r="S252" s="9"/>
      <c r="T252" s="9"/>
      <c r="U252" s="9"/>
      <c r="V252" s="137"/>
      <c r="W252" s="150"/>
      <c r="AE252" s="82"/>
      <c r="AH252" s="184"/>
      <c r="AI252" s="184"/>
      <c r="AJ252" s="157"/>
    </row>
    <row r="253" spans="1:55" ht="11.25" customHeight="1" x14ac:dyDescent="0.2">
      <c r="A253" s="142"/>
      <c r="B253" s="1680" t="s">
        <v>21</v>
      </c>
      <c r="C253" s="1680"/>
      <c r="D253" s="1680"/>
      <c r="E253" s="1680"/>
      <c r="F253" s="1680"/>
      <c r="G253" s="1680"/>
      <c r="H253" s="1680"/>
      <c r="I253" s="1680"/>
      <c r="J253" s="9"/>
      <c r="K253" s="12"/>
      <c r="L253" s="9"/>
      <c r="M253" s="9"/>
      <c r="N253" s="9"/>
      <c r="O253" s="9"/>
      <c r="P253" s="9"/>
      <c r="Q253" s="9"/>
      <c r="R253" s="9"/>
      <c r="S253" s="9"/>
      <c r="T253" s="9"/>
      <c r="U253" s="9"/>
      <c r="V253" s="137"/>
      <c r="W253" s="150"/>
      <c r="AE253" s="82"/>
      <c r="AH253" s="184"/>
      <c r="AI253" s="184"/>
      <c r="AJ253" s="157"/>
    </row>
    <row r="254" spans="1:55" ht="11.25" customHeight="1" x14ac:dyDescent="0.2">
      <c r="A254" s="142"/>
      <c r="B254" s="1680"/>
      <c r="C254" s="1680"/>
      <c r="D254" s="1680"/>
      <c r="E254" s="1680"/>
      <c r="F254" s="1680"/>
      <c r="G254" s="1680"/>
      <c r="H254" s="1680"/>
      <c r="I254" s="1680"/>
      <c r="J254" s="9"/>
      <c r="K254" s="12"/>
      <c r="L254" s="9"/>
      <c r="M254" s="9"/>
      <c r="N254" s="9"/>
      <c r="O254" s="9"/>
      <c r="P254" s="9"/>
      <c r="Q254" s="9"/>
      <c r="R254" s="9"/>
      <c r="S254" s="9"/>
      <c r="T254" s="9"/>
      <c r="U254" s="9"/>
      <c r="V254" s="137"/>
      <c r="W254" s="150"/>
      <c r="AE254" s="82"/>
      <c r="AH254" s="184"/>
      <c r="AI254" s="184"/>
      <c r="AJ254" s="157"/>
    </row>
    <row r="255" spans="1:55" ht="18.75" customHeight="1" x14ac:dyDescent="0.2">
      <c r="A255" s="142"/>
      <c r="B255" s="1680" t="s">
        <v>905</v>
      </c>
      <c r="C255" s="1680"/>
      <c r="D255" s="1680"/>
      <c r="E255" s="1680"/>
      <c r="F255" s="1680"/>
      <c r="G255" s="1680"/>
      <c r="H255" s="1680"/>
      <c r="I255" s="1680"/>
      <c r="J255" s="9"/>
      <c r="K255" s="12"/>
      <c r="L255" s="9"/>
      <c r="M255" s="9"/>
      <c r="N255" s="9"/>
      <c r="O255" s="9"/>
      <c r="P255" s="9"/>
      <c r="Q255" s="9"/>
      <c r="R255" s="9"/>
      <c r="S255" s="9"/>
      <c r="T255" s="9"/>
      <c r="U255" s="9"/>
      <c r="V255" s="137"/>
      <c r="W255" s="150"/>
      <c r="AE255" s="82"/>
      <c r="AH255" s="184"/>
      <c r="AI255" s="184"/>
      <c r="AJ255" s="157"/>
    </row>
    <row r="256" spans="1:55" s="80" customFormat="1" ht="11.25" customHeight="1" x14ac:dyDescent="0.2">
      <c r="A256" s="142"/>
      <c r="B256" s="1680"/>
      <c r="C256" s="1680"/>
      <c r="D256" s="1680"/>
      <c r="E256" s="1680"/>
      <c r="F256" s="1680"/>
      <c r="G256" s="1680"/>
      <c r="H256" s="1680"/>
      <c r="I256" s="1680"/>
      <c r="J256" s="9"/>
      <c r="K256" s="12"/>
      <c r="L256" s="9"/>
      <c r="M256" s="9"/>
      <c r="N256" s="9"/>
      <c r="O256" s="9"/>
      <c r="P256" s="9"/>
      <c r="Q256" s="9"/>
      <c r="R256" s="9"/>
      <c r="S256" s="9"/>
      <c r="T256" s="9"/>
      <c r="U256" s="9"/>
      <c r="V256" s="137"/>
      <c r="W256" s="150"/>
      <c r="X256" s="81"/>
      <c r="Y256" s="81"/>
      <c r="Z256" s="81"/>
      <c r="AA256" s="81"/>
      <c r="AB256" s="81"/>
      <c r="AC256" s="81"/>
      <c r="AD256" s="81"/>
      <c r="AE256" s="82"/>
      <c r="AF256" s="81"/>
      <c r="AG256" s="81"/>
      <c r="AH256" s="184"/>
      <c r="AI256" s="184"/>
      <c r="AJ256" s="157"/>
      <c r="AK256" s="74"/>
      <c r="AL256" s="74"/>
      <c r="AM256" s="74"/>
      <c r="AN256" s="74"/>
      <c r="AO256" s="74"/>
      <c r="AP256" s="74"/>
      <c r="AQ256" s="74"/>
      <c r="AR256" s="74"/>
      <c r="AS256" s="74"/>
      <c r="AT256" s="74"/>
      <c r="AU256" s="74"/>
      <c r="AV256" s="74"/>
      <c r="AW256" s="74"/>
      <c r="AX256" s="74"/>
      <c r="AY256" s="74"/>
      <c r="AZ256" s="74"/>
      <c r="BA256" s="74"/>
      <c r="BB256" s="74"/>
      <c r="BC256" s="74"/>
    </row>
    <row r="257" spans="1:36" ht="11.25" customHeight="1" x14ac:dyDescent="0.2">
      <c r="A257" s="142"/>
      <c r="B257" s="1680" t="s">
        <v>666</v>
      </c>
      <c r="C257" s="1680"/>
      <c r="D257" s="1680"/>
      <c r="E257" s="1680"/>
      <c r="F257" s="1680"/>
      <c r="G257" s="1680"/>
      <c r="H257" s="1680"/>
      <c r="I257" s="1680"/>
      <c r="J257" s="9"/>
      <c r="K257" s="12"/>
      <c r="L257" s="9"/>
      <c r="M257" s="9"/>
      <c r="N257" s="9"/>
      <c r="O257" s="9"/>
      <c r="P257" s="9"/>
      <c r="Q257" s="9"/>
      <c r="R257" s="9"/>
      <c r="S257" s="9"/>
      <c r="T257" s="9"/>
      <c r="U257" s="9"/>
      <c r="V257" s="137"/>
      <c r="W257" s="150"/>
      <c r="AE257" s="82"/>
      <c r="AH257" s="184"/>
      <c r="AI257" s="184"/>
      <c r="AJ257" s="157"/>
    </row>
    <row r="258" spans="1:36" ht="11.25" customHeight="1" x14ac:dyDescent="0.2">
      <c r="A258" s="142"/>
      <c r="B258" s="1680"/>
      <c r="C258" s="1680"/>
      <c r="D258" s="1680"/>
      <c r="E258" s="1680"/>
      <c r="F258" s="1680"/>
      <c r="G258" s="1680"/>
      <c r="H258" s="1680"/>
      <c r="I258" s="1680"/>
      <c r="J258" s="9"/>
      <c r="K258" s="12"/>
      <c r="L258" s="9"/>
      <c r="M258" s="9"/>
      <c r="N258" s="9"/>
      <c r="O258" s="9"/>
      <c r="P258" s="9"/>
      <c r="Q258" s="9"/>
      <c r="R258" s="9"/>
      <c r="S258" s="9"/>
      <c r="T258" s="9"/>
      <c r="U258" s="9"/>
      <c r="V258" s="137"/>
      <c r="W258" s="150"/>
      <c r="AE258" s="82"/>
      <c r="AH258" s="184"/>
      <c r="AI258" s="184"/>
      <c r="AJ258" s="157"/>
    </row>
    <row r="259" spans="1:36" ht="11.25" customHeight="1" x14ac:dyDescent="0.2">
      <c r="A259" s="142"/>
      <c r="B259" s="1680" t="s">
        <v>32</v>
      </c>
      <c r="C259" s="1680"/>
      <c r="D259" s="1680"/>
      <c r="E259" s="1680"/>
      <c r="F259" s="1680"/>
      <c r="G259" s="1680"/>
      <c r="H259" s="1680"/>
      <c r="I259" s="1680"/>
      <c r="J259" s="9"/>
      <c r="K259" s="12"/>
      <c r="L259" s="9"/>
      <c r="M259" s="9"/>
      <c r="N259" s="9"/>
      <c r="O259" s="9"/>
      <c r="P259" s="9"/>
      <c r="Q259" s="9"/>
      <c r="R259" s="9"/>
      <c r="S259" s="9"/>
      <c r="T259" s="9"/>
      <c r="U259" s="9"/>
      <c r="V259" s="137"/>
      <c r="W259" s="150"/>
      <c r="AE259" s="82"/>
      <c r="AH259" s="184"/>
      <c r="AI259" s="184"/>
      <c r="AJ259" s="157"/>
    </row>
    <row r="260" spans="1:36" ht="11.25" customHeight="1" x14ac:dyDescent="0.2">
      <c r="A260" s="142"/>
      <c r="B260" s="1680"/>
      <c r="C260" s="1680"/>
      <c r="D260" s="1680"/>
      <c r="E260" s="1680"/>
      <c r="F260" s="1680"/>
      <c r="G260" s="1680"/>
      <c r="H260" s="1680"/>
      <c r="I260" s="1680"/>
      <c r="J260" s="9"/>
      <c r="K260" s="12"/>
      <c r="L260" s="9"/>
      <c r="M260" s="9"/>
      <c r="N260" s="9"/>
      <c r="O260" s="9"/>
      <c r="P260" s="9"/>
      <c r="Q260" s="9"/>
      <c r="R260" s="9"/>
      <c r="S260" s="9"/>
      <c r="T260" s="9"/>
      <c r="U260" s="9"/>
      <c r="V260" s="137"/>
      <c r="W260" s="150"/>
      <c r="AE260" s="82"/>
      <c r="AH260" s="184"/>
      <c r="AI260" s="184"/>
      <c r="AJ260" s="157"/>
    </row>
    <row r="261" spans="1:36" ht="11.25" customHeight="1" x14ac:dyDescent="0.2">
      <c r="A261" s="142"/>
      <c r="B261" s="1680" t="s">
        <v>642</v>
      </c>
      <c r="C261" s="1680"/>
      <c r="D261" s="1680"/>
      <c r="E261" s="1680"/>
      <c r="F261" s="1680"/>
      <c r="G261" s="1680"/>
      <c r="H261" s="1680"/>
      <c r="I261" s="1680"/>
      <c r="J261" s="9"/>
      <c r="K261" s="12"/>
      <c r="L261" s="9"/>
      <c r="M261" s="9"/>
      <c r="N261" s="9"/>
      <c r="O261" s="9"/>
      <c r="P261" s="9"/>
      <c r="Q261" s="9"/>
      <c r="R261" s="9"/>
      <c r="S261" s="9"/>
      <c r="T261" s="9"/>
      <c r="U261" s="9"/>
      <c r="V261" s="137"/>
      <c r="W261" s="150"/>
      <c r="AE261" s="82"/>
      <c r="AH261" s="184"/>
      <c r="AI261" s="184"/>
      <c r="AJ261" s="157"/>
    </row>
    <row r="262" spans="1:36" ht="11.25" customHeight="1" x14ac:dyDescent="0.2">
      <c r="A262" s="142"/>
      <c r="B262" s="1680"/>
      <c r="C262" s="1680"/>
      <c r="D262" s="1680"/>
      <c r="E262" s="1680"/>
      <c r="F262" s="1680"/>
      <c r="G262" s="1680"/>
      <c r="H262" s="1680"/>
      <c r="I262" s="1680"/>
      <c r="J262" s="9"/>
      <c r="K262" s="12"/>
      <c r="L262" s="9"/>
      <c r="M262" s="9"/>
      <c r="N262" s="9"/>
      <c r="O262" s="9"/>
      <c r="P262" s="9"/>
      <c r="Q262" s="9"/>
      <c r="R262" s="9"/>
      <c r="S262" s="9"/>
      <c r="T262" s="9"/>
      <c r="U262" s="9"/>
      <c r="V262" s="137"/>
      <c r="W262" s="150"/>
      <c r="AE262" s="82"/>
      <c r="AH262" s="184"/>
      <c r="AI262" s="184"/>
      <c r="AJ262" s="157"/>
    </row>
    <row r="263" spans="1:36" ht="11.25" customHeight="1" x14ac:dyDescent="0.2">
      <c r="A263" s="142"/>
      <c r="B263" s="1680" t="s">
        <v>795</v>
      </c>
      <c r="C263" s="1680"/>
      <c r="D263" s="1680"/>
      <c r="E263" s="1680"/>
      <c r="F263" s="1680"/>
      <c r="G263" s="1680"/>
      <c r="H263" s="1680"/>
      <c r="I263" s="1680"/>
      <c r="J263" s="9"/>
      <c r="K263" s="12"/>
      <c r="L263" s="9"/>
      <c r="M263" s="9"/>
      <c r="N263" s="9"/>
      <c r="O263" s="9"/>
      <c r="P263" s="9"/>
      <c r="Q263" s="9"/>
      <c r="R263" s="9"/>
      <c r="S263" s="9"/>
      <c r="T263" s="9"/>
      <c r="U263" s="9"/>
      <c r="V263" s="137"/>
      <c r="W263" s="150"/>
      <c r="AE263" s="82"/>
      <c r="AH263" s="184"/>
      <c r="AI263" s="184"/>
      <c r="AJ263" s="157"/>
    </row>
    <row r="264" spans="1:36" ht="11.25" customHeight="1" x14ac:dyDescent="0.2">
      <c r="A264" s="142"/>
      <c r="B264" s="1680"/>
      <c r="C264" s="1680"/>
      <c r="D264" s="1680"/>
      <c r="E264" s="1680"/>
      <c r="F264" s="1680"/>
      <c r="G264" s="1680"/>
      <c r="H264" s="1680"/>
      <c r="I264" s="1680"/>
      <c r="J264" s="9"/>
      <c r="K264" s="12"/>
      <c r="L264" s="9"/>
      <c r="M264" s="9"/>
      <c r="N264" s="9"/>
      <c r="O264" s="9"/>
      <c r="P264" s="9"/>
      <c r="Q264" s="9"/>
      <c r="R264" s="9"/>
      <c r="S264" s="9"/>
      <c r="T264" s="9"/>
      <c r="U264" s="9"/>
      <c r="V264" s="137"/>
      <c r="W264" s="150"/>
      <c r="AE264" s="82"/>
      <c r="AH264" s="184"/>
      <c r="AI264" s="184"/>
      <c r="AJ264" s="157"/>
    </row>
    <row r="265" spans="1:36" ht="11.25" customHeight="1" x14ac:dyDescent="0.2">
      <c r="A265" s="142"/>
      <c r="B265" s="1680" t="s">
        <v>672</v>
      </c>
      <c r="C265" s="1680"/>
      <c r="D265" s="1680"/>
      <c r="E265" s="1680"/>
      <c r="F265" s="1680"/>
      <c r="G265" s="1680"/>
      <c r="H265" s="1680"/>
      <c r="I265" s="1680"/>
      <c r="J265" s="9"/>
      <c r="K265" s="12"/>
      <c r="L265" s="9"/>
      <c r="M265" s="9"/>
      <c r="N265" s="9"/>
      <c r="O265" s="9"/>
      <c r="P265" s="9"/>
      <c r="Q265" s="9"/>
      <c r="R265" s="9"/>
      <c r="S265" s="9"/>
      <c r="T265" s="9"/>
      <c r="U265" s="9"/>
      <c r="V265" s="137"/>
      <c r="W265" s="150"/>
      <c r="AE265" s="82"/>
      <c r="AH265" s="184"/>
      <c r="AI265" s="184"/>
      <c r="AJ265" s="157"/>
    </row>
    <row r="266" spans="1:36" ht="11.25" customHeight="1" x14ac:dyDescent="0.2">
      <c r="A266" s="142"/>
      <c r="B266" s="1680"/>
      <c r="C266" s="1680"/>
      <c r="D266" s="1680"/>
      <c r="E266" s="1680"/>
      <c r="F266" s="1680"/>
      <c r="G266" s="1680"/>
      <c r="H266" s="1680"/>
      <c r="I266" s="1680"/>
      <c r="J266" s="9"/>
      <c r="K266" s="12"/>
      <c r="L266" s="9"/>
      <c r="M266" s="9"/>
      <c r="N266" s="9"/>
      <c r="O266" s="9"/>
      <c r="P266" s="9"/>
      <c r="Q266" s="9"/>
      <c r="R266" s="9"/>
      <c r="S266" s="9"/>
      <c r="T266" s="9"/>
      <c r="U266" s="9"/>
      <c r="V266" s="137"/>
      <c r="W266" s="150"/>
      <c r="AE266" s="82"/>
      <c r="AH266" s="184"/>
      <c r="AI266" s="184"/>
      <c r="AJ266" s="157"/>
    </row>
    <row r="267" spans="1:36" ht="11.25" customHeight="1" x14ac:dyDescent="0.2">
      <c r="A267" s="142"/>
      <c r="B267" s="1680" t="s">
        <v>906</v>
      </c>
      <c r="C267" s="1680"/>
      <c r="D267" s="1680"/>
      <c r="E267" s="1680"/>
      <c r="F267" s="1680"/>
      <c r="G267" s="1680"/>
      <c r="H267" s="1680"/>
      <c r="I267" s="1680"/>
      <c r="J267" s="9"/>
      <c r="K267" s="12"/>
      <c r="L267" s="9"/>
      <c r="M267" s="9"/>
      <c r="N267" s="9"/>
      <c r="O267" s="9"/>
      <c r="P267" s="9"/>
      <c r="Q267" s="9"/>
      <c r="R267" s="9"/>
      <c r="S267" s="9"/>
      <c r="T267" s="9"/>
      <c r="U267" s="9"/>
      <c r="V267" s="137"/>
      <c r="W267" s="150"/>
      <c r="AE267" s="82"/>
      <c r="AH267" s="184"/>
      <c r="AI267" s="184"/>
      <c r="AJ267" s="157"/>
    </row>
    <row r="268" spans="1:36" ht="11.25" customHeight="1" x14ac:dyDescent="0.2">
      <c r="A268" s="142"/>
      <c r="B268" s="1680"/>
      <c r="C268" s="1680"/>
      <c r="D268" s="1680"/>
      <c r="E268" s="1680"/>
      <c r="F268" s="1680"/>
      <c r="G268" s="1680"/>
      <c r="H268" s="1680"/>
      <c r="I268" s="1680"/>
      <c r="J268" s="9"/>
      <c r="K268" s="12"/>
      <c r="L268" s="9"/>
      <c r="M268" s="9"/>
      <c r="N268" s="9"/>
      <c r="O268" s="9"/>
      <c r="P268" s="9"/>
      <c r="Q268" s="9"/>
      <c r="R268" s="9"/>
      <c r="S268" s="9"/>
      <c r="T268" s="9"/>
      <c r="U268" s="9"/>
      <c r="V268" s="137"/>
      <c r="W268" s="150"/>
      <c r="AE268" s="82"/>
      <c r="AH268" s="184"/>
      <c r="AI268" s="184"/>
      <c r="AJ268" s="157"/>
    </row>
    <row r="269" spans="1:36" ht="11.25" customHeight="1" x14ac:dyDescent="0.2">
      <c r="A269" s="142"/>
      <c r="B269" s="1680" t="s">
        <v>907</v>
      </c>
      <c r="C269" s="1680"/>
      <c r="D269" s="1680"/>
      <c r="E269" s="1680"/>
      <c r="F269" s="1680"/>
      <c r="G269" s="1680"/>
      <c r="H269" s="1680"/>
      <c r="I269" s="1680"/>
      <c r="J269" s="9"/>
      <c r="K269" s="12"/>
      <c r="L269" s="9"/>
      <c r="M269" s="9"/>
      <c r="N269" s="9"/>
      <c r="O269" s="9"/>
      <c r="P269" s="9"/>
      <c r="Q269" s="9"/>
      <c r="R269" s="9"/>
      <c r="S269" s="9"/>
      <c r="T269" s="9"/>
      <c r="U269" s="9"/>
      <c r="V269" s="137"/>
      <c r="W269" s="150"/>
      <c r="AE269" s="82"/>
      <c r="AH269" s="184"/>
      <c r="AI269" s="184"/>
      <c r="AJ269" s="157"/>
    </row>
    <row r="270" spans="1:36" ht="11.25" customHeight="1" x14ac:dyDescent="0.2">
      <c r="A270" s="142"/>
      <c r="B270" s="1680"/>
      <c r="C270" s="1680"/>
      <c r="D270" s="1680"/>
      <c r="E270" s="1680"/>
      <c r="F270" s="1680"/>
      <c r="G270" s="1680"/>
      <c r="H270" s="1680"/>
      <c r="I270" s="1680"/>
      <c r="J270" s="9"/>
      <c r="K270" s="12"/>
      <c r="L270" s="9"/>
      <c r="M270" s="9"/>
      <c r="N270" s="9"/>
      <c r="O270" s="9"/>
      <c r="P270" s="9"/>
      <c r="Q270" s="9"/>
      <c r="R270" s="9"/>
      <c r="S270" s="9"/>
      <c r="T270" s="9"/>
      <c r="U270" s="9"/>
      <c r="V270" s="137"/>
      <c r="W270" s="150"/>
      <c r="AE270" s="82"/>
      <c r="AH270" s="184"/>
      <c r="AI270" s="184"/>
      <c r="AJ270" s="157"/>
    </row>
    <row r="271" spans="1:36" ht="11.25" customHeight="1" x14ac:dyDescent="0.2">
      <c r="A271" s="1273"/>
      <c r="B271" s="1274"/>
      <c r="C271" s="1275"/>
      <c r="D271" s="1275"/>
      <c r="E271" s="1275"/>
      <c r="F271" s="1275"/>
      <c r="G271" s="1275"/>
      <c r="H271" s="1275"/>
      <c r="I271" s="1275"/>
      <c r="J271" s="201"/>
      <c r="K271" s="1276"/>
      <c r="L271" s="201"/>
      <c r="M271" s="201"/>
      <c r="N271" s="201"/>
      <c r="O271" s="201"/>
      <c r="P271" s="201"/>
      <c r="Q271" s="201"/>
      <c r="R271" s="201"/>
      <c r="S271" s="201"/>
      <c r="T271" s="201"/>
      <c r="U271" s="201"/>
      <c r="V271" s="1277"/>
      <c r="W271" s="1271"/>
      <c r="X271" s="200"/>
      <c r="Y271" s="200"/>
      <c r="Z271" s="200"/>
      <c r="AA271" s="200"/>
      <c r="AB271" s="200"/>
      <c r="AC271" s="200"/>
      <c r="AD271" s="200"/>
      <c r="AE271" s="1278"/>
      <c r="AF271" s="200"/>
      <c r="AG271" s="200"/>
      <c r="AH271" s="201"/>
      <c r="AI271" s="201"/>
      <c r="AJ271" s="251"/>
    </row>
    <row r="382" spans="37:37" ht="11.25" customHeight="1" x14ac:dyDescent="0.2">
      <c r="AK382" s="74" t="b">
        <v>1</v>
      </c>
    </row>
  </sheetData>
  <mergeCells count="76">
    <mergeCell ref="B263:I264"/>
    <mergeCell ref="B265:I266"/>
    <mergeCell ref="B267:I268"/>
    <mergeCell ref="B269:I270"/>
    <mergeCell ref="B253:I254"/>
    <mergeCell ref="B255:I256"/>
    <mergeCell ref="B257:I258"/>
    <mergeCell ref="B259:I260"/>
    <mergeCell ref="B261:I262"/>
    <mergeCell ref="B229:I230"/>
    <mergeCell ref="B231:I232"/>
    <mergeCell ref="B233:I234"/>
    <mergeCell ref="B235:I236"/>
    <mergeCell ref="B237:I238"/>
    <mergeCell ref="B219:I220"/>
    <mergeCell ref="B221:I222"/>
    <mergeCell ref="B223:I224"/>
    <mergeCell ref="B225:I226"/>
    <mergeCell ref="B227:I228"/>
    <mergeCell ref="T8:T10"/>
    <mergeCell ref="B180:J181"/>
    <mergeCell ref="B35:T35"/>
    <mergeCell ref="A37:U37"/>
    <mergeCell ref="A70:U70"/>
    <mergeCell ref="A71:U71"/>
    <mergeCell ref="Q64:T64"/>
    <mergeCell ref="B8:B10"/>
    <mergeCell ref="D8:H8"/>
    <mergeCell ref="I8:J10"/>
    <mergeCell ref="L8:R8"/>
    <mergeCell ref="P9:Q9"/>
    <mergeCell ref="R9:R10"/>
    <mergeCell ref="P10:Q10"/>
    <mergeCell ref="A145:U145"/>
    <mergeCell ref="B75:B76"/>
    <mergeCell ref="B182:B183"/>
    <mergeCell ref="M171:O171"/>
    <mergeCell ref="Q171:T171"/>
    <mergeCell ref="M172:T172"/>
    <mergeCell ref="B73:J74"/>
    <mergeCell ref="A107:U107"/>
    <mergeCell ref="T115:T117"/>
    <mergeCell ref="B142:T142"/>
    <mergeCell ref="A144:U144"/>
    <mergeCell ref="B247:I248"/>
    <mergeCell ref="B217:I218"/>
    <mergeCell ref="A38:U38"/>
    <mergeCell ref="AQ145:AQ147"/>
    <mergeCell ref="B115:B117"/>
    <mergeCell ref="D115:H115"/>
    <mergeCell ref="I115:J117"/>
    <mergeCell ref="L115:R115"/>
    <mergeCell ref="P116:Q116"/>
    <mergeCell ref="R116:R117"/>
    <mergeCell ref="P117:Q117"/>
    <mergeCell ref="M64:O64"/>
    <mergeCell ref="M65:T65"/>
    <mergeCell ref="A214:U214"/>
    <mergeCell ref="A177:U177"/>
    <mergeCell ref="A178:U178"/>
    <mergeCell ref="B249:I250"/>
    <mergeCell ref="B251:I252"/>
    <mergeCell ref="AW145:BA145"/>
    <mergeCell ref="AR145:AV145"/>
    <mergeCell ref="AA8:AE8"/>
    <mergeCell ref="Y8:Z8"/>
    <mergeCell ref="Y115:Z115"/>
    <mergeCell ref="Y116:Y117"/>
    <mergeCell ref="Z116:Z117"/>
    <mergeCell ref="AQ38:AQ40"/>
    <mergeCell ref="Y9:Y10"/>
    <mergeCell ref="Z9:Z10"/>
    <mergeCell ref="B239:I240"/>
    <mergeCell ref="B241:I242"/>
    <mergeCell ref="B243:I244"/>
    <mergeCell ref="B245:I246"/>
  </mergeCells>
  <conditionalFormatting sqref="D11:H32 L11:P32 T11:T32 D118:H139 L118:P139 T118:T139 D77:H98 D184:H205">
    <cfRule type="containsErrors" dxfId="194" priority="88">
      <formula>ISERROR(D11)</formula>
    </cfRule>
  </conditionalFormatting>
  <conditionalFormatting sqref="A11:A33 A118:A140 A77:A100 A184:A207">
    <cfRule type="cellIs" dxfId="193" priority="73" operator="equal">
      <formula>0</formula>
    </cfRule>
  </conditionalFormatting>
  <conditionalFormatting sqref="D33:H33 L33:P33 T33 D140:H140 L140:P140 T140 D99:H99 D206:H206 R33 R140">
    <cfRule type="containsErrors" dxfId="192" priority="53">
      <formula>ISERROR(D33)</formula>
    </cfRule>
  </conditionalFormatting>
  <conditionalFormatting sqref="D100:H100 D207:H207">
    <cfRule type="containsErrors" dxfId="191" priority="52">
      <formula>ISERROR(D100)</formula>
    </cfRule>
  </conditionalFormatting>
  <conditionalFormatting sqref="R11:R32 R118:R139">
    <cfRule type="containsErrors" dxfId="190" priority="92">
      <formula>ISERROR(R11)</formula>
    </cfRule>
  </conditionalFormatting>
  <conditionalFormatting sqref="B11:B33 D11:H33 T11:T33 L11:R33 J11:J33 B77:B100 D77:H100 D118:H140 T118:T140 B118:B140 J118:J140 I118:I139 L118:R140 B184:B207 D184:H207">
    <cfRule type="expression" dxfId="189" priority="90">
      <formula>$B11=$Y$4</formula>
    </cfRule>
  </conditionalFormatting>
  <conditionalFormatting sqref="AA10:AE10">
    <cfRule type="cellIs" dxfId="188" priority="47" stopIfTrue="1" operator="equal">
      <formula>0</formula>
    </cfRule>
  </conditionalFormatting>
  <conditionalFormatting sqref="K9:P9">
    <cfRule type="containsErrors" dxfId="187" priority="44">
      <formula>ISERROR(K9)</formula>
    </cfRule>
  </conditionalFormatting>
  <conditionalFormatting sqref="L10:P10">
    <cfRule type="containsErrors" dxfId="186" priority="45">
      <formula>ISERROR(L10)</formula>
    </cfRule>
  </conditionalFormatting>
  <conditionalFormatting sqref="D9:H9">
    <cfRule type="containsErrors" dxfId="185" priority="43">
      <formula>ISERROR(D9)</formula>
    </cfRule>
  </conditionalFormatting>
  <conditionalFormatting sqref="D10:H10">
    <cfRule type="containsErrors" dxfId="184" priority="46">
      <formula>ISERROR(D10)</formula>
    </cfRule>
  </conditionalFormatting>
  <conditionalFormatting sqref="Q33">
    <cfRule type="containsErrors" dxfId="183" priority="41">
      <formula>ISERROR(Q33)</formula>
    </cfRule>
  </conditionalFormatting>
  <conditionalFormatting sqref="Q11:Q33">
    <cfRule type="containsErrors" dxfId="182" priority="39">
      <formula>ISERROR(Q11)</formula>
    </cfRule>
    <cfRule type="dataBar" priority="40">
      <dataBar showValue="0">
        <cfvo type="min"/>
        <cfvo type="max"/>
        <color theme="9"/>
      </dataBar>
      <extLst>
        <ext xmlns:x14="http://schemas.microsoft.com/office/spreadsheetml/2009/9/main" uri="{B025F937-C7B1-47D3-B67F-A62EFF666E3E}">
          <x14:id>{27CB406C-476E-4CB5-B524-AE69432348C7}</x14:id>
        </ext>
      </extLst>
    </cfRule>
  </conditionalFormatting>
  <conditionalFormatting sqref="J11:J33">
    <cfRule type="containsErrors" dxfId="181" priority="37">
      <formula>ISERROR(J11)</formula>
    </cfRule>
  </conditionalFormatting>
  <conditionalFormatting sqref="J33">
    <cfRule type="containsErrors" dxfId="180" priority="35">
      <formula>ISERROR(J33)</formula>
    </cfRule>
  </conditionalFormatting>
  <conditionalFormatting sqref="J11:J33">
    <cfRule type="dataBar" priority="38">
      <dataBar showValue="0">
        <cfvo type="min"/>
        <cfvo type="max"/>
        <color theme="9"/>
      </dataBar>
      <extLst>
        <ext xmlns:x14="http://schemas.microsoft.com/office/spreadsheetml/2009/9/main" uri="{B025F937-C7B1-47D3-B67F-A62EFF666E3E}">
          <x14:id>{9E17CDCD-7183-4EA9-B71C-0B187214DC60}</x14:id>
        </ext>
      </extLst>
    </cfRule>
  </conditionalFormatting>
  <conditionalFormatting sqref="I11:I32">
    <cfRule type="containsErrors" dxfId="179" priority="2">
      <formula>ISERROR(I11)</formula>
    </cfRule>
    <cfRule type="expression" dxfId="178" priority="34">
      <formula>$B11=$Y$4</formula>
    </cfRule>
  </conditionalFormatting>
  <conditionalFormatting sqref="I11:I32">
    <cfRule type="containsErrors" dxfId="177" priority="33">
      <formula>ISERROR(I11)</formula>
    </cfRule>
  </conditionalFormatting>
  <conditionalFormatting sqref="I33">
    <cfRule type="containsErrors" dxfId="176" priority="32">
      <formula>ISERROR(I33)</formula>
    </cfRule>
  </conditionalFormatting>
  <conditionalFormatting sqref="Z3:AD3">
    <cfRule type="containsErrors" dxfId="175" priority="30">
      <formula>ISERROR(Z3)</formula>
    </cfRule>
  </conditionalFormatting>
  <conditionalFormatting sqref="Z2:AD2">
    <cfRule type="containsErrors" dxfId="174" priority="29">
      <formula>ISERROR(Z2)</formula>
    </cfRule>
  </conditionalFormatting>
  <conditionalFormatting sqref="Y2">
    <cfRule type="containsErrors" dxfId="173" priority="27">
      <formula>ISERROR(Y2)</formula>
    </cfRule>
  </conditionalFormatting>
  <conditionalFormatting sqref="Y3">
    <cfRule type="containsErrors" dxfId="172" priority="28">
      <formula>ISERROR(Y3)</formula>
    </cfRule>
  </conditionalFormatting>
  <conditionalFormatting sqref="J118:J140">
    <cfRule type="containsErrors" dxfId="171" priority="25">
      <formula>ISERROR(J118)</formula>
    </cfRule>
  </conditionalFormatting>
  <conditionalFormatting sqref="J140">
    <cfRule type="containsErrors" dxfId="170" priority="23">
      <formula>ISERROR(J140)</formula>
    </cfRule>
  </conditionalFormatting>
  <conditionalFormatting sqref="J118:J140">
    <cfRule type="dataBar" priority="26">
      <dataBar showValue="0">
        <cfvo type="min"/>
        <cfvo type="max"/>
        <color theme="9"/>
      </dataBar>
      <extLst>
        <ext xmlns:x14="http://schemas.microsoft.com/office/spreadsheetml/2009/9/main" uri="{B025F937-C7B1-47D3-B67F-A62EFF666E3E}">
          <x14:id>{97710FE9-91BE-4C39-A8F2-055CC5E869D8}</x14:id>
        </ext>
      </extLst>
    </cfRule>
  </conditionalFormatting>
  <conditionalFormatting sqref="I118:I139">
    <cfRule type="containsErrors" dxfId="169" priority="3">
      <formula>ISERROR(I118)</formula>
    </cfRule>
    <cfRule type="containsErrors" dxfId="168" priority="21">
      <formula>ISERROR(I118)</formula>
    </cfRule>
  </conditionalFormatting>
  <conditionalFormatting sqref="I140">
    <cfRule type="containsErrors" dxfId="167" priority="20">
      <formula>ISERROR(I140)</formula>
    </cfRule>
  </conditionalFormatting>
  <conditionalFormatting sqref="K116:P116">
    <cfRule type="containsErrors" dxfId="166" priority="17">
      <formula>ISERROR(K116)</formula>
    </cfRule>
  </conditionalFormatting>
  <conditionalFormatting sqref="L117:P117">
    <cfRule type="containsErrors" dxfId="165" priority="18">
      <formula>ISERROR(L117)</formula>
    </cfRule>
  </conditionalFormatting>
  <conditionalFormatting sqref="D116:H116">
    <cfRule type="containsErrors" dxfId="164" priority="16">
      <formula>ISERROR(D116)</formula>
    </cfRule>
  </conditionalFormatting>
  <conditionalFormatting sqref="D117:H117">
    <cfRule type="containsErrors" dxfId="163" priority="19">
      <formula>ISERROR(D117)</formula>
    </cfRule>
  </conditionalFormatting>
  <conditionalFormatting sqref="Q140">
    <cfRule type="containsErrors" dxfId="162" priority="14">
      <formula>ISERROR(Q140)</formula>
    </cfRule>
  </conditionalFormatting>
  <conditionalFormatting sqref="Q118:Q140">
    <cfRule type="containsErrors" dxfId="161" priority="12">
      <formula>ISERROR(Q118)</formula>
    </cfRule>
    <cfRule type="dataBar" priority="13">
      <dataBar showValue="0">
        <cfvo type="min"/>
        <cfvo type="max"/>
        <color theme="9"/>
      </dataBar>
      <extLst>
        <ext xmlns:x14="http://schemas.microsoft.com/office/spreadsheetml/2009/9/main" uri="{B025F937-C7B1-47D3-B67F-A62EFF666E3E}">
          <x14:id>{C09513AB-95FE-4A35-928B-84DA439DE910}</x14:id>
        </ext>
      </extLst>
    </cfRule>
  </conditionalFormatting>
  <conditionalFormatting sqref="D75:H75">
    <cfRule type="containsErrors" dxfId="160" priority="6">
      <formula>ISERROR(D75)</formula>
    </cfRule>
  </conditionalFormatting>
  <conditionalFormatting sqref="D182:H182">
    <cfRule type="containsErrors" dxfId="159" priority="4">
      <formula>ISERROR(D182)</formula>
    </cfRule>
  </conditionalFormatting>
  <conditionalFormatting sqref="D76:H76">
    <cfRule type="containsErrors" dxfId="158" priority="7">
      <formula>ISERROR(D76)</formula>
    </cfRule>
  </conditionalFormatting>
  <conditionalFormatting sqref="D183:H183">
    <cfRule type="containsErrors" dxfId="157" priority="5">
      <formula>ISERROR(D183)</formula>
    </cfRule>
  </conditionalFormatting>
  <conditionalFormatting sqref="AL40:AP40">
    <cfRule type="cellIs" dxfId="156" priority="1" stopIfTrue="1" operator="equal">
      <formula>0</formula>
    </cfRule>
  </conditionalFormatting>
  <hyperlinks>
    <hyperlink ref="B221:H222" location="IDACI!A1" display="IDACI" xr:uid="{00000000-0004-0000-1E00-000000000000}"/>
    <hyperlink ref="B253:I254" location="ROSGO!A1" display="Child Arrangement &amp; Special Guardianship Orders" xr:uid="{00000000-0004-0000-1E00-000001000000}"/>
    <hyperlink ref="B225:G226" location="EH_Referrals!A1" display="Early Help Referrals" xr:uid="{00000000-0004-0000-1E00-000002000000}"/>
    <hyperlink ref="B227:G228" location="EH_Assessments!A1" display="Early Help Assessments" xr:uid="{00000000-0004-0000-1E00-000003000000}"/>
    <hyperlink ref="B229:G230" location="EH_Clients!A1" display="Early Help Clients" xr:uid="{00000000-0004-0000-1E00-000004000000}"/>
    <hyperlink ref="B253:E254" location="ROSGO!A1" display="Child Arrangement &amp; Special Guardianship Orders" xr:uid="{00000000-0004-0000-1E00-000005000000}"/>
    <hyperlink ref="B225:E226" location="EH_Referrals!A1" display="Early Help Referrals" xr:uid="{00000000-0004-0000-1E00-000006000000}"/>
    <hyperlink ref="B227:E228" location="EH_Assessments!A1" display="Early Help Assessments" xr:uid="{00000000-0004-0000-1E00-000007000000}"/>
    <hyperlink ref="B229:E230" location="EH_Clients!A1" display="Early Help Clients" xr:uid="{00000000-0004-0000-1E00-000008000000}"/>
    <hyperlink ref="B223:D224" location="IDACI!A1" display="IDACI" xr:uid="{00000000-0004-0000-1E00-000009000000}"/>
    <hyperlink ref="B261:D262" location="ROSGO!A1" display="Child Arrangement &amp; Special Guardianship Orders" xr:uid="{00000000-0004-0000-1E00-00000A000000}"/>
    <hyperlink ref="B229:D230" location="EH_Referrals!A1" display="Early Help Referrals" xr:uid="{00000000-0004-0000-1E00-00000B000000}"/>
    <hyperlink ref="B231:D232" location="EH_Assessments!A1" display="Early Help Assessments" xr:uid="{00000000-0004-0000-1E00-00000C000000}"/>
    <hyperlink ref="B233:D234" location="EH_Clients!A1" display="Early Help Clients" xr:uid="{00000000-0004-0000-1E00-00000D000000}"/>
    <hyperlink ref="B219:D220" location="Indicators!A1" display="Indicators" xr:uid="{00000000-0004-0000-1E00-00000E000000}"/>
    <hyperlink ref="B227:D228" location="Contacts!A1" display="Contacts" xr:uid="{00000000-0004-0000-1E00-00000F000000}"/>
    <hyperlink ref="B255:D256" location="New_Ceased_LAC!A1" display="New/ Ceased Looked After Children" xr:uid="{00000000-0004-0000-1E00-000010000000}"/>
    <hyperlink ref="B257:D258" location="Care_Leavers!A1" display="Care Leavers" xr:uid="{00000000-0004-0000-1E00-000011000000}"/>
    <hyperlink ref="B269:D270" location="EHE_CME!A1" display="Elective Home Education &amp; Children Missing Education" xr:uid="{00000000-0004-0000-1E00-000012000000}"/>
    <hyperlink ref="B263:D264" location="NEET!A1" display="Participation (NEET)" xr:uid="{00000000-0004-0000-1E00-000013000000}"/>
    <hyperlink ref="B265:D266" location="Offending!A1" display="Offending" xr:uid="{00000000-0004-0000-1E00-000014000000}"/>
    <hyperlink ref="B267:D268" location="EHCP!A1" display="Education Health and Care Plans (EHCP)" xr:uid="{00000000-0004-0000-1E00-000015000000}"/>
    <hyperlink ref="B221:B222" location="Coverage!A1" display="Participating LA's" xr:uid="{00000000-0004-0000-1E00-000016000000}"/>
    <hyperlink ref="B223:B224" location="IDACI!A1" display="IDACI" xr:uid="{00000000-0004-0000-1E00-000017000000}"/>
    <hyperlink ref="B259:B260" location="Adoption!A1" display="Adoption" xr:uid="{00000000-0004-0000-1E00-000018000000}"/>
    <hyperlink ref="B253:B254" location="'Looked After Children'!A1" display="Looked After Children" xr:uid="{00000000-0004-0000-1E00-000019000000}"/>
    <hyperlink ref="B251:B252" location="'Court Applications'!A1" display="Court Applications" xr:uid="{00000000-0004-0000-1E00-00001A000000}"/>
    <hyperlink ref="B249:B250" location="'Child Protection Plans'!A1" display="Child Protection Plans" xr:uid="{00000000-0004-0000-1E00-00001B000000}"/>
    <hyperlink ref="B247:B248" location="'Initial CP Conferences'!A1" display="Initial Child Protection Conferences" xr:uid="{00000000-0004-0000-1E00-00001C000000}"/>
    <hyperlink ref="B245:B246" location="'Section 47 Enquiries'!A1" display="Section 47 Enquiries" xr:uid="{00000000-0004-0000-1E00-00001D000000}"/>
    <hyperlink ref="B243:B244" location="'Children in Need'!A1" display="Children in Need" xr:uid="{00000000-0004-0000-1E00-00001E000000}"/>
    <hyperlink ref="B241:B242" location="Assessments!A1" display="Assessments" xr:uid="{00000000-0004-0000-1E00-00001F000000}"/>
    <hyperlink ref="B239:B240" location="'Re-referrals'!A1" display="Re-referrals" xr:uid="{00000000-0004-0000-1E00-000020000000}"/>
    <hyperlink ref="B237:B238" location="Referral_Source!A1" display="Referral Source" xr:uid="{00000000-0004-0000-1E00-000021000000}"/>
    <hyperlink ref="B235:B236" location="Referrals!A1" display="Referrals" xr:uid="{00000000-0004-0000-1E00-000022000000}"/>
    <hyperlink ref="B225:B226" location="Population!A1" display="Population" xr:uid="{00000000-0004-0000-1E00-000023000000}"/>
    <hyperlink ref="B223:C224" location="IDACI!A1" display="IDACI" xr:uid="{00000000-0004-0000-1E00-000024000000}"/>
    <hyperlink ref="B261:B262" location="Adoption!A1" display="Adoption" xr:uid="{00000000-0004-0000-1E00-000025000000}"/>
    <hyperlink ref="B261:C262" location="ROSGO!A1" display="Child Arrangement &amp; Special Guardianship Orders" xr:uid="{00000000-0004-0000-1E00-000026000000}"/>
    <hyperlink ref="B229:B230" location="CAF_EHA!A1" display="CAF (EHA's)" xr:uid="{00000000-0004-0000-1E00-000027000000}"/>
    <hyperlink ref="B233:B234" location="CAF_EHA!A1" display="CAF (EHA's)" xr:uid="{00000000-0004-0000-1E00-000028000000}"/>
    <hyperlink ref="B231:B232" location="CAF_EHA!A1" display="CAF (EHA's)" xr:uid="{00000000-0004-0000-1E00-000029000000}"/>
    <hyperlink ref="B229:C230" location="EH_Referrals!A1" display="Early Help Referrals" xr:uid="{00000000-0004-0000-1E00-00002A000000}"/>
    <hyperlink ref="B231:C232" location="EH_Assessments!A1" display="Early Help Assessments" xr:uid="{00000000-0004-0000-1E00-00002B000000}"/>
    <hyperlink ref="B233:C234" location="EH_Clients!A1" display="Early Help Clients" xr:uid="{00000000-0004-0000-1E00-00002C000000}"/>
    <hyperlink ref="B219:B220" location="Coverage!A1" display="Participating LA's" xr:uid="{00000000-0004-0000-1E00-00002D000000}"/>
    <hyperlink ref="B219:C220" location="Indicators!A1" display="Indicators" xr:uid="{00000000-0004-0000-1E00-00002E000000}"/>
    <hyperlink ref="B227:B228" location="Population!A1" display="Population" xr:uid="{00000000-0004-0000-1E00-00002F000000}"/>
    <hyperlink ref="B227:C228" location="Contacts!A1" display="Contacts" xr:uid="{00000000-0004-0000-1E00-000030000000}"/>
    <hyperlink ref="B257:B258" location="'Looked After Children'!A1" display="Looked After Children" xr:uid="{00000000-0004-0000-1E00-000031000000}"/>
    <hyperlink ref="B255:B256" location="'Court Applications'!A1" display="Court Applications" xr:uid="{00000000-0004-0000-1E00-000032000000}"/>
    <hyperlink ref="B255:C256" location="New_Ceased_LAC!A1" display="New/ Ceased Looked After Children" xr:uid="{00000000-0004-0000-1E00-000033000000}"/>
    <hyperlink ref="B257:C258" location="Care_Leavers!A1" display="Care Leavers" xr:uid="{00000000-0004-0000-1E00-000034000000}"/>
    <hyperlink ref="B268:B270" location="Adoption!A1" display="Adoption" xr:uid="{00000000-0004-0000-1E00-000035000000}"/>
    <hyperlink ref="B265:B266" location="'Looked After Children'!A1" display="Looked After Children" xr:uid="{00000000-0004-0000-1E00-000036000000}"/>
    <hyperlink ref="B263:B264" location="'Court Applications'!A1" display="Court Applications" xr:uid="{00000000-0004-0000-1E00-000037000000}"/>
    <hyperlink ref="B263:C264" location="NEET!A1" display="Participation (NEET)" xr:uid="{00000000-0004-0000-1E00-000038000000}"/>
    <hyperlink ref="B265:C266" location="Offending!A1" display="Offending" xr:uid="{00000000-0004-0000-1E00-000039000000}"/>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8" max="18" man="1"/>
    <brk id="107" max="20" man="1"/>
    <brk id="145" max="18" man="1"/>
  </rowBreaks>
  <ignoredErrors>
    <ignoredError sqref="A118:A139 A11:A3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77825" r:id="rId4" name="Check Box 1">
              <controlPr defaultSize="0" autoFill="0" autoLine="0" autoPict="0" macro="[0]!CheckBox1_Click" altText="">
                <anchor>
                  <from>
                    <xdr:col>22</xdr:col>
                    <xdr:colOff>95250</xdr:colOff>
                    <xdr:row>39</xdr:row>
                    <xdr:rowOff>19050</xdr:rowOff>
                  </from>
                  <to>
                    <xdr:col>23</xdr:col>
                    <xdr:colOff>66675</xdr:colOff>
                    <xdr:row>41</xdr:row>
                    <xdr:rowOff>0</xdr:rowOff>
                  </to>
                </anchor>
              </controlPr>
            </control>
          </mc:Choice>
        </mc:AlternateContent>
        <mc:AlternateContent xmlns:mc="http://schemas.openxmlformats.org/markup-compatibility/2006">
          <mc:Choice Requires="x14">
            <control shapeId="77826" r:id="rId5" name="Check Box 2">
              <controlPr defaultSize="0" autoFill="0" autoLine="0" autoPict="0" macro="[0]!CheckBox1_Click" altText="">
                <anchor>
                  <from>
                    <xdr:col>22</xdr:col>
                    <xdr:colOff>95250</xdr:colOff>
                    <xdr:row>40</xdr:row>
                    <xdr:rowOff>142875</xdr:rowOff>
                  </from>
                  <to>
                    <xdr:col>23</xdr:col>
                    <xdr:colOff>66675</xdr:colOff>
                    <xdr:row>42</xdr:row>
                    <xdr:rowOff>0</xdr:rowOff>
                  </to>
                </anchor>
              </controlPr>
            </control>
          </mc:Choice>
        </mc:AlternateContent>
        <mc:AlternateContent xmlns:mc="http://schemas.openxmlformats.org/markup-compatibility/2006">
          <mc:Choice Requires="x14">
            <control shapeId="77827" r:id="rId6" name="Check Box 3">
              <controlPr defaultSize="0" autoFill="0" autoLine="0" autoPict="0" macro="[0]!CheckBox1_Click" altText="">
                <anchor>
                  <from>
                    <xdr:col>22</xdr:col>
                    <xdr:colOff>95250</xdr:colOff>
                    <xdr:row>41</xdr:row>
                    <xdr:rowOff>142875</xdr:rowOff>
                  </from>
                  <to>
                    <xdr:col>23</xdr:col>
                    <xdr:colOff>66675</xdr:colOff>
                    <xdr:row>43</xdr:row>
                    <xdr:rowOff>0</xdr:rowOff>
                  </to>
                </anchor>
              </controlPr>
            </control>
          </mc:Choice>
        </mc:AlternateContent>
        <mc:AlternateContent xmlns:mc="http://schemas.openxmlformats.org/markup-compatibility/2006">
          <mc:Choice Requires="x14">
            <control shapeId="77828" r:id="rId7" name="Check Box 4">
              <controlPr defaultSize="0" autoFill="0" autoLine="0" autoPict="0" macro="[0]!CheckBox1_Click" altText="">
                <anchor>
                  <from>
                    <xdr:col>22</xdr:col>
                    <xdr:colOff>95250</xdr:colOff>
                    <xdr:row>42</xdr:row>
                    <xdr:rowOff>142875</xdr:rowOff>
                  </from>
                  <to>
                    <xdr:col>23</xdr:col>
                    <xdr:colOff>66675</xdr:colOff>
                    <xdr:row>44</xdr:row>
                    <xdr:rowOff>0</xdr:rowOff>
                  </to>
                </anchor>
              </controlPr>
            </control>
          </mc:Choice>
        </mc:AlternateContent>
        <mc:AlternateContent xmlns:mc="http://schemas.openxmlformats.org/markup-compatibility/2006">
          <mc:Choice Requires="x14">
            <control shapeId="77829" r:id="rId8" name="Check Box 5">
              <controlPr defaultSize="0" autoFill="0" autoLine="0" autoPict="0" macro="[0]!CheckBox1_Click" altText="">
                <anchor>
                  <from>
                    <xdr:col>22</xdr:col>
                    <xdr:colOff>95250</xdr:colOff>
                    <xdr:row>43</xdr:row>
                    <xdr:rowOff>142875</xdr:rowOff>
                  </from>
                  <to>
                    <xdr:col>23</xdr:col>
                    <xdr:colOff>66675</xdr:colOff>
                    <xdr:row>45</xdr:row>
                    <xdr:rowOff>0</xdr:rowOff>
                  </to>
                </anchor>
              </controlPr>
            </control>
          </mc:Choice>
        </mc:AlternateContent>
        <mc:AlternateContent xmlns:mc="http://schemas.openxmlformats.org/markup-compatibility/2006">
          <mc:Choice Requires="x14">
            <control shapeId="77830" r:id="rId9" name="Check Box 6">
              <controlPr defaultSize="0" autoFill="0" autoLine="0" autoPict="0" macro="[0]!CheckBox1_Click" altText="">
                <anchor>
                  <from>
                    <xdr:col>22</xdr:col>
                    <xdr:colOff>95250</xdr:colOff>
                    <xdr:row>44</xdr:row>
                    <xdr:rowOff>142875</xdr:rowOff>
                  </from>
                  <to>
                    <xdr:col>23</xdr:col>
                    <xdr:colOff>66675</xdr:colOff>
                    <xdr:row>46</xdr:row>
                    <xdr:rowOff>0</xdr:rowOff>
                  </to>
                </anchor>
              </controlPr>
            </control>
          </mc:Choice>
        </mc:AlternateContent>
        <mc:AlternateContent xmlns:mc="http://schemas.openxmlformats.org/markup-compatibility/2006">
          <mc:Choice Requires="x14">
            <control shapeId="77831" r:id="rId10" name="Check Box 7">
              <controlPr defaultSize="0" autoFill="0" autoLine="0" autoPict="0" macro="[0]!CheckBox1_Click" altText="">
                <anchor>
                  <from>
                    <xdr:col>22</xdr:col>
                    <xdr:colOff>95250</xdr:colOff>
                    <xdr:row>45</xdr:row>
                    <xdr:rowOff>142875</xdr:rowOff>
                  </from>
                  <to>
                    <xdr:col>23</xdr:col>
                    <xdr:colOff>66675</xdr:colOff>
                    <xdr:row>47</xdr:row>
                    <xdr:rowOff>0</xdr:rowOff>
                  </to>
                </anchor>
              </controlPr>
            </control>
          </mc:Choice>
        </mc:AlternateContent>
        <mc:AlternateContent xmlns:mc="http://schemas.openxmlformats.org/markup-compatibility/2006">
          <mc:Choice Requires="x14">
            <control shapeId="77832" r:id="rId11" name="Check Box 8">
              <controlPr defaultSize="0" autoFill="0" autoLine="0" autoPict="0" macro="[0]!CheckBox1_Click" altText="">
                <anchor>
                  <from>
                    <xdr:col>22</xdr:col>
                    <xdr:colOff>95250</xdr:colOff>
                    <xdr:row>46</xdr:row>
                    <xdr:rowOff>142875</xdr:rowOff>
                  </from>
                  <to>
                    <xdr:col>23</xdr:col>
                    <xdr:colOff>66675</xdr:colOff>
                    <xdr:row>48</xdr:row>
                    <xdr:rowOff>0</xdr:rowOff>
                  </to>
                </anchor>
              </controlPr>
            </control>
          </mc:Choice>
        </mc:AlternateContent>
        <mc:AlternateContent xmlns:mc="http://schemas.openxmlformats.org/markup-compatibility/2006">
          <mc:Choice Requires="x14">
            <control shapeId="77833" r:id="rId12" name="Check Box 9">
              <controlPr defaultSize="0" autoFill="0" autoLine="0" autoPict="0" macro="[0]!CheckBox1_Click" altText="">
                <anchor>
                  <from>
                    <xdr:col>22</xdr:col>
                    <xdr:colOff>95250</xdr:colOff>
                    <xdr:row>47</xdr:row>
                    <xdr:rowOff>142875</xdr:rowOff>
                  </from>
                  <to>
                    <xdr:col>23</xdr:col>
                    <xdr:colOff>66675</xdr:colOff>
                    <xdr:row>49</xdr:row>
                    <xdr:rowOff>0</xdr:rowOff>
                  </to>
                </anchor>
              </controlPr>
            </control>
          </mc:Choice>
        </mc:AlternateContent>
        <mc:AlternateContent xmlns:mc="http://schemas.openxmlformats.org/markup-compatibility/2006">
          <mc:Choice Requires="x14">
            <control shapeId="77834" r:id="rId13" name="Check Box 10">
              <controlPr defaultSize="0" autoFill="0" autoLine="0" autoPict="0" macro="[0]!CheckBox1_Click" altText="">
                <anchor>
                  <from>
                    <xdr:col>22</xdr:col>
                    <xdr:colOff>95250</xdr:colOff>
                    <xdr:row>48</xdr:row>
                    <xdr:rowOff>142875</xdr:rowOff>
                  </from>
                  <to>
                    <xdr:col>23</xdr:col>
                    <xdr:colOff>66675</xdr:colOff>
                    <xdr:row>50</xdr:row>
                    <xdr:rowOff>0</xdr:rowOff>
                  </to>
                </anchor>
              </controlPr>
            </control>
          </mc:Choice>
        </mc:AlternateContent>
        <mc:AlternateContent xmlns:mc="http://schemas.openxmlformats.org/markup-compatibility/2006">
          <mc:Choice Requires="x14">
            <control shapeId="77835" r:id="rId14" name="Check Box 11">
              <controlPr defaultSize="0" autoFill="0" autoLine="0" autoPict="0" macro="[0]!CheckBox1_Click" altText="">
                <anchor>
                  <from>
                    <xdr:col>22</xdr:col>
                    <xdr:colOff>95250</xdr:colOff>
                    <xdr:row>49</xdr:row>
                    <xdr:rowOff>142875</xdr:rowOff>
                  </from>
                  <to>
                    <xdr:col>23</xdr:col>
                    <xdr:colOff>66675</xdr:colOff>
                    <xdr:row>51</xdr:row>
                    <xdr:rowOff>0</xdr:rowOff>
                  </to>
                </anchor>
              </controlPr>
            </control>
          </mc:Choice>
        </mc:AlternateContent>
        <mc:AlternateContent xmlns:mc="http://schemas.openxmlformats.org/markup-compatibility/2006">
          <mc:Choice Requires="x14">
            <control shapeId="77836" r:id="rId15" name="Check Box 12">
              <controlPr defaultSize="0" autoFill="0" autoLine="0" autoPict="0" macro="[0]!CheckBox1_Click" altText="">
                <anchor>
                  <from>
                    <xdr:col>22</xdr:col>
                    <xdr:colOff>95250</xdr:colOff>
                    <xdr:row>50</xdr:row>
                    <xdr:rowOff>142875</xdr:rowOff>
                  </from>
                  <to>
                    <xdr:col>23</xdr:col>
                    <xdr:colOff>66675</xdr:colOff>
                    <xdr:row>52</xdr:row>
                    <xdr:rowOff>0</xdr:rowOff>
                  </to>
                </anchor>
              </controlPr>
            </control>
          </mc:Choice>
        </mc:AlternateContent>
        <mc:AlternateContent xmlns:mc="http://schemas.openxmlformats.org/markup-compatibility/2006">
          <mc:Choice Requires="x14">
            <control shapeId="77837" r:id="rId16" name="Check Box 13">
              <controlPr defaultSize="0" autoFill="0" autoLine="0" autoPict="0" macro="[0]!CheckBox1_Click" altText="">
                <anchor>
                  <from>
                    <xdr:col>22</xdr:col>
                    <xdr:colOff>95250</xdr:colOff>
                    <xdr:row>51</xdr:row>
                    <xdr:rowOff>142875</xdr:rowOff>
                  </from>
                  <to>
                    <xdr:col>23</xdr:col>
                    <xdr:colOff>66675</xdr:colOff>
                    <xdr:row>53</xdr:row>
                    <xdr:rowOff>0</xdr:rowOff>
                  </to>
                </anchor>
              </controlPr>
            </control>
          </mc:Choice>
        </mc:AlternateContent>
        <mc:AlternateContent xmlns:mc="http://schemas.openxmlformats.org/markup-compatibility/2006">
          <mc:Choice Requires="x14">
            <control shapeId="77838" r:id="rId17" name="Check Box 14">
              <controlPr defaultSize="0" autoFill="0" autoLine="0" autoPict="0" macro="[0]!CheckBox1_Click" altText="">
                <anchor>
                  <from>
                    <xdr:col>22</xdr:col>
                    <xdr:colOff>95250</xdr:colOff>
                    <xdr:row>52</xdr:row>
                    <xdr:rowOff>142875</xdr:rowOff>
                  </from>
                  <to>
                    <xdr:col>23</xdr:col>
                    <xdr:colOff>66675</xdr:colOff>
                    <xdr:row>54</xdr:row>
                    <xdr:rowOff>0</xdr:rowOff>
                  </to>
                </anchor>
              </controlPr>
            </control>
          </mc:Choice>
        </mc:AlternateContent>
        <mc:AlternateContent xmlns:mc="http://schemas.openxmlformats.org/markup-compatibility/2006">
          <mc:Choice Requires="x14">
            <control shapeId="77839" r:id="rId18" name="Check Box 15">
              <controlPr defaultSize="0" autoFill="0" autoLine="0" autoPict="0" macro="[0]!CheckBox1_Click" altText="">
                <anchor>
                  <from>
                    <xdr:col>22</xdr:col>
                    <xdr:colOff>95250</xdr:colOff>
                    <xdr:row>53</xdr:row>
                    <xdr:rowOff>142875</xdr:rowOff>
                  </from>
                  <to>
                    <xdr:col>23</xdr:col>
                    <xdr:colOff>66675</xdr:colOff>
                    <xdr:row>55</xdr:row>
                    <xdr:rowOff>0</xdr:rowOff>
                  </to>
                </anchor>
              </controlPr>
            </control>
          </mc:Choice>
        </mc:AlternateContent>
        <mc:AlternateContent xmlns:mc="http://schemas.openxmlformats.org/markup-compatibility/2006">
          <mc:Choice Requires="x14">
            <control shapeId="77840" r:id="rId19" name="Check Box 16">
              <controlPr defaultSize="0" autoFill="0" autoLine="0" autoPict="0" macro="[0]!CheckBox1_Click" altText="">
                <anchor>
                  <from>
                    <xdr:col>22</xdr:col>
                    <xdr:colOff>95250</xdr:colOff>
                    <xdr:row>54</xdr:row>
                    <xdr:rowOff>142875</xdr:rowOff>
                  </from>
                  <to>
                    <xdr:col>23</xdr:col>
                    <xdr:colOff>66675</xdr:colOff>
                    <xdr:row>56</xdr:row>
                    <xdr:rowOff>0</xdr:rowOff>
                  </to>
                </anchor>
              </controlPr>
            </control>
          </mc:Choice>
        </mc:AlternateContent>
        <mc:AlternateContent xmlns:mc="http://schemas.openxmlformats.org/markup-compatibility/2006">
          <mc:Choice Requires="x14">
            <control shapeId="77841" r:id="rId20" name="Check Box 17">
              <controlPr defaultSize="0" autoFill="0" autoLine="0" autoPict="0" macro="[0]!CheckBox1_Click" altText="">
                <anchor>
                  <from>
                    <xdr:col>22</xdr:col>
                    <xdr:colOff>95250</xdr:colOff>
                    <xdr:row>57</xdr:row>
                    <xdr:rowOff>142875</xdr:rowOff>
                  </from>
                  <to>
                    <xdr:col>23</xdr:col>
                    <xdr:colOff>66675</xdr:colOff>
                    <xdr:row>59</xdr:row>
                    <xdr:rowOff>0</xdr:rowOff>
                  </to>
                </anchor>
              </controlPr>
            </control>
          </mc:Choice>
        </mc:AlternateContent>
        <mc:AlternateContent xmlns:mc="http://schemas.openxmlformats.org/markup-compatibility/2006">
          <mc:Choice Requires="x14">
            <control shapeId="77842" r:id="rId21" name="Check Box 18">
              <controlPr defaultSize="0" autoFill="0" autoLine="0" autoPict="0" macro="[0]!CheckBox1_Click" altText="">
                <anchor>
                  <from>
                    <xdr:col>22</xdr:col>
                    <xdr:colOff>95250</xdr:colOff>
                    <xdr:row>58</xdr:row>
                    <xdr:rowOff>142875</xdr:rowOff>
                  </from>
                  <to>
                    <xdr:col>23</xdr:col>
                    <xdr:colOff>66675</xdr:colOff>
                    <xdr:row>60</xdr:row>
                    <xdr:rowOff>0</xdr:rowOff>
                  </to>
                </anchor>
              </controlPr>
            </control>
          </mc:Choice>
        </mc:AlternateContent>
        <mc:AlternateContent xmlns:mc="http://schemas.openxmlformats.org/markup-compatibility/2006">
          <mc:Choice Requires="x14">
            <control shapeId="77843" r:id="rId22" name="Check Box 19">
              <controlPr defaultSize="0" autoFill="0" autoLine="0" autoPict="0" macro="[0]!CheckBox1_Click" altText="">
                <anchor>
                  <from>
                    <xdr:col>22</xdr:col>
                    <xdr:colOff>95250</xdr:colOff>
                    <xdr:row>59</xdr:row>
                    <xdr:rowOff>142875</xdr:rowOff>
                  </from>
                  <to>
                    <xdr:col>23</xdr:col>
                    <xdr:colOff>66675</xdr:colOff>
                    <xdr:row>61</xdr:row>
                    <xdr:rowOff>0</xdr:rowOff>
                  </to>
                </anchor>
              </controlPr>
            </control>
          </mc:Choice>
        </mc:AlternateContent>
        <mc:AlternateContent xmlns:mc="http://schemas.openxmlformats.org/markup-compatibility/2006">
          <mc:Choice Requires="x14">
            <control shapeId="77844" r:id="rId23" name="Check Box 20">
              <controlPr defaultSize="0" autoFill="0" autoLine="0" autoPict="0" macro="[0]!CheckBox1_Click" altText="">
                <anchor>
                  <from>
                    <xdr:col>22</xdr:col>
                    <xdr:colOff>95250</xdr:colOff>
                    <xdr:row>60</xdr:row>
                    <xdr:rowOff>142875</xdr:rowOff>
                  </from>
                  <to>
                    <xdr:col>23</xdr:col>
                    <xdr:colOff>66675</xdr:colOff>
                    <xdr:row>62</xdr:row>
                    <xdr:rowOff>0</xdr:rowOff>
                  </to>
                </anchor>
              </controlPr>
            </control>
          </mc:Choice>
        </mc:AlternateContent>
        <mc:AlternateContent xmlns:mc="http://schemas.openxmlformats.org/markup-compatibility/2006">
          <mc:Choice Requires="x14">
            <control shapeId="77845" r:id="rId24" name="Check Box 21">
              <controlPr defaultSize="0" autoFill="0" autoLine="0" autoPict="0" macro="[0]!CheckBox1_Click" altText="">
                <anchor>
                  <from>
                    <xdr:col>22</xdr:col>
                    <xdr:colOff>95250</xdr:colOff>
                    <xdr:row>61</xdr:row>
                    <xdr:rowOff>142875</xdr:rowOff>
                  </from>
                  <to>
                    <xdr:col>23</xdr:col>
                    <xdr:colOff>66675</xdr:colOff>
                    <xdr:row>63</xdr:row>
                    <xdr:rowOff>0</xdr:rowOff>
                  </to>
                </anchor>
              </controlPr>
            </control>
          </mc:Choice>
        </mc:AlternateContent>
        <mc:AlternateContent xmlns:mc="http://schemas.openxmlformats.org/markup-compatibility/2006">
          <mc:Choice Requires="x14">
            <control shapeId="77960" r:id="rId25" name="Check Box 136">
              <controlPr defaultSize="0" autoFill="0" autoLine="0" autoPict="0" macro="[0]!CheckBox1_Click" altText="">
                <anchor>
                  <from>
                    <xdr:col>22</xdr:col>
                    <xdr:colOff>95250</xdr:colOff>
                    <xdr:row>55</xdr:row>
                    <xdr:rowOff>142875</xdr:rowOff>
                  </from>
                  <to>
                    <xdr:col>23</xdr:col>
                    <xdr:colOff>66675</xdr:colOff>
                    <xdr:row>57</xdr:row>
                    <xdr:rowOff>0</xdr:rowOff>
                  </to>
                </anchor>
              </controlPr>
            </control>
          </mc:Choice>
        </mc:AlternateContent>
        <mc:AlternateContent xmlns:mc="http://schemas.openxmlformats.org/markup-compatibility/2006">
          <mc:Choice Requires="x14">
            <control shapeId="77961" r:id="rId26" name="Check Box 137">
              <controlPr defaultSize="0" autoFill="0" autoLine="0" autoPict="0" macro="[0]!CheckBox1_Click" altText="">
                <anchor>
                  <from>
                    <xdr:col>22</xdr:col>
                    <xdr:colOff>95250</xdr:colOff>
                    <xdr:row>56</xdr:row>
                    <xdr:rowOff>142875</xdr:rowOff>
                  </from>
                  <to>
                    <xdr:col>23</xdr:col>
                    <xdr:colOff>66675</xdr:colOff>
                    <xdr:row>58</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27CB406C-476E-4CB5-B524-AE69432348C7}">
            <x14:dataBar minLength="0" maxLength="100" gradient="0" negativeBarColorSameAsPositive="1">
              <x14:cfvo type="autoMin"/>
              <x14:cfvo type="autoMax"/>
              <x14:axisColor rgb="FF000000"/>
            </x14:dataBar>
          </x14:cfRule>
          <xm:sqref>Q11:Q33</xm:sqref>
        </x14:conditionalFormatting>
        <x14:conditionalFormatting xmlns:xm="http://schemas.microsoft.com/office/excel/2006/main">
          <x14:cfRule type="dataBar" id="{9E17CDCD-7183-4EA9-B71C-0B187214DC60}">
            <x14:dataBar minLength="0" maxLength="100" gradient="0" negativeBarColorSameAsPositive="1" axisPosition="middle">
              <x14:cfvo type="autoMin"/>
              <x14:cfvo type="autoMax"/>
              <x14:axisColor theme="0" tint="-0.499984740745262"/>
            </x14:dataBar>
          </x14:cfRule>
          <xm:sqref>J11:J33</xm:sqref>
        </x14:conditionalFormatting>
        <x14:conditionalFormatting xmlns:xm="http://schemas.microsoft.com/office/excel/2006/main">
          <x14:cfRule type="dataBar" id="{97710FE9-91BE-4C39-A8F2-055CC5E869D8}">
            <x14:dataBar minLength="0" maxLength="100" gradient="0" negativeBarColorSameAsPositive="1" axisPosition="middle">
              <x14:cfvo type="autoMin"/>
              <x14:cfvo type="autoMax"/>
              <x14:axisColor theme="0" tint="-0.499984740745262"/>
            </x14:dataBar>
          </x14:cfRule>
          <xm:sqref>J118:J140</xm:sqref>
        </x14:conditionalFormatting>
        <x14:conditionalFormatting xmlns:xm="http://schemas.microsoft.com/office/excel/2006/main">
          <x14:cfRule type="dataBar" id="{C09513AB-95FE-4A35-928B-84DA439DE910}">
            <x14:dataBar minLength="0" maxLength="100" gradient="0" negativeBarColorSameAsPositive="1">
              <x14:cfvo type="autoMin"/>
              <x14:cfvo type="autoMax"/>
              <x14:axisColor rgb="FF000000"/>
            </x14:dataBar>
          </x14:cfRule>
          <xm:sqref>Q118:Q140</xm:sqref>
        </x14:conditionalFormatting>
      </x14:conditionalFormatting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54">
    <tabColor rgb="FFFFC000"/>
  </sheetPr>
  <dimension ref="A1:BQ263"/>
  <sheetViews>
    <sheetView showRowColHeaders="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8" width="6.85546875" style="74" customWidth="1"/>
    <col min="9" max="9" width="7.42578125" style="74" customWidth="1"/>
    <col min="10" max="10" width="1.42578125" style="88" customWidth="1"/>
    <col min="11" max="15" width="6.85546875" style="74" customWidth="1"/>
    <col min="16" max="16" width="7.140625" style="74" customWidth="1"/>
    <col min="17" max="17" width="7.42578125" style="74" customWidth="1"/>
    <col min="18" max="18" width="1.42578125" style="74" customWidth="1"/>
    <col min="19" max="19" width="5.7109375" style="74" customWidth="1"/>
    <col min="20" max="20" width="8.28515625" style="74" customWidth="1"/>
    <col min="21" max="21" width="7.7109375" style="74" customWidth="1"/>
    <col min="22" max="22" width="2.140625" style="74" customWidth="1"/>
    <col min="23" max="23" width="6.42578125" style="80" customWidth="1"/>
    <col min="24" max="24" width="4.85546875" style="80" customWidth="1"/>
    <col min="25" max="25" width="17.85546875" style="81" hidden="1" customWidth="1"/>
    <col min="26" max="26" width="19.42578125" style="81" hidden="1" customWidth="1"/>
    <col min="27" max="27" width="19.85546875" style="81" hidden="1" customWidth="1"/>
    <col min="28" max="29" width="16.5703125" style="81" hidden="1" customWidth="1"/>
    <col min="30" max="30" width="8.5703125" style="81" hidden="1" customWidth="1"/>
    <col min="31" max="31" width="17" style="81" hidden="1" customWidth="1"/>
    <col min="32" max="32" width="8.5703125" style="81" hidden="1" customWidth="1"/>
    <col min="33" max="33" width="6.5703125" style="81" hidden="1" customWidth="1"/>
    <col min="34" max="34" width="17" style="81" hidden="1" customWidth="1"/>
    <col min="35" max="35" width="6.5703125" style="81" hidden="1" customWidth="1"/>
    <col min="36" max="36" width="6.5703125" style="74" hidden="1" customWidth="1"/>
    <col min="37" max="37" width="31.5703125" style="184" customWidth="1"/>
    <col min="38" max="38" width="17" style="74" hidden="1" customWidth="1"/>
    <col min="39" max="43" width="13.5703125" style="74" hidden="1" customWidth="1"/>
    <col min="44" max="51" width="9.140625" style="74" hidden="1" customWidth="1"/>
    <col min="52" max="69" width="9.140625" style="74" customWidth="1"/>
    <col min="70" max="16384" width="9.140625" style="74"/>
  </cols>
  <sheetData>
    <row r="1" spans="1:45" ht="18.75" customHeight="1" thickBot="1" x14ac:dyDescent="0.25">
      <c r="A1" s="112"/>
      <c r="B1" s="113"/>
      <c r="C1" s="113"/>
      <c r="D1" s="113"/>
      <c r="E1" s="113"/>
      <c r="F1" s="113"/>
      <c r="G1" s="113"/>
      <c r="H1" s="113"/>
      <c r="I1" s="113"/>
      <c r="J1" s="114"/>
      <c r="K1" s="113"/>
      <c r="L1" s="113"/>
      <c r="M1" s="113"/>
      <c r="N1" s="113"/>
      <c r="O1" s="113"/>
      <c r="P1" s="113"/>
      <c r="Q1" s="113"/>
      <c r="R1" s="113"/>
      <c r="S1" s="113"/>
      <c r="T1" s="113"/>
      <c r="U1" s="113"/>
      <c r="V1" s="115"/>
      <c r="W1" s="275"/>
      <c r="X1" s="155"/>
      <c r="Y1" s="180"/>
      <c r="Z1" s="939" t="str">
        <f>IF(Sheet1!$C$3="Annual"," the year ending 31st March"," the quarter")</f>
        <v xml:space="preserve"> the year ending 31st March</v>
      </c>
      <c r="AA1" s="180"/>
      <c r="AB1" s="180"/>
      <c r="AC1" s="180"/>
      <c r="AD1" s="180"/>
      <c r="AE1" s="180"/>
      <c r="AF1" s="180"/>
      <c r="AG1" s="180"/>
      <c r="AH1" s="180"/>
      <c r="AI1" s="180"/>
      <c r="AJ1" s="181"/>
      <c r="AK1" s="419"/>
    </row>
    <row r="2" spans="1:45" ht="18.75" customHeight="1" x14ac:dyDescent="0.2">
      <c r="A2" s="118"/>
      <c r="B2" s="128" t="s">
        <v>673</v>
      </c>
      <c r="C2" s="9"/>
      <c r="D2" s="9"/>
      <c r="E2" s="9"/>
      <c r="F2" s="9"/>
      <c r="G2" s="9"/>
      <c r="H2" s="9"/>
      <c r="I2" s="9"/>
      <c r="J2" s="12"/>
      <c r="K2" s="9"/>
      <c r="L2" s="9"/>
      <c r="M2" s="9"/>
      <c r="N2" s="9"/>
      <c r="O2" s="9"/>
      <c r="P2" s="9"/>
      <c r="Q2" s="9"/>
      <c r="R2" s="9"/>
      <c r="S2" s="9"/>
      <c r="T2" s="9"/>
      <c r="U2" s="9"/>
      <c r="V2" s="117"/>
      <c r="W2" s="161"/>
      <c r="X2" s="150"/>
      <c r="Y2" s="866">
        <f>IF(Sheet1!$C$3="Annual",1,4)</f>
        <v>1</v>
      </c>
      <c r="Z2" s="800" t="str">
        <f>IF(Sheet1!$C$3="Annual","",Sheet1!$D$28)</f>
        <v/>
      </c>
      <c r="AA2" s="801" t="str">
        <f>IF(Sheet1!$C$3="Annual","",Sheet1!$E$28)</f>
        <v/>
      </c>
      <c r="AB2" s="801" t="str">
        <f>IF(Sheet1!$C$3="Annual","",Sheet1!$F$28)</f>
        <v/>
      </c>
      <c r="AC2" s="801" t="str">
        <f>IF(Sheet1!$C$3="Annual","",Sheet1!$G$28)</f>
        <v/>
      </c>
      <c r="AD2" s="802" t="str">
        <f>IF(Sheet1!$C$3="Annual","",Sheet1!$H$28)</f>
        <v/>
      </c>
      <c r="AJ2" s="184"/>
      <c r="AK2" s="157"/>
    </row>
    <row r="3" spans="1:45" ht="18.75" customHeight="1" thickBot="1" x14ac:dyDescent="0.25">
      <c r="A3" s="124"/>
      <c r="B3" s="125"/>
      <c r="C3" s="125"/>
      <c r="D3" s="125"/>
      <c r="E3" s="125"/>
      <c r="F3" s="125"/>
      <c r="G3" s="125"/>
      <c r="H3" s="125"/>
      <c r="I3" s="267"/>
      <c r="J3" s="126"/>
      <c r="K3" s="125"/>
      <c r="L3" s="125"/>
      <c r="M3" s="125"/>
      <c r="N3" s="125"/>
      <c r="O3" s="125"/>
      <c r="P3" s="553"/>
      <c r="Q3" s="125"/>
      <c r="R3" s="125"/>
      <c r="S3" s="125"/>
      <c r="T3" s="267"/>
      <c r="U3" s="125"/>
      <c r="V3" s="127"/>
      <c r="W3" s="161"/>
      <c r="X3" s="150"/>
      <c r="Y3" s="803"/>
      <c r="Z3" s="803" t="str">
        <f>Sheet1!$D$27</f>
        <v>2015-16</v>
      </c>
      <c r="AA3" s="804" t="str">
        <f>Sheet1!$E$27</f>
        <v>2016-17</v>
      </c>
      <c r="AB3" s="804" t="str">
        <f>Sheet1!$F$27</f>
        <v>2017-18</v>
      </c>
      <c r="AC3" s="804" t="str">
        <f>Sheet1!$G$27</f>
        <v>2018-19</v>
      </c>
      <c r="AD3" s="805" t="str">
        <f>Sheet1!$H$27</f>
        <v>2019-20</v>
      </c>
      <c r="AJ3" s="184"/>
      <c r="AK3" s="157"/>
    </row>
    <row r="4" spans="1:45" ht="11.25" customHeight="1" x14ac:dyDescent="0.2">
      <c r="A4" s="112"/>
      <c r="B4" s="113"/>
      <c r="C4" s="113"/>
      <c r="D4" s="113"/>
      <c r="E4" s="113"/>
      <c r="F4" s="113"/>
      <c r="G4" s="113"/>
      <c r="H4" s="113"/>
      <c r="I4" s="113"/>
      <c r="J4" s="114"/>
      <c r="K4" s="113"/>
      <c r="L4" s="113"/>
      <c r="M4" s="113"/>
      <c r="N4" s="113"/>
      <c r="O4" s="113"/>
      <c r="P4" s="113"/>
      <c r="Q4" s="113"/>
      <c r="R4" s="113"/>
      <c r="S4" s="113"/>
      <c r="T4" s="113"/>
      <c r="U4" s="113"/>
      <c r="V4" s="115"/>
      <c r="W4" s="137"/>
      <c r="X4" s="150"/>
      <c r="Y4" s="186"/>
      <c r="Z4" s="186" t="str">
        <f>Home!$D$10</f>
        <v>(none)</v>
      </c>
      <c r="AA4" s="42" t="str">
        <f>"Selected LA- "&amp;Z4</f>
        <v>Selected LA- (none)</v>
      </c>
      <c r="AJ4" s="184"/>
      <c r="AK4" s="157"/>
      <c r="AM4" s="76"/>
      <c r="AN4" s="76"/>
      <c r="AO4" s="76"/>
      <c r="AP4" s="76"/>
    </row>
    <row r="5" spans="1:45" s="76" customFormat="1" ht="15" customHeight="1" x14ac:dyDescent="0.2">
      <c r="A5" s="119"/>
      <c r="B5" s="1746" t="s">
        <v>674</v>
      </c>
      <c r="C5" s="1746"/>
      <c r="D5" s="1746"/>
      <c r="E5" s="1746"/>
      <c r="F5" s="1746"/>
      <c r="G5" s="1746"/>
      <c r="H5" s="1746"/>
      <c r="I5" s="1746"/>
      <c r="J5" s="1746"/>
      <c r="K5" s="1746"/>
      <c r="L5" s="1746"/>
      <c r="M5" s="1746"/>
      <c r="N5" s="1746"/>
      <c r="O5" s="1746"/>
      <c r="P5" s="1746"/>
      <c r="Q5" s="1746"/>
      <c r="R5" s="1746"/>
      <c r="S5" s="1746"/>
      <c r="T5" s="1746"/>
      <c r="U5" s="1746"/>
      <c r="V5" s="120"/>
      <c r="W5" s="138"/>
      <c r="X5" s="151"/>
      <c r="Y5" s="188"/>
      <c r="Z5" s="188"/>
      <c r="AA5" s="188"/>
      <c r="AB5" s="188"/>
      <c r="AC5" s="188"/>
      <c r="AD5" s="188"/>
      <c r="AE5" s="188"/>
      <c r="AF5" s="188"/>
      <c r="AG5" s="188"/>
      <c r="AH5" s="188"/>
      <c r="AI5" s="188"/>
      <c r="AJ5" s="188"/>
      <c r="AK5" s="158"/>
      <c r="AL5" s="74"/>
      <c r="AM5" s="74"/>
      <c r="AN5" s="74"/>
      <c r="AO5" s="74"/>
      <c r="AP5" s="74"/>
    </row>
    <row r="6" spans="1:45" ht="13.5" customHeight="1" x14ac:dyDescent="0.2">
      <c r="A6" s="118"/>
      <c r="B6" s="1746"/>
      <c r="C6" s="1746"/>
      <c r="D6" s="1746"/>
      <c r="E6" s="1746"/>
      <c r="F6" s="1746"/>
      <c r="G6" s="1746"/>
      <c r="H6" s="1746"/>
      <c r="I6" s="1746"/>
      <c r="J6" s="1746"/>
      <c r="K6" s="1746"/>
      <c r="L6" s="1746"/>
      <c r="M6" s="1746"/>
      <c r="N6" s="1746"/>
      <c r="O6" s="1746"/>
      <c r="P6" s="1746"/>
      <c r="Q6" s="1746"/>
      <c r="R6" s="1746"/>
      <c r="S6" s="1746"/>
      <c r="T6" s="1746"/>
      <c r="U6" s="1746"/>
      <c r="V6" s="117"/>
      <c r="W6" s="137"/>
      <c r="X6" s="150"/>
      <c r="Z6" s="190"/>
      <c r="AJ6" s="184"/>
      <c r="AK6" s="157"/>
    </row>
    <row r="7" spans="1:45" s="87" customFormat="1" ht="12.75" customHeight="1" x14ac:dyDescent="0.2">
      <c r="A7" s="121"/>
      <c r="B7" s="1789" t="s">
        <v>205</v>
      </c>
      <c r="C7" s="85"/>
      <c r="D7" s="1851" t="s">
        <v>88</v>
      </c>
      <c r="E7" s="1911"/>
      <c r="F7" s="1911"/>
      <c r="G7" s="1911"/>
      <c r="H7" s="1912"/>
      <c r="I7" s="1811" t="str">
        <f>"Average "&amp;Sheet1!C3&amp;" Change "</f>
        <v xml:space="preserve">Average Annual Change </v>
      </c>
      <c r="J7" s="96"/>
      <c r="K7" s="1913" t="s">
        <v>760</v>
      </c>
      <c r="L7" s="1914"/>
      <c r="M7" s="1914"/>
      <c r="N7" s="1914"/>
      <c r="O7" s="1914"/>
      <c r="P7" s="1914"/>
      <c r="Q7" s="1744" t="str">
        <f>IF(ISNA(O9),"SE Rank "&amp;O8,"SE Rank "&amp;O9)</f>
        <v>SE Rank 2019-20</v>
      </c>
      <c r="R7" s="70"/>
      <c r="S7" s="1817" t="str">
        <f>"Distance from Expected "&amp;Sheet1!$B$8</f>
        <v>Distance from Expected 2020</v>
      </c>
      <c r="T7" s="1818"/>
      <c r="U7" s="1819"/>
      <c r="V7" s="122"/>
      <c r="W7" s="139"/>
      <c r="X7" s="152"/>
      <c r="Y7" s="202"/>
      <c r="Z7" s="1988" t="s">
        <v>767</v>
      </c>
      <c r="AA7" s="1989"/>
      <c r="AB7" s="1983" t="s">
        <v>79</v>
      </c>
      <c r="AC7" s="1984"/>
      <c r="AD7" s="1984"/>
      <c r="AE7" s="1984"/>
      <c r="AF7" s="1985"/>
      <c r="AH7" s="204" t="s">
        <v>94</v>
      </c>
      <c r="AI7" s="190"/>
      <c r="AJ7" s="190"/>
      <c r="AK7" s="160"/>
    </row>
    <row r="8" spans="1:45" s="87" customFormat="1" ht="12.75" customHeight="1" x14ac:dyDescent="0.2">
      <c r="A8" s="292"/>
      <c r="B8" s="1789"/>
      <c r="C8" s="85"/>
      <c r="D8" s="789" t="str">
        <f>Sheet1!$D$27</f>
        <v>2015-16</v>
      </c>
      <c r="E8" s="790" t="str">
        <f>Sheet1!$E$27</f>
        <v>2016-17</v>
      </c>
      <c r="F8" s="790" t="str">
        <f>Sheet1!$F$27</f>
        <v>2017-18</v>
      </c>
      <c r="G8" s="790" t="str">
        <f>Sheet1!$G$27</f>
        <v>2018-19</v>
      </c>
      <c r="H8" s="791" t="str">
        <f>Sheet1!$H$27</f>
        <v>2019-20</v>
      </c>
      <c r="I8" s="1812"/>
      <c r="J8" s="96"/>
      <c r="K8" s="820" t="str">
        <f>Sheet1!$D$27</f>
        <v>2015-16</v>
      </c>
      <c r="L8" s="821" t="str">
        <f>Sheet1!$E$27</f>
        <v>2016-17</v>
      </c>
      <c r="M8" s="821" t="str">
        <f>Sheet1!$F$27</f>
        <v>2017-18</v>
      </c>
      <c r="N8" s="821" t="str">
        <f>Sheet1!$G$27</f>
        <v>2018-19</v>
      </c>
      <c r="O8" s="1741" t="str">
        <f>Sheet1!$H$27</f>
        <v>2019-20</v>
      </c>
      <c r="P8" s="1742"/>
      <c r="Q8" s="1816"/>
      <c r="R8" s="70"/>
      <c r="S8" s="1820"/>
      <c r="T8" s="1821"/>
      <c r="U8" s="1822"/>
      <c r="V8" s="122"/>
      <c r="W8" s="139"/>
      <c r="X8" s="152"/>
      <c r="Y8" s="202"/>
      <c r="Z8" s="1987" t="s">
        <v>76</v>
      </c>
      <c r="AA8" s="1986" t="s">
        <v>77</v>
      </c>
      <c r="AB8" s="1107" t="str">
        <f>IF(Sheet1!$C$3="Annual","",Sheet1!$D$28)</f>
        <v/>
      </c>
      <c r="AC8" s="212" t="str">
        <f>IF(Sheet1!$C$3="Annual","",Sheet1!$E$28)</f>
        <v/>
      </c>
      <c r="AD8" s="212" t="str">
        <f>IF(Sheet1!$C$3="Annual","",Sheet1!$F$28)</f>
        <v/>
      </c>
      <c r="AE8" s="212" t="str">
        <f>IF(Sheet1!$C$3="Annual","",Sheet1!$G$28)</f>
        <v/>
      </c>
      <c r="AF8" s="1108" t="str">
        <f>IF(Sheet1!$C$3="Annual","",Sheet1!$H$28)</f>
        <v/>
      </c>
      <c r="AH8" s="204"/>
      <c r="AI8" s="190"/>
      <c r="AJ8" s="190"/>
      <c r="AK8" s="160"/>
      <c r="AL8" s="188" t="str">
        <f>CONCATENATE($I$7," "&amp;$B5)</f>
        <v>Average Annual Change  Number of New EHC Plans Issued in period</v>
      </c>
    </row>
    <row r="9" spans="1:45" s="87" customFormat="1" ht="12.75" customHeight="1" x14ac:dyDescent="0.2">
      <c r="A9" s="121"/>
      <c r="B9" s="1790"/>
      <c r="C9" s="85"/>
      <c r="D9" s="792" t="e">
        <f>Sheet1!$D$28</f>
        <v>#N/A</v>
      </c>
      <c r="E9" s="792" t="e">
        <f>Sheet1!$E$28</f>
        <v>#N/A</v>
      </c>
      <c r="F9" s="792" t="e">
        <f>Sheet1!$F$28</f>
        <v>#N/A</v>
      </c>
      <c r="G9" s="792" t="e">
        <f>Sheet1!$G$28</f>
        <v>#N/A</v>
      </c>
      <c r="H9" s="793" t="e">
        <f>Sheet1!$H$28</f>
        <v>#N/A</v>
      </c>
      <c r="I9" s="1813"/>
      <c r="J9" s="96"/>
      <c r="K9" s="792" t="e">
        <f>Sheet1!$D$28</f>
        <v>#N/A</v>
      </c>
      <c r="L9" s="792" t="e">
        <f>Sheet1!$E$28</f>
        <v>#N/A</v>
      </c>
      <c r="M9" s="792" t="e">
        <f>Sheet1!$F$28</f>
        <v>#N/A</v>
      </c>
      <c r="N9" s="792" t="e">
        <f>Sheet1!$G$28</f>
        <v>#N/A</v>
      </c>
      <c r="O9" s="1739" t="e">
        <f>Sheet1!$H$28</f>
        <v>#N/A</v>
      </c>
      <c r="P9" s="1827"/>
      <c r="Q9" s="1745"/>
      <c r="R9" s="70"/>
      <c r="S9" s="1030" t="s">
        <v>78</v>
      </c>
      <c r="T9" s="856" t="s">
        <v>128</v>
      </c>
      <c r="U9" s="857" t="s">
        <v>129</v>
      </c>
      <c r="V9" s="122"/>
      <c r="W9" s="139"/>
      <c r="X9" s="152"/>
      <c r="Y9" s="202"/>
      <c r="Z9" s="1987"/>
      <c r="AA9" s="1986"/>
      <c r="AB9" s="1107" t="str">
        <f>Sheet1!$D$27</f>
        <v>2015-16</v>
      </c>
      <c r="AC9" s="212" t="str">
        <f>Sheet1!$E$27</f>
        <v>2016-17</v>
      </c>
      <c r="AD9" s="212" t="str">
        <f>Sheet1!$F$27</f>
        <v>2017-18</v>
      </c>
      <c r="AE9" s="212" t="str">
        <f>Sheet1!$G$27</f>
        <v>2018-19</v>
      </c>
      <c r="AF9" s="1108" t="str">
        <f>Sheet1!$H$27</f>
        <v>2019-20</v>
      </c>
      <c r="AH9" s="190"/>
      <c r="AI9" s="206">
        <v>14</v>
      </c>
      <c r="AJ9" s="190"/>
      <c r="AK9" s="160"/>
      <c r="AL9" s="1039" t="s">
        <v>676</v>
      </c>
      <c r="AM9" s="1039" t="s">
        <v>677</v>
      </c>
      <c r="AN9" s="1039" t="s">
        <v>678</v>
      </c>
      <c r="AO9" s="1039" t="s">
        <v>679</v>
      </c>
      <c r="AP9" s="1039" t="s">
        <v>680</v>
      </c>
    </row>
    <row r="10" spans="1:45" s="87" customFormat="1" ht="13.5" customHeight="1" x14ac:dyDescent="0.2">
      <c r="A10" s="488">
        <f>VLOOKUP(B10,Sheet1!$AQ$4:$AR$25,2,FALSE)</f>
        <v>0</v>
      </c>
      <c r="B10" s="93" t="str">
        <f>Sheet1!$K$4</f>
        <v>Bracknell Forest</v>
      </c>
      <c r="C10" s="85"/>
      <c r="D10" s="100" t="str">
        <f>IF(Year1_Bracknell_Forest Year1_Number_EHC_Plans="","",Year1_Bracknell_Forest Year1_Number_EHC_Plans)</f>
        <v/>
      </c>
      <c r="E10" s="100" t="str">
        <f>IF(Year2_Bracknell_Forest Year2_Number_EHC_Plans="","",Year2_Bracknell_Forest Year2_Number_EHC_Plans)</f>
        <v/>
      </c>
      <c r="F10" s="100" t="str">
        <f>IF(Year3_Bracknell_Forest Year3_Number_EHC_Plans="","",Year3_Bracknell_Forest Year3_Number_EHC_Plans)</f>
        <v/>
      </c>
      <c r="G10" s="100">
        <f>IF(Year4_Bracknell_Forest Year4_Number_EHC_Plans="","",Year4_Bracknell_Forest Year4_Number_EHC_Plans)</f>
        <v>148</v>
      </c>
      <c r="H10" s="589">
        <f>IF(Year5_Bracknell_Forest Year5_Number_EHC_Plans="","",Year5_Bracknell_Forest Year5_Number_EHC_Plans)</f>
        <v>175</v>
      </c>
      <c r="I10" s="344">
        <f>AP10</f>
        <v>0.18243243243243243</v>
      </c>
      <c r="J10" s="96"/>
      <c r="K10" s="97" t="e">
        <f>IF(ISNUMBER(D10),D10/Population!J10*10000,NA())</f>
        <v>#N/A</v>
      </c>
      <c r="L10" s="97" t="e">
        <f>IF(ISNUMBER(E10),E10/Population!K10*10000,NA())</f>
        <v>#N/A</v>
      </c>
      <c r="M10" s="97" t="e">
        <f>IF(ISNUMBER(F10),F10/Population!L10*10000,NA())</f>
        <v>#N/A</v>
      </c>
      <c r="N10" s="97">
        <f>IF(ISNUMBER(G10),G10/Population!M10*10000,NA())</f>
        <v>38.242894056847547</v>
      </c>
      <c r="O10" s="98">
        <f>IF(ISNUMBER(H10),H10/Population!N10*10000,NA())</f>
        <v>45.103092783505147</v>
      </c>
      <c r="P10" s="99">
        <f>IF(ISNUMBER(O10),O10,"")</f>
        <v>45.103092783505147</v>
      </c>
      <c r="Q10" s="934">
        <f t="shared" ref="Q10:Q33" si="0">IF(ISNA(VLOOKUP(B10,$AH$10:$AJ$28,3,FALSE)),"--",IF(ISNUMBER(H10),VLOOKUP(B10,$AH$10:$AJ$28,3,FALSE),NA()))</f>
        <v>19</v>
      </c>
      <c r="R10" s="70"/>
      <c r="S10" s="340">
        <f>IDACI!C9</f>
        <v>8.9</v>
      </c>
      <c r="T10" s="341">
        <f t="shared" ref="T10:T31" si="1">(S10*$Z$44)+$AA$44/$Y$2</f>
        <v>20.538973199519596</v>
      </c>
      <c r="U10" s="342">
        <f>O10-T10</f>
        <v>24.564119583985551</v>
      </c>
      <c r="V10" s="122"/>
      <c r="W10" s="139"/>
      <c r="X10" s="152"/>
      <c r="Y10" s="1099" t="str">
        <f t="shared" ref="Y10:Y32" si="2">B10</f>
        <v>Bracknell Forest</v>
      </c>
      <c r="Z10" s="1097">
        <f>IF(ISNUMBER(H10),IDACI!D9,0)</f>
        <v>24849</v>
      </c>
      <c r="AA10" s="1098">
        <f>IF(ISNUMBER(H10),IDACI!E9,0)</f>
        <v>2211.5610000000001</v>
      </c>
      <c r="AB10" s="1105" t="str">
        <f>IF(ISNUMBER(D10),Population!D10,"")</f>
        <v/>
      </c>
      <c r="AC10" s="1105" t="str">
        <f>IF(ISNUMBER(E10),Population!E10,"")</f>
        <v/>
      </c>
      <c r="AD10" s="1105" t="str">
        <f>IF(ISNUMBER(F10),Population!F10,"")</f>
        <v/>
      </c>
      <c r="AE10" s="1105">
        <f>IF(ISNUMBER(G10),Population!G10,"")</f>
        <v>28300</v>
      </c>
      <c r="AF10" s="1105">
        <f>IF(ISNUMBER(H10),Population!H10,"")</f>
        <v>28400</v>
      </c>
      <c r="AH10" s="962" t="str">
        <f>B10</f>
        <v>Bracknell Forest</v>
      </c>
      <c r="AI10" s="1041">
        <f>IFERROR(VLOOKUP(AH10,$B$10:$O$31,AI$9,FALSE),"")</f>
        <v>45.103092783505147</v>
      </c>
      <c r="AJ10" s="206">
        <f t="shared" ref="AJ10:AJ28" si="3">RANK(AI10,$AI$10:$AI$28,1)</f>
        <v>19</v>
      </c>
      <c r="AK10" s="160"/>
      <c r="AL10" s="853" t="str">
        <f>IF(ISERROR((E10-D10)/D10),"x",(E10-D10)/D10)</f>
        <v>x</v>
      </c>
      <c r="AM10" s="853" t="str">
        <f t="shared" ref="AM10:AO10" si="4">IF(ISERROR((F10-E10)/E10),"x",(F10-E10)/E10)</f>
        <v>x</v>
      </c>
      <c r="AN10" s="853" t="str">
        <f t="shared" si="4"/>
        <v>x</v>
      </c>
      <c r="AO10" s="853">
        <f t="shared" si="4"/>
        <v>0.18243243243243243</v>
      </c>
      <c r="AP10" s="853">
        <f>AVERAGE(AL10:AO10)</f>
        <v>0.18243243243243243</v>
      </c>
    </row>
    <row r="11" spans="1:45" s="87" customFormat="1" ht="13.5" customHeight="1" x14ac:dyDescent="0.2">
      <c r="A11" s="488">
        <f>VLOOKUP(B11,Sheet1!$AQ$4:$AR$25,2,FALSE)</f>
        <v>0</v>
      </c>
      <c r="B11" s="93" t="str">
        <f>Sheet1!$K$5</f>
        <v>Brighton &amp; Hove</v>
      </c>
      <c r="C11" s="85"/>
      <c r="D11" s="100" t="str">
        <f>IF(Year1_Brighton_Hove Year1_Number_EHC_Plans="","",Year1_Brighton_Hove Year1_Number_EHC_Plans)</f>
        <v/>
      </c>
      <c r="E11" s="100" t="str">
        <f>IF(Year2_Brighton_Hove Year2_Number_EHC_Plans="","",Year2_Brighton_Hove Year2_Number_EHC_Plans)</f>
        <v/>
      </c>
      <c r="F11" s="100" t="str">
        <f>IF(Year3_Brighton_Hove Year3_Number_EHC_Plans="","",Year3_Brighton_Hove Year3_Number_EHC_Plans)</f>
        <v/>
      </c>
      <c r="G11" s="100">
        <f>IF(Year4_Brighton_Hove Year4_Number_EHC_Plans="","",Year4_Brighton_Hove Year4_Number_EHC_Plans)</f>
        <v>245</v>
      </c>
      <c r="H11" s="589">
        <f>IF(Year5_Brighton_Hove Year5_Number_EHC_Plans="","",Year5_Brighton_Hove Year5_Number_EHC_Plans)</f>
        <v>241</v>
      </c>
      <c r="I11" s="344">
        <f t="shared" ref="I11:I33" si="5">AP11</f>
        <v>-1.6326530612244899E-2</v>
      </c>
      <c r="J11" s="96"/>
      <c r="K11" s="97" t="e">
        <f>IF(ISNUMBER(D11),D11/Population!J11*10000,NA())</f>
        <v>#N/A</v>
      </c>
      <c r="L11" s="97" t="e">
        <f>IF(ISNUMBER(E11),E11/Population!K11*10000,NA())</f>
        <v>#N/A</v>
      </c>
      <c r="M11" s="97" t="e">
        <f>IF(ISNUMBER(F11),F11/Population!L11*10000,NA())</f>
        <v>#N/A</v>
      </c>
      <c r="N11" s="97">
        <f>IF(ISNUMBER(G11),G11/Population!M11*10000,NA())</f>
        <v>24.573721163490472</v>
      </c>
      <c r="O11" s="98">
        <f>IF(ISNUMBER(H11),H11/Population!N11*10000,NA())</f>
        <v>24.221105527638191</v>
      </c>
      <c r="P11" s="99">
        <f t="shared" ref="P11:P33" si="6">IF(ISNUMBER(O11),O11,"")</f>
        <v>24.221105527638191</v>
      </c>
      <c r="Q11" s="934">
        <f t="shared" si="0"/>
        <v>2</v>
      </c>
      <c r="R11" s="70"/>
      <c r="S11" s="340">
        <f>IDACI!C10</f>
        <v>15.299999999999999</v>
      </c>
      <c r="T11" s="341">
        <f t="shared" si="1"/>
        <v>21.067893655459677</v>
      </c>
      <c r="U11" s="342">
        <f>O11-T11</f>
        <v>3.1532118721785132</v>
      </c>
      <c r="V11" s="122"/>
      <c r="W11" s="139"/>
      <c r="X11" s="152"/>
      <c r="Y11" s="1099" t="str">
        <f t="shared" si="2"/>
        <v>Brighton &amp; Hove</v>
      </c>
      <c r="Z11" s="1097">
        <f>IF(ISNUMBER(H11),IDACI!D10,0)</f>
        <v>45576</v>
      </c>
      <c r="AA11" s="1098">
        <f>IF(ISNUMBER(H11),IDACI!E10,0)</f>
        <v>6973.1279999999997</v>
      </c>
      <c r="AB11" s="1105" t="str">
        <f>IF(ISNUMBER(D11),Population!D11,"")</f>
        <v/>
      </c>
      <c r="AC11" s="1105" t="str">
        <f>IF(ISNUMBER(E11),Population!E11,"")</f>
        <v/>
      </c>
      <c r="AD11" s="1105" t="str">
        <f>IF(ISNUMBER(F11),Population!F11,"")</f>
        <v/>
      </c>
      <c r="AE11" s="1105">
        <f>IF(ISNUMBER(G11),Population!G11,"")</f>
        <v>51000</v>
      </c>
      <c r="AF11" s="1105">
        <f>IF(ISNUMBER(H11),Population!H11,"")</f>
        <v>50300</v>
      </c>
      <c r="AH11" s="962" t="s">
        <v>31</v>
      </c>
      <c r="AI11" s="1041">
        <f t="shared" ref="AI11:AI28" si="7">IFERROR(VLOOKUP(AH11,$B$10:$O$31,AI$9,FALSE),"")</f>
        <v>24.221105527638191</v>
      </c>
      <c r="AJ11" s="206">
        <f t="shared" si="3"/>
        <v>2</v>
      </c>
      <c r="AK11" s="160"/>
      <c r="AL11" s="853" t="str">
        <f t="shared" ref="AL11:AL33" si="8">IF(ISERROR((E11-D11)/D11),"x",(E11-D11)/D11)</f>
        <v>x</v>
      </c>
      <c r="AM11" s="853" t="str">
        <f t="shared" ref="AM11:AM33" si="9">IF(ISERROR((F11-E11)/E11),"x",(F11-E11)/E11)</f>
        <v>x</v>
      </c>
      <c r="AN11" s="853" t="str">
        <f t="shared" ref="AN11:AN33" si="10">IF(ISERROR((G11-F11)/F11),"x",(G11-F11)/F11)</f>
        <v>x</v>
      </c>
      <c r="AO11" s="853">
        <f t="shared" ref="AO11:AO33" si="11">IF(ISERROR((H11-G11)/G11),"x",(H11-G11)/G11)</f>
        <v>-1.6326530612244899E-2</v>
      </c>
      <c r="AP11" s="853">
        <f t="shared" ref="AP11:AP33" si="12">AVERAGE(AL11:AO11)</f>
        <v>-1.6326530612244899E-2</v>
      </c>
    </row>
    <row r="12" spans="1:45" s="87" customFormat="1" ht="13.5" customHeight="1" x14ac:dyDescent="0.2">
      <c r="A12" s="488">
        <f>VLOOKUP(B12,Sheet1!$AQ$4:$AR$25,2,FALSE)</f>
        <v>0</v>
      </c>
      <c r="B12" s="93" t="str">
        <f>Sheet1!$K$6</f>
        <v>Buckinghamshire</v>
      </c>
      <c r="C12" s="85"/>
      <c r="D12" s="100" t="str">
        <f>IF(Year1_Buckinghamshire Year1_Number_EHC_Plans="","",Year1_Buckinghamshire Year1_Number_EHC_Plans)</f>
        <v/>
      </c>
      <c r="E12" s="100" t="str">
        <f>IF(Year2_Buckinghamshire Year2_Number_EHC_Plans="","",Year2_Buckinghamshire Year2_Number_EHC_Plans)</f>
        <v/>
      </c>
      <c r="F12" s="100" t="str">
        <f>IF(Year3_Buckinghamshire Year3_Number_EHC_Plans="","",Year3_Buckinghamshire Year3_Number_EHC_Plans)</f>
        <v/>
      </c>
      <c r="G12" s="100">
        <f>IF(Year4_Buckinghamshire Year4_Number_EHC_Plans="","",Year4_Buckinghamshire Year4_Number_EHC_Plans)</f>
        <v>625</v>
      </c>
      <c r="H12" s="589">
        <f>IF(Year5_Buckinghamshire Year5_Number_EHC_Plans="","",Year5_Buckinghamshire Year5_Number_EHC_Plans)</f>
        <v>673</v>
      </c>
      <c r="I12" s="344">
        <f t="shared" si="5"/>
        <v>7.6799999999999993E-2</v>
      </c>
      <c r="J12" s="96"/>
      <c r="K12" s="97" t="e">
        <f>IF(ISNUMBER(D12),D12/Population!J12*10000,NA())</f>
        <v>#N/A</v>
      </c>
      <c r="L12" s="97" t="e">
        <f>IF(ISNUMBER(E12),E12/Population!K12*10000,NA())</f>
        <v>#N/A</v>
      </c>
      <c r="M12" s="97" t="e">
        <f>IF(ISNUMBER(F12),F12/Population!L12*10000,NA())</f>
        <v>#N/A</v>
      </c>
      <c r="N12" s="97">
        <f>IF(ISNUMBER(G12),G12/Population!M12*10000,NA())</f>
        <v>37.605294825511429</v>
      </c>
      <c r="O12" s="98">
        <f>IF(ISNUMBER(H12),H12/Population!N12*10000,NA())</f>
        <v>40.323547034152185</v>
      </c>
      <c r="P12" s="99">
        <f t="shared" si="6"/>
        <v>40.323547034152185</v>
      </c>
      <c r="Q12" s="934">
        <f t="shared" si="0"/>
        <v>16</v>
      </c>
      <c r="R12" s="70"/>
      <c r="S12" s="340">
        <f>IDACI!C11</f>
        <v>8.5</v>
      </c>
      <c r="T12" s="341">
        <f t="shared" si="1"/>
        <v>20.505915671023342</v>
      </c>
      <c r="U12" s="342">
        <f t="shared" ref="U12:U30" si="13">O12-T12</f>
        <v>19.817631363128843</v>
      </c>
      <c r="V12" s="122"/>
      <c r="W12" s="139"/>
      <c r="X12" s="152"/>
      <c r="Y12" s="1099" t="str">
        <f t="shared" si="2"/>
        <v>Buckinghamshire</v>
      </c>
      <c r="Z12" s="1097">
        <f>IF(ISNUMBER(H12),IDACI!D11,0)</f>
        <v>107385</v>
      </c>
      <c r="AA12" s="1098">
        <f>IF(ISNUMBER(H12),IDACI!E11,0)</f>
        <v>9127.7250000000004</v>
      </c>
      <c r="AB12" s="1105" t="str">
        <f>IF(ISNUMBER(D12),Population!D12,"")</f>
        <v/>
      </c>
      <c r="AC12" s="1105" t="str">
        <f>IF(ISNUMBER(E12),Population!E12,"")</f>
        <v/>
      </c>
      <c r="AD12" s="1105" t="str">
        <f>IF(ISNUMBER(F12),Population!F12,"")</f>
        <v/>
      </c>
      <c r="AE12" s="1105">
        <f>IF(ISNUMBER(G12),Population!G12,"")</f>
        <v>124300</v>
      </c>
      <c r="AF12" s="1105">
        <f>IF(ISNUMBER(H12),Population!H12,"")</f>
        <v>125700</v>
      </c>
      <c r="AH12" s="962" t="s">
        <v>8</v>
      </c>
      <c r="AI12" s="1041">
        <f t="shared" si="7"/>
        <v>40.323547034152185</v>
      </c>
      <c r="AJ12" s="206">
        <f t="shared" si="3"/>
        <v>16</v>
      </c>
      <c r="AK12" s="160"/>
      <c r="AL12" s="853" t="str">
        <f t="shared" si="8"/>
        <v>x</v>
      </c>
      <c r="AM12" s="853" t="str">
        <f t="shared" si="9"/>
        <v>x</v>
      </c>
      <c r="AN12" s="853" t="str">
        <f t="shared" si="10"/>
        <v>x</v>
      </c>
      <c r="AO12" s="853">
        <f t="shared" si="11"/>
        <v>7.6799999999999993E-2</v>
      </c>
      <c r="AP12" s="853">
        <f t="shared" si="12"/>
        <v>7.6799999999999993E-2</v>
      </c>
    </row>
    <row r="13" spans="1:45" s="87" customFormat="1" ht="13.5" customHeight="1" x14ac:dyDescent="0.2">
      <c r="A13" s="488">
        <f>VLOOKUP(B13,Sheet1!$AQ$4:$AR$25,2,FALSE)</f>
        <v>0</v>
      </c>
      <c r="B13" s="93" t="str">
        <f>Sheet1!$K$7</f>
        <v>East Sussex</v>
      </c>
      <c r="C13" s="85"/>
      <c r="D13" s="100" t="str">
        <f>IF(Year1_East_Sussex Year1_Number_EHC_Plans="","",Year1_East_Sussex Year1_Number_EHC_Plans)</f>
        <v/>
      </c>
      <c r="E13" s="100" t="str">
        <f>IF(Year2_East_Sussex Year2_Number_EHC_Plans="","",Year2_East_Sussex Year2_Number_EHC_Plans)</f>
        <v/>
      </c>
      <c r="F13" s="100" t="str">
        <f>IF(Year3_East_Sussex Year3_Number_EHC_Plans="","",Year3_East_Sussex Year3_Number_EHC_Plans)</f>
        <v/>
      </c>
      <c r="G13" s="100">
        <f>IF(Year4_East_Sussex Year4_Number_EHC_Plans="","",Year4_East_Sussex Year4_Number_EHC_Plans)</f>
        <v>331</v>
      </c>
      <c r="H13" s="589">
        <f>IF(Year5_East_Sussex Year5_Number_EHC_Plans="","",Year5_East_Sussex Year5_Number_EHC_Plans)</f>
        <v>296</v>
      </c>
      <c r="I13" s="344">
        <f t="shared" si="5"/>
        <v>-0.10574018126888217</v>
      </c>
      <c r="J13" s="96"/>
      <c r="K13" s="97" t="e">
        <f>IF(ISNUMBER(D13),D13/Population!J13*10000,NA())</f>
        <v>#N/A</v>
      </c>
      <c r="L13" s="97" t="e">
        <f>IF(ISNUMBER(E13),E13/Population!K13*10000,NA())</f>
        <v>#N/A</v>
      </c>
      <c r="M13" s="97" t="e">
        <f>IF(ISNUMBER(F13),F13/Population!L13*10000,NA())</f>
        <v>#N/A</v>
      </c>
      <c r="N13" s="97">
        <f>IF(ISNUMBER(G13),G13/Population!M13*10000,NA())</f>
        <v>22.229684351914038</v>
      </c>
      <c r="O13" s="98">
        <f>IF(ISNUMBER(H13),H13/Population!N13*10000,NA())</f>
        <v>19.946091644204852</v>
      </c>
      <c r="P13" s="99">
        <f t="shared" si="6"/>
        <v>19.946091644204852</v>
      </c>
      <c r="Q13" s="934">
        <f t="shared" si="0"/>
        <v>1</v>
      </c>
      <c r="R13" s="70"/>
      <c r="S13" s="340">
        <f>IDACI!C12</f>
        <v>16.100000000000001</v>
      </c>
      <c r="T13" s="341">
        <f t="shared" si="1"/>
        <v>21.134008712452189</v>
      </c>
      <c r="U13" s="342">
        <f t="shared" si="13"/>
        <v>-1.1879170682473372</v>
      </c>
      <c r="V13" s="122"/>
      <c r="W13" s="139"/>
      <c r="X13" s="152"/>
      <c r="Y13" s="1099" t="str">
        <f t="shared" si="2"/>
        <v>East Sussex</v>
      </c>
      <c r="Z13" s="1097">
        <f>IF(ISNUMBER(H13),IDACI!D12,0)</f>
        <v>93130</v>
      </c>
      <c r="AA13" s="1098">
        <f>IF(ISNUMBER(H13),IDACI!E12,0)</f>
        <v>14993.93</v>
      </c>
      <c r="AB13" s="1105" t="str">
        <f>IF(ISNUMBER(D13),Population!D13,"")</f>
        <v/>
      </c>
      <c r="AC13" s="1105" t="str">
        <f>IF(ISNUMBER(E13),Population!E13,"")</f>
        <v/>
      </c>
      <c r="AD13" s="1105" t="str">
        <f>IF(ISNUMBER(F13),Population!F13,"")</f>
        <v/>
      </c>
      <c r="AE13" s="1105">
        <f>IF(ISNUMBER(G13),Population!G13,"")</f>
        <v>106400</v>
      </c>
      <c r="AF13" s="1105">
        <f>IF(ISNUMBER(H13),Population!H13,"")</f>
        <v>106300</v>
      </c>
      <c r="AH13" s="962" t="s">
        <v>4</v>
      </c>
      <c r="AI13" s="1041">
        <f t="shared" si="7"/>
        <v>19.946091644204852</v>
      </c>
      <c r="AJ13" s="206">
        <f t="shared" si="3"/>
        <v>1</v>
      </c>
      <c r="AK13" s="160"/>
      <c r="AL13" s="853" t="str">
        <f t="shared" si="8"/>
        <v>x</v>
      </c>
      <c r="AM13" s="853" t="str">
        <f t="shared" si="9"/>
        <v>x</v>
      </c>
      <c r="AN13" s="853" t="str">
        <f t="shared" si="10"/>
        <v>x</v>
      </c>
      <c r="AO13" s="853">
        <f t="shared" si="11"/>
        <v>-0.10574018126888217</v>
      </c>
      <c r="AP13" s="853">
        <f t="shared" si="12"/>
        <v>-0.10574018126888217</v>
      </c>
    </row>
    <row r="14" spans="1:45" s="87" customFormat="1" ht="13.5" customHeight="1" x14ac:dyDescent="0.2">
      <c r="A14" s="488">
        <f>VLOOKUP(B14,Sheet1!$AQ$4:$AR$25,2,FALSE)</f>
        <v>0</v>
      </c>
      <c r="B14" s="93" t="str">
        <f>Sheet1!$K$8</f>
        <v>Hampshire</v>
      </c>
      <c r="C14" s="85"/>
      <c r="D14" s="100" t="str">
        <f>IF(Year1_Hampshire Year1_Number_EHC_Plans="","",Year1_Hampshire Year1_Number_EHC_Plans)</f>
        <v/>
      </c>
      <c r="E14" s="100" t="str">
        <f>IF(Year2_Hampshire Year2_Number_EHC_Plans="","",Year2_Hampshire Year2_Number_EHC_Plans)</f>
        <v/>
      </c>
      <c r="F14" s="603" t="str">
        <f>IF(Year3_Hampshire Year3_Number_EHC_Plans="","",Year3_Hampshire Year3_Number_EHC_Plans)</f>
        <v/>
      </c>
      <c r="G14" s="603">
        <f>IF(Year4_Hampshire Year4_Number_EHC_Plans="","",Year4_Hampshire Year4_Number_EHC_Plans)</f>
        <v>1105</v>
      </c>
      <c r="H14" s="589">
        <f>IF(Year5_Hampshire Year5_Number_EHC_Plans="","",Year5_Hampshire Year5_Number_EHC_Plans)</f>
        <v>978</v>
      </c>
      <c r="I14" s="344">
        <f t="shared" si="5"/>
        <v>-0.11493212669683257</v>
      </c>
      <c r="J14" s="96"/>
      <c r="K14" s="97" t="e">
        <f>IF(ISNUMBER(D14),D14/Population!J14*10000,NA())</f>
        <v>#N/A</v>
      </c>
      <c r="L14" s="97" t="e">
        <f>IF(ISNUMBER(E14),E14/Population!K14*10000,NA())</f>
        <v>#N/A</v>
      </c>
      <c r="M14" s="97" t="e">
        <f>IF(ISNUMBER(F14),F14/Population!L14*10000,NA())</f>
        <v>#N/A</v>
      </c>
      <c r="N14" s="97">
        <f>IF(ISNUMBER(G14),G14/Population!M14*10000,NA())</f>
        <v>27.953453073614977</v>
      </c>
      <c r="O14" s="98">
        <f>IF(ISNUMBER(H14),H14/Population!N14*10000,NA())</f>
        <v>24.79087452471483</v>
      </c>
      <c r="P14" s="99">
        <f t="shared" si="6"/>
        <v>24.79087452471483</v>
      </c>
      <c r="Q14" s="934">
        <f t="shared" si="0"/>
        <v>3</v>
      </c>
      <c r="R14" s="70"/>
      <c r="S14" s="340">
        <f>IDACI!C13</f>
        <v>10.100000000000001</v>
      </c>
      <c r="T14" s="341">
        <f t="shared" si="1"/>
        <v>20.638145785008362</v>
      </c>
      <c r="U14" s="342">
        <f t="shared" si="13"/>
        <v>4.1527287397064683</v>
      </c>
      <c r="V14" s="122"/>
      <c r="W14" s="139"/>
      <c r="X14" s="152"/>
      <c r="Y14" s="1099" t="str">
        <f t="shared" si="2"/>
        <v>Hampshire</v>
      </c>
      <c r="Z14" s="1097">
        <f>IF(ISNUMBER(H14),IDACI!D13,0)</f>
        <v>249483</v>
      </c>
      <c r="AA14" s="1098">
        <f>IF(ISNUMBER(H14),IDACI!E13,0)</f>
        <v>25197.783000000007</v>
      </c>
      <c r="AB14" s="1105" t="str">
        <f>IF(ISNUMBER(D14),Population!D14,"")</f>
        <v/>
      </c>
      <c r="AC14" s="1105" t="str">
        <f>IF(ISNUMBER(E14),Population!E14,"")</f>
        <v/>
      </c>
      <c r="AD14" s="1105" t="str">
        <f>IF(ISNUMBER(F14),Population!F14,"")</f>
        <v/>
      </c>
      <c r="AE14" s="1105">
        <f>IF(ISNUMBER(G14),Population!G14,"")</f>
        <v>284000</v>
      </c>
      <c r="AF14" s="1105">
        <f>IF(ISNUMBER(H14),Population!H14,"")</f>
        <v>284300</v>
      </c>
      <c r="AH14" s="962" t="s">
        <v>6</v>
      </c>
      <c r="AI14" s="1041">
        <f t="shared" si="7"/>
        <v>24.79087452471483</v>
      </c>
      <c r="AJ14" s="206">
        <f t="shared" si="3"/>
        <v>3</v>
      </c>
      <c r="AK14" s="160"/>
      <c r="AL14" s="853" t="str">
        <f t="shared" si="8"/>
        <v>x</v>
      </c>
      <c r="AM14" s="853" t="str">
        <f t="shared" si="9"/>
        <v>x</v>
      </c>
      <c r="AN14" s="853" t="str">
        <f t="shared" si="10"/>
        <v>x</v>
      </c>
      <c r="AO14" s="853">
        <f t="shared" si="11"/>
        <v>-0.11493212669683257</v>
      </c>
      <c r="AP14" s="853">
        <f t="shared" si="12"/>
        <v>-0.11493212669683257</v>
      </c>
    </row>
    <row r="15" spans="1:45" s="87" customFormat="1" ht="13.5" customHeight="1" x14ac:dyDescent="0.2">
      <c r="A15" s="488">
        <f>VLOOKUP(B15,Sheet1!$AQ$4:$AR$25,2,FALSE)</f>
        <v>0</v>
      </c>
      <c r="B15" s="93" t="str">
        <f>Sheet1!$K$9</f>
        <v>Isle of Wight</v>
      </c>
      <c r="C15" s="85"/>
      <c r="D15" s="100" t="str">
        <f>IF(Year1_Isle_of_Wight Year1_Number_EHC_Plans="","",Year1_Isle_of_Wight Year1_Number_EHC_Plans)</f>
        <v/>
      </c>
      <c r="E15" s="100" t="str">
        <f>IF(Year2_Isle_of_Wight Year2_Number_EHC_Plans="","",Year2_Isle_of_Wight Year2_Number_EHC_Plans)</f>
        <v/>
      </c>
      <c r="F15" s="100" t="str">
        <f>IF(Year3_Isle_of_Wight Year3_Number_EHC_Plans="","",Year3_Isle_of_Wight Year3_Number_EHC_Plans)</f>
        <v/>
      </c>
      <c r="G15" s="100">
        <f>IF(Year4_Isle_of_Wight Year4_Number_EHC_Plans="","",Year4_Isle_of_Wight Year4_Number_EHC_Plans)</f>
        <v>155</v>
      </c>
      <c r="H15" s="589">
        <f>IF(Year5_Isle_of_Wight Year5_Number_EHC_Plans="","",Year5_Isle_of_Wight Year5_Number_EHC_Plans)</f>
        <v>152</v>
      </c>
      <c r="I15" s="344">
        <f t="shared" si="5"/>
        <v>-1.935483870967742E-2</v>
      </c>
      <c r="J15" s="96"/>
      <c r="K15" s="97" t="e">
        <f>IF(ISNUMBER(D15),D15/Population!J15*10000,NA())</f>
        <v>#N/A</v>
      </c>
      <c r="L15" s="97" t="e">
        <f>IF(ISNUMBER(E15),E15/Population!K15*10000,NA())</f>
        <v>#N/A</v>
      </c>
      <c r="M15" s="97" t="e">
        <f>IF(ISNUMBER(F15),F15/Population!L15*10000,NA())</f>
        <v>#N/A</v>
      </c>
      <c r="N15" s="97">
        <f>IF(ISNUMBER(G15),G15/Population!M15*10000,NA())</f>
        <v>43.539325842696627</v>
      </c>
      <c r="O15" s="98">
        <f>IF(ISNUMBER(H15),H15/Population!N15*10000,NA())</f>
        <v>43.059490084985839</v>
      </c>
      <c r="P15" s="99">
        <f t="shared" si="6"/>
        <v>43.059490084985839</v>
      </c>
      <c r="Q15" s="934">
        <f t="shared" si="0"/>
        <v>18</v>
      </c>
      <c r="R15" s="70"/>
      <c r="S15" s="340">
        <f>IDACI!C14</f>
        <v>18</v>
      </c>
      <c r="T15" s="341">
        <f t="shared" si="1"/>
        <v>21.2910319728094</v>
      </c>
      <c r="U15" s="342">
        <f t="shared" si="13"/>
        <v>21.76845811217644</v>
      </c>
      <c r="V15" s="122"/>
      <c r="W15" s="139"/>
      <c r="X15" s="152"/>
      <c r="Y15" s="1099" t="str">
        <f t="shared" si="2"/>
        <v>Isle of Wight</v>
      </c>
      <c r="Z15" s="1097">
        <f>IF(ISNUMBER(H15),IDACI!D14,0)</f>
        <v>22123</v>
      </c>
      <c r="AA15" s="1098">
        <f>IF(ISNUMBER(H15),IDACI!E14,0)</f>
        <v>3982.14</v>
      </c>
      <c r="AB15" s="1105" t="str">
        <f>IF(ISNUMBER(D15),Population!D15,"")</f>
        <v/>
      </c>
      <c r="AC15" s="1105" t="str">
        <f>IF(ISNUMBER(E15),Population!E15,"")</f>
        <v/>
      </c>
      <c r="AD15" s="1105" t="str">
        <f>IF(ISNUMBER(F15),Population!F15,"")</f>
        <v/>
      </c>
      <c r="AE15" s="1105">
        <f>IF(ISNUMBER(G15),Population!G15,"")</f>
        <v>24900</v>
      </c>
      <c r="AF15" s="1105">
        <f>IF(ISNUMBER(H15),Population!H15,"")</f>
        <v>24700</v>
      </c>
      <c r="AH15" s="962" t="s">
        <v>1</v>
      </c>
      <c r="AI15" s="1041">
        <f t="shared" si="7"/>
        <v>43.059490084985839</v>
      </c>
      <c r="AJ15" s="206">
        <f t="shared" si="3"/>
        <v>18</v>
      </c>
      <c r="AK15" s="160"/>
      <c r="AL15" s="853" t="str">
        <f t="shared" si="8"/>
        <v>x</v>
      </c>
      <c r="AM15" s="853" t="str">
        <f t="shared" si="9"/>
        <v>x</v>
      </c>
      <c r="AN15" s="853" t="str">
        <f t="shared" si="10"/>
        <v>x</v>
      </c>
      <c r="AO15" s="853">
        <f t="shared" si="11"/>
        <v>-1.935483870967742E-2</v>
      </c>
      <c r="AP15" s="853">
        <f t="shared" si="12"/>
        <v>-1.935483870967742E-2</v>
      </c>
      <c r="AS15" s="87" t="s">
        <v>102</v>
      </c>
    </row>
    <row r="16" spans="1:45" s="87" customFormat="1" ht="13.5" customHeight="1" x14ac:dyDescent="0.2">
      <c r="A16" s="488">
        <f>VLOOKUP(B16,Sheet1!$AQ$4:$AR$25,2,FALSE)</f>
        <v>0</v>
      </c>
      <c r="B16" s="93" t="str">
        <f>Sheet1!$K$10</f>
        <v>Kent</v>
      </c>
      <c r="C16" s="85"/>
      <c r="D16" s="100" t="str">
        <f>IF(Year1_Kent Year1_Number_EHC_Plans="","",Year1_Kent Year1_Number_EHC_Plans)</f>
        <v/>
      </c>
      <c r="E16" s="100" t="str">
        <f>IF(Year2_Kent Year2_Number_EHC_Plans="","",Year2_Kent Year2_Number_EHC_Plans)</f>
        <v/>
      </c>
      <c r="F16" s="100" t="str">
        <f>IF(Year3_Kent Year3_Number_EHC_Plans="","",Year3_Kent Year3_Number_EHC_Plans)</f>
        <v/>
      </c>
      <c r="G16" s="100">
        <f>IF(Year4_Kent Year4_Number_EHC_Plans="","",Year4_Kent Year4_Number_EHC_Plans)</f>
        <v>1654</v>
      </c>
      <c r="H16" s="589">
        <f>IF(Year5_Kent Year5_Number_EHC_Plans="","",Year5_Kent Year5_Number_EHC_Plans)</f>
        <v>1998</v>
      </c>
      <c r="I16" s="344">
        <f t="shared" si="5"/>
        <v>0.20798065296251511</v>
      </c>
      <c r="J16" s="96"/>
      <c r="K16" s="97" t="e">
        <f>IF(ISNUMBER(D16),D16/Population!J16*10000,NA())</f>
        <v>#N/A</v>
      </c>
      <c r="L16" s="97" t="e">
        <f>IF(ISNUMBER(E16),E16/Population!K16*10000,NA())</f>
        <v>#N/A</v>
      </c>
      <c r="M16" s="97" t="e">
        <f>IF(ISNUMBER(F16),F16/Population!L16*10000,NA())</f>
        <v>#N/A</v>
      </c>
      <c r="N16" s="97">
        <f>IF(ISNUMBER(G16),G16/Population!M16*10000,NA())</f>
        <v>34.265589392997725</v>
      </c>
      <c r="O16" s="98">
        <f>IF(ISNUMBER(H16),H16/Population!N16*10000,NA())</f>
        <v>41.298057048367092</v>
      </c>
      <c r="P16" s="99">
        <f t="shared" si="6"/>
        <v>41.298057048367092</v>
      </c>
      <c r="Q16" s="934">
        <f t="shared" si="0"/>
        <v>17</v>
      </c>
      <c r="R16" s="70"/>
      <c r="S16" s="340">
        <f>IDACI!C15</f>
        <v>15.8</v>
      </c>
      <c r="T16" s="341">
        <f t="shared" si="1"/>
        <v>21.109215566079996</v>
      </c>
      <c r="U16" s="342">
        <f t="shared" si="13"/>
        <v>20.188841482287096</v>
      </c>
      <c r="V16" s="122"/>
      <c r="W16" s="139"/>
      <c r="X16" s="152"/>
      <c r="Y16" s="1099" t="str">
        <f t="shared" si="2"/>
        <v>Kent</v>
      </c>
      <c r="Z16" s="1097">
        <f>IF(ISNUMBER(H16),IDACI!D15,0)</f>
        <v>291866</v>
      </c>
      <c r="AA16" s="1098">
        <f>IF(ISNUMBER(H16),IDACI!E15,0)</f>
        <v>46114.828000000001</v>
      </c>
      <c r="AB16" s="1105" t="str">
        <f>IF(ISNUMBER(D16),Population!D16,"")</f>
        <v/>
      </c>
      <c r="AC16" s="1105" t="str">
        <f>IF(ISNUMBER(E16),Population!E16,"")</f>
        <v/>
      </c>
      <c r="AD16" s="1105" t="str">
        <f>IF(ISNUMBER(F16),Population!F16,"")</f>
        <v/>
      </c>
      <c r="AE16" s="1105">
        <f>IF(ISNUMBER(G16),Population!G16,"")</f>
        <v>340100</v>
      </c>
      <c r="AF16" s="1105">
        <f>IF(ISNUMBER(H16),Population!H16,"")</f>
        <v>343800</v>
      </c>
      <c r="AH16" s="962" t="s">
        <v>9</v>
      </c>
      <c r="AI16" s="1041">
        <f t="shared" si="7"/>
        <v>41.298057048367092</v>
      </c>
      <c r="AJ16" s="206">
        <f t="shared" si="3"/>
        <v>17</v>
      </c>
      <c r="AK16" s="160"/>
      <c r="AL16" s="853" t="str">
        <f t="shared" si="8"/>
        <v>x</v>
      </c>
      <c r="AM16" s="853" t="str">
        <f t="shared" si="9"/>
        <v>x</v>
      </c>
      <c r="AN16" s="853" t="str">
        <f t="shared" si="10"/>
        <v>x</v>
      </c>
      <c r="AO16" s="853">
        <f t="shared" si="11"/>
        <v>0.20798065296251511</v>
      </c>
      <c r="AP16" s="853">
        <f t="shared" si="12"/>
        <v>0.20798065296251511</v>
      </c>
    </row>
    <row r="17" spans="1:42" s="87" customFormat="1" ht="13.5" customHeight="1" x14ac:dyDescent="0.2">
      <c r="A17" s="488">
        <f>VLOOKUP(B17,Sheet1!$AQ$4:$AR$25,2,FALSE)</f>
        <v>0</v>
      </c>
      <c r="B17" s="93" t="str">
        <f>Sheet1!$K$11</f>
        <v>Medway</v>
      </c>
      <c r="C17" s="85"/>
      <c r="D17" s="100" t="str">
        <f>IF(Year1_Medway Year1_Number_EHC_Plans="","",Year1_Medway Year1_Number_EHC_Plans)</f>
        <v/>
      </c>
      <c r="E17" s="100" t="str">
        <f>IF(Year2_Medway Year2_Number_EHC_Plans="","",Year2_Medway Year2_Number_EHC_Plans)</f>
        <v/>
      </c>
      <c r="F17" s="100" t="str">
        <f>IF(Year3_Medway Year3_Number_EHC_Plans="","",Year3_Medway Year3_Number_EHC_Plans)</f>
        <v/>
      </c>
      <c r="G17" s="100">
        <f>IF(Year4_Medway Year4_Number_EHC_Plans="","",Year4_Medway Year4_Number_EHC_Plans)</f>
        <v>258</v>
      </c>
      <c r="H17" s="589">
        <f>IF(Year5_Medway Year5_Number_EHC_Plans="","",Year5_Medway Year5_Number_EHC_Plans)</f>
        <v>316</v>
      </c>
      <c r="I17" s="344">
        <f t="shared" si="5"/>
        <v>0.22480620155038761</v>
      </c>
      <c r="J17" s="96"/>
      <c r="K17" s="97" t="e">
        <f>IF(ISNUMBER(D17),D17/Population!J17*10000,NA())</f>
        <v>#N/A</v>
      </c>
      <c r="L17" s="97" t="e">
        <f>IF(ISNUMBER(E17),E17/Population!K17*10000,NA())</f>
        <v>#N/A</v>
      </c>
      <c r="M17" s="97" t="e">
        <f>IF(ISNUMBER(F17),F17/Population!L17*10000,NA())</f>
        <v>#N/A</v>
      </c>
      <c r="N17" s="97">
        <f>IF(ISNUMBER(G17),G17/Population!M17*10000,NA())</f>
        <v>28.196721311475407</v>
      </c>
      <c r="O17" s="98">
        <f>IF(ISNUMBER(H17),H17/Population!N17*10000,NA())</f>
        <v>34.687156970362238</v>
      </c>
      <c r="P17" s="99">
        <f t="shared" si="6"/>
        <v>34.687156970362238</v>
      </c>
      <c r="Q17" s="934">
        <f t="shared" si="0"/>
        <v>13</v>
      </c>
      <c r="R17" s="70"/>
      <c r="S17" s="340">
        <f>IDACI!C16</f>
        <v>18.899999999999999</v>
      </c>
      <c r="T17" s="341">
        <f t="shared" si="1"/>
        <v>21.365411411925972</v>
      </c>
      <c r="U17" s="342">
        <f t="shared" si="13"/>
        <v>13.321745558436266</v>
      </c>
      <c r="V17" s="122"/>
      <c r="W17" s="139"/>
      <c r="X17" s="152"/>
      <c r="Y17" s="1099" t="str">
        <f t="shared" si="2"/>
        <v>Medway</v>
      </c>
      <c r="Z17" s="1097">
        <f>IF(ISNUMBER(H17),IDACI!D16,0)</f>
        <v>55993</v>
      </c>
      <c r="AA17" s="1098">
        <f>IF(ISNUMBER(H17),IDACI!E16,0)</f>
        <v>10582.676999999998</v>
      </c>
      <c r="AB17" s="1105" t="str">
        <f>IF(ISNUMBER(D17),Population!D17,"")</f>
        <v/>
      </c>
      <c r="AC17" s="1105" t="str">
        <f>IF(ISNUMBER(E17),Population!E17,"")</f>
        <v/>
      </c>
      <c r="AD17" s="1105" t="str">
        <f>IF(ISNUMBER(F17),Population!F17,"")</f>
        <v/>
      </c>
      <c r="AE17" s="1105">
        <f>IF(ISNUMBER(G17),Population!G17,"")</f>
        <v>64400</v>
      </c>
      <c r="AF17" s="1105">
        <f>IF(ISNUMBER(H17),Population!H17,"")</f>
        <v>65000</v>
      </c>
      <c r="AH17" s="962" t="s">
        <v>2</v>
      </c>
      <c r="AI17" s="1041">
        <f t="shared" si="7"/>
        <v>34.687156970362238</v>
      </c>
      <c r="AJ17" s="206">
        <f t="shared" si="3"/>
        <v>13</v>
      </c>
      <c r="AK17" s="160"/>
      <c r="AL17" s="853" t="str">
        <f t="shared" si="8"/>
        <v>x</v>
      </c>
      <c r="AM17" s="853" t="str">
        <f t="shared" si="9"/>
        <v>x</v>
      </c>
      <c r="AN17" s="853" t="str">
        <f t="shared" si="10"/>
        <v>x</v>
      </c>
      <c r="AO17" s="853">
        <f t="shared" si="11"/>
        <v>0.22480620155038761</v>
      </c>
      <c r="AP17" s="853">
        <f t="shared" si="12"/>
        <v>0.22480620155038761</v>
      </c>
    </row>
    <row r="18" spans="1:42" s="87" customFormat="1" ht="13.5" customHeight="1" x14ac:dyDescent="0.2">
      <c r="A18" s="488">
        <f>VLOOKUP(B18,Sheet1!$AQ$4:$AR$25,2,FALSE)</f>
        <v>0</v>
      </c>
      <c r="B18" s="93" t="str">
        <f>Sheet1!$K$12</f>
        <v>Milton Keynes</v>
      </c>
      <c r="C18" s="85"/>
      <c r="D18" s="100" t="str">
        <f>IF(Year1_Milton_Keynes Year1_Number_EHC_Plans="","",Year1_Milton_Keynes Year1_Number_EHC_Plans)</f>
        <v/>
      </c>
      <c r="E18" s="100" t="str">
        <f>IF(Year2_Milton_Keynes Year2_Number_EHC_Plans="","",Year2_Milton_Keynes Year2_Number_EHC_Plans)</f>
        <v/>
      </c>
      <c r="F18" s="100" t="str">
        <f>IF(Year3_Milton_Keynes Year3_Number_EHC_Plans="","",Year3_Milton_Keynes Year3_Number_EHC_Plans)</f>
        <v/>
      </c>
      <c r="G18" s="100">
        <f>IF(Year4_Milton_Keynes Year4_Number_EHC_Plans="","",Year4_Milton_Keynes Year4_Number_EHC_Plans)</f>
        <v>167</v>
      </c>
      <c r="H18" s="589">
        <f>IF(Year5_Milton_Keynes Year5_Number_EHC_Plans="","",Year5_Milton_Keynes Year5_Number_EHC_Plans)</f>
        <v>292</v>
      </c>
      <c r="I18" s="344">
        <f t="shared" si="5"/>
        <v>0.74850299401197606</v>
      </c>
      <c r="J18" s="96"/>
      <c r="K18" s="97" t="e">
        <f>IF(ISNUMBER(D18),D18/Population!J18*10000,NA())</f>
        <v>#N/A</v>
      </c>
      <c r="L18" s="97" t="e">
        <f>IF(ISNUMBER(E18),E18/Population!K18*10000,NA())</f>
        <v>#N/A</v>
      </c>
      <c r="M18" s="97" t="e">
        <f>IF(ISNUMBER(F18),F18/Population!L18*10000,NA())</f>
        <v>#N/A</v>
      </c>
      <c r="N18" s="97">
        <f>IF(ISNUMBER(G18),G18/Population!M18*10000,NA())</f>
        <v>18.680089485458613</v>
      </c>
      <c r="O18" s="98">
        <f>IF(ISNUMBER(H18),H18/Population!N18*10000,NA())</f>
        <v>32.552954292084728</v>
      </c>
      <c r="P18" s="99">
        <f t="shared" si="6"/>
        <v>32.552954292084728</v>
      </c>
      <c r="Q18" s="934">
        <f t="shared" si="0"/>
        <v>10</v>
      </c>
      <c r="R18" s="70"/>
      <c r="S18" s="340">
        <f>IDACI!C17</f>
        <v>15</v>
      </c>
      <c r="T18" s="341">
        <f t="shared" si="1"/>
        <v>21.043100509087488</v>
      </c>
      <c r="U18" s="342">
        <f t="shared" si="13"/>
        <v>11.50985378299724</v>
      </c>
      <c r="V18" s="122"/>
      <c r="W18" s="139"/>
      <c r="X18" s="152"/>
      <c r="Y18" s="1099" t="str">
        <f t="shared" si="2"/>
        <v>Milton Keynes</v>
      </c>
      <c r="Z18" s="1097">
        <f>IF(ISNUMBER(H18),IDACI!D17,0)</f>
        <v>59903</v>
      </c>
      <c r="AA18" s="1098">
        <f>IF(ISNUMBER(H18),IDACI!E17,0)</f>
        <v>8985.4499999999989</v>
      </c>
      <c r="AB18" s="1105" t="str">
        <f>IF(ISNUMBER(D18),Population!D18,"")</f>
        <v/>
      </c>
      <c r="AC18" s="1105" t="str">
        <f>IF(ISNUMBER(E18),Population!E18,"")</f>
        <v/>
      </c>
      <c r="AD18" s="1105" t="str">
        <f>IF(ISNUMBER(F18),Population!F18,"")</f>
        <v/>
      </c>
      <c r="AE18" s="1105">
        <f>IF(ISNUMBER(G18),Population!G18,"")</f>
        <v>68300</v>
      </c>
      <c r="AF18" s="1105">
        <f>IF(ISNUMBER(H18),Population!H18,"")</f>
        <v>68800</v>
      </c>
      <c r="AH18" s="962" t="s">
        <v>10</v>
      </c>
      <c r="AI18" s="1041">
        <f t="shared" si="7"/>
        <v>32.552954292084728</v>
      </c>
      <c r="AJ18" s="206">
        <f t="shared" si="3"/>
        <v>10</v>
      </c>
      <c r="AK18" s="160"/>
      <c r="AL18" s="853" t="str">
        <f t="shared" si="8"/>
        <v>x</v>
      </c>
      <c r="AM18" s="853" t="str">
        <f t="shared" si="9"/>
        <v>x</v>
      </c>
      <c r="AN18" s="853" t="str">
        <f t="shared" si="10"/>
        <v>x</v>
      </c>
      <c r="AO18" s="853">
        <f t="shared" si="11"/>
        <v>0.74850299401197606</v>
      </c>
      <c r="AP18" s="853">
        <f t="shared" si="12"/>
        <v>0.74850299401197606</v>
      </c>
    </row>
    <row r="19" spans="1:42" s="87" customFormat="1" ht="13.5" customHeight="1" x14ac:dyDescent="0.2">
      <c r="A19" s="488">
        <f>VLOOKUP(B19,Sheet1!$AQ$4:$AR$25,2,FALSE)</f>
        <v>0</v>
      </c>
      <c r="B19" s="93" t="str">
        <f>Sheet1!$K$13</f>
        <v>Oxfordshire</v>
      </c>
      <c r="C19" s="85"/>
      <c r="D19" s="100" t="str">
        <f>IF(Year1_Oxfordshire Year1_Number_EHC_Plans="","",Year1_Oxfordshire Year1_Number_EHC_Plans)</f>
        <v/>
      </c>
      <c r="E19" s="100" t="str">
        <f>IF(Year2_Oxfordshire Year2_Number_EHC_Plans="","",Year2_Oxfordshire Year2_Number_EHC_Plans)</f>
        <v/>
      </c>
      <c r="F19" s="100" t="str">
        <f>IF(Year3_Oxfordshire Year3_Number_EHC_Plans="","",Year3_Oxfordshire Year3_Number_EHC_Plans)</f>
        <v/>
      </c>
      <c r="G19" s="100">
        <f>IF(Year4_Oxfordshire Year4_Number_EHC_Plans="","",Year4_Oxfordshire Year4_Number_EHC_Plans)</f>
        <v>559</v>
      </c>
      <c r="H19" s="589">
        <f>IF(Year5_Oxfordshire Year5_Number_EHC_Plans="","",Year5_Oxfordshire Year5_Number_EHC_Plans)</f>
        <v>619</v>
      </c>
      <c r="I19" s="344">
        <f t="shared" si="5"/>
        <v>0.1073345259391771</v>
      </c>
      <c r="J19" s="96"/>
      <c r="K19" s="97" t="e">
        <f>IF(ISNUMBER(D19),D19/Population!J19*10000,NA())</f>
        <v>#N/A</v>
      </c>
      <c r="L19" s="97" t="e">
        <f>IF(ISNUMBER(E19),E19/Population!K19*10000,NA())</f>
        <v>#N/A</v>
      </c>
      <c r="M19" s="97" t="e">
        <f>IF(ISNUMBER(F19),F19/Population!L19*10000,NA())</f>
        <v>#N/A</v>
      </c>
      <c r="N19" s="97">
        <f>IF(ISNUMBER(G19),G19/Population!M19*10000,NA())</f>
        <v>25.20288548241659</v>
      </c>
      <c r="O19" s="98">
        <f>IF(ISNUMBER(H19),H19/Population!N19*10000,NA())</f>
        <v>27.845254161043634</v>
      </c>
      <c r="P19" s="99">
        <f t="shared" si="6"/>
        <v>27.845254161043634</v>
      </c>
      <c r="Q19" s="934">
        <f t="shared" si="0"/>
        <v>6</v>
      </c>
      <c r="R19" s="70"/>
      <c r="S19" s="340">
        <f>IDACI!C18</f>
        <v>10.100000000000001</v>
      </c>
      <c r="T19" s="341">
        <f t="shared" si="1"/>
        <v>20.638145785008362</v>
      </c>
      <c r="U19" s="342">
        <f t="shared" si="13"/>
        <v>7.2071083760352721</v>
      </c>
      <c r="V19" s="122"/>
      <c r="W19" s="139"/>
      <c r="X19" s="152"/>
      <c r="Y19" s="1099" t="str">
        <f t="shared" si="2"/>
        <v>Oxfordshire</v>
      </c>
      <c r="Z19" s="1097">
        <f>IF(ISNUMBER(H19),IDACI!D18,0)</f>
        <v>126119</v>
      </c>
      <c r="AA19" s="1098">
        <f>IF(ISNUMBER(H19),IDACI!E18,0)</f>
        <v>12738.019000000002</v>
      </c>
      <c r="AB19" s="1105" t="str">
        <f>IF(ISNUMBER(D19),Population!D19,"")</f>
        <v/>
      </c>
      <c r="AC19" s="1105" t="str">
        <f>IF(ISNUMBER(E19),Population!E19,"")</f>
        <v/>
      </c>
      <c r="AD19" s="1105" t="str">
        <f>IF(ISNUMBER(F19),Population!F19,"")</f>
        <v/>
      </c>
      <c r="AE19" s="1105">
        <f>IF(ISNUMBER(G19),Population!G19,"")</f>
        <v>144800</v>
      </c>
      <c r="AF19" s="1105">
        <f>IF(ISNUMBER(H19),Population!H19,"")</f>
        <v>146100</v>
      </c>
      <c r="AH19" s="962" t="s">
        <v>11</v>
      </c>
      <c r="AI19" s="1041">
        <f t="shared" si="7"/>
        <v>27.845254161043634</v>
      </c>
      <c r="AJ19" s="206">
        <f t="shared" si="3"/>
        <v>6</v>
      </c>
      <c r="AK19" s="160"/>
      <c r="AL19" s="853" t="str">
        <f t="shared" si="8"/>
        <v>x</v>
      </c>
      <c r="AM19" s="853" t="str">
        <f t="shared" si="9"/>
        <v>x</v>
      </c>
      <c r="AN19" s="853" t="str">
        <f t="shared" si="10"/>
        <v>x</v>
      </c>
      <c r="AO19" s="853">
        <f t="shared" si="11"/>
        <v>0.1073345259391771</v>
      </c>
      <c r="AP19" s="853">
        <f t="shared" si="12"/>
        <v>0.1073345259391771</v>
      </c>
    </row>
    <row r="20" spans="1:42" s="87" customFormat="1" ht="13.5" customHeight="1" x14ac:dyDescent="0.2">
      <c r="A20" s="488">
        <f>VLOOKUP(B20,Sheet1!$AQ$4:$AR$25,2,FALSE)</f>
        <v>0</v>
      </c>
      <c r="B20" s="93" t="str">
        <f>Sheet1!$K$14</f>
        <v>Portsmouth</v>
      </c>
      <c r="C20" s="85"/>
      <c r="D20" s="100" t="str">
        <f>IF(Year1_Portsmouth Year1_Number_EHC_Plans="","",Year1_Portsmouth Year1_Number_EHC_Plans)</f>
        <v/>
      </c>
      <c r="E20" s="100" t="str">
        <f>IF(Year2_Portsmouth Year2_Number_EHC_Plans="","",Year2_Portsmouth Year2_Number_EHC_Plans)</f>
        <v/>
      </c>
      <c r="F20" s="100" t="str">
        <f>IF(Year3_Portsmouth Year3_Number_EHC_Plans="","",Year3_Portsmouth Year3_Number_EHC_Plans)</f>
        <v/>
      </c>
      <c r="G20" s="100">
        <f>IF(Year4_Portsmouth Year4_Number_EHC_Plans="","",Year4_Portsmouth Year4_Number_EHC_Plans)</f>
        <v>189</v>
      </c>
      <c r="H20" s="589">
        <f>IF(Year5_Portsmouth Year5_Number_EHC_Plans="","",Year5_Portsmouth Year5_Number_EHC_Plans)</f>
        <v>198</v>
      </c>
      <c r="I20" s="344">
        <f t="shared" si="5"/>
        <v>4.7619047619047616E-2</v>
      </c>
      <c r="J20" s="96"/>
      <c r="K20" s="97" t="e">
        <f>IF(ISNUMBER(D20),D20/Population!J20*10000,NA())</f>
        <v>#N/A</v>
      </c>
      <c r="L20" s="97" t="e">
        <f>IF(ISNUMBER(E20),E20/Population!K20*10000,NA())</f>
        <v>#N/A</v>
      </c>
      <c r="M20" s="97" t="e">
        <f>IF(ISNUMBER(F20),F20/Population!L20*10000,NA())</f>
        <v>#N/A</v>
      </c>
      <c r="N20" s="97">
        <f>IF(ISNUMBER(G20),G20/Population!M20*10000,NA())</f>
        <v>23.566084788029926</v>
      </c>
      <c r="O20" s="98">
        <f>IF(ISNUMBER(H20),H20/Population!N20*10000,NA())</f>
        <v>24.905660377358494</v>
      </c>
      <c r="P20" s="99">
        <f t="shared" si="6"/>
        <v>24.905660377358494</v>
      </c>
      <c r="Q20" s="934">
        <f t="shared" si="0"/>
        <v>4</v>
      </c>
      <c r="R20" s="70"/>
      <c r="S20" s="340">
        <f>IDACI!C19</f>
        <v>20.200000000000003</v>
      </c>
      <c r="T20" s="341">
        <f t="shared" si="1"/>
        <v>21.472848379538803</v>
      </c>
      <c r="U20" s="342">
        <f t="shared" si="13"/>
        <v>3.4328119978196909</v>
      </c>
      <c r="V20" s="122"/>
      <c r="W20" s="139"/>
      <c r="X20" s="152"/>
      <c r="Y20" s="1099" t="str">
        <f t="shared" si="2"/>
        <v>Portsmouth</v>
      </c>
      <c r="Z20" s="1097">
        <f>IF(ISNUMBER(H20),IDACI!D19,0)</f>
        <v>39325</v>
      </c>
      <c r="AA20" s="1098">
        <f>IF(ISNUMBER(H20),IDACI!E19,0)</f>
        <v>7943.6500000000015</v>
      </c>
      <c r="AB20" s="1105" t="str">
        <f>IF(ISNUMBER(D20),Population!D20,"")</f>
        <v/>
      </c>
      <c r="AC20" s="1105" t="str">
        <f>IF(ISNUMBER(E20),Population!E20,"")</f>
        <v/>
      </c>
      <c r="AD20" s="1105" t="str">
        <f>IF(ISNUMBER(F20),Population!F20,"")</f>
        <v/>
      </c>
      <c r="AE20" s="1105">
        <f>IF(ISNUMBER(G20),Population!G20,"")</f>
        <v>44000</v>
      </c>
      <c r="AF20" s="1105">
        <f>IF(ISNUMBER(H20),Population!H20,"")</f>
        <v>43800</v>
      </c>
      <c r="AH20" s="962" t="s">
        <v>12</v>
      </c>
      <c r="AI20" s="1041">
        <f t="shared" si="7"/>
        <v>24.905660377358494</v>
      </c>
      <c r="AJ20" s="206">
        <f t="shared" si="3"/>
        <v>4</v>
      </c>
      <c r="AK20" s="160"/>
      <c r="AL20" s="853" t="str">
        <f t="shared" si="8"/>
        <v>x</v>
      </c>
      <c r="AM20" s="853" t="str">
        <f t="shared" si="9"/>
        <v>x</v>
      </c>
      <c r="AN20" s="853" t="str">
        <f t="shared" si="10"/>
        <v>x</v>
      </c>
      <c r="AO20" s="853">
        <f t="shared" si="11"/>
        <v>4.7619047619047616E-2</v>
      </c>
      <c r="AP20" s="853">
        <f t="shared" si="12"/>
        <v>4.7619047619047616E-2</v>
      </c>
    </row>
    <row r="21" spans="1:42" s="87" customFormat="1" ht="13.5" customHeight="1" x14ac:dyDescent="0.2">
      <c r="A21" s="488">
        <f>VLOOKUP(B21,Sheet1!$AQ$4:$AR$25,2,FALSE)</f>
        <v>0</v>
      </c>
      <c r="B21" s="93" t="str">
        <f>Sheet1!$K$15</f>
        <v>Reading</v>
      </c>
      <c r="C21" s="85"/>
      <c r="D21" s="100" t="str">
        <f>IF(Year1_Reading Year1_Number_EHC_Plans="","",Year1_Reading Year1_Number_EHC_Plans)</f>
        <v/>
      </c>
      <c r="E21" s="100" t="str">
        <f>IF(Year2_Reading Year2_Number_EHC_Plans="","",Year2_Reading Year2_Number_EHC_Plans)</f>
        <v/>
      </c>
      <c r="F21" s="100" t="str">
        <f>IF(Year3_Reading Year3_Number_EHC_Plans="","",Year3_Reading Year3_Number_EHC_Plans)</f>
        <v/>
      </c>
      <c r="G21" s="100">
        <f>IF(Year4_Reading Year4_Number_EHC_Plans="","",Year4_Reading Year4_Number_EHC_Plans)</f>
        <v>201</v>
      </c>
      <c r="H21" s="589">
        <f>IF(Year5_Reading Year5_Number_EHC_Plans="","",Year5_Reading Year5_Number_EHC_Plans)</f>
        <v>174</v>
      </c>
      <c r="I21" s="344">
        <f t="shared" si="5"/>
        <v>-0.13432835820895522</v>
      </c>
      <c r="J21" s="96"/>
      <c r="K21" s="97" t="e">
        <f>IF(ISNUMBER(D21),D21/Population!J21*10000,NA())</f>
        <v>#N/A</v>
      </c>
      <c r="L21" s="97" t="e">
        <f>IF(ISNUMBER(E21),E21/Population!K21*10000,NA())</f>
        <v>#N/A</v>
      </c>
      <c r="M21" s="97" t="e">
        <f>IF(ISNUMBER(F21),F21/Population!L21*10000,NA())</f>
        <v>#N/A</v>
      </c>
      <c r="N21" s="97">
        <f>IF(ISNUMBER(G21),G21/Population!M21*10000,NA())</f>
        <v>34.01015228426396</v>
      </c>
      <c r="O21" s="98">
        <f>IF(ISNUMBER(H21),H21/Population!N21*10000,NA())</f>
        <v>30</v>
      </c>
      <c r="P21" s="99">
        <f t="shared" si="6"/>
        <v>30</v>
      </c>
      <c r="Q21" s="934">
        <f t="shared" si="0"/>
        <v>7</v>
      </c>
      <c r="R21" s="70"/>
      <c r="S21" s="340">
        <f>IDACI!C20</f>
        <v>16</v>
      </c>
      <c r="T21" s="341">
        <f t="shared" si="1"/>
        <v>21.125744330328125</v>
      </c>
      <c r="U21" s="342">
        <f t="shared" si="13"/>
        <v>8.8742556696718751</v>
      </c>
      <c r="V21" s="122"/>
      <c r="W21" s="139"/>
      <c r="X21" s="152"/>
      <c r="Y21" s="1099" t="str">
        <f t="shared" si="2"/>
        <v>Reading</v>
      </c>
      <c r="Z21" s="1097">
        <f>IF(ISNUMBER(H21),IDACI!D20,0)</f>
        <v>33203</v>
      </c>
      <c r="AA21" s="1098">
        <f>IF(ISNUMBER(H21),IDACI!E20,0)</f>
        <v>5312.4800000000005</v>
      </c>
      <c r="AB21" s="1105" t="str">
        <f>IF(ISNUMBER(D21),Population!D21,"")</f>
        <v/>
      </c>
      <c r="AC21" s="1105" t="str">
        <f>IF(ISNUMBER(E21),Population!E21,"")</f>
        <v/>
      </c>
      <c r="AD21" s="1105" t="str">
        <f>IF(ISNUMBER(F21),Population!F21,"")</f>
        <v/>
      </c>
      <c r="AE21" s="1105">
        <f>IF(ISNUMBER(G21),Population!G21,"")</f>
        <v>37100</v>
      </c>
      <c r="AF21" s="1105">
        <f>IF(ISNUMBER(H21),Population!H21,"")</f>
        <v>37000</v>
      </c>
      <c r="AH21" s="962" t="s">
        <v>3</v>
      </c>
      <c r="AI21" s="1041">
        <f t="shared" si="7"/>
        <v>30</v>
      </c>
      <c r="AJ21" s="206">
        <f t="shared" si="3"/>
        <v>7</v>
      </c>
      <c r="AK21" s="160"/>
      <c r="AL21" s="853" t="str">
        <f t="shared" si="8"/>
        <v>x</v>
      </c>
      <c r="AM21" s="853" t="str">
        <f t="shared" si="9"/>
        <v>x</v>
      </c>
      <c r="AN21" s="853" t="str">
        <f t="shared" si="10"/>
        <v>x</v>
      </c>
      <c r="AO21" s="853">
        <f t="shared" si="11"/>
        <v>-0.13432835820895522</v>
      </c>
      <c r="AP21" s="853">
        <f t="shared" si="12"/>
        <v>-0.13432835820895522</v>
      </c>
    </row>
    <row r="22" spans="1:42" s="87" customFormat="1" ht="13.5" customHeight="1" x14ac:dyDescent="0.2">
      <c r="A22" s="488">
        <f>VLOOKUP(B22,Sheet1!$AQ$4:$AR$25,2,FALSE)</f>
        <v>0</v>
      </c>
      <c r="B22" s="93" t="str">
        <f>Sheet1!$K$16</f>
        <v>Slough</v>
      </c>
      <c r="C22" s="85"/>
      <c r="D22" s="100" t="str">
        <f>IF(Year1_Slough Year1_Number_EHC_Plans="","",Year1_Slough Year1_Number_EHC_Plans)</f>
        <v/>
      </c>
      <c r="E22" s="100" t="str">
        <f>IF(Year2_Slough Year2_Number_EHC_Plans="","",Year2_Slough Year2_Number_EHC_Plans)</f>
        <v/>
      </c>
      <c r="F22" s="100" t="str">
        <f>IF(Year3_Slough Year3_Number_EHC_Plans="","",Year3_Slough Year3_Number_EHC_Plans)</f>
        <v/>
      </c>
      <c r="G22" s="100">
        <f>IF(Year4_Slough Year4_Number_EHC_Plans="","",Year4_Slough Year4_Number_EHC_Plans)</f>
        <v>167</v>
      </c>
      <c r="H22" s="589">
        <f>IF(Year5_Slough Year5_Number_EHC_Plans="","",Year5_Slough Year5_Number_EHC_Plans)</f>
        <v>213</v>
      </c>
      <c r="I22" s="344">
        <f t="shared" si="5"/>
        <v>0.27544910179640719</v>
      </c>
      <c r="J22" s="96"/>
      <c r="K22" s="97" t="e">
        <f>IF(ISNUMBER(D22),D22/Population!J22*10000,NA())</f>
        <v>#N/A</v>
      </c>
      <c r="L22" s="97" t="e">
        <f>IF(ISNUMBER(E22),E22/Population!K22*10000,NA())</f>
        <v>#N/A</v>
      </c>
      <c r="M22" s="97" t="e">
        <f>IF(ISNUMBER(F22),F22/Population!L22*10000,NA())</f>
        <v>#N/A</v>
      </c>
      <c r="N22" s="97">
        <f>IF(ISNUMBER(G22),G22/Population!M22*10000,NA())</f>
        <v>30.198915009041592</v>
      </c>
      <c r="O22" s="98">
        <f>IF(ISNUMBER(H22),H22/Population!N22*10000,NA())</f>
        <v>38.172043010752688</v>
      </c>
      <c r="P22" s="99">
        <f t="shared" si="6"/>
        <v>38.172043010752688</v>
      </c>
      <c r="Q22" s="934">
        <f t="shared" si="0"/>
        <v>14</v>
      </c>
      <c r="R22" s="70"/>
      <c r="S22" s="340">
        <f>IDACI!C21</f>
        <v>14.7</v>
      </c>
      <c r="T22" s="341">
        <f t="shared" si="1"/>
        <v>21.018307362715294</v>
      </c>
      <c r="U22" s="342">
        <f t="shared" si="13"/>
        <v>17.153735648037394</v>
      </c>
      <c r="V22" s="122"/>
      <c r="W22" s="139"/>
      <c r="X22" s="152"/>
      <c r="Y22" s="1099" t="str">
        <f t="shared" si="2"/>
        <v>Slough</v>
      </c>
      <c r="Z22" s="1097">
        <f>IF(ISNUMBER(H22),IDACI!D21,0)</f>
        <v>37031</v>
      </c>
      <c r="AA22" s="1098">
        <f>IF(ISNUMBER(H22),IDACI!E21,0)</f>
        <v>5443.5569999999998</v>
      </c>
      <c r="AB22" s="1105" t="str">
        <f>IF(ISNUMBER(D22),Population!D22,"")</f>
        <v/>
      </c>
      <c r="AC22" s="1105" t="str">
        <f>IF(ISNUMBER(E22),Population!E22,"")</f>
        <v/>
      </c>
      <c r="AD22" s="1105" t="str">
        <f>IF(ISNUMBER(F22),Population!F22,"")</f>
        <v/>
      </c>
      <c r="AE22" s="1105">
        <f>IF(ISNUMBER(G22),Population!G22,"")</f>
        <v>42700</v>
      </c>
      <c r="AF22" s="1105">
        <f>IF(ISNUMBER(H22),Population!H22,"")</f>
        <v>43100</v>
      </c>
      <c r="AH22" s="962" t="s">
        <v>13</v>
      </c>
      <c r="AI22" s="1041">
        <f t="shared" si="7"/>
        <v>38.172043010752688</v>
      </c>
      <c r="AJ22" s="206">
        <f t="shared" si="3"/>
        <v>14</v>
      </c>
      <c r="AK22" s="160"/>
      <c r="AL22" s="853" t="str">
        <f t="shared" si="8"/>
        <v>x</v>
      </c>
      <c r="AM22" s="853" t="str">
        <f t="shared" si="9"/>
        <v>x</v>
      </c>
      <c r="AN22" s="853" t="str">
        <f t="shared" si="10"/>
        <v>x</v>
      </c>
      <c r="AO22" s="853">
        <f t="shared" si="11"/>
        <v>0.27544910179640719</v>
      </c>
      <c r="AP22" s="853">
        <f t="shared" si="12"/>
        <v>0.27544910179640719</v>
      </c>
    </row>
    <row r="23" spans="1:42" s="87" customFormat="1" ht="13.5" customHeight="1" x14ac:dyDescent="0.2">
      <c r="A23" s="488">
        <f>VLOOKUP(B23,Sheet1!$AQ$4:$AR$25,2,FALSE)</f>
        <v>0</v>
      </c>
      <c r="B23" s="93" t="str">
        <f>Sheet1!$K$17</f>
        <v>Somerset</v>
      </c>
      <c r="C23" s="85"/>
      <c r="D23" s="100" t="str">
        <f>IF(Year1_Somerset Year1_Number_EHC_Plans="","",Year1_Somerset Year1_Number_EHC_Plans)</f>
        <v/>
      </c>
      <c r="E23" s="100" t="str">
        <f>IF(Year2_Somerset Year2_Number_EHC_Plans="","",Year2_Somerset Year2_Number_EHC_Plans)</f>
        <v/>
      </c>
      <c r="F23" s="100" t="str">
        <f>IF(Year3_Somerset Year3_Number_EHC_Plans="","",Year3_Somerset Year3_Number_EHC_Plans)</f>
        <v/>
      </c>
      <c r="G23" s="100">
        <f>IF(Year4_Somerset Year4_Number_EHC_Plans="","",Year4_Somerset Year4_Number_EHC_Plans)</f>
        <v>437</v>
      </c>
      <c r="H23" s="589">
        <f>IF(Year5_Somerset Year5_Number_EHC_Plans="","",Year5_Somerset Year5_Number_EHC_Plans)</f>
        <v>545</v>
      </c>
      <c r="I23" s="344">
        <f t="shared" si="5"/>
        <v>0.24713958810068651</v>
      </c>
      <c r="J23" s="96"/>
      <c r="K23" s="97" t="e">
        <f>IF(ISNUMBER(D23),D23/Population!J23*10000,NA())</f>
        <v>#N/A</v>
      </c>
      <c r="L23" s="97" t="e">
        <f>IF(ISNUMBER(E23),E23/Population!K23*10000,NA())</f>
        <v>#N/A</v>
      </c>
      <c r="M23" s="97" t="e">
        <f>IF(ISNUMBER(F23),F23/Population!L23*10000,NA())</f>
        <v>#N/A</v>
      </c>
      <c r="N23" s="97">
        <f>IF(ISNUMBER(G23),G23/Population!M23*10000,NA())</f>
        <v>28.524804177545693</v>
      </c>
      <c r="O23" s="98">
        <f>IF(ISNUMBER(H23),H23/Population!N23*10000,NA())</f>
        <v>35.690897184020955</v>
      </c>
      <c r="P23" s="99">
        <f t="shared" si="6"/>
        <v>35.690897184020955</v>
      </c>
      <c r="Q23" s="370" t="str">
        <f t="shared" si="0"/>
        <v>--</v>
      </c>
      <c r="R23" s="70"/>
      <c r="S23" s="340">
        <f>IDACI!C22</f>
        <v>13.600000000000001</v>
      </c>
      <c r="T23" s="341">
        <f t="shared" si="1"/>
        <v>20.927399159350593</v>
      </c>
      <c r="U23" s="342">
        <f t="shared" si="13"/>
        <v>14.763498024670362</v>
      </c>
      <c r="V23" s="122"/>
      <c r="W23" s="139"/>
      <c r="X23" s="152"/>
      <c r="Y23" s="1099" t="str">
        <f t="shared" si="2"/>
        <v>Somerset</v>
      </c>
      <c r="Z23" s="1097">
        <f>IF(ISNUMBER(H23),IDACI!D22,0)</f>
        <v>95875</v>
      </c>
      <c r="AA23" s="1098">
        <f>IF(ISNUMBER(H23),IDACI!E22,0)</f>
        <v>13039.000000000002</v>
      </c>
      <c r="AB23" s="1105" t="str">
        <f>IF(ISNUMBER(D23),Population!D23,"")</f>
        <v/>
      </c>
      <c r="AC23" s="1105" t="str">
        <f>IF(ISNUMBER(E23),Population!E23,"")</f>
        <v/>
      </c>
      <c r="AD23" s="1105" t="str">
        <f>IF(ISNUMBER(F23),Population!F23,"")</f>
        <v/>
      </c>
      <c r="AE23" s="1105">
        <f>IF(ISNUMBER(G23),Population!G23,"")</f>
        <v>110700</v>
      </c>
      <c r="AF23" s="1105">
        <f>IF(ISNUMBER(H23),Population!H23,"")</f>
        <v>111200</v>
      </c>
      <c r="AH23" s="962" t="s">
        <v>14</v>
      </c>
      <c r="AI23" s="1041">
        <f t="shared" si="7"/>
        <v>25.975359342915809</v>
      </c>
      <c r="AJ23" s="206">
        <f t="shared" si="3"/>
        <v>5</v>
      </c>
      <c r="AK23" s="160"/>
      <c r="AL23" s="853" t="str">
        <f t="shared" si="8"/>
        <v>x</v>
      </c>
      <c r="AM23" s="853" t="str">
        <f t="shared" si="9"/>
        <v>x</v>
      </c>
      <c r="AN23" s="853" t="str">
        <f t="shared" si="10"/>
        <v>x</v>
      </c>
      <c r="AO23" s="853">
        <f t="shared" si="11"/>
        <v>0.24713958810068651</v>
      </c>
      <c r="AP23" s="853">
        <f t="shared" si="12"/>
        <v>0.24713958810068651</v>
      </c>
    </row>
    <row r="24" spans="1:42" s="87" customFormat="1" ht="13.5" customHeight="1" x14ac:dyDescent="0.2">
      <c r="A24" s="488">
        <f>VLOOKUP(B24,Sheet1!$AQ$4:$AR$25,2,FALSE)</f>
        <v>0</v>
      </c>
      <c r="B24" s="93" t="str">
        <f>Sheet1!$K$18</f>
        <v>Southampton</v>
      </c>
      <c r="C24" s="85"/>
      <c r="D24" s="100" t="str">
        <f>IF(Year1_Southampton Year1_Number_EHC_Plans="","",Year1_Southampton Year1_Number_EHC_Plans)</f>
        <v/>
      </c>
      <c r="E24" s="100" t="str">
        <f>IF(Year2_Southampton Year2_Number_EHC_Plans="","",Year2_Southampton Year2_Number_EHC_Plans)</f>
        <v/>
      </c>
      <c r="F24" s="100" t="str">
        <f>IF(Year3_Southampton Year3_Number_EHC_Plans="","",Year3_Southampton Year3_Number_EHC_Plans)</f>
        <v/>
      </c>
      <c r="G24" s="100">
        <f>IF(Year4_Southampton Year4_Number_EHC_Plans="","",Year4_Southampton Year4_Number_EHC_Plans)</f>
        <v>185</v>
      </c>
      <c r="H24" s="589">
        <f>IF(Year5_Southampton Year5_Number_EHC_Plans="","",Year5_Southampton Year5_Number_EHC_Plans)</f>
        <v>253</v>
      </c>
      <c r="I24" s="344">
        <f t="shared" si="5"/>
        <v>0.36756756756756759</v>
      </c>
      <c r="J24" s="96"/>
      <c r="K24" s="97" t="e">
        <f>IF(ISNUMBER(D24),D24/Population!J24*10000,NA())</f>
        <v>#N/A</v>
      </c>
      <c r="L24" s="97" t="e">
        <f>IF(ISNUMBER(E24),E24/Population!K24*10000,NA())</f>
        <v>#N/A</v>
      </c>
      <c r="M24" s="97" t="e">
        <f>IF(ISNUMBER(F24),F24/Population!L24*10000,NA())</f>
        <v>#N/A</v>
      </c>
      <c r="N24" s="97">
        <f>IF(ISNUMBER(G24),G24/Population!M24*10000,NA())</f>
        <v>18.668012108980829</v>
      </c>
      <c r="O24" s="98">
        <f>IF(ISNUMBER(H24),H24/Population!N24*10000,NA())</f>
        <v>25.975359342915809</v>
      </c>
      <c r="P24" s="99">
        <f t="shared" si="6"/>
        <v>25.975359342915809</v>
      </c>
      <c r="Q24" s="934">
        <f t="shared" si="0"/>
        <v>5</v>
      </c>
      <c r="R24" s="70"/>
      <c r="S24" s="340">
        <f>IDACI!C23</f>
        <v>20.5</v>
      </c>
      <c r="T24" s="341">
        <f t="shared" si="1"/>
        <v>21.497641525910993</v>
      </c>
      <c r="U24" s="342">
        <f t="shared" si="13"/>
        <v>4.477717817004816</v>
      </c>
      <c r="V24" s="122"/>
      <c r="W24" s="139"/>
      <c r="X24" s="152"/>
      <c r="Y24" s="1099" t="str">
        <f t="shared" si="2"/>
        <v>Southampton</v>
      </c>
      <c r="Z24" s="1097">
        <f>IF(ISNUMBER(H24),IDACI!D23,0)</f>
        <v>44295</v>
      </c>
      <c r="AA24" s="1098">
        <f>IF(ISNUMBER(H24),IDACI!E23,0)</f>
        <v>9080.4750000000004</v>
      </c>
      <c r="AB24" s="1105" t="str">
        <f>IF(ISNUMBER(D24),Population!D24,"")</f>
        <v/>
      </c>
      <c r="AC24" s="1105" t="str">
        <f>IF(ISNUMBER(E24),Population!E24,"")</f>
        <v/>
      </c>
      <c r="AD24" s="1105" t="str">
        <f>IF(ISNUMBER(F24),Population!F24,"")</f>
        <v/>
      </c>
      <c r="AE24" s="1105">
        <f>IF(ISNUMBER(G24),Population!G24,"")</f>
        <v>50800</v>
      </c>
      <c r="AF24" s="1105">
        <f>IF(ISNUMBER(H24),Population!H24,"")</f>
        <v>51300</v>
      </c>
      <c r="AH24" s="962" t="s">
        <v>7</v>
      </c>
      <c r="AI24" s="1041">
        <f t="shared" si="7"/>
        <v>39.929424538545064</v>
      </c>
      <c r="AJ24" s="206">
        <f t="shared" si="3"/>
        <v>15</v>
      </c>
      <c r="AK24" s="160"/>
      <c r="AL24" s="853" t="str">
        <f t="shared" si="8"/>
        <v>x</v>
      </c>
      <c r="AM24" s="853" t="str">
        <f t="shared" si="9"/>
        <v>x</v>
      </c>
      <c r="AN24" s="853" t="str">
        <f t="shared" si="10"/>
        <v>x</v>
      </c>
      <c r="AO24" s="853">
        <f t="shared" si="11"/>
        <v>0.36756756756756759</v>
      </c>
      <c r="AP24" s="853">
        <f t="shared" si="12"/>
        <v>0.36756756756756759</v>
      </c>
    </row>
    <row r="25" spans="1:42" s="87" customFormat="1" ht="13.5" customHeight="1" x14ac:dyDescent="0.2">
      <c r="A25" s="488">
        <f>VLOOKUP(B25,Sheet1!$AQ$4:$AR$25,2,FALSE)</f>
        <v>0</v>
      </c>
      <c r="B25" s="93" t="str">
        <f>Sheet1!$K$19</f>
        <v>Surrey</v>
      </c>
      <c r="C25" s="85"/>
      <c r="D25" s="100" t="str">
        <f>IF(Year1_Surrey Year1_Number_EHC_Plans="","",Year1_Surrey Year1_Number_EHC_Plans)</f>
        <v/>
      </c>
      <c r="E25" s="100" t="str">
        <f>IF(Year2_Surrey Year2_Number_EHC_Plans="","",Year2_Surrey Year2_Number_EHC_Plans)</f>
        <v/>
      </c>
      <c r="F25" s="100" t="str">
        <f>IF(Year3_Surrey Year3_Number_EHC_Plans="","",Year3_Surrey Year3_Number_EHC_Plans)</f>
        <v/>
      </c>
      <c r="G25" s="100">
        <f>IF(Year4_Surrey Year4_Number_EHC_Plans="","",Year4_Surrey Year4_Number_EHC_Plans)</f>
        <v>1382</v>
      </c>
      <c r="H25" s="589">
        <f>IF(Year5_Surrey Year5_Number_EHC_Plans="","",Year5_Surrey Year5_Number_EHC_Plans)</f>
        <v>1471</v>
      </c>
      <c r="I25" s="344">
        <f t="shared" si="5"/>
        <v>6.4399421128798845E-2</v>
      </c>
      <c r="J25" s="96"/>
      <c r="K25" s="97" t="e">
        <f>IF(ISNUMBER(D25),D25/Population!J25*10000,NA())</f>
        <v>#N/A</v>
      </c>
      <c r="L25" s="97" t="e">
        <f>IF(ISNUMBER(E25),E25/Population!K25*10000,NA())</f>
        <v>#N/A</v>
      </c>
      <c r="M25" s="97" t="e">
        <f>IF(ISNUMBER(F25),F25/Population!L25*10000,NA())</f>
        <v>#N/A</v>
      </c>
      <c r="N25" s="97">
        <f>IF(ISNUMBER(G25),G25/Population!M25*10000,NA())</f>
        <v>37.749248839114998</v>
      </c>
      <c r="O25" s="98">
        <f>IF(ISNUMBER(H25),H25/Population!N25*10000,NA())</f>
        <v>39.929424538545064</v>
      </c>
      <c r="P25" s="99">
        <f t="shared" si="6"/>
        <v>39.929424538545064</v>
      </c>
      <c r="Q25" s="934">
        <f t="shared" si="0"/>
        <v>15</v>
      </c>
      <c r="R25" s="70"/>
      <c r="S25" s="340">
        <f>IDACI!C24</f>
        <v>8.3000000000000007</v>
      </c>
      <c r="T25" s="341">
        <f t="shared" si="1"/>
        <v>20.489386906775213</v>
      </c>
      <c r="U25" s="342">
        <f t="shared" si="13"/>
        <v>19.440037631769851</v>
      </c>
      <c r="V25" s="122"/>
      <c r="W25" s="139"/>
      <c r="X25" s="152"/>
      <c r="Y25" s="1099" t="str">
        <f t="shared" si="2"/>
        <v>Surrey</v>
      </c>
      <c r="Z25" s="1097">
        <f>IF(ISNUMBER(H25),IDACI!D24,0)</f>
        <v>228466</v>
      </c>
      <c r="AA25" s="1098">
        <f>IF(ISNUMBER(H25),IDACI!E24,0)</f>
        <v>18962.678</v>
      </c>
      <c r="AB25" s="1105" t="str">
        <f>IF(ISNUMBER(D25),Population!D25,"")</f>
        <v/>
      </c>
      <c r="AC25" s="1105" t="str">
        <f>IF(ISNUMBER(E25),Population!E25,"")</f>
        <v/>
      </c>
      <c r="AD25" s="1105" t="str">
        <f>IF(ISNUMBER(F25),Population!F25,"")</f>
        <v/>
      </c>
      <c r="AE25" s="1105">
        <f>IF(ISNUMBER(G25),Population!G25,"")</f>
        <v>261900</v>
      </c>
      <c r="AF25" s="1105">
        <f>IF(ISNUMBER(H25),Population!H25,"")</f>
        <v>263800</v>
      </c>
      <c r="AH25" s="962" t="s">
        <v>15</v>
      </c>
      <c r="AI25" s="1041">
        <f t="shared" si="7"/>
        <v>32.700421940928265</v>
      </c>
      <c r="AJ25" s="206">
        <f t="shared" si="3"/>
        <v>11</v>
      </c>
      <c r="AK25" s="160"/>
      <c r="AL25" s="853" t="str">
        <f t="shared" si="8"/>
        <v>x</v>
      </c>
      <c r="AM25" s="853" t="str">
        <f t="shared" si="9"/>
        <v>x</v>
      </c>
      <c r="AN25" s="853" t="str">
        <f t="shared" si="10"/>
        <v>x</v>
      </c>
      <c r="AO25" s="853">
        <f t="shared" si="11"/>
        <v>6.4399421128798845E-2</v>
      </c>
      <c r="AP25" s="853">
        <f t="shared" si="12"/>
        <v>6.4399421128798845E-2</v>
      </c>
    </row>
    <row r="26" spans="1:42" s="87" customFormat="1" ht="13.5" customHeight="1" x14ac:dyDescent="0.2">
      <c r="A26" s="488">
        <f>VLOOKUP(B26,Sheet1!$AQ$4:$AR$25,2,FALSE)</f>
        <v>0</v>
      </c>
      <c r="B26" s="93" t="str">
        <f>Sheet1!$K$20</f>
        <v>Swindon</v>
      </c>
      <c r="C26" s="85"/>
      <c r="D26" s="100" t="str">
        <f>IF(Year1_Swindon Year1_Number_EHC_Plans="","",Year1_Swindon Year1_Number_EHC_Plans)</f>
        <v/>
      </c>
      <c r="E26" s="100" t="str">
        <f>IF(Year2_Swindon Year2_Number_EHC_Plans="","",Year2_Swindon Year2_Number_EHC_Plans)</f>
        <v/>
      </c>
      <c r="F26" s="100" t="str">
        <f>IF(Year3_Swindon Year3_Number_EHC_Plans="","",Year3_Swindon Year3_Number_EHC_Plans)</f>
        <v/>
      </c>
      <c r="G26" s="100">
        <f>IF(Year4_Swindon Year4_Number_EHC_Plans="","",Year4_Swindon Year4_Number_EHC_Plans)</f>
        <v>204</v>
      </c>
      <c r="H26" s="589">
        <f>IF(Year5_Swindon Year5_Number_EHC_Plans="","",Year5_Swindon Year5_Number_EHC_Plans)</f>
        <v>237</v>
      </c>
      <c r="I26" s="344">
        <f t="shared" si="5"/>
        <v>0.16176470588235295</v>
      </c>
      <c r="J26" s="96"/>
      <c r="K26" s="97" t="e">
        <f>IF(ISNUMBER(D26),D26/Population!J26*10000,NA())</f>
        <v>#N/A</v>
      </c>
      <c r="L26" s="97" t="e">
        <f>IF(ISNUMBER(E26),E26/Population!K26*10000,NA())</f>
        <v>#N/A</v>
      </c>
      <c r="M26" s="97" t="e">
        <f>IF(ISNUMBER(F26),F26/Population!L26*10000,NA())</f>
        <v>#N/A</v>
      </c>
      <c r="N26" s="97">
        <f>IF(ISNUMBER(G26),G26/Population!M26*10000,NA())</f>
        <v>29.694323144104803</v>
      </c>
      <c r="O26" s="98">
        <f>IF(ISNUMBER(H26),H26/Population!N26*10000,NA())</f>
        <v>34.649122807017548</v>
      </c>
      <c r="P26" s="99">
        <f t="shared" si="6"/>
        <v>34.649122807017548</v>
      </c>
      <c r="Q26" s="370" t="str">
        <f t="shared" si="0"/>
        <v>--</v>
      </c>
      <c r="R26" s="70"/>
      <c r="S26" s="340">
        <f>IDACI!C25</f>
        <v>14.899999999999999</v>
      </c>
      <c r="T26" s="341">
        <f t="shared" si="1"/>
        <v>21.034836126963423</v>
      </c>
      <c r="U26" s="342">
        <f t="shared" si="13"/>
        <v>13.614286680054125</v>
      </c>
      <c r="V26" s="122"/>
      <c r="W26" s="139"/>
      <c r="X26" s="152"/>
      <c r="Y26" s="1099" t="str">
        <f t="shared" si="2"/>
        <v>Swindon</v>
      </c>
      <c r="Z26" s="1097">
        <f>IF(ISNUMBER(H26),IDACI!D25,0)</f>
        <v>43899</v>
      </c>
      <c r="AA26" s="1098">
        <f>IF(ISNUMBER(H26),IDACI!E25,0)</f>
        <v>6540.951</v>
      </c>
      <c r="AB26" s="1105" t="str">
        <f>IF(ISNUMBER(D26),Population!D26,"")</f>
        <v/>
      </c>
      <c r="AC26" s="1105" t="str">
        <f>IF(ISNUMBER(E26),Population!E26,"")</f>
        <v/>
      </c>
      <c r="AD26" s="1105" t="str">
        <f>IF(ISNUMBER(F26),Population!F26,"")</f>
        <v/>
      </c>
      <c r="AE26" s="1105">
        <f>IF(ISNUMBER(G26),Population!G26,"")</f>
        <v>50200</v>
      </c>
      <c r="AF26" s="1105">
        <f>IF(ISNUMBER(H26),Population!H26,"")</f>
        <v>50400</v>
      </c>
      <c r="AH26" s="962" t="s">
        <v>5</v>
      </c>
      <c r="AI26" s="1041">
        <f t="shared" si="7"/>
        <v>31.939799331103682</v>
      </c>
      <c r="AJ26" s="206">
        <f t="shared" si="3"/>
        <v>9</v>
      </c>
      <c r="AK26" s="160"/>
      <c r="AL26" s="853" t="str">
        <f t="shared" si="8"/>
        <v>x</v>
      </c>
      <c r="AM26" s="853" t="str">
        <f t="shared" si="9"/>
        <v>x</v>
      </c>
      <c r="AN26" s="853" t="str">
        <f t="shared" si="10"/>
        <v>x</v>
      </c>
      <c r="AO26" s="853">
        <f t="shared" si="11"/>
        <v>0.16176470588235295</v>
      </c>
      <c r="AP26" s="853">
        <f t="shared" si="12"/>
        <v>0.16176470588235295</v>
      </c>
    </row>
    <row r="27" spans="1:42" s="87" customFormat="1" ht="13.5" customHeight="1" x14ac:dyDescent="0.2">
      <c r="A27" s="488">
        <f>VLOOKUP(B27,Sheet1!$AQ$4:$AR$25,2,FALSE)</f>
        <v>0</v>
      </c>
      <c r="B27" s="93" t="str">
        <f>Sheet1!$K$21</f>
        <v>Torbay</v>
      </c>
      <c r="C27" s="85"/>
      <c r="D27" s="100" t="str">
        <f>IF(Year1_Torbay Year1_Number_EHC_Plans="","",Year1_Torbay Year1_Number_EHC_Plans)</f>
        <v/>
      </c>
      <c r="E27" s="100" t="str">
        <f>IF(Year2_Torbay Year2_Number_EHC_Plans="","",Year2_Torbay Year2_Number_EHC_Plans)</f>
        <v/>
      </c>
      <c r="F27" s="100" t="str">
        <f>IF(Year3_Torbay Year3_Number_EHC_Plans="","",Year3_Torbay Year3_Number_EHC_Plans)</f>
        <v/>
      </c>
      <c r="G27" s="100">
        <f>IF(Year4_Torbay Year4_Number_EHC_Plans="","",Year4_Torbay Year4_Number_EHC_Plans)</f>
        <v>180</v>
      </c>
      <c r="H27" s="589">
        <f>IF(Year5_Torbay Year5_Number_EHC_Plans="","",Year5_Torbay Year5_Number_EHC_Plans)</f>
        <v>188</v>
      </c>
      <c r="I27" s="344">
        <f t="shared" si="5"/>
        <v>4.4444444444444446E-2</v>
      </c>
      <c r="J27" s="96"/>
      <c r="K27" s="97" t="e">
        <f>IF(ISNUMBER(D27),D27/Population!J27*10000,NA())</f>
        <v>#N/A</v>
      </c>
      <c r="L27" s="97" t="e">
        <f>IF(ISNUMBER(E27),E27/Population!K27*10000,NA())</f>
        <v>#N/A</v>
      </c>
      <c r="M27" s="97" t="e">
        <f>IF(ISNUMBER(F27),F27/Population!L27*10000,NA())</f>
        <v>#N/A</v>
      </c>
      <c r="N27" s="97">
        <f>IF(ISNUMBER(G27),G27/Population!M27*10000,NA())</f>
        <v>50.420168067226896</v>
      </c>
      <c r="O27" s="98">
        <f>IF(ISNUMBER(H27),H27/Population!N27*10000,NA())</f>
        <v>53.257790368271948</v>
      </c>
      <c r="P27" s="99">
        <f t="shared" si="6"/>
        <v>53.257790368271948</v>
      </c>
      <c r="Q27" s="370" t="str">
        <f t="shared" si="0"/>
        <v>--</v>
      </c>
      <c r="R27" s="70"/>
      <c r="S27" s="340">
        <f>IDACI!C26</f>
        <v>21.9</v>
      </c>
      <c r="T27" s="341">
        <f t="shared" si="1"/>
        <v>21.613342875647888</v>
      </c>
      <c r="U27" s="342">
        <f t="shared" si="13"/>
        <v>31.64444749262406</v>
      </c>
      <c r="V27" s="122"/>
      <c r="W27" s="139"/>
      <c r="X27" s="152"/>
      <c r="Y27" s="1099" t="str">
        <f t="shared" si="2"/>
        <v>Torbay</v>
      </c>
      <c r="Z27" s="1097">
        <f>IF(ISNUMBER(H27),IDACI!D26,0)</f>
        <v>22257</v>
      </c>
      <c r="AA27" s="1098">
        <f>IF(ISNUMBER(H27),IDACI!E26,0)</f>
        <v>4874.2829999999994</v>
      </c>
      <c r="AB27" s="1105" t="str">
        <f>IF(ISNUMBER(D27),Population!D27,"")</f>
        <v/>
      </c>
      <c r="AC27" s="1105" t="str">
        <f>IF(ISNUMBER(E27),Population!E27,"")</f>
        <v/>
      </c>
      <c r="AD27" s="1105" t="str">
        <f>IF(ISNUMBER(F27),Population!F27,"")</f>
        <v/>
      </c>
      <c r="AE27" s="1105">
        <f>IF(ISNUMBER(G27),Population!G27,"")</f>
        <v>25400</v>
      </c>
      <c r="AF27" s="1105">
        <f>IF(ISNUMBER(H27),Population!H27,"")</f>
        <v>25600</v>
      </c>
      <c r="AH27" s="962" t="s">
        <v>30</v>
      </c>
      <c r="AI27" s="1041">
        <f t="shared" si="7"/>
        <v>33.406593406593409</v>
      </c>
      <c r="AJ27" s="206">
        <f t="shared" si="3"/>
        <v>12</v>
      </c>
      <c r="AK27" s="160"/>
      <c r="AL27" s="853" t="str">
        <f t="shared" si="8"/>
        <v>x</v>
      </c>
      <c r="AM27" s="853" t="str">
        <f t="shared" si="9"/>
        <v>x</v>
      </c>
      <c r="AN27" s="853" t="str">
        <f t="shared" si="10"/>
        <v>x</v>
      </c>
      <c r="AO27" s="853">
        <f t="shared" si="11"/>
        <v>4.4444444444444446E-2</v>
      </c>
      <c r="AP27" s="853">
        <f t="shared" si="12"/>
        <v>4.4444444444444446E-2</v>
      </c>
    </row>
    <row r="28" spans="1:42" s="87" customFormat="1" ht="13.5" customHeight="1" x14ac:dyDescent="0.2">
      <c r="A28" s="488">
        <f>VLOOKUP(B28,Sheet1!$AQ$4:$AR$25,2,FALSE)</f>
        <v>0</v>
      </c>
      <c r="B28" s="93" t="str">
        <f>Sheet1!$K$22</f>
        <v>West Berkshire</v>
      </c>
      <c r="C28" s="85"/>
      <c r="D28" s="100" t="str">
        <f>IF(Year1_West_Berkshire Year1_Number_EHC_Plans="","",Year1_West_Berkshire Year1_Number_EHC_Plans)</f>
        <v/>
      </c>
      <c r="E28" s="100" t="str">
        <f>IF(Year2_West_Berkshire Year2_Number_EHC_Plans="","",Year2_West_Berkshire Year2_Number_EHC_Plans)</f>
        <v/>
      </c>
      <c r="F28" s="100" t="str">
        <f>IF(Year3_West_Berkshire Year3_Number_EHC_Plans="","",Year3_West_Berkshire Year3_Number_EHC_Plans)</f>
        <v/>
      </c>
      <c r="G28" s="100">
        <f>IF(Year4_West_Berkshire Year4_Number_EHC_Plans="","",Year4_West_Berkshire Year4_Number_EHC_Plans)</f>
        <v>115</v>
      </c>
      <c r="H28" s="589">
        <f>IF(Year5_West_Berkshire Year5_Number_EHC_Plans="","",Year5_West_Berkshire Year5_Number_EHC_Plans)</f>
        <v>155</v>
      </c>
      <c r="I28" s="344">
        <f t="shared" si="5"/>
        <v>0.34782608695652173</v>
      </c>
      <c r="J28" s="96"/>
      <c r="K28" s="97" t="e">
        <f>IF(ISNUMBER(D28),D28/Population!J28*10000,NA())</f>
        <v>#N/A</v>
      </c>
      <c r="L28" s="97" t="e">
        <f>IF(ISNUMBER(E28),E28/Population!K28*10000,NA())</f>
        <v>#N/A</v>
      </c>
      <c r="M28" s="97" t="e">
        <f>IF(ISNUMBER(F28),F28/Population!L28*10000,NA())</f>
        <v>#N/A</v>
      </c>
      <c r="N28" s="97">
        <f>IF(ISNUMBER(G28),G28/Population!M28*10000,NA())</f>
        <v>24.109014675052411</v>
      </c>
      <c r="O28" s="98">
        <f>IF(ISNUMBER(H28),H28/Population!N28*10000,NA())</f>
        <v>32.700421940928265</v>
      </c>
      <c r="P28" s="99">
        <f t="shared" si="6"/>
        <v>32.700421940928265</v>
      </c>
      <c r="Q28" s="934">
        <f t="shared" si="0"/>
        <v>11</v>
      </c>
      <c r="R28" s="70"/>
      <c r="S28" s="340">
        <f>IDACI!C27</f>
        <v>8.6999999999999993</v>
      </c>
      <c r="T28" s="341">
        <f t="shared" si="1"/>
        <v>20.522444435271471</v>
      </c>
      <c r="U28" s="342">
        <f t="shared" si="13"/>
        <v>12.177977505656795</v>
      </c>
      <c r="V28" s="122"/>
      <c r="W28" s="139"/>
      <c r="X28" s="152"/>
      <c r="Y28" s="1099" t="str">
        <f t="shared" si="2"/>
        <v>West Berkshire</v>
      </c>
      <c r="Z28" s="1097">
        <f>IF(ISNUMBER(H28),IDACI!D27,0)</f>
        <v>31625</v>
      </c>
      <c r="AA28" s="1098">
        <f>IF(ISNUMBER(H28),IDACI!E27,0)</f>
        <v>2751.375</v>
      </c>
      <c r="AB28" s="1105" t="str">
        <f>IF(ISNUMBER(D28),Population!D28,"")</f>
        <v/>
      </c>
      <c r="AC28" s="1105" t="str">
        <f>IF(ISNUMBER(E28),Population!E28,"")</f>
        <v/>
      </c>
      <c r="AD28" s="1105" t="str">
        <f>IF(ISNUMBER(F28),Population!F28,"")</f>
        <v/>
      </c>
      <c r="AE28" s="1105">
        <f>IF(ISNUMBER(G28),Population!G28,"")</f>
        <v>35600</v>
      </c>
      <c r="AF28" s="1105">
        <f>IF(ISNUMBER(H28),Population!H28,"")</f>
        <v>35600</v>
      </c>
      <c r="AH28" s="962" t="s">
        <v>16</v>
      </c>
      <c r="AI28" s="1041">
        <f t="shared" si="7"/>
        <v>30.09345794392523</v>
      </c>
      <c r="AJ28" s="206">
        <f t="shared" si="3"/>
        <v>8</v>
      </c>
      <c r="AK28" s="160"/>
      <c r="AL28" s="853" t="str">
        <f t="shared" si="8"/>
        <v>x</v>
      </c>
      <c r="AM28" s="853" t="str">
        <f t="shared" si="9"/>
        <v>x</v>
      </c>
      <c r="AN28" s="853" t="str">
        <f t="shared" si="10"/>
        <v>x</v>
      </c>
      <c r="AO28" s="853">
        <f t="shared" si="11"/>
        <v>0.34782608695652173</v>
      </c>
      <c r="AP28" s="853">
        <f t="shared" si="12"/>
        <v>0.34782608695652173</v>
      </c>
    </row>
    <row r="29" spans="1:42" s="87" customFormat="1" ht="13.5" customHeight="1" x14ac:dyDescent="0.2">
      <c r="A29" s="488">
        <f>VLOOKUP(B29,Sheet1!$AQ$4:$AR$25,2,FALSE)</f>
        <v>0</v>
      </c>
      <c r="B29" s="93" t="str">
        <f>Sheet1!$K$23</f>
        <v>West Sussex</v>
      </c>
      <c r="C29" s="85"/>
      <c r="D29" s="100" t="str">
        <f>IF(Year1_West_Sussex Year1_Number_EHC_Plans="","",Year1_West_Sussex Year1_Number_EHC_Plans)</f>
        <v/>
      </c>
      <c r="E29" s="100" t="str">
        <f>IF(Year2_West_Sussex Year2_Number_EHC_Plans="","",Year2_West_Sussex Year2_Number_EHC_Plans)</f>
        <v/>
      </c>
      <c r="F29" s="100" t="str">
        <f>IF(Year3_West_Sussex Year3_Number_EHC_Plans="","",Year3_West_Sussex Year3_Number_EHC_Plans)</f>
        <v/>
      </c>
      <c r="G29" s="100">
        <f>IF(Year4_West_Sussex Year4_Number_EHC_Plans="","",Year4_West_Sussex Year4_Number_EHC_Plans)</f>
        <v>615</v>
      </c>
      <c r="H29" s="589">
        <f>IF(Year5_West_Sussex Year5_Number_EHC_Plans="","",Year5_West_Sussex Year5_Number_EHC_Plans)</f>
        <v>764</v>
      </c>
      <c r="I29" s="344">
        <f t="shared" si="5"/>
        <v>0.24227642276422764</v>
      </c>
      <c r="J29" s="96"/>
      <c r="K29" s="97" t="e">
        <f>IF(ISNUMBER(D29),D29/Population!J29*10000,NA())</f>
        <v>#N/A</v>
      </c>
      <c r="L29" s="97" t="e">
        <f>IF(ISNUMBER(E29),E29/Population!K29*10000,NA())</f>
        <v>#N/A</v>
      </c>
      <c r="M29" s="97" t="e">
        <f>IF(ISNUMBER(F29),F29/Population!L29*10000,NA())</f>
        <v>#N/A</v>
      </c>
      <c r="N29" s="97">
        <f>IF(ISNUMBER(G29),G29/Population!M29*10000,NA())</f>
        <v>25.721455457967377</v>
      </c>
      <c r="O29" s="98">
        <f>IF(ISNUMBER(H29),H29/Population!N29*10000,NA())</f>
        <v>31.939799331103682</v>
      </c>
      <c r="P29" s="99">
        <f t="shared" si="6"/>
        <v>31.939799331103682</v>
      </c>
      <c r="Q29" s="934">
        <f t="shared" si="0"/>
        <v>9</v>
      </c>
      <c r="R29" s="70"/>
      <c r="S29" s="340">
        <f>IDACI!C28</f>
        <v>11</v>
      </c>
      <c r="T29" s="341">
        <f t="shared" si="1"/>
        <v>20.712525224124935</v>
      </c>
      <c r="U29" s="342">
        <f t="shared" si="13"/>
        <v>11.227274106978747</v>
      </c>
      <c r="V29" s="122"/>
      <c r="W29" s="139"/>
      <c r="X29" s="152"/>
      <c r="Y29" s="1099" t="str">
        <f t="shared" si="2"/>
        <v>West Sussex</v>
      </c>
      <c r="Z29" s="1097">
        <f>IF(ISNUMBER(H29),IDACI!D28,0)</f>
        <v>151487</v>
      </c>
      <c r="AA29" s="1098">
        <f>IF(ISNUMBER(H29),IDACI!E28,0)</f>
        <v>16663.57</v>
      </c>
      <c r="AB29" s="1105" t="str">
        <f>IF(ISNUMBER(D29),Population!D29,"")</f>
        <v/>
      </c>
      <c r="AC29" s="1105" t="str">
        <f>IF(ISNUMBER(E29),Population!E29,"")</f>
        <v/>
      </c>
      <c r="AD29" s="1105" t="str">
        <f>IF(ISNUMBER(F29),Population!F29,"")</f>
        <v/>
      </c>
      <c r="AE29" s="1105">
        <f>IF(ISNUMBER(G29),Population!G29,"")</f>
        <v>174700</v>
      </c>
      <c r="AF29" s="1105">
        <f>IF(ISNUMBER(H29),Population!H29,"")</f>
        <v>176100</v>
      </c>
      <c r="AG29" s="202"/>
      <c r="AH29" s="202"/>
      <c r="AI29" s="190"/>
      <c r="AJ29" s="202"/>
      <c r="AK29" s="160"/>
      <c r="AL29" s="853" t="str">
        <f t="shared" si="8"/>
        <v>x</v>
      </c>
      <c r="AM29" s="853" t="str">
        <f t="shared" si="9"/>
        <v>x</v>
      </c>
      <c r="AN29" s="853" t="str">
        <f t="shared" si="10"/>
        <v>x</v>
      </c>
      <c r="AO29" s="853">
        <f t="shared" si="11"/>
        <v>0.24227642276422764</v>
      </c>
      <c r="AP29" s="853">
        <f t="shared" si="12"/>
        <v>0.24227642276422764</v>
      </c>
    </row>
    <row r="30" spans="1:42" s="87" customFormat="1" ht="13.5" customHeight="1" x14ac:dyDescent="0.2">
      <c r="A30" s="488">
        <f>VLOOKUP(B30,Sheet1!$AQ$4:$AR$25,2,FALSE)</f>
        <v>0</v>
      </c>
      <c r="B30" s="93" t="str">
        <f>Sheet1!$K$24</f>
        <v>Windsor &amp; Maidenhead</v>
      </c>
      <c r="C30" s="85"/>
      <c r="D30" s="100" t="str">
        <f>IF(Year1_Windsor_Maidenhead Year1_Number_EHC_Plans="","",Year1_Windsor_Maidenhead Year1_Number_EHC_Plans)</f>
        <v/>
      </c>
      <c r="E30" s="100" t="str">
        <f>IF(Year2_Windsor_Maidenhead Year2_Number_EHC_Plans="","",Year2_Windsor_Maidenhead Year2_Number_EHC_Plans)</f>
        <v/>
      </c>
      <c r="F30" s="100" t="str">
        <f>IF(Year3_Windsor_Maidenhead Year3_Number_EHC_Plans="","",Year3_Windsor_Maidenhead Year3_Number_EHC_Plans)</f>
        <v/>
      </c>
      <c r="G30" s="100">
        <f>IF(Year4_Windsor_Maidenhead Year4_Number_EHC_Plans="","",Year4_Windsor_Maidenhead Year4_Number_EHC_Plans)</f>
        <v>116</v>
      </c>
      <c r="H30" s="589">
        <f>IF(Year5_Windsor_Maidenhead Year5_Number_EHC_Plans="","",Year5_Windsor_Maidenhead Year5_Number_EHC_Plans)</f>
        <v>152</v>
      </c>
      <c r="I30" s="344">
        <f t="shared" si="5"/>
        <v>0.31034482758620691</v>
      </c>
      <c r="J30" s="96"/>
      <c r="K30" s="97" t="e">
        <f>IF(ISNUMBER(D30),D30/Population!J30*10000,NA())</f>
        <v>#N/A</v>
      </c>
      <c r="L30" s="97" t="e">
        <f>IF(ISNUMBER(E30),E30/Population!K30*10000,NA())</f>
        <v>#N/A</v>
      </c>
      <c r="M30" s="97" t="e">
        <f>IF(ISNUMBER(F30),F30/Population!L30*10000,NA())</f>
        <v>#N/A</v>
      </c>
      <c r="N30" s="97">
        <f>IF(ISNUMBER(G30),G30/Population!M30*10000,NA())</f>
        <v>25.663716814159294</v>
      </c>
      <c r="O30" s="98">
        <f>IF(ISNUMBER(H30),H30/Population!N30*10000,NA())</f>
        <v>33.406593406593409</v>
      </c>
      <c r="P30" s="99">
        <f t="shared" si="6"/>
        <v>33.406593406593409</v>
      </c>
      <c r="Q30" s="934">
        <f t="shared" si="0"/>
        <v>12</v>
      </c>
      <c r="R30" s="70"/>
      <c r="S30" s="340">
        <f>IDACI!C29</f>
        <v>6.7</v>
      </c>
      <c r="T30" s="341">
        <f t="shared" si="1"/>
        <v>20.357156792790192</v>
      </c>
      <c r="U30" s="342">
        <f t="shared" si="13"/>
        <v>13.049436613803216</v>
      </c>
      <c r="V30" s="122"/>
      <c r="W30" s="139"/>
      <c r="X30" s="152"/>
      <c r="Y30" s="1099" t="str">
        <f t="shared" si="2"/>
        <v>Windsor &amp; Maidenhead</v>
      </c>
      <c r="Z30" s="1097">
        <f>IF(ISNUMBER(H30),IDACI!D29,0)</f>
        <v>29792</v>
      </c>
      <c r="AA30" s="1098">
        <f>IF(ISNUMBER(H30),IDACI!E29,0)</f>
        <v>1996.0640000000001</v>
      </c>
      <c r="AB30" s="1105" t="str">
        <f>IF(ISNUMBER(D30),Population!D30,"")</f>
        <v/>
      </c>
      <c r="AC30" s="1105" t="str">
        <f>IF(ISNUMBER(E30),Population!E30,"")</f>
        <v/>
      </c>
      <c r="AD30" s="1105" t="str">
        <f>IF(ISNUMBER(F30),Population!F30,"")</f>
        <v/>
      </c>
      <c r="AE30" s="1105">
        <f>IF(ISNUMBER(G30),Population!G30,"")</f>
        <v>34600</v>
      </c>
      <c r="AF30" s="1105">
        <f>IF(ISNUMBER(H30),Population!H30,"")</f>
        <v>34700</v>
      </c>
      <c r="AG30" s="202"/>
      <c r="AH30" s="202"/>
      <c r="AI30" s="190"/>
      <c r="AJ30" s="202"/>
      <c r="AK30" s="160"/>
      <c r="AL30" s="853" t="str">
        <f t="shared" si="8"/>
        <v>x</v>
      </c>
      <c r="AM30" s="853" t="str">
        <f t="shared" si="9"/>
        <v>x</v>
      </c>
      <c r="AN30" s="853" t="str">
        <f t="shared" si="10"/>
        <v>x</v>
      </c>
      <c r="AO30" s="853">
        <f t="shared" si="11"/>
        <v>0.31034482758620691</v>
      </c>
      <c r="AP30" s="853">
        <f t="shared" si="12"/>
        <v>0.31034482758620691</v>
      </c>
    </row>
    <row r="31" spans="1:42" s="87" customFormat="1" ht="13.5" customHeight="1" x14ac:dyDescent="0.2">
      <c r="A31" s="488">
        <f>VLOOKUP(B31,Sheet1!$AQ$4:$AR$25,2,FALSE)</f>
        <v>0</v>
      </c>
      <c r="B31" s="93" t="str">
        <f>Sheet1!$K$25</f>
        <v>Wokingham</v>
      </c>
      <c r="C31" s="85"/>
      <c r="D31" s="100" t="str">
        <f>IF(Year1_Wokingham Year1_Number_EHC_Plans="","",Year1_Wokingham Year1_Number_EHC_Plans)</f>
        <v/>
      </c>
      <c r="E31" s="100" t="str">
        <f>IF(Year2_Wokingham Year2_Number_EHC_Plans="","",Year2_Wokingham Year2_Number_EHC_Plans)</f>
        <v/>
      </c>
      <c r="F31" s="100" t="str">
        <f>IF(Year3_Wokingham Year3_Number_EHC_Plans="","",Year3_Wokingham Year3_Number_EHC_Plans)</f>
        <v/>
      </c>
      <c r="G31" s="100">
        <f>IF(Year4_Wokingham Year4_Number_EHC_Plans="","",Year4_Wokingham Year4_Number_EHC_Plans)</f>
        <v>107</v>
      </c>
      <c r="H31" s="589">
        <f>IF(Year5_Wokingham Year5_Number_EHC_Plans="","",Year5_Wokingham Year5_Number_EHC_Plans)</f>
        <v>161</v>
      </c>
      <c r="I31" s="344">
        <f t="shared" si="5"/>
        <v>0.50467289719626163</v>
      </c>
      <c r="J31" s="96"/>
      <c r="K31" s="97" t="e">
        <f>IF(ISNUMBER(D31),D31/Population!J31*10000,NA())</f>
        <v>#N/A</v>
      </c>
      <c r="L31" s="97" t="e">
        <f>IF(ISNUMBER(E31),E31/Population!K31*10000,NA())</f>
        <v>#N/A</v>
      </c>
      <c r="M31" s="97" t="e">
        <f>IF(ISNUMBER(F31),F31/Population!L31*10000,NA())</f>
        <v>#N/A</v>
      </c>
      <c r="N31" s="97">
        <f>IF(ISNUMBER(G31),G31/Population!M31*10000,NA())</f>
        <v>20.458891013384321</v>
      </c>
      <c r="O31" s="98">
        <f>IF(ISNUMBER(H31),H31/Population!N31*10000,NA())</f>
        <v>30.09345794392523</v>
      </c>
      <c r="P31" s="99">
        <f t="shared" si="6"/>
        <v>30.09345794392523</v>
      </c>
      <c r="Q31" s="934">
        <f t="shared" si="0"/>
        <v>8</v>
      </c>
      <c r="R31" s="70"/>
      <c r="S31" s="340">
        <f>IDACI!C30</f>
        <v>5.6000000000000005</v>
      </c>
      <c r="T31" s="341">
        <f t="shared" si="1"/>
        <v>20.266248589425491</v>
      </c>
      <c r="U31" s="342">
        <f>O31-T31</f>
        <v>9.8272093544997396</v>
      </c>
      <c r="V31" s="122"/>
      <c r="W31" s="139"/>
      <c r="X31" s="152"/>
      <c r="Y31" s="1099" t="str">
        <f t="shared" si="2"/>
        <v>Wokingham</v>
      </c>
      <c r="Z31" s="1097">
        <f>IF(ISNUMBER(H31),IDACI!D30,0)</f>
        <v>33327</v>
      </c>
      <c r="AA31" s="1098">
        <f>IF(ISNUMBER(H31),IDACI!E30,0)</f>
        <v>1866.3120000000004</v>
      </c>
      <c r="AB31" s="1105" t="str">
        <f>IF(ISNUMBER(D31),Population!D31,"")</f>
        <v/>
      </c>
      <c r="AC31" s="1105" t="str">
        <f>IF(ISNUMBER(E31),Population!E31,"")</f>
        <v/>
      </c>
      <c r="AD31" s="1105" t="str">
        <f>IF(ISNUMBER(F31),Population!F31,"")</f>
        <v/>
      </c>
      <c r="AE31" s="1105">
        <f>IF(ISNUMBER(G31),Population!G31,"")</f>
        <v>39500</v>
      </c>
      <c r="AF31" s="1105">
        <f>IF(ISNUMBER(H31),Population!H31,"")</f>
        <v>40400</v>
      </c>
      <c r="AG31" s="202"/>
      <c r="AH31" s="202"/>
      <c r="AI31" s="190"/>
      <c r="AJ31" s="202"/>
      <c r="AK31" s="160"/>
      <c r="AL31" s="853" t="str">
        <f t="shared" si="8"/>
        <v>x</v>
      </c>
      <c r="AM31" s="853" t="str">
        <f t="shared" si="9"/>
        <v>x</v>
      </c>
      <c r="AN31" s="853" t="str">
        <f t="shared" si="10"/>
        <v>x</v>
      </c>
      <c r="AO31" s="853">
        <f t="shared" si="11"/>
        <v>0.50467289719626163</v>
      </c>
      <c r="AP31" s="853">
        <f>AVERAGE(AL31:AO31)</f>
        <v>0.50467289719626163</v>
      </c>
    </row>
    <row r="32" spans="1:42" s="87" customFormat="1" ht="13.5" customHeight="1" x14ac:dyDescent="0.2">
      <c r="A32" s="121"/>
      <c r="B32" s="129" t="str">
        <f>Sheet1!$K$26</f>
        <v>South East</v>
      </c>
      <c r="C32" s="85"/>
      <c r="D32" s="130" t="str">
        <f>IF(Year1_SouthEast Year1_Number_EHC_Plans="","",Year1_SouthEast Year1_Number_EHC_Plans)</f>
        <v/>
      </c>
      <c r="E32" s="130" t="str">
        <f>IF(Year2_SouthEast Year2_Number_EHC_Plans="","",Year2_SouthEast Year2_Number_EHC_Plans)</f>
        <v/>
      </c>
      <c r="F32" s="130" t="str">
        <f>IF(Year3_SouthEast Year3_Number_EHC_Plans="","",Year3_SouthEast Year3_Number_EHC_Plans)</f>
        <v/>
      </c>
      <c r="G32" s="130">
        <f>IF(Year4_SouthEast Year4_Number_EHC_Plans="","",Year4_SouthEast Year4_Number_EHC_Plans)</f>
        <v>8324</v>
      </c>
      <c r="H32" s="131">
        <f>IF(Year5_SouthEast Year5_Number_EHC_Plans="","",Year5_SouthEast Year5_Number_EHC_Plans)</f>
        <v>9281</v>
      </c>
      <c r="I32" s="357">
        <f>AP32</f>
        <v>0.10828755872634641</v>
      </c>
      <c r="J32" s="96"/>
      <c r="K32" s="2016" t="e">
        <f>IF(ISNUMBER(D32),D32/AB32*10000,NA())</f>
        <v>#N/A</v>
      </c>
      <c r="L32" s="2016" t="e">
        <f t="shared" ref="L32:N32" si="14">IF(ISNUMBER(E32),E32/AC32*10000,NA())</f>
        <v>#N/A</v>
      </c>
      <c r="M32" s="2016" t="e">
        <f t="shared" si="14"/>
        <v>#N/A</v>
      </c>
      <c r="N32" s="132">
        <f t="shared" si="14"/>
        <v>42.52579952998876</v>
      </c>
      <c r="O32" s="133">
        <f>IF(ISNUMBER(H32),H32/AF32*10000,NA())</f>
        <v>47.130814543977252</v>
      </c>
      <c r="P32" s="99">
        <f t="shared" si="6"/>
        <v>47.130814543977252</v>
      </c>
      <c r="Q32" s="336" t="str">
        <f t="shared" si="0"/>
        <v>--</v>
      </c>
      <c r="R32" s="70"/>
      <c r="S32" s="338">
        <f>AA32/Z32*100</f>
        <v>12.371268250968637</v>
      </c>
      <c r="T32" s="132">
        <f>(S32*$Z$44)+$AA$44/$Y$2</f>
        <v>20.825852072330949</v>
      </c>
      <c r="U32" s="343">
        <f>O32-T32</f>
        <v>26.304962471646302</v>
      </c>
      <c r="V32" s="122"/>
      <c r="W32" s="139"/>
      <c r="X32" s="152"/>
      <c r="Y32" s="1099" t="str">
        <f t="shared" si="2"/>
        <v>South East</v>
      </c>
      <c r="Z32" s="1097">
        <f>SUM(Z24:Z25,Z10:Z22,Z28:Z31)</f>
        <v>1704978</v>
      </c>
      <c r="AA32" s="1098">
        <f>SUM(AA24:AA25,AA10:AA22,AA28:AA31)</f>
        <v>210927.40200000003</v>
      </c>
      <c r="AB32" s="1105">
        <f>SUM(AB10:AB22,AB24:AB25,AB28:AB31)</f>
        <v>0</v>
      </c>
      <c r="AC32" s="1105">
        <f t="shared" ref="AC32:AE32" si="15">SUM(AC10:AC22,AC24:AC25,AC28:AC31)</f>
        <v>0</v>
      </c>
      <c r="AD32" s="1105">
        <f t="shared" si="15"/>
        <v>0</v>
      </c>
      <c r="AE32" s="1105">
        <f t="shared" si="15"/>
        <v>1957400</v>
      </c>
      <c r="AF32" s="1105">
        <f>SUM(AF10:AF22,AF24:AF25,AF28:AF31)</f>
        <v>1969200</v>
      </c>
      <c r="AG32" s="202"/>
      <c r="AH32" s="202"/>
      <c r="AI32" s="190"/>
      <c r="AJ32" s="202"/>
      <c r="AK32" s="160"/>
      <c r="AL32" s="853" t="str">
        <f>IF(ISERROR((L32-K32)/K32),"x",(L32-K32)/K32)</f>
        <v>x</v>
      </c>
      <c r="AM32" s="853" t="str">
        <f t="shared" ref="AM32:AO32" si="16">IF(ISERROR((M32-L32)/L32),"x",(M32-L32)/L32)</f>
        <v>x</v>
      </c>
      <c r="AN32" s="853" t="str">
        <f t="shared" si="16"/>
        <v>x</v>
      </c>
      <c r="AO32" s="853">
        <f t="shared" si="16"/>
        <v>0.10828755872634641</v>
      </c>
      <c r="AP32" s="853">
        <f>AVERAGE(AL32:AO32)</f>
        <v>0.10828755872634641</v>
      </c>
    </row>
    <row r="33" spans="1:69" s="87" customFormat="1" ht="13.5" customHeight="1" x14ac:dyDescent="0.2">
      <c r="A33" s="292"/>
      <c r="B33" s="329" t="str">
        <f>Sheet1!$K$27</f>
        <v>England</v>
      </c>
      <c r="C33" s="85"/>
      <c r="D33" s="330" t="str">
        <f>IF(Year1_England Year1_Number_EHC_Plans="","",Year1_England Year1_Number_EHC_Plans)</f>
        <v/>
      </c>
      <c r="E33" s="330" t="str">
        <f>IF(Year2_England Year2_Number_EHC_Plans="","",Year2_England Year2_Number_EHC_Plans)</f>
        <v/>
      </c>
      <c r="F33" s="330" t="str">
        <f>IF(Year3_England Year3_Number_EHC_Plans="","",Year3_England Year3_Number_EHC_Plans)</f>
        <v/>
      </c>
      <c r="G33" s="330">
        <f>IF(Year4_England Year4_Number_EHC_Plans="","",Year4_England Year4_Number_EHC_Plans)</f>
        <v>48543</v>
      </c>
      <c r="H33" s="331">
        <f>IF(Year5_England Year5_Number_EHC_Plans="","",Year5_England Year5_Number_EHC_Plans)</f>
        <v>53327</v>
      </c>
      <c r="I33" s="358">
        <f t="shared" si="5"/>
        <v>9.8551799435551979E-2</v>
      </c>
      <c r="J33" s="96"/>
      <c r="K33" s="332" t="e">
        <f>IF(ISNUMBER(D33),D33/Population!J33*10000,NA())</f>
        <v>#N/A</v>
      </c>
      <c r="L33" s="332" t="e">
        <f>IF(ISNUMBER(E33),E33/Population!K33*10000,NA())</f>
        <v>#N/A</v>
      </c>
      <c r="M33" s="332" t="e">
        <f>IF(ISNUMBER(F33),F33/Population!L33*10000,NA())</f>
        <v>#N/A</v>
      </c>
      <c r="N33" s="332">
        <f>IF(ISNUMBER(G33),G33/Population!M33*10000,NA())</f>
        <v>27.749957125707425</v>
      </c>
      <c r="O33" s="332">
        <f>IF(ISNUMBER(H33),H33/Population!N33*10000,NA())</f>
        <v>30.453777097562647</v>
      </c>
      <c r="P33" s="99">
        <f t="shared" si="6"/>
        <v>30.453777097562647</v>
      </c>
      <c r="Q33" s="337" t="str">
        <f t="shared" si="0"/>
        <v>--</v>
      </c>
      <c r="R33" s="70"/>
      <c r="S33" s="339">
        <f>IDACI!C32</f>
        <v>17.084413405029373</v>
      </c>
      <c r="T33" s="332">
        <f>(S33*$Z$44)+$AA$44/$Y$2</f>
        <v>21.215364397924322</v>
      </c>
      <c r="U33" s="1505">
        <f>O33-T33</f>
        <v>9.2384126996383245</v>
      </c>
      <c r="V33" s="122"/>
      <c r="W33" s="139"/>
      <c r="X33" s="152"/>
      <c r="Y33" s="80"/>
      <c r="Z33" s="184"/>
      <c r="AA33" s="184"/>
      <c r="AB33" s="184"/>
      <c r="AC33" s="184"/>
      <c r="AD33" s="184"/>
      <c r="AE33" s="184"/>
      <c r="AF33" s="184"/>
      <c r="AG33" s="184"/>
      <c r="AH33" s="202"/>
      <c r="AI33" s="190"/>
      <c r="AJ33" s="202"/>
      <c r="AK33" s="160"/>
      <c r="AL33" s="853" t="str">
        <f t="shared" si="8"/>
        <v>x</v>
      </c>
      <c r="AM33" s="853" t="str">
        <f t="shared" si="9"/>
        <v>x</v>
      </c>
      <c r="AN33" s="853" t="str">
        <f t="shared" si="10"/>
        <v>x</v>
      </c>
      <c r="AO33" s="853">
        <f t="shared" si="11"/>
        <v>9.8551799435551979E-2</v>
      </c>
      <c r="AP33" s="853">
        <f t="shared" si="12"/>
        <v>9.8551799435551979E-2</v>
      </c>
    </row>
    <row r="34" spans="1:69" s="81" customFormat="1" ht="13.5" customHeight="1" x14ac:dyDescent="0.2">
      <c r="A34" s="118"/>
      <c r="B34" s="123" t="s">
        <v>90</v>
      </c>
      <c r="C34" s="63"/>
      <c r="D34" s="63"/>
      <c r="E34" s="63"/>
      <c r="F34" s="63"/>
      <c r="G34" s="63"/>
      <c r="H34" s="63"/>
      <c r="I34" s="63"/>
      <c r="J34" s="63"/>
      <c r="K34" s="63"/>
      <c r="L34" s="63"/>
      <c r="M34" s="63"/>
      <c r="N34" s="63"/>
      <c r="O34" s="63"/>
      <c r="P34" s="63"/>
      <c r="Q34" s="136" t="s">
        <v>108</v>
      </c>
      <c r="S34" s="63"/>
      <c r="T34" s="63"/>
      <c r="U34" s="63"/>
      <c r="V34" s="117"/>
      <c r="W34" s="137"/>
      <c r="X34" s="150"/>
      <c r="Y34" s="80"/>
      <c r="Z34" s="184"/>
      <c r="AA34" s="184"/>
      <c r="AB34" s="184"/>
      <c r="AC34" s="184"/>
      <c r="AD34" s="184"/>
      <c r="AE34" s="184"/>
      <c r="AF34" s="184"/>
      <c r="AG34" s="184"/>
      <c r="AH34" s="184"/>
      <c r="AJ34" s="184"/>
      <c r="AK34" s="161"/>
      <c r="AL34" s="74"/>
      <c r="AM34" s="74"/>
      <c r="AN34" s="74"/>
      <c r="AO34" s="74"/>
      <c r="AP34" s="74"/>
      <c r="AQ34" s="74"/>
    </row>
    <row r="35" spans="1:69" s="81" customFormat="1" ht="26.25" customHeight="1" x14ac:dyDescent="0.2">
      <c r="A35" s="118"/>
      <c r="B35" s="1923"/>
      <c r="C35" s="1763"/>
      <c r="D35" s="1763"/>
      <c r="E35" s="1763"/>
      <c r="F35" s="1763"/>
      <c r="G35" s="1763"/>
      <c r="H35" s="1763"/>
      <c r="I35" s="1763"/>
      <c r="J35" s="1763"/>
      <c r="K35" s="1763"/>
      <c r="L35" s="1763"/>
      <c r="M35" s="1763"/>
      <c r="N35" s="1763"/>
      <c r="O35" s="1763"/>
      <c r="P35" s="1763"/>
      <c r="Q35" s="1763"/>
      <c r="R35" s="1763"/>
      <c r="S35" s="1763"/>
      <c r="T35" s="1763"/>
      <c r="U35" s="1764"/>
      <c r="V35" s="117"/>
      <c r="W35" s="137"/>
      <c r="X35" s="150"/>
      <c r="Y35" s="1326"/>
      <c r="Z35" s="1327"/>
      <c r="AA35" s="1327"/>
      <c r="AB35" s="1327"/>
      <c r="AC35" s="1327"/>
      <c r="AD35" s="1327"/>
      <c r="AE35" s="1327"/>
      <c r="AF35" s="1327"/>
      <c r="AG35" s="1327"/>
      <c r="AH35" s="1327"/>
      <c r="AI35" s="1328"/>
      <c r="AJ35" s="1327"/>
      <c r="AK35" s="157"/>
      <c r="AL35" s="1329"/>
      <c r="AM35" s="1329"/>
      <c r="AN35" s="1329"/>
      <c r="AO35" s="1329"/>
      <c r="AP35" s="1329"/>
      <c r="AQ35" s="1329"/>
      <c r="AR35" s="1329"/>
      <c r="AS35" s="1328"/>
      <c r="AT35" s="1328"/>
      <c r="AU35" s="1328"/>
      <c r="AV35" s="1328"/>
      <c r="AW35" s="1328"/>
    </row>
    <row r="36" spans="1:69" s="81" customFormat="1" ht="7.5" customHeight="1" x14ac:dyDescent="0.2">
      <c r="A36" s="118"/>
      <c r="B36" s="17"/>
      <c r="C36" s="17"/>
      <c r="D36" s="16"/>
      <c r="E36" s="16"/>
      <c r="F36" s="16"/>
      <c r="G36" s="16"/>
      <c r="H36" s="16"/>
      <c r="I36" s="16"/>
      <c r="J36" s="12"/>
      <c r="K36" s="18"/>
      <c r="L36" s="18"/>
      <c r="M36" s="18"/>
      <c r="N36" s="18"/>
      <c r="O36" s="18"/>
      <c r="P36" s="18"/>
      <c r="Q36" s="18"/>
      <c r="R36" s="18"/>
      <c r="S36" s="18"/>
      <c r="T36" s="18"/>
      <c r="U36" s="19"/>
      <c r="V36" s="117"/>
      <c r="W36" s="137"/>
      <c r="X36" s="150"/>
      <c r="Z36" s="190"/>
      <c r="AJ36" s="184"/>
      <c r="AK36" s="157"/>
      <c r="AL36" s="74"/>
      <c r="AM36" s="74"/>
      <c r="AN36" s="74"/>
      <c r="AO36" s="74"/>
      <c r="AP36" s="74"/>
      <c r="AQ36" s="74"/>
      <c r="AR36" s="74"/>
    </row>
    <row r="37" spans="1:69" s="81" customFormat="1" ht="15" customHeight="1" x14ac:dyDescent="0.2">
      <c r="A37" s="1716"/>
      <c r="B37" s="1760"/>
      <c r="C37" s="1760"/>
      <c r="D37" s="1760"/>
      <c r="E37" s="1760"/>
      <c r="F37" s="1760"/>
      <c r="G37" s="1760"/>
      <c r="H37" s="1760"/>
      <c r="I37" s="1760"/>
      <c r="J37" s="1760"/>
      <c r="K37" s="1760"/>
      <c r="L37" s="1760"/>
      <c r="M37" s="1760"/>
      <c r="N37" s="1760"/>
      <c r="O37" s="1760"/>
      <c r="P37" s="1760"/>
      <c r="Q37" s="1760"/>
      <c r="R37" s="1760"/>
      <c r="S37" s="1760"/>
      <c r="T37" s="1760"/>
      <c r="U37" s="1760"/>
      <c r="V37" s="1761"/>
      <c r="W37" s="137"/>
      <c r="X37" s="150"/>
      <c r="Z37" s="190"/>
      <c r="AK37" s="161"/>
      <c r="AM37" s="81">
        <v>10</v>
      </c>
      <c r="AN37" s="81">
        <v>11</v>
      </c>
      <c r="AO37" s="81">
        <v>12</v>
      </c>
      <c r="AP37" s="81">
        <v>13</v>
      </c>
      <c r="AQ37" s="81">
        <v>14</v>
      </c>
      <c r="AR37" s="81">
        <v>18</v>
      </c>
      <c r="AS37" s="81">
        <v>3</v>
      </c>
      <c r="AT37" s="24">
        <v>4</v>
      </c>
      <c r="AU37" s="24">
        <v>5</v>
      </c>
      <c r="AV37" s="24">
        <v>6</v>
      </c>
      <c r="AW37" s="23">
        <v>7</v>
      </c>
      <c r="AY37" s="196"/>
      <c r="AZ37" s="196"/>
      <c r="BA37" s="196"/>
      <c r="BB37" s="197"/>
      <c r="BD37" s="196"/>
      <c r="BE37" s="196"/>
      <c r="BF37" s="196"/>
      <c r="BG37" s="197"/>
      <c r="BI37" s="196"/>
      <c r="BJ37" s="196"/>
      <c r="BK37" s="196"/>
      <c r="BL37" s="197"/>
      <c r="BN37" s="196"/>
      <c r="BO37" s="196"/>
      <c r="BP37" s="196"/>
      <c r="BQ37" s="197"/>
    </row>
    <row r="38" spans="1:69" s="81" customFormat="1" ht="11.25" customHeight="1" x14ac:dyDescent="0.2">
      <c r="A38" s="1765" t="str">
        <f>Home!$A$39</f>
        <v xml:space="preserve"> </v>
      </c>
      <c r="B38" s="1766"/>
      <c r="C38" s="1766"/>
      <c r="D38" s="1766"/>
      <c r="E38" s="1766"/>
      <c r="F38" s="1766"/>
      <c r="G38" s="1766"/>
      <c r="H38" s="1766"/>
      <c r="I38" s="1767"/>
      <c r="J38" s="1766"/>
      <c r="K38" s="1766"/>
      <c r="L38" s="1766"/>
      <c r="M38" s="1766"/>
      <c r="N38" s="1766"/>
      <c r="O38" s="1766"/>
      <c r="P38" s="1768"/>
      <c r="Q38" s="1766"/>
      <c r="R38" s="1766"/>
      <c r="S38" s="1766"/>
      <c r="T38" s="1767"/>
      <c r="U38" s="1766"/>
      <c r="V38" s="1769"/>
      <c r="W38" s="137"/>
      <c r="X38" s="150"/>
      <c r="Z38" s="190"/>
      <c r="AJ38" s="184"/>
      <c r="AK38" s="160"/>
      <c r="AL38" s="87"/>
      <c r="AM38" s="1793" t="s">
        <v>89</v>
      </c>
      <c r="AN38" s="1794"/>
      <c r="AO38" s="1794"/>
      <c r="AP38" s="1794"/>
      <c r="AQ38" s="1795"/>
      <c r="AR38" s="1907" t="s">
        <v>1213</v>
      </c>
      <c r="AS38" s="1805" t="s">
        <v>762</v>
      </c>
      <c r="AT38" s="1805"/>
      <c r="AU38" s="1805"/>
      <c r="AV38" s="1805"/>
      <c r="AW38" s="1805"/>
      <c r="AY38" s="196"/>
      <c r="AZ38" s="196"/>
      <c r="BA38" s="196"/>
      <c r="BB38" s="197"/>
      <c r="BC38" s="198"/>
      <c r="BD38" s="196"/>
      <c r="BE38" s="196"/>
      <c r="BF38" s="196"/>
      <c r="BG38" s="197"/>
      <c r="BH38" s="198"/>
      <c r="BI38" s="196"/>
      <c r="BJ38" s="196"/>
      <c r="BK38" s="196"/>
      <c r="BL38" s="197"/>
      <c r="BM38" s="223"/>
    </row>
    <row r="39" spans="1:69" s="81" customFormat="1" ht="11.25" customHeight="1" x14ac:dyDescent="0.2">
      <c r="A39" s="112"/>
      <c r="B39" s="113"/>
      <c r="C39" s="113"/>
      <c r="D39" s="113"/>
      <c r="E39" s="113"/>
      <c r="F39" s="113"/>
      <c r="G39" s="113"/>
      <c r="H39" s="113"/>
      <c r="I39" s="113"/>
      <c r="J39" s="114"/>
      <c r="K39" s="113"/>
      <c r="L39" s="113"/>
      <c r="M39" s="113"/>
      <c r="N39" s="113"/>
      <c r="O39" s="113"/>
      <c r="P39" s="113"/>
      <c r="Q39" s="113"/>
      <c r="R39" s="113"/>
      <c r="S39" s="113"/>
      <c r="T39" s="113"/>
      <c r="U39" s="113"/>
      <c r="V39" s="115"/>
      <c r="W39" s="137"/>
      <c r="X39" s="149" t="s">
        <v>101</v>
      </c>
      <c r="Y39" s="197"/>
      <c r="Z39" s="197"/>
      <c r="AA39" s="197"/>
      <c r="AB39" s="197"/>
      <c r="AC39" s="197"/>
      <c r="AJ39" s="184"/>
      <c r="AK39" s="160"/>
      <c r="AL39" s="87"/>
      <c r="AM39" s="212" t="str">
        <f>IF(Sheet1!$C$3="Annual","",Sheet1!$D$28)</f>
        <v/>
      </c>
      <c r="AN39" s="212" t="str">
        <f>IF(Sheet1!$C$3="Annual","",Sheet1!$E$28)</f>
        <v/>
      </c>
      <c r="AO39" s="212" t="str">
        <f>IF(Sheet1!$C$3="Annual","",Sheet1!$F$28)</f>
        <v/>
      </c>
      <c r="AP39" s="212" t="str">
        <f>IF(Sheet1!$C$3="Annual","",Sheet1!$G$28)</f>
        <v/>
      </c>
      <c r="AQ39" s="212" t="str">
        <f>IF(Sheet1!$C$3="Annual","",Sheet1!$H$28)</f>
        <v/>
      </c>
      <c r="AR39" s="1908"/>
      <c r="AS39" s="212" t="str">
        <f>IF(Sheet1!$C$3="Annual","",Sheet1!$D$28)</f>
        <v/>
      </c>
      <c r="AT39" s="212" t="str">
        <f>IF(Sheet1!$C$3="Annual","",Sheet1!$E$28)</f>
        <v/>
      </c>
      <c r="AU39" s="212" t="str">
        <f>IF(Sheet1!$C$3="Annual","",Sheet1!$F$28)</f>
        <v/>
      </c>
      <c r="AV39" s="212" t="str">
        <f>IF(Sheet1!$C$3="Annual","",Sheet1!$G$28)</f>
        <v/>
      </c>
      <c r="AW39" s="212" t="str">
        <f>IF(Sheet1!$C$3="Annual","",Sheet1!$H$28)</f>
        <v/>
      </c>
      <c r="AY39" s="1090"/>
      <c r="AZ39" s="1090"/>
      <c r="BA39" s="1090"/>
      <c r="BB39" s="1090"/>
      <c r="BC39" s="1090"/>
      <c r="BD39" s="1090"/>
      <c r="BE39" s="1090"/>
      <c r="BF39" s="1090"/>
      <c r="BG39" s="1090"/>
      <c r="BH39" s="1090"/>
      <c r="BI39" s="1090"/>
      <c r="BJ39" s="1090"/>
      <c r="BK39" s="1090"/>
      <c r="BL39" s="1090"/>
    </row>
    <row r="40" spans="1:69" s="81" customFormat="1" ht="3.75" customHeight="1" x14ac:dyDescent="0.25">
      <c r="A40" s="116"/>
      <c r="B40" s="9"/>
      <c r="C40" s="9"/>
      <c r="D40" s="9"/>
      <c r="E40" s="9"/>
      <c r="F40" s="9"/>
      <c r="G40" s="9"/>
      <c r="H40" s="9"/>
      <c r="I40" s="9"/>
      <c r="J40" s="12"/>
      <c r="K40" s="9"/>
      <c r="L40" s="9"/>
      <c r="M40" s="9"/>
      <c r="N40" s="9"/>
      <c r="O40" s="9"/>
      <c r="P40" s="9"/>
      <c r="Q40" s="9"/>
      <c r="R40" s="9"/>
      <c r="S40" s="9"/>
      <c r="T40" s="9"/>
      <c r="U40" s="9"/>
      <c r="V40" s="117"/>
      <c r="W40" s="137"/>
      <c r="X40" s="294"/>
      <c r="AD40" s="1320" t="s">
        <v>977</v>
      </c>
      <c r="AK40" s="160"/>
      <c r="AL40" s="87"/>
      <c r="AM40" s="212" t="str">
        <f>Sheet1!$D$27</f>
        <v>2015-16</v>
      </c>
      <c r="AN40" s="212" t="str">
        <f>Sheet1!$E$27</f>
        <v>2016-17</v>
      </c>
      <c r="AO40" s="212" t="str">
        <f>Sheet1!$F$27</f>
        <v>2017-18</v>
      </c>
      <c r="AP40" s="212" t="str">
        <f>Sheet1!$G$27</f>
        <v>2018-19</v>
      </c>
      <c r="AQ40" s="212" t="str">
        <f>Sheet1!$H$27</f>
        <v>2019-20</v>
      </c>
      <c r="AR40" s="1909"/>
      <c r="AS40" s="212" t="str">
        <f>Sheet1!$D$27</f>
        <v>2015-16</v>
      </c>
      <c r="AT40" s="212" t="str">
        <f>Sheet1!$E$27</f>
        <v>2016-17</v>
      </c>
      <c r="AU40" s="212" t="str">
        <f>Sheet1!$F$27</f>
        <v>2017-18</v>
      </c>
      <c r="AV40" s="212" t="str">
        <f>Sheet1!$G$27</f>
        <v>2018-19</v>
      </c>
      <c r="AW40" s="212" t="str">
        <f>Sheet1!$H$27</f>
        <v>2019-20</v>
      </c>
      <c r="AY40" s="1090"/>
      <c r="AZ40" s="1090"/>
      <c r="BA40" s="1090"/>
      <c r="BB40" s="1090"/>
      <c r="BC40" s="1090"/>
      <c r="BD40" s="1090"/>
      <c r="BE40" s="1090"/>
      <c r="BF40" s="1090"/>
      <c r="BG40" s="1090"/>
      <c r="BH40" s="1090"/>
      <c r="BI40" s="1090"/>
      <c r="BJ40" s="1090"/>
      <c r="BK40" s="1090"/>
      <c r="BL40" s="1090"/>
      <c r="BM40" s="1090"/>
      <c r="BN40" s="1090"/>
      <c r="BO40" s="1090"/>
      <c r="BP40" s="1090"/>
      <c r="BQ40" s="1090"/>
    </row>
    <row r="41" spans="1:69" s="81" customFormat="1" ht="14.25" customHeight="1" x14ac:dyDescent="0.2">
      <c r="A41" s="118"/>
      <c r="B41" s="9"/>
      <c r="C41" s="9"/>
      <c r="D41" s="9"/>
      <c r="E41" s="9"/>
      <c r="F41" s="9"/>
      <c r="G41" s="9"/>
      <c r="H41" s="9"/>
      <c r="I41" s="9"/>
      <c r="J41" s="12"/>
      <c r="K41" s="9"/>
      <c r="L41" s="9"/>
      <c r="M41" s="9"/>
      <c r="N41" s="9"/>
      <c r="O41" s="9"/>
      <c r="P41" s="9"/>
      <c r="Q41" s="9"/>
      <c r="R41" s="9"/>
      <c r="S41" s="9"/>
      <c r="T41" s="9"/>
      <c r="U41" s="9"/>
      <c r="V41" s="117"/>
      <c r="W41" s="137"/>
      <c r="X41" s="294"/>
      <c r="Y41" s="43" t="s">
        <v>72</v>
      </c>
      <c r="Z41" s="43" t="s">
        <v>70</v>
      </c>
      <c r="AA41" s="43" t="s">
        <v>71</v>
      </c>
      <c r="AB41" s="1194">
        <v>5</v>
      </c>
      <c r="AC41" s="216">
        <f>(AB41*Z42)+AA42</f>
        <v>35.569267018991738</v>
      </c>
      <c r="AD41" s="206">
        <f>ROUND(ChartLabels!$AA27,3)</f>
        <v>5.5E-2</v>
      </c>
      <c r="AJ41" s="585" t="b">
        <v>1</v>
      </c>
      <c r="AK41" s="160" t="s">
        <v>0</v>
      </c>
      <c r="AL41" s="87" t="str">
        <f t="shared" ref="AL41:AL64" si="17">IF(AJ41=TRUE,B10,"")</f>
        <v>Bracknell Forest</v>
      </c>
      <c r="AM41" s="146" t="e">
        <f t="shared" ref="AM41:AQ50" si="18">VLOOKUP($AL41,$B$10:$O$33,AM$37,FALSE)</f>
        <v>#N/A</v>
      </c>
      <c r="AN41" s="146" t="e">
        <f t="shared" si="18"/>
        <v>#N/A</v>
      </c>
      <c r="AO41" s="146" t="e">
        <f t="shared" si="18"/>
        <v>#N/A</v>
      </c>
      <c r="AP41" s="146">
        <f t="shared" si="18"/>
        <v>38.242894056847547</v>
      </c>
      <c r="AQ41" s="146">
        <f t="shared" si="18"/>
        <v>45.103092783505147</v>
      </c>
      <c r="AR41" s="1112">
        <f>VLOOKUP(AL41,$B$10:$U$33,AR$37,FALSE)</f>
        <v>8.9</v>
      </c>
      <c r="AS41" s="1113" t="e">
        <f>VLOOKUP($AL41,$B$77:$H$100,AS$37,FALSE)</f>
        <v>#N/A</v>
      </c>
      <c r="AT41" s="1113" t="e">
        <f t="shared" ref="AS41:AW50" si="19">VLOOKUP($AL41,$B$77:$H$100,AT$37,FALSE)</f>
        <v>#N/A</v>
      </c>
      <c r="AU41" s="1113" t="e">
        <f t="shared" si="19"/>
        <v>#N/A</v>
      </c>
      <c r="AV41" s="1113">
        <f t="shared" si="19"/>
        <v>0.86486486486486491</v>
      </c>
      <c r="AW41" s="1113">
        <f t="shared" si="19"/>
        <v>0.61142857142857143</v>
      </c>
      <c r="AY41" s="348"/>
      <c r="AZ41" s="348"/>
      <c r="BA41" s="348"/>
      <c r="BB41" s="348"/>
      <c r="BC41" s="348"/>
      <c r="BD41" s="348"/>
      <c r="BE41" s="348"/>
      <c r="BF41" s="348"/>
      <c r="BG41" s="348"/>
      <c r="BH41" s="348"/>
      <c r="BI41" s="348"/>
      <c r="BJ41" s="348"/>
      <c r="BK41" s="348"/>
      <c r="BL41" s="348"/>
      <c r="BM41" s="348"/>
      <c r="BN41" s="348"/>
      <c r="BO41" s="348"/>
      <c r="BP41" s="348"/>
      <c r="BQ41" s="348"/>
    </row>
    <row r="42" spans="1:69" s="81" customFormat="1" ht="14.25" customHeight="1" x14ac:dyDescent="0.2">
      <c r="A42" s="118"/>
      <c r="B42" s="9"/>
      <c r="C42" s="9"/>
      <c r="D42" s="9"/>
      <c r="E42" s="9"/>
      <c r="F42" s="9"/>
      <c r="G42" s="9"/>
      <c r="H42" s="9"/>
      <c r="I42" s="9"/>
      <c r="J42" s="12"/>
      <c r="K42" s="9"/>
      <c r="L42" s="9"/>
      <c r="M42" s="9"/>
      <c r="N42" s="9"/>
      <c r="O42" s="9"/>
      <c r="P42" s="9"/>
      <c r="Q42" s="9"/>
      <c r="R42" s="9"/>
      <c r="S42" s="9"/>
      <c r="T42" s="9"/>
      <c r="U42" s="9"/>
      <c r="V42" s="117"/>
      <c r="W42" s="137"/>
      <c r="X42" s="294"/>
      <c r="Y42" s="212" t="str">
        <f>"Y= "&amp;Z42&amp;"x + "&amp;AA42</f>
        <v>Y= -0.357664207285929x + 37.3575880554214</v>
      </c>
      <c r="Z42" s="743">
        <f>ChartLabels!$Y27</f>
        <v>-0.35766420728592913</v>
      </c>
      <c r="AA42" s="743">
        <f>ChartLabels!$Z27</f>
        <v>37.357588055421381</v>
      </c>
      <c r="AB42" s="215">
        <v>35</v>
      </c>
      <c r="AC42" s="216">
        <f>(AB42*Z42)+AA42</f>
        <v>24.839340800413861</v>
      </c>
      <c r="AD42" s="1319" t="str">
        <f>AD40&amp;" = "&amp;AD41</f>
        <v>r² = 0.055</v>
      </c>
      <c r="AJ42" s="585" t="b">
        <v>1</v>
      </c>
      <c r="AK42" s="160" t="s">
        <v>31</v>
      </c>
      <c r="AL42" s="87" t="str">
        <f t="shared" si="17"/>
        <v>Brighton &amp; Hove</v>
      </c>
      <c r="AM42" s="146" t="e">
        <f t="shared" si="18"/>
        <v>#N/A</v>
      </c>
      <c r="AN42" s="146" t="e">
        <f t="shared" si="18"/>
        <v>#N/A</v>
      </c>
      <c r="AO42" s="146" t="e">
        <f t="shared" si="18"/>
        <v>#N/A</v>
      </c>
      <c r="AP42" s="146">
        <f t="shared" si="18"/>
        <v>24.573721163490472</v>
      </c>
      <c r="AQ42" s="146">
        <f t="shared" si="18"/>
        <v>24.221105527638191</v>
      </c>
      <c r="AR42" s="1112">
        <f t="shared" ref="AR42:AR64" si="20">VLOOKUP(AL42,$B$10:$U$33,AR$37,FALSE)</f>
        <v>15.299999999999999</v>
      </c>
      <c r="AS42" s="1113" t="e">
        <f t="shared" si="19"/>
        <v>#N/A</v>
      </c>
      <c r="AT42" s="1113" t="e">
        <f t="shared" si="19"/>
        <v>#N/A</v>
      </c>
      <c r="AU42" s="1113" t="e">
        <f t="shared" si="19"/>
        <v>#N/A</v>
      </c>
      <c r="AV42" s="1113">
        <f t="shared" si="19"/>
        <v>0.65714285714285703</v>
      </c>
      <c r="AW42" s="1113">
        <f t="shared" si="19"/>
        <v>0.60580912863070535</v>
      </c>
      <c r="AX42" s="348"/>
      <c r="AY42" s="348"/>
      <c r="AZ42" s="348"/>
      <c r="BA42" s="348"/>
      <c r="BB42" s="348"/>
      <c r="BC42" s="348"/>
      <c r="BD42" s="348"/>
      <c r="BE42" s="348"/>
      <c r="BF42" s="348"/>
      <c r="BG42" s="348"/>
      <c r="BH42" s="348"/>
      <c r="BI42" s="348"/>
      <c r="BJ42" s="348"/>
      <c r="BK42" s="348"/>
      <c r="BL42" s="348"/>
      <c r="BM42" s="348"/>
      <c r="BN42" s="348"/>
      <c r="BO42" s="348"/>
      <c r="BP42" s="348"/>
      <c r="BQ42" s="348"/>
    </row>
    <row r="43" spans="1:69" ht="14.25" customHeight="1" x14ac:dyDescent="0.2">
      <c r="A43" s="118"/>
      <c r="B43" s="9"/>
      <c r="C43" s="9"/>
      <c r="D43" s="9"/>
      <c r="E43" s="9"/>
      <c r="F43" s="9"/>
      <c r="G43" s="9"/>
      <c r="H43" s="9"/>
      <c r="I43" s="9"/>
      <c r="J43" s="12"/>
      <c r="K43" s="9"/>
      <c r="L43" s="9"/>
      <c r="M43" s="9"/>
      <c r="N43" s="9"/>
      <c r="O43" s="9"/>
      <c r="P43" s="9"/>
      <c r="Q43" s="9"/>
      <c r="R43" s="9"/>
      <c r="S43" s="9"/>
      <c r="T43" s="9"/>
      <c r="U43" s="9"/>
      <c r="V43" s="117"/>
      <c r="W43" s="137"/>
      <c r="X43" s="294"/>
      <c r="Y43" s="608" t="str">
        <f>"National Trend "&amp;Sheet1!$B$8</f>
        <v>National Trend 2020</v>
      </c>
      <c r="Z43" s="209" t="s">
        <v>70</v>
      </c>
      <c r="AA43" s="43" t="s">
        <v>71</v>
      </c>
      <c r="AB43" s="1194">
        <v>5</v>
      </c>
      <c r="AC43" s="211">
        <f>(AB43*Z44)+AA44/$Y$2</f>
        <v>20.216662296681111</v>
      </c>
      <c r="AD43" s="1109" t="str">
        <f>"r² = "&amp;AD44</f>
        <v>r² = 0.0051</v>
      </c>
      <c r="AJ43" s="585" t="b">
        <v>1</v>
      </c>
      <c r="AK43" s="160" t="s">
        <v>8</v>
      </c>
      <c r="AL43" s="87" t="str">
        <f t="shared" si="17"/>
        <v>Buckinghamshire</v>
      </c>
      <c r="AM43" s="146" t="e">
        <f t="shared" si="18"/>
        <v>#N/A</v>
      </c>
      <c r="AN43" s="146" t="e">
        <f t="shared" si="18"/>
        <v>#N/A</v>
      </c>
      <c r="AO43" s="146" t="e">
        <f t="shared" si="18"/>
        <v>#N/A</v>
      </c>
      <c r="AP43" s="146">
        <f t="shared" si="18"/>
        <v>37.605294825511429</v>
      </c>
      <c r="AQ43" s="146">
        <f t="shared" si="18"/>
        <v>40.323547034152185</v>
      </c>
      <c r="AR43" s="1112">
        <f t="shared" si="20"/>
        <v>8.5</v>
      </c>
      <c r="AS43" s="1113" t="e">
        <f t="shared" si="19"/>
        <v>#N/A</v>
      </c>
      <c r="AT43" s="1113" t="e">
        <f t="shared" si="19"/>
        <v>#N/A</v>
      </c>
      <c r="AU43" s="1113" t="e">
        <f t="shared" si="19"/>
        <v>#N/A</v>
      </c>
      <c r="AV43" s="1113">
        <f t="shared" si="19"/>
        <v>0.30880000000000002</v>
      </c>
      <c r="AW43" s="1113">
        <f t="shared" si="19"/>
        <v>0.38335809806835069</v>
      </c>
      <c r="AX43" s="348"/>
      <c r="AY43" s="348"/>
      <c r="AZ43" s="348"/>
      <c r="BA43" s="348"/>
      <c r="BB43" s="348"/>
      <c r="BC43" s="348"/>
      <c r="BD43" s="348"/>
      <c r="BE43" s="348"/>
      <c r="BF43" s="348"/>
      <c r="BG43" s="348"/>
      <c r="BH43" s="348"/>
      <c r="BI43" s="348"/>
      <c r="BJ43" s="348"/>
      <c r="BK43" s="348"/>
      <c r="BL43" s="348"/>
      <c r="BM43" s="348"/>
      <c r="BN43" s="348"/>
      <c r="BO43" s="348"/>
      <c r="BP43" s="348"/>
      <c r="BQ43" s="348"/>
    </row>
    <row r="44" spans="1:69" ht="14.25" customHeight="1" x14ac:dyDescent="0.2">
      <c r="A44" s="118"/>
      <c r="B44" s="9"/>
      <c r="C44" s="9"/>
      <c r="D44" s="9"/>
      <c r="E44" s="9"/>
      <c r="F44" s="9"/>
      <c r="G44" s="9"/>
      <c r="H44" s="9"/>
      <c r="I44" s="9"/>
      <c r="J44" s="12"/>
      <c r="K44" s="13"/>
      <c r="L44" s="13"/>
      <c r="M44" s="13"/>
      <c r="N44" s="13"/>
      <c r="O44" s="14"/>
      <c r="P44" s="14"/>
      <c r="Q44" s="14"/>
      <c r="R44" s="14"/>
      <c r="S44" s="14"/>
      <c r="T44" s="14"/>
      <c r="U44" s="14"/>
      <c r="V44" s="117"/>
      <c r="W44" s="137"/>
      <c r="X44" s="294"/>
      <c r="Y44" s="72" t="str">
        <f>"Y= "&amp;Z44&amp;"x + "&amp;AA44</f>
        <v>Y= 0.0826438212406377x + 19.8034431904779</v>
      </c>
      <c r="Z44" s="213">
        <v>8.264382124063771E-2</v>
      </c>
      <c r="AA44" s="214">
        <v>19.803443190477921</v>
      </c>
      <c r="AB44" s="215">
        <v>35</v>
      </c>
      <c r="AC44" s="216">
        <f>(AB44*Z44)+AA44/$Y$2</f>
        <v>22.695976933900241</v>
      </c>
      <c r="AD44" s="1118">
        <v>5.1000000000000004E-3</v>
      </c>
      <c r="AJ44" s="585" t="b">
        <v>1</v>
      </c>
      <c r="AK44" s="160" t="s">
        <v>4</v>
      </c>
      <c r="AL44" s="87" t="str">
        <f t="shared" si="17"/>
        <v>East Sussex</v>
      </c>
      <c r="AM44" s="146" t="e">
        <f t="shared" si="18"/>
        <v>#N/A</v>
      </c>
      <c r="AN44" s="146" t="e">
        <f t="shared" si="18"/>
        <v>#N/A</v>
      </c>
      <c r="AO44" s="146" t="e">
        <f t="shared" si="18"/>
        <v>#N/A</v>
      </c>
      <c r="AP44" s="146">
        <f t="shared" si="18"/>
        <v>22.229684351914038</v>
      </c>
      <c r="AQ44" s="146">
        <f t="shared" si="18"/>
        <v>19.946091644204852</v>
      </c>
      <c r="AR44" s="1112">
        <f t="shared" si="20"/>
        <v>16.100000000000001</v>
      </c>
      <c r="AS44" s="1113" t="e">
        <f t="shared" si="19"/>
        <v>#N/A</v>
      </c>
      <c r="AT44" s="1113" t="e">
        <f t="shared" si="19"/>
        <v>#N/A</v>
      </c>
      <c r="AU44" s="1113" t="e">
        <f t="shared" si="19"/>
        <v>#N/A</v>
      </c>
      <c r="AV44" s="1113">
        <f t="shared" si="19"/>
        <v>0.60725075528700911</v>
      </c>
      <c r="AW44" s="1113">
        <f t="shared" si="19"/>
        <v>0.42229729729729731</v>
      </c>
      <c r="AX44" s="348"/>
      <c r="AY44" s="348"/>
      <c r="AZ44" s="348"/>
      <c r="BA44" s="348"/>
      <c r="BB44" s="348"/>
      <c r="BC44" s="348"/>
      <c r="BD44" s="348"/>
      <c r="BE44" s="348"/>
      <c r="BF44" s="348"/>
      <c r="BG44" s="348"/>
      <c r="BH44" s="348"/>
      <c r="BI44" s="348"/>
      <c r="BJ44" s="348"/>
      <c r="BK44" s="348"/>
      <c r="BL44" s="348"/>
      <c r="BM44" s="348"/>
      <c r="BN44" s="348"/>
      <c r="BO44" s="348"/>
      <c r="BP44" s="348"/>
      <c r="BQ44" s="348"/>
    </row>
    <row r="45" spans="1:69" s="76" customFormat="1" ht="14.25" customHeight="1" x14ac:dyDescent="0.2">
      <c r="A45" s="119"/>
      <c r="B45" s="226"/>
      <c r="C45" s="226"/>
      <c r="D45" s="227"/>
      <c r="E45" s="227"/>
      <c r="F45" s="227"/>
      <c r="G45" s="227"/>
      <c r="H45" s="227"/>
      <c r="I45" s="227"/>
      <c r="J45" s="15"/>
      <c r="K45" s="9"/>
      <c r="L45" s="9"/>
      <c r="M45" s="9"/>
      <c r="N45" s="9"/>
      <c r="O45" s="9"/>
      <c r="P45" s="9"/>
      <c r="Q45" s="9"/>
      <c r="R45" s="9"/>
      <c r="S45" s="9"/>
      <c r="T45" s="9"/>
      <c r="U45" s="9"/>
      <c r="V45" s="120"/>
      <c r="W45" s="138"/>
      <c r="X45" s="295"/>
      <c r="AA45" s="197"/>
      <c r="AD45" s="81"/>
      <c r="AE45" s="81"/>
      <c r="AF45" s="81"/>
      <c r="AG45" s="81"/>
      <c r="AH45" s="81"/>
      <c r="AI45" s="81"/>
      <c r="AJ45" s="585" t="b">
        <v>1</v>
      </c>
      <c r="AK45" s="160" t="s">
        <v>6</v>
      </c>
      <c r="AL45" s="87" t="str">
        <f t="shared" si="17"/>
        <v>Hampshire</v>
      </c>
      <c r="AM45" s="146" t="e">
        <f t="shared" si="18"/>
        <v>#N/A</v>
      </c>
      <c r="AN45" s="146" t="e">
        <f t="shared" si="18"/>
        <v>#N/A</v>
      </c>
      <c r="AO45" s="146" t="e">
        <f t="shared" si="18"/>
        <v>#N/A</v>
      </c>
      <c r="AP45" s="146">
        <f t="shared" si="18"/>
        <v>27.953453073614977</v>
      </c>
      <c r="AQ45" s="146">
        <f t="shared" si="18"/>
        <v>24.79087452471483</v>
      </c>
      <c r="AR45" s="1112">
        <f t="shared" si="20"/>
        <v>10.100000000000001</v>
      </c>
      <c r="AS45" s="1113" t="e">
        <f t="shared" si="19"/>
        <v>#N/A</v>
      </c>
      <c r="AT45" s="1113" t="e">
        <f t="shared" si="19"/>
        <v>#N/A</v>
      </c>
      <c r="AU45" s="1113" t="e">
        <f t="shared" si="19"/>
        <v>#N/A</v>
      </c>
      <c r="AV45" s="1113">
        <f t="shared" si="19"/>
        <v>0.54751131221719462</v>
      </c>
      <c r="AW45" s="1113">
        <f t="shared" si="19"/>
        <v>5.8282208588957052E-2</v>
      </c>
      <c r="AX45" s="348"/>
      <c r="AY45" s="348"/>
      <c r="AZ45" s="348"/>
      <c r="BA45" s="348"/>
      <c r="BB45" s="348"/>
      <c r="BC45" s="348"/>
      <c r="BD45" s="348"/>
      <c r="BE45" s="348"/>
      <c r="BF45" s="348"/>
      <c r="BG45" s="348"/>
      <c r="BH45" s="348"/>
      <c r="BI45" s="348"/>
      <c r="BJ45" s="348"/>
      <c r="BK45" s="348"/>
      <c r="BL45" s="348"/>
      <c r="BM45" s="348"/>
      <c r="BN45" s="348"/>
      <c r="BO45" s="348"/>
      <c r="BP45" s="348"/>
      <c r="BQ45" s="348"/>
    </row>
    <row r="46" spans="1:69" ht="14.25" customHeight="1" x14ac:dyDescent="0.2">
      <c r="A46" s="118"/>
      <c r="B46" s="227"/>
      <c r="C46" s="227"/>
      <c r="D46" s="227"/>
      <c r="E46" s="227"/>
      <c r="F46" s="227"/>
      <c r="G46" s="227"/>
      <c r="H46" s="227"/>
      <c r="I46" s="227"/>
      <c r="J46" s="12"/>
      <c r="K46" s="14"/>
      <c r="L46" s="14"/>
      <c r="M46" s="14"/>
      <c r="N46" s="14"/>
      <c r="O46" s="9"/>
      <c r="P46" s="9"/>
      <c r="Q46" s="9"/>
      <c r="R46" s="9"/>
      <c r="S46" s="9"/>
      <c r="T46" s="9"/>
      <c r="U46" s="9"/>
      <c r="V46" s="117"/>
      <c r="W46" s="137"/>
      <c r="X46" s="294"/>
      <c r="AA46" s="197"/>
      <c r="AJ46" s="585" t="b">
        <v>1</v>
      </c>
      <c r="AK46" s="160" t="s">
        <v>1</v>
      </c>
      <c r="AL46" s="87" t="str">
        <f t="shared" si="17"/>
        <v>Isle of Wight</v>
      </c>
      <c r="AM46" s="146" t="e">
        <f t="shared" si="18"/>
        <v>#N/A</v>
      </c>
      <c r="AN46" s="146" t="e">
        <f t="shared" si="18"/>
        <v>#N/A</v>
      </c>
      <c r="AO46" s="146" t="e">
        <f t="shared" si="18"/>
        <v>#N/A</v>
      </c>
      <c r="AP46" s="146">
        <f t="shared" si="18"/>
        <v>43.539325842696627</v>
      </c>
      <c r="AQ46" s="146">
        <f t="shared" si="18"/>
        <v>43.059490084985839</v>
      </c>
      <c r="AR46" s="1112">
        <f t="shared" si="20"/>
        <v>18</v>
      </c>
      <c r="AS46" s="1113" t="e">
        <f t="shared" si="19"/>
        <v>#N/A</v>
      </c>
      <c r="AT46" s="1113" t="e">
        <f t="shared" si="19"/>
        <v>#N/A</v>
      </c>
      <c r="AU46" s="1113" t="e">
        <f t="shared" si="19"/>
        <v>#N/A</v>
      </c>
      <c r="AV46" s="1113">
        <f t="shared" si="19"/>
        <v>0.41290322580645161</v>
      </c>
      <c r="AW46" s="1113">
        <f t="shared" si="19"/>
        <v>0.71710526315789469</v>
      </c>
      <c r="AX46" s="348"/>
      <c r="AY46" s="348"/>
      <c r="AZ46" s="348"/>
      <c r="BA46" s="348"/>
      <c r="BB46" s="348"/>
      <c r="BC46" s="348"/>
      <c r="BD46" s="348"/>
      <c r="BE46" s="348"/>
      <c r="BF46" s="348"/>
      <c r="BG46" s="348"/>
      <c r="BH46" s="348"/>
      <c r="BI46" s="348"/>
      <c r="BJ46" s="348"/>
      <c r="BK46" s="348"/>
      <c r="BL46" s="348"/>
      <c r="BM46" s="348"/>
      <c r="BN46" s="348"/>
      <c r="BO46" s="348"/>
      <c r="BP46" s="348"/>
      <c r="BQ46" s="348"/>
    </row>
    <row r="47" spans="1:69" ht="14.25" customHeight="1" x14ac:dyDescent="0.2">
      <c r="A47" s="118"/>
      <c r="B47" s="227"/>
      <c r="C47" s="227"/>
      <c r="D47" s="227"/>
      <c r="E47" s="227"/>
      <c r="F47" s="227"/>
      <c r="G47" s="227"/>
      <c r="H47" s="227"/>
      <c r="I47" s="227"/>
      <c r="J47" s="12"/>
      <c r="K47" s="14"/>
      <c r="L47" s="14"/>
      <c r="M47" s="14"/>
      <c r="N47" s="14"/>
      <c r="O47" s="9"/>
      <c r="P47" s="9"/>
      <c r="Q47" s="9"/>
      <c r="R47" s="9"/>
      <c r="S47" s="9"/>
      <c r="T47" s="9"/>
      <c r="U47" s="9"/>
      <c r="V47" s="117"/>
      <c r="W47" s="137"/>
      <c r="X47" s="294"/>
      <c r="AA47" s="197"/>
      <c r="AD47" s="207"/>
      <c r="AJ47" s="585" t="b">
        <v>1</v>
      </c>
      <c r="AK47" s="160" t="s">
        <v>9</v>
      </c>
      <c r="AL47" s="87" t="str">
        <f t="shared" si="17"/>
        <v>Kent</v>
      </c>
      <c r="AM47" s="146" t="e">
        <f t="shared" si="18"/>
        <v>#N/A</v>
      </c>
      <c r="AN47" s="146" t="e">
        <f t="shared" si="18"/>
        <v>#N/A</v>
      </c>
      <c r="AO47" s="146" t="e">
        <f t="shared" si="18"/>
        <v>#N/A</v>
      </c>
      <c r="AP47" s="146">
        <f t="shared" si="18"/>
        <v>34.265589392997725</v>
      </c>
      <c r="AQ47" s="146">
        <f t="shared" si="18"/>
        <v>41.298057048367092</v>
      </c>
      <c r="AR47" s="1112">
        <f t="shared" si="20"/>
        <v>15.8</v>
      </c>
      <c r="AS47" s="1113" t="e">
        <f t="shared" si="19"/>
        <v>#N/A</v>
      </c>
      <c r="AT47" s="1113" t="e">
        <f t="shared" si="19"/>
        <v>#N/A</v>
      </c>
      <c r="AU47" s="1113" t="e">
        <f t="shared" si="19"/>
        <v>#N/A</v>
      </c>
      <c r="AV47" s="1113">
        <f t="shared" si="19"/>
        <v>0.28476420798065294</v>
      </c>
      <c r="AW47" s="1113">
        <f t="shared" si="19"/>
        <v>0.28878878878878878</v>
      </c>
      <c r="AX47" s="348"/>
      <c r="AY47" s="348"/>
      <c r="AZ47" s="348"/>
      <c r="BA47" s="348"/>
      <c r="BB47" s="348"/>
      <c r="BC47" s="348"/>
      <c r="BD47" s="348"/>
      <c r="BE47" s="348"/>
      <c r="BF47" s="348"/>
      <c r="BG47" s="348"/>
      <c r="BH47" s="348"/>
      <c r="BI47" s="348"/>
      <c r="BJ47" s="348"/>
      <c r="BK47" s="348"/>
      <c r="BL47" s="348"/>
      <c r="BM47" s="348"/>
      <c r="BN47" s="348"/>
      <c r="BO47" s="348"/>
      <c r="BP47" s="348"/>
      <c r="BQ47" s="348"/>
    </row>
    <row r="48" spans="1:69" ht="14.25" customHeight="1" x14ac:dyDescent="0.2">
      <c r="A48" s="118"/>
      <c r="B48" s="58"/>
      <c r="C48" s="58"/>
      <c r="D48" s="58"/>
      <c r="E48" s="58"/>
      <c r="F48" s="58"/>
      <c r="G48" s="58"/>
      <c r="H48" s="58"/>
      <c r="I48" s="58"/>
      <c r="J48" s="12"/>
      <c r="K48" s="14"/>
      <c r="L48" s="14"/>
      <c r="M48" s="14"/>
      <c r="N48" s="14"/>
      <c r="O48" s="9"/>
      <c r="P48" s="9"/>
      <c r="Q48" s="9"/>
      <c r="R48" s="9"/>
      <c r="S48" s="9"/>
      <c r="T48" s="9"/>
      <c r="U48" s="9"/>
      <c r="V48" s="117"/>
      <c r="W48" s="137"/>
      <c r="X48" s="294"/>
      <c r="AA48" s="197"/>
      <c r="AD48" s="184"/>
      <c r="AJ48" s="585" t="b">
        <v>1</v>
      </c>
      <c r="AK48" s="160" t="s">
        <v>2</v>
      </c>
      <c r="AL48" s="87" t="str">
        <f t="shared" si="17"/>
        <v>Medway</v>
      </c>
      <c r="AM48" s="146" t="e">
        <f t="shared" si="18"/>
        <v>#N/A</v>
      </c>
      <c r="AN48" s="146" t="e">
        <f t="shared" si="18"/>
        <v>#N/A</v>
      </c>
      <c r="AO48" s="146" t="e">
        <f t="shared" si="18"/>
        <v>#N/A</v>
      </c>
      <c r="AP48" s="146">
        <f t="shared" si="18"/>
        <v>28.196721311475407</v>
      </c>
      <c r="AQ48" s="146">
        <f t="shared" si="18"/>
        <v>34.687156970362238</v>
      </c>
      <c r="AR48" s="1112">
        <f t="shared" si="20"/>
        <v>18.899999999999999</v>
      </c>
      <c r="AS48" s="1113" t="e">
        <f t="shared" si="19"/>
        <v>#N/A</v>
      </c>
      <c r="AT48" s="1113" t="e">
        <f t="shared" si="19"/>
        <v>#N/A</v>
      </c>
      <c r="AU48" s="1113" t="e">
        <f t="shared" si="19"/>
        <v>#N/A</v>
      </c>
      <c r="AV48" s="1113">
        <f t="shared" si="19"/>
        <v>0.22480620155038761</v>
      </c>
      <c r="AW48" s="1113">
        <f t="shared" si="19"/>
        <v>0.569620253164557</v>
      </c>
      <c r="AX48" s="348"/>
      <c r="AY48" s="348"/>
      <c r="AZ48" s="348"/>
      <c r="BA48" s="348"/>
      <c r="BB48" s="348"/>
      <c r="BC48" s="348"/>
      <c r="BD48" s="348"/>
      <c r="BE48" s="348"/>
      <c r="BF48" s="348"/>
      <c r="BG48" s="348"/>
      <c r="BH48" s="348"/>
      <c r="BI48" s="348"/>
      <c r="BJ48" s="348"/>
      <c r="BK48" s="348"/>
      <c r="BL48" s="348"/>
      <c r="BM48" s="348"/>
      <c r="BN48" s="348"/>
      <c r="BO48" s="348"/>
      <c r="BP48" s="348"/>
      <c r="BQ48" s="348"/>
    </row>
    <row r="49" spans="1:69" ht="14.25" customHeight="1" x14ac:dyDescent="0.2">
      <c r="A49" s="118"/>
      <c r="B49" s="58"/>
      <c r="C49" s="58"/>
      <c r="D49" s="69"/>
      <c r="E49" s="70"/>
      <c r="F49" s="69"/>
      <c r="G49" s="70"/>
      <c r="H49" s="70"/>
      <c r="I49" s="70"/>
      <c r="J49" s="12"/>
      <c r="K49" s="14"/>
      <c r="L49" s="14"/>
      <c r="M49" s="14"/>
      <c r="N49" s="14"/>
      <c r="O49" s="9"/>
      <c r="P49" s="9"/>
      <c r="Q49" s="9"/>
      <c r="R49" s="9"/>
      <c r="S49" s="9"/>
      <c r="T49" s="9"/>
      <c r="U49" s="9"/>
      <c r="V49" s="117"/>
      <c r="W49" s="137"/>
      <c r="X49" s="294"/>
      <c r="AA49" s="197"/>
      <c r="AJ49" s="585" t="b">
        <v>1</v>
      </c>
      <c r="AK49" s="160" t="s">
        <v>10</v>
      </c>
      <c r="AL49" s="87" t="str">
        <f t="shared" si="17"/>
        <v>Milton Keynes</v>
      </c>
      <c r="AM49" s="146" t="e">
        <f t="shared" si="18"/>
        <v>#N/A</v>
      </c>
      <c r="AN49" s="146" t="e">
        <f t="shared" si="18"/>
        <v>#N/A</v>
      </c>
      <c r="AO49" s="146" t="e">
        <f t="shared" si="18"/>
        <v>#N/A</v>
      </c>
      <c r="AP49" s="146">
        <f t="shared" si="18"/>
        <v>18.680089485458613</v>
      </c>
      <c r="AQ49" s="146">
        <f t="shared" si="18"/>
        <v>32.552954292084728</v>
      </c>
      <c r="AR49" s="1112">
        <f t="shared" si="20"/>
        <v>15</v>
      </c>
      <c r="AS49" s="1113" t="e">
        <f t="shared" si="19"/>
        <v>#N/A</v>
      </c>
      <c r="AT49" s="1113" t="e">
        <f t="shared" si="19"/>
        <v>#N/A</v>
      </c>
      <c r="AU49" s="1113" t="e">
        <f t="shared" si="19"/>
        <v>#N/A</v>
      </c>
      <c r="AV49" s="1113">
        <f t="shared" si="19"/>
        <v>0.66467065868263475</v>
      </c>
      <c r="AW49" s="1113">
        <f t="shared" si="19"/>
        <v>0.74657534246575341</v>
      </c>
      <c r="AX49" s="348"/>
      <c r="AY49" s="348"/>
      <c r="AZ49" s="348"/>
      <c r="BA49" s="348"/>
      <c r="BB49" s="348"/>
      <c r="BC49" s="348"/>
      <c r="BD49" s="348"/>
      <c r="BE49" s="348"/>
      <c r="BF49" s="348"/>
      <c r="BG49" s="348"/>
      <c r="BH49" s="348"/>
      <c r="BI49" s="348"/>
      <c r="BJ49" s="348"/>
      <c r="BK49" s="348"/>
      <c r="BL49" s="348"/>
      <c r="BM49" s="348"/>
      <c r="BN49" s="348"/>
      <c r="BO49" s="348"/>
      <c r="BP49" s="348"/>
      <c r="BQ49" s="348"/>
    </row>
    <row r="50" spans="1:69" ht="14.25" customHeight="1" x14ac:dyDescent="0.2">
      <c r="A50" s="118"/>
      <c r="B50" s="58"/>
      <c r="C50" s="58"/>
      <c r="D50" s="61"/>
      <c r="E50" s="61"/>
      <c r="F50" s="61"/>
      <c r="G50" s="61"/>
      <c r="H50" s="61"/>
      <c r="I50" s="61"/>
      <c r="J50" s="12"/>
      <c r="K50" s="14"/>
      <c r="L50" s="14"/>
      <c r="M50" s="14"/>
      <c r="N50" s="14"/>
      <c r="O50" s="9"/>
      <c r="P50" s="9"/>
      <c r="Q50" s="9"/>
      <c r="R50" s="9"/>
      <c r="S50" s="9"/>
      <c r="T50" s="9"/>
      <c r="U50" s="9"/>
      <c r="V50" s="117"/>
      <c r="W50" s="137"/>
      <c r="X50" s="294"/>
      <c r="AA50" s="197"/>
      <c r="AJ50" s="585" t="b">
        <v>1</v>
      </c>
      <c r="AK50" s="160" t="s">
        <v>11</v>
      </c>
      <c r="AL50" s="87" t="str">
        <f t="shared" si="17"/>
        <v>Oxfordshire</v>
      </c>
      <c r="AM50" s="146" t="e">
        <f t="shared" si="18"/>
        <v>#N/A</v>
      </c>
      <c r="AN50" s="146" t="e">
        <f t="shared" si="18"/>
        <v>#N/A</v>
      </c>
      <c r="AO50" s="146" t="e">
        <f t="shared" si="18"/>
        <v>#N/A</v>
      </c>
      <c r="AP50" s="146">
        <f t="shared" si="18"/>
        <v>25.20288548241659</v>
      </c>
      <c r="AQ50" s="146">
        <f t="shared" si="18"/>
        <v>27.845254161043634</v>
      </c>
      <c r="AR50" s="1112">
        <f t="shared" si="20"/>
        <v>10.100000000000001</v>
      </c>
      <c r="AS50" s="1113" t="e">
        <f t="shared" si="19"/>
        <v>#N/A</v>
      </c>
      <c r="AT50" s="1113" t="e">
        <f t="shared" si="19"/>
        <v>#N/A</v>
      </c>
      <c r="AU50" s="1113" t="e">
        <f t="shared" si="19"/>
        <v>#N/A</v>
      </c>
      <c r="AV50" s="1113">
        <f t="shared" si="19"/>
        <v>0.47227191413237923</v>
      </c>
      <c r="AW50" s="1113">
        <f t="shared" si="19"/>
        <v>0.50242326332794829</v>
      </c>
      <c r="AX50" s="348"/>
      <c r="AY50" s="348"/>
      <c r="AZ50" s="348"/>
      <c r="BA50" s="348"/>
      <c r="BB50" s="348"/>
      <c r="BC50" s="348"/>
      <c r="BD50" s="348"/>
      <c r="BE50" s="348"/>
      <c r="BF50" s="348"/>
      <c r="BG50" s="348"/>
      <c r="BH50" s="348"/>
      <c r="BI50" s="348"/>
      <c r="BJ50" s="348"/>
      <c r="BK50" s="348"/>
      <c r="BL50" s="348"/>
      <c r="BM50" s="348"/>
      <c r="BN50" s="348"/>
      <c r="BO50" s="348"/>
      <c r="BP50" s="348"/>
      <c r="BQ50" s="348"/>
    </row>
    <row r="51" spans="1:69" ht="14.25" customHeight="1" x14ac:dyDescent="0.2">
      <c r="A51" s="118"/>
      <c r="B51" s="421"/>
      <c r="C51" s="421"/>
      <c r="D51" s="58"/>
      <c r="E51" s="58"/>
      <c r="F51" s="58"/>
      <c r="G51" s="58"/>
      <c r="H51" s="58"/>
      <c r="I51" s="58"/>
      <c r="J51" s="12"/>
      <c r="K51" s="14"/>
      <c r="L51" s="14"/>
      <c r="M51" s="14"/>
      <c r="N51" s="14"/>
      <c r="O51" s="9"/>
      <c r="P51" s="9"/>
      <c r="Q51" s="9"/>
      <c r="R51" s="9"/>
      <c r="S51" s="9"/>
      <c r="T51" s="9"/>
      <c r="U51" s="9"/>
      <c r="V51" s="117"/>
      <c r="W51" s="137"/>
      <c r="X51" s="294"/>
      <c r="AA51" s="197"/>
      <c r="AJ51" s="585" t="b">
        <v>1</v>
      </c>
      <c r="AK51" s="160" t="s">
        <v>12</v>
      </c>
      <c r="AL51" s="87" t="str">
        <f t="shared" si="17"/>
        <v>Portsmouth</v>
      </c>
      <c r="AM51" s="146" t="e">
        <f t="shared" ref="AM51:AQ64" si="21">VLOOKUP($AL51,$B$10:$O$33,AM$37,FALSE)</f>
        <v>#N/A</v>
      </c>
      <c r="AN51" s="146" t="e">
        <f t="shared" si="21"/>
        <v>#N/A</v>
      </c>
      <c r="AO51" s="146" t="e">
        <f t="shared" si="21"/>
        <v>#N/A</v>
      </c>
      <c r="AP51" s="146">
        <f t="shared" si="21"/>
        <v>23.566084788029926</v>
      </c>
      <c r="AQ51" s="146">
        <f t="shared" si="21"/>
        <v>24.905660377358494</v>
      </c>
      <c r="AR51" s="1112">
        <f t="shared" si="20"/>
        <v>20.200000000000003</v>
      </c>
      <c r="AS51" s="1113" t="e">
        <f t="shared" ref="AS51:AW64" si="22">VLOOKUP($AL51,$B$77:$H$100,AS$37,FALSE)</f>
        <v>#N/A</v>
      </c>
      <c r="AT51" s="1113" t="e">
        <f t="shared" si="22"/>
        <v>#N/A</v>
      </c>
      <c r="AU51" s="1113" t="e">
        <f t="shared" si="22"/>
        <v>#N/A</v>
      </c>
      <c r="AV51" s="1113">
        <f t="shared" si="22"/>
        <v>0.97354497354497349</v>
      </c>
      <c r="AW51" s="1113">
        <f t="shared" si="22"/>
        <v>0.95959595959595956</v>
      </c>
      <c r="AX51" s="348"/>
      <c r="AY51" s="348"/>
      <c r="AZ51" s="348"/>
      <c r="BA51" s="348"/>
      <c r="BB51" s="348"/>
      <c r="BC51" s="348"/>
      <c r="BD51" s="348"/>
      <c r="BE51" s="348"/>
      <c r="BF51" s="348"/>
      <c r="BG51" s="348"/>
      <c r="BH51" s="348"/>
      <c r="BI51" s="348"/>
      <c r="BJ51" s="348"/>
      <c r="BK51" s="348"/>
      <c r="BL51" s="348"/>
      <c r="BM51" s="348"/>
      <c r="BN51" s="348"/>
      <c r="BO51" s="348"/>
      <c r="BP51" s="348"/>
      <c r="BQ51" s="348"/>
    </row>
    <row r="52" spans="1:69" ht="14.25" customHeight="1" x14ac:dyDescent="0.2">
      <c r="A52" s="118"/>
      <c r="B52" s="421"/>
      <c r="C52" s="421"/>
      <c r="D52" s="58"/>
      <c r="E52" s="58"/>
      <c r="F52" s="58"/>
      <c r="G52" s="58"/>
      <c r="H52" s="58"/>
      <c r="I52" s="58"/>
      <c r="J52" s="12"/>
      <c r="K52" s="14"/>
      <c r="L52" s="14"/>
      <c r="M52" s="14"/>
      <c r="N52" s="14"/>
      <c r="O52" s="9"/>
      <c r="P52" s="9"/>
      <c r="Q52" s="9"/>
      <c r="R52" s="9"/>
      <c r="S52" s="9"/>
      <c r="T52" s="9"/>
      <c r="U52" s="9"/>
      <c r="V52" s="117"/>
      <c r="W52" s="137"/>
      <c r="X52" s="294"/>
      <c r="AA52" s="197"/>
      <c r="AJ52" s="585" t="b">
        <v>1</v>
      </c>
      <c r="AK52" s="160" t="s">
        <v>3</v>
      </c>
      <c r="AL52" s="87" t="str">
        <f t="shared" si="17"/>
        <v>Reading</v>
      </c>
      <c r="AM52" s="146" t="e">
        <f t="shared" si="21"/>
        <v>#N/A</v>
      </c>
      <c r="AN52" s="146" t="e">
        <f t="shared" si="21"/>
        <v>#N/A</v>
      </c>
      <c r="AO52" s="146" t="e">
        <f t="shared" si="21"/>
        <v>#N/A</v>
      </c>
      <c r="AP52" s="146">
        <f t="shared" si="21"/>
        <v>34.01015228426396</v>
      </c>
      <c r="AQ52" s="146">
        <f t="shared" si="21"/>
        <v>30</v>
      </c>
      <c r="AR52" s="1112">
        <f t="shared" si="20"/>
        <v>16</v>
      </c>
      <c r="AS52" s="1113" t="e">
        <f t="shared" si="22"/>
        <v>#N/A</v>
      </c>
      <c r="AT52" s="1113" t="e">
        <f t="shared" si="22"/>
        <v>#N/A</v>
      </c>
      <c r="AU52" s="1113" t="e">
        <f t="shared" si="22"/>
        <v>#N/A</v>
      </c>
      <c r="AV52" s="1113">
        <f t="shared" si="22"/>
        <v>0.71144278606965172</v>
      </c>
      <c r="AW52" s="1113">
        <f t="shared" si="22"/>
        <v>0.4885057471264368</v>
      </c>
      <c r="AX52" s="348"/>
      <c r="AY52" s="348"/>
      <c r="AZ52" s="348"/>
      <c r="BA52" s="348"/>
      <c r="BB52" s="348"/>
      <c r="BC52" s="348"/>
      <c r="BD52" s="348"/>
      <c r="BE52" s="348"/>
      <c r="BF52" s="348"/>
      <c r="BG52" s="348"/>
      <c r="BH52" s="348"/>
      <c r="BI52" s="348"/>
      <c r="BJ52" s="348"/>
      <c r="BK52" s="348"/>
      <c r="BL52" s="348"/>
      <c r="BM52" s="348"/>
      <c r="BN52" s="348"/>
      <c r="BO52" s="348"/>
      <c r="BP52" s="348"/>
      <c r="BQ52" s="348"/>
    </row>
    <row r="53" spans="1:69" ht="14.25" customHeight="1" x14ac:dyDescent="0.2">
      <c r="A53" s="118"/>
      <c r="B53" s="421"/>
      <c r="C53" s="421"/>
      <c r="D53" s="58"/>
      <c r="E53" s="58"/>
      <c r="F53" s="58"/>
      <c r="G53" s="58"/>
      <c r="H53" s="58"/>
      <c r="I53" s="58"/>
      <c r="J53" s="12"/>
      <c r="K53" s="14"/>
      <c r="L53" s="14"/>
      <c r="M53" s="14"/>
      <c r="N53" s="14"/>
      <c r="O53" s="9"/>
      <c r="P53" s="9"/>
      <c r="Q53" s="9"/>
      <c r="R53" s="9"/>
      <c r="S53" s="9"/>
      <c r="T53" s="9"/>
      <c r="U53" s="9"/>
      <c r="V53" s="117"/>
      <c r="W53" s="137"/>
      <c r="X53" s="294"/>
      <c r="AA53" s="197"/>
      <c r="AJ53" s="585" t="b">
        <v>1</v>
      </c>
      <c r="AK53" s="160" t="s">
        <v>13</v>
      </c>
      <c r="AL53" s="87" t="str">
        <f t="shared" si="17"/>
        <v>Slough</v>
      </c>
      <c r="AM53" s="146" t="e">
        <f t="shared" si="21"/>
        <v>#N/A</v>
      </c>
      <c r="AN53" s="146" t="e">
        <f t="shared" si="21"/>
        <v>#N/A</v>
      </c>
      <c r="AO53" s="146" t="e">
        <f t="shared" si="21"/>
        <v>#N/A</v>
      </c>
      <c r="AP53" s="146">
        <f t="shared" si="21"/>
        <v>30.198915009041592</v>
      </c>
      <c r="AQ53" s="146">
        <f t="shared" si="21"/>
        <v>38.172043010752688</v>
      </c>
      <c r="AR53" s="1112">
        <f t="shared" si="20"/>
        <v>14.7</v>
      </c>
      <c r="AS53" s="1113" t="e">
        <f t="shared" si="22"/>
        <v>#N/A</v>
      </c>
      <c r="AT53" s="1113" t="e">
        <f t="shared" si="22"/>
        <v>#N/A</v>
      </c>
      <c r="AU53" s="1113" t="e">
        <f t="shared" si="22"/>
        <v>#N/A</v>
      </c>
      <c r="AV53" s="1113">
        <f t="shared" si="22"/>
        <v>0.57485029940119758</v>
      </c>
      <c r="AW53" s="1113">
        <f t="shared" si="22"/>
        <v>0.62441314553990612</v>
      </c>
      <c r="AX53" s="348"/>
      <c r="AY53" s="348"/>
      <c r="AZ53" s="348"/>
      <c r="BA53" s="348"/>
      <c r="BB53" s="348"/>
      <c r="BC53" s="348"/>
      <c r="BD53" s="348"/>
      <c r="BE53" s="348"/>
      <c r="BF53" s="348"/>
      <c r="BG53" s="348"/>
      <c r="BH53" s="348"/>
      <c r="BI53" s="348"/>
      <c r="BJ53" s="348"/>
      <c r="BK53" s="348"/>
      <c r="BL53" s="348"/>
      <c r="BM53" s="348"/>
      <c r="BN53" s="348"/>
      <c r="BO53" s="348"/>
      <c r="BP53" s="348"/>
      <c r="BQ53" s="348"/>
    </row>
    <row r="54" spans="1:69" ht="14.25" customHeight="1" x14ac:dyDescent="0.2">
      <c r="A54" s="118"/>
      <c r="B54" s="421"/>
      <c r="C54" s="421"/>
      <c r="D54" s="58"/>
      <c r="E54" s="58"/>
      <c r="F54" s="58"/>
      <c r="G54" s="58"/>
      <c r="H54" s="58"/>
      <c r="I54" s="58"/>
      <c r="J54" s="12"/>
      <c r="K54" s="14"/>
      <c r="L54" s="14"/>
      <c r="M54" s="14"/>
      <c r="N54" s="14"/>
      <c r="O54" s="9"/>
      <c r="P54" s="9"/>
      <c r="Q54" s="9"/>
      <c r="R54" s="9"/>
      <c r="S54" s="9"/>
      <c r="T54" s="9"/>
      <c r="U54" s="9"/>
      <c r="V54" s="117"/>
      <c r="W54" s="137"/>
      <c r="X54" s="294"/>
      <c r="AA54" s="197"/>
      <c r="AJ54" s="585" t="b">
        <v>1</v>
      </c>
      <c r="AK54" s="160" t="s">
        <v>95</v>
      </c>
      <c r="AL54" s="87" t="str">
        <f t="shared" si="17"/>
        <v>Somerset</v>
      </c>
      <c r="AM54" s="146" t="e">
        <f t="shared" si="21"/>
        <v>#N/A</v>
      </c>
      <c r="AN54" s="146" t="e">
        <f t="shared" si="21"/>
        <v>#N/A</v>
      </c>
      <c r="AO54" s="146" t="e">
        <f t="shared" si="21"/>
        <v>#N/A</v>
      </c>
      <c r="AP54" s="146">
        <f t="shared" si="21"/>
        <v>28.524804177545693</v>
      </c>
      <c r="AQ54" s="146">
        <f t="shared" si="21"/>
        <v>35.690897184020955</v>
      </c>
      <c r="AR54" s="1112">
        <f t="shared" si="20"/>
        <v>13.600000000000001</v>
      </c>
      <c r="AS54" s="1113" t="e">
        <f t="shared" si="22"/>
        <v>#N/A</v>
      </c>
      <c r="AT54" s="1113" t="e">
        <f t="shared" si="22"/>
        <v>#N/A</v>
      </c>
      <c r="AU54" s="1113" t="e">
        <f t="shared" si="22"/>
        <v>#N/A</v>
      </c>
      <c r="AV54" s="1113">
        <f t="shared" si="22"/>
        <v>0.3592677345537757</v>
      </c>
      <c r="AW54" s="1113">
        <f t="shared" si="22"/>
        <v>0.20917431192660552</v>
      </c>
      <c r="AX54" s="348"/>
      <c r="AY54" s="348"/>
      <c r="AZ54" s="348"/>
      <c r="BA54" s="348"/>
      <c r="BB54" s="348"/>
      <c r="BC54" s="348"/>
      <c r="BD54" s="348"/>
      <c r="BE54" s="348"/>
      <c r="BF54" s="348"/>
      <c r="BG54" s="348"/>
      <c r="BH54" s="348"/>
      <c r="BI54" s="348"/>
      <c r="BJ54" s="348"/>
      <c r="BK54" s="348"/>
      <c r="BL54" s="348"/>
      <c r="BM54" s="348"/>
      <c r="BN54" s="348"/>
      <c r="BO54" s="348"/>
      <c r="BP54" s="348"/>
      <c r="BQ54" s="348"/>
    </row>
    <row r="55" spans="1:69" ht="14.25" customHeight="1" x14ac:dyDescent="0.2">
      <c r="A55" s="118"/>
      <c r="B55" s="421"/>
      <c r="C55" s="421"/>
      <c r="D55" s="58"/>
      <c r="E55" s="58"/>
      <c r="F55" s="58"/>
      <c r="G55" s="58"/>
      <c r="H55" s="58"/>
      <c r="I55" s="58"/>
      <c r="J55" s="12"/>
      <c r="K55" s="14"/>
      <c r="L55" s="14"/>
      <c r="M55" s="14"/>
      <c r="N55" s="14"/>
      <c r="O55" s="9"/>
      <c r="P55" s="9"/>
      <c r="Q55" s="9"/>
      <c r="R55" s="9"/>
      <c r="S55" s="9"/>
      <c r="T55" s="9"/>
      <c r="U55" s="9"/>
      <c r="V55" s="117"/>
      <c r="W55" s="137"/>
      <c r="X55" s="294"/>
      <c r="AA55" s="197"/>
      <c r="AJ55" s="585" t="b">
        <v>1</v>
      </c>
      <c r="AK55" s="160" t="s">
        <v>14</v>
      </c>
      <c r="AL55" s="87" t="str">
        <f t="shared" si="17"/>
        <v>Southampton</v>
      </c>
      <c r="AM55" s="146" t="e">
        <f t="shared" si="21"/>
        <v>#N/A</v>
      </c>
      <c r="AN55" s="146" t="e">
        <f t="shared" si="21"/>
        <v>#N/A</v>
      </c>
      <c r="AO55" s="146" t="e">
        <f t="shared" si="21"/>
        <v>#N/A</v>
      </c>
      <c r="AP55" s="146">
        <f t="shared" si="21"/>
        <v>18.668012108980829</v>
      </c>
      <c r="AQ55" s="146">
        <f t="shared" si="21"/>
        <v>25.975359342915809</v>
      </c>
      <c r="AR55" s="1112">
        <f t="shared" si="20"/>
        <v>20.5</v>
      </c>
      <c r="AS55" s="1113" t="e">
        <f t="shared" si="22"/>
        <v>#N/A</v>
      </c>
      <c r="AT55" s="1113" t="e">
        <f t="shared" si="22"/>
        <v>#N/A</v>
      </c>
      <c r="AU55" s="1113" t="e">
        <f t="shared" si="22"/>
        <v>#N/A</v>
      </c>
      <c r="AV55" s="1113">
        <f t="shared" si="22"/>
        <v>0.2810810810810811</v>
      </c>
      <c r="AW55" s="1113">
        <f t="shared" si="22"/>
        <v>0.54545454545454541</v>
      </c>
      <c r="AX55" s="348"/>
      <c r="AY55" s="348"/>
      <c r="AZ55" s="348"/>
      <c r="BA55" s="348"/>
      <c r="BB55" s="348"/>
      <c r="BC55" s="348"/>
      <c r="BD55" s="348"/>
      <c r="BE55" s="348"/>
      <c r="BF55" s="348"/>
      <c r="BG55" s="348"/>
      <c r="BH55" s="348"/>
      <c r="BI55" s="348"/>
      <c r="BJ55" s="348"/>
      <c r="BK55" s="348"/>
      <c r="BL55" s="348"/>
      <c r="BM55" s="348"/>
      <c r="BN55" s="348"/>
      <c r="BO55" s="348"/>
      <c r="BP55" s="348"/>
      <c r="BQ55" s="348"/>
    </row>
    <row r="56" spans="1:69" ht="14.25" customHeight="1" x14ac:dyDescent="0.2">
      <c r="A56" s="118"/>
      <c r="B56" s="421"/>
      <c r="C56" s="421"/>
      <c r="D56" s="58"/>
      <c r="E56" s="58"/>
      <c r="F56" s="58"/>
      <c r="G56" s="58"/>
      <c r="H56" s="58"/>
      <c r="I56" s="58"/>
      <c r="J56" s="12"/>
      <c r="K56" s="14"/>
      <c r="L56" s="14"/>
      <c r="M56" s="14"/>
      <c r="N56" s="14"/>
      <c r="O56" s="9"/>
      <c r="P56" s="9"/>
      <c r="Q56" s="9"/>
      <c r="R56" s="9"/>
      <c r="S56" s="9"/>
      <c r="T56" s="9"/>
      <c r="U56" s="9"/>
      <c r="V56" s="117"/>
      <c r="W56" s="137"/>
      <c r="X56" s="294"/>
      <c r="AA56" s="197"/>
      <c r="AJ56" s="585" t="b">
        <v>1</v>
      </c>
      <c r="AK56" s="160" t="s">
        <v>7</v>
      </c>
      <c r="AL56" s="87" t="str">
        <f t="shared" si="17"/>
        <v>Surrey</v>
      </c>
      <c r="AM56" s="146" t="e">
        <f t="shared" si="21"/>
        <v>#N/A</v>
      </c>
      <c r="AN56" s="146" t="e">
        <f t="shared" si="21"/>
        <v>#N/A</v>
      </c>
      <c r="AO56" s="146" t="e">
        <f t="shared" si="21"/>
        <v>#N/A</v>
      </c>
      <c r="AP56" s="146">
        <f t="shared" si="21"/>
        <v>37.749248839114998</v>
      </c>
      <c r="AQ56" s="146">
        <f t="shared" si="21"/>
        <v>39.929424538545064</v>
      </c>
      <c r="AR56" s="1112">
        <f t="shared" si="20"/>
        <v>8.3000000000000007</v>
      </c>
      <c r="AS56" s="1113" t="e">
        <f t="shared" si="22"/>
        <v>#N/A</v>
      </c>
      <c r="AT56" s="1113" t="e">
        <f t="shared" si="22"/>
        <v>#N/A</v>
      </c>
      <c r="AU56" s="1113" t="e">
        <f t="shared" si="22"/>
        <v>#N/A</v>
      </c>
      <c r="AV56" s="1113">
        <f t="shared" si="22"/>
        <v>0.67221418234442831</v>
      </c>
      <c r="AW56" s="1113">
        <f t="shared" si="22"/>
        <v>0.54384772263766146</v>
      </c>
      <c r="AX56" s="348"/>
      <c r="AY56" s="348"/>
      <c r="AZ56" s="348"/>
      <c r="BA56" s="348"/>
      <c r="BB56" s="348"/>
      <c r="BC56" s="348"/>
      <c r="BD56" s="348"/>
      <c r="BE56" s="348"/>
      <c r="BF56" s="348"/>
      <c r="BG56" s="348"/>
      <c r="BH56" s="348"/>
      <c r="BI56" s="348"/>
      <c r="BJ56" s="348"/>
      <c r="BK56" s="348"/>
      <c r="BL56" s="348"/>
      <c r="BM56" s="348"/>
      <c r="BN56" s="348"/>
      <c r="BO56" s="348"/>
      <c r="BP56" s="348"/>
      <c r="BQ56" s="348"/>
    </row>
    <row r="57" spans="1:69" ht="14.25" customHeight="1" x14ac:dyDescent="0.2">
      <c r="A57" s="278"/>
      <c r="B57" s="421"/>
      <c r="C57" s="421"/>
      <c r="D57" s="58"/>
      <c r="E57" s="58"/>
      <c r="F57" s="58"/>
      <c r="G57" s="58"/>
      <c r="H57" s="58"/>
      <c r="I57" s="58"/>
      <c r="J57" s="12"/>
      <c r="K57" s="14"/>
      <c r="L57" s="14"/>
      <c r="M57" s="14"/>
      <c r="N57" s="14"/>
      <c r="O57" s="9"/>
      <c r="P57" s="9"/>
      <c r="Q57" s="9"/>
      <c r="R57" s="9"/>
      <c r="S57" s="9"/>
      <c r="T57" s="9"/>
      <c r="U57" s="9"/>
      <c r="V57" s="117"/>
      <c r="W57" s="137"/>
      <c r="X57" s="294"/>
      <c r="AA57" s="197"/>
      <c r="AJ57" s="585" t="b">
        <v>1</v>
      </c>
      <c r="AK57" s="160" t="s">
        <v>113</v>
      </c>
      <c r="AL57" s="87" t="str">
        <f t="shared" si="17"/>
        <v>Swindon</v>
      </c>
      <c r="AM57" s="146" t="e">
        <f t="shared" si="21"/>
        <v>#N/A</v>
      </c>
      <c r="AN57" s="146" t="e">
        <f t="shared" si="21"/>
        <v>#N/A</v>
      </c>
      <c r="AO57" s="146" t="e">
        <f t="shared" si="21"/>
        <v>#N/A</v>
      </c>
      <c r="AP57" s="146">
        <f t="shared" si="21"/>
        <v>29.694323144104803</v>
      </c>
      <c r="AQ57" s="146">
        <f t="shared" si="21"/>
        <v>34.649122807017548</v>
      </c>
      <c r="AR57" s="1112">
        <f t="shared" si="20"/>
        <v>14.899999999999999</v>
      </c>
      <c r="AS57" s="1113" t="e">
        <f t="shared" si="22"/>
        <v>#N/A</v>
      </c>
      <c r="AT57" s="1113" t="e">
        <f t="shared" si="22"/>
        <v>#N/A</v>
      </c>
      <c r="AU57" s="1113" t="e">
        <f t="shared" si="22"/>
        <v>#N/A</v>
      </c>
      <c r="AV57" s="1113">
        <f t="shared" si="22"/>
        <v>0.92156862745098034</v>
      </c>
      <c r="AW57" s="1113">
        <f t="shared" si="22"/>
        <v>0.30379746835443039</v>
      </c>
      <c r="AX57" s="348"/>
      <c r="AY57" s="348"/>
      <c r="AZ57" s="348"/>
      <c r="BA57" s="348"/>
      <c r="BB57" s="348"/>
      <c r="BC57" s="348"/>
      <c r="BD57" s="348"/>
      <c r="BE57" s="348"/>
      <c r="BF57" s="348"/>
      <c r="BG57" s="348"/>
      <c r="BH57" s="348"/>
      <c r="BI57" s="348"/>
      <c r="BJ57" s="348"/>
      <c r="BK57" s="348"/>
      <c r="BL57" s="348"/>
      <c r="BM57" s="348"/>
      <c r="BN57" s="348"/>
      <c r="BO57" s="348"/>
      <c r="BP57" s="348"/>
      <c r="BQ57" s="348"/>
    </row>
    <row r="58" spans="1:69" ht="14.25" customHeight="1" x14ac:dyDescent="0.2">
      <c r="A58" s="278"/>
      <c r="B58" s="421"/>
      <c r="C58" s="421"/>
      <c r="D58" s="58"/>
      <c r="E58" s="58"/>
      <c r="F58" s="58"/>
      <c r="G58" s="58"/>
      <c r="H58" s="58"/>
      <c r="I58" s="58"/>
      <c r="J58" s="12"/>
      <c r="K58" s="14"/>
      <c r="L58" s="14"/>
      <c r="M58" s="14"/>
      <c r="N58" s="14"/>
      <c r="O58" s="9"/>
      <c r="P58" s="9"/>
      <c r="Q58" s="9"/>
      <c r="R58" s="9"/>
      <c r="S58" s="9"/>
      <c r="T58" s="9"/>
      <c r="U58" s="9"/>
      <c r="V58" s="117"/>
      <c r="W58" s="137"/>
      <c r="X58" s="294"/>
      <c r="AA58" s="197"/>
      <c r="AJ58" s="585" t="b">
        <v>1</v>
      </c>
      <c r="AK58" s="160" t="s">
        <v>114</v>
      </c>
      <c r="AL58" s="87" t="str">
        <f t="shared" si="17"/>
        <v>Torbay</v>
      </c>
      <c r="AM58" s="146" t="e">
        <f t="shared" si="21"/>
        <v>#N/A</v>
      </c>
      <c r="AN58" s="146" t="e">
        <f t="shared" si="21"/>
        <v>#N/A</v>
      </c>
      <c r="AO58" s="146" t="e">
        <f t="shared" si="21"/>
        <v>#N/A</v>
      </c>
      <c r="AP58" s="146">
        <f t="shared" si="21"/>
        <v>50.420168067226896</v>
      </c>
      <c r="AQ58" s="146">
        <f t="shared" si="21"/>
        <v>53.257790368271948</v>
      </c>
      <c r="AR58" s="1112">
        <f t="shared" si="20"/>
        <v>21.9</v>
      </c>
      <c r="AS58" s="1113" t="e">
        <f t="shared" si="22"/>
        <v>#N/A</v>
      </c>
      <c r="AT58" s="1113" t="e">
        <f t="shared" si="22"/>
        <v>#N/A</v>
      </c>
      <c r="AU58" s="1113" t="e">
        <f t="shared" si="22"/>
        <v>#N/A</v>
      </c>
      <c r="AV58" s="1113">
        <f t="shared" si="22"/>
        <v>0.92777777777777781</v>
      </c>
      <c r="AW58" s="1113">
        <f t="shared" si="22"/>
        <v>0.26595744680851063</v>
      </c>
      <c r="AX58" s="348"/>
      <c r="AY58" s="348"/>
      <c r="AZ58" s="348"/>
      <c r="BA58" s="348"/>
      <c r="BB58" s="348"/>
      <c r="BC58" s="348"/>
      <c r="BD58" s="348"/>
      <c r="BE58" s="348"/>
      <c r="BF58" s="348"/>
      <c r="BG58" s="348"/>
      <c r="BH58" s="348"/>
      <c r="BI58" s="348"/>
      <c r="BJ58" s="348"/>
      <c r="BK58" s="348"/>
      <c r="BL58" s="348"/>
      <c r="BM58" s="348"/>
      <c r="BN58" s="348"/>
      <c r="BO58" s="348"/>
      <c r="BP58" s="348"/>
      <c r="BQ58" s="348"/>
    </row>
    <row r="59" spans="1:69" ht="14.25" customHeight="1" x14ac:dyDescent="0.2">
      <c r="A59" s="118"/>
      <c r="B59" s="421"/>
      <c r="C59" s="421"/>
      <c r="D59" s="58"/>
      <c r="E59" s="58"/>
      <c r="F59" s="58"/>
      <c r="G59" s="58"/>
      <c r="H59" s="58"/>
      <c r="I59" s="58"/>
      <c r="J59" s="12"/>
      <c r="K59" s="14"/>
      <c r="L59" s="14"/>
      <c r="M59" s="14"/>
      <c r="N59" s="14"/>
      <c r="O59" s="9"/>
      <c r="P59" s="9"/>
      <c r="Q59" s="9"/>
      <c r="R59" s="9"/>
      <c r="S59" s="9"/>
      <c r="T59" s="9"/>
      <c r="U59" s="9"/>
      <c r="V59" s="117"/>
      <c r="W59" s="137"/>
      <c r="X59" s="294"/>
      <c r="AA59" s="197"/>
      <c r="AJ59" s="585" t="b">
        <v>1</v>
      </c>
      <c r="AK59" s="160" t="s">
        <v>15</v>
      </c>
      <c r="AL59" s="87" t="str">
        <f t="shared" si="17"/>
        <v>West Berkshire</v>
      </c>
      <c r="AM59" s="146" t="e">
        <f t="shared" si="21"/>
        <v>#N/A</v>
      </c>
      <c r="AN59" s="146" t="e">
        <f t="shared" si="21"/>
        <v>#N/A</v>
      </c>
      <c r="AO59" s="146" t="e">
        <f t="shared" si="21"/>
        <v>#N/A</v>
      </c>
      <c r="AP59" s="146">
        <f t="shared" si="21"/>
        <v>24.109014675052411</v>
      </c>
      <c r="AQ59" s="146">
        <f t="shared" si="21"/>
        <v>32.700421940928265</v>
      </c>
      <c r="AR59" s="1112">
        <f t="shared" si="20"/>
        <v>8.6999999999999993</v>
      </c>
      <c r="AS59" s="1113" t="e">
        <f t="shared" si="22"/>
        <v>#N/A</v>
      </c>
      <c r="AT59" s="1113" t="e">
        <f t="shared" si="22"/>
        <v>#N/A</v>
      </c>
      <c r="AU59" s="1113" t="e">
        <f t="shared" si="22"/>
        <v>#N/A</v>
      </c>
      <c r="AV59" s="1113">
        <f t="shared" si="22"/>
        <v>0.84347826086956523</v>
      </c>
      <c r="AW59" s="1113">
        <f t="shared" si="22"/>
        <v>0.84516129032258069</v>
      </c>
      <c r="AX59" s="348"/>
      <c r="AY59" s="348"/>
      <c r="AZ59" s="348"/>
      <c r="BA59" s="348"/>
      <c r="BB59" s="348"/>
      <c r="BC59" s="348"/>
      <c r="BD59" s="348"/>
      <c r="BE59" s="348"/>
      <c r="BF59" s="348"/>
      <c r="BG59" s="348"/>
      <c r="BH59" s="348"/>
      <c r="BI59" s="348"/>
      <c r="BJ59" s="348"/>
      <c r="BK59" s="348"/>
      <c r="BL59" s="348"/>
      <c r="BM59" s="348"/>
      <c r="BN59" s="348"/>
      <c r="BO59" s="348"/>
      <c r="BP59" s="348"/>
      <c r="BQ59" s="348"/>
    </row>
    <row r="60" spans="1:69" ht="14.25" customHeight="1" x14ac:dyDescent="0.2">
      <c r="A60" s="118"/>
      <c r="B60" s="421"/>
      <c r="C60" s="421"/>
      <c r="D60" s="58"/>
      <c r="E60" s="58"/>
      <c r="F60" s="58"/>
      <c r="G60" s="58"/>
      <c r="H60" s="58"/>
      <c r="I60" s="58"/>
      <c r="J60" s="12"/>
      <c r="K60" s="14"/>
      <c r="L60" s="14"/>
      <c r="M60" s="14"/>
      <c r="N60" s="14"/>
      <c r="O60" s="9"/>
      <c r="P60" s="9"/>
      <c r="Q60" s="9"/>
      <c r="R60" s="9"/>
      <c r="S60" s="9"/>
      <c r="T60" s="9"/>
      <c r="U60" s="9"/>
      <c r="V60" s="117"/>
      <c r="W60" s="137"/>
      <c r="X60" s="294"/>
      <c r="AA60" s="197"/>
      <c r="AJ60" s="585" t="b">
        <v>1</v>
      </c>
      <c r="AK60" s="160" t="s">
        <v>5</v>
      </c>
      <c r="AL60" s="87" t="str">
        <f t="shared" si="17"/>
        <v>West Sussex</v>
      </c>
      <c r="AM60" s="146" t="e">
        <f t="shared" si="21"/>
        <v>#N/A</v>
      </c>
      <c r="AN60" s="146" t="e">
        <f t="shared" si="21"/>
        <v>#N/A</v>
      </c>
      <c r="AO60" s="146" t="e">
        <f t="shared" si="21"/>
        <v>#N/A</v>
      </c>
      <c r="AP60" s="146">
        <f t="shared" si="21"/>
        <v>25.721455457967377</v>
      </c>
      <c r="AQ60" s="146">
        <f t="shared" si="21"/>
        <v>31.939799331103682</v>
      </c>
      <c r="AR60" s="1112">
        <f t="shared" si="20"/>
        <v>11</v>
      </c>
      <c r="AS60" s="1113" t="e">
        <f t="shared" si="22"/>
        <v>#N/A</v>
      </c>
      <c r="AT60" s="1113" t="e">
        <f t="shared" si="22"/>
        <v>#N/A</v>
      </c>
      <c r="AU60" s="1113" t="e">
        <f t="shared" si="22"/>
        <v>#N/A</v>
      </c>
      <c r="AV60" s="1113">
        <f t="shared" si="22"/>
        <v>0.43577235772357725</v>
      </c>
      <c r="AW60" s="1113">
        <f t="shared" si="22"/>
        <v>0.78010471204188481</v>
      </c>
      <c r="AX60" s="348"/>
      <c r="AY60" s="348"/>
      <c r="AZ60" s="348"/>
      <c r="BA60" s="348"/>
      <c r="BB60" s="348"/>
      <c r="BC60" s="348"/>
      <c r="BD60" s="348"/>
      <c r="BE60" s="348"/>
      <c r="BF60" s="348"/>
      <c r="BG60" s="348"/>
      <c r="BH60" s="348"/>
      <c r="BI60" s="348"/>
      <c r="BJ60" s="348"/>
      <c r="BK60" s="348"/>
      <c r="BL60" s="348"/>
      <c r="BM60" s="348"/>
      <c r="BN60" s="348"/>
      <c r="BO60" s="348"/>
      <c r="BP60" s="348"/>
      <c r="BQ60" s="348"/>
    </row>
    <row r="61" spans="1:69" s="81" customFormat="1" ht="14.25" customHeight="1" x14ac:dyDescent="0.2">
      <c r="A61" s="118"/>
      <c r="B61" s="421"/>
      <c r="C61" s="421"/>
      <c r="D61" s="58"/>
      <c r="E61" s="58"/>
      <c r="F61" s="58"/>
      <c r="G61" s="58"/>
      <c r="H61" s="58"/>
      <c r="I61" s="58"/>
      <c r="J61" s="12"/>
      <c r="K61" s="14"/>
      <c r="L61" s="14"/>
      <c r="M61" s="14"/>
      <c r="N61" s="14"/>
      <c r="O61" s="9"/>
      <c r="P61" s="9"/>
      <c r="Q61" s="9"/>
      <c r="R61" s="9"/>
      <c r="S61" s="9"/>
      <c r="T61" s="9"/>
      <c r="U61" s="9"/>
      <c r="V61" s="117"/>
      <c r="W61" s="137"/>
      <c r="X61" s="294"/>
      <c r="AA61" s="197"/>
      <c r="AJ61" s="585" t="b">
        <v>1</v>
      </c>
      <c r="AK61" s="160" t="s">
        <v>30</v>
      </c>
      <c r="AL61" s="87" t="str">
        <f t="shared" si="17"/>
        <v>Windsor &amp; Maidenhead</v>
      </c>
      <c r="AM61" s="146" t="e">
        <f t="shared" si="21"/>
        <v>#N/A</v>
      </c>
      <c r="AN61" s="146" t="e">
        <f t="shared" si="21"/>
        <v>#N/A</v>
      </c>
      <c r="AO61" s="146" t="e">
        <f t="shared" si="21"/>
        <v>#N/A</v>
      </c>
      <c r="AP61" s="146">
        <f t="shared" si="21"/>
        <v>25.663716814159294</v>
      </c>
      <c r="AQ61" s="146">
        <f t="shared" si="21"/>
        <v>33.406593406593409</v>
      </c>
      <c r="AR61" s="1112">
        <f t="shared" si="20"/>
        <v>6.7</v>
      </c>
      <c r="AS61" s="1113" t="e">
        <f t="shared" si="22"/>
        <v>#N/A</v>
      </c>
      <c r="AT61" s="1113" t="e">
        <f t="shared" si="22"/>
        <v>#N/A</v>
      </c>
      <c r="AU61" s="1113" t="e">
        <f t="shared" si="22"/>
        <v>#N/A</v>
      </c>
      <c r="AV61" s="1113">
        <f t="shared" si="22"/>
        <v>0.98275862068965514</v>
      </c>
      <c r="AW61" s="1113">
        <f t="shared" si="22"/>
        <v>0.84210526315789469</v>
      </c>
      <c r="AX61" s="348"/>
      <c r="AY61" s="348"/>
      <c r="AZ61" s="348"/>
      <c r="BA61" s="348"/>
      <c r="BB61" s="348"/>
      <c r="BC61" s="348"/>
      <c r="BD61" s="348"/>
      <c r="BE61" s="348"/>
      <c r="BF61" s="348"/>
      <c r="BG61" s="348"/>
      <c r="BH61" s="348"/>
      <c r="BI61" s="348"/>
      <c r="BJ61" s="348"/>
      <c r="BK61" s="348"/>
      <c r="BL61" s="348"/>
      <c r="BM61" s="348"/>
      <c r="BN61" s="348"/>
      <c r="BO61" s="348"/>
      <c r="BP61" s="348"/>
      <c r="BQ61" s="348"/>
    </row>
    <row r="62" spans="1:69" s="81" customFormat="1" ht="14.25" customHeight="1" x14ac:dyDescent="0.2">
      <c r="A62" s="118"/>
      <c r="B62" s="421"/>
      <c r="C62" s="421"/>
      <c r="D62" s="58"/>
      <c r="E62" s="58"/>
      <c r="F62" s="58"/>
      <c r="G62" s="58"/>
      <c r="H62" s="58"/>
      <c r="I62" s="58"/>
      <c r="J62" s="12"/>
      <c r="K62" s="14"/>
      <c r="L62" s="14"/>
      <c r="M62" s="14"/>
      <c r="N62" s="14"/>
      <c r="O62" s="9"/>
      <c r="P62" s="9"/>
      <c r="Q62" s="9"/>
      <c r="R62" s="9"/>
      <c r="S62" s="9"/>
      <c r="T62" s="9"/>
      <c r="U62" s="9"/>
      <c r="V62" s="117"/>
      <c r="W62" s="137"/>
      <c r="X62" s="294"/>
      <c r="AA62" s="197"/>
      <c r="AJ62" s="585" t="b">
        <v>1</v>
      </c>
      <c r="AK62" s="160" t="s">
        <v>16</v>
      </c>
      <c r="AL62" s="87" t="str">
        <f t="shared" si="17"/>
        <v>Wokingham</v>
      </c>
      <c r="AM62" s="146" t="e">
        <f t="shared" si="21"/>
        <v>#N/A</v>
      </c>
      <c r="AN62" s="146" t="e">
        <f t="shared" si="21"/>
        <v>#N/A</v>
      </c>
      <c r="AO62" s="146" t="e">
        <f t="shared" si="21"/>
        <v>#N/A</v>
      </c>
      <c r="AP62" s="146">
        <f t="shared" si="21"/>
        <v>20.458891013384321</v>
      </c>
      <c r="AQ62" s="146">
        <f t="shared" si="21"/>
        <v>30.09345794392523</v>
      </c>
      <c r="AR62" s="1112">
        <f t="shared" si="20"/>
        <v>5.6000000000000005</v>
      </c>
      <c r="AS62" s="1113" t="e">
        <f t="shared" si="22"/>
        <v>#N/A</v>
      </c>
      <c r="AT62" s="1113" t="e">
        <f t="shared" si="22"/>
        <v>#N/A</v>
      </c>
      <c r="AU62" s="1113" t="e">
        <f t="shared" si="22"/>
        <v>#N/A</v>
      </c>
      <c r="AV62" s="1113">
        <f t="shared" si="22"/>
        <v>0.29906542056074764</v>
      </c>
      <c r="AW62" s="1113">
        <f t="shared" si="22"/>
        <v>8.6956521739130432E-2</v>
      </c>
      <c r="AX62" s="348"/>
      <c r="AY62" s="348"/>
      <c r="AZ62" s="348"/>
      <c r="BA62" s="348"/>
      <c r="BB62" s="348"/>
      <c r="BC62" s="348"/>
      <c r="BD62" s="348"/>
      <c r="BE62" s="348"/>
      <c r="BF62" s="348"/>
      <c r="BG62" s="348"/>
      <c r="BH62" s="348"/>
      <c r="BI62" s="348"/>
      <c r="BJ62" s="348"/>
      <c r="BK62" s="348"/>
      <c r="BL62" s="348"/>
      <c r="BM62" s="348"/>
      <c r="BN62" s="348"/>
      <c r="BO62" s="348"/>
      <c r="BP62" s="348"/>
      <c r="BQ62" s="348"/>
    </row>
    <row r="63" spans="1:69" s="81" customFormat="1" ht="14.25" customHeight="1" x14ac:dyDescent="0.2">
      <c r="A63" s="118"/>
      <c r="B63" s="421"/>
      <c r="C63" s="421"/>
      <c r="D63" s="58"/>
      <c r="E63" s="58"/>
      <c r="F63" s="58"/>
      <c r="G63" s="58"/>
      <c r="H63" s="58"/>
      <c r="I63" s="58"/>
      <c r="J63" s="12"/>
      <c r="K63" s="14"/>
      <c r="L63" s="14"/>
      <c r="M63" s="14"/>
      <c r="N63" s="14"/>
      <c r="O63" s="9"/>
      <c r="P63" s="9"/>
      <c r="Q63" s="9"/>
      <c r="R63" s="9"/>
      <c r="S63" s="9"/>
      <c r="T63" s="9"/>
      <c r="U63" s="9"/>
      <c r="V63" s="117"/>
      <c r="W63" s="137"/>
      <c r="X63" s="294"/>
      <c r="AA63" s="197"/>
      <c r="AJ63" s="585" t="b">
        <v>1</v>
      </c>
      <c r="AK63" s="160" t="s">
        <v>74</v>
      </c>
      <c r="AL63" s="87" t="str">
        <f t="shared" si="17"/>
        <v>South East</v>
      </c>
      <c r="AM63" s="146" t="e">
        <f t="shared" si="21"/>
        <v>#N/A</v>
      </c>
      <c r="AN63" s="146" t="e">
        <f t="shared" si="21"/>
        <v>#N/A</v>
      </c>
      <c r="AO63" s="146" t="e">
        <f t="shared" si="21"/>
        <v>#N/A</v>
      </c>
      <c r="AP63" s="146">
        <f t="shared" si="21"/>
        <v>42.52579952998876</v>
      </c>
      <c r="AQ63" s="146">
        <f t="shared" si="21"/>
        <v>47.130814543977252</v>
      </c>
      <c r="AR63" s="1112">
        <f t="shared" si="20"/>
        <v>12.371268250968637</v>
      </c>
      <c r="AS63" s="1113" t="e">
        <f t="shared" si="22"/>
        <v>#N/A</v>
      </c>
      <c r="AT63" s="1113" t="e">
        <f t="shared" si="22"/>
        <v>#N/A</v>
      </c>
      <c r="AU63" s="1113" t="e">
        <f t="shared" si="22"/>
        <v>#N/A</v>
      </c>
      <c r="AV63" s="1113">
        <f t="shared" si="22"/>
        <v>0.50108121095627101</v>
      </c>
      <c r="AW63" s="1113">
        <f t="shared" si="22"/>
        <v>0.46363538411809074</v>
      </c>
      <c r="AX63" s="348"/>
      <c r="AY63" s="348"/>
      <c r="AZ63" s="348"/>
      <c r="BA63" s="348"/>
      <c r="BB63" s="348"/>
      <c r="BC63" s="348"/>
      <c r="BD63" s="348"/>
      <c r="BE63" s="348"/>
      <c r="BF63" s="348"/>
      <c r="BG63" s="348"/>
      <c r="BH63" s="348"/>
      <c r="BI63" s="348"/>
      <c r="BJ63" s="348"/>
      <c r="BK63" s="348"/>
      <c r="BL63" s="348"/>
      <c r="BM63" s="348"/>
      <c r="BN63" s="348"/>
      <c r="BO63" s="348"/>
      <c r="BP63" s="348"/>
      <c r="BQ63" s="348"/>
    </row>
    <row r="64" spans="1:69" s="81" customFormat="1" ht="14.25" customHeight="1" x14ac:dyDescent="0.2">
      <c r="A64" s="118"/>
      <c r="B64" s="421"/>
      <c r="C64" s="421"/>
      <c r="D64" s="58"/>
      <c r="E64" s="58"/>
      <c r="F64" s="58"/>
      <c r="G64" s="58"/>
      <c r="H64" s="58"/>
      <c r="I64" s="58"/>
      <c r="J64" s="12"/>
      <c r="K64" s="9"/>
      <c r="L64" s="110"/>
      <c r="M64" s="1750" t="s">
        <v>72</v>
      </c>
      <c r="N64" s="1750"/>
      <c r="O64" s="1750"/>
      <c r="P64" s="1750"/>
      <c r="Q64" s="1011"/>
      <c r="R64" s="1751" t="s">
        <v>100</v>
      </c>
      <c r="S64" s="1751"/>
      <c r="T64" s="1751"/>
      <c r="U64" s="1751"/>
      <c r="V64" s="117"/>
      <c r="W64" s="137"/>
      <c r="X64" s="294"/>
      <c r="AA64" s="197"/>
      <c r="AJ64" s="585" t="b">
        <v>1</v>
      </c>
      <c r="AK64" s="160" t="s">
        <v>127</v>
      </c>
      <c r="AL64" s="87" t="str">
        <f t="shared" si="17"/>
        <v>England</v>
      </c>
      <c r="AM64" s="146" t="e">
        <f t="shared" si="21"/>
        <v>#N/A</v>
      </c>
      <c r="AN64" s="146" t="e">
        <f t="shared" si="21"/>
        <v>#N/A</v>
      </c>
      <c r="AO64" s="146" t="e">
        <f t="shared" si="21"/>
        <v>#N/A</v>
      </c>
      <c r="AP64" s="146">
        <f t="shared" si="21"/>
        <v>27.749957125707425</v>
      </c>
      <c r="AQ64" s="146">
        <f t="shared" si="21"/>
        <v>30.453777097562647</v>
      </c>
      <c r="AR64" s="1112">
        <f t="shared" si="20"/>
        <v>17.084413405029373</v>
      </c>
      <c r="AS64" s="1113" t="e">
        <f t="shared" si="22"/>
        <v>#N/A</v>
      </c>
      <c r="AT64" s="1113" t="e">
        <f t="shared" si="22"/>
        <v>#N/A</v>
      </c>
      <c r="AU64" s="1113" t="e">
        <f t="shared" si="22"/>
        <v>#N/A</v>
      </c>
      <c r="AV64" s="1113">
        <f t="shared" si="22"/>
        <v>0.58047504274560702</v>
      </c>
      <c r="AW64" s="1113">
        <f t="shared" si="22"/>
        <v>0.58718847863183754</v>
      </c>
      <c r="AX64" s="348"/>
      <c r="AY64" s="348"/>
      <c r="AZ64" s="348"/>
      <c r="BA64" s="348"/>
      <c r="BB64" s="348"/>
      <c r="BC64" s="348"/>
      <c r="BD64" s="348"/>
      <c r="BE64" s="348"/>
      <c r="BF64" s="348"/>
      <c r="BG64" s="348"/>
      <c r="BH64" s="348"/>
      <c r="BI64" s="348"/>
      <c r="BJ64" s="348"/>
      <c r="BK64" s="348"/>
      <c r="BL64" s="348"/>
      <c r="BM64" s="348"/>
      <c r="BN64" s="348"/>
      <c r="BO64" s="348"/>
      <c r="BP64" s="348"/>
      <c r="BQ64" s="348"/>
    </row>
    <row r="65" spans="1:69" s="81" customFormat="1" ht="14.25" customHeight="1" x14ac:dyDescent="0.2">
      <c r="A65" s="118"/>
      <c r="B65" s="421"/>
      <c r="C65" s="421"/>
      <c r="D65" s="58"/>
      <c r="E65" s="58"/>
      <c r="F65" s="58"/>
      <c r="G65" s="58"/>
      <c r="H65" s="58"/>
      <c r="I65" s="58"/>
      <c r="J65" s="12"/>
      <c r="K65" s="9"/>
      <c r="L65" s="111"/>
      <c r="M65" s="1751" t="str">
        <f>AA4</f>
        <v>Selected LA- (none)</v>
      </c>
      <c r="N65" s="1751"/>
      <c r="O65" s="1751"/>
      <c r="P65" s="1751"/>
      <c r="Q65" s="1084"/>
      <c r="R65" s="1982" t="s">
        <v>187</v>
      </c>
      <c r="S65" s="1982"/>
      <c r="T65" s="1982"/>
      <c r="U65" s="1982"/>
      <c r="V65" s="117"/>
      <c r="W65" s="137"/>
      <c r="X65" s="150"/>
      <c r="AA65" s="197"/>
      <c r="AK65" s="161"/>
      <c r="AL65" s="74" t="str">
        <f>AA4</f>
        <v>Selected LA- (none)</v>
      </c>
      <c r="AM65" s="148" t="e">
        <f>VLOOKUP($Z4,$B$10:$O$32,AM$37,FALSE)</f>
        <v>#N/A</v>
      </c>
      <c r="AN65" s="148" t="e">
        <f>VLOOKUP($Z4,$B$10:$O$32,AN$37,FALSE)</f>
        <v>#N/A</v>
      </c>
      <c r="AO65" s="148" t="e">
        <f>VLOOKUP($Z4,$B$10:$O$32,AO$37,FALSE)</f>
        <v>#N/A</v>
      </c>
      <c r="AP65" s="148" t="e">
        <f>VLOOKUP($Z4,$B$10:$O$32,AP$37,FALSE)</f>
        <v>#N/A</v>
      </c>
      <c r="AQ65" s="148" t="e">
        <f>VLOOKUP($Z4,$B$10:$O$32,AQ$37,FALSE)</f>
        <v>#N/A</v>
      </c>
      <c r="AR65" s="1112" t="e">
        <f>VLOOKUP(Z4,$B$10:$U$32,AR$37,FALSE)</f>
        <v>#N/A</v>
      </c>
      <c r="AS65" s="1114" t="e">
        <f>VLOOKUP($Z$4,$B$77:$H$100,AS$37,FALSE)</f>
        <v>#N/A</v>
      </c>
      <c r="AT65" s="1114" t="e">
        <f>VLOOKUP($Z$4,$B$77:$H$100,AT$37,FALSE)</f>
        <v>#N/A</v>
      </c>
      <c r="AU65" s="1114" t="e">
        <f>VLOOKUP($Z$4,$B$77:$H$100,AU$37,FALSE)</f>
        <v>#N/A</v>
      </c>
      <c r="AV65" s="1114" t="e">
        <f>VLOOKUP($Z$4,$B$77:$H$100,AV$37,FALSE)</f>
        <v>#N/A</v>
      </c>
      <c r="AW65" s="1114" t="e">
        <f>VLOOKUP($Z$4,$B$77:$H$100,AW$37,FALSE)</f>
        <v>#N/A</v>
      </c>
      <c r="AX65" s="171"/>
      <c r="AY65" s="171"/>
      <c r="AZ65" s="171"/>
      <c r="BA65" s="171"/>
      <c r="BB65" s="171"/>
      <c r="BC65" s="171"/>
      <c r="BD65" s="171"/>
      <c r="BE65" s="171"/>
      <c r="BF65" s="171"/>
      <c r="BG65" s="171"/>
      <c r="BH65" s="348"/>
      <c r="BI65" s="348"/>
      <c r="BJ65" s="348"/>
      <c r="BK65" s="348"/>
      <c r="BL65" s="348"/>
      <c r="BM65" s="348"/>
      <c r="BN65" s="348"/>
      <c r="BO65" s="348"/>
      <c r="BP65" s="348"/>
      <c r="BQ65" s="348"/>
    </row>
    <row r="66" spans="1:69" s="81" customFormat="1" ht="42" customHeight="1" x14ac:dyDescent="0.2">
      <c r="A66" s="118"/>
      <c r="B66" s="421"/>
      <c r="C66" s="421"/>
      <c r="D66" s="58"/>
      <c r="E66" s="58"/>
      <c r="F66" s="58"/>
      <c r="G66" s="58"/>
      <c r="H66" s="58"/>
      <c r="I66" s="58"/>
      <c r="J66" s="12"/>
      <c r="K66" s="9"/>
      <c r="L66" s="9"/>
      <c r="M66" s="9"/>
      <c r="N66" s="9"/>
      <c r="O66" s="9"/>
      <c r="P66" s="9"/>
      <c r="Q66" s="9"/>
      <c r="R66" s="9"/>
      <c r="S66" s="9"/>
      <c r="T66" s="9"/>
      <c r="U66" s="9"/>
      <c r="V66" s="117"/>
      <c r="W66" s="137"/>
      <c r="X66" s="150"/>
      <c r="AK66" s="161"/>
    </row>
    <row r="67" spans="1:69" s="87" customFormat="1" ht="42" customHeight="1" x14ac:dyDescent="0.2">
      <c r="A67" s="121"/>
      <c r="B67" s="109"/>
      <c r="C67" s="109"/>
      <c r="D67" s="109"/>
      <c r="E67" s="109"/>
      <c r="F67" s="109"/>
      <c r="G67" s="109"/>
      <c r="H67" s="109"/>
      <c r="I67" s="109"/>
      <c r="J67" s="96"/>
      <c r="K67" s="85"/>
      <c r="L67" s="85"/>
      <c r="M67" s="85"/>
      <c r="N67" s="85"/>
      <c r="O67" s="85"/>
      <c r="P67" s="85"/>
      <c r="Q67" s="85"/>
      <c r="R67" s="85"/>
      <c r="S67" s="85"/>
      <c r="T67" s="85"/>
      <c r="U67" s="85"/>
      <c r="V67" s="122"/>
      <c r="W67" s="139"/>
      <c r="X67" s="152"/>
      <c r="AE67" s="190"/>
      <c r="AF67" s="190"/>
      <c r="AG67" s="190"/>
      <c r="AH67" s="190"/>
      <c r="AI67" s="190"/>
      <c r="AJ67" s="202"/>
      <c r="AK67" s="160"/>
      <c r="AX67" s="202"/>
      <c r="AY67" s="202"/>
      <c r="AZ67" s="202"/>
      <c r="BA67" s="202"/>
      <c r="BB67" s="202"/>
      <c r="BC67" s="202"/>
      <c r="BD67" s="202"/>
      <c r="BE67" s="202"/>
      <c r="BF67" s="202"/>
      <c r="BG67" s="202"/>
      <c r="BH67" s="202"/>
      <c r="BI67" s="202"/>
      <c r="BJ67" s="202"/>
      <c r="BK67" s="202"/>
      <c r="BL67" s="202"/>
      <c r="BM67" s="202"/>
      <c r="BN67" s="202"/>
      <c r="BO67" s="202"/>
      <c r="BP67" s="202"/>
      <c r="BQ67" s="202"/>
    </row>
    <row r="68" spans="1:69" s="87" customFormat="1" ht="42.75" customHeight="1" x14ac:dyDescent="0.2">
      <c r="A68" s="121"/>
      <c r="B68" s="109"/>
      <c r="C68" s="109"/>
      <c r="D68" s="109"/>
      <c r="E68" s="109"/>
      <c r="F68" s="109"/>
      <c r="G68" s="109"/>
      <c r="H68" s="109"/>
      <c r="I68" s="109"/>
      <c r="J68" s="96"/>
      <c r="K68" s="85"/>
      <c r="L68" s="85"/>
      <c r="M68" s="85"/>
      <c r="N68" s="85"/>
      <c r="O68" s="85"/>
      <c r="P68" s="85"/>
      <c r="Q68" s="85"/>
      <c r="R68" s="85"/>
      <c r="S68" s="85"/>
      <c r="T68" s="85"/>
      <c r="U68" s="85"/>
      <c r="V68" s="122"/>
      <c r="W68" s="139"/>
      <c r="X68" s="152"/>
      <c r="AE68" s="190"/>
      <c r="AF68" s="190"/>
      <c r="AG68" s="190"/>
      <c r="AH68" s="190"/>
      <c r="AI68" s="190"/>
      <c r="AJ68" s="202"/>
      <c r="AK68" s="160"/>
      <c r="AX68" s="202"/>
      <c r="AY68" s="202"/>
      <c r="AZ68" s="202"/>
      <c r="BA68" s="202"/>
      <c r="BB68" s="202"/>
      <c r="BC68" s="202"/>
      <c r="BD68" s="202"/>
      <c r="BE68" s="202"/>
      <c r="BF68" s="202"/>
      <c r="BG68" s="202"/>
      <c r="BH68" s="202"/>
      <c r="BI68" s="202"/>
      <c r="BJ68" s="202"/>
      <c r="BK68" s="202"/>
      <c r="BL68" s="202"/>
      <c r="BM68" s="202"/>
      <c r="BN68" s="202"/>
      <c r="BO68" s="202"/>
      <c r="BP68" s="202"/>
      <c r="BQ68" s="202"/>
    </row>
    <row r="69" spans="1:69" ht="7.5" customHeight="1" x14ac:dyDescent="0.2">
      <c r="A69" s="118"/>
      <c r="B69" s="17"/>
      <c r="C69" s="17"/>
      <c r="D69" s="16"/>
      <c r="E69" s="16"/>
      <c r="F69" s="16"/>
      <c r="G69" s="16"/>
      <c r="H69" s="16"/>
      <c r="I69" s="16"/>
      <c r="J69" s="12"/>
      <c r="K69" s="18"/>
      <c r="L69" s="18"/>
      <c r="M69" s="18"/>
      <c r="N69" s="18"/>
      <c r="O69" s="18"/>
      <c r="P69" s="18"/>
      <c r="Q69" s="18"/>
      <c r="R69" s="18"/>
      <c r="S69" s="18"/>
      <c r="T69" s="18"/>
      <c r="U69" s="19"/>
      <c r="V69" s="117"/>
      <c r="W69" s="137"/>
      <c r="X69" s="150"/>
      <c r="AJ69" s="184"/>
      <c r="AK69" s="157"/>
    </row>
    <row r="70" spans="1:69" ht="15" customHeight="1" x14ac:dyDescent="0.2">
      <c r="A70" s="1716"/>
      <c r="B70" s="1760"/>
      <c r="C70" s="1760"/>
      <c r="D70" s="1760"/>
      <c r="E70" s="1760"/>
      <c r="F70" s="1760"/>
      <c r="G70" s="1760"/>
      <c r="H70" s="1760"/>
      <c r="I70" s="1760"/>
      <c r="J70" s="1760"/>
      <c r="K70" s="1760"/>
      <c r="L70" s="1760"/>
      <c r="M70" s="1760"/>
      <c r="N70" s="1760"/>
      <c r="O70" s="1760"/>
      <c r="P70" s="1760"/>
      <c r="Q70" s="1760"/>
      <c r="R70" s="1760"/>
      <c r="S70" s="1760"/>
      <c r="T70" s="1760"/>
      <c r="U70" s="1760"/>
      <c r="V70" s="1761"/>
      <c r="W70" s="137"/>
      <c r="X70" s="150"/>
      <c r="AJ70" s="184"/>
      <c r="AK70" s="157"/>
    </row>
    <row r="71" spans="1:69" ht="11.25" customHeight="1" x14ac:dyDescent="0.2">
      <c r="A71" s="1765" t="str">
        <f>Home!$A$39</f>
        <v xml:space="preserve"> </v>
      </c>
      <c r="B71" s="1766"/>
      <c r="C71" s="1766"/>
      <c r="D71" s="1766"/>
      <c r="E71" s="1766"/>
      <c r="F71" s="1766"/>
      <c r="G71" s="1766"/>
      <c r="H71" s="1766"/>
      <c r="I71" s="1767"/>
      <c r="J71" s="1766"/>
      <c r="K71" s="1766"/>
      <c r="L71" s="1766"/>
      <c r="M71" s="1766"/>
      <c r="N71" s="1766"/>
      <c r="O71" s="1766"/>
      <c r="P71" s="1768"/>
      <c r="Q71" s="1766"/>
      <c r="R71" s="1766"/>
      <c r="S71" s="1766"/>
      <c r="T71" s="1767"/>
      <c r="U71" s="1766"/>
      <c r="V71" s="1769"/>
      <c r="W71" s="137"/>
      <c r="X71" s="150"/>
      <c r="AJ71" s="184"/>
      <c r="AK71" s="157"/>
    </row>
    <row r="72" spans="1:69" ht="11.25" customHeight="1" x14ac:dyDescent="0.2">
      <c r="A72" s="112"/>
      <c r="B72" s="113"/>
      <c r="C72" s="113"/>
      <c r="D72" s="113"/>
      <c r="E72" s="113"/>
      <c r="F72" s="113"/>
      <c r="G72" s="113"/>
      <c r="H72" s="113"/>
      <c r="I72" s="113"/>
      <c r="J72" s="114"/>
      <c r="K72" s="113"/>
      <c r="L72" s="113"/>
      <c r="M72" s="113"/>
      <c r="N72" s="113"/>
      <c r="O72" s="113"/>
      <c r="P72" s="113"/>
      <c r="Q72" s="113"/>
      <c r="R72" s="113"/>
      <c r="S72" s="113"/>
      <c r="T72" s="113"/>
      <c r="U72" s="113"/>
      <c r="V72" s="115"/>
      <c r="W72" s="137"/>
      <c r="X72" s="150"/>
      <c r="Y72" s="188"/>
      <c r="Z72" s="188"/>
      <c r="AJ72" s="184"/>
      <c r="AK72" s="157"/>
    </row>
    <row r="73" spans="1:69" s="76" customFormat="1" ht="15" customHeight="1" x14ac:dyDescent="0.2">
      <c r="A73" s="119"/>
      <c r="B73" s="1770" t="s">
        <v>755</v>
      </c>
      <c r="C73" s="1770"/>
      <c r="D73" s="1770"/>
      <c r="E73" s="1770"/>
      <c r="F73" s="1770"/>
      <c r="G73" s="1770"/>
      <c r="H73" s="1770"/>
      <c r="I73" s="1770"/>
      <c r="J73" s="70"/>
      <c r="K73" s="70"/>
      <c r="L73" s="70"/>
      <c r="M73" s="70"/>
      <c r="N73" s="825"/>
      <c r="O73" s="70"/>
      <c r="P73" s="70"/>
      <c r="Q73" s="70"/>
      <c r="R73" s="70"/>
      <c r="S73" s="70"/>
      <c r="T73" s="70"/>
      <c r="U73" s="70"/>
      <c r="V73" s="120"/>
      <c r="W73" s="138"/>
      <c r="X73" s="151"/>
      <c r="Y73" s="1111" t="s">
        <v>756</v>
      </c>
      <c r="Z73" s="609"/>
      <c r="AA73" s="609"/>
      <c r="AB73" s="609"/>
      <c r="AC73" s="609"/>
      <c r="AD73" s="609"/>
      <c r="AE73" s="1110" t="s">
        <v>761</v>
      </c>
      <c r="AF73" s="610"/>
      <c r="AG73" s="611"/>
      <c r="AH73" s="596"/>
      <c r="AI73" s="383"/>
      <c r="AJ73" s="596"/>
      <c r="AK73" s="158"/>
    </row>
    <row r="74" spans="1:69" ht="15" customHeight="1" x14ac:dyDescent="0.2">
      <c r="A74" s="118"/>
      <c r="B74" s="1770"/>
      <c r="C74" s="1770"/>
      <c r="D74" s="1770"/>
      <c r="E74" s="1770"/>
      <c r="F74" s="1770"/>
      <c r="G74" s="1770"/>
      <c r="H74" s="1770"/>
      <c r="I74" s="1770"/>
      <c r="J74" s="70"/>
      <c r="K74" s="70"/>
      <c r="L74" s="70"/>
      <c r="M74" s="70"/>
      <c r="N74" s="825"/>
      <c r="O74" s="70"/>
      <c r="P74" s="70"/>
      <c r="Q74" s="70"/>
      <c r="R74" s="10"/>
      <c r="S74" s="70"/>
      <c r="T74" s="70"/>
      <c r="U74" s="70"/>
      <c r="V74" s="117"/>
      <c r="W74" s="137"/>
      <c r="X74" s="150"/>
      <c r="Y74" s="383"/>
      <c r="Z74" s="382"/>
      <c r="AA74" s="383"/>
      <c r="AB74" s="383"/>
      <c r="AC74" s="383"/>
      <c r="AD74" s="596"/>
      <c r="AE74" s="383"/>
      <c r="AF74" s="382"/>
      <c r="AG74" s="383"/>
      <c r="AH74" s="383"/>
      <c r="AI74" s="383"/>
      <c r="AJ74" s="596"/>
      <c r="AK74" s="157"/>
    </row>
    <row r="75" spans="1:69" s="87" customFormat="1" ht="13.5" customHeight="1" x14ac:dyDescent="0.2">
      <c r="A75" s="121"/>
      <c r="B75" s="1771" t="s">
        <v>205</v>
      </c>
      <c r="C75" s="1031"/>
      <c r="D75" s="789" t="str">
        <f>Sheet1!$D$27</f>
        <v>2015-16</v>
      </c>
      <c r="E75" s="790" t="str">
        <f>Sheet1!$E$27</f>
        <v>2016-17</v>
      </c>
      <c r="F75" s="790" t="str">
        <f>Sheet1!$F$27</f>
        <v>2017-18</v>
      </c>
      <c r="G75" s="790" t="str">
        <f>Sheet1!$G$27</f>
        <v>2018-19</v>
      </c>
      <c r="H75" s="791" t="str">
        <f>Sheet1!$H$27</f>
        <v>2019-20</v>
      </c>
      <c r="I75" s="96"/>
      <c r="J75" s="96"/>
      <c r="K75" s="61"/>
      <c r="L75" s="61"/>
      <c r="M75" s="61"/>
      <c r="N75" s="61"/>
      <c r="O75" s="61"/>
      <c r="P75" s="61"/>
      <c r="Q75" s="828"/>
      <c r="R75" s="828"/>
      <c r="S75" s="159"/>
      <c r="T75" s="159"/>
      <c r="U75" s="829"/>
      <c r="V75" s="122"/>
      <c r="W75" s="139"/>
      <c r="X75" s="152"/>
      <c r="Y75" s="577"/>
      <c r="Z75" s="1107" t="str">
        <f>IF(Sheet1!$C$3="Annual","",Sheet1!$D$28)</f>
        <v/>
      </c>
      <c r="AA75" s="212" t="str">
        <f>IF(Sheet1!$C$3="Annual","",Sheet1!$E$28)</f>
        <v/>
      </c>
      <c r="AB75" s="212" t="str">
        <f>IF(Sheet1!$C$3="Annual","",Sheet1!$F$28)</f>
        <v/>
      </c>
      <c r="AC75" s="212" t="str">
        <f>IF(Sheet1!$C$3="Annual","",Sheet1!$G$28)</f>
        <v/>
      </c>
      <c r="AD75" s="1108" t="str">
        <f>IF(Sheet1!$C$3="Annual","",Sheet1!$H$28)</f>
        <v/>
      </c>
      <c r="AE75" s="384"/>
      <c r="AF75" s="1107" t="str">
        <f>IF(Sheet1!$C$3="Annual","",Sheet1!$D$28)</f>
        <v/>
      </c>
      <c r="AG75" s="212" t="str">
        <f>IF(Sheet1!$C$3="Annual","",Sheet1!$E$28)</f>
        <v/>
      </c>
      <c r="AH75" s="212" t="str">
        <f>IF(Sheet1!$C$3="Annual","",Sheet1!$F$28)</f>
        <v/>
      </c>
      <c r="AI75" s="212" t="str">
        <f>IF(Sheet1!$C$3="Annual","",Sheet1!$G$28)</f>
        <v/>
      </c>
      <c r="AJ75" s="1108" t="str">
        <f>IF(Sheet1!$C$3="Annual","",Sheet1!$H$28)</f>
        <v/>
      </c>
      <c r="AK75" s="160"/>
    </row>
    <row r="76" spans="1:69" s="87" customFormat="1" ht="13.5" customHeight="1" x14ac:dyDescent="0.2">
      <c r="A76" s="292"/>
      <c r="B76" s="1772"/>
      <c r="C76" s="85"/>
      <c r="D76" s="792" t="e">
        <f>Sheet1!$D$28</f>
        <v>#N/A</v>
      </c>
      <c r="E76" s="792" t="e">
        <f>Sheet1!$E$28</f>
        <v>#N/A</v>
      </c>
      <c r="F76" s="792" t="e">
        <f>Sheet1!$F$28</f>
        <v>#N/A</v>
      </c>
      <c r="G76" s="792" t="e">
        <f>Sheet1!$G$28</f>
        <v>#N/A</v>
      </c>
      <c r="H76" s="793" t="e">
        <f>Sheet1!$H$28</f>
        <v>#N/A</v>
      </c>
      <c r="I76" s="96"/>
      <c r="J76" s="96"/>
      <c r="K76" s="61"/>
      <c r="L76" s="61"/>
      <c r="M76" s="61"/>
      <c r="N76" s="61"/>
      <c r="O76" s="61"/>
      <c r="P76" s="61"/>
      <c r="Q76" s="1036"/>
      <c r="R76" s="1036"/>
      <c r="S76" s="159"/>
      <c r="T76" s="159"/>
      <c r="U76" s="1037"/>
      <c r="V76" s="122"/>
      <c r="W76" s="139"/>
      <c r="X76" s="152"/>
      <c r="Y76" s="577"/>
      <c r="Z76" s="1107" t="str">
        <f>Sheet1!$D$27</f>
        <v>2015-16</v>
      </c>
      <c r="AA76" s="212" t="str">
        <f>Sheet1!$E$27</f>
        <v>2016-17</v>
      </c>
      <c r="AB76" s="212" t="str">
        <f>Sheet1!$F$27</f>
        <v>2017-18</v>
      </c>
      <c r="AC76" s="212" t="str">
        <f>Sheet1!$G$27</f>
        <v>2018-19</v>
      </c>
      <c r="AD76" s="1108" t="str">
        <f>Sheet1!$H$27</f>
        <v>2019-20</v>
      </c>
      <c r="AE76" s="384"/>
      <c r="AF76" s="1107" t="str">
        <f>Sheet1!$D$27</f>
        <v>2015-16</v>
      </c>
      <c r="AG76" s="212" t="str">
        <f>Sheet1!$E$27</f>
        <v>2016-17</v>
      </c>
      <c r="AH76" s="212" t="str">
        <f>Sheet1!$F$27</f>
        <v>2017-18</v>
      </c>
      <c r="AI76" s="212" t="str">
        <f>Sheet1!$G$27</f>
        <v>2018-19</v>
      </c>
      <c r="AJ76" s="1108" t="str">
        <f>Sheet1!$H$27</f>
        <v>2019-20</v>
      </c>
      <c r="AK76" s="160"/>
    </row>
    <row r="77" spans="1:69" s="87" customFormat="1" ht="12.75" customHeight="1" x14ac:dyDescent="0.2">
      <c r="A77" s="488">
        <f>VLOOKUP(B77,Sheet1!$AQ$4:$AR$25,2,FALSE)</f>
        <v>0</v>
      </c>
      <c r="B77" s="93" t="str">
        <f t="shared" ref="B77:B100" si="23">B10</f>
        <v>Bracknell Forest</v>
      </c>
      <c r="C77" s="85"/>
      <c r="D77" s="162" t="e">
        <f>IF(AND(ISNUMBER(D10),ISNUMBER(Z77)),Z77/D10,NA())</f>
        <v>#N/A</v>
      </c>
      <c r="E77" s="162" t="e">
        <f t="shared" ref="E77:H77" si="24">IF(AND(ISNUMBER(E10),ISNUMBER(AA77)),AA77/E10,NA())</f>
        <v>#N/A</v>
      </c>
      <c r="F77" s="162" t="e">
        <f t="shared" si="24"/>
        <v>#N/A</v>
      </c>
      <c r="G77" s="162">
        <f t="shared" si="24"/>
        <v>0.86486486486486491</v>
      </c>
      <c r="H77" s="164">
        <f t="shared" si="24"/>
        <v>0.61142857142857143</v>
      </c>
      <c r="I77" s="96"/>
      <c r="J77" s="96"/>
      <c r="K77" s="166"/>
      <c r="L77" s="166"/>
      <c r="M77" s="166"/>
      <c r="N77" s="166"/>
      <c r="O77" s="166"/>
      <c r="P77" s="166"/>
      <c r="Q77" s="166"/>
      <c r="R77" s="167"/>
      <c r="S77" s="159"/>
      <c r="T77" s="159"/>
      <c r="U77" s="166"/>
      <c r="V77" s="122"/>
      <c r="W77" s="139"/>
      <c r="X77" s="152"/>
      <c r="Y77" s="577" t="str">
        <f>B77</f>
        <v>Bracknell Forest</v>
      </c>
      <c r="Z77" s="581" t="str">
        <f>IF(Year1_Bracknell_Forest Year1_New_EHC__within_20_weeks="","",Year1_Bracknell_Forest Year1_New_EHC__within_20_weeks)</f>
        <v/>
      </c>
      <c r="AA77" s="372" t="str">
        <f>IF(Year2_Bracknell_Forest Year2_New_EHC__within_20_weeks="","",Year2_Bracknell_Forest Year2_New_EHC__within_20_weeks)</f>
        <v/>
      </c>
      <c r="AB77" s="372" t="str">
        <f>IF(Year3_Bracknell_Forest Year3_New_EHC__within_20_weeks="","",Year3_Bracknell_Forest Year3_New_EHC__within_20_weeks)</f>
        <v/>
      </c>
      <c r="AC77" s="372">
        <f>IF(Year4_Bracknell_Forest Year4_New_EHC__within_20_weeks="","",Year4_Bracknell_Forest Year4_New_EHC__within_20_weeks)</f>
        <v>128</v>
      </c>
      <c r="AD77" s="577">
        <f>IF(Year5_Bracknell_Forest Year5_New_EHC__within_20_weeks="","",Year5_Bracknell_Forest Year5_New_EHC__within_20_weeks)</f>
        <v>107</v>
      </c>
      <c r="AE77" s="384" t="str">
        <f>Y77</f>
        <v>Bracknell Forest</v>
      </c>
      <c r="AF77" s="489">
        <f>IF(ISNUMBER(Z77),D10,0)</f>
        <v>0</v>
      </c>
      <c r="AG77" s="489">
        <f t="shared" ref="AG77:AJ77" si="25">IF(ISNUMBER(AA77),E10,0)</f>
        <v>0</v>
      </c>
      <c r="AH77" s="489">
        <f t="shared" si="25"/>
        <v>0</v>
      </c>
      <c r="AI77" s="489">
        <f t="shared" si="25"/>
        <v>148</v>
      </c>
      <c r="AJ77" s="489">
        <f t="shared" si="25"/>
        <v>175</v>
      </c>
      <c r="AK77" s="160"/>
    </row>
    <row r="78" spans="1:69" s="87" customFormat="1" ht="12.75" customHeight="1" x14ac:dyDescent="0.2">
      <c r="A78" s="488">
        <f>VLOOKUP(B78,Sheet1!$AQ$4:$AR$25,2,FALSE)</f>
        <v>0</v>
      </c>
      <c r="B78" s="93" t="str">
        <f t="shared" si="23"/>
        <v>Brighton &amp; Hove</v>
      </c>
      <c r="C78" s="85"/>
      <c r="D78" s="162" t="e">
        <f t="shared" ref="D78:D100" si="26">IF(AND(ISNUMBER(D11),ISNUMBER(Z78)),Z78/D11,NA())</f>
        <v>#N/A</v>
      </c>
      <c r="E78" s="162" t="e">
        <f t="shared" ref="E78:E100" si="27">IF(AND(ISNUMBER(E11),ISNUMBER(AA78)),AA78/E11,NA())</f>
        <v>#N/A</v>
      </c>
      <c r="F78" s="162" t="e">
        <f t="shared" ref="F78:F100" si="28">IF(AND(ISNUMBER(F11),ISNUMBER(AB78)),AB78/F11,NA())</f>
        <v>#N/A</v>
      </c>
      <c r="G78" s="162">
        <f t="shared" ref="G78:G100" si="29">IF(AND(ISNUMBER(G11),ISNUMBER(AC78)),AC78/G11,NA())</f>
        <v>0.65714285714285703</v>
      </c>
      <c r="H78" s="164">
        <f t="shared" ref="H78:H100" si="30">IF(AND(ISNUMBER(H11),ISNUMBER(AD78)),AD78/H11,NA())</f>
        <v>0.60580912863070535</v>
      </c>
      <c r="I78" s="96"/>
      <c r="J78" s="96"/>
      <c r="K78" s="166"/>
      <c r="L78" s="166"/>
      <c r="M78" s="166"/>
      <c r="N78" s="166"/>
      <c r="O78" s="166"/>
      <c r="P78" s="166"/>
      <c r="Q78" s="166"/>
      <c r="R78" s="167"/>
      <c r="S78" s="159"/>
      <c r="T78" s="159"/>
      <c r="U78" s="166"/>
      <c r="V78" s="122"/>
      <c r="W78" s="139"/>
      <c r="X78" s="152"/>
      <c r="Y78" s="577" t="str">
        <f t="shared" ref="Y78:Y100" si="31">B78</f>
        <v>Brighton &amp; Hove</v>
      </c>
      <c r="Z78" s="581" t="str">
        <f>IF(Year1_Brighton_Hove Year1_New_EHC__within_20_weeks="","",Year1_Brighton_Hove Year1_New_EHC__within_20_weeks)</f>
        <v/>
      </c>
      <c r="AA78" s="372" t="str">
        <f>IF(Year2_Brighton_Hove Year2_New_EHC__within_20_weeks="","",Year2_Brighton_Hove Year2_New_EHC__within_20_weeks)</f>
        <v/>
      </c>
      <c r="AB78" s="372" t="str">
        <f>IF(Year3_Brighton_Hove Year3_New_EHC__within_20_weeks="","",Year3_Brighton_Hove Year3_New_EHC__within_20_weeks)</f>
        <v/>
      </c>
      <c r="AC78" s="372">
        <f>IF(Year4_Brighton_Hove Year4_New_EHC__within_20_weeks="","",Year4_Brighton_Hove Year4_New_EHC__within_20_weeks)</f>
        <v>160.99999999999997</v>
      </c>
      <c r="AD78" s="577">
        <f>IF(Year5_Brighton_Hove Year5_New_EHC__within_20_weeks="","",Year5_Brighton_Hove Year5_New_EHC__within_20_weeks)</f>
        <v>146</v>
      </c>
      <c r="AE78" s="384" t="str">
        <f t="shared" ref="AE78:AE100" si="32">Y78</f>
        <v>Brighton &amp; Hove</v>
      </c>
      <c r="AF78" s="489">
        <f t="shared" ref="AF78:AF98" si="33">IF(ISNUMBER(Z78),D11,0)</f>
        <v>0</v>
      </c>
      <c r="AG78" s="489">
        <f t="shared" ref="AG78:AG98" si="34">IF(ISNUMBER(AA78),E11,0)</f>
        <v>0</v>
      </c>
      <c r="AH78" s="489">
        <f t="shared" ref="AH78:AH98" si="35">IF(ISNUMBER(AB78),F11,0)</f>
        <v>0</v>
      </c>
      <c r="AI78" s="489">
        <f t="shared" ref="AI78:AI98" si="36">IF(ISNUMBER(AC78),G11,0)</f>
        <v>245</v>
      </c>
      <c r="AJ78" s="489">
        <f t="shared" ref="AJ78:AJ98" si="37">IF(ISNUMBER(AD78),H11,0)</f>
        <v>241</v>
      </c>
      <c r="AK78" s="160"/>
    </row>
    <row r="79" spans="1:69" s="87" customFormat="1" ht="12.75" customHeight="1" x14ac:dyDescent="0.2">
      <c r="A79" s="488">
        <f>VLOOKUP(B79,Sheet1!$AQ$4:$AR$25,2,FALSE)</f>
        <v>0</v>
      </c>
      <c r="B79" s="93" t="str">
        <f t="shared" si="23"/>
        <v>Buckinghamshire</v>
      </c>
      <c r="C79" s="85"/>
      <c r="D79" s="162" t="e">
        <f t="shared" si="26"/>
        <v>#N/A</v>
      </c>
      <c r="E79" s="162" t="e">
        <f t="shared" si="27"/>
        <v>#N/A</v>
      </c>
      <c r="F79" s="162" t="e">
        <f t="shared" si="28"/>
        <v>#N/A</v>
      </c>
      <c r="G79" s="162">
        <f t="shared" si="29"/>
        <v>0.30880000000000002</v>
      </c>
      <c r="H79" s="164">
        <f t="shared" si="30"/>
        <v>0.38335809806835069</v>
      </c>
      <c r="I79" s="96"/>
      <c r="J79" s="96"/>
      <c r="K79" s="166"/>
      <c r="L79" s="166"/>
      <c r="M79" s="166"/>
      <c r="N79" s="166"/>
      <c r="O79" s="166"/>
      <c r="P79" s="166"/>
      <c r="Q79" s="166"/>
      <c r="R79" s="167"/>
      <c r="S79" s="159"/>
      <c r="T79" s="159"/>
      <c r="U79" s="166"/>
      <c r="V79" s="122"/>
      <c r="W79" s="139"/>
      <c r="X79" s="152"/>
      <c r="Y79" s="577" t="str">
        <f t="shared" si="31"/>
        <v>Buckinghamshire</v>
      </c>
      <c r="Z79" s="581" t="str">
        <f>IF(Year1_Buckinghamshire Year1_New_EHC__within_20_weeks="","",Year1_Buckinghamshire Year1_New_EHC__within_20_weeks)</f>
        <v/>
      </c>
      <c r="AA79" s="372" t="str">
        <f>IF(Year2_Buckinghamshire Year2_New_EHC__within_20_weeks="","",Year2_Buckinghamshire Year2_New_EHC__within_20_weeks)</f>
        <v/>
      </c>
      <c r="AB79" s="372" t="str">
        <f>IF(Year3_Buckinghamshire Year3_New_EHC__within_20_weeks="","",Year3_Buckinghamshire Year3_New_EHC__within_20_weeks)</f>
        <v/>
      </c>
      <c r="AC79" s="372">
        <f>IF(Year4_Buckinghamshire Year4_New_EHC__within_20_weeks="","",Year4_Buckinghamshire Year4_New_EHC__within_20_weeks)</f>
        <v>193</v>
      </c>
      <c r="AD79" s="577">
        <f>IF(Year5_Buckinghamshire Year5_New_EHC__within_20_weeks="","",Year5_Buckinghamshire Year5_New_EHC__within_20_weeks)</f>
        <v>258</v>
      </c>
      <c r="AE79" s="384" t="str">
        <f t="shared" si="32"/>
        <v>Buckinghamshire</v>
      </c>
      <c r="AF79" s="489">
        <f t="shared" si="33"/>
        <v>0</v>
      </c>
      <c r="AG79" s="489">
        <f t="shared" si="34"/>
        <v>0</v>
      </c>
      <c r="AH79" s="489">
        <f t="shared" si="35"/>
        <v>0</v>
      </c>
      <c r="AI79" s="489">
        <f t="shared" si="36"/>
        <v>625</v>
      </c>
      <c r="AJ79" s="489">
        <f t="shared" si="37"/>
        <v>673</v>
      </c>
      <c r="AK79" s="160"/>
    </row>
    <row r="80" spans="1:69" s="87" customFormat="1" ht="12.75" customHeight="1" x14ac:dyDescent="0.2">
      <c r="A80" s="488">
        <f>VLOOKUP(B80,Sheet1!$AQ$4:$AR$25,2,FALSE)</f>
        <v>0</v>
      </c>
      <c r="B80" s="93" t="str">
        <f t="shared" si="23"/>
        <v>East Sussex</v>
      </c>
      <c r="C80" s="85"/>
      <c r="D80" s="162" t="e">
        <f t="shared" si="26"/>
        <v>#N/A</v>
      </c>
      <c r="E80" s="162" t="e">
        <f t="shared" si="27"/>
        <v>#N/A</v>
      </c>
      <c r="F80" s="162" t="e">
        <f t="shared" si="28"/>
        <v>#N/A</v>
      </c>
      <c r="G80" s="162">
        <f t="shared" si="29"/>
        <v>0.60725075528700911</v>
      </c>
      <c r="H80" s="164">
        <f t="shared" si="30"/>
        <v>0.42229729729729731</v>
      </c>
      <c r="I80" s="96"/>
      <c r="J80" s="96"/>
      <c r="K80" s="166"/>
      <c r="L80" s="166"/>
      <c r="M80" s="166"/>
      <c r="N80" s="166"/>
      <c r="O80" s="166"/>
      <c r="P80" s="166"/>
      <c r="Q80" s="166"/>
      <c r="R80" s="167"/>
      <c r="S80" s="159"/>
      <c r="T80" s="159"/>
      <c r="U80" s="166"/>
      <c r="V80" s="122"/>
      <c r="W80" s="139"/>
      <c r="X80" s="152"/>
      <c r="Y80" s="577" t="str">
        <f t="shared" si="31"/>
        <v>East Sussex</v>
      </c>
      <c r="Z80" s="581" t="str">
        <f>IF(Year1_East_Sussex Year1_New_EHC__within_20_weeks="","",Year1_East_Sussex Year1_New_EHC__within_20_weeks)</f>
        <v/>
      </c>
      <c r="AA80" s="372" t="str">
        <f>IF(Year2_East_Sussex Year2_New_EHC__within_20_weeks="","",Year2_East_Sussex Year2_New_EHC__within_20_weeks)</f>
        <v/>
      </c>
      <c r="AB80" s="372" t="str">
        <f>IF(Year3_East_Sussex Year3_New_EHC__within_20_weeks="","",Year3_East_Sussex Year3_New_EHC__within_20_weeks)</f>
        <v/>
      </c>
      <c r="AC80" s="372">
        <f>IF(Year4_East_Sussex Year4_New_EHC__within_20_weeks="","",Year4_East_Sussex Year4_New_EHC__within_20_weeks)</f>
        <v>201</v>
      </c>
      <c r="AD80" s="577">
        <f>IF(Year5_East_Sussex Year5_New_EHC__within_20_weeks="","",Year5_East_Sussex Year5_New_EHC__within_20_weeks)</f>
        <v>125</v>
      </c>
      <c r="AE80" s="384" t="str">
        <f t="shared" si="32"/>
        <v>East Sussex</v>
      </c>
      <c r="AF80" s="489">
        <f t="shared" si="33"/>
        <v>0</v>
      </c>
      <c r="AG80" s="489">
        <f t="shared" si="34"/>
        <v>0</v>
      </c>
      <c r="AH80" s="489">
        <f t="shared" si="35"/>
        <v>0</v>
      </c>
      <c r="AI80" s="489">
        <f t="shared" si="36"/>
        <v>331</v>
      </c>
      <c r="AJ80" s="489">
        <f t="shared" si="37"/>
        <v>296</v>
      </c>
      <c r="AK80" s="160"/>
    </row>
    <row r="81" spans="1:45" s="87" customFormat="1" ht="12.75" customHeight="1" x14ac:dyDescent="0.2">
      <c r="A81" s="488">
        <f>VLOOKUP(B81,Sheet1!$AQ$4:$AR$25,2,FALSE)</f>
        <v>0</v>
      </c>
      <c r="B81" s="93" t="str">
        <f t="shared" si="23"/>
        <v>Hampshire</v>
      </c>
      <c r="C81" s="85"/>
      <c r="D81" s="162" t="e">
        <f t="shared" si="26"/>
        <v>#N/A</v>
      </c>
      <c r="E81" s="162" t="e">
        <f t="shared" si="27"/>
        <v>#N/A</v>
      </c>
      <c r="F81" s="162" t="e">
        <f t="shared" si="28"/>
        <v>#N/A</v>
      </c>
      <c r="G81" s="162">
        <f t="shared" si="29"/>
        <v>0.54751131221719462</v>
      </c>
      <c r="H81" s="164">
        <f t="shared" si="30"/>
        <v>5.8282208588957052E-2</v>
      </c>
      <c r="I81" s="96"/>
      <c r="J81" s="96"/>
      <c r="K81" s="166"/>
      <c r="L81" s="166"/>
      <c r="M81" s="166"/>
      <c r="N81" s="166"/>
      <c r="O81" s="166"/>
      <c r="P81" s="166"/>
      <c r="Q81" s="166"/>
      <c r="R81" s="167"/>
      <c r="S81" s="159"/>
      <c r="T81" s="159"/>
      <c r="U81" s="166"/>
      <c r="V81" s="122"/>
      <c r="W81" s="139"/>
      <c r="X81" s="152"/>
      <c r="Y81" s="577" t="str">
        <f t="shared" si="31"/>
        <v>Hampshire</v>
      </c>
      <c r="Z81" s="581" t="str">
        <f>IF(Year1_Hampshire Year1_New_EHC__within_20_weeks="","",Year1_Hampshire Year1_New_EHC__within_20_weeks)</f>
        <v/>
      </c>
      <c r="AA81" s="372" t="str">
        <f>IF(Year2_Hampshire Year2_New_EHC__within_20_weeks="","",Year2_Hampshire Year2_New_EHC__within_20_weeks)</f>
        <v/>
      </c>
      <c r="AB81" s="372" t="str">
        <f>IF(Year3_Hampshire Year3_New_EHC__within_20_weeks="","",Year3_Hampshire Year3_New_EHC__within_20_weeks)</f>
        <v/>
      </c>
      <c r="AC81" s="372">
        <f>IF(Year4_Hampshire Year4_New_EHC__within_20_weeks="","",Year4_Hampshire Year4_New_EHC__within_20_weeks)</f>
        <v>605</v>
      </c>
      <c r="AD81" s="577">
        <f>IF(Year5_Hampshire Year5_New_EHC__within_20_weeks="","",Year5_Hampshire Year5_New_EHC__within_20_weeks)</f>
        <v>57</v>
      </c>
      <c r="AE81" s="384" t="str">
        <f t="shared" si="32"/>
        <v>Hampshire</v>
      </c>
      <c r="AF81" s="489">
        <f t="shared" si="33"/>
        <v>0</v>
      </c>
      <c r="AG81" s="489">
        <f t="shared" si="34"/>
        <v>0</v>
      </c>
      <c r="AH81" s="489">
        <f t="shared" si="35"/>
        <v>0</v>
      </c>
      <c r="AI81" s="489">
        <f t="shared" si="36"/>
        <v>1105</v>
      </c>
      <c r="AJ81" s="489">
        <f t="shared" si="37"/>
        <v>978</v>
      </c>
      <c r="AK81" s="160"/>
    </row>
    <row r="82" spans="1:45" s="87" customFormat="1" ht="12.75" customHeight="1" x14ac:dyDescent="0.2">
      <c r="A82" s="488">
        <f>VLOOKUP(B82,Sheet1!$AQ$4:$AR$25,2,FALSE)</f>
        <v>0</v>
      </c>
      <c r="B82" s="93" t="str">
        <f t="shared" si="23"/>
        <v>Isle of Wight</v>
      </c>
      <c r="C82" s="85"/>
      <c r="D82" s="162" t="e">
        <f t="shared" si="26"/>
        <v>#N/A</v>
      </c>
      <c r="E82" s="162" t="e">
        <f t="shared" si="27"/>
        <v>#N/A</v>
      </c>
      <c r="F82" s="162" t="e">
        <f t="shared" si="28"/>
        <v>#N/A</v>
      </c>
      <c r="G82" s="162">
        <f t="shared" si="29"/>
        <v>0.41290322580645161</v>
      </c>
      <c r="H82" s="164">
        <f t="shared" si="30"/>
        <v>0.71710526315789469</v>
      </c>
      <c r="I82" s="96"/>
      <c r="J82" s="96"/>
      <c r="K82" s="166"/>
      <c r="L82" s="166"/>
      <c r="M82" s="166"/>
      <c r="N82" s="166"/>
      <c r="O82" s="166"/>
      <c r="P82" s="166"/>
      <c r="Q82" s="166"/>
      <c r="R82" s="167"/>
      <c r="S82" s="159"/>
      <c r="T82" s="159"/>
      <c r="U82" s="166"/>
      <c r="V82" s="122"/>
      <c r="W82" s="139"/>
      <c r="X82" s="152"/>
      <c r="Y82" s="577" t="str">
        <f t="shared" si="31"/>
        <v>Isle of Wight</v>
      </c>
      <c r="Z82" s="581" t="str">
        <f>IF(Year1_Isle_of_Wight Year1_New_EHC__within_20_weeks="","",Year1_Isle_of_Wight Year1_New_EHC__within_20_weeks)</f>
        <v/>
      </c>
      <c r="AA82" s="372" t="str">
        <f>IF(Year2_Isle_of_Wight Year2_New_EHC__within_20_weeks="","",Year2_Isle_of_Wight Year2_New_EHC__within_20_weeks)</f>
        <v/>
      </c>
      <c r="AB82" s="372" t="str">
        <f>IF(Year3_Isle_of_Wight Year3_New_EHC__within_20_weeks="","",Year3_Isle_of_Wight Year3_New_EHC__within_20_weeks)</f>
        <v/>
      </c>
      <c r="AC82" s="372">
        <f>IF(Year4_Isle_of_Wight Year4_New_EHC__within_20_weeks="","",Year4_Isle_of_Wight Year4_New_EHC__within_20_weeks)</f>
        <v>64</v>
      </c>
      <c r="AD82" s="577">
        <f>IF(Year5_Isle_of_Wight Year5_New_EHC__within_20_weeks="","",Year5_Isle_of_Wight Year5_New_EHC__within_20_weeks)</f>
        <v>109</v>
      </c>
      <c r="AE82" s="384" t="str">
        <f t="shared" si="32"/>
        <v>Isle of Wight</v>
      </c>
      <c r="AF82" s="489">
        <f t="shared" si="33"/>
        <v>0</v>
      </c>
      <c r="AG82" s="489">
        <f t="shared" si="34"/>
        <v>0</v>
      </c>
      <c r="AH82" s="489">
        <f t="shared" si="35"/>
        <v>0</v>
      </c>
      <c r="AI82" s="489">
        <f t="shared" si="36"/>
        <v>155</v>
      </c>
      <c r="AJ82" s="489">
        <f t="shared" si="37"/>
        <v>152</v>
      </c>
      <c r="AK82" s="160"/>
      <c r="AS82" s="87" t="s">
        <v>102</v>
      </c>
    </row>
    <row r="83" spans="1:45" s="87" customFormat="1" ht="12.75" customHeight="1" x14ac:dyDescent="0.2">
      <c r="A83" s="488">
        <f>VLOOKUP(B83,Sheet1!$AQ$4:$AR$25,2,FALSE)</f>
        <v>0</v>
      </c>
      <c r="B83" s="93" t="str">
        <f t="shared" si="23"/>
        <v>Kent</v>
      </c>
      <c r="C83" s="85"/>
      <c r="D83" s="162" t="e">
        <f t="shared" si="26"/>
        <v>#N/A</v>
      </c>
      <c r="E83" s="162" t="e">
        <f t="shared" si="27"/>
        <v>#N/A</v>
      </c>
      <c r="F83" s="162" t="e">
        <f t="shared" si="28"/>
        <v>#N/A</v>
      </c>
      <c r="G83" s="162">
        <f t="shared" si="29"/>
        <v>0.28476420798065294</v>
      </c>
      <c r="H83" s="164">
        <f t="shared" si="30"/>
        <v>0.28878878878878878</v>
      </c>
      <c r="I83" s="96"/>
      <c r="J83" s="96"/>
      <c r="K83" s="166"/>
      <c r="L83" s="166"/>
      <c r="M83" s="166"/>
      <c r="N83" s="166"/>
      <c r="O83" s="166"/>
      <c r="P83" s="166"/>
      <c r="Q83" s="166"/>
      <c r="R83" s="167"/>
      <c r="S83" s="159"/>
      <c r="T83" s="159"/>
      <c r="U83" s="166"/>
      <c r="V83" s="122"/>
      <c r="W83" s="139"/>
      <c r="X83" s="152"/>
      <c r="Y83" s="577" t="str">
        <f t="shared" si="31"/>
        <v>Kent</v>
      </c>
      <c r="Z83" s="581" t="str">
        <f>IF(Year1_Kent Year1_New_EHC__within_20_weeks="","",Year1_Kent Year1_New_EHC__within_20_weeks)</f>
        <v/>
      </c>
      <c r="AA83" s="372" t="str">
        <f>IF(Year2_Kent Year2_New_EHC__within_20_weeks="","",Year2_Kent Year2_New_EHC__within_20_weeks)</f>
        <v/>
      </c>
      <c r="AB83" s="372" t="str">
        <f>IF(Year3_Kent Year3_New_EHC__within_20_weeks="","",Year3_Kent Year3_New_EHC__within_20_weeks)</f>
        <v/>
      </c>
      <c r="AC83" s="372">
        <f>IF(Year4_Kent Year4_New_EHC__within_20_weeks="","",Year4_Kent Year4_New_EHC__within_20_weeks)</f>
        <v>471</v>
      </c>
      <c r="AD83" s="577">
        <f>IF(Year5_Kent Year5_New_EHC__within_20_weeks="","",Year5_Kent Year5_New_EHC__within_20_weeks)</f>
        <v>577</v>
      </c>
      <c r="AE83" s="384" t="str">
        <f t="shared" si="32"/>
        <v>Kent</v>
      </c>
      <c r="AF83" s="489">
        <f t="shared" si="33"/>
        <v>0</v>
      </c>
      <c r="AG83" s="489">
        <f t="shared" si="34"/>
        <v>0</v>
      </c>
      <c r="AH83" s="489">
        <f t="shared" si="35"/>
        <v>0</v>
      </c>
      <c r="AI83" s="489">
        <f t="shared" si="36"/>
        <v>1654</v>
      </c>
      <c r="AJ83" s="489">
        <f t="shared" si="37"/>
        <v>1998</v>
      </c>
      <c r="AK83" s="160"/>
    </row>
    <row r="84" spans="1:45" s="87" customFormat="1" ht="12.75" customHeight="1" x14ac:dyDescent="0.2">
      <c r="A84" s="488">
        <f>VLOOKUP(B84,Sheet1!$AQ$4:$AR$25,2,FALSE)</f>
        <v>0</v>
      </c>
      <c r="B84" s="93" t="str">
        <f t="shared" si="23"/>
        <v>Medway</v>
      </c>
      <c r="C84" s="85"/>
      <c r="D84" s="162" t="e">
        <f t="shared" si="26"/>
        <v>#N/A</v>
      </c>
      <c r="E84" s="162" t="e">
        <f t="shared" si="27"/>
        <v>#N/A</v>
      </c>
      <c r="F84" s="162" t="e">
        <f t="shared" si="28"/>
        <v>#N/A</v>
      </c>
      <c r="G84" s="162">
        <f t="shared" si="29"/>
        <v>0.22480620155038761</v>
      </c>
      <c r="H84" s="164">
        <f t="shared" si="30"/>
        <v>0.569620253164557</v>
      </c>
      <c r="I84" s="96"/>
      <c r="J84" s="96"/>
      <c r="K84" s="166"/>
      <c r="L84" s="166"/>
      <c r="M84" s="166"/>
      <c r="N84" s="166"/>
      <c r="O84" s="166"/>
      <c r="P84" s="166"/>
      <c r="Q84" s="166"/>
      <c r="R84" s="167"/>
      <c r="S84" s="159"/>
      <c r="T84" s="159"/>
      <c r="U84" s="166"/>
      <c r="V84" s="122"/>
      <c r="W84" s="139"/>
      <c r="X84" s="152"/>
      <c r="Y84" s="577" t="str">
        <f t="shared" si="31"/>
        <v>Medway</v>
      </c>
      <c r="Z84" s="581" t="str">
        <f>IF(Year1_Medway Year1_New_EHC__within_20_weeks="","",Year1_Medway Year1_New_EHC__within_20_weeks)</f>
        <v/>
      </c>
      <c r="AA84" s="372" t="str">
        <f>IF(Year2_Medway Year2_New_EHC__within_20_weeks="","",Year2_Medway Year2_New_EHC__within_20_weeks)</f>
        <v/>
      </c>
      <c r="AB84" s="372" t="str">
        <f>IF(Year3_Medway Year3_New_EHC__within_20_weeks="","",Year3_Medway Year3_New_EHC__within_20_weeks)</f>
        <v/>
      </c>
      <c r="AC84" s="372">
        <f>IF(Year4_Medway Year4_New_EHC__within_20_weeks="","",Year4_Medway Year4_New_EHC__within_20_weeks)</f>
        <v>58</v>
      </c>
      <c r="AD84" s="577">
        <f>IF(Year5_Medway Year5_New_EHC__within_20_weeks="","",Year5_Medway Year5_New_EHC__within_20_weeks)</f>
        <v>180</v>
      </c>
      <c r="AE84" s="384" t="str">
        <f t="shared" si="32"/>
        <v>Medway</v>
      </c>
      <c r="AF84" s="489">
        <f t="shared" si="33"/>
        <v>0</v>
      </c>
      <c r="AG84" s="489">
        <f t="shared" si="34"/>
        <v>0</v>
      </c>
      <c r="AH84" s="489">
        <f t="shared" si="35"/>
        <v>0</v>
      </c>
      <c r="AI84" s="489">
        <f t="shared" si="36"/>
        <v>258</v>
      </c>
      <c r="AJ84" s="489">
        <f t="shared" si="37"/>
        <v>316</v>
      </c>
      <c r="AK84" s="160"/>
    </row>
    <row r="85" spans="1:45" s="87" customFormat="1" ht="12.75" customHeight="1" x14ac:dyDescent="0.2">
      <c r="A85" s="488">
        <f>VLOOKUP(B85,Sheet1!$AQ$4:$AR$25,2,FALSE)</f>
        <v>0</v>
      </c>
      <c r="B85" s="93" t="str">
        <f t="shared" si="23"/>
        <v>Milton Keynes</v>
      </c>
      <c r="C85" s="85"/>
      <c r="D85" s="162" t="e">
        <f t="shared" si="26"/>
        <v>#N/A</v>
      </c>
      <c r="E85" s="162" t="e">
        <f t="shared" si="27"/>
        <v>#N/A</v>
      </c>
      <c r="F85" s="162" t="e">
        <f t="shared" si="28"/>
        <v>#N/A</v>
      </c>
      <c r="G85" s="162">
        <f t="shared" si="29"/>
        <v>0.66467065868263475</v>
      </c>
      <c r="H85" s="164">
        <f t="shared" si="30"/>
        <v>0.74657534246575341</v>
      </c>
      <c r="I85" s="96"/>
      <c r="J85" s="96"/>
      <c r="K85" s="166"/>
      <c r="L85" s="166"/>
      <c r="M85" s="166"/>
      <c r="N85" s="166"/>
      <c r="O85" s="166"/>
      <c r="P85" s="166"/>
      <c r="Q85" s="166"/>
      <c r="R85" s="167"/>
      <c r="S85" s="159"/>
      <c r="T85" s="159"/>
      <c r="U85" s="166"/>
      <c r="V85" s="122"/>
      <c r="W85" s="139"/>
      <c r="X85" s="152"/>
      <c r="Y85" s="577" t="str">
        <f t="shared" si="31"/>
        <v>Milton Keynes</v>
      </c>
      <c r="Z85" s="581" t="str">
        <f>IF(Year1_Milton_Keynes Year1_New_EHC__within_20_weeks="","",Year1_Milton_Keynes Year1_New_EHC__within_20_weeks)</f>
        <v/>
      </c>
      <c r="AA85" s="372" t="str">
        <f>IF(Year2_Milton_Keynes Year2_New_EHC__within_20_weeks="","",Year2_Milton_Keynes Year2_New_EHC__within_20_weeks)</f>
        <v/>
      </c>
      <c r="AB85" s="372" t="str">
        <f>IF(Year3_Milton_Keynes Year3_New_EHC__within_20_weeks="","",Year3_Milton_Keynes Year3_New_EHC__within_20_weeks)</f>
        <v/>
      </c>
      <c r="AC85" s="372">
        <f>IF(Year4_Milton_Keynes Year4_New_EHC__within_20_weeks="","",Year4_Milton_Keynes Year4_New_EHC__within_20_weeks)</f>
        <v>111</v>
      </c>
      <c r="AD85" s="577">
        <f>IF(Year5_Milton_Keynes Year5_New_EHC__within_20_weeks="","",Year5_Milton_Keynes Year5_New_EHC__within_20_weeks)</f>
        <v>218</v>
      </c>
      <c r="AE85" s="384" t="str">
        <f t="shared" si="32"/>
        <v>Milton Keynes</v>
      </c>
      <c r="AF85" s="489">
        <f t="shared" si="33"/>
        <v>0</v>
      </c>
      <c r="AG85" s="489">
        <f t="shared" si="34"/>
        <v>0</v>
      </c>
      <c r="AH85" s="489">
        <f t="shared" si="35"/>
        <v>0</v>
      </c>
      <c r="AI85" s="489">
        <f t="shared" si="36"/>
        <v>167</v>
      </c>
      <c r="AJ85" s="489">
        <f t="shared" si="37"/>
        <v>292</v>
      </c>
      <c r="AK85" s="160"/>
    </row>
    <row r="86" spans="1:45" s="87" customFormat="1" ht="12.75" customHeight="1" x14ac:dyDescent="0.2">
      <c r="A86" s="488">
        <f>VLOOKUP(B86,Sheet1!$AQ$4:$AR$25,2,FALSE)</f>
        <v>0</v>
      </c>
      <c r="B86" s="93" t="str">
        <f t="shared" si="23"/>
        <v>Oxfordshire</v>
      </c>
      <c r="C86" s="85"/>
      <c r="D86" s="162" t="e">
        <f t="shared" si="26"/>
        <v>#N/A</v>
      </c>
      <c r="E86" s="162" t="e">
        <f t="shared" si="27"/>
        <v>#N/A</v>
      </c>
      <c r="F86" s="162" t="e">
        <f t="shared" si="28"/>
        <v>#N/A</v>
      </c>
      <c r="G86" s="162">
        <f t="shared" si="29"/>
        <v>0.47227191413237923</v>
      </c>
      <c r="H86" s="164">
        <f t="shared" si="30"/>
        <v>0.50242326332794829</v>
      </c>
      <c r="I86" s="96"/>
      <c r="J86" s="96"/>
      <c r="K86" s="166"/>
      <c r="L86" s="166"/>
      <c r="M86" s="166"/>
      <c r="N86" s="166"/>
      <c r="O86" s="166"/>
      <c r="P86" s="166"/>
      <c r="Q86" s="166"/>
      <c r="R86" s="167"/>
      <c r="S86" s="159"/>
      <c r="T86" s="159"/>
      <c r="U86" s="166"/>
      <c r="V86" s="122"/>
      <c r="W86" s="139"/>
      <c r="X86" s="152"/>
      <c r="Y86" s="577" t="str">
        <f t="shared" si="31"/>
        <v>Oxfordshire</v>
      </c>
      <c r="Z86" s="581" t="str">
        <f>IF(Year1_Oxfordshire Year1_New_EHC__within_20_weeks="","",Year1_Oxfordshire Year1_New_EHC__within_20_weeks)</f>
        <v/>
      </c>
      <c r="AA86" s="372" t="str">
        <f>IF(Year2_Oxfordshire Year2_New_EHC__within_20_weeks="","",Year2_Oxfordshire Year2_New_EHC__within_20_weeks)</f>
        <v/>
      </c>
      <c r="AB86" s="372" t="str">
        <f>IF(Year3_Oxfordshire Year3_New_EHC__within_20_weeks="","",Year3_Oxfordshire Year3_New_EHC__within_20_weeks)</f>
        <v/>
      </c>
      <c r="AC86" s="372">
        <f>IF(Year4_Oxfordshire Year4_New_EHC__within_20_weeks="","",Year4_Oxfordshire Year4_New_EHC__within_20_weeks)</f>
        <v>264</v>
      </c>
      <c r="AD86" s="577">
        <f>IF(Year5_Oxfordshire Year5_New_EHC__within_20_weeks="","",Year5_Oxfordshire Year5_New_EHC__within_20_weeks)</f>
        <v>311</v>
      </c>
      <c r="AE86" s="384" t="str">
        <f t="shared" si="32"/>
        <v>Oxfordshire</v>
      </c>
      <c r="AF86" s="489">
        <f t="shared" si="33"/>
        <v>0</v>
      </c>
      <c r="AG86" s="489">
        <f t="shared" si="34"/>
        <v>0</v>
      </c>
      <c r="AH86" s="489">
        <f t="shared" si="35"/>
        <v>0</v>
      </c>
      <c r="AI86" s="489">
        <f t="shared" si="36"/>
        <v>559</v>
      </c>
      <c r="AJ86" s="489">
        <f t="shared" si="37"/>
        <v>619</v>
      </c>
      <c r="AK86" s="160"/>
    </row>
    <row r="87" spans="1:45" s="87" customFormat="1" ht="12.75" customHeight="1" x14ac:dyDescent="0.2">
      <c r="A87" s="488">
        <f>VLOOKUP(B87,Sheet1!$AQ$4:$AR$25,2,FALSE)</f>
        <v>0</v>
      </c>
      <c r="B87" s="93" t="str">
        <f t="shared" si="23"/>
        <v>Portsmouth</v>
      </c>
      <c r="C87" s="85"/>
      <c r="D87" s="162" t="e">
        <f t="shared" si="26"/>
        <v>#N/A</v>
      </c>
      <c r="E87" s="162" t="e">
        <f t="shared" si="27"/>
        <v>#N/A</v>
      </c>
      <c r="F87" s="162" t="e">
        <f t="shared" si="28"/>
        <v>#N/A</v>
      </c>
      <c r="G87" s="162">
        <f t="shared" si="29"/>
        <v>0.97354497354497349</v>
      </c>
      <c r="H87" s="164">
        <f t="shared" si="30"/>
        <v>0.95959595959595956</v>
      </c>
      <c r="I87" s="96"/>
      <c r="J87" s="96"/>
      <c r="K87" s="166"/>
      <c r="L87" s="166"/>
      <c r="M87" s="166"/>
      <c r="N87" s="166"/>
      <c r="O87" s="166"/>
      <c r="P87" s="166"/>
      <c r="Q87" s="166"/>
      <c r="R87" s="167"/>
      <c r="S87" s="159"/>
      <c r="T87" s="159"/>
      <c r="U87" s="166"/>
      <c r="V87" s="122"/>
      <c r="W87" s="139"/>
      <c r="X87" s="152"/>
      <c r="Y87" s="577" t="str">
        <f t="shared" si="31"/>
        <v>Portsmouth</v>
      </c>
      <c r="Z87" s="581" t="str">
        <f>IF(Year1_Portsmouth Year1_New_EHC__within_20_weeks="","",Year1_Portsmouth Year1_New_EHC__within_20_weeks)</f>
        <v/>
      </c>
      <c r="AA87" s="372" t="str">
        <f>IF(Year2_Portsmouth Year2_New_EHC__within_20_weeks="","",Year2_Portsmouth Year2_New_EHC__within_20_weeks)</f>
        <v/>
      </c>
      <c r="AB87" s="372" t="str">
        <f>IF(Year3_Portsmouth Year3_New_EHC__within_20_weeks="","",Year3_Portsmouth Year3_New_EHC__within_20_weeks)</f>
        <v/>
      </c>
      <c r="AC87" s="372">
        <f>IF(Year4_Portsmouth Year4_New_EHC__within_20_weeks="","",Year4_Portsmouth Year4_New_EHC__within_20_weeks)</f>
        <v>184</v>
      </c>
      <c r="AD87" s="577">
        <f>IF(Year5_Portsmouth Year5_New_EHC__within_20_weeks="","",Year5_Portsmouth Year5_New_EHC__within_20_weeks)</f>
        <v>190</v>
      </c>
      <c r="AE87" s="384" t="str">
        <f t="shared" si="32"/>
        <v>Portsmouth</v>
      </c>
      <c r="AF87" s="489">
        <f t="shared" si="33"/>
        <v>0</v>
      </c>
      <c r="AG87" s="489">
        <f t="shared" si="34"/>
        <v>0</v>
      </c>
      <c r="AH87" s="489">
        <f t="shared" si="35"/>
        <v>0</v>
      </c>
      <c r="AI87" s="489">
        <f t="shared" si="36"/>
        <v>189</v>
      </c>
      <c r="AJ87" s="489">
        <f t="shared" si="37"/>
        <v>198</v>
      </c>
      <c r="AK87" s="160"/>
    </row>
    <row r="88" spans="1:45" s="87" customFormat="1" ht="12.75" customHeight="1" x14ac:dyDescent="0.2">
      <c r="A88" s="488">
        <f>VLOOKUP(B88,Sheet1!$AQ$4:$AR$25,2,FALSE)</f>
        <v>0</v>
      </c>
      <c r="B88" s="93" t="str">
        <f t="shared" si="23"/>
        <v>Reading</v>
      </c>
      <c r="C88" s="85"/>
      <c r="D88" s="162" t="e">
        <f t="shared" si="26"/>
        <v>#N/A</v>
      </c>
      <c r="E88" s="162" t="e">
        <f t="shared" si="27"/>
        <v>#N/A</v>
      </c>
      <c r="F88" s="162" t="e">
        <f t="shared" si="28"/>
        <v>#N/A</v>
      </c>
      <c r="G88" s="162">
        <f t="shared" si="29"/>
        <v>0.71144278606965172</v>
      </c>
      <c r="H88" s="164">
        <f t="shared" si="30"/>
        <v>0.4885057471264368</v>
      </c>
      <c r="I88" s="96"/>
      <c r="J88" s="96"/>
      <c r="K88" s="166"/>
      <c r="L88" s="166"/>
      <c r="M88" s="166"/>
      <c r="N88" s="166"/>
      <c r="O88" s="166"/>
      <c r="P88" s="166"/>
      <c r="Q88" s="166"/>
      <c r="R88" s="167"/>
      <c r="S88" s="159"/>
      <c r="T88" s="159"/>
      <c r="U88" s="166"/>
      <c r="V88" s="122"/>
      <c r="W88" s="139"/>
      <c r="X88" s="152"/>
      <c r="Y88" s="577" t="str">
        <f t="shared" si="31"/>
        <v>Reading</v>
      </c>
      <c r="Z88" s="581" t="str">
        <f>IF(Year1_Reading Year1_New_EHC__within_20_weeks="","",Year1_Reading Year1_New_EHC__within_20_weeks)</f>
        <v/>
      </c>
      <c r="AA88" s="372" t="str">
        <f>IF(Year2_Reading Year2_New_EHC__within_20_weeks="","",Year2_Reading Year2_New_EHC__within_20_weeks)</f>
        <v/>
      </c>
      <c r="AB88" s="372" t="str">
        <f>IF(Year3_Reading Year3_New_EHC__within_20_weeks="","",Year3_Reading Year3_New_EHC__within_20_weeks)</f>
        <v/>
      </c>
      <c r="AC88" s="372">
        <f>IF(Year4_Reading Year4_New_EHC__within_20_weeks="","",Year4_Reading Year4_New_EHC__within_20_weeks)</f>
        <v>143</v>
      </c>
      <c r="AD88" s="577">
        <f>IF(Year5_Reading Year5_New_EHC__within_20_weeks="","",Year5_Reading Year5_New_EHC__within_20_weeks)</f>
        <v>85</v>
      </c>
      <c r="AE88" s="384" t="str">
        <f t="shared" si="32"/>
        <v>Reading</v>
      </c>
      <c r="AF88" s="489">
        <f t="shared" si="33"/>
        <v>0</v>
      </c>
      <c r="AG88" s="489">
        <f t="shared" si="34"/>
        <v>0</v>
      </c>
      <c r="AH88" s="489">
        <f t="shared" si="35"/>
        <v>0</v>
      </c>
      <c r="AI88" s="489">
        <f t="shared" si="36"/>
        <v>201</v>
      </c>
      <c r="AJ88" s="489">
        <f t="shared" si="37"/>
        <v>174</v>
      </c>
      <c r="AK88" s="160"/>
    </row>
    <row r="89" spans="1:45" s="87" customFormat="1" ht="12.75" customHeight="1" x14ac:dyDescent="0.2">
      <c r="A89" s="488">
        <f>VLOOKUP(B89,Sheet1!$AQ$4:$AR$25,2,FALSE)</f>
        <v>0</v>
      </c>
      <c r="B89" s="93" t="str">
        <f t="shared" si="23"/>
        <v>Slough</v>
      </c>
      <c r="C89" s="85"/>
      <c r="D89" s="162" t="e">
        <f t="shared" si="26"/>
        <v>#N/A</v>
      </c>
      <c r="E89" s="162" t="e">
        <f t="shared" si="27"/>
        <v>#N/A</v>
      </c>
      <c r="F89" s="162" t="e">
        <f t="shared" si="28"/>
        <v>#N/A</v>
      </c>
      <c r="G89" s="162">
        <f t="shared" si="29"/>
        <v>0.57485029940119758</v>
      </c>
      <c r="H89" s="164">
        <f t="shared" si="30"/>
        <v>0.62441314553990612</v>
      </c>
      <c r="I89" s="96"/>
      <c r="J89" s="96"/>
      <c r="K89" s="166"/>
      <c r="L89" s="166"/>
      <c r="M89" s="166"/>
      <c r="N89" s="166"/>
      <c r="O89" s="166"/>
      <c r="P89" s="166"/>
      <c r="Q89" s="166"/>
      <c r="R89" s="167"/>
      <c r="S89" s="159"/>
      <c r="T89" s="159"/>
      <c r="U89" s="166"/>
      <c r="V89" s="122"/>
      <c r="W89" s="139"/>
      <c r="X89" s="152"/>
      <c r="Y89" s="577" t="str">
        <f t="shared" si="31"/>
        <v>Slough</v>
      </c>
      <c r="Z89" s="581" t="str">
        <f>IF(Year1_Slough Year1_New_EHC__within_20_weeks="","",Year1_Slough Year1_New_EHC__within_20_weeks)</f>
        <v/>
      </c>
      <c r="AA89" s="372" t="str">
        <f>IF(Year2_Slough Year2_New_EHC__within_20_weeks="","",Year2_Slough Year2_New_EHC__within_20_weeks)</f>
        <v/>
      </c>
      <c r="AB89" s="372" t="str">
        <f>IF(Year3_Slough Year3_New_EHC__within_20_weeks="","",Year3_Slough Year3_New_EHC__within_20_weeks)</f>
        <v/>
      </c>
      <c r="AC89" s="372">
        <f>IF(Year4_Slough Year4_New_EHC__within_20_weeks="","",Year4_Slough Year4_New_EHC__within_20_weeks)</f>
        <v>96</v>
      </c>
      <c r="AD89" s="577">
        <f>IF(Year5_Slough Year5_New_EHC__within_20_weeks="","",Year5_Slough Year5_New_EHC__within_20_weeks)</f>
        <v>133</v>
      </c>
      <c r="AE89" s="384" t="str">
        <f t="shared" si="32"/>
        <v>Slough</v>
      </c>
      <c r="AF89" s="489">
        <f t="shared" si="33"/>
        <v>0</v>
      </c>
      <c r="AG89" s="489">
        <f t="shared" si="34"/>
        <v>0</v>
      </c>
      <c r="AH89" s="489">
        <f t="shared" si="35"/>
        <v>0</v>
      </c>
      <c r="AI89" s="489">
        <f t="shared" si="36"/>
        <v>167</v>
      </c>
      <c r="AJ89" s="489">
        <f t="shared" si="37"/>
        <v>213</v>
      </c>
      <c r="AK89" s="160"/>
    </row>
    <row r="90" spans="1:45" s="87" customFormat="1" ht="12.75" customHeight="1" x14ac:dyDescent="0.2">
      <c r="A90" s="488">
        <f>VLOOKUP(B90,Sheet1!$AQ$4:$AR$25,2,FALSE)</f>
        <v>0</v>
      </c>
      <c r="B90" s="93" t="str">
        <f t="shared" si="23"/>
        <v>Somerset</v>
      </c>
      <c r="C90" s="85"/>
      <c r="D90" s="162" t="e">
        <f t="shared" si="26"/>
        <v>#N/A</v>
      </c>
      <c r="E90" s="162" t="e">
        <f t="shared" si="27"/>
        <v>#N/A</v>
      </c>
      <c r="F90" s="162" t="e">
        <f t="shared" si="28"/>
        <v>#N/A</v>
      </c>
      <c r="G90" s="162">
        <f t="shared" si="29"/>
        <v>0.3592677345537757</v>
      </c>
      <c r="H90" s="164">
        <f t="shared" si="30"/>
        <v>0.20917431192660552</v>
      </c>
      <c r="I90" s="96"/>
      <c r="J90" s="96"/>
      <c r="K90" s="166"/>
      <c r="L90" s="166"/>
      <c r="M90" s="166"/>
      <c r="N90" s="166"/>
      <c r="O90" s="166"/>
      <c r="P90" s="166"/>
      <c r="Q90" s="166"/>
      <c r="R90" s="167"/>
      <c r="S90" s="159"/>
      <c r="T90" s="159"/>
      <c r="U90" s="166"/>
      <c r="V90" s="122"/>
      <c r="W90" s="139"/>
      <c r="X90" s="152"/>
      <c r="Y90" s="577" t="str">
        <f t="shared" si="31"/>
        <v>Somerset</v>
      </c>
      <c r="Z90" s="581" t="str">
        <f>IF(Year1_Somerset Year1_New_EHC__within_20_weeks="","",Year1_Somerset Year1_New_EHC__within_20_weeks)</f>
        <v/>
      </c>
      <c r="AA90" s="372" t="str">
        <f>IF(Year2_Somerset Year2_New_EHC__within_20_weeks="","",Year2_Somerset Year2_New_EHC__within_20_weeks)</f>
        <v/>
      </c>
      <c r="AB90" s="372" t="str">
        <f>IF(Year3_Somerset Year3_New_EHC__within_20_weeks="","",Year3_Somerset Year3_New_EHC__within_20_weeks)</f>
        <v/>
      </c>
      <c r="AC90" s="372">
        <f>IF(Year4_Somerset Year4_New_EHC__within_20_weeks="","",Year4_Somerset Year4_New_EHC__within_20_weeks)</f>
        <v>156.99999999999997</v>
      </c>
      <c r="AD90" s="577">
        <f>IF(Year5_Somerset Year5_New_EHC__within_20_weeks="","",Year5_Somerset Year5_New_EHC__within_20_weeks)</f>
        <v>114</v>
      </c>
      <c r="AE90" s="384" t="str">
        <f t="shared" si="32"/>
        <v>Somerset</v>
      </c>
      <c r="AF90" s="489">
        <f t="shared" si="33"/>
        <v>0</v>
      </c>
      <c r="AG90" s="489">
        <f t="shared" si="34"/>
        <v>0</v>
      </c>
      <c r="AH90" s="489">
        <f t="shared" si="35"/>
        <v>0</v>
      </c>
      <c r="AI90" s="489">
        <f t="shared" si="36"/>
        <v>437</v>
      </c>
      <c r="AJ90" s="489">
        <f t="shared" si="37"/>
        <v>545</v>
      </c>
      <c r="AK90" s="160"/>
    </row>
    <row r="91" spans="1:45" s="87" customFormat="1" ht="12.75" customHeight="1" x14ac:dyDescent="0.2">
      <c r="A91" s="488">
        <f>VLOOKUP(B91,Sheet1!$AQ$4:$AR$25,2,FALSE)</f>
        <v>0</v>
      </c>
      <c r="B91" s="93" t="str">
        <f t="shared" si="23"/>
        <v>Southampton</v>
      </c>
      <c r="C91" s="85"/>
      <c r="D91" s="162" t="e">
        <f t="shared" si="26"/>
        <v>#N/A</v>
      </c>
      <c r="E91" s="162" t="e">
        <f t="shared" si="27"/>
        <v>#N/A</v>
      </c>
      <c r="F91" s="162" t="e">
        <f t="shared" si="28"/>
        <v>#N/A</v>
      </c>
      <c r="G91" s="162">
        <f t="shared" si="29"/>
        <v>0.2810810810810811</v>
      </c>
      <c r="H91" s="164">
        <f t="shared" si="30"/>
        <v>0.54545454545454541</v>
      </c>
      <c r="I91" s="96"/>
      <c r="J91" s="96"/>
      <c r="K91" s="166"/>
      <c r="L91" s="166"/>
      <c r="M91" s="166"/>
      <c r="N91" s="166"/>
      <c r="O91" s="166"/>
      <c r="P91" s="166"/>
      <c r="Q91" s="166"/>
      <c r="R91" s="167"/>
      <c r="S91" s="159"/>
      <c r="T91" s="159"/>
      <c r="U91" s="166"/>
      <c r="V91" s="122"/>
      <c r="W91" s="139"/>
      <c r="X91" s="152"/>
      <c r="Y91" s="577" t="str">
        <f t="shared" si="31"/>
        <v>Southampton</v>
      </c>
      <c r="Z91" s="581" t="str">
        <f>IF(Year1_Southampton Year1_New_EHC__within_20_weeks="","",Year1_Southampton Year1_New_EHC__within_20_weeks)</f>
        <v/>
      </c>
      <c r="AA91" s="372" t="str">
        <f>IF(Year2_Southampton Year2_New_EHC__within_20_weeks="","",Year2_Southampton Year2_New_EHC__within_20_weeks)</f>
        <v/>
      </c>
      <c r="AB91" s="372" t="str">
        <f>IF(Year3_Southampton Year3_New_EHC__within_20_weeks="","",Year3_Southampton Year3_New_EHC__within_20_weeks)</f>
        <v/>
      </c>
      <c r="AC91" s="372">
        <f>IF(Year4_Southampton Year4_New_EHC__within_20_weeks="","",Year4_Southampton Year4_New_EHC__within_20_weeks)</f>
        <v>52</v>
      </c>
      <c r="AD91" s="577">
        <f>IF(Year5_Southampton Year5_New_EHC__within_20_weeks="","",Year5_Southampton Year5_New_EHC__within_20_weeks)</f>
        <v>138</v>
      </c>
      <c r="AE91" s="384" t="str">
        <f t="shared" si="32"/>
        <v>Southampton</v>
      </c>
      <c r="AF91" s="489">
        <f t="shared" si="33"/>
        <v>0</v>
      </c>
      <c r="AG91" s="489">
        <f t="shared" si="34"/>
        <v>0</v>
      </c>
      <c r="AH91" s="489">
        <f t="shared" si="35"/>
        <v>0</v>
      </c>
      <c r="AI91" s="489">
        <f t="shared" si="36"/>
        <v>185</v>
      </c>
      <c r="AJ91" s="489">
        <f t="shared" si="37"/>
        <v>253</v>
      </c>
      <c r="AK91" s="160"/>
    </row>
    <row r="92" spans="1:45" s="87" customFormat="1" ht="12.75" customHeight="1" x14ac:dyDescent="0.2">
      <c r="A92" s="488">
        <f>VLOOKUP(B92,Sheet1!$AQ$4:$AR$25,2,FALSE)</f>
        <v>0</v>
      </c>
      <c r="B92" s="93" t="str">
        <f t="shared" si="23"/>
        <v>Surrey</v>
      </c>
      <c r="C92" s="85"/>
      <c r="D92" s="162" t="e">
        <f t="shared" si="26"/>
        <v>#N/A</v>
      </c>
      <c r="E92" s="162" t="e">
        <f t="shared" si="27"/>
        <v>#N/A</v>
      </c>
      <c r="F92" s="162" t="e">
        <f t="shared" si="28"/>
        <v>#N/A</v>
      </c>
      <c r="G92" s="162">
        <f t="shared" si="29"/>
        <v>0.67221418234442831</v>
      </c>
      <c r="H92" s="164">
        <f t="shared" si="30"/>
        <v>0.54384772263766146</v>
      </c>
      <c r="I92" s="96"/>
      <c r="J92" s="96"/>
      <c r="K92" s="166"/>
      <c r="L92" s="166"/>
      <c r="M92" s="166"/>
      <c r="N92" s="166"/>
      <c r="O92" s="166"/>
      <c r="P92" s="166"/>
      <c r="Q92" s="166"/>
      <c r="R92" s="167"/>
      <c r="S92" s="159"/>
      <c r="T92" s="159"/>
      <c r="U92" s="166"/>
      <c r="V92" s="122"/>
      <c r="W92" s="139"/>
      <c r="X92" s="152"/>
      <c r="Y92" s="577" t="str">
        <f t="shared" si="31"/>
        <v>Surrey</v>
      </c>
      <c r="Z92" s="581" t="str">
        <f>IF(Year1_Surrey Year1_New_EHC__within_20_weeks="","",Year1_Surrey Year1_New_EHC__within_20_weeks)</f>
        <v/>
      </c>
      <c r="AA92" s="372" t="str">
        <f>IF(Year2_Surrey Year2_New_EHC__within_20_weeks="","",Year2_Surrey Year2_New_EHC__within_20_weeks)</f>
        <v/>
      </c>
      <c r="AB92" s="372" t="str">
        <f>IF(Year3_Surrey Year3_New_EHC__within_20_weeks="","",Year3_Surrey Year3_New_EHC__within_20_weeks)</f>
        <v/>
      </c>
      <c r="AC92" s="372">
        <f>IF(Year4_Surrey Year4_New_EHC__within_20_weeks="","",Year4_Surrey Year4_New_EHC__within_20_weeks)</f>
        <v>929</v>
      </c>
      <c r="AD92" s="577">
        <f>IF(Year5_Surrey Year5_New_EHC__within_20_weeks="","",Year5_Surrey Year5_New_EHC__within_20_weeks)</f>
        <v>800</v>
      </c>
      <c r="AE92" s="384" t="str">
        <f t="shared" si="32"/>
        <v>Surrey</v>
      </c>
      <c r="AF92" s="489">
        <f t="shared" si="33"/>
        <v>0</v>
      </c>
      <c r="AG92" s="489">
        <f t="shared" si="34"/>
        <v>0</v>
      </c>
      <c r="AH92" s="489">
        <f t="shared" si="35"/>
        <v>0</v>
      </c>
      <c r="AI92" s="489">
        <f t="shared" si="36"/>
        <v>1382</v>
      </c>
      <c r="AJ92" s="489">
        <f t="shared" si="37"/>
        <v>1471</v>
      </c>
      <c r="AK92" s="160"/>
    </row>
    <row r="93" spans="1:45" s="87" customFormat="1" ht="12.75" customHeight="1" x14ac:dyDescent="0.2">
      <c r="A93" s="488">
        <f>VLOOKUP(B93,Sheet1!$AQ$4:$AR$25,2,FALSE)</f>
        <v>0</v>
      </c>
      <c r="B93" s="93" t="str">
        <f t="shared" si="23"/>
        <v>Swindon</v>
      </c>
      <c r="C93" s="85"/>
      <c r="D93" s="162" t="e">
        <f t="shared" si="26"/>
        <v>#N/A</v>
      </c>
      <c r="E93" s="162" t="e">
        <f t="shared" si="27"/>
        <v>#N/A</v>
      </c>
      <c r="F93" s="162" t="e">
        <f t="shared" si="28"/>
        <v>#N/A</v>
      </c>
      <c r="G93" s="162">
        <f t="shared" si="29"/>
        <v>0.92156862745098034</v>
      </c>
      <c r="H93" s="164">
        <f t="shared" si="30"/>
        <v>0.30379746835443039</v>
      </c>
      <c r="I93" s="96"/>
      <c r="J93" s="96"/>
      <c r="K93" s="166"/>
      <c r="L93" s="166"/>
      <c r="M93" s="166"/>
      <c r="N93" s="166"/>
      <c r="O93" s="166"/>
      <c r="P93" s="166"/>
      <c r="Q93" s="166"/>
      <c r="R93" s="167"/>
      <c r="S93" s="159"/>
      <c r="T93" s="159"/>
      <c r="U93" s="166"/>
      <c r="V93" s="122"/>
      <c r="W93" s="139"/>
      <c r="X93" s="152"/>
      <c r="Y93" s="577" t="str">
        <f t="shared" si="31"/>
        <v>Swindon</v>
      </c>
      <c r="Z93" s="581" t="str">
        <f>IF(Year1_Swindon Year1_New_EHC__within_20_weeks="","",Year1_Swindon Year1_New_EHC__within_20_weeks)</f>
        <v/>
      </c>
      <c r="AA93" s="372" t="str">
        <f>IF(Year2_Swindon Year2_New_EHC__within_20_weeks="","",Year2_Swindon Year2_New_EHC__within_20_weeks)</f>
        <v/>
      </c>
      <c r="AB93" s="372" t="str">
        <f>IF(Year3_Swindon Year3_New_EHC__within_20_weeks="","",Year3_Swindon Year3_New_EHC__within_20_weeks)</f>
        <v/>
      </c>
      <c r="AC93" s="580">
        <f>IF(Year4_Swindon Year4_New_EHC__within_20_weeks="","",Year4_Swindon Year4_New_EHC__within_20_weeks)</f>
        <v>188</v>
      </c>
      <c r="AD93" s="604">
        <f>IF(Year5_Swindon Year5_New_EHC__within_20_weeks="","",Year5_Swindon Year5_New_EHC__within_20_weeks)</f>
        <v>72</v>
      </c>
      <c r="AE93" s="384" t="str">
        <f t="shared" si="32"/>
        <v>Swindon</v>
      </c>
      <c r="AF93" s="489">
        <f t="shared" si="33"/>
        <v>0</v>
      </c>
      <c r="AG93" s="489">
        <f t="shared" si="34"/>
        <v>0</v>
      </c>
      <c r="AH93" s="489">
        <f t="shared" si="35"/>
        <v>0</v>
      </c>
      <c r="AI93" s="489">
        <f t="shared" si="36"/>
        <v>204</v>
      </c>
      <c r="AJ93" s="489">
        <f t="shared" si="37"/>
        <v>237</v>
      </c>
      <c r="AK93" s="160"/>
    </row>
    <row r="94" spans="1:45" s="87" customFormat="1" ht="12.75" customHeight="1" x14ac:dyDescent="0.2">
      <c r="A94" s="488">
        <f>VLOOKUP(B94,Sheet1!$AQ$4:$AR$25,2,FALSE)</f>
        <v>0</v>
      </c>
      <c r="B94" s="93" t="str">
        <f t="shared" si="23"/>
        <v>Torbay</v>
      </c>
      <c r="C94" s="85"/>
      <c r="D94" s="162" t="e">
        <f t="shared" si="26"/>
        <v>#N/A</v>
      </c>
      <c r="E94" s="162" t="e">
        <f t="shared" si="27"/>
        <v>#N/A</v>
      </c>
      <c r="F94" s="162" t="e">
        <f t="shared" si="28"/>
        <v>#N/A</v>
      </c>
      <c r="G94" s="162">
        <f t="shared" si="29"/>
        <v>0.92777777777777781</v>
      </c>
      <c r="H94" s="164">
        <f t="shared" si="30"/>
        <v>0.26595744680851063</v>
      </c>
      <c r="I94" s="96"/>
      <c r="J94" s="96"/>
      <c r="K94" s="166"/>
      <c r="L94" s="166"/>
      <c r="M94" s="166"/>
      <c r="N94" s="166"/>
      <c r="O94" s="166"/>
      <c r="P94" s="166"/>
      <c r="Q94" s="166"/>
      <c r="R94" s="167"/>
      <c r="S94" s="159"/>
      <c r="T94" s="159"/>
      <c r="U94" s="166"/>
      <c r="V94" s="122"/>
      <c r="W94" s="139"/>
      <c r="X94" s="152"/>
      <c r="Y94" s="577" t="str">
        <f t="shared" si="31"/>
        <v>Torbay</v>
      </c>
      <c r="Z94" s="581" t="str">
        <f>IF(Year1_Torbay Year1_New_EHC__within_20_weeks="","",Year1_Torbay Year1_New_EHC__within_20_weeks)</f>
        <v/>
      </c>
      <c r="AA94" s="372" t="str">
        <f>IF(Year2_Torbay Year2_New_EHC__within_20_weeks="","",Year2_Torbay Year2_New_EHC__within_20_weeks)</f>
        <v/>
      </c>
      <c r="AB94" s="372" t="str">
        <f>IF(Year3_Torbay Year3_New_EHC__within_20_weeks="","",Year3_Torbay Year3_New_EHC__within_20_weeks)</f>
        <v/>
      </c>
      <c r="AC94" s="580">
        <f>IF(Year4_Torbay Year4_New_EHC__within_20_weeks="","",Year4_Torbay Year4_New_EHC__within_20_weeks)</f>
        <v>167</v>
      </c>
      <c r="AD94" s="604">
        <f>IF(Year5_Torbay Year5_New_EHC__within_20_weeks="","",Year5_Torbay Year5_New_EHC__within_20_weeks)</f>
        <v>50</v>
      </c>
      <c r="AE94" s="384" t="str">
        <f t="shared" si="32"/>
        <v>Torbay</v>
      </c>
      <c r="AF94" s="489">
        <f t="shared" si="33"/>
        <v>0</v>
      </c>
      <c r="AG94" s="489">
        <f t="shared" si="34"/>
        <v>0</v>
      </c>
      <c r="AH94" s="489">
        <f t="shared" si="35"/>
        <v>0</v>
      </c>
      <c r="AI94" s="489">
        <f t="shared" si="36"/>
        <v>180</v>
      </c>
      <c r="AJ94" s="489">
        <f t="shared" si="37"/>
        <v>188</v>
      </c>
      <c r="AK94" s="160"/>
    </row>
    <row r="95" spans="1:45" s="87" customFormat="1" ht="12.75" customHeight="1" x14ac:dyDescent="0.2">
      <c r="A95" s="488">
        <f>VLOOKUP(B95,Sheet1!$AQ$4:$AR$25,2,FALSE)</f>
        <v>0</v>
      </c>
      <c r="B95" s="93" t="str">
        <f t="shared" si="23"/>
        <v>West Berkshire</v>
      </c>
      <c r="C95" s="85"/>
      <c r="D95" s="162" t="e">
        <f t="shared" si="26"/>
        <v>#N/A</v>
      </c>
      <c r="E95" s="162" t="e">
        <f t="shared" si="27"/>
        <v>#N/A</v>
      </c>
      <c r="F95" s="162" t="e">
        <f t="shared" si="28"/>
        <v>#N/A</v>
      </c>
      <c r="G95" s="162">
        <f t="shared" si="29"/>
        <v>0.84347826086956523</v>
      </c>
      <c r="H95" s="164">
        <f t="shared" si="30"/>
        <v>0.84516129032258069</v>
      </c>
      <c r="I95" s="96"/>
      <c r="J95" s="96"/>
      <c r="K95" s="166"/>
      <c r="L95" s="166"/>
      <c r="M95" s="166"/>
      <c r="N95" s="166"/>
      <c r="O95" s="166"/>
      <c r="P95" s="166"/>
      <c r="Q95" s="166"/>
      <c r="R95" s="167"/>
      <c r="S95" s="159"/>
      <c r="T95" s="159"/>
      <c r="U95" s="166"/>
      <c r="V95" s="122"/>
      <c r="W95" s="139"/>
      <c r="X95" s="152"/>
      <c r="Y95" s="577" t="str">
        <f t="shared" si="31"/>
        <v>West Berkshire</v>
      </c>
      <c r="Z95" s="581" t="str">
        <f>IF(Year1_West_Berkshire Year1_New_EHC__within_20_weeks="","",Year1_West_Berkshire Year1_New_EHC__within_20_weeks)</f>
        <v/>
      </c>
      <c r="AA95" s="372" t="str">
        <f>IF(Year2_West_Berkshire Year2_New_EHC__within_20_weeks="","",Year2_West_Berkshire Year2_New_EHC__within_20_weeks)</f>
        <v/>
      </c>
      <c r="AB95" s="372" t="str">
        <f>IF(Year3_West_Berkshire Year3_New_EHC__within_20_weeks="","",Year3_West_Berkshire Year3_New_EHC__within_20_weeks)</f>
        <v/>
      </c>
      <c r="AC95" s="372">
        <f>IF(Year4_West_Berkshire Year4_New_EHC__within_20_weeks="","",Year4_West_Berkshire Year4_New_EHC__within_20_weeks)</f>
        <v>97</v>
      </c>
      <c r="AD95" s="577">
        <f>IF(Year5_West_Berkshire Year5_New_EHC__within_20_weeks="","",Year5_West_Berkshire Year5_New_EHC__within_20_weeks)</f>
        <v>131</v>
      </c>
      <c r="AE95" s="384" t="str">
        <f t="shared" si="32"/>
        <v>West Berkshire</v>
      </c>
      <c r="AF95" s="489">
        <f t="shared" si="33"/>
        <v>0</v>
      </c>
      <c r="AG95" s="489">
        <f t="shared" si="34"/>
        <v>0</v>
      </c>
      <c r="AH95" s="489">
        <f t="shared" si="35"/>
        <v>0</v>
      </c>
      <c r="AI95" s="489">
        <f t="shared" si="36"/>
        <v>115</v>
      </c>
      <c r="AJ95" s="489">
        <f t="shared" si="37"/>
        <v>155</v>
      </c>
      <c r="AK95" s="160"/>
    </row>
    <row r="96" spans="1:45" s="87" customFormat="1" ht="12.75" customHeight="1" x14ac:dyDescent="0.2">
      <c r="A96" s="488">
        <f>VLOOKUP(B96,Sheet1!$AQ$4:$AR$25,2,FALSE)</f>
        <v>0</v>
      </c>
      <c r="B96" s="93" t="str">
        <f t="shared" si="23"/>
        <v>West Sussex</v>
      </c>
      <c r="C96" s="85"/>
      <c r="D96" s="162" t="e">
        <f t="shared" si="26"/>
        <v>#N/A</v>
      </c>
      <c r="E96" s="162" t="e">
        <f t="shared" si="27"/>
        <v>#N/A</v>
      </c>
      <c r="F96" s="162" t="e">
        <f t="shared" si="28"/>
        <v>#N/A</v>
      </c>
      <c r="G96" s="162">
        <f t="shared" si="29"/>
        <v>0.43577235772357725</v>
      </c>
      <c r="H96" s="164">
        <f t="shared" si="30"/>
        <v>0.78010471204188481</v>
      </c>
      <c r="I96" s="96"/>
      <c r="J96" s="96"/>
      <c r="K96" s="166"/>
      <c r="L96" s="166"/>
      <c r="M96" s="166"/>
      <c r="N96" s="166"/>
      <c r="O96" s="166"/>
      <c r="P96" s="166"/>
      <c r="Q96" s="166"/>
      <c r="R96" s="167"/>
      <c r="S96" s="159"/>
      <c r="T96" s="159"/>
      <c r="U96" s="166"/>
      <c r="V96" s="122"/>
      <c r="W96" s="139"/>
      <c r="X96" s="152"/>
      <c r="Y96" s="577" t="str">
        <f t="shared" si="31"/>
        <v>West Sussex</v>
      </c>
      <c r="Z96" s="581" t="str">
        <f>IF(Year1_West_Sussex Year1_New_EHC__within_20_weeks="","",Year1_West_Sussex Year1_New_EHC__within_20_weeks)</f>
        <v/>
      </c>
      <c r="AA96" s="372" t="str">
        <f>IF(Year2_West_Sussex Year2_New_EHC__within_20_weeks="","",Year2_West_Sussex Year2_New_EHC__within_20_weeks)</f>
        <v/>
      </c>
      <c r="AB96" s="372" t="str">
        <f>IF(Year3_West_Sussex Year3_New_EHC__within_20_weeks="","",Year3_West_Sussex Year3_New_EHC__within_20_weeks)</f>
        <v/>
      </c>
      <c r="AC96" s="372">
        <f>IF(Year4_West_Sussex Year4_New_EHC__within_20_weeks="","",Year4_West_Sussex Year4_New_EHC__within_20_weeks)</f>
        <v>268</v>
      </c>
      <c r="AD96" s="577">
        <f>IF(Year5_West_Sussex Year5_New_EHC__within_20_weeks="","",Year5_West_Sussex Year5_New_EHC__within_20_weeks)</f>
        <v>596</v>
      </c>
      <c r="AE96" s="384" t="str">
        <f t="shared" si="32"/>
        <v>West Sussex</v>
      </c>
      <c r="AF96" s="489">
        <f t="shared" si="33"/>
        <v>0</v>
      </c>
      <c r="AG96" s="489">
        <f t="shared" si="34"/>
        <v>0</v>
      </c>
      <c r="AH96" s="489">
        <f t="shared" si="35"/>
        <v>0</v>
      </c>
      <c r="AI96" s="489">
        <f t="shared" si="36"/>
        <v>615</v>
      </c>
      <c r="AJ96" s="489">
        <f t="shared" si="37"/>
        <v>764</v>
      </c>
      <c r="AK96" s="160"/>
    </row>
    <row r="97" spans="1:66" s="87" customFormat="1" ht="12.75" customHeight="1" x14ac:dyDescent="0.2">
      <c r="A97" s="488">
        <f>VLOOKUP(B97,Sheet1!$AQ$4:$AR$25,2,FALSE)</f>
        <v>0</v>
      </c>
      <c r="B97" s="93" t="str">
        <f t="shared" si="23"/>
        <v>Windsor &amp; Maidenhead</v>
      </c>
      <c r="C97" s="85"/>
      <c r="D97" s="162" t="e">
        <f t="shared" si="26"/>
        <v>#N/A</v>
      </c>
      <c r="E97" s="162" t="e">
        <f t="shared" si="27"/>
        <v>#N/A</v>
      </c>
      <c r="F97" s="162" t="e">
        <f t="shared" si="28"/>
        <v>#N/A</v>
      </c>
      <c r="G97" s="162">
        <f t="shared" si="29"/>
        <v>0.98275862068965514</v>
      </c>
      <c r="H97" s="164">
        <f t="shared" si="30"/>
        <v>0.84210526315789469</v>
      </c>
      <c r="I97" s="96"/>
      <c r="J97" s="96"/>
      <c r="K97" s="166"/>
      <c r="L97" s="166"/>
      <c r="M97" s="166"/>
      <c r="N97" s="166"/>
      <c r="O97" s="166"/>
      <c r="P97" s="166"/>
      <c r="Q97" s="166"/>
      <c r="R97" s="167"/>
      <c r="S97" s="159"/>
      <c r="T97" s="159"/>
      <c r="U97" s="166"/>
      <c r="V97" s="122"/>
      <c r="W97" s="139"/>
      <c r="X97" s="152"/>
      <c r="Y97" s="577" t="str">
        <f t="shared" si="31"/>
        <v>Windsor &amp; Maidenhead</v>
      </c>
      <c r="Z97" s="581" t="str">
        <f>IF(Year1_Windsor_Maidenhead Year1_New_EHC__within_20_weeks="","",Year1_Windsor_Maidenhead Year1_New_EHC__within_20_weeks)</f>
        <v/>
      </c>
      <c r="AA97" s="372" t="str">
        <f>IF(Year2_Windsor_Maidenhead Year2_New_EHC__within_20_weeks="","",Year2_Windsor_Maidenhead Year2_New_EHC__within_20_weeks)</f>
        <v/>
      </c>
      <c r="AB97" s="372" t="str">
        <f>IF(Year3_Windsor_Maidenhead Year3_New_EHC__within_20_weeks="","",Year3_Windsor_Maidenhead Year3_New_EHC__within_20_weeks)</f>
        <v/>
      </c>
      <c r="AC97" s="372">
        <f>IF(Year4_Windsor_Maidenhead Year4_New_EHC__within_20_weeks="","",Year4_Windsor_Maidenhead Year4_New_EHC__within_20_weeks)</f>
        <v>114</v>
      </c>
      <c r="AD97" s="577">
        <f>IF(Year5_Windsor_Maidenhead Year5_New_EHC__within_20_weeks="","",Year5_Windsor_Maidenhead Year5_New_EHC__within_20_weeks)</f>
        <v>128</v>
      </c>
      <c r="AE97" s="384" t="str">
        <f t="shared" si="32"/>
        <v>Windsor &amp; Maidenhead</v>
      </c>
      <c r="AF97" s="489">
        <f t="shared" si="33"/>
        <v>0</v>
      </c>
      <c r="AG97" s="489">
        <f t="shared" si="34"/>
        <v>0</v>
      </c>
      <c r="AH97" s="489">
        <f t="shared" si="35"/>
        <v>0</v>
      </c>
      <c r="AI97" s="489">
        <f t="shared" si="36"/>
        <v>116</v>
      </c>
      <c r="AJ97" s="489">
        <f t="shared" si="37"/>
        <v>152</v>
      </c>
      <c r="AK97" s="160"/>
    </row>
    <row r="98" spans="1:66" s="87" customFormat="1" ht="12.75" customHeight="1" x14ac:dyDescent="0.2">
      <c r="A98" s="488">
        <f>VLOOKUP(B98,Sheet1!$AQ$4:$AR$25,2,FALSE)</f>
        <v>0</v>
      </c>
      <c r="B98" s="93" t="str">
        <f t="shared" si="23"/>
        <v>Wokingham</v>
      </c>
      <c r="C98" s="85"/>
      <c r="D98" s="162" t="e">
        <f t="shared" si="26"/>
        <v>#N/A</v>
      </c>
      <c r="E98" s="162" t="e">
        <f t="shared" si="27"/>
        <v>#N/A</v>
      </c>
      <c r="F98" s="162" t="e">
        <f t="shared" si="28"/>
        <v>#N/A</v>
      </c>
      <c r="G98" s="162">
        <f t="shared" si="29"/>
        <v>0.29906542056074764</v>
      </c>
      <c r="H98" s="164">
        <f t="shared" si="30"/>
        <v>8.6956521739130432E-2</v>
      </c>
      <c r="I98" s="96"/>
      <c r="J98" s="96"/>
      <c r="K98" s="166"/>
      <c r="L98" s="166"/>
      <c r="M98" s="166"/>
      <c r="N98" s="166"/>
      <c r="O98" s="166"/>
      <c r="P98" s="166"/>
      <c r="Q98" s="166"/>
      <c r="R98" s="167"/>
      <c r="S98" s="159"/>
      <c r="T98" s="159"/>
      <c r="U98" s="166"/>
      <c r="V98" s="122"/>
      <c r="W98" s="139"/>
      <c r="X98" s="152"/>
      <c r="Y98" s="577" t="str">
        <f t="shared" si="31"/>
        <v>Wokingham</v>
      </c>
      <c r="Z98" s="581" t="str">
        <f>IF(Year1_Wokingham Year1_New_EHC__within_20_weeks="","",Year1_Wokingham Year1_New_EHC__within_20_weeks)</f>
        <v/>
      </c>
      <c r="AA98" s="372" t="str">
        <f>IF(Year2_Wokingham Year2_New_EHC__within_20_weeks="","",Year2_Wokingham Year2_New_EHC__within_20_weeks)</f>
        <v/>
      </c>
      <c r="AB98" s="372" t="str">
        <f>IF(Year3_Wokingham Year3_New_EHC__within_20_weeks="","",Year3_Wokingham Year3_New_EHC__within_20_weeks)</f>
        <v/>
      </c>
      <c r="AC98" s="372">
        <f>IF(Year4_Wokingham Year4_New_EHC__within_20_weeks="","",Year4_Wokingham Year4_New_EHC__within_20_weeks)</f>
        <v>32</v>
      </c>
      <c r="AD98" s="577">
        <f>IF(Year5_Wokingham Year5_New_EHC__within_20_weeks="","",Year5_Wokingham Year5_New_EHC__within_20_weeks)</f>
        <v>14</v>
      </c>
      <c r="AE98" s="384" t="str">
        <f t="shared" si="32"/>
        <v>Wokingham</v>
      </c>
      <c r="AF98" s="489">
        <f t="shared" si="33"/>
        <v>0</v>
      </c>
      <c r="AG98" s="489">
        <f t="shared" si="34"/>
        <v>0</v>
      </c>
      <c r="AH98" s="489">
        <f t="shared" si="35"/>
        <v>0</v>
      </c>
      <c r="AI98" s="489">
        <f t="shared" si="36"/>
        <v>107</v>
      </c>
      <c r="AJ98" s="489">
        <f t="shared" si="37"/>
        <v>161</v>
      </c>
      <c r="AK98" s="160"/>
    </row>
    <row r="99" spans="1:66" s="87" customFormat="1" ht="12.75" customHeight="1" x14ac:dyDescent="0.2">
      <c r="A99" s="121"/>
      <c r="B99" s="129" t="str">
        <f t="shared" si="23"/>
        <v>South East</v>
      </c>
      <c r="C99" s="85"/>
      <c r="D99" s="163" t="e">
        <f>IF(AF99&gt;0,Z99/AF99,NA())</f>
        <v>#N/A</v>
      </c>
      <c r="E99" s="163" t="e">
        <f t="shared" ref="E99:H99" si="38">IF(AG99&gt;0,AA99/AG99,NA())</f>
        <v>#N/A</v>
      </c>
      <c r="F99" s="163" t="e">
        <f t="shared" si="38"/>
        <v>#N/A</v>
      </c>
      <c r="G99" s="163">
        <f t="shared" si="38"/>
        <v>0.50108121095627101</v>
      </c>
      <c r="H99" s="165">
        <f t="shared" si="38"/>
        <v>0.46363538411809074</v>
      </c>
      <c r="I99" s="96"/>
      <c r="J99" s="96"/>
      <c r="K99" s="168"/>
      <c r="L99" s="168"/>
      <c r="M99" s="168"/>
      <c r="N99" s="168"/>
      <c r="O99" s="168"/>
      <c r="P99" s="168"/>
      <c r="Q99" s="168"/>
      <c r="R99" s="169"/>
      <c r="S99" s="159"/>
      <c r="T99" s="159"/>
      <c r="U99" s="170"/>
      <c r="V99" s="122"/>
      <c r="W99" s="139"/>
      <c r="X99" s="152"/>
      <c r="Y99" s="577" t="str">
        <f>B99</f>
        <v>South East</v>
      </c>
      <c r="Z99" s="606" t="str">
        <f>IF(Year1_SouthEast Year1_New_EHC__within_20_weeks="","",Year1_SouthEast Year1_New_EHC__within_20_weeks)</f>
        <v/>
      </c>
      <c r="AA99" s="607" t="str">
        <f>IF(Year2_SouthEast Year2_New_EHC__within_20_weeks="","",Year2_SouthEast Year2_New_EHC__within_20_weeks)</f>
        <v/>
      </c>
      <c r="AB99" s="607" t="str">
        <f>IF(Year3_SouthEast Year3_New_EHC__within_20_weeks="","",Year3_SouthEast Year3_New_EHC__within_20_weeks)</f>
        <v/>
      </c>
      <c r="AC99" s="372">
        <f>IF(Year4_SouthEast Year4_New_EHC__within_20_weeks="","",Year4_SouthEast Year4_New_EHC__within_20_weeks)</f>
        <v>4171</v>
      </c>
      <c r="AD99" s="577">
        <f>IF(Year5_SouthEast Year5_New_EHC__within_20_weeks="","",Year5_SouthEast Year5_New_EHC__within_20_weeks)</f>
        <v>4303</v>
      </c>
      <c r="AE99" s="384" t="str">
        <f t="shared" si="32"/>
        <v>South East</v>
      </c>
      <c r="AF99" s="580">
        <f>SUM(AF77:AF89,AF91:AF92,AF95:AF98)</f>
        <v>0</v>
      </c>
      <c r="AG99" s="580">
        <f t="shared" ref="AG99:AJ99" si="39">SUM(AG77:AG89,AG91:AG92,AG95:AG98)</f>
        <v>0</v>
      </c>
      <c r="AH99" s="580">
        <f t="shared" si="39"/>
        <v>0</v>
      </c>
      <c r="AI99" s="580">
        <f t="shared" si="39"/>
        <v>8324</v>
      </c>
      <c r="AJ99" s="580">
        <f t="shared" si="39"/>
        <v>9281</v>
      </c>
      <c r="AK99" s="160"/>
    </row>
    <row r="100" spans="1:66" s="87" customFormat="1" ht="12.75" customHeight="1" x14ac:dyDescent="0.2">
      <c r="A100" s="121"/>
      <c r="B100" s="329" t="str">
        <f t="shared" si="23"/>
        <v>England</v>
      </c>
      <c r="C100" s="85"/>
      <c r="D100" s="351" t="e">
        <f t="shared" si="26"/>
        <v>#N/A</v>
      </c>
      <c r="E100" s="351" t="e">
        <f t="shared" si="27"/>
        <v>#N/A</v>
      </c>
      <c r="F100" s="351" t="e">
        <f t="shared" si="28"/>
        <v>#N/A</v>
      </c>
      <c r="G100" s="351">
        <f t="shared" si="29"/>
        <v>0.58047504274560702</v>
      </c>
      <c r="H100" s="352">
        <f t="shared" si="30"/>
        <v>0.58718847863183754</v>
      </c>
      <c r="I100" s="96"/>
      <c r="J100" s="96"/>
      <c r="K100" s="168"/>
      <c r="L100" s="168"/>
      <c r="M100" s="168"/>
      <c r="N100" s="168"/>
      <c r="O100" s="168"/>
      <c r="P100" s="168"/>
      <c r="Q100" s="168"/>
      <c r="R100" s="169"/>
      <c r="S100" s="159"/>
      <c r="T100" s="159"/>
      <c r="U100" s="170"/>
      <c r="V100" s="122"/>
      <c r="W100" s="139"/>
      <c r="X100" s="152"/>
      <c r="Y100" s="577" t="str">
        <f t="shared" si="31"/>
        <v>England</v>
      </c>
      <c r="Z100" s="606" t="str">
        <f>IF(Year1_England Year1_New_EHC__within_20_weeks="","",Year1_England Year1_New_EHC__within_20_weeks)</f>
        <v/>
      </c>
      <c r="AA100" s="607" t="str">
        <f>IF(Year2_England Year2_New_EHC__within_20_weeks="","",Year2_England Year2_New_EHC__within_20_weeks)</f>
        <v/>
      </c>
      <c r="AB100" s="607" t="str">
        <f>IF(Year3_England Year3_New_EHC__within_20_weeks="","",Year3_England Year3_New_EHC__within_20_weeks)</f>
        <v/>
      </c>
      <c r="AC100" s="372">
        <f>IF(Year4_England Year4_New_EHC__within_20_weeks="","",Year4_England Year4_New_EHC__within_20_weeks)</f>
        <v>28178</v>
      </c>
      <c r="AD100" s="577">
        <f>IF(Year5_England Year5_New_EHC__within_20_weeks="","",Year5_England Year5_New_EHC__within_20_weeks)</f>
        <v>31313</v>
      </c>
      <c r="AE100" s="384" t="str">
        <f t="shared" si="32"/>
        <v>England</v>
      </c>
      <c r="AF100" s="489">
        <f t="shared" ref="AF100" si="40">IF(ISNUMBER(Z100),D33,0)</f>
        <v>0</v>
      </c>
      <c r="AG100" s="489">
        <f t="shared" ref="AG100" si="41">IF(ISNUMBER(AA100),E33,0)</f>
        <v>0</v>
      </c>
      <c r="AH100" s="489">
        <f t="shared" ref="AH100" si="42">IF(ISNUMBER(AB100),F33,0)</f>
        <v>0</v>
      </c>
      <c r="AI100" s="489">
        <f t="shared" ref="AI100" si="43">IF(ISNUMBER(AC100),G33,0)</f>
        <v>48543</v>
      </c>
      <c r="AJ100" s="489">
        <f t="shared" ref="AJ100" si="44">IF(ISNUMBER(AD100),H33,0)</f>
        <v>53327</v>
      </c>
      <c r="AK100" s="160"/>
    </row>
    <row r="101" spans="1:66" s="87" customFormat="1" ht="7.5" customHeight="1" x14ac:dyDescent="0.2">
      <c r="A101" s="292"/>
      <c r="B101" s="96"/>
      <c r="C101" s="96"/>
      <c r="D101" s="96"/>
      <c r="E101" s="96"/>
      <c r="F101" s="96"/>
      <c r="G101" s="96"/>
      <c r="H101" s="96"/>
      <c r="I101" s="96"/>
      <c r="J101" s="96"/>
      <c r="K101" s="168"/>
      <c r="L101" s="168"/>
      <c r="M101" s="168"/>
      <c r="N101" s="168"/>
      <c r="O101" s="168"/>
      <c r="P101" s="168"/>
      <c r="Q101" s="168"/>
      <c r="R101" s="169"/>
      <c r="S101" s="159"/>
      <c r="T101" s="159"/>
      <c r="U101" s="170"/>
      <c r="V101" s="122"/>
      <c r="W101" s="139"/>
      <c r="X101" s="152"/>
      <c r="Y101" s="188"/>
      <c r="Z101" s="188"/>
      <c r="AA101" s="81"/>
      <c r="AB101" s="81"/>
      <c r="AC101" s="81"/>
      <c r="AD101" s="81"/>
      <c r="AE101" s="81"/>
      <c r="AF101" s="202"/>
      <c r="AG101" s="202"/>
      <c r="AH101" s="202"/>
      <c r="AI101" s="190"/>
      <c r="AJ101" s="202"/>
      <c r="AK101" s="160"/>
    </row>
    <row r="102" spans="1:66" s="81" customFormat="1" ht="38.25" customHeight="1" x14ac:dyDescent="0.2">
      <c r="A102" s="217"/>
      <c r="B102" s="392"/>
      <c r="C102" s="392"/>
      <c r="D102" s="392"/>
      <c r="E102" s="392"/>
      <c r="F102" s="392"/>
      <c r="G102" s="392"/>
      <c r="H102" s="392"/>
      <c r="I102" s="392"/>
      <c r="J102" s="172"/>
      <c r="K102" s="172"/>
      <c r="L102" s="172"/>
      <c r="M102" s="172"/>
      <c r="N102" s="172"/>
      <c r="O102" s="172"/>
      <c r="P102" s="172"/>
      <c r="Q102" s="172"/>
      <c r="R102" s="136"/>
      <c r="S102" s="172"/>
      <c r="T102" s="172"/>
      <c r="U102" s="172"/>
      <c r="V102" s="117"/>
      <c r="W102" s="137"/>
      <c r="X102" s="150"/>
      <c r="AA102" s="656"/>
      <c r="AB102" s="656"/>
      <c r="AC102" s="656"/>
      <c r="AD102" s="1089"/>
      <c r="AE102" s="199"/>
      <c r="AF102" s="184"/>
      <c r="AG102" s="184"/>
      <c r="AH102" s="184"/>
      <c r="AJ102" s="184"/>
      <c r="AK102" s="161"/>
    </row>
    <row r="103" spans="1:66" s="81" customFormat="1" ht="39" customHeight="1" x14ac:dyDescent="0.2">
      <c r="A103" s="217"/>
      <c r="B103" s="392"/>
      <c r="C103" s="392"/>
      <c r="D103" s="392"/>
      <c r="E103" s="392"/>
      <c r="F103" s="392"/>
      <c r="G103" s="392"/>
      <c r="H103" s="392"/>
      <c r="I103" s="392"/>
      <c r="J103" s="172"/>
      <c r="K103" s="172"/>
      <c r="L103" s="172"/>
      <c r="M103" s="172"/>
      <c r="N103" s="172"/>
      <c r="O103" s="172"/>
      <c r="P103" s="172"/>
      <c r="Q103" s="172"/>
      <c r="R103" s="136"/>
      <c r="S103" s="172"/>
      <c r="T103" s="172"/>
      <c r="U103" s="172"/>
      <c r="V103" s="117"/>
      <c r="W103" s="137"/>
      <c r="X103" s="150"/>
      <c r="Z103" s="190"/>
      <c r="AE103" s="199"/>
      <c r="AF103" s="184"/>
      <c r="AG103" s="184"/>
      <c r="AH103" s="184"/>
      <c r="AJ103" s="184"/>
      <c r="AK103" s="161"/>
    </row>
    <row r="104" spans="1:66" s="81" customFormat="1" ht="38.25" customHeight="1" x14ac:dyDescent="0.2">
      <c r="A104" s="217"/>
      <c r="B104" s="392"/>
      <c r="C104" s="392"/>
      <c r="D104" s="392"/>
      <c r="E104" s="392"/>
      <c r="F104" s="392"/>
      <c r="G104" s="392"/>
      <c r="H104" s="392"/>
      <c r="I104" s="392"/>
      <c r="J104" s="172"/>
      <c r="K104" s="172"/>
      <c r="L104" s="172"/>
      <c r="M104" s="172"/>
      <c r="N104" s="172"/>
      <c r="O104" s="172"/>
      <c r="P104" s="172"/>
      <c r="Q104" s="172"/>
      <c r="R104" s="136"/>
      <c r="S104" s="172"/>
      <c r="T104" s="172"/>
      <c r="U104" s="172"/>
      <c r="V104" s="117"/>
      <c r="W104" s="137"/>
      <c r="X104" s="150"/>
      <c r="Z104" s="190"/>
      <c r="AE104" s="199"/>
      <c r="AF104" s="184"/>
      <c r="AG104" s="184"/>
      <c r="AH104" s="184"/>
      <c r="AJ104" s="184"/>
      <c r="AK104" s="161"/>
    </row>
    <row r="105" spans="1:66" s="81" customFormat="1" ht="7.5" customHeight="1" x14ac:dyDescent="0.2">
      <c r="A105" s="118"/>
      <c r="B105" s="17"/>
      <c r="C105" s="17"/>
      <c r="D105" s="16"/>
      <c r="E105" s="16"/>
      <c r="F105" s="16"/>
      <c r="G105" s="16"/>
      <c r="H105" s="16"/>
      <c r="I105" s="16"/>
      <c r="J105" s="12"/>
      <c r="K105" s="18"/>
      <c r="L105" s="18"/>
      <c r="M105" s="18"/>
      <c r="N105" s="18"/>
      <c r="O105" s="18"/>
      <c r="P105" s="18"/>
      <c r="Q105" s="18"/>
      <c r="R105" s="18"/>
      <c r="S105" s="18"/>
      <c r="T105" s="18"/>
      <c r="U105" s="19"/>
      <c r="V105" s="117"/>
      <c r="W105" s="137"/>
      <c r="X105" s="150"/>
      <c r="Z105" s="190"/>
      <c r="AJ105" s="184"/>
      <c r="AK105" s="157"/>
      <c r="AL105" s="74"/>
      <c r="AM105" s="74"/>
      <c r="AN105" s="74"/>
      <c r="AO105" s="74"/>
      <c r="AP105" s="74"/>
      <c r="AQ105" s="74"/>
      <c r="AR105" s="74"/>
    </row>
    <row r="106" spans="1:66" s="81" customFormat="1" ht="15" customHeight="1" x14ac:dyDescent="0.2">
      <c r="A106" s="1716"/>
      <c r="B106" s="1760"/>
      <c r="C106" s="1760"/>
      <c r="D106" s="1760"/>
      <c r="E106" s="1760"/>
      <c r="F106" s="1760"/>
      <c r="G106" s="1760"/>
      <c r="H106" s="1760"/>
      <c r="I106" s="1760"/>
      <c r="J106" s="1760"/>
      <c r="K106" s="1760"/>
      <c r="L106" s="1760"/>
      <c r="M106" s="1760"/>
      <c r="N106" s="1760"/>
      <c r="O106" s="1760"/>
      <c r="P106" s="1760"/>
      <c r="Q106" s="1760"/>
      <c r="R106" s="1760"/>
      <c r="S106" s="1760"/>
      <c r="T106" s="1760"/>
      <c r="U106" s="1760"/>
      <c r="V106" s="1761"/>
      <c r="W106" s="137"/>
      <c r="X106" s="150"/>
      <c r="AK106" s="161"/>
      <c r="AT106" s="74"/>
    </row>
    <row r="107" spans="1:66" s="81" customFormat="1" ht="11.25" customHeight="1" x14ac:dyDescent="0.2">
      <c r="A107" s="1765" t="str">
        <f>Home!$A$39</f>
        <v xml:space="preserve"> </v>
      </c>
      <c r="B107" s="1766"/>
      <c r="C107" s="1766"/>
      <c r="D107" s="1766"/>
      <c r="E107" s="1766"/>
      <c r="F107" s="1766"/>
      <c r="G107" s="1766"/>
      <c r="H107" s="1766"/>
      <c r="I107" s="1767"/>
      <c r="J107" s="1766"/>
      <c r="K107" s="1766"/>
      <c r="L107" s="1766"/>
      <c r="M107" s="1766"/>
      <c r="N107" s="1766"/>
      <c r="O107" s="1766"/>
      <c r="P107" s="1768"/>
      <c r="Q107" s="1766"/>
      <c r="R107" s="1766"/>
      <c r="S107" s="1766"/>
      <c r="T107" s="1767"/>
      <c r="U107" s="1766"/>
      <c r="V107" s="1769"/>
      <c r="W107" s="137"/>
      <c r="X107" s="150"/>
      <c r="AJ107" s="184"/>
      <c r="AK107" s="160"/>
      <c r="AL107" s="87"/>
      <c r="AT107" s="74"/>
    </row>
    <row r="108" spans="1:66" ht="11.25" customHeight="1" x14ac:dyDescent="0.2">
      <c r="A108" s="142"/>
      <c r="B108" s="9"/>
      <c r="C108" s="9"/>
      <c r="D108" s="9"/>
      <c r="E108" s="9"/>
      <c r="F108" s="58"/>
      <c r="G108" s="58"/>
      <c r="H108" s="58"/>
      <c r="I108" s="58"/>
      <c r="J108" s="114"/>
      <c r="K108" s="113"/>
      <c r="L108" s="113"/>
      <c r="M108" s="113"/>
      <c r="N108" s="113"/>
      <c r="O108" s="113"/>
      <c r="P108" s="113"/>
      <c r="Q108" s="113"/>
      <c r="R108" s="113"/>
      <c r="S108" s="113"/>
      <c r="T108" s="113"/>
      <c r="U108" s="113"/>
      <c r="V108" s="113"/>
      <c r="W108" s="137"/>
      <c r="X108" s="150"/>
      <c r="AJ108" s="81"/>
      <c r="AK108" s="161"/>
      <c r="AL108" s="82"/>
      <c r="AM108" s="81"/>
      <c r="AN108" s="81"/>
      <c r="AO108" s="184"/>
      <c r="AP108" s="184"/>
      <c r="AQ108" s="184"/>
      <c r="AR108" s="157"/>
      <c r="AZ108" s="81"/>
      <c r="BA108" s="81"/>
      <c r="BB108" s="81"/>
      <c r="BC108" s="81"/>
      <c r="BD108" s="81"/>
      <c r="BE108" s="81"/>
      <c r="BF108" s="81"/>
      <c r="BG108" s="81"/>
      <c r="BH108" s="81"/>
      <c r="BI108" s="81"/>
      <c r="BJ108" s="81"/>
      <c r="BK108" s="81"/>
      <c r="BL108" s="81"/>
      <c r="BM108" s="81"/>
      <c r="BN108" s="81"/>
    </row>
    <row r="109" spans="1:66" ht="11.25" customHeight="1" x14ac:dyDescent="0.2">
      <c r="A109" s="142"/>
      <c r="B109" s="1685" t="s">
        <v>82</v>
      </c>
      <c r="C109" s="1685"/>
      <c r="D109" s="1685"/>
      <c r="E109" s="1685"/>
      <c r="F109" s="1685"/>
      <c r="G109" s="1685"/>
      <c r="H109" s="1685"/>
      <c r="I109" s="1685"/>
      <c r="J109" s="12"/>
      <c r="K109" s="9"/>
      <c r="L109" s="9"/>
      <c r="M109" s="9"/>
      <c r="N109" s="9"/>
      <c r="O109" s="9"/>
      <c r="P109" s="9"/>
      <c r="Q109" s="9"/>
      <c r="R109" s="9"/>
      <c r="S109" s="9"/>
      <c r="T109" s="9"/>
      <c r="U109" s="9"/>
      <c r="V109" s="9"/>
      <c r="W109" s="137"/>
      <c r="X109" s="150"/>
      <c r="AJ109" s="81"/>
      <c r="AK109" s="161"/>
      <c r="AL109" s="82"/>
      <c r="AM109" s="81"/>
      <c r="AN109" s="81"/>
      <c r="AO109" s="184"/>
      <c r="AP109" s="184"/>
      <c r="AQ109" s="184"/>
      <c r="AR109" s="157"/>
      <c r="AT109" s="81"/>
      <c r="AU109" s="81"/>
      <c r="AV109" s="81"/>
      <c r="AW109" s="81"/>
      <c r="AX109" s="81"/>
      <c r="AY109" s="81"/>
    </row>
    <row r="110" spans="1:66" ht="11.25" customHeight="1" x14ac:dyDescent="0.2">
      <c r="A110" s="142"/>
      <c r="B110" s="1685"/>
      <c r="C110" s="1685"/>
      <c r="D110" s="1685"/>
      <c r="E110" s="1685"/>
      <c r="F110" s="1685"/>
      <c r="G110" s="1685"/>
      <c r="H110" s="1685"/>
      <c r="I110" s="1685"/>
      <c r="J110" s="12"/>
      <c r="K110" s="9"/>
      <c r="L110" s="9"/>
      <c r="M110" s="9"/>
      <c r="N110" s="9"/>
      <c r="O110" s="9"/>
      <c r="P110" s="9"/>
      <c r="Q110" s="9"/>
      <c r="R110" s="9"/>
      <c r="S110" s="9"/>
      <c r="T110" s="9"/>
      <c r="U110" s="9"/>
      <c r="V110" s="9"/>
      <c r="W110" s="137"/>
      <c r="X110" s="150"/>
      <c r="AJ110" s="81"/>
      <c r="AK110" s="161"/>
      <c r="AL110" s="82"/>
      <c r="AM110" s="81"/>
      <c r="AN110" s="81"/>
      <c r="AO110" s="184"/>
      <c r="AP110" s="184"/>
      <c r="AQ110" s="184"/>
      <c r="AR110" s="157"/>
    </row>
    <row r="111" spans="1:66" ht="11.25" customHeight="1" x14ac:dyDescent="0.2">
      <c r="A111" s="142"/>
      <c r="B111" s="1680" t="s">
        <v>800</v>
      </c>
      <c r="C111" s="1680"/>
      <c r="D111" s="1680"/>
      <c r="E111" s="1680"/>
      <c r="F111" s="1680"/>
      <c r="G111" s="1680"/>
      <c r="H111" s="1680"/>
      <c r="I111" s="1680"/>
      <c r="J111" s="12"/>
      <c r="K111" s="9"/>
      <c r="L111" s="9"/>
      <c r="M111" s="9"/>
      <c r="N111" s="9"/>
      <c r="O111" s="9"/>
      <c r="P111" s="9"/>
      <c r="Q111" s="9"/>
      <c r="R111" s="9"/>
      <c r="S111" s="9"/>
      <c r="T111" s="9"/>
      <c r="U111" s="9"/>
      <c r="V111" s="9"/>
      <c r="W111" s="137"/>
      <c r="X111" s="150"/>
      <c r="AJ111" s="81"/>
      <c r="AK111" s="161"/>
      <c r="AL111" s="82"/>
      <c r="AM111" s="81"/>
      <c r="AN111" s="81"/>
      <c r="AO111" s="184"/>
      <c r="AP111" s="184"/>
      <c r="AQ111" s="184"/>
      <c r="AR111" s="157"/>
    </row>
    <row r="112" spans="1:66" ht="11.25" customHeight="1" x14ac:dyDescent="0.2">
      <c r="A112" s="142"/>
      <c r="B112" s="1680"/>
      <c r="C112" s="1680"/>
      <c r="D112" s="1680"/>
      <c r="E112" s="1680"/>
      <c r="F112" s="1680"/>
      <c r="G112" s="1680"/>
      <c r="H112" s="1680"/>
      <c r="I112" s="1680"/>
      <c r="J112" s="12"/>
      <c r="K112" s="9"/>
      <c r="L112" s="9"/>
      <c r="M112" s="9"/>
      <c r="N112" s="9"/>
      <c r="O112" s="9"/>
      <c r="P112" s="9"/>
      <c r="Q112" s="9"/>
      <c r="R112" s="9"/>
      <c r="S112" s="9"/>
      <c r="T112" s="9"/>
      <c r="U112" s="9"/>
      <c r="V112" s="9"/>
      <c r="W112" s="137"/>
      <c r="X112" s="150"/>
      <c r="AJ112" s="81"/>
      <c r="AK112" s="161"/>
      <c r="AL112" s="82"/>
      <c r="AM112" s="81"/>
      <c r="AN112" s="81"/>
      <c r="AO112" s="188"/>
      <c r="AP112" s="188"/>
      <c r="AQ112" s="188"/>
      <c r="AR112" s="158"/>
    </row>
    <row r="113" spans="1:46" s="76" customFormat="1" ht="11.25" hidden="1" customHeight="1" x14ac:dyDescent="0.2">
      <c r="A113" s="142"/>
      <c r="B113" s="1680" t="s">
        <v>81</v>
      </c>
      <c r="C113" s="1680"/>
      <c r="D113" s="1680"/>
      <c r="E113" s="1680"/>
      <c r="F113" s="1680"/>
      <c r="G113" s="1680"/>
      <c r="H113" s="1680"/>
      <c r="I113" s="1680"/>
      <c r="J113" s="14"/>
      <c r="K113" s="14"/>
      <c r="L113" s="14"/>
      <c r="M113" s="14"/>
      <c r="N113" s="14"/>
      <c r="O113" s="14"/>
      <c r="P113" s="14"/>
      <c r="Q113" s="14"/>
      <c r="R113" s="14"/>
      <c r="S113" s="14"/>
      <c r="T113" s="14"/>
      <c r="U113" s="14"/>
      <c r="V113" s="14"/>
      <c r="W113" s="140"/>
      <c r="X113" s="154"/>
      <c r="Y113" s="81"/>
      <c r="Z113" s="81"/>
      <c r="AA113" s="81"/>
      <c r="AB113" s="81"/>
      <c r="AC113" s="81"/>
      <c r="AD113" s="81"/>
      <c r="AE113" s="81"/>
      <c r="AF113" s="81"/>
      <c r="AG113" s="81"/>
      <c r="AH113" s="81"/>
      <c r="AI113" s="81"/>
      <c r="AJ113" s="81"/>
      <c r="AK113" s="161"/>
      <c r="AL113" s="82"/>
      <c r="AM113" s="81"/>
      <c r="AN113" s="81"/>
      <c r="AO113" s="184"/>
      <c r="AP113" s="184"/>
      <c r="AQ113" s="184"/>
      <c r="AR113" s="157"/>
    </row>
    <row r="114" spans="1:46" ht="11.25" hidden="1" customHeight="1" x14ac:dyDescent="0.2">
      <c r="A114" s="142"/>
      <c r="B114" s="1680"/>
      <c r="C114" s="1680"/>
      <c r="D114" s="1680"/>
      <c r="E114" s="1680"/>
      <c r="F114" s="1680"/>
      <c r="G114" s="1680"/>
      <c r="H114" s="1680"/>
      <c r="I114" s="1680"/>
      <c r="J114" s="12"/>
      <c r="K114" s="9"/>
      <c r="L114" s="9"/>
      <c r="M114" s="9"/>
      <c r="N114" s="9"/>
      <c r="O114" s="9"/>
      <c r="P114" s="9"/>
      <c r="Q114" s="9"/>
      <c r="R114" s="9"/>
      <c r="S114" s="9"/>
      <c r="T114" s="9"/>
      <c r="U114" s="9"/>
      <c r="V114" s="9"/>
      <c r="W114" s="137"/>
      <c r="X114" s="150"/>
      <c r="AJ114" s="81"/>
      <c r="AK114" s="161"/>
      <c r="AL114" s="82"/>
      <c r="AM114" s="81"/>
      <c r="AN114" s="81"/>
      <c r="AO114" s="184"/>
      <c r="AP114" s="184"/>
      <c r="AQ114" s="184"/>
      <c r="AR114" s="157"/>
    </row>
    <row r="115" spans="1:46" ht="11.25" customHeight="1" x14ac:dyDescent="0.2">
      <c r="A115" s="142"/>
      <c r="B115" s="1680" t="s">
        <v>78</v>
      </c>
      <c r="C115" s="1680"/>
      <c r="D115" s="1680"/>
      <c r="E115" s="1680"/>
      <c r="F115" s="1680"/>
      <c r="G115" s="1680"/>
      <c r="H115" s="1680"/>
      <c r="I115" s="1680"/>
      <c r="J115" s="12"/>
      <c r="K115" s="9"/>
      <c r="L115" s="9"/>
      <c r="M115" s="9"/>
      <c r="N115" s="9"/>
      <c r="O115" s="9"/>
      <c r="P115" s="9"/>
      <c r="Q115" s="9"/>
      <c r="R115" s="9"/>
      <c r="S115" s="9"/>
      <c r="T115" s="9"/>
      <c r="U115" s="9"/>
      <c r="V115" s="9"/>
      <c r="W115" s="137"/>
      <c r="X115" s="150"/>
      <c r="AJ115" s="81"/>
      <c r="AK115" s="161"/>
      <c r="AL115" s="82"/>
      <c r="AM115" s="81"/>
      <c r="AN115" s="81"/>
      <c r="AO115" s="184"/>
      <c r="AP115" s="184"/>
      <c r="AQ115" s="184"/>
      <c r="AR115" s="157"/>
      <c r="AS115" s="76"/>
      <c r="AT115" s="76"/>
    </row>
    <row r="116" spans="1:46" ht="11.25" customHeight="1" x14ac:dyDescent="0.2">
      <c r="A116" s="142"/>
      <c r="B116" s="1680"/>
      <c r="C116" s="1680"/>
      <c r="D116" s="1680"/>
      <c r="E116" s="1680"/>
      <c r="F116" s="1680"/>
      <c r="G116" s="1680"/>
      <c r="H116" s="1680"/>
      <c r="I116" s="1680"/>
      <c r="J116" s="12"/>
      <c r="K116" s="9"/>
      <c r="L116" s="9"/>
      <c r="M116" s="9"/>
      <c r="N116" s="9"/>
      <c r="O116" s="9"/>
      <c r="P116" s="9"/>
      <c r="Q116" s="9"/>
      <c r="R116" s="9"/>
      <c r="S116" s="9"/>
      <c r="T116" s="9"/>
      <c r="U116" s="9"/>
      <c r="V116" s="9"/>
      <c r="W116" s="137"/>
      <c r="X116" s="150"/>
      <c r="AJ116" s="81"/>
      <c r="AK116" s="161"/>
      <c r="AL116" s="82"/>
      <c r="AM116" s="81"/>
      <c r="AN116" s="81"/>
      <c r="AO116" s="184"/>
      <c r="AP116" s="184"/>
      <c r="AQ116" s="184"/>
      <c r="AR116" s="157"/>
    </row>
    <row r="117" spans="1:46" ht="11.25" customHeight="1" x14ac:dyDescent="0.2">
      <c r="A117" s="142"/>
      <c r="B117" s="1680" t="s">
        <v>17</v>
      </c>
      <c r="C117" s="1680"/>
      <c r="D117" s="1680"/>
      <c r="E117" s="1680"/>
      <c r="F117" s="1680"/>
      <c r="G117" s="1680"/>
      <c r="H117" s="1680"/>
      <c r="I117" s="1680"/>
      <c r="J117" s="12"/>
      <c r="K117" s="9"/>
      <c r="L117" s="9"/>
      <c r="M117" s="9"/>
      <c r="N117" s="9"/>
      <c r="O117" s="9"/>
      <c r="P117" s="9"/>
      <c r="Q117" s="9"/>
      <c r="R117" s="9"/>
      <c r="S117" s="9"/>
      <c r="T117" s="9"/>
      <c r="U117" s="9"/>
      <c r="V117" s="11"/>
      <c r="W117" s="252"/>
      <c r="X117" s="150"/>
      <c r="AA117" s="74"/>
      <c r="AB117" s="74"/>
      <c r="AJ117" s="81"/>
      <c r="AK117" s="161"/>
      <c r="AL117" s="82"/>
      <c r="AM117" s="81"/>
      <c r="AN117" s="81"/>
      <c r="AO117" s="184"/>
      <c r="AP117" s="184"/>
      <c r="AQ117" s="184"/>
      <c r="AR117" s="157"/>
      <c r="AS117" s="76"/>
      <c r="AT117" s="76"/>
    </row>
    <row r="118" spans="1:46" ht="11.25" customHeight="1" x14ac:dyDescent="0.2">
      <c r="A118" s="142"/>
      <c r="B118" s="1680"/>
      <c r="C118" s="1680"/>
      <c r="D118" s="1680"/>
      <c r="E118" s="1680"/>
      <c r="F118" s="1680"/>
      <c r="G118" s="1680"/>
      <c r="H118" s="1680"/>
      <c r="I118" s="1680"/>
      <c r="J118" s="12"/>
      <c r="K118" s="9"/>
      <c r="L118" s="9"/>
      <c r="M118" s="9"/>
      <c r="N118" s="9"/>
      <c r="O118" s="9"/>
      <c r="P118" s="9"/>
      <c r="Q118" s="9"/>
      <c r="R118" s="9"/>
      <c r="S118" s="9"/>
      <c r="T118" s="9"/>
      <c r="U118" s="9"/>
      <c r="V118" s="11"/>
      <c r="W118" s="252"/>
      <c r="X118" s="150"/>
      <c r="AA118" s="74"/>
      <c r="AB118" s="74"/>
      <c r="AJ118" s="81"/>
      <c r="AK118" s="161"/>
      <c r="AL118" s="82"/>
      <c r="AM118" s="81"/>
      <c r="AN118" s="81"/>
      <c r="AO118" s="184"/>
      <c r="AP118" s="184"/>
      <c r="AQ118" s="184"/>
      <c r="AR118" s="157"/>
    </row>
    <row r="119" spans="1:46" ht="11.25" customHeight="1" x14ac:dyDescent="0.2">
      <c r="A119" s="142"/>
      <c r="B119" s="1680" t="s">
        <v>80</v>
      </c>
      <c r="C119" s="1680"/>
      <c r="D119" s="1680"/>
      <c r="E119" s="1680"/>
      <c r="F119" s="1680"/>
      <c r="G119" s="1680"/>
      <c r="H119" s="1680"/>
      <c r="I119" s="1680"/>
      <c r="J119" s="12"/>
      <c r="K119" s="9"/>
      <c r="L119" s="9"/>
      <c r="M119" s="9"/>
      <c r="N119" s="9"/>
      <c r="O119" s="9"/>
      <c r="P119" s="9"/>
      <c r="Q119" s="9"/>
      <c r="R119" s="9"/>
      <c r="S119" s="9"/>
      <c r="T119" s="9"/>
      <c r="U119" s="9"/>
      <c r="V119" s="11"/>
      <c r="W119" s="252"/>
      <c r="X119" s="150"/>
      <c r="AA119" s="74"/>
      <c r="AB119" s="74"/>
      <c r="AJ119" s="81"/>
      <c r="AK119" s="161"/>
      <c r="AL119" s="82"/>
      <c r="AM119" s="81"/>
      <c r="AN119" s="81"/>
      <c r="AO119" s="184"/>
      <c r="AP119" s="184"/>
      <c r="AQ119" s="184"/>
      <c r="AR119" s="157"/>
      <c r="AS119" s="76"/>
      <c r="AT119" s="76"/>
    </row>
    <row r="120" spans="1:46" ht="11.25" customHeight="1" x14ac:dyDescent="0.2">
      <c r="A120" s="142"/>
      <c r="B120" s="1680"/>
      <c r="C120" s="1680"/>
      <c r="D120" s="1680"/>
      <c r="E120" s="1680"/>
      <c r="F120" s="1680"/>
      <c r="G120" s="1680"/>
      <c r="H120" s="1680"/>
      <c r="I120" s="1680"/>
      <c r="J120" s="12"/>
      <c r="K120" s="9"/>
      <c r="L120" s="9"/>
      <c r="M120" s="9"/>
      <c r="N120" s="9"/>
      <c r="O120" s="9"/>
      <c r="P120" s="9"/>
      <c r="Q120" s="9"/>
      <c r="R120" s="9"/>
      <c r="S120" s="9"/>
      <c r="T120" s="9"/>
      <c r="U120" s="9"/>
      <c r="V120" s="11"/>
      <c r="W120" s="252"/>
      <c r="X120" s="150"/>
      <c r="AA120" s="74"/>
      <c r="AB120" s="74"/>
      <c r="AJ120" s="81"/>
      <c r="AK120" s="161"/>
      <c r="AL120" s="82"/>
      <c r="AM120" s="81"/>
      <c r="AN120" s="81"/>
      <c r="AO120" s="184"/>
      <c r="AP120" s="184"/>
      <c r="AQ120" s="184"/>
      <c r="AR120" s="157"/>
    </row>
    <row r="121" spans="1:46" ht="11.25" customHeight="1" x14ac:dyDescent="0.2">
      <c r="A121" s="142"/>
      <c r="B121" s="1680" t="s">
        <v>69</v>
      </c>
      <c r="C121" s="1680"/>
      <c r="D121" s="1680"/>
      <c r="E121" s="1680"/>
      <c r="F121" s="1680"/>
      <c r="G121" s="1680"/>
      <c r="H121" s="1680"/>
      <c r="I121" s="1680"/>
      <c r="J121" s="12"/>
      <c r="K121" s="9"/>
      <c r="L121" s="9"/>
      <c r="M121" s="9"/>
      <c r="N121" s="9"/>
      <c r="O121" s="9"/>
      <c r="P121" s="9"/>
      <c r="Q121" s="9"/>
      <c r="R121" s="9"/>
      <c r="S121" s="9"/>
      <c r="T121" s="9"/>
      <c r="U121" s="9"/>
      <c r="V121" s="11"/>
      <c r="W121" s="252"/>
      <c r="X121" s="150"/>
      <c r="AA121" s="74"/>
      <c r="AB121" s="74"/>
      <c r="AJ121" s="81"/>
      <c r="AK121" s="161"/>
      <c r="AL121" s="82"/>
      <c r="AM121" s="81"/>
      <c r="AN121" s="81"/>
      <c r="AO121" s="184"/>
      <c r="AP121" s="184"/>
      <c r="AQ121" s="184"/>
      <c r="AR121" s="157"/>
      <c r="AS121" s="76"/>
      <c r="AT121" s="76"/>
    </row>
    <row r="122" spans="1:46" ht="11.25" customHeight="1" x14ac:dyDescent="0.2">
      <c r="A122" s="142"/>
      <c r="B122" s="1680"/>
      <c r="C122" s="1680"/>
      <c r="D122" s="1680"/>
      <c r="E122" s="1680"/>
      <c r="F122" s="1680"/>
      <c r="G122" s="1680"/>
      <c r="H122" s="1680"/>
      <c r="I122" s="1680"/>
      <c r="J122" s="12"/>
      <c r="K122" s="9"/>
      <c r="L122" s="9"/>
      <c r="M122" s="9"/>
      <c r="N122" s="9"/>
      <c r="O122" s="9"/>
      <c r="P122" s="9"/>
      <c r="Q122" s="9"/>
      <c r="R122" s="9"/>
      <c r="S122" s="9"/>
      <c r="T122" s="9"/>
      <c r="U122" s="9"/>
      <c r="V122" s="11"/>
      <c r="W122" s="252"/>
      <c r="X122" s="150"/>
      <c r="AA122" s="74"/>
      <c r="AB122" s="74"/>
      <c r="AJ122" s="81"/>
      <c r="AK122" s="161"/>
      <c r="AL122" s="82"/>
      <c r="AM122" s="81"/>
      <c r="AN122" s="81"/>
      <c r="AO122" s="184"/>
      <c r="AP122" s="184"/>
      <c r="AQ122" s="184"/>
      <c r="AR122" s="157"/>
    </row>
    <row r="123" spans="1:46" ht="11.25" customHeight="1" x14ac:dyDescent="0.2">
      <c r="A123" s="142"/>
      <c r="B123" s="1680" t="s">
        <v>24</v>
      </c>
      <c r="C123" s="1680"/>
      <c r="D123" s="1680"/>
      <c r="E123" s="1680"/>
      <c r="F123" s="1680"/>
      <c r="G123" s="1680"/>
      <c r="H123" s="1680"/>
      <c r="I123" s="1680"/>
      <c r="J123" s="12"/>
      <c r="K123" s="9"/>
      <c r="L123" s="9"/>
      <c r="M123" s="9"/>
      <c r="N123" s="9"/>
      <c r="O123" s="9"/>
      <c r="P123" s="9"/>
      <c r="Q123" s="9"/>
      <c r="R123" s="9"/>
      <c r="S123" s="9"/>
      <c r="T123" s="9"/>
      <c r="U123" s="9"/>
      <c r="V123" s="9"/>
      <c r="W123" s="137"/>
      <c r="X123" s="150"/>
      <c r="AJ123" s="81"/>
      <c r="AK123" s="161"/>
      <c r="AL123" s="82"/>
      <c r="AM123" s="81"/>
      <c r="AN123" s="81"/>
      <c r="AO123" s="184"/>
      <c r="AP123" s="184"/>
      <c r="AQ123" s="184"/>
      <c r="AR123" s="157"/>
      <c r="AS123" s="76"/>
      <c r="AT123" s="76"/>
    </row>
    <row r="124" spans="1:46" ht="11.25" customHeight="1" x14ac:dyDescent="0.2">
      <c r="A124" s="142"/>
      <c r="B124" s="1680"/>
      <c r="C124" s="1680"/>
      <c r="D124" s="1680"/>
      <c r="E124" s="1680"/>
      <c r="F124" s="1680"/>
      <c r="G124" s="1680"/>
      <c r="H124" s="1680"/>
      <c r="I124" s="1680"/>
      <c r="J124" s="12"/>
      <c r="K124" s="9"/>
      <c r="L124" s="9"/>
      <c r="M124" s="9"/>
      <c r="N124" s="9"/>
      <c r="O124" s="9"/>
      <c r="P124" s="9"/>
      <c r="Q124" s="9"/>
      <c r="R124" s="9"/>
      <c r="S124" s="9"/>
      <c r="T124" s="9"/>
      <c r="U124" s="9"/>
      <c r="V124" s="9"/>
      <c r="W124" s="137"/>
      <c r="X124" s="150"/>
      <c r="AJ124" s="81"/>
      <c r="AK124" s="161"/>
      <c r="AL124" s="82"/>
      <c r="AM124" s="81"/>
      <c r="AN124" s="81"/>
      <c r="AO124" s="184"/>
      <c r="AP124" s="184"/>
      <c r="AQ124" s="184"/>
      <c r="AR124" s="157"/>
    </row>
    <row r="125" spans="1:46" ht="11.25" customHeight="1" x14ac:dyDescent="0.2">
      <c r="A125" s="142"/>
      <c r="B125" s="1680" t="s">
        <v>22</v>
      </c>
      <c r="C125" s="1680"/>
      <c r="D125" s="1680"/>
      <c r="E125" s="1680"/>
      <c r="F125" s="1680"/>
      <c r="G125" s="1680"/>
      <c r="H125" s="1680"/>
      <c r="I125" s="1680"/>
      <c r="J125" s="12"/>
      <c r="K125" s="9"/>
      <c r="L125" s="9"/>
      <c r="M125" s="9"/>
      <c r="N125" s="9"/>
      <c r="O125" s="9"/>
      <c r="P125" s="9"/>
      <c r="Q125" s="9"/>
      <c r="R125" s="9"/>
      <c r="S125" s="9"/>
      <c r="T125" s="9"/>
      <c r="U125" s="9"/>
      <c r="V125" s="9"/>
      <c r="W125" s="137"/>
      <c r="X125" s="150"/>
      <c r="AJ125" s="81"/>
      <c r="AK125" s="161"/>
      <c r="AL125" s="82"/>
      <c r="AM125" s="81"/>
      <c r="AN125" s="81"/>
      <c r="AO125" s="184"/>
      <c r="AP125" s="184"/>
      <c r="AQ125" s="184"/>
      <c r="AR125" s="157"/>
      <c r="AS125" s="76"/>
      <c r="AT125" s="76"/>
    </row>
    <row r="126" spans="1:46" ht="11.25" customHeight="1" x14ac:dyDescent="0.2">
      <c r="A126" s="142"/>
      <c r="B126" s="1680"/>
      <c r="C126" s="1680"/>
      <c r="D126" s="1680"/>
      <c r="E126" s="1680"/>
      <c r="F126" s="1680"/>
      <c r="G126" s="1680"/>
      <c r="H126" s="1680"/>
      <c r="I126" s="1680"/>
      <c r="J126" s="12"/>
      <c r="K126" s="9"/>
      <c r="L126" s="9"/>
      <c r="M126" s="9"/>
      <c r="N126" s="9"/>
      <c r="O126" s="9"/>
      <c r="P126" s="9"/>
      <c r="Q126" s="9"/>
      <c r="R126" s="9"/>
      <c r="S126" s="9"/>
      <c r="T126" s="9"/>
      <c r="U126" s="9"/>
      <c r="V126" s="9"/>
      <c r="W126" s="137"/>
      <c r="X126" s="150"/>
      <c r="AJ126" s="81"/>
      <c r="AK126" s="161"/>
      <c r="AL126" s="82"/>
      <c r="AM126" s="81"/>
      <c r="AN126" s="81"/>
      <c r="AO126" s="184"/>
      <c r="AP126" s="184"/>
      <c r="AQ126" s="184"/>
      <c r="AR126" s="157"/>
    </row>
    <row r="127" spans="1:46" ht="11.25" customHeight="1" x14ac:dyDescent="0.2">
      <c r="A127" s="142"/>
      <c r="B127" s="1680" t="s">
        <v>25</v>
      </c>
      <c r="C127" s="1680"/>
      <c r="D127" s="1680"/>
      <c r="E127" s="1680"/>
      <c r="F127" s="1680"/>
      <c r="G127" s="1680"/>
      <c r="H127" s="1680"/>
      <c r="I127" s="1680"/>
      <c r="J127" s="12"/>
      <c r="K127" s="9"/>
      <c r="L127" s="9"/>
      <c r="M127" s="9"/>
      <c r="N127" s="9"/>
      <c r="O127" s="9"/>
      <c r="P127" s="9"/>
      <c r="Q127" s="9"/>
      <c r="R127" s="9"/>
      <c r="S127" s="9"/>
      <c r="T127" s="9"/>
      <c r="U127" s="9"/>
      <c r="V127" s="9"/>
      <c r="W127" s="137"/>
      <c r="X127" s="150"/>
      <c r="AJ127" s="81"/>
      <c r="AK127" s="161"/>
      <c r="AL127" s="82"/>
      <c r="AM127" s="81"/>
      <c r="AN127" s="81"/>
      <c r="AO127" s="184"/>
      <c r="AP127" s="184"/>
      <c r="AQ127" s="184"/>
      <c r="AR127" s="157"/>
      <c r="AS127" s="76"/>
      <c r="AT127" s="76"/>
    </row>
    <row r="128" spans="1:46" ht="11.25" customHeight="1" x14ac:dyDescent="0.2">
      <c r="A128" s="142"/>
      <c r="B128" s="1680"/>
      <c r="C128" s="1680"/>
      <c r="D128" s="1680"/>
      <c r="E128" s="1680"/>
      <c r="F128" s="1680"/>
      <c r="G128" s="1680"/>
      <c r="H128" s="1680"/>
      <c r="I128" s="1680"/>
      <c r="J128" s="12"/>
      <c r="K128" s="9"/>
      <c r="L128" s="9"/>
      <c r="M128" s="9"/>
      <c r="N128" s="9"/>
      <c r="O128" s="9"/>
      <c r="P128" s="9"/>
      <c r="Q128" s="9"/>
      <c r="R128" s="9"/>
      <c r="S128" s="9"/>
      <c r="T128" s="9"/>
      <c r="U128" s="9"/>
      <c r="V128" s="9"/>
      <c r="W128" s="137"/>
      <c r="X128" s="150"/>
      <c r="AJ128" s="81"/>
      <c r="AK128" s="161"/>
      <c r="AL128" s="82"/>
      <c r="AM128" s="81"/>
      <c r="AN128" s="81"/>
      <c r="AO128" s="184"/>
      <c r="AP128" s="184"/>
      <c r="AQ128" s="184"/>
      <c r="AR128" s="157"/>
    </row>
    <row r="129" spans="1:44" ht="11.25" customHeight="1" x14ac:dyDescent="0.2">
      <c r="A129" s="142"/>
      <c r="B129" s="1680" t="s">
        <v>18</v>
      </c>
      <c r="C129" s="1680"/>
      <c r="D129" s="1680"/>
      <c r="E129" s="1680"/>
      <c r="F129" s="1680"/>
      <c r="G129" s="1680"/>
      <c r="H129" s="1680"/>
      <c r="I129" s="1680"/>
      <c r="J129" s="12"/>
      <c r="K129" s="9"/>
      <c r="L129" s="9"/>
      <c r="M129" s="9"/>
      <c r="N129" s="9"/>
      <c r="O129" s="9"/>
      <c r="P129" s="9"/>
      <c r="Q129" s="9"/>
      <c r="R129" s="9"/>
      <c r="S129" s="9"/>
      <c r="T129" s="9"/>
      <c r="U129" s="9"/>
      <c r="V129" s="9"/>
      <c r="W129" s="137"/>
      <c r="X129" s="150"/>
      <c r="AJ129" s="81"/>
      <c r="AK129" s="161"/>
      <c r="AL129" s="82"/>
      <c r="AM129" s="81"/>
      <c r="AN129" s="81"/>
      <c r="AO129" s="184"/>
      <c r="AP129" s="184"/>
      <c r="AQ129" s="184"/>
      <c r="AR129" s="157"/>
    </row>
    <row r="130" spans="1:44" ht="11.25" customHeight="1" x14ac:dyDescent="0.2">
      <c r="A130" s="142"/>
      <c r="B130" s="1680"/>
      <c r="C130" s="1680"/>
      <c r="D130" s="1680"/>
      <c r="E130" s="1680"/>
      <c r="F130" s="1680"/>
      <c r="G130" s="1680"/>
      <c r="H130" s="1680"/>
      <c r="I130" s="1680"/>
      <c r="J130" s="12"/>
      <c r="K130" s="9"/>
      <c r="L130" s="9"/>
      <c r="M130" s="9"/>
      <c r="N130" s="9"/>
      <c r="O130" s="9"/>
      <c r="P130" s="9"/>
      <c r="Q130" s="9"/>
      <c r="R130" s="9"/>
      <c r="S130" s="9"/>
      <c r="T130" s="9"/>
      <c r="U130" s="9"/>
      <c r="V130" s="9"/>
      <c r="W130" s="137"/>
      <c r="X130" s="150"/>
      <c r="AJ130" s="81"/>
      <c r="AK130" s="161"/>
      <c r="AL130" s="82"/>
      <c r="AM130" s="81"/>
      <c r="AN130" s="81"/>
      <c r="AO130" s="184"/>
      <c r="AP130" s="184"/>
      <c r="AQ130" s="184"/>
      <c r="AR130" s="157"/>
    </row>
    <row r="131" spans="1:44" ht="11.25" customHeight="1" x14ac:dyDescent="0.2">
      <c r="A131" s="142"/>
      <c r="B131" s="1680" t="s">
        <v>19</v>
      </c>
      <c r="C131" s="1680"/>
      <c r="D131" s="1680"/>
      <c r="E131" s="1680"/>
      <c r="F131" s="1680"/>
      <c r="G131" s="1680"/>
      <c r="H131" s="1680"/>
      <c r="I131" s="1680"/>
      <c r="J131" s="12"/>
      <c r="K131" s="9"/>
      <c r="L131" s="9"/>
      <c r="M131" s="9"/>
      <c r="N131" s="9"/>
      <c r="O131" s="9"/>
      <c r="P131" s="9"/>
      <c r="Q131" s="9"/>
      <c r="R131" s="9"/>
      <c r="S131" s="9"/>
      <c r="T131" s="9"/>
      <c r="U131" s="9"/>
      <c r="V131" s="9"/>
      <c r="W131" s="137"/>
      <c r="X131" s="150"/>
      <c r="AJ131" s="81"/>
      <c r="AK131" s="161"/>
      <c r="AL131" s="82"/>
      <c r="AM131" s="81"/>
      <c r="AN131" s="81"/>
      <c r="AO131" s="184"/>
      <c r="AP131" s="184"/>
      <c r="AQ131" s="184"/>
      <c r="AR131" s="157"/>
    </row>
    <row r="132" spans="1:44" ht="11.25" customHeight="1" x14ac:dyDescent="0.2">
      <c r="A132" s="142"/>
      <c r="B132" s="1680"/>
      <c r="C132" s="1680"/>
      <c r="D132" s="1680"/>
      <c r="E132" s="1680"/>
      <c r="F132" s="1680"/>
      <c r="G132" s="1680"/>
      <c r="H132" s="1680"/>
      <c r="I132" s="1680"/>
      <c r="J132" s="12"/>
      <c r="K132" s="9"/>
      <c r="L132" s="9"/>
      <c r="M132" s="9"/>
      <c r="N132" s="9"/>
      <c r="O132" s="9"/>
      <c r="P132" s="9"/>
      <c r="Q132" s="9"/>
      <c r="R132" s="9"/>
      <c r="S132" s="9"/>
      <c r="T132" s="9"/>
      <c r="U132" s="9"/>
      <c r="V132" s="9"/>
      <c r="W132" s="137"/>
      <c r="X132" s="150"/>
      <c r="AJ132" s="81"/>
      <c r="AK132" s="161"/>
      <c r="AL132" s="82"/>
      <c r="AM132" s="81"/>
      <c r="AN132" s="81"/>
      <c r="AO132" s="184"/>
      <c r="AP132" s="184"/>
      <c r="AQ132" s="184"/>
      <c r="AR132" s="157"/>
    </row>
    <row r="133" spans="1:44" ht="11.25" customHeight="1" x14ac:dyDescent="0.2">
      <c r="A133" s="142"/>
      <c r="B133" s="1680" t="s">
        <v>20</v>
      </c>
      <c r="C133" s="1680"/>
      <c r="D133" s="1680"/>
      <c r="E133" s="1680"/>
      <c r="F133" s="1680"/>
      <c r="G133" s="1680"/>
      <c r="H133" s="1680"/>
      <c r="I133" s="1680"/>
      <c r="J133" s="12"/>
      <c r="K133" s="9"/>
      <c r="L133" s="9"/>
      <c r="M133" s="9"/>
      <c r="N133" s="9"/>
      <c r="O133" s="9"/>
      <c r="P133" s="9"/>
      <c r="Q133" s="9"/>
      <c r="R133" s="9"/>
      <c r="S133" s="9"/>
      <c r="T133" s="9"/>
      <c r="U133" s="9"/>
      <c r="V133" s="9"/>
      <c r="W133" s="137"/>
      <c r="X133" s="150"/>
      <c r="AJ133" s="81"/>
      <c r="AK133" s="161"/>
      <c r="AL133" s="82"/>
      <c r="AM133" s="81"/>
      <c r="AN133" s="81"/>
      <c r="AO133" s="184"/>
      <c r="AP133" s="184"/>
      <c r="AQ133" s="184"/>
      <c r="AR133" s="157"/>
    </row>
    <row r="134" spans="1:44" ht="11.25" customHeight="1" x14ac:dyDescent="0.2">
      <c r="A134" s="142"/>
      <c r="B134" s="1680"/>
      <c r="C134" s="1680"/>
      <c r="D134" s="1680"/>
      <c r="E134" s="1680"/>
      <c r="F134" s="1680"/>
      <c r="G134" s="1680"/>
      <c r="H134" s="1680"/>
      <c r="I134" s="1680"/>
      <c r="J134" s="12"/>
      <c r="K134" s="9"/>
      <c r="L134" s="9"/>
      <c r="M134" s="9"/>
      <c r="N134" s="9"/>
      <c r="O134" s="9"/>
      <c r="P134" s="9"/>
      <c r="Q134" s="9"/>
      <c r="R134" s="9"/>
      <c r="S134" s="9"/>
      <c r="T134" s="9"/>
      <c r="U134" s="9"/>
      <c r="V134" s="9"/>
      <c r="W134" s="137"/>
      <c r="X134" s="150"/>
      <c r="AJ134" s="81"/>
      <c r="AK134" s="161"/>
      <c r="AL134" s="82"/>
      <c r="AM134" s="81"/>
      <c r="AN134" s="81"/>
      <c r="AO134" s="184"/>
      <c r="AP134" s="184"/>
      <c r="AQ134" s="184"/>
      <c r="AR134" s="157"/>
    </row>
    <row r="135" spans="1:44" ht="11.25" customHeight="1" x14ac:dyDescent="0.2">
      <c r="A135" s="142"/>
      <c r="B135" s="1680" t="s">
        <v>26</v>
      </c>
      <c r="C135" s="1680"/>
      <c r="D135" s="1680"/>
      <c r="E135" s="1680"/>
      <c r="F135" s="1680"/>
      <c r="G135" s="1680"/>
      <c r="H135" s="1680"/>
      <c r="I135" s="1680"/>
      <c r="J135" s="12"/>
      <c r="K135" s="9"/>
      <c r="L135" s="9"/>
      <c r="M135" s="9"/>
      <c r="N135" s="9"/>
      <c r="O135" s="9"/>
      <c r="P135" s="9"/>
      <c r="Q135" s="9"/>
      <c r="R135" s="9"/>
      <c r="S135" s="9"/>
      <c r="T135" s="9"/>
      <c r="U135" s="9"/>
      <c r="V135" s="9"/>
      <c r="W135" s="137"/>
      <c r="X135" s="150"/>
      <c r="AJ135" s="81"/>
      <c r="AK135" s="161"/>
      <c r="AL135" s="82"/>
      <c r="AM135" s="81"/>
      <c r="AN135" s="81"/>
      <c r="AO135" s="184"/>
      <c r="AP135" s="184"/>
      <c r="AQ135" s="184"/>
      <c r="AR135" s="157"/>
    </row>
    <row r="136" spans="1:44" ht="11.25" customHeight="1" x14ac:dyDescent="0.2">
      <c r="A136" s="142"/>
      <c r="B136" s="1680"/>
      <c r="C136" s="1680"/>
      <c r="D136" s="1680"/>
      <c r="E136" s="1680"/>
      <c r="F136" s="1680"/>
      <c r="G136" s="1680"/>
      <c r="H136" s="1680"/>
      <c r="I136" s="1680"/>
      <c r="J136" s="12"/>
      <c r="K136" s="9"/>
      <c r="L136" s="9"/>
      <c r="M136" s="9"/>
      <c r="N136" s="9"/>
      <c r="O136" s="9"/>
      <c r="P136" s="9"/>
      <c r="Q136" s="9"/>
      <c r="R136" s="9"/>
      <c r="S136" s="9"/>
      <c r="T136" s="9"/>
      <c r="U136" s="9"/>
      <c r="V136" s="9"/>
      <c r="W136" s="137"/>
      <c r="X136" s="150"/>
      <c r="AJ136" s="81"/>
      <c r="AK136" s="161"/>
      <c r="AL136" s="82"/>
      <c r="AM136" s="81"/>
      <c r="AN136" s="81"/>
      <c r="AO136" s="184"/>
      <c r="AP136" s="184"/>
      <c r="AQ136" s="184"/>
      <c r="AR136" s="157"/>
    </row>
    <row r="137" spans="1:44" ht="11.25" customHeight="1" x14ac:dyDescent="0.2">
      <c r="A137" s="142"/>
      <c r="B137" s="1680" t="s">
        <v>21</v>
      </c>
      <c r="C137" s="1680"/>
      <c r="D137" s="1680"/>
      <c r="E137" s="1680"/>
      <c r="F137" s="1680"/>
      <c r="G137" s="1680"/>
      <c r="H137" s="1680"/>
      <c r="I137" s="1680"/>
      <c r="J137" s="12"/>
      <c r="K137" s="9"/>
      <c r="L137" s="9"/>
      <c r="M137" s="9"/>
      <c r="N137" s="9"/>
      <c r="O137" s="9"/>
      <c r="P137" s="9"/>
      <c r="Q137" s="9"/>
      <c r="R137" s="9"/>
      <c r="S137" s="9"/>
      <c r="T137" s="9"/>
      <c r="U137" s="9"/>
      <c r="V137" s="9"/>
      <c r="W137" s="137"/>
      <c r="X137" s="150"/>
      <c r="AJ137" s="81"/>
      <c r="AK137" s="161"/>
      <c r="AL137" s="82"/>
      <c r="AM137" s="81"/>
      <c r="AN137" s="81"/>
      <c r="AO137" s="184"/>
      <c r="AP137" s="184"/>
      <c r="AQ137" s="184"/>
      <c r="AR137" s="157"/>
    </row>
    <row r="138" spans="1:44" ht="11.25" customHeight="1" x14ac:dyDescent="0.2">
      <c r="A138" s="142"/>
      <c r="B138" s="1680"/>
      <c r="C138" s="1680"/>
      <c r="D138" s="1680"/>
      <c r="E138" s="1680"/>
      <c r="F138" s="1680"/>
      <c r="G138" s="1680"/>
      <c r="H138" s="1680"/>
      <c r="I138" s="1680"/>
      <c r="J138" s="12"/>
      <c r="K138" s="9"/>
      <c r="L138" s="9"/>
      <c r="M138" s="9"/>
      <c r="N138" s="9"/>
      <c r="O138" s="9"/>
      <c r="P138" s="9"/>
      <c r="Q138" s="9"/>
      <c r="R138" s="9"/>
      <c r="S138" s="9"/>
      <c r="T138" s="9"/>
      <c r="U138" s="9"/>
      <c r="V138" s="9"/>
      <c r="W138" s="137"/>
      <c r="X138" s="150"/>
      <c r="AJ138" s="81"/>
      <c r="AK138" s="161"/>
      <c r="AL138" s="82"/>
      <c r="AM138" s="81"/>
      <c r="AN138" s="81"/>
      <c r="AO138" s="184"/>
      <c r="AP138" s="184"/>
      <c r="AQ138" s="184"/>
      <c r="AR138" s="157"/>
    </row>
    <row r="139" spans="1:44" ht="11.25" customHeight="1" x14ac:dyDescent="0.2">
      <c r="A139" s="142"/>
      <c r="B139" s="1680" t="s">
        <v>905</v>
      </c>
      <c r="C139" s="1680"/>
      <c r="D139" s="1680"/>
      <c r="E139" s="1680"/>
      <c r="F139" s="1680"/>
      <c r="G139" s="1680"/>
      <c r="H139" s="1680"/>
      <c r="I139" s="1680"/>
      <c r="J139" s="12"/>
      <c r="K139" s="9"/>
      <c r="L139" s="9"/>
      <c r="M139" s="9"/>
      <c r="N139" s="9"/>
      <c r="O139" s="9"/>
      <c r="P139" s="9"/>
      <c r="Q139" s="9"/>
      <c r="R139" s="9"/>
      <c r="S139" s="9"/>
      <c r="T139" s="9"/>
      <c r="U139" s="9"/>
      <c r="V139" s="9"/>
      <c r="W139" s="137"/>
      <c r="X139" s="150"/>
      <c r="AJ139" s="81"/>
      <c r="AK139" s="161"/>
      <c r="AL139" s="82"/>
      <c r="AM139" s="81"/>
      <c r="AN139" s="81"/>
      <c r="AO139" s="184"/>
      <c r="AP139" s="184"/>
      <c r="AQ139" s="184"/>
      <c r="AR139" s="157"/>
    </row>
    <row r="140" spans="1:44" ht="11.25" customHeight="1" x14ac:dyDescent="0.2">
      <c r="A140" s="142"/>
      <c r="B140" s="1680"/>
      <c r="C140" s="1680"/>
      <c r="D140" s="1680"/>
      <c r="E140" s="1680"/>
      <c r="F140" s="1680"/>
      <c r="G140" s="1680"/>
      <c r="H140" s="1680"/>
      <c r="I140" s="1680"/>
      <c r="J140" s="12"/>
      <c r="K140" s="9"/>
      <c r="L140" s="9"/>
      <c r="M140" s="9"/>
      <c r="N140" s="9"/>
      <c r="O140" s="9"/>
      <c r="P140" s="9"/>
      <c r="Q140" s="9"/>
      <c r="R140" s="9"/>
      <c r="S140" s="9"/>
      <c r="T140" s="9"/>
      <c r="U140" s="9"/>
      <c r="V140" s="9"/>
      <c r="W140" s="137"/>
      <c r="X140" s="150"/>
      <c r="AJ140" s="81"/>
      <c r="AK140" s="161"/>
      <c r="AL140" s="82"/>
      <c r="AM140" s="81"/>
      <c r="AN140" s="81"/>
      <c r="AO140" s="184"/>
      <c r="AP140" s="184"/>
      <c r="AQ140" s="184"/>
      <c r="AR140" s="157"/>
    </row>
    <row r="141" spans="1:44" ht="11.25" customHeight="1" x14ac:dyDescent="0.2">
      <c r="A141" s="142"/>
      <c r="B141" s="1680" t="s">
        <v>32</v>
      </c>
      <c r="C141" s="1680"/>
      <c r="D141" s="1680"/>
      <c r="E141" s="1680"/>
      <c r="F141" s="1680"/>
      <c r="G141" s="1680"/>
      <c r="H141" s="1680"/>
      <c r="I141" s="1680"/>
      <c r="J141" s="12"/>
      <c r="K141" s="9"/>
      <c r="L141" s="9"/>
      <c r="M141" s="9"/>
      <c r="N141" s="9"/>
      <c r="O141" s="9"/>
      <c r="P141" s="9"/>
      <c r="Q141" s="9"/>
      <c r="R141" s="9"/>
      <c r="S141" s="9"/>
      <c r="T141" s="9"/>
      <c r="U141" s="9"/>
      <c r="V141" s="9"/>
      <c r="W141" s="137"/>
      <c r="X141" s="150"/>
      <c r="AJ141" s="81"/>
      <c r="AK141" s="161"/>
      <c r="AL141" s="82"/>
      <c r="AM141" s="81"/>
      <c r="AN141" s="81"/>
      <c r="AO141" s="184"/>
      <c r="AP141" s="184"/>
      <c r="AQ141" s="184"/>
      <c r="AR141" s="157"/>
    </row>
    <row r="142" spans="1:44" ht="11.25" customHeight="1" x14ac:dyDescent="0.2">
      <c r="A142" s="142"/>
      <c r="B142" s="1680"/>
      <c r="C142" s="1680"/>
      <c r="D142" s="1680"/>
      <c r="E142" s="1680"/>
      <c r="F142" s="1680"/>
      <c r="G142" s="1680"/>
      <c r="H142" s="1680"/>
      <c r="I142" s="1680"/>
      <c r="J142" s="12"/>
      <c r="K142" s="9"/>
      <c r="L142" s="9"/>
      <c r="M142" s="9"/>
      <c r="N142" s="9"/>
      <c r="O142" s="9"/>
      <c r="P142" s="9"/>
      <c r="Q142" s="9"/>
      <c r="R142" s="9"/>
      <c r="S142" s="9"/>
      <c r="T142" s="9"/>
      <c r="U142" s="9"/>
      <c r="V142" s="9"/>
      <c r="W142" s="137"/>
      <c r="X142" s="150"/>
      <c r="AJ142" s="81"/>
      <c r="AK142" s="161"/>
      <c r="AL142" s="82"/>
      <c r="AM142" s="81"/>
      <c r="AN142" s="81"/>
      <c r="AO142" s="184"/>
      <c r="AP142" s="184"/>
      <c r="AQ142" s="184"/>
      <c r="AR142" s="157"/>
    </row>
    <row r="143" spans="1:44" ht="11.25" customHeight="1" x14ac:dyDescent="0.2">
      <c r="A143" s="142"/>
      <c r="B143" s="1680" t="s">
        <v>666</v>
      </c>
      <c r="C143" s="1680"/>
      <c r="D143" s="1680"/>
      <c r="E143" s="1680"/>
      <c r="F143" s="1680"/>
      <c r="G143" s="1680"/>
      <c r="H143" s="1680"/>
      <c r="I143" s="1680"/>
      <c r="J143" s="12"/>
      <c r="K143" s="9"/>
      <c r="L143" s="9"/>
      <c r="M143" s="9"/>
      <c r="N143" s="9"/>
      <c r="O143" s="9"/>
      <c r="P143" s="9"/>
      <c r="Q143" s="9"/>
      <c r="R143" s="9"/>
      <c r="S143" s="9"/>
      <c r="T143" s="9"/>
      <c r="U143" s="9"/>
      <c r="V143" s="9"/>
      <c r="W143" s="137"/>
      <c r="X143" s="150"/>
      <c r="AJ143" s="81"/>
      <c r="AK143" s="161"/>
      <c r="AL143" s="82"/>
      <c r="AM143" s="81"/>
      <c r="AN143" s="81"/>
      <c r="AO143" s="184"/>
      <c r="AP143" s="184"/>
      <c r="AQ143" s="184"/>
      <c r="AR143" s="157"/>
    </row>
    <row r="144" spans="1:44" ht="11.25" customHeight="1" x14ac:dyDescent="0.2">
      <c r="A144" s="142"/>
      <c r="B144" s="1680"/>
      <c r="C144" s="1680"/>
      <c r="D144" s="1680"/>
      <c r="E144" s="1680"/>
      <c r="F144" s="1680"/>
      <c r="G144" s="1680"/>
      <c r="H144" s="1680"/>
      <c r="I144" s="1680"/>
      <c r="J144" s="12"/>
      <c r="K144" s="9"/>
      <c r="L144" s="9"/>
      <c r="M144" s="9"/>
      <c r="N144" s="9"/>
      <c r="O144" s="9"/>
      <c r="P144" s="9"/>
      <c r="Q144" s="9"/>
      <c r="R144" s="9"/>
      <c r="S144" s="9"/>
      <c r="T144" s="9"/>
      <c r="U144" s="9"/>
      <c r="V144" s="9"/>
      <c r="W144" s="137"/>
      <c r="X144" s="150"/>
      <c r="AJ144" s="81"/>
      <c r="AK144" s="161"/>
      <c r="AL144" s="82"/>
      <c r="AM144" s="81"/>
      <c r="AN144" s="81"/>
      <c r="AO144" s="184"/>
      <c r="AP144" s="184"/>
      <c r="AQ144" s="184"/>
      <c r="AR144" s="157"/>
    </row>
    <row r="145" spans="1:58" ht="11.25" customHeight="1" x14ac:dyDescent="0.2">
      <c r="A145" s="142"/>
      <c r="B145" s="1680" t="s">
        <v>906</v>
      </c>
      <c r="C145" s="1680"/>
      <c r="D145" s="1680"/>
      <c r="E145" s="1680"/>
      <c r="F145" s="1680"/>
      <c r="G145" s="1680"/>
      <c r="H145" s="1680"/>
      <c r="I145" s="1680"/>
      <c r="J145" s="12"/>
      <c r="K145" s="9"/>
      <c r="L145" s="9"/>
      <c r="M145" s="9"/>
      <c r="N145" s="9"/>
      <c r="O145" s="9"/>
      <c r="P145" s="9"/>
      <c r="Q145" s="9"/>
      <c r="R145" s="9"/>
      <c r="S145" s="9"/>
      <c r="T145" s="9"/>
      <c r="U145" s="9"/>
      <c r="V145" s="9"/>
      <c r="W145" s="137"/>
      <c r="X145" s="150"/>
      <c r="AJ145" s="81"/>
      <c r="AK145" s="161"/>
      <c r="AL145" s="82"/>
      <c r="AM145" s="81"/>
      <c r="AN145" s="81"/>
      <c r="AO145" s="184"/>
      <c r="AP145" s="184"/>
      <c r="AQ145" s="184"/>
      <c r="AR145" s="157"/>
    </row>
    <row r="146" spans="1:58" ht="11.25" customHeight="1" x14ac:dyDescent="0.2">
      <c r="A146" s="142"/>
      <c r="B146" s="1680"/>
      <c r="C146" s="1680"/>
      <c r="D146" s="1680"/>
      <c r="E146" s="1680"/>
      <c r="F146" s="1680"/>
      <c r="G146" s="1680"/>
      <c r="H146" s="1680"/>
      <c r="I146" s="1680"/>
      <c r="J146" s="12"/>
      <c r="K146" s="9"/>
      <c r="L146" s="9"/>
      <c r="M146" s="9"/>
      <c r="N146" s="9"/>
      <c r="O146" s="9"/>
      <c r="P146" s="9"/>
      <c r="Q146" s="9"/>
      <c r="R146" s="9"/>
      <c r="S146" s="9"/>
      <c r="T146" s="9"/>
      <c r="U146" s="9"/>
      <c r="V146" s="9"/>
      <c r="W146" s="137"/>
      <c r="X146" s="150"/>
      <c r="AJ146" s="81"/>
      <c r="AK146" s="161"/>
      <c r="AL146" s="82"/>
      <c r="AM146" s="81"/>
      <c r="AN146" s="81"/>
      <c r="AO146" s="184"/>
      <c r="AP146" s="184"/>
      <c r="AQ146" s="184"/>
      <c r="AR146" s="157"/>
    </row>
    <row r="147" spans="1:58" ht="11.25" customHeight="1" x14ac:dyDescent="0.2">
      <c r="A147" s="142"/>
      <c r="B147" s="1680" t="s">
        <v>672</v>
      </c>
      <c r="C147" s="1680"/>
      <c r="D147" s="1680"/>
      <c r="E147" s="1680"/>
      <c r="F147" s="1680"/>
      <c r="G147" s="1680"/>
      <c r="H147" s="1680"/>
      <c r="I147" s="1680"/>
      <c r="J147" s="12"/>
      <c r="K147" s="9"/>
      <c r="L147" s="9"/>
      <c r="M147" s="9"/>
      <c r="N147" s="9"/>
      <c r="O147" s="9"/>
      <c r="P147" s="9"/>
      <c r="Q147" s="9"/>
      <c r="R147" s="9"/>
      <c r="S147" s="9"/>
      <c r="T147" s="9"/>
      <c r="U147" s="9"/>
      <c r="V147" s="9"/>
      <c r="W147" s="137"/>
      <c r="X147" s="150"/>
      <c r="AJ147" s="81"/>
      <c r="AK147" s="161"/>
      <c r="AL147" s="82"/>
      <c r="AM147" s="81"/>
      <c r="AN147" s="81"/>
      <c r="AO147" s="184"/>
      <c r="AP147" s="184"/>
      <c r="AQ147" s="184"/>
      <c r="AR147" s="157"/>
    </row>
    <row r="148" spans="1:58" s="80" customFormat="1" ht="11.25" customHeight="1" x14ac:dyDescent="0.2">
      <c r="A148" s="142"/>
      <c r="B148" s="1680"/>
      <c r="C148" s="1680"/>
      <c r="D148" s="1680"/>
      <c r="E148" s="1680"/>
      <c r="F148" s="1680"/>
      <c r="G148" s="1680"/>
      <c r="H148" s="1680"/>
      <c r="I148" s="1680"/>
      <c r="J148" s="12"/>
      <c r="K148" s="9"/>
      <c r="L148" s="9"/>
      <c r="M148" s="9"/>
      <c r="N148" s="9"/>
      <c r="O148" s="9"/>
      <c r="P148" s="9"/>
      <c r="Q148" s="9"/>
      <c r="R148" s="9"/>
      <c r="S148" s="9"/>
      <c r="T148" s="9"/>
      <c r="U148" s="9"/>
      <c r="V148" s="9"/>
      <c r="W148" s="137"/>
      <c r="X148" s="150"/>
      <c r="Y148" s="81"/>
      <c r="Z148" s="81"/>
      <c r="AA148" s="81"/>
      <c r="AB148" s="81"/>
      <c r="AC148" s="81"/>
      <c r="AD148" s="81"/>
      <c r="AE148" s="81"/>
      <c r="AF148" s="81"/>
      <c r="AG148" s="81"/>
      <c r="AH148" s="81"/>
      <c r="AI148" s="81"/>
      <c r="AJ148" s="81"/>
      <c r="AK148" s="161"/>
      <c r="AL148" s="82"/>
      <c r="AM148" s="81"/>
      <c r="AN148" s="81"/>
      <c r="AO148" s="184"/>
      <c r="AP148" s="184"/>
      <c r="AQ148" s="184"/>
      <c r="AR148" s="157"/>
      <c r="AS148" s="74"/>
      <c r="AT148" s="74"/>
      <c r="AU148" s="74"/>
      <c r="AV148" s="74"/>
      <c r="AW148" s="74"/>
      <c r="AX148" s="74"/>
      <c r="AY148" s="74"/>
      <c r="AZ148" s="74"/>
      <c r="BA148" s="74"/>
      <c r="BB148" s="74"/>
      <c r="BC148" s="74"/>
      <c r="BD148" s="74"/>
      <c r="BE148" s="74"/>
      <c r="BF148" s="74"/>
    </row>
    <row r="149" spans="1:58" ht="11.25" customHeight="1" x14ac:dyDescent="0.2">
      <c r="A149" s="1273"/>
      <c r="B149" s="1274"/>
      <c r="C149" s="1275"/>
      <c r="D149" s="1275"/>
      <c r="E149" s="1275"/>
      <c r="F149" s="1275"/>
      <c r="G149" s="1275"/>
      <c r="H149" s="1275"/>
      <c r="I149" s="1275"/>
      <c r="J149" s="1276"/>
      <c r="K149" s="201"/>
      <c r="L149" s="201"/>
      <c r="M149" s="201"/>
      <c r="N149" s="201"/>
      <c r="O149" s="201"/>
      <c r="P149" s="201"/>
      <c r="Q149" s="201"/>
      <c r="R149" s="201"/>
      <c r="S149" s="201"/>
      <c r="T149" s="201"/>
      <c r="U149" s="201"/>
      <c r="V149" s="201"/>
      <c r="W149" s="1277"/>
      <c r="X149" s="1271"/>
      <c r="Y149" s="200"/>
      <c r="Z149" s="200"/>
      <c r="AA149" s="200"/>
      <c r="AB149" s="200"/>
      <c r="AC149" s="200"/>
      <c r="AD149" s="200"/>
      <c r="AE149" s="200"/>
      <c r="AF149" s="200"/>
      <c r="AG149" s="200"/>
      <c r="AH149" s="200"/>
      <c r="AI149" s="200"/>
      <c r="AJ149" s="200"/>
      <c r="AK149" s="1614"/>
      <c r="AL149" s="1278"/>
      <c r="AM149" s="200"/>
      <c r="AN149" s="200"/>
      <c r="AO149" s="201"/>
      <c r="AP149" s="201"/>
      <c r="AQ149" s="201"/>
      <c r="AR149" s="251"/>
    </row>
    <row r="150" spans="1:58" ht="11.25" customHeight="1" x14ac:dyDescent="0.2">
      <c r="AJ150" s="81"/>
      <c r="AK150" s="81"/>
      <c r="AL150" s="81"/>
      <c r="AM150" s="81"/>
      <c r="AN150" s="81"/>
      <c r="AO150" s="81"/>
      <c r="AR150" s="184"/>
    </row>
    <row r="151" spans="1:58" ht="11.25" customHeight="1" x14ac:dyDescent="0.2">
      <c r="AJ151" s="81"/>
      <c r="AK151" s="81"/>
      <c r="AL151" s="81"/>
      <c r="AM151" s="81"/>
      <c r="AN151" s="81"/>
      <c r="AO151" s="81"/>
      <c r="AR151" s="184"/>
    </row>
    <row r="152" spans="1:58" ht="11.25" customHeight="1" x14ac:dyDescent="0.2">
      <c r="AJ152" s="81"/>
      <c r="AK152" s="81"/>
      <c r="AL152" s="81"/>
      <c r="AM152" s="81"/>
      <c r="AN152" s="81"/>
      <c r="AO152" s="81"/>
      <c r="AR152" s="184"/>
    </row>
    <row r="153" spans="1:58" ht="11.25" customHeight="1" x14ac:dyDescent="0.2">
      <c r="AJ153" s="81"/>
      <c r="AK153" s="81"/>
      <c r="AL153" s="81"/>
      <c r="AM153" s="81"/>
      <c r="AN153" s="81"/>
      <c r="AO153" s="81"/>
      <c r="AR153" s="184"/>
    </row>
    <row r="154" spans="1:58" ht="11.25" customHeight="1" x14ac:dyDescent="0.2">
      <c r="AJ154" s="81"/>
      <c r="AK154" s="81"/>
      <c r="AL154" s="81"/>
      <c r="AM154" s="81"/>
      <c r="AN154" s="81"/>
      <c r="AO154" s="81"/>
      <c r="AR154" s="184"/>
    </row>
    <row r="155" spans="1:58" ht="11.25" customHeight="1" x14ac:dyDescent="0.2">
      <c r="AJ155" s="81"/>
      <c r="AK155" s="81"/>
      <c r="AL155" s="81"/>
      <c r="AM155" s="81"/>
      <c r="AN155" s="81"/>
      <c r="AO155" s="81"/>
      <c r="AR155" s="184"/>
    </row>
    <row r="156" spans="1:58" ht="11.25" customHeight="1" x14ac:dyDescent="0.2">
      <c r="AJ156" s="81"/>
      <c r="AK156" s="81"/>
      <c r="AL156" s="81"/>
      <c r="AM156" s="81"/>
      <c r="AN156" s="81"/>
      <c r="AO156" s="81"/>
      <c r="AR156" s="184"/>
    </row>
    <row r="157" spans="1:58" ht="11.25" customHeight="1" x14ac:dyDescent="0.2">
      <c r="AJ157" s="81"/>
      <c r="AK157" s="81"/>
      <c r="AL157" s="81"/>
      <c r="AM157" s="81"/>
      <c r="AN157" s="81"/>
      <c r="AO157" s="81"/>
      <c r="AR157" s="184"/>
    </row>
    <row r="158" spans="1:58" ht="11.25" customHeight="1" x14ac:dyDescent="0.2">
      <c r="AJ158" s="81"/>
      <c r="AK158" s="81"/>
      <c r="AL158" s="81"/>
      <c r="AM158" s="81"/>
      <c r="AN158" s="81"/>
      <c r="AO158" s="81"/>
      <c r="AR158" s="184"/>
    </row>
    <row r="159" spans="1:58" ht="11.25" customHeight="1" x14ac:dyDescent="0.2">
      <c r="AJ159" s="81"/>
      <c r="AK159" s="81"/>
      <c r="AL159" s="81"/>
      <c r="AM159" s="81"/>
      <c r="AN159" s="81"/>
      <c r="AO159" s="81"/>
      <c r="AR159" s="184"/>
    </row>
    <row r="160" spans="1:58" ht="11.25" customHeight="1" x14ac:dyDescent="0.2">
      <c r="AJ160" s="81"/>
      <c r="AK160" s="81"/>
      <c r="AL160" s="81"/>
      <c r="AM160" s="81"/>
      <c r="AN160" s="81"/>
      <c r="AO160" s="81"/>
      <c r="AR160" s="184"/>
    </row>
    <row r="161" spans="36:44" ht="11.25" customHeight="1" x14ac:dyDescent="0.2">
      <c r="AJ161" s="81"/>
      <c r="AK161" s="81"/>
      <c r="AL161" s="81"/>
      <c r="AM161" s="81"/>
      <c r="AN161" s="81"/>
      <c r="AO161" s="81"/>
      <c r="AR161" s="184"/>
    </row>
    <row r="162" spans="36:44" ht="11.25" customHeight="1" x14ac:dyDescent="0.2">
      <c r="AJ162" s="81"/>
      <c r="AK162" s="81"/>
      <c r="AL162" s="81"/>
      <c r="AM162" s="81"/>
      <c r="AN162" s="81"/>
      <c r="AO162" s="81"/>
      <c r="AR162" s="184"/>
    </row>
    <row r="163" spans="36:44" ht="11.25" customHeight="1" x14ac:dyDescent="0.2">
      <c r="AJ163" s="81"/>
      <c r="AK163" s="81"/>
      <c r="AL163" s="81"/>
      <c r="AM163" s="81"/>
      <c r="AN163" s="81"/>
      <c r="AO163" s="81"/>
      <c r="AR163" s="184"/>
    </row>
    <row r="164" spans="36:44" ht="11.25" customHeight="1" x14ac:dyDescent="0.2">
      <c r="AJ164" s="81"/>
      <c r="AK164" s="81"/>
      <c r="AL164" s="81"/>
      <c r="AM164" s="81"/>
      <c r="AN164" s="81"/>
      <c r="AO164" s="81"/>
      <c r="AR164" s="184"/>
    </row>
    <row r="165" spans="36:44" ht="11.25" customHeight="1" x14ac:dyDescent="0.2">
      <c r="AJ165" s="81"/>
      <c r="AK165" s="81"/>
      <c r="AL165" s="81"/>
      <c r="AM165" s="81"/>
      <c r="AN165" s="81"/>
      <c r="AO165" s="81"/>
      <c r="AR165" s="184"/>
    </row>
    <row r="166" spans="36:44" ht="11.25" customHeight="1" x14ac:dyDescent="0.2">
      <c r="AJ166" s="81"/>
      <c r="AK166" s="81"/>
      <c r="AL166" s="81"/>
      <c r="AM166" s="81"/>
      <c r="AN166" s="81"/>
      <c r="AO166" s="81"/>
      <c r="AR166" s="184"/>
    </row>
    <row r="167" spans="36:44" ht="11.25" customHeight="1" x14ac:dyDescent="0.2">
      <c r="AJ167" s="81"/>
      <c r="AK167" s="81"/>
      <c r="AL167" s="81"/>
      <c r="AM167" s="81"/>
      <c r="AN167" s="81"/>
      <c r="AO167" s="81"/>
      <c r="AR167" s="184"/>
    </row>
    <row r="168" spans="36:44" ht="11.25" customHeight="1" x14ac:dyDescent="0.2">
      <c r="AJ168" s="81"/>
      <c r="AK168" s="81"/>
      <c r="AL168" s="81"/>
      <c r="AM168" s="81"/>
      <c r="AN168" s="81"/>
      <c r="AO168" s="81"/>
      <c r="AR168" s="184"/>
    </row>
    <row r="169" spans="36:44" ht="11.25" customHeight="1" x14ac:dyDescent="0.2">
      <c r="AJ169" s="81"/>
      <c r="AK169" s="81"/>
      <c r="AL169" s="81"/>
      <c r="AM169" s="81"/>
      <c r="AN169" s="81"/>
      <c r="AO169" s="81"/>
      <c r="AR169" s="184"/>
    </row>
    <row r="170" spans="36:44" ht="11.25" customHeight="1" x14ac:dyDescent="0.2">
      <c r="AJ170" s="81"/>
      <c r="AK170" s="81"/>
      <c r="AL170" s="81"/>
      <c r="AM170" s="81"/>
      <c r="AN170" s="81"/>
      <c r="AO170" s="81"/>
      <c r="AR170" s="184"/>
    </row>
    <row r="171" spans="36:44" ht="11.25" customHeight="1" x14ac:dyDescent="0.2">
      <c r="AJ171" s="81"/>
      <c r="AK171" s="81"/>
      <c r="AL171" s="81"/>
      <c r="AM171" s="81"/>
      <c r="AN171" s="81"/>
      <c r="AO171" s="81"/>
      <c r="AR171" s="184"/>
    </row>
    <row r="172" spans="36:44" ht="11.25" customHeight="1" x14ac:dyDescent="0.2">
      <c r="AJ172" s="81"/>
      <c r="AK172" s="81"/>
      <c r="AL172" s="81"/>
      <c r="AM172" s="81"/>
      <c r="AN172" s="81"/>
      <c r="AO172" s="81"/>
      <c r="AR172" s="184"/>
    </row>
    <row r="173" spans="36:44" ht="11.25" customHeight="1" x14ac:dyDescent="0.2">
      <c r="AJ173" s="81"/>
      <c r="AK173" s="81"/>
      <c r="AL173" s="81"/>
      <c r="AM173" s="81"/>
      <c r="AN173" s="81"/>
      <c r="AO173" s="81"/>
      <c r="AR173" s="184"/>
    </row>
    <row r="174" spans="36:44" ht="11.25" customHeight="1" x14ac:dyDescent="0.2">
      <c r="AJ174" s="81"/>
      <c r="AK174" s="81"/>
      <c r="AL174" s="81"/>
      <c r="AM174" s="81"/>
      <c r="AN174" s="81"/>
      <c r="AO174" s="81"/>
      <c r="AR174" s="184"/>
    </row>
    <row r="175" spans="36:44" ht="11.25" customHeight="1" x14ac:dyDescent="0.2">
      <c r="AJ175" s="81"/>
      <c r="AK175" s="81"/>
      <c r="AL175" s="81"/>
      <c r="AM175" s="81"/>
      <c r="AN175" s="81"/>
      <c r="AO175" s="81"/>
      <c r="AR175" s="184"/>
    </row>
    <row r="176" spans="36:44" ht="11.25" customHeight="1" x14ac:dyDescent="0.2">
      <c r="AJ176" s="81"/>
      <c r="AK176" s="81"/>
      <c r="AL176" s="81"/>
      <c r="AM176" s="81"/>
      <c r="AN176" s="81"/>
      <c r="AO176" s="81"/>
      <c r="AR176" s="184"/>
    </row>
    <row r="177" spans="36:44" ht="11.25" customHeight="1" x14ac:dyDescent="0.2">
      <c r="AJ177" s="81"/>
      <c r="AK177" s="81"/>
      <c r="AL177" s="81"/>
      <c r="AM177" s="81"/>
      <c r="AN177" s="81"/>
      <c r="AO177" s="81"/>
      <c r="AR177" s="184"/>
    </row>
    <row r="178" spans="36:44" ht="11.25" customHeight="1" x14ac:dyDescent="0.2">
      <c r="AJ178" s="81"/>
      <c r="AK178" s="81"/>
      <c r="AL178" s="81"/>
      <c r="AM178" s="81"/>
      <c r="AN178" s="81"/>
      <c r="AO178" s="81"/>
      <c r="AR178" s="184"/>
    </row>
    <row r="179" spans="36:44" ht="11.25" customHeight="1" x14ac:dyDescent="0.2">
      <c r="AJ179" s="81"/>
      <c r="AK179" s="81"/>
      <c r="AL179" s="81"/>
      <c r="AM179" s="81"/>
      <c r="AN179" s="81"/>
      <c r="AO179" s="81"/>
      <c r="AR179" s="184"/>
    </row>
    <row r="180" spans="36:44" ht="11.25" customHeight="1" x14ac:dyDescent="0.2">
      <c r="AJ180" s="81"/>
      <c r="AK180" s="81"/>
      <c r="AL180" s="81"/>
      <c r="AM180" s="81"/>
      <c r="AN180" s="81"/>
      <c r="AO180" s="81"/>
      <c r="AR180" s="184"/>
    </row>
    <row r="181" spans="36:44" ht="11.25" customHeight="1" x14ac:dyDescent="0.2">
      <c r="AJ181" s="81"/>
      <c r="AK181" s="81"/>
      <c r="AL181" s="81"/>
      <c r="AM181" s="81"/>
      <c r="AN181" s="81"/>
      <c r="AO181" s="81"/>
      <c r="AR181" s="184"/>
    </row>
    <row r="182" spans="36:44" ht="11.25" customHeight="1" x14ac:dyDescent="0.2">
      <c r="AJ182" s="81"/>
      <c r="AK182" s="81"/>
      <c r="AL182" s="81"/>
      <c r="AM182" s="81"/>
      <c r="AN182" s="81"/>
      <c r="AO182" s="81"/>
      <c r="AR182" s="184"/>
    </row>
    <row r="263" spans="38:38" ht="11.25" customHeight="1" x14ac:dyDescent="0.2">
      <c r="AL263" s="74" t="b">
        <v>1</v>
      </c>
    </row>
  </sheetData>
  <sheetProtection sheet="1" objects="1" scenarios="1"/>
  <mergeCells count="49">
    <mergeCell ref="B145:I146"/>
    <mergeCell ref="B147:I148"/>
    <mergeCell ref="B135:I136"/>
    <mergeCell ref="B137:I138"/>
    <mergeCell ref="B139:I140"/>
    <mergeCell ref="B141:I142"/>
    <mergeCell ref="B143:I144"/>
    <mergeCell ref="AS38:AW38"/>
    <mergeCell ref="AM38:AQ38"/>
    <mergeCell ref="AR38:AR40"/>
    <mergeCell ref="B131:I132"/>
    <mergeCell ref="B133:I134"/>
    <mergeCell ref="R65:U65"/>
    <mergeCell ref="M65:P65"/>
    <mergeCell ref="A106:V106"/>
    <mergeCell ref="AB7:AF7"/>
    <mergeCell ref="AA8:AA9"/>
    <mergeCell ref="Z8:Z9"/>
    <mergeCell ref="Z7:AA7"/>
    <mergeCell ref="A107:V107"/>
    <mergeCell ref="B75:B76"/>
    <mergeCell ref="B73:I74"/>
    <mergeCell ref="B109:I110"/>
    <mergeCell ref="A70:V70"/>
    <mergeCell ref="A71:V71"/>
    <mergeCell ref="R64:U64"/>
    <mergeCell ref="B5:U6"/>
    <mergeCell ref="B7:B9"/>
    <mergeCell ref="D7:H7"/>
    <mergeCell ref="I7:I9"/>
    <mergeCell ref="Q7:Q9"/>
    <mergeCell ref="K7:P7"/>
    <mergeCell ref="S7:U8"/>
    <mergeCell ref="O8:P8"/>
    <mergeCell ref="O9:P9"/>
    <mergeCell ref="M64:P64"/>
    <mergeCell ref="B35:U35"/>
    <mergeCell ref="A37:V37"/>
    <mergeCell ref="A38:V38"/>
    <mergeCell ref="B111:I112"/>
    <mergeCell ref="B113:I114"/>
    <mergeCell ref="B115:I116"/>
    <mergeCell ref="B117:I118"/>
    <mergeCell ref="B119:I120"/>
    <mergeCell ref="B121:I122"/>
    <mergeCell ref="B123:I124"/>
    <mergeCell ref="B125:I126"/>
    <mergeCell ref="B127:I128"/>
    <mergeCell ref="B129:I130"/>
  </mergeCells>
  <conditionalFormatting sqref="AB9:AF9">
    <cfRule type="cellIs" dxfId="155" priority="41" stopIfTrue="1" operator="equal">
      <formula>0</formula>
    </cfRule>
  </conditionalFormatting>
  <conditionalFormatting sqref="B10:B31 K10:O31 B51:C66 D10:I31">
    <cfRule type="containsErrors" dxfId="154" priority="43">
      <formula>ISERROR(B10)</formula>
    </cfRule>
  </conditionalFormatting>
  <conditionalFormatting sqref="B77:B98 D77:H98">
    <cfRule type="expression" dxfId="153" priority="39">
      <formula>$B77=$Z$4</formula>
    </cfRule>
    <cfRule type="containsErrors" dxfId="152" priority="40">
      <formula>ISERROR(B77)</formula>
    </cfRule>
  </conditionalFormatting>
  <conditionalFormatting sqref="B10:B31 K10:O31 S10:U31 D10:I31 P10:Q32 B51:C66 P33">
    <cfRule type="expression" dxfId="151" priority="42">
      <formula>$B10=$Z$4</formula>
    </cfRule>
  </conditionalFormatting>
  <conditionalFormatting sqref="S10:U31">
    <cfRule type="containsErrors" dxfId="150" priority="38">
      <formula>ISERROR(S10)</formula>
    </cfRule>
  </conditionalFormatting>
  <conditionalFormatting sqref="A10:A31">
    <cfRule type="cellIs" dxfId="149" priority="37" operator="equal">
      <formula>0</formula>
    </cfRule>
  </conditionalFormatting>
  <conditionalFormatting sqref="A77:A98">
    <cfRule type="cellIs" dxfId="148" priority="36" operator="equal">
      <formula>0</formula>
    </cfRule>
  </conditionalFormatting>
  <conditionalFormatting sqref="A1:A37 A39:A70 A72:A106 A183:A1048576">
    <cfRule type="containsErrors" dxfId="147" priority="35">
      <formula>ISERROR(A1)</formula>
    </cfRule>
  </conditionalFormatting>
  <conditionalFormatting sqref="AH10:AI28">
    <cfRule type="containsErrors" dxfId="146" priority="34">
      <formula>ISERROR(AH10)</formula>
    </cfRule>
  </conditionalFormatting>
  <conditionalFormatting sqref="AH10:AI21 AI11:AI28">
    <cfRule type="expression" dxfId="145" priority="33">
      <formula>$B10=$X$4</formula>
    </cfRule>
  </conditionalFormatting>
  <conditionalFormatting sqref="D100:H100">
    <cfRule type="containsErrors" dxfId="144" priority="32">
      <formula>ISERROR(D100)</formula>
    </cfRule>
  </conditionalFormatting>
  <conditionalFormatting sqref="A38">
    <cfRule type="cellIs" dxfId="143" priority="27" operator="equal">
      <formula>0</formula>
    </cfRule>
    <cfRule type="containsErrors" dxfId="142" priority="28">
      <formula>ISERROR(A38)</formula>
    </cfRule>
  </conditionalFormatting>
  <conditionalFormatting sqref="A71">
    <cfRule type="cellIs" dxfId="141" priority="25" operator="equal">
      <formula>0</formula>
    </cfRule>
    <cfRule type="containsErrors" dxfId="140" priority="26">
      <formula>ISERROR(A71)</formula>
    </cfRule>
  </conditionalFormatting>
  <conditionalFormatting sqref="A107">
    <cfRule type="cellIs" dxfId="139" priority="23" operator="equal">
      <formula>0</formula>
    </cfRule>
    <cfRule type="containsErrors" dxfId="138" priority="24">
      <formula>ISERROR(A107)</formula>
    </cfRule>
  </conditionalFormatting>
  <conditionalFormatting sqref="D8:H8">
    <cfRule type="containsErrors" dxfId="137" priority="20">
      <formula>ISERROR(D8)</formula>
    </cfRule>
  </conditionalFormatting>
  <conditionalFormatting sqref="D9:H9">
    <cfRule type="containsErrors" dxfId="136" priority="22">
      <formula>ISERROR(D9)</formula>
    </cfRule>
  </conditionalFormatting>
  <conditionalFormatting sqref="K8:O8">
    <cfRule type="containsErrors" dxfId="135" priority="19">
      <formula>ISERROR(K8)</formula>
    </cfRule>
  </conditionalFormatting>
  <conditionalFormatting sqref="K9:O9">
    <cfRule type="containsErrors" dxfId="134" priority="44">
      <formula>ISERROR(K9)</formula>
    </cfRule>
  </conditionalFormatting>
  <conditionalFormatting sqref="P32:P33">
    <cfRule type="containsErrors" dxfId="133" priority="17">
      <formula>ISERROR(P32)</formula>
    </cfRule>
  </conditionalFormatting>
  <conditionalFormatting sqref="P10:P33">
    <cfRule type="containsErrors" dxfId="132" priority="15">
      <formula>ISERROR(P10)</formula>
    </cfRule>
    <cfRule type="dataBar" priority="16">
      <dataBar showValue="0">
        <cfvo type="min"/>
        <cfvo type="max"/>
        <color theme="9"/>
      </dataBar>
      <extLst>
        <ext xmlns:x14="http://schemas.microsoft.com/office/spreadsheetml/2009/9/main" uri="{B025F937-C7B1-47D3-B67F-A62EFF666E3E}">
          <x14:id>{B892946B-3A36-40DB-9675-1F210D6C55E5}</x14:id>
        </ext>
      </extLst>
    </cfRule>
  </conditionalFormatting>
  <conditionalFormatting sqref="Q10:Q31">
    <cfRule type="containsErrors" dxfId="131" priority="14">
      <formula>ISERROR(Q10)</formula>
    </cfRule>
  </conditionalFormatting>
  <conditionalFormatting sqref="D33:O33 Q33:U33">
    <cfRule type="containsErrors" dxfId="130" priority="13">
      <formula>ISERROR(D33)</formula>
    </cfRule>
  </conditionalFormatting>
  <conditionalFormatting sqref="Z3:AD3">
    <cfRule type="containsErrors" dxfId="129" priority="12">
      <formula>ISERROR(Z3)</formula>
    </cfRule>
  </conditionalFormatting>
  <conditionalFormatting sqref="Z2:AD2">
    <cfRule type="containsErrors" dxfId="128" priority="11">
      <formula>ISERROR(Z2)</formula>
    </cfRule>
  </conditionalFormatting>
  <conditionalFormatting sqref="Y2">
    <cfRule type="containsErrors" dxfId="127" priority="9">
      <formula>ISERROR(Y2)</formula>
    </cfRule>
  </conditionalFormatting>
  <conditionalFormatting sqref="Y3">
    <cfRule type="containsErrors" dxfId="126" priority="10">
      <formula>ISERROR(Y3)</formula>
    </cfRule>
  </conditionalFormatting>
  <conditionalFormatting sqref="I10:I31">
    <cfRule type="containsErrors" dxfId="125" priority="8">
      <formula>ISERROR(I10)</formula>
    </cfRule>
  </conditionalFormatting>
  <conditionalFormatting sqref="D75:H75">
    <cfRule type="containsErrors" dxfId="124" priority="6">
      <formula>ISERROR(D75)</formula>
    </cfRule>
  </conditionalFormatting>
  <conditionalFormatting sqref="D76:H76">
    <cfRule type="containsErrors" dxfId="123" priority="7">
      <formula>ISERROR(D76)</formula>
    </cfRule>
  </conditionalFormatting>
  <conditionalFormatting sqref="Z76:AD76">
    <cfRule type="cellIs" dxfId="122" priority="5" stopIfTrue="1" operator="equal">
      <formula>0</formula>
    </cfRule>
  </conditionalFormatting>
  <conditionalFormatting sqref="AF76:AJ76">
    <cfRule type="cellIs" dxfId="121" priority="4" stopIfTrue="1" operator="equal">
      <formula>0</formula>
    </cfRule>
  </conditionalFormatting>
  <conditionalFormatting sqref="AM40:AQ40">
    <cfRule type="cellIs" dxfId="120" priority="3" stopIfTrue="1" operator="equal">
      <formula>0</formula>
    </cfRule>
  </conditionalFormatting>
  <conditionalFormatting sqref="AS40:AW40">
    <cfRule type="cellIs" dxfId="119" priority="2" stopIfTrue="1" operator="equal">
      <formula>0</formula>
    </cfRule>
  </conditionalFormatting>
  <conditionalFormatting sqref="A150:A182">
    <cfRule type="containsErrors" dxfId="118" priority="1">
      <formula>ISERROR(A150)</formula>
    </cfRule>
  </conditionalFormatting>
  <hyperlinks>
    <hyperlink ref="B113:H114" location="IDACI!A1" display="IDACI" xr:uid="{507FD4F5-2CD8-459C-BC7A-26325DD830BB}"/>
    <hyperlink ref="B137:I138" location="ROSGO!A1" display="Child Arrangement &amp; Special Guardianship Orders" xr:uid="{0877CA02-D41C-43ED-A420-B2FDC9508074}"/>
    <hyperlink ref="B117:G118" location="EH_Referrals!A1" display="Early Help Referrals" xr:uid="{04D0EE2B-5A13-4C8E-95C7-5A1978CEB49A}"/>
    <hyperlink ref="B137:E138" location="ROSGO!A1" display="Child Arrangement &amp; Special Guardianship Orders" xr:uid="{B962ADC1-9590-4BE4-ABE8-DFB5294137AF}"/>
    <hyperlink ref="B117:E118" location="EH_Referrals!A1" display="Early Help Referrals" xr:uid="{6AE3152D-1809-46BE-A342-F2188143CCF4}"/>
    <hyperlink ref="B115:D116" location="IDACI!A1" display="IDACI" xr:uid="{C736B2D7-024F-45BF-A4AE-66E318BD19E6}"/>
    <hyperlink ref="B111:D112" location="Indicators!A1" display="Indicators" xr:uid="{99CE091E-10C6-4BA3-8934-183AEA4E7101}"/>
    <hyperlink ref="B139:D140" location="New_Ceased_LAC!A1" display="New/ Ceased Looked After Children" xr:uid="{E8B82E5B-EBB1-40E7-B5C7-2AFCC6CB9744}"/>
    <hyperlink ref="B143:D144" location="Care_Leavers!A1" display="Care Leavers" xr:uid="{B8D96DBB-BB1C-40DD-B104-771B43A16625}"/>
    <hyperlink ref="B147:D148" location="Offending!A1" display="Offending" xr:uid="{7A1FDE99-8924-4676-B888-C77AD7183F53}"/>
    <hyperlink ref="B145:D146" location="EHCP!A1" display="Education Health and Care Plans (EHCP)" xr:uid="{8CBDAD3C-EC21-43ED-B674-A0BC00284E5F}"/>
    <hyperlink ref="B113:B114" location="Coverage!A1" display="Participating LA's" xr:uid="{EA228C25-01D5-487E-9887-F31C2F98ABD9}"/>
    <hyperlink ref="B115:B116" location="IDACI!A1" display="IDACI" xr:uid="{F53074EC-3EAF-4B31-B90E-956C0031A5C4}"/>
    <hyperlink ref="B141:B142" location="Adoption!A1" display="Adoption" xr:uid="{3DF53214-50D6-48B8-BFB0-A4E5E54FEA69}"/>
    <hyperlink ref="B137:B138" location="'Looked After Children'!A1" display="Looked After Children" xr:uid="{DCCA342C-31DA-4E1C-AED1-A61277F3067A}"/>
    <hyperlink ref="B135:B136" location="'Court Applications'!A1" display="Court Applications" xr:uid="{596C3FB2-D12A-495D-AFBF-C5EBE54E6775}"/>
    <hyperlink ref="B133:B134" location="'Child Protection Plans'!A1" display="Child Protection Plans" xr:uid="{EBB8F3DB-026E-4F76-801F-52D56C81844F}"/>
    <hyperlink ref="B131:B132" location="'Initial CP Conferences'!A1" display="Initial Child Protection Conferences" xr:uid="{D80C75E5-19D2-4483-89C4-82254E3476C1}"/>
    <hyperlink ref="B129:B130" location="'Section 47 Enquiries'!A1" display="Section 47 Enquiries" xr:uid="{3C1E8E5D-9F57-4A68-A96E-642FBCF8ED51}"/>
    <hyperlink ref="B127:B128" location="'Children in Need'!A1" display="Children in Need" xr:uid="{C193E059-8A2C-4AC5-B7F0-1D7CC8E67154}"/>
    <hyperlink ref="B125:B126" location="Assessments!A1" display="Assessments" xr:uid="{A99DFADF-49AB-4E2E-BA83-3F280FCF9374}"/>
    <hyperlink ref="B123:B124" location="'Re-referrals'!A1" display="Re-referrals" xr:uid="{0506AE9D-6970-4F6F-B709-C5DFFBB7CB94}"/>
    <hyperlink ref="B121:B122" location="Referral_Source!A1" display="Referral Source" xr:uid="{A331F651-B7EA-49AE-834E-708B35B461E9}"/>
    <hyperlink ref="B119:B120" location="Referrals!A1" display="Referrals" xr:uid="{50533FFC-69B8-4FF0-9A78-DA43A08BD8A7}"/>
    <hyperlink ref="B117:B118" location="Population!A1" display="Population" xr:uid="{2B78B06B-4751-472D-8747-AC5385A078CA}"/>
    <hyperlink ref="B115:C116" location="IDACI!A1" display="IDACI" xr:uid="{C9CEF6D2-114B-43E7-813D-7BE51D080801}"/>
    <hyperlink ref="B111:B112" location="Coverage!A1" display="Participating LA's" xr:uid="{B2C0ADA9-B297-4056-9302-F6E132041818}"/>
    <hyperlink ref="B111:C112" location="Indicators!A1" display="Indicators" xr:uid="{A03D48A4-6DBC-450C-893E-B58CFF6903A6}"/>
    <hyperlink ref="B143:B144" location="'Looked After Children'!A1" display="Looked After Children" xr:uid="{0F6BD4B3-E3C9-473C-B750-2D6358E9146B}"/>
    <hyperlink ref="B139:B140" location="'Court Applications'!A1" display="Court Applications" xr:uid="{14432800-81C6-48C7-81D2-67A6DCBABED0}"/>
    <hyperlink ref="B139:C140" location="New_Ceased_LAC!A1" display="New/ Ceased Looked After Children" xr:uid="{10AA2C84-58AC-4E48-A84E-7EC144243902}"/>
    <hyperlink ref="B143:C144" location="Care_Leavers!A1" display="Care Leavers" xr:uid="{4B483B6E-ECD8-490D-B4B5-EB963B94A17D}"/>
    <hyperlink ref="B146:B148" location="Adoption!A1" display="Adoption" xr:uid="{394A700B-D7AC-415E-9440-FDA6F09FFB55}"/>
    <hyperlink ref="B147:B148" location="'Looked After Children'!A1" display="Looked After Children" xr:uid="{7C55322C-8899-4959-AD71-4A655CE028CE}"/>
    <hyperlink ref="B147:C148" location="Offending!A1" display="Offending" xr:uid="{8CBCDB09-072D-438F-B4E9-311970184A5C}"/>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8" max="20" man="1"/>
    <brk id="71"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72033" r:id="rId4" name="Check Box 1">
              <controlPr defaultSize="0" autoFill="0" autoLine="0" autoPict="0" macro="[0]!CheckBox1_Click" altText="">
                <anchor>
                  <from>
                    <xdr:col>23</xdr:col>
                    <xdr:colOff>76200</xdr:colOff>
                    <xdr:row>39</xdr:row>
                    <xdr:rowOff>19050</xdr:rowOff>
                  </from>
                  <to>
                    <xdr:col>36</xdr:col>
                    <xdr:colOff>66675</xdr:colOff>
                    <xdr:row>41</xdr:row>
                    <xdr:rowOff>0</xdr:rowOff>
                  </to>
                </anchor>
              </controlPr>
            </control>
          </mc:Choice>
        </mc:AlternateContent>
        <mc:AlternateContent xmlns:mc="http://schemas.openxmlformats.org/markup-compatibility/2006">
          <mc:Choice Requires="x14">
            <control shapeId="172034" r:id="rId5" name="Check Box 2">
              <controlPr defaultSize="0" autoFill="0" autoLine="0" autoPict="0" macro="[0]!CheckBox1_Click" altText="">
                <anchor>
                  <from>
                    <xdr:col>23</xdr:col>
                    <xdr:colOff>76200</xdr:colOff>
                    <xdr:row>40</xdr:row>
                    <xdr:rowOff>142875</xdr:rowOff>
                  </from>
                  <to>
                    <xdr:col>36</xdr:col>
                    <xdr:colOff>66675</xdr:colOff>
                    <xdr:row>42</xdr:row>
                    <xdr:rowOff>0</xdr:rowOff>
                  </to>
                </anchor>
              </controlPr>
            </control>
          </mc:Choice>
        </mc:AlternateContent>
        <mc:AlternateContent xmlns:mc="http://schemas.openxmlformats.org/markup-compatibility/2006">
          <mc:Choice Requires="x14">
            <control shapeId="172035" r:id="rId6" name="Check Box 3">
              <controlPr defaultSize="0" autoFill="0" autoLine="0" autoPict="0" macro="[0]!CheckBox1_Click" altText="">
                <anchor>
                  <from>
                    <xdr:col>23</xdr:col>
                    <xdr:colOff>76200</xdr:colOff>
                    <xdr:row>41</xdr:row>
                    <xdr:rowOff>142875</xdr:rowOff>
                  </from>
                  <to>
                    <xdr:col>36</xdr:col>
                    <xdr:colOff>66675</xdr:colOff>
                    <xdr:row>43</xdr:row>
                    <xdr:rowOff>0</xdr:rowOff>
                  </to>
                </anchor>
              </controlPr>
            </control>
          </mc:Choice>
        </mc:AlternateContent>
        <mc:AlternateContent xmlns:mc="http://schemas.openxmlformats.org/markup-compatibility/2006">
          <mc:Choice Requires="x14">
            <control shapeId="172036" r:id="rId7" name="Check Box 4">
              <controlPr defaultSize="0" autoFill="0" autoLine="0" autoPict="0" macro="[0]!CheckBox1_Click" altText="">
                <anchor>
                  <from>
                    <xdr:col>23</xdr:col>
                    <xdr:colOff>76200</xdr:colOff>
                    <xdr:row>42</xdr:row>
                    <xdr:rowOff>142875</xdr:rowOff>
                  </from>
                  <to>
                    <xdr:col>36</xdr:col>
                    <xdr:colOff>66675</xdr:colOff>
                    <xdr:row>44</xdr:row>
                    <xdr:rowOff>0</xdr:rowOff>
                  </to>
                </anchor>
              </controlPr>
            </control>
          </mc:Choice>
        </mc:AlternateContent>
        <mc:AlternateContent xmlns:mc="http://schemas.openxmlformats.org/markup-compatibility/2006">
          <mc:Choice Requires="x14">
            <control shapeId="172037" r:id="rId8" name="Check Box 5">
              <controlPr defaultSize="0" autoFill="0" autoLine="0" autoPict="0" macro="[0]!CheckBox1_Click" altText="">
                <anchor>
                  <from>
                    <xdr:col>23</xdr:col>
                    <xdr:colOff>76200</xdr:colOff>
                    <xdr:row>43</xdr:row>
                    <xdr:rowOff>142875</xdr:rowOff>
                  </from>
                  <to>
                    <xdr:col>36</xdr:col>
                    <xdr:colOff>66675</xdr:colOff>
                    <xdr:row>45</xdr:row>
                    <xdr:rowOff>0</xdr:rowOff>
                  </to>
                </anchor>
              </controlPr>
            </control>
          </mc:Choice>
        </mc:AlternateContent>
        <mc:AlternateContent xmlns:mc="http://schemas.openxmlformats.org/markup-compatibility/2006">
          <mc:Choice Requires="x14">
            <control shapeId="172038" r:id="rId9" name="Check Box 6">
              <controlPr defaultSize="0" autoFill="0" autoLine="0" autoPict="0" macro="[0]!CheckBox1_Click" altText="">
                <anchor>
                  <from>
                    <xdr:col>23</xdr:col>
                    <xdr:colOff>76200</xdr:colOff>
                    <xdr:row>44</xdr:row>
                    <xdr:rowOff>142875</xdr:rowOff>
                  </from>
                  <to>
                    <xdr:col>36</xdr:col>
                    <xdr:colOff>66675</xdr:colOff>
                    <xdr:row>46</xdr:row>
                    <xdr:rowOff>0</xdr:rowOff>
                  </to>
                </anchor>
              </controlPr>
            </control>
          </mc:Choice>
        </mc:AlternateContent>
        <mc:AlternateContent xmlns:mc="http://schemas.openxmlformats.org/markup-compatibility/2006">
          <mc:Choice Requires="x14">
            <control shapeId="172039" r:id="rId10" name="Check Box 7">
              <controlPr defaultSize="0" autoFill="0" autoLine="0" autoPict="0" macro="[0]!CheckBox1_Click" altText="">
                <anchor>
                  <from>
                    <xdr:col>23</xdr:col>
                    <xdr:colOff>76200</xdr:colOff>
                    <xdr:row>45</xdr:row>
                    <xdr:rowOff>142875</xdr:rowOff>
                  </from>
                  <to>
                    <xdr:col>36</xdr:col>
                    <xdr:colOff>66675</xdr:colOff>
                    <xdr:row>47</xdr:row>
                    <xdr:rowOff>0</xdr:rowOff>
                  </to>
                </anchor>
              </controlPr>
            </control>
          </mc:Choice>
        </mc:AlternateContent>
        <mc:AlternateContent xmlns:mc="http://schemas.openxmlformats.org/markup-compatibility/2006">
          <mc:Choice Requires="x14">
            <control shapeId="172040" r:id="rId11" name="Check Box 8">
              <controlPr defaultSize="0" autoFill="0" autoLine="0" autoPict="0" macro="[0]!CheckBox1_Click" altText="">
                <anchor>
                  <from>
                    <xdr:col>23</xdr:col>
                    <xdr:colOff>76200</xdr:colOff>
                    <xdr:row>46</xdr:row>
                    <xdr:rowOff>142875</xdr:rowOff>
                  </from>
                  <to>
                    <xdr:col>36</xdr:col>
                    <xdr:colOff>66675</xdr:colOff>
                    <xdr:row>48</xdr:row>
                    <xdr:rowOff>0</xdr:rowOff>
                  </to>
                </anchor>
              </controlPr>
            </control>
          </mc:Choice>
        </mc:AlternateContent>
        <mc:AlternateContent xmlns:mc="http://schemas.openxmlformats.org/markup-compatibility/2006">
          <mc:Choice Requires="x14">
            <control shapeId="172041" r:id="rId12" name="Check Box 9">
              <controlPr defaultSize="0" autoFill="0" autoLine="0" autoPict="0" macro="[0]!CheckBox1_Click" altText="">
                <anchor>
                  <from>
                    <xdr:col>23</xdr:col>
                    <xdr:colOff>76200</xdr:colOff>
                    <xdr:row>47</xdr:row>
                    <xdr:rowOff>142875</xdr:rowOff>
                  </from>
                  <to>
                    <xdr:col>36</xdr:col>
                    <xdr:colOff>66675</xdr:colOff>
                    <xdr:row>49</xdr:row>
                    <xdr:rowOff>0</xdr:rowOff>
                  </to>
                </anchor>
              </controlPr>
            </control>
          </mc:Choice>
        </mc:AlternateContent>
        <mc:AlternateContent xmlns:mc="http://schemas.openxmlformats.org/markup-compatibility/2006">
          <mc:Choice Requires="x14">
            <control shapeId="172042" r:id="rId13" name="Check Box 10">
              <controlPr defaultSize="0" autoFill="0" autoLine="0" autoPict="0" macro="[0]!CheckBox1_Click" altText="">
                <anchor>
                  <from>
                    <xdr:col>23</xdr:col>
                    <xdr:colOff>76200</xdr:colOff>
                    <xdr:row>48</xdr:row>
                    <xdr:rowOff>142875</xdr:rowOff>
                  </from>
                  <to>
                    <xdr:col>36</xdr:col>
                    <xdr:colOff>66675</xdr:colOff>
                    <xdr:row>50</xdr:row>
                    <xdr:rowOff>0</xdr:rowOff>
                  </to>
                </anchor>
              </controlPr>
            </control>
          </mc:Choice>
        </mc:AlternateContent>
        <mc:AlternateContent xmlns:mc="http://schemas.openxmlformats.org/markup-compatibility/2006">
          <mc:Choice Requires="x14">
            <control shapeId="172043" r:id="rId14" name="Check Box 11">
              <controlPr defaultSize="0" autoFill="0" autoLine="0" autoPict="0" macro="[0]!CheckBox1_Click" altText="">
                <anchor>
                  <from>
                    <xdr:col>23</xdr:col>
                    <xdr:colOff>76200</xdr:colOff>
                    <xdr:row>49</xdr:row>
                    <xdr:rowOff>142875</xdr:rowOff>
                  </from>
                  <to>
                    <xdr:col>36</xdr:col>
                    <xdr:colOff>66675</xdr:colOff>
                    <xdr:row>51</xdr:row>
                    <xdr:rowOff>0</xdr:rowOff>
                  </to>
                </anchor>
              </controlPr>
            </control>
          </mc:Choice>
        </mc:AlternateContent>
        <mc:AlternateContent xmlns:mc="http://schemas.openxmlformats.org/markup-compatibility/2006">
          <mc:Choice Requires="x14">
            <control shapeId="172044" r:id="rId15" name="Check Box 12">
              <controlPr defaultSize="0" autoFill="0" autoLine="0" autoPict="0" macro="[0]!CheckBox1_Click" altText="">
                <anchor>
                  <from>
                    <xdr:col>23</xdr:col>
                    <xdr:colOff>76200</xdr:colOff>
                    <xdr:row>50</xdr:row>
                    <xdr:rowOff>142875</xdr:rowOff>
                  </from>
                  <to>
                    <xdr:col>36</xdr:col>
                    <xdr:colOff>66675</xdr:colOff>
                    <xdr:row>52</xdr:row>
                    <xdr:rowOff>0</xdr:rowOff>
                  </to>
                </anchor>
              </controlPr>
            </control>
          </mc:Choice>
        </mc:AlternateContent>
        <mc:AlternateContent xmlns:mc="http://schemas.openxmlformats.org/markup-compatibility/2006">
          <mc:Choice Requires="x14">
            <control shapeId="172045" r:id="rId16" name="Check Box 13">
              <controlPr defaultSize="0" autoFill="0" autoLine="0" autoPict="0" macro="[0]!CheckBox1_Click" altText="">
                <anchor>
                  <from>
                    <xdr:col>23</xdr:col>
                    <xdr:colOff>76200</xdr:colOff>
                    <xdr:row>51</xdr:row>
                    <xdr:rowOff>142875</xdr:rowOff>
                  </from>
                  <to>
                    <xdr:col>36</xdr:col>
                    <xdr:colOff>66675</xdr:colOff>
                    <xdr:row>53</xdr:row>
                    <xdr:rowOff>0</xdr:rowOff>
                  </to>
                </anchor>
              </controlPr>
            </control>
          </mc:Choice>
        </mc:AlternateContent>
        <mc:AlternateContent xmlns:mc="http://schemas.openxmlformats.org/markup-compatibility/2006">
          <mc:Choice Requires="x14">
            <control shapeId="172046" r:id="rId17" name="Check Box 14">
              <controlPr defaultSize="0" autoFill="0" autoLine="0" autoPict="0" macro="[0]!CheckBox1_Click" altText="">
                <anchor>
                  <from>
                    <xdr:col>23</xdr:col>
                    <xdr:colOff>76200</xdr:colOff>
                    <xdr:row>52</xdr:row>
                    <xdr:rowOff>142875</xdr:rowOff>
                  </from>
                  <to>
                    <xdr:col>36</xdr:col>
                    <xdr:colOff>66675</xdr:colOff>
                    <xdr:row>54</xdr:row>
                    <xdr:rowOff>0</xdr:rowOff>
                  </to>
                </anchor>
              </controlPr>
            </control>
          </mc:Choice>
        </mc:AlternateContent>
        <mc:AlternateContent xmlns:mc="http://schemas.openxmlformats.org/markup-compatibility/2006">
          <mc:Choice Requires="x14">
            <control shapeId="172047" r:id="rId18" name="Check Box 15">
              <controlPr defaultSize="0" autoFill="0" autoLine="0" autoPict="0" macro="[0]!CheckBox1_Click" altText="">
                <anchor>
                  <from>
                    <xdr:col>23</xdr:col>
                    <xdr:colOff>76200</xdr:colOff>
                    <xdr:row>53</xdr:row>
                    <xdr:rowOff>142875</xdr:rowOff>
                  </from>
                  <to>
                    <xdr:col>36</xdr:col>
                    <xdr:colOff>66675</xdr:colOff>
                    <xdr:row>55</xdr:row>
                    <xdr:rowOff>0</xdr:rowOff>
                  </to>
                </anchor>
              </controlPr>
            </control>
          </mc:Choice>
        </mc:AlternateContent>
        <mc:AlternateContent xmlns:mc="http://schemas.openxmlformats.org/markup-compatibility/2006">
          <mc:Choice Requires="x14">
            <control shapeId="172048" r:id="rId19" name="Check Box 16">
              <controlPr defaultSize="0" autoFill="0" autoLine="0" autoPict="0" macro="[0]!CheckBox1_Click" altText="">
                <anchor>
                  <from>
                    <xdr:col>23</xdr:col>
                    <xdr:colOff>76200</xdr:colOff>
                    <xdr:row>54</xdr:row>
                    <xdr:rowOff>142875</xdr:rowOff>
                  </from>
                  <to>
                    <xdr:col>36</xdr:col>
                    <xdr:colOff>66675</xdr:colOff>
                    <xdr:row>56</xdr:row>
                    <xdr:rowOff>0</xdr:rowOff>
                  </to>
                </anchor>
              </controlPr>
            </control>
          </mc:Choice>
        </mc:AlternateContent>
        <mc:AlternateContent xmlns:mc="http://schemas.openxmlformats.org/markup-compatibility/2006">
          <mc:Choice Requires="x14">
            <control shapeId="172049" r:id="rId20" name="Check Box 17">
              <controlPr defaultSize="0" autoFill="0" autoLine="0" autoPict="0" macro="[0]!CheckBox1_Click" altText="">
                <anchor>
                  <from>
                    <xdr:col>23</xdr:col>
                    <xdr:colOff>76200</xdr:colOff>
                    <xdr:row>57</xdr:row>
                    <xdr:rowOff>142875</xdr:rowOff>
                  </from>
                  <to>
                    <xdr:col>36</xdr:col>
                    <xdr:colOff>66675</xdr:colOff>
                    <xdr:row>59</xdr:row>
                    <xdr:rowOff>0</xdr:rowOff>
                  </to>
                </anchor>
              </controlPr>
            </control>
          </mc:Choice>
        </mc:AlternateContent>
        <mc:AlternateContent xmlns:mc="http://schemas.openxmlformats.org/markup-compatibility/2006">
          <mc:Choice Requires="x14">
            <control shapeId="172050" r:id="rId21" name="Check Box 18">
              <controlPr defaultSize="0" autoFill="0" autoLine="0" autoPict="0" macro="[0]!CheckBox1_Click" altText="">
                <anchor>
                  <from>
                    <xdr:col>23</xdr:col>
                    <xdr:colOff>76200</xdr:colOff>
                    <xdr:row>58</xdr:row>
                    <xdr:rowOff>142875</xdr:rowOff>
                  </from>
                  <to>
                    <xdr:col>36</xdr:col>
                    <xdr:colOff>66675</xdr:colOff>
                    <xdr:row>60</xdr:row>
                    <xdr:rowOff>0</xdr:rowOff>
                  </to>
                </anchor>
              </controlPr>
            </control>
          </mc:Choice>
        </mc:AlternateContent>
        <mc:AlternateContent xmlns:mc="http://schemas.openxmlformats.org/markup-compatibility/2006">
          <mc:Choice Requires="x14">
            <control shapeId="172051" r:id="rId22" name="Check Box 19">
              <controlPr defaultSize="0" autoFill="0" autoLine="0" autoPict="0" macro="[0]!CheckBox1_Click" altText="">
                <anchor>
                  <from>
                    <xdr:col>23</xdr:col>
                    <xdr:colOff>76200</xdr:colOff>
                    <xdr:row>59</xdr:row>
                    <xdr:rowOff>142875</xdr:rowOff>
                  </from>
                  <to>
                    <xdr:col>36</xdr:col>
                    <xdr:colOff>66675</xdr:colOff>
                    <xdr:row>61</xdr:row>
                    <xdr:rowOff>0</xdr:rowOff>
                  </to>
                </anchor>
              </controlPr>
            </control>
          </mc:Choice>
        </mc:AlternateContent>
        <mc:AlternateContent xmlns:mc="http://schemas.openxmlformats.org/markup-compatibility/2006">
          <mc:Choice Requires="x14">
            <control shapeId="172052" r:id="rId23" name="Check Box 20">
              <controlPr defaultSize="0" autoFill="0" autoLine="0" autoPict="0" macro="[0]!CheckBox1_Click" altText="">
                <anchor>
                  <from>
                    <xdr:col>23</xdr:col>
                    <xdr:colOff>76200</xdr:colOff>
                    <xdr:row>60</xdr:row>
                    <xdr:rowOff>142875</xdr:rowOff>
                  </from>
                  <to>
                    <xdr:col>36</xdr:col>
                    <xdr:colOff>66675</xdr:colOff>
                    <xdr:row>62</xdr:row>
                    <xdr:rowOff>0</xdr:rowOff>
                  </to>
                </anchor>
              </controlPr>
            </control>
          </mc:Choice>
        </mc:AlternateContent>
        <mc:AlternateContent xmlns:mc="http://schemas.openxmlformats.org/markup-compatibility/2006">
          <mc:Choice Requires="x14">
            <control shapeId="172053" r:id="rId24" name="Check Box 21">
              <controlPr defaultSize="0" autoFill="0" autoLine="0" autoPict="0" macro="[0]!CheckBox1_Click" altText="">
                <anchor>
                  <from>
                    <xdr:col>23</xdr:col>
                    <xdr:colOff>76200</xdr:colOff>
                    <xdr:row>61</xdr:row>
                    <xdr:rowOff>142875</xdr:rowOff>
                  </from>
                  <to>
                    <xdr:col>36</xdr:col>
                    <xdr:colOff>66675</xdr:colOff>
                    <xdr:row>63</xdr:row>
                    <xdr:rowOff>0</xdr:rowOff>
                  </to>
                </anchor>
              </controlPr>
            </control>
          </mc:Choice>
        </mc:AlternateContent>
        <mc:AlternateContent xmlns:mc="http://schemas.openxmlformats.org/markup-compatibility/2006">
          <mc:Choice Requires="x14">
            <control shapeId="172054" r:id="rId25" name="Check Box 22">
              <controlPr defaultSize="0" autoFill="0" autoLine="0" autoPict="0" macro="[0]!CheckBox1_Click" altText="">
                <anchor>
                  <from>
                    <xdr:col>23</xdr:col>
                    <xdr:colOff>76200</xdr:colOff>
                    <xdr:row>55</xdr:row>
                    <xdr:rowOff>142875</xdr:rowOff>
                  </from>
                  <to>
                    <xdr:col>36</xdr:col>
                    <xdr:colOff>66675</xdr:colOff>
                    <xdr:row>57</xdr:row>
                    <xdr:rowOff>0</xdr:rowOff>
                  </to>
                </anchor>
              </controlPr>
            </control>
          </mc:Choice>
        </mc:AlternateContent>
        <mc:AlternateContent xmlns:mc="http://schemas.openxmlformats.org/markup-compatibility/2006">
          <mc:Choice Requires="x14">
            <control shapeId="172055" r:id="rId26" name="Check Box 23">
              <controlPr defaultSize="0" autoFill="0" autoLine="0" autoPict="0" macro="[0]!CheckBox1_Click" altText="">
                <anchor>
                  <from>
                    <xdr:col>23</xdr:col>
                    <xdr:colOff>76200</xdr:colOff>
                    <xdr:row>56</xdr:row>
                    <xdr:rowOff>142875</xdr:rowOff>
                  </from>
                  <to>
                    <xdr:col>36</xdr:col>
                    <xdr:colOff>66675</xdr:colOff>
                    <xdr:row>58</xdr:row>
                    <xdr:rowOff>0</xdr:rowOff>
                  </to>
                </anchor>
              </controlPr>
            </control>
          </mc:Choice>
        </mc:AlternateContent>
        <mc:AlternateContent xmlns:mc="http://schemas.openxmlformats.org/markup-compatibility/2006">
          <mc:Choice Requires="x14">
            <control shapeId="172056" r:id="rId27" name="Check Box 24">
              <controlPr defaultSize="0" autoFill="0" autoLine="0" autoPict="0" macro="[0]!CheckBox1_Click" altText="">
                <anchor>
                  <from>
                    <xdr:col>23</xdr:col>
                    <xdr:colOff>76200</xdr:colOff>
                    <xdr:row>62</xdr:row>
                    <xdr:rowOff>142875</xdr:rowOff>
                  </from>
                  <to>
                    <xdr:col>36</xdr:col>
                    <xdr:colOff>66675</xdr:colOff>
                    <xdr:row>64</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B892946B-3A36-40DB-9675-1F210D6C55E5}">
            <x14:dataBar minLength="0" maxLength="100" gradient="0" negativeBarColorSameAsPositive="1">
              <x14:cfvo type="autoMin"/>
              <x14:cfvo type="autoMax"/>
              <x14:axisColor rgb="FF000000"/>
            </x14:dataBar>
          </x14:cfRule>
          <xm:sqref>P10:P33</xm:sqref>
        </x14:conditionalFormatting>
      </x14:conditionalFormatting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56">
    <tabColor rgb="FFFFC000"/>
  </sheetPr>
  <dimension ref="A1:BP310"/>
  <sheetViews>
    <sheetView showRowColHeaders="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10" width="7.42578125" style="74" customWidth="1"/>
    <col min="11" max="11" width="1.42578125" style="88" customWidth="1"/>
    <col min="12" max="18" width="7.42578125" style="74" customWidth="1"/>
    <col min="19" max="19" width="1.42578125" style="74" customWidth="1"/>
    <col min="20" max="20" width="8" style="74" customWidth="1"/>
    <col min="21" max="21" width="2.140625" style="74" customWidth="1"/>
    <col min="22" max="22" width="6.42578125" style="80" customWidth="1"/>
    <col min="23" max="23" width="4.85546875" style="80" customWidth="1"/>
    <col min="24" max="24" width="17.85546875" style="81" hidden="1" customWidth="1"/>
    <col min="25" max="25" width="19.42578125" style="81" hidden="1" customWidth="1"/>
    <col min="26" max="26" width="19.85546875" style="81" hidden="1" customWidth="1"/>
    <col min="27" max="28" width="16.5703125" style="81" hidden="1" customWidth="1"/>
    <col min="29" max="29" width="8.5703125" style="81" hidden="1" customWidth="1"/>
    <col min="30" max="30" width="17" style="81" hidden="1" customWidth="1"/>
    <col min="31" max="31" width="8.5703125" style="81" hidden="1" customWidth="1"/>
    <col min="32" max="32" width="3.85546875" style="81" hidden="1" customWidth="1"/>
    <col min="33" max="33" width="17" style="81" hidden="1" customWidth="1"/>
    <col min="34" max="34" width="6.5703125" style="81" hidden="1" customWidth="1"/>
    <col min="35" max="35" width="6.5703125" style="74" hidden="1" customWidth="1"/>
    <col min="36" max="36" width="31.5703125" style="184" customWidth="1"/>
    <col min="37" max="37" width="17" style="74" hidden="1" customWidth="1"/>
    <col min="38" max="42" width="13.5703125" style="74" hidden="1" customWidth="1"/>
    <col min="43" max="44" width="9.140625" style="74" hidden="1" customWidth="1"/>
    <col min="45" max="68" width="9.140625" style="74" customWidth="1"/>
    <col min="69" max="16384" width="9.140625" style="74"/>
  </cols>
  <sheetData>
    <row r="1" spans="1:50" ht="18.75" customHeight="1" thickBot="1" x14ac:dyDescent="0.25">
      <c r="A1" s="112"/>
      <c r="B1" s="113"/>
      <c r="C1" s="113"/>
      <c r="D1" s="113"/>
      <c r="E1" s="113"/>
      <c r="F1" s="113"/>
      <c r="G1" s="113"/>
      <c r="H1" s="113"/>
      <c r="I1" s="113"/>
      <c r="J1" s="113"/>
      <c r="K1" s="114"/>
      <c r="L1" s="113"/>
      <c r="M1" s="113"/>
      <c r="N1" s="113"/>
      <c r="O1" s="113"/>
      <c r="P1" s="113"/>
      <c r="Q1" s="113"/>
      <c r="R1" s="113"/>
      <c r="S1" s="113"/>
      <c r="T1" s="113"/>
      <c r="U1" s="115"/>
      <c r="V1" s="275"/>
      <c r="W1" s="155"/>
      <c r="X1" s="180"/>
      <c r="Y1" s="939" t="str">
        <f>IF(Sheet1!$C$3="Annual"," at 31st March"," at last day in quarter")</f>
        <v xml:space="preserve"> at 31st March</v>
      </c>
      <c r="Z1" s="180"/>
      <c r="AA1" s="180"/>
      <c r="AB1" s="180"/>
      <c r="AC1" s="180"/>
      <c r="AD1" s="180"/>
      <c r="AE1" s="180"/>
      <c r="AF1" s="180"/>
      <c r="AG1" s="180"/>
      <c r="AH1" s="180"/>
      <c r="AI1" s="181"/>
      <c r="AJ1" s="419"/>
    </row>
    <row r="2" spans="1:50" ht="18.75" customHeight="1" x14ac:dyDescent="0.2">
      <c r="A2" s="118"/>
      <c r="B2" s="128" t="s">
        <v>757</v>
      </c>
      <c r="C2" s="9"/>
      <c r="D2" s="9"/>
      <c r="E2" s="9"/>
      <c r="F2" s="9"/>
      <c r="G2" s="9"/>
      <c r="H2" s="9"/>
      <c r="I2" s="9"/>
      <c r="J2" s="9"/>
      <c r="K2" s="12"/>
      <c r="L2" s="9"/>
      <c r="M2" s="9"/>
      <c r="N2" s="9"/>
      <c r="O2" s="9"/>
      <c r="P2" s="9"/>
      <c r="Q2" s="9"/>
      <c r="R2" s="9"/>
      <c r="S2" s="9"/>
      <c r="T2" s="9"/>
      <c r="U2" s="117"/>
      <c r="V2" s="161"/>
      <c r="W2" s="150"/>
      <c r="X2" s="866">
        <f>IF(Sheet1!$C$3="Annual",1,4)</f>
        <v>1</v>
      </c>
      <c r="Y2" s="800" t="str">
        <f>IF(Sheet1!$C$3="Annual","",Sheet1!$D$28)</f>
        <v/>
      </c>
      <c r="Z2" s="801" t="str">
        <f>IF(Sheet1!$C$3="Annual","",Sheet1!$E$28)</f>
        <v/>
      </c>
      <c r="AA2" s="801" t="str">
        <f>IF(Sheet1!$C$3="Annual","",Sheet1!$F$28)</f>
        <v/>
      </c>
      <c r="AB2" s="801" t="str">
        <f>IF(Sheet1!$C$3="Annual","",Sheet1!$G$28)</f>
        <v/>
      </c>
      <c r="AC2" s="802" t="str">
        <f>IF(Sheet1!$C$3="Annual","",Sheet1!$H$28)</f>
        <v/>
      </c>
      <c r="AI2" s="184"/>
      <c r="AJ2" s="157"/>
    </row>
    <row r="3" spans="1:50" ht="18.75" customHeight="1" thickBot="1" x14ac:dyDescent="0.25">
      <c r="A3" s="124"/>
      <c r="B3" s="125"/>
      <c r="C3" s="125"/>
      <c r="D3" s="125"/>
      <c r="E3" s="125"/>
      <c r="F3" s="125"/>
      <c r="G3" s="125"/>
      <c r="H3" s="125"/>
      <c r="I3" s="267"/>
      <c r="J3" s="553"/>
      <c r="K3" s="126"/>
      <c r="L3" s="125"/>
      <c r="M3" s="125"/>
      <c r="N3" s="125"/>
      <c r="O3" s="125"/>
      <c r="P3" s="125"/>
      <c r="Q3" s="553"/>
      <c r="R3" s="125"/>
      <c r="S3" s="125"/>
      <c r="T3" s="125"/>
      <c r="U3" s="127"/>
      <c r="V3" s="161"/>
      <c r="W3" s="150"/>
      <c r="X3" s="803"/>
      <c r="Y3" s="803" t="str">
        <f>Sheet1!$D$27</f>
        <v>2015-16</v>
      </c>
      <c r="Z3" s="804" t="str">
        <f>Sheet1!$E$27</f>
        <v>2016-17</v>
      </c>
      <c r="AA3" s="804" t="str">
        <f>Sheet1!$F$27</f>
        <v>2017-18</v>
      </c>
      <c r="AB3" s="804" t="str">
        <f>Sheet1!$G$27</f>
        <v>2018-19</v>
      </c>
      <c r="AC3" s="805" t="str">
        <f>Sheet1!$H$27</f>
        <v>2019-20</v>
      </c>
      <c r="AI3" s="184"/>
      <c r="AJ3" s="157"/>
      <c r="AQ3" s="184"/>
      <c r="AR3" s="184"/>
      <c r="AS3" s="184"/>
      <c r="AT3" s="184"/>
      <c r="AU3" s="184"/>
      <c r="AV3" s="184"/>
      <c r="AW3" s="184"/>
      <c r="AX3" s="184"/>
    </row>
    <row r="4" spans="1:50" ht="11.25" customHeight="1" x14ac:dyDescent="0.2">
      <c r="A4" s="112"/>
      <c r="B4" s="113"/>
      <c r="C4" s="113"/>
      <c r="D4" s="113"/>
      <c r="E4" s="113"/>
      <c r="F4" s="113"/>
      <c r="G4" s="113"/>
      <c r="H4" s="113"/>
      <c r="I4" s="113"/>
      <c r="J4" s="113"/>
      <c r="K4" s="114"/>
      <c r="L4" s="113"/>
      <c r="M4" s="113"/>
      <c r="N4" s="113"/>
      <c r="O4" s="113"/>
      <c r="P4" s="113"/>
      <c r="Q4" s="113"/>
      <c r="R4" s="113"/>
      <c r="S4" s="113"/>
      <c r="T4" s="113"/>
      <c r="U4" s="115"/>
      <c r="V4" s="137"/>
      <c r="W4" s="150"/>
      <c r="X4" s="186"/>
      <c r="Y4" s="186" t="str">
        <f>Home!$D$10</f>
        <v>(none)</v>
      </c>
      <c r="Z4" s="42" t="str">
        <f>"Selected LA- "&amp;Y4</f>
        <v>Selected LA- (none)</v>
      </c>
      <c r="AI4" s="184"/>
      <c r="AJ4" s="157"/>
      <c r="AQ4" s="184"/>
      <c r="AR4" s="184"/>
      <c r="AS4" s="184"/>
      <c r="AT4" s="184"/>
      <c r="AU4" s="184"/>
      <c r="AV4" s="184"/>
      <c r="AW4" s="184"/>
      <c r="AX4" s="184"/>
    </row>
    <row r="5" spans="1:50" s="76" customFormat="1" ht="15" customHeight="1" x14ac:dyDescent="0.2">
      <c r="A5" s="119"/>
      <c r="B5" s="1746" t="str">
        <f>"Number of Children Missing Education"&amp;$Y1</f>
        <v>Number of Children Missing Education at 31st March</v>
      </c>
      <c r="C5" s="1746"/>
      <c r="D5" s="1746"/>
      <c r="E5" s="1746"/>
      <c r="F5" s="1746"/>
      <c r="G5" s="1746"/>
      <c r="H5" s="1746"/>
      <c r="I5" s="1746"/>
      <c r="J5" s="1746"/>
      <c r="K5" s="1746"/>
      <c r="L5" s="1746"/>
      <c r="M5" s="1746"/>
      <c r="N5" s="1746"/>
      <c r="O5" s="1746"/>
      <c r="P5" s="1746"/>
      <c r="Q5" s="1746"/>
      <c r="R5" s="1746"/>
      <c r="S5" s="1746"/>
      <c r="T5" s="1746"/>
      <c r="U5" s="120"/>
      <c r="V5" s="138"/>
      <c r="W5" s="151"/>
      <c r="X5" s="188"/>
      <c r="Y5" s="188"/>
      <c r="Z5" s="188"/>
      <c r="AA5" s="188"/>
      <c r="AB5" s="188"/>
      <c r="AC5" s="188"/>
      <c r="AD5" s="188"/>
      <c r="AE5" s="188"/>
      <c r="AF5" s="188"/>
      <c r="AG5" s="188"/>
      <c r="AH5" s="188"/>
      <c r="AI5" s="188"/>
      <c r="AJ5" s="158"/>
      <c r="AQ5" s="1021"/>
      <c r="AR5" s="188"/>
      <c r="AS5" s="188"/>
      <c r="AT5" s="188"/>
      <c r="AU5" s="188"/>
      <c r="AV5" s="188"/>
      <c r="AW5" s="188"/>
      <c r="AX5" s="188"/>
    </row>
    <row r="6" spans="1:50" ht="13.5" customHeight="1" x14ac:dyDescent="0.2">
      <c r="A6" s="118"/>
      <c r="B6" s="1746"/>
      <c r="C6" s="1746"/>
      <c r="D6" s="1746"/>
      <c r="E6" s="1746"/>
      <c r="F6" s="1746"/>
      <c r="G6" s="1746"/>
      <c r="H6" s="1746"/>
      <c r="I6" s="1746"/>
      <c r="J6" s="1746"/>
      <c r="K6" s="1746"/>
      <c r="L6" s="1746"/>
      <c r="M6" s="1746"/>
      <c r="N6" s="1746"/>
      <c r="O6" s="1746"/>
      <c r="P6" s="1746"/>
      <c r="Q6" s="1746"/>
      <c r="R6" s="1746"/>
      <c r="S6" s="1746"/>
      <c r="T6" s="1746"/>
      <c r="U6" s="117"/>
      <c r="V6" s="137"/>
      <c r="W6" s="150"/>
      <c r="Y6" s="190"/>
      <c r="AI6" s="184"/>
      <c r="AJ6" s="157"/>
      <c r="AQ6" s="184"/>
      <c r="AR6" s="184"/>
      <c r="AS6" s="184"/>
      <c r="AT6" s="184"/>
      <c r="AU6" s="184"/>
      <c r="AV6" s="184"/>
      <c r="AW6" s="184"/>
      <c r="AX6" s="184"/>
    </row>
    <row r="7" spans="1:50" s="87" customFormat="1" ht="12.75" customHeight="1" x14ac:dyDescent="0.2">
      <c r="A7" s="121"/>
      <c r="B7" s="1789" t="s">
        <v>205</v>
      </c>
      <c r="C7" s="85"/>
      <c r="D7" s="1851" t="s">
        <v>88</v>
      </c>
      <c r="E7" s="1911"/>
      <c r="F7" s="1911"/>
      <c r="G7" s="1911"/>
      <c r="H7" s="1912"/>
      <c r="I7" s="1752" t="str">
        <f>"Average "&amp;Sheet1!C3&amp;" Change "</f>
        <v xml:space="preserve">Average Annual Change </v>
      </c>
      <c r="J7" s="1753"/>
      <c r="K7" s="96"/>
      <c r="L7" s="1913" t="s">
        <v>766</v>
      </c>
      <c r="M7" s="1914"/>
      <c r="N7" s="1914"/>
      <c r="O7" s="1914"/>
      <c r="P7" s="1914"/>
      <c r="Q7" s="1914"/>
      <c r="R7" s="1744" t="str">
        <f>IF(ISNA(P9),"SE Rank "&amp;P8,"SE Rank "&amp;P9)</f>
        <v>SE Rank 2019-20</v>
      </c>
      <c r="S7" s="70"/>
      <c r="T7" s="1731" t="s">
        <v>78</v>
      </c>
      <c r="U7" s="122"/>
      <c r="V7" s="139"/>
      <c r="W7" s="152"/>
      <c r="X7" s="202"/>
      <c r="Y7" s="1988" t="s">
        <v>767</v>
      </c>
      <c r="Z7" s="1989"/>
      <c r="AA7" s="1995" t="s">
        <v>79</v>
      </c>
      <c r="AB7" s="1995"/>
      <c r="AC7" s="1995"/>
      <c r="AD7" s="1995"/>
      <c r="AE7" s="1996"/>
      <c r="AG7" s="204" t="s">
        <v>94</v>
      </c>
      <c r="AH7" s="190"/>
      <c r="AI7" s="190"/>
      <c r="AJ7" s="160"/>
      <c r="AK7" s="575"/>
      <c r="AL7" s="575"/>
      <c r="AM7" s="575"/>
      <c r="AN7" s="575"/>
      <c r="AO7" s="575"/>
      <c r="AP7" s="74"/>
      <c r="AQ7" s="202"/>
      <c r="AR7" s="202"/>
      <c r="AS7" s="202"/>
      <c r="AT7" s="202"/>
      <c r="AU7" s="202"/>
      <c r="AV7" s="202"/>
      <c r="AW7" s="202"/>
      <c r="AX7" s="202"/>
    </row>
    <row r="8" spans="1:50" s="87" customFormat="1" ht="12.75" customHeight="1" x14ac:dyDescent="0.2">
      <c r="A8" s="292"/>
      <c r="B8" s="1789"/>
      <c r="C8" s="85"/>
      <c r="D8" s="789" t="str">
        <f>Sheet1!$D$27</f>
        <v>2015-16</v>
      </c>
      <c r="E8" s="790" t="str">
        <f>Sheet1!$E$27</f>
        <v>2016-17</v>
      </c>
      <c r="F8" s="790" t="str">
        <f>Sheet1!$F$27</f>
        <v>2017-18</v>
      </c>
      <c r="G8" s="790" t="str">
        <f>Sheet1!$G$27</f>
        <v>2018-19</v>
      </c>
      <c r="H8" s="791" t="str">
        <f>Sheet1!$H$27</f>
        <v>2019-20</v>
      </c>
      <c r="I8" s="1754"/>
      <c r="J8" s="1755"/>
      <c r="K8" s="96"/>
      <c r="L8" s="820" t="str">
        <f>Sheet1!$D$27</f>
        <v>2015-16</v>
      </c>
      <c r="M8" s="821" t="str">
        <f>Sheet1!$E$27</f>
        <v>2016-17</v>
      </c>
      <c r="N8" s="821" t="str">
        <f>Sheet1!$F$27</f>
        <v>2017-18</v>
      </c>
      <c r="O8" s="821" t="str">
        <f>Sheet1!$G$27</f>
        <v>2018-19</v>
      </c>
      <c r="P8" s="1741" t="str">
        <f>Sheet1!$H$27</f>
        <v>2019-20</v>
      </c>
      <c r="Q8" s="1742"/>
      <c r="R8" s="1816"/>
      <c r="S8" s="70"/>
      <c r="T8" s="1743"/>
      <c r="U8" s="122"/>
      <c r="V8" s="139"/>
      <c r="W8" s="152"/>
      <c r="X8" s="202"/>
      <c r="Y8" s="1961" t="s">
        <v>76</v>
      </c>
      <c r="Z8" s="1963" t="s">
        <v>77</v>
      </c>
      <c r="AA8" s="1095" t="str">
        <f>Sheet1!$D$27</f>
        <v>2015-16</v>
      </c>
      <c r="AB8" s="758" t="str">
        <f>Sheet1!$E$27</f>
        <v>2016-17</v>
      </c>
      <c r="AC8" s="758" t="str">
        <f>Sheet1!$F$27</f>
        <v>2017-18</v>
      </c>
      <c r="AD8" s="758" t="str">
        <f>Sheet1!$G$27</f>
        <v>2018-19</v>
      </c>
      <c r="AE8" s="758" t="str">
        <f>Sheet1!$H$27</f>
        <v>2019-20</v>
      </c>
      <c r="AG8" s="204"/>
      <c r="AH8" s="190"/>
      <c r="AI8" s="190"/>
      <c r="AJ8" s="160"/>
      <c r="AK8" s="1998" t="str">
        <f>CONCATENATE($I$7,"in Number of "&amp;$B2)</f>
        <v>Average Annual Change in Number of Children Missing from Education (CME)</v>
      </c>
      <c r="AL8" s="1999"/>
      <c r="AM8" s="1999"/>
      <c r="AN8" s="1999"/>
      <c r="AO8" s="2000"/>
      <c r="AQ8" s="202"/>
      <c r="AR8" s="202"/>
      <c r="AS8" s="202"/>
      <c r="AT8" s="202"/>
      <c r="AU8" s="202"/>
      <c r="AV8" s="202"/>
      <c r="AW8" s="202"/>
      <c r="AX8" s="202"/>
    </row>
    <row r="9" spans="1:50" s="87" customFormat="1" ht="12.75" customHeight="1" x14ac:dyDescent="0.2">
      <c r="A9" s="121"/>
      <c r="B9" s="1790"/>
      <c r="C9" s="85"/>
      <c r="D9" s="792" t="e">
        <f>Sheet1!$D$28</f>
        <v>#N/A</v>
      </c>
      <c r="E9" s="792" t="e">
        <f>Sheet1!$E$28</f>
        <v>#N/A</v>
      </c>
      <c r="F9" s="792" t="e">
        <f>Sheet1!$F$28</f>
        <v>#N/A</v>
      </c>
      <c r="G9" s="792" t="e">
        <f>Sheet1!$G$28</f>
        <v>#N/A</v>
      </c>
      <c r="H9" s="793" t="e">
        <f>Sheet1!$H$28</f>
        <v>#N/A</v>
      </c>
      <c r="I9" s="1754"/>
      <c r="J9" s="1756"/>
      <c r="K9" s="96"/>
      <c r="L9" s="792" t="e">
        <f>Sheet1!$D$28</f>
        <v>#N/A</v>
      </c>
      <c r="M9" s="792" t="e">
        <f>Sheet1!$E$28</f>
        <v>#N/A</v>
      </c>
      <c r="N9" s="792" t="e">
        <f>Sheet1!$F$28</f>
        <v>#N/A</v>
      </c>
      <c r="O9" s="792" t="e">
        <f>Sheet1!$G$28</f>
        <v>#N/A</v>
      </c>
      <c r="P9" s="1739" t="e">
        <f>Sheet1!$H$28</f>
        <v>#N/A</v>
      </c>
      <c r="Q9" s="1827"/>
      <c r="R9" s="1745"/>
      <c r="S9" s="70"/>
      <c r="T9" s="1732"/>
      <c r="U9" s="122"/>
      <c r="V9" s="139"/>
      <c r="W9" s="152"/>
      <c r="X9" s="202"/>
      <c r="Y9" s="1962"/>
      <c r="Z9" s="1964"/>
      <c r="AA9" s="1095" t="e">
        <f>Sheet1!$D$28</f>
        <v>#N/A</v>
      </c>
      <c r="AB9" s="758" t="e">
        <f>Sheet1!$E$28</f>
        <v>#N/A</v>
      </c>
      <c r="AC9" s="758" t="e">
        <f>Sheet1!$F$28</f>
        <v>#N/A</v>
      </c>
      <c r="AD9" s="758" t="e">
        <f>Sheet1!$G$28</f>
        <v>#N/A</v>
      </c>
      <c r="AE9" s="758" t="e">
        <f>Sheet1!$H$28</f>
        <v>#N/A</v>
      </c>
      <c r="AG9" s="190"/>
      <c r="AH9" s="190">
        <f>COLUMNS($B$4:P$4)</f>
        <v>15</v>
      </c>
      <c r="AI9" s="190"/>
      <c r="AJ9" s="160"/>
      <c r="AK9" s="1039" t="s">
        <v>676</v>
      </c>
      <c r="AL9" s="1039" t="s">
        <v>677</v>
      </c>
      <c r="AM9" s="1039" t="s">
        <v>678</v>
      </c>
      <c r="AN9" s="1039" t="s">
        <v>679</v>
      </c>
      <c r="AO9" s="1039" t="s">
        <v>680</v>
      </c>
      <c r="AQ9" s="1022"/>
      <c r="AR9" s="1022"/>
      <c r="AS9" s="1022"/>
      <c r="AT9" s="1022"/>
      <c r="AU9" s="1023"/>
      <c r="AV9" s="1023"/>
      <c r="AW9" s="1023"/>
      <c r="AX9" s="202"/>
    </row>
    <row r="10" spans="1:50" s="87" customFormat="1" ht="13.5" customHeight="1" x14ac:dyDescent="0.2">
      <c r="A10" s="488">
        <f>VLOOKUP(B10,Sheet1!$AQ$4:$AR$25,2,FALSE)</f>
        <v>0</v>
      </c>
      <c r="B10" s="93" t="str">
        <f>Sheet1!$K$4</f>
        <v>Bracknell Forest</v>
      </c>
      <c r="C10" s="85"/>
      <c r="D10" s="94" t="str">
        <f>IF(Year1_Bracknell_Forest Year1_Children_missing_Education="","",Year1_Bracknell_Forest Year1_Children_missing_Education)</f>
        <v/>
      </c>
      <c r="E10" s="94" t="str">
        <f>IF(Year2_Bracknell_Forest Year2_Children_missing_Education="","",Year2_Bracknell_Forest Year2_Children_missing_Education)</f>
        <v/>
      </c>
      <c r="F10" s="94" t="str">
        <f>IF(Year3_Bracknell_Forest Year3_Children_missing_Education="","",Year3_Bracknell_Forest Year3_Children_missing_Education)</f>
        <v/>
      </c>
      <c r="G10" s="94" t="str">
        <f>IF(Year4_Bracknell_Forest Year4_Children_missing_Education="","",Year4_Bracknell_Forest Year4_Children_missing_Education)</f>
        <v/>
      </c>
      <c r="H10" s="95" t="str">
        <f>IF(Year5_Bracknell_Forest Year5_Children_missing_Education="","",Year5_Bracknell_Forest Year5_Children_missing_Education)</f>
        <v/>
      </c>
      <c r="I10" s="1092" t="e">
        <f>AO10</f>
        <v>#DIV/0!</v>
      </c>
      <c r="J10" s="863" t="e">
        <f t="shared" ref="J10:J32" si="0">I10</f>
        <v>#DIV/0!</v>
      </c>
      <c r="K10" s="96"/>
      <c r="L10" s="97" t="e">
        <f>IF(ISNUMBER(D10),D10/Population!P45*10000,NA())</f>
        <v>#N/A</v>
      </c>
      <c r="M10" s="97" t="e">
        <f>IF(ISNUMBER(E10),E10/Population!Q45*10000,NA())</f>
        <v>#N/A</v>
      </c>
      <c r="N10" s="97" t="e">
        <f>IF(ISNUMBER(F10),F10/Population!R45*10000,NA())</f>
        <v>#N/A</v>
      </c>
      <c r="O10" s="97" t="e">
        <f>IF(ISNUMBER(G10),G10/Population!S45*10000,NA())</f>
        <v>#N/A</v>
      </c>
      <c r="P10" s="98" t="e">
        <f>IF(ISNUMBER(H10),H10/Population!T45*10000,NA())</f>
        <v>#N/A</v>
      </c>
      <c r="Q10" s="99" t="str">
        <f>IF(ISNUMBER(P10),P10,"")</f>
        <v/>
      </c>
      <c r="R10" s="934" t="e">
        <f t="shared" ref="R10:R33" si="1">IF(ISNA(VLOOKUP(B10,$AG$10:$AI$28,3,FALSE)),"--",IF(ISNUMBER(H10),VLOOKUP(B10,$AG$10:$AI$28,3,FALSE),NA()))</f>
        <v>#N/A</v>
      </c>
      <c r="S10" s="70"/>
      <c r="T10" s="752">
        <f>IDACI!C9</f>
        <v>8.9</v>
      </c>
      <c r="U10" s="122"/>
      <c r="V10" s="139"/>
      <c r="W10" s="152"/>
      <c r="X10" s="1056" t="str">
        <f>Sheet1!$K$4</f>
        <v>Bracknell Forest</v>
      </c>
      <c r="Y10" s="1097">
        <f>IF(ISNUMBER(H10),IDACI!D9,0)</f>
        <v>0</v>
      </c>
      <c r="Z10" s="1098">
        <f>IF(ISNUMBER(H10),IDACI!E9,0)</f>
        <v>0</v>
      </c>
      <c r="AA10" s="1096" t="str">
        <f>IF(ISNUMBER(D10),Population!P45,"")</f>
        <v/>
      </c>
      <c r="AB10" s="205" t="str">
        <f>IF(ISNUMBER(E10),Population!Q45,"")</f>
        <v/>
      </c>
      <c r="AC10" s="205" t="str">
        <f>IF(ISNUMBER(F10),Population!R45,"")</f>
        <v/>
      </c>
      <c r="AD10" s="205" t="str">
        <f>IF(ISNUMBER(G10),Population!S45,"")</f>
        <v/>
      </c>
      <c r="AE10" s="205" t="str">
        <f>IF(ISNUMBER(H10),Population!T45,"")</f>
        <v/>
      </c>
      <c r="AG10" s="93" t="str">
        <f>B10</f>
        <v>Bracknell Forest</v>
      </c>
      <c r="AH10" s="231" t="str">
        <f t="shared" ref="AH10:AH28" si="2">IFERROR(VLOOKUP(AG10,$B$10:$P$31,AH$9,FALSE),"")</f>
        <v/>
      </c>
      <c r="AI10" s="206" t="e">
        <f t="shared" ref="AI10:AI28" si="3">RANK(AH10,$AH$10:$AH$28,1)</f>
        <v>#VALUE!</v>
      </c>
      <c r="AJ10" s="160"/>
      <c r="AK10" s="853" t="str">
        <f t="shared" ref="AK10:AK33" si="4">IF(ISERROR((E10-D10)/D10),"x",(E10-D10)/D10)</f>
        <v>x</v>
      </c>
      <c r="AL10" s="853" t="str">
        <f t="shared" ref="AL10:AL33" si="5">IF(ISERROR((F10-E10)/E10),"x",(F10-E10)/E10)</f>
        <v>x</v>
      </c>
      <c r="AM10" s="853" t="str">
        <f t="shared" ref="AM10:AM33" si="6">IF(ISERROR((G10-F10)/F10),"x",(G10-F10)/F10)</f>
        <v>x</v>
      </c>
      <c r="AN10" s="853" t="str">
        <f t="shared" ref="AN10:AN33" si="7">IF(ISERROR((H10-G10)/G10),"x",(H10-G10)/G10)</f>
        <v>x</v>
      </c>
      <c r="AO10" s="853" t="e">
        <f>AVERAGE(AK10:AN10)</f>
        <v>#DIV/0!</v>
      </c>
      <c r="AQ10" s="1024"/>
      <c r="AR10" s="1024"/>
      <c r="AS10" s="1024"/>
      <c r="AT10" s="1024"/>
      <c r="AU10" s="1024"/>
      <c r="AV10" s="202"/>
      <c r="AW10" s="1024"/>
      <c r="AX10" s="202"/>
    </row>
    <row r="11" spans="1:50" s="87" customFormat="1" ht="13.5" customHeight="1" x14ac:dyDescent="0.2">
      <c r="A11" s="488">
        <f>VLOOKUP(B11,Sheet1!$AQ$4:$AR$25,2,FALSE)</f>
        <v>0</v>
      </c>
      <c r="B11" s="93" t="str">
        <f>Sheet1!$K$5</f>
        <v>Brighton &amp; Hove</v>
      </c>
      <c r="C11" s="85"/>
      <c r="D11" s="94" t="str">
        <f>IF(Year1_Brighton_Hove Year1_Children_missing_Education="","",Year1_Brighton_Hove Year1_Children_missing_Education)</f>
        <v/>
      </c>
      <c r="E11" s="94" t="str">
        <f>IF(Year2_Brighton_Hove Year2_Children_missing_Education="","",Year2_Brighton_Hove Year2_Children_missing_Education)</f>
        <v/>
      </c>
      <c r="F11" s="94" t="str">
        <f>IF(Year3_Brighton_Hove Year3_Children_missing_Education="","",Year3_Brighton_Hove Year3_Children_missing_Education)</f>
        <v/>
      </c>
      <c r="G11" s="94" t="str">
        <f>IF(Year4_Brighton_Hove Year4_Children_missing_Education="","",Year4_Brighton_Hove Year4_Children_missing_Education)</f>
        <v/>
      </c>
      <c r="H11" s="95" t="str">
        <f>IF(Year5_Brighton_Hove Year5_Children_missing_Education="","",Year5_Brighton_Hove Year5_Children_missing_Education)</f>
        <v/>
      </c>
      <c r="I11" s="1093" t="e">
        <f t="shared" ref="I11:I33" si="8">AO11</f>
        <v>#DIV/0!</v>
      </c>
      <c r="J11" s="863" t="e">
        <f t="shared" si="0"/>
        <v>#DIV/0!</v>
      </c>
      <c r="K11" s="96"/>
      <c r="L11" s="97" t="e">
        <f>IF(ISNUMBER(D11),D11/Population!P46*10000,NA())</f>
        <v>#N/A</v>
      </c>
      <c r="M11" s="97" t="e">
        <f>IF(ISNUMBER(E11),E11/Population!Q46*10000,NA())</f>
        <v>#N/A</v>
      </c>
      <c r="N11" s="97" t="e">
        <f>IF(ISNUMBER(F11),F11/Population!R46*10000,NA())</f>
        <v>#N/A</v>
      </c>
      <c r="O11" s="97" t="e">
        <f>IF(ISNUMBER(G11),G11/Population!S46*10000,NA())</f>
        <v>#N/A</v>
      </c>
      <c r="P11" s="98" t="e">
        <f>IF(ISNUMBER(H11),H11/Population!T46*10000,NA())</f>
        <v>#N/A</v>
      </c>
      <c r="Q11" s="99" t="str">
        <f t="shared" ref="Q11:Q32" si="9">IF(ISNUMBER(P11),P11,"")</f>
        <v/>
      </c>
      <c r="R11" s="934" t="e">
        <f t="shared" si="1"/>
        <v>#N/A</v>
      </c>
      <c r="S11" s="70"/>
      <c r="T11" s="752">
        <f>IDACI!C10</f>
        <v>15.299999999999999</v>
      </c>
      <c r="U11" s="122"/>
      <c r="V11" s="139"/>
      <c r="W11" s="152"/>
      <c r="X11" s="1056" t="str">
        <f>Sheet1!$K$5</f>
        <v>Brighton &amp; Hove</v>
      </c>
      <c r="Y11" s="1097">
        <f>IF(ISNUMBER(H11),IDACI!D10,0)</f>
        <v>0</v>
      </c>
      <c r="Z11" s="1098">
        <f>IF(ISNUMBER(H11),IDACI!E10,0)</f>
        <v>0</v>
      </c>
      <c r="AA11" s="1096" t="str">
        <f>IF(ISNUMBER(D11),Population!P46,"")</f>
        <v/>
      </c>
      <c r="AB11" s="205" t="str">
        <f>IF(ISNUMBER(E11),Population!Q46,"")</f>
        <v/>
      </c>
      <c r="AC11" s="205" t="str">
        <f>IF(ISNUMBER(F11),Population!R46,"")</f>
        <v/>
      </c>
      <c r="AD11" s="205" t="str">
        <f>IF(ISNUMBER(G11),Population!S46,"")</f>
        <v/>
      </c>
      <c r="AE11" s="205" t="str">
        <f>IF(ISNUMBER(H11),Population!T46,"")</f>
        <v/>
      </c>
      <c r="AG11" s="93" t="s">
        <v>31</v>
      </c>
      <c r="AH11" s="231" t="str">
        <f t="shared" si="2"/>
        <v/>
      </c>
      <c r="AI11" s="206" t="e">
        <f t="shared" si="3"/>
        <v>#VALUE!</v>
      </c>
      <c r="AJ11" s="160"/>
      <c r="AK11" s="853" t="str">
        <f t="shared" si="4"/>
        <v>x</v>
      </c>
      <c r="AL11" s="853" t="str">
        <f t="shared" si="5"/>
        <v>x</v>
      </c>
      <c r="AM11" s="853" t="str">
        <f t="shared" si="6"/>
        <v>x</v>
      </c>
      <c r="AN11" s="853" t="str">
        <f t="shared" si="7"/>
        <v>x</v>
      </c>
      <c r="AO11" s="853" t="e">
        <f t="shared" ref="AO11:AO32" si="10">AVERAGE(AK11:AN11)</f>
        <v>#DIV/0!</v>
      </c>
      <c r="AQ11" s="1024"/>
      <c r="AR11" s="1024"/>
      <c r="AS11" s="1024"/>
      <c r="AT11" s="1024"/>
      <c r="AU11" s="1024"/>
      <c r="AV11" s="202"/>
      <c r="AW11" s="1024"/>
      <c r="AX11" s="202"/>
    </row>
    <row r="12" spans="1:50" s="87" customFormat="1" ht="13.5" customHeight="1" x14ac:dyDescent="0.2">
      <c r="A12" s="488">
        <f>VLOOKUP(B12,Sheet1!$AQ$4:$AR$25,2,FALSE)</f>
        <v>0</v>
      </c>
      <c r="B12" s="93" t="str">
        <f>Sheet1!$K$6</f>
        <v>Buckinghamshire</v>
      </c>
      <c r="C12" s="85"/>
      <c r="D12" s="94" t="str">
        <f>IF(Year1_Buckinghamshire Year1_Children_missing_Education="","",Year1_Buckinghamshire Year1_Children_missing_Education)</f>
        <v/>
      </c>
      <c r="E12" s="94" t="str">
        <f>IF(Year2_Buckinghamshire Year2_Children_missing_Education="","",Year2_Buckinghamshire Year2_Children_missing_Education)</f>
        <v/>
      </c>
      <c r="F12" s="94" t="str">
        <f>IF(Year3_Buckinghamshire Year3_Children_missing_Education="","",Year3_Buckinghamshire Year3_Children_missing_Education)</f>
        <v/>
      </c>
      <c r="G12" s="94" t="str">
        <f>IF(Year4_Buckinghamshire Year4_Children_missing_Education="","",Year4_Buckinghamshire Year4_Children_missing_Education)</f>
        <v/>
      </c>
      <c r="H12" s="95" t="str">
        <f>IF(Year5_Buckinghamshire Year5_Children_missing_Education="","",Year5_Buckinghamshire Year5_Children_missing_Education)</f>
        <v/>
      </c>
      <c r="I12" s="1093" t="e">
        <f t="shared" si="8"/>
        <v>#DIV/0!</v>
      </c>
      <c r="J12" s="863" t="e">
        <f t="shared" si="0"/>
        <v>#DIV/0!</v>
      </c>
      <c r="K12" s="96"/>
      <c r="L12" s="97" t="e">
        <f>IF(ISNUMBER(D12),D12/Population!P47*10000,NA())</f>
        <v>#N/A</v>
      </c>
      <c r="M12" s="97" t="e">
        <f>IF(ISNUMBER(E12),E12/Population!Q47*10000,NA())</f>
        <v>#N/A</v>
      </c>
      <c r="N12" s="97" t="e">
        <f>IF(ISNUMBER(F12),F12/Population!R47*10000,NA())</f>
        <v>#N/A</v>
      </c>
      <c r="O12" s="97" t="e">
        <f>IF(ISNUMBER(G12),G12/Population!S47*10000,NA())</f>
        <v>#N/A</v>
      </c>
      <c r="P12" s="98" t="e">
        <f>IF(ISNUMBER(H12),H12/Population!T47*10000,NA())</f>
        <v>#N/A</v>
      </c>
      <c r="Q12" s="99" t="str">
        <f t="shared" si="9"/>
        <v/>
      </c>
      <c r="R12" s="934" t="e">
        <f t="shared" si="1"/>
        <v>#N/A</v>
      </c>
      <c r="S12" s="70"/>
      <c r="T12" s="752">
        <f>IDACI!C11</f>
        <v>8.5</v>
      </c>
      <c r="U12" s="122"/>
      <c r="V12" s="139"/>
      <c r="W12" s="152"/>
      <c r="X12" s="1056" t="str">
        <f>Sheet1!$K$6</f>
        <v>Buckinghamshire</v>
      </c>
      <c r="Y12" s="1097">
        <f>IF(ISNUMBER(H12),IDACI!D11,0)</f>
        <v>0</v>
      </c>
      <c r="Z12" s="1098">
        <f>IF(ISNUMBER(H12),IDACI!E11,0)</f>
        <v>0</v>
      </c>
      <c r="AA12" s="1096" t="str">
        <f>IF(ISNUMBER(D12),Population!P47,"")</f>
        <v/>
      </c>
      <c r="AB12" s="205" t="str">
        <f>IF(ISNUMBER(E12),Population!Q47,"")</f>
        <v/>
      </c>
      <c r="AC12" s="205" t="str">
        <f>IF(ISNUMBER(F12),Population!R47,"")</f>
        <v/>
      </c>
      <c r="AD12" s="205" t="str">
        <f>IF(ISNUMBER(G12),Population!S47,"")</f>
        <v/>
      </c>
      <c r="AE12" s="205" t="str">
        <f>IF(ISNUMBER(H12),Population!T47,"")</f>
        <v/>
      </c>
      <c r="AG12" s="93" t="s">
        <v>8</v>
      </c>
      <c r="AH12" s="231" t="str">
        <f t="shared" si="2"/>
        <v/>
      </c>
      <c r="AI12" s="206" t="e">
        <f t="shared" si="3"/>
        <v>#VALUE!</v>
      </c>
      <c r="AJ12" s="160"/>
      <c r="AK12" s="853" t="str">
        <f t="shared" si="4"/>
        <v>x</v>
      </c>
      <c r="AL12" s="853" t="str">
        <f t="shared" si="5"/>
        <v>x</v>
      </c>
      <c r="AM12" s="853" t="str">
        <f t="shared" si="6"/>
        <v>x</v>
      </c>
      <c r="AN12" s="853" t="str">
        <f t="shared" si="7"/>
        <v>x</v>
      </c>
      <c r="AO12" s="853" t="e">
        <f t="shared" si="10"/>
        <v>#DIV/0!</v>
      </c>
      <c r="AQ12" s="1024"/>
      <c r="AR12" s="1024"/>
      <c r="AS12" s="1024"/>
      <c r="AT12" s="1024"/>
      <c r="AU12" s="1024"/>
      <c r="AV12" s="202"/>
      <c r="AW12" s="1024"/>
      <c r="AX12" s="202"/>
    </row>
    <row r="13" spans="1:50" s="87" customFormat="1" ht="13.5" customHeight="1" x14ac:dyDescent="0.2">
      <c r="A13" s="488">
        <f>VLOOKUP(B13,Sheet1!$AQ$4:$AR$25,2,FALSE)</f>
        <v>0</v>
      </c>
      <c r="B13" s="93" t="str">
        <f>Sheet1!$K$7</f>
        <v>East Sussex</v>
      </c>
      <c r="C13" s="85"/>
      <c r="D13" s="94" t="str">
        <f>IF(Year1_East_Sussex Year1_Children_missing_Education="","",Year1_East_Sussex Year1_Children_missing_Education)</f>
        <v/>
      </c>
      <c r="E13" s="100" t="str">
        <f>IF(Year2_East_Sussex Year2_Children_missing_Education="","",Year2_East_Sussex Year2_Children_missing_Education)</f>
        <v/>
      </c>
      <c r="F13" s="94" t="str">
        <f>IF(Year3_East_Sussex Year3_Children_missing_Education="","",Year3_East_Sussex Year3_Children_missing_Education)</f>
        <v/>
      </c>
      <c r="G13" s="94" t="str">
        <f>IF(Year4_East_Sussex Year4_Children_missing_Education="","",Year4_East_Sussex Year4_Children_missing_Education)</f>
        <v/>
      </c>
      <c r="H13" s="95" t="str">
        <f>IF(Year5_East_Sussex Year5_Children_missing_Education="","",Year5_East_Sussex Year5_Children_missing_Education)</f>
        <v/>
      </c>
      <c r="I13" s="1093" t="e">
        <f t="shared" si="8"/>
        <v>#DIV/0!</v>
      </c>
      <c r="J13" s="863" t="e">
        <f t="shared" si="0"/>
        <v>#DIV/0!</v>
      </c>
      <c r="K13" s="96"/>
      <c r="L13" s="97" t="e">
        <f>IF(ISNUMBER(D13),D13/Population!P48*10000,NA())</f>
        <v>#N/A</v>
      </c>
      <c r="M13" s="97" t="e">
        <f>IF(ISNUMBER(E13),E13/Population!Q48*10000,NA())</f>
        <v>#N/A</v>
      </c>
      <c r="N13" s="97" t="e">
        <f>IF(ISNUMBER(F13),F13/Population!R48*10000,NA())</f>
        <v>#N/A</v>
      </c>
      <c r="O13" s="97" t="e">
        <f>IF(ISNUMBER(G13),G13/Population!S48*10000,NA())</f>
        <v>#N/A</v>
      </c>
      <c r="P13" s="98" t="e">
        <f>IF(ISNUMBER(H13),H13/Population!T48*10000,NA())</f>
        <v>#N/A</v>
      </c>
      <c r="Q13" s="99" t="str">
        <f t="shared" si="9"/>
        <v/>
      </c>
      <c r="R13" s="934" t="e">
        <f t="shared" si="1"/>
        <v>#N/A</v>
      </c>
      <c r="S13" s="70"/>
      <c r="T13" s="752">
        <f>IDACI!C12</f>
        <v>16.100000000000001</v>
      </c>
      <c r="U13" s="122"/>
      <c r="V13" s="139"/>
      <c r="W13" s="152"/>
      <c r="X13" s="1056" t="str">
        <f>Sheet1!$K$7</f>
        <v>East Sussex</v>
      </c>
      <c r="Y13" s="1097">
        <f>IF(ISNUMBER(H13),IDACI!D12,0)</f>
        <v>0</v>
      </c>
      <c r="Z13" s="1098">
        <f>IF(ISNUMBER(H13),IDACI!E12,0)</f>
        <v>0</v>
      </c>
      <c r="AA13" s="1096" t="str">
        <f>IF(ISNUMBER(D13),Population!P48,"")</f>
        <v/>
      </c>
      <c r="AB13" s="205" t="str">
        <f>IF(ISNUMBER(E13),Population!Q48,"")</f>
        <v/>
      </c>
      <c r="AC13" s="205" t="str">
        <f>IF(ISNUMBER(F13),Population!R48,"")</f>
        <v/>
      </c>
      <c r="AD13" s="205" t="str">
        <f>IF(ISNUMBER(G13),Population!S48,"")</f>
        <v/>
      </c>
      <c r="AE13" s="205" t="str">
        <f>IF(ISNUMBER(H13),Population!T48,"")</f>
        <v/>
      </c>
      <c r="AG13" s="93" t="s">
        <v>4</v>
      </c>
      <c r="AH13" s="231" t="str">
        <f t="shared" si="2"/>
        <v/>
      </c>
      <c r="AI13" s="206" t="e">
        <f t="shared" si="3"/>
        <v>#VALUE!</v>
      </c>
      <c r="AJ13" s="160"/>
      <c r="AK13" s="853" t="str">
        <f t="shared" si="4"/>
        <v>x</v>
      </c>
      <c r="AL13" s="853" t="str">
        <f t="shared" si="5"/>
        <v>x</v>
      </c>
      <c r="AM13" s="853" t="str">
        <f t="shared" si="6"/>
        <v>x</v>
      </c>
      <c r="AN13" s="853" t="str">
        <f t="shared" si="7"/>
        <v>x</v>
      </c>
      <c r="AO13" s="853" t="e">
        <f t="shared" si="10"/>
        <v>#DIV/0!</v>
      </c>
      <c r="AQ13" s="1024"/>
      <c r="AR13" s="1024"/>
      <c r="AS13" s="1024"/>
      <c r="AT13" s="1024"/>
      <c r="AU13" s="1024"/>
      <c r="AV13" s="202"/>
      <c r="AW13" s="1024"/>
      <c r="AX13" s="202"/>
    </row>
    <row r="14" spans="1:50" s="87" customFormat="1" ht="13.5" customHeight="1" x14ac:dyDescent="0.2">
      <c r="A14" s="488">
        <f>VLOOKUP(B14,Sheet1!$AQ$4:$AR$25,2,FALSE)</f>
        <v>0</v>
      </c>
      <c r="B14" s="93" t="str">
        <f>Sheet1!$K$8</f>
        <v>Hampshire</v>
      </c>
      <c r="C14" s="85"/>
      <c r="D14" s="94" t="str">
        <f>IF(Year1_Hampshire Year1_Children_missing_Education="","",Year1_Hampshire Year1_Children_missing_Education)</f>
        <v/>
      </c>
      <c r="E14" s="94" t="str">
        <f>IF(Year2_Hampshire Year2_Children_missing_Education="","",Year2_Hampshire Year2_Children_missing_Education)</f>
        <v/>
      </c>
      <c r="F14" s="101" t="str">
        <f>IF(Year3_Hampshire Year3_Children_missing_Education="","",Year3_Hampshire Year3_Children_missing_Education)</f>
        <v/>
      </c>
      <c r="G14" s="101" t="str">
        <f>IF(Year4_Hampshire Year4_Children_missing_Education="","",Year4_Hampshire Year4_Children_missing_Education)</f>
        <v/>
      </c>
      <c r="H14" s="95" t="str">
        <f>IF(Year5_Hampshire Year5_Children_missing_Education="","",Year5_Hampshire Year5_Children_missing_Education)</f>
        <v/>
      </c>
      <c r="I14" s="1093" t="e">
        <f t="shared" si="8"/>
        <v>#DIV/0!</v>
      </c>
      <c r="J14" s="863" t="e">
        <f t="shared" si="0"/>
        <v>#DIV/0!</v>
      </c>
      <c r="K14" s="96"/>
      <c r="L14" s="97" t="e">
        <f>IF(ISNUMBER(D14),D14/Population!P49*10000,NA())</f>
        <v>#N/A</v>
      </c>
      <c r="M14" s="97" t="e">
        <f>IF(ISNUMBER(E14),E14/Population!Q49*10000,NA())</f>
        <v>#N/A</v>
      </c>
      <c r="N14" s="97" t="e">
        <f>IF(ISNUMBER(F14),F14/Population!R49*10000,NA())</f>
        <v>#N/A</v>
      </c>
      <c r="O14" s="97" t="e">
        <f>IF(ISNUMBER(G14),G14/Population!S49*10000,NA())</f>
        <v>#N/A</v>
      </c>
      <c r="P14" s="98" t="e">
        <f>IF(ISNUMBER(H14),H14/Population!T49*10000,NA())</f>
        <v>#N/A</v>
      </c>
      <c r="Q14" s="99" t="str">
        <f t="shared" si="9"/>
        <v/>
      </c>
      <c r="R14" s="934" t="e">
        <f t="shared" si="1"/>
        <v>#N/A</v>
      </c>
      <c r="S14" s="70"/>
      <c r="T14" s="752">
        <f>IDACI!C13</f>
        <v>10.100000000000001</v>
      </c>
      <c r="U14" s="122"/>
      <c r="V14" s="139"/>
      <c r="W14" s="152"/>
      <c r="X14" s="1056" t="str">
        <f>Sheet1!$K$8</f>
        <v>Hampshire</v>
      </c>
      <c r="Y14" s="1097">
        <f>IF(ISNUMBER(H14),IDACI!D13,0)</f>
        <v>0</v>
      </c>
      <c r="Z14" s="1098">
        <f>IF(ISNUMBER(H14),IDACI!E13,0)</f>
        <v>0</v>
      </c>
      <c r="AA14" s="1096" t="str">
        <f>IF(ISNUMBER(D14),Population!P49,"")</f>
        <v/>
      </c>
      <c r="AB14" s="205" t="str">
        <f>IF(ISNUMBER(E14),Population!Q49,"")</f>
        <v/>
      </c>
      <c r="AC14" s="205" t="str">
        <f>IF(ISNUMBER(F14),Population!R49,"")</f>
        <v/>
      </c>
      <c r="AD14" s="205" t="str">
        <f>IF(ISNUMBER(G14),Population!S49,"")</f>
        <v/>
      </c>
      <c r="AE14" s="205" t="str">
        <f>IF(ISNUMBER(H14),Population!T49,"")</f>
        <v/>
      </c>
      <c r="AG14" s="93" t="s">
        <v>6</v>
      </c>
      <c r="AH14" s="231" t="str">
        <f t="shared" si="2"/>
        <v/>
      </c>
      <c r="AI14" s="206" t="e">
        <f t="shared" si="3"/>
        <v>#VALUE!</v>
      </c>
      <c r="AJ14" s="160"/>
      <c r="AK14" s="853" t="str">
        <f t="shared" si="4"/>
        <v>x</v>
      </c>
      <c r="AL14" s="853" t="str">
        <f t="shared" si="5"/>
        <v>x</v>
      </c>
      <c r="AM14" s="853" t="str">
        <f t="shared" si="6"/>
        <v>x</v>
      </c>
      <c r="AN14" s="853" t="str">
        <f t="shared" si="7"/>
        <v>x</v>
      </c>
      <c r="AO14" s="853" t="e">
        <f t="shared" si="10"/>
        <v>#DIV/0!</v>
      </c>
      <c r="AQ14" s="1024"/>
      <c r="AR14" s="1024"/>
      <c r="AS14" s="1024"/>
      <c r="AT14" s="1024"/>
      <c r="AU14" s="1024"/>
      <c r="AV14" s="202"/>
      <c r="AW14" s="1024"/>
      <c r="AX14" s="202"/>
    </row>
    <row r="15" spans="1:50" s="87" customFormat="1" ht="13.5" customHeight="1" x14ac:dyDescent="0.2">
      <c r="A15" s="488">
        <f>VLOOKUP(B15,Sheet1!$AQ$4:$AR$25,2,FALSE)</f>
        <v>0</v>
      </c>
      <c r="B15" s="93" t="str">
        <f>Sheet1!$K$9</f>
        <v>Isle of Wight</v>
      </c>
      <c r="C15" s="85"/>
      <c r="D15" s="94" t="str">
        <f>IF(Year1_Isle_of_Wight Year1_Children_missing_Education="","",Year1_Isle_of_Wight Year1_Children_missing_Education)</f>
        <v/>
      </c>
      <c r="E15" s="94" t="str">
        <f>IF(Year2_Isle_of_Wight Year2_Children_missing_Education="","",Year2_Isle_of_Wight Year2_Children_missing_Education)</f>
        <v/>
      </c>
      <c r="F15" s="94" t="str">
        <f>IF(Year3_Isle_of_Wight Year3_Children_missing_Education="","",Year3_Isle_of_Wight Year3_Children_missing_Education)</f>
        <v/>
      </c>
      <c r="G15" s="94" t="str">
        <f>IF(Year4_Isle_of_Wight Year4_Children_missing_Education="","",Year4_Isle_of_Wight Year4_Children_missing_Education)</f>
        <v/>
      </c>
      <c r="H15" s="95" t="str">
        <f>IF(Year5_Isle_of_Wight Year5_Children_missing_Education="","",Year5_Isle_of_Wight Year5_Children_missing_Education)</f>
        <v/>
      </c>
      <c r="I15" s="1093" t="e">
        <f t="shared" si="8"/>
        <v>#DIV/0!</v>
      </c>
      <c r="J15" s="863" t="e">
        <f t="shared" si="0"/>
        <v>#DIV/0!</v>
      </c>
      <c r="K15" s="96"/>
      <c r="L15" s="97" t="e">
        <f>IF(ISNUMBER(D15),D15/Population!P50*10000,NA())</f>
        <v>#N/A</v>
      </c>
      <c r="M15" s="97" t="e">
        <f>IF(ISNUMBER(E15),E15/Population!Q50*10000,NA())</f>
        <v>#N/A</v>
      </c>
      <c r="N15" s="97" t="e">
        <f>IF(ISNUMBER(F15),F15/Population!R50*10000,NA())</f>
        <v>#N/A</v>
      </c>
      <c r="O15" s="97" t="e">
        <f>IF(ISNUMBER(G15),G15/Population!S50*10000,NA())</f>
        <v>#N/A</v>
      </c>
      <c r="P15" s="98" t="e">
        <f>IF(ISNUMBER(H15),H15/Population!T50*10000,NA())</f>
        <v>#N/A</v>
      </c>
      <c r="Q15" s="99" t="str">
        <f t="shared" si="9"/>
        <v/>
      </c>
      <c r="R15" s="934" t="e">
        <f t="shared" si="1"/>
        <v>#N/A</v>
      </c>
      <c r="S15" s="70"/>
      <c r="T15" s="752">
        <f>IDACI!C14</f>
        <v>18</v>
      </c>
      <c r="U15" s="122"/>
      <c r="V15" s="139"/>
      <c r="W15" s="152"/>
      <c r="X15" s="1056" t="str">
        <f>Sheet1!$K$9</f>
        <v>Isle of Wight</v>
      </c>
      <c r="Y15" s="1097">
        <f>IF(ISNUMBER(H15),IDACI!D14,0)</f>
        <v>0</v>
      </c>
      <c r="Z15" s="1098">
        <f>IF(ISNUMBER(H15),IDACI!E14,0)</f>
        <v>0</v>
      </c>
      <c r="AA15" s="1096" t="str">
        <f>IF(ISNUMBER(D15),Population!P50,"")</f>
        <v/>
      </c>
      <c r="AB15" s="205" t="str">
        <f>IF(ISNUMBER(E15),Population!Q50,"")</f>
        <v/>
      </c>
      <c r="AC15" s="205" t="str">
        <f>IF(ISNUMBER(F15),Population!R50,"")</f>
        <v/>
      </c>
      <c r="AD15" s="205" t="str">
        <f>IF(ISNUMBER(G15),Population!S50,"")</f>
        <v/>
      </c>
      <c r="AE15" s="205" t="str">
        <f>IF(ISNUMBER(H15),Population!T50,"")</f>
        <v/>
      </c>
      <c r="AG15" s="93" t="s">
        <v>1</v>
      </c>
      <c r="AH15" s="231" t="str">
        <f t="shared" si="2"/>
        <v/>
      </c>
      <c r="AI15" s="206" t="e">
        <f t="shared" si="3"/>
        <v>#VALUE!</v>
      </c>
      <c r="AJ15" s="160"/>
      <c r="AK15" s="853" t="str">
        <f t="shared" si="4"/>
        <v>x</v>
      </c>
      <c r="AL15" s="853" t="str">
        <f t="shared" si="5"/>
        <v>x</v>
      </c>
      <c r="AM15" s="853" t="str">
        <f t="shared" si="6"/>
        <v>x</v>
      </c>
      <c r="AN15" s="853" t="str">
        <f t="shared" si="7"/>
        <v>x</v>
      </c>
      <c r="AO15" s="853" t="e">
        <f t="shared" si="10"/>
        <v>#DIV/0!</v>
      </c>
      <c r="AQ15" s="1024"/>
      <c r="AR15" s="1024"/>
      <c r="AS15" s="1024"/>
      <c r="AT15" s="1024"/>
      <c r="AU15" s="1024"/>
      <c r="AV15" s="202"/>
      <c r="AW15" s="1024"/>
      <c r="AX15" s="202"/>
    </row>
    <row r="16" spans="1:50" s="87" customFormat="1" ht="13.5" customHeight="1" x14ac:dyDescent="0.2">
      <c r="A16" s="488">
        <f>VLOOKUP(B16,Sheet1!$AQ$4:$AR$25,2,FALSE)</f>
        <v>0</v>
      </c>
      <c r="B16" s="93" t="str">
        <f>Sheet1!$K$10</f>
        <v>Kent</v>
      </c>
      <c r="C16" s="85"/>
      <c r="D16" s="94" t="str">
        <f>IF(Year1_Kent Year1_Children_missing_Education="","",Year1_Kent Year1_Children_missing_Education)</f>
        <v/>
      </c>
      <c r="E16" s="94" t="str">
        <f>IF(Year2_Kent Year2_Children_missing_Education="","",Year2_Kent Year2_Children_missing_Education)</f>
        <v/>
      </c>
      <c r="F16" s="94" t="str">
        <f>IF(Year3_Kent Year3_Children_missing_Education="","",Year3_Kent Year3_Children_missing_Education)</f>
        <v/>
      </c>
      <c r="G16" s="94" t="str">
        <f>IF(Year4_Kent Year4_Children_missing_Education="","",Year4_Kent Year4_Children_missing_Education)</f>
        <v/>
      </c>
      <c r="H16" s="95" t="str">
        <f>IF(Year5_Kent Year5_Children_missing_Education="","",Year5_Kent Year5_Children_missing_Education)</f>
        <v/>
      </c>
      <c r="I16" s="1093" t="e">
        <f t="shared" si="8"/>
        <v>#DIV/0!</v>
      </c>
      <c r="J16" s="863" t="e">
        <f t="shared" si="0"/>
        <v>#DIV/0!</v>
      </c>
      <c r="K16" s="96"/>
      <c r="L16" s="97" t="e">
        <f>IF(ISNUMBER(D16),D16/Population!P51*10000,NA())</f>
        <v>#N/A</v>
      </c>
      <c r="M16" s="97" t="e">
        <f>IF(ISNUMBER(E16),E16/Population!Q51*10000,NA())</f>
        <v>#N/A</v>
      </c>
      <c r="N16" s="97" t="e">
        <f>IF(ISNUMBER(F16),F16/Population!R51*10000,NA())</f>
        <v>#N/A</v>
      </c>
      <c r="O16" s="97" t="e">
        <f>IF(ISNUMBER(G16),G16/Population!S51*10000,NA())</f>
        <v>#N/A</v>
      </c>
      <c r="P16" s="98" t="e">
        <f>IF(ISNUMBER(H16),H16/Population!T51*10000,NA())</f>
        <v>#N/A</v>
      </c>
      <c r="Q16" s="99" t="str">
        <f t="shared" si="9"/>
        <v/>
      </c>
      <c r="R16" s="934" t="e">
        <f t="shared" si="1"/>
        <v>#N/A</v>
      </c>
      <c r="S16" s="70"/>
      <c r="T16" s="752">
        <f>IDACI!C15</f>
        <v>15.8</v>
      </c>
      <c r="U16" s="122"/>
      <c r="V16" s="139"/>
      <c r="W16" s="152"/>
      <c r="X16" s="1056" t="str">
        <f>Sheet1!$K$10</f>
        <v>Kent</v>
      </c>
      <c r="Y16" s="1097">
        <f>IF(ISNUMBER(H16),IDACI!D15,0)</f>
        <v>0</v>
      </c>
      <c r="Z16" s="1098">
        <f>IF(ISNUMBER(H16),IDACI!E15,0)</f>
        <v>0</v>
      </c>
      <c r="AA16" s="1096" t="str">
        <f>IF(ISNUMBER(D16),Population!P51,"")</f>
        <v/>
      </c>
      <c r="AB16" s="205" t="str">
        <f>IF(ISNUMBER(E16),Population!Q51,"")</f>
        <v/>
      </c>
      <c r="AC16" s="205" t="str">
        <f>IF(ISNUMBER(F16),Population!R51,"")</f>
        <v/>
      </c>
      <c r="AD16" s="205" t="str">
        <f>IF(ISNUMBER(G16),Population!S51,"")</f>
        <v/>
      </c>
      <c r="AE16" s="205" t="str">
        <f>IF(ISNUMBER(H16),Population!T51,"")</f>
        <v/>
      </c>
      <c r="AG16" s="93" t="s">
        <v>9</v>
      </c>
      <c r="AH16" s="231" t="str">
        <f t="shared" si="2"/>
        <v/>
      </c>
      <c r="AI16" s="206" t="e">
        <f t="shared" si="3"/>
        <v>#VALUE!</v>
      </c>
      <c r="AJ16" s="160"/>
      <c r="AK16" s="853" t="str">
        <f t="shared" si="4"/>
        <v>x</v>
      </c>
      <c r="AL16" s="853" t="str">
        <f t="shared" si="5"/>
        <v>x</v>
      </c>
      <c r="AM16" s="853" t="str">
        <f t="shared" si="6"/>
        <v>x</v>
      </c>
      <c r="AN16" s="853" t="str">
        <f t="shared" si="7"/>
        <v>x</v>
      </c>
      <c r="AO16" s="853" t="e">
        <f t="shared" si="10"/>
        <v>#DIV/0!</v>
      </c>
      <c r="AQ16" s="1024"/>
      <c r="AR16" s="1024"/>
      <c r="AS16" s="1024"/>
      <c r="AT16" s="1024"/>
      <c r="AU16" s="1024"/>
      <c r="AV16" s="202"/>
      <c r="AW16" s="1024"/>
      <c r="AX16" s="202"/>
    </row>
    <row r="17" spans="1:50" s="87" customFormat="1" ht="13.5" customHeight="1" x14ac:dyDescent="0.2">
      <c r="A17" s="488">
        <f>VLOOKUP(B17,Sheet1!$AQ$4:$AR$25,2,FALSE)</f>
        <v>0</v>
      </c>
      <c r="B17" s="93" t="str">
        <f>Sheet1!$K$11</f>
        <v>Medway</v>
      </c>
      <c r="C17" s="85"/>
      <c r="D17" s="94" t="str">
        <f>IF(Year1_Medway Year1_Children_missing_Education="","",Year1_Medway Year1_Children_missing_Education)</f>
        <v/>
      </c>
      <c r="E17" s="301" t="str">
        <f>IF(Year2_Medway Year2_Children_missing_Education="","",Year2_Medway Year2_Children_missing_Education)</f>
        <v/>
      </c>
      <c r="F17" s="301" t="str">
        <f>IF(Year3_Medway Year3_Children_missing_Education="","",Year3_Medway Year3_Children_missing_Education)</f>
        <v/>
      </c>
      <c r="G17" s="301" t="str">
        <f>IF(Year4_Medway Year4_Children_missing_Education="","",Year4_Medway Year4_Children_missing_Education)</f>
        <v/>
      </c>
      <c r="H17" s="302" t="str">
        <f>IF(Year5_Medway Year5_Children_missing_Education="","",Year5_Medway Year5_Children_missing_Education)</f>
        <v/>
      </c>
      <c r="I17" s="1093" t="e">
        <f t="shared" si="8"/>
        <v>#DIV/0!</v>
      </c>
      <c r="J17" s="863" t="e">
        <f t="shared" si="0"/>
        <v>#DIV/0!</v>
      </c>
      <c r="K17" s="96"/>
      <c r="L17" s="97" t="e">
        <f>IF(ISNUMBER(D17),D17/Population!P52*10000,NA())</f>
        <v>#N/A</v>
      </c>
      <c r="M17" s="97" t="e">
        <f>IF(ISNUMBER(E17),E17/Population!Q52*10000,NA())</f>
        <v>#N/A</v>
      </c>
      <c r="N17" s="97" t="e">
        <f>IF(ISNUMBER(F17),F17/Population!R52*10000,NA())</f>
        <v>#N/A</v>
      </c>
      <c r="O17" s="97" t="e">
        <f>IF(ISNUMBER(G17),G17/Population!S52*10000,NA())</f>
        <v>#N/A</v>
      </c>
      <c r="P17" s="98" t="e">
        <f>IF(ISNUMBER(H17),H17/Population!T52*10000,NA())</f>
        <v>#N/A</v>
      </c>
      <c r="Q17" s="99" t="str">
        <f t="shared" si="9"/>
        <v/>
      </c>
      <c r="R17" s="934" t="e">
        <f t="shared" si="1"/>
        <v>#N/A</v>
      </c>
      <c r="S17" s="70"/>
      <c r="T17" s="752">
        <f>IDACI!C16</f>
        <v>18.899999999999999</v>
      </c>
      <c r="U17" s="122"/>
      <c r="V17" s="139"/>
      <c r="W17" s="152"/>
      <c r="X17" s="1056" t="str">
        <f>Sheet1!$K$11</f>
        <v>Medway</v>
      </c>
      <c r="Y17" s="1097">
        <f>IF(ISNUMBER(H17),IDACI!D16,0)</f>
        <v>0</v>
      </c>
      <c r="Z17" s="1098">
        <f>IF(ISNUMBER(H17),IDACI!E16,0)</f>
        <v>0</v>
      </c>
      <c r="AA17" s="1096" t="str">
        <f>IF(ISNUMBER(D17),Population!P52,"")</f>
        <v/>
      </c>
      <c r="AB17" s="205" t="str">
        <f>IF(ISNUMBER(E17),Population!Q52,"")</f>
        <v/>
      </c>
      <c r="AC17" s="205" t="str">
        <f>IF(ISNUMBER(F17),Population!R52,"")</f>
        <v/>
      </c>
      <c r="AD17" s="205" t="str">
        <f>IF(ISNUMBER(G17),Population!S52,"")</f>
        <v/>
      </c>
      <c r="AE17" s="205" t="str">
        <f>IF(ISNUMBER(H17),Population!T52,"")</f>
        <v/>
      </c>
      <c r="AG17" s="93" t="s">
        <v>2</v>
      </c>
      <c r="AH17" s="231" t="str">
        <f t="shared" si="2"/>
        <v/>
      </c>
      <c r="AI17" s="206" t="e">
        <f t="shared" si="3"/>
        <v>#VALUE!</v>
      </c>
      <c r="AJ17" s="160"/>
      <c r="AK17" s="853" t="str">
        <f t="shared" si="4"/>
        <v>x</v>
      </c>
      <c r="AL17" s="853" t="str">
        <f t="shared" si="5"/>
        <v>x</v>
      </c>
      <c r="AM17" s="853" t="str">
        <f t="shared" si="6"/>
        <v>x</v>
      </c>
      <c r="AN17" s="853" t="str">
        <f t="shared" si="7"/>
        <v>x</v>
      </c>
      <c r="AO17" s="853" t="e">
        <f t="shared" si="10"/>
        <v>#DIV/0!</v>
      </c>
      <c r="AQ17" s="1024"/>
      <c r="AR17" s="1024"/>
      <c r="AS17" s="1024"/>
      <c r="AT17" s="1024"/>
      <c r="AU17" s="1024"/>
      <c r="AV17" s="202"/>
      <c r="AW17" s="1024"/>
      <c r="AX17" s="202"/>
    </row>
    <row r="18" spans="1:50" s="87" customFormat="1" ht="13.5" customHeight="1" x14ac:dyDescent="0.2">
      <c r="A18" s="488">
        <f>VLOOKUP(B18,Sheet1!$AQ$4:$AR$25,2,FALSE)</f>
        <v>0</v>
      </c>
      <c r="B18" s="93" t="str">
        <f>Sheet1!$K$12</f>
        <v>Milton Keynes</v>
      </c>
      <c r="C18" s="85"/>
      <c r="D18" s="94" t="str">
        <f>IF(Year1_Milton_Keynes Year1_Children_missing_Education="","",Year1_Milton_Keynes Year1_Children_missing_Education)</f>
        <v/>
      </c>
      <c r="E18" s="94" t="str">
        <f>IF(Year2_Milton_Keynes Year2_Children_missing_Education="","",Year2_Milton_Keynes Year2_Children_missing_Education)</f>
        <v/>
      </c>
      <c r="F18" s="94" t="str">
        <f>IF(Year3_Milton_Keynes Year3_Children_missing_Education="","",Year3_Milton_Keynes Year3_Children_missing_Education)</f>
        <v/>
      </c>
      <c r="G18" s="94" t="str">
        <f>IF(Year4_Milton_Keynes Year4_Children_missing_Education="","",Year4_Milton_Keynes Year4_Children_missing_Education)</f>
        <v/>
      </c>
      <c r="H18" s="95" t="str">
        <f>IF(Year5_Milton_Keynes Year5_Children_missing_Education="","",Year5_Milton_Keynes Year5_Children_missing_Education)</f>
        <v/>
      </c>
      <c r="I18" s="1093" t="e">
        <f t="shared" si="8"/>
        <v>#DIV/0!</v>
      </c>
      <c r="J18" s="863" t="e">
        <f t="shared" si="0"/>
        <v>#DIV/0!</v>
      </c>
      <c r="K18" s="96"/>
      <c r="L18" s="97" t="e">
        <f>IF(ISNUMBER(D18),D18/Population!P53*10000,NA())</f>
        <v>#N/A</v>
      </c>
      <c r="M18" s="97" t="e">
        <f>IF(ISNUMBER(E18),E18/Population!Q53*10000,NA())</f>
        <v>#N/A</v>
      </c>
      <c r="N18" s="97" t="e">
        <f>IF(ISNUMBER(F18),F18/Population!R53*10000,NA())</f>
        <v>#N/A</v>
      </c>
      <c r="O18" s="97" t="e">
        <f>IF(ISNUMBER(G18),G18/Population!S53*10000,NA())</f>
        <v>#N/A</v>
      </c>
      <c r="P18" s="98" t="e">
        <f>IF(ISNUMBER(H18),H18/Population!T53*10000,NA())</f>
        <v>#N/A</v>
      </c>
      <c r="Q18" s="99" t="str">
        <f t="shared" si="9"/>
        <v/>
      </c>
      <c r="R18" s="934" t="e">
        <f t="shared" si="1"/>
        <v>#N/A</v>
      </c>
      <c r="S18" s="70"/>
      <c r="T18" s="752">
        <f>IDACI!C17</f>
        <v>15</v>
      </c>
      <c r="U18" s="122"/>
      <c r="V18" s="139"/>
      <c r="W18" s="152"/>
      <c r="X18" s="1056" t="str">
        <f>Sheet1!$K$12</f>
        <v>Milton Keynes</v>
      </c>
      <c r="Y18" s="1097">
        <f>IF(ISNUMBER(H18),IDACI!D17,0)</f>
        <v>0</v>
      </c>
      <c r="Z18" s="1098">
        <f>IF(ISNUMBER(H18),IDACI!E17,0)</f>
        <v>0</v>
      </c>
      <c r="AA18" s="1096" t="str">
        <f>IF(ISNUMBER(D18),Population!P53,"")</f>
        <v/>
      </c>
      <c r="AB18" s="205" t="str">
        <f>IF(ISNUMBER(E18),Population!Q53,"")</f>
        <v/>
      </c>
      <c r="AC18" s="205" t="str">
        <f>IF(ISNUMBER(F18),Population!R53,"")</f>
        <v/>
      </c>
      <c r="AD18" s="205" t="str">
        <f>IF(ISNUMBER(G18),Population!S53,"")</f>
        <v/>
      </c>
      <c r="AE18" s="205" t="str">
        <f>IF(ISNUMBER(H18),Population!T53,"")</f>
        <v/>
      </c>
      <c r="AG18" s="93" t="s">
        <v>10</v>
      </c>
      <c r="AH18" s="231" t="str">
        <f t="shared" si="2"/>
        <v/>
      </c>
      <c r="AI18" s="206" t="e">
        <f t="shared" si="3"/>
        <v>#VALUE!</v>
      </c>
      <c r="AJ18" s="160"/>
      <c r="AK18" s="853" t="str">
        <f t="shared" si="4"/>
        <v>x</v>
      </c>
      <c r="AL18" s="853" t="str">
        <f t="shared" si="5"/>
        <v>x</v>
      </c>
      <c r="AM18" s="853" t="str">
        <f t="shared" si="6"/>
        <v>x</v>
      </c>
      <c r="AN18" s="853" t="str">
        <f t="shared" si="7"/>
        <v>x</v>
      </c>
      <c r="AO18" s="853" t="e">
        <f t="shared" si="10"/>
        <v>#DIV/0!</v>
      </c>
      <c r="AQ18" s="1024"/>
      <c r="AR18" s="1024"/>
      <c r="AS18" s="1024"/>
      <c r="AT18" s="1024"/>
      <c r="AU18" s="1024"/>
      <c r="AV18" s="202"/>
      <c r="AW18" s="1024"/>
      <c r="AX18" s="202"/>
    </row>
    <row r="19" spans="1:50" s="87" customFormat="1" ht="13.5" customHeight="1" x14ac:dyDescent="0.2">
      <c r="A19" s="488">
        <f>VLOOKUP(B19,Sheet1!$AQ$4:$AR$25,2,FALSE)</f>
        <v>0</v>
      </c>
      <c r="B19" s="93" t="str">
        <f>Sheet1!$K$13</f>
        <v>Oxfordshire</v>
      </c>
      <c r="C19" s="85"/>
      <c r="D19" s="94" t="str">
        <f>IF(Year1_Oxfordshire Year1_Children_missing_Education="","",Year1_Oxfordshire Year1_Children_missing_Education)</f>
        <v/>
      </c>
      <c r="E19" s="94" t="str">
        <f>IF(Year2_Oxfordshire Year2_Children_missing_Education="","",Year2_Oxfordshire Year2_Children_missing_Education)</f>
        <v/>
      </c>
      <c r="F19" s="94" t="str">
        <f>IF(Year3_Oxfordshire Year3_Children_missing_Education="","",Year3_Oxfordshire Year3_Children_missing_Education)</f>
        <v/>
      </c>
      <c r="G19" s="94" t="str">
        <f>IF(Year4_Oxfordshire Year4_Children_missing_Education="","",Year4_Oxfordshire Year4_Children_missing_Education)</f>
        <v/>
      </c>
      <c r="H19" s="95" t="str">
        <f>IF(Year5_Oxfordshire Year5_Children_missing_Education="","",Year5_Oxfordshire Year5_Children_missing_Education)</f>
        <v/>
      </c>
      <c r="I19" s="1093" t="e">
        <f t="shared" si="8"/>
        <v>#DIV/0!</v>
      </c>
      <c r="J19" s="863" t="e">
        <f t="shared" si="0"/>
        <v>#DIV/0!</v>
      </c>
      <c r="K19" s="96"/>
      <c r="L19" s="97" t="e">
        <f>IF(ISNUMBER(D19),D19/Population!P54*10000,NA())</f>
        <v>#N/A</v>
      </c>
      <c r="M19" s="97" t="e">
        <f>IF(ISNUMBER(E19),E19/Population!Q54*10000,NA())</f>
        <v>#N/A</v>
      </c>
      <c r="N19" s="97" t="e">
        <f>IF(ISNUMBER(F19),F19/Population!R54*10000,NA())</f>
        <v>#N/A</v>
      </c>
      <c r="O19" s="97" t="e">
        <f>IF(ISNUMBER(G19),G19/Population!S54*10000,NA())</f>
        <v>#N/A</v>
      </c>
      <c r="P19" s="98" t="e">
        <f>IF(ISNUMBER(H19),H19/Population!T54*10000,NA())</f>
        <v>#N/A</v>
      </c>
      <c r="Q19" s="99" t="str">
        <f t="shared" si="9"/>
        <v/>
      </c>
      <c r="R19" s="934" t="e">
        <f t="shared" si="1"/>
        <v>#N/A</v>
      </c>
      <c r="S19" s="70"/>
      <c r="T19" s="752">
        <f>IDACI!C18</f>
        <v>10.100000000000001</v>
      </c>
      <c r="U19" s="122"/>
      <c r="V19" s="139"/>
      <c r="W19" s="152"/>
      <c r="X19" s="1056" t="str">
        <f>Sheet1!$K$13</f>
        <v>Oxfordshire</v>
      </c>
      <c r="Y19" s="1097">
        <f>IF(ISNUMBER(H19),IDACI!D18,0)</f>
        <v>0</v>
      </c>
      <c r="Z19" s="1098">
        <f>IF(ISNUMBER(H19),IDACI!E18,0)</f>
        <v>0</v>
      </c>
      <c r="AA19" s="1096" t="str">
        <f>IF(ISNUMBER(D19),Population!P54,"")</f>
        <v/>
      </c>
      <c r="AB19" s="205" t="str">
        <f>IF(ISNUMBER(E19),Population!Q54,"")</f>
        <v/>
      </c>
      <c r="AC19" s="205" t="str">
        <f>IF(ISNUMBER(F19),Population!R54,"")</f>
        <v/>
      </c>
      <c r="AD19" s="205" t="str">
        <f>IF(ISNUMBER(G19),Population!S54,"")</f>
        <v/>
      </c>
      <c r="AE19" s="205" t="str">
        <f>IF(ISNUMBER(H19),Population!T54,"")</f>
        <v/>
      </c>
      <c r="AG19" s="93" t="s">
        <v>11</v>
      </c>
      <c r="AH19" s="231" t="str">
        <f t="shared" si="2"/>
        <v/>
      </c>
      <c r="AI19" s="206" t="e">
        <f t="shared" si="3"/>
        <v>#VALUE!</v>
      </c>
      <c r="AJ19" s="160"/>
      <c r="AK19" s="853" t="str">
        <f t="shared" si="4"/>
        <v>x</v>
      </c>
      <c r="AL19" s="853" t="str">
        <f t="shared" si="5"/>
        <v>x</v>
      </c>
      <c r="AM19" s="853" t="str">
        <f t="shared" si="6"/>
        <v>x</v>
      </c>
      <c r="AN19" s="853" t="str">
        <f t="shared" si="7"/>
        <v>x</v>
      </c>
      <c r="AO19" s="853" t="e">
        <f t="shared" si="10"/>
        <v>#DIV/0!</v>
      </c>
      <c r="AQ19" s="1024"/>
      <c r="AR19" s="1024"/>
      <c r="AS19" s="1024"/>
      <c r="AT19" s="1024"/>
      <c r="AU19" s="1024"/>
      <c r="AV19" s="202"/>
      <c r="AW19" s="1024"/>
      <c r="AX19" s="202"/>
    </row>
    <row r="20" spans="1:50" s="87" customFormat="1" ht="13.5" customHeight="1" x14ac:dyDescent="0.2">
      <c r="A20" s="488">
        <f>VLOOKUP(B20,Sheet1!$AQ$4:$AR$25,2,FALSE)</f>
        <v>0</v>
      </c>
      <c r="B20" s="93" t="str">
        <f>Sheet1!$K$14</f>
        <v>Portsmouth</v>
      </c>
      <c r="C20" s="85"/>
      <c r="D20" s="94" t="str">
        <f>IF(Year1_Portsmouth Year1_Children_missing_Education="","",Year1_Portsmouth Year1_Children_missing_Education)</f>
        <v/>
      </c>
      <c r="E20" s="94" t="str">
        <f>IF(Year2_Portsmouth Year2_Children_missing_Education="","",Year2_Portsmouth Year2_Children_missing_Education)</f>
        <v/>
      </c>
      <c r="F20" s="94" t="str">
        <f>IF(Year3_Portsmouth Year3_Children_missing_Education="","",Year3_Portsmouth Year3_Children_missing_Education)</f>
        <v/>
      </c>
      <c r="G20" s="94" t="str">
        <f>IF(Year4_Portsmouth Year4_Children_missing_Education="","",Year4_Portsmouth Year4_Children_missing_Education)</f>
        <v/>
      </c>
      <c r="H20" s="95" t="str">
        <f>IF(Year5_Portsmouth Year5_Children_missing_Education="","",Year5_Portsmouth Year5_Children_missing_Education)</f>
        <v/>
      </c>
      <c r="I20" s="1093" t="e">
        <f t="shared" si="8"/>
        <v>#DIV/0!</v>
      </c>
      <c r="J20" s="863" t="e">
        <f t="shared" si="0"/>
        <v>#DIV/0!</v>
      </c>
      <c r="K20" s="96"/>
      <c r="L20" s="97" t="e">
        <f>IF(ISNUMBER(D20),D20/Population!P55*10000,NA())</f>
        <v>#N/A</v>
      </c>
      <c r="M20" s="97" t="e">
        <f>IF(ISNUMBER(E20),E20/Population!Q55*10000,NA())</f>
        <v>#N/A</v>
      </c>
      <c r="N20" s="97" t="e">
        <f>IF(ISNUMBER(F20),F20/Population!R55*10000,NA())</f>
        <v>#N/A</v>
      </c>
      <c r="O20" s="97" t="e">
        <f>IF(ISNUMBER(G20),G20/Population!S55*10000,NA())</f>
        <v>#N/A</v>
      </c>
      <c r="P20" s="98" t="e">
        <f>IF(ISNUMBER(H20),H20/Population!T55*10000,NA())</f>
        <v>#N/A</v>
      </c>
      <c r="Q20" s="99" t="str">
        <f t="shared" si="9"/>
        <v/>
      </c>
      <c r="R20" s="934" t="e">
        <f t="shared" si="1"/>
        <v>#N/A</v>
      </c>
      <c r="S20" s="70"/>
      <c r="T20" s="752">
        <f>IDACI!C19</f>
        <v>20.200000000000003</v>
      </c>
      <c r="U20" s="122"/>
      <c r="V20" s="139"/>
      <c r="W20" s="152"/>
      <c r="X20" s="1056" t="str">
        <f>Sheet1!$K$14</f>
        <v>Portsmouth</v>
      </c>
      <c r="Y20" s="1097">
        <f>IF(ISNUMBER(H20),IDACI!D19,0)</f>
        <v>0</v>
      </c>
      <c r="Z20" s="1098">
        <f>IF(ISNUMBER(H20),IDACI!E19,0)</f>
        <v>0</v>
      </c>
      <c r="AA20" s="1096" t="str">
        <f>IF(ISNUMBER(D20),Population!P55,"")</f>
        <v/>
      </c>
      <c r="AB20" s="205" t="str">
        <f>IF(ISNUMBER(E20),Population!Q55,"")</f>
        <v/>
      </c>
      <c r="AC20" s="205" t="str">
        <f>IF(ISNUMBER(F20),Population!R55,"")</f>
        <v/>
      </c>
      <c r="AD20" s="205" t="str">
        <f>IF(ISNUMBER(G20),Population!S55,"")</f>
        <v/>
      </c>
      <c r="AE20" s="205" t="str">
        <f>IF(ISNUMBER(H20),Population!T55,"")</f>
        <v/>
      </c>
      <c r="AG20" s="93" t="s">
        <v>12</v>
      </c>
      <c r="AH20" s="231" t="str">
        <f t="shared" si="2"/>
        <v/>
      </c>
      <c r="AI20" s="206" t="e">
        <f t="shared" si="3"/>
        <v>#VALUE!</v>
      </c>
      <c r="AJ20" s="160"/>
      <c r="AK20" s="853" t="str">
        <f t="shared" si="4"/>
        <v>x</v>
      </c>
      <c r="AL20" s="853" t="str">
        <f t="shared" si="5"/>
        <v>x</v>
      </c>
      <c r="AM20" s="853" t="str">
        <f t="shared" si="6"/>
        <v>x</v>
      </c>
      <c r="AN20" s="853" t="str">
        <f t="shared" si="7"/>
        <v>x</v>
      </c>
      <c r="AO20" s="853" t="e">
        <f t="shared" si="10"/>
        <v>#DIV/0!</v>
      </c>
      <c r="AQ20" s="1024"/>
      <c r="AR20" s="1024"/>
      <c r="AS20" s="1024"/>
      <c r="AT20" s="1024"/>
      <c r="AU20" s="1024"/>
      <c r="AV20" s="202"/>
      <c r="AW20" s="1024"/>
      <c r="AX20" s="202"/>
    </row>
    <row r="21" spans="1:50" s="87" customFormat="1" ht="13.5" customHeight="1" x14ac:dyDescent="0.2">
      <c r="A21" s="488">
        <f>VLOOKUP(B21,Sheet1!$AQ$4:$AR$25,2,FALSE)</f>
        <v>0</v>
      </c>
      <c r="B21" s="93" t="str">
        <f>Sheet1!$K$15</f>
        <v>Reading</v>
      </c>
      <c r="C21" s="85"/>
      <c r="D21" s="94" t="str">
        <f>IF(Year1_Reading Year1_Children_missing_Education="","",Year1_Reading Year1_Children_missing_Education)</f>
        <v/>
      </c>
      <c r="E21" s="94" t="str">
        <f>IF(Year2_Reading Year2_Children_missing_Education="","",Year2_Reading Year2_Children_missing_Education)</f>
        <v/>
      </c>
      <c r="F21" s="94" t="str">
        <f>IF(Year3_Reading Year3_Children_missing_Education="","",Year3_Reading Year3_Children_missing_Education)</f>
        <v/>
      </c>
      <c r="G21" s="94" t="str">
        <f>IF(Year4_Reading Year4_Children_missing_Education="","",Year4_Reading Year4_Children_missing_Education)</f>
        <v/>
      </c>
      <c r="H21" s="95" t="str">
        <f>IF(Year5_Reading Year5_Children_missing_Education="","",Year5_Reading Year5_Children_missing_Education)</f>
        <v/>
      </c>
      <c r="I21" s="1093" t="e">
        <f t="shared" si="8"/>
        <v>#DIV/0!</v>
      </c>
      <c r="J21" s="863" t="e">
        <f t="shared" si="0"/>
        <v>#DIV/0!</v>
      </c>
      <c r="K21" s="96"/>
      <c r="L21" s="97" t="e">
        <f>IF(ISNUMBER(D21),D21/Population!P56*10000,NA())</f>
        <v>#N/A</v>
      </c>
      <c r="M21" s="97" t="e">
        <f>IF(ISNUMBER(E21),E21/Population!Q56*10000,NA())</f>
        <v>#N/A</v>
      </c>
      <c r="N21" s="97" t="e">
        <f>IF(ISNUMBER(F21),F21/Population!R56*10000,NA())</f>
        <v>#N/A</v>
      </c>
      <c r="O21" s="97" t="e">
        <f>IF(ISNUMBER(G21),G21/Population!S56*10000,NA())</f>
        <v>#N/A</v>
      </c>
      <c r="P21" s="98" t="e">
        <f>IF(ISNUMBER(H21),H21/Population!T56*10000,NA())</f>
        <v>#N/A</v>
      </c>
      <c r="Q21" s="99" t="str">
        <f t="shared" si="9"/>
        <v/>
      </c>
      <c r="R21" s="934" t="e">
        <f t="shared" si="1"/>
        <v>#N/A</v>
      </c>
      <c r="S21" s="70"/>
      <c r="T21" s="752">
        <f>IDACI!C20</f>
        <v>16</v>
      </c>
      <c r="U21" s="122"/>
      <c r="V21" s="139"/>
      <c r="W21" s="152"/>
      <c r="X21" s="1056" t="str">
        <f>Sheet1!$K$15</f>
        <v>Reading</v>
      </c>
      <c r="Y21" s="1097">
        <f>IF(ISNUMBER(H21),IDACI!D20,0)</f>
        <v>0</v>
      </c>
      <c r="Z21" s="1098">
        <f>IF(ISNUMBER(H21),IDACI!E20,0)</f>
        <v>0</v>
      </c>
      <c r="AA21" s="1096" t="str">
        <f>IF(ISNUMBER(D21),Population!P56,"")</f>
        <v/>
      </c>
      <c r="AB21" s="205" t="str">
        <f>IF(ISNUMBER(E21),Population!Q56,"")</f>
        <v/>
      </c>
      <c r="AC21" s="205" t="str">
        <f>IF(ISNUMBER(F21),Population!R56,"")</f>
        <v/>
      </c>
      <c r="AD21" s="205" t="str">
        <f>IF(ISNUMBER(G21),Population!S56,"")</f>
        <v/>
      </c>
      <c r="AE21" s="205" t="str">
        <f>IF(ISNUMBER(H21),Population!T56,"")</f>
        <v/>
      </c>
      <c r="AG21" s="93" t="s">
        <v>3</v>
      </c>
      <c r="AH21" s="231" t="str">
        <f t="shared" si="2"/>
        <v/>
      </c>
      <c r="AI21" s="206" t="e">
        <f t="shared" si="3"/>
        <v>#VALUE!</v>
      </c>
      <c r="AJ21" s="160"/>
      <c r="AK21" s="853" t="str">
        <f t="shared" si="4"/>
        <v>x</v>
      </c>
      <c r="AL21" s="853" t="str">
        <f t="shared" si="5"/>
        <v>x</v>
      </c>
      <c r="AM21" s="853" t="str">
        <f t="shared" si="6"/>
        <v>x</v>
      </c>
      <c r="AN21" s="853" t="str">
        <f t="shared" si="7"/>
        <v>x</v>
      </c>
      <c r="AO21" s="853" t="e">
        <f t="shared" si="10"/>
        <v>#DIV/0!</v>
      </c>
      <c r="AQ21" s="1024"/>
      <c r="AR21" s="1024"/>
      <c r="AS21" s="1024"/>
      <c r="AT21" s="1024"/>
      <c r="AU21" s="1024"/>
      <c r="AV21" s="202"/>
      <c r="AW21" s="1024"/>
      <c r="AX21" s="202"/>
    </row>
    <row r="22" spans="1:50" s="87" customFormat="1" ht="13.5" customHeight="1" x14ac:dyDescent="0.2">
      <c r="A22" s="488">
        <f>VLOOKUP(B22,Sheet1!$AQ$4:$AR$25,2,FALSE)</f>
        <v>0</v>
      </c>
      <c r="B22" s="93" t="str">
        <f>Sheet1!$K$16</f>
        <v>Slough</v>
      </c>
      <c r="C22" s="85"/>
      <c r="D22" s="94" t="str">
        <f>IF(Year1_Slough Year1_Children_missing_Education="","",Year1_Slough Year1_Children_missing_Education)</f>
        <v/>
      </c>
      <c r="E22" s="94" t="str">
        <f>IF(Year2_Slough Year2_Children_missing_Education="","",Year2_Slough Year2_Children_missing_Education)</f>
        <v/>
      </c>
      <c r="F22" s="94" t="str">
        <f>IF(Year3_Slough Year3_Children_missing_Education="","",Year3_Slough Year3_Children_missing_Education)</f>
        <v/>
      </c>
      <c r="G22" s="94" t="str">
        <f>IF(Year4_Slough Year4_Children_missing_Education="","",Year4_Slough Year4_Children_missing_Education)</f>
        <v/>
      </c>
      <c r="H22" s="95" t="str">
        <f>IF(Year5_Slough Year5_Children_missing_Education="","",Year5_Slough Year5_Children_missing_Education)</f>
        <v/>
      </c>
      <c r="I22" s="1093" t="e">
        <f t="shared" si="8"/>
        <v>#DIV/0!</v>
      </c>
      <c r="J22" s="863" t="e">
        <f t="shared" si="0"/>
        <v>#DIV/0!</v>
      </c>
      <c r="K22" s="96"/>
      <c r="L22" s="97" t="e">
        <f>IF(ISNUMBER(D22),D22/Population!P57*10000,NA())</f>
        <v>#N/A</v>
      </c>
      <c r="M22" s="97" t="e">
        <f>IF(ISNUMBER(E22),E22/Population!Q57*10000,NA())</f>
        <v>#N/A</v>
      </c>
      <c r="N22" s="97" t="e">
        <f>IF(ISNUMBER(F22),F22/Population!R57*10000,NA())</f>
        <v>#N/A</v>
      </c>
      <c r="O22" s="97" t="e">
        <f>IF(ISNUMBER(G22),G22/Population!S57*10000,NA())</f>
        <v>#N/A</v>
      </c>
      <c r="P22" s="98" t="e">
        <f>IF(ISNUMBER(H22),H22/Population!T57*10000,NA())</f>
        <v>#N/A</v>
      </c>
      <c r="Q22" s="99" t="str">
        <f t="shared" si="9"/>
        <v/>
      </c>
      <c r="R22" s="934" t="e">
        <f t="shared" si="1"/>
        <v>#N/A</v>
      </c>
      <c r="S22" s="70"/>
      <c r="T22" s="752">
        <f>IDACI!C21</f>
        <v>14.7</v>
      </c>
      <c r="U22" s="122"/>
      <c r="V22" s="139"/>
      <c r="W22" s="152"/>
      <c r="X22" s="1056" t="str">
        <f>Sheet1!$K$16</f>
        <v>Slough</v>
      </c>
      <c r="Y22" s="1097">
        <f>IF(ISNUMBER(H22),IDACI!D21,0)</f>
        <v>0</v>
      </c>
      <c r="Z22" s="1098">
        <f>IF(ISNUMBER(H22),IDACI!E21,0)</f>
        <v>0</v>
      </c>
      <c r="AA22" s="1096" t="str">
        <f>IF(ISNUMBER(D22),Population!P57,"")</f>
        <v/>
      </c>
      <c r="AB22" s="205" t="str">
        <f>IF(ISNUMBER(E22),Population!Q57,"")</f>
        <v/>
      </c>
      <c r="AC22" s="205" t="str">
        <f>IF(ISNUMBER(F22),Population!R57,"")</f>
        <v/>
      </c>
      <c r="AD22" s="205" t="str">
        <f>IF(ISNUMBER(G22),Population!S57,"")</f>
        <v/>
      </c>
      <c r="AE22" s="205" t="str">
        <f>IF(ISNUMBER(H22),Population!T57,"")</f>
        <v/>
      </c>
      <c r="AG22" s="93" t="s">
        <v>13</v>
      </c>
      <c r="AH22" s="231" t="str">
        <f t="shared" si="2"/>
        <v/>
      </c>
      <c r="AI22" s="206" t="e">
        <f t="shared" si="3"/>
        <v>#VALUE!</v>
      </c>
      <c r="AJ22" s="160"/>
      <c r="AK22" s="853" t="str">
        <f t="shared" si="4"/>
        <v>x</v>
      </c>
      <c r="AL22" s="853" t="str">
        <f t="shared" si="5"/>
        <v>x</v>
      </c>
      <c r="AM22" s="853" t="str">
        <f t="shared" si="6"/>
        <v>x</v>
      </c>
      <c r="AN22" s="853" t="str">
        <f t="shared" si="7"/>
        <v>x</v>
      </c>
      <c r="AO22" s="853" t="e">
        <f t="shared" si="10"/>
        <v>#DIV/0!</v>
      </c>
      <c r="AQ22" s="1024"/>
      <c r="AR22" s="1024"/>
      <c r="AS22" s="1024"/>
      <c r="AT22" s="1024"/>
      <c r="AU22" s="1024"/>
      <c r="AV22" s="202"/>
      <c r="AW22" s="1024"/>
      <c r="AX22" s="202"/>
    </row>
    <row r="23" spans="1:50" s="87" customFormat="1" ht="13.5" customHeight="1" x14ac:dyDescent="0.2">
      <c r="A23" s="488">
        <f>VLOOKUP(B23,Sheet1!$AQ$4:$AR$25,2,FALSE)</f>
        <v>0</v>
      </c>
      <c r="B23" s="93" t="str">
        <f>Sheet1!$K$17</f>
        <v>Somerset</v>
      </c>
      <c r="C23" s="85"/>
      <c r="D23" s="94" t="str">
        <f>IF(Year1_Somerset Year1_Children_missing_Education="","",Year1_Somerset Year1_Children_missing_Education)</f>
        <v/>
      </c>
      <c r="E23" s="94" t="str">
        <f>IF(Year2_Somerset Year2_Children_missing_Education="","",Year2_Somerset Year2_Children_missing_Education)</f>
        <v/>
      </c>
      <c r="F23" s="94" t="str">
        <f>IF(Year3_Somerset Year3_Children_missing_Education="","",Year3_Somerset Year3_Children_missing_Education)</f>
        <v/>
      </c>
      <c r="G23" s="94" t="str">
        <f>IF(Year4_Somerset Year4_Children_missing_Education="","",Year4_Somerset Year4_Children_missing_Education)</f>
        <v/>
      </c>
      <c r="H23" s="95" t="str">
        <f>IF(Year5_Somerset Year5_Children_missing_Education="","",Year5_Somerset Year5_Children_missing_Education)</f>
        <v/>
      </c>
      <c r="I23" s="1093" t="e">
        <f t="shared" si="8"/>
        <v>#DIV/0!</v>
      </c>
      <c r="J23" s="863" t="e">
        <f t="shared" si="0"/>
        <v>#DIV/0!</v>
      </c>
      <c r="K23" s="96"/>
      <c r="L23" s="97" t="e">
        <f>IF(ISNUMBER(D23),D23/Population!P58*10000,NA())</f>
        <v>#N/A</v>
      </c>
      <c r="M23" s="97" t="e">
        <f>IF(ISNUMBER(E23),E23/Population!Q58*10000,NA())</f>
        <v>#N/A</v>
      </c>
      <c r="N23" s="97" t="e">
        <f>IF(ISNUMBER(F23),F23/Population!R58*10000,NA())</f>
        <v>#N/A</v>
      </c>
      <c r="O23" s="97" t="e">
        <f>IF(ISNUMBER(G23),G23/Population!S58*10000,NA())</f>
        <v>#N/A</v>
      </c>
      <c r="P23" s="98" t="e">
        <f>IF(ISNUMBER(H23),H23/Population!T58*10000,NA())</f>
        <v>#N/A</v>
      </c>
      <c r="Q23" s="99" t="str">
        <f t="shared" si="9"/>
        <v/>
      </c>
      <c r="R23" s="370" t="str">
        <f t="shared" si="1"/>
        <v>--</v>
      </c>
      <c r="S23" s="70"/>
      <c r="T23" s="752">
        <f>IDACI!C22</f>
        <v>13.600000000000001</v>
      </c>
      <c r="U23" s="122"/>
      <c r="V23" s="139"/>
      <c r="W23" s="152"/>
      <c r="X23" s="1056" t="str">
        <f>Sheet1!$K$17</f>
        <v>Somerset</v>
      </c>
      <c r="Y23" s="1097">
        <f>IF(ISNUMBER(H23),IDACI!D22,0)</f>
        <v>0</v>
      </c>
      <c r="Z23" s="1098">
        <f>IF(ISNUMBER(H23),IDACI!E22,0)</f>
        <v>0</v>
      </c>
      <c r="AA23" s="1096" t="str">
        <f>IF(ISNUMBER(D23),Population!P58,"")</f>
        <v/>
      </c>
      <c r="AB23" s="205" t="str">
        <f>IF(ISNUMBER(E23),Population!Q58,"")</f>
        <v/>
      </c>
      <c r="AC23" s="205" t="str">
        <f>IF(ISNUMBER(F23),Population!R58,"")</f>
        <v/>
      </c>
      <c r="AD23" s="205" t="str">
        <f>IF(ISNUMBER(G23),Population!S58,"")</f>
        <v/>
      </c>
      <c r="AE23" s="205" t="str">
        <f>IF(ISNUMBER(H23),Population!T58,"")</f>
        <v/>
      </c>
      <c r="AG23" s="93" t="s">
        <v>14</v>
      </c>
      <c r="AH23" s="231" t="str">
        <f t="shared" si="2"/>
        <v/>
      </c>
      <c r="AI23" s="206" t="e">
        <f t="shared" si="3"/>
        <v>#VALUE!</v>
      </c>
      <c r="AJ23" s="160"/>
      <c r="AK23" s="853" t="str">
        <f t="shared" si="4"/>
        <v>x</v>
      </c>
      <c r="AL23" s="853" t="str">
        <f t="shared" si="5"/>
        <v>x</v>
      </c>
      <c r="AM23" s="853" t="str">
        <f t="shared" si="6"/>
        <v>x</v>
      </c>
      <c r="AN23" s="853" t="str">
        <f t="shared" si="7"/>
        <v>x</v>
      </c>
      <c r="AO23" s="853" t="e">
        <f t="shared" si="10"/>
        <v>#DIV/0!</v>
      </c>
      <c r="AQ23" s="1024"/>
      <c r="AR23" s="1024"/>
      <c r="AS23" s="1024"/>
      <c r="AT23" s="1024"/>
      <c r="AU23" s="1024"/>
      <c r="AV23" s="202"/>
      <c r="AW23" s="1024"/>
      <c r="AX23" s="202"/>
    </row>
    <row r="24" spans="1:50" s="87" customFormat="1" ht="13.5" customHeight="1" x14ac:dyDescent="0.2">
      <c r="A24" s="488">
        <f>VLOOKUP(B24,Sheet1!$AQ$4:$AR$25,2,FALSE)</f>
        <v>0</v>
      </c>
      <c r="B24" s="93" t="str">
        <f>Sheet1!$K$18</f>
        <v>Southampton</v>
      </c>
      <c r="C24" s="85"/>
      <c r="D24" s="94" t="str">
        <f>IF(Year1_Southampton Year1_Children_missing_Education="","",Year1_Southampton Year1_Children_missing_Education)</f>
        <v/>
      </c>
      <c r="E24" s="94" t="str">
        <f>IF(Year2_Southampton Year2_Children_missing_Education="","",Year2_Southampton Year2_Children_missing_Education)</f>
        <v/>
      </c>
      <c r="F24" s="94" t="str">
        <f>IF(Year3_Southampton Year3_Children_missing_Education="","",Year3_Southampton Year3_Children_missing_Education)</f>
        <v/>
      </c>
      <c r="G24" s="94" t="str">
        <f>IF(Year4_Southampton Year4_Children_missing_Education="","",Year4_Southampton Year4_Children_missing_Education)</f>
        <v/>
      </c>
      <c r="H24" s="95" t="str">
        <f>IF(Year5_Southampton Year5_Children_missing_Education="","",Year5_Southampton Year5_Children_missing_Education)</f>
        <v/>
      </c>
      <c r="I24" s="1093" t="e">
        <f t="shared" si="8"/>
        <v>#DIV/0!</v>
      </c>
      <c r="J24" s="863" t="e">
        <f t="shared" si="0"/>
        <v>#DIV/0!</v>
      </c>
      <c r="K24" s="96"/>
      <c r="L24" s="97" t="e">
        <f>IF(ISNUMBER(D24),D24/Population!P59*10000,NA())</f>
        <v>#N/A</v>
      </c>
      <c r="M24" s="97" t="e">
        <f>IF(ISNUMBER(E24),E24/Population!Q59*10000,NA())</f>
        <v>#N/A</v>
      </c>
      <c r="N24" s="97" t="e">
        <f>IF(ISNUMBER(F24),F24/Population!R59*10000,NA())</f>
        <v>#N/A</v>
      </c>
      <c r="O24" s="97" t="e">
        <f>IF(ISNUMBER(G24),G24/Population!S59*10000,NA())</f>
        <v>#N/A</v>
      </c>
      <c r="P24" s="98" t="e">
        <f>IF(ISNUMBER(H24),H24/Population!T59*10000,NA())</f>
        <v>#N/A</v>
      </c>
      <c r="Q24" s="99" t="str">
        <f t="shared" si="9"/>
        <v/>
      </c>
      <c r="R24" s="934" t="e">
        <f t="shared" si="1"/>
        <v>#N/A</v>
      </c>
      <c r="S24" s="70"/>
      <c r="T24" s="752">
        <f>IDACI!C23</f>
        <v>20.5</v>
      </c>
      <c r="U24" s="122"/>
      <c r="V24" s="139"/>
      <c r="W24" s="152"/>
      <c r="X24" s="1056" t="str">
        <f>Sheet1!$K$18</f>
        <v>Southampton</v>
      </c>
      <c r="Y24" s="1097">
        <f>IF(ISNUMBER(H24),IDACI!D23,0)</f>
        <v>0</v>
      </c>
      <c r="Z24" s="1098">
        <f>IF(ISNUMBER(H24),IDACI!E23,0)</f>
        <v>0</v>
      </c>
      <c r="AA24" s="1096" t="str">
        <f>IF(ISNUMBER(D24),Population!P59,"")</f>
        <v/>
      </c>
      <c r="AB24" s="205" t="str">
        <f>IF(ISNUMBER(E24),Population!Q59,"")</f>
        <v/>
      </c>
      <c r="AC24" s="205" t="str">
        <f>IF(ISNUMBER(F24),Population!R59,"")</f>
        <v/>
      </c>
      <c r="AD24" s="205" t="str">
        <f>IF(ISNUMBER(G24),Population!S59,"")</f>
        <v/>
      </c>
      <c r="AE24" s="205" t="str">
        <f>IF(ISNUMBER(H24),Population!T59,"")</f>
        <v/>
      </c>
      <c r="AG24" s="93" t="s">
        <v>7</v>
      </c>
      <c r="AH24" s="231" t="str">
        <f t="shared" si="2"/>
        <v/>
      </c>
      <c r="AI24" s="206" t="e">
        <f t="shared" si="3"/>
        <v>#VALUE!</v>
      </c>
      <c r="AJ24" s="160"/>
      <c r="AK24" s="853" t="str">
        <f t="shared" si="4"/>
        <v>x</v>
      </c>
      <c r="AL24" s="853" t="str">
        <f t="shared" si="5"/>
        <v>x</v>
      </c>
      <c r="AM24" s="853" t="str">
        <f t="shared" si="6"/>
        <v>x</v>
      </c>
      <c r="AN24" s="853" t="str">
        <f t="shared" si="7"/>
        <v>x</v>
      </c>
      <c r="AO24" s="853" t="e">
        <f t="shared" si="10"/>
        <v>#DIV/0!</v>
      </c>
      <c r="AQ24" s="1024"/>
      <c r="AR24" s="1024"/>
      <c r="AS24" s="1024"/>
      <c r="AT24" s="1024"/>
      <c r="AU24" s="1024"/>
      <c r="AV24" s="202"/>
      <c r="AW24" s="1024"/>
      <c r="AX24" s="202"/>
    </row>
    <row r="25" spans="1:50" s="87" customFormat="1" ht="13.5" customHeight="1" x14ac:dyDescent="0.2">
      <c r="A25" s="488">
        <f>VLOOKUP(B25,Sheet1!$AQ$4:$AR$25,2,FALSE)</f>
        <v>0</v>
      </c>
      <c r="B25" s="93" t="str">
        <f>Sheet1!$K$19</f>
        <v>Surrey</v>
      </c>
      <c r="C25" s="85"/>
      <c r="D25" s="94" t="str">
        <f>IF(Year1_Surrey Year1_Children_missing_Education="","",Year1_Surrey Year1_Children_missing_Education)</f>
        <v/>
      </c>
      <c r="E25" s="94" t="str">
        <f>IF(Year2_Surrey Year2_Children_missing_Education="","",Year2_Surrey Year2_Children_missing_Education)</f>
        <v/>
      </c>
      <c r="F25" s="94" t="str">
        <f>IF(Year3_Surrey Year3_Children_missing_Education="","",Year3_Surrey Year3_Children_missing_Education)</f>
        <v/>
      </c>
      <c r="G25" s="94" t="str">
        <f>IF(Year4_Surrey Year4_Children_missing_Education="","",Year4_Surrey Year4_Children_missing_Education)</f>
        <v/>
      </c>
      <c r="H25" s="95" t="str">
        <f>IF(Year5_Surrey Year5_Children_missing_Education="","",Year5_Surrey Year5_Children_missing_Education)</f>
        <v/>
      </c>
      <c r="I25" s="1093" t="e">
        <f t="shared" si="8"/>
        <v>#DIV/0!</v>
      </c>
      <c r="J25" s="863" t="e">
        <f t="shared" si="0"/>
        <v>#DIV/0!</v>
      </c>
      <c r="K25" s="96"/>
      <c r="L25" s="97" t="e">
        <f>IF(ISNUMBER(D25),D25/Population!P60*10000,NA())</f>
        <v>#N/A</v>
      </c>
      <c r="M25" s="97" t="e">
        <f>IF(ISNUMBER(E25),E25/Population!Q60*10000,NA())</f>
        <v>#N/A</v>
      </c>
      <c r="N25" s="97" t="e">
        <f>IF(ISNUMBER(F25),F25/Population!R60*10000,NA())</f>
        <v>#N/A</v>
      </c>
      <c r="O25" s="97" t="e">
        <f>IF(ISNUMBER(G25),G25/Population!S60*10000,NA())</f>
        <v>#N/A</v>
      </c>
      <c r="P25" s="98" t="e">
        <f>IF(ISNUMBER(H25),H25/Population!T60*10000,NA())</f>
        <v>#N/A</v>
      </c>
      <c r="Q25" s="99" t="str">
        <f t="shared" si="9"/>
        <v/>
      </c>
      <c r="R25" s="934" t="e">
        <f t="shared" si="1"/>
        <v>#N/A</v>
      </c>
      <c r="S25" s="70"/>
      <c r="T25" s="752">
        <f>IDACI!C24</f>
        <v>8.3000000000000007</v>
      </c>
      <c r="U25" s="122"/>
      <c r="V25" s="139"/>
      <c r="W25" s="152"/>
      <c r="X25" s="1056" t="str">
        <f>Sheet1!$K$19</f>
        <v>Surrey</v>
      </c>
      <c r="Y25" s="1097">
        <f>IF(ISNUMBER(H25),IDACI!D24,0)</f>
        <v>0</v>
      </c>
      <c r="Z25" s="1098">
        <f>IF(ISNUMBER(H25),IDACI!E24,0)</f>
        <v>0</v>
      </c>
      <c r="AA25" s="1096" t="str">
        <f>IF(ISNUMBER(D25),Population!P60,"")</f>
        <v/>
      </c>
      <c r="AB25" s="205" t="str">
        <f>IF(ISNUMBER(E25),Population!Q60,"")</f>
        <v/>
      </c>
      <c r="AC25" s="205" t="str">
        <f>IF(ISNUMBER(F25),Population!R60,"")</f>
        <v/>
      </c>
      <c r="AD25" s="205" t="str">
        <f>IF(ISNUMBER(G25),Population!S60,"")</f>
        <v/>
      </c>
      <c r="AE25" s="205" t="str">
        <f>IF(ISNUMBER(H25),Population!T60,"")</f>
        <v/>
      </c>
      <c r="AG25" s="93" t="s">
        <v>15</v>
      </c>
      <c r="AH25" s="231" t="str">
        <f t="shared" si="2"/>
        <v/>
      </c>
      <c r="AI25" s="206" t="e">
        <f t="shared" si="3"/>
        <v>#VALUE!</v>
      </c>
      <c r="AJ25" s="160"/>
      <c r="AK25" s="853" t="str">
        <f t="shared" si="4"/>
        <v>x</v>
      </c>
      <c r="AL25" s="853" t="str">
        <f t="shared" si="5"/>
        <v>x</v>
      </c>
      <c r="AM25" s="853" t="str">
        <f t="shared" si="6"/>
        <v>x</v>
      </c>
      <c r="AN25" s="853" t="str">
        <f t="shared" si="7"/>
        <v>x</v>
      </c>
      <c r="AO25" s="853" t="e">
        <f t="shared" si="10"/>
        <v>#DIV/0!</v>
      </c>
      <c r="AQ25" s="1024"/>
      <c r="AR25" s="1024"/>
      <c r="AS25" s="1024"/>
      <c r="AT25" s="1024"/>
      <c r="AU25" s="1024"/>
      <c r="AV25" s="202"/>
      <c r="AW25" s="1024"/>
      <c r="AX25" s="202"/>
    </row>
    <row r="26" spans="1:50" s="87" customFormat="1" ht="13.5" customHeight="1" x14ac:dyDescent="0.2">
      <c r="A26" s="488">
        <f>VLOOKUP(B26,Sheet1!$AQ$4:$AR$25,2,FALSE)</f>
        <v>0</v>
      </c>
      <c r="B26" s="93" t="str">
        <f>Sheet1!$K$20</f>
        <v>Swindon</v>
      </c>
      <c r="C26" s="85"/>
      <c r="D26" s="94" t="str">
        <f>IF(Year1_Swindon Year1_Children_missing_Education="","",Year1_Swindon Year1_Children_missing_Education)</f>
        <v/>
      </c>
      <c r="E26" s="94" t="str">
        <f>IF(Year2_Swindon Year2_Children_missing_Education="","",Year2_Swindon Year2_Children_missing_Education)</f>
        <v/>
      </c>
      <c r="F26" s="94" t="str">
        <f>IF(Year3_Swindon Year3_Children_missing_Education="","",Year3_Swindon Year3_Children_missing_Education)</f>
        <v/>
      </c>
      <c r="G26" s="94" t="str">
        <f>IF(Year4_Swindon Year4_Children_missing_Education="","",Year4_Swindon Year4_Children_missing_Education)</f>
        <v/>
      </c>
      <c r="H26" s="95" t="str">
        <f>IF(Year5_Swindon Year5_Children_missing_Education="","",Year5_Swindon Year5_Children_missing_Education)</f>
        <v/>
      </c>
      <c r="I26" s="1093" t="e">
        <f t="shared" si="8"/>
        <v>#DIV/0!</v>
      </c>
      <c r="J26" s="863" t="e">
        <f t="shared" si="0"/>
        <v>#DIV/0!</v>
      </c>
      <c r="K26" s="96"/>
      <c r="L26" s="97" t="e">
        <f>IF(ISNUMBER(D26),D26/Population!P61*10000,NA())</f>
        <v>#N/A</v>
      </c>
      <c r="M26" s="97" t="e">
        <f>IF(ISNUMBER(E26),E26/Population!Q61*10000,NA())</f>
        <v>#N/A</v>
      </c>
      <c r="N26" s="97" t="e">
        <f>IF(ISNUMBER(F26),F26/Population!R61*10000,NA())</f>
        <v>#N/A</v>
      </c>
      <c r="O26" s="97" t="e">
        <f>IF(ISNUMBER(G26),G26/Population!S61*10000,NA())</f>
        <v>#N/A</v>
      </c>
      <c r="P26" s="98" t="e">
        <f>IF(ISNUMBER(H26),H26/Population!T61*10000,NA())</f>
        <v>#N/A</v>
      </c>
      <c r="Q26" s="99" t="str">
        <f t="shared" si="9"/>
        <v/>
      </c>
      <c r="R26" s="370" t="str">
        <f t="shared" si="1"/>
        <v>--</v>
      </c>
      <c r="S26" s="70"/>
      <c r="T26" s="752">
        <f>IDACI!C25</f>
        <v>14.899999999999999</v>
      </c>
      <c r="U26" s="122"/>
      <c r="V26" s="139"/>
      <c r="W26" s="152"/>
      <c r="X26" s="1056" t="str">
        <f>Sheet1!$K$20</f>
        <v>Swindon</v>
      </c>
      <c r="Y26" s="1097">
        <f>IF(ISNUMBER(H26),IDACI!D25,0)</f>
        <v>0</v>
      </c>
      <c r="Z26" s="1098">
        <f>IF(ISNUMBER(H26),IDACI!E25,0)</f>
        <v>0</v>
      </c>
      <c r="AA26" s="1096" t="str">
        <f>IF(ISNUMBER(D26),Population!P61,"")</f>
        <v/>
      </c>
      <c r="AB26" s="205" t="str">
        <f>IF(ISNUMBER(E26),Population!Q61,"")</f>
        <v/>
      </c>
      <c r="AC26" s="205" t="str">
        <f>IF(ISNUMBER(F26),Population!R61,"")</f>
        <v/>
      </c>
      <c r="AD26" s="205" t="str">
        <f>IF(ISNUMBER(G26),Population!S61,"")</f>
        <v/>
      </c>
      <c r="AE26" s="205" t="str">
        <f>IF(ISNUMBER(H26),Population!T61,"")</f>
        <v/>
      </c>
      <c r="AG26" s="93" t="s">
        <v>5</v>
      </c>
      <c r="AH26" s="231" t="str">
        <f t="shared" si="2"/>
        <v/>
      </c>
      <c r="AI26" s="206" t="e">
        <f t="shared" si="3"/>
        <v>#VALUE!</v>
      </c>
      <c r="AJ26" s="160"/>
      <c r="AK26" s="853" t="str">
        <f t="shared" si="4"/>
        <v>x</v>
      </c>
      <c r="AL26" s="853" t="str">
        <f t="shared" si="5"/>
        <v>x</v>
      </c>
      <c r="AM26" s="853" t="str">
        <f t="shared" si="6"/>
        <v>x</v>
      </c>
      <c r="AN26" s="853" t="str">
        <f t="shared" si="7"/>
        <v>x</v>
      </c>
      <c r="AO26" s="853" t="e">
        <f t="shared" si="10"/>
        <v>#DIV/0!</v>
      </c>
      <c r="AQ26" s="1024"/>
      <c r="AR26" s="1024"/>
      <c r="AS26" s="1024"/>
      <c r="AT26" s="1024"/>
      <c r="AU26" s="1024"/>
      <c r="AV26" s="202"/>
      <c r="AW26" s="1024"/>
      <c r="AX26" s="202"/>
    </row>
    <row r="27" spans="1:50" s="87" customFormat="1" ht="13.5" customHeight="1" x14ac:dyDescent="0.2">
      <c r="A27" s="488">
        <f>VLOOKUP(B27,Sheet1!$AQ$4:$AR$25,2,FALSE)</f>
        <v>0</v>
      </c>
      <c r="B27" s="93" t="str">
        <f>Sheet1!$K$21</f>
        <v>Torbay</v>
      </c>
      <c r="C27" s="85"/>
      <c r="D27" s="94" t="str">
        <f>IF(Year1_Torbay Year1_Children_missing_Education="","",Year1_Torbay Year1_Children_missing_Education)</f>
        <v/>
      </c>
      <c r="E27" s="94" t="str">
        <f>IF(Year2_Torbay Year2_Children_missing_Education="","",Year2_Torbay Year2_Children_missing_Education)</f>
        <v/>
      </c>
      <c r="F27" s="94" t="str">
        <f>IF(Year3_Torbay Year3_Children_missing_Education="","",Year3_Torbay Year3_Children_missing_Education)</f>
        <v/>
      </c>
      <c r="G27" s="94" t="str">
        <f>IF(Year4_Torbay Year4_Children_missing_Education="","",Year4_Torbay Year4_Children_missing_Education)</f>
        <v/>
      </c>
      <c r="H27" s="95" t="str">
        <f>IF(Year5_Torbay Year5_Children_missing_Education="","",Year5_Torbay Year5_Children_missing_Education)</f>
        <v/>
      </c>
      <c r="I27" s="1093" t="e">
        <f t="shared" si="8"/>
        <v>#DIV/0!</v>
      </c>
      <c r="J27" s="863" t="e">
        <f t="shared" si="0"/>
        <v>#DIV/0!</v>
      </c>
      <c r="K27" s="96"/>
      <c r="L27" s="97" t="e">
        <f>IF(ISNUMBER(D27),D27/Population!P62*10000,NA())</f>
        <v>#N/A</v>
      </c>
      <c r="M27" s="97" t="e">
        <f>IF(ISNUMBER(E27),E27/Population!Q62*10000,NA())</f>
        <v>#N/A</v>
      </c>
      <c r="N27" s="97" t="e">
        <f>IF(ISNUMBER(F27),F27/Population!R62*10000,NA())</f>
        <v>#N/A</v>
      </c>
      <c r="O27" s="97" t="e">
        <f>IF(ISNUMBER(G27),G27/Population!S62*10000,NA())</f>
        <v>#N/A</v>
      </c>
      <c r="P27" s="98" t="e">
        <f>IF(ISNUMBER(H27),H27/Population!T62*10000,NA())</f>
        <v>#N/A</v>
      </c>
      <c r="Q27" s="99" t="str">
        <f t="shared" si="9"/>
        <v/>
      </c>
      <c r="R27" s="370" t="str">
        <f t="shared" si="1"/>
        <v>--</v>
      </c>
      <c r="S27" s="70"/>
      <c r="T27" s="752">
        <f>IDACI!C26</f>
        <v>21.9</v>
      </c>
      <c r="U27" s="122"/>
      <c r="V27" s="139"/>
      <c r="W27" s="152"/>
      <c r="X27" s="1056" t="str">
        <f>Sheet1!$K$21</f>
        <v>Torbay</v>
      </c>
      <c r="Y27" s="1097">
        <f>IF(ISNUMBER(H27),IDACI!D26,0)</f>
        <v>0</v>
      </c>
      <c r="Z27" s="1098">
        <f>IF(ISNUMBER(H27),IDACI!E26,0)</f>
        <v>0</v>
      </c>
      <c r="AA27" s="1096" t="str">
        <f>IF(ISNUMBER(D27),Population!P62,"")</f>
        <v/>
      </c>
      <c r="AB27" s="205" t="str">
        <f>IF(ISNUMBER(E27),Population!Q62,"")</f>
        <v/>
      </c>
      <c r="AC27" s="205" t="str">
        <f>IF(ISNUMBER(F27),Population!R62,"")</f>
        <v/>
      </c>
      <c r="AD27" s="205" t="str">
        <f>IF(ISNUMBER(G27),Population!S62,"")</f>
        <v/>
      </c>
      <c r="AE27" s="205" t="str">
        <f>IF(ISNUMBER(H27),Population!T62,"")</f>
        <v/>
      </c>
      <c r="AG27" s="93" t="s">
        <v>30</v>
      </c>
      <c r="AH27" s="231" t="str">
        <f t="shared" si="2"/>
        <v/>
      </c>
      <c r="AI27" s="206" t="e">
        <f t="shared" si="3"/>
        <v>#VALUE!</v>
      </c>
      <c r="AJ27" s="160"/>
      <c r="AK27" s="853" t="str">
        <f t="shared" si="4"/>
        <v>x</v>
      </c>
      <c r="AL27" s="853" t="str">
        <f t="shared" si="5"/>
        <v>x</v>
      </c>
      <c r="AM27" s="853" t="str">
        <f t="shared" si="6"/>
        <v>x</v>
      </c>
      <c r="AN27" s="853" t="str">
        <f t="shared" si="7"/>
        <v>x</v>
      </c>
      <c r="AO27" s="853" t="e">
        <f t="shared" si="10"/>
        <v>#DIV/0!</v>
      </c>
      <c r="AQ27" s="1024"/>
      <c r="AR27" s="1024"/>
      <c r="AS27" s="1024"/>
      <c r="AT27" s="1024"/>
      <c r="AU27" s="1024"/>
      <c r="AV27" s="202"/>
      <c r="AW27" s="1024"/>
      <c r="AX27" s="202"/>
    </row>
    <row r="28" spans="1:50" s="87" customFormat="1" ht="13.5" customHeight="1" x14ac:dyDescent="0.2">
      <c r="A28" s="488">
        <f>VLOOKUP(B28,Sheet1!$AQ$4:$AR$25,2,FALSE)</f>
        <v>0</v>
      </c>
      <c r="B28" s="93" t="str">
        <f>Sheet1!$K$22</f>
        <v>West Berkshire</v>
      </c>
      <c r="C28" s="85"/>
      <c r="D28" s="94" t="str">
        <f>IF(Year1_West_Berkshire Year1_Children_missing_Education="","",Year1_West_Berkshire Year1_Children_missing_Education)</f>
        <v/>
      </c>
      <c r="E28" s="100" t="str">
        <f>IF(Year2_West_Berkshire Year2_Children_missing_Education="","",Year2_West_Berkshire Year2_Children_missing_Education)</f>
        <v/>
      </c>
      <c r="F28" s="94" t="str">
        <f>IF(Year3_West_Berkshire Year3_Children_missing_Education="","",Year3_West_Berkshire Year3_Children_missing_Education)</f>
        <v/>
      </c>
      <c r="G28" s="94" t="str">
        <f>IF(Year4_West_Berkshire Year4_Children_missing_Education="","",Year4_West_Berkshire Year4_Children_missing_Education)</f>
        <v/>
      </c>
      <c r="H28" s="95" t="str">
        <f>IF(Year5_West_Berkshire Year5_Children_missing_Education="","",Year5_West_Berkshire Year5_Children_missing_Education)</f>
        <v/>
      </c>
      <c r="I28" s="1093" t="e">
        <f t="shared" si="8"/>
        <v>#DIV/0!</v>
      </c>
      <c r="J28" s="863" t="e">
        <f t="shared" si="0"/>
        <v>#DIV/0!</v>
      </c>
      <c r="K28" s="96"/>
      <c r="L28" s="97" t="e">
        <f>IF(ISNUMBER(D28),D28/Population!P63*10000,NA())</f>
        <v>#N/A</v>
      </c>
      <c r="M28" s="97" t="e">
        <f>IF(ISNUMBER(E28),E28/Population!Q63*10000,NA())</f>
        <v>#N/A</v>
      </c>
      <c r="N28" s="97" t="e">
        <f>IF(ISNUMBER(F28),F28/Population!R63*10000,NA())</f>
        <v>#N/A</v>
      </c>
      <c r="O28" s="97" t="e">
        <f>IF(ISNUMBER(G28),G28/Population!S63*10000,NA())</f>
        <v>#N/A</v>
      </c>
      <c r="P28" s="98" t="e">
        <f>IF(ISNUMBER(H28),H28/Population!T63*10000,NA())</f>
        <v>#N/A</v>
      </c>
      <c r="Q28" s="99" t="str">
        <f t="shared" si="9"/>
        <v/>
      </c>
      <c r="R28" s="934" t="e">
        <f t="shared" si="1"/>
        <v>#N/A</v>
      </c>
      <c r="S28" s="70"/>
      <c r="T28" s="752">
        <f>IDACI!C27</f>
        <v>8.6999999999999993</v>
      </c>
      <c r="U28" s="122"/>
      <c r="V28" s="139"/>
      <c r="W28" s="152"/>
      <c r="X28" s="1056" t="str">
        <f>Sheet1!$K$22</f>
        <v>West Berkshire</v>
      </c>
      <c r="Y28" s="1097">
        <f>IF(ISNUMBER(H28),IDACI!D27,0)</f>
        <v>0</v>
      </c>
      <c r="Z28" s="1098">
        <f>IF(ISNUMBER(H28),IDACI!E27,0)</f>
        <v>0</v>
      </c>
      <c r="AA28" s="1096" t="str">
        <f>IF(ISNUMBER(D28),Population!P63,"")</f>
        <v/>
      </c>
      <c r="AB28" s="205" t="str">
        <f>IF(ISNUMBER(E28),Population!Q63,"")</f>
        <v/>
      </c>
      <c r="AC28" s="205" t="str">
        <f>IF(ISNUMBER(F28),Population!R63,"")</f>
        <v/>
      </c>
      <c r="AD28" s="205" t="str">
        <f>IF(ISNUMBER(G28),Population!S63,"")</f>
        <v/>
      </c>
      <c r="AE28" s="205" t="str">
        <f>IF(ISNUMBER(H28),Population!T63,"")</f>
        <v/>
      </c>
      <c r="AG28" s="93" t="s">
        <v>16</v>
      </c>
      <c r="AH28" s="231" t="str">
        <f t="shared" si="2"/>
        <v/>
      </c>
      <c r="AI28" s="206" t="e">
        <f t="shared" si="3"/>
        <v>#VALUE!</v>
      </c>
      <c r="AJ28" s="160"/>
      <c r="AK28" s="853" t="str">
        <f t="shared" si="4"/>
        <v>x</v>
      </c>
      <c r="AL28" s="853" t="str">
        <f t="shared" si="5"/>
        <v>x</v>
      </c>
      <c r="AM28" s="853" t="str">
        <f t="shared" si="6"/>
        <v>x</v>
      </c>
      <c r="AN28" s="853" t="str">
        <f t="shared" si="7"/>
        <v>x</v>
      </c>
      <c r="AO28" s="853" t="e">
        <f t="shared" si="10"/>
        <v>#DIV/0!</v>
      </c>
      <c r="AQ28" s="1024"/>
      <c r="AR28" s="1024"/>
      <c r="AS28" s="1024"/>
      <c r="AT28" s="1024"/>
      <c r="AU28" s="1024"/>
      <c r="AV28" s="202"/>
      <c r="AW28" s="1024"/>
      <c r="AX28" s="202"/>
    </row>
    <row r="29" spans="1:50" s="87" customFormat="1" ht="13.5" customHeight="1" x14ac:dyDescent="0.2">
      <c r="A29" s="488">
        <f>VLOOKUP(B29,Sheet1!$AQ$4:$AR$25,2,FALSE)</f>
        <v>0</v>
      </c>
      <c r="B29" s="93" t="str">
        <f>Sheet1!$K$23</f>
        <v>West Sussex</v>
      </c>
      <c r="C29" s="85"/>
      <c r="D29" s="94" t="str">
        <f>IF(Year1_West_Sussex Year1_Children_missing_Education="","",Year1_West_Sussex Year1_Children_missing_Education)</f>
        <v/>
      </c>
      <c r="E29" s="100" t="str">
        <f>IF(Year2_West_Sussex Year2_Children_missing_Education="","",Year2_West_Sussex Year2_Children_missing_Education)</f>
        <v/>
      </c>
      <c r="F29" s="94" t="str">
        <f>IF(Year3_West_Sussex Year3_Children_missing_Education="","",Year3_West_Sussex Year3_Children_missing_Education)</f>
        <v/>
      </c>
      <c r="G29" s="94" t="str">
        <f>IF(Year4_West_Sussex Year4_Children_missing_Education="","",Year4_West_Sussex Year4_Children_missing_Education)</f>
        <v/>
      </c>
      <c r="H29" s="95" t="str">
        <f>IF(Year5_West_Sussex Year5_Children_missing_Education="","",Year5_West_Sussex Year5_Children_missing_Education)</f>
        <v/>
      </c>
      <c r="I29" s="1093" t="e">
        <f t="shared" si="8"/>
        <v>#DIV/0!</v>
      </c>
      <c r="J29" s="863" t="e">
        <f t="shared" si="0"/>
        <v>#DIV/0!</v>
      </c>
      <c r="K29" s="96"/>
      <c r="L29" s="97" t="e">
        <f>IF(ISNUMBER(D29),D29/Population!P64*10000,NA())</f>
        <v>#N/A</v>
      </c>
      <c r="M29" s="97" t="e">
        <f>IF(ISNUMBER(E29),E29/Population!Q64*10000,NA())</f>
        <v>#N/A</v>
      </c>
      <c r="N29" s="97" t="e">
        <f>IF(ISNUMBER(F29),F29/Population!R64*10000,NA())</f>
        <v>#N/A</v>
      </c>
      <c r="O29" s="97" t="e">
        <f>IF(ISNUMBER(G29),G29/Population!S64*10000,NA())</f>
        <v>#N/A</v>
      </c>
      <c r="P29" s="98" t="e">
        <f>IF(ISNUMBER(H29),H29/Population!T64*10000,NA())</f>
        <v>#N/A</v>
      </c>
      <c r="Q29" s="99" t="str">
        <f t="shared" si="9"/>
        <v/>
      </c>
      <c r="R29" s="934" t="e">
        <f t="shared" si="1"/>
        <v>#N/A</v>
      </c>
      <c r="S29" s="70"/>
      <c r="T29" s="752">
        <f>IDACI!C28</f>
        <v>11</v>
      </c>
      <c r="U29" s="122"/>
      <c r="V29" s="139"/>
      <c r="W29" s="152"/>
      <c r="X29" s="1056" t="str">
        <f>Sheet1!$K$23</f>
        <v>West Sussex</v>
      </c>
      <c r="Y29" s="1097">
        <f>IF(ISNUMBER(H29),IDACI!D28,0)</f>
        <v>0</v>
      </c>
      <c r="Z29" s="1098">
        <f>IF(ISNUMBER(H29),IDACI!E28,0)</f>
        <v>0</v>
      </c>
      <c r="AA29" s="1096" t="str">
        <f>IF(ISNUMBER(D29),Population!P64,"")</f>
        <v/>
      </c>
      <c r="AB29" s="205" t="str">
        <f>IF(ISNUMBER(E29),Population!Q64,"")</f>
        <v/>
      </c>
      <c r="AC29" s="205" t="str">
        <f>IF(ISNUMBER(F29),Population!R64,"")</f>
        <v/>
      </c>
      <c r="AD29" s="205" t="str">
        <f>IF(ISNUMBER(G29),Population!S64,"")</f>
        <v/>
      </c>
      <c r="AE29" s="205" t="str">
        <f>IF(ISNUMBER(H29),Population!T64,"")</f>
        <v/>
      </c>
      <c r="AF29" s="202"/>
      <c r="AG29" s="202"/>
      <c r="AH29" s="190"/>
      <c r="AI29" s="202"/>
      <c r="AJ29" s="160"/>
      <c r="AK29" s="853" t="str">
        <f t="shared" si="4"/>
        <v>x</v>
      </c>
      <c r="AL29" s="853" t="str">
        <f t="shared" si="5"/>
        <v>x</v>
      </c>
      <c r="AM29" s="853" t="str">
        <f t="shared" si="6"/>
        <v>x</v>
      </c>
      <c r="AN29" s="853" t="str">
        <f t="shared" si="7"/>
        <v>x</v>
      </c>
      <c r="AO29" s="853" t="e">
        <f t="shared" si="10"/>
        <v>#DIV/0!</v>
      </c>
      <c r="AQ29" s="1024"/>
      <c r="AR29" s="1024"/>
      <c r="AS29" s="1024"/>
      <c r="AT29" s="1024"/>
      <c r="AU29" s="1024"/>
      <c r="AV29" s="202"/>
      <c r="AW29" s="1024"/>
      <c r="AX29" s="202"/>
    </row>
    <row r="30" spans="1:50" s="87" customFormat="1" ht="13.5" customHeight="1" x14ac:dyDescent="0.2">
      <c r="A30" s="488">
        <f>VLOOKUP(B30,Sheet1!$AQ$4:$AR$25,2,FALSE)</f>
        <v>0</v>
      </c>
      <c r="B30" s="93" t="str">
        <f>Sheet1!$K$24</f>
        <v>Windsor &amp; Maidenhead</v>
      </c>
      <c r="C30" s="85"/>
      <c r="D30" s="100" t="str">
        <f>IF(Year1_Windsor_Maidenhead Year1_Children_missing_Education="","",Year1_Windsor_Maidenhead Year1_Children_missing_Education)</f>
        <v/>
      </c>
      <c r="E30" s="94" t="str">
        <f>IF(Year2_Windsor_Maidenhead Year2_Children_missing_Education="","",Year2_Windsor_Maidenhead Year2_Children_missing_Education)</f>
        <v/>
      </c>
      <c r="F30" s="94" t="str">
        <f>IF(Year3_Windsor_Maidenhead Year3_Children_missing_Education="","",Year3_Windsor_Maidenhead Year3_Children_missing_Education)</f>
        <v/>
      </c>
      <c r="G30" s="94" t="str">
        <f>IF(Year4_Windsor_Maidenhead Year4_Children_missing_Education="","",Year4_Windsor_Maidenhead Year4_Children_missing_Education)</f>
        <v/>
      </c>
      <c r="H30" s="95" t="str">
        <f>IF(Year5_Windsor_Maidenhead Year5_Children_missing_Education="","",Year5_Windsor_Maidenhead Year5_Children_missing_Education)</f>
        <v/>
      </c>
      <c r="I30" s="1093" t="e">
        <f t="shared" si="8"/>
        <v>#DIV/0!</v>
      </c>
      <c r="J30" s="863" t="e">
        <f t="shared" si="0"/>
        <v>#DIV/0!</v>
      </c>
      <c r="K30" s="96"/>
      <c r="L30" s="97" t="e">
        <f>IF(ISNUMBER(D30),D30/Population!P65*10000,NA())</f>
        <v>#N/A</v>
      </c>
      <c r="M30" s="97" t="e">
        <f>IF(ISNUMBER(E30),E30/Population!Q65*10000,NA())</f>
        <v>#N/A</v>
      </c>
      <c r="N30" s="97" t="e">
        <f>IF(ISNUMBER(F30),F30/Population!R65*10000,NA())</f>
        <v>#N/A</v>
      </c>
      <c r="O30" s="97" t="e">
        <f>IF(ISNUMBER(G30),G30/Population!S65*10000,NA())</f>
        <v>#N/A</v>
      </c>
      <c r="P30" s="98" t="e">
        <f>IF(ISNUMBER(H30),H30/Population!T65*10000,NA())</f>
        <v>#N/A</v>
      </c>
      <c r="Q30" s="99" t="str">
        <f t="shared" si="9"/>
        <v/>
      </c>
      <c r="R30" s="934" t="e">
        <f t="shared" si="1"/>
        <v>#N/A</v>
      </c>
      <c r="S30" s="70"/>
      <c r="T30" s="752">
        <f>IDACI!C29</f>
        <v>6.7</v>
      </c>
      <c r="U30" s="122"/>
      <c r="V30" s="139"/>
      <c r="W30" s="152"/>
      <c r="X30" s="1056" t="str">
        <f>Sheet1!$K$24</f>
        <v>Windsor &amp; Maidenhead</v>
      </c>
      <c r="Y30" s="1097">
        <f>IF(ISNUMBER(H30),IDACI!D29,0)</f>
        <v>0</v>
      </c>
      <c r="Z30" s="1098">
        <f>IF(ISNUMBER(H30),IDACI!E29,0)</f>
        <v>0</v>
      </c>
      <c r="AA30" s="1096" t="str">
        <f>IF(ISNUMBER(D30),Population!P65,"")</f>
        <v/>
      </c>
      <c r="AB30" s="205" t="str">
        <f>IF(ISNUMBER(E30),Population!Q65,"")</f>
        <v/>
      </c>
      <c r="AC30" s="205" t="str">
        <f>IF(ISNUMBER(F30),Population!R65,"")</f>
        <v/>
      </c>
      <c r="AD30" s="205" t="str">
        <f>IF(ISNUMBER(G30),Population!S65,"")</f>
        <v/>
      </c>
      <c r="AE30" s="205" t="str">
        <f>IF(ISNUMBER(H30),Population!T65,"")</f>
        <v/>
      </c>
      <c r="AF30" s="202"/>
      <c r="AG30" s="202"/>
      <c r="AH30" s="190"/>
      <c r="AI30" s="202"/>
      <c r="AJ30" s="160"/>
      <c r="AK30" s="853" t="str">
        <f t="shared" si="4"/>
        <v>x</v>
      </c>
      <c r="AL30" s="853" t="str">
        <f t="shared" si="5"/>
        <v>x</v>
      </c>
      <c r="AM30" s="853" t="str">
        <f t="shared" si="6"/>
        <v>x</v>
      </c>
      <c r="AN30" s="853" t="str">
        <f t="shared" si="7"/>
        <v>x</v>
      </c>
      <c r="AO30" s="853" t="e">
        <f t="shared" si="10"/>
        <v>#DIV/0!</v>
      </c>
      <c r="AQ30" s="1024"/>
      <c r="AR30" s="1024"/>
      <c r="AS30" s="1024"/>
      <c r="AT30" s="1024"/>
      <c r="AU30" s="1024"/>
      <c r="AV30" s="202"/>
      <c r="AW30" s="1024"/>
      <c r="AX30" s="202"/>
    </row>
    <row r="31" spans="1:50" s="87" customFormat="1" ht="13.5" customHeight="1" x14ac:dyDescent="0.2">
      <c r="A31" s="488">
        <f>VLOOKUP(B31,Sheet1!$AQ$4:$AR$25,2,FALSE)</f>
        <v>0</v>
      </c>
      <c r="B31" s="93" t="str">
        <f>Sheet1!$K$25</f>
        <v>Wokingham</v>
      </c>
      <c r="C31" s="85"/>
      <c r="D31" s="100" t="str">
        <f>IF(Year1_Wokingham Year1_Children_missing_Education="","",Year1_Wokingham Year1_Children_missing_Education)</f>
        <v/>
      </c>
      <c r="E31" s="94" t="str">
        <f>IF(Year2_Wokingham Year2_Children_missing_Education="","",Year2_Wokingham Year2_Children_missing_Education)</f>
        <v/>
      </c>
      <c r="F31" s="94" t="str">
        <f>IF(Year3_Wokingham Year3_Children_missing_Education="","",Year3_Wokingham Year3_Children_missing_Education)</f>
        <v/>
      </c>
      <c r="G31" s="94" t="str">
        <f>IF(Year4_Wokingham Year4_Children_missing_Education="","",Year4_Wokingham Year4_Children_missing_Education)</f>
        <v/>
      </c>
      <c r="H31" s="95" t="str">
        <f>IF(Year5_Wokingham Year5_Children_missing_Education="","",Year5_Wokingham Year5_Children_missing_Education)</f>
        <v/>
      </c>
      <c r="I31" s="1093" t="e">
        <f t="shared" si="8"/>
        <v>#DIV/0!</v>
      </c>
      <c r="J31" s="863" t="e">
        <f t="shared" si="0"/>
        <v>#DIV/0!</v>
      </c>
      <c r="K31" s="96"/>
      <c r="L31" s="97" t="e">
        <f>IF(ISNUMBER(D31),D31/Population!P66*10000,NA())</f>
        <v>#N/A</v>
      </c>
      <c r="M31" s="97" t="e">
        <f>IF(ISNUMBER(E31),E31/Population!Q66*10000,NA())</f>
        <v>#N/A</v>
      </c>
      <c r="N31" s="97" t="e">
        <f>IF(ISNUMBER(F31),F31/Population!R66*10000,NA())</f>
        <v>#N/A</v>
      </c>
      <c r="O31" s="97" t="e">
        <f>IF(ISNUMBER(G31),G31/Population!S66*10000,NA())</f>
        <v>#N/A</v>
      </c>
      <c r="P31" s="98" t="e">
        <f>IF(ISNUMBER(H31),H31/Population!T66*10000,NA())</f>
        <v>#N/A</v>
      </c>
      <c r="Q31" s="99" t="str">
        <f t="shared" si="9"/>
        <v/>
      </c>
      <c r="R31" s="934" t="e">
        <f t="shared" si="1"/>
        <v>#N/A</v>
      </c>
      <c r="S31" s="70"/>
      <c r="T31" s="752">
        <f>IDACI!C30</f>
        <v>5.6000000000000005</v>
      </c>
      <c r="U31" s="122"/>
      <c r="V31" s="139"/>
      <c r="W31" s="152"/>
      <c r="X31" s="1056" t="str">
        <f>Sheet1!$K$25</f>
        <v>Wokingham</v>
      </c>
      <c r="Y31" s="1097">
        <f>IF(ISNUMBER(H31),IDACI!D30,0)</f>
        <v>0</v>
      </c>
      <c r="Z31" s="1098">
        <f>IF(ISNUMBER(H31),IDACI!E30,0)</f>
        <v>0</v>
      </c>
      <c r="AA31" s="1096" t="str">
        <f>IF(ISNUMBER(D31),Population!P66,"")</f>
        <v/>
      </c>
      <c r="AB31" s="205" t="str">
        <f>IF(ISNUMBER(E31),Population!Q66,"")</f>
        <v/>
      </c>
      <c r="AC31" s="205" t="str">
        <f>IF(ISNUMBER(F31),Population!R66,"")</f>
        <v/>
      </c>
      <c r="AD31" s="205" t="str">
        <f>IF(ISNUMBER(G31),Population!S66,"")</f>
        <v/>
      </c>
      <c r="AE31" s="205" t="str">
        <f>IF(ISNUMBER(H31),Population!T66,"")</f>
        <v/>
      </c>
      <c r="AF31" s="202"/>
      <c r="AG31" s="202"/>
      <c r="AH31" s="190"/>
      <c r="AI31" s="202"/>
      <c r="AJ31" s="160"/>
      <c r="AK31" s="853" t="str">
        <f t="shared" si="4"/>
        <v>x</v>
      </c>
      <c r="AL31" s="853" t="str">
        <f t="shared" si="5"/>
        <v>x</v>
      </c>
      <c r="AM31" s="853" t="str">
        <f t="shared" si="6"/>
        <v>x</v>
      </c>
      <c r="AN31" s="853" t="str">
        <f t="shared" si="7"/>
        <v>x</v>
      </c>
      <c r="AO31" s="853" t="e">
        <f t="shared" si="10"/>
        <v>#DIV/0!</v>
      </c>
      <c r="AQ31" s="1024"/>
      <c r="AR31" s="1024"/>
      <c r="AS31" s="1024"/>
      <c r="AT31" s="1024"/>
      <c r="AU31" s="1024"/>
      <c r="AV31" s="202"/>
      <c r="AW31" s="1024"/>
      <c r="AX31" s="202"/>
    </row>
    <row r="32" spans="1:50" s="87" customFormat="1" ht="13.5" customHeight="1" x14ac:dyDescent="0.2">
      <c r="A32" s="121"/>
      <c r="B32" s="129" t="str">
        <f>Sheet1!$K$26</f>
        <v>South East</v>
      </c>
      <c r="C32" s="85"/>
      <c r="D32" s="130" t="str">
        <f>IF(Year1_SouthEast Year1_Children_missing_Education="","",Year1_SouthEast Year1_Children_missing_Education)</f>
        <v/>
      </c>
      <c r="E32" s="130" t="str">
        <f>IF(Year2_SouthEast Year2_Children_missing_Education="","",Year2_SouthEast Year2_Children_missing_Education)</f>
        <v/>
      </c>
      <c r="F32" s="130" t="str">
        <f>IF(Year3_SouthEast Year3_Children_missing_Education="","",Year3_SouthEast Year3_Children_missing_Education)</f>
        <v/>
      </c>
      <c r="G32" s="130" t="str">
        <f>IF(Year4_SouthEast Year4_Children_missing_Education="","",Year4_SouthEast Year4_Children_missing_Education)</f>
        <v/>
      </c>
      <c r="H32" s="131" t="str">
        <f>IF(Year5_SouthEast Year5_Children_missing_Education="","",Year5_SouthEast Year5_Children_missing_Education)</f>
        <v/>
      </c>
      <c r="I32" s="862" t="e">
        <f t="shared" si="8"/>
        <v>#DIV/0!</v>
      </c>
      <c r="J32" s="863" t="e">
        <f t="shared" si="0"/>
        <v>#DIV/0!</v>
      </c>
      <c r="K32" s="96"/>
      <c r="L32" s="132" t="e">
        <f>IF(ISNUMBER(D32),D32/AA32*10000,NA())</f>
        <v>#N/A</v>
      </c>
      <c r="M32" s="132" t="e">
        <f t="shared" ref="M32:P32" si="11">IF(ISNUMBER(E32),E32/AB32*10000,NA())</f>
        <v>#N/A</v>
      </c>
      <c r="N32" s="132" t="e">
        <f t="shared" si="11"/>
        <v>#N/A</v>
      </c>
      <c r="O32" s="132" t="e">
        <f t="shared" si="11"/>
        <v>#N/A</v>
      </c>
      <c r="P32" s="132" t="e">
        <f t="shared" si="11"/>
        <v>#N/A</v>
      </c>
      <c r="Q32" s="99" t="str">
        <f t="shared" si="9"/>
        <v/>
      </c>
      <c r="R32" s="336" t="str">
        <f t="shared" si="1"/>
        <v>--</v>
      </c>
      <c r="S32" s="70"/>
      <c r="T32" s="753" t="e">
        <f>Z32/Y32*100</f>
        <v>#DIV/0!</v>
      </c>
      <c r="U32" s="122"/>
      <c r="V32" s="139"/>
      <c r="W32" s="152"/>
      <c r="X32" s="1057" t="str">
        <f>Sheet1!$K$26</f>
        <v>South East</v>
      </c>
      <c r="Y32" s="1097">
        <f>SUM(Y24:Y25,Y10:Y22,Y28:Y31)</f>
        <v>0</v>
      </c>
      <c r="Z32" s="1098">
        <f>SUM(Z24:Z25,Z10:Z22,Z28:Z31)</f>
        <v>0</v>
      </c>
      <c r="AA32" s="1096">
        <f>SUM(AA10:AA22,AA24:AA25,AA28:AA31)</f>
        <v>0</v>
      </c>
      <c r="AB32" s="205">
        <f t="shared" ref="AB32:AE32" si="12">SUM(AB10:AB22,AB24:AB25,AB28:AB31)</f>
        <v>0</v>
      </c>
      <c r="AC32" s="205">
        <f t="shared" si="12"/>
        <v>0</v>
      </c>
      <c r="AD32" s="205">
        <f t="shared" si="12"/>
        <v>0</v>
      </c>
      <c r="AE32" s="205">
        <f t="shared" si="12"/>
        <v>0</v>
      </c>
      <c r="AF32" s="202"/>
      <c r="AG32" s="202"/>
      <c r="AH32" s="190"/>
      <c r="AI32" s="202"/>
      <c r="AJ32" s="160"/>
      <c r="AK32" s="853" t="str">
        <f t="shared" si="4"/>
        <v>x</v>
      </c>
      <c r="AL32" s="853" t="str">
        <f t="shared" si="5"/>
        <v>x</v>
      </c>
      <c r="AM32" s="853" t="str">
        <f t="shared" si="6"/>
        <v>x</v>
      </c>
      <c r="AN32" s="853" t="str">
        <f t="shared" si="7"/>
        <v>x</v>
      </c>
      <c r="AO32" s="853" t="e">
        <f t="shared" si="10"/>
        <v>#DIV/0!</v>
      </c>
      <c r="AQ32" s="1024"/>
      <c r="AR32" s="1024"/>
      <c r="AS32" s="1024"/>
      <c r="AT32" s="1024"/>
      <c r="AU32" s="1024"/>
      <c r="AV32" s="202"/>
      <c r="AW32" s="1024"/>
      <c r="AX32" s="202"/>
    </row>
    <row r="33" spans="1:68" s="87" customFormat="1" ht="13.5" hidden="1" customHeight="1" x14ac:dyDescent="0.2">
      <c r="A33" s="292"/>
      <c r="B33" s="329" t="str">
        <f>Sheet1!$K$27</f>
        <v>England</v>
      </c>
      <c r="C33" s="85"/>
      <c r="D33" s="330" t="str">
        <f>IF(Year1_England Year1_Children_missing_Education="","",Year1_England Year1_Children_missing_Education)</f>
        <v/>
      </c>
      <c r="E33" s="330" t="str">
        <f>IF(Year2_England Year2_Children_missing_Education="","",Year2_England Year2_Children_missing_Education)</f>
        <v/>
      </c>
      <c r="F33" s="330" t="str">
        <f>IF(Year3_England Year3_Children_missing_Education="","",Year3_England Year3_Children_missing_Education)</f>
        <v/>
      </c>
      <c r="G33" s="330" t="str">
        <f>IF(Year4_England Year4_Children_missing_Education="","",Year4_England Year4_Children_missing_Education)</f>
        <v/>
      </c>
      <c r="H33" s="331" t="str">
        <f>IF(Year5_England Year5_Children_missing_Education="","",Year5_England Year5_Children_missing_Education)</f>
        <v/>
      </c>
      <c r="I33" s="331" t="e">
        <f t="shared" si="8"/>
        <v>#DIV/0!</v>
      </c>
      <c r="J33" s="358" t="str">
        <f t="shared" ref="J33" si="13">IF(ISNUMBER(H33),(H33-E33)/E33,"")</f>
        <v/>
      </c>
      <c r="K33" s="96"/>
      <c r="L33" s="332" t="e">
        <f>IF(ISNUMBER(D33),D33/Population!P68*10000,NA())</f>
        <v>#N/A</v>
      </c>
      <c r="M33" s="332" t="e">
        <f>IF(ISNUMBER(E33),E33/Population!Q68*10000,NA())</f>
        <v>#N/A</v>
      </c>
      <c r="N33" s="332" t="e">
        <f>IF(ISNUMBER(F33),F33/Population!R68*10000,NA())</f>
        <v>#N/A</v>
      </c>
      <c r="O33" s="332" t="e">
        <f>IF(ISNUMBER(G33),G33/Population!S68*10000,NA())</f>
        <v>#N/A</v>
      </c>
      <c r="P33" s="352" t="e">
        <f>IF(ISNUMBER(H33),H33/Population!T68*10000,NA())</f>
        <v>#N/A</v>
      </c>
      <c r="Q33" s="754"/>
      <c r="R33" s="337" t="str">
        <f t="shared" si="1"/>
        <v>--</v>
      </c>
      <c r="S33" s="70"/>
      <c r="T33" s="754">
        <f>IDACI!C32</f>
        <v>17.084413405029373</v>
      </c>
      <c r="U33" s="122"/>
      <c r="V33" s="139"/>
      <c r="W33" s="152"/>
      <c r="X33" s="1058" t="str">
        <f>Sheet1!$K$27</f>
        <v>England</v>
      </c>
      <c r="Y33" s="1097">
        <f>IF(H33&gt;0,IDACI!D32,0)</f>
        <v>10405050</v>
      </c>
      <c r="Z33" s="1098">
        <f>IF(H33&gt;0,IDACI!E32,0)</f>
        <v>1777641.7570000088</v>
      </c>
      <c r="AA33" s="1096" t="str">
        <f>IF(ISNUMBER(D33),Population!P68,"")</f>
        <v/>
      </c>
      <c r="AB33" s="205" t="str">
        <f>IF(ISNUMBER(E33),Population!Q68,"")</f>
        <v/>
      </c>
      <c r="AC33" s="205" t="str">
        <f>IF(ISNUMBER(F33),Population!R68,"")</f>
        <v/>
      </c>
      <c r="AD33" s="205" t="str">
        <f>IF(ISNUMBER(G33),Population!S68,"")</f>
        <v/>
      </c>
      <c r="AE33" s="205" t="str">
        <f>IF(ISNUMBER(H33),Population!T68,"")</f>
        <v/>
      </c>
      <c r="AF33" s="202"/>
      <c r="AG33" s="202"/>
      <c r="AH33" s="190"/>
      <c r="AI33" s="202"/>
      <c r="AJ33" s="160"/>
      <c r="AK33" s="853" t="str">
        <f t="shared" si="4"/>
        <v>x</v>
      </c>
      <c r="AL33" s="853" t="str">
        <f t="shared" si="5"/>
        <v>x</v>
      </c>
      <c r="AM33" s="853" t="str">
        <f t="shared" si="6"/>
        <v>x</v>
      </c>
      <c r="AN33" s="853" t="str">
        <f t="shared" si="7"/>
        <v>x</v>
      </c>
      <c r="AO33" s="853" t="e">
        <f>AVERAGE(AK33:AN33)</f>
        <v>#DIV/0!</v>
      </c>
      <c r="AQ33" s="1024"/>
      <c r="AR33" s="1024"/>
      <c r="AS33" s="1024"/>
      <c r="AT33" s="1024"/>
      <c r="AU33" s="1024"/>
      <c r="AV33" s="202"/>
      <c r="AW33" s="1024"/>
      <c r="AX33" s="202"/>
    </row>
    <row r="34" spans="1:68" s="81" customFormat="1" ht="13.5" customHeight="1" x14ac:dyDescent="0.2">
      <c r="A34" s="118"/>
      <c r="B34" s="123" t="s">
        <v>90</v>
      </c>
      <c r="C34" s="63"/>
      <c r="D34" s="63"/>
      <c r="E34" s="63"/>
      <c r="F34" s="63"/>
      <c r="G34" s="63"/>
      <c r="H34" s="63"/>
      <c r="I34" s="63"/>
      <c r="J34" s="63"/>
      <c r="K34" s="63"/>
      <c r="L34" s="63"/>
      <c r="M34" s="63"/>
      <c r="N34" s="63"/>
      <c r="O34" s="63"/>
      <c r="P34" s="63"/>
      <c r="Q34" s="63"/>
      <c r="R34" s="136" t="s">
        <v>108</v>
      </c>
      <c r="T34" s="63"/>
      <c r="U34" s="117"/>
      <c r="V34" s="137"/>
      <c r="W34" s="150"/>
      <c r="X34" s="80"/>
      <c r="Y34" s="184"/>
      <c r="Z34" s="184"/>
      <c r="AA34" s="184"/>
      <c r="AB34" s="184"/>
      <c r="AC34" s="184"/>
      <c r="AD34" s="184"/>
      <c r="AE34" s="184"/>
      <c r="AF34" s="184"/>
      <c r="AG34" s="184"/>
      <c r="AI34" s="184"/>
      <c r="AJ34" s="161"/>
    </row>
    <row r="35" spans="1:68" s="81" customFormat="1" ht="39.75" customHeight="1" x14ac:dyDescent="0.2">
      <c r="A35" s="118"/>
      <c r="B35" s="1923"/>
      <c r="C35" s="1763"/>
      <c r="D35" s="1763"/>
      <c r="E35" s="1763"/>
      <c r="F35" s="1763"/>
      <c r="G35" s="1763"/>
      <c r="H35" s="1763"/>
      <c r="I35" s="1763"/>
      <c r="J35" s="1763"/>
      <c r="K35" s="1763"/>
      <c r="L35" s="1763"/>
      <c r="M35" s="1763"/>
      <c r="N35" s="1763"/>
      <c r="O35" s="1763"/>
      <c r="P35" s="1763"/>
      <c r="Q35" s="1763"/>
      <c r="R35" s="1763"/>
      <c r="S35" s="1763"/>
      <c r="T35" s="1764"/>
      <c r="U35" s="117"/>
      <c r="V35" s="137"/>
      <c r="W35" s="150"/>
      <c r="X35" s="1091"/>
      <c r="Y35" s="184"/>
      <c r="Z35" s="1091"/>
      <c r="AA35" s="184"/>
      <c r="AB35" s="184"/>
      <c r="AC35" s="184"/>
      <c r="AD35" s="184"/>
      <c r="AE35" s="184"/>
      <c r="AF35" s="184"/>
      <c r="AG35" s="184"/>
      <c r="AI35" s="184"/>
      <c r="AJ35" s="157"/>
      <c r="AK35" s="74"/>
      <c r="AL35" s="74"/>
      <c r="AM35" s="74"/>
      <c r="AN35" s="74"/>
      <c r="AO35" s="74"/>
      <c r="AP35" s="74"/>
      <c r="AQ35" s="74"/>
    </row>
    <row r="36" spans="1:68" s="81" customFormat="1" ht="7.5" customHeight="1" x14ac:dyDescent="0.2">
      <c r="A36" s="118"/>
      <c r="B36" s="17"/>
      <c r="C36" s="17"/>
      <c r="D36" s="16"/>
      <c r="E36" s="16"/>
      <c r="F36" s="16"/>
      <c r="G36" s="16"/>
      <c r="H36" s="16"/>
      <c r="I36" s="16"/>
      <c r="J36" s="16"/>
      <c r="K36" s="12"/>
      <c r="L36" s="18"/>
      <c r="M36" s="18"/>
      <c r="N36" s="18"/>
      <c r="O36" s="18"/>
      <c r="P36" s="18"/>
      <c r="Q36" s="18"/>
      <c r="R36" s="18"/>
      <c r="S36" s="18"/>
      <c r="T36" s="18"/>
      <c r="U36" s="117"/>
      <c r="V36" s="137"/>
      <c r="W36" s="150"/>
      <c r="Y36" s="190"/>
      <c r="AI36" s="184"/>
      <c r="AJ36" s="157"/>
      <c r="AK36" s="74"/>
      <c r="AL36" s="74"/>
      <c r="AM36" s="74"/>
      <c r="AN36" s="74"/>
      <c r="AO36" s="74"/>
      <c r="AP36" s="74"/>
      <c r="AQ36" s="74"/>
    </row>
    <row r="37" spans="1:68" s="81" customFormat="1" ht="15" customHeight="1" x14ac:dyDescent="0.2">
      <c r="A37" s="1716"/>
      <c r="B37" s="1760"/>
      <c r="C37" s="1760"/>
      <c r="D37" s="1760"/>
      <c r="E37" s="1760"/>
      <c r="F37" s="1760"/>
      <c r="G37" s="1760"/>
      <c r="H37" s="1760"/>
      <c r="I37" s="1760"/>
      <c r="J37" s="1760"/>
      <c r="K37" s="1760"/>
      <c r="L37" s="1760"/>
      <c r="M37" s="1760"/>
      <c r="N37" s="1760"/>
      <c r="O37" s="1760"/>
      <c r="P37" s="1760"/>
      <c r="Q37" s="1760"/>
      <c r="R37" s="1760"/>
      <c r="S37" s="1760"/>
      <c r="T37" s="1760"/>
      <c r="U37" s="1761"/>
      <c r="V37" s="137"/>
      <c r="W37" s="150"/>
      <c r="Y37" s="190"/>
      <c r="AJ37" s="161"/>
      <c r="AL37" s="81">
        <f>COLUMNS($B$4:L$4)</f>
        <v>11</v>
      </c>
      <c r="AM37" s="81">
        <f>COLUMNS($B$4:M$4)</f>
        <v>12</v>
      </c>
      <c r="AN37" s="81">
        <f>COLUMNS($B$4:N$4)</f>
        <v>13</v>
      </c>
      <c r="AO37" s="81">
        <f>COLUMNS($B$4:O$4)</f>
        <v>14</v>
      </c>
      <c r="AP37" s="81">
        <f>COLUMNS($B$4:P$4)</f>
        <v>15</v>
      </c>
      <c r="AQ37" s="81">
        <f>COLUMNS($B$4:T$4)</f>
        <v>19</v>
      </c>
      <c r="AS37" s="196"/>
      <c r="AT37" s="196"/>
      <c r="AU37" s="196"/>
      <c r="AV37" s="197"/>
      <c r="AX37" s="196"/>
      <c r="AY37" s="196"/>
      <c r="AZ37" s="196"/>
      <c r="BA37" s="197"/>
      <c r="BC37" s="196"/>
      <c r="BD37" s="196"/>
      <c r="BE37" s="196"/>
      <c r="BF37" s="197"/>
      <c r="BH37" s="196"/>
      <c r="BI37" s="196"/>
      <c r="BJ37" s="196"/>
      <c r="BK37" s="197"/>
      <c r="BM37" s="196"/>
      <c r="BN37" s="196"/>
      <c r="BO37" s="196"/>
      <c r="BP37" s="197"/>
    </row>
    <row r="38" spans="1:68" s="81" customFormat="1" ht="11.25" customHeight="1" x14ac:dyDescent="0.2">
      <c r="A38" s="1765" t="str">
        <f>Home!$A$39</f>
        <v xml:space="preserve"> </v>
      </c>
      <c r="B38" s="1766"/>
      <c r="C38" s="1766"/>
      <c r="D38" s="1766"/>
      <c r="E38" s="1766"/>
      <c r="F38" s="1766"/>
      <c r="G38" s="1766"/>
      <c r="H38" s="1766"/>
      <c r="I38" s="1767"/>
      <c r="J38" s="1768"/>
      <c r="K38" s="1766"/>
      <c r="L38" s="1766"/>
      <c r="M38" s="1766"/>
      <c r="N38" s="1766"/>
      <c r="O38" s="1766"/>
      <c r="P38" s="1766"/>
      <c r="Q38" s="1768"/>
      <c r="R38" s="1766"/>
      <c r="S38" s="1766"/>
      <c r="T38" s="1766"/>
      <c r="U38" s="1769"/>
      <c r="V38" s="137"/>
      <c r="W38" s="150"/>
      <c r="Y38" s="190"/>
      <c r="AI38" s="184"/>
      <c r="AJ38" s="160"/>
      <c r="AK38" s="87"/>
      <c r="AL38" s="1773" t="s">
        <v>89</v>
      </c>
      <c r="AM38" s="1773"/>
      <c r="AN38" s="1773"/>
      <c r="AO38" s="1773"/>
      <c r="AP38" s="1773"/>
      <c r="AQ38" s="1046" t="s">
        <v>1213</v>
      </c>
      <c r="AR38" s="198"/>
      <c r="AS38" s="196"/>
      <c r="AT38" s="196"/>
      <c r="AU38" s="196"/>
      <c r="AV38" s="197"/>
      <c r="AW38" s="198"/>
      <c r="AX38" s="196"/>
      <c r="AY38" s="196"/>
      <c r="AZ38" s="196"/>
      <c r="BA38" s="197"/>
      <c r="BB38" s="198"/>
      <c r="BC38" s="196"/>
      <c r="BD38" s="196"/>
      <c r="BE38" s="196"/>
      <c r="BF38" s="197"/>
      <c r="BG38" s="198"/>
      <c r="BH38" s="196"/>
      <c r="BI38" s="196"/>
      <c r="BJ38" s="196"/>
      <c r="BK38" s="197"/>
      <c r="BL38" s="223"/>
    </row>
    <row r="39" spans="1:68" s="81" customFormat="1" ht="11.25" customHeight="1" x14ac:dyDescent="0.2">
      <c r="A39" s="112"/>
      <c r="B39" s="113"/>
      <c r="C39" s="113"/>
      <c r="D39" s="113"/>
      <c r="E39" s="113"/>
      <c r="F39" s="113"/>
      <c r="G39" s="113"/>
      <c r="H39" s="113"/>
      <c r="I39" s="113"/>
      <c r="J39" s="113"/>
      <c r="K39" s="114"/>
      <c r="L39" s="113"/>
      <c r="M39" s="113"/>
      <c r="N39" s="113"/>
      <c r="O39" s="113"/>
      <c r="P39" s="113"/>
      <c r="Q39" s="113"/>
      <c r="R39" s="113"/>
      <c r="S39" s="113"/>
      <c r="T39" s="113"/>
      <c r="U39" s="115"/>
      <c r="V39" s="137"/>
      <c r="W39" s="149" t="s">
        <v>101</v>
      </c>
      <c r="X39" s="197"/>
      <c r="Y39" s="197"/>
      <c r="Z39" s="197"/>
      <c r="AA39" s="197"/>
      <c r="AB39" s="197"/>
      <c r="AI39" s="184"/>
      <c r="AJ39" s="160"/>
      <c r="AK39" s="87"/>
      <c r="AL39" s="1035" t="str">
        <f>IF(Sheet1!$C$3="Annual","",Sheet1!$D$28)</f>
        <v/>
      </c>
      <c r="AM39" s="1035" t="str">
        <f>IF(Sheet1!$C$3="Annual","",Sheet1!$E$28)</f>
        <v/>
      </c>
      <c r="AN39" s="1035" t="str">
        <f>IF(Sheet1!$C$3="Annual","",Sheet1!$F$28)</f>
        <v/>
      </c>
      <c r="AO39" s="1035" t="str">
        <f>IF(Sheet1!$C$3="Annual","",Sheet1!$G$28)</f>
        <v/>
      </c>
      <c r="AP39" s="1035" t="str">
        <f>IF(Sheet1!$C$3="Annual","",Sheet1!$H$28)</f>
        <v/>
      </c>
      <c r="AQ39" s="445"/>
      <c r="AR39" s="1090"/>
      <c r="AS39" s="1090"/>
      <c r="AT39" s="1090"/>
      <c r="AU39" s="1090"/>
      <c r="AV39" s="1090"/>
      <c r="AW39" s="1090"/>
      <c r="AX39" s="1090"/>
      <c r="AY39" s="1090"/>
      <c r="AZ39" s="1090"/>
      <c r="BA39" s="1090"/>
      <c r="BB39" s="1090"/>
      <c r="BC39" s="1090"/>
      <c r="BD39" s="1090"/>
      <c r="BE39" s="1090"/>
      <c r="BF39" s="1090"/>
      <c r="BG39" s="1090"/>
      <c r="BH39" s="1090"/>
      <c r="BI39" s="1090"/>
      <c r="BJ39" s="1090"/>
      <c r="BK39" s="1090"/>
    </row>
    <row r="40" spans="1:68" s="81" customFormat="1" ht="3.75" customHeight="1" x14ac:dyDescent="0.25">
      <c r="A40" s="116"/>
      <c r="B40" s="9"/>
      <c r="C40" s="9"/>
      <c r="D40" s="9"/>
      <c r="E40" s="9"/>
      <c r="F40" s="9"/>
      <c r="G40" s="9"/>
      <c r="H40" s="9"/>
      <c r="I40" s="9"/>
      <c r="J40" s="9"/>
      <c r="K40" s="12"/>
      <c r="L40" s="9"/>
      <c r="M40" s="9"/>
      <c r="N40" s="9"/>
      <c r="O40" s="9"/>
      <c r="P40" s="9"/>
      <c r="Q40" s="9"/>
      <c r="R40" s="9"/>
      <c r="S40" s="9"/>
      <c r="T40" s="9"/>
      <c r="U40" s="117"/>
      <c r="V40" s="137"/>
      <c r="W40" s="294"/>
      <c r="AC40" s="1320" t="s">
        <v>977</v>
      </c>
      <c r="AJ40" s="160"/>
      <c r="AK40" s="87"/>
      <c r="AL40" s="1035" t="str">
        <f>Sheet1!$D$27</f>
        <v>2015-16</v>
      </c>
      <c r="AM40" s="1035" t="str">
        <f>Sheet1!$E$27</f>
        <v>2016-17</v>
      </c>
      <c r="AN40" s="1035" t="str">
        <f>Sheet1!$F$27</f>
        <v>2017-18</v>
      </c>
      <c r="AO40" s="1035" t="str">
        <f>Sheet1!$G$27</f>
        <v>2018-19</v>
      </c>
      <c r="AP40" s="1035" t="str">
        <f>Sheet1!$H$27</f>
        <v>2019-20</v>
      </c>
      <c r="AQ40" s="445"/>
      <c r="AR40" s="1090"/>
      <c r="AS40" s="1090"/>
      <c r="AT40" s="1090"/>
      <c r="AU40" s="1090"/>
      <c r="AV40" s="1090"/>
      <c r="AW40" s="1090"/>
      <c r="AX40" s="1090"/>
      <c r="AY40" s="1090"/>
      <c r="AZ40" s="1090"/>
      <c r="BA40" s="1090"/>
      <c r="BB40" s="1090"/>
      <c r="BC40" s="1090"/>
      <c r="BD40" s="1090"/>
      <c r="BE40" s="1090"/>
      <c r="BF40" s="1090"/>
      <c r="BG40" s="1090"/>
      <c r="BH40" s="1090"/>
      <c r="BI40" s="1090"/>
      <c r="BJ40" s="1090"/>
      <c r="BK40" s="1090"/>
      <c r="BL40" s="1090"/>
      <c r="BM40" s="1090"/>
      <c r="BN40" s="1090"/>
      <c r="BO40" s="1090"/>
      <c r="BP40" s="1090"/>
    </row>
    <row r="41" spans="1:68" s="81" customFormat="1" ht="14.25" customHeight="1" x14ac:dyDescent="0.2">
      <c r="A41" s="118"/>
      <c r="B41" s="9"/>
      <c r="C41" s="9"/>
      <c r="D41" s="9"/>
      <c r="E41" s="9"/>
      <c r="F41" s="9"/>
      <c r="G41" s="9"/>
      <c r="H41" s="9"/>
      <c r="I41" s="9"/>
      <c r="J41" s="9"/>
      <c r="K41" s="12"/>
      <c r="L41" s="9"/>
      <c r="M41" s="9"/>
      <c r="N41" s="9"/>
      <c r="O41" s="9"/>
      <c r="P41" s="9"/>
      <c r="Q41" s="9"/>
      <c r="R41" s="9"/>
      <c r="S41" s="9"/>
      <c r="T41" s="9"/>
      <c r="U41" s="117"/>
      <c r="V41" s="137"/>
      <c r="W41" s="294"/>
      <c r="X41" s="43" t="s">
        <v>72</v>
      </c>
      <c r="Y41" s="43" t="s">
        <v>70</v>
      </c>
      <c r="Z41" s="43" t="s">
        <v>71</v>
      </c>
      <c r="AA41" s="1194">
        <v>8</v>
      </c>
      <c r="AB41" s="216" t="e">
        <f>(AA41*Y42)+Z42</f>
        <v>#DIV/0!</v>
      </c>
      <c r="AC41" s="206" t="e">
        <f>ROUND(ChartLabels!$AA28,3)</f>
        <v>#DIV/0!</v>
      </c>
      <c r="AI41" s="585" t="b">
        <v>1</v>
      </c>
      <c r="AJ41" s="160" t="s">
        <v>0</v>
      </c>
      <c r="AK41" s="87" t="str">
        <f t="shared" ref="AK41:AK64" si="14">IF(AI41=TRUE,B10,"")</f>
        <v>Bracknell Forest</v>
      </c>
      <c r="AL41" s="146" t="e">
        <f t="shared" ref="AL41:AP50" si="15">VLOOKUP($AK41,$B$10:$P$33,AL$37,FALSE)</f>
        <v>#N/A</v>
      </c>
      <c r="AM41" s="146" t="e">
        <f t="shared" si="15"/>
        <v>#N/A</v>
      </c>
      <c r="AN41" s="146" t="e">
        <f t="shared" si="15"/>
        <v>#N/A</v>
      </c>
      <c r="AO41" s="146" t="e">
        <f t="shared" si="15"/>
        <v>#N/A</v>
      </c>
      <c r="AP41" s="146" t="e">
        <f t="shared" si="15"/>
        <v>#N/A</v>
      </c>
      <c r="AQ41" s="147">
        <f t="shared" ref="AQ41:AQ64" si="16">VLOOKUP(AK41,$B$10:$T$33,$AQ$37,FALSE)</f>
        <v>8.9</v>
      </c>
      <c r="AR41" s="348"/>
      <c r="AS41" s="348"/>
      <c r="AT41" s="348"/>
      <c r="AU41" s="348"/>
      <c r="AV41" s="348"/>
      <c r="AW41" s="348"/>
      <c r="AX41" s="348"/>
      <c r="AY41" s="348"/>
      <c r="AZ41" s="348"/>
      <c r="BA41" s="348"/>
      <c r="BB41" s="348"/>
      <c r="BC41" s="348"/>
      <c r="BD41" s="348"/>
      <c r="BE41" s="348"/>
      <c r="BF41" s="348"/>
      <c r="BG41" s="348"/>
      <c r="BH41" s="348"/>
      <c r="BI41" s="348"/>
      <c r="BJ41" s="348"/>
      <c r="BK41" s="348"/>
      <c r="BL41" s="348"/>
      <c r="BM41" s="348"/>
      <c r="BN41" s="348"/>
      <c r="BO41" s="348"/>
      <c r="BP41" s="348"/>
    </row>
    <row r="42" spans="1:68" s="81" customFormat="1" ht="14.25" customHeight="1" x14ac:dyDescent="0.2">
      <c r="A42" s="118"/>
      <c r="B42" s="9"/>
      <c r="C42" s="9"/>
      <c r="D42" s="9"/>
      <c r="E42" s="9"/>
      <c r="F42" s="9"/>
      <c r="G42" s="9"/>
      <c r="H42" s="9"/>
      <c r="I42" s="9"/>
      <c r="J42" s="9"/>
      <c r="K42" s="12"/>
      <c r="L42" s="9"/>
      <c r="M42" s="9"/>
      <c r="N42" s="9"/>
      <c r="O42" s="9"/>
      <c r="P42" s="9"/>
      <c r="Q42" s="9"/>
      <c r="R42" s="9"/>
      <c r="S42" s="9"/>
      <c r="T42" s="9"/>
      <c r="U42" s="117"/>
      <c r="V42" s="137"/>
      <c r="W42" s="294"/>
      <c r="X42" s="212" t="e">
        <f>"Y= "&amp;Y42&amp;"x + "&amp;Z42</f>
        <v>#DIV/0!</v>
      </c>
      <c r="Y42" s="743" t="e">
        <f>ChartLabels!$Y28</f>
        <v>#DIV/0!</v>
      </c>
      <c r="Z42" s="743" t="e">
        <f>ChartLabels!$Z28</f>
        <v>#DIV/0!</v>
      </c>
      <c r="AA42" s="215">
        <v>30</v>
      </c>
      <c r="AB42" s="216" t="e">
        <f>(AA42*Y42)+Z42</f>
        <v>#DIV/0!</v>
      </c>
      <c r="AC42" s="1319" t="e">
        <f>AC40&amp;" = "&amp;AC41</f>
        <v>#DIV/0!</v>
      </c>
      <c r="AI42" s="585" t="b">
        <v>1</v>
      </c>
      <c r="AJ42" s="160" t="s">
        <v>31</v>
      </c>
      <c r="AK42" s="87" t="str">
        <f t="shared" si="14"/>
        <v>Brighton &amp; Hove</v>
      </c>
      <c r="AL42" s="146" t="e">
        <f t="shared" si="15"/>
        <v>#N/A</v>
      </c>
      <c r="AM42" s="146" t="e">
        <f t="shared" si="15"/>
        <v>#N/A</v>
      </c>
      <c r="AN42" s="146" t="e">
        <f t="shared" si="15"/>
        <v>#N/A</v>
      </c>
      <c r="AO42" s="146" t="e">
        <f t="shared" si="15"/>
        <v>#N/A</v>
      </c>
      <c r="AP42" s="146" t="e">
        <f t="shared" si="15"/>
        <v>#N/A</v>
      </c>
      <c r="AQ42" s="147">
        <f t="shared" si="16"/>
        <v>15.299999999999999</v>
      </c>
      <c r="AR42" s="348"/>
      <c r="AS42" s="348"/>
      <c r="AT42" s="348"/>
      <c r="AU42" s="348"/>
      <c r="AV42" s="348"/>
      <c r="AW42" s="348"/>
      <c r="AX42" s="348"/>
      <c r="AY42" s="348"/>
      <c r="AZ42" s="348"/>
      <c r="BA42" s="348"/>
      <c r="BB42" s="348"/>
      <c r="BC42" s="348"/>
      <c r="BD42" s="348"/>
      <c r="BE42" s="348"/>
      <c r="BF42" s="348"/>
      <c r="BG42" s="348"/>
      <c r="BH42" s="348"/>
      <c r="BI42" s="348"/>
      <c r="BJ42" s="348"/>
      <c r="BK42" s="348"/>
      <c r="BL42" s="348"/>
      <c r="BM42" s="348"/>
      <c r="BN42" s="348"/>
      <c r="BO42" s="348"/>
      <c r="BP42" s="348"/>
    </row>
    <row r="43" spans="1:68" ht="14.25" customHeight="1" x14ac:dyDescent="0.2">
      <c r="A43" s="118"/>
      <c r="B43" s="9"/>
      <c r="C43" s="9"/>
      <c r="D43" s="9"/>
      <c r="E43" s="9"/>
      <c r="F43" s="9"/>
      <c r="G43" s="9"/>
      <c r="H43" s="9"/>
      <c r="I43" s="9"/>
      <c r="J43" s="9"/>
      <c r="K43" s="12"/>
      <c r="L43" s="9"/>
      <c r="M43" s="9"/>
      <c r="N43" s="9"/>
      <c r="O43" s="9"/>
      <c r="P43" s="9"/>
      <c r="Q43" s="9"/>
      <c r="R43" s="9"/>
      <c r="S43" s="9"/>
      <c r="T43" s="9"/>
      <c r="U43" s="117"/>
      <c r="V43" s="137"/>
      <c r="W43" s="294"/>
      <c r="X43" s="1330"/>
      <c r="Y43" s="1331"/>
      <c r="Z43" s="1332"/>
      <c r="AA43" s="1333"/>
      <c r="AB43" s="1334"/>
      <c r="AC43" s="1335"/>
      <c r="AI43" s="585" t="b">
        <v>1</v>
      </c>
      <c r="AJ43" s="160" t="s">
        <v>8</v>
      </c>
      <c r="AK43" s="87" t="str">
        <f t="shared" si="14"/>
        <v>Buckinghamshire</v>
      </c>
      <c r="AL43" s="146" t="e">
        <f t="shared" si="15"/>
        <v>#N/A</v>
      </c>
      <c r="AM43" s="146" t="e">
        <f t="shared" si="15"/>
        <v>#N/A</v>
      </c>
      <c r="AN43" s="146" t="e">
        <f t="shared" si="15"/>
        <v>#N/A</v>
      </c>
      <c r="AO43" s="146" t="e">
        <f t="shared" si="15"/>
        <v>#N/A</v>
      </c>
      <c r="AP43" s="146" t="e">
        <f t="shared" si="15"/>
        <v>#N/A</v>
      </c>
      <c r="AQ43" s="147">
        <f t="shared" si="16"/>
        <v>8.5</v>
      </c>
      <c r="AR43" s="348"/>
      <c r="AS43" s="348"/>
      <c r="AT43" s="348"/>
      <c r="AU43" s="348"/>
      <c r="AV43" s="348"/>
      <c r="AW43" s="348"/>
      <c r="AX43" s="348"/>
      <c r="AY43" s="348"/>
      <c r="AZ43" s="348"/>
      <c r="BA43" s="348"/>
      <c r="BB43" s="348"/>
      <c r="BC43" s="348"/>
      <c r="BD43" s="348"/>
      <c r="BE43" s="348"/>
      <c r="BF43" s="348"/>
      <c r="BG43" s="348"/>
      <c r="BH43" s="348"/>
      <c r="BI43" s="348"/>
      <c r="BJ43" s="348"/>
      <c r="BK43" s="348"/>
      <c r="BL43" s="348"/>
      <c r="BM43" s="348"/>
      <c r="BN43" s="348"/>
      <c r="BO43" s="348"/>
      <c r="BP43" s="348"/>
    </row>
    <row r="44" spans="1:68" ht="14.25" customHeight="1" x14ac:dyDescent="0.2">
      <c r="A44" s="118"/>
      <c r="B44" s="9"/>
      <c r="C44" s="9"/>
      <c r="D44" s="9"/>
      <c r="E44" s="9"/>
      <c r="F44" s="9"/>
      <c r="G44" s="9"/>
      <c r="H44" s="9"/>
      <c r="I44" s="9"/>
      <c r="J44" s="9"/>
      <c r="K44" s="12"/>
      <c r="L44" s="13"/>
      <c r="M44" s="13"/>
      <c r="N44" s="13"/>
      <c r="O44" s="13"/>
      <c r="P44" s="14"/>
      <c r="Q44" s="14"/>
      <c r="R44" s="14"/>
      <c r="S44" s="14"/>
      <c r="T44" s="14"/>
      <c r="U44" s="117"/>
      <c r="V44" s="137"/>
      <c r="W44" s="294"/>
      <c r="X44" s="812"/>
      <c r="Y44" s="1336"/>
      <c r="Z44" s="1337"/>
      <c r="AA44" s="813"/>
      <c r="AB44" s="814"/>
      <c r="AC44" s="1335"/>
      <c r="AI44" s="585" t="b">
        <v>1</v>
      </c>
      <c r="AJ44" s="160" t="s">
        <v>4</v>
      </c>
      <c r="AK44" s="87" t="str">
        <f t="shared" si="14"/>
        <v>East Sussex</v>
      </c>
      <c r="AL44" s="146" t="e">
        <f t="shared" si="15"/>
        <v>#N/A</v>
      </c>
      <c r="AM44" s="146" t="e">
        <f t="shared" si="15"/>
        <v>#N/A</v>
      </c>
      <c r="AN44" s="146" t="e">
        <f t="shared" si="15"/>
        <v>#N/A</v>
      </c>
      <c r="AO44" s="146" t="e">
        <f t="shared" si="15"/>
        <v>#N/A</v>
      </c>
      <c r="AP44" s="146" t="e">
        <f t="shared" si="15"/>
        <v>#N/A</v>
      </c>
      <c r="AQ44" s="147">
        <f t="shared" si="16"/>
        <v>16.100000000000001</v>
      </c>
      <c r="AR44" s="348"/>
      <c r="AS44" s="348"/>
      <c r="AT44" s="348"/>
      <c r="AU44" s="348"/>
      <c r="AV44" s="348"/>
      <c r="AW44" s="348"/>
      <c r="AX44" s="348"/>
      <c r="AY44" s="348"/>
      <c r="AZ44" s="348"/>
      <c r="BA44" s="348"/>
      <c r="BB44" s="348"/>
      <c r="BC44" s="348"/>
      <c r="BD44" s="348"/>
      <c r="BE44" s="348"/>
      <c r="BF44" s="348"/>
      <c r="BG44" s="348"/>
      <c r="BH44" s="348"/>
      <c r="BI44" s="348"/>
      <c r="BJ44" s="348"/>
      <c r="BK44" s="348"/>
      <c r="BL44" s="348"/>
      <c r="BM44" s="348"/>
      <c r="BN44" s="348"/>
      <c r="BO44" s="348"/>
      <c r="BP44" s="348"/>
    </row>
    <row r="45" spans="1:68" s="76" customFormat="1" ht="14.25" customHeight="1" x14ac:dyDescent="0.2">
      <c r="A45" s="119"/>
      <c r="B45" s="226"/>
      <c r="C45" s="226"/>
      <c r="D45" s="227"/>
      <c r="E45" s="227"/>
      <c r="F45" s="227"/>
      <c r="G45" s="227"/>
      <c r="H45" s="227"/>
      <c r="I45" s="227"/>
      <c r="J45" s="227"/>
      <c r="K45" s="15"/>
      <c r="L45" s="9"/>
      <c r="M45" s="9"/>
      <c r="N45" s="9"/>
      <c r="O45" s="9"/>
      <c r="P45" s="9"/>
      <c r="Q45" s="9"/>
      <c r="R45" s="9"/>
      <c r="S45" s="9"/>
      <c r="T45" s="9"/>
      <c r="U45" s="120"/>
      <c r="V45" s="138"/>
      <c r="W45" s="295"/>
      <c r="Z45" s="197"/>
      <c r="AC45" s="81"/>
      <c r="AD45" s="81"/>
      <c r="AE45" s="81"/>
      <c r="AF45" s="81"/>
      <c r="AG45" s="81"/>
      <c r="AH45" s="81"/>
      <c r="AI45" s="585" t="b">
        <v>1</v>
      </c>
      <c r="AJ45" s="160" t="s">
        <v>6</v>
      </c>
      <c r="AK45" s="87" t="str">
        <f t="shared" si="14"/>
        <v>Hampshire</v>
      </c>
      <c r="AL45" s="146" t="e">
        <f t="shared" si="15"/>
        <v>#N/A</v>
      </c>
      <c r="AM45" s="146" t="e">
        <f t="shared" si="15"/>
        <v>#N/A</v>
      </c>
      <c r="AN45" s="146" t="e">
        <f t="shared" si="15"/>
        <v>#N/A</v>
      </c>
      <c r="AO45" s="146" t="e">
        <f t="shared" si="15"/>
        <v>#N/A</v>
      </c>
      <c r="AP45" s="146" t="e">
        <f t="shared" si="15"/>
        <v>#N/A</v>
      </c>
      <c r="AQ45" s="147">
        <f t="shared" si="16"/>
        <v>10.100000000000001</v>
      </c>
      <c r="AR45" s="348"/>
      <c r="AS45" s="348"/>
      <c r="AT45" s="348"/>
      <c r="AU45" s="348"/>
      <c r="AV45" s="348"/>
      <c r="AW45" s="348"/>
      <c r="AX45" s="348"/>
      <c r="AY45" s="348"/>
      <c r="AZ45" s="348"/>
      <c r="BA45" s="348"/>
      <c r="BB45" s="348"/>
      <c r="BC45" s="348"/>
      <c r="BD45" s="348"/>
      <c r="BE45" s="348"/>
      <c r="BF45" s="348"/>
      <c r="BG45" s="348"/>
      <c r="BH45" s="348"/>
      <c r="BI45" s="348"/>
      <c r="BJ45" s="348"/>
      <c r="BK45" s="348"/>
      <c r="BL45" s="348"/>
      <c r="BM45" s="348"/>
      <c r="BN45" s="348"/>
      <c r="BO45" s="348"/>
      <c r="BP45" s="348"/>
    </row>
    <row r="46" spans="1:68" ht="14.25" customHeight="1" x14ac:dyDescent="0.2">
      <c r="A46" s="118"/>
      <c r="B46" s="227"/>
      <c r="C46" s="227"/>
      <c r="D46" s="227"/>
      <c r="E46" s="227"/>
      <c r="F46" s="227"/>
      <c r="G46" s="227"/>
      <c r="H46" s="227"/>
      <c r="I46" s="227"/>
      <c r="J46" s="227"/>
      <c r="K46" s="12"/>
      <c r="L46" s="14"/>
      <c r="M46" s="14"/>
      <c r="N46" s="14"/>
      <c r="O46" s="14"/>
      <c r="P46" s="9"/>
      <c r="Q46" s="9"/>
      <c r="R46" s="9"/>
      <c r="S46" s="9"/>
      <c r="T46" s="9"/>
      <c r="U46" s="117"/>
      <c r="V46" s="137"/>
      <c r="W46" s="294"/>
      <c r="Z46" s="197"/>
      <c r="AI46" s="585" t="b">
        <v>1</v>
      </c>
      <c r="AJ46" s="160" t="s">
        <v>1</v>
      </c>
      <c r="AK46" s="87" t="str">
        <f t="shared" si="14"/>
        <v>Isle of Wight</v>
      </c>
      <c r="AL46" s="146" t="e">
        <f t="shared" si="15"/>
        <v>#N/A</v>
      </c>
      <c r="AM46" s="146" t="e">
        <f t="shared" si="15"/>
        <v>#N/A</v>
      </c>
      <c r="AN46" s="146" t="e">
        <f t="shared" si="15"/>
        <v>#N/A</v>
      </c>
      <c r="AO46" s="146" t="e">
        <f t="shared" si="15"/>
        <v>#N/A</v>
      </c>
      <c r="AP46" s="146" t="e">
        <f t="shared" si="15"/>
        <v>#N/A</v>
      </c>
      <c r="AQ46" s="147">
        <f t="shared" si="16"/>
        <v>18</v>
      </c>
      <c r="AR46" s="348"/>
      <c r="AS46" s="348"/>
      <c r="AT46" s="348"/>
      <c r="AU46" s="348"/>
      <c r="AV46" s="348"/>
      <c r="AW46" s="348"/>
      <c r="AX46" s="348"/>
      <c r="AY46" s="348"/>
      <c r="AZ46" s="348"/>
      <c r="BA46" s="348"/>
      <c r="BB46" s="348"/>
      <c r="BC46" s="348"/>
      <c r="BD46" s="348"/>
      <c r="BE46" s="348"/>
      <c r="BF46" s="348"/>
      <c r="BG46" s="348"/>
      <c r="BH46" s="348"/>
      <c r="BI46" s="348"/>
      <c r="BJ46" s="348"/>
      <c r="BK46" s="348"/>
      <c r="BL46" s="348"/>
      <c r="BM46" s="348"/>
      <c r="BN46" s="348"/>
      <c r="BO46" s="348"/>
      <c r="BP46" s="348"/>
    </row>
    <row r="47" spans="1:68" ht="14.25" customHeight="1" x14ac:dyDescent="0.2">
      <c r="A47" s="118"/>
      <c r="B47" s="227"/>
      <c r="C47" s="227"/>
      <c r="D47" s="227"/>
      <c r="E47" s="227"/>
      <c r="F47" s="227"/>
      <c r="G47" s="227"/>
      <c r="H47" s="227"/>
      <c r="I47" s="227"/>
      <c r="J47" s="227"/>
      <c r="K47" s="12"/>
      <c r="L47" s="14"/>
      <c r="M47" s="14"/>
      <c r="N47" s="14"/>
      <c r="O47" s="14"/>
      <c r="P47" s="9"/>
      <c r="Q47" s="9"/>
      <c r="R47" s="9"/>
      <c r="S47" s="9"/>
      <c r="T47" s="9"/>
      <c r="U47" s="117"/>
      <c r="V47" s="137"/>
      <c r="W47" s="294"/>
      <c r="Z47" s="197"/>
      <c r="AC47" s="207"/>
      <c r="AI47" s="585" t="b">
        <v>1</v>
      </c>
      <c r="AJ47" s="160" t="s">
        <v>9</v>
      </c>
      <c r="AK47" s="87" t="str">
        <f t="shared" si="14"/>
        <v>Kent</v>
      </c>
      <c r="AL47" s="146" t="e">
        <f t="shared" si="15"/>
        <v>#N/A</v>
      </c>
      <c r="AM47" s="146" t="e">
        <f t="shared" si="15"/>
        <v>#N/A</v>
      </c>
      <c r="AN47" s="146" t="e">
        <f t="shared" si="15"/>
        <v>#N/A</v>
      </c>
      <c r="AO47" s="146" t="e">
        <f t="shared" si="15"/>
        <v>#N/A</v>
      </c>
      <c r="AP47" s="146" t="e">
        <f t="shared" si="15"/>
        <v>#N/A</v>
      </c>
      <c r="AQ47" s="147">
        <f t="shared" si="16"/>
        <v>15.8</v>
      </c>
      <c r="AR47" s="348"/>
      <c r="AS47" s="348"/>
      <c r="AT47" s="348"/>
      <c r="AU47" s="348"/>
      <c r="AV47" s="348"/>
      <c r="AW47" s="348"/>
      <c r="AX47" s="348"/>
      <c r="AY47" s="348"/>
      <c r="AZ47" s="348"/>
      <c r="BA47" s="348"/>
      <c r="BB47" s="348"/>
      <c r="BC47" s="348"/>
      <c r="BD47" s="348"/>
      <c r="BE47" s="348"/>
      <c r="BF47" s="348"/>
      <c r="BG47" s="348"/>
      <c r="BH47" s="348"/>
      <c r="BI47" s="348"/>
      <c r="BJ47" s="348"/>
      <c r="BK47" s="348"/>
      <c r="BL47" s="348"/>
      <c r="BM47" s="348"/>
      <c r="BN47" s="348"/>
      <c r="BO47" s="348"/>
      <c r="BP47" s="348"/>
    </row>
    <row r="48" spans="1:68" ht="14.25" customHeight="1" x14ac:dyDescent="0.2">
      <c r="A48" s="118"/>
      <c r="B48" s="58"/>
      <c r="C48" s="58"/>
      <c r="D48" s="58"/>
      <c r="E48" s="58"/>
      <c r="F48" s="58"/>
      <c r="G48" s="58"/>
      <c r="H48" s="58"/>
      <c r="I48" s="58"/>
      <c r="J48" s="58"/>
      <c r="K48" s="12"/>
      <c r="L48" s="14"/>
      <c r="M48" s="14"/>
      <c r="N48" s="14"/>
      <c r="O48" s="14"/>
      <c r="P48" s="9"/>
      <c r="Q48" s="9"/>
      <c r="R48" s="9"/>
      <c r="S48" s="9"/>
      <c r="T48" s="9"/>
      <c r="U48" s="117"/>
      <c r="V48" s="137"/>
      <c r="W48" s="294"/>
      <c r="Z48" s="197"/>
      <c r="AC48" s="184"/>
      <c r="AI48" s="585" t="b">
        <v>1</v>
      </c>
      <c r="AJ48" s="160" t="s">
        <v>2</v>
      </c>
      <c r="AK48" s="87" t="str">
        <f t="shared" si="14"/>
        <v>Medway</v>
      </c>
      <c r="AL48" s="146" t="e">
        <f t="shared" si="15"/>
        <v>#N/A</v>
      </c>
      <c r="AM48" s="146" t="e">
        <f t="shared" si="15"/>
        <v>#N/A</v>
      </c>
      <c r="AN48" s="146" t="e">
        <f t="shared" si="15"/>
        <v>#N/A</v>
      </c>
      <c r="AO48" s="146" t="e">
        <f t="shared" si="15"/>
        <v>#N/A</v>
      </c>
      <c r="AP48" s="146" t="e">
        <f t="shared" si="15"/>
        <v>#N/A</v>
      </c>
      <c r="AQ48" s="147">
        <f t="shared" si="16"/>
        <v>18.899999999999999</v>
      </c>
      <c r="AR48" s="348"/>
      <c r="AS48" s="348"/>
      <c r="AT48" s="348"/>
      <c r="AU48" s="348"/>
      <c r="AV48" s="348"/>
      <c r="AW48" s="348"/>
      <c r="AX48" s="348"/>
      <c r="AY48" s="348"/>
      <c r="AZ48" s="348"/>
      <c r="BA48" s="348"/>
      <c r="BB48" s="348"/>
      <c r="BC48" s="348"/>
      <c r="BD48" s="348"/>
      <c r="BE48" s="348"/>
      <c r="BF48" s="348"/>
      <c r="BG48" s="348"/>
      <c r="BH48" s="348"/>
      <c r="BI48" s="348"/>
      <c r="BJ48" s="348"/>
      <c r="BK48" s="348"/>
      <c r="BL48" s="348"/>
      <c r="BM48" s="348"/>
      <c r="BN48" s="348"/>
      <c r="BO48" s="348"/>
      <c r="BP48" s="348"/>
    </row>
    <row r="49" spans="1:68" ht="14.25" customHeight="1" x14ac:dyDescent="0.2">
      <c r="A49" s="118"/>
      <c r="B49" s="58"/>
      <c r="C49" s="58"/>
      <c r="D49" s="69"/>
      <c r="E49" s="70"/>
      <c r="F49" s="69"/>
      <c r="G49" s="70"/>
      <c r="H49" s="70"/>
      <c r="I49" s="70"/>
      <c r="J49" s="70"/>
      <c r="K49" s="12"/>
      <c r="L49" s="14"/>
      <c r="M49" s="14"/>
      <c r="N49" s="14"/>
      <c r="O49" s="14"/>
      <c r="P49" s="9"/>
      <c r="Q49" s="9"/>
      <c r="R49" s="9"/>
      <c r="S49" s="9"/>
      <c r="T49" s="9"/>
      <c r="U49" s="117"/>
      <c r="V49" s="137"/>
      <c r="W49" s="294"/>
      <c r="Z49" s="197"/>
      <c r="AI49" s="585" t="b">
        <v>1</v>
      </c>
      <c r="AJ49" s="160" t="s">
        <v>10</v>
      </c>
      <c r="AK49" s="87" t="str">
        <f t="shared" si="14"/>
        <v>Milton Keynes</v>
      </c>
      <c r="AL49" s="146" t="e">
        <f t="shared" si="15"/>
        <v>#N/A</v>
      </c>
      <c r="AM49" s="146" t="e">
        <f t="shared" si="15"/>
        <v>#N/A</v>
      </c>
      <c r="AN49" s="146" t="e">
        <f t="shared" si="15"/>
        <v>#N/A</v>
      </c>
      <c r="AO49" s="146" t="e">
        <f t="shared" si="15"/>
        <v>#N/A</v>
      </c>
      <c r="AP49" s="146" t="e">
        <f t="shared" si="15"/>
        <v>#N/A</v>
      </c>
      <c r="AQ49" s="147">
        <f t="shared" si="16"/>
        <v>15</v>
      </c>
      <c r="AR49" s="348"/>
      <c r="AS49" s="348"/>
      <c r="AT49" s="348"/>
      <c r="AU49" s="348"/>
      <c r="AV49" s="348"/>
      <c r="AW49" s="348"/>
      <c r="AX49" s="348"/>
      <c r="AY49" s="348"/>
      <c r="AZ49" s="348"/>
      <c r="BA49" s="348"/>
      <c r="BB49" s="348"/>
      <c r="BC49" s="348"/>
      <c r="BD49" s="348"/>
      <c r="BE49" s="348"/>
      <c r="BF49" s="348"/>
      <c r="BG49" s="348"/>
      <c r="BH49" s="348"/>
      <c r="BI49" s="348"/>
      <c r="BJ49" s="348"/>
      <c r="BK49" s="348"/>
      <c r="BL49" s="348"/>
      <c r="BM49" s="348"/>
      <c r="BN49" s="348"/>
      <c r="BO49" s="348"/>
      <c r="BP49" s="348"/>
    </row>
    <row r="50" spans="1:68" ht="14.25" customHeight="1" x14ac:dyDescent="0.2">
      <c r="A50" s="118"/>
      <c r="B50" s="58"/>
      <c r="C50" s="58"/>
      <c r="D50" s="61"/>
      <c r="E50" s="61"/>
      <c r="F50" s="61"/>
      <c r="G50" s="61"/>
      <c r="H50" s="61"/>
      <c r="I50" s="61"/>
      <c r="J50" s="61"/>
      <c r="K50" s="12"/>
      <c r="L50" s="14"/>
      <c r="M50" s="14"/>
      <c r="N50" s="14"/>
      <c r="O50" s="14"/>
      <c r="P50" s="9"/>
      <c r="Q50" s="9"/>
      <c r="R50" s="9"/>
      <c r="S50" s="9"/>
      <c r="T50" s="9"/>
      <c r="U50" s="117"/>
      <c r="V50" s="137"/>
      <c r="W50" s="294"/>
      <c r="Z50" s="197"/>
      <c r="AI50" s="585" t="b">
        <v>1</v>
      </c>
      <c r="AJ50" s="160" t="s">
        <v>11</v>
      </c>
      <c r="AK50" s="87" t="str">
        <f t="shared" si="14"/>
        <v>Oxfordshire</v>
      </c>
      <c r="AL50" s="146" t="e">
        <f t="shared" si="15"/>
        <v>#N/A</v>
      </c>
      <c r="AM50" s="146" t="e">
        <f t="shared" si="15"/>
        <v>#N/A</v>
      </c>
      <c r="AN50" s="146" t="e">
        <f t="shared" si="15"/>
        <v>#N/A</v>
      </c>
      <c r="AO50" s="146" t="e">
        <f t="shared" si="15"/>
        <v>#N/A</v>
      </c>
      <c r="AP50" s="146" t="e">
        <f t="shared" si="15"/>
        <v>#N/A</v>
      </c>
      <c r="AQ50" s="147">
        <f t="shared" si="16"/>
        <v>10.100000000000001</v>
      </c>
      <c r="AR50" s="348"/>
      <c r="AS50" s="348"/>
      <c r="AT50" s="348"/>
      <c r="AU50" s="348"/>
      <c r="AV50" s="348"/>
      <c r="AW50" s="348"/>
      <c r="AX50" s="348"/>
      <c r="AY50" s="348"/>
      <c r="AZ50" s="348"/>
      <c r="BA50" s="348"/>
      <c r="BB50" s="348"/>
      <c r="BC50" s="348"/>
      <c r="BD50" s="348"/>
      <c r="BE50" s="348"/>
      <c r="BF50" s="348"/>
      <c r="BG50" s="348"/>
      <c r="BH50" s="348"/>
      <c r="BI50" s="348"/>
      <c r="BJ50" s="348"/>
      <c r="BK50" s="348"/>
      <c r="BL50" s="348"/>
      <c r="BM50" s="348"/>
      <c r="BN50" s="348"/>
      <c r="BO50" s="348"/>
      <c r="BP50" s="348"/>
    </row>
    <row r="51" spans="1:68" ht="14.25" customHeight="1" x14ac:dyDescent="0.2">
      <c r="A51" s="118"/>
      <c r="B51" s="421"/>
      <c r="C51" s="421"/>
      <c r="D51" s="58"/>
      <c r="E51" s="58"/>
      <c r="F51" s="58"/>
      <c r="G51" s="58"/>
      <c r="H51" s="58"/>
      <c r="I51" s="58"/>
      <c r="J51" s="58"/>
      <c r="K51" s="12"/>
      <c r="L51" s="14"/>
      <c r="M51" s="14"/>
      <c r="N51" s="14"/>
      <c r="O51" s="14"/>
      <c r="P51" s="9"/>
      <c r="Q51" s="9"/>
      <c r="R51" s="9"/>
      <c r="S51" s="9"/>
      <c r="T51" s="9"/>
      <c r="U51" s="117"/>
      <c r="V51" s="137"/>
      <c r="W51" s="294"/>
      <c r="Z51" s="197"/>
      <c r="AI51" s="585" t="b">
        <v>1</v>
      </c>
      <c r="AJ51" s="160" t="s">
        <v>12</v>
      </c>
      <c r="AK51" s="87" t="str">
        <f t="shared" si="14"/>
        <v>Portsmouth</v>
      </c>
      <c r="AL51" s="146" t="e">
        <f t="shared" ref="AL51:AP64" si="17">VLOOKUP($AK51,$B$10:$P$33,AL$37,FALSE)</f>
        <v>#N/A</v>
      </c>
      <c r="AM51" s="146" t="e">
        <f t="shared" si="17"/>
        <v>#N/A</v>
      </c>
      <c r="AN51" s="146" t="e">
        <f t="shared" si="17"/>
        <v>#N/A</v>
      </c>
      <c r="AO51" s="146" t="e">
        <f t="shared" si="17"/>
        <v>#N/A</v>
      </c>
      <c r="AP51" s="146" t="e">
        <f t="shared" si="17"/>
        <v>#N/A</v>
      </c>
      <c r="AQ51" s="147">
        <f t="shared" si="16"/>
        <v>20.200000000000003</v>
      </c>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c r="BO51" s="348"/>
      <c r="BP51" s="348"/>
    </row>
    <row r="52" spans="1:68" ht="14.25" customHeight="1" x14ac:dyDescent="0.2">
      <c r="A52" s="118"/>
      <c r="B52" s="421"/>
      <c r="C52" s="421"/>
      <c r="D52" s="58"/>
      <c r="E52" s="58"/>
      <c r="F52" s="58"/>
      <c r="G52" s="58"/>
      <c r="H52" s="58"/>
      <c r="I52" s="58"/>
      <c r="J52" s="58"/>
      <c r="K52" s="12"/>
      <c r="L52" s="14"/>
      <c r="M52" s="14"/>
      <c r="N52" s="14"/>
      <c r="O52" s="14"/>
      <c r="P52" s="9"/>
      <c r="Q52" s="9"/>
      <c r="R52" s="9"/>
      <c r="S52" s="9"/>
      <c r="T52" s="9"/>
      <c r="U52" s="117"/>
      <c r="V52" s="137"/>
      <c r="W52" s="294"/>
      <c r="Z52" s="197"/>
      <c r="AI52" s="585" t="b">
        <v>1</v>
      </c>
      <c r="AJ52" s="160" t="s">
        <v>3</v>
      </c>
      <c r="AK52" s="87" t="str">
        <f t="shared" si="14"/>
        <v>Reading</v>
      </c>
      <c r="AL52" s="146" t="e">
        <f t="shared" si="17"/>
        <v>#N/A</v>
      </c>
      <c r="AM52" s="146" t="e">
        <f t="shared" si="17"/>
        <v>#N/A</v>
      </c>
      <c r="AN52" s="146" t="e">
        <f t="shared" si="17"/>
        <v>#N/A</v>
      </c>
      <c r="AO52" s="146" t="e">
        <f t="shared" si="17"/>
        <v>#N/A</v>
      </c>
      <c r="AP52" s="146" t="e">
        <f t="shared" si="17"/>
        <v>#N/A</v>
      </c>
      <c r="AQ52" s="147">
        <f t="shared" si="16"/>
        <v>16</v>
      </c>
      <c r="AR52" s="348"/>
      <c r="AS52" s="348"/>
      <c r="AT52" s="348"/>
      <c r="AU52" s="348"/>
      <c r="AV52" s="348"/>
      <c r="AW52" s="348"/>
      <c r="AX52" s="348"/>
      <c r="AY52" s="348"/>
      <c r="AZ52" s="348"/>
      <c r="BA52" s="348"/>
      <c r="BB52" s="348"/>
      <c r="BC52" s="348"/>
      <c r="BD52" s="348"/>
      <c r="BE52" s="348"/>
      <c r="BF52" s="348"/>
      <c r="BG52" s="348"/>
      <c r="BH52" s="348"/>
      <c r="BI52" s="348"/>
      <c r="BJ52" s="348"/>
      <c r="BK52" s="348"/>
      <c r="BL52" s="348"/>
      <c r="BM52" s="348"/>
      <c r="BN52" s="348"/>
      <c r="BO52" s="348"/>
      <c r="BP52" s="348"/>
    </row>
    <row r="53" spans="1:68" ht="14.25" customHeight="1" x14ac:dyDescent="0.2">
      <c r="A53" s="118"/>
      <c r="B53" s="421"/>
      <c r="C53" s="421"/>
      <c r="D53" s="58"/>
      <c r="E53" s="58"/>
      <c r="F53" s="58"/>
      <c r="G53" s="58"/>
      <c r="H53" s="58"/>
      <c r="I53" s="58"/>
      <c r="J53" s="58"/>
      <c r="K53" s="12"/>
      <c r="L53" s="14"/>
      <c r="M53" s="14"/>
      <c r="N53" s="14"/>
      <c r="O53" s="14"/>
      <c r="P53" s="9"/>
      <c r="Q53" s="9"/>
      <c r="R53" s="9"/>
      <c r="S53" s="9"/>
      <c r="T53" s="9"/>
      <c r="U53" s="117"/>
      <c r="V53" s="137"/>
      <c r="W53" s="294"/>
      <c r="Z53" s="197"/>
      <c r="AI53" s="585" t="b">
        <v>1</v>
      </c>
      <c r="AJ53" s="160" t="s">
        <v>13</v>
      </c>
      <c r="AK53" s="87" t="str">
        <f t="shared" si="14"/>
        <v>Slough</v>
      </c>
      <c r="AL53" s="146" t="e">
        <f t="shared" si="17"/>
        <v>#N/A</v>
      </c>
      <c r="AM53" s="146" t="e">
        <f t="shared" si="17"/>
        <v>#N/A</v>
      </c>
      <c r="AN53" s="146" t="e">
        <f t="shared" si="17"/>
        <v>#N/A</v>
      </c>
      <c r="AO53" s="146" t="e">
        <f t="shared" si="17"/>
        <v>#N/A</v>
      </c>
      <c r="AP53" s="146" t="e">
        <f t="shared" si="17"/>
        <v>#N/A</v>
      </c>
      <c r="AQ53" s="147">
        <f t="shared" si="16"/>
        <v>14.7</v>
      </c>
      <c r="AR53" s="348"/>
      <c r="AS53" s="348"/>
      <c r="AT53" s="348"/>
      <c r="AU53" s="348"/>
      <c r="AV53" s="348"/>
      <c r="AW53" s="348"/>
      <c r="AX53" s="348"/>
      <c r="AY53" s="348"/>
      <c r="AZ53" s="348"/>
      <c r="BA53" s="348"/>
      <c r="BB53" s="348"/>
      <c r="BC53" s="348"/>
      <c r="BD53" s="348"/>
      <c r="BE53" s="348"/>
      <c r="BF53" s="348"/>
      <c r="BG53" s="348"/>
      <c r="BH53" s="348"/>
      <c r="BI53" s="348"/>
      <c r="BJ53" s="348"/>
      <c r="BK53" s="348"/>
      <c r="BL53" s="348"/>
      <c r="BM53" s="348"/>
      <c r="BN53" s="348"/>
      <c r="BO53" s="348"/>
      <c r="BP53" s="348"/>
    </row>
    <row r="54" spans="1:68" ht="14.25" customHeight="1" x14ac:dyDescent="0.2">
      <c r="A54" s="118"/>
      <c r="B54" s="421"/>
      <c r="C54" s="421"/>
      <c r="D54" s="58"/>
      <c r="E54" s="58"/>
      <c r="F54" s="58"/>
      <c r="G54" s="58"/>
      <c r="H54" s="58"/>
      <c r="I54" s="58"/>
      <c r="J54" s="58"/>
      <c r="K54" s="12"/>
      <c r="L54" s="14"/>
      <c r="M54" s="14"/>
      <c r="N54" s="14"/>
      <c r="O54" s="14"/>
      <c r="P54" s="9"/>
      <c r="Q54" s="9"/>
      <c r="R54" s="9"/>
      <c r="S54" s="9"/>
      <c r="T54" s="9"/>
      <c r="U54" s="117"/>
      <c r="V54" s="137"/>
      <c r="W54" s="294"/>
      <c r="Z54" s="197"/>
      <c r="AI54" s="585" t="b">
        <v>1</v>
      </c>
      <c r="AJ54" s="160" t="s">
        <v>95</v>
      </c>
      <c r="AK54" s="87" t="str">
        <f t="shared" si="14"/>
        <v>Somerset</v>
      </c>
      <c r="AL54" s="146" t="e">
        <f t="shared" si="17"/>
        <v>#N/A</v>
      </c>
      <c r="AM54" s="146" t="e">
        <f t="shared" si="17"/>
        <v>#N/A</v>
      </c>
      <c r="AN54" s="146" t="e">
        <f t="shared" si="17"/>
        <v>#N/A</v>
      </c>
      <c r="AO54" s="146" t="e">
        <f t="shared" si="17"/>
        <v>#N/A</v>
      </c>
      <c r="AP54" s="146" t="e">
        <f t="shared" si="17"/>
        <v>#N/A</v>
      </c>
      <c r="AQ54" s="147">
        <f t="shared" si="16"/>
        <v>13.600000000000001</v>
      </c>
      <c r="AR54" s="348"/>
      <c r="AS54" s="348"/>
      <c r="AT54" s="348"/>
      <c r="AU54" s="348"/>
      <c r="AV54" s="348"/>
      <c r="AW54" s="348"/>
      <c r="AX54" s="348"/>
      <c r="AY54" s="348"/>
      <c r="AZ54" s="348"/>
      <c r="BA54" s="348"/>
      <c r="BB54" s="348"/>
      <c r="BC54" s="348"/>
      <c r="BD54" s="348"/>
      <c r="BE54" s="348"/>
      <c r="BF54" s="348"/>
      <c r="BG54" s="348"/>
      <c r="BH54" s="348"/>
      <c r="BI54" s="348"/>
      <c r="BJ54" s="348"/>
      <c r="BK54" s="348"/>
      <c r="BL54" s="348"/>
      <c r="BM54" s="348"/>
      <c r="BN54" s="348"/>
      <c r="BO54" s="348"/>
      <c r="BP54" s="348"/>
    </row>
    <row r="55" spans="1:68" ht="14.25" customHeight="1" x14ac:dyDescent="0.2">
      <c r="A55" s="118"/>
      <c r="B55" s="421"/>
      <c r="C55" s="421"/>
      <c r="D55" s="58"/>
      <c r="E55" s="58"/>
      <c r="F55" s="58"/>
      <c r="G55" s="58"/>
      <c r="H55" s="58"/>
      <c r="I55" s="58"/>
      <c r="J55" s="58"/>
      <c r="K55" s="12"/>
      <c r="L55" s="14"/>
      <c r="M55" s="14"/>
      <c r="N55" s="14"/>
      <c r="O55" s="14"/>
      <c r="P55" s="9"/>
      <c r="Q55" s="9"/>
      <c r="R55" s="9"/>
      <c r="S55" s="9"/>
      <c r="T55" s="9"/>
      <c r="U55" s="117"/>
      <c r="V55" s="137"/>
      <c r="W55" s="294"/>
      <c r="Z55" s="197"/>
      <c r="AI55" s="585" t="b">
        <v>1</v>
      </c>
      <c r="AJ55" s="160" t="s">
        <v>14</v>
      </c>
      <c r="AK55" s="87" t="str">
        <f t="shared" si="14"/>
        <v>Southampton</v>
      </c>
      <c r="AL55" s="146" t="e">
        <f t="shared" si="17"/>
        <v>#N/A</v>
      </c>
      <c r="AM55" s="146" t="e">
        <f t="shared" si="17"/>
        <v>#N/A</v>
      </c>
      <c r="AN55" s="146" t="e">
        <f t="shared" si="17"/>
        <v>#N/A</v>
      </c>
      <c r="AO55" s="146" t="e">
        <f t="shared" si="17"/>
        <v>#N/A</v>
      </c>
      <c r="AP55" s="146" t="e">
        <f t="shared" si="17"/>
        <v>#N/A</v>
      </c>
      <c r="AQ55" s="147">
        <f t="shared" si="16"/>
        <v>20.5</v>
      </c>
      <c r="AR55" s="348"/>
      <c r="AS55" s="348"/>
      <c r="AT55" s="348"/>
      <c r="AU55" s="348"/>
      <c r="AV55" s="348"/>
      <c r="AW55" s="348"/>
      <c r="AX55" s="348"/>
      <c r="AY55" s="348"/>
      <c r="AZ55" s="348"/>
      <c r="BA55" s="348"/>
      <c r="BB55" s="348"/>
      <c r="BC55" s="348"/>
      <c r="BD55" s="348"/>
      <c r="BE55" s="348"/>
      <c r="BF55" s="348"/>
      <c r="BG55" s="348"/>
      <c r="BH55" s="348"/>
      <c r="BI55" s="348"/>
      <c r="BJ55" s="348"/>
      <c r="BK55" s="348"/>
      <c r="BL55" s="348"/>
      <c r="BM55" s="348"/>
      <c r="BN55" s="348"/>
      <c r="BO55" s="348"/>
      <c r="BP55" s="348"/>
    </row>
    <row r="56" spans="1:68" ht="14.25" customHeight="1" x14ac:dyDescent="0.2">
      <c r="A56" s="118"/>
      <c r="B56" s="421"/>
      <c r="C56" s="421"/>
      <c r="D56" s="58"/>
      <c r="E56" s="58"/>
      <c r="F56" s="58"/>
      <c r="G56" s="58"/>
      <c r="H56" s="58"/>
      <c r="I56" s="58"/>
      <c r="J56" s="58"/>
      <c r="K56" s="12"/>
      <c r="L56" s="14"/>
      <c r="M56" s="14"/>
      <c r="N56" s="14"/>
      <c r="O56" s="14"/>
      <c r="P56" s="9"/>
      <c r="Q56" s="9"/>
      <c r="R56" s="9"/>
      <c r="S56" s="9"/>
      <c r="T56" s="9"/>
      <c r="U56" s="117"/>
      <c r="V56" s="137"/>
      <c r="W56" s="294"/>
      <c r="Z56" s="197"/>
      <c r="AI56" s="585" t="b">
        <v>1</v>
      </c>
      <c r="AJ56" s="160" t="s">
        <v>7</v>
      </c>
      <c r="AK56" s="87" t="str">
        <f t="shared" si="14"/>
        <v>Surrey</v>
      </c>
      <c r="AL56" s="146" t="e">
        <f t="shared" si="17"/>
        <v>#N/A</v>
      </c>
      <c r="AM56" s="146" t="e">
        <f t="shared" si="17"/>
        <v>#N/A</v>
      </c>
      <c r="AN56" s="146" t="e">
        <f t="shared" si="17"/>
        <v>#N/A</v>
      </c>
      <c r="AO56" s="146" t="e">
        <f t="shared" si="17"/>
        <v>#N/A</v>
      </c>
      <c r="AP56" s="146" t="e">
        <f t="shared" si="17"/>
        <v>#N/A</v>
      </c>
      <c r="AQ56" s="147">
        <f t="shared" si="16"/>
        <v>8.3000000000000007</v>
      </c>
      <c r="AR56" s="348"/>
      <c r="AS56" s="348"/>
      <c r="AT56" s="348"/>
      <c r="AU56" s="348"/>
      <c r="AV56" s="348"/>
      <c r="AW56" s="348"/>
      <c r="AX56" s="348"/>
      <c r="AY56" s="348"/>
      <c r="AZ56" s="348"/>
      <c r="BA56" s="348"/>
      <c r="BB56" s="348"/>
      <c r="BC56" s="348"/>
      <c r="BD56" s="348"/>
      <c r="BE56" s="348"/>
      <c r="BF56" s="348"/>
      <c r="BG56" s="348"/>
      <c r="BH56" s="348"/>
      <c r="BI56" s="348"/>
      <c r="BJ56" s="348"/>
      <c r="BK56" s="348"/>
      <c r="BL56" s="348"/>
      <c r="BM56" s="348"/>
      <c r="BN56" s="348"/>
      <c r="BO56" s="348"/>
      <c r="BP56" s="348"/>
    </row>
    <row r="57" spans="1:68" ht="14.25" customHeight="1" x14ac:dyDescent="0.2">
      <c r="A57" s="278"/>
      <c r="B57" s="421"/>
      <c r="C57" s="421"/>
      <c r="D57" s="58"/>
      <c r="E57" s="58"/>
      <c r="F57" s="58"/>
      <c r="G57" s="58"/>
      <c r="H57" s="58"/>
      <c r="I57" s="58"/>
      <c r="J57" s="58"/>
      <c r="K57" s="12"/>
      <c r="L57" s="14"/>
      <c r="M57" s="14"/>
      <c r="N57" s="14"/>
      <c r="O57" s="14"/>
      <c r="P57" s="9"/>
      <c r="Q57" s="9"/>
      <c r="R57" s="9"/>
      <c r="S57" s="9"/>
      <c r="T57" s="9"/>
      <c r="U57" s="117"/>
      <c r="V57" s="137"/>
      <c r="W57" s="294"/>
      <c r="Z57" s="197"/>
      <c r="AI57" s="585" t="b">
        <v>1</v>
      </c>
      <c r="AJ57" s="160" t="s">
        <v>113</v>
      </c>
      <c r="AK57" s="87" t="str">
        <f t="shared" si="14"/>
        <v>Swindon</v>
      </c>
      <c r="AL57" s="146" t="e">
        <f t="shared" si="17"/>
        <v>#N/A</v>
      </c>
      <c r="AM57" s="146" t="e">
        <f t="shared" si="17"/>
        <v>#N/A</v>
      </c>
      <c r="AN57" s="146" t="e">
        <f t="shared" si="17"/>
        <v>#N/A</v>
      </c>
      <c r="AO57" s="146" t="e">
        <f t="shared" si="17"/>
        <v>#N/A</v>
      </c>
      <c r="AP57" s="146" t="e">
        <f t="shared" si="17"/>
        <v>#N/A</v>
      </c>
      <c r="AQ57" s="147">
        <f t="shared" si="16"/>
        <v>14.899999999999999</v>
      </c>
      <c r="AR57" s="348"/>
      <c r="AS57" s="348"/>
      <c r="AT57" s="348"/>
      <c r="AU57" s="348"/>
      <c r="AV57" s="348"/>
      <c r="AW57" s="348"/>
      <c r="AX57" s="348"/>
      <c r="AY57" s="348"/>
      <c r="AZ57" s="348"/>
      <c r="BA57" s="348"/>
      <c r="BB57" s="348"/>
      <c r="BC57" s="348"/>
      <c r="BD57" s="348"/>
      <c r="BE57" s="348"/>
      <c r="BF57" s="348"/>
      <c r="BG57" s="348"/>
      <c r="BH57" s="348"/>
      <c r="BI57" s="348"/>
      <c r="BJ57" s="348"/>
      <c r="BK57" s="348"/>
      <c r="BL57" s="348"/>
      <c r="BM57" s="348"/>
      <c r="BN57" s="348"/>
      <c r="BO57" s="348"/>
      <c r="BP57" s="348"/>
    </row>
    <row r="58" spans="1:68" ht="14.25" customHeight="1" x14ac:dyDescent="0.2">
      <c r="A58" s="278"/>
      <c r="B58" s="421"/>
      <c r="C58" s="421"/>
      <c r="D58" s="58"/>
      <c r="E58" s="58"/>
      <c r="F58" s="58"/>
      <c r="G58" s="58"/>
      <c r="H58" s="58"/>
      <c r="I58" s="58"/>
      <c r="J58" s="58"/>
      <c r="K58" s="12"/>
      <c r="L58" s="14"/>
      <c r="M58" s="14"/>
      <c r="N58" s="14"/>
      <c r="O58" s="14"/>
      <c r="P58" s="9"/>
      <c r="Q58" s="9"/>
      <c r="R58" s="9"/>
      <c r="S58" s="9"/>
      <c r="T58" s="9"/>
      <c r="U58" s="117"/>
      <c r="V58" s="137"/>
      <c r="W58" s="294"/>
      <c r="Z58" s="197"/>
      <c r="AI58" s="585" t="b">
        <v>1</v>
      </c>
      <c r="AJ58" s="160" t="s">
        <v>114</v>
      </c>
      <c r="AK58" s="87" t="str">
        <f t="shared" si="14"/>
        <v>Torbay</v>
      </c>
      <c r="AL58" s="146" t="e">
        <f t="shared" si="17"/>
        <v>#N/A</v>
      </c>
      <c r="AM58" s="146" t="e">
        <f t="shared" si="17"/>
        <v>#N/A</v>
      </c>
      <c r="AN58" s="146" t="e">
        <f t="shared" si="17"/>
        <v>#N/A</v>
      </c>
      <c r="AO58" s="146" t="e">
        <f t="shared" si="17"/>
        <v>#N/A</v>
      </c>
      <c r="AP58" s="146" t="e">
        <f t="shared" si="17"/>
        <v>#N/A</v>
      </c>
      <c r="AQ58" s="147">
        <f t="shared" si="16"/>
        <v>21.9</v>
      </c>
      <c r="AR58" s="348"/>
      <c r="AS58" s="348"/>
      <c r="AT58" s="348"/>
      <c r="AU58" s="348"/>
      <c r="AV58" s="348"/>
      <c r="AW58" s="348"/>
      <c r="AX58" s="348"/>
      <c r="AY58" s="348"/>
      <c r="AZ58" s="348"/>
      <c r="BA58" s="348"/>
      <c r="BB58" s="348"/>
      <c r="BC58" s="348"/>
      <c r="BD58" s="348"/>
      <c r="BE58" s="348"/>
      <c r="BF58" s="348"/>
      <c r="BG58" s="348"/>
      <c r="BH58" s="348"/>
      <c r="BI58" s="348"/>
      <c r="BJ58" s="348"/>
      <c r="BK58" s="348"/>
      <c r="BL58" s="348"/>
      <c r="BM58" s="348"/>
      <c r="BN58" s="348"/>
      <c r="BO58" s="348"/>
      <c r="BP58" s="348"/>
    </row>
    <row r="59" spans="1:68" ht="14.25" customHeight="1" x14ac:dyDescent="0.2">
      <c r="A59" s="118"/>
      <c r="B59" s="421"/>
      <c r="C59" s="421"/>
      <c r="D59" s="58"/>
      <c r="E59" s="58"/>
      <c r="F59" s="58"/>
      <c r="G59" s="58"/>
      <c r="H59" s="58"/>
      <c r="I59" s="58"/>
      <c r="J59" s="58"/>
      <c r="K59" s="12"/>
      <c r="L59" s="14"/>
      <c r="M59" s="14"/>
      <c r="N59" s="14"/>
      <c r="O59" s="14"/>
      <c r="P59" s="9"/>
      <c r="Q59" s="9"/>
      <c r="R59" s="9"/>
      <c r="S59" s="9"/>
      <c r="T59" s="9"/>
      <c r="U59" s="117"/>
      <c r="V59" s="137"/>
      <c r="W59" s="294"/>
      <c r="Z59" s="197"/>
      <c r="AI59" s="585" t="b">
        <v>1</v>
      </c>
      <c r="AJ59" s="160" t="s">
        <v>15</v>
      </c>
      <c r="AK59" s="87" t="str">
        <f t="shared" si="14"/>
        <v>West Berkshire</v>
      </c>
      <c r="AL59" s="146" t="e">
        <f t="shared" si="17"/>
        <v>#N/A</v>
      </c>
      <c r="AM59" s="146" t="e">
        <f t="shared" si="17"/>
        <v>#N/A</v>
      </c>
      <c r="AN59" s="146" t="e">
        <f t="shared" si="17"/>
        <v>#N/A</v>
      </c>
      <c r="AO59" s="146" t="e">
        <f t="shared" si="17"/>
        <v>#N/A</v>
      </c>
      <c r="AP59" s="146" t="e">
        <f t="shared" si="17"/>
        <v>#N/A</v>
      </c>
      <c r="AQ59" s="147">
        <f t="shared" si="16"/>
        <v>8.6999999999999993</v>
      </c>
      <c r="AR59" s="348"/>
      <c r="AS59" s="348"/>
      <c r="AT59" s="348"/>
      <c r="AU59" s="348"/>
      <c r="AV59" s="348"/>
      <c r="AW59" s="348"/>
      <c r="AX59" s="348"/>
      <c r="AY59" s="348"/>
      <c r="AZ59" s="348"/>
      <c r="BA59" s="348"/>
      <c r="BB59" s="348"/>
      <c r="BC59" s="348"/>
      <c r="BD59" s="348"/>
      <c r="BE59" s="348"/>
      <c r="BF59" s="348"/>
      <c r="BG59" s="348"/>
      <c r="BH59" s="348"/>
      <c r="BI59" s="348"/>
      <c r="BJ59" s="348"/>
      <c r="BK59" s="348"/>
      <c r="BL59" s="348"/>
      <c r="BM59" s="348"/>
      <c r="BN59" s="348"/>
      <c r="BO59" s="348"/>
      <c r="BP59" s="348"/>
    </row>
    <row r="60" spans="1:68" ht="14.25" customHeight="1" x14ac:dyDescent="0.2">
      <c r="A60" s="118"/>
      <c r="B60" s="421"/>
      <c r="C60" s="421"/>
      <c r="D60" s="58"/>
      <c r="E60" s="58"/>
      <c r="F60" s="58"/>
      <c r="G60" s="58"/>
      <c r="H60" s="58"/>
      <c r="I60" s="58"/>
      <c r="J60" s="58"/>
      <c r="K60" s="12"/>
      <c r="L60" s="14"/>
      <c r="M60" s="14"/>
      <c r="N60" s="14"/>
      <c r="O60" s="14"/>
      <c r="P60" s="9"/>
      <c r="Q60" s="9"/>
      <c r="R60" s="9"/>
      <c r="S60" s="9"/>
      <c r="T60" s="9"/>
      <c r="U60" s="117"/>
      <c r="V60" s="137"/>
      <c r="W60" s="294"/>
      <c r="Z60" s="197"/>
      <c r="AI60" s="585" t="b">
        <v>1</v>
      </c>
      <c r="AJ60" s="160" t="s">
        <v>5</v>
      </c>
      <c r="AK60" s="87" t="str">
        <f t="shared" si="14"/>
        <v>West Sussex</v>
      </c>
      <c r="AL60" s="146" t="e">
        <f t="shared" si="17"/>
        <v>#N/A</v>
      </c>
      <c r="AM60" s="146" t="e">
        <f t="shared" si="17"/>
        <v>#N/A</v>
      </c>
      <c r="AN60" s="146" t="e">
        <f t="shared" si="17"/>
        <v>#N/A</v>
      </c>
      <c r="AO60" s="146" t="e">
        <f t="shared" si="17"/>
        <v>#N/A</v>
      </c>
      <c r="AP60" s="146" t="e">
        <f t="shared" si="17"/>
        <v>#N/A</v>
      </c>
      <c r="AQ60" s="147">
        <f t="shared" si="16"/>
        <v>11</v>
      </c>
      <c r="AR60" s="348"/>
      <c r="AS60" s="348"/>
      <c r="AT60" s="348"/>
      <c r="AU60" s="348"/>
      <c r="AV60" s="348"/>
      <c r="AW60" s="348"/>
      <c r="AX60" s="348"/>
      <c r="AY60" s="348"/>
      <c r="AZ60" s="348"/>
      <c r="BA60" s="348"/>
      <c r="BB60" s="348"/>
      <c r="BC60" s="348"/>
      <c r="BD60" s="348"/>
      <c r="BE60" s="348"/>
      <c r="BF60" s="348"/>
      <c r="BG60" s="348"/>
      <c r="BH60" s="348"/>
      <c r="BI60" s="348"/>
      <c r="BJ60" s="348"/>
      <c r="BK60" s="348"/>
      <c r="BL60" s="348"/>
      <c r="BM60" s="348"/>
      <c r="BN60" s="348"/>
      <c r="BO60" s="348"/>
      <c r="BP60" s="348"/>
    </row>
    <row r="61" spans="1:68" s="81" customFormat="1" ht="14.25" customHeight="1" x14ac:dyDescent="0.2">
      <c r="A61" s="118"/>
      <c r="B61" s="421"/>
      <c r="C61" s="421"/>
      <c r="D61" s="58"/>
      <c r="E61" s="58"/>
      <c r="F61" s="58"/>
      <c r="G61" s="58"/>
      <c r="H61" s="58"/>
      <c r="I61" s="58"/>
      <c r="J61" s="58"/>
      <c r="K61" s="12"/>
      <c r="L61" s="14"/>
      <c r="M61" s="14"/>
      <c r="N61" s="14"/>
      <c r="O61" s="14"/>
      <c r="P61" s="9"/>
      <c r="Q61" s="9"/>
      <c r="R61" s="9"/>
      <c r="S61" s="9"/>
      <c r="T61" s="9"/>
      <c r="U61" s="117"/>
      <c r="V61" s="137"/>
      <c r="W61" s="294"/>
      <c r="Z61" s="197"/>
      <c r="AI61" s="585" t="b">
        <v>1</v>
      </c>
      <c r="AJ61" s="160" t="s">
        <v>30</v>
      </c>
      <c r="AK61" s="87" t="str">
        <f t="shared" si="14"/>
        <v>Windsor &amp; Maidenhead</v>
      </c>
      <c r="AL61" s="146" t="e">
        <f t="shared" si="17"/>
        <v>#N/A</v>
      </c>
      <c r="AM61" s="146" t="e">
        <f t="shared" si="17"/>
        <v>#N/A</v>
      </c>
      <c r="AN61" s="146" t="e">
        <f t="shared" si="17"/>
        <v>#N/A</v>
      </c>
      <c r="AO61" s="146" t="e">
        <f t="shared" si="17"/>
        <v>#N/A</v>
      </c>
      <c r="AP61" s="146" t="e">
        <f t="shared" si="17"/>
        <v>#N/A</v>
      </c>
      <c r="AQ61" s="147">
        <f t="shared" si="16"/>
        <v>6.7</v>
      </c>
      <c r="AR61" s="348"/>
      <c r="AS61" s="348"/>
      <c r="AT61" s="348"/>
      <c r="AU61" s="348"/>
      <c r="AV61" s="348"/>
      <c r="AW61" s="348"/>
      <c r="AX61" s="348"/>
      <c r="AY61" s="348"/>
      <c r="AZ61" s="348"/>
      <c r="BA61" s="348"/>
      <c r="BB61" s="348"/>
      <c r="BC61" s="348"/>
      <c r="BD61" s="348"/>
      <c r="BE61" s="348"/>
      <c r="BF61" s="348"/>
      <c r="BG61" s="348"/>
      <c r="BH61" s="348"/>
      <c r="BI61" s="348"/>
      <c r="BJ61" s="348"/>
      <c r="BK61" s="348"/>
      <c r="BL61" s="348"/>
      <c r="BM61" s="348"/>
      <c r="BN61" s="348"/>
      <c r="BO61" s="348"/>
      <c r="BP61" s="348"/>
    </row>
    <row r="62" spans="1:68" s="81" customFormat="1" ht="14.25" customHeight="1" x14ac:dyDescent="0.2">
      <c r="A62" s="118"/>
      <c r="B62" s="421"/>
      <c r="C62" s="421"/>
      <c r="D62" s="58"/>
      <c r="E62" s="58"/>
      <c r="F62" s="58"/>
      <c r="G62" s="58"/>
      <c r="H62" s="58"/>
      <c r="I62" s="58"/>
      <c r="J62" s="58"/>
      <c r="K62" s="12"/>
      <c r="L62" s="14"/>
      <c r="M62" s="14"/>
      <c r="N62" s="14"/>
      <c r="O62" s="14"/>
      <c r="P62" s="9"/>
      <c r="Q62" s="9"/>
      <c r="R62" s="9"/>
      <c r="S62" s="9"/>
      <c r="T62" s="9"/>
      <c r="U62" s="117"/>
      <c r="V62" s="137"/>
      <c r="W62" s="294"/>
      <c r="Z62" s="197"/>
      <c r="AI62" s="585" t="b">
        <v>1</v>
      </c>
      <c r="AJ62" s="160" t="s">
        <v>16</v>
      </c>
      <c r="AK62" s="87" t="str">
        <f t="shared" si="14"/>
        <v>Wokingham</v>
      </c>
      <c r="AL62" s="146" t="e">
        <f t="shared" si="17"/>
        <v>#N/A</v>
      </c>
      <c r="AM62" s="146" t="e">
        <f t="shared" si="17"/>
        <v>#N/A</v>
      </c>
      <c r="AN62" s="146" t="e">
        <f t="shared" si="17"/>
        <v>#N/A</v>
      </c>
      <c r="AO62" s="146" t="e">
        <f t="shared" si="17"/>
        <v>#N/A</v>
      </c>
      <c r="AP62" s="146" t="e">
        <f t="shared" si="17"/>
        <v>#N/A</v>
      </c>
      <c r="AQ62" s="147">
        <f t="shared" si="16"/>
        <v>5.6000000000000005</v>
      </c>
      <c r="AR62" s="348"/>
      <c r="AS62" s="348"/>
      <c r="AT62" s="348"/>
      <c r="AU62" s="348"/>
      <c r="AV62" s="348"/>
      <c r="AW62" s="348"/>
      <c r="AX62" s="348"/>
      <c r="AY62" s="348"/>
      <c r="AZ62" s="348"/>
      <c r="BA62" s="348"/>
      <c r="BB62" s="348"/>
      <c r="BC62" s="348"/>
      <c r="BD62" s="348"/>
      <c r="BE62" s="348"/>
      <c r="BF62" s="348"/>
      <c r="BG62" s="348"/>
      <c r="BH62" s="348"/>
      <c r="BI62" s="348"/>
      <c r="BJ62" s="348"/>
      <c r="BK62" s="348"/>
      <c r="BL62" s="348"/>
      <c r="BM62" s="348"/>
      <c r="BN62" s="348"/>
      <c r="BO62" s="348"/>
      <c r="BP62" s="348"/>
    </row>
    <row r="63" spans="1:68" s="81" customFormat="1" ht="14.25" customHeight="1" x14ac:dyDescent="0.2">
      <c r="A63" s="118"/>
      <c r="B63" s="421"/>
      <c r="C63" s="421"/>
      <c r="D63" s="58"/>
      <c r="E63" s="58"/>
      <c r="F63" s="58"/>
      <c r="G63" s="58"/>
      <c r="H63" s="58"/>
      <c r="I63" s="58"/>
      <c r="J63" s="58"/>
      <c r="K63" s="12"/>
      <c r="L63" s="14"/>
      <c r="M63" s="14"/>
      <c r="N63" s="14"/>
      <c r="O63" s="14"/>
      <c r="P63" s="9"/>
      <c r="Q63" s="9"/>
      <c r="R63" s="9"/>
      <c r="S63" s="9"/>
      <c r="T63" s="9"/>
      <c r="U63" s="117"/>
      <c r="V63" s="137"/>
      <c r="W63" s="294"/>
      <c r="Z63" s="197"/>
      <c r="AI63" s="585" t="b">
        <v>1</v>
      </c>
      <c r="AJ63" s="160" t="s">
        <v>74</v>
      </c>
      <c r="AK63" s="87" t="str">
        <f t="shared" si="14"/>
        <v>South East</v>
      </c>
      <c r="AL63" s="146" t="e">
        <f t="shared" si="17"/>
        <v>#N/A</v>
      </c>
      <c r="AM63" s="146" t="e">
        <f t="shared" si="17"/>
        <v>#N/A</v>
      </c>
      <c r="AN63" s="146" t="e">
        <f t="shared" si="17"/>
        <v>#N/A</v>
      </c>
      <c r="AO63" s="146" t="e">
        <f t="shared" si="17"/>
        <v>#N/A</v>
      </c>
      <c r="AP63" s="146" t="e">
        <f t="shared" si="17"/>
        <v>#N/A</v>
      </c>
      <c r="AQ63" s="147" t="e">
        <f t="shared" si="16"/>
        <v>#DIV/0!</v>
      </c>
      <c r="AR63" s="348"/>
      <c r="AS63" s="348"/>
      <c r="AT63" s="348"/>
      <c r="AU63" s="348"/>
      <c r="AV63" s="348"/>
      <c r="AW63" s="348"/>
      <c r="AX63" s="348"/>
      <c r="AY63" s="348"/>
      <c r="AZ63" s="348"/>
      <c r="BA63" s="348"/>
      <c r="BB63" s="348"/>
      <c r="BC63" s="348"/>
      <c r="BD63" s="348"/>
      <c r="BE63" s="348"/>
      <c r="BF63" s="348"/>
      <c r="BG63" s="348"/>
      <c r="BH63" s="348"/>
      <c r="BI63" s="348"/>
      <c r="BJ63" s="348"/>
      <c r="BK63" s="348"/>
      <c r="BL63" s="348"/>
      <c r="BM63" s="348"/>
      <c r="BN63" s="348"/>
      <c r="BO63" s="348"/>
      <c r="BP63" s="348"/>
    </row>
    <row r="64" spans="1:68" s="81" customFormat="1" ht="14.25" customHeight="1" x14ac:dyDescent="0.2">
      <c r="A64" s="118"/>
      <c r="B64" s="421"/>
      <c r="C64" s="421"/>
      <c r="D64" s="58"/>
      <c r="E64" s="58"/>
      <c r="F64" s="58"/>
      <c r="G64" s="58"/>
      <c r="H64" s="58"/>
      <c r="I64" s="58"/>
      <c r="J64" s="58"/>
      <c r="K64" s="12"/>
      <c r="L64" s="110"/>
      <c r="M64" s="1750" t="s">
        <v>72</v>
      </c>
      <c r="N64" s="1750"/>
      <c r="O64" s="1750"/>
      <c r="P64" s="1011"/>
      <c r="Q64" s="1751" t="s">
        <v>100</v>
      </c>
      <c r="R64" s="1751"/>
      <c r="S64" s="1751"/>
      <c r="T64" s="1751"/>
      <c r="U64" s="117"/>
      <c r="V64" s="137"/>
      <c r="W64" s="294"/>
      <c r="Z64" s="197"/>
      <c r="AI64" s="585" t="b">
        <v>1</v>
      </c>
      <c r="AJ64" s="160" t="s">
        <v>127</v>
      </c>
      <c r="AK64" s="87" t="str">
        <f t="shared" si="14"/>
        <v>England</v>
      </c>
      <c r="AL64" s="146" t="e">
        <f t="shared" si="17"/>
        <v>#N/A</v>
      </c>
      <c r="AM64" s="146" t="e">
        <f t="shared" si="17"/>
        <v>#N/A</v>
      </c>
      <c r="AN64" s="146" t="e">
        <f t="shared" si="17"/>
        <v>#N/A</v>
      </c>
      <c r="AO64" s="146" t="e">
        <f t="shared" si="17"/>
        <v>#N/A</v>
      </c>
      <c r="AP64" s="146" t="e">
        <f t="shared" si="17"/>
        <v>#N/A</v>
      </c>
      <c r="AQ64" s="147">
        <f t="shared" si="16"/>
        <v>17.084413405029373</v>
      </c>
      <c r="AR64" s="348"/>
      <c r="AS64" s="348"/>
      <c r="AT64" s="348"/>
      <c r="AU64" s="348"/>
      <c r="AV64" s="348"/>
      <c r="AW64" s="348"/>
      <c r="AX64" s="348"/>
      <c r="AY64" s="348"/>
      <c r="AZ64" s="348"/>
      <c r="BA64" s="348"/>
      <c r="BB64" s="348"/>
      <c r="BC64" s="348"/>
      <c r="BD64" s="348"/>
      <c r="BE64" s="348"/>
      <c r="BF64" s="348"/>
      <c r="BG64" s="348"/>
      <c r="BH64" s="348"/>
      <c r="BI64" s="348"/>
      <c r="BJ64" s="348"/>
      <c r="BK64" s="348"/>
      <c r="BL64" s="348"/>
      <c r="BM64" s="348"/>
      <c r="BN64" s="348"/>
      <c r="BO64" s="348"/>
      <c r="BP64" s="348"/>
    </row>
    <row r="65" spans="1:68" s="81" customFormat="1" ht="14.25" customHeight="1" x14ac:dyDescent="0.2">
      <c r="A65" s="118"/>
      <c r="B65" s="421"/>
      <c r="C65" s="421"/>
      <c r="D65" s="58"/>
      <c r="E65" s="58"/>
      <c r="F65" s="58"/>
      <c r="G65" s="58"/>
      <c r="H65" s="58"/>
      <c r="I65" s="58"/>
      <c r="J65" s="58"/>
      <c r="K65" s="12"/>
      <c r="L65" s="111"/>
      <c r="M65" s="1751" t="str">
        <f>Z4</f>
        <v>Selected LA- (none)</v>
      </c>
      <c r="N65" s="1751"/>
      <c r="O65" s="1751"/>
      <c r="P65" s="1751"/>
      <c r="Q65" s="1751"/>
      <c r="R65" s="1751"/>
      <c r="S65" s="1751"/>
      <c r="T65" s="1751"/>
      <c r="U65" s="117"/>
      <c r="V65" s="137"/>
      <c r="W65" s="150"/>
      <c r="Z65" s="197"/>
      <c r="AJ65" s="161"/>
      <c r="AK65" s="74" t="str">
        <f>$Z$4</f>
        <v>Selected LA- (none)</v>
      </c>
      <c r="AL65" s="148" t="e">
        <f>VLOOKUP($Y4,$B$10:$P$32,AL$37,FALSE)</f>
        <v>#N/A</v>
      </c>
      <c r="AM65" s="148" t="e">
        <f>VLOOKUP($Y4,$B$10:$P$32,AM$37,FALSE)</f>
        <v>#N/A</v>
      </c>
      <c r="AN65" s="148" t="e">
        <f>VLOOKUP($Y4,$B$10:$P$32,AN$37,FALSE)</f>
        <v>#N/A</v>
      </c>
      <c r="AO65" s="148" t="e">
        <f>VLOOKUP($Y4,$B$10:$P$32,AO$37,FALSE)</f>
        <v>#N/A</v>
      </c>
      <c r="AP65" s="148" t="e">
        <f>VLOOKUP($Y4,$B$10:$P$32,AP$37,FALSE)</f>
        <v>#N/A</v>
      </c>
      <c r="AQ65" s="147" t="e">
        <f>VLOOKUP(Y4,$B$10:$T$32,$AQ$37,FALSE)</f>
        <v>#N/A</v>
      </c>
      <c r="AR65" s="171"/>
      <c r="AS65" s="171"/>
      <c r="AT65" s="171"/>
      <c r="AU65" s="171"/>
      <c r="AV65" s="171"/>
      <c r="AW65" s="171"/>
      <c r="AX65" s="171"/>
      <c r="AY65" s="171"/>
      <c r="AZ65" s="171"/>
      <c r="BA65" s="171"/>
      <c r="BB65" s="171"/>
      <c r="BC65" s="171"/>
      <c r="BD65" s="171"/>
      <c r="BE65" s="171"/>
      <c r="BF65" s="171"/>
      <c r="BG65" s="348"/>
      <c r="BH65" s="348"/>
      <c r="BI65" s="348"/>
      <c r="BJ65" s="348"/>
      <c r="BK65" s="348"/>
      <c r="BL65" s="348"/>
      <c r="BM65" s="348"/>
      <c r="BN65" s="348"/>
      <c r="BO65" s="348"/>
      <c r="BP65" s="348"/>
    </row>
    <row r="66" spans="1:68" s="81" customFormat="1" ht="42" customHeight="1" x14ac:dyDescent="0.2">
      <c r="A66" s="118"/>
      <c r="B66" s="421"/>
      <c r="C66" s="421"/>
      <c r="D66" s="58"/>
      <c r="E66" s="58"/>
      <c r="F66" s="58"/>
      <c r="G66" s="58"/>
      <c r="H66" s="58"/>
      <c r="I66" s="58"/>
      <c r="J66" s="58"/>
      <c r="K66" s="12"/>
      <c r="L66" s="9"/>
      <c r="M66" s="9"/>
      <c r="N66" s="9"/>
      <c r="O66" s="9"/>
      <c r="P66" s="9"/>
      <c r="Q66" s="9"/>
      <c r="R66" s="9"/>
      <c r="S66" s="9"/>
      <c r="T66" s="9"/>
      <c r="U66" s="117"/>
      <c r="V66" s="137"/>
      <c r="W66" s="150"/>
      <c r="AJ66" s="161"/>
    </row>
    <row r="67" spans="1:68" s="87" customFormat="1" ht="42" customHeight="1" x14ac:dyDescent="0.2">
      <c r="A67" s="121"/>
      <c r="B67" s="109"/>
      <c r="C67" s="109"/>
      <c r="D67" s="109"/>
      <c r="E67" s="109"/>
      <c r="F67" s="109"/>
      <c r="G67" s="109"/>
      <c r="H67" s="109"/>
      <c r="I67" s="109"/>
      <c r="J67" s="109"/>
      <c r="K67" s="96"/>
      <c r="L67" s="85"/>
      <c r="M67" s="85"/>
      <c r="N67" s="85"/>
      <c r="O67" s="85"/>
      <c r="P67" s="85"/>
      <c r="Q67" s="85"/>
      <c r="R67" s="85"/>
      <c r="S67" s="85"/>
      <c r="T67" s="85"/>
      <c r="U67" s="122"/>
      <c r="V67" s="139"/>
      <c r="W67" s="152"/>
      <c r="AD67" s="190"/>
      <c r="AE67" s="190"/>
      <c r="AF67" s="190"/>
      <c r="AG67" s="190"/>
      <c r="AH67" s="190"/>
      <c r="AI67" s="202"/>
      <c r="AJ67" s="160"/>
    </row>
    <row r="68" spans="1:68" s="87" customFormat="1" ht="42.75" customHeight="1" x14ac:dyDescent="0.2">
      <c r="A68" s="121"/>
      <c r="B68" s="109"/>
      <c r="C68" s="109"/>
      <c r="D68" s="109"/>
      <c r="E68" s="109"/>
      <c r="F68" s="109"/>
      <c r="G68" s="109"/>
      <c r="H68" s="109"/>
      <c r="I68" s="109"/>
      <c r="J68" s="109"/>
      <c r="K68" s="96"/>
      <c r="L68" s="85"/>
      <c r="M68" s="85"/>
      <c r="N68" s="85"/>
      <c r="O68" s="85"/>
      <c r="P68" s="85"/>
      <c r="Q68" s="85"/>
      <c r="R68" s="85"/>
      <c r="S68" s="85"/>
      <c r="T68" s="85"/>
      <c r="U68" s="122"/>
      <c r="V68" s="139"/>
      <c r="W68" s="152"/>
      <c r="AD68" s="190"/>
      <c r="AE68" s="190"/>
      <c r="AF68" s="190"/>
      <c r="AG68" s="190"/>
      <c r="AH68" s="190"/>
      <c r="AI68" s="202"/>
      <c r="AJ68" s="160"/>
    </row>
    <row r="69" spans="1:68" ht="7.5" customHeight="1" x14ac:dyDescent="0.2">
      <c r="A69" s="118"/>
      <c r="B69" s="17"/>
      <c r="C69" s="17"/>
      <c r="D69" s="16"/>
      <c r="E69" s="16"/>
      <c r="F69" s="16"/>
      <c r="G69" s="16"/>
      <c r="H69" s="16"/>
      <c r="I69" s="16"/>
      <c r="J69" s="16"/>
      <c r="K69" s="12"/>
      <c r="L69" s="18"/>
      <c r="M69" s="18"/>
      <c r="N69" s="18"/>
      <c r="O69" s="18"/>
      <c r="P69" s="18"/>
      <c r="Q69" s="18"/>
      <c r="R69" s="18"/>
      <c r="S69" s="18"/>
      <c r="T69" s="18"/>
      <c r="U69" s="117"/>
      <c r="V69" s="137"/>
      <c r="W69" s="150"/>
      <c r="AI69" s="184"/>
      <c r="AJ69" s="157"/>
    </row>
    <row r="70" spans="1:68" ht="15" customHeight="1" x14ac:dyDescent="0.2">
      <c r="A70" s="1716"/>
      <c r="B70" s="1760"/>
      <c r="C70" s="1760"/>
      <c r="D70" s="1760"/>
      <c r="E70" s="1760"/>
      <c r="F70" s="1760"/>
      <c r="G70" s="1760"/>
      <c r="H70" s="1760"/>
      <c r="I70" s="1760"/>
      <c r="J70" s="1760"/>
      <c r="K70" s="1760"/>
      <c r="L70" s="1760"/>
      <c r="M70" s="1760"/>
      <c r="N70" s="1760"/>
      <c r="O70" s="1760"/>
      <c r="P70" s="1760"/>
      <c r="Q70" s="1760"/>
      <c r="R70" s="1760"/>
      <c r="S70" s="1760"/>
      <c r="T70" s="1760"/>
      <c r="U70" s="1761"/>
      <c r="V70" s="137"/>
      <c r="W70" s="150"/>
      <c r="AI70" s="184"/>
      <c r="AJ70" s="157"/>
    </row>
    <row r="71" spans="1:68" ht="11.25" customHeight="1" x14ac:dyDescent="0.2">
      <c r="A71" s="1765" t="str">
        <f>Home!$A$39</f>
        <v xml:space="preserve"> </v>
      </c>
      <c r="B71" s="1766"/>
      <c r="C71" s="1766"/>
      <c r="D71" s="1766"/>
      <c r="E71" s="1766"/>
      <c r="F71" s="1766"/>
      <c r="G71" s="1766"/>
      <c r="H71" s="1766"/>
      <c r="I71" s="1767"/>
      <c r="J71" s="1768"/>
      <c r="K71" s="1766"/>
      <c r="L71" s="1766"/>
      <c r="M71" s="1766"/>
      <c r="N71" s="1766"/>
      <c r="O71" s="1766"/>
      <c r="P71" s="1766"/>
      <c r="Q71" s="1768"/>
      <c r="R71" s="1766"/>
      <c r="S71" s="1766"/>
      <c r="T71" s="1766"/>
      <c r="U71" s="1769"/>
      <c r="V71" s="137"/>
      <c r="W71" s="150"/>
      <c r="AI71" s="184"/>
      <c r="AJ71" s="157"/>
    </row>
    <row r="72" spans="1:68" ht="18.75" customHeight="1" x14ac:dyDescent="0.2">
      <c r="A72" s="112"/>
      <c r="B72" s="113"/>
      <c r="C72" s="113"/>
      <c r="D72" s="113"/>
      <c r="E72" s="113"/>
      <c r="F72" s="113"/>
      <c r="G72" s="113"/>
      <c r="H72" s="113"/>
      <c r="I72" s="113"/>
      <c r="J72" s="113"/>
      <c r="K72" s="114"/>
      <c r="L72" s="113"/>
      <c r="M72" s="113"/>
      <c r="N72" s="113"/>
      <c r="O72" s="113"/>
      <c r="P72" s="113"/>
      <c r="Q72" s="113"/>
      <c r="R72" s="113"/>
      <c r="S72" s="113"/>
      <c r="T72" s="113"/>
      <c r="U72" s="115"/>
      <c r="V72" s="1064"/>
      <c r="W72" s="150"/>
      <c r="AI72" s="184"/>
      <c r="AJ72" s="157"/>
    </row>
    <row r="73" spans="1:68" ht="18.75" customHeight="1" x14ac:dyDescent="0.2">
      <c r="A73" s="118"/>
      <c r="B73" s="128" t="s">
        <v>758</v>
      </c>
      <c r="C73" s="9"/>
      <c r="D73" s="9"/>
      <c r="E73" s="9"/>
      <c r="F73" s="9"/>
      <c r="G73" s="9"/>
      <c r="H73" s="9"/>
      <c r="I73" s="9"/>
      <c r="J73" s="9"/>
      <c r="K73" s="12"/>
      <c r="L73" s="9"/>
      <c r="M73" s="9"/>
      <c r="N73" s="9"/>
      <c r="O73" s="9"/>
      <c r="P73" s="9"/>
      <c r="Q73" s="9"/>
      <c r="R73" s="9"/>
      <c r="S73" s="9"/>
      <c r="T73" s="9"/>
      <c r="U73" s="117"/>
      <c r="V73" s="1064"/>
      <c r="W73" s="150"/>
      <c r="AB73" s="188"/>
      <c r="AC73" s="188"/>
      <c r="AI73" s="184"/>
      <c r="AJ73" s="157"/>
    </row>
    <row r="74" spans="1:68" ht="18.75" customHeight="1" x14ac:dyDescent="0.2">
      <c r="A74" s="124"/>
      <c r="B74" s="125"/>
      <c r="C74" s="125"/>
      <c r="D74" s="125"/>
      <c r="E74" s="125"/>
      <c r="F74" s="125"/>
      <c r="G74" s="125"/>
      <c r="H74" s="125"/>
      <c r="I74" s="267"/>
      <c r="J74" s="553"/>
      <c r="K74" s="126"/>
      <c r="L74" s="125"/>
      <c r="M74" s="125"/>
      <c r="N74" s="125"/>
      <c r="O74" s="125"/>
      <c r="P74" s="125"/>
      <c r="Q74" s="553"/>
      <c r="R74" s="125"/>
      <c r="S74" s="125"/>
      <c r="T74" s="125"/>
      <c r="U74" s="127"/>
      <c r="V74" s="1064"/>
      <c r="W74" s="150"/>
      <c r="AB74" s="188"/>
      <c r="AC74" s="188"/>
      <c r="AI74" s="184"/>
      <c r="AJ74" s="157"/>
    </row>
    <row r="75" spans="1:68" ht="11.25" customHeight="1" x14ac:dyDescent="0.2">
      <c r="A75" s="112"/>
      <c r="B75" s="113"/>
      <c r="C75" s="113"/>
      <c r="D75" s="113"/>
      <c r="E75" s="113"/>
      <c r="F75" s="113"/>
      <c r="G75" s="113"/>
      <c r="H75" s="113"/>
      <c r="I75" s="113"/>
      <c r="J75" s="113"/>
      <c r="K75" s="114"/>
      <c r="L75" s="113"/>
      <c r="M75" s="113"/>
      <c r="N75" s="113"/>
      <c r="O75" s="113"/>
      <c r="P75" s="113"/>
      <c r="Q75" s="113"/>
      <c r="R75" s="113"/>
      <c r="S75" s="113"/>
      <c r="T75" s="113"/>
      <c r="U75" s="115"/>
      <c r="V75" s="137"/>
      <c r="W75" s="150"/>
      <c r="AB75" s="188"/>
      <c r="AC75" s="188"/>
      <c r="AI75" s="184"/>
      <c r="AJ75" s="157"/>
    </row>
    <row r="76" spans="1:68" s="76" customFormat="1" ht="15" customHeight="1" x14ac:dyDescent="0.2">
      <c r="A76" s="119"/>
      <c r="B76" s="1746" t="str">
        <f>"Number of Children who were Electively Home Educated"&amp;$Y1</f>
        <v>Number of Children who were Electively Home Educated at 31st March</v>
      </c>
      <c r="C76" s="1746"/>
      <c r="D76" s="1746"/>
      <c r="E76" s="1746"/>
      <c r="F76" s="1746"/>
      <c r="G76" s="1746"/>
      <c r="H76" s="1746"/>
      <c r="I76" s="1746"/>
      <c r="J76" s="1746"/>
      <c r="K76" s="1746"/>
      <c r="L76" s="1746"/>
      <c r="M76" s="1746"/>
      <c r="N76" s="1746"/>
      <c r="O76" s="1746"/>
      <c r="P76" s="1746"/>
      <c r="Q76" s="1746"/>
      <c r="R76" s="1746"/>
      <c r="S76" s="1746"/>
      <c r="T76" s="1746"/>
      <c r="U76" s="120"/>
      <c r="V76" s="138"/>
      <c r="W76" s="151"/>
      <c r="X76" s="81"/>
      <c r="Y76" s="81"/>
      <c r="Z76" s="81"/>
      <c r="AA76" s="81"/>
      <c r="AB76" s="188"/>
      <c r="AC76" s="188"/>
      <c r="AD76" s="188"/>
      <c r="AE76" s="188"/>
      <c r="AF76" s="188"/>
      <c r="AG76" s="188"/>
      <c r="AH76" s="188"/>
      <c r="AI76" s="188"/>
      <c r="AJ76" s="158"/>
    </row>
    <row r="77" spans="1:68" ht="13.5" customHeight="1" x14ac:dyDescent="0.2">
      <c r="A77" s="118"/>
      <c r="B77" s="1746"/>
      <c r="C77" s="1746"/>
      <c r="D77" s="1746"/>
      <c r="E77" s="1746"/>
      <c r="F77" s="1746"/>
      <c r="G77" s="1746"/>
      <c r="H77" s="1746"/>
      <c r="I77" s="1746"/>
      <c r="J77" s="1746"/>
      <c r="K77" s="1746"/>
      <c r="L77" s="1746"/>
      <c r="M77" s="1746"/>
      <c r="N77" s="1746"/>
      <c r="O77" s="1746"/>
      <c r="P77" s="1746"/>
      <c r="Q77" s="1746"/>
      <c r="R77" s="1746"/>
      <c r="S77" s="1746"/>
      <c r="T77" s="1746"/>
      <c r="U77" s="117"/>
      <c r="V77" s="137"/>
      <c r="W77" s="150"/>
      <c r="Y77" s="190"/>
      <c r="AI77" s="184"/>
      <c r="AJ77" s="157"/>
      <c r="AQ77" s="76"/>
      <c r="AR77" s="76"/>
      <c r="AS77" s="76"/>
      <c r="AT77" s="76"/>
      <c r="AU77" s="76"/>
      <c r="AV77" s="76"/>
      <c r="AW77" s="76"/>
    </row>
    <row r="78" spans="1:68" s="87" customFormat="1" ht="12.75" customHeight="1" x14ac:dyDescent="0.2">
      <c r="A78" s="121"/>
      <c r="B78" s="1789" t="s">
        <v>205</v>
      </c>
      <c r="C78" s="85"/>
      <c r="D78" s="1851" t="s">
        <v>88</v>
      </c>
      <c r="E78" s="1911"/>
      <c r="F78" s="1911"/>
      <c r="G78" s="1911"/>
      <c r="H78" s="1912"/>
      <c r="I78" s="1752" t="str">
        <f>"Average "&amp;Sheet1!C3&amp;" Change "</f>
        <v xml:space="preserve">Average Annual Change </v>
      </c>
      <c r="J78" s="1753"/>
      <c r="K78" s="96"/>
      <c r="L78" s="1913" t="s">
        <v>766</v>
      </c>
      <c r="M78" s="1914"/>
      <c r="N78" s="1914"/>
      <c r="O78" s="1914"/>
      <c r="P78" s="1914"/>
      <c r="Q78" s="1914"/>
      <c r="R78" s="1744" t="str">
        <f>IF(ISNA(P80),"SE Rank "&amp;P79,"SE Rank "&amp;P80)</f>
        <v>SE Rank 2019-20</v>
      </c>
      <c r="S78" s="70"/>
      <c r="T78" s="1731" t="s">
        <v>78</v>
      </c>
      <c r="U78" s="122"/>
      <c r="V78" s="139"/>
      <c r="W78" s="152"/>
      <c r="X78" s="202"/>
      <c r="Y78" s="1988" t="s">
        <v>767</v>
      </c>
      <c r="Z78" s="1989"/>
      <c r="AA78" s="1988" t="s">
        <v>79</v>
      </c>
      <c r="AB78" s="1997"/>
      <c r="AC78" s="1997"/>
      <c r="AD78" s="1997"/>
      <c r="AE78" s="1989"/>
      <c r="AG78" s="204" t="s">
        <v>94</v>
      </c>
      <c r="AH78" s="190"/>
      <c r="AI78" s="190"/>
      <c r="AJ78" s="160"/>
      <c r="AK78" s="188" t="str">
        <f>CONCATENATE($I$7,"in Number of "&amp;$B76)</f>
        <v>Average Annual Change in Number of Number of Children who were Electively Home Educated at 31st March</v>
      </c>
      <c r="AL78" s="74"/>
      <c r="AM78" s="74"/>
      <c r="AN78" s="74"/>
      <c r="AO78" s="74"/>
      <c r="AP78" s="74"/>
      <c r="AQ78" s="76"/>
      <c r="AR78" s="76"/>
      <c r="AS78" s="76"/>
      <c r="AT78" s="76"/>
      <c r="AU78" s="76"/>
      <c r="AV78" s="76"/>
      <c r="AW78" s="76"/>
    </row>
    <row r="79" spans="1:68" s="87" customFormat="1" ht="12.75" customHeight="1" x14ac:dyDescent="0.2">
      <c r="A79" s="292"/>
      <c r="B79" s="1789"/>
      <c r="C79" s="85"/>
      <c r="D79" s="789" t="str">
        <f>Sheet1!$D$27</f>
        <v>2015-16</v>
      </c>
      <c r="E79" s="790" t="str">
        <f>Sheet1!$E$27</f>
        <v>2016-17</v>
      </c>
      <c r="F79" s="790" t="str">
        <f>Sheet1!$F$27</f>
        <v>2017-18</v>
      </c>
      <c r="G79" s="790" t="str">
        <f>Sheet1!$G$27</f>
        <v>2018-19</v>
      </c>
      <c r="H79" s="791" t="str">
        <f>Sheet1!$H$27</f>
        <v>2019-20</v>
      </c>
      <c r="I79" s="1754"/>
      <c r="J79" s="1755"/>
      <c r="K79" s="96"/>
      <c r="L79" s="820" t="str">
        <f>Sheet1!$D$27</f>
        <v>2015-16</v>
      </c>
      <c r="M79" s="821" t="str">
        <f>Sheet1!$E$27</f>
        <v>2016-17</v>
      </c>
      <c r="N79" s="821" t="str">
        <f>Sheet1!$F$27</f>
        <v>2017-18</v>
      </c>
      <c r="O79" s="821" t="str">
        <f>Sheet1!$G$27</f>
        <v>2018-19</v>
      </c>
      <c r="P79" s="1741" t="str">
        <f>Sheet1!$H$27</f>
        <v>2019-20</v>
      </c>
      <c r="Q79" s="1742"/>
      <c r="R79" s="1816"/>
      <c r="S79" s="70"/>
      <c r="T79" s="1743"/>
      <c r="U79" s="122"/>
      <c r="V79" s="139"/>
      <c r="W79" s="152"/>
      <c r="X79" s="202"/>
      <c r="Y79" s="1987" t="s">
        <v>76</v>
      </c>
      <c r="Z79" s="1986" t="s">
        <v>77</v>
      </c>
      <c r="AA79" s="1103" t="str">
        <f>Sheet1!$D$27</f>
        <v>2015-16</v>
      </c>
      <c r="AB79" s="758" t="str">
        <f>Sheet1!$E$27</f>
        <v>2016-17</v>
      </c>
      <c r="AC79" s="758" t="str">
        <f>Sheet1!$F$27</f>
        <v>2017-18</v>
      </c>
      <c r="AD79" s="758" t="str">
        <f>Sheet1!$G$27</f>
        <v>2018-19</v>
      </c>
      <c r="AE79" s="1104" t="str">
        <f>Sheet1!$H$27</f>
        <v>2019-20</v>
      </c>
      <c r="AG79" s="204"/>
      <c r="AH79" s="190"/>
      <c r="AI79" s="190"/>
      <c r="AJ79" s="160"/>
      <c r="AQ79" s="76"/>
      <c r="AR79" s="76"/>
      <c r="AS79" s="76"/>
      <c r="AT79" s="76"/>
      <c r="AU79" s="76"/>
      <c r="AV79" s="76"/>
      <c r="AW79" s="76"/>
    </row>
    <row r="80" spans="1:68" s="87" customFormat="1" ht="12.75" customHeight="1" x14ac:dyDescent="0.2">
      <c r="A80" s="121"/>
      <c r="B80" s="1790"/>
      <c r="C80" s="85"/>
      <c r="D80" s="792" t="e">
        <f>Sheet1!$D$28</f>
        <v>#N/A</v>
      </c>
      <c r="E80" s="792" t="e">
        <f>Sheet1!$E$28</f>
        <v>#N/A</v>
      </c>
      <c r="F80" s="792" t="e">
        <f>Sheet1!$F$28</f>
        <v>#N/A</v>
      </c>
      <c r="G80" s="792" t="e">
        <f>Sheet1!$G$28</f>
        <v>#N/A</v>
      </c>
      <c r="H80" s="793" t="e">
        <f>Sheet1!$H$28</f>
        <v>#N/A</v>
      </c>
      <c r="I80" s="1754"/>
      <c r="J80" s="1756"/>
      <c r="K80" s="96"/>
      <c r="L80" s="792" t="e">
        <f>Sheet1!$D$28</f>
        <v>#N/A</v>
      </c>
      <c r="M80" s="792" t="e">
        <f>Sheet1!$E$28</f>
        <v>#N/A</v>
      </c>
      <c r="N80" s="792" t="e">
        <f>Sheet1!$F$28</f>
        <v>#N/A</v>
      </c>
      <c r="O80" s="792" t="e">
        <f>Sheet1!$G$28</f>
        <v>#N/A</v>
      </c>
      <c r="P80" s="1739" t="e">
        <f>Sheet1!$H$28</f>
        <v>#N/A</v>
      </c>
      <c r="Q80" s="1827"/>
      <c r="R80" s="1745"/>
      <c r="S80" s="70"/>
      <c r="T80" s="1732"/>
      <c r="U80" s="122"/>
      <c r="V80" s="139"/>
      <c r="W80" s="152"/>
      <c r="X80" s="202"/>
      <c r="Y80" s="1987"/>
      <c r="Z80" s="1986"/>
      <c r="AA80" s="1103" t="e">
        <f>Sheet1!$D$28</f>
        <v>#N/A</v>
      </c>
      <c r="AB80" s="758" t="e">
        <f>Sheet1!$E$28</f>
        <v>#N/A</v>
      </c>
      <c r="AC80" s="758" t="e">
        <f>Sheet1!$F$28</f>
        <v>#N/A</v>
      </c>
      <c r="AD80" s="758" t="e">
        <f>Sheet1!$G$28</f>
        <v>#N/A</v>
      </c>
      <c r="AE80" s="1104" t="e">
        <f>Sheet1!$H$28</f>
        <v>#N/A</v>
      </c>
      <c r="AG80" s="190"/>
      <c r="AH80" s="190">
        <f>COLUMNS($B$4:P$4)</f>
        <v>15</v>
      </c>
      <c r="AI80" s="190"/>
      <c r="AJ80" s="160"/>
      <c r="AK80" s="1039" t="s">
        <v>676</v>
      </c>
      <c r="AL80" s="1039" t="s">
        <v>677</v>
      </c>
      <c r="AM80" s="1039" t="s">
        <v>678</v>
      </c>
      <c r="AN80" s="1039" t="s">
        <v>679</v>
      </c>
      <c r="AO80" s="1039" t="s">
        <v>680</v>
      </c>
      <c r="AQ80" s="76"/>
      <c r="AR80" s="76"/>
      <c r="AS80" s="76"/>
      <c r="AT80" s="76"/>
      <c r="AU80" s="76"/>
      <c r="AV80" s="76"/>
      <c r="AW80" s="76"/>
    </row>
    <row r="81" spans="1:49" s="87" customFormat="1" ht="13.5" customHeight="1" x14ac:dyDescent="0.2">
      <c r="A81" s="488">
        <f>VLOOKUP(B81,Sheet1!$AQ$4:$AR$25,2,FALSE)</f>
        <v>0</v>
      </c>
      <c r="B81" s="93" t="str">
        <f>Sheet1!$K$4</f>
        <v>Bracknell Forest</v>
      </c>
      <c r="C81" s="85"/>
      <c r="D81" s="94" t="str">
        <f>IF(Year1_Bracknell_Forest Year1__electively_home_educated="","",Year1_Bracknell_Forest Year1__electively_home_educated)</f>
        <v/>
      </c>
      <c r="E81" s="94" t="str">
        <f>IF(Year2_Bracknell_Forest Year2__electively_home_educated="","",Year2_Bracknell_Forest Year2__electively_home_educated)</f>
        <v/>
      </c>
      <c r="F81" s="94" t="str">
        <f>IF(Year3_Bracknell_Forest Year3__electively_home_educated="","",Year3_Bracknell_Forest Year3__electively_home_educated)</f>
        <v/>
      </c>
      <c r="G81" s="94" t="str">
        <f>IF(Year4_Bracknell_Forest Year4__electively_home_educated="","",Year4_Bracknell_Forest Year4__electively_home_educated)</f>
        <v/>
      </c>
      <c r="H81" s="95" t="str">
        <f>IF(Year5_Bracknell_Forest Year5__electively_home_educated="","",Year5_Bracknell_Forest Year5__electively_home_educated)</f>
        <v/>
      </c>
      <c r="I81" s="1092" t="e">
        <f>AO81</f>
        <v>#DIV/0!</v>
      </c>
      <c r="J81" s="863" t="e">
        <f t="shared" ref="J81:J103" si="18">I81</f>
        <v>#DIV/0!</v>
      </c>
      <c r="K81" s="96"/>
      <c r="L81" s="97" t="e">
        <f>IF(ISNUMBER(D81),D81/Population!P45*10000,NA())</f>
        <v>#N/A</v>
      </c>
      <c r="M81" s="97" t="e">
        <f>IF(ISNUMBER(E81),E81/Population!Q45*10000,NA())</f>
        <v>#N/A</v>
      </c>
      <c r="N81" s="97" t="e">
        <f>IF(ISNUMBER(F81),F81/Population!R45*10000,NA())</f>
        <v>#N/A</v>
      </c>
      <c r="O81" s="97" t="e">
        <f>IF(ISNUMBER(G81),G81/Population!S45*10000,NA())</f>
        <v>#N/A</v>
      </c>
      <c r="P81" s="97" t="e">
        <f>IF(ISNUMBER(H81),H81/Population!T45*10000,NA())</f>
        <v>#N/A</v>
      </c>
      <c r="Q81" s="99" t="str">
        <f>IF(ISNUMBER(P81),P81,"")</f>
        <v/>
      </c>
      <c r="R81" s="934" t="e">
        <f t="shared" ref="R81:R104" si="19">IF(ISNA(VLOOKUP(B81,$AG$10:$AI$28,3,FALSE)),"--",IF(ISNUMBER(H81),VLOOKUP(B81,$AG$10:$AI$28,3,FALSE),NA()))</f>
        <v>#N/A</v>
      </c>
      <c r="S81" s="70"/>
      <c r="T81" s="752">
        <f>IDACI!C9</f>
        <v>8.9</v>
      </c>
      <c r="U81" s="122"/>
      <c r="V81" s="139"/>
      <c r="W81" s="152"/>
      <c r="X81" s="1099" t="str">
        <f t="shared" ref="X81:X104" si="20">B81</f>
        <v>Bracknell Forest</v>
      </c>
      <c r="Y81" s="1097">
        <f>IF(ISNUMBER(H81),IDACI!D9,0)</f>
        <v>0</v>
      </c>
      <c r="Z81" s="1098">
        <f>IF(ISNUMBER(I81),IDACI!E9,0)</f>
        <v>0</v>
      </c>
      <c r="AA81" s="1105" t="str">
        <f>IF(ISNUMBER(D81),Population!P45,"")</f>
        <v/>
      </c>
      <c r="AB81" s="205" t="str">
        <f>IF(ISNUMBER(E81),Population!Q45,"")</f>
        <v/>
      </c>
      <c r="AC81" s="205" t="str">
        <f>IF(ISNUMBER(F81),Population!R45,"")</f>
        <v/>
      </c>
      <c r="AD81" s="205" t="str">
        <f>IF(ISNUMBER(G81),Population!S45,"")</f>
        <v/>
      </c>
      <c r="AE81" s="1106" t="str">
        <f>IF(ISNUMBER(H81),Population!T45,"")</f>
        <v/>
      </c>
      <c r="AG81" s="1100" t="str">
        <f>B81</f>
        <v>Bracknell Forest</v>
      </c>
      <c r="AH81" s="231" t="str">
        <f t="shared" ref="AH81:AH99" si="21">IFERROR(VLOOKUP(AG81,$B$81:$P$104,$AH$80,FALSE),"")</f>
        <v/>
      </c>
      <c r="AI81" s="206" t="e">
        <f t="shared" ref="AI81:AI99" si="22">RANK(AH81,$AH$81:$AH$99,1)</f>
        <v>#VALUE!</v>
      </c>
      <c r="AJ81" s="160"/>
      <c r="AK81" s="853" t="str">
        <f t="shared" ref="AK81:AK104" si="23">IF(ISERROR((E81-D81)/D81),"x",(E81-D81)/D81)</f>
        <v>x</v>
      </c>
      <c r="AL81" s="853" t="str">
        <f t="shared" ref="AL81:AL104" si="24">IF(ISERROR((F81-E81)/E81),"x",(F81-E81)/E81)</f>
        <v>x</v>
      </c>
      <c r="AM81" s="853" t="str">
        <f t="shared" ref="AM81:AM104" si="25">IF(ISERROR((G81-F81)/F81),"x",(G81-F81)/F81)</f>
        <v>x</v>
      </c>
      <c r="AN81" s="853" t="str">
        <f t="shared" ref="AN81:AN104" si="26">IF(ISERROR((H81-G81)/G81),"x",(H81-G81)/G81)</f>
        <v>x</v>
      </c>
      <c r="AO81" s="853" t="e">
        <f>AVERAGE(AK81:AN81)</f>
        <v>#DIV/0!</v>
      </c>
      <c r="AQ81" s="76"/>
      <c r="AR81" s="76"/>
      <c r="AS81" s="76"/>
      <c r="AT81" s="76"/>
      <c r="AU81" s="76"/>
      <c r="AV81" s="76"/>
      <c r="AW81" s="76"/>
    </row>
    <row r="82" spans="1:49" s="87" customFormat="1" ht="13.5" customHeight="1" x14ac:dyDescent="0.2">
      <c r="A82" s="488">
        <f>VLOOKUP(B82,Sheet1!$AQ$4:$AR$25,2,FALSE)</f>
        <v>0</v>
      </c>
      <c r="B82" s="93" t="str">
        <f>Sheet1!$K$5</f>
        <v>Brighton &amp; Hove</v>
      </c>
      <c r="C82" s="85"/>
      <c r="D82" s="94" t="str">
        <f>IF(Year1_Brighton_Hove Year1__electively_home_educated="","",Year1_Brighton_Hove Year1__electively_home_educated)</f>
        <v/>
      </c>
      <c r="E82" s="94" t="str">
        <f>IF(Year2_Brighton_Hove Year2__electively_home_educated="","",Year2_Brighton_Hove Year2__electively_home_educated)</f>
        <v/>
      </c>
      <c r="F82" s="94" t="str">
        <f>IF(Year3_Brighton_Hove Year3__electively_home_educated="","",Year3_Brighton_Hove Year3__electively_home_educated)</f>
        <v/>
      </c>
      <c r="G82" s="94" t="str">
        <f>IF(Year4_Brighton_Hove Year4__electively_home_educated="","",Year4_Brighton_Hove Year4__electively_home_educated)</f>
        <v/>
      </c>
      <c r="H82" s="95" t="str">
        <f>IF(Year5_Brighton_Hove Year5__electively_home_educated="","",Year5_Brighton_Hove Year5__electively_home_educated)</f>
        <v/>
      </c>
      <c r="I82" s="1093" t="e">
        <f t="shared" ref="I82:I104" si="27">AO82</f>
        <v>#DIV/0!</v>
      </c>
      <c r="J82" s="863" t="e">
        <f t="shared" si="18"/>
        <v>#DIV/0!</v>
      </c>
      <c r="K82" s="96"/>
      <c r="L82" s="97" t="e">
        <f>IF(ISNUMBER(D82),D82/Population!P46*10000,NA())</f>
        <v>#N/A</v>
      </c>
      <c r="M82" s="97" t="e">
        <f>IF(ISNUMBER(E82),E82/Population!Q46*10000,NA())</f>
        <v>#N/A</v>
      </c>
      <c r="N82" s="97" t="e">
        <f>IF(ISNUMBER(F82),F82/Population!R46*10000,NA())</f>
        <v>#N/A</v>
      </c>
      <c r="O82" s="97" t="e">
        <f>IF(ISNUMBER(G82),G82/Population!S46*10000,NA())</f>
        <v>#N/A</v>
      </c>
      <c r="P82" s="98" t="e">
        <f>IF(ISNUMBER(H82),H82/Population!T46*10000,NA())</f>
        <v>#N/A</v>
      </c>
      <c r="Q82" s="99" t="str">
        <f t="shared" ref="Q82:Q103" si="28">IF(ISNUMBER(P82),P82,"")</f>
        <v/>
      </c>
      <c r="R82" s="934" t="e">
        <f t="shared" si="19"/>
        <v>#N/A</v>
      </c>
      <c r="S82" s="70"/>
      <c r="T82" s="752">
        <f>IDACI!C10</f>
        <v>15.299999999999999</v>
      </c>
      <c r="U82" s="122"/>
      <c r="V82" s="139"/>
      <c r="W82" s="152"/>
      <c r="X82" s="1099" t="str">
        <f t="shared" si="20"/>
        <v>Brighton &amp; Hove</v>
      </c>
      <c r="Y82" s="1097">
        <f>IF(ISNUMBER(H82),IDACI!D10,0)</f>
        <v>0</v>
      </c>
      <c r="Z82" s="1098">
        <f>IF(ISNUMBER(I82),IDACI!E10,0)</f>
        <v>0</v>
      </c>
      <c r="AA82" s="1105" t="str">
        <f>IF(ISNUMBER(D82),Population!P46,"")</f>
        <v/>
      </c>
      <c r="AB82" s="205" t="str">
        <f>IF(ISNUMBER(E82),Population!Q46,"")</f>
        <v/>
      </c>
      <c r="AC82" s="205" t="str">
        <f>IF(ISNUMBER(F82),Population!R46,"")</f>
        <v/>
      </c>
      <c r="AD82" s="205" t="str">
        <f>IF(ISNUMBER(G82),Population!S46,"")</f>
        <v/>
      </c>
      <c r="AE82" s="1106" t="str">
        <f>IF(ISNUMBER(H82),Population!T46,"")</f>
        <v/>
      </c>
      <c r="AG82" s="1100" t="s">
        <v>31</v>
      </c>
      <c r="AH82" s="231" t="str">
        <f t="shared" si="21"/>
        <v/>
      </c>
      <c r="AI82" s="206" t="e">
        <f t="shared" si="22"/>
        <v>#VALUE!</v>
      </c>
      <c r="AJ82" s="160"/>
      <c r="AK82" s="853" t="str">
        <f t="shared" si="23"/>
        <v>x</v>
      </c>
      <c r="AL82" s="853" t="str">
        <f t="shared" si="24"/>
        <v>x</v>
      </c>
      <c r="AM82" s="853" t="str">
        <f t="shared" si="25"/>
        <v>x</v>
      </c>
      <c r="AN82" s="853" t="str">
        <f t="shared" si="26"/>
        <v>x</v>
      </c>
      <c r="AO82" s="853" t="e">
        <f t="shared" ref="AO82:AO103" si="29">AVERAGE(AK82:AN82)</f>
        <v>#DIV/0!</v>
      </c>
      <c r="AQ82" s="76"/>
      <c r="AR82" s="76"/>
      <c r="AS82" s="76"/>
      <c r="AT82" s="76"/>
      <c r="AU82" s="76"/>
      <c r="AV82" s="76"/>
      <c r="AW82" s="76"/>
    </row>
    <row r="83" spans="1:49" s="87" customFormat="1" ht="13.5" customHeight="1" x14ac:dyDescent="0.2">
      <c r="A83" s="488">
        <f>VLOOKUP(B83,Sheet1!$AQ$4:$AR$25,2,FALSE)</f>
        <v>0</v>
      </c>
      <c r="B83" s="93" t="str">
        <f>Sheet1!$K$6</f>
        <v>Buckinghamshire</v>
      </c>
      <c r="C83" s="85"/>
      <c r="D83" s="94" t="str">
        <f>IF(Year1_Buckinghamshire Year1__electively_home_educated="","",Year1_Buckinghamshire Year1__electively_home_educated)</f>
        <v/>
      </c>
      <c r="E83" s="94" t="str">
        <f>IF(Year2_Buckinghamshire Year2__electively_home_educated="","",Year2_Buckinghamshire Year2__electively_home_educated)</f>
        <v/>
      </c>
      <c r="F83" s="94" t="str">
        <f>IF(Year3_Buckinghamshire Year3__electively_home_educated="","",Year3_Buckinghamshire Year3__electively_home_educated)</f>
        <v/>
      </c>
      <c r="G83" s="94" t="str">
        <f>IF(Year4_Buckinghamshire Year4__electively_home_educated="","",Year4_Buckinghamshire Year4__electively_home_educated)</f>
        <v/>
      </c>
      <c r="H83" s="95" t="str">
        <f>IF(Year5_Buckinghamshire Year5__electively_home_educated="","",Year5_Buckinghamshire Year5__electively_home_educated)</f>
        <v/>
      </c>
      <c r="I83" s="1093" t="e">
        <f t="shared" si="27"/>
        <v>#DIV/0!</v>
      </c>
      <c r="J83" s="863" t="e">
        <f t="shared" si="18"/>
        <v>#DIV/0!</v>
      </c>
      <c r="K83" s="96"/>
      <c r="L83" s="97" t="e">
        <f>IF(ISNUMBER(D83),D83/Population!P47*10000,NA())</f>
        <v>#N/A</v>
      </c>
      <c r="M83" s="97" t="e">
        <f>IF(ISNUMBER(E83),E83/Population!Q47*10000,NA())</f>
        <v>#N/A</v>
      </c>
      <c r="N83" s="97" t="e">
        <f>IF(ISNUMBER(F83),F83/Population!R47*10000,NA())</f>
        <v>#N/A</v>
      </c>
      <c r="O83" s="97" t="e">
        <f>IF(ISNUMBER(G83),G83/Population!S47*10000,NA())</f>
        <v>#N/A</v>
      </c>
      <c r="P83" s="98" t="e">
        <f>IF(ISNUMBER(H83),H83/Population!T47*10000,NA())</f>
        <v>#N/A</v>
      </c>
      <c r="Q83" s="99" t="str">
        <f t="shared" si="28"/>
        <v/>
      </c>
      <c r="R83" s="934" t="e">
        <f t="shared" si="19"/>
        <v>#N/A</v>
      </c>
      <c r="S83" s="70"/>
      <c r="T83" s="752">
        <f>IDACI!C11</f>
        <v>8.5</v>
      </c>
      <c r="U83" s="122"/>
      <c r="V83" s="139"/>
      <c r="W83" s="152"/>
      <c r="X83" s="1099" t="str">
        <f t="shared" si="20"/>
        <v>Buckinghamshire</v>
      </c>
      <c r="Y83" s="1097">
        <f>IF(ISNUMBER(H83),IDACI!D11,0)</f>
        <v>0</v>
      </c>
      <c r="Z83" s="1098">
        <f>IF(ISNUMBER(I83),IDACI!E11,0)</f>
        <v>0</v>
      </c>
      <c r="AA83" s="1105" t="str">
        <f>IF(ISNUMBER(D83),Population!P47,"")</f>
        <v/>
      </c>
      <c r="AB83" s="205" t="str">
        <f>IF(ISNUMBER(E83),Population!Q47,"")</f>
        <v/>
      </c>
      <c r="AC83" s="205" t="str">
        <f>IF(ISNUMBER(F83),Population!R47,"")</f>
        <v/>
      </c>
      <c r="AD83" s="205" t="str">
        <f>IF(ISNUMBER(G83),Population!S47,"")</f>
        <v/>
      </c>
      <c r="AE83" s="1106" t="str">
        <f>IF(ISNUMBER(H83),Population!T47,"")</f>
        <v/>
      </c>
      <c r="AG83" s="1100" t="s">
        <v>8</v>
      </c>
      <c r="AH83" s="231" t="str">
        <f t="shared" si="21"/>
        <v/>
      </c>
      <c r="AI83" s="206" t="e">
        <f t="shared" si="22"/>
        <v>#VALUE!</v>
      </c>
      <c r="AJ83" s="160"/>
      <c r="AK83" s="853" t="str">
        <f t="shared" si="23"/>
        <v>x</v>
      </c>
      <c r="AL83" s="853" t="str">
        <f t="shared" si="24"/>
        <v>x</v>
      </c>
      <c r="AM83" s="853" t="str">
        <f t="shared" si="25"/>
        <v>x</v>
      </c>
      <c r="AN83" s="853" t="str">
        <f t="shared" si="26"/>
        <v>x</v>
      </c>
      <c r="AO83" s="853" t="e">
        <f t="shared" si="29"/>
        <v>#DIV/0!</v>
      </c>
      <c r="AQ83" s="76"/>
      <c r="AR83" s="76"/>
      <c r="AS83" s="76"/>
      <c r="AT83" s="76"/>
      <c r="AU83" s="76"/>
      <c r="AV83" s="76"/>
      <c r="AW83" s="76"/>
    </row>
    <row r="84" spans="1:49" s="87" customFormat="1" ht="13.5" customHeight="1" x14ac:dyDescent="0.2">
      <c r="A84" s="488">
        <f>VLOOKUP(B84,Sheet1!$AQ$4:$AR$25,2,FALSE)</f>
        <v>0</v>
      </c>
      <c r="B84" s="93" t="str">
        <f>Sheet1!$K$7</f>
        <v>East Sussex</v>
      </c>
      <c r="C84" s="85"/>
      <c r="D84" s="94" t="str">
        <f>IF(Year1_East_Sussex Year1__electively_home_educated="","",Year1_East_Sussex Year1__electively_home_educated)</f>
        <v/>
      </c>
      <c r="E84" s="100" t="str">
        <f>IF(Year2_East_Sussex Year2__electively_home_educated="","",Year2_East_Sussex Year2__electively_home_educated)</f>
        <v/>
      </c>
      <c r="F84" s="94" t="str">
        <f>IF(Year3_East_Sussex Year3__electively_home_educated="","",Year3_East_Sussex Year3__electively_home_educated)</f>
        <v/>
      </c>
      <c r="G84" s="94" t="str">
        <f>IF(Year4_East_Sussex Year4__electively_home_educated="","",Year4_East_Sussex Year4__electively_home_educated)</f>
        <v/>
      </c>
      <c r="H84" s="95" t="str">
        <f>IF(Year5_East_Sussex Year5__electively_home_educated="","",Year5_East_Sussex Year5__electively_home_educated)</f>
        <v/>
      </c>
      <c r="I84" s="1093" t="e">
        <f t="shared" si="27"/>
        <v>#DIV/0!</v>
      </c>
      <c r="J84" s="863" t="e">
        <f t="shared" si="18"/>
        <v>#DIV/0!</v>
      </c>
      <c r="K84" s="96"/>
      <c r="L84" s="97" t="e">
        <f>IF(ISNUMBER(D84),D84/Population!P48*10000,NA())</f>
        <v>#N/A</v>
      </c>
      <c r="M84" s="97" t="e">
        <f>IF(ISNUMBER(E84),E84/Population!Q48*10000,NA())</f>
        <v>#N/A</v>
      </c>
      <c r="N84" s="97" t="e">
        <f>IF(ISNUMBER(F84),F84/Population!R48*10000,NA())</f>
        <v>#N/A</v>
      </c>
      <c r="O84" s="97" t="e">
        <f>IF(ISNUMBER(G84),G84/Population!S48*10000,NA())</f>
        <v>#N/A</v>
      </c>
      <c r="P84" s="98" t="e">
        <f>IF(ISNUMBER(H84),H84/Population!T48*10000,NA())</f>
        <v>#N/A</v>
      </c>
      <c r="Q84" s="99" t="str">
        <f t="shared" si="28"/>
        <v/>
      </c>
      <c r="R84" s="934" t="e">
        <f t="shared" si="19"/>
        <v>#N/A</v>
      </c>
      <c r="S84" s="70"/>
      <c r="T84" s="752">
        <f>IDACI!C12</f>
        <v>16.100000000000001</v>
      </c>
      <c r="U84" s="122"/>
      <c r="V84" s="139"/>
      <c r="W84" s="152"/>
      <c r="X84" s="1099" t="str">
        <f t="shared" si="20"/>
        <v>East Sussex</v>
      </c>
      <c r="Y84" s="1097">
        <f>IF(ISNUMBER(H84),IDACI!D12,0)</f>
        <v>0</v>
      </c>
      <c r="Z84" s="1098">
        <f>IF(ISNUMBER(I84),IDACI!E12,0)</f>
        <v>0</v>
      </c>
      <c r="AA84" s="1105" t="str">
        <f>IF(ISNUMBER(D84),Population!P48,"")</f>
        <v/>
      </c>
      <c r="AB84" s="205" t="str">
        <f>IF(ISNUMBER(E84),Population!Q48,"")</f>
        <v/>
      </c>
      <c r="AC84" s="205" t="str">
        <f>IF(ISNUMBER(F84),Population!R48,"")</f>
        <v/>
      </c>
      <c r="AD84" s="205" t="str">
        <f>IF(ISNUMBER(G84),Population!S48,"")</f>
        <v/>
      </c>
      <c r="AE84" s="1106" t="str">
        <f>IF(ISNUMBER(H84),Population!T48,"")</f>
        <v/>
      </c>
      <c r="AG84" s="1100" t="s">
        <v>4</v>
      </c>
      <c r="AH84" s="231" t="str">
        <f t="shared" si="21"/>
        <v/>
      </c>
      <c r="AI84" s="206" t="e">
        <f t="shared" si="22"/>
        <v>#VALUE!</v>
      </c>
      <c r="AJ84" s="160"/>
      <c r="AK84" s="853" t="str">
        <f t="shared" si="23"/>
        <v>x</v>
      </c>
      <c r="AL84" s="853" t="str">
        <f t="shared" si="24"/>
        <v>x</v>
      </c>
      <c r="AM84" s="853" t="str">
        <f t="shared" si="25"/>
        <v>x</v>
      </c>
      <c r="AN84" s="853" t="str">
        <f t="shared" si="26"/>
        <v>x</v>
      </c>
      <c r="AO84" s="853" t="e">
        <f t="shared" si="29"/>
        <v>#DIV/0!</v>
      </c>
      <c r="AQ84" s="76"/>
      <c r="AR84" s="76"/>
      <c r="AS84" s="76"/>
      <c r="AT84" s="76"/>
      <c r="AU84" s="76"/>
      <c r="AV84" s="76"/>
      <c r="AW84" s="76"/>
    </row>
    <row r="85" spans="1:49" s="87" customFormat="1" ht="13.5" customHeight="1" x14ac:dyDescent="0.2">
      <c r="A85" s="488">
        <f>VLOOKUP(B85,Sheet1!$AQ$4:$AR$25,2,FALSE)</f>
        <v>0</v>
      </c>
      <c r="B85" s="93" t="str">
        <f>Sheet1!$K$8</f>
        <v>Hampshire</v>
      </c>
      <c r="C85" s="85"/>
      <c r="D85" s="94" t="str">
        <f>IF(Year1_Hampshire Year1__electively_home_educated="","",Year1_Hampshire Year1__electively_home_educated)</f>
        <v/>
      </c>
      <c r="E85" s="94" t="str">
        <f>IF(Year2_Hampshire Year2__electively_home_educated="","",Year2_Hampshire Year2__electively_home_educated)</f>
        <v/>
      </c>
      <c r="F85" s="101" t="str">
        <f>IF(Year3_Hampshire Year3__electively_home_educated="","",Year3_Hampshire Year3__electively_home_educated)</f>
        <v/>
      </c>
      <c r="G85" s="101" t="str">
        <f>IF(Year4_Hampshire Year4__electively_home_educated="","",Year4_Hampshire Year4__electively_home_educated)</f>
        <v/>
      </c>
      <c r="H85" s="95" t="str">
        <f>IF(Year5_Hampshire Year5__electively_home_educated="","",Year5_Hampshire Year5__electively_home_educated)</f>
        <v/>
      </c>
      <c r="I85" s="1093" t="e">
        <f t="shared" si="27"/>
        <v>#DIV/0!</v>
      </c>
      <c r="J85" s="863" t="e">
        <f t="shared" si="18"/>
        <v>#DIV/0!</v>
      </c>
      <c r="K85" s="96"/>
      <c r="L85" s="97" t="e">
        <f>IF(ISNUMBER(D85),D85/Population!P49*10000,NA())</f>
        <v>#N/A</v>
      </c>
      <c r="M85" s="97" t="e">
        <f>IF(ISNUMBER(E85),E85/Population!Q49*10000,NA())</f>
        <v>#N/A</v>
      </c>
      <c r="N85" s="97" t="e">
        <f>IF(ISNUMBER(F85),F85/Population!R49*10000,NA())</f>
        <v>#N/A</v>
      </c>
      <c r="O85" s="97" t="e">
        <f>IF(ISNUMBER(G85),G85/Population!S49*10000,NA())</f>
        <v>#N/A</v>
      </c>
      <c r="P85" s="98" t="e">
        <f>IF(ISNUMBER(H85),H85/Population!T49*10000,NA())</f>
        <v>#N/A</v>
      </c>
      <c r="Q85" s="99" t="str">
        <f t="shared" si="28"/>
        <v/>
      </c>
      <c r="R85" s="934" t="e">
        <f t="shared" si="19"/>
        <v>#N/A</v>
      </c>
      <c r="S85" s="70"/>
      <c r="T85" s="752">
        <f>IDACI!C13</f>
        <v>10.100000000000001</v>
      </c>
      <c r="U85" s="122"/>
      <c r="V85" s="139"/>
      <c r="W85" s="152"/>
      <c r="X85" s="1099" t="str">
        <f t="shared" si="20"/>
        <v>Hampshire</v>
      </c>
      <c r="Y85" s="1097">
        <f>IF(ISNUMBER(H85),IDACI!D13,0)</f>
        <v>0</v>
      </c>
      <c r="Z85" s="1098">
        <f>IF(ISNUMBER(I85),IDACI!E13,0)</f>
        <v>0</v>
      </c>
      <c r="AA85" s="1105" t="str">
        <f>IF(ISNUMBER(D85),Population!P49,"")</f>
        <v/>
      </c>
      <c r="AB85" s="205" t="str">
        <f>IF(ISNUMBER(E85),Population!Q49,"")</f>
        <v/>
      </c>
      <c r="AC85" s="205" t="str">
        <f>IF(ISNUMBER(F85),Population!R49,"")</f>
        <v/>
      </c>
      <c r="AD85" s="205" t="str">
        <f>IF(ISNUMBER(G85),Population!S49,"")</f>
        <v/>
      </c>
      <c r="AE85" s="1106" t="str">
        <f>IF(ISNUMBER(H85),Population!T49,"")</f>
        <v/>
      </c>
      <c r="AG85" s="1100" t="s">
        <v>6</v>
      </c>
      <c r="AH85" s="231" t="str">
        <f t="shared" si="21"/>
        <v/>
      </c>
      <c r="AI85" s="206" t="e">
        <f t="shared" si="22"/>
        <v>#VALUE!</v>
      </c>
      <c r="AJ85" s="160"/>
      <c r="AK85" s="853" t="str">
        <f t="shared" si="23"/>
        <v>x</v>
      </c>
      <c r="AL85" s="853" t="str">
        <f t="shared" si="24"/>
        <v>x</v>
      </c>
      <c r="AM85" s="853" t="str">
        <f t="shared" si="25"/>
        <v>x</v>
      </c>
      <c r="AN85" s="853" t="str">
        <f t="shared" si="26"/>
        <v>x</v>
      </c>
      <c r="AO85" s="853" t="e">
        <f t="shared" si="29"/>
        <v>#DIV/0!</v>
      </c>
      <c r="AQ85" s="76"/>
      <c r="AR85" s="76"/>
      <c r="AS85" s="76"/>
      <c r="AT85" s="76"/>
      <c r="AU85" s="76"/>
      <c r="AV85" s="76"/>
      <c r="AW85" s="76"/>
    </row>
    <row r="86" spans="1:49" s="87" customFormat="1" ht="13.5" customHeight="1" x14ac:dyDescent="0.2">
      <c r="A86" s="488">
        <f>VLOOKUP(B86,Sheet1!$AQ$4:$AR$25,2,FALSE)</f>
        <v>0</v>
      </c>
      <c r="B86" s="93" t="str">
        <f>Sheet1!$K$9</f>
        <v>Isle of Wight</v>
      </c>
      <c r="C86" s="85"/>
      <c r="D86" s="94" t="str">
        <f>IF(Year1_Isle_of_Wight Year1__electively_home_educated="","",Year1_Isle_of_Wight Year1__electively_home_educated)</f>
        <v/>
      </c>
      <c r="E86" s="94" t="str">
        <f>IF(Year2_Isle_of_Wight Year2__electively_home_educated="","",Year2_Isle_of_Wight Year2__electively_home_educated)</f>
        <v/>
      </c>
      <c r="F86" s="94" t="str">
        <f>IF(Year3_Isle_of_Wight Year3__electively_home_educated="","",Year3_Isle_of_Wight Year3__electively_home_educated)</f>
        <v/>
      </c>
      <c r="G86" s="94" t="str">
        <f>IF(Year4_Isle_of_Wight Year4__electively_home_educated="","",Year4_Isle_of_Wight Year4__electively_home_educated)</f>
        <v/>
      </c>
      <c r="H86" s="95" t="str">
        <f>IF(Year5_Isle_of_Wight Year5__electively_home_educated="","",Year5_Isle_of_Wight Year5__electively_home_educated)</f>
        <v/>
      </c>
      <c r="I86" s="1093" t="e">
        <f t="shared" si="27"/>
        <v>#DIV/0!</v>
      </c>
      <c r="J86" s="863" t="e">
        <f t="shared" si="18"/>
        <v>#DIV/0!</v>
      </c>
      <c r="K86" s="96"/>
      <c r="L86" s="97" t="e">
        <f>IF(ISNUMBER(D86),D86/Population!P50*10000,NA())</f>
        <v>#N/A</v>
      </c>
      <c r="M86" s="97" t="e">
        <f>IF(ISNUMBER(E86),E86/Population!Q50*10000,NA())</f>
        <v>#N/A</v>
      </c>
      <c r="N86" s="97" t="e">
        <f>IF(ISNUMBER(F86),F86/Population!R50*10000,NA())</f>
        <v>#N/A</v>
      </c>
      <c r="O86" s="97" t="e">
        <f>IF(ISNUMBER(G86),G86/Population!S50*10000,NA())</f>
        <v>#N/A</v>
      </c>
      <c r="P86" s="98" t="e">
        <f>IF(ISNUMBER(H86),H86/Population!T50*10000,NA())</f>
        <v>#N/A</v>
      </c>
      <c r="Q86" s="99" t="str">
        <f t="shared" si="28"/>
        <v/>
      </c>
      <c r="R86" s="934" t="e">
        <f t="shared" si="19"/>
        <v>#N/A</v>
      </c>
      <c r="S86" s="70"/>
      <c r="T86" s="752">
        <f>IDACI!C14</f>
        <v>18</v>
      </c>
      <c r="U86" s="122"/>
      <c r="V86" s="139"/>
      <c r="W86" s="152"/>
      <c r="X86" s="1099" t="str">
        <f t="shared" si="20"/>
        <v>Isle of Wight</v>
      </c>
      <c r="Y86" s="1097">
        <f>IF(ISNUMBER(H86),IDACI!D14,0)</f>
        <v>0</v>
      </c>
      <c r="Z86" s="1098">
        <f>IF(ISNUMBER(I86),IDACI!E14,0)</f>
        <v>0</v>
      </c>
      <c r="AA86" s="1105" t="str">
        <f>IF(ISNUMBER(D86),Population!P50,"")</f>
        <v/>
      </c>
      <c r="AB86" s="205" t="str">
        <f>IF(ISNUMBER(E86),Population!Q50,"")</f>
        <v/>
      </c>
      <c r="AC86" s="205" t="str">
        <f>IF(ISNUMBER(F86),Population!R50,"")</f>
        <v/>
      </c>
      <c r="AD86" s="205" t="str">
        <f>IF(ISNUMBER(G86),Population!S50,"")</f>
        <v/>
      </c>
      <c r="AE86" s="1106" t="str">
        <f>IF(ISNUMBER(H86),Population!T50,"")</f>
        <v/>
      </c>
      <c r="AG86" s="1100" t="s">
        <v>1</v>
      </c>
      <c r="AH86" s="231" t="str">
        <f t="shared" si="21"/>
        <v/>
      </c>
      <c r="AI86" s="206" t="e">
        <f t="shared" si="22"/>
        <v>#VALUE!</v>
      </c>
      <c r="AJ86" s="160"/>
      <c r="AK86" s="853" t="str">
        <f t="shared" si="23"/>
        <v>x</v>
      </c>
      <c r="AL86" s="853" t="str">
        <f t="shared" si="24"/>
        <v>x</v>
      </c>
      <c r="AM86" s="853" t="str">
        <f t="shared" si="25"/>
        <v>x</v>
      </c>
      <c r="AN86" s="853" t="str">
        <f t="shared" si="26"/>
        <v>x</v>
      </c>
      <c r="AO86" s="853" t="e">
        <f t="shared" si="29"/>
        <v>#DIV/0!</v>
      </c>
      <c r="AQ86" s="76"/>
      <c r="AR86" s="76"/>
      <c r="AS86" s="76"/>
      <c r="AT86" s="76"/>
      <c r="AU86" s="76"/>
      <c r="AV86" s="76"/>
      <c r="AW86" s="76"/>
    </row>
    <row r="87" spans="1:49" s="87" customFormat="1" ht="13.5" customHeight="1" x14ac:dyDescent="0.2">
      <c r="A87" s="488">
        <f>VLOOKUP(B87,Sheet1!$AQ$4:$AR$25,2,FALSE)</f>
        <v>0</v>
      </c>
      <c r="B87" s="93" t="str">
        <f>Sheet1!$K$10</f>
        <v>Kent</v>
      </c>
      <c r="C87" s="85"/>
      <c r="D87" s="94" t="str">
        <f>IF(Year1_Kent Year1__electively_home_educated="","",Year1_Kent Year1__electively_home_educated)</f>
        <v/>
      </c>
      <c r="E87" s="94" t="str">
        <f>IF(Year2_Kent Year2__electively_home_educated="","",Year2_Kent Year2__electively_home_educated)</f>
        <v/>
      </c>
      <c r="F87" s="94" t="str">
        <f>IF(Year3_Kent Year3__electively_home_educated="","",Year3_Kent Year3__electively_home_educated)</f>
        <v/>
      </c>
      <c r="G87" s="94" t="str">
        <f>IF(Year4_Kent Year4__electively_home_educated="","",Year4_Kent Year4__electively_home_educated)</f>
        <v/>
      </c>
      <c r="H87" s="95" t="str">
        <f>IF(Year5_Kent Year5__electively_home_educated="","",Year5_Kent Year5__electively_home_educated)</f>
        <v/>
      </c>
      <c r="I87" s="1093" t="e">
        <f t="shared" si="27"/>
        <v>#DIV/0!</v>
      </c>
      <c r="J87" s="863" t="e">
        <f t="shared" si="18"/>
        <v>#DIV/0!</v>
      </c>
      <c r="K87" s="96"/>
      <c r="L87" s="97" t="e">
        <f>IF(ISNUMBER(D87),D87/Population!P51*10000,NA())</f>
        <v>#N/A</v>
      </c>
      <c r="M87" s="97" t="e">
        <f>IF(ISNUMBER(E87),E87/Population!Q51*10000,NA())</f>
        <v>#N/A</v>
      </c>
      <c r="N87" s="97" t="e">
        <f>IF(ISNUMBER(F87),F87/Population!R51*10000,NA())</f>
        <v>#N/A</v>
      </c>
      <c r="O87" s="97" t="e">
        <f>IF(ISNUMBER(G87),G87/Population!S51*10000,NA())</f>
        <v>#N/A</v>
      </c>
      <c r="P87" s="98" t="e">
        <f>IF(ISNUMBER(H87),H87/Population!T51*10000,NA())</f>
        <v>#N/A</v>
      </c>
      <c r="Q87" s="99" t="str">
        <f t="shared" si="28"/>
        <v/>
      </c>
      <c r="R87" s="934" t="e">
        <f t="shared" si="19"/>
        <v>#N/A</v>
      </c>
      <c r="S87" s="70"/>
      <c r="T87" s="752">
        <f>IDACI!C15</f>
        <v>15.8</v>
      </c>
      <c r="U87" s="122"/>
      <c r="V87" s="139"/>
      <c r="W87" s="152"/>
      <c r="X87" s="1099" t="str">
        <f t="shared" si="20"/>
        <v>Kent</v>
      </c>
      <c r="Y87" s="1097">
        <f>IF(ISNUMBER(H87),IDACI!D15,0)</f>
        <v>0</v>
      </c>
      <c r="Z87" s="1098">
        <f>IF(ISNUMBER(I87),IDACI!E15,0)</f>
        <v>0</v>
      </c>
      <c r="AA87" s="1105" t="str">
        <f>IF(ISNUMBER(D87),Population!P51,"")</f>
        <v/>
      </c>
      <c r="AB87" s="205" t="str">
        <f>IF(ISNUMBER(E87),Population!Q51,"")</f>
        <v/>
      </c>
      <c r="AC87" s="205" t="str">
        <f>IF(ISNUMBER(F87),Population!R51,"")</f>
        <v/>
      </c>
      <c r="AD87" s="205" t="str">
        <f>IF(ISNUMBER(G87),Population!S51,"")</f>
        <v/>
      </c>
      <c r="AE87" s="1106" t="str">
        <f>IF(ISNUMBER(H87),Population!T51,"")</f>
        <v/>
      </c>
      <c r="AG87" s="1100" t="s">
        <v>9</v>
      </c>
      <c r="AH87" s="231" t="str">
        <f t="shared" si="21"/>
        <v/>
      </c>
      <c r="AI87" s="206" t="e">
        <f t="shared" si="22"/>
        <v>#VALUE!</v>
      </c>
      <c r="AJ87" s="160"/>
      <c r="AK87" s="853" t="str">
        <f t="shared" si="23"/>
        <v>x</v>
      </c>
      <c r="AL87" s="853" t="str">
        <f t="shared" si="24"/>
        <v>x</v>
      </c>
      <c r="AM87" s="853" t="str">
        <f t="shared" si="25"/>
        <v>x</v>
      </c>
      <c r="AN87" s="853" t="str">
        <f t="shared" si="26"/>
        <v>x</v>
      </c>
      <c r="AO87" s="853" t="e">
        <f t="shared" si="29"/>
        <v>#DIV/0!</v>
      </c>
      <c r="AQ87" s="76"/>
      <c r="AR87" s="76"/>
      <c r="AS87" s="76"/>
      <c r="AT87" s="76"/>
      <c r="AU87" s="76"/>
      <c r="AV87" s="76"/>
      <c r="AW87" s="76"/>
    </row>
    <row r="88" spans="1:49" s="87" customFormat="1" ht="13.5" customHeight="1" x14ac:dyDescent="0.2">
      <c r="A88" s="488">
        <f>VLOOKUP(B88,Sheet1!$AQ$4:$AR$25,2,FALSE)</f>
        <v>0</v>
      </c>
      <c r="B88" s="93" t="str">
        <f>Sheet1!$K$11</f>
        <v>Medway</v>
      </c>
      <c r="C88" s="85"/>
      <c r="D88" s="94" t="str">
        <f>IF(Year1_Medway Year1__electively_home_educated="","",Year1_Medway Year1__electively_home_educated)</f>
        <v/>
      </c>
      <c r="E88" s="301" t="str">
        <f>IF(Year2_Medway Year2__electively_home_educated="","",Year2_Medway Year2__electively_home_educated)</f>
        <v/>
      </c>
      <c r="F88" s="301" t="str">
        <f>IF(Year3_Medway Year3__electively_home_educated="","",Year3_Medway Year3__electively_home_educated)</f>
        <v/>
      </c>
      <c r="G88" s="301" t="str">
        <f>IF(Year4_Medway Year4__electively_home_educated="","",Year4_Medway Year4__electively_home_educated)</f>
        <v/>
      </c>
      <c r="H88" s="302" t="str">
        <f>IF(Year5_Medway Year5__electively_home_educated="","",Year5_Medway Year5__electively_home_educated)</f>
        <v/>
      </c>
      <c r="I88" s="1093" t="e">
        <f t="shared" si="27"/>
        <v>#DIV/0!</v>
      </c>
      <c r="J88" s="863" t="e">
        <f t="shared" si="18"/>
        <v>#DIV/0!</v>
      </c>
      <c r="K88" s="96"/>
      <c r="L88" s="97" t="e">
        <f>IF(ISNUMBER(D88),D88/Population!P52*10000,NA())</f>
        <v>#N/A</v>
      </c>
      <c r="M88" s="97" t="e">
        <f>IF(ISNUMBER(E88),E88/Population!Q52*10000,NA())</f>
        <v>#N/A</v>
      </c>
      <c r="N88" s="97" t="e">
        <f>IF(ISNUMBER(F88),F88/Population!R52*10000,NA())</f>
        <v>#N/A</v>
      </c>
      <c r="O88" s="97" t="e">
        <f>IF(ISNUMBER(G88),G88/Population!S52*10000,NA())</f>
        <v>#N/A</v>
      </c>
      <c r="P88" s="98" t="e">
        <f>IF(ISNUMBER(H88),H88/Population!T52*10000,NA())</f>
        <v>#N/A</v>
      </c>
      <c r="Q88" s="99" t="str">
        <f t="shared" si="28"/>
        <v/>
      </c>
      <c r="R88" s="934" t="e">
        <f t="shared" si="19"/>
        <v>#N/A</v>
      </c>
      <c r="S88" s="70"/>
      <c r="T88" s="752">
        <f>IDACI!C16</f>
        <v>18.899999999999999</v>
      </c>
      <c r="U88" s="122"/>
      <c r="V88" s="139"/>
      <c r="W88" s="152"/>
      <c r="X88" s="1099" t="str">
        <f t="shared" si="20"/>
        <v>Medway</v>
      </c>
      <c r="Y88" s="1097">
        <f>IF(ISNUMBER(H88),IDACI!D16,0)</f>
        <v>0</v>
      </c>
      <c r="Z88" s="1098">
        <f>IF(ISNUMBER(I88),IDACI!E16,0)</f>
        <v>0</v>
      </c>
      <c r="AA88" s="1105" t="str">
        <f>IF(ISNUMBER(D88),Population!P52,"")</f>
        <v/>
      </c>
      <c r="AB88" s="205" t="str">
        <f>IF(ISNUMBER(E88),Population!Q52,"")</f>
        <v/>
      </c>
      <c r="AC88" s="205" t="str">
        <f>IF(ISNUMBER(F88),Population!R52,"")</f>
        <v/>
      </c>
      <c r="AD88" s="205" t="str">
        <f>IF(ISNUMBER(G88),Population!S52,"")</f>
        <v/>
      </c>
      <c r="AE88" s="1106" t="str">
        <f>IF(ISNUMBER(H88),Population!T52,"")</f>
        <v/>
      </c>
      <c r="AG88" s="1100" t="s">
        <v>2</v>
      </c>
      <c r="AH88" s="231" t="str">
        <f t="shared" si="21"/>
        <v/>
      </c>
      <c r="AI88" s="206" t="e">
        <f t="shared" si="22"/>
        <v>#VALUE!</v>
      </c>
      <c r="AJ88" s="160"/>
      <c r="AK88" s="853" t="str">
        <f t="shared" si="23"/>
        <v>x</v>
      </c>
      <c r="AL88" s="853" t="str">
        <f t="shared" si="24"/>
        <v>x</v>
      </c>
      <c r="AM88" s="853" t="str">
        <f t="shared" si="25"/>
        <v>x</v>
      </c>
      <c r="AN88" s="853" t="str">
        <f t="shared" si="26"/>
        <v>x</v>
      </c>
      <c r="AO88" s="853" t="e">
        <f t="shared" si="29"/>
        <v>#DIV/0!</v>
      </c>
      <c r="AQ88" s="76"/>
      <c r="AR88" s="76"/>
      <c r="AS88" s="76"/>
      <c r="AT88" s="76"/>
      <c r="AU88" s="76"/>
      <c r="AV88" s="76"/>
      <c r="AW88" s="76"/>
    </row>
    <row r="89" spans="1:49" s="87" customFormat="1" ht="13.5" customHeight="1" x14ac:dyDescent="0.2">
      <c r="A89" s="488">
        <f>VLOOKUP(B89,Sheet1!$AQ$4:$AR$25,2,FALSE)</f>
        <v>0</v>
      </c>
      <c r="B89" s="93" t="str">
        <f>Sheet1!$K$12</f>
        <v>Milton Keynes</v>
      </c>
      <c r="C89" s="85"/>
      <c r="D89" s="94" t="str">
        <f>IF(Year1_Milton_Keynes Year1__electively_home_educated="","",Year1_Milton_Keynes Year1__electively_home_educated)</f>
        <v/>
      </c>
      <c r="E89" s="94" t="str">
        <f>IF(Year2_Milton_Keynes Year2__electively_home_educated="","",Year2_Milton_Keynes Year2__electively_home_educated)</f>
        <v/>
      </c>
      <c r="F89" s="94" t="str">
        <f>IF(Year3_Milton_Keynes Year3__electively_home_educated="","",Year3_Milton_Keynes Year3__electively_home_educated)</f>
        <v/>
      </c>
      <c r="G89" s="94" t="str">
        <f>IF(Year4_Milton_Keynes Year4__electively_home_educated="","",Year4_Milton_Keynes Year4__electively_home_educated)</f>
        <v/>
      </c>
      <c r="H89" s="95" t="str">
        <f>IF(Year5_Milton_Keynes Year5__electively_home_educated="","",Year5_Milton_Keynes Year5__electively_home_educated)</f>
        <v/>
      </c>
      <c r="I89" s="1093" t="e">
        <f t="shared" si="27"/>
        <v>#DIV/0!</v>
      </c>
      <c r="J89" s="863" t="e">
        <f t="shared" si="18"/>
        <v>#DIV/0!</v>
      </c>
      <c r="K89" s="96"/>
      <c r="L89" s="97" t="e">
        <f>IF(ISNUMBER(D89),D89/Population!P53*10000,NA())</f>
        <v>#N/A</v>
      </c>
      <c r="M89" s="97" t="e">
        <f>IF(ISNUMBER(E89),E89/Population!Q53*10000,NA())</f>
        <v>#N/A</v>
      </c>
      <c r="N89" s="97" t="e">
        <f>IF(ISNUMBER(F89),F89/Population!R53*10000,NA())</f>
        <v>#N/A</v>
      </c>
      <c r="O89" s="97" t="e">
        <f>IF(ISNUMBER(G89),G89/Population!S53*10000,NA())</f>
        <v>#N/A</v>
      </c>
      <c r="P89" s="98" t="e">
        <f>IF(ISNUMBER(H89),H89/Population!T53*10000,NA())</f>
        <v>#N/A</v>
      </c>
      <c r="Q89" s="99" t="str">
        <f t="shared" si="28"/>
        <v/>
      </c>
      <c r="R89" s="934" t="e">
        <f t="shared" si="19"/>
        <v>#N/A</v>
      </c>
      <c r="S89" s="70"/>
      <c r="T89" s="752">
        <f>IDACI!C17</f>
        <v>15</v>
      </c>
      <c r="U89" s="122"/>
      <c r="V89" s="139"/>
      <c r="W89" s="152"/>
      <c r="X89" s="1099" t="str">
        <f t="shared" si="20"/>
        <v>Milton Keynes</v>
      </c>
      <c r="Y89" s="1097">
        <f>IF(ISNUMBER(H89),IDACI!D17,0)</f>
        <v>0</v>
      </c>
      <c r="Z89" s="1098">
        <f>IF(ISNUMBER(I89),IDACI!E17,0)</f>
        <v>0</v>
      </c>
      <c r="AA89" s="1105" t="str">
        <f>IF(ISNUMBER(D89),Population!P53,"")</f>
        <v/>
      </c>
      <c r="AB89" s="205" t="str">
        <f>IF(ISNUMBER(E89),Population!Q53,"")</f>
        <v/>
      </c>
      <c r="AC89" s="205" t="str">
        <f>IF(ISNUMBER(F89),Population!R53,"")</f>
        <v/>
      </c>
      <c r="AD89" s="205" t="str">
        <f>IF(ISNUMBER(G89),Population!S53,"")</f>
        <v/>
      </c>
      <c r="AE89" s="1106" t="str">
        <f>IF(ISNUMBER(H89),Population!T53,"")</f>
        <v/>
      </c>
      <c r="AG89" s="1100" t="s">
        <v>10</v>
      </c>
      <c r="AH89" s="231" t="str">
        <f t="shared" si="21"/>
        <v/>
      </c>
      <c r="AI89" s="206" t="e">
        <f t="shared" si="22"/>
        <v>#VALUE!</v>
      </c>
      <c r="AJ89" s="160"/>
      <c r="AK89" s="853" t="str">
        <f t="shared" si="23"/>
        <v>x</v>
      </c>
      <c r="AL89" s="853" t="str">
        <f t="shared" si="24"/>
        <v>x</v>
      </c>
      <c r="AM89" s="853" t="str">
        <f t="shared" si="25"/>
        <v>x</v>
      </c>
      <c r="AN89" s="853" t="str">
        <f t="shared" si="26"/>
        <v>x</v>
      </c>
      <c r="AO89" s="853" t="e">
        <f t="shared" si="29"/>
        <v>#DIV/0!</v>
      </c>
      <c r="AQ89" s="76"/>
      <c r="AR89" s="76"/>
      <c r="AS89" s="76"/>
      <c r="AT89" s="76"/>
      <c r="AU89" s="76"/>
      <c r="AV89" s="76"/>
      <c r="AW89" s="76"/>
    </row>
    <row r="90" spans="1:49" s="87" customFormat="1" ht="13.5" customHeight="1" x14ac:dyDescent="0.2">
      <c r="A90" s="488">
        <f>VLOOKUP(B90,Sheet1!$AQ$4:$AR$25,2,FALSE)</f>
        <v>0</v>
      </c>
      <c r="B90" s="93" t="str">
        <f>Sheet1!$K$13</f>
        <v>Oxfordshire</v>
      </c>
      <c r="C90" s="85"/>
      <c r="D90" s="94" t="str">
        <f>IF(Year1_Oxfordshire Year1__electively_home_educated="","",Year1_Oxfordshire Year1__electively_home_educated)</f>
        <v/>
      </c>
      <c r="E90" s="94" t="str">
        <f>IF(Year2_Oxfordshire Year2__electively_home_educated="","",Year2_Oxfordshire Year2__electively_home_educated)</f>
        <v/>
      </c>
      <c r="F90" s="94" t="str">
        <f>IF(Year3_Oxfordshire Year3__electively_home_educated="","",Year3_Oxfordshire Year3__electively_home_educated)</f>
        <v/>
      </c>
      <c r="G90" s="94" t="str">
        <f>IF(Year4_Oxfordshire Year4__electively_home_educated="","",Year4_Oxfordshire Year4__electively_home_educated)</f>
        <v/>
      </c>
      <c r="H90" s="95" t="str">
        <f>IF(Year5_Oxfordshire Year5__electively_home_educated="","",Year5_Oxfordshire Year5__electively_home_educated)</f>
        <v/>
      </c>
      <c r="I90" s="1093" t="e">
        <f t="shared" si="27"/>
        <v>#DIV/0!</v>
      </c>
      <c r="J90" s="863" t="e">
        <f t="shared" si="18"/>
        <v>#DIV/0!</v>
      </c>
      <c r="K90" s="96"/>
      <c r="L90" s="97" t="e">
        <f>IF(ISNUMBER(D90),D90/Population!P54*10000,NA())</f>
        <v>#N/A</v>
      </c>
      <c r="M90" s="97" t="e">
        <f>IF(ISNUMBER(E90),E90/Population!Q54*10000,NA())</f>
        <v>#N/A</v>
      </c>
      <c r="N90" s="97" t="e">
        <f>IF(ISNUMBER(F90),F90/Population!R54*10000,NA())</f>
        <v>#N/A</v>
      </c>
      <c r="O90" s="97" t="e">
        <f>IF(ISNUMBER(G90),G90/Population!S54*10000,NA())</f>
        <v>#N/A</v>
      </c>
      <c r="P90" s="98" t="e">
        <f>IF(ISNUMBER(H90),H90/Population!T54*10000,NA())</f>
        <v>#N/A</v>
      </c>
      <c r="Q90" s="99" t="str">
        <f t="shared" si="28"/>
        <v/>
      </c>
      <c r="R90" s="934" t="e">
        <f t="shared" si="19"/>
        <v>#N/A</v>
      </c>
      <c r="S90" s="70"/>
      <c r="T90" s="752">
        <f>IDACI!C18</f>
        <v>10.100000000000001</v>
      </c>
      <c r="U90" s="122"/>
      <c r="V90" s="139"/>
      <c r="W90" s="152"/>
      <c r="X90" s="1099" t="str">
        <f t="shared" si="20"/>
        <v>Oxfordshire</v>
      </c>
      <c r="Y90" s="1097">
        <f>IF(ISNUMBER(H90),IDACI!D18,0)</f>
        <v>0</v>
      </c>
      <c r="Z90" s="1098">
        <f>IF(ISNUMBER(I90),IDACI!E18,0)</f>
        <v>0</v>
      </c>
      <c r="AA90" s="1105" t="str">
        <f>IF(ISNUMBER(D90),Population!P54,"")</f>
        <v/>
      </c>
      <c r="AB90" s="205" t="str">
        <f>IF(ISNUMBER(E90),Population!Q54,"")</f>
        <v/>
      </c>
      <c r="AC90" s="205" t="str">
        <f>IF(ISNUMBER(F90),Population!R54,"")</f>
        <v/>
      </c>
      <c r="AD90" s="205" t="str">
        <f>IF(ISNUMBER(G90),Population!S54,"")</f>
        <v/>
      </c>
      <c r="AE90" s="1106" t="str">
        <f>IF(ISNUMBER(H90),Population!T54,"")</f>
        <v/>
      </c>
      <c r="AG90" s="1100" t="s">
        <v>11</v>
      </c>
      <c r="AH90" s="231" t="str">
        <f t="shared" si="21"/>
        <v/>
      </c>
      <c r="AI90" s="206" t="e">
        <f t="shared" si="22"/>
        <v>#VALUE!</v>
      </c>
      <c r="AJ90" s="160"/>
      <c r="AK90" s="853" t="str">
        <f t="shared" si="23"/>
        <v>x</v>
      </c>
      <c r="AL90" s="853" t="str">
        <f t="shared" si="24"/>
        <v>x</v>
      </c>
      <c r="AM90" s="853" t="str">
        <f t="shared" si="25"/>
        <v>x</v>
      </c>
      <c r="AN90" s="853" t="str">
        <f t="shared" si="26"/>
        <v>x</v>
      </c>
      <c r="AO90" s="853" t="e">
        <f t="shared" si="29"/>
        <v>#DIV/0!</v>
      </c>
      <c r="AQ90" s="76"/>
      <c r="AR90" s="76"/>
      <c r="AS90" s="76"/>
      <c r="AT90" s="76"/>
      <c r="AU90" s="76"/>
      <c r="AV90" s="76"/>
      <c r="AW90" s="76"/>
    </row>
    <row r="91" spans="1:49" s="87" customFormat="1" ht="13.5" customHeight="1" x14ac:dyDescent="0.2">
      <c r="A91" s="488">
        <f>VLOOKUP(B91,Sheet1!$AQ$4:$AR$25,2,FALSE)</f>
        <v>0</v>
      </c>
      <c r="B91" s="93" t="str">
        <f>Sheet1!$K$14</f>
        <v>Portsmouth</v>
      </c>
      <c r="C91" s="85"/>
      <c r="D91" s="94" t="str">
        <f>IF(Year1_Portsmouth Year1__electively_home_educated="","",Year1_Portsmouth Year1__electively_home_educated)</f>
        <v/>
      </c>
      <c r="E91" s="94" t="str">
        <f>IF(Year2_Portsmouth Year2__electively_home_educated="","",Year2_Portsmouth Year2__electively_home_educated)</f>
        <v/>
      </c>
      <c r="F91" s="94" t="str">
        <f>IF(Year3_Portsmouth Year3__electively_home_educated="","",Year3_Portsmouth Year3__electively_home_educated)</f>
        <v/>
      </c>
      <c r="G91" s="94" t="str">
        <f>IF(Year4_Portsmouth Year4__electively_home_educated="","",Year4_Portsmouth Year4__electively_home_educated)</f>
        <v/>
      </c>
      <c r="H91" s="95" t="str">
        <f>IF(Year5_Portsmouth Year5__electively_home_educated="","",Year5_Portsmouth Year5__electively_home_educated)</f>
        <v/>
      </c>
      <c r="I91" s="1093" t="e">
        <f t="shared" si="27"/>
        <v>#DIV/0!</v>
      </c>
      <c r="J91" s="863" t="e">
        <f t="shared" si="18"/>
        <v>#DIV/0!</v>
      </c>
      <c r="K91" s="96"/>
      <c r="L91" s="97" t="e">
        <f>IF(ISNUMBER(D91),D91/Population!P55*10000,NA())</f>
        <v>#N/A</v>
      </c>
      <c r="M91" s="97" t="e">
        <f>IF(ISNUMBER(E91),E91/Population!Q55*10000,NA())</f>
        <v>#N/A</v>
      </c>
      <c r="N91" s="97" t="e">
        <f>IF(ISNUMBER(F91),F91/Population!R55*10000,NA())</f>
        <v>#N/A</v>
      </c>
      <c r="O91" s="97" t="e">
        <f>IF(ISNUMBER(G91),G91/Population!S55*10000,NA())</f>
        <v>#N/A</v>
      </c>
      <c r="P91" s="98" t="e">
        <f>IF(ISNUMBER(H91),H91/Population!T55*10000,NA())</f>
        <v>#N/A</v>
      </c>
      <c r="Q91" s="99" t="str">
        <f t="shared" si="28"/>
        <v/>
      </c>
      <c r="R91" s="934" t="e">
        <f t="shared" si="19"/>
        <v>#N/A</v>
      </c>
      <c r="S91" s="70"/>
      <c r="T91" s="752">
        <f>IDACI!C19</f>
        <v>20.200000000000003</v>
      </c>
      <c r="U91" s="122"/>
      <c r="V91" s="139"/>
      <c r="W91" s="152"/>
      <c r="X91" s="1099" t="str">
        <f t="shared" si="20"/>
        <v>Portsmouth</v>
      </c>
      <c r="Y91" s="1097">
        <f>IF(ISNUMBER(H91),IDACI!D19,0)</f>
        <v>0</v>
      </c>
      <c r="Z91" s="1098">
        <f>IF(ISNUMBER(I91),IDACI!E19,0)</f>
        <v>0</v>
      </c>
      <c r="AA91" s="1105" t="str">
        <f>IF(ISNUMBER(D91),Population!P55,"")</f>
        <v/>
      </c>
      <c r="AB91" s="205" t="str">
        <f>IF(ISNUMBER(E91),Population!Q55,"")</f>
        <v/>
      </c>
      <c r="AC91" s="205" t="str">
        <f>IF(ISNUMBER(F91),Population!R55,"")</f>
        <v/>
      </c>
      <c r="AD91" s="205" t="str">
        <f>IF(ISNUMBER(G91),Population!S55,"")</f>
        <v/>
      </c>
      <c r="AE91" s="1106" t="str">
        <f>IF(ISNUMBER(H91),Population!T55,"")</f>
        <v/>
      </c>
      <c r="AG91" s="1100" t="s">
        <v>12</v>
      </c>
      <c r="AH91" s="231" t="str">
        <f t="shared" si="21"/>
        <v/>
      </c>
      <c r="AI91" s="206" t="e">
        <f t="shared" si="22"/>
        <v>#VALUE!</v>
      </c>
      <c r="AJ91" s="160"/>
      <c r="AK91" s="853" t="str">
        <f t="shared" si="23"/>
        <v>x</v>
      </c>
      <c r="AL91" s="853" t="str">
        <f t="shared" si="24"/>
        <v>x</v>
      </c>
      <c r="AM91" s="853" t="str">
        <f t="shared" si="25"/>
        <v>x</v>
      </c>
      <c r="AN91" s="853" t="str">
        <f t="shared" si="26"/>
        <v>x</v>
      </c>
      <c r="AO91" s="853" t="e">
        <f t="shared" si="29"/>
        <v>#DIV/0!</v>
      </c>
      <c r="AQ91" s="76"/>
      <c r="AR91" s="76"/>
      <c r="AS91" s="76"/>
      <c r="AT91" s="76"/>
      <c r="AU91" s="76"/>
      <c r="AV91" s="76"/>
      <c r="AW91" s="76"/>
    </row>
    <row r="92" spans="1:49" s="87" customFormat="1" ht="13.5" customHeight="1" x14ac:dyDescent="0.2">
      <c r="A92" s="488">
        <f>VLOOKUP(B92,Sheet1!$AQ$4:$AR$25,2,FALSE)</f>
        <v>0</v>
      </c>
      <c r="B92" s="93" t="str">
        <f>Sheet1!$K$15</f>
        <v>Reading</v>
      </c>
      <c r="C92" s="85"/>
      <c r="D92" s="94" t="str">
        <f>IF(Year1_Reading Year1__electively_home_educated="","",Year1_Reading Year1__electively_home_educated)</f>
        <v/>
      </c>
      <c r="E92" s="94" t="str">
        <f>IF(Year2_Reading Year2__electively_home_educated="","",Year2_Reading Year2__electively_home_educated)</f>
        <v/>
      </c>
      <c r="F92" s="94" t="str">
        <f>IF(Year3_Reading Year3__electively_home_educated="","",Year3_Reading Year3__electively_home_educated)</f>
        <v/>
      </c>
      <c r="G92" s="94" t="str">
        <f>IF(Year4_Reading Year4__electively_home_educated="","",Year4_Reading Year4__electively_home_educated)</f>
        <v/>
      </c>
      <c r="H92" s="95" t="str">
        <f>IF(Year5_Reading Year5__electively_home_educated="","",Year5_Reading Year5__electively_home_educated)</f>
        <v/>
      </c>
      <c r="I92" s="1093" t="e">
        <f t="shared" si="27"/>
        <v>#DIV/0!</v>
      </c>
      <c r="J92" s="863" t="e">
        <f t="shared" si="18"/>
        <v>#DIV/0!</v>
      </c>
      <c r="K92" s="96"/>
      <c r="L92" s="97" t="e">
        <f>IF(ISNUMBER(D92),D92/Population!P56*10000,NA())</f>
        <v>#N/A</v>
      </c>
      <c r="M92" s="97" t="e">
        <f>IF(ISNUMBER(E92),E92/Population!Q56*10000,NA())</f>
        <v>#N/A</v>
      </c>
      <c r="N92" s="97" t="e">
        <f>IF(ISNUMBER(F92),F92/Population!R56*10000,NA())</f>
        <v>#N/A</v>
      </c>
      <c r="O92" s="97" t="e">
        <f>IF(ISNUMBER(G92),G92/Population!S56*10000,NA())</f>
        <v>#N/A</v>
      </c>
      <c r="P92" s="98" t="e">
        <f>IF(ISNUMBER(H92),H92/Population!T56*10000,NA())</f>
        <v>#N/A</v>
      </c>
      <c r="Q92" s="99" t="str">
        <f t="shared" si="28"/>
        <v/>
      </c>
      <c r="R92" s="934" t="e">
        <f t="shared" si="19"/>
        <v>#N/A</v>
      </c>
      <c r="S92" s="70"/>
      <c r="T92" s="752">
        <f>IDACI!C20</f>
        <v>16</v>
      </c>
      <c r="U92" s="122"/>
      <c r="V92" s="139"/>
      <c r="W92" s="152"/>
      <c r="X92" s="1099" t="str">
        <f t="shared" si="20"/>
        <v>Reading</v>
      </c>
      <c r="Y92" s="1097">
        <f>IF(ISNUMBER(H92),IDACI!D20,0)</f>
        <v>0</v>
      </c>
      <c r="Z92" s="1098">
        <f>IF(ISNUMBER(I92),IDACI!E20,0)</f>
        <v>0</v>
      </c>
      <c r="AA92" s="1105" t="str">
        <f>IF(ISNUMBER(D92),Population!P56,"")</f>
        <v/>
      </c>
      <c r="AB92" s="205" t="str">
        <f>IF(ISNUMBER(E92),Population!Q56,"")</f>
        <v/>
      </c>
      <c r="AC92" s="205" t="str">
        <f>IF(ISNUMBER(F92),Population!R56,"")</f>
        <v/>
      </c>
      <c r="AD92" s="205" t="str">
        <f>IF(ISNUMBER(G92),Population!S56,"")</f>
        <v/>
      </c>
      <c r="AE92" s="1106" t="str">
        <f>IF(ISNUMBER(H92),Population!T56,"")</f>
        <v/>
      </c>
      <c r="AG92" s="1100" t="s">
        <v>3</v>
      </c>
      <c r="AH92" s="231" t="str">
        <f t="shared" si="21"/>
        <v/>
      </c>
      <c r="AI92" s="206" t="e">
        <f t="shared" si="22"/>
        <v>#VALUE!</v>
      </c>
      <c r="AJ92" s="160"/>
      <c r="AK92" s="853" t="str">
        <f t="shared" si="23"/>
        <v>x</v>
      </c>
      <c r="AL92" s="853" t="str">
        <f t="shared" si="24"/>
        <v>x</v>
      </c>
      <c r="AM92" s="853" t="str">
        <f t="shared" si="25"/>
        <v>x</v>
      </c>
      <c r="AN92" s="853" t="str">
        <f t="shared" si="26"/>
        <v>x</v>
      </c>
      <c r="AO92" s="853" t="e">
        <f t="shared" si="29"/>
        <v>#DIV/0!</v>
      </c>
      <c r="AQ92" s="76"/>
      <c r="AR92" s="76"/>
      <c r="AS92" s="76"/>
      <c r="AT92" s="76"/>
      <c r="AU92" s="76"/>
      <c r="AV92" s="76"/>
      <c r="AW92" s="76"/>
    </row>
    <row r="93" spans="1:49" s="87" customFormat="1" ht="13.5" customHeight="1" x14ac:dyDescent="0.2">
      <c r="A93" s="488">
        <f>VLOOKUP(B93,Sheet1!$AQ$4:$AR$25,2,FALSE)</f>
        <v>0</v>
      </c>
      <c r="B93" s="93" t="str">
        <f>Sheet1!$K$16</f>
        <v>Slough</v>
      </c>
      <c r="C93" s="85"/>
      <c r="D93" s="94" t="str">
        <f>IF(Year1_Slough Year1__electively_home_educated="","",Year1_Slough Year1__electively_home_educated)</f>
        <v/>
      </c>
      <c r="E93" s="94" t="str">
        <f>IF(Year2_Slough Year2__electively_home_educated="","",Year2_Slough Year2__electively_home_educated)</f>
        <v/>
      </c>
      <c r="F93" s="94" t="str">
        <f>IF(Year3_Slough Year3__electively_home_educated="","",Year3_Slough Year3__electively_home_educated)</f>
        <v/>
      </c>
      <c r="G93" s="94" t="str">
        <f>IF(Year4_Slough Year4__electively_home_educated="","",Year4_Slough Year4__electively_home_educated)</f>
        <v/>
      </c>
      <c r="H93" s="95" t="str">
        <f>IF(Year5_Slough Year5__electively_home_educated="","",Year5_Slough Year5__electively_home_educated)</f>
        <v/>
      </c>
      <c r="I93" s="1093" t="e">
        <f t="shared" si="27"/>
        <v>#DIV/0!</v>
      </c>
      <c r="J93" s="863" t="e">
        <f t="shared" si="18"/>
        <v>#DIV/0!</v>
      </c>
      <c r="K93" s="96"/>
      <c r="L93" s="97" t="e">
        <f>IF(ISNUMBER(D93),D93/Population!P57*10000,NA())</f>
        <v>#N/A</v>
      </c>
      <c r="M93" s="97" t="e">
        <f>IF(ISNUMBER(E93),E93/Population!Q57*10000,NA())</f>
        <v>#N/A</v>
      </c>
      <c r="N93" s="97" t="e">
        <f>IF(ISNUMBER(F93),F93/Population!R57*10000,NA())</f>
        <v>#N/A</v>
      </c>
      <c r="O93" s="97" t="e">
        <f>IF(ISNUMBER(G93),G93/Population!S57*10000,NA())</f>
        <v>#N/A</v>
      </c>
      <c r="P93" s="98" t="e">
        <f>IF(ISNUMBER(H93),H93/Population!T57*10000,NA())</f>
        <v>#N/A</v>
      </c>
      <c r="Q93" s="99" t="str">
        <f t="shared" si="28"/>
        <v/>
      </c>
      <c r="R93" s="934" t="e">
        <f t="shared" si="19"/>
        <v>#N/A</v>
      </c>
      <c r="S93" s="70"/>
      <c r="T93" s="752">
        <f>IDACI!C21</f>
        <v>14.7</v>
      </c>
      <c r="U93" s="122"/>
      <c r="V93" s="139"/>
      <c r="W93" s="152"/>
      <c r="X93" s="1099" t="str">
        <f t="shared" si="20"/>
        <v>Slough</v>
      </c>
      <c r="Y93" s="1097">
        <f>IF(ISNUMBER(H93),IDACI!D21,0)</f>
        <v>0</v>
      </c>
      <c r="Z93" s="1098">
        <f>IF(ISNUMBER(I93),IDACI!E21,0)</f>
        <v>0</v>
      </c>
      <c r="AA93" s="1105" t="str">
        <f>IF(ISNUMBER(D93),Population!P57,"")</f>
        <v/>
      </c>
      <c r="AB93" s="205" t="str">
        <f>IF(ISNUMBER(E93),Population!Q57,"")</f>
        <v/>
      </c>
      <c r="AC93" s="205" t="str">
        <f>IF(ISNUMBER(F93),Population!R57,"")</f>
        <v/>
      </c>
      <c r="AD93" s="205" t="str">
        <f>IF(ISNUMBER(G93),Population!S57,"")</f>
        <v/>
      </c>
      <c r="AE93" s="1106" t="str">
        <f>IF(ISNUMBER(H93),Population!T57,"")</f>
        <v/>
      </c>
      <c r="AG93" s="1100" t="s">
        <v>13</v>
      </c>
      <c r="AH93" s="231" t="str">
        <f t="shared" si="21"/>
        <v/>
      </c>
      <c r="AI93" s="206" t="e">
        <f t="shared" si="22"/>
        <v>#VALUE!</v>
      </c>
      <c r="AJ93" s="160"/>
      <c r="AK93" s="853" t="str">
        <f t="shared" si="23"/>
        <v>x</v>
      </c>
      <c r="AL93" s="853" t="str">
        <f t="shared" si="24"/>
        <v>x</v>
      </c>
      <c r="AM93" s="853" t="str">
        <f t="shared" si="25"/>
        <v>x</v>
      </c>
      <c r="AN93" s="853" t="str">
        <f t="shared" si="26"/>
        <v>x</v>
      </c>
      <c r="AO93" s="853" t="e">
        <f t="shared" si="29"/>
        <v>#DIV/0!</v>
      </c>
      <c r="AQ93" s="76"/>
      <c r="AR93" s="76"/>
      <c r="AS93" s="76"/>
      <c r="AT93" s="76"/>
      <c r="AU93" s="76"/>
      <c r="AV93" s="76"/>
      <c r="AW93" s="76"/>
    </row>
    <row r="94" spans="1:49" s="87" customFormat="1" ht="13.5" customHeight="1" x14ac:dyDescent="0.2">
      <c r="A94" s="488">
        <f>VLOOKUP(B94,Sheet1!$AQ$4:$AR$25,2,FALSE)</f>
        <v>0</v>
      </c>
      <c r="B94" s="93" t="str">
        <f>Sheet1!$K$17</f>
        <v>Somerset</v>
      </c>
      <c r="C94" s="85"/>
      <c r="D94" s="94" t="str">
        <f>IF(Year1_Somerset Year1__electively_home_educated="","",Year1_Somerset Year1__electively_home_educated)</f>
        <v/>
      </c>
      <c r="E94" s="94" t="str">
        <f>IF(Year2_Somerset Year2__electively_home_educated="","",Year2_Somerset Year2__electively_home_educated)</f>
        <v/>
      </c>
      <c r="F94" s="94" t="str">
        <f>IF(Year3_Somerset Year3__electively_home_educated="","",Year3_Somerset Year3__electively_home_educated)</f>
        <v/>
      </c>
      <c r="G94" s="94" t="str">
        <f>IF(Year4_Somerset Year4__electively_home_educated="","",Year4_Somerset Year4__electively_home_educated)</f>
        <v/>
      </c>
      <c r="H94" s="95" t="str">
        <f>IF(Year5_Somerset Year5__electively_home_educated="","",Year5_Somerset Year5__electively_home_educated)</f>
        <v/>
      </c>
      <c r="I94" s="1093" t="e">
        <f t="shared" si="27"/>
        <v>#DIV/0!</v>
      </c>
      <c r="J94" s="863" t="e">
        <f t="shared" si="18"/>
        <v>#DIV/0!</v>
      </c>
      <c r="K94" s="96"/>
      <c r="L94" s="97" t="e">
        <f>IF(ISNUMBER(D94),D94/Population!P58*10000,NA())</f>
        <v>#N/A</v>
      </c>
      <c r="M94" s="97" t="e">
        <f>IF(ISNUMBER(E94),E94/Population!Q58*10000,NA())</f>
        <v>#N/A</v>
      </c>
      <c r="N94" s="97" t="e">
        <f>IF(ISNUMBER(F94),F94/Population!R58*10000,NA())</f>
        <v>#N/A</v>
      </c>
      <c r="O94" s="97" t="e">
        <f>IF(ISNUMBER(G94),G94/Population!S58*10000,NA())</f>
        <v>#N/A</v>
      </c>
      <c r="P94" s="98" t="e">
        <f>IF(ISNUMBER(H94),H94/Population!T58*10000,NA())</f>
        <v>#N/A</v>
      </c>
      <c r="Q94" s="99" t="str">
        <f t="shared" si="28"/>
        <v/>
      </c>
      <c r="R94" s="370" t="str">
        <f t="shared" si="19"/>
        <v>--</v>
      </c>
      <c r="S94" s="70"/>
      <c r="T94" s="752">
        <f>IDACI!C22</f>
        <v>13.600000000000001</v>
      </c>
      <c r="U94" s="122"/>
      <c r="V94" s="139"/>
      <c r="W94" s="152"/>
      <c r="X94" s="1099" t="str">
        <f t="shared" si="20"/>
        <v>Somerset</v>
      </c>
      <c r="Y94" s="1097">
        <f>IF(ISNUMBER(H94),IDACI!D22,0)</f>
        <v>0</v>
      </c>
      <c r="Z94" s="1098">
        <f>IF(ISNUMBER(I94),IDACI!E22,0)</f>
        <v>0</v>
      </c>
      <c r="AA94" s="1105" t="str">
        <f>IF(ISNUMBER(D94),Population!P58,"")</f>
        <v/>
      </c>
      <c r="AB94" s="205" t="str">
        <f>IF(ISNUMBER(E94),Population!Q58,"")</f>
        <v/>
      </c>
      <c r="AC94" s="205" t="str">
        <f>IF(ISNUMBER(F94),Population!R58,"")</f>
        <v/>
      </c>
      <c r="AD94" s="205" t="str">
        <f>IF(ISNUMBER(G94),Population!S58,"")</f>
        <v/>
      </c>
      <c r="AE94" s="1106" t="str">
        <f>IF(ISNUMBER(H94),Population!T58,"")</f>
        <v/>
      </c>
      <c r="AG94" s="1100" t="s">
        <v>14</v>
      </c>
      <c r="AH94" s="231" t="str">
        <f t="shared" si="21"/>
        <v/>
      </c>
      <c r="AI94" s="206" t="e">
        <f t="shared" si="22"/>
        <v>#VALUE!</v>
      </c>
      <c r="AJ94" s="160"/>
      <c r="AK94" s="853" t="str">
        <f t="shared" si="23"/>
        <v>x</v>
      </c>
      <c r="AL94" s="853" t="str">
        <f t="shared" si="24"/>
        <v>x</v>
      </c>
      <c r="AM94" s="853" t="str">
        <f t="shared" si="25"/>
        <v>x</v>
      </c>
      <c r="AN94" s="853" t="str">
        <f t="shared" si="26"/>
        <v>x</v>
      </c>
      <c r="AO94" s="853" t="e">
        <f t="shared" si="29"/>
        <v>#DIV/0!</v>
      </c>
      <c r="AQ94" s="76"/>
      <c r="AR94" s="76"/>
      <c r="AS94" s="76"/>
      <c r="AT94" s="76"/>
      <c r="AU94" s="76"/>
      <c r="AV94" s="76"/>
      <c r="AW94" s="76"/>
    </row>
    <row r="95" spans="1:49" s="87" customFormat="1" ht="13.5" customHeight="1" x14ac:dyDescent="0.2">
      <c r="A95" s="488">
        <f>VLOOKUP(B95,Sheet1!$AQ$4:$AR$25,2,FALSE)</f>
        <v>0</v>
      </c>
      <c r="B95" s="93" t="str">
        <f>Sheet1!$K$18</f>
        <v>Southampton</v>
      </c>
      <c r="C95" s="85"/>
      <c r="D95" s="94" t="str">
        <f>IF(Year1_Southampton Year1__electively_home_educated="","",Year1_Southampton Year1__electively_home_educated)</f>
        <v/>
      </c>
      <c r="E95" s="94" t="str">
        <f>IF(Year2_Southampton Year2__electively_home_educated="","",Year2_Southampton Year2__electively_home_educated)</f>
        <v/>
      </c>
      <c r="F95" s="94" t="str">
        <f>IF(Year3_Southampton Year3__electively_home_educated="","",Year3_Southampton Year3__electively_home_educated)</f>
        <v/>
      </c>
      <c r="G95" s="94" t="str">
        <f>IF(Year4_Southampton Year4__electively_home_educated="","",Year4_Southampton Year4__electively_home_educated)</f>
        <v/>
      </c>
      <c r="H95" s="95" t="str">
        <f>IF(Year5_Southampton Year5__electively_home_educated="","",Year5_Southampton Year5__electively_home_educated)</f>
        <v/>
      </c>
      <c r="I95" s="1093" t="e">
        <f t="shared" si="27"/>
        <v>#DIV/0!</v>
      </c>
      <c r="J95" s="863" t="e">
        <f t="shared" si="18"/>
        <v>#DIV/0!</v>
      </c>
      <c r="K95" s="96"/>
      <c r="L95" s="97" t="e">
        <f>IF(ISNUMBER(D95),D95/Population!P59*10000,NA())</f>
        <v>#N/A</v>
      </c>
      <c r="M95" s="97" t="e">
        <f>IF(ISNUMBER(E95),E95/Population!Q59*10000,NA())</f>
        <v>#N/A</v>
      </c>
      <c r="N95" s="97" t="e">
        <f>IF(ISNUMBER(F95),F95/Population!R59*10000,NA())</f>
        <v>#N/A</v>
      </c>
      <c r="O95" s="97" t="e">
        <f>IF(ISNUMBER(G95),G95/Population!S59*10000,NA())</f>
        <v>#N/A</v>
      </c>
      <c r="P95" s="98" t="e">
        <f>IF(ISNUMBER(H95),H95/Population!T59*10000,NA())</f>
        <v>#N/A</v>
      </c>
      <c r="Q95" s="99" t="str">
        <f t="shared" si="28"/>
        <v/>
      </c>
      <c r="R95" s="934" t="e">
        <f t="shared" si="19"/>
        <v>#N/A</v>
      </c>
      <c r="S95" s="70"/>
      <c r="T95" s="752">
        <f>IDACI!C23</f>
        <v>20.5</v>
      </c>
      <c r="U95" s="122"/>
      <c r="V95" s="139"/>
      <c r="W95" s="152"/>
      <c r="X95" s="1099" t="str">
        <f t="shared" si="20"/>
        <v>Southampton</v>
      </c>
      <c r="Y95" s="1097">
        <f>IF(ISNUMBER(H95),IDACI!D23,0)</f>
        <v>0</v>
      </c>
      <c r="Z95" s="1098">
        <f>IF(ISNUMBER(I95),IDACI!E23,0)</f>
        <v>0</v>
      </c>
      <c r="AA95" s="1105" t="str">
        <f>IF(ISNUMBER(D95),Population!P59,"")</f>
        <v/>
      </c>
      <c r="AB95" s="205" t="str">
        <f>IF(ISNUMBER(E95),Population!Q59,"")</f>
        <v/>
      </c>
      <c r="AC95" s="205" t="str">
        <f>IF(ISNUMBER(F95),Population!R59,"")</f>
        <v/>
      </c>
      <c r="AD95" s="205" t="str">
        <f>IF(ISNUMBER(G95),Population!S59,"")</f>
        <v/>
      </c>
      <c r="AE95" s="1106" t="str">
        <f>IF(ISNUMBER(H95),Population!T59,"")</f>
        <v/>
      </c>
      <c r="AG95" s="1100" t="s">
        <v>7</v>
      </c>
      <c r="AH95" s="231" t="str">
        <f t="shared" si="21"/>
        <v/>
      </c>
      <c r="AI95" s="206" t="e">
        <f t="shared" si="22"/>
        <v>#VALUE!</v>
      </c>
      <c r="AJ95" s="160"/>
      <c r="AK95" s="853" t="str">
        <f t="shared" si="23"/>
        <v>x</v>
      </c>
      <c r="AL95" s="853" t="str">
        <f t="shared" si="24"/>
        <v>x</v>
      </c>
      <c r="AM95" s="853" t="str">
        <f t="shared" si="25"/>
        <v>x</v>
      </c>
      <c r="AN95" s="853" t="str">
        <f t="shared" si="26"/>
        <v>x</v>
      </c>
      <c r="AO95" s="853" t="e">
        <f t="shared" si="29"/>
        <v>#DIV/0!</v>
      </c>
      <c r="AQ95" s="76"/>
      <c r="AR95" s="76"/>
      <c r="AS95" s="76"/>
      <c r="AT95" s="76"/>
      <c r="AU95" s="76"/>
      <c r="AV95" s="76"/>
      <c r="AW95" s="76"/>
    </row>
    <row r="96" spans="1:49" s="87" customFormat="1" ht="13.5" customHeight="1" x14ac:dyDescent="0.2">
      <c r="A96" s="488">
        <f>VLOOKUP(B96,Sheet1!$AQ$4:$AR$25,2,FALSE)</f>
        <v>0</v>
      </c>
      <c r="B96" s="93" t="str">
        <f>Sheet1!$K$19</f>
        <v>Surrey</v>
      </c>
      <c r="C96" s="85"/>
      <c r="D96" s="94" t="str">
        <f>IF(Year1_Surrey Year1__electively_home_educated="","",Year1_Surrey Year1__electively_home_educated)</f>
        <v/>
      </c>
      <c r="E96" s="94" t="str">
        <f>IF(Year2_Surrey Year2__electively_home_educated="","",Year2_Surrey Year2__electively_home_educated)</f>
        <v/>
      </c>
      <c r="F96" s="94" t="str">
        <f>IF(Year3_Surrey Year3__electively_home_educated="","",Year3_Surrey Year3__electively_home_educated)</f>
        <v/>
      </c>
      <c r="G96" s="94" t="str">
        <f>IF(Year4_Surrey Year4__electively_home_educated="","",Year4_Surrey Year4__electively_home_educated)</f>
        <v/>
      </c>
      <c r="H96" s="95" t="str">
        <f>IF(Year5_Surrey Year5__electively_home_educated="","",Year5_Surrey Year5__electively_home_educated)</f>
        <v/>
      </c>
      <c r="I96" s="1093" t="e">
        <f t="shared" si="27"/>
        <v>#DIV/0!</v>
      </c>
      <c r="J96" s="863" t="e">
        <f t="shared" si="18"/>
        <v>#DIV/0!</v>
      </c>
      <c r="K96" s="96"/>
      <c r="L96" s="97" t="e">
        <f>IF(ISNUMBER(D96),D96/Population!P60*10000,NA())</f>
        <v>#N/A</v>
      </c>
      <c r="M96" s="97" t="e">
        <f>IF(ISNUMBER(E96),E96/Population!Q60*10000,NA())</f>
        <v>#N/A</v>
      </c>
      <c r="N96" s="97" t="e">
        <f>IF(ISNUMBER(F96),F96/Population!R60*10000,NA())</f>
        <v>#N/A</v>
      </c>
      <c r="O96" s="97" t="e">
        <f>IF(ISNUMBER(G96),G96/Population!S60*10000,NA())</f>
        <v>#N/A</v>
      </c>
      <c r="P96" s="98" t="e">
        <f>IF(ISNUMBER(H96),H96/Population!T60*10000,NA())</f>
        <v>#N/A</v>
      </c>
      <c r="Q96" s="99" t="str">
        <f t="shared" si="28"/>
        <v/>
      </c>
      <c r="R96" s="934" t="e">
        <f t="shared" si="19"/>
        <v>#N/A</v>
      </c>
      <c r="S96" s="70"/>
      <c r="T96" s="752">
        <f>IDACI!C24</f>
        <v>8.3000000000000007</v>
      </c>
      <c r="U96" s="122"/>
      <c r="V96" s="139"/>
      <c r="W96" s="152"/>
      <c r="X96" s="1099" t="str">
        <f t="shared" si="20"/>
        <v>Surrey</v>
      </c>
      <c r="Y96" s="1097">
        <f>IF(ISNUMBER(H96),IDACI!D24,0)</f>
        <v>0</v>
      </c>
      <c r="Z96" s="1098">
        <f>IF(ISNUMBER(I96),IDACI!E24,0)</f>
        <v>0</v>
      </c>
      <c r="AA96" s="1105" t="str">
        <f>IF(ISNUMBER(D96),Population!P60,"")</f>
        <v/>
      </c>
      <c r="AB96" s="205" t="str">
        <f>IF(ISNUMBER(E96),Population!Q60,"")</f>
        <v/>
      </c>
      <c r="AC96" s="205" t="str">
        <f>IF(ISNUMBER(F96),Population!R60,"")</f>
        <v/>
      </c>
      <c r="AD96" s="205" t="str">
        <f>IF(ISNUMBER(G96),Population!S60,"")</f>
        <v/>
      </c>
      <c r="AE96" s="1106" t="str">
        <f>IF(ISNUMBER(H96),Population!T60,"")</f>
        <v/>
      </c>
      <c r="AG96" s="1100" t="s">
        <v>15</v>
      </c>
      <c r="AH96" s="231" t="str">
        <f t="shared" si="21"/>
        <v/>
      </c>
      <c r="AI96" s="206" t="e">
        <f t="shared" si="22"/>
        <v>#VALUE!</v>
      </c>
      <c r="AJ96" s="160"/>
      <c r="AK96" s="853" t="str">
        <f t="shared" si="23"/>
        <v>x</v>
      </c>
      <c r="AL96" s="853" t="str">
        <f t="shared" si="24"/>
        <v>x</v>
      </c>
      <c r="AM96" s="853" t="str">
        <f t="shared" si="25"/>
        <v>x</v>
      </c>
      <c r="AN96" s="853" t="str">
        <f t="shared" si="26"/>
        <v>x</v>
      </c>
      <c r="AO96" s="853" t="e">
        <f t="shared" si="29"/>
        <v>#DIV/0!</v>
      </c>
      <c r="AQ96" s="76"/>
      <c r="AR96" s="76"/>
      <c r="AS96" s="76"/>
      <c r="AT96" s="76"/>
      <c r="AU96" s="76"/>
      <c r="AV96" s="76"/>
      <c r="AW96" s="76"/>
    </row>
    <row r="97" spans="1:49" s="87" customFormat="1" ht="13.5" customHeight="1" x14ac:dyDescent="0.2">
      <c r="A97" s="488">
        <f>VLOOKUP(B97,Sheet1!$AQ$4:$AR$25,2,FALSE)</f>
        <v>0</v>
      </c>
      <c r="B97" s="93" t="str">
        <f>Sheet1!$K$20</f>
        <v>Swindon</v>
      </c>
      <c r="C97" s="85"/>
      <c r="D97" s="94" t="str">
        <f>IF(Year1_Swindon Year1__electively_home_educated="","",Year1_Swindon Year1__electively_home_educated)</f>
        <v/>
      </c>
      <c r="E97" s="94" t="str">
        <f>IF(Year2_Swindon Year2__electively_home_educated="","",Year2_Swindon Year2__electively_home_educated)</f>
        <v/>
      </c>
      <c r="F97" s="94" t="str">
        <f>IF(Year3_Swindon Year3__electively_home_educated="","",Year3_Swindon Year3__electively_home_educated)</f>
        <v/>
      </c>
      <c r="G97" s="94" t="str">
        <f>IF(Year4_Swindon Year4__electively_home_educated="","",Year4_Swindon Year4__electively_home_educated)</f>
        <v/>
      </c>
      <c r="H97" s="95" t="str">
        <f>IF(Year5_Swindon Year5__electively_home_educated="","",Year5_Swindon Year5__electively_home_educated)</f>
        <v/>
      </c>
      <c r="I97" s="1093" t="e">
        <f t="shared" si="27"/>
        <v>#DIV/0!</v>
      </c>
      <c r="J97" s="863" t="e">
        <f t="shared" si="18"/>
        <v>#DIV/0!</v>
      </c>
      <c r="K97" s="96"/>
      <c r="L97" s="97" t="e">
        <f>IF(ISNUMBER(D97),D97/Population!P61*10000,NA())</f>
        <v>#N/A</v>
      </c>
      <c r="M97" s="97" t="e">
        <f>IF(ISNUMBER(E97),E97/Population!Q61*10000,NA())</f>
        <v>#N/A</v>
      </c>
      <c r="N97" s="97" t="e">
        <f>IF(ISNUMBER(F97),F97/Population!R61*10000,NA())</f>
        <v>#N/A</v>
      </c>
      <c r="O97" s="97" t="e">
        <f>IF(ISNUMBER(G97),G97/Population!S61*10000,NA())</f>
        <v>#N/A</v>
      </c>
      <c r="P97" s="98" t="e">
        <f>IF(ISNUMBER(H97),H97/Population!T61*10000,NA())</f>
        <v>#N/A</v>
      </c>
      <c r="Q97" s="99" t="str">
        <f t="shared" si="28"/>
        <v/>
      </c>
      <c r="R97" s="370" t="str">
        <f t="shared" si="19"/>
        <v>--</v>
      </c>
      <c r="S97" s="70"/>
      <c r="T97" s="752">
        <f>IDACI!C25</f>
        <v>14.899999999999999</v>
      </c>
      <c r="U97" s="122"/>
      <c r="V97" s="139"/>
      <c r="W97" s="152"/>
      <c r="X97" s="1099" t="str">
        <f t="shared" si="20"/>
        <v>Swindon</v>
      </c>
      <c r="Y97" s="1097">
        <f>IF(ISNUMBER(H97),IDACI!D25,0)</f>
        <v>0</v>
      </c>
      <c r="Z97" s="1098">
        <f>IF(ISNUMBER(I97),IDACI!E25,0)</f>
        <v>0</v>
      </c>
      <c r="AA97" s="1105" t="str">
        <f>IF(ISNUMBER(D97),Population!P61,"")</f>
        <v/>
      </c>
      <c r="AB97" s="205" t="str">
        <f>IF(ISNUMBER(E97),Population!Q61,"")</f>
        <v/>
      </c>
      <c r="AC97" s="205" t="str">
        <f>IF(ISNUMBER(F97),Population!R61,"")</f>
        <v/>
      </c>
      <c r="AD97" s="205" t="str">
        <f>IF(ISNUMBER(G97),Population!S61,"")</f>
        <v/>
      </c>
      <c r="AE97" s="1106" t="str">
        <f>IF(ISNUMBER(H97),Population!T61,"")</f>
        <v/>
      </c>
      <c r="AG97" s="1100" t="s">
        <v>5</v>
      </c>
      <c r="AH97" s="231" t="str">
        <f t="shared" si="21"/>
        <v/>
      </c>
      <c r="AI97" s="206" t="e">
        <f t="shared" si="22"/>
        <v>#VALUE!</v>
      </c>
      <c r="AJ97" s="160"/>
      <c r="AK97" s="853" t="str">
        <f t="shared" si="23"/>
        <v>x</v>
      </c>
      <c r="AL97" s="853" t="str">
        <f t="shared" si="24"/>
        <v>x</v>
      </c>
      <c r="AM97" s="853" t="str">
        <f t="shared" si="25"/>
        <v>x</v>
      </c>
      <c r="AN97" s="853" t="str">
        <f t="shared" si="26"/>
        <v>x</v>
      </c>
      <c r="AO97" s="853" t="e">
        <f t="shared" si="29"/>
        <v>#DIV/0!</v>
      </c>
      <c r="AQ97" s="76"/>
      <c r="AR97" s="76"/>
      <c r="AS97" s="76"/>
      <c r="AT97" s="76"/>
      <c r="AU97" s="76"/>
      <c r="AV97" s="76"/>
      <c r="AW97" s="76"/>
    </row>
    <row r="98" spans="1:49" s="87" customFormat="1" ht="13.5" customHeight="1" x14ac:dyDescent="0.2">
      <c r="A98" s="488">
        <f>VLOOKUP(B98,Sheet1!$AQ$4:$AR$25,2,FALSE)</f>
        <v>0</v>
      </c>
      <c r="B98" s="93" t="str">
        <f>Sheet1!$K$21</f>
        <v>Torbay</v>
      </c>
      <c r="C98" s="85"/>
      <c r="D98" s="94" t="str">
        <f>IF(Year1_Torbay Year1__electively_home_educated="","",Year1_Torbay Year1__electively_home_educated)</f>
        <v/>
      </c>
      <c r="E98" s="94" t="str">
        <f>IF(Year2_Torbay Year2__electively_home_educated="","",Year2_Torbay Year2__electively_home_educated)</f>
        <v/>
      </c>
      <c r="F98" s="94" t="str">
        <f>IF(Year3_Torbay Year3__electively_home_educated="","",Year3_Torbay Year3__electively_home_educated)</f>
        <v/>
      </c>
      <c r="G98" s="94" t="str">
        <f>IF(Year4_Torbay Year4__electively_home_educated="","",Year4_Torbay Year4__electively_home_educated)</f>
        <v/>
      </c>
      <c r="H98" s="95" t="str">
        <f>IF(Year5_Torbay Year5__electively_home_educated="","",Year5_Torbay Year5__electively_home_educated)</f>
        <v/>
      </c>
      <c r="I98" s="1093" t="e">
        <f t="shared" si="27"/>
        <v>#DIV/0!</v>
      </c>
      <c r="J98" s="863" t="e">
        <f t="shared" si="18"/>
        <v>#DIV/0!</v>
      </c>
      <c r="K98" s="96"/>
      <c r="L98" s="97" t="e">
        <f>IF(ISNUMBER(D98),D98/Population!P62*10000,NA())</f>
        <v>#N/A</v>
      </c>
      <c r="M98" s="97" t="e">
        <f>IF(ISNUMBER(E98),E98/Population!Q62*10000,NA())</f>
        <v>#N/A</v>
      </c>
      <c r="N98" s="97" t="e">
        <f>IF(ISNUMBER(F98),F98/Population!R62*10000,NA())</f>
        <v>#N/A</v>
      </c>
      <c r="O98" s="97" t="e">
        <f>IF(ISNUMBER(G98),G98/Population!S62*10000,NA())</f>
        <v>#N/A</v>
      </c>
      <c r="P98" s="98" t="e">
        <f>IF(ISNUMBER(H98),H98/Population!T62*10000,NA())</f>
        <v>#N/A</v>
      </c>
      <c r="Q98" s="99" t="str">
        <f t="shared" si="28"/>
        <v/>
      </c>
      <c r="R98" s="370" t="str">
        <f t="shared" si="19"/>
        <v>--</v>
      </c>
      <c r="S98" s="70"/>
      <c r="T98" s="752">
        <f>IDACI!C26</f>
        <v>21.9</v>
      </c>
      <c r="U98" s="122"/>
      <c r="V98" s="139"/>
      <c r="W98" s="152"/>
      <c r="X98" s="1099" t="str">
        <f t="shared" si="20"/>
        <v>Torbay</v>
      </c>
      <c r="Y98" s="1097">
        <f>IF(ISNUMBER(H98),IDACI!D26,0)</f>
        <v>0</v>
      </c>
      <c r="Z98" s="1098">
        <f>IF(ISNUMBER(I98),IDACI!E26,0)</f>
        <v>0</v>
      </c>
      <c r="AA98" s="1105" t="str">
        <f>IF(ISNUMBER(D98),Population!P62,"")</f>
        <v/>
      </c>
      <c r="AB98" s="205" t="str">
        <f>IF(ISNUMBER(E98),Population!Q62,"")</f>
        <v/>
      </c>
      <c r="AC98" s="205" t="str">
        <f>IF(ISNUMBER(F98),Population!R62,"")</f>
        <v/>
      </c>
      <c r="AD98" s="205" t="str">
        <f>IF(ISNUMBER(G98),Population!S62,"")</f>
        <v/>
      </c>
      <c r="AE98" s="1106" t="str">
        <f>IF(ISNUMBER(H98),Population!T62,"")</f>
        <v/>
      </c>
      <c r="AG98" s="1100" t="s">
        <v>30</v>
      </c>
      <c r="AH98" s="231" t="str">
        <f t="shared" si="21"/>
        <v/>
      </c>
      <c r="AI98" s="206" t="e">
        <f t="shared" si="22"/>
        <v>#VALUE!</v>
      </c>
      <c r="AJ98" s="160"/>
      <c r="AK98" s="853" t="str">
        <f t="shared" si="23"/>
        <v>x</v>
      </c>
      <c r="AL98" s="853" t="str">
        <f t="shared" si="24"/>
        <v>x</v>
      </c>
      <c r="AM98" s="853" t="str">
        <f t="shared" si="25"/>
        <v>x</v>
      </c>
      <c r="AN98" s="853" t="str">
        <f t="shared" si="26"/>
        <v>x</v>
      </c>
      <c r="AO98" s="853" t="e">
        <f t="shared" si="29"/>
        <v>#DIV/0!</v>
      </c>
      <c r="AQ98" s="76"/>
      <c r="AR98" s="76"/>
      <c r="AS98" s="76"/>
      <c r="AT98" s="76"/>
      <c r="AU98" s="76"/>
      <c r="AV98" s="76"/>
      <c r="AW98" s="76"/>
    </row>
    <row r="99" spans="1:49" s="87" customFormat="1" ht="13.5" customHeight="1" x14ac:dyDescent="0.2">
      <c r="A99" s="488">
        <f>VLOOKUP(B99,Sheet1!$AQ$4:$AR$25,2,FALSE)</f>
        <v>0</v>
      </c>
      <c r="B99" s="93" t="str">
        <f>Sheet1!$K$22</f>
        <v>West Berkshire</v>
      </c>
      <c r="C99" s="85"/>
      <c r="D99" s="94" t="str">
        <f>IF(Year1_West_Berkshire Year1__electively_home_educated="","",Year1_West_Berkshire Year1__electively_home_educated)</f>
        <v/>
      </c>
      <c r="E99" s="100" t="str">
        <f>IF(Year2_West_Berkshire Year2__electively_home_educated="","",Year2_West_Berkshire Year2__electively_home_educated)</f>
        <v/>
      </c>
      <c r="F99" s="94" t="str">
        <f>IF(Year3_West_Berkshire Year3__electively_home_educated="","",Year3_West_Berkshire Year3__electively_home_educated)</f>
        <v/>
      </c>
      <c r="G99" s="94" t="str">
        <f>IF(Year4_West_Berkshire Year4__electively_home_educated="","",Year4_West_Berkshire Year4__electively_home_educated)</f>
        <v/>
      </c>
      <c r="H99" s="95" t="str">
        <f>IF(Year5_West_Berkshire Year5__electively_home_educated="","",Year5_West_Berkshire Year5__electively_home_educated)</f>
        <v/>
      </c>
      <c r="I99" s="1093" t="e">
        <f t="shared" si="27"/>
        <v>#DIV/0!</v>
      </c>
      <c r="J99" s="863" t="e">
        <f t="shared" si="18"/>
        <v>#DIV/0!</v>
      </c>
      <c r="K99" s="96"/>
      <c r="L99" s="97" t="e">
        <f>IF(ISNUMBER(D99),D99/Population!P63*10000,NA())</f>
        <v>#N/A</v>
      </c>
      <c r="M99" s="97" t="e">
        <f>IF(ISNUMBER(E99),E99/Population!Q63*10000,NA())</f>
        <v>#N/A</v>
      </c>
      <c r="N99" s="97" t="e">
        <f>IF(ISNUMBER(F99),F99/Population!R63*10000,NA())</f>
        <v>#N/A</v>
      </c>
      <c r="O99" s="97" t="e">
        <f>IF(ISNUMBER(G99),G99/Population!S63*10000,NA())</f>
        <v>#N/A</v>
      </c>
      <c r="P99" s="98" t="e">
        <f>IF(ISNUMBER(H99),H99/Population!T63*10000,NA())</f>
        <v>#N/A</v>
      </c>
      <c r="Q99" s="99" t="str">
        <f t="shared" si="28"/>
        <v/>
      </c>
      <c r="R99" s="934" t="e">
        <f t="shared" si="19"/>
        <v>#N/A</v>
      </c>
      <c r="S99" s="70"/>
      <c r="T99" s="752">
        <f>IDACI!C27</f>
        <v>8.6999999999999993</v>
      </c>
      <c r="U99" s="122"/>
      <c r="V99" s="139"/>
      <c r="W99" s="152"/>
      <c r="X99" s="1099" t="str">
        <f t="shared" si="20"/>
        <v>West Berkshire</v>
      </c>
      <c r="Y99" s="1097">
        <f>IF(ISNUMBER(H99),IDACI!D27,0)</f>
        <v>0</v>
      </c>
      <c r="Z99" s="1098">
        <f>IF(ISNUMBER(I99),IDACI!E27,0)</f>
        <v>0</v>
      </c>
      <c r="AA99" s="1105" t="str">
        <f>IF(ISNUMBER(D99),Population!P63,"")</f>
        <v/>
      </c>
      <c r="AB99" s="205" t="str">
        <f>IF(ISNUMBER(E99),Population!Q63,"")</f>
        <v/>
      </c>
      <c r="AC99" s="205" t="str">
        <f>IF(ISNUMBER(F99),Population!R63,"")</f>
        <v/>
      </c>
      <c r="AD99" s="205" t="str">
        <f>IF(ISNUMBER(G99),Population!S63,"")</f>
        <v/>
      </c>
      <c r="AE99" s="1106" t="str">
        <f>IF(ISNUMBER(H99),Population!T63,"")</f>
        <v/>
      </c>
      <c r="AG99" s="1100" t="s">
        <v>16</v>
      </c>
      <c r="AH99" s="231" t="str">
        <f t="shared" si="21"/>
        <v/>
      </c>
      <c r="AI99" s="206" t="e">
        <f t="shared" si="22"/>
        <v>#VALUE!</v>
      </c>
      <c r="AJ99" s="160"/>
      <c r="AK99" s="853" t="str">
        <f t="shared" si="23"/>
        <v>x</v>
      </c>
      <c r="AL99" s="853" t="str">
        <f t="shared" si="24"/>
        <v>x</v>
      </c>
      <c r="AM99" s="853" t="str">
        <f t="shared" si="25"/>
        <v>x</v>
      </c>
      <c r="AN99" s="853" t="str">
        <f t="shared" si="26"/>
        <v>x</v>
      </c>
      <c r="AO99" s="853" t="e">
        <f t="shared" si="29"/>
        <v>#DIV/0!</v>
      </c>
      <c r="AQ99" s="76"/>
      <c r="AR99" s="76"/>
      <c r="AS99" s="76"/>
      <c r="AT99" s="76"/>
      <c r="AU99" s="76"/>
      <c r="AV99" s="76"/>
      <c r="AW99" s="76"/>
    </row>
    <row r="100" spans="1:49" s="87" customFormat="1" ht="13.5" customHeight="1" x14ac:dyDescent="0.2">
      <c r="A100" s="488">
        <f>VLOOKUP(B100,Sheet1!$AQ$4:$AR$25,2,FALSE)</f>
        <v>0</v>
      </c>
      <c r="B100" s="93" t="str">
        <f>Sheet1!$K$23</f>
        <v>West Sussex</v>
      </c>
      <c r="C100" s="85"/>
      <c r="D100" s="94" t="str">
        <f>IF(Year1_West_Sussex Year1__electively_home_educated="","",Year1_West_Sussex Year1__electively_home_educated)</f>
        <v/>
      </c>
      <c r="E100" s="100" t="str">
        <f>IF(Year2_West_Sussex Year2__electively_home_educated="","",Year2_West_Sussex Year2__electively_home_educated)</f>
        <v/>
      </c>
      <c r="F100" s="94" t="str">
        <f>IF(Year3_West_Sussex Year3__electively_home_educated="","",Year3_West_Sussex Year3__electively_home_educated)</f>
        <v/>
      </c>
      <c r="G100" s="94" t="str">
        <f>IF(Year4_West_Sussex Year4__electively_home_educated="","",Year4_West_Sussex Year4__electively_home_educated)</f>
        <v/>
      </c>
      <c r="H100" s="95" t="str">
        <f>IF(Year5_West_Sussex Year5__electively_home_educated="","",Year5_West_Sussex Year5__electively_home_educated)</f>
        <v/>
      </c>
      <c r="I100" s="1093" t="e">
        <f t="shared" si="27"/>
        <v>#DIV/0!</v>
      </c>
      <c r="J100" s="863" t="e">
        <f t="shared" si="18"/>
        <v>#DIV/0!</v>
      </c>
      <c r="K100" s="96"/>
      <c r="L100" s="97" t="e">
        <f>IF(ISNUMBER(D100),D100/Population!P64*10000,NA())</f>
        <v>#N/A</v>
      </c>
      <c r="M100" s="97" t="e">
        <f>IF(ISNUMBER(E100),E100/Population!Q64*10000,NA())</f>
        <v>#N/A</v>
      </c>
      <c r="N100" s="97" t="e">
        <f>IF(ISNUMBER(F100),F100/Population!R64*10000,NA())</f>
        <v>#N/A</v>
      </c>
      <c r="O100" s="97" t="e">
        <f>IF(ISNUMBER(G100),G100/Population!S64*10000,NA())</f>
        <v>#N/A</v>
      </c>
      <c r="P100" s="98" t="e">
        <f>IF(ISNUMBER(H100),H100/Population!T64*10000,NA())</f>
        <v>#N/A</v>
      </c>
      <c r="Q100" s="99" t="str">
        <f t="shared" si="28"/>
        <v/>
      </c>
      <c r="R100" s="934" t="e">
        <f t="shared" si="19"/>
        <v>#N/A</v>
      </c>
      <c r="S100" s="70"/>
      <c r="T100" s="752">
        <f>IDACI!C28</f>
        <v>11</v>
      </c>
      <c r="U100" s="122"/>
      <c r="V100" s="139"/>
      <c r="W100" s="152"/>
      <c r="X100" s="1099" t="str">
        <f t="shared" si="20"/>
        <v>West Sussex</v>
      </c>
      <c r="Y100" s="1097">
        <f>IF(ISNUMBER(H100),IDACI!D28,0)</f>
        <v>0</v>
      </c>
      <c r="Z100" s="1098">
        <f>IF(ISNUMBER(I100),IDACI!E28,0)</f>
        <v>0</v>
      </c>
      <c r="AA100" s="1105" t="str">
        <f>IF(ISNUMBER(D100),Population!P64,"")</f>
        <v/>
      </c>
      <c r="AB100" s="205" t="str">
        <f>IF(ISNUMBER(E100),Population!Q64,"")</f>
        <v/>
      </c>
      <c r="AC100" s="205" t="str">
        <f>IF(ISNUMBER(F100),Population!R64,"")</f>
        <v/>
      </c>
      <c r="AD100" s="205" t="str">
        <f>IF(ISNUMBER(G100),Population!S64,"")</f>
        <v/>
      </c>
      <c r="AE100" s="1106" t="str">
        <f>IF(ISNUMBER(H100),Population!T64,"")</f>
        <v/>
      </c>
      <c r="AF100" s="202"/>
      <c r="AG100" s="202"/>
      <c r="AH100" s="190"/>
      <c r="AI100" s="202"/>
      <c r="AJ100" s="160"/>
      <c r="AK100" s="853" t="str">
        <f t="shared" si="23"/>
        <v>x</v>
      </c>
      <c r="AL100" s="853" t="str">
        <f t="shared" si="24"/>
        <v>x</v>
      </c>
      <c r="AM100" s="853" t="str">
        <f t="shared" si="25"/>
        <v>x</v>
      </c>
      <c r="AN100" s="853" t="str">
        <f t="shared" si="26"/>
        <v>x</v>
      </c>
      <c r="AO100" s="853" t="e">
        <f t="shared" si="29"/>
        <v>#DIV/0!</v>
      </c>
      <c r="AQ100" s="76"/>
      <c r="AR100" s="76"/>
      <c r="AS100" s="76"/>
      <c r="AT100" s="76"/>
      <c r="AU100" s="76"/>
      <c r="AV100" s="76"/>
      <c r="AW100" s="76"/>
    </row>
    <row r="101" spans="1:49" s="87" customFormat="1" ht="13.5" customHeight="1" x14ac:dyDescent="0.2">
      <c r="A101" s="488">
        <f>VLOOKUP(B101,Sheet1!$AQ$4:$AR$25,2,FALSE)</f>
        <v>0</v>
      </c>
      <c r="B101" s="93" t="str">
        <f>Sheet1!$K$24</f>
        <v>Windsor &amp; Maidenhead</v>
      </c>
      <c r="C101" s="85"/>
      <c r="D101" s="100" t="str">
        <f>IF(Year1_Windsor_Maidenhead Year1__electively_home_educated="","",Year1_Windsor_Maidenhead Year1__electively_home_educated)</f>
        <v/>
      </c>
      <c r="E101" s="94" t="str">
        <f>IF(Year2_Windsor_Maidenhead Year2__electively_home_educated="","",Year2_Windsor_Maidenhead Year2__electively_home_educated)</f>
        <v/>
      </c>
      <c r="F101" s="94" t="str">
        <f>IF(Year3_Windsor_Maidenhead Year3__electively_home_educated="","",Year3_Windsor_Maidenhead Year3__electively_home_educated)</f>
        <v/>
      </c>
      <c r="G101" s="94" t="str">
        <f>IF(Year4_Windsor_Maidenhead Year4__electively_home_educated="","",Year4_Windsor_Maidenhead Year4__electively_home_educated)</f>
        <v/>
      </c>
      <c r="H101" s="95" t="str">
        <f>IF(Year5_Windsor_Maidenhead Year5__electively_home_educated="","",Year5_Windsor_Maidenhead Year5__electively_home_educated)</f>
        <v/>
      </c>
      <c r="I101" s="1093" t="e">
        <f t="shared" si="27"/>
        <v>#DIV/0!</v>
      </c>
      <c r="J101" s="863" t="e">
        <f t="shared" si="18"/>
        <v>#DIV/0!</v>
      </c>
      <c r="K101" s="96"/>
      <c r="L101" s="97" t="e">
        <f>IF(ISNUMBER(D101),D101/Population!P65*10000,NA())</f>
        <v>#N/A</v>
      </c>
      <c r="M101" s="97" t="e">
        <f>IF(ISNUMBER(E101),E101/Population!Q65*10000,NA())</f>
        <v>#N/A</v>
      </c>
      <c r="N101" s="97" t="e">
        <f>IF(ISNUMBER(F101),F101/Population!R65*10000,NA())</f>
        <v>#N/A</v>
      </c>
      <c r="O101" s="97" t="e">
        <f>IF(ISNUMBER(G101),G101/Population!S65*10000,NA())</f>
        <v>#N/A</v>
      </c>
      <c r="P101" s="98" t="e">
        <f>IF(ISNUMBER(H101),H101/Population!T65*10000,NA())</f>
        <v>#N/A</v>
      </c>
      <c r="Q101" s="99" t="str">
        <f t="shared" si="28"/>
        <v/>
      </c>
      <c r="R101" s="934" t="e">
        <f t="shared" si="19"/>
        <v>#N/A</v>
      </c>
      <c r="S101" s="70"/>
      <c r="T101" s="752">
        <f>IDACI!C29</f>
        <v>6.7</v>
      </c>
      <c r="U101" s="122"/>
      <c r="V101" s="139"/>
      <c r="W101" s="152"/>
      <c r="X101" s="1099" t="str">
        <f t="shared" si="20"/>
        <v>Windsor &amp; Maidenhead</v>
      </c>
      <c r="Y101" s="1097">
        <f>IF(ISNUMBER(H101),IDACI!D29,0)</f>
        <v>0</v>
      </c>
      <c r="Z101" s="1098">
        <f>IF(ISNUMBER(I101),IDACI!E29,0)</f>
        <v>0</v>
      </c>
      <c r="AA101" s="1105" t="str">
        <f>IF(ISNUMBER(D101),Population!P65,"")</f>
        <v/>
      </c>
      <c r="AB101" s="205" t="str">
        <f>IF(ISNUMBER(E101),Population!Q65,"")</f>
        <v/>
      </c>
      <c r="AC101" s="205" t="str">
        <f>IF(ISNUMBER(F101),Population!R65,"")</f>
        <v/>
      </c>
      <c r="AD101" s="205" t="str">
        <f>IF(ISNUMBER(G101),Population!S65,"")</f>
        <v/>
      </c>
      <c r="AE101" s="1106" t="str">
        <f>IF(ISNUMBER(H101),Population!T65,"")</f>
        <v/>
      </c>
      <c r="AF101" s="202"/>
      <c r="AG101" s="202"/>
      <c r="AH101" s="190"/>
      <c r="AI101" s="202"/>
      <c r="AJ101" s="160"/>
      <c r="AK101" s="853" t="str">
        <f t="shared" si="23"/>
        <v>x</v>
      </c>
      <c r="AL101" s="853" t="str">
        <f t="shared" si="24"/>
        <v>x</v>
      </c>
      <c r="AM101" s="853" t="str">
        <f t="shared" si="25"/>
        <v>x</v>
      </c>
      <c r="AN101" s="853" t="str">
        <f t="shared" si="26"/>
        <v>x</v>
      </c>
      <c r="AO101" s="853" t="e">
        <f t="shared" si="29"/>
        <v>#DIV/0!</v>
      </c>
      <c r="AQ101" s="76"/>
      <c r="AR101" s="76"/>
      <c r="AS101" s="76"/>
      <c r="AT101" s="76"/>
      <c r="AU101" s="76"/>
      <c r="AV101" s="76"/>
      <c r="AW101" s="76"/>
    </row>
    <row r="102" spans="1:49" s="87" customFormat="1" ht="13.5" customHeight="1" x14ac:dyDescent="0.2">
      <c r="A102" s="488">
        <f>VLOOKUP(B102,Sheet1!$AQ$4:$AR$25,2,FALSE)</f>
        <v>0</v>
      </c>
      <c r="B102" s="93" t="str">
        <f>Sheet1!$K$25</f>
        <v>Wokingham</v>
      </c>
      <c r="C102" s="85"/>
      <c r="D102" s="100" t="str">
        <f>IF(Year1_Wokingham Year1__electively_home_educated="","",Year1_Wokingham Year1__electively_home_educated)</f>
        <v/>
      </c>
      <c r="E102" s="94" t="str">
        <f>IF(Year2_Wokingham Year2__electively_home_educated="","",Year2_Wokingham Year2__electively_home_educated)</f>
        <v/>
      </c>
      <c r="F102" s="94" t="str">
        <f>IF(Year3_Wokingham Year3__electively_home_educated="","",Year3_Wokingham Year3__electively_home_educated)</f>
        <v/>
      </c>
      <c r="G102" s="94" t="str">
        <f>IF(Year4_Wokingham Year4__electively_home_educated="","",Year4_Wokingham Year4__electively_home_educated)</f>
        <v/>
      </c>
      <c r="H102" s="95" t="str">
        <f>IF(Year5_Wokingham Year5__electively_home_educated="","",Year5_Wokingham Year5__electively_home_educated)</f>
        <v/>
      </c>
      <c r="I102" s="1093" t="e">
        <f t="shared" si="27"/>
        <v>#DIV/0!</v>
      </c>
      <c r="J102" s="863" t="e">
        <f t="shared" si="18"/>
        <v>#DIV/0!</v>
      </c>
      <c r="K102" s="96"/>
      <c r="L102" s="97" t="e">
        <f>IF(ISNUMBER(D102),D102/Population!P66*10000,NA())</f>
        <v>#N/A</v>
      </c>
      <c r="M102" s="97" t="e">
        <f>IF(ISNUMBER(E102),E102/Population!Q66*10000,NA())</f>
        <v>#N/A</v>
      </c>
      <c r="N102" s="97" t="e">
        <f>IF(ISNUMBER(F102),F102/Population!R66*10000,NA())</f>
        <v>#N/A</v>
      </c>
      <c r="O102" s="97" t="e">
        <f>IF(ISNUMBER(G102),G102/Population!S66*10000,NA())</f>
        <v>#N/A</v>
      </c>
      <c r="P102" s="98" t="e">
        <f>IF(ISNUMBER(H102),H102/Population!T66*10000,NA())</f>
        <v>#N/A</v>
      </c>
      <c r="Q102" s="99" t="str">
        <f t="shared" si="28"/>
        <v/>
      </c>
      <c r="R102" s="934" t="e">
        <f t="shared" si="19"/>
        <v>#N/A</v>
      </c>
      <c r="S102" s="70"/>
      <c r="T102" s="752">
        <f>IDACI!C30</f>
        <v>5.6000000000000005</v>
      </c>
      <c r="U102" s="122"/>
      <c r="V102" s="139"/>
      <c r="W102" s="152"/>
      <c r="X102" s="1099" t="str">
        <f t="shared" si="20"/>
        <v>Wokingham</v>
      </c>
      <c r="Y102" s="1097">
        <f>IF(ISNUMBER(H102),IDACI!D30,0)</f>
        <v>0</v>
      </c>
      <c r="Z102" s="1098">
        <f>IF(ISNUMBER(I102),IDACI!E30,0)</f>
        <v>0</v>
      </c>
      <c r="AA102" s="1105" t="str">
        <f>IF(ISNUMBER(D102),Population!P66,"")</f>
        <v/>
      </c>
      <c r="AB102" s="205" t="str">
        <f>IF(ISNUMBER(E102),Population!Q66,"")</f>
        <v/>
      </c>
      <c r="AC102" s="205" t="str">
        <f>IF(ISNUMBER(F102),Population!R66,"")</f>
        <v/>
      </c>
      <c r="AD102" s="205" t="str">
        <f>IF(ISNUMBER(G102),Population!S66,"")</f>
        <v/>
      </c>
      <c r="AE102" s="1106" t="str">
        <f>IF(ISNUMBER(H102),Population!T66,"")</f>
        <v/>
      </c>
      <c r="AF102" s="202"/>
      <c r="AG102" s="202"/>
      <c r="AH102" s="190"/>
      <c r="AI102" s="202"/>
      <c r="AJ102" s="160"/>
      <c r="AK102" s="853" t="str">
        <f t="shared" si="23"/>
        <v>x</v>
      </c>
      <c r="AL102" s="853" t="str">
        <f t="shared" si="24"/>
        <v>x</v>
      </c>
      <c r="AM102" s="853" t="str">
        <f t="shared" si="25"/>
        <v>x</v>
      </c>
      <c r="AN102" s="853" t="str">
        <f t="shared" si="26"/>
        <v>x</v>
      </c>
      <c r="AO102" s="853" t="e">
        <f t="shared" si="29"/>
        <v>#DIV/0!</v>
      </c>
      <c r="AQ102" s="76"/>
      <c r="AR102" s="76"/>
      <c r="AS102" s="76"/>
      <c r="AT102" s="76"/>
      <c r="AU102" s="76"/>
      <c r="AV102" s="76"/>
      <c r="AW102" s="76"/>
    </row>
    <row r="103" spans="1:49" s="87" customFormat="1" ht="13.5" customHeight="1" x14ac:dyDescent="0.2">
      <c r="A103" s="121"/>
      <c r="B103" s="129" t="str">
        <f>Sheet1!$K$26</f>
        <v>South East</v>
      </c>
      <c r="C103" s="85"/>
      <c r="D103" s="130" t="str">
        <f>IF(Year1_SouthEast Year1__electively_home_educated="","",Year1_SouthEast Year1__electively_home_educated)</f>
        <v/>
      </c>
      <c r="E103" s="130" t="str">
        <f>IF(Year2_SouthEast Year2__electively_home_educated="","",Year2_SouthEast Year2__electively_home_educated)</f>
        <v/>
      </c>
      <c r="F103" s="130" t="str">
        <f>IF(Year3_SouthEast Year3__electively_home_educated="","",Year3_SouthEast Year3__electively_home_educated)</f>
        <v/>
      </c>
      <c r="G103" s="130" t="str">
        <f>IF(Year4_SouthEast Year4__electively_home_educated="","",Year4_SouthEast Year4__electively_home_educated)</f>
        <v/>
      </c>
      <c r="H103" s="131" t="str">
        <f>IF(Year5_SouthEast Year5__electively_home_educated="","",Year5_SouthEast Year5__electively_home_educated)</f>
        <v/>
      </c>
      <c r="I103" s="862" t="e">
        <f t="shared" si="27"/>
        <v>#DIV/0!</v>
      </c>
      <c r="J103" s="863" t="e">
        <f t="shared" si="18"/>
        <v>#DIV/0!</v>
      </c>
      <c r="K103" s="96"/>
      <c r="L103" s="132" t="e">
        <f>IF(ISNUMBER(D103),D103/AA103*10000,NA())</f>
        <v>#N/A</v>
      </c>
      <c r="M103" s="132" t="e">
        <f t="shared" ref="M103:N103" si="30">IF(ISNUMBER(E103),E103/AB103*10000,NA())</f>
        <v>#N/A</v>
      </c>
      <c r="N103" s="132" t="e">
        <f t="shared" si="30"/>
        <v>#N/A</v>
      </c>
      <c r="O103" s="132" t="e">
        <f>IF(ISNUMBER(G103),G103/AD103*10000,NA())</f>
        <v>#N/A</v>
      </c>
      <c r="P103" s="132" t="e">
        <f t="shared" ref="P103" si="31">IF(ISNUMBER(H103),H103/AE103*10000,NA())</f>
        <v>#N/A</v>
      </c>
      <c r="Q103" s="99" t="str">
        <f t="shared" si="28"/>
        <v/>
      </c>
      <c r="R103" s="336" t="str">
        <f t="shared" si="19"/>
        <v>--</v>
      </c>
      <c r="S103" s="70"/>
      <c r="T103" s="753" t="e">
        <f>Z103/Y103*100</f>
        <v>#DIV/0!</v>
      </c>
      <c r="U103" s="122"/>
      <c r="V103" s="139"/>
      <c r="W103" s="152"/>
      <c r="X103" s="1099" t="str">
        <f t="shared" si="20"/>
        <v>South East</v>
      </c>
      <c r="Y103" s="1097">
        <f>SUM(Y95:Y96,Y81:Y93,Y99:Y102)</f>
        <v>0</v>
      </c>
      <c r="Z103" s="1098">
        <f>SUM(Z95:Z96,Z81:Z93,Z99:Z102)</f>
        <v>0</v>
      </c>
      <c r="AA103" s="1105" t="e">
        <f>IF(SUM(AA81:AA93,AA95:AA96,AA99:AA102)&gt;0,SUM(AA81:AA93,AA95:AA96,AA99:AA102),NA())</f>
        <v>#N/A</v>
      </c>
      <c r="AB103" s="1105" t="e">
        <f>IF(SUM(AB81:AB93,AB95:AB96,AB99:AB102)&gt;0,SUM(AB81:AB93,AB95:AB96,AB99:AB102),NA())</f>
        <v>#N/A</v>
      </c>
      <c r="AC103" s="205">
        <f t="shared" ref="AC103:AE103" si="32">SUM(AC81:AC93,AC95:AC96,AC99:AC102)</f>
        <v>0</v>
      </c>
      <c r="AD103" s="205">
        <f t="shared" si="32"/>
        <v>0</v>
      </c>
      <c r="AE103" s="1106">
        <f t="shared" si="32"/>
        <v>0</v>
      </c>
      <c r="AF103" s="202"/>
      <c r="AG103" s="202"/>
      <c r="AH103" s="190"/>
      <c r="AI103" s="202"/>
      <c r="AJ103" s="160"/>
      <c r="AK103" s="853" t="str">
        <f t="shared" si="23"/>
        <v>x</v>
      </c>
      <c r="AL103" s="853" t="str">
        <f t="shared" si="24"/>
        <v>x</v>
      </c>
      <c r="AM103" s="853" t="str">
        <f t="shared" si="25"/>
        <v>x</v>
      </c>
      <c r="AN103" s="853" t="str">
        <f t="shared" si="26"/>
        <v>x</v>
      </c>
      <c r="AO103" s="853" t="e">
        <f t="shared" si="29"/>
        <v>#DIV/0!</v>
      </c>
      <c r="AQ103" s="76"/>
      <c r="AR103" s="76"/>
      <c r="AS103" s="76"/>
      <c r="AT103" s="76"/>
      <c r="AU103" s="76"/>
      <c r="AV103" s="76"/>
      <c r="AW103" s="76"/>
    </row>
    <row r="104" spans="1:49" s="87" customFormat="1" ht="13.5" hidden="1" customHeight="1" x14ac:dyDescent="0.2">
      <c r="A104" s="292"/>
      <c r="B104" s="329" t="str">
        <f>Sheet1!$K$27</f>
        <v>England</v>
      </c>
      <c r="C104" s="85"/>
      <c r="D104" s="330" t="str">
        <f>IF(Year1_England Year1__electively_home_educated="","",Year1_England Year1__electively_home_educated)</f>
        <v/>
      </c>
      <c r="E104" s="330" t="str">
        <f>IF(Year2_England Year2__electively_home_educated="","",Year2_England Year2__electively_home_educated)</f>
        <v/>
      </c>
      <c r="F104" s="330" t="str">
        <f>IF(Year3_England Year3__electively_home_educated="","",Year3_England Year3__electively_home_educated)</f>
        <v/>
      </c>
      <c r="G104" s="330" t="str">
        <f>IF(Year4_England Year4__electively_home_educated="","",Year4_England Year4__electively_home_educated)</f>
        <v/>
      </c>
      <c r="H104" s="331" t="str">
        <f>IF(Year5_England Year5__electively_home_educated="","",Year5_England Year5__electively_home_educated)</f>
        <v/>
      </c>
      <c r="I104" s="331" t="e">
        <f t="shared" si="27"/>
        <v>#DIV/0!</v>
      </c>
      <c r="J104" s="358" t="str">
        <f t="shared" ref="J104" si="33">IF(ISNUMBER(H104),(H104-E104)/E104,"")</f>
        <v/>
      </c>
      <c r="K104" s="96"/>
      <c r="L104" s="332" t="e">
        <f>IF(ISNUMBER(D104),D104/Population!P68*10000,NA())</f>
        <v>#N/A</v>
      </c>
      <c r="M104" s="332" t="e">
        <f>IF(ISNUMBER(E104),E104/Population!Q68*10000,NA())</f>
        <v>#N/A</v>
      </c>
      <c r="N104" s="332" t="e">
        <f>IF(ISNUMBER(F104),F104/Population!R68*10000,NA())</f>
        <v>#N/A</v>
      </c>
      <c r="O104" s="332" t="e">
        <f>IF(ISNUMBER(G104),G104/Population!S68*10000,NA())</f>
        <v>#N/A</v>
      </c>
      <c r="P104" s="352" t="e">
        <f>IF(ISNUMBER(H104),H104/Population!T68*10000,NA())</f>
        <v>#N/A</v>
      </c>
      <c r="Q104" s="754"/>
      <c r="R104" s="337" t="str">
        <f t="shared" si="19"/>
        <v>--</v>
      </c>
      <c r="S104" s="70"/>
      <c r="T104" s="754">
        <f>IDACI!C32</f>
        <v>17.084413405029373</v>
      </c>
      <c r="U104" s="122"/>
      <c r="V104" s="139"/>
      <c r="W104" s="152"/>
      <c r="X104" s="1099" t="str">
        <f t="shared" si="20"/>
        <v>England</v>
      </c>
      <c r="Y104" s="1101"/>
      <c r="Z104" s="1102"/>
      <c r="AA104" s="1105" t="str">
        <f>IF(ISNUMBER(D104),Population!D33,"")</f>
        <v/>
      </c>
      <c r="AB104" s="205" t="str">
        <f>IF(ISNUMBER(E104),Population!E33,"")</f>
        <v/>
      </c>
      <c r="AC104" s="205" t="str">
        <f>IF(ISNUMBER(F104),Population!F33,"")</f>
        <v/>
      </c>
      <c r="AD104" s="205" t="str">
        <f>IF(ISNUMBER(G104),Population!G33,"")</f>
        <v/>
      </c>
      <c r="AE104" s="1106" t="str">
        <f>IF(ISNUMBER(H104),Population!H33,"")</f>
        <v/>
      </c>
      <c r="AF104" s="202"/>
      <c r="AG104" s="202"/>
      <c r="AH104" s="190"/>
      <c r="AI104" s="202"/>
      <c r="AJ104" s="160"/>
      <c r="AK104" s="853" t="str">
        <f t="shared" si="23"/>
        <v>x</v>
      </c>
      <c r="AL104" s="853" t="str">
        <f t="shared" si="24"/>
        <v>x</v>
      </c>
      <c r="AM104" s="853" t="str">
        <f t="shared" si="25"/>
        <v>x</v>
      </c>
      <c r="AN104" s="853" t="str">
        <f t="shared" si="26"/>
        <v>x</v>
      </c>
      <c r="AO104" s="853" t="e">
        <f>AVERAGE(AK104:AN104)</f>
        <v>#DIV/0!</v>
      </c>
      <c r="AQ104" s="76"/>
      <c r="AR104" s="76"/>
      <c r="AS104" s="76"/>
      <c r="AT104" s="76"/>
      <c r="AU104" s="76"/>
      <c r="AV104" s="76"/>
      <c r="AW104" s="76"/>
    </row>
    <row r="105" spans="1:49" s="81" customFormat="1" ht="13.5" customHeight="1" x14ac:dyDescent="0.2">
      <c r="A105" s="118"/>
      <c r="B105" s="123" t="s">
        <v>90</v>
      </c>
      <c r="C105" s="63"/>
      <c r="D105" s="63"/>
      <c r="E105" s="63"/>
      <c r="F105" s="63"/>
      <c r="G105" s="63"/>
      <c r="H105" s="63"/>
      <c r="I105" s="63"/>
      <c r="J105" s="63"/>
      <c r="K105" s="63"/>
      <c r="L105" s="63"/>
      <c r="M105" s="63"/>
      <c r="N105" s="63"/>
      <c r="O105" s="63"/>
      <c r="P105" s="63"/>
      <c r="Q105" s="63"/>
      <c r="R105" s="136" t="s">
        <v>108</v>
      </c>
      <c r="T105" s="63"/>
      <c r="U105" s="117"/>
      <c r="V105" s="137"/>
      <c r="W105" s="150"/>
      <c r="X105" s="80"/>
      <c r="Y105" s="184"/>
      <c r="Z105" s="184"/>
      <c r="AA105" s="184"/>
      <c r="AB105" s="184"/>
      <c r="AC105" s="184"/>
      <c r="AD105" s="184"/>
      <c r="AE105" s="184"/>
      <c r="AF105" s="184"/>
      <c r="AG105" s="184"/>
      <c r="AI105" s="184"/>
      <c r="AJ105" s="161"/>
    </row>
    <row r="106" spans="1:49" s="81" customFormat="1" ht="39.75" customHeight="1" x14ac:dyDescent="0.2">
      <c r="A106" s="118"/>
      <c r="B106" s="1990"/>
      <c r="C106" s="1991"/>
      <c r="D106" s="1991"/>
      <c r="E106" s="1991"/>
      <c r="F106" s="1991"/>
      <c r="G106" s="1991"/>
      <c r="H106" s="1991"/>
      <c r="I106" s="1991"/>
      <c r="J106" s="1991"/>
      <c r="K106" s="1991"/>
      <c r="L106" s="1991"/>
      <c r="M106" s="1991"/>
      <c r="N106" s="1991"/>
      <c r="O106" s="1991"/>
      <c r="P106" s="1991"/>
      <c r="Q106" s="1991"/>
      <c r="R106" s="1991"/>
      <c r="S106" s="1991"/>
      <c r="T106" s="1991"/>
      <c r="U106" s="117"/>
      <c r="V106" s="137"/>
      <c r="W106" s="150"/>
      <c r="X106" s="80"/>
      <c r="Y106" s="184"/>
      <c r="Z106" s="184"/>
      <c r="AA106" s="184"/>
      <c r="AB106" s="184"/>
      <c r="AC106" s="184"/>
      <c r="AD106" s="184"/>
      <c r="AE106" s="184"/>
      <c r="AF106" s="184"/>
      <c r="AG106" s="184"/>
      <c r="AI106" s="184"/>
      <c r="AJ106" s="157"/>
      <c r="AK106" s="74"/>
      <c r="AL106" s="74"/>
      <c r="AM106" s="74"/>
      <c r="AN106" s="74"/>
      <c r="AO106" s="74"/>
      <c r="AP106" s="74"/>
      <c r="AQ106" s="74"/>
    </row>
    <row r="107" spans="1:49" s="81" customFormat="1" ht="7.5" customHeight="1" x14ac:dyDescent="0.2">
      <c r="A107" s="118"/>
      <c r="B107" s="17"/>
      <c r="C107" s="17"/>
      <c r="D107" s="16"/>
      <c r="E107" s="16"/>
      <c r="F107" s="16"/>
      <c r="G107" s="16"/>
      <c r="H107" s="16"/>
      <c r="I107" s="16"/>
      <c r="J107" s="16"/>
      <c r="K107" s="12"/>
      <c r="L107" s="18"/>
      <c r="M107" s="18"/>
      <c r="N107" s="18"/>
      <c r="O107" s="18"/>
      <c r="P107" s="18"/>
      <c r="Q107" s="18"/>
      <c r="R107" s="18"/>
      <c r="S107" s="18"/>
      <c r="T107" s="18"/>
      <c r="U107" s="117"/>
      <c r="V107" s="137"/>
      <c r="W107" s="150"/>
      <c r="Y107" s="190"/>
      <c r="AI107" s="184"/>
      <c r="AJ107" s="157"/>
      <c r="AK107" s="74"/>
      <c r="AL107" s="74"/>
      <c r="AM107" s="74"/>
      <c r="AN107" s="74"/>
      <c r="AO107" s="74"/>
      <c r="AP107" s="74"/>
      <c r="AQ107" s="74"/>
    </row>
    <row r="108" spans="1:49" s="81" customFormat="1" ht="15" customHeight="1" x14ac:dyDescent="0.2">
      <c r="A108" s="1716"/>
      <c r="B108" s="1760"/>
      <c r="C108" s="1760"/>
      <c r="D108" s="1760"/>
      <c r="E108" s="1760"/>
      <c r="F108" s="1760"/>
      <c r="G108" s="1760"/>
      <c r="H108" s="1760"/>
      <c r="I108" s="1760"/>
      <c r="J108" s="1760"/>
      <c r="K108" s="1760"/>
      <c r="L108" s="1760"/>
      <c r="M108" s="1760"/>
      <c r="N108" s="1760"/>
      <c r="O108" s="1760"/>
      <c r="P108" s="1760"/>
      <c r="Q108" s="1760"/>
      <c r="R108" s="1760"/>
      <c r="S108" s="1760"/>
      <c r="T108" s="1760"/>
      <c r="U108" s="1761"/>
      <c r="V108" s="137"/>
      <c r="W108" s="150"/>
      <c r="Y108" s="190"/>
      <c r="AJ108" s="161"/>
      <c r="AL108" s="81">
        <f>COLUMNS($B$4:L$4)</f>
        <v>11</v>
      </c>
      <c r="AM108" s="81">
        <f>COLUMNS($B$4:M$4)</f>
        <v>12</v>
      </c>
      <c r="AN108" s="81">
        <f>COLUMNS($B$4:N$4)</f>
        <v>13</v>
      </c>
      <c r="AO108" s="81">
        <f>COLUMNS($B$4:O$4)</f>
        <v>14</v>
      </c>
      <c r="AP108" s="81">
        <f>COLUMNS($B$4:P$4)</f>
        <v>15</v>
      </c>
      <c r="AQ108" s="81">
        <f>COLUMNS($B$4:T$4)</f>
        <v>19</v>
      </c>
    </row>
    <row r="109" spans="1:49" s="81" customFormat="1" ht="11.25" customHeight="1" x14ac:dyDescent="0.2">
      <c r="A109" s="1765" t="str">
        <f>Home!$A$39</f>
        <v xml:space="preserve"> </v>
      </c>
      <c r="B109" s="1766"/>
      <c r="C109" s="1766"/>
      <c r="D109" s="1766"/>
      <c r="E109" s="1766"/>
      <c r="F109" s="1766"/>
      <c r="G109" s="1766"/>
      <c r="H109" s="1766"/>
      <c r="I109" s="1767"/>
      <c r="J109" s="1768"/>
      <c r="K109" s="1766"/>
      <c r="L109" s="1766"/>
      <c r="M109" s="1766"/>
      <c r="N109" s="1766"/>
      <c r="O109" s="1766"/>
      <c r="P109" s="1766"/>
      <c r="Q109" s="1768"/>
      <c r="R109" s="1766"/>
      <c r="S109" s="1766"/>
      <c r="T109" s="1766"/>
      <c r="U109" s="1769"/>
      <c r="V109" s="137"/>
      <c r="W109" s="150"/>
      <c r="Y109" s="190"/>
      <c r="AI109" s="184"/>
      <c r="AJ109" s="160"/>
      <c r="AK109" s="87"/>
      <c r="AL109" s="1793" t="s">
        <v>89</v>
      </c>
      <c r="AM109" s="1794"/>
      <c r="AN109" s="1794"/>
      <c r="AO109" s="1794"/>
      <c r="AP109" s="1795"/>
      <c r="AQ109" s="1992" t="s">
        <v>1213</v>
      </c>
    </row>
    <row r="110" spans="1:49" s="81" customFormat="1" ht="11.25" customHeight="1" x14ac:dyDescent="0.2">
      <c r="A110" s="112"/>
      <c r="B110" s="113"/>
      <c r="C110" s="113"/>
      <c r="D110" s="113"/>
      <c r="E110" s="113"/>
      <c r="F110" s="113"/>
      <c r="G110" s="113"/>
      <c r="H110" s="113"/>
      <c r="I110" s="113"/>
      <c r="J110" s="113"/>
      <c r="K110" s="114"/>
      <c r="L110" s="113"/>
      <c r="M110" s="113"/>
      <c r="N110" s="113"/>
      <c r="O110" s="113"/>
      <c r="P110" s="113"/>
      <c r="Q110" s="113"/>
      <c r="R110" s="113"/>
      <c r="S110" s="113"/>
      <c r="T110" s="113"/>
      <c r="U110" s="115"/>
      <c r="V110" s="137"/>
      <c r="W110" s="149"/>
      <c r="X110" s="1094"/>
      <c r="AA110" s="197"/>
      <c r="AB110" s="197"/>
      <c r="AI110" s="184"/>
      <c r="AJ110" s="160"/>
      <c r="AK110" s="87"/>
      <c r="AL110" s="758" t="str">
        <f>Sheet1!$D$27</f>
        <v>2015-16</v>
      </c>
      <c r="AM110" s="758" t="str">
        <f>Sheet1!$E$27</f>
        <v>2016-17</v>
      </c>
      <c r="AN110" s="758" t="str">
        <f>Sheet1!$F$27</f>
        <v>2017-18</v>
      </c>
      <c r="AO110" s="758" t="str">
        <f>Sheet1!$G$27</f>
        <v>2018-19</v>
      </c>
      <c r="AP110" s="758" t="str">
        <f>Sheet1!$H$27</f>
        <v>2019-20</v>
      </c>
      <c r="AQ110" s="1993"/>
    </row>
    <row r="111" spans="1:49" s="81" customFormat="1" ht="3.75" customHeight="1" x14ac:dyDescent="0.25">
      <c r="A111" s="116"/>
      <c r="B111" s="9"/>
      <c r="C111" s="9"/>
      <c r="D111" s="9"/>
      <c r="E111" s="9"/>
      <c r="F111" s="9"/>
      <c r="G111" s="9"/>
      <c r="H111" s="9"/>
      <c r="I111" s="9"/>
      <c r="J111" s="9"/>
      <c r="K111" s="12"/>
      <c r="L111" s="9"/>
      <c r="M111" s="9"/>
      <c r="N111" s="9"/>
      <c r="O111" s="9"/>
      <c r="P111" s="9"/>
      <c r="Q111" s="9"/>
      <c r="R111" s="9"/>
      <c r="S111" s="9"/>
      <c r="T111" s="9"/>
      <c r="U111" s="117"/>
      <c r="V111" s="137"/>
      <c r="W111" s="294"/>
      <c r="AC111" s="1320" t="s">
        <v>977</v>
      </c>
      <c r="AJ111" s="160"/>
      <c r="AK111" s="87"/>
      <c r="AL111" s="758" t="e">
        <f>Sheet1!$D$28</f>
        <v>#N/A</v>
      </c>
      <c r="AM111" s="758" t="e">
        <f>Sheet1!$E$28</f>
        <v>#N/A</v>
      </c>
      <c r="AN111" s="758" t="e">
        <f>Sheet1!$F$28</f>
        <v>#N/A</v>
      </c>
      <c r="AO111" s="758" t="e">
        <f>Sheet1!$G$28</f>
        <v>#N/A</v>
      </c>
      <c r="AP111" s="758" t="e">
        <f>Sheet1!$H$28</f>
        <v>#N/A</v>
      </c>
      <c r="AQ111" s="1994"/>
    </row>
    <row r="112" spans="1:49" s="81" customFormat="1" ht="14.25" customHeight="1" x14ac:dyDescent="0.2">
      <c r="A112" s="118"/>
      <c r="B112" s="9"/>
      <c r="C112" s="9"/>
      <c r="D112" s="9"/>
      <c r="E112" s="9"/>
      <c r="F112" s="9"/>
      <c r="G112" s="9"/>
      <c r="H112" s="9"/>
      <c r="I112" s="9"/>
      <c r="J112" s="9"/>
      <c r="K112" s="12"/>
      <c r="L112" s="9"/>
      <c r="M112" s="9"/>
      <c r="N112" s="9"/>
      <c r="O112" s="9"/>
      <c r="P112" s="9"/>
      <c r="Q112" s="9"/>
      <c r="R112" s="9"/>
      <c r="S112" s="9"/>
      <c r="T112" s="9"/>
      <c r="U112" s="117"/>
      <c r="V112" s="137"/>
      <c r="W112" s="294"/>
      <c r="X112" s="43" t="s">
        <v>72</v>
      </c>
      <c r="Y112" s="43" t="s">
        <v>70</v>
      </c>
      <c r="Z112" s="43" t="s">
        <v>71</v>
      </c>
      <c r="AA112" s="1194">
        <v>5</v>
      </c>
      <c r="AB112" s="216" t="e">
        <f>(AA112*Y113)+Z113</f>
        <v>#DIV/0!</v>
      </c>
      <c r="AC112" s="206" t="e">
        <f>ROUND(ChartLabels!$AA29,3)</f>
        <v>#DIV/0!</v>
      </c>
      <c r="AJ112" s="160"/>
      <c r="AK112" s="87" t="str">
        <f>IF(AI41=TRUE,B81,"")</f>
        <v>Bracknell Forest</v>
      </c>
      <c r="AL112" s="146" t="e">
        <f t="shared" ref="AL112:AP121" si="34">VLOOKUP($AK112,$B$81:$P$104,AL$108,FALSE)</f>
        <v>#N/A</v>
      </c>
      <c r="AM112" s="146" t="e">
        <f t="shared" si="34"/>
        <v>#N/A</v>
      </c>
      <c r="AN112" s="146" t="e">
        <f t="shared" si="34"/>
        <v>#N/A</v>
      </c>
      <c r="AO112" s="146" t="e">
        <f t="shared" si="34"/>
        <v>#N/A</v>
      </c>
      <c r="AP112" s="146" t="e">
        <f t="shared" si="34"/>
        <v>#N/A</v>
      </c>
      <c r="AQ112" s="147">
        <f t="shared" ref="AQ112:AQ135" si="35">VLOOKUP(AK112,$B$10:$T$33,$AQ$108,FALSE)</f>
        <v>8.9</v>
      </c>
    </row>
    <row r="113" spans="1:68" s="81" customFormat="1" ht="14.25" customHeight="1" x14ac:dyDescent="0.2">
      <c r="A113" s="118"/>
      <c r="B113" s="9"/>
      <c r="C113" s="9"/>
      <c r="D113" s="9"/>
      <c r="E113" s="9"/>
      <c r="F113" s="9"/>
      <c r="G113" s="9"/>
      <c r="H113" s="9"/>
      <c r="I113" s="9"/>
      <c r="J113" s="9"/>
      <c r="K113" s="12"/>
      <c r="L113" s="9"/>
      <c r="M113" s="9"/>
      <c r="N113" s="9"/>
      <c r="O113" s="9"/>
      <c r="P113" s="9"/>
      <c r="Q113" s="9"/>
      <c r="R113" s="9"/>
      <c r="S113" s="9"/>
      <c r="T113" s="9"/>
      <c r="U113" s="117"/>
      <c r="V113" s="137"/>
      <c r="W113" s="294"/>
      <c r="X113" s="212" t="e">
        <f>"Y= "&amp;Y113&amp;"x + "&amp;Z113</f>
        <v>#DIV/0!</v>
      </c>
      <c r="Y113" s="743" t="e">
        <f>ChartLabels!$Y29</f>
        <v>#DIV/0!</v>
      </c>
      <c r="Z113" s="743" t="e">
        <f>ChartLabels!$Z29</f>
        <v>#DIV/0!</v>
      </c>
      <c r="AA113" s="215">
        <v>35</v>
      </c>
      <c r="AB113" s="216" t="e">
        <f>(AA113*Y113)+Z113</f>
        <v>#DIV/0!</v>
      </c>
      <c r="AC113" s="1319" t="e">
        <f>AC111&amp;" = "&amp;AC112</f>
        <v>#DIV/0!</v>
      </c>
      <c r="AJ113" s="160"/>
      <c r="AK113" s="87" t="str">
        <f t="shared" ref="AK113:AK135" si="36">IF(AI42=TRUE,B82,"")</f>
        <v>Brighton &amp; Hove</v>
      </c>
      <c r="AL113" s="146" t="e">
        <f t="shared" si="34"/>
        <v>#N/A</v>
      </c>
      <c r="AM113" s="146" t="e">
        <f t="shared" si="34"/>
        <v>#N/A</v>
      </c>
      <c r="AN113" s="146" t="e">
        <f t="shared" si="34"/>
        <v>#N/A</v>
      </c>
      <c r="AO113" s="146" t="e">
        <f t="shared" si="34"/>
        <v>#N/A</v>
      </c>
      <c r="AP113" s="146" t="e">
        <f t="shared" si="34"/>
        <v>#N/A</v>
      </c>
      <c r="AQ113" s="147">
        <f t="shared" si="35"/>
        <v>15.299999999999999</v>
      </c>
      <c r="AR113" s="348"/>
      <c r="AS113" s="348"/>
      <c r="AT113" s="348"/>
      <c r="AU113" s="348"/>
      <c r="AV113" s="348"/>
      <c r="AW113" s="348"/>
      <c r="AX113" s="348"/>
      <c r="AY113" s="348"/>
      <c r="AZ113" s="348"/>
      <c r="BA113" s="348"/>
      <c r="BB113" s="348"/>
      <c r="BC113" s="348"/>
      <c r="BD113" s="348"/>
      <c r="BE113" s="348"/>
      <c r="BF113" s="348"/>
      <c r="BG113" s="348"/>
      <c r="BH113" s="348"/>
      <c r="BI113" s="348"/>
      <c r="BJ113" s="348"/>
      <c r="BK113" s="348"/>
      <c r="BL113" s="348"/>
      <c r="BM113" s="348"/>
      <c r="BN113" s="348"/>
      <c r="BO113" s="348"/>
      <c r="BP113" s="348"/>
    </row>
    <row r="114" spans="1:68" ht="14.25" customHeight="1" x14ac:dyDescent="0.2">
      <c r="A114" s="118"/>
      <c r="B114" s="9"/>
      <c r="C114" s="9"/>
      <c r="D114" s="9"/>
      <c r="E114" s="9"/>
      <c r="F114" s="9"/>
      <c r="G114" s="9"/>
      <c r="H114" s="9"/>
      <c r="I114" s="9"/>
      <c r="J114" s="9"/>
      <c r="K114" s="12"/>
      <c r="L114" s="9"/>
      <c r="M114" s="9"/>
      <c r="N114" s="9"/>
      <c r="O114" s="9"/>
      <c r="P114" s="9"/>
      <c r="Q114" s="9"/>
      <c r="R114" s="9"/>
      <c r="S114" s="9"/>
      <c r="T114" s="9"/>
      <c r="U114" s="117"/>
      <c r="V114" s="137"/>
      <c r="W114" s="294"/>
      <c r="X114" s="1330"/>
      <c r="Y114" s="1331"/>
      <c r="Z114" s="1332"/>
      <c r="AA114" s="1333"/>
      <c r="AB114" s="1334"/>
      <c r="AC114" s="1335"/>
      <c r="AI114" s="81"/>
      <c r="AJ114" s="160"/>
      <c r="AK114" s="87" t="str">
        <f t="shared" si="36"/>
        <v>Buckinghamshire</v>
      </c>
      <c r="AL114" s="146" t="e">
        <f t="shared" si="34"/>
        <v>#N/A</v>
      </c>
      <c r="AM114" s="146" t="e">
        <f t="shared" si="34"/>
        <v>#N/A</v>
      </c>
      <c r="AN114" s="146" t="e">
        <f t="shared" si="34"/>
        <v>#N/A</v>
      </c>
      <c r="AO114" s="146" t="e">
        <f t="shared" si="34"/>
        <v>#N/A</v>
      </c>
      <c r="AP114" s="146" t="e">
        <f t="shared" si="34"/>
        <v>#N/A</v>
      </c>
      <c r="AQ114" s="147">
        <f t="shared" si="35"/>
        <v>8.5</v>
      </c>
      <c r="AR114" s="348"/>
      <c r="AS114" s="348"/>
      <c r="AT114" s="348"/>
      <c r="AU114" s="348"/>
      <c r="AV114" s="348"/>
      <c r="AW114" s="348"/>
      <c r="AX114" s="348"/>
      <c r="AY114" s="348"/>
      <c r="AZ114" s="348"/>
      <c r="BA114" s="348"/>
      <c r="BB114" s="348"/>
      <c r="BC114" s="348"/>
      <c r="BD114" s="348"/>
      <c r="BE114" s="348"/>
      <c r="BF114" s="348"/>
      <c r="BG114" s="348"/>
      <c r="BH114" s="348"/>
      <c r="BI114" s="348"/>
      <c r="BJ114" s="348"/>
      <c r="BK114" s="348"/>
      <c r="BL114" s="348"/>
      <c r="BM114" s="348"/>
      <c r="BN114" s="348"/>
      <c r="BO114" s="348"/>
      <c r="BP114" s="348"/>
    </row>
    <row r="115" spans="1:68" ht="14.25" customHeight="1" x14ac:dyDescent="0.2">
      <c r="A115" s="118"/>
      <c r="B115" s="9"/>
      <c r="C115" s="9"/>
      <c r="D115" s="9"/>
      <c r="E115" s="9"/>
      <c r="F115" s="9"/>
      <c r="G115" s="9"/>
      <c r="H115" s="9"/>
      <c r="I115" s="9"/>
      <c r="J115" s="9"/>
      <c r="K115" s="12"/>
      <c r="L115" s="13"/>
      <c r="M115" s="13"/>
      <c r="N115" s="13"/>
      <c r="O115" s="13"/>
      <c r="P115" s="14"/>
      <c r="Q115" s="14"/>
      <c r="R115" s="14"/>
      <c r="S115" s="14"/>
      <c r="T115" s="14"/>
      <c r="U115" s="117"/>
      <c r="V115" s="137"/>
      <c r="W115" s="294"/>
      <c r="X115" s="812"/>
      <c r="Y115" s="1336"/>
      <c r="Z115" s="1337"/>
      <c r="AA115" s="813"/>
      <c r="AB115" s="814"/>
      <c r="AC115" s="1335"/>
      <c r="AI115" s="81"/>
      <c r="AJ115" s="160"/>
      <c r="AK115" s="87" t="str">
        <f t="shared" si="36"/>
        <v>East Sussex</v>
      </c>
      <c r="AL115" s="146" t="e">
        <f t="shared" si="34"/>
        <v>#N/A</v>
      </c>
      <c r="AM115" s="146" t="e">
        <f t="shared" si="34"/>
        <v>#N/A</v>
      </c>
      <c r="AN115" s="146" t="e">
        <f t="shared" si="34"/>
        <v>#N/A</v>
      </c>
      <c r="AO115" s="146" t="e">
        <f t="shared" si="34"/>
        <v>#N/A</v>
      </c>
      <c r="AP115" s="146" t="e">
        <f t="shared" si="34"/>
        <v>#N/A</v>
      </c>
      <c r="AQ115" s="147">
        <f t="shared" si="35"/>
        <v>16.100000000000001</v>
      </c>
      <c r="AR115" s="348"/>
      <c r="AS115" s="348"/>
      <c r="AT115" s="348"/>
      <c r="AU115" s="348"/>
      <c r="AV115" s="348"/>
      <c r="AW115" s="348"/>
      <c r="AX115" s="348"/>
      <c r="AY115" s="348"/>
      <c r="AZ115" s="348"/>
      <c r="BA115" s="348"/>
      <c r="BB115" s="348"/>
      <c r="BC115" s="348"/>
      <c r="BD115" s="348"/>
      <c r="BE115" s="348"/>
      <c r="BF115" s="348"/>
      <c r="BG115" s="348"/>
      <c r="BH115" s="348"/>
      <c r="BI115" s="348"/>
      <c r="BJ115" s="348"/>
      <c r="BK115" s="348"/>
      <c r="BL115" s="348"/>
      <c r="BM115" s="348"/>
      <c r="BN115" s="348"/>
      <c r="BO115" s="348"/>
      <c r="BP115" s="348"/>
    </row>
    <row r="116" spans="1:68" s="76" customFormat="1" ht="14.25" customHeight="1" x14ac:dyDescent="0.2">
      <c r="A116" s="119"/>
      <c r="B116" s="226"/>
      <c r="C116" s="226"/>
      <c r="D116" s="227"/>
      <c r="E116" s="227"/>
      <c r="F116" s="227"/>
      <c r="G116" s="227"/>
      <c r="H116" s="227"/>
      <c r="I116" s="227"/>
      <c r="J116" s="227"/>
      <c r="K116" s="15"/>
      <c r="L116" s="9"/>
      <c r="M116" s="9"/>
      <c r="N116" s="9"/>
      <c r="O116" s="9"/>
      <c r="P116" s="9"/>
      <c r="Q116" s="9"/>
      <c r="R116" s="9"/>
      <c r="S116" s="9"/>
      <c r="T116" s="9"/>
      <c r="U116" s="120"/>
      <c r="V116" s="138"/>
      <c r="W116" s="295"/>
      <c r="X116" s="641"/>
      <c r="AC116" s="81"/>
      <c r="AD116" s="81"/>
      <c r="AE116" s="81"/>
      <c r="AF116" s="81"/>
      <c r="AG116" s="81"/>
      <c r="AH116" s="81"/>
      <c r="AI116" s="81"/>
      <c r="AJ116" s="160"/>
      <c r="AK116" s="87" t="str">
        <f t="shared" si="36"/>
        <v>Hampshire</v>
      </c>
      <c r="AL116" s="146" t="e">
        <f t="shared" si="34"/>
        <v>#N/A</v>
      </c>
      <c r="AM116" s="146" t="e">
        <f t="shared" si="34"/>
        <v>#N/A</v>
      </c>
      <c r="AN116" s="146" t="e">
        <f t="shared" si="34"/>
        <v>#N/A</v>
      </c>
      <c r="AO116" s="146" t="e">
        <f t="shared" si="34"/>
        <v>#N/A</v>
      </c>
      <c r="AP116" s="146" t="e">
        <f t="shared" si="34"/>
        <v>#N/A</v>
      </c>
      <c r="AQ116" s="147">
        <f t="shared" si="35"/>
        <v>10.100000000000001</v>
      </c>
      <c r="AR116" s="348"/>
      <c r="AS116" s="348"/>
      <c r="AT116" s="348"/>
      <c r="AU116" s="348"/>
      <c r="AV116" s="348"/>
      <c r="AW116" s="348"/>
      <c r="AX116" s="348"/>
      <c r="AY116" s="348"/>
      <c r="AZ116" s="348"/>
      <c r="BA116" s="348"/>
      <c r="BB116" s="348"/>
      <c r="BC116" s="348"/>
      <c r="BD116" s="348"/>
      <c r="BE116" s="348"/>
      <c r="BF116" s="348"/>
      <c r="BG116" s="348"/>
      <c r="BH116" s="348"/>
      <c r="BI116" s="348"/>
      <c r="BJ116" s="348"/>
      <c r="BK116" s="348"/>
      <c r="BL116" s="348"/>
      <c r="BM116" s="348"/>
      <c r="BN116" s="348"/>
      <c r="BO116" s="348"/>
      <c r="BP116" s="348"/>
    </row>
    <row r="117" spans="1:68" ht="14.25" customHeight="1" x14ac:dyDescent="0.2">
      <c r="A117" s="118"/>
      <c r="B117" s="227"/>
      <c r="C117" s="227"/>
      <c r="D117" s="227"/>
      <c r="E117" s="227"/>
      <c r="F117" s="227"/>
      <c r="G117" s="227"/>
      <c r="H117" s="227"/>
      <c r="I117" s="227"/>
      <c r="J117" s="227"/>
      <c r="K117" s="12"/>
      <c r="L117" s="14"/>
      <c r="M117" s="14"/>
      <c r="N117" s="14"/>
      <c r="O117" s="14"/>
      <c r="P117" s="9"/>
      <c r="Q117" s="9"/>
      <c r="R117" s="9"/>
      <c r="S117" s="9"/>
      <c r="T117" s="9"/>
      <c r="U117" s="117"/>
      <c r="V117" s="137"/>
      <c r="W117" s="294"/>
      <c r="X117" s="641"/>
      <c r="AB117" s="74"/>
      <c r="AI117" s="81"/>
      <c r="AJ117" s="160"/>
      <c r="AK117" s="87" t="str">
        <f t="shared" si="36"/>
        <v>Isle of Wight</v>
      </c>
      <c r="AL117" s="146" t="e">
        <f t="shared" si="34"/>
        <v>#N/A</v>
      </c>
      <c r="AM117" s="146" t="e">
        <f t="shared" si="34"/>
        <v>#N/A</v>
      </c>
      <c r="AN117" s="146" t="e">
        <f t="shared" si="34"/>
        <v>#N/A</v>
      </c>
      <c r="AO117" s="146" t="e">
        <f t="shared" si="34"/>
        <v>#N/A</v>
      </c>
      <c r="AP117" s="146" t="e">
        <f t="shared" si="34"/>
        <v>#N/A</v>
      </c>
      <c r="AQ117" s="147">
        <f t="shared" si="35"/>
        <v>18</v>
      </c>
      <c r="AR117" s="348"/>
      <c r="AS117" s="348"/>
      <c r="AT117" s="348"/>
      <c r="AU117" s="348"/>
      <c r="AV117" s="348"/>
      <c r="AW117" s="348"/>
      <c r="AX117" s="348"/>
      <c r="AY117" s="348"/>
      <c r="AZ117" s="348"/>
      <c r="BA117" s="348"/>
      <c r="BB117" s="348"/>
      <c r="BC117" s="348"/>
      <c r="BD117" s="348"/>
      <c r="BE117" s="348"/>
      <c r="BF117" s="348"/>
      <c r="BG117" s="348"/>
      <c r="BH117" s="348"/>
      <c r="BI117" s="348"/>
      <c r="BJ117" s="348"/>
      <c r="BK117" s="348"/>
      <c r="BL117" s="348"/>
      <c r="BM117" s="348"/>
      <c r="BN117" s="348"/>
      <c r="BO117" s="348"/>
      <c r="BP117" s="348"/>
    </row>
    <row r="118" spans="1:68" ht="14.25" customHeight="1" x14ac:dyDescent="0.2">
      <c r="A118" s="118"/>
      <c r="B118" s="227"/>
      <c r="C118" s="227"/>
      <c r="D118" s="227"/>
      <c r="E118" s="227"/>
      <c r="F118" s="227"/>
      <c r="G118" s="227"/>
      <c r="H118" s="227"/>
      <c r="I118" s="227"/>
      <c r="J118" s="227"/>
      <c r="K118" s="12"/>
      <c r="L118" s="14"/>
      <c r="M118" s="14"/>
      <c r="N118" s="14"/>
      <c r="O118" s="14"/>
      <c r="P118" s="9"/>
      <c r="Q118" s="9"/>
      <c r="R118" s="9"/>
      <c r="S118" s="9"/>
      <c r="T118" s="9"/>
      <c r="U118" s="117"/>
      <c r="V118" s="137"/>
      <c r="W118" s="294"/>
      <c r="X118" s="641"/>
      <c r="AB118" s="74"/>
      <c r="AC118" s="207"/>
      <c r="AI118" s="81"/>
      <c r="AJ118" s="160"/>
      <c r="AK118" s="87" t="str">
        <f t="shared" si="36"/>
        <v>Kent</v>
      </c>
      <c r="AL118" s="146" t="e">
        <f t="shared" si="34"/>
        <v>#N/A</v>
      </c>
      <c r="AM118" s="146" t="e">
        <f t="shared" si="34"/>
        <v>#N/A</v>
      </c>
      <c r="AN118" s="146" t="e">
        <f t="shared" si="34"/>
        <v>#N/A</v>
      </c>
      <c r="AO118" s="146" t="e">
        <f t="shared" si="34"/>
        <v>#N/A</v>
      </c>
      <c r="AP118" s="146" t="e">
        <f t="shared" si="34"/>
        <v>#N/A</v>
      </c>
      <c r="AQ118" s="147">
        <f t="shared" si="35"/>
        <v>15.8</v>
      </c>
      <c r="AR118" s="348"/>
      <c r="AS118" s="348"/>
      <c r="AT118" s="348"/>
      <c r="AU118" s="348"/>
      <c r="AV118" s="348"/>
      <c r="AW118" s="348"/>
      <c r="AX118" s="348"/>
      <c r="AY118" s="348"/>
      <c r="AZ118" s="348"/>
      <c r="BA118" s="348"/>
      <c r="BB118" s="348"/>
      <c r="BC118" s="348"/>
      <c r="BD118" s="348"/>
      <c r="BE118" s="348"/>
      <c r="BF118" s="348"/>
      <c r="BG118" s="348"/>
      <c r="BH118" s="348"/>
      <c r="BI118" s="348"/>
      <c r="BJ118" s="348"/>
      <c r="BK118" s="348"/>
      <c r="BL118" s="348"/>
      <c r="BM118" s="348"/>
      <c r="BN118" s="348"/>
      <c r="BO118" s="348"/>
      <c r="BP118" s="348"/>
    </row>
    <row r="119" spans="1:68" ht="14.25" customHeight="1" x14ac:dyDescent="0.2">
      <c r="A119" s="118"/>
      <c r="B119" s="58"/>
      <c r="C119" s="58"/>
      <c r="D119" s="58"/>
      <c r="E119" s="58"/>
      <c r="F119" s="58"/>
      <c r="G119" s="58"/>
      <c r="H119" s="58"/>
      <c r="I119" s="58"/>
      <c r="J119" s="58"/>
      <c r="K119" s="12"/>
      <c r="L119" s="14"/>
      <c r="M119" s="14"/>
      <c r="N119" s="14"/>
      <c r="O119" s="14"/>
      <c r="P119" s="9"/>
      <c r="Q119" s="9"/>
      <c r="R119" s="9"/>
      <c r="S119" s="9"/>
      <c r="T119" s="9"/>
      <c r="U119" s="117"/>
      <c r="V119" s="137"/>
      <c r="W119" s="294"/>
      <c r="X119" s="641"/>
      <c r="AB119" s="74"/>
      <c r="AC119" s="184"/>
      <c r="AI119" s="81"/>
      <c r="AJ119" s="160"/>
      <c r="AK119" s="87" t="str">
        <f t="shared" si="36"/>
        <v>Medway</v>
      </c>
      <c r="AL119" s="146" t="e">
        <f t="shared" si="34"/>
        <v>#N/A</v>
      </c>
      <c r="AM119" s="146" t="e">
        <f t="shared" si="34"/>
        <v>#N/A</v>
      </c>
      <c r="AN119" s="146" t="e">
        <f t="shared" si="34"/>
        <v>#N/A</v>
      </c>
      <c r="AO119" s="146" t="e">
        <f t="shared" si="34"/>
        <v>#N/A</v>
      </c>
      <c r="AP119" s="146" t="e">
        <f t="shared" si="34"/>
        <v>#N/A</v>
      </c>
      <c r="AQ119" s="147">
        <f t="shared" si="35"/>
        <v>18.899999999999999</v>
      </c>
      <c r="AR119" s="348"/>
      <c r="AS119" s="348"/>
      <c r="AT119" s="348"/>
      <c r="AU119" s="348"/>
      <c r="AV119" s="348"/>
      <c r="AW119" s="348"/>
      <c r="AX119" s="348"/>
      <c r="AY119" s="348"/>
      <c r="AZ119" s="348"/>
      <c r="BA119" s="348"/>
      <c r="BB119" s="348"/>
      <c r="BC119" s="348"/>
      <c r="BD119" s="348"/>
      <c r="BE119" s="348"/>
      <c r="BF119" s="348"/>
      <c r="BG119" s="348"/>
      <c r="BH119" s="348"/>
      <c r="BI119" s="348"/>
      <c r="BJ119" s="348"/>
      <c r="BK119" s="348"/>
      <c r="BL119" s="348"/>
      <c r="BM119" s="348"/>
      <c r="BN119" s="348"/>
      <c r="BO119" s="348"/>
      <c r="BP119" s="348"/>
    </row>
    <row r="120" spans="1:68" ht="14.25" customHeight="1" x14ac:dyDescent="0.2">
      <c r="A120" s="118"/>
      <c r="B120" s="58"/>
      <c r="C120" s="58"/>
      <c r="D120" s="69"/>
      <c r="E120" s="70"/>
      <c r="F120" s="69"/>
      <c r="G120" s="70"/>
      <c r="H120" s="70"/>
      <c r="I120" s="70"/>
      <c r="J120" s="70"/>
      <c r="K120" s="12"/>
      <c r="L120" s="14"/>
      <c r="M120" s="14"/>
      <c r="N120" s="14"/>
      <c r="O120" s="14"/>
      <c r="P120" s="9"/>
      <c r="Q120" s="9"/>
      <c r="R120" s="9"/>
      <c r="S120" s="9"/>
      <c r="T120" s="9"/>
      <c r="U120" s="117"/>
      <c r="V120" s="137"/>
      <c r="W120" s="294"/>
      <c r="X120" s="641"/>
      <c r="AB120" s="74"/>
      <c r="AI120" s="81"/>
      <c r="AJ120" s="160"/>
      <c r="AK120" s="87" t="str">
        <f t="shared" si="36"/>
        <v>Milton Keynes</v>
      </c>
      <c r="AL120" s="146" t="e">
        <f t="shared" si="34"/>
        <v>#N/A</v>
      </c>
      <c r="AM120" s="146" t="e">
        <f t="shared" si="34"/>
        <v>#N/A</v>
      </c>
      <c r="AN120" s="146" t="e">
        <f t="shared" si="34"/>
        <v>#N/A</v>
      </c>
      <c r="AO120" s="146" t="e">
        <f t="shared" si="34"/>
        <v>#N/A</v>
      </c>
      <c r="AP120" s="146" t="e">
        <f t="shared" si="34"/>
        <v>#N/A</v>
      </c>
      <c r="AQ120" s="147">
        <f t="shared" si="35"/>
        <v>15</v>
      </c>
      <c r="AR120" s="348"/>
      <c r="AS120" s="348"/>
      <c r="AT120" s="348"/>
      <c r="AU120" s="348"/>
      <c r="AV120" s="348"/>
      <c r="AW120" s="348"/>
      <c r="AX120" s="348"/>
      <c r="AY120" s="348"/>
      <c r="AZ120" s="348"/>
      <c r="BA120" s="348"/>
      <c r="BB120" s="348"/>
      <c r="BC120" s="348"/>
      <c r="BD120" s="348"/>
      <c r="BE120" s="348"/>
      <c r="BF120" s="348"/>
      <c r="BG120" s="348"/>
      <c r="BH120" s="348"/>
      <c r="BI120" s="348"/>
      <c r="BJ120" s="348"/>
      <c r="BK120" s="348"/>
      <c r="BL120" s="348"/>
      <c r="BM120" s="348"/>
      <c r="BN120" s="348"/>
      <c r="BO120" s="348"/>
      <c r="BP120" s="348"/>
    </row>
    <row r="121" spans="1:68" ht="14.25" customHeight="1" x14ac:dyDescent="0.2">
      <c r="A121" s="118"/>
      <c r="B121" s="58"/>
      <c r="C121" s="58"/>
      <c r="D121" s="61"/>
      <c r="E121" s="61"/>
      <c r="F121" s="61"/>
      <c r="G121" s="61"/>
      <c r="H121" s="61"/>
      <c r="I121" s="61"/>
      <c r="J121" s="61"/>
      <c r="K121" s="12"/>
      <c r="L121" s="14"/>
      <c r="M121" s="14"/>
      <c r="N121" s="14"/>
      <c r="O121" s="14"/>
      <c r="P121" s="9"/>
      <c r="Q121" s="9"/>
      <c r="R121" s="9"/>
      <c r="S121" s="9"/>
      <c r="T121" s="9"/>
      <c r="U121" s="117"/>
      <c r="V121" s="137"/>
      <c r="W121" s="294"/>
      <c r="X121" s="641"/>
      <c r="AB121" s="74"/>
      <c r="AI121" s="81"/>
      <c r="AJ121" s="160"/>
      <c r="AK121" s="87" t="str">
        <f t="shared" si="36"/>
        <v>Oxfordshire</v>
      </c>
      <c r="AL121" s="146" t="e">
        <f t="shared" si="34"/>
        <v>#N/A</v>
      </c>
      <c r="AM121" s="146" t="e">
        <f t="shared" si="34"/>
        <v>#N/A</v>
      </c>
      <c r="AN121" s="146" t="e">
        <f t="shared" si="34"/>
        <v>#N/A</v>
      </c>
      <c r="AO121" s="146" t="e">
        <f t="shared" si="34"/>
        <v>#N/A</v>
      </c>
      <c r="AP121" s="146" t="e">
        <f t="shared" si="34"/>
        <v>#N/A</v>
      </c>
      <c r="AQ121" s="147">
        <f t="shared" si="35"/>
        <v>10.100000000000001</v>
      </c>
      <c r="AR121" s="348"/>
      <c r="AS121" s="348"/>
      <c r="AT121" s="348"/>
      <c r="AU121" s="348"/>
      <c r="AV121" s="348"/>
      <c r="AW121" s="348"/>
      <c r="AX121" s="348"/>
      <c r="AY121" s="348"/>
      <c r="AZ121" s="348"/>
      <c r="BA121" s="348"/>
      <c r="BB121" s="348"/>
      <c r="BC121" s="348"/>
      <c r="BD121" s="348"/>
      <c r="BE121" s="348"/>
      <c r="BF121" s="348"/>
      <c r="BG121" s="348"/>
      <c r="BH121" s="348"/>
      <c r="BI121" s="348"/>
      <c r="BJ121" s="348"/>
      <c r="BK121" s="348"/>
      <c r="BL121" s="348"/>
      <c r="BM121" s="348"/>
      <c r="BN121" s="348"/>
      <c r="BO121" s="348"/>
      <c r="BP121" s="348"/>
    </row>
    <row r="122" spans="1:68" ht="14.25" customHeight="1" x14ac:dyDescent="0.2">
      <c r="A122" s="118"/>
      <c r="B122" s="421"/>
      <c r="C122" s="421"/>
      <c r="D122" s="58"/>
      <c r="E122" s="58"/>
      <c r="F122" s="58"/>
      <c r="G122" s="58"/>
      <c r="H122" s="58"/>
      <c r="I122" s="58"/>
      <c r="J122" s="58"/>
      <c r="K122" s="12"/>
      <c r="L122" s="14"/>
      <c r="M122" s="14"/>
      <c r="N122" s="14"/>
      <c r="O122" s="14"/>
      <c r="P122" s="9"/>
      <c r="Q122" s="9"/>
      <c r="R122" s="9"/>
      <c r="S122" s="9"/>
      <c r="T122" s="9"/>
      <c r="U122" s="117"/>
      <c r="V122" s="137"/>
      <c r="W122" s="294"/>
      <c r="X122" s="641"/>
      <c r="AB122" s="74"/>
      <c r="AI122" s="81"/>
      <c r="AJ122" s="160"/>
      <c r="AK122" s="87" t="str">
        <f t="shared" si="36"/>
        <v>Portsmouth</v>
      </c>
      <c r="AL122" s="146" t="e">
        <f t="shared" ref="AL122:AP135" si="37">VLOOKUP($AK122,$B$81:$P$104,AL$108,FALSE)</f>
        <v>#N/A</v>
      </c>
      <c r="AM122" s="146" t="e">
        <f t="shared" si="37"/>
        <v>#N/A</v>
      </c>
      <c r="AN122" s="146" t="e">
        <f t="shared" si="37"/>
        <v>#N/A</v>
      </c>
      <c r="AO122" s="146" t="e">
        <f t="shared" si="37"/>
        <v>#N/A</v>
      </c>
      <c r="AP122" s="146" t="e">
        <f t="shared" si="37"/>
        <v>#N/A</v>
      </c>
      <c r="AQ122" s="147">
        <f t="shared" si="35"/>
        <v>20.200000000000003</v>
      </c>
      <c r="AR122" s="348"/>
      <c r="AS122" s="348"/>
      <c r="AT122" s="348"/>
      <c r="AU122" s="348"/>
      <c r="AV122" s="348"/>
      <c r="AW122" s="348"/>
      <c r="AX122" s="348"/>
      <c r="AY122" s="348"/>
      <c r="AZ122" s="348"/>
      <c r="BA122" s="348"/>
      <c r="BB122" s="348"/>
      <c r="BC122" s="348"/>
      <c r="BD122" s="348"/>
      <c r="BE122" s="348"/>
      <c r="BF122" s="348"/>
      <c r="BG122" s="348"/>
      <c r="BH122" s="348"/>
      <c r="BI122" s="348"/>
      <c r="BJ122" s="348"/>
      <c r="BK122" s="348"/>
      <c r="BL122" s="348"/>
      <c r="BM122" s="348"/>
      <c r="BN122" s="348"/>
      <c r="BO122" s="348"/>
      <c r="BP122" s="348"/>
    </row>
    <row r="123" spans="1:68" ht="14.25" customHeight="1" x14ac:dyDescent="0.2">
      <c r="A123" s="118"/>
      <c r="B123" s="421"/>
      <c r="C123" s="421"/>
      <c r="D123" s="58"/>
      <c r="E123" s="58"/>
      <c r="F123" s="58"/>
      <c r="G123" s="58"/>
      <c r="H123" s="58"/>
      <c r="I123" s="58"/>
      <c r="J123" s="58"/>
      <c r="K123" s="12"/>
      <c r="L123" s="14"/>
      <c r="M123" s="14"/>
      <c r="N123" s="14"/>
      <c r="O123" s="14"/>
      <c r="P123" s="9"/>
      <c r="Q123" s="9"/>
      <c r="R123" s="9"/>
      <c r="S123" s="9"/>
      <c r="T123" s="9"/>
      <c r="U123" s="117"/>
      <c r="V123" s="137"/>
      <c r="W123" s="294"/>
      <c r="X123" s="641"/>
      <c r="AB123" s="74"/>
      <c r="AI123" s="81"/>
      <c r="AJ123" s="160"/>
      <c r="AK123" s="87" t="str">
        <f t="shared" si="36"/>
        <v>Reading</v>
      </c>
      <c r="AL123" s="146" t="e">
        <f t="shared" si="37"/>
        <v>#N/A</v>
      </c>
      <c r="AM123" s="146" t="e">
        <f t="shared" si="37"/>
        <v>#N/A</v>
      </c>
      <c r="AN123" s="146" t="e">
        <f t="shared" si="37"/>
        <v>#N/A</v>
      </c>
      <c r="AO123" s="146" t="e">
        <f t="shared" si="37"/>
        <v>#N/A</v>
      </c>
      <c r="AP123" s="146" t="e">
        <f t="shared" si="37"/>
        <v>#N/A</v>
      </c>
      <c r="AQ123" s="147">
        <f t="shared" si="35"/>
        <v>16</v>
      </c>
      <c r="AR123" s="348"/>
      <c r="AS123" s="348"/>
      <c r="AT123" s="348"/>
      <c r="AU123" s="348"/>
      <c r="AV123" s="348"/>
      <c r="AW123" s="348"/>
      <c r="AX123" s="348"/>
      <c r="AY123" s="348"/>
      <c r="AZ123" s="348"/>
      <c r="BA123" s="348"/>
      <c r="BB123" s="348"/>
      <c r="BC123" s="348"/>
      <c r="BD123" s="348"/>
      <c r="BE123" s="348"/>
      <c r="BF123" s="348"/>
      <c r="BG123" s="348"/>
      <c r="BH123" s="348"/>
      <c r="BI123" s="348"/>
      <c r="BJ123" s="348"/>
      <c r="BK123" s="348"/>
      <c r="BL123" s="348"/>
      <c r="BM123" s="348"/>
      <c r="BN123" s="348"/>
      <c r="BO123" s="348"/>
      <c r="BP123" s="348"/>
    </row>
    <row r="124" spans="1:68" ht="14.25" customHeight="1" x14ac:dyDescent="0.2">
      <c r="A124" s="118"/>
      <c r="B124" s="421"/>
      <c r="C124" s="421"/>
      <c r="D124" s="58"/>
      <c r="E124" s="58"/>
      <c r="F124" s="58"/>
      <c r="G124" s="58"/>
      <c r="H124" s="58"/>
      <c r="I124" s="58"/>
      <c r="J124" s="58"/>
      <c r="K124" s="12"/>
      <c r="L124" s="14"/>
      <c r="M124" s="14"/>
      <c r="N124" s="14"/>
      <c r="O124" s="14"/>
      <c r="P124" s="9"/>
      <c r="Q124" s="9"/>
      <c r="R124" s="9"/>
      <c r="S124" s="9"/>
      <c r="T124" s="9"/>
      <c r="U124" s="117"/>
      <c r="V124" s="137"/>
      <c r="W124" s="294"/>
      <c r="X124" s="641"/>
      <c r="AB124" s="74"/>
      <c r="AI124" s="81"/>
      <c r="AJ124" s="160"/>
      <c r="AK124" s="87" t="str">
        <f t="shared" si="36"/>
        <v>Slough</v>
      </c>
      <c r="AL124" s="146" t="e">
        <f t="shared" si="37"/>
        <v>#N/A</v>
      </c>
      <c r="AM124" s="146" t="e">
        <f t="shared" si="37"/>
        <v>#N/A</v>
      </c>
      <c r="AN124" s="146" t="e">
        <f t="shared" si="37"/>
        <v>#N/A</v>
      </c>
      <c r="AO124" s="146" t="e">
        <f t="shared" si="37"/>
        <v>#N/A</v>
      </c>
      <c r="AP124" s="146" t="e">
        <f t="shared" si="37"/>
        <v>#N/A</v>
      </c>
      <c r="AQ124" s="147">
        <f t="shared" si="35"/>
        <v>14.7</v>
      </c>
      <c r="AR124" s="348"/>
      <c r="AS124" s="348"/>
      <c r="AT124" s="348"/>
      <c r="AU124" s="348"/>
      <c r="AV124" s="348"/>
      <c r="AW124" s="348"/>
      <c r="AX124" s="348"/>
      <c r="AY124" s="348"/>
      <c r="AZ124" s="348"/>
      <c r="BA124" s="348"/>
      <c r="BB124" s="348"/>
      <c r="BC124" s="348"/>
      <c r="BD124" s="348"/>
      <c r="BE124" s="348"/>
      <c r="BF124" s="348"/>
      <c r="BG124" s="348"/>
      <c r="BH124" s="348"/>
      <c r="BI124" s="348"/>
      <c r="BJ124" s="348"/>
      <c r="BK124" s="348"/>
      <c r="BL124" s="348"/>
      <c r="BM124" s="348"/>
      <c r="BN124" s="348"/>
      <c r="BO124" s="348"/>
      <c r="BP124" s="348"/>
    </row>
    <row r="125" spans="1:68" ht="14.25" customHeight="1" x14ac:dyDescent="0.2">
      <c r="A125" s="118"/>
      <c r="B125" s="421"/>
      <c r="C125" s="421"/>
      <c r="D125" s="58"/>
      <c r="E125" s="58"/>
      <c r="F125" s="58"/>
      <c r="G125" s="58"/>
      <c r="H125" s="58"/>
      <c r="I125" s="58"/>
      <c r="J125" s="58"/>
      <c r="K125" s="12"/>
      <c r="L125" s="14"/>
      <c r="M125" s="14"/>
      <c r="N125" s="14"/>
      <c r="O125" s="14"/>
      <c r="P125" s="9"/>
      <c r="Q125" s="9"/>
      <c r="R125" s="9"/>
      <c r="S125" s="9"/>
      <c r="T125" s="9"/>
      <c r="U125" s="117"/>
      <c r="V125" s="137"/>
      <c r="W125" s="294"/>
      <c r="X125" s="641"/>
      <c r="AB125" s="74"/>
      <c r="AI125" s="81"/>
      <c r="AJ125" s="160"/>
      <c r="AK125" s="87" t="str">
        <f t="shared" si="36"/>
        <v>Somerset</v>
      </c>
      <c r="AL125" s="146" t="e">
        <f t="shared" si="37"/>
        <v>#N/A</v>
      </c>
      <c r="AM125" s="146" t="e">
        <f t="shared" si="37"/>
        <v>#N/A</v>
      </c>
      <c r="AN125" s="146" t="e">
        <f t="shared" si="37"/>
        <v>#N/A</v>
      </c>
      <c r="AO125" s="146" t="e">
        <f t="shared" si="37"/>
        <v>#N/A</v>
      </c>
      <c r="AP125" s="146" t="e">
        <f t="shared" si="37"/>
        <v>#N/A</v>
      </c>
      <c r="AQ125" s="147">
        <f t="shared" si="35"/>
        <v>13.600000000000001</v>
      </c>
      <c r="AR125" s="348"/>
      <c r="AS125" s="348"/>
      <c r="AT125" s="348"/>
      <c r="AU125" s="348"/>
      <c r="AV125" s="348"/>
      <c r="AW125" s="348"/>
      <c r="AX125" s="348"/>
      <c r="AY125" s="348"/>
      <c r="AZ125" s="348"/>
      <c r="BA125" s="348"/>
      <c r="BB125" s="348"/>
      <c r="BC125" s="348"/>
      <c r="BD125" s="348"/>
      <c r="BE125" s="348"/>
      <c r="BF125" s="348"/>
      <c r="BG125" s="348"/>
      <c r="BH125" s="348"/>
      <c r="BI125" s="348"/>
      <c r="BJ125" s="348"/>
      <c r="BK125" s="348"/>
      <c r="BL125" s="348"/>
      <c r="BM125" s="348"/>
      <c r="BN125" s="348"/>
      <c r="BO125" s="348"/>
      <c r="BP125" s="348"/>
    </row>
    <row r="126" spans="1:68" ht="14.25" customHeight="1" x14ac:dyDescent="0.2">
      <c r="A126" s="118"/>
      <c r="B126" s="421"/>
      <c r="C126" s="421"/>
      <c r="D126" s="58"/>
      <c r="E126" s="58"/>
      <c r="F126" s="58"/>
      <c r="G126" s="58"/>
      <c r="H126" s="58"/>
      <c r="I126" s="58"/>
      <c r="J126" s="58"/>
      <c r="K126" s="12"/>
      <c r="L126" s="14"/>
      <c r="M126" s="14"/>
      <c r="N126" s="14"/>
      <c r="O126" s="14"/>
      <c r="P126" s="9"/>
      <c r="Q126" s="9"/>
      <c r="R126" s="9"/>
      <c r="S126" s="9"/>
      <c r="T126" s="9"/>
      <c r="U126" s="117"/>
      <c r="V126" s="137"/>
      <c r="W126" s="294"/>
      <c r="X126" s="641"/>
      <c r="AB126" s="74"/>
      <c r="AI126" s="81"/>
      <c r="AJ126" s="160"/>
      <c r="AK126" s="87" t="str">
        <f t="shared" si="36"/>
        <v>Southampton</v>
      </c>
      <c r="AL126" s="146" t="e">
        <f t="shared" si="37"/>
        <v>#N/A</v>
      </c>
      <c r="AM126" s="146" t="e">
        <f t="shared" si="37"/>
        <v>#N/A</v>
      </c>
      <c r="AN126" s="146" t="e">
        <f t="shared" si="37"/>
        <v>#N/A</v>
      </c>
      <c r="AO126" s="146" t="e">
        <f t="shared" si="37"/>
        <v>#N/A</v>
      </c>
      <c r="AP126" s="146" t="e">
        <f t="shared" si="37"/>
        <v>#N/A</v>
      </c>
      <c r="AQ126" s="147">
        <f t="shared" si="35"/>
        <v>20.5</v>
      </c>
      <c r="AR126" s="348"/>
      <c r="AS126" s="348"/>
      <c r="AT126" s="348"/>
      <c r="AU126" s="348"/>
      <c r="AV126" s="348"/>
      <c r="AW126" s="348"/>
      <c r="AX126" s="348"/>
      <c r="AY126" s="348"/>
      <c r="AZ126" s="348"/>
      <c r="BA126" s="348"/>
      <c r="BB126" s="348"/>
      <c r="BC126" s="348"/>
      <c r="BD126" s="348"/>
      <c r="BE126" s="348"/>
      <c r="BF126" s="348"/>
      <c r="BG126" s="348"/>
      <c r="BH126" s="348"/>
      <c r="BI126" s="348"/>
      <c r="BJ126" s="348"/>
      <c r="BK126" s="348"/>
      <c r="BL126" s="348"/>
      <c r="BM126" s="348"/>
      <c r="BN126" s="348"/>
      <c r="BO126" s="348"/>
      <c r="BP126" s="348"/>
    </row>
    <row r="127" spans="1:68" ht="14.25" customHeight="1" x14ac:dyDescent="0.2">
      <c r="A127" s="118"/>
      <c r="B127" s="421"/>
      <c r="C127" s="421"/>
      <c r="D127" s="58"/>
      <c r="E127" s="58"/>
      <c r="F127" s="58"/>
      <c r="G127" s="58"/>
      <c r="H127" s="58"/>
      <c r="I127" s="58"/>
      <c r="J127" s="58"/>
      <c r="K127" s="12"/>
      <c r="L127" s="14"/>
      <c r="M127" s="14"/>
      <c r="N127" s="14"/>
      <c r="O127" s="14"/>
      <c r="P127" s="9"/>
      <c r="Q127" s="9"/>
      <c r="R127" s="9"/>
      <c r="S127" s="9"/>
      <c r="T127" s="9"/>
      <c r="U127" s="117"/>
      <c r="V127" s="137"/>
      <c r="W127" s="294"/>
      <c r="X127" s="641"/>
      <c r="AB127" s="74"/>
      <c r="AI127" s="81"/>
      <c r="AJ127" s="160"/>
      <c r="AK127" s="87" t="str">
        <f t="shared" si="36"/>
        <v>Surrey</v>
      </c>
      <c r="AL127" s="146" t="e">
        <f t="shared" si="37"/>
        <v>#N/A</v>
      </c>
      <c r="AM127" s="146" t="e">
        <f t="shared" si="37"/>
        <v>#N/A</v>
      </c>
      <c r="AN127" s="146" t="e">
        <f t="shared" si="37"/>
        <v>#N/A</v>
      </c>
      <c r="AO127" s="146" t="e">
        <f t="shared" si="37"/>
        <v>#N/A</v>
      </c>
      <c r="AP127" s="146" t="e">
        <f t="shared" si="37"/>
        <v>#N/A</v>
      </c>
      <c r="AQ127" s="147">
        <f t="shared" si="35"/>
        <v>8.3000000000000007</v>
      </c>
      <c r="AR127" s="348"/>
      <c r="AS127" s="348"/>
      <c r="AT127" s="348"/>
      <c r="AU127" s="348"/>
      <c r="AV127" s="348"/>
      <c r="AW127" s="348"/>
      <c r="AX127" s="348"/>
      <c r="AY127" s="348"/>
      <c r="AZ127" s="348"/>
      <c r="BA127" s="348"/>
      <c r="BB127" s="348"/>
      <c r="BC127" s="348"/>
      <c r="BD127" s="348"/>
      <c r="BE127" s="348"/>
      <c r="BF127" s="348"/>
      <c r="BG127" s="348"/>
      <c r="BH127" s="348"/>
      <c r="BI127" s="348"/>
      <c r="BJ127" s="348"/>
      <c r="BK127" s="348"/>
      <c r="BL127" s="348"/>
      <c r="BM127" s="348"/>
      <c r="BN127" s="348"/>
      <c r="BO127" s="348"/>
      <c r="BP127" s="348"/>
    </row>
    <row r="128" spans="1:68" ht="14.25" customHeight="1" x14ac:dyDescent="0.2">
      <c r="A128" s="278"/>
      <c r="B128" s="421"/>
      <c r="C128" s="421"/>
      <c r="D128" s="58"/>
      <c r="E128" s="58"/>
      <c r="F128" s="58"/>
      <c r="G128" s="58"/>
      <c r="H128" s="58"/>
      <c r="I128" s="58"/>
      <c r="J128" s="58"/>
      <c r="K128" s="12"/>
      <c r="L128" s="14"/>
      <c r="M128" s="14"/>
      <c r="N128" s="14"/>
      <c r="O128" s="14"/>
      <c r="P128" s="9"/>
      <c r="Q128" s="9"/>
      <c r="R128" s="9"/>
      <c r="S128" s="9"/>
      <c r="T128" s="9"/>
      <c r="U128" s="117"/>
      <c r="V128" s="137"/>
      <c r="W128" s="294"/>
      <c r="X128" s="641"/>
      <c r="AB128" s="74"/>
      <c r="AI128" s="81"/>
      <c r="AJ128" s="160"/>
      <c r="AK128" s="87" t="str">
        <f t="shared" si="36"/>
        <v>Swindon</v>
      </c>
      <c r="AL128" s="146" t="e">
        <f t="shared" si="37"/>
        <v>#N/A</v>
      </c>
      <c r="AM128" s="146" t="e">
        <f t="shared" si="37"/>
        <v>#N/A</v>
      </c>
      <c r="AN128" s="146" t="e">
        <f t="shared" si="37"/>
        <v>#N/A</v>
      </c>
      <c r="AO128" s="146" t="e">
        <f t="shared" si="37"/>
        <v>#N/A</v>
      </c>
      <c r="AP128" s="146" t="e">
        <f t="shared" si="37"/>
        <v>#N/A</v>
      </c>
      <c r="AQ128" s="147">
        <f t="shared" si="35"/>
        <v>14.899999999999999</v>
      </c>
      <c r="AR128" s="348"/>
      <c r="AS128" s="348"/>
      <c r="AT128" s="348"/>
      <c r="AU128" s="348"/>
      <c r="AV128" s="348"/>
      <c r="AW128" s="348"/>
      <c r="AX128" s="348"/>
      <c r="AY128" s="348"/>
      <c r="AZ128" s="348"/>
      <c r="BA128" s="348"/>
      <c r="BB128" s="348"/>
      <c r="BC128" s="348"/>
      <c r="BD128" s="348"/>
      <c r="BE128" s="348"/>
      <c r="BF128" s="348"/>
      <c r="BG128" s="348"/>
      <c r="BH128" s="348"/>
      <c r="BI128" s="348"/>
      <c r="BJ128" s="348"/>
      <c r="BK128" s="348"/>
      <c r="BL128" s="348"/>
      <c r="BM128" s="348"/>
      <c r="BN128" s="348"/>
      <c r="BO128" s="348"/>
      <c r="BP128" s="348"/>
    </row>
    <row r="129" spans="1:68" ht="14.25" customHeight="1" x14ac:dyDescent="0.2">
      <c r="A129" s="278"/>
      <c r="B129" s="421"/>
      <c r="C129" s="421"/>
      <c r="D129" s="58"/>
      <c r="E129" s="58"/>
      <c r="F129" s="58"/>
      <c r="G129" s="58"/>
      <c r="H129" s="58"/>
      <c r="I129" s="58"/>
      <c r="J129" s="58"/>
      <c r="K129" s="12"/>
      <c r="L129" s="14"/>
      <c r="M129" s="14"/>
      <c r="N129" s="14"/>
      <c r="O129" s="14"/>
      <c r="P129" s="9"/>
      <c r="Q129" s="9"/>
      <c r="R129" s="9"/>
      <c r="S129" s="9"/>
      <c r="T129" s="9"/>
      <c r="U129" s="117"/>
      <c r="V129" s="137"/>
      <c r="W129" s="294"/>
      <c r="X129" s="641"/>
      <c r="AB129" s="74"/>
      <c r="AI129" s="81"/>
      <c r="AJ129" s="160"/>
      <c r="AK129" s="87" t="str">
        <f t="shared" si="36"/>
        <v>Torbay</v>
      </c>
      <c r="AL129" s="146" t="e">
        <f t="shared" si="37"/>
        <v>#N/A</v>
      </c>
      <c r="AM129" s="146" t="e">
        <f t="shared" si="37"/>
        <v>#N/A</v>
      </c>
      <c r="AN129" s="146" t="e">
        <f t="shared" si="37"/>
        <v>#N/A</v>
      </c>
      <c r="AO129" s="146" t="e">
        <f t="shared" si="37"/>
        <v>#N/A</v>
      </c>
      <c r="AP129" s="146" t="e">
        <f t="shared" si="37"/>
        <v>#N/A</v>
      </c>
      <c r="AQ129" s="147">
        <f t="shared" si="35"/>
        <v>21.9</v>
      </c>
      <c r="AR129" s="348"/>
      <c r="AS129" s="348"/>
      <c r="AT129" s="348"/>
      <c r="AU129" s="348"/>
      <c r="AV129" s="348"/>
      <c r="AW129" s="348"/>
      <c r="AX129" s="348"/>
      <c r="AY129" s="348"/>
      <c r="AZ129" s="348"/>
      <c r="BA129" s="348"/>
      <c r="BB129" s="348"/>
      <c r="BC129" s="348"/>
      <c r="BD129" s="348"/>
      <c r="BE129" s="348"/>
      <c r="BF129" s="348"/>
      <c r="BG129" s="348"/>
      <c r="BH129" s="348"/>
      <c r="BI129" s="348"/>
      <c r="BJ129" s="348"/>
      <c r="BK129" s="348"/>
      <c r="BL129" s="348"/>
      <c r="BM129" s="348"/>
      <c r="BN129" s="348"/>
      <c r="BO129" s="348"/>
      <c r="BP129" s="348"/>
    </row>
    <row r="130" spans="1:68" ht="14.25" customHeight="1" x14ac:dyDescent="0.2">
      <c r="A130" s="118"/>
      <c r="B130" s="421"/>
      <c r="C130" s="421"/>
      <c r="D130" s="58"/>
      <c r="E130" s="58"/>
      <c r="F130" s="58"/>
      <c r="G130" s="58"/>
      <c r="H130" s="58"/>
      <c r="I130" s="58"/>
      <c r="J130" s="58"/>
      <c r="K130" s="12"/>
      <c r="L130" s="14"/>
      <c r="M130" s="14"/>
      <c r="N130" s="14"/>
      <c r="O130" s="14"/>
      <c r="P130" s="9"/>
      <c r="Q130" s="9"/>
      <c r="R130" s="9"/>
      <c r="S130" s="9"/>
      <c r="T130" s="9"/>
      <c r="U130" s="117"/>
      <c r="V130" s="137"/>
      <c r="W130" s="294"/>
      <c r="X130" s="641"/>
      <c r="AB130" s="74"/>
      <c r="AI130" s="81"/>
      <c r="AJ130" s="160"/>
      <c r="AK130" s="87" t="str">
        <f t="shared" si="36"/>
        <v>West Berkshire</v>
      </c>
      <c r="AL130" s="146" t="e">
        <f t="shared" si="37"/>
        <v>#N/A</v>
      </c>
      <c r="AM130" s="146" t="e">
        <f t="shared" si="37"/>
        <v>#N/A</v>
      </c>
      <c r="AN130" s="146" t="e">
        <f t="shared" si="37"/>
        <v>#N/A</v>
      </c>
      <c r="AO130" s="146" t="e">
        <f t="shared" si="37"/>
        <v>#N/A</v>
      </c>
      <c r="AP130" s="146" t="e">
        <f t="shared" si="37"/>
        <v>#N/A</v>
      </c>
      <c r="AQ130" s="147">
        <f t="shared" si="35"/>
        <v>8.6999999999999993</v>
      </c>
      <c r="AR130" s="348"/>
      <c r="AS130" s="348"/>
      <c r="AT130" s="348"/>
      <c r="AU130" s="348"/>
      <c r="AV130" s="348"/>
      <c r="AW130" s="348"/>
      <c r="AX130" s="348"/>
      <c r="AY130" s="348"/>
      <c r="AZ130" s="348"/>
      <c r="BA130" s="348"/>
      <c r="BB130" s="348"/>
      <c r="BC130" s="348"/>
      <c r="BD130" s="348"/>
      <c r="BE130" s="348"/>
      <c r="BF130" s="348"/>
      <c r="BG130" s="348"/>
      <c r="BH130" s="348"/>
      <c r="BI130" s="348"/>
      <c r="BJ130" s="348"/>
      <c r="BK130" s="348"/>
      <c r="BL130" s="348"/>
      <c r="BM130" s="348"/>
      <c r="BN130" s="348"/>
      <c r="BO130" s="348"/>
      <c r="BP130" s="348"/>
    </row>
    <row r="131" spans="1:68" ht="14.25" customHeight="1" x14ac:dyDescent="0.2">
      <c r="A131" s="118"/>
      <c r="B131" s="421"/>
      <c r="C131" s="421"/>
      <c r="D131" s="58"/>
      <c r="E131" s="58"/>
      <c r="F131" s="58"/>
      <c r="G131" s="58"/>
      <c r="H131" s="58"/>
      <c r="I131" s="58"/>
      <c r="J131" s="58"/>
      <c r="K131" s="12"/>
      <c r="L131" s="14"/>
      <c r="M131" s="14"/>
      <c r="N131" s="14"/>
      <c r="O131" s="14"/>
      <c r="P131" s="9"/>
      <c r="Q131" s="9"/>
      <c r="R131" s="9"/>
      <c r="S131" s="9"/>
      <c r="T131" s="9"/>
      <c r="U131" s="117"/>
      <c r="V131" s="137"/>
      <c r="W131" s="294"/>
      <c r="X131" s="641"/>
      <c r="AB131" s="74"/>
      <c r="AI131" s="81"/>
      <c r="AJ131" s="160"/>
      <c r="AK131" s="87" t="str">
        <f t="shared" si="36"/>
        <v>West Sussex</v>
      </c>
      <c r="AL131" s="146" t="e">
        <f t="shared" si="37"/>
        <v>#N/A</v>
      </c>
      <c r="AM131" s="146" t="e">
        <f t="shared" si="37"/>
        <v>#N/A</v>
      </c>
      <c r="AN131" s="146" t="e">
        <f t="shared" si="37"/>
        <v>#N/A</v>
      </c>
      <c r="AO131" s="146" t="e">
        <f t="shared" si="37"/>
        <v>#N/A</v>
      </c>
      <c r="AP131" s="146" t="e">
        <f t="shared" si="37"/>
        <v>#N/A</v>
      </c>
      <c r="AQ131" s="147">
        <f t="shared" si="35"/>
        <v>11</v>
      </c>
      <c r="AR131" s="348"/>
      <c r="AS131" s="348"/>
      <c r="AT131" s="348"/>
      <c r="AU131" s="348"/>
      <c r="AV131" s="348"/>
      <c r="AW131" s="348"/>
      <c r="AX131" s="348"/>
      <c r="AY131" s="348"/>
      <c r="AZ131" s="348"/>
      <c r="BA131" s="348"/>
      <c r="BB131" s="348"/>
      <c r="BC131" s="348"/>
      <c r="BD131" s="348"/>
      <c r="BE131" s="348"/>
      <c r="BF131" s="348"/>
      <c r="BG131" s="348"/>
      <c r="BH131" s="348"/>
      <c r="BI131" s="348"/>
      <c r="BJ131" s="348"/>
      <c r="BK131" s="348"/>
      <c r="BL131" s="348"/>
      <c r="BM131" s="348"/>
      <c r="BN131" s="348"/>
      <c r="BO131" s="348"/>
      <c r="BP131" s="348"/>
    </row>
    <row r="132" spans="1:68" s="81" customFormat="1" ht="14.25" customHeight="1" x14ac:dyDescent="0.2">
      <c r="A132" s="118"/>
      <c r="B132" s="421"/>
      <c r="C132" s="421"/>
      <c r="D132" s="58"/>
      <c r="E132" s="58"/>
      <c r="F132" s="58"/>
      <c r="G132" s="58"/>
      <c r="H132" s="58"/>
      <c r="I132" s="58"/>
      <c r="J132" s="58"/>
      <c r="K132" s="12"/>
      <c r="L132" s="14"/>
      <c r="M132" s="14"/>
      <c r="N132" s="14"/>
      <c r="O132" s="14"/>
      <c r="P132" s="9"/>
      <c r="Q132" s="9"/>
      <c r="R132" s="9"/>
      <c r="S132" s="9"/>
      <c r="T132" s="9"/>
      <c r="U132" s="117"/>
      <c r="V132" s="137"/>
      <c r="W132" s="294"/>
      <c r="X132" s="641"/>
      <c r="AJ132" s="160"/>
      <c r="AK132" s="87" t="str">
        <f t="shared" si="36"/>
        <v>Windsor &amp; Maidenhead</v>
      </c>
      <c r="AL132" s="146" t="e">
        <f t="shared" si="37"/>
        <v>#N/A</v>
      </c>
      <c r="AM132" s="146" t="e">
        <f t="shared" si="37"/>
        <v>#N/A</v>
      </c>
      <c r="AN132" s="146" t="e">
        <f t="shared" si="37"/>
        <v>#N/A</v>
      </c>
      <c r="AO132" s="146" t="e">
        <f t="shared" si="37"/>
        <v>#N/A</v>
      </c>
      <c r="AP132" s="146" t="e">
        <f t="shared" si="37"/>
        <v>#N/A</v>
      </c>
      <c r="AQ132" s="147">
        <f t="shared" si="35"/>
        <v>6.7</v>
      </c>
      <c r="AR132" s="348"/>
      <c r="AS132" s="348"/>
      <c r="AT132" s="348"/>
      <c r="AU132" s="348"/>
      <c r="AV132" s="348"/>
      <c r="AW132" s="348"/>
      <c r="AX132" s="348"/>
      <c r="AY132" s="348"/>
      <c r="AZ132" s="348"/>
      <c r="BA132" s="348"/>
      <c r="BB132" s="348"/>
      <c r="BC132" s="348"/>
      <c r="BD132" s="348"/>
      <c r="BE132" s="348"/>
      <c r="BF132" s="348"/>
      <c r="BG132" s="348"/>
      <c r="BH132" s="348"/>
      <c r="BI132" s="348"/>
      <c r="BJ132" s="348"/>
      <c r="BK132" s="348"/>
      <c r="BL132" s="348"/>
      <c r="BM132" s="348"/>
      <c r="BN132" s="348"/>
      <c r="BO132" s="348"/>
      <c r="BP132" s="348"/>
    </row>
    <row r="133" spans="1:68" s="81" customFormat="1" ht="14.25" customHeight="1" x14ac:dyDescent="0.2">
      <c r="A133" s="118"/>
      <c r="B133" s="421"/>
      <c r="C133" s="421"/>
      <c r="D133" s="58"/>
      <c r="E133" s="58"/>
      <c r="F133" s="58"/>
      <c r="G133" s="58"/>
      <c r="H133" s="58"/>
      <c r="I133" s="58"/>
      <c r="J133" s="58"/>
      <c r="K133" s="12"/>
      <c r="L133" s="14"/>
      <c r="M133" s="14"/>
      <c r="N133" s="14"/>
      <c r="O133" s="14"/>
      <c r="P133" s="9"/>
      <c r="Q133" s="9"/>
      <c r="R133" s="9"/>
      <c r="S133" s="9"/>
      <c r="T133" s="9"/>
      <c r="U133" s="117"/>
      <c r="V133" s="137"/>
      <c r="W133" s="294"/>
      <c r="X133" s="641"/>
      <c r="AJ133" s="160"/>
      <c r="AK133" s="87" t="str">
        <f t="shared" si="36"/>
        <v>Wokingham</v>
      </c>
      <c r="AL133" s="146" t="e">
        <f t="shared" si="37"/>
        <v>#N/A</v>
      </c>
      <c r="AM133" s="146" t="e">
        <f t="shared" si="37"/>
        <v>#N/A</v>
      </c>
      <c r="AN133" s="146" t="e">
        <f t="shared" si="37"/>
        <v>#N/A</v>
      </c>
      <c r="AO133" s="146" t="e">
        <f t="shared" si="37"/>
        <v>#N/A</v>
      </c>
      <c r="AP133" s="146" t="e">
        <f t="shared" si="37"/>
        <v>#N/A</v>
      </c>
      <c r="AQ133" s="147">
        <f t="shared" si="35"/>
        <v>5.6000000000000005</v>
      </c>
      <c r="AR133" s="348"/>
      <c r="AS133" s="348"/>
      <c r="AT133" s="348"/>
      <c r="AU133" s="348"/>
      <c r="AV133" s="348"/>
      <c r="AW133" s="348"/>
      <c r="AX133" s="348"/>
      <c r="AY133" s="348"/>
      <c r="AZ133" s="348"/>
      <c r="BA133" s="348"/>
      <c r="BB133" s="348"/>
      <c r="BC133" s="348"/>
      <c r="BD133" s="348"/>
      <c r="BE133" s="348"/>
      <c r="BF133" s="348"/>
      <c r="BG133" s="348"/>
      <c r="BH133" s="348"/>
      <c r="BI133" s="348"/>
      <c r="BJ133" s="348"/>
      <c r="BK133" s="348"/>
      <c r="BL133" s="348"/>
      <c r="BM133" s="348"/>
      <c r="BN133" s="348"/>
      <c r="BO133" s="348"/>
      <c r="BP133" s="348"/>
    </row>
    <row r="134" spans="1:68" s="81" customFormat="1" ht="14.25" customHeight="1" x14ac:dyDescent="0.2">
      <c r="A134" s="118"/>
      <c r="B134" s="421"/>
      <c r="C134" s="421"/>
      <c r="D134" s="58"/>
      <c r="E134" s="58"/>
      <c r="F134" s="58"/>
      <c r="G134" s="58"/>
      <c r="H134" s="58"/>
      <c r="I134" s="58"/>
      <c r="J134" s="58"/>
      <c r="K134" s="12"/>
      <c r="L134" s="14"/>
      <c r="M134" s="14"/>
      <c r="N134" s="14"/>
      <c r="O134" s="14"/>
      <c r="P134" s="9"/>
      <c r="Q134" s="9"/>
      <c r="R134" s="9"/>
      <c r="S134" s="9"/>
      <c r="T134" s="9"/>
      <c r="U134" s="117"/>
      <c r="V134" s="137"/>
      <c r="W134" s="294"/>
      <c r="X134" s="641"/>
      <c r="AJ134" s="160"/>
      <c r="AK134" s="87" t="str">
        <f t="shared" si="36"/>
        <v>South East</v>
      </c>
      <c r="AL134" s="146" t="e">
        <f>VLOOKUP($AK134,$B$81:$P$104,AL$108,FALSE)</f>
        <v>#N/A</v>
      </c>
      <c r="AM134" s="146" t="e">
        <f t="shared" si="37"/>
        <v>#N/A</v>
      </c>
      <c r="AN134" s="146" t="e">
        <f t="shared" si="37"/>
        <v>#N/A</v>
      </c>
      <c r="AO134" s="146" t="e">
        <f t="shared" si="37"/>
        <v>#N/A</v>
      </c>
      <c r="AP134" s="146" t="e">
        <f t="shared" si="37"/>
        <v>#N/A</v>
      </c>
      <c r="AQ134" s="147" t="e">
        <f t="shared" si="35"/>
        <v>#DIV/0!</v>
      </c>
      <c r="AR134" s="348"/>
      <c r="AS134" s="348"/>
      <c r="AT134" s="348"/>
      <c r="AU134" s="348"/>
      <c r="AV134" s="348"/>
      <c r="AW134" s="348"/>
      <c r="AX134" s="348"/>
      <c r="AY134" s="348"/>
      <c r="AZ134" s="348"/>
      <c r="BA134" s="348"/>
      <c r="BB134" s="348"/>
      <c r="BC134" s="348"/>
      <c r="BD134" s="348"/>
      <c r="BE134" s="348"/>
      <c r="BF134" s="348"/>
      <c r="BG134" s="348"/>
      <c r="BH134" s="348"/>
      <c r="BI134" s="348"/>
      <c r="BJ134" s="348"/>
      <c r="BK134" s="348"/>
      <c r="BL134" s="348"/>
      <c r="BM134" s="348"/>
      <c r="BN134" s="348"/>
      <c r="BO134" s="348"/>
      <c r="BP134" s="348"/>
    </row>
    <row r="135" spans="1:68" s="81" customFormat="1" ht="14.25" customHeight="1" x14ac:dyDescent="0.2">
      <c r="A135" s="118"/>
      <c r="B135" s="421"/>
      <c r="C135" s="421"/>
      <c r="D135" s="58"/>
      <c r="E135" s="58"/>
      <c r="F135" s="58"/>
      <c r="G135" s="58"/>
      <c r="H135" s="58"/>
      <c r="I135" s="58"/>
      <c r="J135" s="58"/>
      <c r="K135" s="12"/>
      <c r="L135" s="110"/>
      <c r="M135" s="1750" t="s">
        <v>72</v>
      </c>
      <c r="N135" s="1750"/>
      <c r="O135" s="1750"/>
      <c r="P135" s="1011"/>
      <c r="Q135" s="1751" t="s">
        <v>100</v>
      </c>
      <c r="R135" s="1751"/>
      <c r="S135" s="1751"/>
      <c r="T135" s="1751"/>
      <c r="U135" s="117"/>
      <c r="V135" s="137"/>
      <c r="W135" s="294"/>
      <c r="AJ135" s="160"/>
      <c r="AK135" s="87" t="str">
        <f t="shared" si="36"/>
        <v>England</v>
      </c>
      <c r="AL135" s="146" t="e">
        <f t="shared" si="37"/>
        <v>#N/A</v>
      </c>
      <c r="AM135" s="146" t="e">
        <f t="shared" si="37"/>
        <v>#N/A</v>
      </c>
      <c r="AN135" s="146" t="e">
        <f t="shared" si="37"/>
        <v>#N/A</v>
      </c>
      <c r="AO135" s="146" t="e">
        <f t="shared" si="37"/>
        <v>#N/A</v>
      </c>
      <c r="AP135" s="146" t="e">
        <f t="shared" si="37"/>
        <v>#N/A</v>
      </c>
      <c r="AQ135" s="147">
        <f t="shared" si="35"/>
        <v>17.084413405029373</v>
      </c>
      <c r="AR135" s="348"/>
      <c r="AS135" s="348"/>
      <c r="AT135" s="348"/>
      <c r="AU135" s="348"/>
      <c r="AV135" s="348"/>
      <c r="AW135" s="348"/>
      <c r="AX135" s="348"/>
      <c r="AY135" s="348"/>
      <c r="AZ135" s="348"/>
      <c r="BA135" s="348"/>
      <c r="BB135" s="348"/>
      <c r="BC135" s="348"/>
      <c r="BD135" s="348"/>
      <c r="BE135" s="348"/>
      <c r="BF135" s="348"/>
      <c r="BG135" s="348"/>
      <c r="BH135" s="348"/>
      <c r="BI135" s="348"/>
      <c r="BJ135" s="348"/>
      <c r="BK135" s="348"/>
      <c r="BL135" s="348"/>
      <c r="BM135" s="348"/>
      <c r="BN135" s="348"/>
      <c r="BO135" s="348"/>
      <c r="BP135" s="348"/>
    </row>
    <row r="136" spans="1:68" s="81" customFormat="1" ht="14.25" customHeight="1" x14ac:dyDescent="0.2">
      <c r="A136" s="118"/>
      <c r="B136" s="421"/>
      <c r="C136" s="421"/>
      <c r="D136" s="58"/>
      <c r="E136" s="58"/>
      <c r="F136" s="58"/>
      <c r="G136" s="58"/>
      <c r="H136" s="58"/>
      <c r="I136" s="58"/>
      <c r="J136" s="58"/>
      <c r="K136" s="12"/>
      <c r="L136" s="111"/>
      <c r="M136" s="1751" t="str">
        <f>Z4</f>
        <v>Selected LA- (none)</v>
      </c>
      <c r="N136" s="1751"/>
      <c r="O136" s="1751"/>
      <c r="P136" s="1751"/>
      <c r="Q136" s="1751"/>
      <c r="R136" s="1751"/>
      <c r="S136" s="1751"/>
      <c r="T136" s="1751"/>
      <c r="U136" s="117"/>
      <c r="V136" s="137"/>
      <c r="W136" s="150"/>
      <c r="AJ136" s="161"/>
      <c r="AK136" s="74" t="str">
        <f>$Z$4</f>
        <v>Selected LA- (none)</v>
      </c>
      <c r="AL136" s="146" t="e">
        <f>VLOOKUP($Y4,$B$81:$P$104,AL$108,FALSE)</f>
        <v>#N/A</v>
      </c>
      <c r="AM136" s="146" t="e">
        <f>VLOOKUP($Y4,$B$81:$P$104,AM$108,FALSE)</f>
        <v>#N/A</v>
      </c>
      <c r="AN136" s="146" t="e">
        <f>VLOOKUP($Y4,$B$81:$P$104,AN$108,FALSE)</f>
        <v>#N/A</v>
      </c>
      <c r="AO136" s="146" t="e">
        <f>VLOOKUP($Y4,$B$81:$P$104,AO$108,FALSE)</f>
        <v>#N/A</v>
      </c>
      <c r="AP136" s="146" t="e">
        <f>VLOOKUP($Y4,$B$81:$P$104,AP$108,FALSE)</f>
        <v>#N/A</v>
      </c>
      <c r="AQ136" s="147" t="e">
        <f>VLOOKUP(Y4,$B$10:$T$32,$AQ$108,FALSE)</f>
        <v>#N/A</v>
      </c>
      <c r="AR136" s="171"/>
      <c r="AS136" s="171"/>
      <c r="AT136" s="171"/>
      <c r="AU136" s="171"/>
      <c r="AV136" s="171"/>
      <c r="AW136" s="171"/>
      <c r="AX136" s="171"/>
      <c r="AY136" s="171"/>
      <c r="AZ136" s="171"/>
      <c r="BA136" s="171"/>
      <c r="BB136" s="171"/>
      <c r="BC136" s="171"/>
      <c r="BD136" s="171"/>
      <c r="BE136" s="171"/>
      <c r="BF136" s="171"/>
      <c r="BG136" s="348"/>
      <c r="BH136" s="348"/>
      <c r="BI136" s="348"/>
      <c r="BJ136" s="348"/>
      <c r="BK136" s="348"/>
      <c r="BL136" s="348"/>
      <c r="BM136" s="348"/>
      <c r="BN136" s="348"/>
      <c r="BO136" s="348"/>
      <c r="BP136" s="348"/>
    </row>
    <row r="137" spans="1:68" s="81" customFormat="1" ht="42" customHeight="1" x14ac:dyDescent="0.2">
      <c r="A137" s="118"/>
      <c r="B137" s="421"/>
      <c r="C137" s="421"/>
      <c r="D137" s="58"/>
      <c r="E137" s="58"/>
      <c r="F137" s="58"/>
      <c r="G137" s="58"/>
      <c r="H137" s="58"/>
      <c r="I137" s="58"/>
      <c r="J137" s="58"/>
      <c r="K137" s="12"/>
      <c r="L137" s="9"/>
      <c r="M137" s="9"/>
      <c r="N137" s="9"/>
      <c r="O137" s="9"/>
      <c r="P137" s="9"/>
      <c r="Q137" s="9"/>
      <c r="R137" s="9"/>
      <c r="S137" s="9"/>
      <c r="T137" s="9"/>
      <c r="U137" s="117"/>
      <c r="V137" s="137"/>
      <c r="W137" s="150"/>
      <c r="AJ137" s="161"/>
    </row>
    <row r="138" spans="1:68" s="87" customFormat="1" ht="42" customHeight="1" x14ac:dyDescent="0.2">
      <c r="A138" s="121"/>
      <c r="B138" s="109"/>
      <c r="C138" s="109"/>
      <c r="D138" s="109"/>
      <c r="E138" s="109"/>
      <c r="F138" s="109"/>
      <c r="G138" s="109"/>
      <c r="H138" s="109"/>
      <c r="I138" s="109"/>
      <c r="J138" s="109"/>
      <c r="K138" s="96"/>
      <c r="L138" s="85"/>
      <c r="M138" s="85"/>
      <c r="N138" s="85"/>
      <c r="O138" s="85"/>
      <c r="P138" s="85"/>
      <c r="Q138" s="85"/>
      <c r="R138" s="85"/>
      <c r="S138" s="85"/>
      <c r="T138" s="85"/>
      <c r="U138" s="122"/>
      <c r="V138" s="139"/>
      <c r="W138" s="152"/>
      <c r="AD138" s="190"/>
      <c r="AE138" s="190"/>
      <c r="AF138" s="190"/>
      <c r="AG138" s="190"/>
      <c r="AH138" s="190"/>
      <c r="AI138" s="202"/>
      <c r="AJ138" s="160"/>
    </row>
    <row r="139" spans="1:68" s="87" customFormat="1" ht="42.75" customHeight="1" x14ac:dyDescent="0.2">
      <c r="A139" s="121"/>
      <c r="B139" s="109"/>
      <c r="C139" s="109"/>
      <c r="D139" s="109"/>
      <c r="E139" s="109"/>
      <c r="F139" s="109"/>
      <c r="G139" s="109"/>
      <c r="H139" s="109"/>
      <c r="I139" s="109"/>
      <c r="J139" s="109"/>
      <c r="K139" s="96"/>
      <c r="L139" s="85"/>
      <c r="M139" s="85"/>
      <c r="N139" s="85"/>
      <c r="O139" s="85"/>
      <c r="P139" s="85"/>
      <c r="Q139" s="85"/>
      <c r="R139" s="85"/>
      <c r="S139" s="85"/>
      <c r="T139" s="85"/>
      <c r="U139" s="122"/>
      <c r="V139" s="139"/>
      <c r="W139" s="152"/>
      <c r="AD139" s="190"/>
      <c r="AE139" s="190"/>
      <c r="AF139" s="190"/>
      <c r="AG139" s="190"/>
      <c r="AH139" s="190"/>
      <c r="AI139" s="202"/>
      <c r="AJ139" s="160"/>
    </row>
    <row r="140" spans="1:68" ht="7.5" customHeight="1" x14ac:dyDescent="0.2">
      <c r="A140" s="118"/>
      <c r="B140" s="17"/>
      <c r="C140" s="17"/>
      <c r="D140" s="16"/>
      <c r="E140" s="16"/>
      <c r="F140" s="16"/>
      <c r="G140" s="16"/>
      <c r="H140" s="16"/>
      <c r="I140" s="16"/>
      <c r="J140" s="16"/>
      <c r="K140" s="12"/>
      <c r="L140" s="18"/>
      <c r="M140" s="18"/>
      <c r="N140" s="18"/>
      <c r="O140" s="18"/>
      <c r="P140" s="18"/>
      <c r="Q140" s="18"/>
      <c r="R140" s="18"/>
      <c r="S140" s="18"/>
      <c r="T140" s="18"/>
      <c r="U140" s="117"/>
      <c r="V140" s="137"/>
      <c r="W140" s="150"/>
      <c r="AI140" s="184"/>
      <c r="AJ140" s="157"/>
    </row>
    <row r="141" spans="1:68" ht="15" customHeight="1" x14ac:dyDescent="0.2">
      <c r="A141" s="1716"/>
      <c r="B141" s="1760"/>
      <c r="C141" s="1760"/>
      <c r="D141" s="1760"/>
      <c r="E141" s="1760"/>
      <c r="F141" s="1760"/>
      <c r="G141" s="1760"/>
      <c r="H141" s="1760"/>
      <c r="I141" s="1760"/>
      <c r="J141" s="1760"/>
      <c r="K141" s="1760"/>
      <c r="L141" s="1760"/>
      <c r="M141" s="1760"/>
      <c r="N141" s="1760"/>
      <c r="O141" s="1760"/>
      <c r="P141" s="1760"/>
      <c r="Q141" s="1760"/>
      <c r="R141" s="1760"/>
      <c r="S141" s="1760"/>
      <c r="T141" s="1760"/>
      <c r="U141" s="1761"/>
      <c r="V141" s="137"/>
      <c r="W141" s="150"/>
      <c r="AI141" s="184"/>
      <c r="AJ141" s="157"/>
    </row>
    <row r="142" spans="1:68" ht="11.25" customHeight="1" x14ac:dyDescent="0.2">
      <c r="A142" s="1765" t="str">
        <f>Home!$A$39</f>
        <v xml:space="preserve"> </v>
      </c>
      <c r="B142" s="1766"/>
      <c r="C142" s="1766"/>
      <c r="D142" s="1766"/>
      <c r="E142" s="1766"/>
      <c r="F142" s="1766"/>
      <c r="G142" s="1766"/>
      <c r="H142" s="1766"/>
      <c r="I142" s="1767"/>
      <c r="J142" s="1768"/>
      <c r="K142" s="1766"/>
      <c r="L142" s="1766"/>
      <c r="M142" s="1766"/>
      <c r="N142" s="1766"/>
      <c r="O142" s="1766"/>
      <c r="P142" s="1766"/>
      <c r="Q142" s="1768"/>
      <c r="R142" s="1766"/>
      <c r="S142" s="1766"/>
      <c r="T142" s="1766"/>
      <c r="U142" s="1769"/>
      <c r="V142" s="137"/>
      <c r="W142" s="150"/>
      <c r="AI142" s="184"/>
      <c r="AJ142" s="157"/>
    </row>
    <row r="143" spans="1:68" ht="11.25" customHeight="1" x14ac:dyDescent="0.2">
      <c r="A143" s="142"/>
      <c r="B143" s="9"/>
      <c r="C143" s="9"/>
      <c r="D143" s="9"/>
      <c r="E143" s="9"/>
      <c r="F143" s="58"/>
      <c r="G143" s="58"/>
      <c r="H143" s="58"/>
      <c r="I143" s="58"/>
      <c r="J143" s="113"/>
      <c r="K143" s="114"/>
      <c r="L143" s="113"/>
      <c r="M143" s="113"/>
      <c r="N143" s="113"/>
      <c r="O143" s="113"/>
      <c r="P143" s="113"/>
      <c r="Q143" s="113"/>
      <c r="R143" s="113"/>
      <c r="S143" s="113"/>
      <c r="T143" s="113"/>
      <c r="U143" s="113"/>
      <c r="V143" s="137"/>
      <c r="W143" s="150"/>
      <c r="AE143" s="82"/>
      <c r="AH143" s="184"/>
      <c r="AI143" s="184"/>
      <c r="AJ143" s="157"/>
      <c r="AR143" s="81"/>
      <c r="AS143" s="81"/>
      <c r="AT143" s="81"/>
      <c r="AU143" s="81"/>
      <c r="AV143" s="81"/>
      <c r="AW143" s="81"/>
      <c r="AX143" s="81"/>
      <c r="AY143" s="81"/>
      <c r="AZ143" s="81"/>
      <c r="BA143" s="81"/>
      <c r="BB143" s="81"/>
      <c r="BC143" s="81"/>
      <c r="BD143" s="81"/>
      <c r="BE143" s="81"/>
      <c r="BF143" s="81"/>
    </row>
    <row r="144" spans="1:68" ht="11.25" customHeight="1" x14ac:dyDescent="0.2">
      <c r="A144" s="142"/>
      <c r="B144" s="9"/>
      <c r="C144" s="9"/>
      <c r="D144" s="9"/>
      <c r="E144" s="9"/>
      <c r="F144" s="58"/>
      <c r="G144" s="58"/>
      <c r="H144" s="58"/>
      <c r="I144" s="58"/>
      <c r="J144" s="9"/>
      <c r="K144" s="12"/>
      <c r="L144" s="9"/>
      <c r="M144" s="9"/>
      <c r="N144" s="9"/>
      <c r="O144" s="9"/>
      <c r="P144" s="9"/>
      <c r="Q144" s="9"/>
      <c r="R144" s="9"/>
      <c r="S144" s="9"/>
      <c r="T144" s="9"/>
      <c r="U144" s="9"/>
      <c r="V144" s="137"/>
      <c r="W144" s="150"/>
      <c r="AE144" s="82"/>
      <c r="AH144" s="184"/>
      <c r="AI144" s="184"/>
      <c r="AJ144" s="157"/>
      <c r="AL144" s="81"/>
      <c r="AM144" s="81"/>
      <c r="AN144" s="81"/>
      <c r="AO144" s="81"/>
      <c r="AP144" s="81"/>
      <c r="AQ144" s="81"/>
    </row>
    <row r="145" spans="1:43" ht="11.25" customHeight="1" x14ac:dyDescent="0.2">
      <c r="A145" s="142"/>
      <c r="B145" s="1685" t="s">
        <v>82</v>
      </c>
      <c r="C145" s="1685"/>
      <c r="D145" s="1685"/>
      <c r="E145" s="1685"/>
      <c r="F145" s="1685"/>
      <c r="G145" s="1685"/>
      <c r="H145" s="1685"/>
      <c r="I145" s="1685"/>
      <c r="J145" s="9"/>
      <c r="K145" s="12"/>
      <c r="L145" s="9"/>
      <c r="M145" s="9"/>
      <c r="N145" s="9"/>
      <c r="O145" s="9"/>
      <c r="P145" s="9"/>
      <c r="Q145" s="9"/>
      <c r="R145" s="9"/>
      <c r="S145" s="9"/>
      <c r="T145" s="9"/>
      <c r="U145" s="9"/>
      <c r="V145" s="137"/>
      <c r="W145" s="150"/>
      <c r="AE145" s="82"/>
      <c r="AH145" s="184"/>
      <c r="AI145" s="184"/>
      <c r="AJ145" s="157"/>
      <c r="AL145" s="81"/>
      <c r="AM145" s="81"/>
      <c r="AN145" s="81"/>
      <c r="AO145" s="81"/>
      <c r="AP145" s="81"/>
      <c r="AQ145" s="81"/>
    </row>
    <row r="146" spans="1:43" ht="11.25" customHeight="1" x14ac:dyDescent="0.2">
      <c r="A146" s="142"/>
      <c r="B146" s="1685"/>
      <c r="C146" s="1685"/>
      <c r="D146" s="1685"/>
      <c r="E146" s="1685"/>
      <c r="F146" s="1685"/>
      <c r="G146" s="1685"/>
      <c r="H146" s="1685"/>
      <c r="I146" s="1685"/>
      <c r="J146" s="9"/>
      <c r="K146" s="12"/>
      <c r="L146" s="9"/>
      <c r="M146" s="9"/>
      <c r="N146" s="9"/>
      <c r="O146" s="9"/>
      <c r="P146" s="9"/>
      <c r="Q146" s="9"/>
      <c r="R146" s="9"/>
      <c r="S146" s="9"/>
      <c r="T146" s="9"/>
      <c r="U146" s="9"/>
      <c r="V146" s="137"/>
      <c r="W146" s="150"/>
      <c r="AE146" s="82"/>
      <c r="AH146" s="184"/>
      <c r="AI146" s="184"/>
      <c r="AJ146" s="157"/>
    </row>
    <row r="147" spans="1:43" ht="11.25" customHeight="1" x14ac:dyDescent="0.2">
      <c r="A147" s="142"/>
      <c r="B147" s="1680" t="s">
        <v>800</v>
      </c>
      <c r="C147" s="1680"/>
      <c r="D147" s="1680"/>
      <c r="E147" s="1680"/>
      <c r="F147" s="1680"/>
      <c r="G147" s="1680"/>
      <c r="H147" s="1680"/>
      <c r="I147" s="1680"/>
      <c r="J147" s="9"/>
      <c r="K147" s="12"/>
      <c r="L147" s="9"/>
      <c r="M147" s="9"/>
      <c r="N147" s="9"/>
      <c r="O147" s="9"/>
      <c r="P147" s="9"/>
      <c r="Q147" s="9"/>
      <c r="R147" s="9"/>
      <c r="S147" s="9"/>
      <c r="T147" s="9"/>
      <c r="U147" s="9"/>
      <c r="V147" s="137"/>
      <c r="W147" s="150"/>
      <c r="AE147" s="82"/>
      <c r="AH147" s="184"/>
      <c r="AI147" s="184"/>
      <c r="AJ147" s="157"/>
    </row>
    <row r="148" spans="1:43" ht="11.25" customHeight="1" x14ac:dyDescent="0.2">
      <c r="A148" s="142"/>
      <c r="B148" s="1680"/>
      <c r="C148" s="1680"/>
      <c r="D148" s="1680"/>
      <c r="E148" s="1680"/>
      <c r="F148" s="1680"/>
      <c r="G148" s="1680"/>
      <c r="H148" s="1680"/>
      <c r="I148" s="1680"/>
      <c r="J148" s="9"/>
      <c r="K148" s="12"/>
      <c r="L148" s="9"/>
      <c r="M148" s="9"/>
      <c r="N148" s="9"/>
      <c r="O148" s="9"/>
      <c r="P148" s="9"/>
      <c r="Q148" s="9"/>
      <c r="R148" s="9"/>
      <c r="S148" s="9"/>
      <c r="T148" s="9"/>
      <c r="U148" s="9"/>
      <c r="V148" s="137"/>
      <c r="W148" s="150"/>
      <c r="AE148" s="82"/>
      <c r="AH148" s="188"/>
      <c r="AI148" s="188"/>
      <c r="AJ148" s="158"/>
    </row>
    <row r="149" spans="1:43" s="76" customFormat="1" ht="11.25" customHeight="1" x14ac:dyDescent="0.2">
      <c r="A149" s="142"/>
      <c r="B149" s="1680" t="s">
        <v>81</v>
      </c>
      <c r="C149" s="1680"/>
      <c r="D149" s="1680"/>
      <c r="E149" s="1680"/>
      <c r="F149" s="1680"/>
      <c r="G149" s="1680"/>
      <c r="H149" s="1680"/>
      <c r="I149" s="1680"/>
      <c r="J149" s="14"/>
      <c r="K149" s="14"/>
      <c r="L149" s="14"/>
      <c r="M149" s="14"/>
      <c r="N149" s="14"/>
      <c r="O149" s="14"/>
      <c r="P149" s="14"/>
      <c r="Q149" s="14"/>
      <c r="R149" s="14"/>
      <c r="S149" s="14"/>
      <c r="T149" s="14"/>
      <c r="U149" s="14"/>
      <c r="V149" s="140"/>
      <c r="W149" s="154"/>
      <c r="X149" s="81"/>
      <c r="Y149" s="81"/>
      <c r="Z149" s="81"/>
      <c r="AA149" s="81"/>
      <c r="AB149" s="81"/>
      <c r="AC149" s="81"/>
      <c r="AD149" s="81"/>
      <c r="AE149" s="82"/>
      <c r="AF149" s="81"/>
      <c r="AG149" s="81"/>
      <c r="AH149" s="184"/>
      <c r="AI149" s="184"/>
      <c r="AJ149" s="157"/>
    </row>
    <row r="150" spans="1:43" ht="11.25" customHeight="1" x14ac:dyDescent="0.2">
      <c r="A150" s="142"/>
      <c r="B150" s="1680"/>
      <c r="C150" s="1680"/>
      <c r="D150" s="1680"/>
      <c r="E150" s="1680"/>
      <c r="F150" s="1680"/>
      <c r="G150" s="1680"/>
      <c r="H150" s="1680"/>
      <c r="I150" s="1680"/>
      <c r="J150" s="9"/>
      <c r="K150" s="12"/>
      <c r="L150" s="9"/>
      <c r="M150" s="9"/>
      <c r="N150" s="9"/>
      <c r="O150" s="9"/>
      <c r="P150" s="9"/>
      <c r="Q150" s="9"/>
      <c r="R150" s="9"/>
      <c r="S150" s="9"/>
      <c r="T150" s="9"/>
      <c r="U150" s="9"/>
      <c r="V150" s="137"/>
      <c r="W150" s="150"/>
      <c r="AE150" s="82"/>
      <c r="AH150" s="184"/>
      <c r="AI150" s="184"/>
      <c r="AJ150" s="157"/>
    </row>
    <row r="151" spans="1:43" ht="11.25" customHeight="1" x14ac:dyDescent="0.2">
      <c r="A151" s="142"/>
      <c r="B151" s="1680" t="s">
        <v>78</v>
      </c>
      <c r="C151" s="1680"/>
      <c r="D151" s="1680"/>
      <c r="E151" s="1680"/>
      <c r="F151" s="1680"/>
      <c r="G151" s="1680"/>
      <c r="H151" s="1680"/>
      <c r="I151" s="1680"/>
      <c r="J151" s="9"/>
      <c r="K151" s="12"/>
      <c r="L151" s="9"/>
      <c r="M151" s="9"/>
      <c r="N151" s="9"/>
      <c r="O151" s="9"/>
      <c r="P151" s="9"/>
      <c r="Q151" s="9"/>
      <c r="R151" s="9"/>
      <c r="S151" s="9"/>
      <c r="T151" s="9"/>
      <c r="U151" s="9"/>
      <c r="V151" s="137"/>
      <c r="W151" s="150"/>
      <c r="AE151" s="82"/>
      <c r="AH151" s="184"/>
      <c r="AI151" s="184"/>
      <c r="AJ151" s="157"/>
      <c r="AK151" s="76"/>
      <c r="AL151" s="76"/>
    </row>
    <row r="152" spans="1:43" ht="11.25" customHeight="1" x14ac:dyDescent="0.2">
      <c r="A152" s="142"/>
      <c r="B152" s="1680"/>
      <c r="C152" s="1680"/>
      <c r="D152" s="1680"/>
      <c r="E152" s="1680"/>
      <c r="F152" s="1680"/>
      <c r="G152" s="1680"/>
      <c r="H152" s="1680"/>
      <c r="I152" s="1680"/>
      <c r="J152" s="9"/>
      <c r="K152" s="12"/>
      <c r="L152" s="9"/>
      <c r="M152" s="9"/>
      <c r="N152" s="9"/>
      <c r="O152" s="9"/>
      <c r="P152" s="9"/>
      <c r="Q152" s="9"/>
      <c r="R152" s="9"/>
      <c r="S152" s="9"/>
      <c r="T152" s="9"/>
      <c r="U152" s="9"/>
      <c r="V152" s="137"/>
      <c r="W152" s="150"/>
      <c r="AE152" s="82"/>
      <c r="AH152" s="184"/>
      <c r="AI152" s="184"/>
      <c r="AJ152" s="157"/>
    </row>
    <row r="153" spans="1:43" ht="11.25" customHeight="1" x14ac:dyDescent="0.2">
      <c r="A153" s="142"/>
      <c r="B153" s="1680" t="s">
        <v>17</v>
      </c>
      <c r="C153" s="1680"/>
      <c r="D153" s="1680"/>
      <c r="E153" s="1680"/>
      <c r="F153" s="1680"/>
      <c r="G153" s="1680"/>
      <c r="H153" s="1680"/>
      <c r="I153" s="1680"/>
      <c r="J153" s="9"/>
      <c r="K153" s="12"/>
      <c r="L153" s="9"/>
      <c r="M153" s="9"/>
      <c r="N153" s="9"/>
      <c r="O153" s="9"/>
      <c r="P153" s="9"/>
      <c r="Q153" s="9"/>
      <c r="R153" s="9"/>
      <c r="S153" s="9"/>
      <c r="T153" s="9"/>
      <c r="U153" s="11"/>
      <c r="V153" s="252"/>
      <c r="W153" s="150"/>
      <c r="Z153" s="74"/>
      <c r="AA153" s="74"/>
      <c r="AE153" s="82"/>
      <c r="AH153" s="184"/>
      <c r="AI153" s="184"/>
      <c r="AJ153" s="157"/>
      <c r="AK153" s="76"/>
      <c r="AL153" s="76"/>
    </row>
    <row r="154" spans="1:43" ht="11.25" customHeight="1" x14ac:dyDescent="0.2">
      <c r="A154" s="142"/>
      <c r="B154" s="1680"/>
      <c r="C154" s="1680"/>
      <c r="D154" s="1680"/>
      <c r="E154" s="1680"/>
      <c r="F154" s="1680"/>
      <c r="G154" s="1680"/>
      <c r="H154" s="1680"/>
      <c r="I154" s="1680"/>
      <c r="J154" s="9"/>
      <c r="K154" s="12"/>
      <c r="L154" s="9"/>
      <c r="M154" s="9"/>
      <c r="N154" s="9"/>
      <c r="O154" s="9"/>
      <c r="P154" s="9"/>
      <c r="Q154" s="9"/>
      <c r="R154" s="9"/>
      <c r="S154" s="9"/>
      <c r="T154" s="9"/>
      <c r="U154" s="11"/>
      <c r="V154" s="252"/>
      <c r="W154" s="150"/>
      <c r="Z154" s="74"/>
      <c r="AA154" s="74"/>
      <c r="AE154" s="82"/>
      <c r="AH154" s="184"/>
      <c r="AI154" s="184"/>
      <c r="AJ154" s="157"/>
    </row>
    <row r="155" spans="1:43" ht="11.25" customHeight="1" x14ac:dyDescent="0.2">
      <c r="A155" s="142"/>
      <c r="B155" s="1680" t="s">
        <v>658</v>
      </c>
      <c r="C155" s="1680"/>
      <c r="D155" s="1680"/>
      <c r="E155" s="1680"/>
      <c r="F155" s="1680"/>
      <c r="G155" s="1680"/>
      <c r="H155" s="1680"/>
      <c r="I155" s="1680"/>
      <c r="J155" s="9"/>
      <c r="K155" s="12"/>
      <c r="L155" s="9"/>
      <c r="M155" s="9"/>
      <c r="N155" s="9"/>
      <c r="O155" s="9"/>
      <c r="P155" s="9"/>
      <c r="Q155" s="9"/>
      <c r="R155" s="9"/>
      <c r="S155" s="9"/>
      <c r="T155" s="9"/>
      <c r="U155" s="11"/>
      <c r="V155" s="252"/>
      <c r="W155" s="150"/>
      <c r="Z155" s="74"/>
      <c r="AA155" s="74"/>
      <c r="AE155" s="82"/>
      <c r="AH155" s="184"/>
      <c r="AI155" s="184"/>
      <c r="AJ155" s="157"/>
      <c r="AK155" s="76"/>
      <c r="AL155" s="76"/>
    </row>
    <row r="156" spans="1:43" ht="11.25" customHeight="1" x14ac:dyDescent="0.2">
      <c r="A156" s="142"/>
      <c r="B156" s="1680"/>
      <c r="C156" s="1680"/>
      <c r="D156" s="1680"/>
      <c r="E156" s="1680"/>
      <c r="F156" s="1680"/>
      <c r="G156" s="1680"/>
      <c r="H156" s="1680"/>
      <c r="I156" s="1680"/>
      <c r="J156" s="9"/>
      <c r="K156" s="12"/>
      <c r="L156" s="9"/>
      <c r="M156" s="9"/>
      <c r="N156" s="9"/>
      <c r="O156" s="9"/>
      <c r="P156" s="9"/>
      <c r="Q156" s="9"/>
      <c r="R156" s="9"/>
      <c r="S156" s="9"/>
      <c r="T156" s="9"/>
      <c r="U156" s="11"/>
      <c r="V156" s="252"/>
      <c r="W156" s="150"/>
      <c r="Z156" s="74"/>
      <c r="AA156" s="74"/>
      <c r="AE156" s="82"/>
      <c r="AH156" s="184"/>
      <c r="AI156" s="184"/>
      <c r="AJ156" s="157"/>
    </row>
    <row r="157" spans="1:43" ht="11.25" customHeight="1" x14ac:dyDescent="0.2">
      <c r="A157" s="142"/>
      <c r="B157" s="1680" t="s">
        <v>191</v>
      </c>
      <c r="C157" s="1680"/>
      <c r="D157" s="1680"/>
      <c r="E157" s="1680"/>
      <c r="F157" s="1680"/>
      <c r="G157" s="1680"/>
      <c r="H157" s="1680"/>
      <c r="I157" s="1680"/>
      <c r="J157" s="9"/>
      <c r="K157" s="12"/>
      <c r="L157" s="9"/>
      <c r="M157" s="9"/>
      <c r="N157" s="9"/>
      <c r="O157" s="9"/>
      <c r="P157" s="9"/>
      <c r="Q157" s="9"/>
      <c r="R157" s="9"/>
      <c r="S157" s="9"/>
      <c r="T157" s="9"/>
      <c r="U157" s="11"/>
      <c r="V157" s="252"/>
      <c r="W157" s="150"/>
      <c r="Z157" s="74"/>
      <c r="AA157" s="74"/>
      <c r="AE157" s="82"/>
      <c r="AH157" s="184"/>
      <c r="AI157" s="184"/>
      <c r="AJ157" s="157"/>
      <c r="AK157" s="76"/>
      <c r="AL157" s="76"/>
    </row>
    <row r="158" spans="1:43" ht="11.25" customHeight="1" x14ac:dyDescent="0.2">
      <c r="A158" s="142"/>
      <c r="B158" s="1680"/>
      <c r="C158" s="1680"/>
      <c r="D158" s="1680"/>
      <c r="E158" s="1680"/>
      <c r="F158" s="1680"/>
      <c r="G158" s="1680"/>
      <c r="H158" s="1680"/>
      <c r="I158" s="1680"/>
      <c r="J158" s="9"/>
      <c r="K158" s="12"/>
      <c r="L158" s="9"/>
      <c r="M158" s="9"/>
      <c r="N158" s="9"/>
      <c r="O158" s="9"/>
      <c r="P158" s="9"/>
      <c r="Q158" s="9"/>
      <c r="R158" s="9"/>
      <c r="S158" s="9"/>
      <c r="T158" s="9"/>
      <c r="U158" s="11"/>
      <c r="V158" s="252"/>
      <c r="W158" s="150"/>
      <c r="Z158" s="74"/>
      <c r="AA158" s="74"/>
      <c r="AE158" s="82"/>
      <c r="AH158" s="184"/>
      <c r="AI158" s="184"/>
      <c r="AJ158" s="157"/>
    </row>
    <row r="159" spans="1:43" ht="11.25" customHeight="1" x14ac:dyDescent="0.2">
      <c r="A159" s="142"/>
      <c r="B159" s="1680" t="s">
        <v>197</v>
      </c>
      <c r="C159" s="1680"/>
      <c r="D159" s="1680"/>
      <c r="E159" s="1680"/>
      <c r="F159" s="1680"/>
      <c r="G159" s="1680"/>
      <c r="H159" s="1680"/>
      <c r="I159" s="1680"/>
      <c r="J159" s="9"/>
      <c r="K159" s="12"/>
      <c r="L159" s="9"/>
      <c r="M159" s="9"/>
      <c r="N159" s="9"/>
      <c r="O159" s="9"/>
      <c r="P159" s="9"/>
      <c r="Q159" s="9"/>
      <c r="R159" s="9"/>
      <c r="S159" s="9"/>
      <c r="T159" s="9"/>
      <c r="U159" s="9"/>
      <c r="V159" s="137"/>
      <c r="W159" s="150"/>
      <c r="AE159" s="82"/>
      <c r="AH159" s="184"/>
      <c r="AI159" s="184"/>
      <c r="AJ159" s="157"/>
      <c r="AK159" s="76"/>
      <c r="AL159" s="76"/>
    </row>
    <row r="160" spans="1:43" ht="11.25" customHeight="1" x14ac:dyDescent="0.2">
      <c r="A160" s="142"/>
      <c r="B160" s="1680"/>
      <c r="C160" s="1680"/>
      <c r="D160" s="1680"/>
      <c r="E160" s="1680"/>
      <c r="F160" s="1680"/>
      <c r="G160" s="1680"/>
      <c r="H160" s="1680"/>
      <c r="I160" s="1680"/>
      <c r="J160" s="9"/>
      <c r="K160" s="12"/>
      <c r="L160" s="9"/>
      <c r="M160" s="9"/>
      <c r="N160" s="9"/>
      <c r="O160" s="9"/>
      <c r="P160" s="9"/>
      <c r="Q160" s="9"/>
      <c r="R160" s="9"/>
      <c r="S160" s="9"/>
      <c r="T160" s="9"/>
      <c r="U160" s="9"/>
      <c r="V160" s="137"/>
      <c r="W160" s="150"/>
      <c r="AE160" s="82"/>
      <c r="AH160" s="184"/>
      <c r="AI160" s="184"/>
      <c r="AJ160" s="157"/>
    </row>
    <row r="161" spans="1:38" ht="11.25" customHeight="1" x14ac:dyDescent="0.2">
      <c r="A161" s="142"/>
      <c r="B161" s="1680" t="s">
        <v>198</v>
      </c>
      <c r="C161" s="1680"/>
      <c r="D161" s="1680"/>
      <c r="E161" s="1680"/>
      <c r="F161" s="1680"/>
      <c r="G161" s="1680"/>
      <c r="H161" s="1680"/>
      <c r="I161" s="1680"/>
      <c r="J161" s="9"/>
      <c r="K161" s="12"/>
      <c r="L161" s="9"/>
      <c r="M161" s="9"/>
      <c r="N161" s="9"/>
      <c r="O161" s="9"/>
      <c r="P161" s="9"/>
      <c r="Q161" s="9"/>
      <c r="R161" s="9"/>
      <c r="S161" s="9"/>
      <c r="T161" s="9"/>
      <c r="U161" s="9"/>
      <c r="V161" s="137"/>
      <c r="W161" s="150"/>
      <c r="AE161" s="82"/>
      <c r="AH161" s="184"/>
      <c r="AI161" s="184"/>
      <c r="AJ161" s="157"/>
      <c r="AK161" s="76"/>
      <c r="AL161" s="76"/>
    </row>
    <row r="162" spans="1:38" ht="11.25" customHeight="1" x14ac:dyDescent="0.2">
      <c r="A162" s="142"/>
      <c r="B162" s="1680"/>
      <c r="C162" s="1680"/>
      <c r="D162" s="1680"/>
      <c r="E162" s="1680"/>
      <c r="F162" s="1680"/>
      <c r="G162" s="1680"/>
      <c r="H162" s="1680"/>
      <c r="I162" s="1680"/>
      <c r="J162" s="9"/>
      <c r="K162" s="12"/>
      <c r="L162" s="9"/>
      <c r="M162" s="9"/>
      <c r="N162" s="9"/>
      <c r="O162" s="9"/>
      <c r="P162" s="9"/>
      <c r="Q162" s="9"/>
      <c r="R162" s="9"/>
      <c r="S162" s="9"/>
      <c r="T162" s="9"/>
      <c r="U162" s="9"/>
      <c r="V162" s="137"/>
      <c r="W162" s="150"/>
      <c r="AE162" s="82"/>
      <c r="AH162" s="184"/>
      <c r="AI162" s="184"/>
      <c r="AJ162" s="157"/>
    </row>
    <row r="163" spans="1:38" ht="11.25" customHeight="1" x14ac:dyDescent="0.2">
      <c r="A163" s="142"/>
      <c r="B163" s="1680" t="s">
        <v>80</v>
      </c>
      <c r="C163" s="1680"/>
      <c r="D163" s="1680"/>
      <c r="E163" s="1680"/>
      <c r="F163" s="1680"/>
      <c r="G163" s="1680"/>
      <c r="H163" s="1680"/>
      <c r="I163" s="1680"/>
      <c r="J163" s="9"/>
      <c r="K163" s="12"/>
      <c r="L163" s="9"/>
      <c r="M163" s="9"/>
      <c r="N163" s="9"/>
      <c r="O163" s="9"/>
      <c r="P163" s="9"/>
      <c r="Q163" s="9"/>
      <c r="R163" s="9"/>
      <c r="S163" s="9"/>
      <c r="T163" s="9"/>
      <c r="U163" s="9"/>
      <c r="V163" s="137"/>
      <c r="W163" s="150"/>
      <c r="AE163" s="82"/>
      <c r="AH163" s="184"/>
      <c r="AI163" s="184"/>
      <c r="AJ163" s="157"/>
      <c r="AK163" s="76"/>
      <c r="AL163" s="76"/>
    </row>
    <row r="164" spans="1:38" ht="11.25" customHeight="1" x14ac:dyDescent="0.2">
      <c r="A164" s="142"/>
      <c r="B164" s="1680"/>
      <c r="C164" s="1680"/>
      <c r="D164" s="1680"/>
      <c r="E164" s="1680"/>
      <c r="F164" s="1680"/>
      <c r="G164" s="1680"/>
      <c r="H164" s="1680"/>
      <c r="I164" s="1680"/>
      <c r="J164" s="9"/>
      <c r="K164" s="12"/>
      <c r="L164" s="9"/>
      <c r="M164" s="9"/>
      <c r="N164" s="9"/>
      <c r="O164" s="9"/>
      <c r="P164" s="9"/>
      <c r="Q164" s="9"/>
      <c r="R164" s="9"/>
      <c r="S164" s="9"/>
      <c r="T164" s="9"/>
      <c r="U164" s="9"/>
      <c r="V164" s="137"/>
      <c r="W164" s="150"/>
      <c r="AE164" s="82"/>
      <c r="AH164" s="184"/>
      <c r="AI164" s="184"/>
      <c r="AJ164" s="157"/>
    </row>
    <row r="165" spans="1:38" ht="11.25" customHeight="1" x14ac:dyDescent="0.2">
      <c r="A165" s="142"/>
      <c r="B165" s="1680" t="s">
        <v>69</v>
      </c>
      <c r="C165" s="1680"/>
      <c r="D165" s="1680"/>
      <c r="E165" s="1680"/>
      <c r="F165" s="1680"/>
      <c r="G165" s="1680"/>
      <c r="H165" s="1680"/>
      <c r="I165" s="1680"/>
      <c r="J165" s="9"/>
      <c r="K165" s="12"/>
      <c r="L165" s="9"/>
      <c r="M165" s="9"/>
      <c r="N165" s="9"/>
      <c r="O165" s="9"/>
      <c r="P165" s="9"/>
      <c r="Q165" s="9"/>
      <c r="R165" s="9"/>
      <c r="S165" s="9"/>
      <c r="T165" s="9"/>
      <c r="U165" s="9"/>
      <c r="V165" s="137"/>
      <c r="W165" s="150"/>
      <c r="AE165" s="82"/>
      <c r="AH165" s="184"/>
      <c r="AI165" s="184"/>
      <c r="AJ165" s="157"/>
    </row>
    <row r="166" spans="1:38" ht="11.25" customHeight="1" x14ac:dyDescent="0.2">
      <c r="A166" s="142"/>
      <c r="B166" s="1680"/>
      <c r="C166" s="1680"/>
      <c r="D166" s="1680"/>
      <c r="E166" s="1680"/>
      <c r="F166" s="1680"/>
      <c r="G166" s="1680"/>
      <c r="H166" s="1680"/>
      <c r="I166" s="1680"/>
      <c r="J166" s="9"/>
      <c r="K166" s="12"/>
      <c r="L166" s="9"/>
      <c r="M166" s="9"/>
      <c r="N166" s="9"/>
      <c r="O166" s="9"/>
      <c r="P166" s="9"/>
      <c r="Q166" s="9"/>
      <c r="R166" s="9"/>
      <c r="S166" s="9"/>
      <c r="T166" s="9"/>
      <c r="U166" s="9"/>
      <c r="V166" s="137"/>
      <c r="W166" s="150"/>
      <c r="AE166" s="82"/>
      <c r="AH166" s="184"/>
      <c r="AI166" s="184"/>
      <c r="AJ166" s="157"/>
    </row>
    <row r="167" spans="1:38" ht="11.25" customHeight="1" x14ac:dyDescent="0.2">
      <c r="A167" s="142"/>
      <c r="B167" s="1680" t="s">
        <v>24</v>
      </c>
      <c r="C167" s="1680"/>
      <c r="D167" s="1680"/>
      <c r="E167" s="1680"/>
      <c r="F167" s="1680"/>
      <c r="G167" s="1680"/>
      <c r="H167" s="1680"/>
      <c r="I167" s="1680"/>
      <c r="J167" s="9"/>
      <c r="K167" s="12"/>
      <c r="L167" s="9"/>
      <c r="M167" s="9"/>
      <c r="N167" s="9"/>
      <c r="O167" s="9"/>
      <c r="P167" s="9"/>
      <c r="Q167" s="9"/>
      <c r="R167" s="9"/>
      <c r="S167" s="9"/>
      <c r="T167" s="9"/>
      <c r="U167" s="9"/>
      <c r="V167" s="137"/>
      <c r="W167" s="150"/>
      <c r="AE167" s="82"/>
      <c r="AH167" s="184"/>
      <c r="AI167" s="184"/>
      <c r="AJ167" s="157"/>
    </row>
    <row r="168" spans="1:38" ht="11.25" customHeight="1" x14ac:dyDescent="0.2">
      <c r="A168" s="142"/>
      <c r="B168" s="1680"/>
      <c r="C168" s="1680"/>
      <c r="D168" s="1680"/>
      <c r="E168" s="1680"/>
      <c r="F168" s="1680"/>
      <c r="G168" s="1680"/>
      <c r="H168" s="1680"/>
      <c r="I168" s="1680"/>
      <c r="J168" s="9"/>
      <c r="K168" s="12"/>
      <c r="L168" s="9"/>
      <c r="M168" s="9"/>
      <c r="N168" s="9"/>
      <c r="O168" s="9"/>
      <c r="P168" s="9"/>
      <c r="Q168" s="9"/>
      <c r="R168" s="9"/>
      <c r="S168" s="9"/>
      <c r="T168" s="9"/>
      <c r="U168" s="9"/>
      <c r="V168" s="137"/>
      <c r="W168" s="150"/>
      <c r="AE168" s="82"/>
      <c r="AH168" s="184"/>
      <c r="AI168" s="184"/>
      <c r="AJ168" s="157"/>
    </row>
    <row r="169" spans="1:38" ht="11.25" customHeight="1" x14ac:dyDescent="0.2">
      <c r="A169" s="142"/>
      <c r="B169" s="1680" t="s">
        <v>22</v>
      </c>
      <c r="C169" s="1680"/>
      <c r="D169" s="1680"/>
      <c r="E169" s="1680"/>
      <c r="F169" s="1680"/>
      <c r="G169" s="1680"/>
      <c r="H169" s="1680"/>
      <c r="I169" s="1680"/>
      <c r="J169" s="9"/>
      <c r="K169" s="12"/>
      <c r="L169" s="9"/>
      <c r="M169" s="9"/>
      <c r="N169" s="9"/>
      <c r="O169" s="9"/>
      <c r="P169" s="9"/>
      <c r="Q169" s="9"/>
      <c r="R169" s="9"/>
      <c r="S169" s="9"/>
      <c r="T169" s="9"/>
      <c r="U169" s="9"/>
      <c r="V169" s="137"/>
      <c r="W169" s="150"/>
      <c r="AE169" s="82"/>
      <c r="AH169" s="184"/>
      <c r="AI169" s="184"/>
      <c r="AJ169" s="157"/>
    </row>
    <row r="170" spans="1:38" ht="11.25" customHeight="1" x14ac:dyDescent="0.2">
      <c r="A170" s="142"/>
      <c r="B170" s="1680"/>
      <c r="C170" s="1680"/>
      <c r="D170" s="1680"/>
      <c r="E170" s="1680"/>
      <c r="F170" s="1680"/>
      <c r="G170" s="1680"/>
      <c r="H170" s="1680"/>
      <c r="I170" s="1680"/>
      <c r="J170" s="9"/>
      <c r="K170" s="12"/>
      <c r="L170" s="9"/>
      <c r="M170" s="9"/>
      <c r="N170" s="9"/>
      <c r="O170" s="9"/>
      <c r="P170" s="9"/>
      <c r="Q170" s="9"/>
      <c r="R170" s="9"/>
      <c r="S170" s="9"/>
      <c r="T170" s="9"/>
      <c r="U170" s="9"/>
      <c r="V170" s="137"/>
      <c r="W170" s="150"/>
      <c r="AE170" s="82"/>
      <c r="AH170" s="184"/>
      <c r="AI170" s="184"/>
      <c r="AJ170" s="157"/>
    </row>
    <row r="171" spans="1:38" ht="11.25" customHeight="1" x14ac:dyDescent="0.2">
      <c r="A171" s="142"/>
      <c r="B171" s="1680" t="s">
        <v>25</v>
      </c>
      <c r="C171" s="1680"/>
      <c r="D171" s="1680"/>
      <c r="E171" s="1680"/>
      <c r="F171" s="1680"/>
      <c r="G171" s="1680"/>
      <c r="H171" s="1680"/>
      <c r="I171" s="1680"/>
      <c r="J171" s="9"/>
      <c r="K171" s="12"/>
      <c r="L171" s="9"/>
      <c r="M171" s="9"/>
      <c r="N171" s="9"/>
      <c r="O171" s="9"/>
      <c r="P171" s="9"/>
      <c r="Q171" s="9"/>
      <c r="R171" s="9"/>
      <c r="S171" s="9"/>
      <c r="T171" s="9"/>
      <c r="U171" s="9"/>
      <c r="V171" s="137"/>
      <c r="W171" s="150"/>
      <c r="AE171" s="82"/>
      <c r="AH171" s="184"/>
      <c r="AI171" s="184"/>
      <c r="AJ171" s="157"/>
    </row>
    <row r="172" spans="1:38" ht="11.25" customHeight="1" x14ac:dyDescent="0.2">
      <c r="A172" s="142"/>
      <c r="B172" s="1680"/>
      <c r="C172" s="1680"/>
      <c r="D172" s="1680"/>
      <c r="E172" s="1680"/>
      <c r="F172" s="1680"/>
      <c r="G172" s="1680"/>
      <c r="H172" s="1680"/>
      <c r="I172" s="1680"/>
      <c r="J172" s="9"/>
      <c r="K172" s="12"/>
      <c r="L172" s="9"/>
      <c r="M172" s="9"/>
      <c r="N172" s="9"/>
      <c r="O172" s="9"/>
      <c r="P172" s="9"/>
      <c r="Q172" s="9"/>
      <c r="R172" s="9"/>
      <c r="S172" s="9"/>
      <c r="T172" s="9"/>
      <c r="U172" s="9"/>
      <c r="V172" s="137"/>
      <c r="W172" s="150"/>
      <c r="AE172" s="82"/>
      <c r="AH172" s="184"/>
      <c r="AI172" s="184"/>
      <c r="AJ172" s="157"/>
    </row>
    <row r="173" spans="1:38" ht="11.25" customHeight="1" x14ac:dyDescent="0.2">
      <c r="A173" s="142"/>
      <c r="B173" s="1680" t="s">
        <v>18</v>
      </c>
      <c r="C173" s="1680"/>
      <c r="D173" s="1680"/>
      <c r="E173" s="1680"/>
      <c r="F173" s="1680"/>
      <c r="G173" s="1680"/>
      <c r="H173" s="1680"/>
      <c r="I173" s="1680"/>
      <c r="J173" s="9"/>
      <c r="K173" s="12"/>
      <c r="L173" s="9"/>
      <c r="M173" s="9"/>
      <c r="N173" s="9"/>
      <c r="O173" s="9"/>
      <c r="P173" s="9"/>
      <c r="Q173" s="9"/>
      <c r="R173" s="9"/>
      <c r="S173" s="9"/>
      <c r="T173" s="9"/>
      <c r="U173" s="9"/>
      <c r="V173" s="137"/>
      <c r="W173" s="150"/>
      <c r="AE173" s="82"/>
      <c r="AH173" s="184"/>
      <c r="AI173" s="184"/>
      <c r="AJ173" s="157"/>
    </row>
    <row r="174" spans="1:38" ht="11.25" customHeight="1" x14ac:dyDescent="0.2">
      <c r="A174" s="142"/>
      <c r="B174" s="1680"/>
      <c r="C174" s="1680"/>
      <c r="D174" s="1680"/>
      <c r="E174" s="1680"/>
      <c r="F174" s="1680"/>
      <c r="G174" s="1680"/>
      <c r="H174" s="1680"/>
      <c r="I174" s="1680"/>
      <c r="J174" s="9"/>
      <c r="K174" s="12"/>
      <c r="L174" s="9"/>
      <c r="M174" s="9"/>
      <c r="N174" s="9"/>
      <c r="O174" s="9"/>
      <c r="P174" s="9"/>
      <c r="Q174" s="9"/>
      <c r="R174" s="9"/>
      <c r="S174" s="9"/>
      <c r="T174" s="9"/>
      <c r="U174" s="9"/>
      <c r="V174" s="137"/>
      <c r="W174" s="150"/>
      <c r="AE174" s="82"/>
      <c r="AH174" s="184"/>
      <c r="AI174" s="184"/>
      <c r="AJ174" s="157"/>
    </row>
    <row r="175" spans="1:38" ht="11.25" customHeight="1" x14ac:dyDescent="0.2">
      <c r="A175" s="142"/>
      <c r="B175" s="1680" t="s">
        <v>19</v>
      </c>
      <c r="C175" s="1680"/>
      <c r="D175" s="1680"/>
      <c r="E175" s="1680"/>
      <c r="F175" s="1680"/>
      <c r="G175" s="1680"/>
      <c r="H175" s="1680"/>
      <c r="I175" s="1680"/>
      <c r="J175" s="9"/>
      <c r="K175" s="12"/>
      <c r="L175" s="9"/>
      <c r="M175" s="9"/>
      <c r="N175" s="9"/>
      <c r="O175" s="9"/>
      <c r="P175" s="9"/>
      <c r="Q175" s="9"/>
      <c r="R175" s="9"/>
      <c r="S175" s="9"/>
      <c r="T175" s="9"/>
      <c r="U175" s="9"/>
      <c r="V175" s="137"/>
      <c r="W175" s="150"/>
      <c r="AE175" s="82"/>
      <c r="AH175" s="184"/>
      <c r="AI175" s="184"/>
      <c r="AJ175" s="157"/>
    </row>
    <row r="176" spans="1:38" ht="11.25" customHeight="1" x14ac:dyDescent="0.2">
      <c r="A176" s="142"/>
      <c r="B176" s="1680"/>
      <c r="C176" s="1680"/>
      <c r="D176" s="1680"/>
      <c r="E176" s="1680"/>
      <c r="F176" s="1680"/>
      <c r="G176" s="1680"/>
      <c r="H176" s="1680"/>
      <c r="I176" s="1680"/>
      <c r="J176" s="9"/>
      <c r="K176" s="12"/>
      <c r="L176" s="9"/>
      <c r="M176" s="9"/>
      <c r="N176" s="9"/>
      <c r="O176" s="9"/>
      <c r="P176" s="9"/>
      <c r="Q176" s="9"/>
      <c r="R176" s="9"/>
      <c r="S176" s="9"/>
      <c r="T176" s="9"/>
      <c r="U176" s="9"/>
      <c r="V176" s="137"/>
      <c r="W176" s="150"/>
      <c r="AE176" s="82"/>
      <c r="AH176" s="184"/>
      <c r="AI176" s="184"/>
      <c r="AJ176" s="157"/>
    </row>
    <row r="177" spans="1:45" ht="11.25" customHeight="1" x14ac:dyDescent="0.2">
      <c r="A177" s="142"/>
      <c r="B177" s="1680" t="s">
        <v>20</v>
      </c>
      <c r="C177" s="1680"/>
      <c r="D177" s="1680"/>
      <c r="E177" s="1680"/>
      <c r="F177" s="1680"/>
      <c r="G177" s="1680"/>
      <c r="H177" s="1680"/>
      <c r="I177" s="1680"/>
      <c r="J177" s="9"/>
      <c r="K177" s="12"/>
      <c r="L177" s="9"/>
      <c r="M177" s="9"/>
      <c r="N177" s="9"/>
      <c r="O177" s="9"/>
      <c r="P177" s="9"/>
      <c r="Q177" s="9"/>
      <c r="R177" s="9"/>
      <c r="S177" s="9"/>
      <c r="T177" s="9"/>
      <c r="U177" s="9"/>
      <c r="V177" s="137"/>
      <c r="W177" s="150"/>
      <c r="AE177" s="82"/>
      <c r="AH177" s="184"/>
      <c r="AI177" s="184"/>
      <c r="AJ177" s="157"/>
    </row>
    <row r="178" spans="1:45" ht="11.25" customHeight="1" x14ac:dyDescent="0.2">
      <c r="A178" s="142"/>
      <c r="B178" s="1680"/>
      <c r="C178" s="1680"/>
      <c r="D178" s="1680"/>
      <c r="E178" s="1680"/>
      <c r="F178" s="1680"/>
      <c r="G178" s="1680"/>
      <c r="H178" s="1680"/>
      <c r="I178" s="1680"/>
      <c r="J178" s="9"/>
      <c r="K178" s="12"/>
      <c r="L178" s="9"/>
      <c r="M178" s="9"/>
      <c r="N178" s="9"/>
      <c r="O178" s="9"/>
      <c r="P178" s="9"/>
      <c r="Q178" s="9"/>
      <c r="R178" s="9"/>
      <c r="S178" s="9"/>
      <c r="T178" s="9"/>
      <c r="U178" s="9"/>
      <c r="V178" s="137"/>
      <c r="W178" s="150"/>
      <c r="AE178" s="82"/>
      <c r="AH178" s="184"/>
      <c r="AI178" s="184"/>
      <c r="AJ178" s="157"/>
    </row>
    <row r="179" spans="1:45" ht="11.25" customHeight="1" x14ac:dyDescent="0.2">
      <c r="A179" s="142"/>
      <c r="B179" s="1680" t="s">
        <v>26</v>
      </c>
      <c r="C179" s="1680"/>
      <c r="D179" s="1680"/>
      <c r="E179" s="1680"/>
      <c r="F179" s="1680"/>
      <c r="G179" s="1680"/>
      <c r="H179" s="1680"/>
      <c r="I179" s="1680"/>
      <c r="J179" s="9"/>
      <c r="K179" s="12"/>
      <c r="L179" s="9"/>
      <c r="M179" s="9"/>
      <c r="N179" s="9"/>
      <c r="O179" s="9"/>
      <c r="P179" s="9"/>
      <c r="Q179" s="9"/>
      <c r="R179" s="9"/>
      <c r="S179" s="9"/>
      <c r="T179" s="9"/>
      <c r="U179" s="9"/>
      <c r="V179" s="137"/>
      <c r="W179" s="150"/>
      <c r="AE179" s="82"/>
      <c r="AH179" s="184"/>
      <c r="AI179" s="184"/>
      <c r="AJ179" s="157"/>
    </row>
    <row r="180" spans="1:45" ht="11.25" customHeight="1" x14ac:dyDescent="0.2">
      <c r="A180" s="142"/>
      <c r="B180" s="1680"/>
      <c r="C180" s="1680"/>
      <c r="D180" s="1680"/>
      <c r="E180" s="1680"/>
      <c r="F180" s="1680"/>
      <c r="G180" s="1680"/>
      <c r="H180" s="1680"/>
      <c r="I180" s="1680"/>
      <c r="J180" s="9"/>
      <c r="K180" s="12"/>
      <c r="L180" s="9"/>
      <c r="M180" s="9"/>
      <c r="N180" s="9"/>
      <c r="O180" s="9"/>
      <c r="P180" s="9"/>
      <c r="Q180" s="9"/>
      <c r="R180" s="9"/>
      <c r="S180" s="9"/>
      <c r="T180" s="9"/>
      <c r="U180" s="9"/>
      <c r="V180" s="137"/>
      <c r="W180" s="150"/>
      <c r="AE180" s="82"/>
      <c r="AH180" s="184"/>
      <c r="AI180" s="184"/>
      <c r="AJ180" s="157"/>
    </row>
    <row r="181" spans="1:45" ht="11.25" customHeight="1" x14ac:dyDescent="0.2">
      <c r="A181" s="142"/>
      <c r="B181" s="1680" t="s">
        <v>21</v>
      </c>
      <c r="C181" s="1680"/>
      <c r="D181" s="1680"/>
      <c r="E181" s="1680"/>
      <c r="F181" s="1680"/>
      <c r="G181" s="1680"/>
      <c r="H181" s="1680"/>
      <c r="I181" s="1680"/>
      <c r="J181" s="9"/>
      <c r="K181" s="12"/>
      <c r="L181" s="9"/>
      <c r="M181" s="9"/>
      <c r="N181" s="9"/>
      <c r="O181" s="9"/>
      <c r="P181" s="9"/>
      <c r="Q181" s="9"/>
      <c r="R181" s="9"/>
      <c r="S181" s="9"/>
      <c r="T181" s="9"/>
      <c r="U181" s="9"/>
      <c r="V181" s="137"/>
      <c r="W181" s="150"/>
      <c r="AE181" s="82"/>
      <c r="AH181" s="184"/>
      <c r="AI181" s="184"/>
      <c r="AJ181" s="157"/>
    </row>
    <row r="182" spans="1:45" ht="11.25" customHeight="1" x14ac:dyDescent="0.2">
      <c r="A182" s="142"/>
      <c r="B182" s="1680"/>
      <c r="C182" s="1680"/>
      <c r="D182" s="1680"/>
      <c r="E182" s="1680"/>
      <c r="F182" s="1680"/>
      <c r="G182" s="1680"/>
      <c r="H182" s="1680"/>
      <c r="I182" s="1680"/>
      <c r="J182" s="9"/>
      <c r="K182" s="12"/>
      <c r="L182" s="9"/>
      <c r="M182" s="9"/>
      <c r="N182" s="9"/>
      <c r="O182" s="9"/>
      <c r="P182" s="9"/>
      <c r="Q182" s="9"/>
      <c r="R182" s="9"/>
      <c r="S182" s="9"/>
      <c r="T182" s="9"/>
      <c r="U182" s="9"/>
      <c r="V182" s="137"/>
      <c r="W182" s="150"/>
      <c r="AE182" s="82"/>
      <c r="AH182" s="184"/>
      <c r="AI182" s="184"/>
      <c r="AJ182" s="157"/>
    </row>
    <row r="183" spans="1:45" ht="18.75" customHeight="1" x14ac:dyDescent="0.2">
      <c r="A183" s="142"/>
      <c r="B183" s="1680" t="s">
        <v>905</v>
      </c>
      <c r="C183" s="1680"/>
      <c r="D183" s="1680"/>
      <c r="E183" s="1680"/>
      <c r="F183" s="1680"/>
      <c r="G183" s="1680"/>
      <c r="H183" s="1680"/>
      <c r="I183" s="1680"/>
      <c r="J183" s="9"/>
      <c r="K183" s="12"/>
      <c r="L183" s="9"/>
      <c r="M183" s="9"/>
      <c r="N183" s="9"/>
      <c r="O183" s="9"/>
      <c r="P183" s="9"/>
      <c r="Q183" s="9"/>
      <c r="R183" s="9"/>
      <c r="S183" s="9"/>
      <c r="T183" s="9"/>
      <c r="U183" s="9"/>
      <c r="V183" s="137"/>
      <c r="W183" s="150"/>
      <c r="AE183" s="82"/>
      <c r="AH183" s="184"/>
      <c r="AI183" s="184"/>
      <c r="AJ183" s="157"/>
    </row>
    <row r="184" spans="1:45" s="80" customFormat="1" ht="11.25" customHeight="1" x14ac:dyDescent="0.2">
      <c r="A184" s="142"/>
      <c r="B184" s="1680"/>
      <c r="C184" s="1680"/>
      <c r="D184" s="1680"/>
      <c r="E184" s="1680"/>
      <c r="F184" s="1680"/>
      <c r="G184" s="1680"/>
      <c r="H184" s="1680"/>
      <c r="I184" s="1680"/>
      <c r="J184" s="9"/>
      <c r="K184" s="12"/>
      <c r="L184" s="9"/>
      <c r="M184" s="9"/>
      <c r="N184" s="9"/>
      <c r="O184" s="9"/>
      <c r="P184" s="9"/>
      <c r="Q184" s="9"/>
      <c r="R184" s="9"/>
      <c r="S184" s="9"/>
      <c r="T184" s="9"/>
      <c r="U184" s="9"/>
      <c r="V184" s="137"/>
      <c r="W184" s="150"/>
      <c r="X184" s="81"/>
      <c r="Y184" s="81"/>
      <c r="Z184" s="81"/>
      <c r="AA184" s="81"/>
      <c r="AB184" s="81"/>
      <c r="AC184" s="81"/>
      <c r="AD184" s="81"/>
      <c r="AE184" s="82"/>
      <c r="AF184" s="81"/>
      <c r="AG184" s="81"/>
      <c r="AH184" s="184"/>
      <c r="AI184" s="184"/>
      <c r="AJ184" s="157"/>
      <c r="AK184" s="74"/>
      <c r="AL184" s="74"/>
      <c r="AM184" s="74"/>
      <c r="AN184" s="74"/>
      <c r="AO184" s="74"/>
      <c r="AP184" s="74"/>
      <c r="AQ184" s="74"/>
      <c r="AR184" s="74"/>
      <c r="AS184" s="74"/>
    </row>
    <row r="185" spans="1:45" ht="11.25" customHeight="1" x14ac:dyDescent="0.2">
      <c r="A185" s="142"/>
      <c r="B185" s="1680" t="s">
        <v>666</v>
      </c>
      <c r="C185" s="1680"/>
      <c r="D185" s="1680"/>
      <c r="E185" s="1680"/>
      <c r="F185" s="1680"/>
      <c r="G185" s="1680"/>
      <c r="H185" s="1680"/>
      <c r="I185" s="1680"/>
      <c r="J185" s="9"/>
      <c r="K185" s="12"/>
      <c r="L185" s="9"/>
      <c r="M185" s="9"/>
      <c r="N185" s="9"/>
      <c r="O185" s="9"/>
      <c r="P185" s="9"/>
      <c r="Q185" s="9"/>
      <c r="R185" s="9"/>
      <c r="S185" s="9"/>
      <c r="T185" s="9"/>
      <c r="U185" s="9"/>
      <c r="V185" s="137"/>
      <c r="W185" s="150"/>
      <c r="AE185" s="82"/>
      <c r="AH185" s="184"/>
      <c r="AI185" s="184"/>
      <c r="AJ185" s="157"/>
    </row>
    <row r="186" spans="1:45" ht="11.25" customHeight="1" x14ac:dyDescent="0.2">
      <c r="A186" s="142"/>
      <c r="B186" s="1680"/>
      <c r="C186" s="1680"/>
      <c r="D186" s="1680"/>
      <c r="E186" s="1680"/>
      <c r="F186" s="1680"/>
      <c r="G186" s="1680"/>
      <c r="H186" s="1680"/>
      <c r="I186" s="1680"/>
      <c r="J186" s="9"/>
      <c r="K186" s="12"/>
      <c r="L186" s="9"/>
      <c r="M186" s="9"/>
      <c r="N186" s="9"/>
      <c r="O186" s="9"/>
      <c r="P186" s="9"/>
      <c r="Q186" s="9"/>
      <c r="R186" s="9"/>
      <c r="S186" s="9"/>
      <c r="T186" s="9"/>
      <c r="U186" s="9"/>
      <c r="V186" s="137"/>
      <c r="W186" s="150"/>
      <c r="AE186" s="82"/>
      <c r="AH186" s="184"/>
      <c r="AI186" s="184"/>
      <c r="AJ186" s="157"/>
    </row>
    <row r="187" spans="1:45" ht="11.25" customHeight="1" x14ac:dyDescent="0.2">
      <c r="A187" s="142"/>
      <c r="B187" s="1680" t="s">
        <v>32</v>
      </c>
      <c r="C187" s="1680"/>
      <c r="D187" s="1680"/>
      <c r="E187" s="1680"/>
      <c r="F187" s="1680"/>
      <c r="G187" s="1680"/>
      <c r="H187" s="1680"/>
      <c r="I187" s="1680"/>
      <c r="J187" s="9"/>
      <c r="K187" s="12"/>
      <c r="L187" s="9"/>
      <c r="M187" s="9"/>
      <c r="N187" s="9"/>
      <c r="O187" s="9"/>
      <c r="P187" s="9"/>
      <c r="Q187" s="9"/>
      <c r="R187" s="9"/>
      <c r="S187" s="9"/>
      <c r="T187" s="9"/>
      <c r="U187" s="9"/>
      <c r="V187" s="137"/>
      <c r="W187" s="150"/>
      <c r="AE187" s="82"/>
      <c r="AH187" s="184"/>
      <c r="AI187" s="184"/>
      <c r="AJ187" s="157"/>
    </row>
    <row r="188" spans="1:45" ht="11.25" customHeight="1" x14ac:dyDescent="0.2">
      <c r="A188" s="142"/>
      <c r="B188" s="1680"/>
      <c r="C188" s="1680"/>
      <c r="D188" s="1680"/>
      <c r="E188" s="1680"/>
      <c r="F188" s="1680"/>
      <c r="G188" s="1680"/>
      <c r="H188" s="1680"/>
      <c r="I188" s="1680"/>
      <c r="J188" s="9"/>
      <c r="K188" s="12"/>
      <c r="L188" s="9"/>
      <c r="M188" s="9"/>
      <c r="N188" s="9"/>
      <c r="O188" s="9"/>
      <c r="P188" s="9"/>
      <c r="Q188" s="9"/>
      <c r="R188" s="9"/>
      <c r="S188" s="9"/>
      <c r="T188" s="9"/>
      <c r="U188" s="9"/>
      <c r="V188" s="137"/>
      <c r="W188" s="150"/>
      <c r="AE188" s="82"/>
      <c r="AH188" s="184"/>
      <c r="AI188" s="184"/>
      <c r="AJ188" s="157"/>
    </row>
    <row r="189" spans="1:45" ht="11.25" customHeight="1" x14ac:dyDescent="0.2">
      <c r="A189" s="142"/>
      <c r="B189" s="1680" t="s">
        <v>642</v>
      </c>
      <c r="C189" s="1680"/>
      <c r="D189" s="1680"/>
      <c r="E189" s="1680"/>
      <c r="F189" s="1680"/>
      <c r="G189" s="1680"/>
      <c r="H189" s="1680"/>
      <c r="I189" s="1680"/>
      <c r="J189" s="9"/>
      <c r="K189" s="12"/>
      <c r="L189" s="9"/>
      <c r="M189" s="9"/>
      <c r="N189" s="9"/>
      <c r="O189" s="9"/>
      <c r="P189" s="9"/>
      <c r="Q189" s="9"/>
      <c r="R189" s="9"/>
      <c r="S189" s="9"/>
      <c r="T189" s="9"/>
      <c r="U189" s="9"/>
      <c r="V189" s="137"/>
      <c r="W189" s="150"/>
      <c r="AE189" s="82"/>
      <c r="AH189" s="184"/>
      <c r="AI189" s="184"/>
      <c r="AJ189" s="157"/>
    </row>
    <row r="190" spans="1:45" ht="11.25" customHeight="1" x14ac:dyDescent="0.2">
      <c r="A190" s="142"/>
      <c r="B190" s="1680"/>
      <c r="C190" s="1680"/>
      <c r="D190" s="1680"/>
      <c r="E190" s="1680"/>
      <c r="F190" s="1680"/>
      <c r="G190" s="1680"/>
      <c r="H190" s="1680"/>
      <c r="I190" s="1680"/>
      <c r="J190" s="9"/>
      <c r="K190" s="12"/>
      <c r="L190" s="9"/>
      <c r="M190" s="9"/>
      <c r="N190" s="9"/>
      <c r="O190" s="9"/>
      <c r="P190" s="9"/>
      <c r="Q190" s="9"/>
      <c r="R190" s="9"/>
      <c r="S190" s="9"/>
      <c r="T190" s="9"/>
      <c r="U190" s="9"/>
      <c r="V190" s="137"/>
      <c r="W190" s="150"/>
      <c r="AE190" s="82"/>
      <c r="AH190" s="184"/>
      <c r="AI190" s="184"/>
      <c r="AJ190" s="157"/>
    </row>
    <row r="191" spans="1:45" ht="11.25" customHeight="1" x14ac:dyDescent="0.2">
      <c r="A191" s="142"/>
      <c r="B191" s="1680" t="s">
        <v>795</v>
      </c>
      <c r="C191" s="1680"/>
      <c r="D191" s="1680"/>
      <c r="E191" s="1680"/>
      <c r="F191" s="1680"/>
      <c r="G191" s="1680"/>
      <c r="H191" s="1680"/>
      <c r="I191" s="1680"/>
      <c r="J191" s="9"/>
      <c r="K191" s="12"/>
      <c r="L191" s="9"/>
      <c r="M191" s="9"/>
      <c r="N191" s="9"/>
      <c r="O191" s="9"/>
      <c r="P191" s="9"/>
      <c r="Q191" s="9"/>
      <c r="R191" s="9"/>
      <c r="S191" s="9"/>
      <c r="T191" s="9"/>
      <c r="U191" s="9"/>
      <c r="V191" s="137"/>
      <c r="W191" s="150"/>
      <c r="AE191" s="82"/>
      <c r="AH191" s="184"/>
      <c r="AI191" s="184"/>
      <c r="AJ191" s="157"/>
    </row>
    <row r="192" spans="1:45" ht="11.25" customHeight="1" x14ac:dyDescent="0.2">
      <c r="A192" s="142"/>
      <c r="B192" s="1680"/>
      <c r="C192" s="1680"/>
      <c r="D192" s="1680"/>
      <c r="E192" s="1680"/>
      <c r="F192" s="1680"/>
      <c r="G192" s="1680"/>
      <c r="H192" s="1680"/>
      <c r="I192" s="1680"/>
      <c r="J192" s="9"/>
      <c r="K192" s="12"/>
      <c r="L192" s="9"/>
      <c r="M192" s="9"/>
      <c r="N192" s="9"/>
      <c r="O192" s="9"/>
      <c r="P192" s="9"/>
      <c r="Q192" s="9"/>
      <c r="R192" s="9"/>
      <c r="S192" s="9"/>
      <c r="T192" s="9"/>
      <c r="U192" s="9"/>
      <c r="V192" s="137"/>
      <c r="W192" s="150"/>
      <c r="AE192" s="82"/>
      <c r="AH192" s="184"/>
      <c r="AI192" s="184"/>
      <c r="AJ192" s="157"/>
    </row>
    <row r="193" spans="1:36" ht="11.25" customHeight="1" x14ac:dyDescent="0.2">
      <c r="A193" s="142"/>
      <c r="B193" s="1680" t="s">
        <v>672</v>
      </c>
      <c r="C193" s="1680"/>
      <c r="D193" s="1680"/>
      <c r="E193" s="1680"/>
      <c r="F193" s="1680"/>
      <c r="G193" s="1680"/>
      <c r="H193" s="1680"/>
      <c r="I193" s="1680"/>
      <c r="J193" s="9"/>
      <c r="K193" s="12"/>
      <c r="L193" s="9"/>
      <c r="M193" s="9"/>
      <c r="N193" s="9"/>
      <c r="O193" s="9"/>
      <c r="P193" s="9"/>
      <c r="Q193" s="9"/>
      <c r="R193" s="9"/>
      <c r="S193" s="9"/>
      <c r="T193" s="9"/>
      <c r="U193" s="9"/>
      <c r="V193" s="137"/>
      <c r="W193" s="150"/>
      <c r="AE193" s="82"/>
      <c r="AH193" s="184"/>
      <c r="AI193" s="184"/>
      <c r="AJ193" s="157"/>
    </row>
    <row r="194" spans="1:36" ht="11.25" customHeight="1" x14ac:dyDescent="0.2">
      <c r="A194" s="142"/>
      <c r="B194" s="1680"/>
      <c r="C194" s="1680"/>
      <c r="D194" s="1680"/>
      <c r="E194" s="1680"/>
      <c r="F194" s="1680"/>
      <c r="G194" s="1680"/>
      <c r="H194" s="1680"/>
      <c r="I194" s="1680"/>
      <c r="J194" s="9"/>
      <c r="K194" s="12"/>
      <c r="L194" s="9"/>
      <c r="M194" s="9"/>
      <c r="N194" s="9"/>
      <c r="O194" s="9"/>
      <c r="P194" s="9"/>
      <c r="Q194" s="9"/>
      <c r="R194" s="9"/>
      <c r="S194" s="9"/>
      <c r="T194" s="9"/>
      <c r="U194" s="9"/>
      <c r="V194" s="137"/>
      <c r="W194" s="150"/>
      <c r="AE194" s="82"/>
      <c r="AH194" s="184"/>
      <c r="AI194" s="184"/>
      <c r="AJ194" s="157"/>
    </row>
    <row r="195" spans="1:36" ht="11.25" customHeight="1" x14ac:dyDescent="0.2">
      <c r="A195" s="142"/>
      <c r="B195" s="1680" t="s">
        <v>906</v>
      </c>
      <c r="C195" s="1680"/>
      <c r="D195" s="1680"/>
      <c r="E195" s="1680"/>
      <c r="F195" s="1680"/>
      <c r="G195" s="1680"/>
      <c r="H195" s="1680"/>
      <c r="I195" s="1680"/>
      <c r="J195" s="9"/>
      <c r="K195" s="12"/>
      <c r="L195" s="9"/>
      <c r="M195" s="9"/>
      <c r="N195" s="9"/>
      <c r="O195" s="9"/>
      <c r="P195" s="9"/>
      <c r="Q195" s="9"/>
      <c r="R195" s="9"/>
      <c r="S195" s="9"/>
      <c r="T195" s="9"/>
      <c r="U195" s="9"/>
      <c r="V195" s="137"/>
      <c r="W195" s="150"/>
      <c r="AE195" s="82"/>
      <c r="AH195" s="184"/>
      <c r="AI195" s="184"/>
      <c r="AJ195" s="157"/>
    </row>
    <row r="196" spans="1:36" ht="11.25" customHeight="1" x14ac:dyDescent="0.2">
      <c r="A196" s="142"/>
      <c r="B196" s="1680"/>
      <c r="C196" s="1680"/>
      <c r="D196" s="1680"/>
      <c r="E196" s="1680"/>
      <c r="F196" s="1680"/>
      <c r="G196" s="1680"/>
      <c r="H196" s="1680"/>
      <c r="I196" s="1680"/>
      <c r="J196" s="9"/>
      <c r="K196" s="12"/>
      <c r="L196" s="9"/>
      <c r="M196" s="9"/>
      <c r="N196" s="9"/>
      <c r="O196" s="9"/>
      <c r="P196" s="9"/>
      <c r="Q196" s="9"/>
      <c r="R196" s="9"/>
      <c r="S196" s="9"/>
      <c r="T196" s="9"/>
      <c r="U196" s="9"/>
      <c r="V196" s="137"/>
      <c r="W196" s="150"/>
      <c r="AE196" s="82"/>
      <c r="AH196" s="184"/>
      <c r="AI196" s="184"/>
      <c r="AJ196" s="157"/>
    </row>
    <row r="197" spans="1:36" ht="11.25" customHeight="1" x14ac:dyDescent="0.2">
      <c r="A197" s="142"/>
      <c r="B197" s="1680" t="s">
        <v>907</v>
      </c>
      <c r="C197" s="1680"/>
      <c r="D197" s="1680"/>
      <c r="E197" s="1680"/>
      <c r="F197" s="1680"/>
      <c r="G197" s="1680"/>
      <c r="H197" s="1680"/>
      <c r="I197" s="1680"/>
      <c r="J197" s="9"/>
      <c r="K197" s="12"/>
      <c r="L197" s="9"/>
      <c r="M197" s="9"/>
      <c r="N197" s="9"/>
      <c r="O197" s="9"/>
      <c r="P197" s="9"/>
      <c r="Q197" s="9"/>
      <c r="R197" s="9"/>
      <c r="S197" s="9"/>
      <c r="T197" s="9"/>
      <c r="U197" s="9"/>
      <c r="V197" s="137"/>
      <c r="W197" s="150"/>
      <c r="AE197" s="82"/>
      <c r="AH197" s="184"/>
      <c r="AI197" s="184"/>
      <c r="AJ197" s="157"/>
    </row>
    <row r="198" spans="1:36" ht="11.25" customHeight="1" x14ac:dyDescent="0.2">
      <c r="A198" s="142"/>
      <c r="B198" s="1680"/>
      <c r="C198" s="1680"/>
      <c r="D198" s="1680"/>
      <c r="E198" s="1680"/>
      <c r="F198" s="1680"/>
      <c r="G198" s="1680"/>
      <c r="H198" s="1680"/>
      <c r="I198" s="1680"/>
      <c r="J198" s="9"/>
      <c r="K198" s="12"/>
      <c r="L198" s="9"/>
      <c r="M198" s="9"/>
      <c r="N198" s="9"/>
      <c r="O198" s="9"/>
      <c r="P198" s="9"/>
      <c r="Q198" s="9"/>
      <c r="R198" s="9"/>
      <c r="S198" s="9"/>
      <c r="T198" s="9"/>
      <c r="U198" s="9"/>
      <c r="V198" s="137"/>
      <c r="W198" s="150"/>
      <c r="AE198" s="82"/>
      <c r="AH198" s="184"/>
      <c r="AI198" s="184"/>
      <c r="AJ198" s="157"/>
    </row>
    <row r="199" spans="1:36" ht="11.25" customHeight="1" x14ac:dyDescent="0.2">
      <c r="A199" s="255"/>
      <c r="B199" s="1250"/>
      <c r="C199" s="254"/>
      <c r="D199" s="254"/>
      <c r="E199" s="1270"/>
      <c r="F199" s="1270"/>
      <c r="G199" s="1270"/>
      <c r="H199" s="1270"/>
      <c r="I199" s="1270"/>
      <c r="J199" s="143"/>
      <c r="K199" s="144"/>
      <c r="L199" s="143"/>
      <c r="M199" s="143"/>
      <c r="N199" s="143"/>
      <c r="O199" s="143"/>
      <c r="P199" s="143"/>
      <c r="Q199" s="143"/>
      <c r="R199" s="143"/>
      <c r="S199" s="143"/>
      <c r="T199" s="143"/>
      <c r="U199" s="143"/>
      <c r="V199" s="141"/>
      <c r="W199" s="1271"/>
      <c r="X199" s="464"/>
      <c r="Y199" s="464"/>
      <c r="Z199" s="464"/>
      <c r="AA199" s="464"/>
      <c r="AB199" s="464"/>
      <c r="AC199" s="464"/>
      <c r="AD199" s="464"/>
      <c r="AE199" s="1272"/>
      <c r="AF199" s="464"/>
      <c r="AG199" s="464"/>
      <c r="AH199" s="587"/>
      <c r="AI199" s="587"/>
      <c r="AJ199" s="251"/>
    </row>
    <row r="310" spans="37:37" ht="11.25" customHeight="1" x14ac:dyDescent="0.2">
      <c r="AK310" s="74" t="b">
        <v>1</v>
      </c>
    </row>
  </sheetData>
  <mergeCells count="73">
    <mergeCell ref="B197:I198"/>
    <mergeCell ref="B183:I184"/>
    <mergeCell ref="B185:I186"/>
    <mergeCell ref="B187:I188"/>
    <mergeCell ref="B189:I190"/>
    <mergeCell ref="B191:I192"/>
    <mergeCell ref="B193:I194"/>
    <mergeCell ref="B195:I196"/>
    <mergeCell ref="B177:I178"/>
    <mergeCell ref="B179:I180"/>
    <mergeCell ref="B181:I182"/>
    <mergeCell ref="B165:I166"/>
    <mergeCell ref="B167:I168"/>
    <mergeCell ref="B169:I170"/>
    <mergeCell ref="B171:I172"/>
    <mergeCell ref="B173:I174"/>
    <mergeCell ref="B155:I156"/>
    <mergeCell ref="B157:I158"/>
    <mergeCell ref="B159:I160"/>
    <mergeCell ref="B161:I162"/>
    <mergeCell ref="B163:I164"/>
    <mergeCell ref="AL109:AP109"/>
    <mergeCell ref="AQ109:AQ111"/>
    <mergeCell ref="Y7:Z7"/>
    <mergeCell ref="AA7:AE7"/>
    <mergeCell ref="Y78:Z78"/>
    <mergeCell ref="AA78:AE78"/>
    <mergeCell ref="AK8:AO8"/>
    <mergeCell ref="AL38:AP38"/>
    <mergeCell ref="Z8:Z9"/>
    <mergeCell ref="Y8:Y9"/>
    <mergeCell ref="B5:T6"/>
    <mergeCell ref="B7:B9"/>
    <mergeCell ref="D7:H7"/>
    <mergeCell ref="L7:Q7"/>
    <mergeCell ref="R7:R9"/>
    <mergeCell ref="P8:Q8"/>
    <mergeCell ref="P9:Q9"/>
    <mergeCell ref="I7:J9"/>
    <mergeCell ref="T7:T9"/>
    <mergeCell ref="M64:O64"/>
    <mergeCell ref="Q64:T64"/>
    <mergeCell ref="B35:T35"/>
    <mergeCell ref="A37:U37"/>
    <mergeCell ref="A38:U38"/>
    <mergeCell ref="M65:T65"/>
    <mergeCell ref="I78:J80"/>
    <mergeCell ref="T78:T80"/>
    <mergeCell ref="A70:U70"/>
    <mergeCell ref="A71:U71"/>
    <mergeCell ref="B76:T77"/>
    <mergeCell ref="B78:B80"/>
    <mergeCell ref="D78:H78"/>
    <mergeCell ref="L78:Q78"/>
    <mergeCell ref="R78:R80"/>
    <mergeCell ref="P79:Q79"/>
    <mergeCell ref="P80:Q80"/>
    <mergeCell ref="M136:T136"/>
    <mergeCell ref="Z79:Z80"/>
    <mergeCell ref="A141:U141"/>
    <mergeCell ref="A142:U142"/>
    <mergeCell ref="B175:I176"/>
    <mergeCell ref="M135:O135"/>
    <mergeCell ref="Q135:T135"/>
    <mergeCell ref="Y79:Y80"/>
    <mergeCell ref="B106:T106"/>
    <mergeCell ref="A108:U108"/>
    <mergeCell ref="A109:U109"/>
    <mergeCell ref="B145:I146"/>
    <mergeCell ref="B147:I148"/>
    <mergeCell ref="B149:I150"/>
    <mergeCell ref="B151:I152"/>
    <mergeCell ref="B153:I154"/>
  </mergeCells>
  <conditionalFormatting sqref="B10:B31 B51:C66 D10:H31 L10:P31">
    <cfRule type="containsErrors" dxfId="117" priority="83">
      <formula>ISERROR(B10)</formula>
    </cfRule>
  </conditionalFormatting>
  <conditionalFormatting sqref="T10:T31">
    <cfRule type="containsErrors" dxfId="116" priority="80">
      <formula>ISERROR(T10)</formula>
    </cfRule>
  </conditionalFormatting>
  <conditionalFormatting sqref="A10:A31">
    <cfRule type="cellIs" dxfId="115" priority="79" operator="equal">
      <formula>0</formula>
    </cfRule>
  </conditionalFormatting>
  <conditionalFormatting sqref="A1:A37 A39:A70 A200:A1048576">
    <cfRule type="containsErrors" dxfId="114" priority="78">
      <formula>ISERROR(A1)</formula>
    </cfRule>
  </conditionalFormatting>
  <conditionalFormatting sqref="AG10:AH28">
    <cfRule type="containsErrors" dxfId="113" priority="77">
      <formula>ISERROR(AG10)</formula>
    </cfRule>
  </conditionalFormatting>
  <conditionalFormatting sqref="AG10:AH21 AH22:AH28 J10:J32 I10:I31 AG81:AH92 AH93:AH99 J81:J103 I81:I102">
    <cfRule type="expression" dxfId="112" priority="76">
      <formula>$B10=$W$4</formula>
    </cfRule>
  </conditionalFormatting>
  <conditionalFormatting sqref="A38">
    <cfRule type="cellIs" dxfId="111" priority="74" operator="equal">
      <formula>0</formula>
    </cfRule>
    <cfRule type="containsErrors" dxfId="110" priority="75">
      <formula>ISERROR(A38)</formula>
    </cfRule>
  </conditionalFormatting>
  <conditionalFormatting sqref="A71">
    <cfRule type="cellIs" dxfId="109" priority="72" operator="equal">
      <formula>0</formula>
    </cfRule>
    <cfRule type="containsErrors" dxfId="108" priority="73">
      <formula>ISERROR(A71)</formula>
    </cfRule>
  </conditionalFormatting>
  <conditionalFormatting sqref="B81:B102 B122:C137 D81:H102 R81:R102 L81:P102">
    <cfRule type="containsErrors" dxfId="107" priority="82">
      <formula>ISERROR(B81)</formula>
    </cfRule>
  </conditionalFormatting>
  <conditionalFormatting sqref="T81:T102">
    <cfRule type="containsErrors" dxfId="106" priority="69">
      <formula>ISERROR(T81)</formula>
    </cfRule>
  </conditionalFormatting>
  <conditionalFormatting sqref="A81:A102">
    <cfRule type="cellIs" dxfId="105" priority="68" operator="equal">
      <formula>0</formula>
    </cfRule>
  </conditionalFormatting>
  <conditionalFormatting sqref="A75:A108 A110:A141">
    <cfRule type="containsErrors" dxfId="104" priority="67">
      <formula>ISERROR(A75)</formula>
    </cfRule>
  </conditionalFormatting>
  <conditionalFormatting sqref="AG81:AH99">
    <cfRule type="containsErrors" dxfId="103" priority="66">
      <formula>ISERROR(AG81)</formula>
    </cfRule>
  </conditionalFormatting>
  <conditionalFormatting sqref="R81:R102">
    <cfRule type="containsErrors" dxfId="102" priority="71">
      <formula>ISERROR(R81)</formula>
    </cfRule>
  </conditionalFormatting>
  <conditionalFormatting sqref="A109">
    <cfRule type="cellIs" dxfId="101" priority="64" operator="equal">
      <formula>0</formula>
    </cfRule>
    <cfRule type="containsErrors" dxfId="100" priority="65">
      <formula>ISERROR(A109)</formula>
    </cfRule>
  </conditionalFormatting>
  <conditionalFormatting sqref="A142">
    <cfRule type="cellIs" dxfId="99" priority="62" operator="equal">
      <formula>0</formula>
    </cfRule>
    <cfRule type="containsErrors" dxfId="98" priority="63">
      <formula>ISERROR(A142)</formula>
    </cfRule>
  </conditionalFormatting>
  <conditionalFormatting sqref="D8:H8">
    <cfRule type="containsErrors" dxfId="97" priority="59">
      <formula>ISERROR(D8)</formula>
    </cfRule>
  </conditionalFormatting>
  <conditionalFormatting sqref="D9:H9">
    <cfRule type="containsErrors" dxfId="96" priority="61">
      <formula>ISERROR(D9)</formula>
    </cfRule>
  </conditionalFormatting>
  <conditionalFormatting sqref="L8:P8">
    <cfRule type="containsErrors" dxfId="95" priority="58">
      <formula>ISERROR(L8)</formula>
    </cfRule>
  </conditionalFormatting>
  <conditionalFormatting sqref="L9:P9">
    <cfRule type="containsErrors" dxfId="94" priority="84">
      <formula>ISERROR(L9)</formula>
    </cfRule>
  </conditionalFormatting>
  <conditionalFormatting sqref="Q32">
    <cfRule type="containsErrors" dxfId="93" priority="56">
      <formula>ISERROR(Q32)</formula>
    </cfRule>
  </conditionalFormatting>
  <conditionalFormatting sqref="Q10:Q32">
    <cfRule type="containsErrors" dxfId="92" priority="54">
      <formula>ISERROR(Q10)</formula>
    </cfRule>
    <cfRule type="dataBar" priority="55">
      <dataBar showValue="0">
        <cfvo type="min"/>
        <cfvo type="max"/>
        <color theme="9"/>
      </dataBar>
      <extLst>
        <ext xmlns:x14="http://schemas.microsoft.com/office/spreadsheetml/2009/9/main" uri="{B025F937-C7B1-47D3-B67F-A62EFF666E3E}">
          <x14:id>{DAE83565-E6DD-47A2-A114-4466F2AD65E5}</x14:id>
        </ext>
      </extLst>
    </cfRule>
  </conditionalFormatting>
  <conditionalFormatting sqref="R10:R31">
    <cfRule type="containsErrors" dxfId="91" priority="52">
      <formula>ISERROR(R10)</formula>
    </cfRule>
  </conditionalFormatting>
  <conditionalFormatting sqref="Y3:AC3">
    <cfRule type="containsErrors" dxfId="90" priority="50">
      <formula>ISERROR(Y3)</formula>
    </cfRule>
  </conditionalFormatting>
  <conditionalFormatting sqref="Y2:AC2">
    <cfRule type="containsErrors" dxfId="89" priority="49">
      <formula>ISERROR(Y2)</formula>
    </cfRule>
  </conditionalFormatting>
  <conditionalFormatting sqref="X2">
    <cfRule type="containsErrors" dxfId="88" priority="47">
      <formula>ISERROR(X2)</formula>
    </cfRule>
  </conditionalFormatting>
  <conditionalFormatting sqref="X3">
    <cfRule type="containsErrors" dxfId="87" priority="48">
      <formula>ISERROR(X3)</formula>
    </cfRule>
  </conditionalFormatting>
  <conditionalFormatting sqref="D79:H79">
    <cfRule type="containsErrors" dxfId="86" priority="43">
      <formula>ISERROR(D79)</formula>
    </cfRule>
  </conditionalFormatting>
  <conditionalFormatting sqref="D80:H80">
    <cfRule type="containsErrors" dxfId="85" priority="45">
      <formula>ISERROR(D80)</formula>
    </cfRule>
  </conditionalFormatting>
  <conditionalFormatting sqref="L79:P79">
    <cfRule type="containsErrors" dxfId="84" priority="42">
      <formula>ISERROR(L79)</formula>
    </cfRule>
  </conditionalFormatting>
  <conditionalFormatting sqref="L80:P80">
    <cfRule type="containsErrors" dxfId="83" priority="44">
      <formula>ISERROR(L80)</formula>
    </cfRule>
  </conditionalFormatting>
  <conditionalFormatting sqref="Q103">
    <cfRule type="containsErrors" dxfId="82" priority="41">
      <formula>ISERROR(Q103)</formula>
    </cfRule>
  </conditionalFormatting>
  <conditionalFormatting sqref="Q81:Q103">
    <cfRule type="containsErrors" dxfId="81" priority="39">
      <formula>ISERROR(Q81)</formula>
    </cfRule>
    <cfRule type="dataBar" priority="40">
      <dataBar showValue="0">
        <cfvo type="min"/>
        <cfvo type="max"/>
        <color theme="9"/>
      </dataBar>
      <extLst>
        <ext xmlns:x14="http://schemas.microsoft.com/office/spreadsheetml/2009/9/main" uri="{B025F937-C7B1-47D3-B67F-A62EFF666E3E}">
          <x14:id>{F9DA7616-9E4B-429F-ABE8-54DA71259FA2}</x14:id>
        </ext>
      </extLst>
    </cfRule>
  </conditionalFormatting>
  <conditionalFormatting sqref="D33:H33 K33:T33">
    <cfRule type="containsErrors" dxfId="80" priority="35">
      <formula>ISERROR(D33)</formula>
    </cfRule>
  </conditionalFormatting>
  <conditionalFormatting sqref="D104:H104 K104:T104">
    <cfRule type="containsErrors" dxfId="79" priority="32">
      <formula>ISERROR(D104)</formula>
    </cfRule>
  </conditionalFormatting>
  <conditionalFormatting sqref="AA9:AE9">
    <cfRule type="cellIs" dxfId="78" priority="31" stopIfTrue="1" operator="equal">
      <formula>0</formula>
    </cfRule>
  </conditionalFormatting>
  <conditionalFormatting sqref="AA80:AE80">
    <cfRule type="cellIs" dxfId="77" priority="30" stopIfTrue="1" operator="equal">
      <formula>0</formula>
    </cfRule>
  </conditionalFormatting>
  <conditionalFormatting sqref="A72:A74">
    <cfRule type="containsErrors" dxfId="76" priority="29">
      <formula>ISERROR(A72)</formula>
    </cfRule>
  </conditionalFormatting>
  <conditionalFormatting sqref="J10:J32">
    <cfRule type="containsErrors" dxfId="75" priority="22">
      <formula>ISERROR(J10)</formula>
    </cfRule>
  </conditionalFormatting>
  <conditionalFormatting sqref="B10:B31 T10:T31 L10:P31 Q10:R32 D10:I31 B51:C66 R81:R102 B81:B102 Q81:Q103 T81:T102 L81:P102 D81:J102 B122:C137">
    <cfRule type="expression" dxfId="74" priority="21">
      <formula>$B10=$Y$4</formula>
    </cfRule>
  </conditionalFormatting>
  <conditionalFormatting sqref="J32">
    <cfRule type="containsErrors" dxfId="73" priority="20">
      <formula>ISERROR(J32)</formula>
    </cfRule>
  </conditionalFormatting>
  <conditionalFormatting sqref="J10:J32">
    <cfRule type="dataBar" priority="23">
      <dataBar showValue="0">
        <cfvo type="min"/>
        <cfvo type="max"/>
        <color theme="9"/>
      </dataBar>
      <extLst>
        <ext xmlns:x14="http://schemas.microsoft.com/office/spreadsheetml/2009/9/main" uri="{B025F937-C7B1-47D3-B67F-A62EFF666E3E}">
          <x14:id>{6C29C9A4-D1CA-4FAB-B268-F513545F03E5}</x14:id>
        </ext>
      </extLst>
    </cfRule>
  </conditionalFormatting>
  <conditionalFormatting sqref="I10:I31">
    <cfRule type="containsErrors" dxfId="72" priority="5">
      <formula>ISERROR(I10)</formula>
    </cfRule>
    <cfRule type="containsErrors" dxfId="71" priority="18">
      <formula>ISERROR(I10)</formula>
    </cfRule>
  </conditionalFormatting>
  <conditionalFormatting sqref="I32">
    <cfRule type="containsErrors" dxfId="70" priority="17">
      <formula>ISERROR(I32)</formula>
    </cfRule>
  </conditionalFormatting>
  <conditionalFormatting sqref="I33:J33">
    <cfRule type="containsErrors" dxfId="69" priority="16">
      <formula>ISERROR(I33)</formula>
    </cfRule>
  </conditionalFormatting>
  <conditionalFormatting sqref="L32:P32">
    <cfRule type="containsErrors" dxfId="68" priority="15">
      <formula>ISERROR(L32)</formula>
    </cfRule>
  </conditionalFormatting>
  <conditionalFormatting sqref="J81:J103">
    <cfRule type="containsErrors" dxfId="67" priority="12">
      <formula>ISERROR(J81)</formula>
    </cfRule>
  </conditionalFormatting>
  <conditionalFormatting sqref="J103">
    <cfRule type="containsErrors" dxfId="66" priority="11">
      <formula>ISERROR(J103)</formula>
    </cfRule>
  </conditionalFormatting>
  <conditionalFormatting sqref="J81:J103">
    <cfRule type="dataBar" priority="13">
      <dataBar showValue="0">
        <cfvo type="min"/>
        <cfvo type="max"/>
        <color theme="9"/>
      </dataBar>
      <extLst>
        <ext xmlns:x14="http://schemas.microsoft.com/office/spreadsheetml/2009/9/main" uri="{B025F937-C7B1-47D3-B67F-A62EFF666E3E}">
          <x14:id>{880C3688-A3B7-4C37-AE34-64940D92E967}</x14:id>
        </ext>
      </extLst>
    </cfRule>
  </conditionalFormatting>
  <conditionalFormatting sqref="I81:I102">
    <cfRule type="containsErrors" dxfId="65" priority="6">
      <formula>ISERROR(I81)</formula>
    </cfRule>
    <cfRule type="containsErrors" dxfId="64" priority="10">
      <formula>ISERROR(I81)</formula>
    </cfRule>
  </conditionalFormatting>
  <conditionalFormatting sqref="I103">
    <cfRule type="containsErrors" dxfId="63" priority="9">
      <formula>ISERROR(I103)</formula>
    </cfRule>
  </conditionalFormatting>
  <conditionalFormatting sqref="I104:J104">
    <cfRule type="containsErrors" dxfId="62" priority="8">
      <formula>ISERROR(I104)</formula>
    </cfRule>
  </conditionalFormatting>
  <conditionalFormatting sqref="L103:P103">
    <cfRule type="containsErrors" dxfId="61" priority="7">
      <formula>ISERROR(L103)</formula>
    </cfRule>
  </conditionalFormatting>
  <conditionalFormatting sqref="AL111:AP111">
    <cfRule type="cellIs" dxfId="60" priority="4" stopIfTrue="1" operator="equal">
      <formula>0</formula>
    </cfRule>
  </conditionalFormatting>
  <conditionalFormatting sqref="L80:Q80">
    <cfRule type="containsErrors" dxfId="59" priority="1">
      <formula>ISERROR(L80)</formula>
    </cfRule>
  </conditionalFormatting>
  <hyperlinks>
    <hyperlink ref="B149:H150" location="IDACI!A1" display="IDACI" xr:uid="{00000000-0004-0000-2000-000000000000}"/>
    <hyperlink ref="B181:I182" location="ROSGO!A1" display="Child Arrangement &amp; Special Guardianship Orders" xr:uid="{00000000-0004-0000-2000-000001000000}"/>
    <hyperlink ref="B153:G154" location="EH_Referrals!A1" display="Early Help Referrals" xr:uid="{00000000-0004-0000-2000-000002000000}"/>
    <hyperlink ref="B155:G156" location="EH_Assessments!A1" display="Early Help Assessments" xr:uid="{00000000-0004-0000-2000-000003000000}"/>
    <hyperlink ref="B157:G158" location="EH_Clients!A1" display="Early Help Clients" xr:uid="{00000000-0004-0000-2000-000004000000}"/>
    <hyperlink ref="B181:E182" location="ROSGO!A1" display="Child Arrangement &amp; Special Guardianship Orders" xr:uid="{00000000-0004-0000-2000-000005000000}"/>
    <hyperlink ref="B153:E154" location="EH_Referrals!A1" display="Early Help Referrals" xr:uid="{00000000-0004-0000-2000-000006000000}"/>
    <hyperlink ref="B155:E156" location="EH_Assessments!A1" display="Early Help Assessments" xr:uid="{00000000-0004-0000-2000-000007000000}"/>
    <hyperlink ref="B157:E158" location="EH_Clients!A1" display="Early Help Clients" xr:uid="{00000000-0004-0000-2000-000008000000}"/>
    <hyperlink ref="B151:D152" location="IDACI!A1" display="IDACI" xr:uid="{00000000-0004-0000-2000-000009000000}"/>
    <hyperlink ref="B189:D190" location="ROSGO!A1" display="Child Arrangement &amp; Special Guardianship Orders" xr:uid="{00000000-0004-0000-2000-00000A000000}"/>
    <hyperlink ref="B157:D158" location="EH_Referrals!A1" display="Early Help Referrals" xr:uid="{00000000-0004-0000-2000-00000B000000}"/>
    <hyperlink ref="B159:D160" location="EH_Assessments!A1" display="Early Help Assessments" xr:uid="{00000000-0004-0000-2000-00000C000000}"/>
    <hyperlink ref="B161:D162" location="EH_Clients!A1" display="Early Help Clients" xr:uid="{00000000-0004-0000-2000-00000D000000}"/>
    <hyperlink ref="B147:D148" location="Indicators!A1" display="Indicators" xr:uid="{00000000-0004-0000-2000-00000E000000}"/>
    <hyperlink ref="B155:D156" location="Contacts!A1" display="Contacts" xr:uid="{00000000-0004-0000-2000-00000F000000}"/>
    <hyperlink ref="B183:D184" location="New_Ceased_LAC!A1" display="New/ Ceased Looked After Children" xr:uid="{00000000-0004-0000-2000-000010000000}"/>
    <hyperlink ref="B185:D186" location="Care_Leavers!A1" display="Care Leavers" xr:uid="{00000000-0004-0000-2000-000011000000}"/>
    <hyperlink ref="B197:D198" location="EHE_CME!A1" display="Elective Home Education &amp; Children Missing Education" xr:uid="{00000000-0004-0000-2000-000012000000}"/>
    <hyperlink ref="B191:D192" location="NEET!A1" display="Participation (NEET)" xr:uid="{00000000-0004-0000-2000-000013000000}"/>
    <hyperlink ref="B193:D194" location="Offending!A1" display="Offending" xr:uid="{00000000-0004-0000-2000-000014000000}"/>
    <hyperlink ref="B195:D196" location="EHCP!A1" display="Education Health and Care Plans (EHCP)" xr:uid="{00000000-0004-0000-2000-000015000000}"/>
    <hyperlink ref="B149:B150" location="Coverage!A1" display="Participating LA's" xr:uid="{00000000-0004-0000-2000-000016000000}"/>
    <hyperlink ref="B151:B152" location="IDACI!A1" display="IDACI" xr:uid="{00000000-0004-0000-2000-000017000000}"/>
    <hyperlink ref="B187:B188" location="Adoption!A1" display="Adoption" xr:uid="{00000000-0004-0000-2000-000018000000}"/>
    <hyperlink ref="B181:B182" location="'Looked After Children'!A1" display="Looked After Children" xr:uid="{00000000-0004-0000-2000-000019000000}"/>
    <hyperlink ref="B179:B180" location="'Court Applications'!A1" display="Court Applications" xr:uid="{00000000-0004-0000-2000-00001A000000}"/>
    <hyperlink ref="B177:B178" location="'Child Protection Plans'!A1" display="Child Protection Plans" xr:uid="{00000000-0004-0000-2000-00001B000000}"/>
    <hyperlink ref="B175:B176" location="'Initial CP Conferences'!A1" display="Initial Child Protection Conferences" xr:uid="{00000000-0004-0000-2000-00001C000000}"/>
    <hyperlink ref="B173:B174" location="'Section 47 Enquiries'!A1" display="Section 47 Enquiries" xr:uid="{00000000-0004-0000-2000-00001D000000}"/>
    <hyperlink ref="B171:B172" location="'Children in Need'!A1" display="Children in Need" xr:uid="{00000000-0004-0000-2000-00001E000000}"/>
    <hyperlink ref="B169:B170" location="Assessments!A1" display="Assessments" xr:uid="{00000000-0004-0000-2000-00001F000000}"/>
    <hyperlink ref="B167:B168" location="'Re-referrals'!A1" display="Re-referrals" xr:uid="{00000000-0004-0000-2000-000020000000}"/>
    <hyperlink ref="B165:B166" location="Referral_Source!A1" display="Referral Source" xr:uid="{00000000-0004-0000-2000-000021000000}"/>
    <hyperlink ref="B163:B164" location="Referrals!A1" display="Referrals" xr:uid="{00000000-0004-0000-2000-000022000000}"/>
    <hyperlink ref="B153:B154" location="Population!A1" display="Population" xr:uid="{00000000-0004-0000-2000-000023000000}"/>
    <hyperlink ref="B151:C152" location="IDACI!A1" display="IDACI" xr:uid="{00000000-0004-0000-2000-000024000000}"/>
    <hyperlink ref="B189:B190" location="Adoption!A1" display="Adoption" xr:uid="{00000000-0004-0000-2000-000025000000}"/>
    <hyperlink ref="B189:C190" location="ROSGO!A1" display="Child Arrangement &amp; Special Guardianship Orders" xr:uid="{00000000-0004-0000-2000-000026000000}"/>
    <hyperlink ref="B157:B158" location="CAF_EHA!A1" display="CAF (EHA's)" xr:uid="{00000000-0004-0000-2000-000027000000}"/>
    <hyperlink ref="B161:B162" location="CAF_EHA!A1" display="CAF (EHA's)" xr:uid="{00000000-0004-0000-2000-000028000000}"/>
    <hyperlink ref="B159:B160" location="CAF_EHA!A1" display="CAF (EHA's)" xr:uid="{00000000-0004-0000-2000-000029000000}"/>
    <hyperlink ref="B157:C158" location="EH_Referrals!A1" display="Early Help Referrals" xr:uid="{00000000-0004-0000-2000-00002A000000}"/>
    <hyperlink ref="B159:C160" location="EH_Assessments!A1" display="Early Help Assessments" xr:uid="{00000000-0004-0000-2000-00002B000000}"/>
    <hyperlink ref="B161:C162" location="EH_Clients!A1" display="Early Help Clients" xr:uid="{00000000-0004-0000-2000-00002C000000}"/>
    <hyperlink ref="B147:B148" location="Coverage!A1" display="Participating LA's" xr:uid="{00000000-0004-0000-2000-00002D000000}"/>
    <hyperlink ref="B147:C148" location="Indicators!A1" display="Indicators" xr:uid="{00000000-0004-0000-2000-00002E000000}"/>
    <hyperlink ref="B155:B156" location="Population!A1" display="Population" xr:uid="{00000000-0004-0000-2000-00002F000000}"/>
    <hyperlink ref="B155:C156" location="Contacts!A1" display="Contacts" xr:uid="{00000000-0004-0000-2000-000030000000}"/>
    <hyperlink ref="B185:B186" location="'Looked After Children'!A1" display="Looked After Children" xr:uid="{00000000-0004-0000-2000-000031000000}"/>
    <hyperlink ref="B183:B184" location="'Court Applications'!A1" display="Court Applications" xr:uid="{00000000-0004-0000-2000-000032000000}"/>
    <hyperlink ref="B183:C184" location="New_Ceased_LAC!A1" display="New/ Ceased Looked After Children" xr:uid="{00000000-0004-0000-2000-000033000000}"/>
    <hyperlink ref="B185:C186" location="Care_Leavers!A1" display="Care Leavers" xr:uid="{00000000-0004-0000-2000-000034000000}"/>
    <hyperlink ref="B196:B198" location="Adoption!A1" display="Adoption" xr:uid="{00000000-0004-0000-2000-000035000000}"/>
    <hyperlink ref="B193:B194" location="'Looked After Children'!A1" display="Looked After Children" xr:uid="{00000000-0004-0000-2000-000036000000}"/>
    <hyperlink ref="B191:B192" location="'Court Applications'!A1" display="Court Applications" xr:uid="{00000000-0004-0000-2000-000037000000}"/>
    <hyperlink ref="B191:C192" location="NEET!A1" display="Participation (NEET)" xr:uid="{00000000-0004-0000-2000-000038000000}"/>
    <hyperlink ref="B193:C194" location="Offending!A1" display="Offending" xr:uid="{00000000-0004-0000-2000-000039000000}"/>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1" manualBreakCount="1">
    <brk id="38"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83297" r:id="rId4" name="Check Box 1">
              <controlPr defaultSize="0" autoFill="0" autoLine="0" autoPict="0" macro="[0]!CheckBox1_Click" altText="">
                <anchor>
                  <from>
                    <xdr:col>22</xdr:col>
                    <xdr:colOff>85725</xdr:colOff>
                    <xdr:row>39</xdr:row>
                    <xdr:rowOff>19050</xdr:rowOff>
                  </from>
                  <to>
                    <xdr:col>35</xdr:col>
                    <xdr:colOff>57150</xdr:colOff>
                    <xdr:row>41</xdr:row>
                    <xdr:rowOff>0</xdr:rowOff>
                  </to>
                </anchor>
              </controlPr>
            </control>
          </mc:Choice>
        </mc:AlternateContent>
        <mc:AlternateContent xmlns:mc="http://schemas.openxmlformats.org/markup-compatibility/2006">
          <mc:Choice Requires="x14">
            <control shapeId="183298" r:id="rId5" name="Check Box 2">
              <controlPr defaultSize="0" autoFill="0" autoLine="0" autoPict="0" macro="[0]!CheckBox1_Click" altText="">
                <anchor>
                  <from>
                    <xdr:col>22</xdr:col>
                    <xdr:colOff>85725</xdr:colOff>
                    <xdr:row>40</xdr:row>
                    <xdr:rowOff>142875</xdr:rowOff>
                  </from>
                  <to>
                    <xdr:col>35</xdr:col>
                    <xdr:colOff>57150</xdr:colOff>
                    <xdr:row>42</xdr:row>
                    <xdr:rowOff>0</xdr:rowOff>
                  </to>
                </anchor>
              </controlPr>
            </control>
          </mc:Choice>
        </mc:AlternateContent>
        <mc:AlternateContent xmlns:mc="http://schemas.openxmlformats.org/markup-compatibility/2006">
          <mc:Choice Requires="x14">
            <control shapeId="183299" r:id="rId6" name="Check Box 3">
              <controlPr defaultSize="0" autoFill="0" autoLine="0" autoPict="0" macro="[0]!CheckBox1_Click" altText="">
                <anchor>
                  <from>
                    <xdr:col>22</xdr:col>
                    <xdr:colOff>85725</xdr:colOff>
                    <xdr:row>41</xdr:row>
                    <xdr:rowOff>142875</xdr:rowOff>
                  </from>
                  <to>
                    <xdr:col>35</xdr:col>
                    <xdr:colOff>57150</xdr:colOff>
                    <xdr:row>43</xdr:row>
                    <xdr:rowOff>0</xdr:rowOff>
                  </to>
                </anchor>
              </controlPr>
            </control>
          </mc:Choice>
        </mc:AlternateContent>
        <mc:AlternateContent xmlns:mc="http://schemas.openxmlformats.org/markup-compatibility/2006">
          <mc:Choice Requires="x14">
            <control shapeId="183300" r:id="rId7" name="Check Box 4">
              <controlPr defaultSize="0" autoFill="0" autoLine="0" autoPict="0" macro="[0]!CheckBox1_Click" altText="">
                <anchor>
                  <from>
                    <xdr:col>22</xdr:col>
                    <xdr:colOff>85725</xdr:colOff>
                    <xdr:row>42</xdr:row>
                    <xdr:rowOff>142875</xdr:rowOff>
                  </from>
                  <to>
                    <xdr:col>35</xdr:col>
                    <xdr:colOff>57150</xdr:colOff>
                    <xdr:row>44</xdr:row>
                    <xdr:rowOff>0</xdr:rowOff>
                  </to>
                </anchor>
              </controlPr>
            </control>
          </mc:Choice>
        </mc:AlternateContent>
        <mc:AlternateContent xmlns:mc="http://schemas.openxmlformats.org/markup-compatibility/2006">
          <mc:Choice Requires="x14">
            <control shapeId="183301" r:id="rId8" name="Check Box 5">
              <controlPr defaultSize="0" autoFill="0" autoLine="0" autoPict="0" macro="[0]!CheckBox1_Click" altText="">
                <anchor>
                  <from>
                    <xdr:col>22</xdr:col>
                    <xdr:colOff>85725</xdr:colOff>
                    <xdr:row>43</xdr:row>
                    <xdr:rowOff>142875</xdr:rowOff>
                  </from>
                  <to>
                    <xdr:col>35</xdr:col>
                    <xdr:colOff>57150</xdr:colOff>
                    <xdr:row>45</xdr:row>
                    <xdr:rowOff>0</xdr:rowOff>
                  </to>
                </anchor>
              </controlPr>
            </control>
          </mc:Choice>
        </mc:AlternateContent>
        <mc:AlternateContent xmlns:mc="http://schemas.openxmlformats.org/markup-compatibility/2006">
          <mc:Choice Requires="x14">
            <control shapeId="183302" r:id="rId9" name="Check Box 6">
              <controlPr defaultSize="0" autoFill="0" autoLine="0" autoPict="0" macro="[0]!CheckBox1_Click" altText="">
                <anchor>
                  <from>
                    <xdr:col>22</xdr:col>
                    <xdr:colOff>85725</xdr:colOff>
                    <xdr:row>44</xdr:row>
                    <xdr:rowOff>142875</xdr:rowOff>
                  </from>
                  <to>
                    <xdr:col>35</xdr:col>
                    <xdr:colOff>57150</xdr:colOff>
                    <xdr:row>46</xdr:row>
                    <xdr:rowOff>0</xdr:rowOff>
                  </to>
                </anchor>
              </controlPr>
            </control>
          </mc:Choice>
        </mc:AlternateContent>
        <mc:AlternateContent xmlns:mc="http://schemas.openxmlformats.org/markup-compatibility/2006">
          <mc:Choice Requires="x14">
            <control shapeId="183303" r:id="rId10" name="Check Box 7">
              <controlPr defaultSize="0" autoFill="0" autoLine="0" autoPict="0" macro="[0]!CheckBox1_Click" altText="">
                <anchor>
                  <from>
                    <xdr:col>22</xdr:col>
                    <xdr:colOff>85725</xdr:colOff>
                    <xdr:row>45</xdr:row>
                    <xdr:rowOff>142875</xdr:rowOff>
                  </from>
                  <to>
                    <xdr:col>35</xdr:col>
                    <xdr:colOff>57150</xdr:colOff>
                    <xdr:row>47</xdr:row>
                    <xdr:rowOff>0</xdr:rowOff>
                  </to>
                </anchor>
              </controlPr>
            </control>
          </mc:Choice>
        </mc:AlternateContent>
        <mc:AlternateContent xmlns:mc="http://schemas.openxmlformats.org/markup-compatibility/2006">
          <mc:Choice Requires="x14">
            <control shapeId="183304" r:id="rId11" name="Check Box 8">
              <controlPr defaultSize="0" autoFill="0" autoLine="0" autoPict="0" macro="[0]!CheckBox1_Click" altText="">
                <anchor>
                  <from>
                    <xdr:col>22</xdr:col>
                    <xdr:colOff>85725</xdr:colOff>
                    <xdr:row>46</xdr:row>
                    <xdr:rowOff>142875</xdr:rowOff>
                  </from>
                  <to>
                    <xdr:col>35</xdr:col>
                    <xdr:colOff>57150</xdr:colOff>
                    <xdr:row>48</xdr:row>
                    <xdr:rowOff>0</xdr:rowOff>
                  </to>
                </anchor>
              </controlPr>
            </control>
          </mc:Choice>
        </mc:AlternateContent>
        <mc:AlternateContent xmlns:mc="http://schemas.openxmlformats.org/markup-compatibility/2006">
          <mc:Choice Requires="x14">
            <control shapeId="183305" r:id="rId12" name="Check Box 9">
              <controlPr defaultSize="0" autoFill="0" autoLine="0" autoPict="0" macro="[0]!CheckBox1_Click" altText="">
                <anchor>
                  <from>
                    <xdr:col>22</xdr:col>
                    <xdr:colOff>85725</xdr:colOff>
                    <xdr:row>47</xdr:row>
                    <xdr:rowOff>142875</xdr:rowOff>
                  </from>
                  <to>
                    <xdr:col>35</xdr:col>
                    <xdr:colOff>57150</xdr:colOff>
                    <xdr:row>49</xdr:row>
                    <xdr:rowOff>0</xdr:rowOff>
                  </to>
                </anchor>
              </controlPr>
            </control>
          </mc:Choice>
        </mc:AlternateContent>
        <mc:AlternateContent xmlns:mc="http://schemas.openxmlformats.org/markup-compatibility/2006">
          <mc:Choice Requires="x14">
            <control shapeId="183306" r:id="rId13" name="Check Box 10">
              <controlPr defaultSize="0" autoFill="0" autoLine="0" autoPict="0" macro="[0]!CheckBox1_Click" altText="">
                <anchor>
                  <from>
                    <xdr:col>22</xdr:col>
                    <xdr:colOff>85725</xdr:colOff>
                    <xdr:row>48</xdr:row>
                    <xdr:rowOff>142875</xdr:rowOff>
                  </from>
                  <to>
                    <xdr:col>35</xdr:col>
                    <xdr:colOff>57150</xdr:colOff>
                    <xdr:row>50</xdr:row>
                    <xdr:rowOff>0</xdr:rowOff>
                  </to>
                </anchor>
              </controlPr>
            </control>
          </mc:Choice>
        </mc:AlternateContent>
        <mc:AlternateContent xmlns:mc="http://schemas.openxmlformats.org/markup-compatibility/2006">
          <mc:Choice Requires="x14">
            <control shapeId="183307" r:id="rId14" name="Check Box 11">
              <controlPr defaultSize="0" autoFill="0" autoLine="0" autoPict="0" macro="[0]!CheckBox1_Click" altText="">
                <anchor>
                  <from>
                    <xdr:col>22</xdr:col>
                    <xdr:colOff>85725</xdr:colOff>
                    <xdr:row>49</xdr:row>
                    <xdr:rowOff>142875</xdr:rowOff>
                  </from>
                  <to>
                    <xdr:col>35</xdr:col>
                    <xdr:colOff>57150</xdr:colOff>
                    <xdr:row>51</xdr:row>
                    <xdr:rowOff>0</xdr:rowOff>
                  </to>
                </anchor>
              </controlPr>
            </control>
          </mc:Choice>
        </mc:AlternateContent>
        <mc:AlternateContent xmlns:mc="http://schemas.openxmlformats.org/markup-compatibility/2006">
          <mc:Choice Requires="x14">
            <control shapeId="183308" r:id="rId15" name="Check Box 12">
              <controlPr defaultSize="0" autoFill="0" autoLine="0" autoPict="0" macro="[0]!CheckBox1_Click" altText="">
                <anchor>
                  <from>
                    <xdr:col>22</xdr:col>
                    <xdr:colOff>85725</xdr:colOff>
                    <xdr:row>50</xdr:row>
                    <xdr:rowOff>142875</xdr:rowOff>
                  </from>
                  <to>
                    <xdr:col>35</xdr:col>
                    <xdr:colOff>57150</xdr:colOff>
                    <xdr:row>52</xdr:row>
                    <xdr:rowOff>0</xdr:rowOff>
                  </to>
                </anchor>
              </controlPr>
            </control>
          </mc:Choice>
        </mc:AlternateContent>
        <mc:AlternateContent xmlns:mc="http://schemas.openxmlformats.org/markup-compatibility/2006">
          <mc:Choice Requires="x14">
            <control shapeId="183309" r:id="rId16" name="Check Box 13">
              <controlPr defaultSize="0" autoFill="0" autoLine="0" autoPict="0" macro="[0]!CheckBox1_Click" altText="">
                <anchor>
                  <from>
                    <xdr:col>22</xdr:col>
                    <xdr:colOff>85725</xdr:colOff>
                    <xdr:row>51</xdr:row>
                    <xdr:rowOff>142875</xdr:rowOff>
                  </from>
                  <to>
                    <xdr:col>35</xdr:col>
                    <xdr:colOff>57150</xdr:colOff>
                    <xdr:row>53</xdr:row>
                    <xdr:rowOff>0</xdr:rowOff>
                  </to>
                </anchor>
              </controlPr>
            </control>
          </mc:Choice>
        </mc:AlternateContent>
        <mc:AlternateContent xmlns:mc="http://schemas.openxmlformats.org/markup-compatibility/2006">
          <mc:Choice Requires="x14">
            <control shapeId="183310" r:id="rId17" name="Check Box 14">
              <controlPr defaultSize="0" autoFill="0" autoLine="0" autoPict="0" macro="[0]!CheckBox1_Click" altText="">
                <anchor>
                  <from>
                    <xdr:col>22</xdr:col>
                    <xdr:colOff>85725</xdr:colOff>
                    <xdr:row>52</xdr:row>
                    <xdr:rowOff>142875</xdr:rowOff>
                  </from>
                  <to>
                    <xdr:col>35</xdr:col>
                    <xdr:colOff>57150</xdr:colOff>
                    <xdr:row>54</xdr:row>
                    <xdr:rowOff>0</xdr:rowOff>
                  </to>
                </anchor>
              </controlPr>
            </control>
          </mc:Choice>
        </mc:AlternateContent>
        <mc:AlternateContent xmlns:mc="http://schemas.openxmlformats.org/markup-compatibility/2006">
          <mc:Choice Requires="x14">
            <control shapeId="183311" r:id="rId18" name="Check Box 15">
              <controlPr defaultSize="0" autoFill="0" autoLine="0" autoPict="0" macro="[0]!CheckBox1_Click" altText="">
                <anchor>
                  <from>
                    <xdr:col>22</xdr:col>
                    <xdr:colOff>85725</xdr:colOff>
                    <xdr:row>53</xdr:row>
                    <xdr:rowOff>142875</xdr:rowOff>
                  </from>
                  <to>
                    <xdr:col>35</xdr:col>
                    <xdr:colOff>57150</xdr:colOff>
                    <xdr:row>55</xdr:row>
                    <xdr:rowOff>0</xdr:rowOff>
                  </to>
                </anchor>
              </controlPr>
            </control>
          </mc:Choice>
        </mc:AlternateContent>
        <mc:AlternateContent xmlns:mc="http://schemas.openxmlformats.org/markup-compatibility/2006">
          <mc:Choice Requires="x14">
            <control shapeId="183312" r:id="rId19" name="Check Box 16">
              <controlPr defaultSize="0" autoFill="0" autoLine="0" autoPict="0" macro="[0]!CheckBox1_Click" altText="">
                <anchor>
                  <from>
                    <xdr:col>22</xdr:col>
                    <xdr:colOff>85725</xdr:colOff>
                    <xdr:row>54</xdr:row>
                    <xdr:rowOff>142875</xdr:rowOff>
                  </from>
                  <to>
                    <xdr:col>35</xdr:col>
                    <xdr:colOff>57150</xdr:colOff>
                    <xdr:row>56</xdr:row>
                    <xdr:rowOff>0</xdr:rowOff>
                  </to>
                </anchor>
              </controlPr>
            </control>
          </mc:Choice>
        </mc:AlternateContent>
        <mc:AlternateContent xmlns:mc="http://schemas.openxmlformats.org/markup-compatibility/2006">
          <mc:Choice Requires="x14">
            <control shapeId="183313" r:id="rId20" name="Check Box 17">
              <controlPr defaultSize="0" autoFill="0" autoLine="0" autoPict="0" macro="[0]!CheckBox1_Click" altText="">
                <anchor>
                  <from>
                    <xdr:col>22</xdr:col>
                    <xdr:colOff>85725</xdr:colOff>
                    <xdr:row>57</xdr:row>
                    <xdr:rowOff>142875</xdr:rowOff>
                  </from>
                  <to>
                    <xdr:col>35</xdr:col>
                    <xdr:colOff>57150</xdr:colOff>
                    <xdr:row>59</xdr:row>
                    <xdr:rowOff>0</xdr:rowOff>
                  </to>
                </anchor>
              </controlPr>
            </control>
          </mc:Choice>
        </mc:AlternateContent>
        <mc:AlternateContent xmlns:mc="http://schemas.openxmlformats.org/markup-compatibility/2006">
          <mc:Choice Requires="x14">
            <control shapeId="183314" r:id="rId21" name="Check Box 18">
              <controlPr defaultSize="0" autoFill="0" autoLine="0" autoPict="0" macro="[0]!CheckBox1_Click" altText="">
                <anchor>
                  <from>
                    <xdr:col>22</xdr:col>
                    <xdr:colOff>85725</xdr:colOff>
                    <xdr:row>58</xdr:row>
                    <xdr:rowOff>142875</xdr:rowOff>
                  </from>
                  <to>
                    <xdr:col>35</xdr:col>
                    <xdr:colOff>57150</xdr:colOff>
                    <xdr:row>60</xdr:row>
                    <xdr:rowOff>0</xdr:rowOff>
                  </to>
                </anchor>
              </controlPr>
            </control>
          </mc:Choice>
        </mc:AlternateContent>
        <mc:AlternateContent xmlns:mc="http://schemas.openxmlformats.org/markup-compatibility/2006">
          <mc:Choice Requires="x14">
            <control shapeId="183315" r:id="rId22" name="Check Box 19">
              <controlPr defaultSize="0" autoFill="0" autoLine="0" autoPict="0" macro="[0]!CheckBox1_Click" altText="">
                <anchor>
                  <from>
                    <xdr:col>22</xdr:col>
                    <xdr:colOff>85725</xdr:colOff>
                    <xdr:row>59</xdr:row>
                    <xdr:rowOff>142875</xdr:rowOff>
                  </from>
                  <to>
                    <xdr:col>35</xdr:col>
                    <xdr:colOff>57150</xdr:colOff>
                    <xdr:row>61</xdr:row>
                    <xdr:rowOff>0</xdr:rowOff>
                  </to>
                </anchor>
              </controlPr>
            </control>
          </mc:Choice>
        </mc:AlternateContent>
        <mc:AlternateContent xmlns:mc="http://schemas.openxmlformats.org/markup-compatibility/2006">
          <mc:Choice Requires="x14">
            <control shapeId="183316" r:id="rId23" name="Check Box 20">
              <controlPr defaultSize="0" autoFill="0" autoLine="0" autoPict="0" macro="[0]!CheckBox1_Click" altText="">
                <anchor>
                  <from>
                    <xdr:col>22</xdr:col>
                    <xdr:colOff>85725</xdr:colOff>
                    <xdr:row>60</xdr:row>
                    <xdr:rowOff>142875</xdr:rowOff>
                  </from>
                  <to>
                    <xdr:col>35</xdr:col>
                    <xdr:colOff>57150</xdr:colOff>
                    <xdr:row>62</xdr:row>
                    <xdr:rowOff>0</xdr:rowOff>
                  </to>
                </anchor>
              </controlPr>
            </control>
          </mc:Choice>
        </mc:AlternateContent>
        <mc:AlternateContent xmlns:mc="http://schemas.openxmlformats.org/markup-compatibility/2006">
          <mc:Choice Requires="x14">
            <control shapeId="183317" r:id="rId24" name="Check Box 21">
              <controlPr defaultSize="0" autoFill="0" autoLine="0" autoPict="0" macro="[0]!CheckBox1_Click" altText="">
                <anchor>
                  <from>
                    <xdr:col>22</xdr:col>
                    <xdr:colOff>85725</xdr:colOff>
                    <xdr:row>61</xdr:row>
                    <xdr:rowOff>142875</xdr:rowOff>
                  </from>
                  <to>
                    <xdr:col>35</xdr:col>
                    <xdr:colOff>57150</xdr:colOff>
                    <xdr:row>63</xdr:row>
                    <xdr:rowOff>0</xdr:rowOff>
                  </to>
                </anchor>
              </controlPr>
            </control>
          </mc:Choice>
        </mc:AlternateContent>
        <mc:AlternateContent xmlns:mc="http://schemas.openxmlformats.org/markup-compatibility/2006">
          <mc:Choice Requires="x14">
            <control shapeId="183318" r:id="rId25" name="Check Box 22">
              <controlPr defaultSize="0" autoFill="0" autoLine="0" autoPict="0" macro="[0]!CheckBox1_Click" altText="">
                <anchor>
                  <from>
                    <xdr:col>22</xdr:col>
                    <xdr:colOff>85725</xdr:colOff>
                    <xdr:row>55</xdr:row>
                    <xdr:rowOff>142875</xdr:rowOff>
                  </from>
                  <to>
                    <xdr:col>35</xdr:col>
                    <xdr:colOff>57150</xdr:colOff>
                    <xdr:row>57</xdr:row>
                    <xdr:rowOff>0</xdr:rowOff>
                  </to>
                </anchor>
              </controlPr>
            </control>
          </mc:Choice>
        </mc:AlternateContent>
        <mc:AlternateContent xmlns:mc="http://schemas.openxmlformats.org/markup-compatibility/2006">
          <mc:Choice Requires="x14">
            <control shapeId="183319" r:id="rId26" name="Check Box 23">
              <controlPr defaultSize="0" autoFill="0" autoLine="0" autoPict="0" macro="[0]!CheckBox1_Click" altText="">
                <anchor>
                  <from>
                    <xdr:col>22</xdr:col>
                    <xdr:colOff>85725</xdr:colOff>
                    <xdr:row>56</xdr:row>
                    <xdr:rowOff>142875</xdr:rowOff>
                  </from>
                  <to>
                    <xdr:col>35</xdr:col>
                    <xdr:colOff>57150</xdr:colOff>
                    <xdr:row>58</xdr:row>
                    <xdr:rowOff>0</xdr:rowOff>
                  </to>
                </anchor>
              </controlPr>
            </control>
          </mc:Choice>
        </mc:AlternateContent>
        <mc:AlternateContent xmlns:mc="http://schemas.openxmlformats.org/markup-compatibility/2006">
          <mc:Choice Requires="x14">
            <control shapeId="183320" r:id="rId27" name="Check Box 24">
              <controlPr defaultSize="0" autoFill="0" autoLine="0" autoPict="0" macro="[0]!CheckBox1_Click" altText="">
                <anchor>
                  <from>
                    <xdr:col>22</xdr:col>
                    <xdr:colOff>85725</xdr:colOff>
                    <xdr:row>62</xdr:row>
                    <xdr:rowOff>142875</xdr:rowOff>
                  </from>
                  <to>
                    <xdr:col>35</xdr:col>
                    <xdr:colOff>57150</xdr:colOff>
                    <xdr:row>64</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AE83565-E6DD-47A2-A114-4466F2AD65E5}">
            <x14:dataBar minLength="0" maxLength="100" gradient="0" negativeBarColorSameAsPositive="1">
              <x14:cfvo type="autoMin"/>
              <x14:cfvo type="autoMax"/>
              <x14:axisColor rgb="FF000000"/>
            </x14:dataBar>
          </x14:cfRule>
          <xm:sqref>Q10:Q32</xm:sqref>
        </x14:conditionalFormatting>
        <x14:conditionalFormatting xmlns:xm="http://schemas.microsoft.com/office/excel/2006/main">
          <x14:cfRule type="dataBar" id="{F9DA7616-9E4B-429F-ABE8-54DA71259FA2}">
            <x14:dataBar minLength="0" maxLength="100" gradient="0" negativeBarColorSameAsPositive="1">
              <x14:cfvo type="autoMin"/>
              <x14:cfvo type="autoMax"/>
              <x14:axisColor rgb="FF000000"/>
            </x14:dataBar>
          </x14:cfRule>
          <xm:sqref>Q81:Q103</xm:sqref>
        </x14:conditionalFormatting>
        <x14:conditionalFormatting xmlns:xm="http://schemas.microsoft.com/office/excel/2006/main">
          <x14:cfRule type="dataBar" id="{6C29C9A4-D1CA-4FAB-B268-F513545F03E5}">
            <x14:dataBar minLength="0" maxLength="100" gradient="0" negativeBarColorSameAsPositive="1" axisPosition="middle">
              <x14:cfvo type="autoMin"/>
              <x14:cfvo type="autoMax"/>
              <x14:axisColor theme="0" tint="-0.499984740745262"/>
            </x14:dataBar>
          </x14:cfRule>
          <xm:sqref>J10:J32</xm:sqref>
        </x14:conditionalFormatting>
        <x14:conditionalFormatting xmlns:xm="http://schemas.microsoft.com/office/excel/2006/main">
          <x14:cfRule type="dataBar" id="{880C3688-A3B7-4C37-AE34-64940D92E967}">
            <x14:dataBar minLength="0" maxLength="100" gradient="0" negativeBarColorSameAsPositive="1" axisPosition="middle">
              <x14:cfvo type="autoMin"/>
              <x14:cfvo type="autoMax"/>
              <x14:axisColor theme="0" tint="-0.499984740745262"/>
            </x14:dataBar>
          </x14:cfRule>
          <xm:sqref>J81:J103</xm:sqref>
        </x14:conditionalFormatting>
      </x14:conditionalFormatting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52">
    <tabColor rgb="FFFFC000"/>
  </sheetPr>
  <dimension ref="A1:BQ311"/>
  <sheetViews>
    <sheetView showRowColHeaders="0" topLeftCell="A154"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8" width="6.85546875" style="74" customWidth="1"/>
    <col min="9" max="9" width="7.42578125" style="74" customWidth="1"/>
    <col min="10" max="10" width="1.42578125" style="88" customWidth="1"/>
    <col min="11" max="15" width="6.85546875" style="74" customWidth="1"/>
    <col min="16" max="16" width="7.140625" style="74" customWidth="1"/>
    <col min="17" max="17" width="7.42578125" style="74" customWidth="1"/>
    <col min="18" max="18" width="1.42578125" style="74" customWidth="1"/>
    <col min="19" max="19" width="5.7109375" style="74" customWidth="1"/>
    <col min="20" max="20" width="8.28515625" style="74" customWidth="1"/>
    <col min="21" max="21" width="7.7109375" style="74" customWidth="1"/>
    <col min="22" max="22" width="2.140625" style="74" customWidth="1"/>
    <col min="23" max="23" width="6.42578125" style="80" customWidth="1"/>
    <col min="24" max="24" width="4.85546875" style="80" customWidth="1"/>
    <col min="25" max="25" width="17.85546875" style="81" hidden="1" customWidth="1"/>
    <col min="26" max="26" width="19.42578125" style="81" hidden="1" customWidth="1"/>
    <col min="27" max="27" width="19.85546875" style="81" hidden="1" customWidth="1"/>
    <col min="28" max="29" width="16.5703125" style="81" hidden="1" customWidth="1"/>
    <col min="30" max="30" width="8.5703125" style="81" hidden="1" customWidth="1"/>
    <col min="31" max="31" width="17" style="81" hidden="1" customWidth="1"/>
    <col min="32" max="32" width="8.5703125" style="81" hidden="1" customWidth="1"/>
    <col min="33" max="33" width="17" style="81" hidden="1" customWidth="1"/>
    <col min="34" max="35" width="6.5703125" style="81" hidden="1" customWidth="1"/>
    <col min="36" max="36" width="6.5703125" style="74" hidden="1" customWidth="1"/>
    <col min="37" max="37" width="31.5703125" style="184" customWidth="1"/>
    <col min="38" max="38" width="17" style="74" hidden="1" customWidth="1"/>
    <col min="39" max="43" width="13.5703125" style="74" hidden="1" customWidth="1"/>
    <col min="44" max="55" width="9.140625" style="74" hidden="1" customWidth="1"/>
    <col min="56" max="69" width="9.140625" style="74" customWidth="1"/>
    <col min="70" max="16384" width="9.140625" style="74"/>
  </cols>
  <sheetData>
    <row r="1" spans="1:45" ht="18.75" customHeight="1" thickBot="1" x14ac:dyDescent="0.25">
      <c r="A1" s="112"/>
      <c r="B1" s="2004" t="s">
        <v>754</v>
      </c>
      <c r="C1" s="2004"/>
      <c r="D1" s="2004"/>
      <c r="E1" s="2004"/>
      <c r="F1" s="2004"/>
      <c r="G1" s="2004"/>
      <c r="H1" s="2004"/>
      <c r="I1" s="2004"/>
      <c r="J1" s="2004"/>
      <c r="K1" s="2004"/>
      <c r="L1" s="2004"/>
      <c r="M1" s="2004"/>
      <c r="N1" s="2004"/>
      <c r="O1" s="2004"/>
      <c r="P1" s="113"/>
      <c r="Q1" s="113"/>
      <c r="R1" s="113"/>
      <c r="S1" s="113"/>
      <c r="T1" s="113"/>
      <c r="U1" s="113"/>
      <c r="V1" s="115"/>
      <c r="W1" s="275"/>
      <c r="X1" s="155"/>
      <c r="Y1" s="180"/>
      <c r="Z1" s="939" t="str">
        <f>IF(Sheet1!$C$3="Annual"," at 31st March"," at last day in quarter")</f>
        <v xml:space="preserve"> at 31st March</v>
      </c>
      <c r="AA1" s="180"/>
      <c r="AB1" s="180"/>
      <c r="AC1" s="180"/>
      <c r="AD1" s="180"/>
      <c r="AE1" s="180"/>
      <c r="AF1" s="180"/>
      <c r="AG1" s="180"/>
      <c r="AH1" s="180"/>
      <c r="AI1" s="180"/>
      <c r="AJ1" s="181"/>
      <c r="AK1" s="419"/>
    </row>
    <row r="2" spans="1:45" ht="18.75" customHeight="1" x14ac:dyDescent="0.2">
      <c r="A2" s="278"/>
      <c r="B2" s="2005"/>
      <c r="C2" s="2005"/>
      <c r="D2" s="2005"/>
      <c r="E2" s="2005"/>
      <c r="F2" s="2005"/>
      <c r="G2" s="2005"/>
      <c r="H2" s="2005"/>
      <c r="I2" s="2005"/>
      <c r="J2" s="2005"/>
      <c r="K2" s="2005"/>
      <c r="L2" s="2005"/>
      <c r="M2" s="2005"/>
      <c r="N2" s="2005"/>
      <c r="O2" s="2005"/>
      <c r="P2" s="9"/>
      <c r="Q2" s="9"/>
      <c r="R2" s="9"/>
      <c r="S2" s="9"/>
      <c r="T2" s="9"/>
      <c r="U2" s="9"/>
      <c r="V2" s="117"/>
      <c r="W2" s="161"/>
      <c r="X2" s="150"/>
      <c r="Y2" s="1020">
        <v>1</v>
      </c>
      <c r="Z2" s="800" t="str">
        <f>IF(Sheet1!$C$3="Annual","",Sheet1!$D$28)</f>
        <v/>
      </c>
      <c r="AA2" s="801" t="str">
        <f>IF(Sheet1!$C$3="Annual","",Sheet1!$E$28)</f>
        <v/>
      </c>
      <c r="AB2" s="801" t="str">
        <f>IF(Sheet1!$C$3="Annual","",Sheet1!$F$28)</f>
        <v/>
      </c>
      <c r="AC2" s="801" t="str">
        <f>IF(Sheet1!$C$3="Annual","",Sheet1!$G$28)</f>
        <v/>
      </c>
      <c r="AD2" s="802" t="str">
        <f>IF(Sheet1!$C$3="Annual","",Sheet1!$H$28)</f>
        <v/>
      </c>
      <c r="AJ2" s="184"/>
      <c r="AK2" s="157"/>
    </row>
    <row r="3" spans="1:45" ht="18.75" customHeight="1" thickBot="1" x14ac:dyDescent="0.25">
      <c r="A3" s="457"/>
      <c r="B3" s="2006"/>
      <c r="C3" s="2006"/>
      <c r="D3" s="2006"/>
      <c r="E3" s="2006"/>
      <c r="F3" s="2006"/>
      <c r="G3" s="2006"/>
      <c r="H3" s="2006"/>
      <c r="I3" s="2006"/>
      <c r="J3" s="2006"/>
      <c r="K3" s="2006"/>
      <c r="L3" s="2006"/>
      <c r="M3" s="2006"/>
      <c r="N3" s="2006"/>
      <c r="O3" s="2006"/>
      <c r="P3" s="553"/>
      <c r="Q3" s="553"/>
      <c r="R3" s="553"/>
      <c r="S3" s="553"/>
      <c r="T3" s="553"/>
      <c r="U3" s="553"/>
      <c r="V3" s="1061"/>
      <c r="W3" s="161"/>
      <c r="X3" s="150"/>
      <c r="Y3" s="803"/>
      <c r="Z3" s="803" t="str">
        <f>Sheet1!$D$27</f>
        <v>2015-16</v>
      </c>
      <c r="AA3" s="804" t="str">
        <f>Sheet1!$E$27</f>
        <v>2016-17</v>
      </c>
      <c r="AB3" s="804" t="str">
        <f>Sheet1!$F$27</f>
        <v>2017-18</v>
      </c>
      <c r="AC3" s="804" t="str">
        <f>Sheet1!$G$27</f>
        <v>2018-19</v>
      </c>
      <c r="AD3" s="805" t="str">
        <f>Sheet1!$H$27</f>
        <v>2019-20</v>
      </c>
      <c r="AJ3" s="184"/>
      <c r="AK3" s="157"/>
    </row>
    <row r="4" spans="1:45" ht="11.25" customHeight="1" x14ac:dyDescent="0.2">
      <c r="A4" s="112"/>
      <c r="B4" s="113"/>
      <c r="C4" s="113"/>
      <c r="D4" s="113"/>
      <c r="E4" s="113"/>
      <c r="F4" s="113"/>
      <c r="G4" s="113"/>
      <c r="H4" s="113"/>
      <c r="I4" s="113"/>
      <c r="J4" s="114"/>
      <c r="K4" s="113"/>
      <c r="L4" s="113"/>
      <c r="M4" s="113"/>
      <c r="N4" s="113"/>
      <c r="O4" s="113"/>
      <c r="P4" s="113"/>
      <c r="Q4" s="113"/>
      <c r="R4" s="113"/>
      <c r="S4" s="113"/>
      <c r="T4" s="113"/>
      <c r="U4" s="113"/>
      <c r="V4" s="115"/>
      <c r="W4" s="137"/>
      <c r="X4" s="150"/>
      <c r="Y4" s="186"/>
      <c r="Z4" s="186" t="str">
        <f>Home!$D$10</f>
        <v>(none)</v>
      </c>
      <c r="AA4" s="42" t="str">
        <f>"Selected LA- "&amp;Z4</f>
        <v>Selected LA- (none)</v>
      </c>
      <c r="AJ4" s="184"/>
      <c r="AK4" s="157"/>
      <c r="AM4" s="76"/>
      <c r="AN4" s="76"/>
      <c r="AO4" s="76"/>
      <c r="AP4" s="76"/>
    </row>
    <row r="5" spans="1:45" s="76" customFormat="1" ht="15" customHeight="1" x14ac:dyDescent="0.2">
      <c r="A5" s="119"/>
      <c r="B5" s="1746" t="s">
        <v>751</v>
      </c>
      <c r="C5" s="1746"/>
      <c r="D5" s="1746"/>
      <c r="E5" s="1746"/>
      <c r="F5" s="1746"/>
      <c r="G5" s="1746"/>
      <c r="H5" s="1746"/>
      <c r="I5" s="1746"/>
      <c r="J5" s="1746"/>
      <c r="K5" s="1746"/>
      <c r="L5" s="1746"/>
      <c r="M5" s="1746"/>
      <c r="N5" s="1746"/>
      <c r="O5" s="1746"/>
      <c r="P5" s="1746"/>
      <c r="Q5" s="1746"/>
      <c r="R5" s="1746"/>
      <c r="S5" s="1746"/>
      <c r="T5" s="1746"/>
      <c r="U5" s="1746"/>
      <c r="V5" s="120"/>
      <c r="W5" s="138"/>
      <c r="X5" s="151"/>
      <c r="Y5" s="188"/>
      <c r="Z5" s="188"/>
      <c r="AA5" s="188"/>
      <c r="AB5" s="188"/>
      <c r="AC5" s="188"/>
      <c r="AD5" s="188"/>
      <c r="AE5" s="188"/>
      <c r="AF5" s="188"/>
      <c r="AG5" s="188"/>
      <c r="AH5" s="188"/>
      <c r="AI5" s="188"/>
      <c r="AJ5" s="188"/>
      <c r="AK5" s="158"/>
      <c r="AL5" s="74"/>
      <c r="AM5" s="74"/>
      <c r="AN5" s="74"/>
      <c r="AO5" s="74"/>
      <c r="AP5" s="74"/>
    </row>
    <row r="6" spans="1:45" ht="13.5" customHeight="1" x14ac:dyDescent="0.2">
      <c r="A6" s="118"/>
      <c r="B6" s="1746"/>
      <c r="C6" s="1746"/>
      <c r="D6" s="1746"/>
      <c r="E6" s="1746"/>
      <c r="F6" s="1746"/>
      <c r="G6" s="1746"/>
      <c r="H6" s="1746"/>
      <c r="I6" s="1746"/>
      <c r="J6" s="1746"/>
      <c r="K6" s="1746"/>
      <c r="L6" s="1746"/>
      <c r="M6" s="1746"/>
      <c r="N6" s="1746"/>
      <c r="O6" s="1746"/>
      <c r="P6" s="1746"/>
      <c r="Q6" s="1746"/>
      <c r="R6" s="1746"/>
      <c r="S6" s="1746"/>
      <c r="T6" s="1746"/>
      <c r="U6" s="1746"/>
      <c r="V6" s="117"/>
      <c r="W6" s="137"/>
      <c r="X6" s="150"/>
      <c r="Z6" s="190"/>
      <c r="AJ6" s="184"/>
      <c r="AK6" s="157"/>
    </row>
    <row r="7" spans="1:45" s="87" customFormat="1" ht="12.75" customHeight="1" x14ac:dyDescent="0.2">
      <c r="A7" s="121"/>
      <c r="B7" s="1789" t="s">
        <v>205</v>
      </c>
      <c r="C7" s="85"/>
      <c r="D7" s="1851" t="s">
        <v>88</v>
      </c>
      <c r="E7" s="1911"/>
      <c r="F7" s="1911"/>
      <c r="G7" s="1911"/>
      <c r="H7" s="1912"/>
      <c r="I7" s="1811" t="str">
        <f>"Average "&amp;Sheet1!C3&amp;" Change "</f>
        <v xml:space="preserve">Average Annual Change </v>
      </c>
      <c r="J7" s="96"/>
      <c r="K7" s="1913" t="s">
        <v>750</v>
      </c>
      <c r="L7" s="1914"/>
      <c r="M7" s="1914"/>
      <c r="N7" s="1914"/>
      <c r="O7" s="1914"/>
      <c r="P7" s="1914"/>
      <c r="Q7" s="1744" t="str">
        <f>IF(ISNA(O9),"SE Rank "&amp;O8,"SE Rank "&amp;O9)</f>
        <v>SE Rank 2019-20</v>
      </c>
      <c r="R7" s="70"/>
      <c r="S7" s="1817" t="str">
        <f>"Distance from Expected "&amp;Sheet1!$B$8</f>
        <v>Distance from Expected 2020</v>
      </c>
      <c r="T7" s="1818"/>
      <c r="U7" s="1819"/>
      <c r="V7" s="122"/>
      <c r="W7" s="139"/>
      <c r="X7" s="152"/>
      <c r="Y7" s="202"/>
      <c r="Z7" s="1945" t="s">
        <v>767</v>
      </c>
      <c r="AA7" s="1947"/>
      <c r="AB7" s="1971" t="s">
        <v>79</v>
      </c>
      <c r="AC7" s="1972"/>
      <c r="AD7" s="1972"/>
      <c r="AE7" s="1972"/>
      <c r="AF7" s="1973"/>
      <c r="AG7" s="2001" t="s">
        <v>94</v>
      </c>
      <c r="AH7" s="2002"/>
      <c r="AI7" s="2002"/>
      <c r="AJ7" s="202"/>
      <c r="AK7" s="160"/>
      <c r="AL7" s="74"/>
      <c r="AM7" s="74"/>
      <c r="AN7" s="74"/>
      <c r="AO7" s="74"/>
      <c r="AP7" s="74"/>
    </row>
    <row r="8" spans="1:45" s="87" customFormat="1" ht="12.75" customHeight="1" x14ac:dyDescent="0.2">
      <c r="A8" s="292"/>
      <c r="B8" s="1789"/>
      <c r="C8" s="85"/>
      <c r="D8" s="789" t="str">
        <f>Sheet1!$D$27</f>
        <v>2015-16</v>
      </c>
      <c r="E8" s="790" t="str">
        <f>Sheet1!$E$27</f>
        <v>2016-17</v>
      </c>
      <c r="F8" s="790" t="str">
        <f>Sheet1!$F$27</f>
        <v>2017-18</v>
      </c>
      <c r="G8" s="790" t="str">
        <f>Sheet1!$G$27</f>
        <v>2018-19</v>
      </c>
      <c r="H8" s="791" t="str">
        <f>Sheet1!$H$27</f>
        <v>2019-20</v>
      </c>
      <c r="I8" s="1812"/>
      <c r="J8" s="96"/>
      <c r="K8" s="820" t="str">
        <f>Sheet1!$D$27</f>
        <v>2015-16</v>
      </c>
      <c r="L8" s="821" t="str">
        <f>Sheet1!$E$27</f>
        <v>2016-17</v>
      </c>
      <c r="M8" s="821" t="str">
        <f>Sheet1!$F$27</f>
        <v>2017-18</v>
      </c>
      <c r="N8" s="821" t="str">
        <f>Sheet1!$G$27</f>
        <v>2018-19</v>
      </c>
      <c r="O8" s="1741" t="str">
        <f>Sheet1!$H$27</f>
        <v>2019-20</v>
      </c>
      <c r="P8" s="1742"/>
      <c r="Q8" s="1816"/>
      <c r="R8" s="70"/>
      <c r="S8" s="1820"/>
      <c r="T8" s="1821"/>
      <c r="U8" s="1822"/>
      <c r="V8" s="122"/>
      <c r="W8" s="139"/>
      <c r="X8" s="152"/>
      <c r="Y8" s="202"/>
      <c r="Z8" s="1961" t="s">
        <v>76</v>
      </c>
      <c r="AA8" s="1963" t="s">
        <v>77</v>
      </c>
      <c r="AB8" s="1125" t="str">
        <f>IF(Sheet1!$C$3="Annual","",Sheet1!$D$28)</f>
        <v/>
      </c>
      <c r="AC8" s="43" t="str">
        <f>IF(Sheet1!$C$3="Annual","",Sheet1!$E$28)</f>
        <v/>
      </c>
      <c r="AD8" s="209" t="str">
        <f>IF(Sheet1!$C$3="Annual","",Sheet1!$F$28)</f>
        <v/>
      </c>
      <c r="AE8" s="43" t="str">
        <f>IF(Sheet1!$C$3="Annual","",Sheet1!$G$28)</f>
        <v/>
      </c>
      <c r="AF8" s="1126" t="str">
        <f>IF(Sheet1!$C$3="Annual","",Sheet1!$H$28)</f>
        <v/>
      </c>
      <c r="AG8" s="2001"/>
      <c r="AH8" s="2002"/>
      <c r="AI8" s="2002"/>
      <c r="AJ8" s="202"/>
      <c r="AK8" s="160"/>
      <c r="AL8" s="188" t="str">
        <f>CONCATENATE($J$7," "&amp;$B1)</f>
        <v xml:space="preserve"> Participation of Young People aged 16-17 in Education, Employment or Training</v>
      </c>
    </row>
    <row r="9" spans="1:45" s="87" customFormat="1" ht="12.75" customHeight="1" x14ac:dyDescent="0.2">
      <c r="A9" s="121"/>
      <c r="B9" s="1790"/>
      <c r="C9" s="85"/>
      <c r="D9" s="792" t="e">
        <f>Sheet1!$D$28</f>
        <v>#N/A</v>
      </c>
      <c r="E9" s="792" t="e">
        <f>Sheet1!$E$28</f>
        <v>#N/A</v>
      </c>
      <c r="F9" s="792" t="e">
        <f>Sheet1!$F$28</f>
        <v>#N/A</v>
      </c>
      <c r="G9" s="792" t="e">
        <f>Sheet1!$G$28</f>
        <v>#N/A</v>
      </c>
      <c r="H9" s="793" t="e">
        <f>Sheet1!$H$28</f>
        <v>#N/A</v>
      </c>
      <c r="I9" s="1813"/>
      <c r="J9" s="96"/>
      <c r="K9" s="792" t="e">
        <f>Sheet1!$D$28</f>
        <v>#N/A</v>
      </c>
      <c r="L9" s="792" t="e">
        <f>Sheet1!$E$28</f>
        <v>#N/A</v>
      </c>
      <c r="M9" s="792" t="e">
        <f>Sheet1!$F$28</f>
        <v>#N/A</v>
      </c>
      <c r="N9" s="792" t="e">
        <f>Sheet1!$G$28</f>
        <v>#N/A</v>
      </c>
      <c r="O9" s="1739" t="e">
        <f>Sheet1!$H$28</f>
        <v>#N/A</v>
      </c>
      <c r="P9" s="1827"/>
      <c r="Q9" s="1745"/>
      <c r="R9" s="70"/>
      <c r="S9" s="1030" t="s">
        <v>78</v>
      </c>
      <c r="T9" s="856" t="s">
        <v>128</v>
      </c>
      <c r="U9" s="857" t="s">
        <v>129</v>
      </c>
      <c r="V9" s="122"/>
      <c r="W9" s="139"/>
      <c r="X9" s="152"/>
      <c r="Y9" s="202"/>
      <c r="Z9" s="1962"/>
      <c r="AA9" s="1964"/>
      <c r="AB9" s="1125" t="str">
        <f>Sheet1!$D$27</f>
        <v>2015-16</v>
      </c>
      <c r="AC9" s="43" t="str">
        <f>Sheet1!$E$27</f>
        <v>2016-17</v>
      </c>
      <c r="AD9" s="209" t="str">
        <f>Sheet1!$F$27</f>
        <v>2017-18</v>
      </c>
      <c r="AE9" s="43" t="str">
        <f>Sheet1!$G$27</f>
        <v>2018-19</v>
      </c>
      <c r="AF9" s="1126" t="str">
        <f>Sheet1!$H$27</f>
        <v>2019-20</v>
      </c>
      <c r="AG9" s="190"/>
      <c r="AH9" s="206">
        <v>14</v>
      </c>
      <c r="AI9" s="190"/>
      <c r="AJ9" s="202"/>
      <c r="AK9" s="160"/>
      <c r="AL9" s="1039" t="s">
        <v>676</v>
      </c>
      <c r="AM9" s="1039" t="s">
        <v>677</v>
      </c>
      <c r="AN9" s="1039" t="s">
        <v>678</v>
      </c>
      <c r="AO9" s="1039" t="s">
        <v>679</v>
      </c>
      <c r="AP9" s="1039" t="s">
        <v>680</v>
      </c>
    </row>
    <row r="10" spans="1:45" s="87" customFormat="1" ht="13.5" customHeight="1" x14ac:dyDescent="0.2">
      <c r="A10" s="488">
        <f>VLOOKUP(B10,Sheet1!$AQ$4:$AR$25,2,FALSE)</f>
        <v>0</v>
      </c>
      <c r="B10" s="93" t="str">
        <f>Sheet1!$K$4</f>
        <v>Bracknell Forest</v>
      </c>
      <c r="C10" s="85"/>
      <c r="D10" s="100" t="str">
        <f>IF(Year1_Bracknell_Forest Year1_16_17_participating_in_EET="","",Year1_Bracknell_Forest Year1_16_17_participating_in_EET)</f>
        <v/>
      </c>
      <c r="E10" s="100" t="str">
        <f>IF(Year2_Bracknell_Forest Year2_16_17_participating_in_EET="","",Year2_Bracknell_Forest Year2_16_17_participating_in_EET)</f>
        <v/>
      </c>
      <c r="F10" s="100" t="str">
        <f>IF(Year3_Bracknell_Forest Year3_16_17_participating_in_EET="","",Year3_Bracknell_Forest Year3_16_17_participating_in_EET)</f>
        <v/>
      </c>
      <c r="G10" s="100" t="str">
        <f>IF(Year4_Bracknell_Forest Year4_16_17_participating_in_EET="","",Year4_Bracknell_Forest Year4_16_17_participating_in_EET)</f>
        <v/>
      </c>
      <c r="H10" s="589" t="str">
        <f>IF(Year5_Bracknell_Forest Year5_16_17_participating_in_EET="","",Year5_Bracknell_Forest Year5_16_17_participating_in_EET)</f>
        <v/>
      </c>
      <c r="I10" s="344" t="e">
        <f>AP10</f>
        <v>#DIV/0!</v>
      </c>
      <c r="J10" s="96"/>
      <c r="K10" s="1080" t="e">
        <f>IF(ISNUMBER(D10),D10/Population!J45,NA())</f>
        <v>#N/A</v>
      </c>
      <c r="L10" s="1080" t="e">
        <f>IF(ISNUMBER(E10),E10/Population!K45,NA())</f>
        <v>#N/A</v>
      </c>
      <c r="M10" s="1080" t="e">
        <f>IF(ISNUMBER(F10),F10/Population!L45,NA())</f>
        <v>#N/A</v>
      </c>
      <c r="N10" s="1080" t="e">
        <f>IF(ISNUMBER(G10),G10/Population!M45,NA())</f>
        <v>#N/A</v>
      </c>
      <c r="O10" s="1080" t="e">
        <f>IF(ISNUMBER(H10),H10/Population!N45,NA())</f>
        <v>#N/A</v>
      </c>
      <c r="P10" s="99" t="str">
        <f>IF(ISNUMBER(O10),O10,"")</f>
        <v/>
      </c>
      <c r="Q10" s="934" t="e">
        <f t="shared" ref="Q10:Q33" si="0">IF(ISNA(VLOOKUP(B10,$AG$10:$AI$28,3,FALSE)),"--",IF(ISNUMBER(H10),VLOOKUP(B10,$AG$10:$AI$28,3,FALSE),NA()))</f>
        <v>#N/A</v>
      </c>
      <c r="R10" s="70"/>
      <c r="S10" s="340">
        <f>IDACI!C9</f>
        <v>8.9</v>
      </c>
      <c r="T10" s="1212">
        <f>((S10*$Z$44)+$AA$44)/100</f>
        <v>0.9530612682145515</v>
      </c>
      <c r="U10" s="1215" t="e">
        <f>O10-T10</f>
        <v>#N/A</v>
      </c>
      <c r="V10" s="122"/>
      <c r="W10" s="139"/>
      <c r="X10" s="152"/>
      <c r="Y10" s="1099" t="str">
        <f t="shared" ref="Y10:Y33" si="1">B10</f>
        <v>Bracknell Forest</v>
      </c>
      <c r="Z10" s="1097">
        <f>IF(ISNUMBER(H10),IDACI!D9,0)</f>
        <v>0</v>
      </c>
      <c r="AA10" s="1098">
        <f>IF(ISNUMBER(H10),IDACI!E9,0)</f>
        <v>0</v>
      </c>
      <c r="AB10" s="1105">
        <f>IF(D10&gt;0,Population!J45,"")</f>
        <v>2456</v>
      </c>
      <c r="AC10" s="205">
        <f>IF(E10&gt;0,Population!K45,"")</f>
        <v>2359</v>
      </c>
      <c r="AD10" s="205">
        <f>IF(F10&gt;0,Population!L45,"")</f>
        <v>2550</v>
      </c>
      <c r="AE10" s="205">
        <f>IF(G10&gt;0,Population!M45,"")</f>
        <v>2186</v>
      </c>
      <c r="AF10" s="1106">
        <f>IF(H10&gt;0,Population!N45,"")</f>
        <v>2212</v>
      </c>
      <c r="AG10" s="1127" t="str">
        <f>B10</f>
        <v>Bracknell Forest</v>
      </c>
      <c r="AH10" s="1041" t="str">
        <f>IFERROR(VLOOKUP(AG10,$B$10:$O$31,AH$9,FALSE),"")</f>
        <v/>
      </c>
      <c r="AI10" s="206" t="e">
        <f>RANK(AH10,$AH$10:$AH$28,0)</f>
        <v>#VALUE!</v>
      </c>
      <c r="AJ10" s="202"/>
      <c r="AK10" s="160"/>
      <c r="AL10" s="853" t="str">
        <f>IF(ISERROR((E10-D10)/D10),"x",(E10-D10)/D10)</f>
        <v>x</v>
      </c>
      <c r="AM10" s="853" t="str">
        <f t="shared" ref="AM10:AN10" si="2">IF(ISERROR((F10-E10)/E10),"x",(F10-E10)/E10)</f>
        <v>x</v>
      </c>
      <c r="AN10" s="853" t="str">
        <f t="shared" si="2"/>
        <v>x</v>
      </c>
      <c r="AO10" s="853" t="str">
        <f>IF(ISERROR((H10-G10)/G10),"x",(H10-G10)/G10)</f>
        <v>x</v>
      </c>
      <c r="AP10" s="853" t="e">
        <f t="shared" ref="AP10:AP30" si="3">AVERAGE(AL10:AO10)</f>
        <v>#DIV/0!</v>
      </c>
    </row>
    <row r="11" spans="1:45" s="87" customFormat="1" ht="13.5" customHeight="1" x14ac:dyDescent="0.2">
      <c r="A11" s="488">
        <f>VLOOKUP(B11,Sheet1!$AQ$4:$AR$25,2,FALSE)</f>
        <v>0</v>
      </c>
      <c r="B11" s="93" t="str">
        <f>Sheet1!$K$5</f>
        <v>Brighton &amp; Hove</v>
      </c>
      <c r="C11" s="85"/>
      <c r="D11" s="100" t="str">
        <f>IF(Year1_Brighton_Hove Year1_16_17_participating_in_EET="","",Year1_Brighton_Hove Year1_16_17_participating_in_EET)</f>
        <v/>
      </c>
      <c r="E11" s="100" t="str">
        <f>IF(Year2_Brighton_Hove Year2_16_17_participating_in_EET="","",Year2_Brighton_Hove Year2_16_17_participating_in_EET)</f>
        <v/>
      </c>
      <c r="F11" s="100" t="str">
        <f>IF(Year3_Brighton_Hove Year3_16_17_participating_in_EET="","",Year3_Brighton_Hove Year3_16_17_participating_in_EET)</f>
        <v/>
      </c>
      <c r="G11" s="100" t="str">
        <f>IF(Year4_Brighton_Hove Year4_16_17_participating_in_EET="","",Year4_Brighton_Hove Year4_16_17_participating_in_EET)</f>
        <v/>
      </c>
      <c r="H11" s="589" t="str">
        <f>IF(Year5_Brighton_Hove Year5_16_17_participating_in_EET="","",Year5_Brighton_Hove Year5_16_17_participating_in_EET)</f>
        <v/>
      </c>
      <c r="I11" s="344" t="e">
        <f t="shared" ref="I11:I33" si="4">AP11</f>
        <v>#DIV/0!</v>
      </c>
      <c r="J11" s="96"/>
      <c r="K11" s="1080" t="e">
        <f>IF(ISNUMBER(D11),D11/Population!J46,NA())</f>
        <v>#N/A</v>
      </c>
      <c r="L11" s="1080" t="e">
        <f>IF(ISNUMBER(E11),E11/Population!K46,NA())</f>
        <v>#N/A</v>
      </c>
      <c r="M11" s="1080" t="e">
        <f>IF(ISNUMBER(F11),F11/Population!L46,NA())</f>
        <v>#N/A</v>
      </c>
      <c r="N11" s="1080" t="e">
        <f>IF(ISNUMBER(G11),G11/Population!M46,NA())</f>
        <v>#N/A</v>
      </c>
      <c r="O11" s="1080" t="e">
        <f>IF(ISNUMBER(H11),H11/Population!N46,NA())</f>
        <v>#N/A</v>
      </c>
      <c r="P11" s="99" t="str">
        <f t="shared" ref="P11:P33" si="5">IF(ISNUMBER(O11),O11,"")</f>
        <v/>
      </c>
      <c r="Q11" s="934" t="e">
        <f t="shared" si="0"/>
        <v>#N/A</v>
      </c>
      <c r="R11" s="70"/>
      <c r="S11" s="340">
        <f>IDACI!C10</f>
        <v>15.299999999999999</v>
      </c>
      <c r="T11" s="1212">
        <f>((S11*$Z$44)+$AA$44)/100</f>
        <v>0.9484775713867708</v>
      </c>
      <c r="U11" s="1215" t="e">
        <f t="shared" ref="U11:U33" si="6">O11-T11</f>
        <v>#N/A</v>
      </c>
      <c r="V11" s="122"/>
      <c r="W11" s="139"/>
      <c r="X11" s="152"/>
      <c r="Y11" s="1099" t="str">
        <f t="shared" si="1"/>
        <v>Brighton &amp; Hove</v>
      </c>
      <c r="Z11" s="1097">
        <f>IF(ISNUMBER(H11),IDACI!D10,0)</f>
        <v>0</v>
      </c>
      <c r="AA11" s="1098">
        <f>IF(ISNUMBER(H11),IDACI!E10,0)</f>
        <v>0</v>
      </c>
      <c r="AB11" s="1105">
        <f>IF(D11&gt;0,Population!J46,"")</f>
        <v>4849</v>
      </c>
      <c r="AC11" s="205">
        <f>IF(E11&gt;0,Population!K46,"")</f>
        <v>4769</v>
      </c>
      <c r="AD11" s="205">
        <f>IF(F11&gt;0,Population!L46,"")</f>
        <v>4868</v>
      </c>
      <c r="AE11" s="205">
        <f>IF(G11&gt;0,Population!M46,"")</f>
        <v>4902</v>
      </c>
      <c r="AF11" s="1106">
        <f>IF(H11&gt;0,Population!N46,"")</f>
        <v>4769</v>
      </c>
      <c r="AG11" s="1127" t="s">
        <v>31</v>
      </c>
      <c r="AH11" s="1041" t="str">
        <f t="shared" ref="AH11:AH28" si="7">IFERROR(VLOOKUP(AG11,$B$10:$O$31,AH$9,FALSE),"")</f>
        <v/>
      </c>
      <c r="AI11" s="206" t="e">
        <f t="shared" ref="AI11:AI28" si="8">RANK(AH11,$AH$10:$AH$28,0)</f>
        <v>#VALUE!</v>
      </c>
      <c r="AJ11" s="202"/>
      <c r="AK11" s="160"/>
      <c r="AL11" s="853" t="str">
        <f>IF(ISERROR((E11-D11)/D11),"x",(E11-D11)/D11)</f>
        <v>x</v>
      </c>
      <c r="AM11" s="853" t="str">
        <f t="shared" ref="AM11:AM32" si="9">IF(ISERROR((F11-E11)/E11),"x",(F11-E11)/E11)</f>
        <v>x</v>
      </c>
      <c r="AN11" s="853" t="str">
        <f t="shared" ref="AN11:AN32" si="10">IF(ISERROR((G11-F11)/F11),"x",(G11-F11)/F11)</f>
        <v>x</v>
      </c>
      <c r="AO11" s="853" t="str">
        <f t="shared" ref="AO11:AO32" si="11">IF(ISERROR((H11-G11)/G11),"x",(H11-G11)/G11)</f>
        <v>x</v>
      </c>
      <c r="AP11" s="853" t="e">
        <f t="shared" si="3"/>
        <v>#DIV/0!</v>
      </c>
    </row>
    <row r="12" spans="1:45" s="87" customFormat="1" ht="13.5" customHeight="1" x14ac:dyDescent="0.2">
      <c r="A12" s="488">
        <f>VLOOKUP(B12,Sheet1!$AQ$4:$AR$25,2,FALSE)</f>
        <v>0</v>
      </c>
      <c r="B12" s="93" t="str">
        <f>Sheet1!$K$6</f>
        <v>Buckinghamshire</v>
      </c>
      <c r="C12" s="85"/>
      <c r="D12" s="100" t="str">
        <f>IF(Year1_Buckinghamshire Year1_16_17_participating_in_EET="","",Year1_Buckinghamshire Year1_16_17_participating_in_EET)</f>
        <v/>
      </c>
      <c r="E12" s="100" t="str">
        <f>IF(Year2_Buckinghamshire Year2_16_17_participating_in_EET="","",Year2_Buckinghamshire Year2_16_17_participating_in_EET)</f>
        <v/>
      </c>
      <c r="F12" s="100" t="str">
        <f>IF(Year3_Buckinghamshire Year3_16_17_participating_in_EET="","",Year3_Buckinghamshire Year3_16_17_participating_in_EET)</f>
        <v/>
      </c>
      <c r="G12" s="100" t="str">
        <f>IF(Year4_Buckinghamshire Year4_16_17_participating_in_EET="","",Year4_Buckinghamshire Year4_16_17_participating_in_EET)</f>
        <v/>
      </c>
      <c r="H12" s="589" t="str">
        <f>IF(Year5_Buckinghamshire Year5_16_17_participating_in_EET="","",Year5_Buckinghamshire Year5_16_17_participating_in_EET)</f>
        <v/>
      </c>
      <c r="I12" s="344" t="e">
        <f t="shared" si="4"/>
        <v>#DIV/0!</v>
      </c>
      <c r="J12" s="96"/>
      <c r="K12" s="1080" t="e">
        <f>IF(ISNUMBER(D12),D12/Population!J47,NA())</f>
        <v>#N/A</v>
      </c>
      <c r="L12" s="1080" t="e">
        <f>IF(ISNUMBER(E12),E12/Population!K47,NA())</f>
        <v>#N/A</v>
      </c>
      <c r="M12" s="1080" t="e">
        <f>IF(ISNUMBER(F12),F12/Population!L47,NA())</f>
        <v>#N/A</v>
      </c>
      <c r="N12" s="1080" t="e">
        <f>IF(ISNUMBER(G12),G12/Population!M47,NA())</f>
        <v>#N/A</v>
      </c>
      <c r="O12" s="1080" t="e">
        <f>IF(ISNUMBER(H12),H12/Population!N47,NA())</f>
        <v>#N/A</v>
      </c>
      <c r="P12" s="99" t="str">
        <f t="shared" si="5"/>
        <v/>
      </c>
      <c r="Q12" s="934" t="e">
        <f t="shared" si="0"/>
        <v>#N/A</v>
      </c>
      <c r="R12" s="70"/>
      <c r="S12" s="340">
        <f>IDACI!C11</f>
        <v>8.5</v>
      </c>
      <c r="T12" s="1212">
        <f t="shared" ref="T12:T33" si="12">((S12*$Z$44)+$AA$44)/100</f>
        <v>0.95334774926628785</v>
      </c>
      <c r="U12" s="1215" t="e">
        <f t="shared" si="6"/>
        <v>#N/A</v>
      </c>
      <c r="V12" s="122"/>
      <c r="W12" s="139"/>
      <c r="X12" s="152"/>
      <c r="Y12" s="1099" t="str">
        <f t="shared" si="1"/>
        <v>Buckinghamshire</v>
      </c>
      <c r="Z12" s="1097">
        <f>IF(ISNUMBER(H12),IDACI!D11,0)</f>
        <v>0</v>
      </c>
      <c r="AA12" s="1098">
        <f>IF(ISNUMBER(H12),IDACI!E11,0)</f>
        <v>0</v>
      </c>
      <c r="AB12" s="1105">
        <f>IF(D12&gt;0,Population!J47,"")</f>
        <v>12048</v>
      </c>
      <c r="AC12" s="205">
        <f>IF(E12&gt;0,Population!K47,"")</f>
        <v>11702</v>
      </c>
      <c r="AD12" s="205">
        <f>IF(F12&gt;0,Population!L47,"")</f>
        <v>11443</v>
      </c>
      <c r="AE12" s="205">
        <f>IF(G12&gt;0,Population!M47,"")</f>
        <v>11580</v>
      </c>
      <c r="AF12" s="1106">
        <f>IF(H12&gt;0,Population!N47,"")</f>
        <v>11759</v>
      </c>
      <c r="AG12" s="1127" t="s">
        <v>8</v>
      </c>
      <c r="AH12" s="1041" t="str">
        <f t="shared" si="7"/>
        <v/>
      </c>
      <c r="AI12" s="206" t="e">
        <f t="shared" si="8"/>
        <v>#VALUE!</v>
      </c>
      <c r="AJ12" s="202"/>
      <c r="AK12" s="160"/>
      <c r="AL12" s="853" t="str">
        <f t="shared" ref="AL12:AL32" si="13">IF(ISERROR((E12-D12)/D12),"x",(E12-D12)/D12)</f>
        <v>x</v>
      </c>
      <c r="AM12" s="853" t="str">
        <f t="shared" si="9"/>
        <v>x</v>
      </c>
      <c r="AN12" s="853" t="str">
        <f t="shared" si="10"/>
        <v>x</v>
      </c>
      <c r="AO12" s="853" t="str">
        <f t="shared" si="11"/>
        <v>x</v>
      </c>
      <c r="AP12" s="853" t="e">
        <f t="shared" si="3"/>
        <v>#DIV/0!</v>
      </c>
    </row>
    <row r="13" spans="1:45" s="87" customFormat="1" ht="13.5" customHeight="1" x14ac:dyDescent="0.2">
      <c r="A13" s="488">
        <f>VLOOKUP(B13,Sheet1!$AQ$4:$AR$25,2,FALSE)</f>
        <v>0</v>
      </c>
      <c r="B13" s="93" t="str">
        <f>Sheet1!$K$7</f>
        <v>East Sussex</v>
      </c>
      <c r="C13" s="85"/>
      <c r="D13" s="100" t="str">
        <f>IF(Year1_East_Sussex Year1_16_17_participating_in_EET="","",Year1_East_Sussex Year1_16_17_participating_in_EET)</f>
        <v/>
      </c>
      <c r="E13" s="100" t="str">
        <f>IF(Year2_East_Sussex Year2_16_17_participating_in_EET="","",Year2_East_Sussex Year2_16_17_participating_in_EET)</f>
        <v/>
      </c>
      <c r="F13" s="100" t="str">
        <f>IF(Year3_East_Sussex Year3_16_17_participating_in_EET="","",Year3_East_Sussex Year3_16_17_participating_in_EET)</f>
        <v/>
      </c>
      <c r="G13" s="100" t="str">
        <f>IF(Year4_East_Sussex Year4_16_17_participating_in_EET="","",Year4_East_Sussex Year4_16_17_participating_in_EET)</f>
        <v/>
      </c>
      <c r="H13" s="589" t="str">
        <f>IF(Year5_East_Sussex Year5_16_17_participating_in_EET="","",Year5_East_Sussex Year5_16_17_participating_in_EET)</f>
        <v/>
      </c>
      <c r="I13" s="344" t="e">
        <f t="shared" si="4"/>
        <v>#DIV/0!</v>
      </c>
      <c r="J13" s="96"/>
      <c r="K13" s="1080" t="e">
        <f>IF(ISNUMBER(D13),D13/Population!J48,NA())</f>
        <v>#N/A</v>
      </c>
      <c r="L13" s="1080" t="e">
        <f>IF(ISNUMBER(E13),E13/Population!K48,NA())</f>
        <v>#N/A</v>
      </c>
      <c r="M13" s="1080" t="e">
        <f>IF(ISNUMBER(F13),F13/Population!L48,NA())</f>
        <v>#N/A</v>
      </c>
      <c r="N13" s="1080" t="e">
        <f>IF(ISNUMBER(G13),G13/Population!M48,NA())</f>
        <v>#N/A</v>
      </c>
      <c r="O13" s="1080" t="e">
        <f>IF(ISNUMBER(H13),H13/Population!N48,NA())</f>
        <v>#N/A</v>
      </c>
      <c r="P13" s="99" t="str">
        <f t="shared" si="5"/>
        <v/>
      </c>
      <c r="Q13" s="934" t="e">
        <f t="shared" si="0"/>
        <v>#N/A</v>
      </c>
      <c r="R13" s="70"/>
      <c r="S13" s="340">
        <f>IDACI!C12</f>
        <v>16.100000000000001</v>
      </c>
      <c r="T13" s="1212">
        <f t="shared" si="12"/>
        <v>0.94790460928329823</v>
      </c>
      <c r="U13" s="1215" t="e">
        <f t="shared" si="6"/>
        <v>#N/A</v>
      </c>
      <c r="V13" s="122"/>
      <c r="W13" s="139"/>
      <c r="X13" s="152"/>
      <c r="Y13" s="1099" t="str">
        <f t="shared" si="1"/>
        <v>East Sussex</v>
      </c>
      <c r="Z13" s="1097">
        <f>IF(ISNUMBER(H13),IDACI!D12,0)</f>
        <v>0</v>
      </c>
      <c r="AA13" s="1098">
        <f>IF(ISNUMBER(H13),IDACI!E12,0)</f>
        <v>0</v>
      </c>
      <c r="AB13" s="1105">
        <f>IF(D13&gt;0,Population!J48,"")</f>
        <v>11399</v>
      </c>
      <c r="AC13" s="205">
        <f>IF(E13&gt;0,Population!K48,"")</f>
        <v>11146</v>
      </c>
      <c r="AD13" s="205">
        <f>IF(F13&gt;0,Population!L48,"")</f>
        <v>10823</v>
      </c>
      <c r="AE13" s="205">
        <f>IF(G13&gt;0,Population!M48,"")</f>
        <v>10539</v>
      </c>
      <c r="AF13" s="1106">
        <f>IF(H13&gt;0,Population!N48,"")</f>
        <v>10366</v>
      </c>
      <c r="AG13" s="1127" t="s">
        <v>4</v>
      </c>
      <c r="AH13" s="1041" t="str">
        <f t="shared" si="7"/>
        <v/>
      </c>
      <c r="AI13" s="206" t="e">
        <f t="shared" si="8"/>
        <v>#VALUE!</v>
      </c>
      <c r="AJ13" s="202"/>
      <c r="AK13" s="160"/>
      <c r="AL13" s="853" t="str">
        <f t="shared" si="13"/>
        <v>x</v>
      </c>
      <c r="AM13" s="853" t="str">
        <f t="shared" si="9"/>
        <v>x</v>
      </c>
      <c r="AN13" s="853" t="str">
        <f t="shared" si="10"/>
        <v>x</v>
      </c>
      <c r="AO13" s="853" t="str">
        <f t="shared" si="11"/>
        <v>x</v>
      </c>
      <c r="AP13" s="853" t="e">
        <f t="shared" si="3"/>
        <v>#DIV/0!</v>
      </c>
    </row>
    <row r="14" spans="1:45" s="87" customFormat="1" ht="13.5" customHeight="1" x14ac:dyDescent="0.2">
      <c r="A14" s="488">
        <f>VLOOKUP(B14,Sheet1!$AQ$4:$AR$25,2,FALSE)</f>
        <v>0</v>
      </c>
      <c r="B14" s="93" t="str">
        <f>Sheet1!$K$8</f>
        <v>Hampshire</v>
      </c>
      <c r="C14" s="85"/>
      <c r="D14" s="100" t="str">
        <f>IF(Year1_Hampshire Year1_16_17_participating_in_EET="","",Year1_Hampshire Year1_16_17_participating_in_EET)</f>
        <v/>
      </c>
      <c r="E14" s="100" t="str">
        <f>IF(Year2_Hampshire Year2_16_17_participating_in_EET="","",Year2_Hampshire Year2_16_17_participating_in_EET)</f>
        <v/>
      </c>
      <c r="F14" s="603" t="str">
        <f>IF(Year3_Hampshire Year3_16_17_participating_in_EET="","",Year3_Hampshire Year3_16_17_participating_in_EET)</f>
        <v/>
      </c>
      <c r="G14" s="603" t="str">
        <f>IF(Year4_Hampshire Year4_16_17_participating_in_EET="","",Year4_Hampshire Year4_16_17_participating_in_EET)</f>
        <v/>
      </c>
      <c r="H14" s="589" t="str">
        <f>IF(Year5_Hampshire Year5_16_17_participating_in_EET="","",Year5_Hampshire Year5_16_17_participating_in_EET)</f>
        <v/>
      </c>
      <c r="I14" s="344" t="e">
        <f t="shared" si="4"/>
        <v>#DIV/0!</v>
      </c>
      <c r="J14" s="96"/>
      <c r="K14" s="1080" t="e">
        <f>IF(ISNUMBER(D14),D14/Population!J49,NA())</f>
        <v>#N/A</v>
      </c>
      <c r="L14" s="1080" t="e">
        <f>IF(ISNUMBER(E14),E14/Population!K49,NA())</f>
        <v>#N/A</v>
      </c>
      <c r="M14" s="1080" t="e">
        <f>IF(ISNUMBER(F14),F14/Population!L49,NA())</f>
        <v>#N/A</v>
      </c>
      <c r="N14" s="1080" t="e">
        <f>IF(ISNUMBER(G14),G14/Population!M49,NA())</f>
        <v>#N/A</v>
      </c>
      <c r="O14" s="1080" t="e">
        <f>IF(ISNUMBER(H14),H14/Population!N49,NA())</f>
        <v>#N/A</v>
      </c>
      <c r="P14" s="99" t="str">
        <f t="shared" si="5"/>
        <v/>
      </c>
      <c r="Q14" s="934" t="e">
        <f t="shared" si="0"/>
        <v>#N/A</v>
      </c>
      <c r="R14" s="70"/>
      <c r="S14" s="340">
        <f>IDACI!C13</f>
        <v>10.100000000000001</v>
      </c>
      <c r="T14" s="1212">
        <f t="shared" si="12"/>
        <v>0.95220182505934259</v>
      </c>
      <c r="U14" s="1215" t="e">
        <f t="shared" si="6"/>
        <v>#N/A</v>
      </c>
      <c r="V14" s="122"/>
      <c r="W14" s="139"/>
      <c r="X14" s="152"/>
      <c r="Y14" s="1099" t="str">
        <f t="shared" si="1"/>
        <v>Hampshire</v>
      </c>
      <c r="Z14" s="1097">
        <f>IF(ISNUMBER(H14),IDACI!D13,0)</f>
        <v>0</v>
      </c>
      <c r="AA14" s="1098">
        <f>IF(ISNUMBER(H14),IDACI!E13,0)</f>
        <v>0</v>
      </c>
      <c r="AB14" s="1105">
        <f>IF(D14&gt;0,Population!J49,"")</f>
        <v>27255</v>
      </c>
      <c r="AC14" s="205">
        <f>IF(E14&gt;0,Population!K49,"")</f>
        <v>28093</v>
      </c>
      <c r="AD14" s="205">
        <f>IF(F14&gt;0,Population!L49,"")</f>
        <v>28029</v>
      </c>
      <c r="AE14" s="205">
        <f>IF(G14&gt;0,Population!M49,"")</f>
        <v>26921</v>
      </c>
      <c r="AF14" s="1106">
        <f>IF(H14&gt;0,Population!N49,"")</f>
        <v>27687</v>
      </c>
      <c r="AG14" s="1127" t="s">
        <v>6</v>
      </c>
      <c r="AH14" s="1041" t="str">
        <f t="shared" si="7"/>
        <v/>
      </c>
      <c r="AI14" s="206" t="e">
        <f t="shared" si="8"/>
        <v>#VALUE!</v>
      </c>
      <c r="AJ14" s="202"/>
      <c r="AK14" s="160"/>
      <c r="AL14" s="853" t="str">
        <f t="shared" si="13"/>
        <v>x</v>
      </c>
      <c r="AM14" s="853" t="str">
        <f t="shared" si="9"/>
        <v>x</v>
      </c>
      <c r="AN14" s="853" t="str">
        <f t="shared" si="10"/>
        <v>x</v>
      </c>
      <c r="AO14" s="853" t="str">
        <f t="shared" si="11"/>
        <v>x</v>
      </c>
      <c r="AP14" s="853" t="e">
        <f t="shared" si="3"/>
        <v>#DIV/0!</v>
      </c>
    </row>
    <row r="15" spans="1:45" s="87" customFormat="1" ht="13.5" customHeight="1" x14ac:dyDescent="0.2">
      <c r="A15" s="488">
        <f>VLOOKUP(B15,Sheet1!$AQ$4:$AR$25,2,FALSE)</f>
        <v>0</v>
      </c>
      <c r="B15" s="93" t="str">
        <f>Sheet1!$K$9</f>
        <v>Isle of Wight</v>
      </c>
      <c r="C15" s="85"/>
      <c r="D15" s="100" t="str">
        <f>IF(Year1_Isle_of_Wight Year1_16_17_participating_in_EET="","",Year1_Isle_of_Wight Year1_16_17_participating_in_EET)</f>
        <v/>
      </c>
      <c r="E15" s="100" t="str">
        <f>IF(Year2_Isle_of_Wight Year2_16_17_participating_in_EET="","",Year2_Isle_of_Wight Year2_16_17_participating_in_EET)</f>
        <v/>
      </c>
      <c r="F15" s="100" t="str">
        <f>IF(Year3_Isle_of_Wight Year3_16_17_participating_in_EET="","",Year3_Isle_of_Wight Year3_16_17_participating_in_EET)</f>
        <v/>
      </c>
      <c r="G15" s="100" t="str">
        <f>IF(Year4_Isle_of_Wight Year4_16_17_participating_in_EET="","",Year4_Isle_of_Wight Year4_16_17_participating_in_EET)</f>
        <v/>
      </c>
      <c r="H15" s="589" t="str">
        <f>IF(Year5_Isle_of_Wight Year5_16_17_participating_in_EET="","",Year5_Isle_of_Wight Year5_16_17_participating_in_EET)</f>
        <v/>
      </c>
      <c r="I15" s="344" t="e">
        <f t="shared" si="4"/>
        <v>#DIV/0!</v>
      </c>
      <c r="J15" s="96"/>
      <c r="K15" s="1080" t="e">
        <f>IF(ISNUMBER(D15),D15/Population!J50,NA())</f>
        <v>#N/A</v>
      </c>
      <c r="L15" s="1080" t="e">
        <f>IF(ISNUMBER(E15),E15/Population!K50,NA())</f>
        <v>#N/A</v>
      </c>
      <c r="M15" s="1080" t="e">
        <f>IF(ISNUMBER(F15),F15/Population!L50,NA())</f>
        <v>#N/A</v>
      </c>
      <c r="N15" s="1080" t="e">
        <f>IF(ISNUMBER(G15),G15/Population!M50,NA())</f>
        <v>#N/A</v>
      </c>
      <c r="O15" s="1080" t="e">
        <f>IF(ISNUMBER(H15),H15/Population!N50,NA())</f>
        <v>#N/A</v>
      </c>
      <c r="P15" s="99" t="str">
        <f t="shared" si="5"/>
        <v/>
      </c>
      <c r="Q15" s="934" t="e">
        <f t="shared" si="0"/>
        <v>#N/A</v>
      </c>
      <c r="R15" s="70"/>
      <c r="S15" s="340">
        <f>IDACI!C14</f>
        <v>18</v>
      </c>
      <c r="T15" s="1212">
        <f t="shared" si="12"/>
        <v>0.94654382428755079</v>
      </c>
      <c r="U15" s="1215" t="e">
        <f t="shared" si="6"/>
        <v>#N/A</v>
      </c>
      <c r="V15" s="122"/>
      <c r="W15" s="139"/>
      <c r="X15" s="152"/>
      <c r="Y15" s="1099" t="str">
        <f t="shared" si="1"/>
        <v>Isle of Wight</v>
      </c>
      <c r="Z15" s="1097">
        <f>IF(ISNUMBER(H15),IDACI!D14,0)</f>
        <v>0</v>
      </c>
      <c r="AA15" s="1098">
        <f>IF(ISNUMBER(H15),IDACI!E14,0)</f>
        <v>0</v>
      </c>
      <c r="AB15" s="1105">
        <f>IF(D15&gt;0,Population!J50,"")</f>
        <v>2914</v>
      </c>
      <c r="AC15" s="205">
        <f>IF(E15&gt;0,Population!K50,"")</f>
        <v>2870</v>
      </c>
      <c r="AD15" s="205">
        <f>IF(F15&gt;0,Population!L50,"")</f>
        <v>2752</v>
      </c>
      <c r="AE15" s="205">
        <f>IF(G15&gt;0,Population!M50,"")</f>
        <v>2523</v>
      </c>
      <c r="AF15" s="1106">
        <f>IF(H15&gt;0,Population!N50,"")</f>
        <v>2483</v>
      </c>
      <c r="AG15" s="1127" t="s">
        <v>1</v>
      </c>
      <c r="AH15" s="1041" t="str">
        <f t="shared" si="7"/>
        <v/>
      </c>
      <c r="AI15" s="206" t="e">
        <f t="shared" si="8"/>
        <v>#VALUE!</v>
      </c>
      <c r="AJ15" s="202"/>
      <c r="AK15" s="160"/>
      <c r="AL15" s="853" t="str">
        <f t="shared" si="13"/>
        <v>x</v>
      </c>
      <c r="AM15" s="853" t="str">
        <f t="shared" si="9"/>
        <v>x</v>
      </c>
      <c r="AN15" s="853" t="str">
        <f t="shared" si="10"/>
        <v>x</v>
      </c>
      <c r="AO15" s="853" t="str">
        <f t="shared" si="11"/>
        <v>x</v>
      </c>
      <c r="AP15" s="853" t="e">
        <f t="shared" si="3"/>
        <v>#DIV/0!</v>
      </c>
      <c r="AS15" s="87" t="s">
        <v>102</v>
      </c>
    </row>
    <row r="16" spans="1:45" s="87" customFormat="1" ht="13.5" customHeight="1" x14ac:dyDescent="0.2">
      <c r="A16" s="488">
        <f>VLOOKUP(B16,Sheet1!$AQ$4:$AR$25,2,FALSE)</f>
        <v>0</v>
      </c>
      <c r="B16" s="93" t="str">
        <f>Sheet1!$K$10</f>
        <v>Kent</v>
      </c>
      <c r="C16" s="85"/>
      <c r="D16" s="100" t="str">
        <f>IF(Year1_Kent Year1_16_17_participating_in_EET="","",Year1_Kent Year1_16_17_participating_in_EET)</f>
        <v/>
      </c>
      <c r="E16" s="100" t="str">
        <f>IF(Year2_Kent Year2_16_17_participating_in_EET="","",Year2_Kent Year2_16_17_participating_in_EET)</f>
        <v/>
      </c>
      <c r="F16" s="100" t="str">
        <f>IF(Year3_Kent Year3_16_17_participating_in_EET="","",Year3_Kent Year3_16_17_participating_in_EET)</f>
        <v/>
      </c>
      <c r="G16" s="100" t="str">
        <f>IF(Year4_Kent Year4_16_17_participating_in_EET="","",Year4_Kent Year4_16_17_participating_in_EET)</f>
        <v/>
      </c>
      <c r="H16" s="589" t="str">
        <f>IF(Year5_Kent Year5_16_17_participating_in_EET="","",Year5_Kent Year5_16_17_participating_in_EET)</f>
        <v/>
      </c>
      <c r="I16" s="344" t="e">
        <f t="shared" si="4"/>
        <v>#DIV/0!</v>
      </c>
      <c r="J16" s="96"/>
      <c r="K16" s="1080" t="e">
        <f>IF(ISNUMBER(D16),D16/Population!J51,NA())</f>
        <v>#N/A</v>
      </c>
      <c r="L16" s="1080" t="e">
        <f>IF(ISNUMBER(E16),E16/Population!K51,NA())</f>
        <v>#N/A</v>
      </c>
      <c r="M16" s="1080" t="e">
        <f>IF(ISNUMBER(F16),F16/Population!L51,NA())</f>
        <v>#N/A</v>
      </c>
      <c r="N16" s="1080" t="e">
        <f>IF(ISNUMBER(G16),G16/Population!M51,NA())</f>
        <v>#N/A</v>
      </c>
      <c r="O16" s="1080" t="e">
        <f>IF(ISNUMBER(H16),H16/Population!N51,NA())</f>
        <v>#N/A</v>
      </c>
      <c r="P16" s="99" t="str">
        <f t="shared" si="5"/>
        <v/>
      </c>
      <c r="Q16" s="934" t="e">
        <f t="shared" si="0"/>
        <v>#N/A</v>
      </c>
      <c r="R16" s="70"/>
      <c r="S16" s="340">
        <f>IDACI!C15</f>
        <v>15.8</v>
      </c>
      <c r="T16" s="1212">
        <f t="shared" si="12"/>
        <v>0.9481194700721004</v>
      </c>
      <c r="U16" s="1215" t="e">
        <f t="shared" si="6"/>
        <v>#N/A</v>
      </c>
      <c r="V16" s="122"/>
      <c r="W16" s="139"/>
      <c r="X16" s="152"/>
      <c r="Y16" s="1099" t="str">
        <f t="shared" si="1"/>
        <v>Kent</v>
      </c>
      <c r="Z16" s="1097">
        <f>IF(ISNUMBER(H16),IDACI!D15,0)</f>
        <v>0</v>
      </c>
      <c r="AA16" s="1098">
        <f>IF(ISNUMBER(H16),IDACI!E15,0)</f>
        <v>0</v>
      </c>
      <c r="AB16" s="1105">
        <f>IF(D16&gt;0,Population!J51,"")</f>
        <v>35305</v>
      </c>
      <c r="AC16" s="205">
        <f>IF(E16&gt;0,Population!K51,"")</f>
        <v>34055</v>
      </c>
      <c r="AD16" s="205">
        <f>IF(F16&gt;0,Population!L51,"")</f>
        <v>33090</v>
      </c>
      <c r="AE16" s="205">
        <f>IF(G16&gt;0,Population!M51,"")</f>
        <v>32582</v>
      </c>
      <c r="AF16" s="1106">
        <f>IF(H16&gt;0,Population!N51,"")</f>
        <v>32288</v>
      </c>
      <c r="AG16" s="1127" t="s">
        <v>9</v>
      </c>
      <c r="AH16" s="1041" t="str">
        <f t="shared" si="7"/>
        <v/>
      </c>
      <c r="AI16" s="206" t="e">
        <f t="shared" si="8"/>
        <v>#VALUE!</v>
      </c>
      <c r="AJ16" s="202"/>
      <c r="AK16" s="160"/>
      <c r="AL16" s="853" t="str">
        <f t="shared" si="13"/>
        <v>x</v>
      </c>
      <c r="AM16" s="853" t="str">
        <f t="shared" si="9"/>
        <v>x</v>
      </c>
      <c r="AN16" s="853" t="str">
        <f t="shared" si="10"/>
        <v>x</v>
      </c>
      <c r="AO16" s="853" t="str">
        <f t="shared" si="11"/>
        <v>x</v>
      </c>
      <c r="AP16" s="853" t="e">
        <f t="shared" si="3"/>
        <v>#DIV/0!</v>
      </c>
    </row>
    <row r="17" spans="1:42" s="87" customFormat="1" ht="13.5" customHeight="1" x14ac:dyDescent="0.2">
      <c r="A17" s="488">
        <f>VLOOKUP(B17,Sheet1!$AQ$4:$AR$25,2,FALSE)</f>
        <v>0</v>
      </c>
      <c r="B17" s="93" t="str">
        <f>Sheet1!$K$11</f>
        <v>Medway</v>
      </c>
      <c r="C17" s="85"/>
      <c r="D17" s="100" t="str">
        <f>IF(Year1_Medway Year1_16_17_participating_in_EET="","",Year1_Medway Year1_16_17_participating_in_EET)</f>
        <v/>
      </c>
      <c r="E17" s="100" t="str">
        <f>IF(Year2_Medway Year2_16_17_participating_in_EET="","",Year2_Medway Year2_16_17_participating_in_EET)</f>
        <v/>
      </c>
      <c r="F17" s="100" t="str">
        <f>IF(Year3_Medway Year3_16_17_participating_in_EET="","",Year3_Medway Year3_16_17_participating_in_EET)</f>
        <v/>
      </c>
      <c r="G17" s="100" t="str">
        <f>IF(Year4_Medway Year4_16_17_participating_in_EET="","",Year4_Medway Year4_16_17_participating_in_EET)</f>
        <v/>
      </c>
      <c r="H17" s="589" t="str">
        <f>IF(Year5_Medway Year5_16_17_participating_in_EET="","",Year5_Medway Year5_16_17_participating_in_EET)</f>
        <v/>
      </c>
      <c r="I17" s="344" t="e">
        <f t="shared" si="4"/>
        <v>#DIV/0!</v>
      </c>
      <c r="J17" s="96"/>
      <c r="K17" s="1080" t="e">
        <f>IF(ISNUMBER(D17),D17/Population!J52,NA())</f>
        <v>#N/A</v>
      </c>
      <c r="L17" s="1080" t="e">
        <f>IF(ISNUMBER(E17),E17/Population!K52,NA())</f>
        <v>#N/A</v>
      </c>
      <c r="M17" s="1080" t="e">
        <f>IF(ISNUMBER(F17),F17/Population!L52,NA())</f>
        <v>#N/A</v>
      </c>
      <c r="N17" s="1080" t="e">
        <f>IF(ISNUMBER(G17),G17/Population!M52,NA())</f>
        <v>#N/A</v>
      </c>
      <c r="O17" s="1080" t="e">
        <f>IF(ISNUMBER(H17),H17/Population!N52,NA())</f>
        <v>#N/A</v>
      </c>
      <c r="P17" s="99" t="str">
        <f t="shared" si="5"/>
        <v/>
      </c>
      <c r="Q17" s="934" t="e">
        <f t="shared" si="0"/>
        <v>#N/A</v>
      </c>
      <c r="R17" s="70"/>
      <c r="S17" s="340">
        <f>IDACI!C16</f>
        <v>18.899999999999999</v>
      </c>
      <c r="T17" s="1212">
        <f t="shared" si="12"/>
        <v>0.94589924192114405</v>
      </c>
      <c r="U17" s="1215" t="e">
        <f t="shared" si="6"/>
        <v>#N/A</v>
      </c>
      <c r="V17" s="122"/>
      <c r="W17" s="139"/>
      <c r="X17" s="152"/>
      <c r="Y17" s="1099" t="str">
        <f t="shared" si="1"/>
        <v>Medway</v>
      </c>
      <c r="Z17" s="1097">
        <f>IF(ISNUMBER(H17),IDACI!D16,0)</f>
        <v>0</v>
      </c>
      <c r="AA17" s="1098">
        <f>IF(ISNUMBER(H17),IDACI!E16,0)</f>
        <v>0</v>
      </c>
      <c r="AB17" s="1105">
        <f>IF(D17&gt;0,Population!J52,"")</f>
        <v>6882</v>
      </c>
      <c r="AC17" s="205">
        <f>IF(E17&gt;0,Population!K52,"")</f>
        <v>6765</v>
      </c>
      <c r="AD17" s="205">
        <f>IF(F17&gt;0,Population!L52,"")</f>
        <v>6525</v>
      </c>
      <c r="AE17" s="205">
        <f>IF(G17&gt;0,Population!M52,"")</f>
        <v>6374</v>
      </c>
      <c r="AF17" s="1106">
        <f>IF(H17&gt;0,Population!N52,"")</f>
        <v>6292</v>
      </c>
      <c r="AG17" s="1127" t="s">
        <v>2</v>
      </c>
      <c r="AH17" s="1041" t="str">
        <f t="shared" si="7"/>
        <v/>
      </c>
      <c r="AI17" s="206" t="e">
        <f t="shared" si="8"/>
        <v>#VALUE!</v>
      </c>
      <c r="AJ17" s="202"/>
      <c r="AK17" s="160"/>
      <c r="AL17" s="853" t="str">
        <f t="shared" si="13"/>
        <v>x</v>
      </c>
      <c r="AM17" s="853" t="str">
        <f t="shared" si="9"/>
        <v>x</v>
      </c>
      <c r="AN17" s="853" t="str">
        <f t="shared" si="10"/>
        <v>x</v>
      </c>
      <c r="AO17" s="853" t="str">
        <f t="shared" si="11"/>
        <v>x</v>
      </c>
      <c r="AP17" s="853" t="e">
        <f t="shared" si="3"/>
        <v>#DIV/0!</v>
      </c>
    </row>
    <row r="18" spans="1:42" s="87" customFormat="1" ht="13.5" customHeight="1" x14ac:dyDescent="0.2">
      <c r="A18" s="488">
        <f>VLOOKUP(B18,Sheet1!$AQ$4:$AR$25,2,FALSE)</f>
        <v>0</v>
      </c>
      <c r="B18" s="93" t="str">
        <f>Sheet1!$K$12</f>
        <v>Milton Keynes</v>
      </c>
      <c r="C18" s="85"/>
      <c r="D18" s="100" t="str">
        <f>IF(Year1_Milton_Keynes Year1_16_17_participating_in_EET="","",Year1_Milton_Keynes Year1_16_17_participating_in_EET)</f>
        <v/>
      </c>
      <c r="E18" s="100" t="str">
        <f>IF(Year2_Milton_Keynes Year2_16_17_participating_in_EET="","",Year2_Milton_Keynes Year2_16_17_participating_in_EET)</f>
        <v/>
      </c>
      <c r="F18" s="100" t="str">
        <f>IF(Year3_Milton_Keynes Year3_16_17_participating_in_EET="","",Year3_Milton_Keynes Year3_16_17_participating_in_EET)</f>
        <v/>
      </c>
      <c r="G18" s="100" t="str">
        <f>IF(Year4_Milton_Keynes Year4_16_17_participating_in_EET="","",Year4_Milton_Keynes Year4_16_17_participating_in_EET)</f>
        <v/>
      </c>
      <c r="H18" s="589" t="str">
        <f>IF(Year5_Milton_Keynes Year5_16_17_participating_in_EET="","",Year5_Milton_Keynes Year5_16_17_participating_in_EET)</f>
        <v/>
      </c>
      <c r="I18" s="344" t="e">
        <f t="shared" si="4"/>
        <v>#DIV/0!</v>
      </c>
      <c r="J18" s="96"/>
      <c r="K18" s="1080" t="e">
        <f>IF(ISNUMBER(D18),D18/Population!J53,NA())</f>
        <v>#N/A</v>
      </c>
      <c r="L18" s="1080" t="e">
        <f>IF(ISNUMBER(E18),E18/Population!K53,NA())</f>
        <v>#N/A</v>
      </c>
      <c r="M18" s="1080" t="e">
        <f>IF(ISNUMBER(F18),F18/Population!L53,NA())</f>
        <v>#N/A</v>
      </c>
      <c r="N18" s="1080" t="e">
        <f>IF(ISNUMBER(G18),G18/Population!M53,NA())</f>
        <v>#N/A</v>
      </c>
      <c r="O18" s="1080" t="e">
        <f>IF(ISNUMBER(H18),H18/Population!N53,NA())</f>
        <v>#N/A</v>
      </c>
      <c r="P18" s="99" t="str">
        <f t="shared" si="5"/>
        <v/>
      </c>
      <c r="Q18" s="934" t="e">
        <f t="shared" si="0"/>
        <v>#N/A</v>
      </c>
      <c r="R18" s="70"/>
      <c r="S18" s="340">
        <f>IDACI!C17</f>
        <v>15</v>
      </c>
      <c r="T18" s="1212">
        <f t="shared" si="12"/>
        <v>0.94869243217557297</v>
      </c>
      <c r="U18" s="1215" t="e">
        <f t="shared" si="6"/>
        <v>#N/A</v>
      </c>
      <c r="V18" s="122"/>
      <c r="W18" s="139"/>
      <c r="X18" s="152"/>
      <c r="Y18" s="1099" t="str">
        <f t="shared" si="1"/>
        <v>Milton Keynes</v>
      </c>
      <c r="Z18" s="1097">
        <f>IF(ISNUMBER(H18),IDACI!D17,0)</f>
        <v>0</v>
      </c>
      <c r="AA18" s="1098">
        <f>IF(ISNUMBER(H18),IDACI!E17,0)</f>
        <v>0</v>
      </c>
      <c r="AB18" s="1105">
        <f>IF(D18&gt;0,Population!J53,"")</f>
        <v>6393</v>
      </c>
      <c r="AC18" s="205">
        <f>IF(E18&gt;0,Population!K53,"")</f>
        <v>6165</v>
      </c>
      <c r="AD18" s="205">
        <f>IF(F18&gt;0,Population!L53,"")</f>
        <v>6026</v>
      </c>
      <c r="AE18" s="205">
        <f>IF(G18&gt;0,Population!M53,"")</f>
        <v>6073</v>
      </c>
      <c r="AF18" s="1106">
        <f>IF(H18&gt;0,Population!N53,"")</f>
        <v>6250</v>
      </c>
      <c r="AG18" s="1127" t="s">
        <v>10</v>
      </c>
      <c r="AH18" s="1041" t="str">
        <f t="shared" si="7"/>
        <v/>
      </c>
      <c r="AI18" s="206" t="e">
        <f t="shared" si="8"/>
        <v>#VALUE!</v>
      </c>
      <c r="AJ18" s="202"/>
      <c r="AK18" s="160"/>
      <c r="AL18" s="853" t="str">
        <f t="shared" si="13"/>
        <v>x</v>
      </c>
      <c r="AM18" s="853" t="str">
        <f t="shared" si="9"/>
        <v>x</v>
      </c>
      <c r="AN18" s="853" t="str">
        <f t="shared" si="10"/>
        <v>x</v>
      </c>
      <c r="AO18" s="853" t="str">
        <f t="shared" si="11"/>
        <v>x</v>
      </c>
      <c r="AP18" s="853" t="e">
        <f t="shared" si="3"/>
        <v>#DIV/0!</v>
      </c>
    </row>
    <row r="19" spans="1:42" s="87" customFormat="1" ht="13.5" customHeight="1" x14ac:dyDescent="0.2">
      <c r="A19" s="488">
        <f>VLOOKUP(B19,Sheet1!$AQ$4:$AR$25,2,FALSE)</f>
        <v>0</v>
      </c>
      <c r="B19" s="93" t="str">
        <f>Sheet1!$K$13</f>
        <v>Oxfordshire</v>
      </c>
      <c r="C19" s="85"/>
      <c r="D19" s="100" t="str">
        <f>IF(Year1_Oxfordshire Year1_16_17_participating_in_EET="","",Year1_Oxfordshire Year1_16_17_participating_in_EET)</f>
        <v/>
      </c>
      <c r="E19" s="100" t="str">
        <f>IF(Year2_Oxfordshire Year2_16_17_participating_in_EET="","",Year2_Oxfordshire Year2_16_17_participating_in_EET)</f>
        <v/>
      </c>
      <c r="F19" s="100" t="str">
        <f>IF(Year3_Oxfordshire Year3_16_17_participating_in_EET="","",Year3_Oxfordshire Year3_16_17_participating_in_EET)</f>
        <v/>
      </c>
      <c r="G19" s="100" t="str">
        <f>IF(Year4_Oxfordshire Year4_16_17_participating_in_EET="","",Year4_Oxfordshire Year4_16_17_participating_in_EET)</f>
        <v/>
      </c>
      <c r="H19" s="589" t="str">
        <f>IF(Year5_Oxfordshire Year5_16_17_participating_in_EET="","",Year5_Oxfordshire Year5_16_17_participating_in_EET)</f>
        <v/>
      </c>
      <c r="I19" s="344" t="e">
        <f t="shared" si="4"/>
        <v>#DIV/0!</v>
      </c>
      <c r="J19" s="96"/>
      <c r="K19" s="1080" t="e">
        <f>IF(ISNUMBER(D19),D19/Population!J54,NA())</f>
        <v>#N/A</v>
      </c>
      <c r="L19" s="1080" t="e">
        <f>IF(ISNUMBER(E19),E19/Population!K54,NA())</f>
        <v>#N/A</v>
      </c>
      <c r="M19" s="1080" t="e">
        <f>IF(ISNUMBER(F19),F19/Population!L54,NA())</f>
        <v>#N/A</v>
      </c>
      <c r="N19" s="1080" t="e">
        <f>IF(ISNUMBER(G19),G19/Population!M54,NA())</f>
        <v>#N/A</v>
      </c>
      <c r="O19" s="1080" t="e">
        <f>IF(ISNUMBER(H19),H19/Population!N54,NA())</f>
        <v>#N/A</v>
      </c>
      <c r="P19" s="99" t="str">
        <f t="shared" si="5"/>
        <v/>
      </c>
      <c r="Q19" s="934" t="e">
        <f t="shared" si="0"/>
        <v>#N/A</v>
      </c>
      <c r="R19" s="70"/>
      <c r="S19" s="340">
        <f>IDACI!C18</f>
        <v>10.100000000000001</v>
      </c>
      <c r="T19" s="1212">
        <f t="shared" si="12"/>
        <v>0.95220182505934259</v>
      </c>
      <c r="U19" s="1215" t="e">
        <f>O19-T19</f>
        <v>#N/A</v>
      </c>
      <c r="V19" s="122"/>
      <c r="W19" s="139"/>
      <c r="X19" s="152"/>
      <c r="Y19" s="1099" t="str">
        <f t="shared" si="1"/>
        <v>Oxfordshire</v>
      </c>
      <c r="Z19" s="1097">
        <f>IF(ISNUMBER(H19),IDACI!D18,0)</f>
        <v>0</v>
      </c>
      <c r="AA19" s="1098">
        <f>IF(ISNUMBER(H19),IDACI!E18,0)</f>
        <v>0</v>
      </c>
      <c r="AB19" s="1105">
        <f>IF(D19&gt;0,Population!J54,"")</f>
        <v>12756</v>
      </c>
      <c r="AC19" s="205">
        <f>IF(E19&gt;0,Population!K54,"")</f>
        <v>12707</v>
      </c>
      <c r="AD19" s="205">
        <f>IF(F19&gt;0,Population!L54,"")</f>
        <v>12590</v>
      </c>
      <c r="AE19" s="205">
        <f>IF(G19&gt;0,Population!M54,"")</f>
        <v>12451</v>
      </c>
      <c r="AF19" s="1106">
        <f>IF(H19&gt;0,Population!N54,"")</f>
        <v>12823</v>
      </c>
      <c r="AG19" s="1127" t="s">
        <v>11</v>
      </c>
      <c r="AH19" s="1041" t="str">
        <f t="shared" si="7"/>
        <v/>
      </c>
      <c r="AI19" s="206" t="e">
        <f t="shared" si="8"/>
        <v>#VALUE!</v>
      </c>
      <c r="AJ19" s="202"/>
      <c r="AK19" s="160"/>
      <c r="AL19" s="853" t="str">
        <f t="shared" si="13"/>
        <v>x</v>
      </c>
      <c r="AM19" s="853" t="str">
        <f t="shared" si="9"/>
        <v>x</v>
      </c>
      <c r="AN19" s="853" t="str">
        <f t="shared" si="10"/>
        <v>x</v>
      </c>
      <c r="AO19" s="853" t="str">
        <f t="shared" si="11"/>
        <v>x</v>
      </c>
      <c r="AP19" s="853" t="e">
        <f t="shared" si="3"/>
        <v>#DIV/0!</v>
      </c>
    </row>
    <row r="20" spans="1:42" s="87" customFormat="1" ht="13.5" customHeight="1" x14ac:dyDescent="0.2">
      <c r="A20" s="488">
        <f>VLOOKUP(B20,Sheet1!$AQ$4:$AR$25,2,FALSE)</f>
        <v>0</v>
      </c>
      <c r="B20" s="93" t="str">
        <f>Sheet1!$K$14</f>
        <v>Portsmouth</v>
      </c>
      <c r="C20" s="85"/>
      <c r="D20" s="100" t="str">
        <f>IF(Year1_Portsmouth Year1_16_17_participating_in_EET="","",Year1_Portsmouth Year1_16_17_participating_in_EET)</f>
        <v/>
      </c>
      <c r="E20" s="100" t="str">
        <f>IF(Year2_Portsmouth Year2_16_17_participating_in_EET="","",Year2_Portsmouth Year2_16_17_participating_in_EET)</f>
        <v/>
      </c>
      <c r="F20" s="100" t="str">
        <f>IF(Year3_Portsmouth Year3_16_17_participating_in_EET="","",Year3_Portsmouth Year3_16_17_participating_in_EET)</f>
        <v/>
      </c>
      <c r="G20" s="100" t="str">
        <f>IF(Year4_Portsmouth Year4_16_17_participating_in_EET="","",Year4_Portsmouth Year4_16_17_participating_in_EET)</f>
        <v/>
      </c>
      <c r="H20" s="589" t="str">
        <f>IF(Year5_Portsmouth Year5_16_17_participating_in_EET="","",Year5_Portsmouth Year5_16_17_participating_in_EET)</f>
        <v/>
      </c>
      <c r="I20" s="344" t="e">
        <f t="shared" si="4"/>
        <v>#DIV/0!</v>
      </c>
      <c r="J20" s="96"/>
      <c r="K20" s="1080" t="e">
        <f>IF(ISNUMBER(D20),D20/Population!J55,NA())</f>
        <v>#N/A</v>
      </c>
      <c r="L20" s="1080" t="e">
        <f>IF(ISNUMBER(E20),E20/Population!K55,NA())</f>
        <v>#N/A</v>
      </c>
      <c r="M20" s="1080" t="e">
        <f>IF(ISNUMBER(F20),F20/Population!L55,NA())</f>
        <v>#N/A</v>
      </c>
      <c r="N20" s="1080" t="e">
        <f>IF(ISNUMBER(G20),G20/Population!M55,NA())</f>
        <v>#N/A</v>
      </c>
      <c r="O20" s="1080" t="e">
        <f>IF(ISNUMBER(H20),H20/Population!N55,NA())</f>
        <v>#N/A</v>
      </c>
      <c r="P20" s="99" t="str">
        <f t="shared" si="5"/>
        <v/>
      </c>
      <c r="Q20" s="934" t="e">
        <f t="shared" si="0"/>
        <v>#N/A</v>
      </c>
      <c r="R20" s="70"/>
      <c r="S20" s="340">
        <f>IDACI!C19</f>
        <v>20.200000000000003</v>
      </c>
      <c r="T20" s="1212">
        <f t="shared" si="12"/>
        <v>0.94496817850300119</v>
      </c>
      <c r="U20" s="1215" t="e">
        <f t="shared" si="6"/>
        <v>#N/A</v>
      </c>
      <c r="V20" s="122"/>
      <c r="W20" s="139"/>
      <c r="X20" s="152"/>
      <c r="Y20" s="1099" t="str">
        <f t="shared" si="1"/>
        <v>Portsmouth</v>
      </c>
      <c r="Z20" s="1097">
        <f>IF(ISNUMBER(H20),IDACI!D19,0)</f>
        <v>0</v>
      </c>
      <c r="AA20" s="1098">
        <f>IF(ISNUMBER(H20),IDACI!E19,0)</f>
        <v>0</v>
      </c>
      <c r="AB20" s="1105">
        <f>IF(D20&gt;0,Population!J55,"")</f>
        <v>3990</v>
      </c>
      <c r="AC20" s="205">
        <f>IF(E20&gt;0,Population!K55,"")</f>
        <v>3982</v>
      </c>
      <c r="AD20" s="205">
        <f>IF(F20&gt;0,Population!L55,"")</f>
        <v>3907</v>
      </c>
      <c r="AE20" s="205">
        <f>IF(G20&gt;0,Population!M55,"")</f>
        <v>3719</v>
      </c>
      <c r="AF20" s="1106">
        <f>IF(H20&gt;0,Population!N55,"")</f>
        <v>3974</v>
      </c>
      <c r="AG20" s="1127" t="s">
        <v>12</v>
      </c>
      <c r="AH20" s="1041" t="str">
        <f t="shared" si="7"/>
        <v/>
      </c>
      <c r="AI20" s="206" t="e">
        <f t="shared" si="8"/>
        <v>#VALUE!</v>
      </c>
      <c r="AJ20" s="202"/>
      <c r="AK20" s="160"/>
      <c r="AL20" s="853" t="str">
        <f t="shared" si="13"/>
        <v>x</v>
      </c>
      <c r="AM20" s="853" t="str">
        <f t="shared" si="9"/>
        <v>x</v>
      </c>
      <c r="AN20" s="853" t="str">
        <f t="shared" si="10"/>
        <v>x</v>
      </c>
      <c r="AO20" s="853" t="str">
        <f t="shared" si="11"/>
        <v>x</v>
      </c>
      <c r="AP20" s="853" t="e">
        <f t="shared" si="3"/>
        <v>#DIV/0!</v>
      </c>
    </row>
    <row r="21" spans="1:42" s="87" customFormat="1" ht="13.5" customHeight="1" x14ac:dyDescent="0.2">
      <c r="A21" s="488">
        <f>VLOOKUP(B21,Sheet1!$AQ$4:$AR$25,2,FALSE)</f>
        <v>0</v>
      </c>
      <c r="B21" s="93" t="str">
        <f>Sheet1!$K$15</f>
        <v>Reading</v>
      </c>
      <c r="C21" s="85"/>
      <c r="D21" s="100" t="str">
        <f>IF(Year1_Reading Year1_16_17_participating_in_EET="","",Year1_Reading Year1_16_17_participating_in_EET)</f>
        <v/>
      </c>
      <c r="E21" s="100" t="str">
        <f>IF(Year2_Reading Year2_16_17_participating_in_EET="","",Year2_Reading Year2_16_17_participating_in_EET)</f>
        <v/>
      </c>
      <c r="F21" s="100" t="str">
        <f>IF(Year3_Reading Year3_16_17_participating_in_EET="","",Year3_Reading Year3_16_17_participating_in_EET)</f>
        <v/>
      </c>
      <c r="G21" s="100" t="str">
        <f>IF(Year4_Reading Year4_16_17_participating_in_EET="","",Year4_Reading Year4_16_17_participating_in_EET)</f>
        <v/>
      </c>
      <c r="H21" s="589" t="str">
        <f>IF(Year5_Reading Year5_16_17_participating_in_EET="","",Year5_Reading Year5_16_17_participating_in_EET)</f>
        <v/>
      </c>
      <c r="I21" s="344" t="e">
        <f t="shared" si="4"/>
        <v>#DIV/0!</v>
      </c>
      <c r="J21" s="96"/>
      <c r="K21" s="1080" t="e">
        <f>IF(ISNUMBER(D21),D21/Population!J56,NA())</f>
        <v>#N/A</v>
      </c>
      <c r="L21" s="1080" t="e">
        <f>IF(ISNUMBER(E21),E21/Population!K56,NA())</f>
        <v>#N/A</v>
      </c>
      <c r="M21" s="1080" t="e">
        <f>IF(ISNUMBER(F21),F21/Population!L56,NA())</f>
        <v>#N/A</v>
      </c>
      <c r="N21" s="1080" t="e">
        <f>IF(ISNUMBER(G21),G21/Population!M56,NA())</f>
        <v>#N/A</v>
      </c>
      <c r="O21" s="1080" t="e">
        <f>IF(ISNUMBER(H21),H21/Population!N56,NA())</f>
        <v>#N/A</v>
      </c>
      <c r="P21" s="99" t="str">
        <f t="shared" si="5"/>
        <v/>
      </c>
      <c r="Q21" s="934" t="e">
        <f t="shared" si="0"/>
        <v>#N/A</v>
      </c>
      <c r="R21" s="70"/>
      <c r="S21" s="340">
        <f>IDACI!C20</f>
        <v>16</v>
      </c>
      <c r="T21" s="1212">
        <f t="shared" si="12"/>
        <v>0.94797622954623217</v>
      </c>
      <c r="U21" s="1215" t="e">
        <f t="shared" si="6"/>
        <v>#N/A</v>
      </c>
      <c r="V21" s="122"/>
      <c r="W21" s="139"/>
      <c r="X21" s="152"/>
      <c r="Y21" s="1099" t="str">
        <f t="shared" si="1"/>
        <v>Reading</v>
      </c>
      <c r="Z21" s="1097">
        <f>IF(ISNUMBER(H21),IDACI!D20,0)</f>
        <v>0</v>
      </c>
      <c r="AA21" s="1098">
        <f>IF(ISNUMBER(H21),IDACI!E20,0)</f>
        <v>0</v>
      </c>
      <c r="AB21" s="1105">
        <f>IF(D21&gt;0,Population!J56,"")</f>
        <v>3166</v>
      </c>
      <c r="AC21" s="205">
        <f>IF(E21&gt;0,Population!K56,"")</f>
        <v>3116</v>
      </c>
      <c r="AD21" s="205">
        <f>IF(F21&gt;0,Population!L56,"")</f>
        <v>3086</v>
      </c>
      <c r="AE21" s="205">
        <f>IF(G21&gt;0,Population!M56,"")</f>
        <v>2916</v>
      </c>
      <c r="AF21" s="1106">
        <f>IF(H21&gt;0,Population!N56,"")</f>
        <v>3021</v>
      </c>
      <c r="AG21" s="1127" t="s">
        <v>3</v>
      </c>
      <c r="AH21" s="1041" t="str">
        <f t="shared" si="7"/>
        <v/>
      </c>
      <c r="AI21" s="206" t="e">
        <f t="shared" si="8"/>
        <v>#VALUE!</v>
      </c>
      <c r="AJ21" s="202"/>
      <c r="AK21" s="160"/>
      <c r="AL21" s="853" t="str">
        <f t="shared" si="13"/>
        <v>x</v>
      </c>
      <c r="AM21" s="853" t="str">
        <f t="shared" si="9"/>
        <v>x</v>
      </c>
      <c r="AN21" s="853" t="str">
        <f t="shared" si="10"/>
        <v>x</v>
      </c>
      <c r="AO21" s="853" t="str">
        <f t="shared" si="11"/>
        <v>x</v>
      </c>
      <c r="AP21" s="853" t="e">
        <f t="shared" si="3"/>
        <v>#DIV/0!</v>
      </c>
    </row>
    <row r="22" spans="1:42" s="87" customFormat="1" ht="13.5" customHeight="1" x14ac:dyDescent="0.2">
      <c r="A22" s="488">
        <f>VLOOKUP(B22,Sheet1!$AQ$4:$AR$25,2,FALSE)</f>
        <v>0</v>
      </c>
      <c r="B22" s="93" t="str">
        <f>Sheet1!$K$16</f>
        <v>Slough</v>
      </c>
      <c r="C22" s="85"/>
      <c r="D22" s="100" t="str">
        <f>IF(Year1_Slough Year1_16_17_participating_in_EET="","",Year1_Slough Year1_16_17_participating_in_EET)</f>
        <v/>
      </c>
      <c r="E22" s="100" t="str">
        <f>IF(Year2_Slough Year2_16_17_participating_in_EET="","",Year2_Slough Year2_16_17_participating_in_EET)</f>
        <v/>
      </c>
      <c r="F22" s="100" t="str">
        <f>IF(Year3_Slough Year3_16_17_participating_in_EET="","",Year3_Slough Year3_16_17_participating_in_EET)</f>
        <v/>
      </c>
      <c r="G22" s="100" t="str">
        <f>IF(Year4_Slough Year4_16_17_participating_in_EET="","",Year4_Slough Year4_16_17_participating_in_EET)</f>
        <v/>
      </c>
      <c r="H22" s="589" t="str">
        <f>IF(Year5_Slough Year5_16_17_participating_in_EET="","",Year5_Slough Year5_16_17_participating_in_EET)</f>
        <v/>
      </c>
      <c r="I22" s="344" t="e">
        <f t="shared" si="4"/>
        <v>#DIV/0!</v>
      </c>
      <c r="J22" s="96"/>
      <c r="K22" s="1080" t="e">
        <f>IF(ISNUMBER(D22),D22/Population!J57,NA())</f>
        <v>#N/A</v>
      </c>
      <c r="L22" s="1080" t="e">
        <f>IF(ISNUMBER(E22),E22/Population!K57,NA())</f>
        <v>#N/A</v>
      </c>
      <c r="M22" s="1080" t="e">
        <f>IF(ISNUMBER(F22),F22/Population!L57,NA())</f>
        <v>#N/A</v>
      </c>
      <c r="N22" s="1080" t="e">
        <f>IF(ISNUMBER(G22),G22/Population!M57,NA())</f>
        <v>#N/A</v>
      </c>
      <c r="O22" s="1080" t="e">
        <f>IF(ISNUMBER(H22),H22/Population!N57,NA())</f>
        <v>#N/A</v>
      </c>
      <c r="P22" s="99" t="str">
        <f t="shared" si="5"/>
        <v/>
      </c>
      <c r="Q22" s="934" t="e">
        <f t="shared" si="0"/>
        <v>#N/A</v>
      </c>
      <c r="R22" s="70"/>
      <c r="S22" s="340">
        <f>IDACI!C21</f>
        <v>14.7</v>
      </c>
      <c r="T22" s="1212">
        <f t="shared" si="12"/>
        <v>0.94890729296437526</v>
      </c>
      <c r="U22" s="1215" t="e">
        <f t="shared" si="6"/>
        <v>#N/A</v>
      </c>
      <c r="V22" s="122"/>
      <c r="W22" s="139"/>
      <c r="X22" s="152"/>
      <c r="Y22" s="1099" t="str">
        <f t="shared" si="1"/>
        <v>Slough</v>
      </c>
      <c r="Z22" s="1097">
        <f>IF(ISNUMBER(H22),IDACI!D21,0)</f>
        <v>0</v>
      </c>
      <c r="AA22" s="1098">
        <f>IF(ISNUMBER(H22),IDACI!E21,0)</f>
        <v>0</v>
      </c>
      <c r="AB22" s="1105">
        <f>IF(D22&gt;0,Population!J57,"")</f>
        <v>3443</v>
      </c>
      <c r="AC22" s="205">
        <f>IF(E22&gt;0,Population!K57,"")</f>
        <v>3494</v>
      </c>
      <c r="AD22" s="205">
        <f>IF(F22&gt;0,Population!L57,"")</f>
        <v>3630</v>
      </c>
      <c r="AE22" s="205">
        <f>IF(G22&gt;0,Population!M57,"")</f>
        <v>3722</v>
      </c>
      <c r="AF22" s="1106">
        <f>IF(H22&gt;0,Population!N57,"")</f>
        <v>3917</v>
      </c>
      <c r="AG22" s="1127" t="s">
        <v>13</v>
      </c>
      <c r="AH22" s="1041" t="str">
        <f t="shared" si="7"/>
        <v/>
      </c>
      <c r="AI22" s="206" t="e">
        <f t="shared" si="8"/>
        <v>#VALUE!</v>
      </c>
      <c r="AJ22" s="202"/>
      <c r="AK22" s="160"/>
      <c r="AL22" s="853" t="str">
        <f t="shared" si="13"/>
        <v>x</v>
      </c>
      <c r="AM22" s="853" t="str">
        <f t="shared" si="9"/>
        <v>x</v>
      </c>
      <c r="AN22" s="853" t="str">
        <f t="shared" si="10"/>
        <v>x</v>
      </c>
      <c r="AO22" s="853" t="str">
        <f t="shared" si="11"/>
        <v>x</v>
      </c>
      <c r="AP22" s="853" t="e">
        <f t="shared" si="3"/>
        <v>#DIV/0!</v>
      </c>
    </row>
    <row r="23" spans="1:42" s="87" customFormat="1" ht="13.5" customHeight="1" x14ac:dyDescent="0.2">
      <c r="A23" s="488">
        <f>VLOOKUP(B23,Sheet1!$AQ$4:$AR$25,2,FALSE)</f>
        <v>0</v>
      </c>
      <c r="B23" s="93" t="str">
        <f>Sheet1!$K$17</f>
        <v>Somerset</v>
      </c>
      <c r="C23" s="85"/>
      <c r="D23" s="100" t="str">
        <f>IF(Year1_Somerset Year1_16_17_participating_in_EET="","",Year1_Somerset Year1_16_17_participating_in_EET)</f>
        <v/>
      </c>
      <c r="E23" s="100" t="str">
        <f>IF(Year2_Somerset Year2_16_17_participating_in_EET="","",Year2_Somerset Year2_16_17_participating_in_EET)</f>
        <v/>
      </c>
      <c r="F23" s="100" t="str">
        <f>IF(Year3_Somerset Year3_16_17_participating_in_EET="","",Year3_Somerset Year3_16_17_participating_in_EET)</f>
        <v/>
      </c>
      <c r="G23" s="100" t="str">
        <f>IF(Year4_Somerset Year4_16_17_participating_in_EET="","",Year4_Somerset Year4_16_17_participating_in_EET)</f>
        <v/>
      </c>
      <c r="H23" s="589" t="str">
        <f>IF(Year5_Somerset Year5_16_17_participating_in_EET="","",Year5_Somerset Year5_16_17_participating_in_EET)</f>
        <v/>
      </c>
      <c r="I23" s="344" t="e">
        <f t="shared" si="4"/>
        <v>#DIV/0!</v>
      </c>
      <c r="J23" s="96"/>
      <c r="K23" s="1080" t="e">
        <f>IF(ISNUMBER(D23),D23/Population!J58,NA())</f>
        <v>#N/A</v>
      </c>
      <c r="L23" s="1080" t="e">
        <f>IF(ISNUMBER(E23),E23/Population!K58,NA())</f>
        <v>#N/A</v>
      </c>
      <c r="M23" s="1080" t="e">
        <f>IF(ISNUMBER(F23),F23/Population!L58,NA())</f>
        <v>#N/A</v>
      </c>
      <c r="N23" s="1080" t="e">
        <f>IF(ISNUMBER(G23),G23/Population!M58,NA())</f>
        <v>#N/A</v>
      </c>
      <c r="O23" s="1080" t="e">
        <f>IF(ISNUMBER(H23),H23/Population!N58,NA())</f>
        <v>#N/A</v>
      </c>
      <c r="P23" s="99" t="str">
        <f t="shared" si="5"/>
        <v/>
      </c>
      <c r="Q23" s="370" t="str">
        <f t="shared" si="0"/>
        <v>--</v>
      </c>
      <c r="R23" s="70"/>
      <c r="S23" s="340">
        <f>IDACI!C22</f>
        <v>13.600000000000001</v>
      </c>
      <c r="T23" s="1212">
        <f t="shared" si="12"/>
        <v>0.94969511585665001</v>
      </c>
      <c r="U23" s="1215" t="e">
        <f t="shared" si="6"/>
        <v>#N/A</v>
      </c>
      <c r="V23" s="122"/>
      <c r="W23" s="139"/>
      <c r="X23" s="152"/>
      <c r="Y23" s="1099" t="str">
        <f t="shared" si="1"/>
        <v>Somerset</v>
      </c>
      <c r="Z23" s="1097">
        <f>IF(ISNUMBER(H23),IDACI!D22,0)</f>
        <v>0</v>
      </c>
      <c r="AA23" s="1098">
        <f>IF(ISNUMBER(H23),IDACI!E22,0)</f>
        <v>0</v>
      </c>
      <c r="AB23" s="1105">
        <f>IF(D23&gt;0,Population!J58,"")</f>
        <v>11916</v>
      </c>
      <c r="AC23" s="205">
        <f>IF(E23&gt;0,Population!K58,"")</f>
        <v>11647</v>
      </c>
      <c r="AD23" s="205">
        <f>IF(F23&gt;0,Population!L58,"")</f>
        <v>11288</v>
      </c>
      <c r="AE23" s="205">
        <f>IF(G23&gt;0,Population!M58,"")</f>
        <v>10965</v>
      </c>
      <c r="AF23" s="1106">
        <f>IF(H23&gt;0,Population!N58,"")</f>
        <v>11082</v>
      </c>
      <c r="AG23" s="1127" t="s">
        <v>14</v>
      </c>
      <c r="AH23" s="1041" t="str">
        <f t="shared" si="7"/>
        <v/>
      </c>
      <c r="AI23" s="206" t="e">
        <f t="shared" si="8"/>
        <v>#VALUE!</v>
      </c>
      <c r="AJ23" s="202"/>
      <c r="AK23" s="160"/>
      <c r="AL23" s="853" t="str">
        <f t="shared" si="13"/>
        <v>x</v>
      </c>
      <c r="AM23" s="853" t="str">
        <f t="shared" si="9"/>
        <v>x</v>
      </c>
      <c r="AN23" s="853" t="str">
        <f t="shared" si="10"/>
        <v>x</v>
      </c>
      <c r="AO23" s="853" t="str">
        <f t="shared" si="11"/>
        <v>x</v>
      </c>
      <c r="AP23" s="853" t="e">
        <f t="shared" si="3"/>
        <v>#DIV/0!</v>
      </c>
    </row>
    <row r="24" spans="1:42" s="87" customFormat="1" ht="13.5" customHeight="1" x14ac:dyDescent="0.2">
      <c r="A24" s="488">
        <f>VLOOKUP(B24,Sheet1!$AQ$4:$AR$25,2,FALSE)</f>
        <v>0</v>
      </c>
      <c r="B24" s="93" t="str">
        <f>Sheet1!$K$18</f>
        <v>Southampton</v>
      </c>
      <c r="C24" s="85"/>
      <c r="D24" s="100" t="str">
        <f>IF(Year1_Southampton Year1_16_17_participating_in_EET="","",Year1_Southampton Year1_16_17_participating_in_EET)</f>
        <v/>
      </c>
      <c r="E24" s="100" t="str">
        <f>IF(Year2_Southampton Year2_16_17_participating_in_EET="","",Year2_Southampton Year2_16_17_participating_in_EET)</f>
        <v/>
      </c>
      <c r="F24" s="100" t="str">
        <f>IF(Year3_Southampton Year3_16_17_participating_in_EET="","",Year3_Southampton Year3_16_17_participating_in_EET)</f>
        <v/>
      </c>
      <c r="G24" s="100" t="str">
        <f>IF(Year4_Southampton Year4_16_17_participating_in_EET="","",Year4_Southampton Year4_16_17_participating_in_EET)</f>
        <v/>
      </c>
      <c r="H24" s="589" t="str">
        <f>IF(Year5_Southampton Year5_16_17_participating_in_EET="","",Year5_Southampton Year5_16_17_participating_in_EET)</f>
        <v/>
      </c>
      <c r="I24" s="344" t="e">
        <f t="shared" si="4"/>
        <v>#DIV/0!</v>
      </c>
      <c r="J24" s="96"/>
      <c r="K24" s="1080" t="e">
        <f>IF(ISNUMBER(D24),D24/Population!J59,NA())</f>
        <v>#N/A</v>
      </c>
      <c r="L24" s="1080" t="e">
        <f>IF(ISNUMBER(E24),E24/Population!K59,NA())</f>
        <v>#N/A</v>
      </c>
      <c r="M24" s="1080" t="e">
        <f>IF(ISNUMBER(F24),F24/Population!L59,NA())</f>
        <v>#N/A</v>
      </c>
      <c r="N24" s="1080" t="e">
        <f>IF(ISNUMBER(G24),G24/Population!M59,NA())</f>
        <v>#N/A</v>
      </c>
      <c r="O24" s="1080" t="e">
        <f>IF(ISNUMBER(H24),H24/Population!N59,NA())</f>
        <v>#N/A</v>
      </c>
      <c r="P24" s="99" t="str">
        <f t="shared" si="5"/>
        <v/>
      </c>
      <c r="Q24" s="934" t="e">
        <f t="shared" si="0"/>
        <v>#N/A</v>
      </c>
      <c r="R24" s="70"/>
      <c r="S24" s="340">
        <f>IDACI!C23</f>
        <v>20.5</v>
      </c>
      <c r="T24" s="1212">
        <f t="shared" si="12"/>
        <v>0.9447533177141989</v>
      </c>
      <c r="U24" s="1215" t="e">
        <f t="shared" si="6"/>
        <v>#N/A</v>
      </c>
      <c r="V24" s="122"/>
      <c r="W24" s="139"/>
      <c r="X24" s="152"/>
      <c r="Y24" s="1099" t="str">
        <f t="shared" si="1"/>
        <v>Southampton</v>
      </c>
      <c r="Z24" s="1097">
        <f>IF(ISNUMBER(H24),IDACI!D23,0)</f>
        <v>0</v>
      </c>
      <c r="AA24" s="1098">
        <f>IF(ISNUMBER(H24),IDACI!E23,0)</f>
        <v>0</v>
      </c>
      <c r="AB24" s="1105">
        <f>IF(D24&gt;0,Population!J59,"")</f>
        <v>4423</v>
      </c>
      <c r="AC24" s="205">
        <f>IF(E24&gt;0,Population!K59,"")</f>
        <v>4426</v>
      </c>
      <c r="AD24" s="205">
        <f>IF(F24&gt;0,Population!L59,"")</f>
        <v>4477</v>
      </c>
      <c r="AE24" s="205">
        <f>IF(G24&gt;0,Population!M59,"")</f>
        <v>4263</v>
      </c>
      <c r="AF24" s="1106">
        <f>IF(H24&gt;0,Population!N59,"")</f>
        <v>4389</v>
      </c>
      <c r="AG24" s="1127" t="s">
        <v>7</v>
      </c>
      <c r="AH24" s="1041" t="str">
        <f t="shared" si="7"/>
        <v/>
      </c>
      <c r="AI24" s="206" t="e">
        <f t="shared" si="8"/>
        <v>#VALUE!</v>
      </c>
      <c r="AJ24" s="202"/>
      <c r="AK24" s="160"/>
      <c r="AL24" s="853" t="str">
        <f t="shared" si="13"/>
        <v>x</v>
      </c>
      <c r="AM24" s="853" t="str">
        <f t="shared" si="9"/>
        <v>x</v>
      </c>
      <c r="AN24" s="853" t="str">
        <f t="shared" si="10"/>
        <v>x</v>
      </c>
      <c r="AO24" s="853" t="str">
        <f t="shared" si="11"/>
        <v>x</v>
      </c>
      <c r="AP24" s="853" t="e">
        <f t="shared" si="3"/>
        <v>#DIV/0!</v>
      </c>
    </row>
    <row r="25" spans="1:42" s="87" customFormat="1" ht="13.5" customHeight="1" x14ac:dyDescent="0.2">
      <c r="A25" s="488">
        <f>VLOOKUP(B25,Sheet1!$AQ$4:$AR$25,2,FALSE)</f>
        <v>0</v>
      </c>
      <c r="B25" s="93" t="str">
        <f>Sheet1!$K$19</f>
        <v>Surrey</v>
      </c>
      <c r="C25" s="85"/>
      <c r="D25" s="100" t="str">
        <f>IF(Year1_Surrey Year1_16_17_participating_in_EET="","",Year1_Surrey Year1_16_17_participating_in_EET)</f>
        <v/>
      </c>
      <c r="E25" s="100" t="str">
        <f>IF(Year2_Surrey Year2_16_17_participating_in_EET="","",Year2_Surrey Year2_16_17_participating_in_EET)</f>
        <v/>
      </c>
      <c r="F25" s="100" t="str">
        <f>IF(Year3_Surrey Year3_16_17_participating_in_EET="","",Year3_Surrey Year3_16_17_participating_in_EET)</f>
        <v/>
      </c>
      <c r="G25" s="100" t="str">
        <f>IF(Year4_Surrey Year4_16_17_participating_in_EET="","",Year4_Surrey Year4_16_17_participating_in_EET)</f>
        <v/>
      </c>
      <c r="H25" s="589" t="str">
        <f>IF(Year5_Surrey Year5_16_17_participating_in_EET="","",Year5_Surrey Year5_16_17_participating_in_EET)</f>
        <v/>
      </c>
      <c r="I25" s="344" t="e">
        <f t="shared" si="4"/>
        <v>#DIV/0!</v>
      </c>
      <c r="J25" s="96"/>
      <c r="K25" s="1080" t="e">
        <f>IF(ISNUMBER(D25),D25/Population!J60,NA())</f>
        <v>#N/A</v>
      </c>
      <c r="L25" s="1080" t="e">
        <f>IF(ISNUMBER(E25),E25/Population!K60,NA())</f>
        <v>#N/A</v>
      </c>
      <c r="M25" s="1080" t="e">
        <f>IF(ISNUMBER(F25),F25/Population!L60,NA())</f>
        <v>#N/A</v>
      </c>
      <c r="N25" s="1080" t="e">
        <f>IF(ISNUMBER(G25),G25/Population!M60,NA())</f>
        <v>#N/A</v>
      </c>
      <c r="O25" s="1080" t="e">
        <f>IF(ISNUMBER(H25),H25/Population!N60,NA())</f>
        <v>#N/A</v>
      </c>
      <c r="P25" s="99" t="str">
        <f t="shared" si="5"/>
        <v/>
      </c>
      <c r="Q25" s="934" t="e">
        <f t="shared" si="0"/>
        <v>#N/A</v>
      </c>
      <c r="R25" s="70"/>
      <c r="S25" s="340">
        <f>IDACI!C24</f>
        <v>8.3000000000000007</v>
      </c>
      <c r="T25" s="1212">
        <f t="shared" si="12"/>
        <v>0.95349098979215596</v>
      </c>
      <c r="U25" s="1215" t="e">
        <f t="shared" si="6"/>
        <v>#N/A</v>
      </c>
      <c r="V25" s="122"/>
      <c r="W25" s="139"/>
      <c r="X25" s="152"/>
      <c r="Y25" s="1099" t="str">
        <f t="shared" si="1"/>
        <v>Surrey</v>
      </c>
      <c r="Z25" s="1097">
        <f>IF(ISNUMBER(H25),IDACI!D24,0)</f>
        <v>0</v>
      </c>
      <c r="AA25" s="1098">
        <f>IF(ISNUMBER(H25),IDACI!E24,0)</f>
        <v>0</v>
      </c>
      <c r="AB25" s="1105">
        <f>IF(D25&gt;0,Population!J60,"")</f>
        <v>22197</v>
      </c>
      <c r="AC25" s="205">
        <f>IF(E25&gt;0,Population!K60,"")</f>
        <v>22595</v>
      </c>
      <c r="AD25" s="205">
        <f>IF(F25&gt;0,Population!L60,"")</f>
        <v>21987</v>
      </c>
      <c r="AE25" s="205">
        <f>IF(G25&gt;0,Population!M60,"")</f>
        <v>21342</v>
      </c>
      <c r="AF25" s="1106">
        <f>IF(H25&gt;0,Population!N60,"")</f>
        <v>21869</v>
      </c>
      <c r="AG25" s="1127" t="s">
        <v>15</v>
      </c>
      <c r="AH25" s="1041" t="str">
        <f t="shared" si="7"/>
        <v/>
      </c>
      <c r="AI25" s="206" t="e">
        <f t="shared" si="8"/>
        <v>#VALUE!</v>
      </c>
      <c r="AJ25" s="202"/>
      <c r="AK25" s="160"/>
      <c r="AL25" s="853" t="str">
        <f t="shared" si="13"/>
        <v>x</v>
      </c>
      <c r="AM25" s="853" t="str">
        <f t="shared" si="9"/>
        <v>x</v>
      </c>
      <c r="AN25" s="853" t="str">
        <f t="shared" si="10"/>
        <v>x</v>
      </c>
      <c r="AO25" s="853" t="str">
        <f t="shared" si="11"/>
        <v>x</v>
      </c>
      <c r="AP25" s="853" t="e">
        <f t="shared" si="3"/>
        <v>#DIV/0!</v>
      </c>
    </row>
    <row r="26" spans="1:42" s="87" customFormat="1" ht="13.5" customHeight="1" x14ac:dyDescent="0.2">
      <c r="A26" s="488">
        <f>VLOOKUP(B26,Sheet1!$AQ$4:$AR$25,2,FALSE)</f>
        <v>0</v>
      </c>
      <c r="B26" s="93" t="str">
        <f>Sheet1!$K$20</f>
        <v>Swindon</v>
      </c>
      <c r="C26" s="85"/>
      <c r="D26" s="100" t="str">
        <f>IF(Year1_Swindon Year1_16_17_participating_in_EET="","",Year1_Swindon Year1_16_17_participating_in_EET)</f>
        <v/>
      </c>
      <c r="E26" s="100" t="str">
        <f>IF(Year2_Swindon Year2_16_17_participating_in_EET="","",Year2_Swindon Year2_16_17_participating_in_EET)</f>
        <v/>
      </c>
      <c r="F26" s="100" t="str">
        <f>IF(Year3_Swindon Year3_16_17_participating_in_EET="","",Year3_Swindon Year3_16_17_participating_in_EET)</f>
        <v/>
      </c>
      <c r="G26" s="100" t="str">
        <f>IF(Year4_Swindon Year4_16_17_participating_in_EET="","",Year4_Swindon Year4_16_17_participating_in_EET)</f>
        <v/>
      </c>
      <c r="H26" s="589" t="str">
        <f>IF(Year5_Swindon Year5_16_17_participating_in_EET="","",Year5_Swindon Year5_16_17_participating_in_EET)</f>
        <v/>
      </c>
      <c r="I26" s="344" t="e">
        <f t="shared" si="4"/>
        <v>#DIV/0!</v>
      </c>
      <c r="J26" s="96"/>
      <c r="K26" s="1080" t="e">
        <f>IF(ISNUMBER(D26),D26/Population!J61,NA())</f>
        <v>#N/A</v>
      </c>
      <c r="L26" s="1080" t="e">
        <f>IF(ISNUMBER(E26),E26/Population!K61,NA())</f>
        <v>#N/A</v>
      </c>
      <c r="M26" s="1080" t="e">
        <f>IF(ISNUMBER(F26),F26/Population!L61,NA())</f>
        <v>#N/A</v>
      </c>
      <c r="N26" s="1080" t="e">
        <f>IF(ISNUMBER(G26),G26/Population!M61,NA())</f>
        <v>#N/A</v>
      </c>
      <c r="O26" s="1080" t="e">
        <f>IF(ISNUMBER(H26),H26/Population!N61,NA())</f>
        <v>#N/A</v>
      </c>
      <c r="P26" s="99" t="str">
        <f t="shared" si="5"/>
        <v/>
      </c>
      <c r="Q26" s="370" t="str">
        <f t="shared" si="0"/>
        <v>--</v>
      </c>
      <c r="R26" s="70"/>
      <c r="S26" s="340">
        <f>IDACI!C25</f>
        <v>14.899999999999999</v>
      </c>
      <c r="T26" s="1212">
        <f t="shared" si="12"/>
        <v>0.94876405243850714</v>
      </c>
      <c r="U26" s="1215" t="e">
        <f t="shared" si="6"/>
        <v>#N/A</v>
      </c>
      <c r="V26" s="122"/>
      <c r="W26" s="139"/>
      <c r="X26" s="152"/>
      <c r="Y26" s="1099" t="str">
        <f t="shared" si="1"/>
        <v>Swindon</v>
      </c>
      <c r="Z26" s="1097">
        <f>IF(ISNUMBER(H26),IDACI!D25,0)</f>
        <v>0</v>
      </c>
      <c r="AA26" s="1098">
        <f>IF(ISNUMBER(H26),IDACI!E25,0)</f>
        <v>0</v>
      </c>
      <c r="AB26" s="1105">
        <f>IF(D26&gt;0,Population!J61,"")</f>
        <v>5149</v>
      </c>
      <c r="AC26" s="205">
        <f>IF(E26&gt;0,Population!K61,"")</f>
        <v>4940</v>
      </c>
      <c r="AD26" s="205">
        <f>IF(F26&gt;0,Population!L61,"")</f>
        <v>4857</v>
      </c>
      <c r="AE26" s="205">
        <f>IF(G26&gt;0,Population!M61,"")</f>
        <v>4817</v>
      </c>
      <c r="AF26" s="1106">
        <f>IF(H26&gt;0,Population!N61,"")</f>
        <v>5012</v>
      </c>
      <c r="AG26" s="1127" t="s">
        <v>5</v>
      </c>
      <c r="AH26" s="1041" t="str">
        <f t="shared" si="7"/>
        <v/>
      </c>
      <c r="AI26" s="206" t="e">
        <f t="shared" si="8"/>
        <v>#VALUE!</v>
      </c>
      <c r="AJ26" s="202"/>
      <c r="AK26" s="160"/>
      <c r="AL26" s="853" t="str">
        <f t="shared" si="13"/>
        <v>x</v>
      </c>
      <c r="AM26" s="853" t="str">
        <f t="shared" si="9"/>
        <v>x</v>
      </c>
      <c r="AN26" s="853" t="str">
        <f t="shared" si="10"/>
        <v>x</v>
      </c>
      <c r="AO26" s="853" t="str">
        <f t="shared" si="11"/>
        <v>x</v>
      </c>
      <c r="AP26" s="853" t="e">
        <f t="shared" si="3"/>
        <v>#DIV/0!</v>
      </c>
    </row>
    <row r="27" spans="1:42" s="87" customFormat="1" ht="13.5" customHeight="1" x14ac:dyDescent="0.2">
      <c r="A27" s="488">
        <f>VLOOKUP(B27,Sheet1!$AQ$4:$AR$25,2,FALSE)</f>
        <v>0</v>
      </c>
      <c r="B27" s="93" t="str">
        <f>Sheet1!$K$21</f>
        <v>Torbay</v>
      </c>
      <c r="C27" s="85"/>
      <c r="D27" s="100" t="str">
        <f>IF(Year1_Torbay Year1_16_17_participating_in_EET="","",Year1_Torbay Year1_16_17_participating_in_EET)</f>
        <v/>
      </c>
      <c r="E27" s="100" t="str">
        <f>IF(Year2_Torbay Year2_16_17_participating_in_EET="","",Year2_Torbay Year2_16_17_participating_in_EET)</f>
        <v/>
      </c>
      <c r="F27" s="100" t="str">
        <f>IF(Year3_Torbay Year3_16_17_participating_in_EET="","",Year3_Torbay Year3_16_17_participating_in_EET)</f>
        <v/>
      </c>
      <c r="G27" s="100" t="str">
        <f>IF(Year4_Torbay Year4_16_17_participating_in_EET="","",Year4_Torbay Year4_16_17_participating_in_EET)</f>
        <v/>
      </c>
      <c r="H27" s="589" t="str">
        <f>IF(Year5_Torbay Year5_16_17_participating_in_EET="","",Year5_Torbay Year5_16_17_participating_in_EET)</f>
        <v/>
      </c>
      <c r="I27" s="344" t="e">
        <f t="shared" si="4"/>
        <v>#DIV/0!</v>
      </c>
      <c r="J27" s="96"/>
      <c r="K27" s="1080" t="e">
        <f>IF(ISNUMBER(D27),D27/Population!J62,NA())</f>
        <v>#N/A</v>
      </c>
      <c r="L27" s="1080" t="e">
        <f>IF(ISNUMBER(E27),E27/Population!K62,NA())</f>
        <v>#N/A</v>
      </c>
      <c r="M27" s="1080" t="e">
        <f>IF(ISNUMBER(F27),F27/Population!L62,NA())</f>
        <v>#N/A</v>
      </c>
      <c r="N27" s="1080" t="e">
        <f>IF(ISNUMBER(G27),G27/Population!M62,NA())</f>
        <v>#N/A</v>
      </c>
      <c r="O27" s="1080" t="e">
        <f>IF(ISNUMBER(H27),H27/Population!N62,NA())</f>
        <v>#N/A</v>
      </c>
      <c r="P27" s="99" t="str">
        <f t="shared" si="5"/>
        <v/>
      </c>
      <c r="Q27" s="370" t="str">
        <f t="shared" si="0"/>
        <v>--</v>
      </c>
      <c r="R27" s="70"/>
      <c r="S27" s="340">
        <f>IDACI!C26</f>
        <v>21.9</v>
      </c>
      <c r="T27" s="1212">
        <f t="shared" si="12"/>
        <v>0.94375063403312198</v>
      </c>
      <c r="U27" s="1215" t="e">
        <f t="shared" si="6"/>
        <v>#N/A</v>
      </c>
      <c r="V27" s="122"/>
      <c r="W27" s="139"/>
      <c r="X27" s="152"/>
      <c r="Y27" s="1099" t="str">
        <f t="shared" si="1"/>
        <v>Torbay</v>
      </c>
      <c r="Z27" s="1097">
        <f>IF(ISNUMBER(H27),IDACI!D26,0)</f>
        <v>0</v>
      </c>
      <c r="AA27" s="1098">
        <f>IF(ISNUMBER(H27),IDACI!E26,0)</f>
        <v>0</v>
      </c>
      <c r="AB27" s="1105">
        <f>IF(D27&gt;0,Population!J62,"")</f>
        <v>3146</v>
      </c>
      <c r="AC27" s="205">
        <f>IF(E27&gt;0,Population!K62,"")</f>
        <v>3041</v>
      </c>
      <c r="AD27" s="205">
        <f>IF(F27&gt;0,Population!L62,"")</f>
        <v>2765</v>
      </c>
      <c r="AE27" s="205">
        <f>IF(G27&gt;0,Population!M62,"")</f>
        <v>2678</v>
      </c>
      <c r="AF27" s="1106">
        <f>IF(H27&gt;0,Population!N62,"")</f>
        <v>2833</v>
      </c>
      <c r="AG27" s="1127" t="s">
        <v>30</v>
      </c>
      <c r="AH27" s="1041" t="str">
        <f t="shared" si="7"/>
        <v/>
      </c>
      <c r="AI27" s="206" t="e">
        <f t="shared" si="8"/>
        <v>#VALUE!</v>
      </c>
      <c r="AJ27" s="202"/>
      <c r="AK27" s="160"/>
      <c r="AL27" s="853" t="str">
        <f t="shared" si="13"/>
        <v>x</v>
      </c>
      <c r="AM27" s="853" t="str">
        <f t="shared" si="9"/>
        <v>x</v>
      </c>
      <c r="AN27" s="853" t="str">
        <f t="shared" si="10"/>
        <v>x</v>
      </c>
      <c r="AO27" s="853" t="str">
        <f t="shared" si="11"/>
        <v>x</v>
      </c>
      <c r="AP27" s="853" t="e">
        <f t="shared" si="3"/>
        <v>#DIV/0!</v>
      </c>
    </row>
    <row r="28" spans="1:42" s="87" customFormat="1" ht="13.5" customHeight="1" x14ac:dyDescent="0.2">
      <c r="A28" s="488">
        <f>VLOOKUP(B28,Sheet1!$AQ$4:$AR$25,2,FALSE)</f>
        <v>0</v>
      </c>
      <c r="B28" s="93" t="str">
        <f>Sheet1!$K$22</f>
        <v>West Berkshire</v>
      </c>
      <c r="C28" s="85"/>
      <c r="D28" s="100" t="str">
        <f>IF(Year1_West_Berkshire Year1_16_17_participating_in_EET="","",Year1_West_Berkshire Year1_16_17_participating_in_EET)</f>
        <v/>
      </c>
      <c r="E28" s="100" t="str">
        <f>IF(Year2_West_Berkshire Year2_16_17_participating_in_EET="","",Year2_West_Berkshire Year2_16_17_participating_in_EET)</f>
        <v/>
      </c>
      <c r="F28" s="100" t="str">
        <f>IF(Year3_West_Berkshire Year3_16_17_participating_in_EET="","",Year3_West_Berkshire Year3_16_17_participating_in_EET)</f>
        <v/>
      </c>
      <c r="G28" s="100" t="str">
        <f>IF(Year4_West_Berkshire Year4_16_17_participating_in_EET="","",Year4_West_Berkshire Year4_16_17_participating_in_EET)</f>
        <v/>
      </c>
      <c r="H28" s="589" t="str">
        <f>IF(Year5_West_Berkshire Year5_16_17_participating_in_EET="","",Year5_West_Berkshire Year5_16_17_participating_in_EET)</f>
        <v/>
      </c>
      <c r="I28" s="344" t="e">
        <f t="shared" si="4"/>
        <v>#DIV/0!</v>
      </c>
      <c r="J28" s="96"/>
      <c r="K28" s="1080" t="e">
        <f>IF(ISNUMBER(D28),D28/Population!J63,NA())</f>
        <v>#N/A</v>
      </c>
      <c r="L28" s="1080" t="e">
        <f>IF(ISNUMBER(E28),E28/Population!K63,NA())</f>
        <v>#N/A</v>
      </c>
      <c r="M28" s="1080" t="e">
        <f>IF(ISNUMBER(F28),F28/Population!L63,NA())</f>
        <v>#N/A</v>
      </c>
      <c r="N28" s="1080" t="e">
        <f>IF(ISNUMBER(G28),G28/Population!M63,NA())</f>
        <v>#N/A</v>
      </c>
      <c r="O28" s="1080" t="e">
        <f>IF(ISNUMBER(H28),H28/Population!N63,NA())</f>
        <v>#N/A</v>
      </c>
      <c r="P28" s="99" t="str">
        <f t="shared" si="5"/>
        <v/>
      </c>
      <c r="Q28" s="934" t="e">
        <f t="shared" si="0"/>
        <v>#N/A</v>
      </c>
      <c r="R28" s="70"/>
      <c r="S28" s="340">
        <f>IDACI!C27</f>
        <v>8.6999999999999993</v>
      </c>
      <c r="T28" s="1212">
        <f t="shared" si="12"/>
        <v>0.95320450874041962</v>
      </c>
      <c r="U28" s="1215" t="e">
        <f t="shared" si="6"/>
        <v>#N/A</v>
      </c>
      <c r="V28" s="122"/>
      <c r="W28" s="139"/>
      <c r="X28" s="152"/>
      <c r="Y28" s="1099" t="str">
        <f t="shared" si="1"/>
        <v>West Berkshire</v>
      </c>
      <c r="Z28" s="1097">
        <f>IF(ISNUMBER(H28),IDACI!D27,0)</f>
        <v>0</v>
      </c>
      <c r="AA28" s="1098">
        <f>IF(ISNUMBER(H28),IDACI!E27,0)</f>
        <v>0</v>
      </c>
      <c r="AB28" s="1105">
        <f>IF(D28&gt;0,Population!J63,"")</f>
        <v>3376</v>
      </c>
      <c r="AC28" s="205">
        <f>IF(E28&gt;0,Population!K63,"")</f>
        <v>3531</v>
      </c>
      <c r="AD28" s="205">
        <f>IF(F28&gt;0,Population!L63,"")</f>
        <v>3397</v>
      </c>
      <c r="AE28" s="205">
        <f>IF(G28&gt;0,Population!M63,"")</f>
        <v>3245</v>
      </c>
      <c r="AF28" s="1106">
        <f>IF(H28&gt;0,Population!N63,"")</f>
        <v>3360</v>
      </c>
      <c r="AG28" s="1127" t="s">
        <v>16</v>
      </c>
      <c r="AH28" s="1041" t="str">
        <f t="shared" si="7"/>
        <v/>
      </c>
      <c r="AI28" s="206" t="e">
        <f t="shared" si="8"/>
        <v>#VALUE!</v>
      </c>
      <c r="AJ28" s="202"/>
      <c r="AK28" s="160"/>
      <c r="AL28" s="853" t="str">
        <f t="shared" si="13"/>
        <v>x</v>
      </c>
      <c r="AM28" s="853" t="str">
        <f t="shared" si="9"/>
        <v>x</v>
      </c>
      <c r="AN28" s="853" t="str">
        <f t="shared" si="10"/>
        <v>x</v>
      </c>
      <c r="AO28" s="853" t="str">
        <f t="shared" si="11"/>
        <v>x</v>
      </c>
      <c r="AP28" s="853" t="e">
        <f t="shared" si="3"/>
        <v>#DIV/0!</v>
      </c>
    </row>
    <row r="29" spans="1:42" s="87" customFormat="1" ht="13.5" customHeight="1" x14ac:dyDescent="0.2">
      <c r="A29" s="488">
        <f>VLOOKUP(B29,Sheet1!$AQ$4:$AR$25,2,FALSE)</f>
        <v>0</v>
      </c>
      <c r="B29" s="93" t="str">
        <f>Sheet1!$K$23</f>
        <v>West Sussex</v>
      </c>
      <c r="C29" s="85"/>
      <c r="D29" s="100" t="str">
        <f>IF(Year1_West_Sussex Year1_16_17_participating_in_EET="","",Year1_West_Sussex Year1_16_17_participating_in_EET)</f>
        <v/>
      </c>
      <c r="E29" s="100" t="str">
        <f>IF(Year2_West_Sussex Year2_16_17_participating_in_EET="","",Year2_West_Sussex Year2_16_17_participating_in_EET)</f>
        <v/>
      </c>
      <c r="F29" s="100" t="str">
        <f>IF(Year3_West_Sussex Year3_16_17_participating_in_EET="","",Year3_West_Sussex Year3_16_17_participating_in_EET)</f>
        <v/>
      </c>
      <c r="G29" s="100" t="str">
        <f>IF(Year4_West_Sussex Year4_16_17_participating_in_EET="","",Year4_West_Sussex Year4_16_17_participating_in_EET)</f>
        <v/>
      </c>
      <c r="H29" s="589" t="str">
        <f>IF(Year5_West_Sussex Year5_16_17_participating_in_EET="","",Year5_West_Sussex Year5_16_17_participating_in_EET)</f>
        <v/>
      </c>
      <c r="I29" s="344" t="e">
        <f t="shared" si="4"/>
        <v>#DIV/0!</v>
      </c>
      <c r="J29" s="96"/>
      <c r="K29" s="1080" t="e">
        <f>IF(ISNUMBER(D29),D29/Population!J64,NA())</f>
        <v>#N/A</v>
      </c>
      <c r="L29" s="1080" t="e">
        <f>IF(ISNUMBER(E29),E29/Population!K64,NA())</f>
        <v>#N/A</v>
      </c>
      <c r="M29" s="1080" t="e">
        <f>IF(ISNUMBER(F29),F29/Population!L64,NA())</f>
        <v>#N/A</v>
      </c>
      <c r="N29" s="1080" t="e">
        <f>IF(ISNUMBER(G29),G29/Population!M64,NA())</f>
        <v>#N/A</v>
      </c>
      <c r="O29" s="1080" t="e">
        <f>IF(ISNUMBER(H29),H29/Population!N64,NA())</f>
        <v>#N/A</v>
      </c>
      <c r="P29" s="99" t="str">
        <f t="shared" si="5"/>
        <v/>
      </c>
      <c r="Q29" s="934" t="e">
        <f t="shared" si="0"/>
        <v>#N/A</v>
      </c>
      <c r="R29" s="70"/>
      <c r="S29" s="340">
        <f>IDACI!C28</f>
        <v>11</v>
      </c>
      <c r="T29" s="1212">
        <f t="shared" si="12"/>
        <v>0.95155724269293596</v>
      </c>
      <c r="U29" s="1215" t="e">
        <f t="shared" si="6"/>
        <v>#N/A</v>
      </c>
      <c r="V29" s="122"/>
      <c r="W29" s="139"/>
      <c r="X29" s="152"/>
      <c r="Y29" s="1099" t="str">
        <f t="shared" si="1"/>
        <v>West Sussex</v>
      </c>
      <c r="Z29" s="1097">
        <f>IF(ISNUMBER(H29),IDACI!D28,0)</f>
        <v>0</v>
      </c>
      <c r="AA29" s="1098">
        <f>IF(ISNUMBER(H29),IDACI!E28,0)</f>
        <v>0</v>
      </c>
      <c r="AB29" s="1105">
        <f>IF(D29&gt;0,Population!J64,"")</f>
        <v>18601</v>
      </c>
      <c r="AC29" s="205">
        <f>IF(E29&gt;0,Population!K64,"")</f>
        <v>17640</v>
      </c>
      <c r="AD29" s="205">
        <f>IF(F29&gt;0,Population!L64,"")</f>
        <v>17439</v>
      </c>
      <c r="AE29" s="205">
        <f>IF(G29&gt;0,Population!M64,"")</f>
        <v>16302</v>
      </c>
      <c r="AF29" s="1106">
        <f>IF(H29&gt;0,Population!N64,"")</f>
        <v>16617</v>
      </c>
      <c r="AG29" s="202"/>
      <c r="AH29" s="202"/>
      <c r="AI29" s="190"/>
      <c r="AJ29" s="202"/>
      <c r="AK29" s="160"/>
      <c r="AL29" s="853" t="str">
        <f t="shared" si="13"/>
        <v>x</v>
      </c>
      <c r="AM29" s="853" t="str">
        <f t="shared" si="9"/>
        <v>x</v>
      </c>
      <c r="AN29" s="853" t="str">
        <f t="shared" si="10"/>
        <v>x</v>
      </c>
      <c r="AO29" s="853" t="str">
        <f t="shared" si="11"/>
        <v>x</v>
      </c>
      <c r="AP29" s="853" t="e">
        <f t="shared" si="3"/>
        <v>#DIV/0!</v>
      </c>
    </row>
    <row r="30" spans="1:42" s="87" customFormat="1" ht="13.5" customHeight="1" x14ac:dyDescent="0.2">
      <c r="A30" s="488">
        <f>VLOOKUP(B30,Sheet1!$AQ$4:$AR$25,2,FALSE)</f>
        <v>0</v>
      </c>
      <c r="B30" s="93" t="str">
        <f>Sheet1!$K$24</f>
        <v>Windsor &amp; Maidenhead</v>
      </c>
      <c r="C30" s="85"/>
      <c r="D30" s="100" t="str">
        <f>IF(Year1_Windsor_Maidenhead Year1_16_17_participating_in_EET="","",Year1_Windsor_Maidenhead Year1_16_17_participating_in_EET)</f>
        <v/>
      </c>
      <c r="E30" s="100" t="str">
        <f>IF(Year2_Windsor_Maidenhead Year2_16_17_participating_in_EET="","",Year2_Windsor_Maidenhead Year2_16_17_participating_in_EET)</f>
        <v/>
      </c>
      <c r="F30" s="100" t="str">
        <f>IF(Year3_Windsor_Maidenhead Year3_16_17_participating_in_EET="","",Year3_Windsor_Maidenhead Year3_16_17_participating_in_EET)</f>
        <v/>
      </c>
      <c r="G30" s="100" t="str">
        <f>IF(Year4_Windsor_Maidenhead Year4_16_17_participating_in_EET="","",Year4_Windsor_Maidenhead Year4_16_17_participating_in_EET)</f>
        <v/>
      </c>
      <c r="H30" s="589" t="str">
        <f>IF(Year5_Windsor_Maidenhead Year5_16_17_participating_in_EET="","",Year5_Windsor_Maidenhead Year5_16_17_participating_in_EET)</f>
        <v/>
      </c>
      <c r="I30" s="344" t="e">
        <f t="shared" si="4"/>
        <v>#DIV/0!</v>
      </c>
      <c r="J30" s="96"/>
      <c r="K30" s="1080" t="e">
        <f>IF(ISNUMBER(D30),D30/Population!J65,NA())</f>
        <v>#N/A</v>
      </c>
      <c r="L30" s="1080" t="e">
        <f>IF(ISNUMBER(E30),E30/Population!K65,NA())</f>
        <v>#N/A</v>
      </c>
      <c r="M30" s="1080" t="e">
        <f>IF(ISNUMBER(F30),F30/Population!L65,NA())</f>
        <v>#N/A</v>
      </c>
      <c r="N30" s="1080" t="e">
        <f>IF(ISNUMBER(G30),G30/Population!M65,NA())</f>
        <v>#N/A</v>
      </c>
      <c r="O30" s="1080" t="e">
        <f>IF(ISNUMBER(H30),H30/Population!N65,NA())</f>
        <v>#N/A</v>
      </c>
      <c r="P30" s="99" t="str">
        <f t="shared" si="5"/>
        <v/>
      </c>
      <c r="Q30" s="934" t="e">
        <f t="shared" si="0"/>
        <v>#N/A</v>
      </c>
      <c r="R30" s="70"/>
      <c r="S30" s="340">
        <f>IDACI!C29</f>
        <v>6.7</v>
      </c>
      <c r="T30" s="1212">
        <f t="shared" si="12"/>
        <v>0.954636913999101</v>
      </c>
      <c r="U30" s="1215" t="e">
        <f t="shared" si="6"/>
        <v>#N/A</v>
      </c>
      <c r="V30" s="122"/>
      <c r="W30" s="139"/>
      <c r="X30" s="152"/>
      <c r="Y30" s="1099" t="str">
        <f t="shared" si="1"/>
        <v>Windsor &amp; Maidenhead</v>
      </c>
      <c r="Z30" s="1097">
        <f>IF(ISNUMBER(H30),IDACI!D29,0)</f>
        <v>0</v>
      </c>
      <c r="AA30" s="1098">
        <f>IF(ISNUMBER(H30),IDACI!E29,0)</f>
        <v>0</v>
      </c>
      <c r="AB30" s="1105">
        <f>IF(D30&gt;0,Population!J65,"")</f>
        <v>2785</v>
      </c>
      <c r="AC30" s="205">
        <f>IF(E30&gt;0,Population!K65,"")</f>
        <v>2543</v>
      </c>
      <c r="AD30" s="205">
        <f>IF(F30&gt;0,Population!L65,"")</f>
        <v>2459</v>
      </c>
      <c r="AE30" s="205">
        <f>IF(G30&gt;0,Population!M65,"")</f>
        <v>2909</v>
      </c>
      <c r="AF30" s="1106">
        <f>IF(H30&gt;0,Population!N65,"")</f>
        <v>2923</v>
      </c>
      <c r="AG30" s="202"/>
      <c r="AH30" s="202"/>
      <c r="AI30" s="190"/>
      <c r="AJ30" s="202"/>
      <c r="AK30" s="160"/>
      <c r="AL30" s="853" t="str">
        <f t="shared" si="13"/>
        <v>x</v>
      </c>
      <c r="AM30" s="853" t="str">
        <f t="shared" si="9"/>
        <v>x</v>
      </c>
      <c r="AN30" s="853" t="str">
        <f t="shared" si="10"/>
        <v>x</v>
      </c>
      <c r="AO30" s="853" t="str">
        <f t="shared" si="11"/>
        <v>x</v>
      </c>
      <c r="AP30" s="853" t="e">
        <f t="shared" si="3"/>
        <v>#DIV/0!</v>
      </c>
    </row>
    <row r="31" spans="1:42" s="87" customFormat="1" ht="13.5" customHeight="1" x14ac:dyDescent="0.2">
      <c r="A31" s="488">
        <f>VLOOKUP(B31,Sheet1!$AQ$4:$AR$25,2,FALSE)</f>
        <v>0</v>
      </c>
      <c r="B31" s="93" t="str">
        <f>Sheet1!$K$25</f>
        <v>Wokingham</v>
      </c>
      <c r="C31" s="85"/>
      <c r="D31" s="100" t="str">
        <f>IF(Year1_Wokingham Year1_16_17_participating_in_EET="","",Year1_Wokingham Year1_16_17_participating_in_EET)</f>
        <v/>
      </c>
      <c r="E31" s="100" t="str">
        <f>IF(Year2_Wokingham Year2_16_17_participating_in_EET="","",Year2_Wokingham Year2_16_17_participating_in_EET)</f>
        <v/>
      </c>
      <c r="F31" s="100" t="str">
        <f>IF(Year3_Wokingham Year3_16_17_participating_in_EET="","",Year3_Wokingham Year3_16_17_participating_in_EET)</f>
        <v/>
      </c>
      <c r="G31" s="100" t="str">
        <f>IF(Year4_Wokingham Year4_16_17_participating_in_EET="","",Year4_Wokingham Year4_16_17_participating_in_EET)</f>
        <v/>
      </c>
      <c r="H31" s="589" t="str">
        <f>IF(Year5_Wokingham Year5_16_17_participating_in_EET="","",Year5_Wokingham Year5_16_17_participating_in_EET)</f>
        <v/>
      </c>
      <c r="I31" s="344" t="e">
        <f t="shared" si="4"/>
        <v>#DIV/0!</v>
      </c>
      <c r="J31" s="96"/>
      <c r="K31" s="1080" t="e">
        <f>IF(ISNUMBER(D31),D31/Population!J66,NA())</f>
        <v>#N/A</v>
      </c>
      <c r="L31" s="1080" t="e">
        <f>IF(ISNUMBER(E31),E31/Population!K66,NA())</f>
        <v>#N/A</v>
      </c>
      <c r="M31" s="1080" t="e">
        <f>IF(ISNUMBER(F31),F31/Population!L66,NA())</f>
        <v>#N/A</v>
      </c>
      <c r="N31" s="1080" t="e">
        <f>IF(ISNUMBER(G31),G31/Population!M66,NA())</f>
        <v>#N/A</v>
      </c>
      <c r="O31" s="1080" t="e">
        <f>IF(ISNUMBER(H31),H31/Population!N66,NA())</f>
        <v>#N/A</v>
      </c>
      <c r="P31" s="99" t="str">
        <f t="shared" si="5"/>
        <v/>
      </c>
      <c r="Q31" s="934" t="e">
        <f t="shared" si="0"/>
        <v>#N/A</v>
      </c>
      <c r="R31" s="70"/>
      <c r="S31" s="340">
        <f>IDACI!C30</f>
        <v>5.6000000000000005</v>
      </c>
      <c r="T31" s="1212">
        <f t="shared" si="12"/>
        <v>0.95542473689137597</v>
      </c>
      <c r="U31" s="1215" t="e">
        <f t="shared" si="6"/>
        <v>#N/A</v>
      </c>
      <c r="V31" s="122"/>
      <c r="W31" s="139"/>
      <c r="X31" s="152"/>
      <c r="Y31" s="1099" t="str">
        <f t="shared" si="1"/>
        <v>Wokingham</v>
      </c>
      <c r="Z31" s="1097">
        <f>IF(ISNUMBER(H31),IDACI!D30,0)</f>
        <v>0</v>
      </c>
      <c r="AA31" s="1098">
        <f>IF(ISNUMBER(H31),IDACI!E30,0)</f>
        <v>0</v>
      </c>
      <c r="AB31" s="1105">
        <f>IF(D31&gt;0,Population!J66,"")</f>
        <v>3400</v>
      </c>
      <c r="AC31" s="205">
        <f>IF(E31&gt;0,Population!K66,"")</f>
        <v>3293</v>
      </c>
      <c r="AD31" s="205">
        <f>IF(F31&gt;0,Population!L66,"")</f>
        <v>3301</v>
      </c>
      <c r="AE31" s="205">
        <f>IF(G31&gt;0,Population!M66,"")</f>
        <v>3424</v>
      </c>
      <c r="AF31" s="1106">
        <f>IF(H31&gt;0,Population!N66,"")</f>
        <v>3438</v>
      </c>
      <c r="AG31" s="202"/>
      <c r="AH31" s="202"/>
      <c r="AI31" s="190"/>
      <c r="AJ31" s="202"/>
      <c r="AK31" s="160"/>
      <c r="AL31" s="853" t="str">
        <f t="shared" si="13"/>
        <v>x</v>
      </c>
      <c r="AM31" s="853" t="str">
        <f t="shared" si="9"/>
        <v>x</v>
      </c>
      <c r="AN31" s="853" t="str">
        <f t="shared" si="10"/>
        <v>x</v>
      </c>
      <c r="AO31" s="853" t="str">
        <f t="shared" si="11"/>
        <v>x</v>
      </c>
      <c r="AP31" s="853" t="e">
        <f>AVERAGE(AL31:AO31)</f>
        <v>#DIV/0!</v>
      </c>
    </row>
    <row r="32" spans="1:42" s="87" customFormat="1" ht="13.5" customHeight="1" x14ac:dyDescent="0.2">
      <c r="A32" s="121"/>
      <c r="B32" s="129" t="str">
        <f>Sheet1!$K$26</f>
        <v>South East</v>
      </c>
      <c r="C32" s="85"/>
      <c r="D32" s="130" t="str">
        <f>IF(SUM(D10:D22,D24:D25,D28:D31)&gt;0,SUM(D10:D22,D24:D25,D28:D31),"")</f>
        <v/>
      </c>
      <c r="E32" s="130" t="str">
        <f>IF(SUM(E10:E22,E24:E25,E28:E31)&gt;0,SUM(E10:E22,E24:E25,E28:E31),"")</f>
        <v/>
      </c>
      <c r="F32" s="130" t="str">
        <f>IF(SUM(F10:F22,F24:F25,F28:F31)&gt;0,SUM(F10:F22,F24:F25,F28:F31),"")</f>
        <v/>
      </c>
      <c r="G32" s="130" t="str">
        <f>IF(SUM(G10:G22,G24:G25,G28:G31)&gt;0,SUM(G10:G22,G24:G25,G28:G31),"")</f>
        <v/>
      </c>
      <c r="H32" s="131" t="str">
        <f>IF(SUM(H10:H22,H24:H25,H28:H31)&gt;0,SUM(H10:H22,H24:H25,H28:H31),"")</f>
        <v/>
      </c>
      <c r="I32" s="357" t="e">
        <f t="shared" si="4"/>
        <v>#DIV/0!</v>
      </c>
      <c r="J32" s="96"/>
      <c r="K32" s="1082" t="e">
        <f>IF(ISNUMBER(D32),D32/Population!J67,NA())</f>
        <v>#N/A</v>
      </c>
      <c r="L32" s="1082" t="e">
        <f>IF(ISNUMBER(E32),E32/Population!K67,NA())</f>
        <v>#N/A</v>
      </c>
      <c r="M32" s="1082" t="e">
        <f>IF(ISNUMBER(F32),F32/Population!L67,NA())</f>
        <v>#N/A</v>
      </c>
      <c r="N32" s="1082" t="e">
        <f>IF(ISNUMBER(G32),G32/Population!M67,NA())</f>
        <v>#N/A</v>
      </c>
      <c r="O32" s="1082" t="e">
        <f>IF(ISNUMBER(H32),H32/Population!N67,NA())</f>
        <v>#N/A</v>
      </c>
      <c r="P32" s="99" t="str">
        <f t="shared" si="5"/>
        <v/>
      </c>
      <c r="Q32" s="336" t="str">
        <f t="shared" si="0"/>
        <v>--</v>
      </c>
      <c r="R32" s="70"/>
      <c r="S32" s="338" t="e">
        <f>AA32/Z32*100</f>
        <v>#DIV/0!</v>
      </c>
      <c r="T32" s="1213" t="e">
        <f t="shared" si="12"/>
        <v>#DIV/0!</v>
      </c>
      <c r="U32" s="1216" t="e">
        <f t="shared" si="6"/>
        <v>#N/A</v>
      </c>
      <c r="V32" s="122"/>
      <c r="W32" s="139"/>
      <c r="X32" s="152"/>
      <c r="Y32" s="1099" t="str">
        <f t="shared" si="1"/>
        <v>South East</v>
      </c>
      <c r="Z32" s="1097">
        <f>SUM(Z24:Z25,Z10:Z22,Z28:Z31)</f>
        <v>0</v>
      </c>
      <c r="AA32" s="1098">
        <f>SUM(AA24:AA25,AA10:AA22,AA28:AA31)</f>
        <v>0</v>
      </c>
      <c r="AB32" s="1105">
        <f>SUM(AB10:AB22,AB24:AB25,AB28:AB31)</f>
        <v>187638</v>
      </c>
      <c r="AC32" s="205">
        <f t="shared" ref="AC32:AF32" si="14">SUM(AC10:AC22,AC24:AC25,AC28:AC31)</f>
        <v>185251</v>
      </c>
      <c r="AD32" s="205">
        <f t="shared" si="14"/>
        <v>182379</v>
      </c>
      <c r="AE32" s="205">
        <f t="shared" si="14"/>
        <v>177973</v>
      </c>
      <c r="AF32" s="1106">
        <f t="shared" si="14"/>
        <v>180437</v>
      </c>
      <c r="AG32" s="202"/>
      <c r="AH32" s="202"/>
      <c r="AI32" s="190"/>
      <c r="AJ32" s="202"/>
      <c r="AK32" s="160"/>
      <c r="AL32" s="853" t="str">
        <f t="shared" si="13"/>
        <v>x</v>
      </c>
      <c r="AM32" s="853" t="str">
        <f t="shared" si="9"/>
        <v>x</v>
      </c>
      <c r="AN32" s="853" t="str">
        <f t="shared" si="10"/>
        <v>x</v>
      </c>
      <c r="AO32" s="853" t="str">
        <f t="shared" si="11"/>
        <v>x</v>
      </c>
      <c r="AP32" s="853" t="e">
        <f>AVERAGE(AL32:AO32)</f>
        <v>#DIV/0!</v>
      </c>
    </row>
    <row r="33" spans="1:69" s="87" customFormat="1" ht="13.5" customHeight="1" x14ac:dyDescent="0.2">
      <c r="A33" s="292"/>
      <c r="B33" s="329" t="str">
        <f>Sheet1!$K$27</f>
        <v>England</v>
      </c>
      <c r="C33" s="85"/>
      <c r="D33" s="406" t="str">
        <f>IF(Year1_England Year1_16_17_participating_in_EET="","",Year1_England Year1_16_17_participating_in_EET)</f>
        <v/>
      </c>
      <c r="E33" s="406" t="str">
        <f>IF(Year2_England Year2_16_17_participating_in_EET="","",Year2_England Year2_16_17_participating_in_EET)</f>
        <v/>
      </c>
      <c r="F33" s="406" t="str">
        <f>IF(Year3_England Year3_16_17_participating_in_EET="","",Year3_England Year3_16_17_participating_in_EET)</f>
        <v/>
      </c>
      <c r="G33" s="406" t="str">
        <f>IF(Year4_England Year4_16_17_participating_in_EET="","",Year4_England Year4_16_17_participating_in_EET)</f>
        <v/>
      </c>
      <c r="H33" s="407" t="str">
        <f>IF(Year5_England Year5_16_17_participating_in_EET="","",Year5_England Year5_16_17_participating_in_EET)</f>
        <v/>
      </c>
      <c r="I33" s="358" t="e">
        <f t="shared" si="4"/>
        <v>#DIV/0!</v>
      </c>
      <c r="J33" s="96"/>
      <c r="K33" s="1083" t="e">
        <f>IF(ISNUMBER(D33),D33/Population!J68,NA())</f>
        <v>#N/A</v>
      </c>
      <c r="L33" s="1083" t="e">
        <f>IF(ISNUMBER(E33),E33/Population!K68,NA())</f>
        <v>#N/A</v>
      </c>
      <c r="M33" s="1083" t="e">
        <f>IF(ISNUMBER(F33),F33/Population!L68,NA())</f>
        <v>#N/A</v>
      </c>
      <c r="N33" s="1083" t="e">
        <f>IF(ISNUMBER(G33),G33/Population!M68,NA())</f>
        <v>#N/A</v>
      </c>
      <c r="O33" s="1083" t="e">
        <f>IF(ISNUMBER(H33),H33/Population!N68,NA())</f>
        <v>#N/A</v>
      </c>
      <c r="P33" s="99" t="str">
        <f t="shared" si="5"/>
        <v/>
      </c>
      <c r="Q33" s="337" t="str">
        <f t="shared" si="0"/>
        <v>--</v>
      </c>
      <c r="R33" s="70"/>
      <c r="S33" s="339">
        <f>IDACI!C32</f>
        <v>17.084413405029373</v>
      </c>
      <c r="T33" s="1214">
        <f t="shared" si="12"/>
        <v>0.9471995698142579</v>
      </c>
      <c r="U33" s="1217" t="e">
        <f t="shared" si="6"/>
        <v>#N/A</v>
      </c>
      <c r="V33" s="122"/>
      <c r="W33" s="139"/>
      <c r="X33" s="152"/>
      <c r="Y33" s="1099" t="str">
        <f t="shared" si="1"/>
        <v>England</v>
      </c>
      <c r="Z33" s="1097">
        <f>IF(H33&gt;0,IDACI!D32,0)</f>
        <v>10405050</v>
      </c>
      <c r="AA33" s="1098">
        <f>IF(H33&gt;0,IDACI!E32,0)</f>
        <v>1777641.7570000088</v>
      </c>
      <c r="AB33" s="1105">
        <f>IF(D33&gt;0,Population!J68,"")</f>
        <v>1152097</v>
      </c>
      <c r="AC33" s="205">
        <f>IF(E33&gt;0,Population!K68,"")</f>
        <v>1157456</v>
      </c>
      <c r="AD33" s="205">
        <f>IF(F33&gt;0,Population!L68,"")</f>
        <v>1136681</v>
      </c>
      <c r="AE33" s="205">
        <f>IF(G33&gt;0,Population!M68,"")</f>
        <v>1124120</v>
      </c>
      <c r="AF33" s="1106">
        <f>IF(H33&gt;0,Population!N68,"")</f>
        <v>1141042</v>
      </c>
      <c r="AG33" s="202"/>
      <c r="AH33" s="202"/>
      <c r="AI33" s="190"/>
      <c r="AJ33" s="202"/>
      <c r="AK33" s="160"/>
      <c r="AL33" s="853" t="str">
        <f t="shared" ref="AL33" si="15">IF(ISERROR((E33-D33)/D33),"x",(E33-D33)/D33)</f>
        <v>x</v>
      </c>
      <c r="AM33" s="853" t="str">
        <f t="shared" ref="AM33" si="16">IF(ISERROR((F33-E33)/E33),"x",(F33-E33)/E33)</f>
        <v>x</v>
      </c>
      <c r="AN33" s="853" t="str">
        <f t="shared" ref="AN33" si="17">IF(ISERROR((G33-F33)/F33),"x",(G33-F33)/F33)</f>
        <v>x</v>
      </c>
      <c r="AO33" s="853" t="str">
        <f t="shared" ref="AO33" si="18">IF(ISERROR((H33-G33)/G33),"x",(H33-G33)/G33)</f>
        <v>x</v>
      </c>
      <c r="AP33" s="853" t="e">
        <f>AVERAGE(AL33:AO33)</f>
        <v>#DIV/0!</v>
      </c>
    </row>
    <row r="34" spans="1:69" s="81" customFormat="1" ht="13.5" customHeight="1" x14ac:dyDescent="0.2">
      <c r="A34" s="118"/>
      <c r="B34" s="123" t="s">
        <v>90</v>
      </c>
      <c r="C34" s="63"/>
      <c r="D34" s="63"/>
      <c r="E34" s="63"/>
      <c r="F34" s="63"/>
      <c r="G34" s="63"/>
      <c r="H34" s="63"/>
      <c r="I34" s="63"/>
      <c r="J34" s="63"/>
      <c r="K34" s="63"/>
      <c r="L34" s="63"/>
      <c r="M34" s="63"/>
      <c r="N34" s="63"/>
      <c r="O34" s="63"/>
      <c r="P34" s="63"/>
      <c r="Q34" s="136" t="s">
        <v>752</v>
      </c>
      <c r="S34" s="63"/>
      <c r="T34" s="63"/>
      <c r="U34" s="63"/>
      <c r="V34" s="117"/>
      <c r="W34" s="137"/>
      <c r="X34" s="150"/>
      <c r="Y34" s="80"/>
      <c r="Z34" s="184"/>
      <c r="AA34" s="184"/>
      <c r="AB34" s="184"/>
      <c r="AC34" s="184"/>
      <c r="AD34" s="184"/>
      <c r="AE34" s="184"/>
      <c r="AF34" s="184"/>
      <c r="AG34" s="184"/>
      <c r="AH34" s="184"/>
      <c r="AJ34" s="184"/>
      <c r="AK34" s="161"/>
    </row>
    <row r="35" spans="1:69" s="81" customFormat="1" ht="26.25" customHeight="1" x14ac:dyDescent="0.2">
      <c r="A35" s="118"/>
      <c r="B35" s="1762"/>
      <c r="C35" s="1825"/>
      <c r="D35" s="1825"/>
      <c r="E35" s="1825"/>
      <c r="F35" s="1825"/>
      <c r="G35" s="1825"/>
      <c r="H35" s="1825"/>
      <c r="I35" s="1825"/>
      <c r="J35" s="1825"/>
      <c r="K35" s="1825"/>
      <c r="L35" s="1825"/>
      <c r="M35" s="1825"/>
      <c r="N35" s="1825"/>
      <c r="O35" s="1825"/>
      <c r="P35" s="1825"/>
      <c r="Q35" s="1825"/>
      <c r="R35" s="1825"/>
      <c r="S35" s="1825"/>
      <c r="T35" s="1825"/>
      <c r="U35" s="1826"/>
      <c r="V35" s="117"/>
      <c r="W35" s="137"/>
      <c r="X35" s="150"/>
      <c r="Y35" s="80"/>
      <c r="Z35" s="184"/>
      <c r="AA35" s="184"/>
      <c r="AB35" s="184"/>
      <c r="AC35" s="184"/>
      <c r="AD35" s="184"/>
      <c r="AE35" s="184"/>
      <c r="AF35" s="184"/>
      <c r="AG35" s="184"/>
      <c r="AH35" s="184"/>
      <c r="AJ35" s="184"/>
      <c r="AK35" s="157"/>
      <c r="AL35" s="74"/>
      <c r="AM35" s="74"/>
      <c r="AN35" s="74"/>
      <c r="AO35" s="74"/>
      <c r="AP35" s="74"/>
      <c r="AQ35" s="74"/>
      <c r="AR35" s="74"/>
    </row>
    <row r="36" spans="1:69" s="81" customFormat="1" ht="7.5" customHeight="1" x14ac:dyDescent="0.2">
      <c r="A36" s="118"/>
      <c r="B36" s="17"/>
      <c r="C36" s="17"/>
      <c r="D36" s="16"/>
      <c r="E36" s="16"/>
      <c r="F36" s="16"/>
      <c r="G36" s="16"/>
      <c r="H36" s="16"/>
      <c r="I36" s="16"/>
      <c r="J36" s="12"/>
      <c r="K36" s="18"/>
      <c r="L36" s="18"/>
      <c r="M36" s="18"/>
      <c r="N36" s="18"/>
      <c r="O36" s="18"/>
      <c r="P36" s="18"/>
      <c r="Q36" s="18"/>
      <c r="R36" s="18"/>
      <c r="S36" s="18"/>
      <c r="T36" s="18"/>
      <c r="U36" s="19"/>
      <c r="V36" s="117"/>
      <c r="W36" s="137"/>
      <c r="X36" s="150"/>
      <c r="Z36" s="190"/>
      <c r="AJ36" s="184"/>
      <c r="AK36" s="157"/>
      <c r="AL36" s="74"/>
      <c r="AM36" s="74"/>
      <c r="AN36" s="74"/>
      <c r="AO36" s="74"/>
      <c r="AP36" s="74"/>
      <c r="AQ36" s="74"/>
      <c r="AR36" s="74"/>
    </row>
    <row r="37" spans="1:69" s="81" customFormat="1" ht="15" customHeight="1" x14ac:dyDescent="0.2">
      <c r="A37" s="1716"/>
      <c r="B37" s="1760"/>
      <c r="C37" s="1760"/>
      <c r="D37" s="1760"/>
      <c r="E37" s="1760"/>
      <c r="F37" s="1760"/>
      <c r="G37" s="1760"/>
      <c r="H37" s="1760"/>
      <c r="I37" s="1760"/>
      <c r="J37" s="1760"/>
      <c r="K37" s="1760"/>
      <c r="L37" s="1760"/>
      <c r="M37" s="1760"/>
      <c r="N37" s="1760"/>
      <c r="O37" s="1760"/>
      <c r="P37" s="1760"/>
      <c r="Q37" s="1760"/>
      <c r="R37" s="1760"/>
      <c r="S37" s="1760"/>
      <c r="T37" s="1760"/>
      <c r="U37" s="1760"/>
      <c r="V37" s="1761"/>
      <c r="W37" s="137"/>
      <c r="X37" s="150"/>
      <c r="Z37" s="190"/>
      <c r="AK37" s="161"/>
      <c r="AM37" s="758">
        <v>10</v>
      </c>
      <c r="AN37" s="758">
        <v>11</v>
      </c>
      <c r="AO37" s="758">
        <v>12</v>
      </c>
      <c r="AP37" s="758">
        <v>13</v>
      </c>
      <c r="AQ37" s="758">
        <v>14</v>
      </c>
      <c r="AR37" s="758">
        <v>18</v>
      </c>
      <c r="AS37" s="1095">
        <v>3</v>
      </c>
      <c r="AT37" s="1155">
        <v>4</v>
      </c>
      <c r="AU37" s="1155">
        <v>5</v>
      </c>
      <c r="AV37" s="1155">
        <v>6</v>
      </c>
      <c r="AW37" s="1155">
        <v>7</v>
      </c>
      <c r="AX37" s="758">
        <v>3</v>
      </c>
      <c r="AY37" s="1155">
        <v>4</v>
      </c>
      <c r="AZ37" s="1155">
        <v>5</v>
      </c>
      <c r="BA37" s="1155">
        <v>6</v>
      </c>
      <c r="BB37" s="1155">
        <v>7</v>
      </c>
      <c r="BD37" s="196"/>
      <c r="BE37" s="196"/>
      <c r="BF37" s="196"/>
      <c r="BG37" s="197"/>
      <c r="BI37" s="196"/>
      <c r="BJ37" s="196"/>
      <c r="BK37" s="196"/>
      <c r="BL37" s="197"/>
      <c r="BN37" s="196"/>
      <c r="BO37" s="196"/>
      <c r="BP37" s="196"/>
      <c r="BQ37" s="197"/>
    </row>
    <row r="38" spans="1:69" s="81" customFormat="1" ht="11.25" customHeight="1" x14ac:dyDescent="0.2">
      <c r="A38" s="1765" t="str">
        <f>Home!$A$39</f>
        <v xml:space="preserve"> </v>
      </c>
      <c r="B38" s="1766"/>
      <c r="C38" s="1766"/>
      <c r="D38" s="1766"/>
      <c r="E38" s="1766"/>
      <c r="F38" s="1766"/>
      <c r="G38" s="1766"/>
      <c r="H38" s="1766"/>
      <c r="I38" s="1767"/>
      <c r="J38" s="1766"/>
      <c r="K38" s="1766"/>
      <c r="L38" s="1766"/>
      <c r="M38" s="1766"/>
      <c r="N38" s="1766"/>
      <c r="O38" s="1766"/>
      <c r="P38" s="1768"/>
      <c r="Q38" s="1766"/>
      <c r="R38" s="1766"/>
      <c r="S38" s="1766"/>
      <c r="T38" s="1767"/>
      <c r="U38" s="1766"/>
      <c r="V38" s="1769"/>
      <c r="W38" s="137"/>
      <c r="X38" s="150"/>
      <c r="Z38" s="190"/>
      <c r="AJ38" s="184"/>
      <c r="AK38" s="160"/>
      <c r="AL38" s="87"/>
      <c r="AM38" s="1130" t="s">
        <v>89</v>
      </c>
      <c r="AN38" s="1131"/>
      <c r="AO38" s="1131"/>
      <c r="AP38" s="1131"/>
      <c r="AQ38" s="1131"/>
      <c r="AR38" s="1130" t="s">
        <v>1213</v>
      </c>
      <c r="AS38" s="1959" t="s">
        <v>769</v>
      </c>
      <c r="AT38" s="1959"/>
      <c r="AU38" s="1959"/>
      <c r="AV38" s="1959"/>
      <c r="AW38" s="1960"/>
      <c r="AX38" s="1958" t="s">
        <v>65</v>
      </c>
      <c r="AY38" s="1959"/>
      <c r="AZ38" s="1959"/>
      <c r="BA38" s="1959"/>
      <c r="BB38" s="1960"/>
      <c r="BC38" s="198"/>
      <c r="BD38" s="196"/>
      <c r="BE38" s="196"/>
      <c r="BF38" s="196"/>
      <c r="BG38" s="197"/>
      <c r="BH38" s="198"/>
      <c r="BI38" s="196"/>
      <c r="BJ38" s="196"/>
      <c r="BK38" s="196"/>
      <c r="BL38" s="197"/>
      <c r="BM38" s="223"/>
    </row>
    <row r="39" spans="1:69" s="81" customFormat="1" ht="11.25" customHeight="1" x14ac:dyDescent="0.2">
      <c r="A39" s="112"/>
      <c r="B39" s="113"/>
      <c r="C39" s="113"/>
      <c r="D39" s="113"/>
      <c r="E39" s="113"/>
      <c r="F39" s="113"/>
      <c r="G39" s="113"/>
      <c r="H39" s="113"/>
      <c r="I39" s="113"/>
      <c r="J39" s="114"/>
      <c r="K39" s="113"/>
      <c r="L39" s="113"/>
      <c r="M39" s="113"/>
      <c r="N39" s="113"/>
      <c r="O39" s="113"/>
      <c r="P39" s="113"/>
      <c r="Q39" s="113"/>
      <c r="R39" s="113"/>
      <c r="S39" s="113"/>
      <c r="T39" s="113"/>
      <c r="U39" s="113"/>
      <c r="V39" s="115"/>
      <c r="W39" s="137"/>
      <c r="X39" s="149" t="s">
        <v>101</v>
      </c>
      <c r="Z39" s="190"/>
      <c r="AB39" s="197"/>
      <c r="AC39" s="197"/>
      <c r="AJ39" s="184"/>
      <c r="AK39" s="160"/>
      <c r="AL39" s="87"/>
      <c r="AM39" s="761" t="str">
        <f>IF(Sheet1!$C$3="Annual","",Sheet1!$D$28)</f>
        <v/>
      </c>
      <c r="AN39" s="761" t="str">
        <f>IF(Sheet1!$C$3="Annual","",Sheet1!$E$28)</f>
        <v/>
      </c>
      <c r="AO39" s="1133" t="str">
        <f>IF(Sheet1!$C$3="Annual","",Sheet1!$F$28)</f>
        <v/>
      </c>
      <c r="AP39" s="761" t="str">
        <f>IF(Sheet1!$C$3="Annual","",Sheet1!$G$28)</f>
        <v/>
      </c>
      <c r="AQ39" s="1133" t="str">
        <f>IF(Sheet1!$C$3="Annual","",Sheet1!$H$28)</f>
        <v/>
      </c>
      <c r="AR39" s="761" t="str">
        <f>IF(Sheet1!$C$3="Annual","",Sheet1!$D$28)</f>
        <v/>
      </c>
      <c r="AS39" s="1133" t="str">
        <f>IF(Sheet1!$C$3="Annual","",Sheet1!$E$28)</f>
        <v/>
      </c>
      <c r="AT39" s="1133" t="str">
        <f>IF(Sheet1!$C$3="Annual","",Sheet1!$F$28)</f>
        <v/>
      </c>
      <c r="AU39" s="761" t="str">
        <f>IF(Sheet1!$C$3="Annual","",Sheet1!$G$28)</f>
        <v/>
      </c>
      <c r="AV39" s="1134" t="str">
        <f>IF(Sheet1!$C$3="Annual","",Sheet1!$H$28)</f>
        <v/>
      </c>
      <c r="AW39" s="1132" t="str">
        <f>IF(Sheet1!$C$3="Annual","",Sheet1!$D$28)</f>
        <v/>
      </c>
      <c r="AX39" s="761" t="str">
        <f>IF(Sheet1!$C$3="Annual","",Sheet1!$E$28)</f>
        <v/>
      </c>
      <c r="AY39" s="1133" t="str">
        <f>IF(Sheet1!$C$3="Annual","",Sheet1!$F$28)</f>
        <v/>
      </c>
      <c r="AZ39" s="761" t="str">
        <f>IF(Sheet1!$C$3="Annual","",Sheet1!$G$28)</f>
        <v/>
      </c>
      <c r="BA39" s="1134" t="str">
        <f>IF(Sheet1!$C$3="Annual","",Sheet1!$H$28)</f>
        <v/>
      </c>
      <c r="BB39" s="1130"/>
      <c r="BC39" s="1090"/>
      <c r="BD39" s="1090"/>
      <c r="BE39" s="1090"/>
      <c r="BF39" s="1090"/>
      <c r="BG39" s="1090"/>
      <c r="BH39" s="1090"/>
      <c r="BI39" s="1090"/>
      <c r="BJ39" s="1090"/>
      <c r="BK39" s="1090"/>
      <c r="BL39" s="1090"/>
    </row>
    <row r="40" spans="1:69" s="81" customFormat="1" ht="3.75" customHeight="1" x14ac:dyDescent="0.25">
      <c r="A40" s="116"/>
      <c r="B40" s="9"/>
      <c r="C40" s="9"/>
      <c r="D40" s="9"/>
      <c r="E40" s="9"/>
      <c r="F40" s="9"/>
      <c r="G40" s="9"/>
      <c r="H40" s="9"/>
      <c r="I40" s="9"/>
      <c r="J40" s="12"/>
      <c r="K40" s="9"/>
      <c r="L40" s="9"/>
      <c r="M40" s="9"/>
      <c r="N40" s="9"/>
      <c r="O40" s="9"/>
      <c r="P40" s="9"/>
      <c r="Q40" s="9"/>
      <c r="R40" s="9"/>
      <c r="S40" s="9"/>
      <c r="T40" s="9"/>
      <c r="U40" s="9"/>
      <c r="V40" s="117"/>
      <c r="W40" s="137"/>
      <c r="X40" s="294"/>
      <c r="AD40" s="1320" t="s">
        <v>977</v>
      </c>
      <c r="AK40" s="160"/>
      <c r="AL40" s="87"/>
      <c r="AM40" s="761" t="str">
        <f>Sheet1!$D$27</f>
        <v>2015-16</v>
      </c>
      <c r="AN40" s="761" t="str">
        <f>Sheet1!$E$27</f>
        <v>2016-17</v>
      </c>
      <c r="AO40" s="1133" t="str">
        <f>Sheet1!$F$27</f>
        <v>2017-18</v>
      </c>
      <c r="AP40" s="761" t="str">
        <f>Sheet1!$G$27</f>
        <v>2018-19</v>
      </c>
      <c r="AQ40" s="1133" t="str">
        <f>Sheet1!$H$27</f>
        <v>2019-20</v>
      </c>
      <c r="AR40" s="761" t="str">
        <f>Sheet1!$D$27</f>
        <v>2015-16</v>
      </c>
      <c r="AS40" s="1133" t="str">
        <f>Sheet1!$E$27</f>
        <v>2016-17</v>
      </c>
      <c r="AT40" s="1133" t="str">
        <f>Sheet1!$F$27</f>
        <v>2017-18</v>
      </c>
      <c r="AU40" s="761" t="str">
        <f>Sheet1!$G$27</f>
        <v>2018-19</v>
      </c>
      <c r="AV40" s="1134" t="str">
        <f>Sheet1!$H$27</f>
        <v>2019-20</v>
      </c>
      <c r="AW40" s="1132" t="str">
        <f>Sheet1!$D$27</f>
        <v>2015-16</v>
      </c>
      <c r="AX40" s="761" t="str">
        <f>Sheet1!$E$27</f>
        <v>2016-17</v>
      </c>
      <c r="AY40" s="1133" t="str">
        <f>Sheet1!$F$27</f>
        <v>2017-18</v>
      </c>
      <c r="AZ40" s="761" t="str">
        <f>Sheet1!$G$27</f>
        <v>2018-19</v>
      </c>
      <c r="BA40" s="1134" t="str">
        <f>Sheet1!$H$27</f>
        <v>2019-20</v>
      </c>
      <c r="BB40" s="1130" t="str">
        <f t="shared" ref="BB40" si="19">AW40</f>
        <v>2015-16</v>
      </c>
      <c r="BC40" s="1090"/>
      <c r="BD40" s="1090"/>
      <c r="BE40" s="1090"/>
      <c r="BF40" s="1090"/>
      <c r="BG40" s="1090"/>
      <c r="BH40" s="1090"/>
      <c r="BI40" s="1090"/>
      <c r="BJ40" s="1090"/>
      <c r="BK40" s="1090"/>
      <c r="BL40" s="1090"/>
      <c r="BM40" s="1090"/>
      <c r="BN40" s="1090"/>
      <c r="BO40" s="1090"/>
      <c r="BP40" s="1090"/>
      <c r="BQ40" s="1090"/>
    </row>
    <row r="41" spans="1:69" s="81" customFormat="1" ht="14.25" customHeight="1" x14ac:dyDescent="0.2">
      <c r="A41" s="118"/>
      <c r="B41" s="9"/>
      <c r="C41" s="9"/>
      <c r="D41" s="9"/>
      <c r="E41" s="9"/>
      <c r="F41" s="9"/>
      <c r="G41" s="9"/>
      <c r="H41" s="9"/>
      <c r="I41" s="9"/>
      <c r="J41" s="12"/>
      <c r="K41" s="9"/>
      <c r="L41" s="9"/>
      <c r="M41" s="9"/>
      <c r="N41" s="9"/>
      <c r="O41" s="9"/>
      <c r="P41" s="9"/>
      <c r="Q41" s="9"/>
      <c r="R41" s="9"/>
      <c r="S41" s="9"/>
      <c r="T41" s="9"/>
      <c r="U41" s="9"/>
      <c r="V41" s="117"/>
      <c r="W41" s="137"/>
      <c r="X41" s="294"/>
      <c r="Y41" s="43" t="s">
        <v>72</v>
      </c>
      <c r="Z41" s="43" t="s">
        <v>70</v>
      </c>
      <c r="AA41" s="43" t="s">
        <v>71</v>
      </c>
      <c r="AB41" s="1194">
        <v>5</v>
      </c>
      <c r="AC41" s="216" t="e">
        <f>(AB41*Z42)+AA42</f>
        <v>#DIV/0!</v>
      </c>
      <c r="AD41" s="206" t="e">
        <f>ROUND(ChartLabels!$AA25,3)</f>
        <v>#DIV/0!</v>
      </c>
      <c r="AJ41" s="585" t="b">
        <v>1</v>
      </c>
      <c r="AK41" s="160" t="s">
        <v>0</v>
      </c>
      <c r="AL41" s="87" t="str">
        <f t="shared" ref="AL41:AL64" si="20">IF(AJ41=TRUE,B10,"")</f>
        <v>Bracknell Forest</v>
      </c>
      <c r="AM41" s="1143" t="e">
        <f t="shared" ref="AM41:AQ50" si="21">VLOOKUP($AL41,$B$10:$O$33,AM$37,FALSE)</f>
        <v>#N/A</v>
      </c>
      <c r="AN41" s="1144" t="e">
        <f t="shared" si="21"/>
        <v>#N/A</v>
      </c>
      <c r="AO41" s="1144" t="e">
        <f t="shared" si="21"/>
        <v>#N/A</v>
      </c>
      <c r="AP41" s="1144" t="e">
        <f t="shared" si="21"/>
        <v>#N/A</v>
      </c>
      <c r="AQ41" s="1145" t="e">
        <f t="shared" si="21"/>
        <v>#N/A</v>
      </c>
      <c r="AR41" s="1156">
        <f>VLOOKUP(AL41,$B$10:$U$33,AR$37,FALSE)</f>
        <v>8.9</v>
      </c>
      <c r="AS41" s="1137" t="e">
        <f t="shared" ref="AS41:AW50" si="22">VLOOKUP($AL41,$B$77:$H$100,AS$37,FALSE)</f>
        <v>#N/A</v>
      </c>
      <c r="AT41" s="1137" t="e">
        <f t="shared" si="22"/>
        <v>#N/A</v>
      </c>
      <c r="AU41" s="1137" t="e">
        <f t="shared" si="22"/>
        <v>#N/A</v>
      </c>
      <c r="AV41" s="1137" t="e">
        <f t="shared" si="22"/>
        <v>#N/A</v>
      </c>
      <c r="AW41" s="1149" t="e">
        <f t="shared" si="22"/>
        <v>#N/A</v>
      </c>
      <c r="AX41" s="1152" t="e">
        <f t="shared" ref="AX41:BB50" si="23">VLOOKUP($AL41,$B$113:$H$136,AX$37,FALSE)</f>
        <v>#N/A</v>
      </c>
      <c r="AY41" s="1137" t="e">
        <f t="shared" si="23"/>
        <v>#N/A</v>
      </c>
      <c r="AZ41" s="1137" t="e">
        <f t="shared" si="23"/>
        <v>#N/A</v>
      </c>
      <c r="BA41" s="1137" t="e">
        <f t="shared" si="23"/>
        <v>#N/A</v>
      </c>
      <c r="BB41" s="1149" t="e">
        <f t="shared" si="23"/>
        <v>#N/A</v>
      </c>
      <c r="BC41" s="348"/>
      <c r="BD41" s="348"/>
      <c r="BE41" s="348"/>
      <c r="BF41" s="348"/>
      <c r="BG41" s="348"/>
      <c r="BH41" s="348"/>
      <c r="BI41" s="348"/>
      <c r="BJ41" s="348"/>
      <c r="BK41" s="348"/>
      <c r="BL41" s="348"/>
      <c r="BM41" s="348"/>
      <c r="BN41" s="348"/>
      <c r="BO41" s="348"/>
      <c r="BP41" s="348"/>
      <c r="BQ41" s="348"/>
    </row>
    <row r="42" spans="1:69" s="81" customFormat="1" ht="14.25" customHeight="1" x14ac:dyDescent="0.2">
      <c r="A42" s="118"/>
      <c r="B42" s="9"/>
      <c r="C42" s="9"/>
      <c r="D42" s="9"/>
      <c r="E42" s="9"/>
      <c r="F42" s="9"/>
      <c r="G42" s="9"/>
      <c r="H42" s="9"/>
      <c r="I42" s="9"/>
      <c r="J42" s="12"/>
      <c r="K42" s="9"/>
      <c r="L42" s="9"/>
      <c r="M42" s="9"/>
      <c r="N42" s="9"/>
      <c r="O42" s="9"/>
      <c r="P42" s="9"/>
      <c r="Q42" s="9"/>
      <c r="R42" s="9"/>
      <c r="S42" s="9"/>
      <c r="T42" s="9"/>
      <c r="U42" s="9"/>
      <c r="V42" s="117"/>
      <c r="W42" s="137"/>
      <c r="X42" s="294"/>
      <c r="Y42" s="212" t="e">
        <f>"Y= "&amp;Z42&amp;"x + "&amp;AA42</f>
        <v>#DIV/0!</v>
      </c>
      <c r="Z42" s="743" t="e">
        <f>ChartLabels!$Y25</f>
        <v>#DIV/0!</v>
      </c>
      <c r="AA42" s="743" t="e">
        <f>ChartLabels!$Z25</f>
        <v>#DIV/0!</v>
      </c>
      <c r="AB42" s="215">
        <v>35</v>
      </c>
      <c r="AC42" s="216" t="e">
        <f>(AB42*Z42)+AA42</f>
        <v>#DIV/0!</v>
      </c>
      <c r="AD42" s="1319" t="e">
        <f>AD40&amp;" = "&amp;AD41</f>
        <v>#DIV/0!</v>
      </c>
      <c r="AJ42" s="585" t="b">
        <v>1</v>
      </c>
      <c r="AK42" s="160" t="s">
        <v>31</v>
      </c>
      <c r="AL42" s="87" t="str">
        <f t="shared" si="20"/>
        <v>Brighton &amp; Hove</v>
      </c>
      <c r="AM42" s="1143" t="e">
        <f t="shared" si="21"/>
        <v>#N/A</v>
      </c>
      <c r="AN42" s="1144" t="e">
        <f t="shared" si="21"/>
        <v>#N/A</v>
      </c>
      <c r="AO42" s="1144" t="e">
        <f t="shared" si="21"/>
        <v>#N/A</v>
      </c>
      <c r="AP42" s="1144" t="e">
        <f t="shared" si="21"/>
        <v>#N/A</v>
      </c>
      <c r="AQ42" s="1145" t="e">
        <f t="shared" si="21"/>
        <v>#N/A</v>
      </c>
      <c r="AR42" s="1156">
        <f t="shared" ref="AR42:AR64" si="24">VLOOKUP(AL42,$B$10:$U$33,AR$37,FALSE)</f>
        <v>15.299999999999999</v>
      </c>
      <c r="AS42" s="1137" t="e">
        <f t="shared" si="22"/>
        <v>#N/A</v>
      </c>
      <c r="AT42" s="1137" t="e">
        <f t="shared" si="22"/>
        <v>#N/A</v>
      </c>
      <c r="AU42" s="1137" t="e">
        <f t="shared" si="22"/>
        <v>#N/A</v>
      </c>
      <c r="AV42" s="1137" t="e">
        <f t="shared" si="22"/>
        <v>#N/A</v>
      </c>
      <c r="AW42" s="1149" t="e">
        <f t="shared" si="22"/>
        <v>#N/A</v>
      </c>
      <c r="AX42" s="1152" t="e">
        <f t="shared" si="23"/>
        <v>#N/A</v>
      </c>
      <c r="AY42" s="1137" t="e">
        <f t="shared" si="23"/>
        <v>#N/A</v>
      </c>
      <c r="AZ42" s="1137" t="e">
        <f t="shared" si="23"/>
        <v>#N/A</v>
      </c>
      <c r="BA42" s="1137" t="e">
        <f t="shared" si="23"/>
        <v>#N/A</v>
      </c>
      <c r="BB42" s="1149" t="e">
        <f t="shared" si="23"/>
        <v>#N/A</v>
      </c>
      <c r="BC42" s="348"/>
      <c r="BD42" s="348"/>
      <c r="BE42" s="348"/>
      <c r="BF42" s="348"/>
      <c r="BG42" s="348"/>
      <c r="BH42" s="348"/>
      <c r="BI42" s="348"/>
      <c r="BJ42" s="348"/>
      <c r="BK42" s="348"/>
      <c r="BL42" s="348"/>
      <c r="BM42" s="348"/>
      <c r="BN42" s="348"/>
      <c r="BO42" s="348"/>
      <c r="BP42" s="348"/>
      <c r="BQ42" s="348"/>
    </row>
    <row r="43" spans="1:69" ht="14.25" customHeight="1" x14ac:dyDescent="0.2">
      <c r="A43" s="118"/>
      <c r="B43" s="9"/>
      <c r="C43" s="9"/>
      <c r="D43" s="9"/>
      <c r="E43" s="9"/>
      <c r="F43" s="9"/>
      <c r="G43" s="9"/>
      <c r="H43" s="9"/>
      <c r="I43" s="9"/>
      <c r="J43" s="12"/>
      <c r="K43" s="9"/>
      <c r="L43" s="9"/>
      <c r="M43" s="9"/>
      <c r="N43" s="9"/>
      <c r="O43" s="9"/>
      <c r="P43" s="9"/>
      <c r="Q43" s="9"/>
      <c r="R43" s="9"/>
      <c r="S43" s="9"/>
      <c r="T43" s="9"/>
      <c r="U43" s="9"/>
      <c r="V43" s="117"/>
      <c r="W43" s="137"/>
      <c r="X43" s="294"/>
      <c r="Y43" s="608" t="str">
        <f>"National Trend "&amp;Sheet1!$B$8</f>
        <v>National Trend 2020</v>
      </c>
      <c r="Z43" s="209" t="s">
        <v>70</v>
      </c>
      <c r="AA43" s="43" t="s">
        <v>71</v>
      </c>
      <c r="AB43" s="1194">
        <v>5</v>
      </c>
      <c r="AC43" s="1218">
        <f>((AB43*Z44)+AA44)/100</f>
        <v>0.95585445846898043</v>
      </c>
      <c r="AD43" s="1321" t="s">
        <v>978</v>
      </c>
      <c r="AJ43" s="585" t="b">
        <v>1</v>
      </c>
      <c r="AK43" s="160" t="s">
        <v>8</v>
      </c>
      <c r="AL43" s="87" t="str">
        <f t="shared" si="20"/>
        <v>Buckinghamshire</v>
      </c>
      <c r="AM43" s="1143" t="e">
        <f t="shared" si="21"/>
        <v>#N/A</v>
      </c>
      <c r="AN43" s="1144" t="e">
        <f t="shared" si="21"/>
        <v>#N/A</v>
      </c>
      <c r="AO43" s="1144" t="e">
        <f t="shared" si="21"/>
        <v>#N/A</v>
      </c>
      <c r="AP43" s="1144" t="e">
        <f t="shared" si="21"/>
        <v>#N/A</v>
      </c>
      <c r="AQ43" s="1145" t="e">
        <f t="shared" si="21"/>
        <v>#N/A</v>
      </c>
      <c r="AR43" s="1156">
        <f t="shared" si="24"/>
        <v>8.5</v>
      </c>
      <c r="AS43" s="1137" t="e">
        <f t="shared" si="22"/>
        <v>#N/A</v>
      </c>
      <c r="AT43" s="1137" t="e">
        <f t="shared" si="22"/>
        <v>#N/A</v>
      </c>
      <c r="AU43" s="1137" t="e">
        <f t="shared" si="22"/>
        <v>#N/A</v>
      </c>
      <c r="AV43" s="1137" t="e">
        <f t="shared" si="22"/>
        <v>#N/A</v>
      </c>
      <c r="AW43" s="1149" t="e">
        <f t="shared" si="22"/>
        <v>#N/A</v>
      </c>
      <c r="AX43" s="1152" t="e">
        <f t="shared" si="23"/>
        <v>#N/A</v>
      </c>
      <c r="AY43" s="1137" t="e">
        <f t="shared" si="23"/>
        <v>#N/A</v>
      </c>
      <c r="AZ43" s="1137" t="e">
        <f t="shared" si="23"/>
        <v>#N/A</v>
      </c>
      <c r="BA43" s="1137" t="e">
        <f t="shared" si="23"/>
        <v>#N/A</v>
      </c>
      <c r="BB43" s="1149" t="e">
        <f t="shared" si="23"/>
        <v>#N/A</v>
      </c>
      <c r="BC43" s="348"/>
      <c r="BD43" s="348"/>
      <c r="BE43" s="348"/>
      <c r="BF43" s="348"/>
      <c r="BG43" s="348"/>
      <c r="BH43" s="348"/>
      <c r="BI43" s="348"/>
      <c r="BJ43" s="348"/>
      <c r="BK43" s="348"/>
      <c r="BL43" s="348"/>
      <c r="BM43" s="348"/>
      <c r="BN43" s="348"/>
      <c r="BO43" s="348"/>
      <c r="BP43" s="348"/>
      <c r="BQ43" s="348"/>
    </row>
    <row r="44" spans="1:69" ht="14.25" customHeight="1" x14ac:dyDescent="0.2">
      <c r="A44" s="118"/>
      <c r="B44" s="9"/>
      <c r="C44" s="9"/>
      <c r="D44" s="9"/>
      <c r="E44" s="9"/>
      <c r="F44" s="9"/>
      <c r="G44" s="9"/>
      <c r="H44" s="9"/>
      <c r="I44" s="9"/>
      <c r="J44" s="12"/>
      <c r="K44" s="13"/>
      <c r="L44" s="13"/>
      <c r="M44" s="13"/>
      <c r="N44" s="13"/>
      <c r="O44" s="14"/>
      <c r="P44" s="14"/>
      <c r="Q44" s="14"/>
      <c r="R44" s="14"/>
      <c r="S44" s="14"/>
      <c r="T44" s="14"/>
      <c r="U44" s="14"/>
      <c r="V44" s="117"/>
      <c r="W44" s="137"/>
      <c r="X44" s="294"/>
      <c r="Y44" s="72" t="str">
        <f>"Y= "&amp;Z44&amp;"x + "&amp;AA44</f>
        <v>Y= -0.0716202629340736x + 95.9435471615684</v>
      </c>
      <c r="Z44" s="213">
        <v>-7.1620262934073559E-2</v>
      </c>
      <c r="AA44" s="214">
        <v>95.943547161568404</v>
      </c>
      <c r="AB44" s="215">
        <v>35</v>
      </c>
      <c r="AC44" s="1218">
        <f>((AB44*Z44)+AA44)/100</f>
        <v>0.93436837958875829</v>
      </c>
      <c r="AJ44" s="585" t="b">
        <v>1</v>
      </c>
      <c r="AK44" s="160" t="s">
        <v>4</v>
      </c>
      <c r="AL44" s="87" t="str">
        <f t="shared" si="20"/>
        <v>East Sussex</v>
      </c>
      <c r="AM44" s="1143" t="e">
        <f t="shared" si="21"/>
        <v>#N/A</v>
      </c>
      <c r="AN44" s="1144" t="e">
        <f t="shared" si="21"/>
        <v>#N/A</v>
      </c>
      <c r="AO44" s="1144" t="e">
        <f t="shared" si="21"/>
        <v>#N/A</v>
      </c>
      <c r="AP44" s="1144" t="e">
        <f t="shared" si="21"/>
        <v>#N/A</v>
      </c>
      <c r="AQ44" s="1145" t="e">
        <f t="shared" si="21"/>
        <v>#N/A</v>
      </c>
      <c r="AR44" s="1156">
        <f t="shared" si="24"/>
        <v>16.100000000000001</v>
      </c>
      <c r="AS44" s="1137" t="e">
        <f t="shared" si="22"/>
        <v>#N/A</v>
      </c>
      <c r="AT44" s="1137" t="e">
        <f t="shared" si="22"/>
        <v>#N/A</v>
      </c>
      <c r="AU44" s="1137" t="e">
        <f t="shared" si="22"/>
        <v>#N/A</v>
      </c>
      <c r="AV44" s="1137" t="e">
        <f t="shared" si="22"/>
        <v>#N/A</v>
      </c>
      <c r="AW44" s="1149" t="e">
        <f t="shared" si="22"/>
        <v>#N/A</v>
      </c>
      <c r="AX44" s="1152" t="e">
        <f t="shared" si="23"/>
        <v>#N/A</v>
      </c>
      <c r="AY44" s="1137" t="e">
        <f t="shared" si="23"/>
        <v>#N/A</v>
      </c>
      <c r="AZ44" s="1137" t="e">
        <f t="shared" si="23"/>
        <v>#N/A</v>
      </c>
      <c r="BA44" s="1137" t="e">
        <f t="shared" si="23"/>
        <v>#N/A</v>
      </c>
      <c r="BB44" s="1149" t="e">
        <f t="shared" si="23"/>
        <v>#N/A</v>
      </c>
      <c r="BC44" s="348"/>
      <c r="BD44" s="348"/>
      <c r="BE44" s="348"/>
      <c r="BF44" s="348"/>
      <c r="BG44" s="348"/>
      <c r="BH44" s="348"/>
      <c r="BI44" s="348"/>
      <c r="BJ44" s="348"/>
      <c r="BK44" s="348"/>
      <c r="BL44" s="348"/>
      <c r="BM44" s="348"/>
      <c r="BN44" s="348"/>
      <c r="BO44" s="348"/>
      <c r="BP44" s="348"/>
      <c r="BQ44" s="348"/>
    </row>
    <row r="45" spans="1:69" s="76" customFormat="1" ht="14.25" customHeight="1" x14ac:dyDescent="0.2">
      <c r="A45" s="119"/>
      <c r="B45" s="226"/>
      <c r="C45" s="226"/>
      <c r="D45" s="227"/>
      <c r="E45" s="227"/>
      <c r="F45" s="227"/>
      <c r="G45" s="227"/>
      <c r="H45" s="227"/>
      <c r="I45" s="227"/>
      <c r="J45" s="15"/>
      <c r="K45" s="9"/>
      <c r="L45" s="9"/>
      <c r="M45" s="9"/>
      <c r="N45" s="9"/>
      <c r="O45" s="9"/>
      <c r="P45" s="9"/>
      <c r="Q45" s="9"/>
      <c r="R45" s="9"/>
      <c r="S45" s="9"/>
      <c r="T45" s="9"/>
      <c r="U45" s="9"/>
      <c r="V45" s="120"/>
      <c r="W45" s="138"/>
      <c r="X45" s="295"/>
      <c r="Y45" s="87"/>
      <c r="Z45" s="87"/>
      <c r="AA45" s="87"/>
      <c r="AB45" s="87"/>
      <c r="AD45" s="81"/>
      <c r="AE45" s="81"/>
      <c r="AF45" s="81"/>
      <c r="AG45" s="81"/>
      <c r="AH45" s="81"/>
      <c r="AI45" s="81"/>
      <c r="AJ45" s="585" t="b">
        <v>1</v>
      </c>
      <c r="AK45" s="160" t="s">
        <v>6</v>
      </c>
      <c r="AL45" s="87" t="str">
        <f t="shared" si="20"/>
        <v>Hampshire</v>
      </c>
      <c r="AM45" s="1143" t="e">
        <f t="shared" si="21"/>
        <v>#N/A</v>
      </c>
      <c r="AN45" s="1144" t="e">
        <f t="shared" si="21"/>
        <v>#N/A</v>
      </c>
      <c r="AO45" s="1144" t="e">
        <f t="shared" si="21"/>
        <v>#N/A</v>
      </c>
      <c r="AP45" s="1144" t="e">
        <f t="shared" si="21"/>
        <v>#N/A</v>
      </c>
      <c r="AQ45" s="1145" t="e">
        <f t="shared" si="21"/>
        <v>#N/A</v>
      </c>
      <c r="AR45" s="1156">
        <f t="shared" si="24"/>
        <v>10.100000000000001</v>
      </c>
      <c r="AS45" s="1137" t="e">
        <f t="shared" si="22"/>
        <v>#N/A</v>
      </c>
      <c r="AT45" s="1137" t="e">
        <f t="shared" si="22"/>
        <v>#N/A</v>
      </c>
      <c r="AU45" s="1137" t="e">
        <f t="shared" si="22"/>
        <v>#N/A</v>
      </c>
      <c r="AV45" s="1137" t="e">
        <f t="shared" si="22"/>
        <v>#N/A</v>
      </c>
      <c r="AW45" s="1149" t="e">
        <f t="shared" si="22"/>
        <v>#N/A</v>
      </c>
      <c r="AX45" s="1152" t="e">
        <f t="shared" si="23"/>
        <v>#N/A</v>
      </c>
      <c r="AY45" s="1137" t="e">
        <f t="shared" si="23"/>
        <v>#N/A</v>
      </c>
      <c r="AZ45" s="1137" t="e">
        <f t="shared" si="23"/>
        <v>#N/A</v>
      </c>
      <c r="BA45" s="1137" t="e">
        <f t="shared" si="23"/>
        <v>#N/A</v>
      </c>
      <c r="BB45" s="1149" t="e">
        <f t="shared" si="23"/>
        <v>#N/A</v>
      </c>
      <c r="BC45" s="348"/>
      <c r="BD45" s="348"/>
      <c r="BE45" s="348"/>
      <c r="BF45" s="348"/>
      <c r="BG45" s="348"/>
      <c r="BH45" s="348"/>
      <c r="BI45" s="348"/>
      <c r="BJ45" s="348"/>
      <c r="BK45" s="348"/>
      <c r="BL45" s="348"/>
      <c r="BM45" s="348"/>
      <c r="BN45" s="348"/>
      <c r="BO45" s="348"/>
      <c r="BP45" s="348"/>
      <c r="BQ45" s="348"/>
    </row>
    <row r="46" spans="1:69" ht="14.25" customHeight="1" x14ac:dyDescent="0.2">
      <c r="A46" s="118"/>
      <c r="B46" s="227"/>
      <c r="C46" s="227"/>
      <c r="D46" s="227"/>
      <c r="E46" s="227"/>
      <c r="F46" s="227"/>
      <c r="G46" s="227"/>
      <c r="H46" s="227"/>
      <c r="I46" s="227"/>
      <c r="J46" s="12"/>
      <c r="K46" s="14"/>
      <c r="L46" s="14"/>
      <c r="M46" s="14"/>
      <c r="N46" s="14"/>
      <c r="O46" s="9"/>
      <c r="P46" s="9"/>
      <c r="Q46" s="9"/>
      <c r="R46" s="9"/>
      <c r="S46" s="9"/>
      <c r="T46" s="9"/>
      <c r="U46" s="9"/>
      <c r="V46" s="117"/>
      <c r="W46" s="137"/>
      <c r="X46" s="294"/>
      <c r="Y46" s="87"/>
      <c r="Z46" s="87"/>
      <c r="AA46" s="87"/>
      <c r="AB46" s="87"/>
      <c r="AJ46" s="585" t="b">
        <v>1</v>
      </c>
      <c r="AK46" s="160" t="s">
        <v>1</v>
      </c>
      <c r="AL46" s="87" t="str">
        <f t="shared" si="20"/>
        <v>Isle of Wight</v>
      </c>
      <c r="AM46" s="1143" t="e">
        <f t="shared" si="21"/>
        <v>#N/A</v>
      </c>
      <c r="AN46" s="1144" t="e">
        <f t="shared" si="21"/>
        <v>#N/A</v>
      </c>
      <c r="AO46" s="1144" t="e">
        <f t="shared" si="21"/>
        <v>#N/A</v>
      </c>
      <c r="AP46" s="1144" t="e">
        <f t="shared" si="21"/>
        <v>#N/A</v>
      </c>
      <c r="AQ46" s="1145" t="e">
        <f t="shared" si="21"/>
        <v>#N/A</v>
      </c>
      <c r="AR46" s="1156">
        <f t="shared" si="24"/>
        <v>18</v>
      </c>
      <c r="AS46" s="1137" t="e">
        <f t="shared" si="22"/>
        <v>#N/A</v>
      </c>
      <c r="AT46" s="1137" t="e">
        <f t="shared" si="22"/>
        <v>#N/A</v>
      </c>
      <c r="AU46" s="1137" t="e">
        <f t="shared" si="22"/>
        <v>#N/A</v>
      </c>
      <c r="AV46" s="1137" t="e">
        <f t="shared" si="22"/>
        <v>#N/A</v>
      </c>
      <c r="AW46" s="1149" t="e">
        <f t="shared" si="22"/>
        <v>#N/A</v>
      </c>
      <c r="AX46" s="1152" t="e">
        <f t="shared" si="23"/>
        <v>#N/A</v>
      </c>
      <c r="AY46" s="1137" t="e">
        <f t="shared" si="23"/>
        <v>#N/A</v>
      </c>
      <c r="AZ46" s="1137" t="e">
        <f t="shared" si="23"/>
        <v>#N/A</v>
      </c>
      <c r="BA46" s="1137" t="e">
        <f t="shared" si="23"/>
        <v>#N/A</v>
      </c>
      <c r="BB46" s="1149" t="e">
        <f t="shared" si="23"/>
        <v>#N/A</v>
      </c>
      <c r="BC46" s="348"/>
      <c r="BD46" s="348"/>
      <c r="BE46" s="348"/>
      <c r="BF46" s="348"/>
      <c r="BG46" s="348"/>
      <c r="BH46" s="348"/>
      <c r="BI46" s="348"/>
      <c r="BJ46" s="348"/>
      <c r="BK46" s="348"/>
      <c r="BL46" s="348"/>
      <c r="BM46" s="348"/>
      <c r="BN46" s="348"/>
      <c r="BO46" s="348"/>
      <c r="BP46" s="348"/>
      <c r="BQ46" s="348"/>
    </row>
    <row r="47" spans="1:69" ht="14.25" customHeight="1" x14ac:dyDescent="0.2">
      <c r="A47" s="118"/>
      <c r="B47" s="227"/>
      <c r="C47" s="227"/>
      <c r="D47" s="227"/>
      <c r="E47" s="227"/>
      <c r="F47" s="227"/>
      <c r="G47" s="227"/>
      <c r="H47" s="227"/>
      <c r="I47" s="227"/>
      <c r="J47" s="12"/>
      <c r="K47" s="14"/>
      <c r="L47" s="14"/>
      <c r="M47" s="14"/>
      <c r="N47" s="14"/>
      <c r="O47" s="9"/>
      <c r="P47" s="9"/>
      <c r="Q47" s="9"/>
      <c r="R47" s="9"/>
      <c r="S47" s="9"/>
      <c r="T47" s="9"/>
      <c r="U47" s="9"/>
      <c r="V47" s="117"/>
      <c r="W47" s="137"/>
      <c r="X47" s="294"/>
      <c r="Y47" s="87"/>
      <c r="Z47" s="87"/>
      <c r="AA47" s="87"/>
      <c r="AB47" s="87"/>
      <c r="AD47" s="207"/>
      <c r="AJ47" s="585" t="b">
        <v>1</v>
      </c>
      <c r="AK47" s="160" t="s">
        <v>9</v>
      </c>
      <c r="AL47" s="87" t="str">
        <f t="shared" si="20"/>
        <v>Kent</v>
      </c>
      <c r="AM47" s="1143" t="e">
        <f t="shared" si="21"/>
        <v>#N/A</v>
      </c>
      <c r="AN47" s="1144" t="e">
        <f t="shared" si="21"/>
        <v>#N/A</v>
      </c>
      <c r="AO47" s="1144" t="e">
        <f t="shared" si="21"/>
        <v>#N/A</v>
      </c>
      <c r="AP47" s="1144" t="e">
        <f t="shared" si="21"/>
        <v>#N/A</v>
      </c>
      <c r="AQ47" s="1145" t="e">
        <f t="shared" si="21"/>
        <v>#N/A</v>
      </c>
      <c r="AR47" s="1156">
        <f t="shared" si="24"/>
        <v>15.8</v>
      </c>
      <c r="AS47" s="1137" t="e">
        <f t="shared" si="22"/>
        <v>#N/A</v>
      </c>
      <c r="AT47" s="1137" t="e">
        <f t="shared" si="22"/>
        <v>#N/A</v>
      </c>
      <c r="AU47" s="1137" t="e">
        <f t="shared" si="22"/>
        <v>#N/A</v>
      </c>
      <c r="AV47" s="1137" t="e">
        <f t="shared" si="22"/>
        <v>#N/A</v>
      </c>
      <c r="AW47" s="1149" t="e">
        <f t="shared" si="22"/>
        <v>#N/A</v>
      </c>
      <c r="AX47" s="1152" t="e">
        <f t="shared" si="23"/>
        <v>#N/A</v>
      </c>
      <c r="AY47" s="1137" t="e">
        <f t="shared" si="23"/>
        <v>#N/A</v>
      </c>
      <c r="AZ47" s="1137" t="e">
        <f t="shared" si="23"/>
        <v>#N/A</v>
      </c>
      <c r="BA47" s="1137" t="e">
        <f t="shared" si="23"/>
        <v>#N/A</v>
      </c>
      <c r="BB47" s="1149" t="e">
        <f t="shared" si="23"/>
        <v>#N/A</v>
      </c>
      <c r="BC47" s="348"/>
      <c r="BD47" s="348"/>
      <c r="BE47" s="348"/>
      <c r="BF47" s="348"/>
      <c r="BG47" s="348"/>
      <c r="BH47" s="348"/>
      <c r="BI47" s="348"/>
      <c r="BJ47" s="348"/>
      <c r="BK47" s="348"/>
      <c r="BL47" s="348"/>
      <c r="BM47" s="348"/>
      <c r="BN47" s="348"/>
      <c r="BO47" s="348"/>
      <c r="BP47" s="348"/>
      <c r="BQ47" s="348"/>
    </row>
    <row r="48" spans="1:69" ht="14.25" customHeight="1" x14ac:dyDescent="0.2">
      <c r="A48" s="118"/>
      <c r="B48" s="58"/>
      <c r="C48" s="58"/>
      <c r="D48" s="58"/>
      <c r="E48" s="58"/>
      <c r="F48" s="58"/>
      <c r="G48" s="58"/>
      <c r="H48" s="58"/>
      <c r="I48" s="58"/>
      <c r="J48" s="12"/>
      <c r="K48" s="14"/>
      <c r="L48" s="14"/>
      <c r="M48" s="14"/>
      <c r="N48" s="14"/>
      <c r="O48" s="9"/>
      <c r="P48" s="9"/>
      <c r="Q48" s="9"/>
      <c r="R48" s="9"/>
      <c r="S48" s="9"/>
      <c r="T48" s="9"/>
      <c r="U48" s="9"/>
      <c r="V48" s="117"/>
      <c r="W48" s="137"/>
      <c r="X48" s="294"/>
      <c r="Y48" s="87"/>
      <c r="Z48" s="87"/>
      <c r="AA48" s="87"/>
      <c r="AB48" s="87"/>
      <c r="AD48" s="184"/>
      <c r="AJ48" s="585" t="b">
        <v>1</v>
      </c>
      <c r="AK48" s="160" t="s">
        <v>2</v>
      </c>
      <c r="AL48" s="87" t="str">
        <f t="shared" si="20"/>
        <v>Medway</v>
      </c>
      <c r="AM48" s="1143" t="e">
        <f t="shared" si="21"/>
        <v>#N/A</v>
      </c>
      <c r="AN48" s="1144" t="e">
        <f t="shared" si="21"/>
        <v>#N/A</v>
      </c>
      <c r="AO48" s="1144" t="e">
        <f t="shared" si="21"/>
        <v>#N/A</v>
      </c>
      <c r="AP48" s="1144" t="e">
        <f t="shared" si="21"/>
        <v>#N/A</v>
      </c>
      <c r="AQ48" s="1145" t="e">
        <f t="shared" si="21"/>
        <v>#N/A</v>
      </c>
      <c r="AR48" s="1156">
        <f t="shared" si="24"/>
        <v>18.899999999999999</v>
      </c>
      <c r="AS48" s="1137" t="e">
        <f t="shared" si="22"/>
        <v>#N/A</v>
      </c>
      <c r="AT48" s="1137" t="e">
        <f t="shared" si="22"/>
        <v>#N/A</v>
      </c>
      <c r="AU48" s="1137" t="e">
        <f t="shared" si="22"/>
        <v>#N/A</v>
      </c>
      <c r="AV48" s="1137" t="e">
        <f t="shared" si="22"/>
        <v>#N/A</v>
      </c>
      <c r="AW48" s="1149" t="e">
        <f t="shared" si="22"/>
        <v>#N/A</v>
      </c>
      <c r="AX48" s="1152" t="e">
        <f t="shared" si="23"/>
        <v>#N/A</v>
      </c>
      <c r="AY48" s="1137" t="e">
        <f t="shared" si="23"/>
        <v>#N/A</v>
      </c>
      <c r="AZ48" s="1137" t="e">
        <f t="shared" si="23"/>
        <v>#N/A</v>
      </c>
      <c r="BA48" s="1137" t="e">
        <f t="shared" si="23"/>
        <v>#N/A</v>
      </c>
      <c r="BB48" s="1149" t="e">
        <f t="shared" si="23"/>
        <v>#N/A</v>
      </c>
      <c r="BC48" s="348"/>
      <c r="BD48" s="348"/>
      <c r="BE48" s="348"/>
      <c r="BF48" s="348"/>
      <c r="BG48" s="348"/>
      <c r="BH48" s="348"/>
      <c r="BI48" s="348"/>
      <c r="BJ48" s="348"/>
      <c r="BK48" s="348"/>
      <c r="BL48" s="348"/>
      <c r="BM48" s="348"/>
      <c r="BN48" s="348"/>
      <c r="BO48" s="348"/>
      <c r="BP48" s="348"/>
      <c r="BQ48" s="348"/>
    </row>
    <row r="49" spans="1:69" ht="14.25" customHeight="1" x14ac:dyDescent="0.2">
      <c r="A49" s="118"/>
      <c r="B49" s="58"/>
      <c r="C49" s="58"/>
      <c r="D49" s="69"/>
      <c r="E49" s="70"/>
      <c r="F49" s="69"/>
      <c r="G49" s="70"/>
      <c r="H49" s="70"/>
      <c r="I49" s="70"/>
      <c r="J49" s="12"/>
      <c r="K49" s="14"/>
      <c r="L49" s="14"/>
      <c r="M49" s="14"/>
      <c r="N49" s="14"/>
      <c r="O49" s="9"/>
      <c r="P49" s="9"/>
      <c r="Q49" s="9"/>
      <c r="R49" s="9"/>
      <c r="S49" s="9"/>
      <c r="T49" s="9"/>
      <c r="U49" s="9"/>
      <c r="V49" s="117"/>
      <c r="W49" s="137"/>
      <c r="X49" s="294"/>
      <c r="Y49" s="87"/>
      <c r="Z49" s="87"/>
      <c r="AA49" s="87"/>
      <c r="AB49" s="87"/>
      <c r="AJ49" s="585" t="b">
        <v>1</v>
      </c>
      <c r="AK49" s="160" t="s">
        <v>10</v>
      </c>
      <c r="AL49" s="87" t="str">
        <f t="shared" si="20"/>
        <v>Milton Keynes</v>
      </c>
      <c r="AM49" s="1143" t="e">
        <f t="shared" si="21"/>
        <v>#N/A</v>
      </c>
      <c r="AN49" s="1144" t="e">
        <f t="shared" si="21"/>
        <v>#N/A</v>
      </c>
      <c r="AO49" s="1144" t="e">
        <f t="shared" si="21"/>
        <v>#N/A</v>
      </c>
      <c r="AP49" s="1144" t="e">
        <f t="shared" si="21"/>
        <v>#N/A</v>
      </c>
      <c r="AQ49" s="1145" t="e">
        <f t="shared" si="21"/>
        <v>#N/A</v>
      </c>
      <c r="AR49" s="1156">
        <f t="shared" si="24"/>
        <v>15</v>
      </c>
      <c r="AS49" s="1137" t="e">
        <f t="shared" si="22"/>
        <v>#N/A</v>
      </c>
      <c r="AT49" s="1137" t="e">
        <f t="shared" si="22"/>
        <v>#N/A</v>
      </c>
      <c r="AU49" s="1137" t="e">
        <f t="shared" si="22"/>
        <v>#N/A</v>
      </c>
      <c r="AV49" s="1137" t="e">
        <f t="shared" si="22"/>
        <v>#N/A</v>
      </c>
      <c r="AW49" s="1149" t="e">
        <f t="shared" si="22"/>
        <v>#N/A</v>
      </c>
      <c r="AX49" s="1152" t="e">
        <f t="shared" si="23"/>
        <v>#N/A</v>
      </c>
      <c r="AY49" s="1137" t="e">
        <f t="shared" si="23"/>
        <v>#N/A</v>
      </c>
      <c r="AZ49" s="1137" t="e">
        <f t="shared" si="23"/>
        <v>#N/A</v>
      </c>
      <c r="BA49" s="1137" t="e">
        <f t="shared" si="23"/>
        <v>#N/A</v>
      </c>
      <c r="BB49" s="1149" t="e">
        <f t="shared" si="23"/>
        <v>#N/A</v>
      </c>
      <c r="BC49" s="348"/>
      <c r="BD49" s="348"/>
      <c r="BE49" s="348"/>
      <c r="BF49" s="348"/>
      <c r="BG49" s="348"/>
      <c r="BH49" s="348"/>
      <c r="BI49" s="348"/>
      <c r="BJ49" s="348"/>
      <c r="BK49" s="348"/>
      <c r="BL49" s="348"/>
      <c r="BM49" s="348"/>
      <c r="BN49" s="348"/>
      <c r="BO49" s="348"/>
      <c r="BP49" s="348"/>
      <c r="BQ49" s="348"/>
    </row>
    <row r="50" spans="1:69" ht="14.25" customHeight="1" x14ac:dyDescent="0.2">
      <c r="A50" s="118"/>
      <c r="B50" s="58"/>
      <c r="C50" s="58"/>
      <c r="D50" s="61"/>
      <c r="E50" s="61"/>
      <c r="F50" s="61"/>
      <c r="G50" s="61"/>
      <c r="H50" s="61"/>
      <c r="I50" s="61"/>
      <c r="J50" s="12"/>
      <c r="K50" s="14"/>
      <c r="L50" s="14"/>
      <c r="M50" s="14"/>
      <c r="N50" s="14"/>
      <c r="O50" s="9"/>
      <c r="P50" s="9"/>
      <c r="Q50" s="9"/>
      <c r="R50" s="9"/>
      <c r="S50" s="9"/>
      <c r="T50" s="9"/>
      <c r="U50" s="9"/>
      <c r="V50" s="117"/>
      <c r="W50" s="137"/>
      <c r="X50" s="294"/>
      <c r="Y50" s="87"/>
      <c r="Z50" s="87"/>
      <c r="AA50" s="87"/>
      <c r="AB50" s="87"/>
      <c r="AJ50" s="585" t="b">
        <v>1</v>
      </c>
      <c r="AK50" s="160" t="s">
        <v>11</v>
      </c>
      <c r="AL50" s="87" t="str">
        <f t="shared" si="20"/>
        <v>Oxfordshire</v>
      </c>
      <c r="AM50" s="1143" t="e">
        <f t="shared" si="21"/>
        <v>#N/A</v>
      </c>
      <c r="AN50" s="1144" t="e">
        <f t="shared" si="21"/>
        <v>#N/A</v>
      </c>
      <c r="AO50" s="1144" t="e">
        <f t="shared" si="21"/>
        <v>#N/A</v>
      </c>
      <c r="AP50" s="1144" t="e">
        <f t="shared" si="21"/>
        <v>#N/A</v>
      </c>
      <c r="AQ50" s="1145" t="e">
        <f t="shared" si="21"/>
        <v>#N/A</v>
      </c>
      <c r="AR50" s="1156">
        <f t="shared" si="24"/>
        <v>10.100000000000001</v>
      </c>
      <c r="AS50" s="1137" t="e">
        <f t="shared" si="22"/>
        <v>#N/A</v>
      </c>
      <c r="AT50" s="1137" t="e">
        <f t="shared" si="22"/>
        <v>#N/A</v>
      </c>
      <c r="AU50" s="1137" t="e">
        <f t="shared" si="22"/>
        <v>#N/A</v>
      </c>
      <c r="AV50" s="1137" t="e">
        <f t="shared" si="22"/>
        <v>#N/A</v>
      </c>
      <c r="AW50" s="1149" t="e">
        <f t="shared" si="22"/>
        <v>#N/A</v>
      </c>
      <c r="AX50" s="1152" t="e">
        <f t="shared" si="23"/>
        <v>#N/A</v>
      </c>
      <c r="AY50" s="1137" t="e">
        <f t="shared" si="23"/>
        <v>#N/A</v>
      </c>
      <c r="AZ50" s="1137" t="e">
        <f t="shared" si="23"/>
        <v>#N/A</v>
      </c>
      <c r="BA50" s="1137" t="e">
        <f t="shared" si="23"/>
        <v>#N/A</v>
      </c>
      <c r="BB50" s="1149" t="e">
        <f t="shared" si="23"/>
        <v>#N/A</v>
      </c>
      <c r="BC50" s="348"/>
      <c r="BD50" s="348"/>
      <c r="BE50" s="348"/>
      <c r="BF50" s="348"/>
      <c r="BG50" s="348"/>
      <c r="BH50" s="348"/>
      <c r="BI50" s="348"/>
      <c r="BJ50" s="348"/>
      <c r="BK50" s="348"/>
      <c r="BL50" s="348"/>
      <c r="BM50" s="348"/>
      <c r="BN50" s="348"/>
      <c r="BO50" s="348"/>
      <c r="BP50" s="348"/>
      <c r="BQ50" s="348"/>
    </row>
    <row r="51" spans="1:69" ht="14.25" customHeight="1" x14ac:dyDescent="0.2">
      <c r="A51" s="118"/>
      <c r="B51" s="421"/>
      <c r="C51" s="421"/>
      <c r="D51" s="58"/>
      <c r="E51" s="58"/>
      <c r="F51" s="58"/>
      <c r="G51" s="58"/>
      <c r="H51" s="58"/>
      <c r="I51" s="58"/>
      <c r="J51" s="12"/>
      <c r="K51" s="14"/>
      <c r="L51" s="14"/>
      <c r="M51" s="14"/>
      <c r="N51" s="14"/>
      <c r="O51" s="9"/>
      <c r="P51" s="9"/>
      <c r="Q51" s="9"/>
      <c r="R51" s="9"/>
      <c r="S51" s="9"/>
      <c r="T51" s="9"/>
      <c r="U51" s="9"/>
      <c r="V51" s="117"/>
      <c r="W51" s="137"/>
      <c r="X51" s="294"/>
      <c r="Y51" s="87"/>
      <c r="Z51" s="87"/>
      <c r="AA51" s="87"/>
      <c r="AB51" s="87"/>
      <c r="AJ51" s="585" t="b">
        <v>1</v>
      </c>
      <c r="AK51" s="160" t="s">
        <v>12</v>
      </c>
      <c r="AL51" s="87" t="str">
        <f t="shared" si="20"/>
        <v>Portsmouth</v>
      </c>
      <c r="AM51" s="1143" t="e">
        <f t="shared" ref="AM51:AQ64" si="25">VLOOKUP($AL51,$B$10:$O$33,AM$37,FALSE)</f>
        <v>#N/A</v>
      </c>
      <c r="AN51" s="1144" t="e">
        <f t="shared" si="25"/>
        <v>#N/A</v>
      </c>
      <c r="AO51" s="1144" t="e">
        <f t="shared" si="25"/>
        <v>#N/A</v>
      </c>
      <c r="AP51" s="1144" t="e">
        <f t="shared" si="25"/>
        <v>#N/A</v>
      </c>
      <c r="AQ51" s="1145" t="e">
        <f t="shared" si="25"/>
        <v>#N/A</v>
      </c>
      <c r="AR51" s="1156">
        <f t="shared" si="24"/>
        <v>20.200000000000003</v>
      </c>
      <c r="AS51" s="1137" t="e">
        <f t="shared" ref="AS51:AW64" si="26">VLOOKUP($AL51,$B$77:$H$100,AS$37,FALSE)</f>
        <v>#N/A</v>
      </c>
      <c r="AT51" s="1137" t="e">
        <f t="shared" si="26"/>
        <v>#N/A</v>
      </c>
      <c r="AU51" s="1137" t="e">
        <f t="shared" si="26"/>
        <v>#N/A</v>
      </c>
      <c r="AV51" s="1137" t="e">
        <f t="shared" si="26"/>
        <v>#N/A</v>
      </c>
      <c r="AW51" s="1149" t="e">
        <f t="shared" si="26"/>
        <v>#N/A</v>
      </c>
      <c r="AX51" s="1152" t="e">
        <f t="shared" ref="AX51:BB64" si="27">VLOOKUP($AL51,$B$113:$H$136,AX$37,FALSE)</f>
        <v>#N/A</v>
      </c>
      <c r="AY51" s="1137" t="e">
        <f t="shared" si="27"/>
        <v>#N/A</v>
      </c>
      <c r="AZ51" s="1137" t="e">
        <f t="shared" si="27"/>
        <v>#N/A</v>
      </c>
      <c r="BA51" s="1137" t="e">
        <f t="shared" si="27"/>
        <v>#N/A</v>
      </c>
      <c r="BB51" s="1149" t="e">
        <f t="shared" si="27"/>
        <v>#N/A</v>
      </c>
      <c r="BC51" s="348"/>
      <c r="BD51" s="348"/>
      <c r="BE51" s="348"/>
      <c r="BF51" s="348"/>
      <c r="BG51" s="348"/>
      <c r="BH51" s="348"/>
      <c r="BI51" s="348"/>
      <c r="BJ51" s="348"/>
      <c r="BK51" s="348"/>
      <c r="BL51" s="348"/>
      <c r="BM51" s="348"/>
      <c r="BN51" s="348"/>
      <c r="BO51" s="348"/>
      <c r="BP51" s="348"/>
      <c r="BQ51" s="348"/>
    </row>
    <row r="52" spans="1:69" ht="14.25" customHeight="1" x14ac:dyDescent="0.2">
      <c r="A52" s="118"/>
      <c r="B52" s="421"/>
      <c r="C52" s="421"/>
      <c r="D52" s="58"/>
      <c r="E52" s="58"/>
      <c r="F52" s="58"/>
      <c r="G52" s="58"/>
      <c r="H52" s="58"/>
      <c r="I52" s="58"/>
      <c r="J52" s="12"/>
      <c r="K52" s="14"/>
      <c r="L52" s="14"/>
      <c r="M52" s="14"/>
      <c r="N52" s="14"/>
      <c r="O52" s="9"/>
      <c r="P52" s="9"/>
      <c r="Q52" s="9"/>
      <c r="R52" s="9"/>
      <c r="S52" s="9"/>
      <c r="T52" s="9"/>
      <c r="U52" s="9"/>
      <c r="V52" s="117"/>
      <c r="W52" s="137"/>
      <c r="X52" s="294"/>
      <c r="Y52" s="87"/>
      <c r="Z52" s="87"/>
      <c r="AA52" s="87"/>
      <c r="AB52" s="87"/>
      <c r="AJ52" s="585" t="b">
        <v>1</v>
      </c>
      <c r="AK52" s="160" t="s">
        <v>3</v>
      </c>
      <c r="AL52" s="87" t="str">
        <f t="shared" si="20"/>
        <v>Reading</v>
      </c>
      <c r="AM52" s="1143" t="e">
        <f t="shared" si="25"/>
        <v>#N/A</v>
      </c>
      <c r="AN52" s="1144" t="e">
        <f t="shared" si="25"/>
        <v>#N/A</v>
      </c>
      <c r="AO52" s="1144" t="e">
        <f t="shared" si="25"/>
        <v>#N/A</v>
      </c>
      <c r="AP52" s="1144" t="e">
        <f t="shared" si="25"/>
        <v>#N/A</v>
      </c>
      <c r="AQ52" s="1145" t="e">
        <f t="shared" si="25"/>
        <v>#N/A</v>
      </c>
      <c r="AR52" s="1156">
        <f t="shared" si="24"/>
        <v>16</v>
      </c>
      <c r="AS52" s="1137" t="e">
        <f t="shared" si="26"/>
        <v>#N/A</v>
      </c>
      <c r="AT52" s="1137" t="e">
        <f t="shared" si="26"/>
        <v>#N/A</v>
      </c>
      <c r="AU52" s="1137" t="e">
        <f t="shared" si="26"/>
        <v>#N/A</v>
      </c>
      <c r="AV52" s="1137" t="e">
        <f t="shared" si="26"/>
        <v>#N/A</v>
      </c>
      <c r="AW52" s="1149" t="e">
        <f t="shared" si="26"/>
        <v>#N/A</v>
      </c>
      <c r="AX52" s="1152" t="e">
        <f t="shared" si="27"/>
        <v>#N/A</v>
      </c>
      <c r="AY52" s="1137" t="e">
        <f t="shared" si="27"/>
        <v>#N/A</v>
      </c>
      <c r="AZ52" s="1137" t="e">
        <f t="shared" si="27"/>
        <v>#N/A</v>
      </c>
      <c r="BA52" s="1137" t="e">
        <f t="shared" si="27"/>
        <v>#N/A</v>
      </c>
      <c r="BB52" s="1149" t="e">
        <f t="shared" si="27"/>
        <v>#N/A</v>
      </c>
      <c r="BC52" s="348"/>
      <c r="BD52" s="348"/>
      <c r="BE52" s="348"/>
      <c r="BF52" s="348"/>
      <c r="BG52" s="348"/>
      <c r="BH52" s="348"/>
      <c r="BI52" s="348"/>
      <c r="BJ52" s="348"/>
      <c r="BK52" s="348"/>
      <c r="BL52" s="348"/>
      <c r="BM52" s="348"/>
      <c r="BN52" s="348"/>
      <c r="BO52" s="348"/>
      <c r="BP52" s="348"/>
      <c r="BQ52" s="348"/>
    </row>
    <row r="53" spans="1:69" ht="14.25" customHeight="1" x14ac:dyDescent="0.2">
      <c r="A53" s="118"/>
      <c r="B53" s="421"/>
      <c r="C53" s="421"/>
      <c r="D53" s="58"/>
      <c r="E53" s="58"/>
      <c r="F53" s="58"/>
      <c r="G53" s="58"/>
      <c r="H53" s="58"/>
      <c r="I53" s="58"/>
      <c r="J53" s="12"/>
      <c r="K53" s="14"/>
      <c r="L53" s="14"/>
      <c r="M53" s="14"/>
      <c r="N53" s="14"/>
      <c r="O53" s="9"/>
      <c r="P53" s="9"/>
      <c r="Q53" s="9"/>
      <c r="R53" s="9"/>
      <c r="S53" s="9"/>
      <c r="T53" s="9"/>
      <c r="U53" s="9"/>
      <c r="V53" s="117"/>
      <c r="W53" s="137"/>
      <c r="X53" s="294"/>
      <c r="Y53" s="87"/>
      <c r="Z53" s="87"/>
      <c r="AA53" s="87"/>
      <c r="AB53" s="87"/>
      <c r="AJ53" s="585" t="b">
        <v>1</v>
      </c>
      <c r="AK53" s="160" t="s">
        <v>13</v>
      </c>
      <c r="AL53" s="87" t="str">
        <f t="shared" si="20"/>
        <v>Slough</v>
      </c>
      <c r="AM53" s="1143" t="e">
        <f t="shared" si="25"/>
        <v>#N/A</v>
      </c>
      <c r="AN53" s="1144" t="e">
        <f t="shared" si="25"/>
        <v>#N/A</v>
      </c>
      <c r="AO53" s="1144" t="e">
        <f t="shared" si="25"/>
        <v>#N/A</v>
      </c>
      <c r="AP53" s="1144" t="e">
        <f t="shared" si="25"/>
        <v>#N/A</v>
      </c>
      <c r="AQ53" s="1145" t="e">
        <f t="shared" si="25"/>
        <v>#N/A</v>
      </c>
      <c r="AR53" s="1156">
        <f t="shared" si="24"/>
        <v>14.7</v>
      </c>
      <c r="AS53" s="1137" t="e">
        <f t="shared" si="26"/>
        <v>#N/A</v>
      </c>
      <c r="AT53" s="1137" t="e">
        <f t="shared" si="26"/>
        <v>#N/A</v>
      </c>
      <c r="AU53" s="1137" t="e">
        <f t="shared" si="26"/>
        <v>#N/A</v>
      </c>
      <c r="AV53" s="1137" t="e">
        <f t="shared" si="26"/>
        <v>#N/A</v>
      </c>
      <c r="AW53" s="1149" t="e">
        <f t="shared" si="26"/>
        <v>#N/A</v>
      </c>
      <c r="AX53" s="1152" t="e">
        <f t="shared" si="27"/>
        <v>#N/A</v>
      </c>
      <c r="AY53" s="1137" t="e">
        <f t="shared" si="27"/>
        <v>#N/A</v>
      </c>
      <c r="AZ53" s="1137" t="e">
        <f t="shared" si="27"/>
        <v>#N/A</v>
      </c>
      <c r="BA53" s="1137" t="e">
        <f t="shared" si="27"/>
        <v>#N/A</v>
      </c>
      <c r="BB53" s="1149" t="e">
        <f t="shared" si="27"/>
        <v>#N/A</v>
      </c>
      <c r="BC53" s="348"/>
      <c r="BD53" s="348"/>
      <c r="BE53" s="348"/>
      <c r="BF53" s="348"/>
      <c r="BG53" s="348"/>
      <c r="BH53" s="348"/>
      <c r="BI53" s="348"/>
      <c r="BJ53" s="348"/>
      <c r="BK53" s="348"/>
      <c r="BL53" s="348"/>
      <c r="BM53" s="348"/>
      <c r="BN53" s="348"/>
      <c r="BO53" s="348"/>
      <c r="BP53" s="348"/>
      <c r="BQ53" s="348"/>
    </row>
    <row r="54" spans="1:69" ht="14.25" customHeight="1" x14ac:dyDescent="0.2">
      <c r="A54" s="118"/>
      <c r="B54" s="421"/>
      <c r="C54" s="421"/>
      <c r="D54" s="58"/>
      <c r="E54" s="58"/>
      <c r="F54" s="58"/>
      <c r="G54" s="58"/>
      <c r="H54" s="58"/>
      <c r="I54" s="58"/>
      <c r="J54" s="12"/>
      <c r="K54" s="14"/>
      <c r="L54" s="14"/>
      <c r="M54" s="14"/>
      <c r="N54" s="14"/>
      <c r="O54" s="9"/>
      <c r="P54" s="9"/>
      <c r="Q54" s="9"/>
      <c r="R54" s="9"/>
      <c r="S54" s="9"/>
      <c r="T54" s="9"/>
      <c r="U54" s="9"/>
      <c r="V54" s="117"/>
      <c r="W54" s="137"/>
      <c r="X54" s="294"/>
      <c r="Y54" s="87"/>
      <c r="Z54" s="87"/>
      <c r="AA54" s="87"/>
      <c r="AB54" s="87"/>
      <c r="AJ54" s="585" t="b">
        <v>1</v>
      </c>
      <c r="AK54" s="160" t="s">
        <v>95</v>
      </c>
      <c r="AL54" s="87" t="str">
        <f t="shared" si="20"/>
        <v>Somerset</v>
      </c>
      <c r="AM54" s="1143" t="e">
        <f t="shared" si="25"/>
        <v>#N/A</v>
      </c>
      <c r="AN54" s="1144" t="e">
        <f t="shared" si="25"/>
        <v>#N/A</v>
      </c>
      <c r="AO54" s="1144" t="e">
        <f t="shared" si="25"/>
        <v>#N/A</v>
      </c>
      <c r="AP54" s="1144" t="e">
        <f t="shared" si="25"/>
        <v>#N/A</v>
      </c>
      <c r="AQ54" s="1145" t="e">
        <f t="shared" si="25"/>
        <v>#N/A</v>
      </c>
      <c r="AR54" s="1156">
        <f t="shared" si="24"/>
        <v>13.600000000000001</v>
      </c>
      <c r="AS54" s="1137" t="e">
        <f t="shared" si="26"/>
        <v>#N/A</v>
      </c>
      <c r="AT54" s="1137" t="e">
        <f t="shared" si="26"/>
        <v>#N/A</v>
      </c>
      <c r="AU54" s="1137" t="e">
        <f t="shared" si="26"/>
        <v>#N/A</v>
      </c>
      <c r="AV54" s="1137" t="e">
        <f t="shared" si="26"/>
        <v>#N/A</v>
      </c>
      <c r="AW54" s="1149" t="e">
        <f t="shared" si="26"/>
        <v>#N/A</v>
      </c>
      <c r="AX54" s="1152" t="e">
        <f t="shared" si="27"/>
        <v>#N/A</v>
      </c>
      <c r="AY54" s="1137" t="e">
        <f t="shared" si="27"/>
        <v>#N/A</v>
      </c>
      <c r="AZ54" s="1137" t="e">
        <f t="shared" si="27"/>
        <v>#N/A</v>
      </c>
      <c r="BA54" s="1137" t="e">
        <f t="shared" si="27"/>
        <v>#N/A</v>
      </c>
      <c r="BB54" s="1149" t="e">
        <f t="shared" si="27"/>
        <v>#N/A</v>
      </c>
      <c r="BC54" s="348"/>
      <c r="BD54" s="348"/>
      <c r="BE54" s="348"/>
      <c r="BF54" s="348"/>
      <c r="BG54" s="348"/>
      <c r="BH54" s="348"/>
      <c r="BI54" s="348"/>
      <c r="BJ54" s="348"/>
      <c r="BK54" s="348"/>
      <c r="BL54" s="348"/>
      <c r="BM54" s="348"/>
      <c r="BN54" s="348"/>
      <c r="BO54" s="348"/>
      <c r="BP54" s="348"/>
      <c r="BQ54" s="348"/>
    </row>
    <row r="55" spans="1:69" ht="14.25" customHeight="1" x14ac:dyDescent="0.2">
      <c r="A55" s="118"/>
      <c r="B55" s="421"/>
      <c r="C55" s="421"/>
      <c r="D55" s="58"/>
      <c r="E55" s="58"/>
      <c r="F55" s="58"/>
      <c r="G55" s="58"/>
      <c r="H55" s="58"/>
      <c r="I55" s="58"/>
      <c r="J55" s="12"/>
      <c r="K55" s="14"/>
      <c r="L55" s="14"/>
      <c r="M55" s="14"/>
      <c r="N55" s="14"/>
      <c r="O55" s="9"/>
      <c r="P55" s="9"/>
      <c r="Q55" s="9"/>
      <c r="R55" s="9"/>
      <c r="S55" s="9"/>
      <c r="T55" s="9"/>
      <c r="U55" s="9"/>
      <c r="V55" s="117"/>
      <c r="W55" s="137"/>
      <c r="X55" s="294"/>
      <c r="Y55" s="87"/>
      <c r="Z55" s="87"/>
      <c r="AA55" s="87"/>
      <c r="AB55" s="87"/>
      <c r="AJ55" s="585" t="b">
        <v>1</v>
      </c>
      <c r="AK55" s="160" t="s">
        <v>14</v>
      </c>
      <c r="AL55" s="87" t="str">
        <f t="shared" si="20"/>
        <v>Southampton</v>
      </c>
      <c r="AM55" s="1143" t="e">
        <f t="shared" si="25"/>
        <v>#N/A</v>
      </c>
      <c r="AN55" s="1144" t="e">
        <f t="shared" si="25"/>
        <v>#N/A</v>
      </c>
      <c r="AO55" s="1144" t="e">
        <f t="shared" si="25"/>
        <v>#N/A</v>
      </c>
      <c r="AP55" s="1144" t="e">
        <f t="shared" si="25"/>
        <v>#N/A</v>
      </c>
      <c r="AQ55" s="1145" t="e">
        <f t="shared" si="25"/>
        <v>#N/A</v>
      </c>
      <c r="AR55" s="1156">
        <f t="shared" si="24"/>
        <v>20.5</v>
      </c>
      <c r="AS55" s="1137" t="e">
        <f t="shared" si="26"/>
        <v>#N/A</v>
      </c>
      <c r="AT55" s="1137" t="e">
        <f t="shared" si="26"/>
        <v>#N/A</v>
      </c>
      <c r="AU55" s="1137" t="e">
        <f t="shared" si="26"/>
        <v>#N/A</v>
      </c>
      <c r="AV55" s="1137" t="e">
        <f t="shared" si="26"/>
        <v>#N/A</v>
      </c>
      <c r="AW55" s="1149" t="e">
        <f t="shared" si="26"/>
        <v>#N/A</v>
      </c>
      <c r="AX55" s="1152" t="e">
        <f t="shared" si="27"/>
        <v>#N/A</v>
      </c>
      <c r="AY55" s="1137" t="e">
        <f t="shared" si="27"/>
        <v>#N/A</v>
      </c>
      <c r="AZ55" s="1137" t="e">
        <f t="shared" si="27"/>
        <v>#N/A</v>
      </c>
      <c r="BA55" s="1137" t="e">
        <f t="shared" si="27"/>
        <v>#N/A</v>
      </c>
      <c r="BB55" s="1149" t="e">
        <f t="shared" si="27"/>
        <v>#N/A</v>
      </c>
      <c r="BC55" s="348"/>
      <c r="BD55" s="348"/>
      <c r="BE55" s="348"/>
      <c r="BF55" s="348"/>
      <c r="BG55" s="348"/>
      <c r="BH55" s="348"/>
      <c r="BI55" s="348"/>
      <c r="BJ55" s="348"/>
      <c r="BK55" s="348"/>
      <c r="BL55" s="348"/>
      <c r="BM55" s="348"/>
      <c r="BN55" s="348"/>
      <c r="BO55" s="348"/>
      <c r="BP55" s="348"/>
      <c r="BQ55" s="348"/>
    </row>
    <row r="56" spans="1:69" ht="14.25" customHeight="1" x14ac:dyDescent="0.2">
      <c r="A56" s="118"/>
      <c r="B56" s="421"/>
      <c r="C56" s="421"/>
      <c r="D56" s="58"/>
      <c r="E56" s="58"/>
      <c r="F56" s="58"/>
      <c r="G56" s="58"/>
      <c r="H56" s="58"/>
      <c r="I56" s="58"/>
      <c r="J56" s="12"/>
      <c r="K56" s="14"/>
      <c r="L56" s="14"/>
      <c r="M56" s="14"/>
      <c r="N56" s="14"/>
      <c r="O56" s="9"/>
      <c r="P56" s="9"/>
      <c r="Q56" s="9"/>
      <c r="R56" s="9"/>
      <c r="S56" s="9"/>
      <c r="T56" s="9"/>
      <c r="U56" s="9"/>
      <c r="V56" s="117"/>
      <c r="W56" s="137"/>
      <c r="X56" s="294"/>
      <c r="Y56" s="87"/>
      <c r="Z56" s="87"/>
      <c r="AA56" s="87"/>
      <c r="AB56" s="87"/>
      <c r="AJ56" s="585" t="b">
        <v>1</v>
      </c>
      <c r="AK56" s="160" t="s">
        <v>7</v>
      </c>
      <c r="AL56" s="87" t="str">
        <f t="shared" si="20"/>
        <v>Surrey</v>
      </c>
      <c r="AM56" s="1143" t="e">
        <f t="shared" si="25"/>
        <v>#N/A</v>
      </c>
      <c r="AN56" s="1144" t="e">
        <f t="shared" si="25"/>
        <v>#N/A</v>
      </c>
      <c r="AO56" s="1144" t="e">
        <f t="shared" si="25"/>
        <v>#N/A</v>
      </c>
      <c r="AP56" s="1144" t="e">
        <f t="shared" si="25"/>
        <v>#N/A</v>
      </c>
      <c r="AQ56" s="1145" t="e">
        <f t="shared" si="25"/>
        <v>#N/A</v>
      </c>
      <c r="AR56" s="1156">
        <f t="shared" si="24"/>
        <v>8.3000000000000007</v>
      </c>
      <c r="AS56" s="1137" t="e">
        <f t="shared" si="26"/>
        <v>#N/A</v>
      </c>
      <c r="AT56" s="1137" t="e">
        <f t="shared" si="26"/>
        <v>#N/A</v>
      </c>
      <c r="AU56" s="1137" t="e">
        <f t="shared" si="26"/>
        <v>#N/A</v>
      </c>
      <c r="AV56" s="1137" t="e">
        <f t="shared" si="26"/>
        <v>#N/A</v>
      </c>
      <c r="AW56" s="1149" t="e">
        <f t="shared" si="26"/>
        <v>#N/A</v>
      </c>
      <c r="AX56" s="1152" t="e">
        <f t="shared" si="27"/>
        <v>#N/A</v>
      </c>
      <c r="AY56" s="1137" t="e">
        <f t="shared" si="27"/>
        <v>#N/A</v>
      </c>
      <c r="AZ56" s="1137" t="e">
        <f t="shared" si="27"/>
        <v>#N/A</v>
      </c>
      <c r="BA56" s="1137" t="e">
        <f t="shared" si="27"/>
        <v>#N/A</v>
      </c>
      <c r="BB56" s="1149" t="e">
        <f t="shared" si="27"/>
        <v>#N/A</v>
      </c>
      <c r="BC56" s="348"/>
      <c r="BD56" s="348"/>
      <c r="BE56" s="348"/>
      <c r="BF56" s="348"/>
      <c r="BG56" s="348"/>
      <c r="BH56" s="348"/>
      <c r="BI56" s="348"/>
      <c r="BJ56" s="348"/>
      <c r="BK56" s="348"/>
      <c r="BL56" s="348"/>
      <c r="BM56" s="348"/>
      <c r="BN56" s="348"/>
      <c r="BO56" s="348"/>
      <c r="BP56" s="348"/>
      <c r="BQ56" s="348"/>
    </row>
    <row r="57" spans="1:69" ht="14.25" customHeight="1" x14ac:dyDescent="0.2">
      <c r="A57" s="278"/>
      <c r="B57" s="421"/>
      <c r="C57" s="421"/>
      <c r="D57" s="58"/>
      <c r="E57" s="58"/>
      <c r="F57" s="58"/>
      <c r="G57" s="58"/>
      <c r="H57" s="58"/>
      <c r="I57" s="58"/>
      <c r="J57" s="12"/>
      <c r="K57" s="14"/>
      <c r="L57" s="14"/>
      <c r="M57" s="14"/>
      <c r="N57" s="14"/>
      <c r="O57" s="9"/>
      <c r="P57" s="9"/>
      <c r="Q57" s="9"/>
      <c r="R57" s="9"/>
      <c r="S57" s="9"/>
      <c r="T57" s="9"/>
      <c r="U57" s="9"/>
      <c r="V57" s="117"/>
      <c r="W57" s="137"/>
      <c r="X57" s="294"/>
      <c r="Y57" s="87"/>
      <c r="Z57" s="87"/>
      <c r="AA57" s="87"/>
      <c r="AB57" s="87"/>
      <c r="AJ57" s="585" t="b">
        <v>1</v>
      </c>
      <c r="AK57" s="160" t="s">
        <v>113</v>
      </c>
      <c r="AL57" s="87" t="str">
        <f t="shared" si="20"/>
        <v>Swindon</v>
      </c>
      <c r="AM57" s="1143" t="e">
        <f t="shared" si="25"/>
        <v>#N/A</v>
      </c>
      <c r="AN57" s="1144" t="e">
        <f t="shared" si="25"/>
        <v>#N/A</v>
      </c>
      <c r="AO57" s="1144" t="e">
        <f t="shared" si="25"/>
        <v>#N/A</v>
      </c>
      <c r="AP57" s="1144" t="e">
        <f t="shared" si="25"/>
        <v>#N/A</v>
      </c>
      <c r="AQ57" s="1145" t="e">
        <f t="shared" si="25"/>
        <v>#N/A</v>
      </c>
      <c r="AR57" s="1156">
        <f t="shared" si="24"/>
        <v>14.899999999999999</v>
      </c>
      <c r="AS57" s="1137" t="e">
        <f t="shared" si="26"/>
        <v>#N/A</v>
      </c>
      <c r="AT57" s="1137" t="e">
        <f t="shared" si="26"/>
        <v>#N/A</v>
      </c>
      <c r="AU57" s="1137" t="e">
        <f t="shared" si="26"/>
        <v>#N/A</v>
      </c>
      <c r="AV57" s="1137" t="e">
        <f t="shared" si="26"/>
        <v>#N/A</v>
      </c>
      <c r="AW57" s="1149" t="e">
        <f t="shared" si="26"/>
        <v>#N/A</v>
      </c>
      <c r="AX57" s="1152" t="e">
        <f t="shared" si="27"/>
        <v>#N/A</v>
      </c>
      <c r="AY57" s="1137" t="e">
        <f t="shared" si="27"/>
        <v>#N/A</v>
      </c>
      <c r="AZ57" s="1137" t="e">
        <f t="shared" si="27"/>
        <v>#N/A</v>
      </c>
      <c r="BA57" s="1137" t="e">
        <f t="shared" si="27"/>
        <v>#N/A</v>
      </c>
      <c r="BB57" s="1149" t="e">
        <f t="shared" si="27"/>
        <v>#N/A</v>
      </c>
      <c r="BC57" s="348"/>
      <c r="BD57" s="348"/>
      <c r="BE57" s="348"/>
      <c r="BF57" s="348"/>
      <c r="BG57" s="348"/>
      <c r="BH57" s="348"/>
      <c r="BI57" s="348"/>
      <c r="BJ57" s="348"/>
      <c r="BK57" s="348"/>
      <c r="BL57" s="348"/>
      <c r="BM57" s="348"/>
      <c r="BN57" s="348"/>
      <c r="BO57" s="348"/>
      <c r="BP57" s="348"/>
      <c r="BQ57" s="348"/>
    </row>
    <row r="58" spans="1:69" ht="14.25" customHeight="1" x14ac:dyDescent="0.2">
      <c r="A58" s="278"/>
      <c r="B58" s="421"/>
      <c r="C58" s="421"/>
      <c r="D58" s="58"/>
      <c r="E58" s="58"/>
      <c r="F58" s="58"/>
      <c r="G58" s="58"/>
      <c r="H58" s="58"/>
      <c r="I58" s="58"/>
      <c r="J58" s="12"/>
      <c r="K58" s="14"/>
      <c r="L58" s="14"/>
      <c r="M58" s="14"/>
      <c r="N58" s="14"/>
      <c r="O58" s="9"/>
      <c r="P58" s="9"/>
      <c r="Q58" s="9"/>
      <c r="R58" s="9"/>
      <c r="S58" s="9"/>
      <c r="T58" s="9"/>
      <c r="U58" s="9"/>
      <c r="V58" s="117"/>
      <c r="W58" s="137"/>
      <c r="X58" s="294"/>
      <c r="Y58" s="87"/>
      <c r="Z58" s="87"/>
      <c r="AA58" s="87"/>
      <c r="AB58" s="87"/>
      <c r="AJ58" s="585" t="b">
        <v>1</v>
      </c>
      <c r="AK58" s="160" t="s">
        <v>114</v>
      </c>
      <c r="AL58" s="87" t="str">
        <f t="shared" si="20"/>
        <v>Torbay</v>
      </c>
      <c r="AM58" s="1143" t="e">
        <f t="shared" si="25"/>
        <v>#N/A</v>
      </c>
      <c r="AN58" s="1144" t="e">
        <f t="shared" si="25"/>
        <v>#N/A</v>
      </c>
      <c r="AO58" s="1144" t="e">
        <f t="shared" si="25"/>
        <v>#N/A</v>
      </c>
      <c r="AP58" s="1144" t="e">
        <f t="shared" si="25"/>
        <v>#N/A</v>
      </c>
      <c r="AQ58" s="1145" t="e">
        <f t="shared" si="25"/>
        <v>#N/A</v>
      </c>
      <c r="AR58" s="1156">
        <f t="shared" si="24"/>
        <v>21.9</v>
      </c>
      <c r="AS58" s="1137" t="e">
        <f t="shared" si="26"/>
        <v>#N/A</v>
      </c>
      <c r="AT58" s="1137" t="e">
        <f t="shared" si="26"/>
        <v>#N/A</v>
      </c>
      <c r="AU58" s="1137" t="e">
        <f t="shared" si="26"/>
        <v>#N/A</v>
      </c>
      <c r="AV58" s="1137" t="e">
        <f t="shared" si="26"/>
        <v>#N/A</v>
      </c>
      <c r="AW58" s="1149" t="e">
        <f t="shared" si="26"/>
        <v>#N/A</v>
      </c>
      <c r="AX58" s="1152" t="e">
        <f t="shared" si="27"/>
        <v>#N/A</v>
      </c>
      <c r="AY58" s="1137" t="e">
        <f t="shared" si="27"/>
        <v>#N/A</v>
      </c>
      <c r="AZ58" s="1137" t="e">
        <f t="shared" si="27"/>
        <v>#N/A</v>
      </c>
      <c r="BA58" s="1137" t="e">
        <f t="shared" si="27"/>
        <v>#N/A</v>
      </c>
      <c r="BB58" s="1149" t="e">
        <f t="shared" si="27"/>
        <v>#N/A</v>
      </c>
      <c r="BC58" s="348"/>
      <c r="BD58" s="348"/>
      <c r="BE58" s="348"/>
      <c r="BF58" s="348"/>
      <c r="BG58" s="348"/>
      <c r="BH58" s="348"/>
      <c r="BI58" s="348"/>
      <c r="BJ58" s="348"/>
      <c r="BK58" s="348"/>
      <c r="BL58" s="348"/>
      <c r="BM58" s="348"/>
      <c r="BN58" s="348"/>
      <c r="BO58" s="348"/>
      <c r="BP58" s="348"/>
      <c r="BQ58" s="348"/>
    </row>
    <row r="59" spans="1:69" ht="14.25" customHeight="1" x14ac:dyDescent="0.2">
      <c r="A59" s="118"/>
      <c r="B59" s="421"/>
      <c r="C59" s="421"/>
      <c r="D59" s="58"/>
      <c r="E59" s="58"/>
      <c r="F59" s="58"/>
      <c r="G59" s="58"/>
      <c r="H59" s="58"/>
      <c r="I59" s="58"/>
      <c r="J59" s="12"/>
      <c r="K59" s="14"/>
      <c r="L59" s="14"/>
      <c r="M59" s="14"/>
      <c r="N59" s="14"/>
      <c r="O59" s="9"/>
      <c r="P59" s="9"/>
      <c r="Q59" s="9"/>
      <c r="R59" s="9"/>
      <c r="S59" s="9"/>
      <c r="T59" s="9"/>
      <c r="U59" s="9"/>
      <c r="V59" s="117"/>
      <c r="W59" s="137"/>
      <c r="X59" s="294"/>
      <c r="Y59" s="87"/>
      <c r="Z59" s="87"/>
      <c r="AA59" s="87"/>
      <c r="AB59" s="87"/>
      <c r="AJ59" s="585" t="b">
        <v>1</v>
      </c>
      <c r="AK59" s="160" t="s">
        <v>15</v>
      </c>
      <c r="AL59" s="87" t="str">
        <f t="shared" si="20"/>
        <v>West Berkshire</v>
      </c>
      <c r="AM59" s="1143" t="e">
        <f t="shared" si="25"/>
        <v>#N/A</v>
      </c>
      <c r="AN59" s="1144" t="e">
        <f t="shared" si="25"/>
        <v>#N/A</v>
      </c>
      <c r="AO59" s="1144" t="e">
        <f t="shared" si="25"/>
        <v>#N/A</v>
      </c>
      <c r="AP59" s="1144" t="e">
        <f t="shared" si="25"/>
        <v>#N/A</v>
      </c>
      <c r="AQ59" s="1145" t="e">
        <f t="shared" si="25"/>
        <v>#N/A</v>
      </c>
      <c r="AR59" s="1156">
        <f t="shared" si="24"/>
        <v>8.6999999999999993</v>
      </c>
      <c r="AS59" s="1137" t="e">
        <f t="shared" si="26"/>
        <v>#N/A</v>
      </c>
      <c r="AT59" s="1137" t="e">
        <f t="shared" si="26"/>
        <v>#N/A</v>
      </c>
      <c r="AU59" s="1137" t="e">
        <f t="shared" si="26"/>
        <v>#N/A</v>
      </c>
      <c r="AV59" s="1137" t="e">
        <f t="shared" si="26"/>
        <v>#N/A</v>
      </c>
      <c r="AW59" s="1149" t="e">
        <f t="shared" si="26"/>
        <v>#N/A</v>
      </c>
      <c r="AX59" s="1152" t="e">
        <f t="shared" si="27"/>
        <v>#N/A</v>
      </c>
      <c r="AY59" s="1137" t="e">
        <f t="shared" si="27"/>
        <v>#N/A</v>
      </c>
      <c r="AZ59" s="1137" t="e">
        <f t="shared" si="27"/>
        <v>#N/A</v>
      </c>
      <c r="BA59" s="1137" t="e">
        <f t="shared" si="27"/>
        <v>#N/A</v>
      </c>
      <c r="BB59" s="1149" t="e">
        <f t="shared" si="27"/>
        <v>#N/A</v>
      </c>
      <c r="BC59" s="348"/>
      <c r="BD59" s="348"/>
      <c r="BE59" s="348"/>
      <c r="BF59" s="348"/>
      <c r="BG59" s="348"/>
      <c r="BH59" s="348"/>
      <c r="BI59" s="348"/>
      <c r="BJ59" s="348"/>
      <c r="BK59" s="348"/>
      <c r="BL59" s="348"/>
      <c r="BM59" s="348"/>
      <c r="BN59" s="348"/>
      <c r="BO59" s="348"/>
      <c r="BP59" s="348"/>
      <c r="BQ59" s="348"/>
    </row>
    <row r="60" spans="1:69" ht="14.25" customHeight="1" x14ac:dyDescent="0.2">
      <c r="A60" s="118"/>
      <c r="B60" s="421"/>
      <c r="C60" s="421"/>
      <c r="D60" s="58"/>
      <c r="E60" s="58"/>
      <c r="F60" s="58"/>
      <c r="G60" s="58"/>
      <c r="H60" s="58"/>
      <c r="I60" s="58"/>
      <c r="J60" s="12"/>
      <c r="K60" s="14"/>
      <c r="L60" s="14"/>
      <c r="M60" s="14"/>
      <c r="N60" s="14"/>
      <c r="O60" s="9"/>
      <c r="P60" s="9"/>
      <c r="Q60" s="9"/>
      <c r="R60" s="9"/>
      <c r="S60" s="9"/>
      <c r="T60" s="9"/>
      <c r="U60" s="9"/>
      <c r="V60" s="117"/>
      <c r="W60" s="137"/>
      <c r="X60" s="294"/>
      <c r="Y60" s="87"/>
      <c r="Z60" s="87"/>
      <c r="AA60" s="87"/>
      <c r="AB60" s="87"/>
      <c r="AJ60" s="585" t="b">
        <v>1</v>
      </c>
      <c r="AK60" s="160" t="s">
        <v>5</v>
      </c>
      <c r="AL60" s="87" t="str">
        <f t="shared" si="20"/>
        <v>West Sussex</v>
      </c>
      <c r="AM60" s="1143" t="e">
        <f t="shared" si="25"/>
        <v>#N/A</v>
      </c>
      <c r="AN60" s="1144" t="e">
        <f t="shared" si="25"/>
        <v>#N/A</v>
      </c>
      <c r="AO60" s="1144" t="e">
        <f t="shared" si="25"/>
        <v>#N/A</v>
      </c>
      <c r="AP60" s="1144" t="e">
        <f t="shared" si="25"/>
        <v>#N/A</v>
      </c>
      <c r="AQ60" s="1145" t="e">
        <f t="shared" si="25"/>
        <v>#N/A</v>
      </c>
      <c r="AR60" s="1156">
        <f t="shared" si="24"/>
        <v>11</v>
      </c>
      <c r="AS60" s="1137" t="e">
        <f t="shared" si="26"/>
        <v>#N/A</v>
      </c>
      <c r="AT60" s="1137" t="e">
        <f t="shared" si="26"/>
        <v>#N/A</v>
      </c>
      <c r="AU60" s="1137" t="e">
        <f t="shared" si="26"/>
        <v>#N/A</v>
      </c>
      <c r="AV60" s="1137" t="e">
        <f t="shared" si="26"/>
        <v>#N/A</v>
      </c>
      <c r="AW60" s="1149" t="e">
        <f t="shared" si="26"/>
        <v>#N/A</v>
      </c>
      <c r="AX60" s="1152" t="e">
        <f t="shared" si="27"/>
        <v>#N/A</v>
      </c>
      <c r="AY60" s="1137" t="e">
        <f t="shared" si="27"/>
        <v>#N/A</v>
      </c>
      <c r="AZ60" s="1137" t="e">
        <f t="shared" si="27"/>
        <v>#N/A</v>
      </c>
      <c r="BA60" s="1137" t="e">
        <f t="shared" si="27"/>
        <v>#N/A</v>
      </c>
      <c r="BB60" s="1149" t="e">
        <f t="shared" si="27"/>
        <v>#N/A</v>
      </c>
      <c r="BC60" s="348"/>
      <c r="BD60" s="348"/>
      <c r="BE60" s="348"/>
      <c r="BF60" s="348"/>
      <c r="BG60" s="348"/>
      <c r="BH60" s="348"/>
      <c r="BI60" s="348"/>
      <c r="BJ60" s="348"/>
      <c r="BK60" s="348"/>
      <c r="BL60" s="348"/>
      <c r="BM60" s="348"/>
      <c r="BN60" s="348"/>
      <c r="BO60" s="348"/>
      <c r="BP60" s="348"/>
      <c r="BQ60" s="348"/>
    </row>
    <row r="61" spans="1:69" s="81" customFormat="1" ht="14.25" customHeight="1" x14ac:dyDescent="0.2">
      <c r="A61" s="118"/>
      <c r="B61" s="421"/>
      <c r="C61" s="421"/>
      <c r="D61" s="58"/>
      <c r="E61" s="58"/>
      <c r="F61" s="58"/>
      <c r="G61" s="58"/>
      <c r="H61" s="58"/>
      <c r="I61" s="58"/>
      <c r="J61" s="12"/>
      <c r="K61" s="14"/>
      <c r="L61" s="14"/>
      <c r="M61" s="14"/>
      <c r="N61" s="14"/>
      <c r="O61" s="9"/>
      <c r="P61" s="9"/>
      <c r="Q61" s="9"/>
      <c r="R61" s="9"/>
      <c r="S61" s="9"/>
      <c r="T61" s="9"/>
      <c r="U61" s="9"/>
      <c r="V61" s="117"/>
      <c r="W61" s="137"/>
      <c r="X61" s="294"/>
      <c r="Y61" s="87"/>
      <c r="Z61" s="87"/>
      <c r="AA61" s="87"/>
      <c r="AB61" s="87"/>
      <c r="AJ61" s="585" t="b">
        <v>1</v>
      </c>
      <c r="AK61" s="160" t="s">
        <v>30</v>
      </c>
      <c r="AL61" s="87" t="str">
        <f t="shared" si="20"/>
        <v>Windsor &amp; Maidenhead</v>
      </c>
      <c r="AM61" s="1143" t="e">
        <f t="shared" si="25"/>
        <v>#N/A</v>
      </c>
      <c r="AN61" s="1144" t="e">
        <f t="shared" si="25"/>
        <v>#N/A</v>
      </c>
      <c r="AO61" s="1144" t="e">
        <f t="shared" si="25"/>
        <v>#N/A</v>
      </c>
      <c r="AP61" s="1144" t="e">
        <f t="shared" si="25"/>
        <v>#N/A</v>
      </c>
      <c r="AQ61" s="1145" t="e">
        <f t="shared" si="25"/>
        <v>#N/A</v>
      </c>
      <c r="AR61" s="1156">
        <f t="shared" si="24"/>
        <v>6.7</v>
      </c>
      <c r="AS61" s="1137" t="e">
        <f t="shared" si="26"/>
        <v>#N/A</v>
      </c>
      <c r="AT61" s="1137" t="e">
        <f t="shared" si="26"/>
        <v>#N/A</v>
      </c>
      <c r="AU61" s="1137" t="e">
        <f t="shared" si="26"/>
        <v>#N/A</v>
      </c>
      <c r="AV61" s="1137" t="e">
        <f t="shared" si="26"/>
        <v>#N/A</v>
      </c>
      <c r="AW61" s="1149" t="e">
        <f t="shared" si="26"/>
        <v>#N/A</v>
      </c>
      <c r="AX61" s="1152" t="e">
        <f t="shared" si="27"/>
        <v>#N/A</v>
      </c>
      <c r="AY61" s="1137" t="e">
        <f t="shared" si="27"/>
        <v>#N/A</v>
      </c>
      <c r="AZ61" s="1137" t="e">
        <f t="shared" si="27"/>
        <v>#N/A</v>
      </c>
      <c r="BA61" s="1137" t="e">
        <f t="shared" si="27"/>
        <v>#N/A</v>
      </c>
      <c r="BB61" s="1149" t="e">
        <f t="shared" si="27"/>
        <v>#N/A</v>
      </c>
      <c r="BC61" s="348"/>
      <c r="BD61" s="348"/>
      <c r="BE61" s="348"/>
      <c r="BF61" s="348"/>
      <c r="BG61" s="348"/>
      <c r="BH61" s="348"/>
      <c r="BI61" s="348"/>
      <c r="BJ61" s="348"/>
      <c r="BK61" s="348"/>
      <c r="BL61" s="348"/>
      <c r="BM61" s="348"/>
      <c r="BN61" s="348"/>
      <c r="BO61" s="348"/>
      <c r="BP61" s="348"/>
      <c r="BQ61" s="348"/>
    </row>
    <row r="62" spans="1:69" s="81" customFormat="1" ht="14.25" customHeight="1" x14ac:dyDescent="0.2">
      <c r="A62" s="118"/>
      <c r="B62" s="421"/>
      <c r="C62" s="421"/>
      <c r="D62" s="58"/>
      <c r="E62" s="58"/>
      <c r="F62" s="58"/>
      <c r="G62" s="58"/>
      <c r="H62" s="58"/>
      <c r="I62" s="58"/>
      <c r="J62" s="12"/>
      <c r="K62" s="14"/>
      <c r="L62" s="14"/>
      <c r="M62" s="14"/>
      <c r="N62" s="14"/>
      <c r="O62" s="9"/>
      <c r="P62" s="9"/>
      <c r="Q62" s="9"/>
      <c r="R62" s="9"/>
      <c r="S62" s="9"/>
      <c r="T62" s="9"/>
      <c r="U62" s="9"/>
      <c r="V62" s="117"/>
      <c r="W62" s="137"/>
      <c r="X62" s="294"/>
      <c r="Y62" s="87"/>
      <c r="Z62" s="87"/>
      <c r="AA62" s="87"/>
      <c r="AB62" s="87"/>
      <c r="AJ62" s="585" t="b">
        <v>1</v>
      </c>
      <c r="AK62" s="160" t="s">
        <v>16</v>
      </c>
      <c r="AL62" s="87" t="str">
        <f t="shared" si="20"/>
        <v>Wokingham</v>
      </c>
      <c r="AM62" s="1143" t="e">
        <f t="shared" si="25"/>
        <v>#N/A</v>
      </c>
      <c r="AN62" s="1144" t="e">
        <f t="shared" si="25"/>
        <v>#N/A</v>
      </c>
      <c r="AO62" s="1144" t="e">
        <f t="shared" si="25"/>
        <v>#N/A</v>
      </c>
      <c r="AP62" s="1144" t="e">
        <f t="shared" si="25"/>
        <v>#N/A</v>
      </c>
      <c r="AQ62" s="1145" t="e">
        <f t="shared" si="25"/>
        <v>#N/A</v>
      </c>
      <c r="AR62" s="1156">
        <f t="shared" si="24"/>
        <v>5.6000000000000005</v>
      </c>
      <c r="AS62" s="1137" t="e">
        <f t="shared" si="26"/>
        <v>#N/A</v>
      </c>
      <c r="AT62" s="1137" t="e">
        <f t="shared" si="26"/>
        <v>#N/A</v>
      </c>
      <c r="AU62" s="1137" t="e">
        <f t="shared" si="26"/>
        <v>#N/A</v>
      </c>
      <c r="AV62" s="1137" t="e">
        <f t="shared" si="26"/>
        <v>#N/A</v>
      </c>
      <c r="AW62" s="1149" t="e">
        <f t="shared" si="26"/>
        <v>#N/A</v>
      </c>
      <c r="AX62" s="1152" t="e">
        <f t="shared" si="27"/>
        <v>#N/A</v>
      </c>
      <c r="AY62" s="1137" t="e">
        <f t="shared" si="27"/>
        <v>#N/A</v>
      </c>
      <c r="AZ62" s="1137" t="e">
        <f t="shared" si="27"/>
        <v>#N/A</v>
      </c>
      <c r="BA62" s="1137" t="e">
        <f t="shared" si="27"/>
        <v>#N/A</v>
      </c>
      <c r="BB62" s="1149" t="e">
        <f t="shared" si="27"/>
        <v>#N/A</v>
      </c>
      <c r="BC62" s="348"/>
      <c r="BD62" s="348"/>
      <c r="BE62" s="348"/>
      <c r="BF62" s="348"/>
      <c r="BG62" s="348"/>
      <c r="BH62" s="348"/>
      <c r="BI62" s="348"/>
      <c r="BJ62" s="348"/>
      <c r="BK62" s="348"/>
      <c r="BL62" s="348"/>
      <c r="BM62" s="348"/>
      <c r="BN62" s="348"/>
      <c r="BO62" s="348"/>
      <c r="BP62" s="348"/>
      <c r="BQ62" s="348"/>
    </row>
    <row r="63" spans="1:69" s="81" customFormat="1" ht="14.25" customHeight="1" x14ac:dyDescent="0.2">
      <c r="A63" s="118"/>
      <c r="B63" s="421"/>
      <c r="C63" s="421"/>
      <c r="D63" s="58"/>
      <c r="E63" s="58"/>
      <c r="F63" s="58"/>
      <c r="G63" s="58"/>
      <c r="H63" s="58"/>
      <c r="I63" s="58"/>
      <c r="J63" s="12"/>
      <c r="K63" s="14"/>
      <c r="L63" s="14"/>
      <c r="M63" s="14"/>
      <c r="N63" s="14"/>
      <c r="O63" s="9"/>
      <c r="P63" s="9"/>
      <c r="Q63" s="9"/>
      <c r="R63" s="9"/>
      <c r="S63" s="9"/>
      <c r="T63" s="9"/>
      <c r="U63" s="9"/>
      <c r="V63" s="117"/>
      <c r="W63" s="137"/>
      <c r="X63" s="294"/>
      <c r="Y63" s="87"/>
      <c r="Z63" s="87"/>
      <c r="AA63" s="87"/>
      <c r="AB63" s="87"/>
      <c r="AJ63" s="585" t="b">
        <v>1</v>
      </c>
      <c r="AK63" s="160" t="s">
        <v>74</v>
      </c>
      <c r="AL63" s="87" t="str">
        <f t="shared" si="20"/>
        <v>South East</v>
      </c>
      <c r="AM63" s="1143" t="e">
        <f t="shared" si="25"/>
        <v>#N/A</v>
      </c>
      <c r="AN63" s="1144" t="e">
        <f t="shared" si="25"/>
        <v>#N/A</v>
      </c>
      <c r="AO63" s="1144" t="e">
        <f t="shared" si="25"/>
        <v>#N/A</v>
      </c>
      <c r="AP63" s="1144" t="e">
        <f t="shared" si="25"/>
        <v>#N/A</v>
      </c>
      <c r="AQ63" s="1145" t="e">
        <f t="shared" si="25"/>
        <v>#N/A</v>
      </c>
      <c r="AR63" s="1156" t="e">
        <f t="shared" si="24"/>
        <v>#DIV/0!</v>
      </c>
      <c r="AS63" s="1137" t="e">
        <f t="shared" si="26"/>
        <v>#N/A</v>
      </c>
      <c r="AT63" s="1137" t="e">
        <f t="shared" si="26"/>
        <v>#N/A</v>
      </c>
      <c r="AU63" s="1137" t="e">
        <f t="shared" si="26"/>
        <v>#N/A</v>
      </c>
      <c r="AV63" s="1137" t="e">
        <f t="shared" si="26"/>
        <v>#N/A</v>
      </c>
      <c r="AW63" s="1149" t="e">
        <f t="shared" si="26"/>
        <v>#N/A</v>
      </c>
      <c r="AX63" s="1152" t="e">
        <f t="shared" si="27"/>
        <v>#N/A</v>
      </c>
      <c r="AY63" s="1137" t="e">
        <f t="shared" si="27"/>
        <v>#N/A</v>
      </c>
      <c r="AZ63" s="1137" t="e">
        <f t="shared" si="27"/>
        <v>#N/A</v>
      </c>
      <c r="BA63" s="1137" t="e">
        <f t="shared" si="27"/>
        <v>#N/A</v>
      </c>
      <c r="BB63" s="1149" t="e">
        <f t="shared" si="27"/>
        <v>#N/A</v>
      </c>
      <c r="BC63" s="348"/>
      <c r="BD63" s="348"/>
      <c r="BE63" s="348"/>
      <c r="BF63" s="348"/>
      <c r="BG63" s="348"/>
      <c r="BH63" s="348"/>
      <c r="BI63" s="348"/>
      <c r="BJ63" s="348"/>
      <c r="BK63" s="348"/>
      <c r="BL63" s="348"/>
      <c r="BM63" s="348"/>
      <c r="BN63" s="348"/>
      <c r="BO63" s="348"/>
      <c r="BP63" s="348"/>
      <c r="BQ63" s="348"/>
    </row>
    <row r="64" spans="1:69" s="81" customFormat="1" ht="14.25" customHeight="1" x14ac:dyDescent="0.2">
      <c r="A64" s="118"/>
      <c r="B64" s="421"/>
      <c r="C64" s="421"/>
      <c r="D64" s="58"/>
      <c r="E64" s="58"/>
      <c r="F64" s="58"/>
      <c r="G64" s="58"/>
      <c r="H64" s="58"/>
      <c r="I64" s="58"/>
      <c r="J64" s="12"/>
      <c r="K64" s="9"/>
      <c r="L64" s="110"/>
      <c r="M64" s="1796" t="s">
        <v>72</v>
      </c>
      <c r="N64" s="1797"/>
      <c r="O64" s="1797"/>
      <c r="P64" s="1798"/>
      <c r="Q64" s="1011"/>
      <c r="R64" s="1802" t="s">
        <v>100</v>
      </c>
      <c r="S64" s="1803"/>
      <c r="T64" s="1803"/>
      <c r="U64" s="1804"/>
      <c r="V64" s="117"/>
      <c r="W64" s="137"/>
      <c r="X64" s="294"/>
      <c r="Y64" s="87"/>
      <c r="Z64" s="87"/>
      <c r="AA64" s="87"/>
      <c r="AB64" s="87"/>
      <c r="AJ64" s="585" t="b">
        <v>1</v>
      </c>
      <c r="AK64" s="160" t="s">
        <v>127</v>
      </c>
      <c r="AL64" s="87" t="str">
        <f t="shared" si="20"/>
        <v>England</v>
      </c>
      <c r="AM64" s="1143" t="e">
        <f t="shared" si="25"/>
        <v>#N/A</v>
      </c>
      <c r="AN64" s="1144" t="e">
        <f t="shared" si="25"/>
        <v>#N/A</v>
      </c>
      <c r="AO64" s="1144" t="e">
        <f t="shared" si="25"/>
        <v>#N/A</v>
      </c>
      <c r="AP64" s="1144" t="e">
        <f t="shared" si="25"/>
        <v>#N/A</v>
      </c>
      <c r="AQ64" s="1145" t="e">
        <f t="shared" si="25"/>
        <v>#N/A</v>
      </c>
      <c r="AR64" s="1156">
        <f t="shared" si="24"/>
        <v>17.084413405029373</v>
      </c>
      <c r="AS64" s="1137" t="e">
        <f t="shared" si="26"/>
        <v>#N/A</v>
      </c>
      <c r="AT64" s="1137" t="e">
        <f t="shared" si="26"/>
        <v>#N/A</v>
      </c>
      <c r="AU64" s="1137" t="e">
        <f t="shared" si="26"/>
        <v>#N/A</v>
      </c>
      <c r="AV64" s="1137" t="e">
        <f t="shared" si="26"/>
        <v>#N/A</v>
      </c>
      <c r="AW64" s="1149" t="e">
        <f t="shared" si="26"/>
        <v>#N/A</v>
      </c>
      <c r="AX64" s="1152" t="e">
        <f t="shared" si="27"/>
        <v>#N/A</v>
      </c>
      <c r="AY64" s="1137" t="e">
        <f t="shared" si="27"/>
        <v>#N/A</v>
      </c>
      <c r="AZ64" s="1137" t="e">
        <f t="shared" si="27"/>
        <v>#N/A</v>
      </c>
      <c r="BA64" s="1137" t="e">
        <f t="shared" si="27"/>
        <v>#N/A</v>
      </c>
      <c r="BB64" s="1149" t="e">
        <f t="shared" si="27"/>
        <v>#N/A</v>
      </c>
      <c r="BC64" s="348"/>
      <c r="BD64" s="348"/>
      <c r="BE64" s="348"/>
      <c r="BF64" s="348"/>
      <c r="BG64" s="348"/>
      <c r="BH64" s="348"/>
      <c r="BI64" s="348"/>
      <c r="BJ64" s="348"/>
      <c r="BK64" s="348"/>
      <c r="BL64" s="348"/>
      <c r="BM64" s="348"/>
      <c r="BN64" s="348"/>
      <c r="BO64" s="348"/>
      <c r="BP64" s="348"/>
      <c r="BQ64" s="348"/>
    </row>
    <row r="65" spans="1:69" s="81" customFormat="1" ht="14.25" customHeight="1" x14ac:dyDescent="0.2">
      <c r="A65" s="118"/>
      <c r="B65" s="421"/>
      <c r="C65" s="421"/>
      <c r="D65" s="58"/>
      <c r="E65" s="58"/>
      <c r="F65" s="58"/>
      <c r="G65" s="58"/>
      <c r="H65" s="58"/>
      <c r="I65" s="58"/>
      <c r="J65" s="12"/>
      <c r="K65" s="9"/>
      <c r="L65" s="111"/>
      <c r="M65" s="1802" t="str">
        <f>AA4</f>
        <v>Selected LA- (none)</v>
      </c>
      <c r="N65" s="1803"/>
      <c r="O65" s="1803"/>
      <c r="P65" s="1803"/>
      <c r="Q65" s="110"/>
      <c r="R65" s="1939" t="s">
        <v>187</v>
      </c>
      <c r="S65" s="1939"/>
      <c r="T65" s="1939"/>
      <c r="U65" s="1940"/>
      <c r="V65" s="117"/>
      <c r="W65" s="137"/>
      <c r="X65" s="150"/>
      <c r="Y65" s="87"/>
      <c r="Z65" s="87"/>
      <c r="AA65" s="87"/>
      <c r="AB65" s="87"/>
      <c r="AK65" s="161"/>
      <c r="AL65" s="74" t="str">
        <f>AA4</f>
        <v>Selected LA- (none)</v>
      </c>
      <c r="AM65" s="1146" t="e">
        <f>VLOOKUP($Z4,$B$10:$O$32,AM$37,FALSE)</f>
        <v>#N/A</v>
      </c>
      <c r="AN65" s="1147" t="e">
        <f>VLOOKUP($Z4,$B$10:$O$32,AN$37,FALSE)</f>
        <v>#N/A</v>
      </c>
      <c r="AO65" s="1147" t="e">
        <f>VLOOKUP($Z4,$B$10:$O$32,AO$37,FALSE)</f>
        <v>#N/A</v>
      </c>
      <c r="AP65" s="1147" t="e">
        <f>VLOOKUP($Z4,$B$10:$O$32,AP$37,FALSE)</f>
        <v>#N/A</v>
      </c>
      <c r="AQ65" s="1148" t="e">
        <f>VLOOKUP($Z4,$B$10:$O$32,AQ$37,FALSE)</f>
        <v>#N/A</v>
      </c>
      <c r="AR65" s="1157" t="e">
        <f>VLOOKUP(Z4,$B$10:$U$32,AR37,FALSE)</f>
        <v>#N/A</v>
      </c>
      <c r="AS65" s="1150" t="e">
        <f>VLOOKUP($Z$4,$B$77:$H$100,AS$37,FALSE)</f>
        <v>#N/A</v>
      </c>
      <c r="AT65" s="1150" t="e">
        <f>VLOOKUP($Z$4,$B$77:$H$100,AT$37,FALSE)</f>
        <v>#N/A</v>
      </c>
      <c r="AU65" s="1150" t="e">
        <f>VLOOKUP($Z$4,$B$77:$H$100,AU$37,FALSE)</f>
        <v>#N/A</v>
      </c>
      <c r="AV65" s="1150" t="e">
        <f>VLOOKUP($Z$4,$B$77:$H$100,AV$37,FALSE)</f>
        <v>#N/A</v>
      </c>
      <c r="AW65" s="1151" t="e">
        <f>VLOOKUP($Z$4,$B$77:$H$100,AW$37,FALSE)</f>
        <v>#N/A</v>
      </c>
      <c r="AX65" s="1153" t="e">
        <f>VLOOKUP($Z$4,$B$113:$H$136,AX$37,FALSE)</f>
        <v>#N/A</v>
      </c>
      <c r="AY65" s="1154" t="e">
        <f>VLOOKUP($Z$4,$B$113:$H$136,AY$37,FALSE)</f>
        <v>#N/A</v>
      </c>
      <c r="AZ65" s="1154" t="e">
        <f>VLOOKUP($Z$4,$B$113:$H$136,AZ$37,FALSE)</f>
        <v>#N/A</v>
      </c>
      <c r="BA65" s="1154" t="e">
        <f>VLOOKUP($Z$4,$B$113:$H$136,BA$37,FALSE)</f>
        <v>#N/A</v>
      </c>
      <c r="BB65" s="1151" t="e">
        <f>VLOOKUP($Z$4,$B$113:$H$136,BB$37,FALSE)</f>
        <v>#N/A</v>
      </c>
      <c r="BC65" s="171"/>
      <c r="BD65" s="171"/>
      <c r="BE65" s="171"/>
      <c r="BF65" s="171"/>
      <c r="BG65" s="171"/>
      <c r="BH65" s="348"/>
      <c r="BI65" s="348"/>
      <c r="BJ65" s="348"/>
      <c r="BK65" s="348"/>
      <c r="BL65" s="348"/>
      <c r="BM65" s="348"/>
      <c r="BN65" s="348"/>
      <c r="BO65" s="348"/>
      <c r="BP65" s="348"/>
      <c r="BQ65" s="348"/>
    </row>
    <row r="66" spans="1:69" s="81" customFormat="1" ht="42" customHeight="1" x14ac:dyDescent="0.2">
      <c r="A66" s="118"/>
      <c r="B66" s="421"/>
      <c r="C66" s="421"/>
      <c r="D66" s="58"/>
      <c r="E66" s="58"/>
      <c r="F66" s="58"/>
      <c r="G66" s="58"/>
      <c r="H66" s="58"/>
      <c r="I66" s="58"/>
      <c r="J66" s="12"/>
      <c r="K66" s="9"/>
      <c r="L66" s="9"/>
      <c r="M66" s="9"/>
      <c r="N66" s="9"/>
      <c r="O66" s="9"/>
      <c r="P66" s="9"/>
      <c r="Q66" s="9"/>
      <c r="R66" s="9"/>
      <c r="S66" s="9"/>
      <c r="T66" s="9"/>
      <c r="U66" s="9"/>
      <c r="V66" s="117"/>
      <c r="W66" s="137"/>
      <c r="X66" s="150"/>
      <c r="Y66" s="87"/>
      <c r="Z66" s="87"/>
      <c r="AA66" s="87"/>
      <c r="AB66" s="87"/>
      <c r="AK66" s="161"/>
    </row>
    <row r="67" spans="1:69" s="87" customFormat="1" ht="42" customHeight="1" x14ac:dyDescent="0.2">
      <c r="A67" s="121"/>
      <c r="B67" s="109"/>
      <c r="C67" s="109"/>
      <c r="D67" s="109"/>
      <c r="E67" s="109"/>
      <c r="F67" s="109"/>
      <c r="G67" s="109"/>
      <c r="H67" s="109"/>
      <c r="I67" s="109"/>
      <c r="J67" s="96"/>
      <c r="K67" s="85"/>
      <c r="L67" s="85"/>
      <c r="M67" s="85"/>
      <c r="N67" s="85"/>
      <c r="O67" s="85"/>
      <c r="P67" s="85"/>
      <c r="Q67" s="85"/>
      <c r="R67" s="85"/>
      <c r="S67" s="85"/>
      <c r="T67" s="85"/>
      <c r="U67" s="85"/>
      <c r="V67" s="122"/>
      <c r="W67" s="139"/>
      <c r="X67" s="152"/>
      <c r="AD67" s="190"/>
      <c r="AE67" s="190"/>
      <c r="AF67" s="190"/>
      <c r="AG67" s="190"/>
      <c r="AH67" s="190"/>
      <c r="AI67" s="190"/>
      <c r="AJ67" s="202"/>
      <c r="AK67" s="160"/>
    </row>
    <row r="68" spans="1:69" s="87" customFormat="1" ht="42.75" customHeight="1" x14ac:dyDescent="0.2">
      <c r="A68" s="121"/>
      <c r="B68" s="109"/>
      <c r="C68" s="109"/>
      <c r="D68" s="109"/>
      <c r="E68" s="109"/>
      <c r="F68" s="109"/>
      <c r="G68" s="109"/>
      <c r="H68" s="109"/>
      <c r="I68" s="109"/>
      <c r="J68" s="96"/>
      <c r="K68" s="85"/>
      <c r="L68" s="85"/>
      <c r="M68" s="85"/>
      <c r="N68" s="85"/>
      <c r="O68" s="85"/>
      <c r="P68" s="85"/>
      <c r="Q68" s="85"/>
      <c r="R68" s="85"/>
      <c r="S68" s="85"/>
      <c r="T68" s="85"/>
      <c r="U68" s="85"/>
      <c r="V68" s="122"/>
      <c r="W68" s="139"/>
      <c r="X68" s="152"/>
      <c r="AD68" s="190"/>
      <c r="AE68" s="190"/>
      <c r="AF68" s="190"/>
      <c r="AG68" s="190"/>
      <c r="AH68" s="190"/>
      <c r="AI68" s="190"/>
      <c r="AJ68" s="202"/>
      <c r="AK68" s="160"/>
    </row>
    <row r="69" spans="1:69" ht="7.5" customHeight="1" x14ac:dyDescent="0.2">
      <c r="A69" s="118"/>
      <c r="B69" s="17"/>
      <c r="C69" s="17"/>
      <c r="D69" s="16"/>
      <c r="E69" s="16"/>
      <c r="F69" s="16"/>
      <c r="G69" s="16"/>
      <c r="H69" s="16"/>
      <c r="I69" s="16"/>
      <c r="J69" s="12"/>
      <c r="K69" s="18"/>
      <c r="L69" s="18"/>
      <c r="M69" s="18"/>
      <c r="N69" s="18"/>
      <c r="O69" s="18"/>
      <c r="P69" s="18"/>
      <c r="Q69" s="18"/>
      <c r="R69" s="18"/>
      <c r="S69" s="18"/>
      <c r="T69" s="18"/>
      <c r="U69" s="19"/>
      <c r="V69" s="117"/>
      <c r="W69" s="137"/>
      <c r="X69" s="150"/>
      <c r="AJ69" s="184"/>
      <c r="AK69" s="157"/>
    </row>
    <row r="70" spans="1:69" ht="15" customHeight="1" x14ac:dyDescent="0.2">
      <c r="A70" s="1716"/>
      <c r="B70" s="1760"/>
      <c r="C70" s="1760"/>
      <c r="D70" s="1760"/>
      <c r="E70" s="1760"/>
      <c r="F70" s="1760"/>
      <c r="G70" s="1760"/>
      <c r="H70" s="1760"/>
      <c r="I70" s="1760"/>
      <c r="J70" s="1760"/>
      <c r="K70" s="1760"/>
      <c r="L70" s="1760"/>
      <c r="M70" s="1760"/>
      <c r="N70" s="1760"/>
      <c r="O70" s="1760"/>
      <c r="P70" s="1760"/>
      <c r="Q70" s="1760"/>
      <c r="R70" s="1760"/>
      <c r="S70" s="1760"/>
      <c r="T70" s="1760"/>
      <c r="U70" s="1760"/>
      <c r="V70" s="1761"/>
      <c r="W70" s="137"/>
      <c r="X70" s="150"/>
      <c r="Y70" s="87"/>
      <c r="Z70" s="87"/>
      <c r="AA70" s="87"/>
      <c r="AB70" s="87"/>
      <c r="AC70" s="87"/>
      <c r="AJ70" s="184"/>
      <c r="AK70" s="157"/>
    </row>
    <row r="71" spans="1:69" ht="11.25" customHeight="1" x14ac:dyDescent="0.2">
      <c r="A71" s="1765" t="str">
        <f>Home!$A$39</f>
        <v xml:space="preserve"> </v>
      </c>
      <c r="B71" s="1766"/>
      <c r="C71" s="1766"/>
      <c r="D71" s="1766"/>
      <c r="E71" s="1766"/>
      <c r="F71" s="1766"/>
      <c r="G71" s="1766"/>
      <c r="H71" s="1766"/>
      <c r="I71" s="1767"/>
      <c r="J71" s="1766"/>
      <c r="K71" s="1766"/>
      <c r="L71" s="1766"/>
      <c r="M71" s="1766"/>
      <c r="N71" s="1766"/>
      <c r="O71" s="1766"/>
      <c r="P71" s="1768"/>
      <c r="Q71" s="1766"/>
      <c r="R71" s="1766"/>
      <c r="S71" s="1766"/>
      <c r="T71" s="1767"/>
      <c r="U71" s="1766"/>
      <c r="V71" s="1769"/>
      <c r="W71" s="137"/>
      <c r="X71" s="150"/>
      <c r="AJ71" s="184"/>
      <c r="AK71" s="157"/>
    </row>
    <row r="72" spans="1:69" ht="11.25" customHeight="1" x14ac:dyDescent="0.2">
      <c r="A72" s="112"/>
      <c r="B72" s="113"/>
      <c r="C72" s="113"/>
      <c r="D72" s="113"/>
      <c r="E72" s="113"/>
      <c r="F72" s="113"/>
      <c r="G72" s="113"/>
      <c r="H72" s="113"/>
      <c r="I72" s="113"/>
      <c r="J72" s="114"/>
      <c r="K72" s="113"/>
      <c r="L72" s="113"/>
      <c r="M72" s="113"/>
      <c r="N72" s="113"/>
      <c r="O72" s="113"/>
      <c r="P72" s="113"/>
      <c r="Q72" s="113"/>
      <c r="R72" s="113"/>
      <c r="S72" s="113"/>
      <c r="T72" s="113"/>
      <c r="U72" s="113"/>
      <c r="V72" s="115"/>
      <c r="W72" s="137"/>
      <c r="X72" s="150"/>
      <c r="Y72" s="188"/>
      <c r="Z72" s="188"/>
      <c r="AJ72" s="184"/>
      <c r="AK72" s="157"/>
    </row>
    <row r="73" spans="1:69" s="76" customFormat="1" ht="15" customHeight="1" x14ac:dyDescent="0.2">
      <c r="A73" s="119"/>
      <c r="B73" s="1770" t="s">
        <v>670</v>
      </c>
      <c r="C73" s="1770"/>
      <c r="D73" s="1770"/>
      <c r="E73" s="1770"/>
      <c r="F73" s="1770"/>
      <c r="G73" s="1770"/>
      <c r="H73" s="1770"/>
      <c r="I73" s="1770"/>
      <c r="J73" s="70"/>
      <c r="K73" s="70"/>
      <c r="L73" s="70"/>
      <c r="M73" s="70"/>
      <c r="N73" s="825"/>
      <c r="O73" s="70"/>
      <c r="P73" s="70"/>
      <c r="Q73" s="70"/>
      <c r="R73" s="70"/>
      <c r="S73" s="70"/>
      <c r="T73" s="70"/>
      <c r="U73" s="70"/>
      <c r="V73" s="120"/>
      <c r="W73" s="138"/>
      <c r="X73" s="151"/>
      <c r="Y73" s="609" t="s">
        <v>670</v>
      </c>
      <c r="Z73" s="609"/>
      <c r="AA73" s="609"/>
      <c r="AB73" s="609"/>
      <c r="AC73" s="609"/>
      <c r="AD73" s="609"/>
      <c r="AE73" s="81"/>
      <c r="AF73" s="81"/>
      <c r="AG73" s="81"/>
      <c r="AH73" s="81"/>
      <c r="AI73" s="81"/>
      <c r="AJ73" s="184"/>
      <c r="AK73" s="158"/>
    </row>
    <row r="74" spans="1:69" ht="15" customHeight="1" x14ac:dyDescent="0.2">
      <c r="A74" s="118"/>
      <c r="B74" s="1770"/>
      <c r="C74" s="1770"/>
      <c r="D74" s="1770"/>
      <c r="E74" s="1770"/>
      <c r="F74" s="1770"/>
      <c r="G74" s="1770"/>
      <c r="H74" s="1770"/>
      <c r="I74" s="1770"/>
      <c r="J74" s="70"/>
      <c r="K74" s="70"/>
      <c r="L74" s="70"/>
      <c r="M74" s="70"/>
      <c r="N74" s="825"/>
      <c r="O74" s="70"/>
      <c r="P74" s="70"/>
      <c r="Q74" s="70"/>
      <c r="R74" s="10"/>
      <c r="S74" s="70"/>
      <c r="T74" s="70"/>
      <c r="U74" s="70"/>
      <c r="V74" s="117"/>
      <c r="W74" s="137"/>
      <c r="X74" s="150"/>
      <c r="Y74" s="383"/>
      <c r="Z74" s="382"/>
      <c r="AA74" s="383"/>
      <c r="AB74" s="383"/>
      <c r="AC74" s="383"/>
      <c r="AD74" s="596"/>
      <c r="AJ74" s="184"/>
      <c r="AK74" s="157"/>
    </row>
    <row r="75" spans="1:69" s="87" customFormat="1" ht="13.5" customHeight="1" x14ac:dyDescent="0.2">
      <c r="A75" s="121"/>
      <c r="B75" s="1771" t="s">
        <v>205</v>
      </c>
      <c r="C75" s="1031"/>
      <c r="D75" s="789" t="str">
        <f>Sheet1!$D$27</f>
        <v>2015-16</v>
      </c>
      <c r="E75" s="790" t="str">
        <f>Sheet1!$E$27</f>
        <v>2016-17</v>
      </c>
      <c r="F75" s="790" t="str">
        <f>Sheet1!$F$27</f>
        <v>2017-18</v>
      </c>
      <c r="G75" s="790" t="str">
        <f>Sheet1!$G$27</f>
        <v>2018-19</v>
      </c>
      <c r="H75" s="791" t="str">
        <f>Sheet1!$H$27</f>
        <v>2019-20</v>
      </c>
      <c r="I75" s="96"/>
      <c r="J75" s="96"/>
      <c r="K75" s="61"/>
      <c r="L75" s="61"/>
      <c r="M75" s="61"/>
      <c r="N75" s="61"/>
      <c r="O75" s="61"/>
      <c r="P75" s="61"/>
      <c r="Q75" s="828"/>
      <c r="R75" s="828"/>
      <c r="S75" s="159"/>
      <c r="T75" s="159"/>
      <c r="U75" s="829"/>
      <c r="V75" s="122"/>
      <c r="W75" s="139"/>
      <c r="X75" s="152"/>
      <c r="Y75" s="577"/>
      <c r="Z75" s="581" t="str">
        <f>IF(Sheet1!$C$3="Annual","",Sheet1!$D$28)</f>
        <v/>
      </c>
      <c r="AA75" s="489" t="str">
        <f>IF(Sheet1!$C$3="Annual","",Sheet1!$E$28)</f>
        <v/>
      </c>
      <c r="AB75" s="489" t="str">
        <f>IF(Sheet1!$C$3="Annual","",Sheet1!$F$28)</f>
        <v/>
      </c>
      <c r="AC75" s="489" t="str">
        <f>IF(Sheet1!$C$3="Annual","",Sheet1!$G$28)</f>
        <v/>
      </c>
      <c r="AD75" s="578" t="str">
        <f>IF(Sheet1!$C$3="Annual","",Sheet1!$H$28)</f>
        <v/>
      </c>
      <c r="AE75" s="81"/>
      <c r="AF75" s="81"/>
      <c r="AG75" s="81"/>
      <c r="AH75" s="81"/>
      <c r="AI75" s="81"/>
      <c r="AJ75" s="184"/>
      <c r="AK75" s="160"/>
    </row>
    <row r="76" spans="1:69" s="87" customFormat="1" ht="13.5" customHeight="1" x14ac:dyDescent="0.2">
      <c r="A76" s="292"/>
      <c r="B76" s="1772"/>
      <c r="C76" s="85"/>
      <c r="D76" s="792" t="e">
        <f>Sheet1!$D$28</f>
        <v>#N/A</v>
      </c>
      <c r="E76" s="792" t="e">
        <f>Sheet1!$E$28</f>
        <v>#N/A</v>
      </c>
      <c r="F76" s="792" t="e">
        <f>Sheet1!$F$28</f>
        <v>#N/A</v>
      </c>
      <c r="G76" s="792" t="e">
        <f>Sheet1!$G$28</f>
        <v>#N/A</v>
      </c>
      <c r="H76" s="793" t="e">
        <f>Sheet1!$H$28</f>
        <v>#N/A</v>
      </c>
      <c r="I76" s="96"/>
      <c r="J76" s="96"/>
      <c r="K76" s="61"/>
      <c r="L76" s="61"/>
      <c r="M76" s="61"/>
      <c r="N76" s="61"/>
      <c r="O76" s="61"/>
      <c r="P76" s="61"/>
      <c r="Q76" s="1036"/>
      <c r="R76" s="1036"/>
      <c r="S76" s="159"/>
      <c r="T76" s="159"/>
      <c r="U76" s="1037"/>
      <c r="V76" s="122"/>
      <c r="W76" s="139"/>
      <c r="X76" s="152"/>
      <c r="Y76" s="577"/>
      <c r="Z76" s="581" t="str">
        <f>Sheet1!$D$27</f>
        <v>2015-16</v>
      </c>
      <c r="AA76" s="489" t="str">
        <f>Sheet1!$E$27</f>
        <v>2016-17</v>
      </c>
      <c r="AB76" s="489" t="str">
        <f>Sheet1!$F$27</f>
        <v>2017-18</v>
      </c>
      <c r="AC76" s="489" t="str">
        <f>Sheet1!$G$27</f>
        <v>2018-19</v>
      </c>
      <c r="AD76" s="578" t="str">
        <f>Sheet1!$H$27</f>
        <v>2019-20</v>
      </c>
      <c r="AE76" s="81"/>
      <c r="AF76" s="81"/>
      <c r="AG76" s="81"/>
      <c r="AH76" s="81"/>
      <c r="AI76" s="81"/>
      <c r="AJ76" s="184"/>
      <c r="AK76" s="160"/>
    </row>
    <row r="77" spans="1:69" s="87" customFormat="1" ht="12.75" customHeight="1" x14ac:dyDescent="0.2">
      <c r="A77" s="488">
        <f>VLOOKUP(B77,Sheet1!$AQ$4:$AR$25,2,FALSE)</f>
        <v>0</v>
      </c>
      <c r="B77" s="93" t="str">
        <f t="shared" ref="B77:B100" si="28">B10</f>
        <v>Bracknell Forest</v>
      </c>
      <c r="C77" s="85"/>
      <c r="D77" s="1080" t="e">
        <f>IF(AND(ISNUMBER(D10),ISNUMBER(Z77)),Z77/Population!J45,NA())</f>
        <v>#N/A</v>
      </c>
      <c r="E77" s="1080" t="e">
        <f>IF(AND(ISNUMBER(E10),ISNUMBER(AA77)),AA77/Population!K45,NA())</f>
        <v>#N/A</v>
      </c>
      <c r="F77" s="1080" t="e">
        <f>IF(AND(ISNUMBER(F10),ISNUMBER(AB77)),AB77/Population!L45,NA())</f>
        <v>#N/A</v>
      </c>
      <c r="G77" s="1080" t="e">
        <f>IF(AND(ISNUMBER(G10),ISNUMBER(AC77)),AC77/Population!M45,NA())</f>
        <v>#N/A</v>
      </c>
      <c r="H77" s="1081" t="e">
        <f>IF(AND(ISNUMBER(H10),ISNUMBER(AD77)),AD77/Population!N45,NA())</f>
        <v>#N/A</v>
      </c>
      <c r="I77" s="96"/>
      <c r="J77" s="96"/>
      <c r="K77" s="166"/>
      <c r="L77" s="166"/>
      <c r="M77" s="166"/>
      <c r="N77" s="166"/>
      <c r="O77" s="166"/>
      <c r="P77" s="166"/>
      <c r="Q77" s="166"/>
      <c r="R77" s="167"/>
      <c r="S77" s="159"/>
      <c r="T77" s="159"/>
      <c r="U77" s="166"/>
      <c r="V77" s="122"/>
      <c r="W77" s="139"/>
      <c r="X77" s="152"/>
      <c r="Y77" s="577" t="str">
        <f t="shared" ref="Y77:Y100" si="29">B77</f>
        <v>Bracknell Forest</v>
      </c>
      <c r="Z77" s="581" t="str">
        <f>IF(Year1_Bracknell_Forest Year1_16_17_NEET="","",Year1_Bracknell_Forest Year1_16_17_NEET)</f>
        <v/>
      </c>
      <c r="AA77" s="372" t="str">
        <f>IF(Year2_Bracknell_Forest Year2_16_17_NEET="","",Year2_Bracknell_Forest Year2_16_17_NEET)</f>
        <v/>
      </c>
      <c r="AB77" s="372" t="str">
        <f>IF(Year3_Bracknell_Forest Year3_16_17_NEET="","",Year3_Bracknell_Forest Year3_16_17_NEET)</f>
        <v/>
      </c>
      <c r="AC77" s="372" t="str">
        <f>IF(Year4_Bracknell_Forest Year4_16_17_NEET="","",Year4_Bracknell_Forest Year4_16_17_NEET)</f>
        <v/>
      </c>
      <c r="AD77" s="577" t="str">
        <f>IF(Year5_Bracknell_Forest Year5_16_17_NEET="","",Year5_Bracknell_Forest Year5_16_17_NEET)</f>
        <v/>
      </c>
      <c r="AE77" s="81"/>
      <c r="AF77" s="81"/>
      <c r="AG77" s="81"/>
      <c r="AH77" s="81"/>
      <c r="AI77" s="81"/>
      <c r="AJ77" s="184"/>
      <c r="AK77" s="160"/>
    </row>
    <row r="78" spans="1:69" s="87" customFormat="1" ht="12.75" customHeight="1" x14ac:dyDescent="0.2">
      <c r="A78" s="488">
        <f>VLOOKUP(B78,Sheet1!$AQ$4:$AR$25,2,FALSE)</f>
        <v>0</v>
      </c>
      <c r="B78" s="93" t="str">
        <f t="shared" si="28"/>
        <v>Brighton &amp; Hove</v>
      </c>
      <c r="C78" s="85"/>
      <c r="D78" s="1080" t="e">
        <f>IF(AND(ISNUMBER(D11),ISNUMBER(Z78)),Z78/Population!J46,NA())</f>
        <v>#N/A</v>
      </c>
      <c r="E78" s="1080" t="e">
        <f>IF(AND(ISNUMBER(E11),ISNUMBER(AA78)),AA78/Population!K46,NA())</f>
        <v>#N/A</v>
      </c>
      <c r="F78" s="1080" t="e">
        <f>IF(AND(ISNUMBER(F11),ISNUMBER(AB78)),AB78/Population!L46,NA())</f>
        <v>#N/A</v>
      </c>
      <c r="G78" s="1080" t="e">
        <f>IF(AND(ISNUMBER(G11),ISNUMBER(AC78)),AC78/Population!M46,NA())</f>
        <v>#N/A</v>
      </c>
      <c r="H78" s="1081" t="e">
        <f>IF(AND(ISNUMBER(H11),ISNUMBER(AD78)),AD78/Population!N46,NA())</f>
        <v>#N/A</v>
      </c>
      <c r="I78" s="96"/>
      <c r="J78" s="96"/>
      <c r="K78" s="166"/>
      <c r="L78" s="166"/>
      <c r="M78" s="166"/>
      <c r="N78" s="166"/>
      <c r="O78" s="166"/>
      <c r="P78" s="166"/>
      <c r="Q78" s="166"/>
      <c r="R78" s="167"/>
      <c r="S78" s="159"/>
      <c r="T78" s="159"/>
      <c r="U78" s="166"/>
      <c r="V78" s="122"/>
      <c r="W78" s="139"/>
      <c r="X78" s="152"/>
      <c r="Y78" s="577" t="str">
        <f t="shared" si="29"/>
        <v>Brighton &amp; Hove</v>
      </c>
      <c r="Z78" s="581" t="str">
        <f>IF(Year1_Brighton_Hove Year1_16_17_NEET="","",Year1_Brighton_Hove Year1_16_17_NEET)</f>
        <v/>
      </c>
      <c r="AA78" s="372" t="str">
        <f>IF(Year2_Brighton_Hove Year2_16_17_NEET="","",Year2_Brighton_Hove Year2_16_17_NEET)</f>
        <v/>
      </c>
      <c r="AB78" s="372" t="str">
        <f>IF(Year3_Brighton_Hove Year3_16_17_NEET="","",Year3_Brighton_Hove Year3_16_17_NEET)</f>
        <v/>
      </c>
      <c r="AC78" s="372" t="str">
        <f>IF(Year4_Brighton_Hove Year4_16_17_NEET="","",Year4_Brighton_Hove Year4_16_17_NEET)</f>
        <v/>
      </c>
      <c r="AD78" s="577" t="str">
        <f>IF(Year5_Brighton_Hove Year5_16_17_NEET="","",Year5_Brighton_Hove Year5_16_17_NEET)</f>
        <v/>
      </c>
      <c r="AE78" s="81"/>
      <c r="AF78" s="81"/>
      <c r="AG78" s="81"/>
      <c r="AH78" s="81"/>
      <c r="AI78" s="81"/>
      <c r="AJ78" s="184"/>
      <c r="AK78" s="160"/>
    </row>
    <row r="79" spans="1:69" s="87" customFormat="1" ht="12.75" customHeight="1" x14ac:dyDescent="0.2">
      <c r="A79" s="488">
        <f>VLOOKUP(B79,Sheet1!$AQ$4:$AR$25,2,FALSE)</f>
        <v>0</v>
      </c>
      <c r="B79" s="93" t="str">
        <f t="shared" si="28"/>
        <v>Buckinghamshire</v>
      </c>
      <c r="C79" s="85"/>
      <c r="D79" s="1080" t="e">
        <f>IF(AND(ISNUMBER(D12),ISNUMBER(Z79)),Z79/Population!J47,NA())</f>
        <v>#N/A</v>
      </c>
      <c r="E79" s="1080" t="e">
        <f>IF(AND(ISNUMBER(E12),ISNUMBER(AA79)),AA79/Population!K47,NA())</f>
        <v>#N/A</v>
      </c>
      <c r="F79" s="1080" t="e">
        <f>IF(AND(ISNUMBER(F12),ISNUMBER(AB79)),AB79/Population!L47,NA())</f>
        <v>#N/A</v>
      </c>
      <c r="G79" s="1080" t="e">
        <f>IF(AND(ISNUMBER(G12),ISNUMBER(AC79)),AC79/Population!M47,NA())</f>
        <v>#N/A</v>
      </c>
      <c r="H79" s="1081" t="e">
        <f>IF(AND(ISNUMBER(H12),ISNUMBER(AD79)),AD79/Population!N47,NA())</f>
        <v>#N/A</v>
      </c>
      <c r="I79" s="96"/>
      <c r="J79" s="96"/>
      <c r="K79" s="166"/>
      <c r="L79" s="166"/>
      <c r="M79" s="166"/>
      <c r="N79" s="166"/>
      <c r="O79" s="166"/>
      <c r="P79" s="166"/>
      <c r="Q79" s="166"/>
      <c r="R79" s="167"/>
      <c r="S79" s="159"/>
      <c r="T79" s="159"/>
      <c r="U79" s="166"/>
      <c r="V79" s="122"/>
      <c r="W79" s="139"/>
      <c r="X79" s="152"/>
      <c r="Y79" s="577" t="str">
        <f t="shared" si="29"/>
        <v>Buckinghamshire</v>
      </c>
      <c r="Z79" s="581" t="str">
        <f>IF(Year1_Buckinghamshire Year1_16_17_NEET="","",Year1_Buckinghamshire Year1_16_17_NEET)</f>
        <v/>
      </c>
      <c r="AA79" s="372" t="str">
        <f>IF(Year2_Buckinghamshire Year2_16_17_NEET="","",Year2_Buckinghamshire Year2_16_17_NEET)</f>
        <v/>
      </c>
      <c r="AB79" s="372" t="str">
        <f>IF(Year3_Buckinghamshire Year3_16_17_NEET="","",Year3_Buckinghamshire Year3_16_17_NEET)</f>
        <v/>
      </c>
      <c r="AC79" s="372" t="str">
        <f>IF(Year4_Buckinghamshire Year4_16_17_NEET="","",Year4_Buckinghamshire Year4_16_17_NEET)</f>
        <v/>
      </c>
      <c r="AD79" s="577" t="str">
        <f>IF(Year5_Buckinghamshire Year5_16_17_NEET="","",Year5_Buckinghamshire Year5_16_17_NEET)</f>
        <v/>
      </c>
      <c r="AE79" s="81"/>
      <c r="AF79" s="81"/>
      <c r="AG79" s="81"/>
      <c r="AH79" s="81"/>
      <c r="AI79" s="81"/>
      <c r="AJ79" s="184"/>
      <c r="AK79" s="160"/>
    </row>
    <row r="80" spans="1:69" s="87" customFormat="1" ht="12.75" customHeight="1" x14ac:dyDescent="0.2">
      <c r="A80" s="488">
        <f>VLOOKUP(B80,Sheet1!$AQ$4:$AR$25,2,FALSE)</f>
        <v>0</v>
      </c>
      <c r="B80" s="93" t="str">
        <f t="shared" si="28"/>
        <v>East Sussex</v>
      </c>
      <c r="C80" s="85"/>
      <c r="D80" s="1080" t="e">
        <f>IF(AND(ISNUMBER(D13),ISNUMBER(Z80)),Z80/Population!J48,NA())</f>
        <v>#N/A</v>
      </c>
      <c r="E80" s="1080" t="e">
        <f>IF(AND(ISNUMBER(E13),ISNUMBER(AA80)),AA80/Population!K48,NA())</f>
        <v>#N/A</v>
      </c>
      <c r="F80" s="1080" t="e">
        <f>IF(AND(ISNUMBER(F13),ISNUMBER(AB80)),AB80/Population!L48,NA())</f>
        <v>#N/A</v>
      </c>
      <c r="G80" s="1080" t="e">
        <f>IF(AND(ISNUMBER(G13),ISNUMBER(AC80)),AC80/Population!M48,NA())</f>
        <v>#N/A</v>
      </c>
      <c r="H80" s="1081" t="e">
        <f>IF(AND(ISNUMBER(H13),ISNUMBER(AD80)),AD80/Population!N48,NA())</f>
        <v>#N/A</v>
      </c>
      <c r="I80" s="96"/>
      <c r="J80" s="96"/>
      <c r="K80" s="166"/>
      <c r="L80" s="166"/>
      <c r="M80" s="166"/>
      <c r="N80" s="166"/>
      <c r="O80" s="166"/>
      <c r="P80" s="166"/>
      <c r="Q80" s="166"/>
      <c r="R80" s="167"/>
      <c r="S80" s="159"/>
      <c r="T80" s="159"/>
      <c r="U80" s="166"/>
      <c r="V80" s="122"/>
      <c r="W80" s="139"/>
      <c r="X80" s="152"/>
      <c r="Y80" s="577" t="str">
        <f t="shared" si="29"/>
        <v>East Sussex</v>
      </c>
      <c r="Z80" s="581" t="str">
        <f>IF(Year1_East_Sussex Year1_16_17_NEET="","",Year1_East_Sussex Year1_16_17_NEET)</f>
        <v/>
      </c>
      <c r="AA80" s="372" t="str">
        <f>IF(Year2_East_Sussex Year2_16_17_NEET="","",Year2_East_Sussex Year2_16_17_NEET)</f>
        <v/>
      </c>
      <c r="AB80" s="372" t="str">
        <f>IF(Year3_East_Sussex Year3_16_17_NEET="","",Year3_East_Sussex Year3_16_17_NEET)</f>
        <v/>
      </c>
      <c r="AC80" s="372" t="str">
        <f>IF(Year4_East_Sussex Year4_16_17_NEET="","",Year4_East_Sussex Year4_16_17_NEET)</f>
        <v/>
      </c>
      <c r="AD80" s="577" t="str">
        <f>IF(Year5_East_Sussex Year5_16_17_NEET="","",Year5_East_Sussex Year5_16_17_NEET)</f>
        <v/>
      </c>
      <c r="AE80" s="81"/>
      <c r="AF80" s="81"/>
      <c r="AG80" s="81"/>
      <c r="AH80" s="81"/>
      <c r="AI80" s="81"/>
      <c r="AJ80" s="184"/>
      <c r="AK80" s="160"/>
    </row>
    <row r="81" spans="1:45" s="87" customFormat="1" ht="12.75" customHeight="1" x14ac:dyDescent="0.2">
      <c r="A81" s="488">
        <f>VLOOKUP(B81,Sheet1!$AQ$4:$AR$25,2,FALSE)</f>
        <v>0</v>
      </c>
      <c r="B81" s="93" t="str">
        <f t="shared" si="28"/>
        <v>Hampshire</v>
      </c>
      <c r="C81" s="85"/>
      <c r="D81" s="1080" t="e">
        <f>IF(AND(ISNUMBER(D14),ISNUMBER(Z81)),Z81/Population!J49,NA())</f>
        <v>#N/A</v>
      </c>
      <c r="E81" s="1080" t="e">
        <f>IF(AND(ISNUMBER(E14),ISNUMBER(AA81)),AA81/Population!K49,NA())</f>
        <v>#N/A</v>
      </c>
      <c r="F81" s="1080" t="e">
        <f>IF(AND(ISNUMBER(F14),ISNUMBER(AB81)),AB81/Population!L49,NA())</f>
        <v>#N/A</v>
      </c>
      <c r="G81" s="1080" t="e">
        <f>IF(AND(ISNUMBER(G14),ISNUMBER(AC81)),AC81/Population!M49,NA())</f>
        <v>#N/A</v>
      </c>
      <c r="H81" s="1081" t="e">
        <f>IF(AND(ISNUMBER(H14),ISNUMBER(AD81)),AD81/Population!N49,NA())</f>
        <v>#N/A</v>
      </c>
      <c r="I81" s="96"/>
      <c r="J81" s="96"/>
      <c r="K81" s="166"/>
      <c r="L81" s="166"/>
      <c r="M81" s="166"/>
      <c r="N81" s="166"/>
      <c r="O81" s="166"/>
      <c r="P81" s="166"/>
      <c r="Q81" s="166"/>
      <c r="R81" s="167"/>
      <c r="S81" s="159"/>
      <c r="T81" s="159"/>
      <c r="U81" s="166"/>
      <c r="V81" s="122"/>
      <c r="W81" s="139"/>
      <c r="X81" s="152"/>
      <c r="Y81" s="577" t="str">
        <f t="shared" si="29"/>
        <v>Hampshire</v>
      </c>
      <c r="Z81" s="581" t="str">
        <f>IF(Year1_Hampshire Year1_16_17_NEET="","",Year1_Hampshire Year1_16_17_NEET)</f>
        <v/>
      </c>
      <c r="AA81" s="372" t="str">
        <f>IF(Year2_Hampshire Year2_16_17_NEET="","",Year2_Hampshire Year2_16_17_NEET)</f>
        <v/>
      </c>
      <c r="AB81" s="372" t="str">
        <f>IF(Year3_Hampshire Year3_16_17_NEET="","",Year3_Hampshire Year3_16_17_NEET)</f>
        <v/>
      </c>
      <c r="AC81" s="372" t="str">
        <f>IF(Year4_Hampshire Year4_16_17_NEET="","",Year4_Hampshire Year4_16_17_NEET)</f>
        <v/>
      </c>
      <c r="AD81" s="577" t="str">
        <f>IF(Year5_Hampshire Year5_16_17_NEET="","",Year5_Hampshire Year5_16_17_NEET)</f>
        <v/>
      </c>
      <c r="AE81" s="81"/>
      <c r="AF81" s="81"/>
      <c r="AG81" s="81"/>
      <c r="AH81" s="81"/>
      <c r="AI81" s="81"/>
      <c r="AJ81" s="184"/>
      <c r="AK81" s="160"/>
    </row>
    <row r="82" spans="1:45" s="87" customFormat="1" ht="12.75" customHeight="1" x14ac:dyDescent="0.2">
      <c r="A82" s="488">
        <f>VLOOKUP(B82,Sheet1!$AQ$4:$AR$25,2,FALSE)</f>
        <v>0</v>
      </c>
      <c r="B82" s="93" t="str">
        <f t="shared" si="28"/>
        <v>Isle of Wight</v>
      </c>
      <c r="C82" s="85"/>
      <c r="D82" s="1080" t="e">
        <f>IF(AND(ISNUMBER(D15),ISNUMBER(Z82)),Z82/Population!J50,NA())</f>
        <v>#N/A</v>
      </c>
      <c r="E82" s="1080" t="e">
        <f>IF(AND(ISNUMBER(E15),ISNUMBER(AA82)),AA82/Population!K50,NA())</f>
        <v>#N/A</v>
      </c>
      <c r="F82" s="1080" t="e">
        <f>IF(AND(ISNUMBER(F15),ISNUMBER(AB82)),AB82/Population!L50,NA())</f>
        <v>#N/A</v>
      </c>
      <c r="G82" s="1080" t="e">
        <f>IF(AND(ISNUMBER(G15),ISNUMBER(AC82)),AC82/Population!M50,NA())</f>
        <v>#N/A</v>
      </c>
      <c r="H82" s="1081" t="e">
        <f>IF(AND(ISNUMBER(H15),ISNUMBER(AD82)),AD82/Population!N50,NA())</f>
        <v>#N/A</v>
      </c>
      <c r="I82" s="96"/>
      <c r="J82" s="96"/>
      <c r="K82" s="166"/>
      <c r="L82" s="166"/>
      <c r="M82" s="166"/>
      <c r="N82" s="166"/>
      <c r="O82" s="166"/>
      <c r="P82" s="166"/>
      <c r="Q82" s="166"/>
      <c r="R82" s="167"/>
      <c r="S82" s="159"/>
      <c r="T82" s="159"/>
      <c r="U82" s="166"/>
      <c r="V82" s="122"/>
      <c r="W82" s="139"/>
      <c r="X82" s="152"/>
      <c r="Y82" s="577" t="str">
        <f t="shared" si="29"/>
        <v>Isle of Wight</v>
      </c>
      <c r="Z82" s="581" t="str">
        <f>IF(Year1_Isle_of_Wight Year1_16_17_NEET="","",Year1_Isle_of_Wight Year1_16_17_NEET)</f>
        <v/>
      </c>
      <c r="AA82" s="372" t="str">
        <f>IF(Year2_Isle_of_Wight Year2_16_17_NEET="","",Year2_Isle_of_Wight Year2_16_17_NEET)</f>
        <v/>
      </c>
      <c r="AB82" s="372" t="str">
        <f>IF(Year3_Isle_of_Wight Year3_16_17_NEET="","",Year3_Isle_of_Wight Year3_16_17_NEET)</f>
        <v/>
      </c>
      <c r="AC82" s="372" t="str">
        <f>IF(Year4_Isle_of_Wight Year4_16_17_NEET="","",Year4_Isle_of_Wight Year4_16_17_NEET)</f>
        <v/>
      </c>
      <c r="AD82" s="577" t="str">
        <f>IF(Year5_Isle_of_Wight Year5_16_17_NEET="","",Year5_Isle_of_Wight Year5_16_17_NEET)</f>
        <v/>
      </c>
      <c r="AE82" s="81"/>
      <c r="AF82" s="81"/>
      <c r="AG82" s="81"/>
      <c r="AH82" s="81"/>
      <c r="AI82" s="81"/>
      <c r="AJ82" s="184"/>
      <c r="AK82" s="160"/>
      <c r="AS82" s="87" t="s">
        <v>102</v>
      </c>
    </row>
    <row r="83" spans="1:45" s="87" customFormat="1" ht="12.75" customHeight="1" x14ac:dyDescent="0.2">
      <c r="A83" s="488">
        <f>VLOOKUP(B83,Sheet1!$AQ$4:$AR$25,2,FALSE)</f>
        <v>0</v>
      </c>
      <c r="B83" s="93" t="str">
        <f t="shared" si="28"/>
        <v>Kent</v>
      </c>
      <c r="C83" s="85"/>
      <c r="D83" s="1080" t="e">
        <f>IF(AND(ISNUMBER(D16),ISNUMBER(Z83)),Z83/Population!J51,NA())</f>
        <v>#N/A</v>
      </c>
      <c r="E83" s="1080" t="e">
        <f>IF(AND(ISNUMBER(E16),ISNUMBER(AA83)),AA83/Population!K51,NA())</f>
        <v>#N/A</v>
      </c>
      <c r="F83" s="1080" t="e">
        <f>IF(AND(ISNUMBER(F16),ISNUMBER(AB83)),AB83/Population!L51,NA())</f>
        <v>#N/A</v>
      </c>
      <c r="G83" s="1080" t="e">
        <f>IF(AND(ISNUMBER(G16),ISNUMBER(AC83)),AC83/Population!M51,NA())</f>
        <v>#N/A</v>
      </c>
      <c r="H83" s="1081" t="e">
        <f>IF(AND(ISNUMBER(H16),ISNUMBER(AD83)),AD83/Population!N51,NA())</f>
        <v>#N/A</v>
      </c>
      <c r="I83" s="96"/>
      <c r="J83" s="96"/>
      <c r="K83" s="166"/>
      <c r="L83" s="166"/>
      <c r="M83" s="166"/>
      <c r="N83" s="166"/>
      <c r="O83" s="166"/>
      <c r="P83" s="166"/>
      <c r="Q83" s="166"/>
      <c r="R83" s="167"/>
      <c r="S83" s="159"/>
      <c r="T83" s="159"/>
      <c r="U83" s="166"/>
      <c r="V83" s="122"/>
      <c r="W83" s="139"/>
      <c r="X83" s="152"/>
      <c r="Y83" s="577" t="str">
        <f t="shared" si="29"/>
        <v>Kent</v>
      </c>
      <c r="Z83" s="581" t="str">
        <f>IF(Year1_Kent Year1_16_17_NEET="","",Year1_Kent Year1_16_17_NEET)</f>
        <v/>
      </c>
      <c r="AA83" s="372" t="str">
        <f>IF(Year2_Kent Year2_16_17_NEET="","",Year2_Kent Year2_16_17_NEET)</f>
        <v/>
      </c>
      <c r="AB83" s="372" t="str">
        <f>IF(Year3_Kent Year3_16_17_NEET="","",Year3_Kent Year3_16_17_NEET)</f>
        <v/>
      </c>
      <c r="AC83" s="372" t="str">
        <f>IF(Year4_Kent Year4_16_17_NEET="","",Year4_Kent Year4_16_17_NEET)</f>
        <v/>
      </c>
      <c r="AD83" s="577" t="str">
        <f>IF(Year5_Kent Year5_16_17_NEET="","",Year5_Kent Year5_16_17_NEET)</f>
        <v/>
      </c>
      <c r="AE83" s="81"/>
      <c r="AF83" s="81"/>
      <c r="AG83" s="81"/>
      <c r="AH83" s="81"/>
      <c r="AI83" s="81"/>
      <c r="AJ83" s="184"/>
      <c r="AK83" s="160"/>
    </row>
    <row r="84" spans="1:45" s="87" customFormat="1" ht="12.75" customHeight="1" x14ac:dyDescent="0.2">
      <c r="A84" s="488">
        <f>VLOOKUP(B84,Sheet1!$AQ$4:$AR$25,2,FALSE)</f>
        <v>0</v>
      </c>
      <c r="B84" s="93" t="str">
        <f t="shared" si="28"/>
        <v>Medway</v>
      </c>
      <c r="C84" s="85"/>
      <c r="D84" s="1080" t="e">
        <f>IF(AND(ISNUMBER(D17),ISNUMBER(Z84)),Z84/Population!J52,NA())</f>
        <v>#N/A</v>
      </c>
      <c r="E84" s="1080" t="e">
        <f>IF(AND(ISNUMBER(E17),ISNUMBER(AA84)),AA84/Population!K52,NA())</f>
        <v>#N/A</v>
      </c>
      <c r="F84" s="1080" t="e">
        <f>IF(AND(ISNUMBER(F17),ISNUMBER(AB84)),AB84/Population!L52,NA())</f>
        <v>#N/A</v>
      </c>
      <c r="G84" s="1080" t="e">
        <f>IF(AND(ISNUMBER(G17),ISNUMBER(AC84)),AC84/Population!M52,NA())</f>
        <v>#N/A</v>
      </c>
      <c r="H84" s="1081" t="e">
        <f>IF(AND(ISNUMBER(H17),ISNUMBER(AD84)),AD84/Population!N52,NA())</f>
        <v>#N/A</v>
      </c>
      <c r="I84" s="96"/>
      <c r="J84" s="96"/>
      <c r="K84" s="166"/>
      <c r="L84" s="166"/>
      <c r="M84" s="166"/>
      <c r="N84" s="166"/>
      <c r="O84" s="166"/>
      <c r="P84" s="166"/>
      <c r="Q84" s="166"/>
      <c r="R84" s="167"/>
      <c r="S84" s="159"/>
      <c r="T84" s="159"/>
      <c r="U84" s="166"/>
      <c r="V84" s="122"/>
      <c r="W84" s="139"/>
      <c r="X84" s="152"/>
      <c r="Y84" s="577" t="str">
        <f t="shared" si="29"/>
        <v>Medway</v>
      </c>
      <c r="Z84" s="581" t="str">
        <f>IF(Year1_Medway Year1_16_17_NEET="","",Year1_Medway Year1_16_17_NEET)</f>
        <v/>
      </c>
      <c r="AA84" s="372" t="str">
        <f>IF(Year2_Medway Year2_16_17_NEET="","",Year2_Medway Year2_16_17_NEET)</f>
        <v/>
      </c>
      <c r="AB84" s="372" t="str">
        <f>IF(Year3_Medway Year3_16_17_NEET="","",Year3_Medway Year3_16_17_NEET)</f>
        <v/>
      </c>
      <c r="AC84" s="372" t="str">
        <f>IF(Year4_Medway Year4_16_17_NEET="","",Year4_Medway Year4_16_17_NEET)</f>
        <v/>
      </c>
      <c r="AD84" s="577" t="str">
        <f>IF(Year5_Medway Year5_16_17_NEET="","",Year5_Medway Year5_16_17_NEET)</f>
        <v/>
      </c>
      <c r="AE84" s="81"/>
      <c r="AF84" s="81"/>
      <c r="AG84" s="81"/>
      <c r="AH84" s="81"/>
      <c r="AI84" s="81"/>
      <c r="AJ84" s="184"/>
      <c r="AK84" s="160"/>
    </row>
    <row r="85" spans="1:45" s="87" customFormat="1" ht="12.75" customHeight="1" x14ac:dyDescent="0.2">
      <c r="A85" s="488">
        <f>VLOOKUP(B85,Sheet1!$AQ$4:$AR$25,2,FALSE)</f>
        <v>0</v>
      </c>
      <c r="B85" s="93" t="str">
        <f t="shared" si="28"/>
        <v>Milton Keynes</v>
      </c>
      <c r="C85" s="85"/>
      <c r="D85" s="1080" t="e">
        <f>IF(AND(ISNUMBER(D18),ISNUMBER(Z85)),Z85/Population!J53,NA())</f>
        <v>#N/A</v>
      </c>
      <c r="E85" s="1080" t="e">
        <f>IF(AND(ISNUMBER(E18),ISNUMBER(AA85)),AA85/Population!K53,NA())</f>
        <v>#N/A</v>
      </c>
      <c r="F85" s="1080" t="e">
        <f>IF(AND(ISNUMBER(F18),ISNUMBER(AB85)),AB85/Population!L53,NA())</f>
        <v>#N/A</v>
      </c>
      <c r="G85" s="1080" t="e">
        <f>IF(AND(ISNUMBER(G18),ISNUMBER(AC85)),AC85/Population!M53,NA())</f>
        <v>#N/A</v>
      </c>
      <c r="H85" s="1081" t="e">
        <f>IF(AND(ISNUMBER(H18),ISNUMBER(AD85)),AD85/Population!N53,NA())</f>
        <v>#N/A</v>
      </c>
      <c r="I85" s="96"/>
      <c r="J85" s="96"/>
      <c r="K85" s="166"/>
      <c r="L85" s="166"/>
      <c r="M85" s="166"/>
      <c r="N85" s="166"/>
      <c r="O85" s="166"/>
      <c r="P85" s="166"/>
      <c r="Q85" s="166"/>
      <c r="R85" s="167"/>
      <c r="S85" s="159"/>
      <c r="T85" s="159"/>
      <c r="U85" s="166"/>
      <c r="V85" s="122"/>
      <c r="W85" s="139"/>
      <c r="X85" s="152"/>
      <c r="Y85" s="577" t="str">
        <f t="shared" si="29"/>
        <v>Milton Keynes</v>
      </c>
      <c r="Z85" s="581" t="str">
        <f>IF(Year1_Milton_Keynes Year1_16_17_NEET="","",Year1_Milton_Keynes Year1_16_17_NEET)</f>
        <v/>
      </c>
      <c r="AA85" s="372" t="str">
        <f>IF(Year2_Milton_Keynes Year2_16_17_NEET="","",Year2_Milton_Keynes Year2_16_17_NEET)</f>
        <v/>
      </c>
      <c r="AB85" s="372" t="str">
        <f>IF(Year3_Milton_Keynes Year3_16_17_NEET="","",Year3_Milton_Keynes Year3_16_17_NEET)</f>
        <v/>
      </c>
      <c r="AC85" s="372" t="str">
        <f>IF(Year4_Milton_Keynes Year4_16_17_NEET="","",Year4_Milton_Keynes Year4_16_17_NEET)</f>
        <v/>
      </c>
      <c r="AD85" s="577" t="str">
        <f>IF(Year5_Milton_Keynes Year5_16_17_NEET="","",Year5_Milton_Keynes Year5_16_17_NEET)</f>
        <v/>
      </c>
      <c r="AE85" s="81"/>
      <c r="AF85" s="81"/>
      <c r="AG85" s="81"/>
      <c r="AH85" s="81"/>
      <c r="AI85" s="81"/>
      <c r="AJ85" s="184"/>
      <c r="AK85" s="160"/>
    </row>
    <row r="86" spans="1:45" s="87" customFormat="1" ht="12.75" customHeight="1" x14ac:dyDescent="0.2">
      <c r="A86" s="488">
        <f>VLOOKUP(B86,Sheet1!$AQ$4:$AR$25,2,FALSE)</f>
        <v>0</v>
      </c>
      <c r="B86" s="93" t="str">
        <f t="shared" si="28"/>
        <v>Oxfordshire</v>
      </c>
      <c r="C86" s="85"/>
      <c r="D86" s="1080" t="e">
        <f>IF(AND(ISNUMBER(D19),ISNUMBER(Z86)),Z86/Population!J54,NA())</f>
        <v>#N/A</v>
      </c>
      <c r="E86" s="1080" t="e">
        <f>IF(AND(ISNUMBER(E19),ISNUMBER(AA86)),AA86/Population!K54,NA())</f>
        <v>#N/A</v>
      </c>
      <c r="F86" s="1080" t="e">
        <f>IF(AND(ISNUMBER(F19),ISNUMBER(AB86)),AB86/Population!L54,NA())</f>
        <v>#N/A</v>
      </c>
      <c r="G86" s="1080" t="e">
        <f>IF(AND(ISNUMBER(G19),ISNUMBER(AC86)),AC86/Population!M54,NA())</f>
        <v>#N/A</v>
      </c>
      <c r="H86" s="1081" t="e">
        <f>IF(AND(ISNUMBER(H19),ISNUMBER(AD86)),AD86/Population!N54,NA())</f>
        <v>#N/A</v>
      </c>
      <c r="I86" s="96"/>
      <c r="J86" s="96"/>
      <c r="K86" s="166"/>
      <c r="L86" s="166"/>
      <c r="M86" s="166"/>
      <c r="N86" s="166"/>
      <c r="O86" s="166"/>
      <c r="P86" s="166"/>
      <c r="Q86" s="166"/>
      <c r="R86" s="167"/>
      <c r="S86" s="159"/>
      <c r="T86" s="159"/>
      <c r="U86" s="166"/>
      <c r="V86" s="122"/>
      <c r="W86" s="139"/>
      <c r="X86" s="152"/>
      <c r="Y86" s="577" t="str">
        <f t="shared" si="29"/>
        <v>Oxfordshire</v>
      </c>
      <c r="Z86" s="581" t="str">
        <f>IF(Year1_Oxfordshire Year1_16_17_NEET="","",Year1_Oxfordshire Year1_16_17_NEET)</f>
        <v/>
      </c>
      <c r="AA86" s="372" t="str">
        <f>IF(Year2_Oxfordshire Year2_16_17_NEET="","",Year2_Oxfordshire Year2_16_17_NEET)</f>
        <v/>
      </c>
      <c r="AB86" s="372" t="str">
        <f>IF(Year3_Oxfordshire Year3_16_17_NEET="","",Year3_Oxfordshire Year3_16_17_NEET)</f>
        <v/>
      </c>
      <c r="AC86" s="372" t="str">
        <f>IF(Year4_Oxfordshire Year4_16_17_NEET="","",Year4_Oxfordshire Year4_16_17_NEET)</f>
        <v/>
      </c>
      <c r="AD86" s="577" t="str">
        <f>IF(Year5_Oxfordshire Year5_16_17_NEET="","",Year5_Oxfordshire Year5_16_17_NEET)</f>
        <v/>
      </c>
      <c r="AE86" s="81"/>
      <c r="AF86" s="81"/>
      <c r="AG86" s="81"/>
      <c r="AH86" s="81"/>
      <c r="AI86" s="81"/>
      <c r="AJ86" s="184"/>
      <c r="AK86" s="160"/>
    </row>
    <row r="87" spans="1:45" s="87" customFormat="1" ht="12.75" customHeight="1" x14ac:dyDescent="0.2">
      <c r="A87" s="488">
        <f>VLOOKUP(B87,Sheet1!$AQ$4:$AR$25,2,FALSE)</f>
        <v>0</v>
      </c>
      <c r="B87" s="93" t="str">
        <f t="shared" si="28"/>
        <v>Portsmouth</v>
      </c>
      <c r="C87" s="85"/>
      <c r="D87" s="1080" t="e">
        <f>IF(AND(ISNUMBER(D20),ISNUMBER(Z87)),Z87/Population!J55,NA())</f>
        <v>#N/A</v>
      </c>
      <c r="E87" s="1080" t="e">
        <f>IF(AND(ISNUMBER(E20),ISNUMBER(AA87)),AA87/Population!K55,NA())</f>
        <v>#N/A</v>
      </c>
      <c r="F87" s="1080" t="e">
        <f>IF(AND(ISNUMBER(F20),ISNUMBER(AB87)),AB87/Population!L55,NA())</f>
        <v>#N/A</v>
      </c>
      <c r="G87" s="1080" t="e">
        <f>IF(AND(ISNUMBER(G20),ISNUMBER(AC87)),AC87/Population!M55,NA())</f>
        <v>#N/A</v>
      </c>
      <c r="H87" s="1081" t="e">
        <f>IF(AND(ISNUMBER(H20),ISNUMBER(AD87)),AD87/Population!N55,NA())</f>
        <v>#N/A</v>
      </c>
      <c r="I87" s="96"/>
      <c r="J87" s="96"/>
      <c r="K87" s="166"/>
      <c r="L87" s="166"/>
      <c r="M87" s="166"/>
      <c r="N87" s="166"/>
      <c r="O87" s="166"/>
      <c r="P87" s="166"/>
      <c r="Q87" s="166"/>
      <c r="R87" s="167"/>
      <c r="S87" s="159"/>
      <c r="T87" s="159"/>
      <c r="U87" s="166"/>
      <c r="V87" s="122"/>
      <c r="W87" s="139"/>
      <c r="X87" s="152"/>
      <c r="Y87" s="577" t="str">
        <f t="shared" si="29"/>
        <v>Portsmouth</v>
      </c>
      <c r="Z87" s="581" t="str">
        <f>IF(Year1_Portsmouth Year1_16_17_NEET="","",Year1_Portsmouth Year1_16_17_NEET)</f>
        <v/>
      </c>
      <c r="AA87" s="372" t="str">
        <f>IF(Year2_Portsmouth Year2_16_17_NEET="","",Year2_Portsmouth Year2_16_17_NEET)</f>
        <v/>
      </c>
      <c r="AB87" s="372" t="str">
        <f>IF(Year3_Portsmouth Year3_16_17_NEET="","",Year3_Portsmouth Year3_16_17_NEET)</f>
        <v/>
      </c>
      <c r="AC87" s="372" t="str">
        <f>IF(Year4_Portsmouth Year4_16_17_NEET="","",Year4_Portsmouth Year4_16_17_NEET)</f>
        <v/>
      </c>
      <c r="AD87" s="577" t="str">
        <f>IF(Year5_Portsmouth Year5_16_17_NEET="","",Year5_Portsmouth Year5_16_17_NEET)</f>
        <v/>
      </c>
      <c r="AE87" s="81"/>
      <c r="AF87" s="81"/>
      <c r="AG87" s="81"/>
      <c r="AH87" s="81"/>
      <c r="AI87" s="81"/>
      <c r="AJ87" s="184"/>
      <c r="AK87" s="160"/>
    </row>
    <row r="88" spans="1:45" s="87" customFormat="1" ht="12.75" customHeight="1" x14ac:dyDescent="0.2">
      <c r="A88" s="488">
        <f>VLOOKUP(B88,Sheet1!$AQ$4:$AR$25,2,FALSE)</f>
        <v>0</v>
      </c>
      <c r="B88" s="93" t="str">
        <f t="shared" si="28"/>
        <v>Reading</v>
      </c>
      <c r="C88" s="85"/>
      <c r="D88" s="1080" t="e">
        <f>IF(AND(ISNUMBER(D21),ISNUMBER(Z88)),Z88/Population!J56,NA())</f>
        <v>#N/A</v>
      </c>
      <c r="E88" s="1080" t="e">
        <f>IF(AND(ISNUMBER(E21),ISNUMBER(AA88)),AA88/Population!K56,NA())</f>
        <v>#N/A</v>
      </c>
      <c r="F88" s="1080" t="e">
        <f>IF(AND(ISNUMBER(F21),ISNUMBER(AB88)),AB88/Population!L56,NA())</f>
        <v>#N/A</v>
      </c>
      <c r="G88" s="1080" t="e">
        <f>IF(AND(ISNUMBER(G21),ISNUMBER(AC88)),AC88/Population!M56,NA())</f>
        <v>#N/A</v>
      </c>
      <c r="H88" s="1081" t="e">
        <f>IF(AND(ISNUMBER(H21),ISNUMBER(AD88)),AD88/Population!N56,NA())</f>
        <v>#N/A</v>
      </c>
      <c r="I88" s="96"/>
      <c r="J88" s="96"/>
      <c r="K88" s="166"/>
      <c r="L88" s="166"/>
      <c r="M88" s="166"/>
      <c r="N88" s="166"/>
      <c r="O88" s="166"/>
      <c r="P88" s="166"/>
      <c r="Q88" s="166"/>
      <c r="R88" s="167"/>
      <c r="S88" s="159"/>
      <c r="T88" s="159"/>
      <c r="U88" s="166"/>
      <c r="V88" s="122"/>
      <c r="W88" s="139"/>
      <c r="X88" s="152"/>
      <c r="Y88" s="577" t="str">
        <f t="shared" si="29"/>
        <v>Reading</v>
      </c>
      <c r="Z88" s="581" t="str">
        <f>IF(Year1_Reading Year1_16_17_NEET="","",Year1_Reading Year1_16_17_NEET)</f>
        <v/>
      </c>
      <c r="AA88" s="372" t="str">
        <f>IF(Year2_Reading Year2_16_17_NEET="","",Year2_Reading Year2_16_17_NEET)</f>
        <v/>
      </c>
      <c r="AB88" s="372" t="str">
        <f>IF(Year3_Reading Year3_16_17_NEET="","",Year3_Reading Year3_16_17_NEET)</f>
        <v/>
      </c>
      <c r="AC88" s="372" t="str">
        <f>IF(Year4_Reading Year4_16_17_NEET="","",Year4_Reading Year4_16_17_NEET)</f>
        <v/>
      </c>
      <c r="AD88" s="577" t="str">
        <f>IF(Year5_Reading Year5_16_17_NEET="","",Year5_Reading Year5_16_17_NEET)</f>
        <v/>
      </c>
      <c r="AE88" s="81"/>
      <c r="AF88" s="81"/>
      <c r="AG88" s="81"/>
      <c r="AH88" s="81"/>
      <c r="AI88" s="81"/>
      <c r="AJ88" s="184"/>
      <c r="AK88" s="160"/>
    </row>
    <row r="89" spans="1:45" s="87" customFormat="1" ht="12.75" customHeight="1" x14ac:dyDescent="0.2">
      <c r="A89" s="488">
        <f>VLOOKUP(B89,Sheet1!$AQ$4:$AR$25,2,FALSE)</f>
        <v>0</v>
      </c>
      <c r="B89" s="93" t="str">
        <f t="shared" si="28"/>
        <v>Slough</v>
      </c>
      <c r="C89" s="85"/>
      <c r="D89" s="1080" t="e">
        <f>IF(AND(ISNUMBER(D22),ISNUMBER(Z89)),Z89/Population!J57,NA())</f>
        <v>#N/A</v>
      </c>
      <c r="E89" s="1080" t="e">
        <f>IF(AND(ISNUMBER(E22),ISNUMBER(AA89)),AA89/Population!K57,NA())</f>
        <v>#N/A</v>
      </c>
      <c r="F89" s="1080" t="e">
        <f>IF(AND(ISNUMBER(F22),ISNUMBER(AB89)),AB89/Population!L57,NA())</f>
        <v>#N/A</v>
      </c>
      <c r="G89" s="1080" t="e">
        <f>IF(AND(ISNUMBER(G22),ISNUMBER(AC89)),AC89/Population!M57,NA())</f>
        <v>#N/A</v>
      </c>
      <c r="H89" s="1081" t="e">
        <f>IF(AND(ISNUMBER(H22),ISNUMBER(AD89)),AD89/Population!N57,NA())</f>
        <v>#N/A</v>
      </c>
      <c r="I89" s="96"/>
      <c r="J89" s="96"/>
      <c r="K89" s="166"/>
      <c r="L89" s="166"/>
      <c r="M89" s="166"/>
      <c r="N89" s="166"/>
      <c r="O89" s="166"/>
      <c r="P89" s="166"/>
      <c r="Q89" s="166"/>
      <c r="R89" s="167"/>
      <c r="S89" s="159"/>
      <c r="T89" s="159"/>
      <c r="U89" s="166"/>
      <c r="V89" s="122"/>
      <c r="W89" s="139"/>
      <c r="X89" s="152"/>
      <c r="Y89" s="577" t="str">
        <f t="shared" si="29"/>
        <v>Slough</v>
      </c>
      <c r="Z89" s="581" t="str">
        <f>IF(Year1_Slough Year1_16_17_NEET="","",Year1_Slough Year1_16_17_NEET)</f>
        <v/>
      </c>
      <c r="AA89" s="372" t="str">
        <f>IF(Year2_Slough Year2_16_17_NEET="","",Year2_Slough Year2_16_17_NEET)</f>
        <v/>
      </c>
      <c r="AB89" s="372" t="str">
        <f>IF(Year3_Slough Year3_16_17_NEET="","",Year3_Slough Year3_16_17_NEET)</f>
        <v/>
      </c>
      <c r="AC89" s="372" t="str">
        <f>IF(Year4_Slough Year4_16_17_NEET="","",Year4_Slough Year4_16_17_NEET)</f>
        <v/>
      </c>
      <c r="AD89" s="577" t="str">
        <f>IF(Year5_Slough Year5_16_17_NEET="","",Year5_Slough Year5_16_17_NEET)</f>
        <v/>
      </c>
      <c r="AE89" s="81"/>
      <c r="AF89" s="81"/>
      <c r="AG89" s="81"/>
      <c r="AH89" s="81"/>
      <c r="AI89" s="81"/>
      <c r="AJ89" s="184"/>
      <c r="AK89" s="160"/>
    </row>
    <row r="90" spans="1:45" s="87" customFormat="1" ht="12.75" customHeight="1" x14ac:dyDescent="0.2">
      <c r="A90" s="488">
        <f>VLOOKUP(B90,Sheet1!$AQ$4:$AR$25,2,FALSE)</f>
        <v>0</v>
      </c>
      <c r="B90" s="93" t="str">
        <f t="shared" si="28"/>
        <v>Somerset</v>
      </c>
      <c r="C90" s="85"/>
      <c r="D90" s="1080" t="e">
        <f>IF(AND(ISNUMBER(D23),ISNUMBER(Z90)),Z90/Population!J58,NA())</f>
        <v>#N/A</v>
      </c>
      <c r="E90" s="1080" t="e">
        <f>IF(AND(ISNUMBER(E23),ISNUMBER(AA90)),AA90/Population!K58,NA())</f>
        <v>#N/A</v>
      </c>
      <c r="F90" s="1080" t="e">
        <f>IF(AND(ISNUMBER(F23),ISNUMBER(AB90)),AB90/Population!L58,NA())</f>
        <v>#N/A</v>
      </c>
      <c r="G90" s="1080" t="e">
        <f>IF(AND(ISNUMBER(G23),ISNUMBER(AC90)),AC90/Population!M58,NA())</f>
        <v>#N/A</v>
      </c>
      <c r="H90" s="1081" t="e">
        <f>IF(AND(ISNUMBER(H23),ISNUMBER(AD90)),AD90/Population!N58,NA())</f>
        <v>#N/A</v>
      </c>
      <c r="I90" s="96"/>
      <c r="J90" s="96"/>
      <c r="K90" s="166"/>
      <c r="L90" s="166"/>
      <c r="M90" s="166"/>
      <c r="N90" s="166"/>
      <c r="O90" s="166"/>
      <c r="P90" s="166"/>
      <c r="Q90" s="166"/>
      <c r="R90" s="167"/>
      <c r="S90" s="159"/>
      <c r="T90" s="159"/>
      <c r="U90" s="166"/>
      <c r="V90" s="122"/>
      <c r="W90" s="139"/>
      <c r="X90" s="152"/>
      <c r="Y90" s="577" t="str">
        <f t="shared" si="29"/>
        <v>Somerset</v>
      </c>
      <c r="Z90" s="581" t="str">
        <f>IF(Year1_Somerset Year1_16_17_NEET="","",Year1_Somerset Year1_16_17_NEET)</f>
        <v/>
      </c>
      <c r="AA90" s="372" t="str">
        <f>IF(Year2_Somerset Year2_16_17_NEET="","",Year2_Somerset Year2_16_17_NEET)</f>
        <v/>
      </c>
      <c r="AB90" s="372" t="str">
        <f>IF(Year3_Somerset Year3_16_17_NEET="","",Year3_Somerset Year3_16_17_NEET)</f>
        <v/>
      </c>
      <c r="AC90" s="372" t="str">
        <f>IF(Year4_Somerset Year4_16_17_NEET="","",Year4_Somerset Year4_16_17_NEET)</f>
        <v/>
      </c>
      <c r="AD90" s="577" t="str">
        <f>IF(Year5_Somerset Year5_16_17_NEET="","",Year5_Somerset Year5_16_17_NEET)</f>
        <v/>
      </c>
      <c r="AE90" s="81"/>
      <c r="AF90" s="81"/>
      <c r="AG90" s="81"/>
      <c r="AH90" s="81"/>
      <c r="AI90" s="81"/>
      <c r="AJ90" s="184"/>
      <c r="AK90" s="160"/>
    </row>
    <row r="91" spans="1:45" s="87" customFormat="1" ht="12.75" customHeight="1" x14ac:dyDescent="0.2">
      <c r="A91" s="488">
        <f>VLOOKUP(B91,Sheet1!$AQ$4:$AR$25,2,FALSE)</f>
        <v>0</v>
      </c>
      <c r="B91" s="93" t="str">
        <f t="shared" si="28"/>
        <v>Southampton</v>
      </c>
      <c r="C91" s="85"/>
      <c r="D91" s="1080" t="e">
        <f>IF(AND(ISNUMBER(D24),ISNUMBER(Z91)),Z91/Population!J59,NA())</f>
        <v>#N/A</v>
      </c>
      <c r="E91" s="1080" t="e">
        <f>IF(AND(ISNUMBER(E24),ISNUMBER(AA91)),AA91/Population!K59,NA())</f>
        <v>#N/A</v>
      </c>
      <c r="F91" s="1080" t="e">
        <f>IF(AND(ISNUMBER(F24),ISNUMBER(AB91)),AB91/Population!L59,NA())</f>
        <v>#N/A</v>
      </c>
      <c r="G91" s="1080" t="e">
        <f>IF(AND(ISNUMBER(G24),ISNUMBER(AC91)),AC91/Population!M59,NA())</f>
        <v>#N/A</v>
      </c>
      <c r="H91" s="1081" t="e">
        <f>IF(AND(ISNUMBER(H24),ISNUMBER(AD91)),AD91/Population!N59,NA())</f>
        <v>#N/A</v>
      </c>
      <c r="I91" s="96"/>
      <c r="J91" s="96"/>
      <c r="K91" s="166"/>
      <c r="L91" s="166"/>
      <c r="M91" s="166"/>
      <c r="N91" s="166"/>
      <c r="O91" s="166"/>
      <c r="P91" s="166"/>
      <c r="Q91" s="166"/>
      <c r="R91" s="167"/>
      <c r="S91" s="159"/>
      <c r="T91" s="159"/>
      <c r="U91" s="166"/>
      <c r="V91" s="122"/>
      <c r="W91" s="139"/>
      <c r="X91" s="152"/>
      <c r="Y91" s="577" t="str">
        <f t="shared" si="29"/>
        <v>Southampton</v>
      </c>
      <c r="Z91" s="581" t="str">
        <f>IF(Year1_Southampton Year1_16_17_NEET="","",Year1_Southampton Year1_16_17_NEET)</f>
        <v/>
      </c>
      <c r="AA91" s="372" t="str">
        <f>IF(Year2_Southampton Year2_16_17_NEET="","",Year2_Southampton Year2_16_17_NEET)</f>
        <v/>
      </c>
      <c r="AB91" s="372" t="str">
        <f>IF(Year3_Southampton Year3_16_17_NEET="","",Year3_Southampton Year3_16_17_NEET)</f>
        <v/>
      </c>
      <c r="AC91" s="372" t="str">
        <f>IF(Year4_Southampton Year4_16_17_NEET="","",Year4_Southampton Year4_16_17_NEET)</f>
        <v/>
      </c>
      <c r="AD91" s="577" t="str">
        <f>IF(Year5_Southampton Year5_16_17_NEET="","",Year5_Southampton Year5_16_17_NEET)</f>
        <v/>
      </c>
      <c r="AE91" s="81"/>
      <c r="AF91" s="81"/>
      <c r="AG91" s="81"/>
      <c r="AH91" s="81"/>
      <c r="AI91" s="81"/>
      <c r="AJ91" s="184"/>
      <c r="AK91" s="160"/>
    </row>
    <row r="92" spans="1:45" s="87" customFormat="1" ht="12.75" customHeight="1" x14ac:dyDescent="0.2">
      <c r="A92" s="488">
        <f>VLOOKUP(B92,Sheet1!$AQ$4:$AR$25,2,FALSE)</f>
        <v>0</v>
      </c>
      <c r="B92" s="93" t="str">
        <f t="shared" si="28"/>
        <v>Surrey</v>
      </c>
      <c r="C92" s="85"/>
      <c r="D92" s="1080" t="e">
        <f>IF(AND(ISNUMBER(D25),ISNUMBER(Z92)),Z92/Population!J60,NA())</f>
        <v>#N/A</v>
      </c>
      <c r="E92" s="1080" t="e">
        <f>IF(AND(ISNUMBER(E25),ISNUMBER(AA92)),AA92/Population!K60,NA())</f>
        <v>#N/A</v>
      </c>
      <c r="F92" s="1080" t="e">
        <f>IF(AND(ISNUMBER(F25),ISNUMBER(AB92)),AB92/Population!L60,NA())</f>
        <v>#N/A</v>
      </c>
      <c r="G92" s="1080" t="e">
        <f>IF(AND(ISNUMBER(G25),ISNUMBER(AC92)),AC92/Population!M60,NA())</f>
        <v>#N/A</v>
      </c>
      <c r="H92" s="1081" t="e">
        <f>IF(AND(ISNUMBER(H25),ISNUMBER(AD92)),AD92/Population!N60,NA())</f>
        <v>#N/A</v>
      </c>
      <c r="I92" s="96"/>
      <c r="J92" s="96"/>
      <c r="K92" s="166"/>
      <c r="L92" s="166"/>
      <c r="M92" s="166"/>
      <c r="N92" s="166"/>
      <c r="O92" s="166"/>
      <c r="P92" s="166"/>
      <c r="Q92" s="166"/>
      <c r="R92" s="167"/>
      <c r="S92" s="159"/>
      <c r="T92" s="159"/>
      <c r="U92" s="166"/>
      <c r="V92" s="122"/>
      <c r="W92" s="139"/>
      <c r="X92" s="152"/>
      <c r="Y92" s="577" t="str">
        <f t="shared" si="29"/>
        <v>Surrey</v>
      </c>
      <c r="Z92" s="581" t="str">
        <f>IF(Year1_Surrey Year1_16_17_NEET="","",Year1_Surrey Year1_16_17_NEET)</f>
        <v/>
      </c>
      <c r="AA92" s="372" t="str">
        <f>IF(Year2_Surrey Year2_16_17_NEET="","",Year2_Surrey Year2_16_17_NEET)</f>
        <v/>
      </c>
      <c r="AB92" s="372" t="str">
        <f>IF(Year3_Surrey Year3_16_17_NEET="","",Year3_Surrey Year3_16_17_NEET)</f>
        <v/>
      </c>
      <c r="AC92" s="372" t="str">
        <f>IF(Year4_Surrey Year4_16_17_NEET="","",Year4_Surrey Year4_16_17_NEET)</f>
        <v/>
      </c>
      <c r="AD92" s="577" t="str">
        <f>IF(Year5_Surrey Year5_16_17_NEET="","",Year5_Surrey Year5_16_17_NEET)</f>
        <v/>
      </c>
      <c r="AE92" s="81"/>
      <c r="AF92" s="81"/>
      <c r="AG92" s="81"/>
      <c r="AH92" s="81"/>
      <c r="AI92" s="81"/>
      <c r="AJ92" s="184"/>
      <c r="AK92" s="160"/>
    </row>
    <row r="93" spans="1:45" s="87" customFormat="1" ht="12.75" customHeight="1" x14ac:dyDescent="0.2">
      <c r="A93" s="488">
        <f>VLOOKUP(B93,Sheet1!$AQ$4:$AR$25,2,FALSE)</f>
        <v>0</v>
      </c>
      <c r="B93" s="93" t="str">
        <f t="shared" si="28"/>
        <v>Swindon</v>
      </c>
      <c r="C93" s="85"/>
      <c r="D93" s="1080" t="e">
        <f>IF(AND(ISNUMBER(D26),ISNUMBER(Z93)),Z93/Population!J61,NA())</f>
        <v>#N/A</v>
      </c>
      <c r="E93" s="1080" t="e">
        <f>IF(AND(ISNUMBER(E26),ISNUMBER(AA93)),AA93/Population!K61,NA())</f>
        <v>#N/A</v>
      </c>
      <c r="F93" s="1080" t="e">
        <f>IF(AND(ISNUMBER(F26),ISNUMBER(AB93)),AB93/Population!L61,NA())</f>
        <v>#N/A</v>
      </c>
      <c r="G93" s="1080" t="e">
        <f>IF(AND(ISNUMBER(G26),ISNUMBER(AC93)),AC93/Population!M61,NA())</f>
        <v>#N/A</v>
      </c>
      <c r="H93" s="1081" t="e">
        <f>IF(AND(ISNUMBER(H26),ISNUMBER(AD93)),AD93/Population!N61,NA())</f>
        <v>#N/A</v>
      </c>
      <c r="I93" s="96"/>
      <c r="J93" s="96"/>
      <c r="K93" s="166"/>
      <c r="L93" s="166"/>
      <c r="M93" s="166"/>
      <c r="N93" s="166"/>
      <c r="O93" s="166"/>
      <c r="P93" s="166"/>
      <c r="Q93" s="166"/>
      <c r="R93" s="167"/>
      <c r="S93" s="159"/>
      <c r="T93" s="159"/>
      <c r="U93" s="166"/>
      <c r="V93" s="122"/>
      <c r="W93" s="139"/>
      <c r="X93" s="152"/>
      <c r="Y93" s="577" t="str">
        <f t="shared" si="29"/>
        <v>Swindon</v>
      </c>
      <c r="Z93" s="581" t="str">
        <f>IF(Year1_Swindon Year1_16_17_NEET="","",Year1_Swindon Year1_16_17_NEET)</f>
        <v/>
      </c>
      <c r="AA93" s="372" t="str">
        <f>IF(Year2_Swindon Year2_16_17_NEET="","",Year2_Swindon Year2_16_17_NEET)</f>
        <v/>
      </c>
      <c r="AB93" s="372" t="str">
        <f>IF(Year3_Swindon Year3_16_17_NEET="","",Year3_Swindon Year3_16_17_NEET)</f>
        <v/>
      </c>
      <c r="AC93" s="580" t="str">
        <f>IF(Year4_Swindon Year4_16_17_NEET="","",Year4_Swindon Year4_16_17_NEET)</f>
        <v/>
      </c>
      <c r="AD93" s="604" t="str">
        <f>IF(Year5_Swindon Year5_16_17_NEET="","",Year5_Swindon Year5_16_17_NEET)</f>
        <v/>
      </c>
      <c r="AE93" s="81"/>
      <c r="AF93" s="81"/>
      <c r="AG93" s="81"/>
      <c r="AH93" s="81"/>
      <c r="AI93" s="81"/>
      <c r="AJ93" s="184"/>
      <c r="AK93" s="160"/>
    </row>
    <row r="94" spans="1:45" s="87" customFormat="1" ht="12.75" customHeight="1" x14ac:dyDescent="0.2">
      <c r="A94" s="488">
        <f>VLOOKUP(B94,Sheet1!$AQ$4:$AR$25,2,FALSE)</f>
        <v>0</v>
      </c>
      <c r="B94" s="93" t="str">
        <f t="shared" si="28"/>
        <v>Torbay</v>
      </c>
      <c r="C94" s="85"/>
      <c r="D94" s="1080" t="e">
        <f>IF(AND(ISNUMBER(D27),ISNUMBER(Z94)),Z94/Population!J62,NA())</f>
        <v>#N/A</v>
      </c>
      <c r="E94" s="1080" t="e">
        <f>IF(AND(ISNUMBER(E27),ISNUMBER(AA94)),AA94/Population!K62,NA())</f>
        <v>#N/A</v>
      </c>
      <c r="F94" s="1080" t="e">
        <f>IF(AND(ISNUMBER(F27),ISNUMBER(AB94)),AB94/Population!L62,NA())</f>
        <v>#N/A</v>
      </c>
      <c r="G94" s="1080" t="e">
        <f>IF(AND(ISNUMBER(G27),ISNUMBER(AC94)),AC94/Population!M62,NA())</f>
        <v>#N/A</v>
      </c>
      <c r="H94" s="1081" t="e">
        <f>IF(AND(ISNUMBER(H27),ISNUMBER(AD94)),AD94/Population!N62,NA())</f>
        <v>#N/A</v>
      </c>
      <c r="I94" s="96"/>
      <c r="J94" s="96"/>
      <c r="K94" s="166"/>
      <c r="L94" s="166"/>
      <c r="M94" s="166"/>
      <c r="N94" s="166"/>
      <c r="O94" s="166"/>
      <c r="P94" s="166"/>
      <c r="Q94" s="166"/>
      <c r="R94" s="167"/>
      <c r="S94" s="159"/>
      <c r="T94" s="159"/>
      <c r="U94" s="166"/>
      <c r="V94" s="122"/>
      <c r="W94" s="139"/>
      <c r="X94" s="152"/>
      <c r="Y94" s="577" t="str">
        <f t="shared" si="29"/>
        <v>Torbay</v>
      </c>
      <c r="Z94" s="581" t="str">
        <f>IF(Year1_Torbay Year1_16_17_NEET="","",Year1_Torbay Year1_16_17_NEET)</f>
        <v/>
      </c>
      <c r="AA94" s="372" t="str">
        <f>IF(Year2_Torbay Year2_16_17_NEET="","",Year2_Torbay Year2_16_17_NEET)</f>
        <v/>
      </c>
      <c r="AB94" s="372" t="str">
        <f>IF(Year3_Torbay Year3_16_17_NEET="","",Year3_Torbay Year3_16_17_NEET)</f>
        <v/>
      </c>
      <c r="AC94" s="580" t="str">
        <f>IF(Year4_Torbay Year4_16_17_NEET="","",Year4_Torbay Year4_16_17_NEET)</f>
        <v/>
      </c>
      <c r="AD94" s="604" t="str">
        <f>IF(Year5_Torbay Year5_16_17_NEET="","",Year5_Torbay Year5_16_17_NEET)</f>
        <v/>
      </c>
      <c r="AE94" s="81"/>
      <c r="AF94" s="81"/>
      <c r="AG94" s="81"/>
      <c r="AH94" s="81"/>
      <c r="AI94" s="81"/>
      <c r="AJ94" s="184"/>
      <c r="AK94" s="160"/>
    </row>
    <row r="95" spans="1:45" s="87" customFormat="1" ht="12.75" customHeight="1" x14ac:dyDescent="0.2">
      <c r="A95" s="488">
        <f>VLOOKUP(B95,Sheet1!$AQ$4:$AR$25,2,FALSE)</f>
        <v>0</v>
      </c>
      <c r="B95" s="93" t="str">
        <f t="shared" si="28"/>
        <v>West Berkshire</v>
      </c>
      <c r="C95" s="85"/>
      <c r="D95" s="1080" t="e">
        <f>IF(AND(ISNUMBER(D28),ISNUMBER(Z95)),Z95/Population!J63,NA())</f>
        <v>#N/A</v>
      </c>
      <c r="E95" s="1080" t="e">
        <f>IF(AND(ISNUMBER(E28),ISNUMBER(AA95)),AA95/Population!K63,NA())</f>
        <v>#N/A</v>
      </c>
      <c r="F95" s="1080" t="e">
        <f>IF(AND(ISNUMBER(F28),ISNUMBER(AB95)),AB95/Population!L63,NA())</f>
        <v>#N/A</v>
      </c>
      <c r="G95" s="1080" t="e">
        <f>IF(AND(ISNUMBER(G28),ISNUMBER(AC95)),AC95/Population!M63,NA())</f>
        <v>#N/A</v>
      </c>
      <c r="H95" s="1081" t="e">
        <f>IF(AND(ISNUMBER(H28),ISNUMBER(AD95)),AD95/Population!N63,NA())</f>
        <v>#N/A</v>
      </c>
      <c r="I95" s="96"/>
      <c r="J95" s="96"/>
      <c r="K95" s="166"/>
      <c r="L95" s="166"/>
      <c r="M95" s="166"/>
      <c r="N95" s="166"/>
      <c r="O95" s="166"/>
      <c r="P95" s="166"/>
      <c r="Q95" s="166"/>
      <c r="R95" s="167"/>
      <c r="S95" s="159"/>
      <c r="T95" s="159"/>
      <c r="U95" s="166"/>
      <c r="V95" s="122"/>
      <c r="W95" s="139"/>
      <c r="X95" s="152"/>
      <c r="Y95" s="577" t="str">
        <f t="shared" si="29"/>
        <v>West Berkshire</v>
      </c>
      <c r="Z95" s="581" t="str">
        <f>IF(Year1_West_Berkshire Year1_16_17_NEET="","",Year1_West_Berkshire Year1_16_17_NEET)</f>
        <v/>
      </c>
      <c r="AA95" s="372" t="str">
        <f>IF(Year2_West_Berkshire Year2_16_17_NEET="","",Year2_West_Berkshire Year2_16_17_NEET)</f>
        <v/>
      </c>
      <c r="AB95" s="372" t="str">
        <f>IF(Year3_West_Berkshire Year3_16_17_NEET="","",Year3_West_Berkshire Year3_16_17_NEET)</f>
        <v/>
      </c>
      <c r="AC95" s="372" t="str">
        <f>IF(Year4_West_Berkshire Year4_16_17_NEET="","",Year4_West_Berkshire Year4_16_17_NEET)</f>
        <v/>
      </c>
      <c r="AD95" s="577" t="str">
        <f>IF(Year5_West_Berkshire Year5_16_17_NEET="","",Year5_West_Berkshire Year5_16_17_NEET)</f>
        <v/>
      </c>
      <c r="AE95" s="81"/>
      <c r="AF95" s="81"/>
      <c r="AG95" s="81"/>
      <c r="AH95" s="81"/>
      <c r="AI95" s="81"/>
      <c r="AJ95" s="184"/>
      <c r="AK95" s="160"/>
    </row>
    <row r="96" spans="1:45" s="87" customFormat="1" ht="12.75" customHeight="1" x14ac:dyDescent="0.2">
      <c r="A96" s="488">
        <f>VLOOKUP(B96,Sheet1!$AQ$4:$AR$25,2,FALSE)</f>
        <v>0</v>
      </c>
      <c r="B96" s="93" t="str">
        <f t="shared" si="28"/>
        <v>West Sussex</v>
      </c>
      <c r="C96" s="85"/>
      <c r="D96" s="1080" t="e">
        <f>IF(AND(ISNUMBER(D29),ISNUMBER(Z96)),Z96/Population!J64,NA())</f>
        <v>#N/A</v>
      </c>
      <c r="E96" s="1080" t="e">
        <f>IF(AND(ISNUMBER(E29),ISNUMBER(AA96)),AA96/Population!K64,NA())</f>
        <v>#N/A</v>
      </c>
      <c r="F96" s="1080" t="e">
        <f>IF(AND(ISNUMBER(F29),ISNUMBER(AB96)),AB96/Population!L64,NA())</f>
        <v>#N/A</v>
      </c>
      <c r="G96" s="1080" t="e">
        <f>IF(AND(ISNUMBER(G29),ISNUMBER(AC96)),AC96/Population!M64,NA())</f>
        <v>#N/A</v>
      </c>
      <c r="H96" s="1081" t="e">
        <f>IF(AND(ISNUMBER(H29),ISNUMBER(AD96)),AD96/Population!N64,NA())</f>
        <v>#N/A</v>
      </c>
      <c r="I96" s="96"/>
      <c r="J96" s="96"/>
      <c r="K96" s="166"/>
      <c r="L96" s="166"/>
      <c r="M96" s="166"/>
      <c r="N96" s="166"/>
      <c r="O96" s="166"/>
      <c r="P96" s="166"/>
      <c r="Q96" s="166"/>
      <c r="R96" s="167"/>
      <c r="S96" s="159"/>
      <c r="T96" s="159"/>
      <c r="U96" s="166"/>
      <c r="V96" s="122"/>
      <c r="W96" s="139"/>
      <c r="X96" s="152"/>
      <c r="Y96" s="577" t="str">
        <f t="shared" si="29"/>
        <v>West Sussex</v>
      </c>
      <c r="Z96" s="581" t="str">
        <f>IF(Year1_West_Sussex Year1_16_17_NEET="","",Year1_West_Sussex Year1_16_17_NEET)</f>
        <v/>
      </c>
      <c r="AA96" s="372" t="str">
        <f>IF(Year2_West_Sussex Year2_16_17_NEET="","",Year2_West_Sussex Year2_16_17_NEET)</f>
        <v/>
      </c>
      <c r="AB96" s="372" t="str">
        <f>IF(Year3_West_Sussex Year3_16_17_NEET="","",Year3_West_Sussex Year3_16_17_NEET)</f>
        <v/>
      </c>
      <c r="AC96" s="372" t="str">
        <f>IF(Year4_West_Sussex Year4_16_17_NEET="","",Year4_West_Sussex Year4_16_17_NEET)</f>
        <v/>
      </c>
      <c r="AD96" s="577" t="str">
        <f>IF(Year5_West_Sussex Year5_16_17_NEET="","",Year5_West_Sussex Year5_16_17_NEET)</f>
        <v/>
      </c>
      <c r="AE96" s="81"/>
      <c r="AF96" s="81"/>
      <c r="AG96" s="81"/>
      <c r="AH96" s="81"/>
      <c r="AI96" s="81"/>
      <c r="AJ96" s="184"/>
      <c r="AK96" s="160"/>
    </row>
    <row r="97" spans="1:46" s="87" customFormat="1" ht="12.75" customHeight="1" x14ac:dyDescent="0.2">
      <c r="A97" s="488">
        <f>VLOOKUP(B97,Sheet1!$AQ$4:$AR$25,2,FALSE)</f>
        <v>0</v>
      </c>
      <c r="B97" s="93" t="str">
        <f t="shared" si="28"/>
        <v>Windsor &amp; Maidenhead</v>
      </c>
      <c r="C97" s="85"/>
      <c r="D97" s="1080" t="e">
        <f>IF(AND(ISNUMBER(D30),ISNUMBER(Z97)),Z97/Population!J65,NA())</f>
        <v>#N/A</v>
      </c>
      <c r="E97" s="1080" t="e">
        <f>IF(AND(ISNUMBER(E30),ISNUMBER(AA97)),AA97/Population!K65,NA())</f>
        <v>#N/A</v>
      </c>
      <c r="F97" s="1080" t="e">
        <f>IF(AND(ISNUMBER(F30),ISNUMBER(AB97)),AB97/Population!L65,NA())</f>
        <v>#N/A</v>
      </c>
      <c r="G97" s="1080" t="e">
        <f>IF(AND(ISNUMBER(G30),ISNUMBER(AC97)),AC97/Population!M65,NA())</f>
        <v>#N/A</v>
      </c>
      <c r="H97" s="1081" t="e">
        <f>IF(AND(ISNUMBER(H30),ISNUMBER(AD97)),AD97/Population!N65,NA())</f>
        <v>#N/A</v>
      </c>
      <c r="I97" s="96"/>
      <c r="J97" s="96"/>
      <c r="K97" s="166"/>
      <c r="L97" s="166"/>
      <c r="M97" s="166"/>
      <c r="N97" s="166"/>
      <c r="O97" s="166"/>
      <c r="P97" s="166"/>
      <c r="Q97" s="166"/>
      <c r="R97" s="167"/>
      <c r="S97" s="159"/>
      <c r="T97" s="159"/>
      <c r="U97" s="166"/>
      <c r="V97" s="122"/>
      <c r="W97" s="139"/>
      <c r="X97" s="152"/>
      <c r="Y97" s="577" t="str">
        <f t="shared" si="29"/>
        <v>Windsor &amp; Maidenhead</v>
      </c>
      <c r="Z97" s="581" t="str">
        <f>IF(Year1_Windsor_Maidenhead Year1_16_17_NEET="","",Year1_Windsor_Maidenhead Year1_16_17_NEET)</f>
        <v/>
      </c>
      <c r="AA97" s="372" t="str">
        <f>IF(Year2_Windsor_Maidenhead Year2_16_17_NEET="","",Year2_Windsor_Maidenhead Year2_16_17_NEET)</f>
        <v/>
      </c>
      <c r="AB97" s="372" t="str">
        <f>IF(Year3_Windsor_Maidenhead Year3_16_17_NEET="","",Year3_Windsor_Maidenhead Year3_16_17_NEET)</f>
        <v/>
      </c>
      <c r="AC97" s="372" t="str">
        <f>IF(Year4_Windsor_Maidenhead Year4_16_17_NEET="","",Year4_Windsor_Maidenhead Year4_16_17_NEET)</f>
        <v/>
      </c>
      <c r="AD97" s="577" t="str">
        <f>IF(Year5_Windsor_Maidenhead Year5_16_17_NEET="","",Year5_Windsor_Maidenhead Year5_16_17_NEET)</f>
        <v/>
      </c>
      <c r="AE97" s="81"/>
      <c r="AF97" s="81"/>
      <c r="AG97" s="81"/>
      <c r="AH97" s="81"/>
      <c r="AI97" s="81"/>
      <c r="AJ97" s="184"/>
      <c r="AK97" s="160"/>
    </row>
    <row r="98" spans="1:46" s="87" customFormat="1" ht="12.75" customHeight="1" x14ac:dyDescent="0.2">
      <c r="A98" s="488">
        <f>VLOOKUP(B98,Sheet1!$AQ$4:$AR$25,2,FALSE)</f>
        <v>0</v>
      </c>
      <c r="B98" s="93" t="str">
        <f t="shared" si="28"/>
        <v>Wokingham</v>
      </c>
      <c r="C98" s="85"/>
      <c r="D98" s="1080" t="e">
        <f>IF(AND(ISNUMBER(D31),ISNUMBER(Z98)),Z98/Population!J66,NA())</f>
        <v>#N/A</v>
      </c>
      <c r="E98" s="1080" t="e">
        <f>IF(AND(ISNUMBER(E31),ISNUMBER(AA98)),AA98/Population!K66,NA())</f>
        <v>#N/A</v>
      </c>
      <c r="F98" s="1080" t="e">
        <f>IF(AND(ISNUMBER(F31),ISNUMBER(AB98)),AB98/Population!L66,NA())</f>
        <v>#N/A</v>
      </c>
      <c r="G98" s="1080" t="e">
        <f>IF(AND(ISNUMBER(G31),ISNUMBER(AC98)),AC98/Population!M66,NA())</f>
        <v>#N/A</v>
      </c>
      <c r="H98" s="1081" t="e">
        <f>IF(AND(ISNUMBER(H31),ISNUMBER(AD98)),AD98/Population!N66,NA())</f>
        <v>#N/A</v>
      </c>
      <c r="I98" s="96"/>
      <c r="J98" s="96"/>
      <c r="K98" s="166"/>
      <c r="L98" s="166"/>
      <c r="M98" s="166"/>
      <c r="N98" s="166"/>
      <c r="O98" s="166"/>
      <c r="P98" s="166"/>
      <c r="Q98" s="166"/>
      <c r="R98" s="167"/>
      <c r="S98" s="159"/>
      <c r="T98" s="159"/>
      <c r="U98" s="166"/>
      <c r="V98" s="122"/>
      <c r="W98" s="139"/>
      <c r="X98" s="152"/>
      <c r="Y98" s="577" t="str">
        <f t="shared" si="29"/>
        <v>Wokingham</v>
      </c>
      <c r="Z98" s="581" t="str">
        <f>IF(Year1_Wokingham Year1_16_17_NEET="","",Year1_Wokingham Year1_16_17_NEET)</f>
        <v/>
      </c>
      <c r="AA98" s="372" t="str">
        <f>IF(Year2_Wokingham Year2_16_17_NEET="","",Year2_Wokingham Year2_16_17_NEET)</f>
        <v/>
      </c>
      <c r="AB98" s="372" t="str">
        <f>IF(Year3_Wokingham Year3_16_17_NEET="","",Year3_Wokingham Year3_16_17_NEET)</f>
        <v/>
      </c>
      <c r="AC98" s="372" t="str">
        <f>IF(Year4_Wokingham Year4_16_17_NEET="","",Year4_Wokingham Year4_16_17_NEET)</f>
        <v/>
      </c>
      <c r="AD98" s="577" t="str">
        <f>IF(Year5_Wokingham Year5_16_17_NEET="","",Year5_Wokingham Year5_16_17_NEET)</f>
        <v/>
      </c>
      <c r="AE98" s="81"/>
      <c r="AF98" s="81"/>
      <c r="AG98" s="81"/>
      <c r="AH98" s="81"/>
      <c r="AI98" s="81"/>
      <c r="AJ98" s="184"/>
      <c r="AK98" s="160"/>
    </row>
    <row r="99" spans="1:46" s="87" customFormat="1" ht="12.75" customHeight="1" x14ac:dyDescent="0.2">
      <c r="A99" s="121"/>
      <c r="B99" s="129" t="str">
        <f t="shared" si="28"/>
        <v>South East</v>
      </c>
      <c r="C99" s="85"/>
      <c r="D99" s="1082" t="e">
        <f>IF(AND(ISNUMBER(D32),ISNUMBER(Z99)),Z99/Population!J67,NA())</f>
        <v>#N/A</v>
      </c>
      <c r="E99" s="1082" t="e">
        <f>IF(AND(ISNUMBER(E32),ISNUMBER(AA99)),AA99/Population!K67,NA())</f>
        <v>#N/A</v>
      </c>
      <c r="F99" s="1082" t="e">
        <f>IF(AND(ISNUMBER(F32),ISNUMBER(AB99)),AB99/Population!L67,NA())</f>
        <v>#N/A</v>
      </c>
      <c r="G99" s="1082" t="e">
        <f>IF(AND(ISNUMBER(G32),ISNUMBER(AC99)),AC99/Population!M67,NA())</f>
        <v>#N/A</v>
      </c>
      <c r="H99" s="357" t="e">
        <f>IF(AND(ISNUMBER(H32),ISNUMBER(AD99)),AD99/Population!N67,NA())</f>
        <v>#N/A</v>
      </c>
      <c r="I99" s="96"/>
      <c r="J99" s="96"/>
      <c r="K99" s="168"/>
      <c r="L99" s="168"/>
      <c r="M99" s="168"/>
      <c r="N99" s="168"/>
      <c r="O99" s="168"/>
      <c r="P99" s="168"/>
      <c r="Q99" s="168"/>
      <c r="R99" s="169"/>
      <c r="S99" s="159"/>
      <c r="T99" s="159"/>
      <c r="U99" s="170"/>
      <c r="V99" s="122"/>
      <c r="W99" s="139"/>
      <c r="X99" s="152"/>
      <c r="Y99" s="577" t="str">
        <f t="shared" si="29"/>
        <v>South East</v>
      </c>
      <c r="Z99" s="606" t="str">
        <f>IF(Year1_SouthEast Year1_16_17_NEET="","",Year1_SouthEast Year1_16_17_NEET)</f>
        <v/>
      </c>
      <c r="AA99" s="607" t="str">
        <f>IF(Year2_SouthEast Year2_16_17_NEET="","",Year2_SouthEast Year2_16_17_NEET)</f>
        <v/>
      </c>
      <c r="AB99" s="607" t="str">
        <f>IF(Year3_SouthEast Year3_16_17_NEET="","",Year3_SouthEast Year3_16_17_NEET)</f>
        <v/>
      </c>
      <c r="AC99" s="372" t="str">
        <f>IF(Year4_SouthEast Year4_16_17_NEET="","",Year4_SouthEast Year4_16_17_NEET)</f>
        <v/>
      </c>
      <c r="AD99" s="577" t="str">
        <f>IF(Year5_SouthEast Year5_16_17_NEET="","",Year5_SouthEast Year5_16_17_NEET)</f>
        <v/>
      </c>
      <c r="AE99" s="81"/>
      <c r="AF99" s="81"/>
      <c r="AG99" s="81"/>
      <c r="AH99" s="81"/>
      <c r="AI99" s="81"/>
      <c r="AJ99" s="184"/>
      <c r="AK99" s="160"/>
    </row>
    <row r="100" spans="1:46" s="87" customFormat="1" ht="12.75" customHeight="1" x14ac:dyDescent="0.2">
      <c r="A100" s="121"/>
      <c r="B100" s="329" t="str">
        <f t="shared" si="28"/>
        <v>England</v>
      </c>
      <c r="C100" s="85"/>
      <c r="D100" s="1083" t="e">
        <f>IF(AND(ISNUMBER(D33),ISNUMBER(Z100)),Z100/Population!J68,NA())</f>
        <v>#N/A</v>
      </c>
      <c r="E100" s="1083" t="e">
        <f>IF(AND(ISNUMBER(E33),ISNUMBER(AA100)),AA100/Population!K68,NA())</f>
        <v>#N/A</v>
      </c>
      <c r="F100" s="1083" t="e">
        <f>IF(AND(ISNUMBER(F33),ISNUMBER(AB100)),AB100/Population!L68,NA())</f>
        <v>#N/A</v>
      </c>
      <c r="G100" s="1083" t="e">
        <f>IF(AND(ISNUMBER(G33),ISNUMBER(AC100)),AC100/Population!M68,NA())</f>
        <v>#N/A</v>
      </c>
      <c r="H100" s="358" t="e">
        <f>IF(AND(ISNUMBER(H33),ISNUMBER(AD100)),AD100/Population!N68,NA())</f>
        <v>#N/A</v>
      </c>
      <c r="I100" s="96"/>
      <c r="J100" s="96"/>
      <c r="K100" s="168"/>
      <c r="L100" s="168"/>
      <c r="M100" s="168"/>
      <c r="N100" s="168"/>
      <c r="O100" s="168"/>
      <c r="P100" s="168"/>
      <c r="Q100" s="168"/>
      <c r="R100" s="169"/>
      <c r="S100" s="159"/>
      <c r="T100" s="159"/>
      <c r="U100" s="170"/>
      <c r="V100" s="122"/>
      <c r="W100" s="139"/>
      <c r="X100" s="152"/>
      <c r="Y100" s="577" t="str">
        <f t="shared" si="29"/>
        <v>England</v>
      </c>
      <c r="Z100" s="606" t="str">
        <f>IF(Year1_England Year1_16_17_NEET="","",Year1_England Year1_16_17_NEET)</f>
        <v/>
      </c>
      <c r="AA100" s="607" t="str">
        <f>IF(Year2_England Year2_16_17_NEET="","",Year2_England Year2_16_17_NEET)</f>
        <v/>
      </c>
      <c r="AB100" s="607" t="str">
        <f>IF(Year3_England Year3_16_17_NEET="","",Year3_England Year3_16_17_NEET)</f>
        <v/>
      </c>
      <c r="AC100" s="372" t="str">
        <f>IF(Year4_England Year4_16_17_NEET="","",Year4_England Year4_16_17_NEET)</f>
        <v/>
      </c>
      <c r="AD100" s="577" t="str">
        <f>IF(Year5_England Year5_16_17_NEET="","",Year5_England Year5_16_17_NEET)</f>
        <v/>
      </c>
      <c r="AE100" s="81"/>
      <c r="AF100" s="81"/>
      <c r="AG100" s="81"/>
      <c r="AH100" s="81"/>
      <c r="AI100" s="81"/>
      <c r="AJ100" s="184"/>
      <c r="AK100" s="160"/>
    </row>
    <row r="101" spans="1:46" s="87" customFormat="1" ht="7.5" customHeight="1" x14ac:dyDescent="0.2">
      <c r="A101" s="292"/>
      <c r="B101" s="96"/>
      <c r="C101" s="96"/>
      <c r="D101" s="96"/>
      <c r="E101" s="96"/>
      <c r="F101" s="96"/>
      <c r="G101" s="96"/>
      <c r="H101" s="96"/>
      <c r="I101" s="96"/>
      <c r="J101" s="96"/>
      <c r="K101" s="168"/>
      <c r="L101" s="168"/>
      <c r="M101" s="168"/>
      <c r="N101" s="168"/>
      <c r="O101" s="168"/>
      <c r="P101" s="168"/>
      <c r="Q101" s="168"/>
      <c r="R101" s="169"/>
      <c r="S101" s="159"/>
      <c r="T101" s="159"/>
      <c r="U101" s="170"/>
      <c r="V101" s="122"/>
      <c r="W101" s="139"/>
      <c r="X101" s="152"/>
      <c r="Y101" s="188"/>
      <c r="Z101" s="188"/>
      <c r="AA101" s="81"/>
      <c r="AB101" s="81"/>
      <c r="AC101" s="81"/>
      <c r="AD101" s="81"/>
      <c r="AE101" s="81"/>
      <c r="AF101" s="81"/>
      <c r="AG101" s="81"/>
      <c r="AH101" s="81"/>
      <c r="AI101" s="81"/>
      <c r="AJ101" s="184"/>
      <c r="AK101" s="160"/>
    </row>
    <row r="102" spans="1:46" s="81" customFormat="1" ht="38.25" customHeight="1" x14ac:dyDescent="0.2">
      <c r="A102" s="217"/>
      <c r="B102" s="392"/>
      <c r="C102" s="392"/>
      <c r="D102" s="392"/>
      <c r="E102" s="392"/>
      <c r="F102" s="392"/>
      <c r="G102" s="392"/>
      <c r="H102" s="392"/>
      <c r="I102" s="392"/>
      <c r="J102" s="172"/>
      <c r="K102" s="172"/>
      <c r="L102" s="172"/>
      <c r="M102" s="172"/>
      <c r="N102" s="172"/>
      <c r="O102" s="172"/>
      <c r="P102" s="172"/>
      <c r="Q102" s="172"/>
      <c r="R102" s="136"/>
      <c r="S102" s="172"/>
      <c r="T102" s="172"/>
      <c r="U102" s="172"/>
      <c r="V102" s="117"/>
      <c r="W102" s="137"/>
      <c r="X102" s="150"/>
      <c r="AD102" s="197"/>
      <c r="AJ102" s="184"/>
      <c r="AK102" s="161"/>
    </row>
    <row r="103" spans="1:46" s="81" customFormat="1" ht="39" customHeight="1" x14ac:dyDescent="0.2">
      <c r="A103" s="217"/>
      <c r="B103" s="392"/>
      <c r="C103" s="392"/>
      <c r="D103" s="392"/>
      <c r="E103" s="392"/>
      <c r="F103" s="392"/>
      <c r="G103" s="392"/>
      <c r="H103" s="392"/>
      <c r="I103" s="392"/>
      <c r="J103" s="172"/>
      <c r="K103" s="172"/>
      <c r="L103" s="172"/>
      <c r="M103" s="172"/>
      <c r="N103" s="172"/>
      <c r="O103" s="172"/>
      <c r="P103" s="172"/>
      <c r="Q103" s="172"/>
      <c r="R103" s="136"/>
      <c r="S103" s="172"/>
      <c r="T103" s="172"/>
      <c r="U103" s="172"/>
      <c r="V103" s="117"/>
      <c r="W103" s="137"/>
      <c r="X103" s="150"/>
      <c r="AJ103" s="184"/>
      <c r="AK103" s="161"/>
    </row>
    <row r="104" spans="1:46" s="81" customFormat="1" ht="38.25" customHeight="1" x14ac:dyDescent="0.2">
      <c r="A104" s="217"/>
      <c r="B104" s="392"/>
      <c r="C104" s="392"/>
      <c r="D104" s="392"/>
      <c r="E104" s="392"/>
      <c r="F104" s="392"/>
      <c r="G104" s="392"/>
      <c r="H104" s="392"/>
      <c r="I104" s="392"/>
      <c r="J104" s="172"/>
      <c r="K104" s="172"/>
      <c r="L104" s="172"/>
      <c r="M104" s="172"/>
      <c r="N104" s="172"/>
      <c r="O104" s="172"/>
      <c r="P104" s="172"/>
      <c r="Q104" s="172"/>
      <c r="R104" s="136"/>
      <c r="S104" s="172"/>
      <c r="T104" s="172"/>
      <c r="U104" s="172"/>
      <c r="V104" s="117"/>
      <c r="W104" s="137"/>
      <c r="X104" s="150"/>
      <c r="Z104" s="190"/>
      <c r="AJ104" s="184"/>
      <c r="AK104" s="161"/>
    </row>
    <row r="105" spans="1:46" s="81" customFormat="1" ht="7.5" customHeight="1" x14ac:dyDescent="0.2">
      <c r="A105" s="118"/>
      <c r="B105" s="17"/>
      <c r="C105" s="17"/>
      <c r="D105" s="16"/>
      <c r="E105" s="16"/>
      <c r="F105" s="16"/>
      <c r="G105" s="16"/>
      <c r="H105" s="16"/>
      <c r="I105" s="16"/>
      <c r="J105" s="12"/>
      <c r="K105" s="18"/>
      <c r="L105" s="18"/>
      <c r="M105" s="18"/>
      <c r="N105" s="18"/>
      <c r="O105" s="18"/>
      <c r="P105" s="18"/>
      <c r="Q105" s="18"/>
      <c r="R105" s="18"/>
      <c r="S105" s="18"/>
      <c r="T105" s="18"/>
      <c r="U105" s="19"/>
      <c r="V105" s="117"/>
      <c r="W105" s="137"/>
      <c r="X105" s="150"/>
      <c r="Z105" s="190"/>
      <c r="AJ105" s="184"/>
      <c r="AK105" s="157"/>
      <c r="AL105" s="74"/>
      <c r="AM105" s="74"/>
      <c r="AN105" s="74"/>
      <c r="AO105" s="74"/>
      <c r="AP105" s="74"/>
      <c r="AQ105" s="74"/>
      <c r="AR105" s="74"/>
    </row>
    <row r="106" spans="1:46" s="81" customFormat="1" ht="15" customHeight="1" x14ac:dyDescent="0.2">
      <c r="A106" s="1716"/>
      <c r="B106" s="1760"/>
      <c r="C106" s="1760"/>
      <c r="D106" s="1760"/>
      <c r="E106" s="1760"/>
      <c r="F106" s="1760"/>
      <c r="G106" s="1760"/>
      <c r="H106" s="1760"/>
      <c r="I106" s="1760"/>
      <c r="J106" s="1760"/>
      <c r="K106" s="1760"/>
      <c r="L106" s="1760"/>
      <c r="M106" s="1760"/>
      <c r="N106" s="1760"/>
      <c r="O106" s="1760"/>
      <c r="P106" s="1760"/>
      <c r="Q106" s="1760"/>
      <c r="R106" s="1760"/>
      <c r="S106" s="1760"/>
      <c r="T106" s="1760"/>
      <c r="U106" s="1760"/>
      <c r="V106" s="1761"/>
      <c r="W106" s="137"/>
      <c r="X106" s="150"/>
      <c r="AJ106" s="184"/>
      <c r="AK106" s="161"/>
      <c r="AT106" s="74"/>
    </row>
    <row r="107" spans="1:46" s="81" customFormat="1" ht="11.25" customHeight="1" x14ac:dyDescent="0.2">
      <c r="A107" s="1765" t="str">
        <f>Home!$A$39</f>
        <v xml:space="preserve"> </v>
      </c>
      <c r="B107" s="1766"/>
      <c r="C107" s="1766"/>
      <c r="D107" s="1766"/>
      <c r="E107" s="1766"/>
      <c r="F107" s="1766"/>
      <c r="G107" s="1766"/>
      <c r="H107" s="1766"/>
      <c r="I107" s="1767"/>
      <c r="J107" s="1766"/>
      <c r="K107" s="1766"/>
      <c r="L107" s="1766"/>
      <c r="M107" s="1766"/>
      <c r="N107" s="1766"/>
      <c r="O107" s="1766"/>
      <c r="P107" s="1768"/>
      <c r="Q107" s="1766"/>
      <c r="R107" s="1766"/>
      <c r="S107" s="1766"/>
      <c r="T107" s="1767"/>
      <c r="U107" s="1766"/>
      <c r="V107" s="1769"/>
      <c r="W107" s="137"/>
      <c r="X107" s="150"/>
      <c r="AJ107" s="184"/>
      <c r="AK107" s="160"/>
      <c r="AL107" s="87"/>
      <c r="AT107" s="74"/>
    </row>
    <row r="108" spans="1:46" ht="11.25" customHeight="1" x14ac:dyDescent="0.2">
      <c r="A108" s="112"/>
      <c r="B108" s="113"/>
      <c r="C108" s="113"/>
      <c r="D108" s="113"/>
      <c r="E108" s="113"/>
      <c r="F108" s="113"/>
      <c r="G108" s="113"/>
      <c r="H108" s="113"/>
      <c r="I108" s="113"/>
      <c r="J108" s="114"/>
      <c r="K108" s="113"/>
      <c r="L108" s="113"/>
      <c r="M108" s="113"/>
      <c r="N108" s="113"/>
      <c r="O108" s="113"/>
      <c r="P108" s="113"/>
      <c r="Q108" s="113"/>
      <c r="R108" s="113"/>
      <c r="S108" s="113"/>
      <c r="T108" s="113"/>
      <c r="U108" s="113"/>
      <c r="V108" s="115"/>
      <c r="W108" s="137"/>
      <c r="X108" s="150"/>
      <c r="Y108" s="198"/>
      <c r="Z108" s="196"/>
      <c r="AA108" s="188"/>
      <c r="AJ108" s="184"/>
      <c r="AK108" s="161"/>
    </row>
    <row r="109" spans="1:46" s="76" customFormat="1" ht="15" customHeight="1" x14ac:dyDescent="0.2">
      <c r="A109" s="119"/>
      <c r="B109" s="1770" t="s">
        <v>671</v>
      </c>
      <c r="C109" s="1770"/>
      <c r="D109" s="1770"/>
      <c r="E109" s="1770"/>
      <c r="F109" s="1770"/>
      <c r="G109" s="1770"/>
      <c r="H109" s="1770"/>
      <c r="I109" s="1770"/>
      <c r="J109" s="70"/>
      <c r="K109" s="70"/>
      <c r="L109" s="70"/>
      <c r="M109" s="70"/>
      <c r="N109" s="825"/>
      <c r="O109" s="70"/>
      <c r="P109" s="70"/>
      <c r="Q109" s="70"/>
      <c r="R109" s="70"/>
      <c r="S109" s="70"/>
      <c r="T109" s="70"/>
      <c r="U109" s="70"/>
      <c r="V109" s="120"/>
      <c r="W109" s="138"/>
      <c r="X109" s="151"/>
      <c r="Y109" s="609" t="s">
        <v>753</v>
      </c>
      <c r="Z109" s="382"/>
      <c r="AA109" s="383"/>
      <c r="AB109" s="383"/>
      <c r="AC109" s="383"/>
      <c r="AD109" s="596"/>
      <c r="AE109" s="81"/>
      <c r="AF109" s="81"/>
      <c r="AG109" s="81"/>
      <c r="AH109" s="81"/>
      <c r="AI109" s="81"/>
      <c r="AJ109" s="184"/>
      <c r="AK109" s="160"/>
    </row>
    <row r="110" spans="1:46" ht="15" customHeight="1" x14ac:dyDescent="0.2">
      <c r="A110" s="118"/>
      <c r="B110" s="1770"/>
      <c r="C110" s="1770"/>
      <c r="D110" s="1770"/>
      <c r="E110" s="1770"/>
      <c r="F110" s="1770"/>
      <c r="G110" s="1770"/>
      <c r="H110" s="1770"/>
      <c r="I110" s="1770"/>
      <c r="J110" s="70"/>
      <c r="K110" s="70"/>
      <c r="L110" s="70"/>
      <c r="M110" s="70"/>
      <c r="N110" s="825"/>
      <c r="O110" s="70"/>
      <c r="P110" s="70"/>
      <c r="Q110" s="70"/>
      <c r="R110" s="10"/>
      <c r="S110" s="70"/>
      <c r="T110" s="70"/>
      <c r="U110" s="70"/>
      <c r="V110" s="117"/>
      <c r="W110" s="137"/>
      <c r="X110" s="150"/>
      <c r="Y110" s="383"/>
      <c r="Z110" s="382"/>
      <c r="AA110" s="383"/>
      <c r="AB110" s="383"/>
      <c r="AC110" s="383"/>
      <c r="AD110" s="596"/>
      <c r="AJ110" s="184"/>
      <c r="AK110" s="161"/>
    </row>
    <row r="111" spans="1:46" s="87" customFormat="1" ht="13.5" customHeight="1" x14ac:dyDescent="0.2">
      <c r="A111" s="121"/>
      <c r="B111" s="1771" t="s">
        <v>205</v>
      </c>
      <c r="C111" s="1031"/>
      <c r="D111" s="789" t="str">
        <f>Sheet1!$D$27</f>
        <v>2015-16</v>
      </c>
      <c r="E111" s="790" t="str">
        <f>Sheet1!$E$27</f>
        <v>2016-17</v>
      </c>
      <c r="F111" s="790" t="str">
        <f>Sheet1!$F$27</f>
        <v>2017-18</v>
      </c>
      <c r="G111" s="790" t="str">
        <f>Sheet1!$G$27</f>
        <v>2018-19</v>
      </c>
      <c r="H111" s="791" t="str">
        <f>Sheet1!$H$27</f>
        <v>2019-20</v>
      </c>
      <c r="I111" s="96"/>
      <c r="J111" s="96"/>
      <c r="K111" s="61"/>
      <c r="L111" s="61"/>
      <c r="M111" s="61"/>
      <c r="N111" s="61"/>
      <c r="O111" s="61"/>
      <c r="P111" s="61"/>
      <c r="Q111" s="828"/>
      <c r="R111" s="828"/>
      <c r="S111" s="159"/>
      <c r="T111" s="159"/>
      <c r="U111" s="829"/>
      <c r="V111" s="122"/>
      <c r="W111" s="139"/>
      <c r="X111" s="152"/>
      <c r="Y111" s="372"/>
      <c r="Z111" s="489" t="str">
        <f>IF(Sheet1!$C$3="Annual","",Sheet1!$D$28)</f>
        <v/>
      </c>
      <c r="AA111" s="489" t="str">
        <f>IF(Sheet1!$C$3="Annual","",Sheet1!$E$28)</f>
        <v/>
      </c>
      <c r="AB111" s="489" t="str">
        <f>IF(Sheet1!$C$3="Annual","",Sheet1!$F$28)</f>
        <v/>
      </c>
      <c r="AC111" s="489" t="str">
        <f>IF(Sheet1!$C$3="Annual","",Sheet1!$G$28)</f>
        <v/>
      </c>
      <c r="AD111" s="489" t="str">
        <f>IF(Sheet1!$C$3="Annual","",Sheet1!$H$28)</f>
        <v/>
      </c>
      <c r="AE111" s="381"/>
      <c r="AF111" s="382"/>
      <c r="AG111" s="383"/>
      <c r="AH111" s="383"/>
      <c r="AI111" s="383"/>
      <c r="AJ111" s="596"/>
      <c r="AK111" s="160"/>
    </row>
    <row r="112" spans="1:46" s="87" customFormat="1" ht="13.5" customHeight="1" x14ac:dyDescent="0.2">
      <c r="A112" s="292"/>
      <c r="B112" s="1772"/>
      <c r="C112" s="85"/>
      <c r="D112" s="792" t="e">
        <f>Sheet1!$D$28</f>
        <v>#N/A</v>
      </c>
      <c r="E112" s="792" t="e">
        <f>Sheet1!$E$28</f>
        <v>#N/A</v>
      </c>
      <c r="F112" s="792" t="e">
        <f>Sheet1!$F$28</f>
        <v>#N/A</v>
      </c>
      <c r="G112" s="792" t="e">
        <f>Sheet1!$G$28</f>
        <v>#N/A</v>
      </c>
      <c r="H112" s="793" t="e">
        <f>Sheet1!$H$28</f>
        <v>#N/A</v>
      </c>
      <c r="I112" s="96"/>
      <c r="J112" s="96"/>
      <c r="K112" s="61"/>
      <c r="L112" s="61"/>
      <c r="M112" s="61"/>
      <c r="N112" s="61"/>
      <c r="O112" s="61"/>
      <c r="P112" s="61"/>
      <c r="Q112" s="1036"/>
      <c r="R112" s="1036"/>
      <c r="S112" s="159"/>
      <c r="T112" s="159"/>
      <c r="U112" s="1037"/>
      <c r="V112" s="122"/>
      <c r="W112" s="139"/>
      <c r="X112" s="152"/>
      <c r="Y112" s="372"/>
      <c r="Z112" s="489" t="str">
        <f>Sheet1!$D$27</f>
        <v>2015-16</v>
      </c>
      <c r="AA112" s="489" t="str">
        <f>Sheet1!$E$27</f>
        <v>2016-17</v>
      </c>
      <c r="AB112" s="489" t="str">
        <f>Sheet1!$F$27</f>
        <v>2017-18</v>
      </c>
      <c r="AC112" s="489" t="str">
        <f>Sheet1!$G$27</f>
        <v>2018-19</v>
      </c>
      <c r="AD112" s="489" t="str">
        <f>Sheet1!$H$27</f>
        <v>2019-20</v>
      </c>
      <c r="AE112" s="381"/>
      <c r="AF112" s="382"/>
      <c r="AG112" s="383"/>
      <c r="AH112" s="383"/>
      <c r="AI112" s="383"/>
      <c r="AJ112" s="596"/>
      <c r="AK112" s="160"/>
    </row>
    <row r="113" spans="1:45" s="87" customFormat="1" ht="12.75" customHeight="1" x14ac:dyDescent="0.2">
      <c r="A113" s="488">
        <f>VLOOKUP(B113,Sheet1!$AQ$4:$AR$25,2,FALSE)</f>
        <v>0</v>
      </c>
      <c r="B113" s="93" t="str">
        <f t="shared" ref="B113:B136" si="30">B10</f>
        <v>Bracknell Forest</v>
      </c>
      <c r="C113" s="85"/>
      <c r="D113" s="162" t="e">
        <f>IF(AND(ISNUMBER(D10),ISNUMBER(Z113)),Z113/Population!J45,NA())</f>
        <v>#N/A</v>
      </c>
      <c r="E113" s="162" t="e">
        <f>IF(AND(ISNUMBER(E10),ISNUMBER(AA113)),AA113/Population!K45,NA())</f>
        <v>#N/A</v>
      </c>
      <c r="F113" s="162" t="e">
        <f>IF(AND(ISNUMBER(F10),ISNUMBER(AB113)),AB113/Population!L45,NA())</f>
        <v>#N/A</v>
      </c>
      <c r="G113" s="162" t="e">
        <f>IF(AND(ISNUMBER(G10),ISNUMBER(AC113)),AC113/Population!M45,NA())</f>
        <v>#N/A</v>
      </c>
      <c r="H113" s="164" t="e">
        <f>IF(AND(ISNUMBER(H10),ISNUMBER(AD113)),AD113/Population!N45,NA())</f>
        <v>#N/A</v>
      </c>
      <c r="I113" s="96"/>
      <c r="J113" s="96"/>
      <c r="K113" s="166"/>
      <c r="L113" s="166"/>
      <c r="M113" s="166"/>
      <c r="N113" s="166"/>
      <c r="O113" s="166"/>
      <c r="P113" s="166"/>
      <c r="Q113" s="166"/>
      <c r="R113" s="167"/>
      <c r="S113" s="159"/>
      <c r="T113" s="159"/>
      <c r="U113" s="166"/>
      <c r="V113" s="122"/>
      <c r="W113" s="139"/>
      <c r="X113" s="152"/>
      <c r="Y113" s="372" t="str">
        <f>B113</f>
        <v>Bracknell Forest</v>
      </c>
      <c r="Z113" s="489" t="str">
        <f>IF(Year1_Bracknell_Forest Year1_16_17_not_known="","",Year1_Bracknell_Forest Year1_16_17_not_known)</f>
        <v/>
      </c>
      <c r="AA113" s="372" t="str">
        <f>IF(Year2_Bracknell_Forest Year2_16_17_not_known="","",Year2_Bracknell_Forest Year2_16_17_not_known)</f>
        <v/>
      </c>
      <c r="AB113" s="372" t="str">
        <f>IF(Year3_Bracknell_Forest Year3_16_17_not_known="","",Year3_Bracknell_Forest Year3_16_17_not_known)</f>
        <v/>
      </c>
      <c r="AC113" s="372" t="str">
        <f>IF(Year4_Bracknell_Forest Year4_16_17_not_known="","",Year4_Bracknell_Forest Year4_16_17_not_known)</f>
        <v/>
      </c>
      <c r="AD113" s="372" t="str">
        <f>IF(Year5_Bracknell_Forest Year5_16_17_not_known="","",Year5_Bracknell_Forest Year5_16_17_not_known)</f>
        <v/>
      </c>
      <c r="AE113" s="381"/>
      <c r="AF113" s="382"/>
      <c r="AG113" s="383"/>
      <c r="AH113" s="383"/>
      <c r="AI113" s="383"/>
      <c r="AJ113" s="596"/>
      <c r="AK113" s="161"/>
    </row>
    <row r="114" spans="1:45" s="87" customFormat="1" ht="12.75" customHeight="1" x14ac:dyDescent="0.2">
      <c r="A114" s="488">
        <f>VLOOKUP(B114,Sheet1!$AQ$4:$AR$25,2,FALSE)</f>
        <v>0</v>
      </c>
      <c r="B114" s="93" t="str">
        <f t="shared" si="30"/>
        <v>Brighton &amp; Hove</v>
      </c>
      <c r="C114" s="85"/>
      <c r="D114" s="162" t="e">
        <f>IF(AND(ISNUMBER(D11),ISNUMBER(Z114)),Z114/Population!J46,NA())</f>
        <v>#N/A</v>
      </c>
      <c r="E114" s="162" t="e">
        <f>IF(AND(ISNUMBER(E11),ISNUMBER(AA114)),AA114/Population!K46,NA())</f>
        <v>#N/A</v>
      </c>
      <c r="F114" s="162" t="e">
        <f>IF(AND(ISNUMBER(F11),ISNUMBER(AB114)),AB114/Population!L46,NA())</f>
        <v>#N/A</v>
      </c>
      <c r="G114" s="162" t="e">
        <f>IF(AND(ISNUMBER(G11),ISNUMBER(AC114)),AC114/Population!M46,NA())</f>
        <v>#N/A</v>
      </c>
      <c r="H114" s="164" t="e">
        <f>IF(AND(ISNUMBER(H11),ISNUMBER(AD114)),AD114/Population!N46,NA())</f>
        <v>#N/A</v>
      </c>
      <c r="I114" s="96"/>
      <c r="J114" s="96"/>
      <c r="K114" s="166"/>
      <c r="L114" s="166"/>
      <c r="M114" s="166"/>
      <c r="N114" s="166"/>
      <c r="O114" s="166"/>
      <c r="P114" s="166"/>
      <c r="Q114" s="166"/>
      <c r="R114" s="167"/>
      <c r="S114" s="159"/>
      <c r="T114" s="159"/>
      <c r="U114" s="166"/>
      <c r="V114" s="122"/>
      <c r="W114" s="139"/>
      <c r="X114" s="152"/>
      <c r="Y114" s="372" t="str">
        <f t="shared" ref="Y114:Y136" si="31">B114</f>
        <v>Brighton &amp; Hove</v>
      </c>
      <c r="Z114" s="489" t="str">
        <f>IF(Year1_Brighton_Hove Year1_16_17_not_known="","",Year1_Brighton_Hove Year1_16_17_not_known)</f>
        <v/>
      </c>
      <c r="AA114" s="372" t="str">
        <f>IF(Year2_Brighton_Hove Year2_16_17_not_known="","",Year2_Brighton_Hove Year2_16_17_not_known)</f>
        <v/>
      </c>
      <c r="AB114" s="372" t="str">
        <f>IF(Year3_Brighton_Hove Year3_16_17_not_known="","",Year3_Brighton_Hove Year3_16_17_not_known)</f>
        <v/>
      </c>
      <c r="AC114" s="372" t="str">
        <f>IF(Year4_Brighton_Hove Year4_16_17_not_known="","",Year4_Brighton_Hove Year4_16_17_not_known)</f>
        <v/>
      </c>
      <c r="AD114" s="372" t="str">
        <f>IF(Year5_Brighton_Hove Year5_16_17_not_known="","",Year5_Brighton_Hove Year5_16_17_not_known)</f>
        <v/>
      </c>
      <c r="AE114" s="381"/>
      <c r="AF114" s="612"/>
      <c r="AG114" s="383"/>
      <c r="AH114" s="383"/>
      <c r="AI114" s="383"/>
      <c r="AJ114" s="596"/>
      <c r="AK114" s="160"/>
    </row>
    <row r="115" spans="1:45" s="87" customFormat="1" ht="12.75" customHeight="1" x14ac:dyDescent="0.2">
      <c r="A115" s="488">
        <f>VLOOKUP(B115,Sheet1!$AQ$4:$AR$25,2,FALSE)</f>
        <v>0</v>
      </c>
      <c r="B115" s="93" t="str">
        <f t="shared" si="30"/>
        <v>Buckinghamshire</v>
      </c>
      <c r="C115" s="85"/>
      <c r="D115" s="162" t="e">
        <f>IF(AND(ISNUMBER(D12),ISNUMBER(Z115)),Z115/Population!J47,NA())</f>
        <v>#N/A</v>
      </c>
      <c r="E115" s="162" t="e">
        <f>IF(AND(ISNUMBER(E12),ISNUMBER(AA115)),AA115/Population!K47,NA())</f>
        <v>#N/A</v>
      </c>
      <c r="F115" s="162" t="e">
        <f>IF(AND(ISNUMBER(F12),ISNUMBER(AB115)),AB115/Population!L47,NA())</f>
        <v>#N/A</v>
      </c>
      <c r="G115" s="162" t="e">
        <f>IF(AND(ISNUMBER(G12),ISNUMBER(AC115)),AC115/Population!M47,NA())</f>
        <v>#N/A</v>
      </c>
      <c r="H115" s="164" t="e">
        <f>IF(AND(ISNUMBER(H12),ISNUMBER(AD115)),AD115/Population!N47,NA())</f>
        <v>#N/A</v>
      </c>
      <c r="I115" s="96"/>
      <c r="J115" s="96"/>
      <c r="K115" s="166"/>
      <c r="L115" s="166"/>
      <c r="M115" s="166"/>
      <c r="N115" s="166"/>
      <c r="O115" s="166"/>
      <c r="P115" s="166"/>
      <c r="Q115" s="166"/>
      <c r="R115" s="167"/>
      <c r="S115" s="159"/>
      <c r="T115" s="159"/>
      <c r="U115" s="166"/>
      <c r="V115" s="122"/>
      <c r="W115" s="139"/>
      <c r="X115" s="152"/>
      <c r="Y115" s="372" t="str">
        <f t="shared" si="31"/>
        <v>Buckinghamshire</v>
      </c>
      <c r="Z115" s="489" t="str">
        <f>IF(Year1_Buckinghamshire Year1_16_17_not_known="","",Year1_Buckinghamshire Year1_16_17_not_known)</f>
        <v/>
      </c>
      <c r="AA115" s="372" t="str">
        <f>IF(Year2_Buckinghamshire Year2_16_17_not_known="","",Year2_Buckinghamshire Year2_16_17_not_known)</f>
        <v/>
      </c>
      <c r="AB115" s="372" t="str">
        <f>IF(Year3_Buckinghamshire Year3_16_17_not_known="","",Year3_Buckinghamshire Year3_16_17_not_known)</f>
        <v/>
      </c>
      <c r="AC115" s="372" t="str">
        <f>IF(Year4_Buckinghamshire Year4_16_17_not_known="","",Year4_Buckinghamshire Year4_16_17_not_known)</f>
        <v/>
      </c>
      <c r="AD115" s="372" t="str">
        <f>IF(Year5_Buckinghamshire Year5_16_17_not_known="","",Year5_Buckinghamshire Year5_16_17_not_known)</f>
        <v/>
      </c>
      <c r="AE115" s="381"/>
      <c r="AF115" s="612"/>
      <c r="AG115" s="383"/>
      <c r="AH115" s="383"/>
      <c r="AI115" s="383"/>
      <c r="AJ115" s="596"/>
      <c r="AK115" s="161"/>
    </row>
    <row r="116" spans="1:45" s="87" customFormat="1" ht="12.75" customHeight="1" x14ac:dyDescent="0.2">
      <c r="A116" s="488">
        <f>VLOOKUP(B116,Sheet1!$AQ$4:$AR$25,2,FALSE)</f>
        <v>0</v>
      </c>
      <c r="B116" s="93" t="str">
        <f t="shared" si="30"/>
        <v>East Sussex</v>
      </c>
      <c r="C116" s="85"/>
      <c r="D116" s="162" t="e">
        <f>IF(AND(ISNUMBER(D13),ISNUMBER(Z116)),Z116/Population!J48,NA())</f>
        <v>#N/A</v>
      </c>
      <c r="E116" s="162" t="e">
        <f>IF(AND(ISNUMBER(E13),ISNUMBER(AA116)),AA116/Population!K48,NA())</f>
        <v>#N/A</v>
      </c>
      <c r="F116" s="162" t="e">
        <f>IF(AND(ISNUMBER(F13),ISNUMBER(AB116)),AB116/Population!L48,NA())</f>
        <v>#N/A</v>
      </c>
      <c r="G116" s="162" t="e">
        <f>IF(AND(ISNUMBER(G13),ISNUMBER(AC116)),AC116/Population!M48,NA())</f>
        <v>#N/A</v>
      </c>
      <c r="H116" s="164" t="e">
        <f>IF(AND(ISNUMBER(H13),ISNUMBER(AD116)),AD116/Population!N48,NA())</f>
        <v>#N/A</v>
      </c>
      <c r="I116" s="96"/>
      <c r="J116" s="96"/>
      <c r="K116" s="166"/>
      <c r="L116" s="166"/>
      <c r="M116" s="166"/>
      <c r="N116" s="166"/>
      <c r="O116" s="166"/>
      <c r="P116" s="166"/>
      <c r="Q116" s="166"/>
      <c r="R116" s="167"/>
      <c r="S116" s="159"/>
      <c r="T116" s="159"/>
      <c r="U116" s="166"/>
      <c r="V116" s="122"/>
      <c r="W116" s="139"/>
      <c r="X116" s="152"/>
      <c r="Y116" s="372" t="str">
        <f t="shared" si="31"/>
        <v>East Sussex</v>
      </c>
      <c r="Z116" s="489" t="str">
        <f>IF(Year1_East_Sussex Year1_16_17_not_known="","",Year1_East_Sussex Year1_16_17_not_known)</f>
        <v/>
      </c>
      <c r="AA116" s="372" t="str">
        <f>IF(Year2_East_Sussex Year2_16_17_not_known="","",Year2_East_Sussex Year2_16_17_not_known)</f>
        <v/>
      </c>
      <c r="AB116" s="372" t="str">
        <f>IF(Year3_East_Sussex Year3_16_17_not_known="","",Year3_East_Sussex Year3_16_17_not_known)</f>
        <v/>
      </c>
      <c r="AC116" s="372" t="str">
        <f>IF(Year4_East_Sussex Year4_16_17_not_known="","",Year4_East_Sussex Year4_16_17_not_known)</f>
        <v/>
      </c>
      <c r="AD116" s="372" t="str">
        <f>IF(Year5_East_Sussex Year5_16_17_not_known="","",Year5_East_Sussex Year5_16_17_not_known)</f>
        <v/>
      </c>
      <c r="AE116" s="381"/>
      <c r="AF116" s="612"/>
      <c r="AG116" s="383"/>
      <c r="AH116" s="383"/>
      <c r="AI116" s="383"/>
      <c r="AJ116" s="596"/>
      <c r="AK116" s="160"/>
    </row>
    <row r="117" spans="1:45" s="87" customFormat="1" ht="12.75" customHeight="1" x14ac:dyDescent="0.2">
      <c r="A117" s="488">
        <f>VLOOKUP(B117,Sheet1!$AQ$4:$AR$25,2,FALSE)</f>
        <v>0</v>
      </c>
      <c r="B117" s="93" t="str">
        <f t="shared" si="30"/>
        <v>Hampshire</v>
      </c>
      <c r="C117" s="85"/>
      <c r="D117" s="162" t="e">
        <f>IF(AND(ISNUMBER(D14),ISNUMBER(Z117)),Z117/Population!J49,NA())</f>
        <v>#N/A</v>
      </c>
      <c r="E117" s="162" t="e">
        <f>IF(AND(ISNUMBER(E14),ISNUMBER(AA117)),AA117/Population!K49,NA())</f>
        <v>#N/A</v>
      </c>
      <c r="F117" s="162" t="e">
        <f>IF(AND(ISNUMBER(F14),ISNUMBER(AB117)),AB117/Population!L49,NA())</f>
        <v>#N/A</v>
      </c>
      <c r="G117" s="162" t="e">
        <f>IF(AND(ISNUMBER(G14),ISNUMBER(AC117)),AC117/Population!M49,NA())</f>
        <v>#N/A</v>
      </c>
      <c r="H117" s="164" t="e">
        <f>IF(AND(ISNUMBER(H14),ISNUMBER(AD117)),AD117/Population!N49,NA())</f>
        <v>#N/A</v>
      </c>
      <c r="I117" s="96"/>
      <c r="J117" s="96"/>
      <c r="K117" s="166"/>
      <c r="L117" s="166"/>
      <c r="M117" s="166"/>
      <c r="N117" s="166"/>
      <c r="O117" s="166"/>
      <c r="P117" s="166"/>
      <c r="Q117" s="166"/>
      <c r="R117" s="167"/>
      <c r="S117" s="159"/>
      <c r="T117" s="159"/>
      <c r="U117" s="166"/>
      <c r="V117" s="122"/>
      <c r="W117" s="139"/>
      <c r="X117" s="152"/>
      <c r="Y117" s="372" t="str">
        <f t="shared" si="31"/>
        <v>Hampshire</v>
      </c>
      <c r="Z117" s="489" t="str">
        <f>IF(Year1_Hampshire Year1_16_17_not_known="","",Year1_Hampshire Year1_16_17_not_known)</f>
        <v/>
      </c>
      <c r="AA117" s="372" t="str">
        <f>IF(Year2_Hampshire Year2_16_17_not_known="","",Year2_Hampshire Year2_16_17_not_known)</f>
        <v/>
      </c>
      <c r="AB117" s="372" t="str">
        <f>IF(Year3_Hampshire Year3_16_17_not_known="","",Year3_Hampshire Year3_16_17_not_known)</f>
        <v/>
      </c>
      <c r="AC117" s="372" t="str">
        <f>IF(Year4_Hampshire Year4_16_17_not_known="","",Year4_Hampshire Year4_16_17_not_known)</f>
        <v/>
      </c>
      <c r="AD117" s="372" t="str">
        <f>IF(Year5_Hampshire Year5_16_17_not_known="","",Year5_Hampshire Year5_16_17_not_known)</f>
        <v/>
      </c>
      <c r="AE117" s="381"/>
      <c r="AF117" s="612"/>
      <c r="AG117" s="383"/>
      <c r="AH117" s="383"/>
      <c r="AI117" s="383"/>
      <c r="AJ117" s="596"/>
      <c r="AK117" s="161"/>
    </row>
    <row r="118" spans="1:45" s="87" customFormat="1" ht="12.75" customHeight="1" x14ac:dyDescent="0.2">
      <c r="A118" s="488">
        <f>VLOOKUP(B118,Sheet1!$AQ$4:$AR$25,2,FALSE)</f>
        <v>0</v>
      </c>
      <c r="B118" s="93" t="str">
        <f t="shared" si="30"/>
        <v>Isle of Wight</v>
      </c>
      <c r="C118" s="85"/>
      <c r="D118" s="162" t="e">
        <f>IF(AND(ISNUMBER(D15),ISNUMBER(Z118)),Z118/Population!J50,NA())</f>
        <v>#N/A</v>
      </c>
      <c r="E118" s="162" t="e">
        <f>IF(AND(ISNUMBER(E15),ISNUMBER(AA118)),AA118/Population!K50,NA())</f>
        <v>#N/A</v>
      </c>
      <c r="F118" s="162" t="e">
        <f>IF(AND(ISNUMBER(F15),ISNUMBER(AB118)),AB118/Population!L50,NA())</f>
        <v>#N/A</v>
      </c>
      <c r="G118" s="162" t="e">
        <f>IF(AND(ISNUMBER(G15),ISNUMBER(AC118)),AC118/Population!M50,NA())</f>
        <v>#N/A</v>
      </c>
      <c r="H118" s="164" t="e">
        <f>IF(AND(ISNUMBER(H15),ISNUMBER(AD118)),AD118/Population!N50,NA())</f>
        <v>#N/A</v>
      </c>
      <c r="I118" s="96"/>
      <c r="J118" s="96"/>
      <c r="K118" s="166"/>
      <c r="L118" s="166"/>
      <c r="M118" s="166"/>
      <c r="N118" s="166"/>
      <c r="O118" s="166"/>
      <c r="P118" s="166"/>
      <c r="Q118" s="166"/>
      <c r="R118" s="167"/>
      <c r="S118" s="159"/>
      <c r="T118" s="159"/>
      <c r="U118" s="166"/>
      <c r="V118" s="122"/>
      <c r="W118" s="139"/>
      <c r="X118" s="152"/>
      <c r="Y118" s="372" t="str">
        <f t="shared" si="31"/>
        <v>Isle of Wight</v>
      </c>
      <c r="Z118" s="489" t="str">
        <f>IF(Year1_Isle_of_Wight Year1_16_17_not_known="","",Year1_Isle_of_Wight Year1_16_17_not_known)</f>
        <v/>
      </c>
      <c r="AA118" s="372" t="str">
        <f>IF(Year2_Isle_of_Wight Year2_16_17_not_known="","",Year2_Isle_of_Wight Year2_16_17_not_known)</f>
        <v/>
      </c>
      <c r="AB118" s="372" t="str">
        <f>IF(Year3_Isle_of_Wight Year3_16_17_not_known="","",Year3_Isle_of_Wight Year3_16_17_not_known)</f>
        <v/>
      </c>
      <c r="AC118" s="372" t="str">
        <f>IF(Year4_Isle_of_Wight Year4_16_17_not_known="","",Year4_Isle_of_Wight Year4_16_17_not_known)</f>
        <v/>
      </c>
      <c r="AD118" s="372" t="str">
        <f>IF(Year5_Isle_of_Wight Year5_16_17_not_known="","",Year5_Isle_of_Wight Year5_16_17_not_known)</f>
        <v/>
      </c>
      <c r="AE118" s="381"/>
      <c r="AF118" s="612"/>
      <c r="AG118" s="383"/>
      <c r="AH118" s="383"/>
      <c r="AI118" s="383"/>
      <c r="AJ118" s="596"/>
      <c r="AK118" s="160"/>
      <c r="AS118" s="87" t="s">
        <v>102</v>
      </c>
    </row>
    <row r="119" spans="1:45" s="87" customFormat="1" ht="12.75" customHeight="1" x14ac:dyDescent="0.2">
      <c r="A119" s="488">
        <f>VLOOKUP(B119,Sheet1!$AQ$4:$AR$25,2,FALSE)</f>
        <v>0</v>
      </c>
      <c r="B119" s="93" t="str">
        <f t="shared" si="30"/>
        <v>Kent</v>
      </c>
      <c r="C119" s="85"/>
      <c r="D119" s="162" t="e">
        <f>IF(AND(ISNUMBER(D16),ISNUMBER(Z119)),Z119/Population!J51,NA())</f>
        <v>#N/A</v>
      </c>
      <c r="E119" s="162" t="e">
        <f>IF(AND(ISNUMBER(E16),ISNUMBER(AA119)),AA119/Population!K51,NA())</f>
        <v>#N/A</v>
      </c>
      <c r="F119" s="162" t="e">
        <f>IF(AND(ISNUMBER(F16),ISNUMBER(AB119)),AB119/Population!L51,NA())</f>
        <v>#N/A</v>
      </c>
      <c r="G119" s="162" t="e">
        <f>IF(AND(ISNUMBER(G16),ISNUMBER(AC119)),AC119/Population!M51,NA())</f>
        <v>#N/A</v>
      </c>
      <c r="H119" s="164" t="e">
        <f>IF(AND(ISNUMBER(H16),ISNUMBER(AD119)),AD119/Population!N51,NA())</f>
        <v>#N/A</v>
      </c>
      <c r="I119" s="96"/>
      <c r="J119" s="96"/>
      <c r="K119" s="166"/>
      <c r="L119" s="166"/>
      <c r="M119" s="166"/>
      <c r="N119" s="166"/>
      <c r="O119" s="166"/>
      <c r="P119" s="166"/>
      <c r="Q119" s="166"/>
      <c r="R119" s="167"/>
      <c r="S119" s="159"/>
      <c r="T119" s="159"/>
      <c r="U119" s="166"/>
      <c r="V119" s="122"/>
      <c r="W119" s="139"/>
      <c r="X119" s="152"/>
      <c r="Y119" s="372" t="str">
        <f t="shared" si="31"/>
        <v>Kent</v>
      </c>
      <c r="Z119" s="489" t="str">
        <f>IF(Year1_Kent Year1_16_17_not_known="","",Year1_Kent Year1_16_17_not_known)</f>
        <v/>
      </c>
      <c r="AA119" s="372" t="str">
        <f>IF(Year2_Kent Year2_16_17_not_known="","",Year2_Kent Year2_16_17_not_known)</f>
        <v/>
      </c>
      <c r="AB119" s="372" t="str">
        <f>IF(Year3_Kent Year3_16_17_not_known="","",Year3_Kent Year3_16_17_not_known)</f>
        <v/>
      </c>
      <c r="AC119" s="372" t="str">
        <f>IF(Year4_Kent Year4_16_17_not_known="","",Year4_Kent Year4_16_17_not_known)</f>
        <v/>
      </c>
      <c r="AD119" s="372" t="str">
        <f>IF(Year5_Kent Year5_16_17_not_known="","",Year5_Kent Year5_16_17_not_known)</f>
        <v/>
      </c>
      <c r="AE119" s="381"/>
      <c r="AF119" s="382"/>
      <c r="AG119" s="383"/>
      <c r="AH119" s="383"/>
      <c r="AI119" s="383"/>
      <c r="AJ119" s="596"/>
      <c r="AK119" s="161"/>
    </row>
    <row r="120" spans="1:45" s="87" customFormat="1" ht="12.75" customHeight="1" x14ac:dyDescent="0.2">
      <c r="A120" s="488">
        <f>VLOOKUP(B120,Sheet1!$AQ$4:$AR$25,2,FALSE)</f>
        <v>0</v>
      </c>
      <c r="B120" s="93" t="str">
        <f t="shared" si="30"/>
        <v>Medway</v>
      </c>
      <c r="C120" s="85"/>
      <c r="D120" s="162" t="e">
        <f>IF(AND(ISNUMBER(D17),ISNUMBER(Z120)),Z120/Population!J52,NA())</f>
        <v>#N/A</v>
      </c>
      <c r="E120" s="162" t="e">
        <f>IF(AND(ISNUMBER(E17),ISNUMBER(AA120)),AA120/Population!K52,NA())</f>
        <v>#N/A</v>
      </c>
      <c r="F120" s="162" t="e">
        <f>IF(AND(ISNUMBER(F17),ISNUMBER(AB120)),AB120/Population!L52,NA())</f>
        <v>#N/A</v>
      </c>
      <c r="G120" s="162" t="e">
        <f>IF(AND(ISNUMBER(G17),ISNUMBER(AC120)),AC120/Population!M52,NA())</f>
        <v>#N/A</v>
      </c>
      <c r="H120" s="164" t="e">
        <f>IF(AND(ISNUMBER(H17),ISNUMBER(AD120)),AD120/Population!N52,NA())</f>
        <v>#N/A</v>
      </c>
      <c r="I120" s="96"/>
      <c r="J120" s="96"/>
      <c r="K120" s="166"/>
      <c r="L120" s="166"/>
      <c r="M120" s="166"/>
      <c r="N120" s="166"/>
      <c r="O120" s="166"/>
      <c r="P120" s="166"/>
      <c r="Q120" s="166"/>
      <c r="R120" s="167"/>
      <c r="S120" s="159"/>
      <c r="T120" s="159"/>
      <c r="U120" s="166"/>
      <c r="V120" s="122"/>
      <c r="W120" s="139"/>
      <c r="X120" s="152"/>
      <c r="Y120" s="372" t="str">
        <f t="shared" si="31"/>
        <v>Medway</v>
      </c>
      <c r="Z120" s="489" t="str">
        <f>IF(Year1_Medway Year1_16_17_not_known="","",Year1_Medway Year1_16_17_not_known)</f>
        <v/>
      </c>
      <c r="AA120" s="372" t="str">
        <f>IF(Year2_Medway Year2_16_17_not_known="","",Year2_Medway Year2_16_17_not_known)</f>
        <v/>
      </c>
      <c r="AB120" s="372" t="str">
        <f>IF(Year3_Medway Year3_16_17_not_known="","",Year3_Medway Year3_16_17_not_known)</f>
        <v/>
      </c>
      <c r="AC120" s="372" t="str">
        <f>IF(Year4_Medway Year4_16_17_not_known="","",Year4_Medway Year4_16_17_not_known)</f>
        <v/>
      </c>
      <c r="AD120" s="372" t="str">
        <f>IF(Year5_Medway Year5_16_17_not_known="","",Year5_Medway Year5_16_17_not_known)</f>
        <v/>
      </c>
      <c r="AE120" s="381"/>
      <c r="AF120" s="382"/>
      <c r="AG120" s="383"/>
      <c r="AH120" s="383"/>
      <c r="AI120" s="383"/>
      <c r="AJ120" s="596"/>
      <c r="AK120" s="160"/>
    </row>
    <row r="121" spans="1:45" s="87" customFormat="1" ht="12.75" customHeight="1" x14ac:dyDescent="0.2">
      <c r="A121" s="488">
        <f>VLOOKUP(B121,Sheet1!$AQ$4:$AR$25,2,FALSE)</f>
        <v>0</v>
      </c>
      <c r="B121" s="93" t="str">
        <f t="shared" si="30"/>
        <v>Milton Keynes</v>
      </c>
      <c r="C121" s="85"/>
      <c r="D121" s="162" t="e">
        <f>IF(AND(ISNUMBER(D18),ISNUMBER(Z121)),Z121/Population!J53,NA())</f>
        <v>#N/A</v>
      </c>
      <c r="E121" s="162" t="e">
        <f>IF(AND(ISNUMBER(E18),ISNUMBER(AA121)),AA121/Population!K53,NA())</f>
        <v>#N/A</v>
      </c>
      <c r="F121" s="162" t="e">
        <f>IF(AND(ISNUMBER(F18),ISNUMBER(AB121)),AB121/Population!L53,NA())</f>
        <v>#N/A</v>
      </c>
      <c r="G121" s="162" t="e">
        <f>IF(AND(ISNUMBER(G18),ISNUMBER(AC121)),AC121/Population!M53,NA())</f>
        <v>#N/A</v>
      </c>
      <c r="H121" s="164" t="e">
        <f>IF(AND(ISNUMBER(H18),ISNUMBER(AD121)),AD121/Population!N53,NA())</f>
        <v>#N/A</v>
      </c>
      <c r="I121" s="96"/>
      <c r="J121" s="96"/>
      <c r="K121" s="166"/>
      <c r="L121" s="166"/>
      <c r="M121" s="166"/>
      <c r="N121" s="166"/>
      <c r="O121" s="166"/>
      <c r="P121" s="166"/>
      <c r="Q121" s="166"/>
      <c r="R121" s="167"/>
      <c r="S121" s="159"/>
      <c r="T121" s="159"/>
      <c r="U121" s="166"/>
      <c r="V121" s="122"/>
      <c r="W121" s="139"/>
      <c r="X121" s="152"/>
      <c r="Y121" s="372" t="str">
        <f t="shared" si="31"/>
        <v>Milton Keynes</v>
      </c>
      <c r="Z121" s="489" t="str">
        <f>IF(Year1_Milton_Keynes Year1_16_17_not_known="","",Year1_Milton_Keynes Year1_16_17_not_known)</f>
        <v/>
      </c>
      <c r="AA121" s="372" t="str">
        <f>IF(Year2_Milton_Keynes Year2_16_17_not_known="","",Year2_Milton_Keynes Year2_16_17_not_known)</f>
        <v/>
      </c>
      <c r="AB121" s="372" t="str">
        <f>IF(Year3_Milton_Keynes Year3_16_17_not_known="","",Year3_Milton_Keynes Year3_16_17_not_known)</f>
        <v/>
      </c>
      <c r="AC121" s="372" t="str">
        <f>IF(Year4_Milton_Keynes Year4_16_17_not_known="","",Year4_Milton_Keynes Year4_16_17_not_known)</f>
        <v/>
      </c>
      <c r="AD121" s="372" t="str">
        <f>IF(Year5_Milton_Keynes Year5_16_17_not_known="","",Year5_Milton_Keynes Year5_16_17_not_known)</f>
        <v/>
      </c>
      <c r="AE121" s="381"/>
      <c r="AF121" s="382"/>
      <c r="AG121" s="383"/>
      <c r="AH121" s="383"/>
      <c r="AI121" s="383"/>
      <c r="AJ121" s="596"/>
      <c r="AK121" s="161"/>
    </row>
    <row r="122" spans="1:45" s="87" customFormat="1" ht="12.75" customHeight="1" x14ac:dyDescent="0.2">
      <c r="A122" s="488">
        <f>VLOOKUP(B122,Sheet1!$AQ$4:$AR$25,2,FALSE)</f>
        <v>0</v>
      </c>
      <c r="B122" s="93" t="str">
        <f t="shared" si="30"/>
        <v>Oxfordshire</v>
      </c>
      <c r="C122" s="85"/>
      <c r="D122" s="162" t="e">
        <f>IF(AND(ISNUMBER(D19),ISNUMBER(Z122)),Z122/Population!J54,NA())</f>
        <v>#N/A</v>
      </c>
      <c r="E122" s="162" t="e">
        <f>IF(AND(ISNUMBER(E19),ISNUMBER(AA122)),AA122/Population!K54,NA())</f>
        <v>#N/A</v>
      </c>
      <c r="F122" s="162" t="e">
        <f>IF(AND(ISNUMBER(F19),ISNUMBER(AB122)),AB122/Population!L54,NA())</f>
        <v>#N/A</v>
      </c>
      <c r="G122" s="162" t="e">
        <f>IF(AND(ISNUMBER(G19),ISNUMBER(AC122)),AC122/Population!M54,NA())</f>
        <v>#N/A</v>
      </c>
      <c r="H122" s="164" t="e">
        <f>IF(AND(ISNUMBER(H19),ISNUMBER(AD122)),AD122/Population!N54,NA())</f>
        <v>#N/A</v>
      </c>
      <c r="I122" s="96"/>
      <c r="J122" s="96"/>
      <c r="K122" s="166"/>
      <c r="L122" s="166"/>
      <c r="M122" s="166"/>
      <c r="N122" s="166"/>
      <c r="O122" s="166"/>
      <c r="P122" s="166"/>
      <c r="Q122" s="166"/>
      <c r="R122" s="167"/>
      <c r="S122" s="159"/>
      <c r="T122" s="159"/>
      <c r="U122" s="166"/>
      <c r="V122" s="122"/>
      <c r="W122" s="139"/>
      <c r="X122" s="152"/>
      <c r="Y122" s="372" t="str">
        <f t="shared" si="31"/>
        <v>Oxfordshire</v>
      </c>
      <c r="Z122" s="489" t="str">
        <f>IF(Year1_Oxfordshire Year1_16_17_not_known="","",Year1_Oxfordshire Year1_16_17_not_known)</f>
        <v/>
      </c>
      <c r="AA122" s="372" t="str">
        <f>IF(Year2_Oxfordshire Year2_16_17_not_known="","",Year2_Oxfordshire Year2_16_17_not_known)</f>
        <v/>
      </c>
      <c r="AB122" s="372" t="str">
        <f>IF(Year3_Oxfordshire Year3_16_17_not_known="","",Year3_Oxfordshire Year3_16_17_not_known)</f>
        <v/>
      </c>
      <c r="AC122" s="372" t="str">
        <f>IF(Year4_Oxfordshire Year4_16_17_not_known="","",Year4_Oxfordshire Year4_16_17_not_known)</f>
        <v/>
      </c>
      <c r="AD122" s="372" t="str">
        <f>IF(Year5_Oxfordshire Year5_16_17_not_known="","",Year5_Oxfordshire Year5_16_17_not_known)</f>
        <v/>
      </c>
      <c r="AE122" s="381"/>
      <c r="AF122" s="382"/>
      <c r="AG122" s="383"/>
      <c r="AH122" s="383"/>
      <c r="AI122" s="383"/>
      <c r="AJ122" s="596"/>
      <c r="AK122" s="160"/>
    </row>
    <row r="123" spans="1:45" s="87" customFormat="1" ht="12.75" customHeight="1" x14ac:dyDescent="0.2">
      <c r="A123" s="488">
        <f>VLOOKUP(B123,Sheet1!$AQ$4:$AR$25,2,FALSE)</f>
        <v>0</v>
      </c>
      <c r="B123" s="93" t="str">
        <f t="shared" si="30"/>
        <v>Portsmouth</v>
      </c>
      <c r="C123" s="85"/>
      <c r="D123" s="162" t="e">
        <f>IF(AND(ISNUMBER(D20),ISNUMBER(Z123)),Z123/Population!J55,NA())</f>
        <v>#N/A</v>
      </c>
      <c r="E123" s="162" t="e">
        <f>IF(AND(ISNUMBER(E20),ISNUMBER(AA123)),AA123/Population!K55,NA())</f>
        <v>#N/A</v>
      </c>
      <c r="F123" s="162" t="e">
        <f>IF(AND(ISNUMBER(F20),ISNUMBER(AB123)),AB123/Population!L55,NA())</f>
        <v>#N/A</v>
      </c>
      <c r="G123" s="162" t="e">
        <f>IF(AND(ISNUMBER(G20),ISNUMBER(AC123)),AC123/Population!M55,NA())</f>
        <v>#N/A</v>
      </c>
      <c r="H123" s="164" t="e">
        <f>IF(AND(ISNUMBER(H20),ISNUMBER(AD123)),AD123/Population!N55,NA())</f>
        <v>#N/A</v>
      </c>
      <c r="I123" s="96"/>
      <c r="J123" s="96"/>
      <c r="K123" s="166"/>
      <c r="L123" s="166"/>
      <c r="M123" s="166"/>
      <c r="N123" s="166"/>
      <c r="O123" s="166"/>
      <c r="P123" s="166"/>
      <c r="Q123" s="166"/>
      <c r="R123" s="167"/>
      <c r="S123" s="159"/>
      <c r="T123" s="159"/>
      <c r="U123" s="166"/>
      <c r="V123" s="122"/>
      <c r="W123" s="139"/>
      <c r="X123" s="152"/>
      <c r="Y123" s="372" t="str">
        <f t="shared" si="31"/>
        <v>Portsmouth</v>
      </c>
      <c r="Z123" s="489" t="str">
        <f>IF(Year1_Portsmouth Year1_16_17_not_known="","",Year1_Portsmouth Year1_16_17_not_known)</f>
        <v/>
      </c>
      <c r="AA123" s="372" t="str">
        <f>IF(Year2_Portsmouth Year2_16_17_not_known="","",Year2_Portsmouth Year2_16_17_not_known)</f>
        <v/>
      </c>
      <c r="AB123" s="372" t="str">
        <f>IF(Year3_Portsmouth Year3_16_17_not_known="","",Year3_Portsmouth Year3_16_17_not_known)</f>
        <v/>
      </c>
      <c r="AC123" s="372" t="str">
        <f>IF(Year4_Portsmouth Year4_16_17_not_known="","",Year4_Portsmouth Year4_16_17_not_known)</f>
        <v/>
      </c>
      <c r="AD123" s="372" t="str">
        <f>IF(Year5_Portsmouth Year5_16_17_not_known="","",Year5_Portsmouth Year5_16_17_not_known)</f>
        <v/>
      </c>
      <c r="AE123" s="381"/>
      <c r="AF123" s="382"/>
      <c r="AG123" s="383"/>
      <c r="AH123" s="383"/>
      <c r="AI123" s="383"/>
      <c r="AJ123" s="596"/>
      <c r="AK123" s="161"/>
    </row>
    <row r="124" spans="1:45" s="87" customFormat="1" ht="12.75" customHeight="1" x14ac:dyDescent="0.2">
      <c r="A124" s="488">
        <f>VLOOKUP(B124,Sheet1!$AQ$4:$AR$25,2,FALSE)</f>
        <v>0</v>
      </c>
      <c r="B124" s="93" t="str">
        <f t="shared" si="30"/>
        <v>Reading</v>
      </c>
      <c r="C124" s="85"/>
      <c r="D124" s="162" t="e">
        <f>IF(AND(ISNUMBER(D21),ISNUMBER(Z124)),Z124/Population!J56,NA())</f>
        <v>#N/A</v>
      </c>
      <c r="E124" s="162" t="e">
        <f>IF(AND(ISNUMBER(E21),ISNUMBER(AA124)),AA124/Population!K56,NA())</f>
        <v>#N/A</v>
      </c>
      <c r="F124" s="162" t="e">
        <f>IF(AND(ISNUMBER(F21),ISNUMBER(AB124)),AB124/Population!L56,NA())</f>
        <v>#N/A</v>
      </c>
      <c r="G124" s="162" t="e">
        <f>IF(AND(ISNUMBER(G21),ISNUMBER(AC124)),AC124/Population!M56,NA())</f>
        <v>#N/A</v>
      </c>
      <c r="H124" s="164" t="e">
        <f>IF(AND(ISNUMBER(H21),ISNUMBER(AD124)),AD124/Population!N56,NA())</f>
        <v>#N/A</v>
      </c>
      <c r="I124" s="96"/>
      <c r="J124" s="96"/>
      <c r="K124" s="166"/>
      <c r="L124" s="166"/>
      <c r="M124" s="166"/>
      <c r="N124" s="166"/>
      <c r="O124" s="166"/>
      <c r="P124" s="166"/>
      <c r="Q124" s="166"/>
      <c r="R124" s="167"/>
      <c r="S124" s="159"/>
      <c r="T124" s="159"/>
      <c r="U124" s="166"/>
      <c r="V124" s="122"/>
      <c r="W124" s="139"/>
      <c r="X124" s="152"/>
      <c r="Y124" s="372" t="str">
        <f t="shared" si="31"/>
        <v>Reading</v>
      </c>
      <c r="Z124" s="489" t="str">
        <f>IF(Year1_Reading Year1_16_17_not_known="","",Year1_Reading Year1_16_17_not_known)</f>
        <v/>
      </c>
      <c r="AA124" s="372" t="str">
        <f>IF(Year2_Reading Year2_16_17_not_known="","",Year2_Reading Year2_16_17_not_known)</f>
        <v/>
      </c>
      <c r="AB124" s="372" t="str">
        <f>IF(Year3_Reading Year3_16_17_not_known="","",Year3_Reading Year3_16_17_not_known)</f>
        <v/>
      </c>
      <c r="AC124" s="372" t="str">
        <f>IF(Year4_Reading Year4_16_17_not_known="","",Year4_Reading Year4_16_17_not_known)</f>
        <v/>
      </c>
      <c r="AD124" s="372" t="str">
        <f>IF(Year5_Reading Year5_16_17_not_known="","",Year5_Reading Year5_16_17_not_known)</f>
        <v/>
      </c>
      <c r="AE124" s="381"/>
      <c r="AF124" s="382"/>
      <c r="AG124" s="383"/>
      <c r="AH124" s="383"/>
      <c r="AI124" s="383"/>
      <c r="AJ124" s="596"/>
      <c r="AK124" s="160"/>
    </row>
    <row r="125" spans="1:45" s="87" customFormat="1" ht="12.75" customHeight="1" x14ac:dyDescent="0.2">
      <c r="A125" s="488">
        <f>VLOOKUP(B125,Sheet1!$AQ$4:$AR$25,2,FALSE)</f>
        <v>0</v>
      </c>
      <c r="B125" s="93" t="str">
        <f t="shared" si="30"/>
        <v>Slough</v>
      </c>
      <c r="C125" s="85"/>
      <c r="D125" s="162" t="e">
        <f>IF(AND(ISNUMBER(D22),ISNUMBER(Z125)),Z125/Population!J57,NA())</f>
        <v>#N/A</v>
      </c>
      <c r="E125" s="162" t="e">
        <f>IF(AND(ISNUMBER(E22),ISNUMBER(AA125)),AA125/Population!K57,NA())</f>
        <v>#N/A</v>
      </c>
      <c r="F125" s="162" t="e">
        <f>IF(AND(ISNUMBER(F22),ISNUMBER(AB125)),AB125/Population!L57,NA())</f>
        <v>#N/A</v>
      </c>
      <c r="G125" s="162" t="e">
        <f>IF(AND(ISNUMBER(G22),ISNUMBER(AC125)),AC125/Population!M57,NA())</f>
        <v>#N/A</v>
      </c>
      <c r="H125" s="164" t="e">
        <f>IF(AND(ISNUMBER(H22),ISNUMBER(AD125)),AD125/Population!N57,NA())</f>
        <v>#N/A</v>
      </c>
      <c r="I125" s="96"/>
      <c r="J125" s="96"/>
      <c r="K125" s="166"/>
      <c r="L125" s="166"/>
      <c r="M125" s="166"/>
      <c r="N125" s="166"/>
      <c r="O125" s="166"/>
      <c r="P125" s="166"/>
      <c r="Q125" s="166"/>
      <c r="R125" s="167"/>
      <c r="S125" s="159"/>
      <c r="T125" s="159"/>
      <c r="U125" s="166"/>
      <c r="V125" s="122"/>
      <c r="W125" s="139"/>
      <c r="X125" s="152"/>
      <c r="Y125" s="372" t="str">
        <f t="shared" si="31"/>
        <v>Slough</v>
      </c>
      <c r="Z125" s="489" t="str">
        <f>IF(Year1_Slough Year1_16_17_not_known="","",Year1_Slough Year1_16_17_not_known)</f>
        <v/>
      </c>
      <c r="AA125" s="372" t="str">
        <f>IF(Year2_Slough Year2_16_17_not_known="","",Year2_Slough Year2_16_17_not_known)</f>
        <v/>
      </c>
      <c r="AB125" s="372" t="str">
        <f>IF(Year3_Slough Year3_16_17_not_known="","",Year3_Slough Year3_16_17_not_known)</f>
        <v/>
      </c>
      <c r="AC125" s="372" t="str">
        <f>IF(Year4_Slough Year4_16_17_not_known="","",Year4_Slough Year4_16_17_not_known)</f>
        <v/>
      </c>
      <c r="AD125" s="372" t="str">
        <f>IF(Year5_Slough Year5_16_17_not_known="","",Year5_Slough Year5_16_17_not_known)</f>
        <v/>
      </c>
      <c r="AE125" s="381"/>
      <c r="AF125" s="382"/>
      <c r="AG125" s="383"/>
      <c r="AH125" s="383"/>
      <c r="AI125" s="383"/>
      <c r="AJ125" s="596"/>
      <c r="AK125" s="161"/>
    </row>
    <row r="126" spans="1:45" s="87" customFormat="1" ht="12.75" customHeight="1" x14ac:dyDescent="0.2">
      <c r="A126" s="488">
        <f>VLOOKUP(B126,Sheet1!$AQ$4:$AR$25,2,FALSE)</f>
        <v>0</v>
      </c>
      <c r="B126" s="93" t="str">
        <f t="shared" si="30"/>
        <v>Somerset</v>
      </c>
      <c r="C126" s="85"/>
      <c r="D126" s="162" t="e">
        <f>IF(AND(ISNUMBER(D23),ISNUMBER(Z126)),Z126/Population!J58,NA())</f>
        <v>#N/A</v>
      </c>
      <c r="E126" s="162" t="e">
        <f>IF(AND(ISNUMBER(E23),ISNUMBER(AA126)),AA126/Population!K58,NA())</f>
        <v>#N/A</v>
      </c>
      <c r="F126" s="162" t="e">
        <f>IF(AND(ISNUMBER(F23),ISNUMBER(AB126)),AB126/Population!L58,NA())</f>
        <v>#N/A</v>
      </c>
      <c r="G126" s="162" t="e">
        <f>IF(AND(ISNUMBER(G23),ISNUMBER(AC126)),AC126/Population!M58,NA())</f>
        <v>#N/A</v>
      </c>
      <c r="H126" s="164" t="e">
        <f>IF(AND(ISNUMBER(H23),ISNUMBER(AD126)),AD126/Population!N58,NA())</f>
        <v>#N/A</v>
      </c>
      <c r="I126" s="96"/>
      <c r="J126" s="96"/>
      <c r="K126" s="166"/>
      <c r="L126" s="166"/>
      <c r="M126" s="166"/>
      <c r="N126" s="166"/>
      <c r="O126" s="166"/>
      <c r="P126" s="166"/>
      <c r="Q126" s="166"/>
      <c r="R126" s="167"/>
      <c r="S126" s="159"/>
      <c r="T126" s="159"/>
      <c r="U126" s="166"/>
      <c r="V126" s="122"/>
      <c r="W126" s="139"/>
      <c r="X126" s="152"/>
      <c r="Y126" s="372" t="str">
        <f t="shared" si="31"/>
        <v>Somerset</v>
      </c>
      <c r="Z126" s="489" t="str">
        <f>IF(Year1_Somerset Year1_16_17_not_known="","",Year1_Somerset Year1_16_17_not_known)</f>
        <v/>
      </c>
      <c r="AA126" s="372" t="str">
        <f>IF(Year2_Somerset Year2_16_17_not_known="","",Year2_Somerset Year2_16_17_not_known)</f>
        <v/>
      </c>
      <c r="AB126" s="372" t="str">
        <f>IF(Year3_Somerset Year3_16_17_not_known="","",Year3_Somerset Year3_16_17_not_known)</f>
        <v/>
      </c>
      <c r="AC126" s="372" t="str">
        <f>IF(Year4_Somerset Year4_16_17_not_known="","",Year4_Somerset Year4_16_17_not_known)</f>
        <v/>
      </c>
      <c r="AD126" s="372" t="str">
        <f>IF(Year5_Somerset Year5_16_17_not_known="","",Year5_Somerset Year5_16_17_not_known)</f>
        <v/>
      </c>
      <c r="AE126" s="381"/>
      <c r="AF126" s="382"/>
      <c r="AG126" s="383"/>
      <c r="AH126" s="383"/>
      <c r="AI126" s="383"/>
      <c r="AJ126" s="596"/>
      <c r="AK126" s="160"/>
    </row>
    <row r="127" spans="1:45" s="87" customFormat="1" ht="12.75" customHeight="1" x14ac:dyDescent="0.2">
      <c r="A127" s="488">
        <f>VLOOKUP(B127,Sheet1!$AQ$4:$AR$25,2,FALSE)</f>
        <v>0</v>
      </c>
      <c r="B127" s="93" t="str">
        <f t="shared" si="30"/>
        <v>Southampton</v>
      </c>
      <c r="C127" s="85"/>
      <c r="D127" s="162" t="e">
        <f>IF(AND(ISNUMBER(D24),ISNUMBER(Z127)),Z127/Population!J59,NA())</f>
        <v>#N/A</v>
      </c>
      <c r="E127" s="162" t="e">
        <f>IF(AND(ISNUMBER(E24),ISNUMBER(AA127)),AA127/Population!K59,NA())</f>
        <v>#N/A</v>
      </c>
      <c r="F127" s="162" t="e">
        <f>IF(AND(ISNUMBER(F24),ISNUMBER(AB127)),AB127/Population!L59,NA())</f>
        <v>#N/A</v>
      </c>
      <c r="G127" s="162" t="e">
        <f>IF(AND(ISNUMBER(G24),ISNUMBER(AC127)),AC127/Population!M59,NA())</f>
        <v>#N/A</v>
      </c>
      <c r="H127" s="164" t="e">
        <f>IF(AND(ISNUMBER(H24),ISNUMBER(AD127)),AD127/Population!N59,NA())</f>
        <v>#N/A</v>
      </c>
      <c r="I127" s="96"/>
      <c r="J127" s="96"/>
      <c r="K127" s="166"/>
      <c r="L127" s="166"/>
      <c r="M127" s="166"/>
      <c r="N127" s="166"/>
      <c r="O127" s="166"/>
      <c r="P127" s="166"/>
      <c r="Q127" s="166"/>
      <c r="R127" s="167"/>
      <c r="S127" s="159"/>
      <c r="T127" s="159"/>
      <c r="U127" s="166"/>
      <c r="V127" s="122"/>
      <c r="W127" s="139"/>
      <c r="X127" s="152"/>
      <c r="Y127" s="372" t="str">
        <f t="shared" si="31"/>
        <v>Southampton</v>
      </c>
      <c r="Z127" s="489" t="str">
        <f>IF(Year1_Southampton Year1_16_17_not_known="","",Year1_Southampton Year1_16_17_not_known)</f>
        <v/>
      </c>
      <c r="AA127" s="372" t="str">
        <f>IF(Year2_Southampton Year2_16_17_not_known="","",Year2_Southampton Year2_16_17_not_known)</f>
        <v/>
      </c>
      <c r="AB127" s="372" t="str">
        <f>IF(Year3_Southampton Year3_16_17_not_known="","",Year3_Southampton Year3_16_17_not_known)</f>
        <v/>
      </c>
      <c r="AC127" s="372" t="str">
        <f>IF(Year4_Southampton Year4_16_17_not_known="","",Year4_Southampton Year4_16_17_not_known)</f>
        <v/>
      </c>
      <c r="AD127" s="372" t="str">
        <f>IF(Year5_Southampton Year5_16_17_not_known="","",Year5_Southampton Year5_16_17_not_known)</f>
        <v/>
      </c>
      <c r="AE127" s="381"/>
      <c r="AF127" s="382"/>
      <c r="AG127" s="383"/>
      <c r="AH127" s="383"/>
      <c r="AI127" s="383"/>
      <c r="AJ127" s="596"/>
      <c r="AK127" s="161"/>
    </row>
    <row r="128" spans="1:45" s="87" customFormat="1" ht="12.75" customHeight="1" x14ac:dyDescent="0.2">
      <c r="A128" s="488">
        <f>VLOOKUP(B128,Sheet1!$AQ$4:$AR$25,2,FALSE)</f>
        <v>0</v>
      </c>
      <c r="B128" s="93" t="str">
        <f t="shared" si="30"/>
        <v>Surrey</v>
      </c>
      <c r="C128" s="85"/>
      <c r="D128" s="162" t="e">
        <f>IF(AND(ISNUMBER(D25),ISNUMBER(Z128)),Z128/Population!J60,NA())</f>
        <v>#N/A</v>
      </c>
      <c r="E128" s="162" t="e">
        <f>IF(AND(ISNUMBER(E25),ISNUMBER(AA128)),AA128/Population!K60,NA())</f>
        <v>#N/A</v>
      </c>
      <c r="F128" s="162" t="e">
        <f>IF(AND(ISNUMBER(F25),ISNUMBER(AB128)),AB128/Population!L60,NA())</f>
        <v>#N/A</v>
      </c>
      <c r="G128" s="162" t="e">
        <f>IF(AND(ISNUMBER(G25),ISNUMBER(AC128)),AC128/Population!M60,NA())</f>
        <v>#N/A</v>
      </c>
      <c r="H128" s="164" t="e">
        <f>IF(AND(ISNUMBER(H25),ISNUMBER(AD128)),AD128/Population!N60,NA())</f>
        <v>#N/A</v>
      </c>
      <c r="I128" s="96"/>
      <c r="J128" s="96"/>
      <c r="K128" s="166"/>
      <c r="L128" s="166"/>
      <c r="M128" s="166"/>
      <c r="N128" s="166"/>
      <c r="O128" s="166"/>
      <c r="P128" s="166"/>
      <c r="Q128" s="166"/>
      <c r="R128" s="167"/>
      <c r="S128" s="159"/>
      <c r="T128" s="159"/>
      <c r="U128" s="166"/>
      <c r="V128" s="122"/>
      <c r="W128" s="139"/>
      <c r="X128" s="152"/>
      <c r="Y128" s="372" t="str">
        <f t="shared" si="31"/>
        <v>Surrey</v>
      </c>
      <c r="Z128" s="489" t="str">
        <f>IF(Year1_Surrey Year1_16_17_not_known="","",Year1_Surrey Year1_16_17_not_known)</f>
        <v/>
      </c>
      <c r="AA128" s="372" t="str">
        <f>IF(Year2_Surrey Year2_16_17_not_known="","",Year2_Surrey Year2_16_17_not_known)</f>
        <v/>
      </c>
      <c r="AB128" s="372" t="str">
        <f>IF(Year3_Surrey Year3_16_17_not_known="","",Year3_Surrey Year3_16_17_not_known)</f>
        <v/>
      </c>
      <c r="AC128" s="372" t="str">
        <f>IF(Year4_Surrey Year4_16_17_not_known="","",Year4_Surrey Year4_16_17_not_known)</f>
        <v/>
      </c>
      <c r="AD128" s="372" t="str">
        <f>IF(Year5_Surrey Year5_16_17_not_known="","",Year5_Surrey Year5_16_17_not_known)</f>
        <v/>
      </c>
      <c r="AE128" s="381"/>
      <c r="AF128" s="382"/>
      <c r="AG128" s="383"/>
      <c r="AH128" s="383"/>
      <c r="AI128" s="383"/>
      <c r="AJ128" s="596"/>
      <c r="AK128" s="160"/>
    </row>
    <row r="129" spans="1:59" s="87" customFormat="1" ht="12.75" customHeight="1" x14ac:dyDescent="0.2">
      <c r="A129" s="488">
        <f>VLOOKUP(B129,Sheet1!$AQ$4:$AR$25,2,FALSE)</f>
        <v>0</v>
      </c>
      <c r="B129" s="93" t="str">
        <f t="shared" si="30"/>
        <v>Swindon</v>
      </c>
      <c r="C129" s="85"/>
      <c r="D129" s="162" t="e">
        <f>IF(AND(ISNUMBER(D26),ISNUMBER(Z129)),Z129/Population!J61,NA())</f>
        <v>#N/A</v>
      </c>
      <c r="E129" s="162" t="e">
        <f>IF(AND(ISNUMBER(E26),ISNUMBER(AA129)),AA129/Population!K61,NA())</f>
        <v>#N/A</v>
      </c>
      <c r="F129" s="162" t="e">
        <f>IF(AND(ISNUMBER(F26),ISNUMBER(AB129)),AB129/Population!L61,NA())</f>
        <v>#N/A</v>
      </c>
      <c r="G129" s="162" t="e">
        <f>IF(AND(ISNUMBER(G26),ISNUMBER(AC129)),AC129/Population!M61,NA())</f>
        <v>#N/A</v>
      </c>
      <c r="H129" s="164" t="e">
        <f>IF(AND(ISNUMBER(H26),ISNUMBER(AD129)),AD129/Population!N61,NA())</f>
        <v>#N/A</v>
      </c>
      <c r="I129" s="96"/>
      <c r="J129" s="96"/>
      <c r="K129" s="166"/>
      <c r="L129" s="166"/>
      <c r="M129" s="166"/>
      <c r="N129" s="166"/>
      <c r="O129" s="166"/>
      <c r="P129" s="166"/>
      <c r="Q129" s="166"/>
      <c r="R129" s="167"/>
      <c r="S129" s="159"/>
      <c r="T129" s="159"/>
      <c r="U129" s="166"/>
      <c r="V129" s="122"/>
      <c r="W129" s="139"/>
      <c r="X129" s="152"/>
      <c r="Y129" s="372" t="str">
        <f t="shared" si="31"/>
        <v>Swindon</v>
      </c>
      <c r="Z129" s="489" t="str">
        <f>IF(Year1_Swindon Year1_16_17_not_known="","",Year1_Swindon Year1_16_17_not_known)</f>
        <v/>
      </c>
      <c r="AA129" s="372" t="str">
        <f>IF(Year2_Swindon Year2_16_17_not_known="","",Year2_Swindon Year2_16_17_not_known)</f>
        <v/>
      </c>
      <c r="AB129" s="372" t="str">
        <f>IF(Year3_Swindon Year3_16_17_not_known="","",Year3_Swindon Year3_16_17_not_known)</f>
        <v/>
      </c>
      <c r="AC129" s="372" t="str">
        <f>IF(Year4_Swindon Year4_16_17_not_known="","",Year4_Swindon Year4_16_17_not_known)</f>
        <v/>
      </c>
      <c r="AD129" s="372" t="str">
        <f>IF(Year5_Swindon Year5_16_17_not_known="","",Year5_Swindon Year5_16_17_not_known)</f>
        <v/>
      </c>
      <c r="AE129" s="381"/>
      <c r="AF129" s="382"/>
      <c r="AG129" s="383"/>
      <c r="AH129" s="383"/>
      <c r="AI129" s="383"/>
      <c r="AJ129" s="596"/>
      <c r="AK129" s="161"/>
    </row>
    <row r="130" spans="1:59" s="87" customFormat="1" ht="12.75" customHeight="1" x14ac:dyDescent="0.2">
      <c r="A130" s="488">
        <f>VLOOKUP(B130,Sheet1!$AQ$4:$AR$25,2,FALSE)</f>
        <v>0</v>
      </c>
      <c r="B130" s="93" t="str">
        <f t="shared" si="30"/>
        <v>Torbay</v>
      </c>
      <c r="C130" s="85"/>
      <c r="D130" s="162" t="e">
        <f>IF(AND(ISNUMBER(D27),ISNUMBER(Z130)),Z130/Population!J62,NA())</f>
        <v>#N/A</v>
      </c>
      <c r="E130" s="162" t="e">
        <f>IF(AND(ISNUMBER(E27),ISNUMBER(AA130)),AA130/Population!K62,NA())</f>
        <v>#N/A</v>
      </c>
      <c r="F130" s="162" t="e">
        <f>IF(AND(ISNUMBER(F27),ISNUMBER(AB130)),AB130/Population!L62,NA())</f>
        <v>#N/A</v>
      </c>
      <c r="G130" s="162" t="e">
        <f>IF(AND(ISNUMBER(G27),ISNUMBER(AC130)),AC130/Population!M62,NA())</f>
        <v>#N/A</v>
      </c>
      <c r="H130" s="164" t="e">
        <f>IF(AND(ISNUMBER(H27),ISNUMBER(AD130)),AD130/Population!N62,NA())</f>
        <v>#N/A</v>
      </c>
      <c r="I130" s="96"/>
      <c r="J130" s="96"/>
      <c r="K130" s="166"/>
      <c r="L130" s="166"/>
      <c r="M130" s="166"/>
      <c r="N130" s="166"/>
      <c r="O130" s="166"/>
      <c r="P130" s="166"/>
      <c r="Q130" s="166"/>
      <c r="R130" s="167"/>
      <c r="S130" s="159"/>
      <c r="T130" s="159"/>
      <c r="U130" s="166"/>
      <c r="V130" s="122"/>
      <c r="W130" s="139"/>
      <c r="X130" s="152"/>
      <c r="Y130" s="372" t="str">
        <f t="shared" si="31"/>
        <v>Torbay</v>
      </c>
      <c r="Z130" s="489" t="str">
        <f>IF(Year1_Torbay Year1_16_17_not_known="","",Year1_Torbay Year1_16_17_not_known)</f>
        <v/>
      </c>
      <c r="AA130" s="372" t="str">
        <f>IF(Year2_Torbay Year2_16_17_not_known="","",Year2_Torbay Year2_16_17_not_known)</f>
        <v/>
      </c>
      <c r="AB130" s="372" t="str">
        <f>IF(Year3_Torbay Year3_16_17_not_known="","",Year3_Torbay Year3_16_17_not_known)</f>
        <v/>
      </c>
      <c r="AC130" s="372" t="str">
        <f>IF(Year4_Torbay Year4_16_17_not_known="","",Year4_Torbay Year4_16_17_not_known)</f>
        <v/>
      </c>
      <c r="AD130" s="372" t="str">
        <f>IF(Year5_Torbay Year5_16_17_not_known="","",Year5_Torbay Year5_16_17_not_known)</f>
        <v/>
      </c>
      <c r="AE130" s="381"/>
      <c r="AF130" s="382"/>
      <c r="AG130" s="383"/>
      <c r="AH130" s="383"/>
      <c r="AI130" s="383"/>
      <c r="AJ130" s="596"/>
      <c r="AK130" s="160"/>
    </row>
    <row r="131" spans="1:59" s="87" customFormat="1" ht="12.75" customHeight="1" x14ac:dyDescent="0.2">
      <c r="A131" s="488">
        <f>VLOOKUP(B131,Sheet1!$AQ$4:$AR$25,2,FALSE)</f>
        <v>0</v>
      </c>
      <c r="B131" s="93" t="str">
        <f t="shared" si="30"/>
        <v>West Berkshire</v>
      </c>
      <c r="C131" s="85"/>
      <c r="D131" s="162" t="e">
        <f>IF(AND(ISNUMBER(D28),ISNUMBER(Z131)),Z131/Population!J63,NA())</f>
        <v>#N/A</v>
      </c>
      <c r="E131" s="162" t="e">
        <f>IF(AND(ISNUMBER(E28),ISNUMBER(AA131)),AA131/Population!K63,NA())</f>
        <v>#N/A</v>
      </c>
      <c r="F131" s="162" t="e">
        <f>IF(AND(ISNUMBER(F28),ISNUMBER(AB131)),AB131/Population!L63,NA())</f>
        <v>#N/A</v>
      </c>
      <c r="G131" s="162" t="e">
        <f>IF(AND(ISNUMBER(G28),ISNUMBER(AC131)),AC131/Population!M63,NA())</f>
        <v>#N/A</v>
      </c>
      <c r="H131" s="164" t="e">
        <f>IF(AND(ISNUMBER(H28),ISNUMBER(AD131)),AD131/Population!N63,NA())</f>
        <v>#N/A</v>
      </c>
      <c r="I131" s="96"/>
      <c r="J131" s="96"/>
      <c r="K131" s="166"/>
      <c r="L131" s="166"/>
      <c r="M131" s="166"/>
      <c r="N131" s="166"/>
      <c r="O131" s="166"/>
      <c r="P131" s="166"/>
      <c r="Q131" s="166"/>
      <c r="R131" s="167"/>
      <c r="S131" s="159"/>
      <c r="T131" s="159"/>
      <c r="U131" s="166"/>
      <c r="V131" s="122"/>
      <c r="W131" s="139"/>
      <c r="X131" s="152"/>
      <c r="Y131" s="372" t="str">
        <f t="shared" si="31"/>
        <v>West Berkshire</v>
      </c>
      <c r="Z131" s="489" t="str">
        <f>IF(Year1_West_Berkshire Year1_16_17_not_known="","",Year1_West_Berkshire Year1_16_17_not_known)</f>
        <v/>
      </c>
      <c r="AA131" s="372" t="str">
        <f>IF(Year2_West_Berkshire Year2_16_17_not_known="","",Year2_West_Berkshire Year2_16_17_not_known)</f>
        <v/>
      </c>
      <c r="AB131" s="372" t="str">
        <f>IF(Year3_West_Berkshire Year3_16_17_not_known="","",Year3_West_Berkshire Year3_16_17_not_known)</f>
        <v/>
      </c>
      <c r="AC131" s="372" t="str">
        <f>IF(Year4_West_Berkshire Year4_16_17_not_known="","",Year4_West_Berkshire Year4_16_17_not_known)</f>
        <v/>
      </c>
      <c r="AD131" s="580" t="str">
        <f>IF(Year5_West_Berkshire Year5_16_17_not_known="","",Year5_West_Berkshire Year5_16_17_not_known)</f>
        <v/>
      </c>
      <c r="AE131" s="381"/>
      <c r="AF131" s="382"/>
      <c r="AG131" s="383"/>
      <c r="AH131" s="383"/>
      <c r="AI131" s="383"/>
      <c r="AJ131" s="596"/>
      <c r="AK131" s="161"/>
    </row>
    <row r="132" spans="1:59" s="87" customFormat="1" ht="12.75" customHeight="1" x14ac:dyDescent="0.2">
      <c r="A132" s="488">
        <f>VLOOKUP(B132,Sheet1!$AQ$4:$AR$25,2,FALSE)</f>
        <v>0</v>
      </c>
      <c r="B132" s="93" t="str">
        <f t="shared" si="30"/>
        <v>West Sussex</v>
      </c>
      <c r="C132" s="85"/>
      <c r="D132" s="162" t="e">
        <f>IF(AND(ISNUMBER(D29),ISNUMBER(Z132)),Z132/Population!J64,NA())</f>
        <v>#N/A</v>
      </c>
      <c r="E132" s="162" t="e">
        <f>IF(AND(ISNUMBER(E29),ISNUMBER(AA132)),AA132/Population!K64,NA())</f>
        <v>#N/A</v>
      </c>
      <c r="F132" s="162" t="e">
        <f>IF(AND(ISNUMBER(F29),ISNUMBER(AB132)),AB132/Population!L64,NA())</f>
        <v>#N/A</v>
      </c>
      <c r="G132" s="162" t="e">
        <f>IF(AND(ISNUMBER(G29),ISNUMBER(AC132)),AC132/Population!M64,NA())</f>
        <v>#N/A</v>
      </c>
      <c r="H132" s="164" t="e">
        <f>IF(AND(ISNUMBER(H29),ISNUMBER(AD132)),AD132/Population!N64,NA())</f>
        <v>#N/A</v>
      </c>
      <c r="I132" s="96"/>
      <c r="J132" s="96"/>
      <c r="K132" s="166"/>
      <c r="L132" s="166"/>
      <c r="M132" s="166"/>
      <c r="N132" s="166"/>
      <c r="O132" s="166"/>
      <c r="P132" s="166"/>
      <c r="Q132" s="166"/>
      <c r="R132" s="167"/>
      <c r="S132" s="159"/>
      <c r="T132" s="159"/>
      <c r="U132" s="166"/>
      <c r="V132" s="122"/>
      <c r="W132" s="139"/>
      <c r="X132" s="152"/>
      <c r="Y132" s="372" t="str">
        <f t="shared" si="31"/>
        <v>West Sussex</v>
      </c>
      <c r="Z132" s="489" t="str">
        <f>IF(Year1_West_Sussex Year1_16_17_not_known="","",Year1_West_Sussex Year1_16_17_not_known)</f>
        <v/>
      </c>
      <c r="AA132" s="372" t="str">
        <f>IF(Year2_West_Sussex Year2_16_17_not_known="","",Year2_West_Sussex Year2_16_17_not_known)</f>
        <v/>
      </c>
      <c r="AB132" s="372" t="str">
        <f>IF(Year3_West_Sussex Year3_16_17_not_known="","",Year3_West_Sussex Year3_16_17_not_known)</f>
        <v/>
      </c>
      <c r="AC132" s="372" t="str">
        <f>IF(Year4_West_Sussex Year4_16_17_not_known="","",Year4_West_Sussex Year4_16_17_not_known)</f>
        <v/>
      </c>
      <c r="AD132" s="580" t="str">
        <f>IF(Year5_West_Sussex Year5_16_17_not_known="","",Year5_West_Sussex Year5_16_17_not_known)</f>
        <v/>
      </c>
      <c r="AE132" s="381"/>
      <c r="AF132" s="382"/>
      <c r="AG132" s="383"/>
      <c r="AH132" s="383"/>
      <c r="AI132" s="383"/>
      <c r="AJ132" s="596"/>
      <c r="AK132" s="160"/>
    </row>
    <row r="133" spans="1:59" s="87" customFormat="1" ht="12.75" customHeight="1" x14ac:dyDescent="0.2">
      <c r="A133" s="488">
        <f>VLOOKUP(B133,Sheet1!$AQ$4:$AR$25,2,FALSE)</f>
        <v>0</v>
      </c>
      <c r="B133" s="93" t="str">
        <f t="shared" si="30"/>
        <v>Windsor &amp; Maidenhead</v>
      </c>
      <c r="C133" s="85"/>
      <c r="D133" s="162" t="e">
        <f>IF(AND(ISNUMBER(D30),ISNUMBER(Z133)),Z133/Population!J65,NA())</f>
        <v>#N/A</v>
      </c>
      <c r="E133" s="162" t="e">
        <f>IF(AND(ISNUMBER(E30),ISNUMBER(AA133)),AA133/Population!K65,NA())</f>
        <v>#N/A</v>
      </c>
      <c r="F133" s="162" t="e">
        <f>IF(AND(ISNUMBER(F30),ISNUMBER(AB133)),AB133/Population!L65,NA())</f>
        <v>#N/A</v>
      </c>
      <c r="G133" s="162" t="e">
        <f>IF(AND(ISNUMBER(G30),ISNUMBER(AC133)),AC133/Population!M65,NA())</f>
        <v>#N/A</v>
      </c>
      <c r="H133" s="164" t="e">
        <f>IF(AND(ISNUMBER(H30),ISNUMBER(AD133)),AD133/Population!N65,NA())</f>
        <v>#N/A</v>
      </c>
      <c r="I133" s="96"/>
      <c r="J133" s="96"/>
      <c r="K133" s="166"/>
      <c r="L133" s="166"/>
      <c r="M133" s="166"/>
      <c r="N133" s="166"/>
      <c r="O133" s="166"/>
      <c r="P133" s="166"/>
      <c r="Q133" s="166"/>
      <c r="R133" s="167"/>
      <c r="S133" s="159"/>
      <c r="T133" s="159"/>
      <c r="U133" s="166"/>
      <c r="V133" s="122"/>
      <c r="W133" s="139"/>
      <c r="X133" s="152"/>
      <c r="Y133" s="372" t="str">
        <f t="shared" si="31"/>
        <v>Windsor &amp; Maidenhead</v>
      </c>
      <c r="Z133" s="489" t="str">
        <f>IF(Year1_Windsor_Maidenhead Year1_16_17_not_known="","",Year1_Windsor_Maidenhead Year1_16_17_not_known)</f>
        <v/>
      </c>
      <c r="AA133" s="372" t="str">
        <f>IF(Year2_Windsor_Maidenhead Year2_16_17_not_known="","",Year2_Windsor_Maidenhead Year2_16_17_not_known)</f>
        <v/>
      </c>
      <c r="AB133" s="372" t="str">
        <f>IF(Year3_Windsor_Maidenhead Year3_16_17_not_known="","",Year3_Windsor_Maidenhead Year3_16_17_not_known)</f>
        <v/>
      </c>
      <c r="AC133" s="372" t="str">
        <f>IF(Year4_Windsor_Maidenhead Year4_16_17_not_known="","",Year4_Windsor_Maidenhead Year4_16_17_not_known)</f>
        <v/>
      </c>
      <c r="AD133" s="580" t="str">
        <f>IF(Year5_Windsor_Maidenhead Year5_16_17_not_known="","",Year5_Windsor_Maidenhead Year5_16_17_not_known)</f>
        <v/>
      </c>
      <c r="AE133" s="381"/>
      <c r="AF133" s="382"/>
      <c r="AG133" s="383"/>
      <c r="AH133" s="383"/>
      <c r="AI133" s="383"/>
      <c r="AJ133" s="596"/>
      <c r="AK133" s="161"/>
    </row>
    <row r="134" spans="1:59" s="87" customFormat="1" ht="12.75" customHeight="1" x14ac:dyDescent="0.2">
      <c r="A134" s="488">
        <f>VLOOKUP(B134,Sheet1!$AQ$4:$AR$25,2,FALSE)</f>
        <v>0</v>
      </c>
      <c r="B134" s="93" t="str">
        <f t="shared" si="30"/>
        <v>Wokingham</v>
      </c>
      <c r="C134" s="85"/>
      <c r="D134" s="162" t="e">
        <f>IF(AND(ISNUMBER(D31),ISNUMBER(Z134)),Z134/Population!J66,NA())</f>
        <v>#N/A</v>
      </c>
      <c r="E134" s="162" t="e">
        <f>IF(AND(ISNUMBER(E31),ISNUMBER(AA134)),AA134/Population!K66,NA())</f>
        <v>#N/A</v>
      </c>
      <c r="F134" s="162" t="e">
        <f>IF(AND(ISNUMBER(F31),ISNUMBER(AB134)),AB134/Population!L66,NA())</f>
        <v>#N/A</v>
      </c>
      <c r="G134" s="162" t="e">
        <f>IF(AND(ISNUMBER(G31),ISNUMBER(AC134)),AC134/Population!M66,NA())</f>
        <v>#N/A</v>
      </c>
      <c r="H134" s="164" t="e">
        <f>IF(AND(ISNUMBER(H31),ISNUMBER(AD134)),AD134/Population!N66,NA())</f>
        <v>#N/A</v>
      </c>
      <c r="I134" s="96"/>
      <c r="J134" s="96"/>
      <c r="K134" s="166"/>
      <c r="L134" s="166"/>
      <c r="M134" s="166"/>
      <c r="N134" s="166"/>
      <c r="O134" s="166"/>
      <c r="P134" s="166"/>
      <c r="Q134" s="166"/>
      <c r="R134" s="167"/>
      <c r="S134" s="159"/>
      <c r="T134" s="159"/>
      <c r="U134" s="166"/>
      <c r="V134" s="122"/>
      <c r="W134" s="139"/>
      <c r="X134" s="152"/>
      <c r="Y134" s="372" t="str">
        <f t="shared" si="31"/>
        <v>Wokingham</v>
      </c>
      <c r="Z134" s="489" t="str">
        <f>IF(Year1_Wokingham Year1_16_17_not_known="","",Year1_Wokingham Year1_16_17_not_known)</f>
        <v/>
      </c>
      <c r="AA134" s="372" t="str">
        <f>IF(Year2_Wokingham Year2_16_17_not_known="","",Year2_Wokingham Year2_16_17_not_known)</f>
        <v/>
      </c>
      <c r="AB134" s="372" t="str">
        <f>IF(Year3_Wokingham Year3_16_17_not_known="","",Year3_Wokingham Year3_16_17_not_known)</f>
        <v/>
      </c>
      <c r="AC134" s="372" t="str">
        <f>IF(Year4_Wokingham Year4_16_17_not_known="","",Year4_Wokingham Year4_16_17_not_known)</f>
        <v/>
      </c>
      <c r="AD134" s="580" t="str">
        <f>IF(Year5_Wokingham Year5_16_17_not_known="","",Year5_Wokingham Year5_16_17_not_known)</f>
        <v/>
      </c>
      <c r="AE134" s="381"/>
      <c r="AF134" s="382"/>
      <c r="AG134" s="383"/>
      <c r="AH134" s="383"/>
      <c r="AI134" s="383"/>
      <c r="AJ134" s="596"/>
      <c r="AK134" s="160"/>
    </row>
    <row r="135" spans="1:59" s="87" customFormat="1" ht="12.75" customHeight="1" x14ac:dyDescent="0.2">
      <c r="A135" s="121"/>
      <c r="B135" s="129" t="str">
        <f t="shared" si="30"/>
        <v>South East</v>
      </c>
      <c r="C135" s="85"/>
      <c r="D135" s="163" t="e">
        <f>IF(AND(ISNUMBER(D32),ISNUMBER(Z135)),Z135/Population!J67,NA())</f>
        <v>#N/A</v>
      </c>
      <c r="E135" s="163" t="e">
        <f>IF(AND(ISNUMBER(E32),ISNUMBER(AA135)),AA135/Population!K67,NA())</f>
        <v>#N/A</v>
      </c>
      <c r="F135" s="163" t="e">
        <f>IF(AND(ISNUMBER(F32),ISNUMBER(AB135)),AB135/Population!L67,NA())</f>
        <v>#N/A</v>
      </c>
      <c r="G135" s="163" t="e">
        <f>IF(AND(ISNUMBER(G32),ISNUMBER(AC135)),AC135/Population!M67,NA())</f>
        <v>#N/A</v>
      </c>
      <c r="H135" s="165" t="e">
        <f>IF(AND(ISNUMBER(H32),ISNUMBER(AD135)),AD135/Population!N67,NA())</f>
        <v>#N/A</v>
      </c>
      <c r="I135" s="96"/>
      <c r="J135" s="96"/>
      <c r="K135" s="168"/>
      <c r="L135" s="168"/>
      <c r="M135" s="168"/>
      <c r="N135" s="168"/>
      <c r="O135" s="168"/>
      <c r="P135" s="168"/>
      <c r="Q135" s="168"/>
      <c r="R135" s="169"/>
      <c r="S135" s="159"/>
      <c r="T135" s="159"/>
      <c r="U135" s="170"/>
      <c r="V135" s="122"/>
      <c r="W135" s="139"/>
      <c r="X135" s="152"/>
      <c r="Y135" s="372" t="str">
        <f t="shared" si="31"/>
        <v>South East</v>
      </c>
      <c r="Z135" s="372" t="str">
        <f>IF(Year1_SouthEast Year1_16_17_not_known="","",Year1_SouthEast Year1_16_17_not_known)</f>
        <v/>
      </c>
      <c r="AA135" s="372" t="str">
        <f>IF(Year2_SouthEast Year2_16_17_not_known="","",Year2_SouthEast Year2_16_17_not_known)</f>
        <v/>
      </c>
      <c r="AB135" s="372" t="str">
        <f>IF(Year3_SouthEast Year3_16_17_not_known="","",Year3_SouthEast Year3_16_17_not_known)</f>
        <v/>
      </c>
      <c r="AC135" s="372" t="str">
        <f>IF(Year4_SouthEast Year4_16_17_not_known="","",Year4_SouthEast Year4_16_17_not_known)</f>
        <v/>
      </c>
      <c r="AD135" s="372" t="str">
        <f>IF(Year5_SouthEast Year5_16_17_not_known="","",Year5_SouthEast Year5_16_17_not_known)</f>
        <v/>
      </c>
      <c r="AE135" s="381"/>
      <c r="AF135" s="382"/>
      <c r="AG135" s="383"/>
      <c r="AH135" s="383"/>
      <c r="AI135" s="383"/>
      <c r="AJ135" s="596"/>
      <c r="AK135" s="161"/>
    </row>
    <row r="136" spans="1:59" s="87" customFormat="1" ht="12.75" customHeight="1" x14ac:dyDescent="0.2">
      <c r="A136" s="121"/>
      <c r="B136" s="329" t="str">
        <f t="shared" si="30"/>
        <v>England</v>
      </c>
      <c r="C136" s="85"/>
      <c r="D136" s="351" t="e">
        <f>IF(AND(ISNUMBER(D33),ISNUMBER(Z136)),Z136/Population!J68,NA())</f>
        <v>#N/A</v>
      </c>
      <c r="E136" s="351" t="e">
        <f>IF(AND(ISNUMBER(E33),ISNUMBER(AA136)),AA136/Population!K68,NA())</f>
        <v>#N/A</v>
      </c>
      <c r="F136" s="351" t="e">
        <f>IF(AND(ISNUMBER(F33),ISNUMBER(AB136)),AB136/Population!L68,NA())</f>
        <v>#N/A</v>
      </c>
      <c r="G136" s="351" t="e">
        <f>IF(AND(ISNUMBER(G33),ISNUMBER(AC136)),AC136/Population!M68,NA())</f>
        <v>#N/A</v>
      </c>
      <c r="H136" s="352" t="e">
        <f>IF(AND(ISNUMBER(H33),ISNUMBER(AD136)),AD136/Population!N68,NA())</f>
        <v>#N/A</v>
      </c>
      <c r="I136" s="96"/>
      <c r="J136" s="96"/>
      <c r="K136" s="168"/>
      <c r="L136" s="168"/>
      <c r="M136" s="168"/>
      <c r="N136" s="168"/>
      <c r="O136" s="168"/>
      <c r="P136" s="168"/>
      <c r="Q136" s="168"/>
      <c r="R136" s="169"/>
      <c r="S136" s="159"/>
      <c r="T136" s="159"/>
      <c r="U136" s="170"/>
      <c r="V136" s="122"/>
      <c r="W136" s="139"/>
      <c r="X136" s="152"/>
      <c r="Y136" s="372" t="str">
        <f t="shared" si="31"/>
        <v>England</v>
      </c>
      <c r="Z136" s="607" t="str">
        <f>IF(Year1_England Year1_16_17_not_known="","",Year1_England Year1_16_17_not_known)</f>
        <v/>
      </c>
      <c r="AA136" s="607" t="str">
        <f>IF(Year2_England Year2_16_17_not_known="","",Year2_England Year2_16_17_not_known)</f>
        <v/>
      </c>
      <c r="AB136" s="372" t="str">
        <f>IF(Year3_England Year3_16_17_not_known="","",Year3_England Year3_16_17_not_known)</f>
        <v/>
      </c>
      <c r="AC136" s="372" t="str">
        <f>IF(Year4_England Year4_16_17_not_known="","",Year4_England Year4_16_17_not_known)</f>
        <v/>
      </c>
      <c r="AD136" s="580" t="str">
        <f>IF(Year5_England Year5_16_17_not_known="","",Year5_England Year5_16_17_not_known)</f>
        <v/>
      </c>
      <c r="AE136" s="381"/>
      <c r="AF136" s="382"/>
      <c r="AG136" s="383"/>
      <c r="AH136" s="383"/>
      <c r="AI136" s="383"/>
      <c r="AJ136" s="596"/>
      <c r="AK136" s="160"/>
    </row>
    <row r="137" spans="1:59" s="87" customFormat="1" ht="7.5" customHeight="1" x14ac:dyDescent="0.2">
      <c r="A137" s="292"/>
      <c r="B137" s="96"/>
      <c r="C137" s="96"/>
      <c r="D137" s="96"/>
      <c r="E137" s="96"/>
      <c r="F137" s="96"/>
      <c r="G137" s="96"/>
      <c r="H137" s="96"/>
      <c r="I137" s="96"/>
      <c r="J137" s="96"/>
      <c r="K137" s="168"/>
      <c r="L137" s="168"/>
      <c r="M137" s="168"/>
      <c r="N137" s="168"/>
      <c r="O137" s="168"/>
      <c r="P137" s="168"/>
      <c r="Q137" s="168"/>
      <c r="R137" s="169"/>
      <c r="S137" s="159"/>
      <c r="T137" s="159"/>
      <c r="U137" s="170"/>
      <c r="V137" s="122"/>
      <c r="W137" s="139"/>
      <c r="X137" s="152"/>
      <c r="Y137" s="81"/>
      <c r="Z137" s="81"/>
      <c r="AA137" s="196"/>
      <c r="AB137" s="196"/>
      <c r="AC137" s="197"/>
      <c r="AD137" s="197"/>
      <c r="AE137" s="199"/>
      <c r="AF137" s="202"/>
      <c r="AG137" s="202"/>
      <c r="AH137" s="202"/>
      <c r="AI137" s="190"/>
      <c r="AJ137" s="202"/>
      <c r="AK137" s="160"/>
    </row>
    <row r="138" spans="1:59" s="81" customFormat="1" ht="38.25" customHeight="1" x14ac:dyDescent="0.2">
      <c r="A138" s="217"/>
      <c r="B138" s="392"/>
      <c r="C138" s="392"/>
      <c r="D138" s="392"/>
      <c r="E138" s="392"/>
      <c r="F138" s="392"/>
      <c r="G138" s="392"/>
      <c r="H138" s="392"/>
      <c r="I138" s="392"/>
      <c r="J138" s="172"/>
      <c r="K138" s="172"/>
      <c r="L138" s="172"/>
      <c r="M138" s="172"/>
      <c r="N138" s="172"/>
      <c r="O138" s="172"/>
      <c r="P138" s="172"/>
      <c r="Q138" s="172"/>
      <c r="R138" s="136"/>
      <c r="S138" s="172"/>
      <c r="T138" s="172"/>
      <c r="U138" s="172"/>
      <c r="V138" s="117"/>
      <c r="W138" s="137"/>
      <c r="X138" s="150"/>
      <c r="AD138" s="197"/>
      <c r="AE138" s="199"/>
      <c r="AF138" s="184"/>
      <c r="AG138" s="184"/>
      <c r="AH138" s="184"/>
      <c r="AJ138" s="184"/>
      <c r="AK138" s="161"/>
    </row>
    <row r="139" spans="1:59" s="81" customFormat="1" ht="39" customHeight="1" x14ac:dyDescent="0.2">
      <c r="A139" s="217"/>
      <c r="B139" s="392"/>
      <c r="C139" s="392"/>
      <c r="D139" s="392"/>
      <c r="E139" s="392"/>
      <c r="F139" s="392"/>
      <c r="G139" s="392"/>
      <c r="H139" s="392"/>
      <c r="I139" s="392"/>
      <c r="J139" s="172"/>
      <c r="K139" s="172"/>
      <c r="L139" s="172"/>
      <c r="M139" s="172"/>
      <c r="N139" s="172"/>
      <c r="O139" s="172"/>
      <c r="P139" s="172"/>
      <c r="Q139" s="172"/>
      <c r="R139" s="136"/>
      <c r="S139" s="172"/>
      <c r="T139" s="172"/>
      <c r="U139" s="172"/>
      <c r="V139" s="117"/>
      <c r="W139" s="137"/>
      <c r="X139" s="150"/>
      <c r="Z139" s="190"/>
      <c r="AE139" s="199"/>
      <c r="AF139" s="184"/>
      <c r="AG139" s="184"/>
      <c r="AH139" s="184"/>
      <c r="AJ139" s="184"/>
      <c r="AK139" s="161"/>
    </row>
    <row r="140" spans="1:59" s="81" customFormat="1" ht="38.25" customHeight="1" x14ac:dyDescent="0.2">
      <c r="A140" s="217"/>
      <c r="B140" s="392"/>
      <c r="C140" s="392"/>
      <c r="D140" s="392"/>
      <c r="E140" s="392"/>
      <c r="F140" s="392"/>
      <c r="G140" s="392"/>
      <c r="H140" s="392"/>
      <c r="I140" s="392"/>
      <c r="J140" s="172"/>
      <c r="K140" s="172"/>
      <c r="L140" s="172"/>
      <c r="M140" s="172"/>
      <c r="N140" s="172"/>
      <c r="O140" s="172"/>
      <c r="P140" s="172"/>
      <c r="Q140" s="172"/>
      <c r="R140" s="136"/>
      <c r="S140" s="172"/>
      <c r="T140" s="172"/>
      <c r="U140" s="172"/>
      <c r="V140" s="117"/>
      <c r="W140" s="137"/>
      <c r="X140" s="150"/>
      <c r="Z140" s="190"/>
      <c r="AE140" s="199"/>
      <c r="AF140" s="184"/>
      <c r="AG140" s="184"/>
      <c r="AH140" s="184"/>
      <c r="AJ140" s="184"/>
      <c r="AK140" s="161"/>
    </row>
    <row r="141" spans="1:59" s="81" customFormat="1" ht="7.5" customHeight="1" x14ac:dyDescent="0.2">
      <c r="A141" s="118"/>
      <c r="B141" s="17"/>
      <c r="C141" s="17"/>
      <c r="D141" s="16"/>
      <c r="E141" s="16"/>
      <c r="F141" s="16"/>
      <c r="G141" s="16"/>
      <c r="H141" s="16"/>
      <c r="I141" s="16"/>
      <c r="J141" s="12"/>
      <c r="K141" s="18"/>
      <c r="L141" s="18"/>
      <c r="M141" s="18"/>
      <c r="N141" s="18"/>
      <c r="O141" s="18"/>
      <c r="P141" s="18"/>
      <c r="Q141" s="18"/>
      <c r="R141" s="18"/>
      <c r="S141" s="18"/>
      <c r="T141" s="18"/>
      <c r="U141" s="19"/>
      <c r="V141" s="117"/>
      <c r="W141" s="137"/>
      <c r="X141" s="150"/>
      <c r="Z141" s="190"/>
      <c r="AJ141" s="184"/>
      <c r="AK141" s="157"/>
      <c r="AL141" s="74"/>
      <c r="AM141" s="74"/>
      <c r="AN141" s="74"/>
      <c r="AO141" s="74"/>
      <c r="AP141" s="74"/>
      <c r="AQ141" s="74"/>
      <c r="AR141" s="74"/>
    </row>
    <row r="142" spans="1:59" s="81" customFormat="1" ht="15" customHeight="1" x14ac:dyDescent="0.2">
      <c r="A142" s="1716"/>
      <c r="B142" s="1760"/>
      <c r="C142" s="1760"/>
      <c r="D142" s="1760"/>
      <c r="E142" s="1760"/>
      <c r="F142" s="1760"/>
      <c r="G142" s="1760"/>
      <c r="H142" s="1760"/>
      <c r="I142" s="1760"/>
      <c r="J142" s="1760"/>
      <c r="K142" s="1760"/>
      <c r="L142" s="1760"/>
      <c r="M142" s="1760"/>
      <c r="N142" s="1760"/>
      <c r="O142" s="1760"/>
      <c r="P142" s="1760"/>
      <c r="Q142" s="1760"/>
      <c r="R142" s="1760"/>
      <c r="S142" s="1760"/>
      <c r="T142" s="1760"/>
      <c r="U142" s="1760"/>
      <c r="V142" s="1761"/>
      <c r="W142" s="137"/>
      <c r="X142" s="150"/>
      <c r="Z142" s="2003"/>
      <c r="AA142" s="1076"/>
      <c r="AB142" s="1077"/>
      <c r="AC142" s="1077"/>
      <c r="AD142" s="1077"/>
      <c r="AE142" s="1077"/>
      <c r="AK142" s="161"/>
      <c r="AT142" s="74"/>
    </row>
    <row r="143" spans="1:59" s="81" customFormat="1" ht="11.25" customHeight="1" x14ac:dyDescent="0.2">
      <c r="A143" s="1765" t="str">
        <f>Home!$A$39</f>
        <v xml:space="preserve"> </v>
      </c>
      <c r="B143" s="1766"/>
      <c r="C143" s="1766"/>
      <c r="D143" s="1766"/>
      <c r="E143" s="1766"/>
      <c r="F143" s="1766"/>
      <c r="G143" s="1766"/>
      <c r="H143" s="1766"/>
      <c r="I143" s="1767"/>
      <c r="J143" s="1766"/>
      <c r="K143" s="1766"/>
      <c r="L143" s="1766"/>
      <c r="M143" s="1766"/>
      <c r="N143" s="1766"/>
      <c r="O143" s="1766"/>
      <c r="P143" s="1768"/>
      <c r="Q143" s="1766"/>
      <c r="R143" s="1766"/>
      <c r="S143" s="1766"/>
      <c r="T143" s="1767"/>
      <c r="U143" s="1766"/>
      <c r="V143" s="1769"/>
      <c r="W143" s="137"/>
      <c r="X143" s="150"/>
      <c r="Z143" s="2003"/>
      <c r="AA143" s="1078"/>
      <c r="AB143" s="1078"/>
      <c r="AC143" s="1078"/>
      <c r="AD143" s="1078"/>
      <c r="AE143" s="1078"/>
      <c r="AJ143" s="184"/>
      <c r="AK143" s="160"/>
      <c r="AL143" s="87"/>
      <c r="AT143" s="74"/>
    </row>
    <row r="144" spans="1:59" ht="11.25" customHeight="1" x14ac:dyDescent="0.2">
      <c r="A144" s="142"/>
      <c r="B144" s="9"/>
      <c r="C144" s="9"/>
      <c r="D144" s="9"/>
      <c r="E144" s="9"/>
      <c r="F144" s="58"/>
      <c r="G144" s="58"/>
      <c r="H144" s="58"/>
      <c r="I144" s="58"/>
      <c r="J144" s="114"/>
      <c r="K144" s="113"/>
      <c r="L144" s="113"/>
      <c r="M144" s="113"/>
      <c r="N144" s="113"/>
      <c r="O144" s="113"/>
      <c r="P144" s="113"/>
      <c r="Q144" s="113"/>
      <c r="R144" s="113"/>
      <c r="S144" s="113"/>
      <c r="T144" s="113"/>
      <c r="U144" s="113"/>
      <c r="V144" s="113"/>
      <c r="W144" s="137"/>
      <c r="X144" s="150"/>
      <c r="Z144" s="296"/>
      <c r="AA144" s="1079"/>
      <c r="AB144" s="1079"/>
      <c r="AC144" s="1079"/>
      <c r="AD144" s="1079"/>
      <c r="AE144" s="1079"/>
      <c r="AF144" s="1074"/>
      <c r="AG144" s="1074"/>
      <c r="AH144" s="1074"/>
      <c r="AI144" s="1074"/>
      <c r="AJ144" s="1074"/>
      <c r="AK144" s="157"/>
      <c r="AS144" s="81"/>
      <c r="AT144" s="81"/>
      <c r="AU144" s="81"/>
      <c r="AV144" s="81"/>
      <c r="AW144" s="81"/>
      <c r="AX144" s="81"/>
      <c r="AY144" s="81"/>
      <c r="AZ144" s="81"/>
      <c r="BA144" s="81"/>
      <c r="BB144" s="81"/>
      <c r="BC144" s="81"/>
      <c r="BD144" s="81"/>
      <c r="BE144" s="81"/>
      <c r="BF144" s="81"/>
      <c r="BG144" s="81"/>
    </row>
    <row r="145" spans="1:44" ht="11.25" customHeight="1" x14ac:dyDescent="0.2">
      <c r="A145" s="142"/>
      <c r="B145" s="9"/>
      <c r="C145" s="9"/>
      <c r="D145" s="9"/>
      <c r="E145" s="9"/>
      <c r="F145" s="58"/>
      <c r="G145" s="58"/>
      <c r="H145" s="58"/>
      <c r="I145" s="58"/>
      <c r="J145" s="12"/>
      <c r="K145" s="9"/>
      <c r="L145" s="9"/>
      <c r="M145" s="9"/>
      <c r="N145" s="9"/>
      <c r="O145" s="9"/>
      <c r="P145" s="9"/>
      <c r="Q145" s="9"/>
      <c r="R145" s="9"/>
      <c r="S145" s="9"/>
      <c r="T145" s="9"/>
      <c r="U145" s="9"/>
      <c r="V145" s="9"/>
      <c r="W145" s="137"/>
      <c r="X145" s="150"/>
      <c r="Z145" s="296"/>
      <c r="AA145" s="1079"/>
      <c r="AB145" s="1079"/>
      <c r="AC145" s="1079"/>
      <c r="AD145" s="1079"/>
      <c r="AE145" s="1079"/>
      <c r="AF145" s="1074"/>
      <c r="AG145" s="1074"/>
      <c r="AH145" s="1074"/>
      <c r="AI145" s="1074"/>
      <c r="AJ145" s="1074"/>
      <c r="AK145" s="157"/>
      <c r="AM145" s="81"/>
      <c r="AN145" s="81"/>
      <c r="AO145" s="81"/>
      <c r="AP145" s="81"/>
      <c r="AQ145" s="81"/>
      <c r="AR145" s="81"/>
    </row>
    <row r="146" spans="1:44" ht="11.25" customHeight="1" x14ac:dyDescent="0.2">
      <c r="A146" s="142"/>
      <c r="B146" s="1685" t="s">
        <v>82</v>
      </c>
      <c r="C146" s="1685"/>
      <c r="D146" s="1685"/>
      <c r="E146" s="1685"/>
      <c r="F146" s="1685"/>
      <c r="G146" s="1685"/>
      <c r="H146" s="1685"/>
      <c r="I146" s="1685"/>
      <c r="J146" s="12"/>
      <c r="K146" s="9"/>
      <c r="L146" s="9"/>
      <c r="M146" s="9"/>
      <c r="N146" s="9"/>
      <c r="O146" s="9"/>
      <c r="P146" s="9"/>
      <c r="Q146" s="9"/>
      <c r="R146" s="9"/>
      <c r="S146" s="9"/>
      <c r="T146" s="9"/>
      <c r="U146" s="9"/>
      <c r="V146" s="9"/>
      <c r="W146" s="137"/>
      <c r="X146" s="150"/>
      <c r="Z146" s="296"/>
      <c r="AA146" s="1079"/>
      <c r="AB146" s="1079"/>
      <c r="AC146" s="1079"/>
      <c r="AD146" s="1079"/>
      <c r="AE146" s="1079"/>
      <c r="AF146" s="1074"/>
      <c r="AG146" s="1074"/>
      <c r="AH146" s="1074"/>
      <c r="AI146" s="1074"/>
      <c r="AJ146" s="1074"/>
      <c r="AK146" s="157"/>
      <c r="AM146" s="81"/>
      <c r="AN146" s="81"/>
      <c r="AO146" s="81"/>
      <c r="AP146" s="81"/>
      <c r="AQ146" s="81"/>
      <c r="AR146" s="81"/>
    </row>
    <row r="147" spans="1:44" ht="11.25" customHeight="1" x14ac:dyDescent="0.2">
      <c r="A147" s="142"/>
      <c r="B147" s="1685"/>
      <c r="C147" s="1685"/>
      <c r="D147" s="1685"/>
      <c r="E147" s="1685"/>
      <c r="F147" s="1685"/>
      <c r="G147" s="1685"/>
      <c r="H147" s="1685"/>
      <c r="I147" s="1685"/>
      <c r="J147" s="12"/>
      <c r="K147" s="9"/>
      <c r="L147" s="9"/>
      <c r="M147" s="9"/>
      <c r="N147" s="9"/>
      <c r="O147" s="9"/>
      <c r="P147" s="9"/>
      <c r="Q147" s="9"/>
      <c r="R147" s="9"/>
      <c r="S147" s="9"/>
      <c r="T147" s="9"/>
      <c r="U147" s="9"/>
      <c r="V147" s="9"/>
      <c r="W147" s="137"/>
      <c r="X147" s="150"/>
      <c r="Z147" s="296"/>
      <c r="AA147" s="1079"/>
      <c r="AB147" s="1079"/>
      <c r="AC147" s="1079"/>
      <c r="AD147" s="1079"/>
      <c r="AE147" s="1079"/>
      <c r="AF147" s="1074"/>
      <c r="AG147" s="1074"/>
      <c r="AH147" s="1074"/>
      <c r="AI147" s="1074"/>
      <c r="AJ147" s="1074"/>
      <c r="AK147" s="157"/>
    </row>
    <row r="148" spans="1:44" ht="11.25" customHeight="1" x14ac:dyDescent="0.2">
      <c r="A148" s="142"/>
      <c r="B148" s="1680" t="s">
        <v>800</v>
      </c>
      <c r="C148" s="1680"/>
      <c r="D148" s="1680"/>
      <c r="E148" s="1680"/>
      <c r="F148" s="1680"/>
      <c r="G148" s="1680"/>
      <c r="H148" s="1680"/>
      <c r="I148" s="1680"/>
      <c r="J148" s="12"/>
      <c r="K148" s="9"/>
      <c r="L148" s="9"/>
      <c r="M148" s="9"/>
      <c r="N148" s="9"/>
      <c r="O148" s="9"/>
      <c r="P148" s="9"/>
      <c r="Q148" s="9"/>
      <c r="R148" s="9"/>
      <c r="S148" s="9"/>
      <c r="T148" s="9"/>
      <c r="U148" s="9"/>
      <c r="V148" s="9"/>
      <c r="W148" s="137"/>
      <c r="X148" s="150"/>
      <c r="Z148" s="296"/>
      <c r="AA148" s="1079"/>
      <c r="AB148" s="1079"/>
      <c r="AC148" s="1079"/>
      <c r="AD148" s="1079"/>
      <c r="AE148" s="1079"/>
      <c r="AF148" s="1074"/>
      <c r="AG148" s="1074"/>
      <c r="AH148" s="1074"/>
      <c r="AI148" s="1074"/>
      <c r="AJ148" s="1074"/>
      <c r="AK148" s="157"/>
    </row>
    <row r="149" spans="1:44" ht="11.25" customHeight="1" x14ac:dyDescent="0.2">
      <c r="A149" s="142"/>
      <c r="B149" s="1680"/>
      <c r="C149" s="1680"/>
      <c r="D149" s="1680"/>
      <c r="E149" s="1680"/>
      <c r="F149" s="1680"/>
      <c r="G149" s="1680"/>
      <c r="H149" s="1680"/>
      <c r="I149" s="1680"/>
      <c r="J149" s="12"/>
      <c r="K149" s="9"/>
      <c r="L149" s="9"/>
      <c r="M149" s="9"/>
      <c r="N149" s="9"/>
      <c r="O149" s="9"/>
      <c r="P149" s="9"/>
      <c r="Q149" s="9"/>
      <c r="R149" s="9"/>
      <c r="S149" s="9"/>
      <c r="T149" s="9"/>
      <c r="U149" s="9"/>
      <c r="V149" s="9"/>
      <c r="W149" s="137"/>
      <c r="X149" s="150"/>
      <c r="Z149" s="296"/>
      <c r="AA149" s="1079"/>
      <c r="AB149" s="1079"/>
      <c r="AC149" s="1079"/>
      <c r="AD149" s="1079"/>
      <c r="AE149" s="1079"/>
      <c r="AF149" s="1074"/>
      <c r="AG149" s="1074"/>
      <c r="AH149" s="1074"/>
      <c r="AI149" s="1074"/>
      <c r="AJ149" s="1074"/>
      <c r="AK149" s="158"/>
    </row>
    <row r="150" spans="1:44" s="76" customFormat="1" ht="11.25" customHeight="1" x14ac:dyDescent="0.2">
      <c r="A150" s="142"/>
      <c r="B150" s="1680" t="s">
        <v>81</v>
      </c>
      <c r="C150" s="1680"/>
      <c r="D150" s="1680"/>
      <c r="E150" s="1680"/>
      <c r="F150" s="1680"/>
      <c r="G150" s="1680"/>
      <c r="H150" s="1680"/>
      <c r="I150" s="1680"/>
      <c r="J150" s="14"/>
      <c r="K150" s="14"/>
      <c r="L150" s="14"/>
      <c r="M150" s="14"/>
      <c r="N150" s="14"/>
      <c r="O150" s="14"/>
      <c r="P150" s="14"/>
      <c r="Q150" s="14"/>
      <c r="R150" s="14"/>
      <c r="S150" s="14"/>
      <c r="T150" s="14"/>
      <c r="U150" s="14"/>
      <c r="V150" s="14"/>
      <c r="W150" s="140"/>
      <c r="X150" s="154"/>
      <c r="Y150" s="81"/>
      <c r="Z150" s="296"/>
      <c r="AA150" s="1075"/>
      <c r="AB150" s="1075"/>
      <c r="AC150" s="1075"/>
      <c r="AD150" s="1075"/>
      <c r="AE150" s="1075"/>
      <c r="AF150" s="1074"/>
      <c r="AG150" s="1074"/>
      <c r="AH150" s="1074"/>
      <c r="AI150" s="1074"/>
      <c r="AJ150" s="1074"/>
      <c r="AK150" s="157"/>
    </row>
    <row r="151" spans="1:44" ht="11.25" customHeight="1" x14ac:dyDescent="0.2">
      <c r="A151" s="142"/>
      <c r="B151" s="1680"/>
      <c r="C151" s="1680"/>
      <c r="D151" s="1680"/>
      <c r="E151" s="1680"/>
      <c r="F151" s="1680"/>
      <c r="G151" s="1680"/>
      <c r="H151" s="1680"/>
      <c r="I151" s="1680"/>
      <c r="J151" s="12"/>
      <c r="K151" s="9"/>
      <c r="L151" s="9"/>
      <c r="M151" s="9"/>
      <c r="N151" s="9"/>
      <c r="O151" s="9"/>
      <c r="P151" s="9"/>
      <c r="Q151" s="9"/>
      <c r="R151" s="9"/>
      <c r="S151" s="9"/>
      <c r="T151" s="9"/>
      <c r="U151" s="9"/>
      <c r="V151" s="9"/>
      <c r="W151" s="137"/>
      <c r="X151" s="150"/>
      <c r="Z151" s="296"/>
      <c r="AA151" s="1075"/>
      <c r="AB151" s="1075"/>
      <c r="AC151" s="1075"/>
      <c r="AD151" s="1075"/>
      <c r="AE151" s="1075"/>
      <c r="AF151" s="1074"/>
      <c r="AG151" s="1074"/>
      <c r="AH151" s="1074"/>
      <c r="AI151" s="1074"/>
      <c r="AJ151" s="1074"/>
      <c r="AK151" s="157"/>
    </row>
    <row r="152" spans="1:44" ht="11.25" customHeight="1" x14ac:dyDescent="0.2">
      <c r="A152" s="142"/>
      <c r="B152" s="1680" t="s">
        <v>78</v>
      </c>
      <c r="C152" s="1680"/>
      <c r="D152" s="1680"/>
      <c r="E152" s="1680"/>
      <c r="F152" s="1680"/>
      <c r="G152" s="1680"/>
      <c r="H152" s="1680"/>
      <c r="I152" s="1680"/>
      <c r="J152" s="12"/>
      <c r="K152" s="9"/>
      <c r="L152" s="9"/>
      <c r="M152" s="9"/>
      <c r="N152" s="9"/>
      <c r="O152" s="9"/>
      <c r="P152" s="9"/>
      <c r="Q152" s="9"/>
      <c r="R152" s="9"/>
      <c r="S152" s="9"/>
      <c r="T152" s="9"/>
      <c r="U152" s="9"/>
      <c r="V152" s="9"/>
      <c r="W152" s="137"/>
      <c r="X152" s="150"/>
      <c r="Z152" s="296"/>
      <c r="AA152" s="1075"/>
      <c r="AB152" s="1075"/>
      <c r="AC152" s="1075"/>
      <c r="AD152" s="1075"/>
      <c r="AE152" s="1075"/>
      <c r="AF152" s="1074"/>
      <c r="AG152" s="1074"/>
      <c r="AH152" s="1074"/>
      <c r="AI152" s="1074"/>
      <c r="AJ152" s="1074"/>
      <c r="AK152" s="157"/>
      <c r="AL152" s="76"/>
      <c r="AM152" s="76"/>
    </row>
    <row r="153" spans="1:44" ht="11.25" customHeight="1" x14ac:dyDescent="0.2">
      <c r="A153" s="142"/>
      <c r="B153" s="1680"/>
      <c r="C153" s="1680"/>
      <c r="D153" s="1680"/>
      <c r="E153" s="1680"/>
      <c r="F153" s="1680"/>
      <c r="G153" s="1680"/>
      <c r="H153" s="1680"/>
      <c r="I153" s="1680"/>
      <c r="J153" s="12"/>
      <c r="K153" s="9"/>
      <c r="L153" s="9"/>
      <c r="M153" s="9"/>
      <c r="N153" s="9"/>
      <c r="O153" s="9"/>
      <c r="P153" s="9"/>
      <c r="Q153" s="9"/>
      <c r="R153" s="9"/>
      <c r="S153" s="9"/>
      <c r="T153" s="9"/>
      <c r="U153" s="9"/>
      <c r="V153" s="9"/>
      <c r="W153" s="137"/>
      <c r="X153" s="150"/>
      <c r="Z153" s="296"/>
      <c r="AA153" s="1075"/>
      <c r="AB153" s="1075"/>
      <c r="AC153" s="1075"/>
      <c r="AD153" s="1075"/>
      <c r="AE153" s="1075"/>
      <c r="AF153" s="1074"/>
      <c r="AG153" s="1074"/>
      <c r="AH153" s="1074"/>
      <c r="AI153" s="1074"/>
      <c r="AJ153" s="1074"/>
      <c r="AK153" s="157"/>
    </row>
    <row r="154" spans="1:44" ht="11.25" customHeight="1" x14ac:dyDescent="0.2">
      <c r="A154" s="142"/>
      <c r="B154" s="1680" t="s">
        <v>17</v>
      </c>
      <c r="C154" s="1680"/>
      <c r="D154" s="1680"/>
      <c r="E154" s="1680"/>
      <c r="F154" s="1680"/>
      <c r="G154" s="1680"/>
      <c r="H154" s="1680"/>
      <c r="I154" s="1680"/>
      <c r="J154" s="12"/>
      <c r="K154" s="9"/>
      <c r="L154" s="9"/>
      <c r="M154" s="9"/>
      <c r="N154" s="9"/>
      <c r="O154" s="9"/>
      <c r="P154" s="9"/>
      <c r="Q154" s="9"/>
      <c r="R154" s="9"/>
      <c r="S154" s="9"/>
      <c r="T154" s="9"/>
      <c r="U154" s="9"/>
      <c r="V154" s="11"/>
      <c r="W154" s="252"/>
      <c r="X154" s="150"/>
      <c r="Z154" s="296"/>
      <c r="AA154" s="1075"/>
      <c r="AB154" s="1075"/>
      <c r="AC154" s="1075"/>
      <c r="AD154" s="1075"/>
      <c r="AE154" s="1075"/>
      <c r="AF154" s="1074"/>
      <c r="AG154" s="1074"/>
      <c r="AH154" s="1074"/>
      <c r="AI154" s="1074"/>
      <c r="AJ154" s="1074"/>
      <c r="AK154" s="157"/>
      <c r="AL154" s="76"/>
      <c r="AM154" s="76"/>
    </row>
    <row r="155" spans="1:44" ht="11.25" customHeight="1" x14ac:dyDescent="0.2">
      <c r="A155" s="142"/>
      <c r="B155" s="1680"/>
      <c r="C155" s="1680"/>
      <c r="D155" s="1680"/>
      <c r="E155" s="1680"/>
      <c r="F155" s="1680"/>
      <c r="G155" s="1680"/>
      <c r="H155" s="1680"/>
      <c r="I155" s="1680"/>
      <c r="J155" s="12"/>
      <c r="K155" s="9"/>
      <c r="L155" s="9"/>
      <c r="M155" s="9"/>
      <c r="N155" s="9"/>
      <c r="O155" s="9"/>
      <c r="P155" s="9"/>
      <c r="Q155" s="9"/>
      <c r="R155" s="9"/>
      <c r="S155" s="9"/>
      <c r="T155" s="9"/>
      <c r="U155" s="9"/>
      <c r="V155" s="11"/>
      <c r="W155" s="252"/>
      <c r="X155" s="150"/>
      <c r="Z155" s="296"/>
      <c r="AA155" s="1075"/>
      <c r="AB155" s="1075"/>
      <c r="AC155" s="1075"/>
      <c r="AD155" s="1075"/>
      <c r="AE155" s="1075"/>
      <c r="AF155" s="1074"/>
      <c r="AG155" s="1074"/>
      <c r="AH155" s="1074"/>
      <c r="AI155" s="1074"/>
      <c r="AJ155" s="1074"/>
      <c r="AK155" s="157"/>
    </row>
    <row r="156" spans="1:44" ht="11.25" customHeight="1" x14ac:dyDescent="0.2">
      <c r="A156" s="142"/>
      <c r="B156" s="1680" t="s">
        <v>658</v>
      </c>
      <c r="C156" s="1680"/>
      <c r="D156" s="1680"/>
      <c r="E156" s="1680"/>
      <c r="F156" s="1680"/>
      <c r="G156" s="1680"/>
      <c r="H156" s="1680"/>
      <c r="I156" s="1680"/>
      <c r="J156" s="12"/>
      <c r="K156" s="9"/>
      <c r="L156" s="9"/>
      <c r="M156" s="9"/>
      <c r="N156" s="9"/>
      <c r="O156" s="9"/>
      <c r="P156" s="9"/>
      <c r="Q156" s="9"/>
      <c r="R156" s="9"/>
      <c r="S156" s="9"/>
      <c r="T156" s="9"/>
      <c r="U156" s="9"/>
      <c r="V156" s="11"/>
      <c r="W156" s="252"/>
      <c r="X156" s="150"/>
      <c r="Z156" s="296"/>
      <c r="AA156" s="1075"/>
      <c r="AB156" s="1075"/>
      <c r="AC156" s="1075"/>
      <c r="AD156" s="1075"/>
      <c r="AE156" s="1075"/>
      <c r="AF156" s="1074"/>
      <c r="AG156" s="1074"/>
      <c r="AH156" s="1074"/>
      <c r="AI156" s="1074"/>
      <c r="AJ156" s="1074"/>
      <c r="AK156" s="157"/>
      <c r="AL156" s="76"/>
      <c r="AM156" s="76"/>
    </row>
    <row r="157" spans="1:44" ht="11.25" customHeight="1" x14ac:dyDescent="0.2">
      <c r="A157" s="142"/>
      <c r="B157" s="1680"/>
      <c r="C157" s="1680"/>
      <c r="D157" s="1680"/>
      <c r="E157" s="1680"/>
      <c r="F157" s="1680"/>
      <c r="G157" s="1680"/>
      <c r="H157" s="1680"/>
      <c r="I157" s="1680"/>
      <c r="J157" s="12"/>
      <c r="K157" s="9"/>
      <c r="L157" s="9"/>
      <c r="M157" s="9"/>
      <c r="N157" s="9"/>
      <c r="O157" s="9"/>
      <c r="P157" s="9"/>
      <c r="Q157" s="9"/>
      <c r="R157" s="9"/>
      <c r="S157" s="9"/>
      <c r="T157" s="9"/>
      <c r="U157" s="9"/>
      <c r="V157" s="11"/>
      <c r="W157" s="252"/>
      <c r="X157" s="150"/>
      <c r="Z157" s="296"/>
      <c r="AA157" s="1075"/>
      <c r="AB157" s="1075"/>
      <c r="AC157" s="1075"/>
      <c r="AD157" s="1075"/>
      <c r="AE157" s="1075"/>
      <c r="AF157" s="1074"/>
      <c r="AG157" s="1074"/>
      <c r="AH157" s="1074"/>
      <c r="AI157" s="1074"/>
      <c r="AJ157" s="1074"/>
      <c r="AK157" s="157"/>
    </row>
    <row r="158" spans="1:44" ht="11.25" customHeight="1" x14ac:dyDescent="0.2">
      <c r="A158" s="142"/>
      <c r="B158" s="1680" t="s">
        <v>191</v>
      </c>
      <c r="C158" s="1680"/>
      <c r="D158" s="1680"/>
      <c r="E158" s="1680"/>
      <c r="F158" s="1680"/>
      <c r="G158" s="1680"/>
      <c r="H158" s="1680"/>
      <c r="I158" s="1680"/>
      <c r="J158" s="12"/>
      <c r="K158" s="9"/>
      <c r="L158" s="9"/>
      <c r="M158" s="9"/>
      <c r="N158" s="9"/>
      <c r="O158" s="9"/>
      <c r="P158" s="9"/>
      <c r="Q158" s="9"/>
      <c r="R158" s="9"/>
      <c r="S158" s="9"/>
      <c r="T158" s="9"/>
      <c r="U158" s="9"/>
      <c r="V158" s="11"/>
      <c r="W158" s="252"/>
      <c r="X158" s="150"/>
      <c r="Z158" s="296"/>
      <c r="AA158" s="1075"/>
      <c r="AB158" s="1075"/>
      <c r="AC158" s="1075"/>
      <c r="AD158" s="1075"/>
      <c r="AE158" s="1075"/>
      <c r="AF158" s="1074"/>
      <c r="AG158" s="1074"/>
      <c r="AH158" s="1074"/>
      <c r="AI158" s="1074"/>
      <c r="AJ158" s="1074"/>
      <c r="AK158" s="157"/>
      <c r="AL158" s="76"/>
      <c r="AM158" s="76"/>
    </row>
    <row r="159" spans="1:44" ht="11.25" customHeight="1" x14ac:dyDescent="0.2">
      <c r="A159" s="142"/>
      <c r="B159" s="1680"/>
      <c r="C159" s="1680"/>
      <c r="D159" s="1680"/>
      <c r="E159" s="1680"/>
      <c r="F159" s="1680"/>
      <c r="G159" s="1680"/>
      <c r="H159" s="1680"/>
      <c r="I159" s="1680"/>
      <c r="J159" s="12"/>
      <c r="K159" s="9"/>
      <c r="L159" s="9"/>
      <c r="M159" s="9"/>
      <c r="N159" s="9"/>
      <c r="O159" s="9"/>
      <c r="P159" s="9"/>
      <c r="Q159" s="9"/>
      <c r="R159" s="9"/>
      <c r="S159" s="9"/>
      <c r="T159" s="9"/>
      <c r="U159" s="9"/>
      <c r="V159" s="11"/>
      <c r="W159" s="252"/>
      <c r="X159" s="150"/>
      <c r="Z159" s="296"/>
      <c r="AA159" s="1075"/>
      <c r="AB159" s="1075"/>
      <c r="AC159" s="1075"/>
      <c r="AD159" s="1075"/>
      <c r="AE159" s="1075"/>
      <c r="AF159" s="1074"/>
      <c r="AG159" s="1074"/>
      <c r="AH159" s="1074"/>
      <c r="AI159" s="1074"/>
      <c r="AJ159" s="1074"/>
      <c r="AK159" s="157"/>
    </row>
    <row r="160" spans="1:44" ht="11.25" customHeight="1" x14ac:dyDescent="0.2">
      <c r="A160" s="142"/>
      <c r="B160" s="1680" t="s">
        <v>197</v>
      </c>
      <c r="C160" s="1680"/>
      <c r="D160" s="1680"/>
      <c r="E160" s="1680"/>
      <c r="F160" s="1680"/>
      <c r="G160" s="1680"/>
      <c r="H160" s="1680"/>
      <c r="I160" s="1680"/>
      <c r="J160" s="12"/>
      <c r="K160" s="9"/>
      <c r="L160" s="9"/>
      <c r="M160" s="9"/>
      <c r="N160" s="9"/>
      <c r="O160" s="9"/>
      <c r="P160" s="9"/>
      <c r="Q160" s="9"/>
      <c r="R160" s="9"/>
      <c r="S160" s="9"/>
      <c r="T160" s="9"/>
      <c r="U160" s="9"/>
      <c r="V160" s="9"/>
      <c r="W160" s="137"/>
      <c r="X160" s="150"/>
      <c r="Z160" s="296"/>
      <c r="AA160" s="1075"/>
      <c r="AB160" s="1075"/>
      <c r="AC160" s="1075"/>
      <c r="AD160" s="1075"/>
      <c r="AE160" s="1075"/>
      <c r="AF160" s="1074"/>
      <c r="AG160" s="1074"/>
      <c r="AH160" s="1074"/>
      <c r="AI160" s="1074"/>
      <c r="AJ160" s="1074"/>
      <c r="AK160" s="157"/>
      <c r="AL160" s="76"/>
      <c r="AM160" s="76"/>
    </row>
    <row r="161" spans="1:39" ht="11.25" customHeight="1" x14ac:dyDescent="0.2">
      <c r="A161" s="142"/>
      <c r="B161" s="1680"/>
      <c r="C161" s="1680"/>
      <c r="D161" s="1680"/>
      <c r="E161" s="1680"/>
      <c r="F161" s="1680"/>
      <c r="G161" s="1680"/>
      <c r="H161" s="1680"/>
      <c r="I161" s="1680"/>
      <c r="J161" s="12"/>
      <c r="K161" s="9"/>
      <c r="L161" s="9"/>
      <c r="M161" s="9"/>
      <c r="N161" s="9"/>
      <c r="O161" s="9"/>
      <c r="P161" s="9"/>
      <c r="Q161" s="9"/>
      <c r="R161" s="9"/>
      <c r="S161" s="9"/>
      <c r="T161" s="9"/>
      <c r="U161" s="9"/>
      <c r="V161" s="9"/>
      <c r="W161" s="137"/>
      <c r="X161" s="150"/>
      <c r="Z161" s="296"/>
      <c r="AA161" s="1075"/>
      <c r="AB161" s="1075"/>
      <c r="AC161" s="1075"/>
      <c r="AD161" s="1075"/>
      <c r="AE161" s="1075"/>
      <c r="AF161" s="1074"/>
      <c r="AG161" s="1074"/>
      <c r="AH161" s="1074"/>
      <c r="AI161" s="1074"/>
      <c r="AJ161" s="1074"/>
      <c r="AK161" s="157"/>
    </row>
    <row r="162" spans="1:39" ht="11.25" customHeight="1" x14ac:dyDescent="0.2">
      <c r="A162" s="142"/>
      <c r="B162" s="1680" t="s">
        <v>198</v>
      </c>
      <c r="C162" s="1680"/>
      <c r="D162" s="1680"/>
      <c r="E162" s="1680"/>
      <c r="F162" s="1680"/>
      <c r="G162" s="1680"/>
      <c r="H162" s="1680"/>
      <c r="I162" s="1680"/>
      <c r="J162" s="12"/>
      <c r="K162" s="9"/>
      <c r="L162" s="9"/>
      <c r="M162" s="9"/>
      <c r="N162" s="9"/>
      <c r="O162" s="9"/>
      <c r="P162" s="9"/>
      <c r="Q162" s="9"/>
      <c r="R162" s="9"/>
      <c r="S162" s="9"/>
      <c r="T162" s="9"/>
      <c r="U162" s="9"/>
      <c r="V162" s="9"/>
      <c r="W162" s="137"/>
      <c r="X162" s="150"/>
      <c r="Z162" s="296"/>
      <c r="AA162" s="1075"/>
      <c r="AB162" s="1075"/>
      <c r="AC162" s="1075"/>
      <c r="AD162" s="1075"/>
      <c r="AE162" s="1075"/>
      <c r="AF162" s="1074"/>
      <c r="AG162" s="1074"/>
      <c r="AH162" s="1074"/>
      <c r="AI162" s="1074"/>
      <c r="AJ162" s="1074"/>
      <c r="AK162" s="157"/>
      <c r="AL162" s="76"/>
      <c r="AM162" s="76"/>
    </row>
    <row r="163" spans="1:39" ht="11.25" customHeight="1" x14ac:dyDescent="0.2">
      <c r="A163" s="142"/>
      <c r="B163" s="1680"/>
      <c r="C163" s="1680"/>
      <c r="D163" s="1680"/>
      <c r="E163" s="1680"/>
      <c r="F163" s="1680"/>
      <c r="G163" s="1680"/>
      <c r="H163" s="1680"/>
      <c r="I163" s="1680"/>
      <c r="J163" s="12"/>
      <c r="K163" s="9"/>
      <c r="L163" s="9"/>
      <c r="M163" s="9"/>
      <c r="N163" s="9"/>
      <c r="O163" s="9"/>
      <c r="P163" s="9"/>
      <c r="Q163" s="9"/>
      <c r="R163" s="9"/>
      <c r="S163" s="9"/>
      <c r="T163" s="9"/>
      <c r="U163" s="9"/>
      <c r="V163" s="9"/>
      <c r="W163" s="137"/>
      <c r="X163" s="150"/>
      <c r="Z163" s="296"/>
      <c r="AA163" s="1075"/>
      <c r="AB163" s="1075"/>
      <c r="AC163" s="1075"/>
      <c r="AD163" s="1075"/>
      <c r="AE163" s="1075"/>
      <c r="AF163" s="1074"/>
      <c r="AG163" s="1074"/>
      <c r="AH163" s="1074"/>
      <c r="AI163" s="1074"/>
      <c r="AJ163" s="1074"/>
      <c r="AK163" s="157"/>
    </row>
    <row r="164" spans="1:39" ht="11.25" customHeight="1" x14ac:dyDescent="0.2">
      <c r="A164" s="142"/>
      <c r="B164" s="1680" t="s">
        <v>80</v>
      </c>
      <c r="C164" s="1680"/>
      <c r="D164" s="1680"/>
      <c r="E164" s="1680"/>
      <c r="F164" s="1680"/>
      <c r="G164" s="1680"/>
      <c r="H164" s="1680"/>
      <c r="I164" s="1680"/>
      <c r="J164" s="12"/>
      <c r="K164" s="9"/>
      <c r="L164" s="9"/>
      <c r="M164" s="9"/>
      <c r="N164" s="9"/>
      <c r="O164" s="9"/>
      <c r="P164" s="9"/>
      <c r="Q164" s="9"/>
      <c r="R164" s="9"/>
      <c r="S164" s="9"/>
      <c r="T164" s="9"/>
      <c r="U164" s="9"/>
      <c r="V164" s="9"/>
      <c r="W164" s="137"/>
      <c r="X164" s="150"/>
      <c r="Z164" s="296"/>
      <c r="AA164" s="1075"/>
      <c r="AB164" s="1075"/>
      <c r="AC164" s="1075"/>
      <c r="AD164" s="1075"/>
      <c r="AE164" s="1075"/>
      <c r="AF164" s="1074"/>
      <c r="AG164" s="1074"/>
      <c r="AH164" s="1074"/>
      <c r="AI164" s="1074"/>
      <c r="AJ164" s="1074"/>
      <c r="AK164" s="157"/>
      <c r="AL164" s="76"/>
      <c r="AM164" s="76"/>
    </row>
    <row r="165" spans="1:39" ht="11.25" customHeight="1" x14ac:dyDescent="0.2">
      <c r="A165" s="142"/>
      <c r="B165" s="1680"/>
      <c r="C165" s="1680"/>
      <c r="D165" s="1680"/>
      <c r="E165" s="1680"/>
      <c r="F165" s="1680"/>
      <c r="G165" s="1680"/>
      <c r="H165" s="1680"/>
      <c r="I165" s="1680"/>
      <c r="J165" s="12"/>
      <c r="K165" s="9"/>
      <c r="L165" s="9"/>
      <c r="M165" s="9"/>
      <c r="N165" s="9"/>
      <c r="O165" s="9"/>
      <c r="P165" s="9"/>
      <c r="Q165" s="9"/>
      <c r="R165" s="9"/>
      <c r="S165" s="9"/>
      <c r="T165" s="9"/>
      <c r="U165" s="9"/>
      <c r="V165" s="9"/>
      <c r="W165" s="137"/>
      <c r="X165" s="150"/>
      <c r="Z165" s="296"/>
      <c r="AA165" s="1075"/>
      <c r="AB165" s="1075"/>
      <c r="AC165" s="1075"/>
      <c r="AD165" s="1075"/>
      <c r="AE165" s="1075"/>
      <c r="AF165" s="1074"/>
      <c r="AG165" s="1074"/>
      <c r="AH165" s="1074"/>
      <c r="AI165" s="1074"/>
      <c r="AJ165" s="1074"/>
      <c r="AK165" s="157"/>
    </row>
    <row r="166" spans="1:39" ht="11.25" customHeight="1" x14ac:dyDescent="0.2">
      <c r="A166" s="142"/>
      <c r="B166" s="1680" t="s">
        <v>69</v>
      </c>
      <c r="C166" s="1680"/>
      <c r="D166" s="1680"/>
      <c r="E166" s="1680"/>
      <c r="F166" s="1680"/>
      <c r="G166" s="1680"/>
      <c r="H166" s="1680"/>
      <c r="I166" s="1680"/>
      <c r="J166" s="12"/>
      <c r="K166" s="9"/>
      <c r="L166" s="9"/>
      <c r="M166" s="9"/>
      <c r="N166" s="9"/>
      <c r="O166" s="9"/>
      <c r="P166" s="9"/>
      <c r="Q166" s="9"/>
      <c r="R166" s="9"/>
      <c r="S166" s="9"/>
      <c r="T166" s="9"/>
      <c r="U166" s="9"/>
      <c r="V166" s="9"/>
      <c r="W166" s="137"/>
      <c r="X166" s="150"/>
      <c r="Z166" s="296"/>
      <c r="AA166" s="1075"/>
      <c r="AB166" s="1075"/>
      <c r="AC166" s="1075"/>
      <c r="AD166" s="1075"/>
      <c r="AE166" s="1075"/>
      <c r="AF166" s="1074"/>
      <c r="AG166" s="1074"/>
      <c r="AH166" s="1074"/>
      <c r="AI166" s="1074"/>
      <c r="AJ166" s="1074"/>
      <c r="AK166" s="157"/>
    </row>
    <row r="167" spans="1:39" ht="11.25" customHeight="1" x14ac:dyDescent="0.2">
      <c r="A167" s="142"/>
      <c r="B167" s="1680"/>
      <c r="C167" s="1680"/>
      <c r="D167" s="1680"/>
      <c r="E167" s="1680"/>
      <c r="F167" s="1680"/>
      <c r="G167" s="1680"/>
      <c r="H167" s="1680"/>
      <c r="I167" s="1680"/>
      <c r="J167" s="12"/>
      <c r="K167" s="9"/>
      <c r="L167" s="9"/>
      <c r="M167" s="9"/>
      <c r="N167" s="9"/>
      <c r="O167" s="9"/>
      <c r="P167" s="9"/>
      <c r="Q167" s="9"/>
      <c r="R167" s="9"/>
      <c r="S167" s="9"/>
      <c r="T167" s="9"/>
      <c r="U167" s="9"/>
      <c r="V167" s="9"/>
      <c r="W167" s="137"/>
      <c r="X167" s="150"/>
      <c r="Z167" s="296"/>
      <c r="AA167" s="1075"/>
      <c r="AB167" s="1075"/>
      <c r="AC167" s="1075"/>
      <c r="AD167" s="1075"/>
      <c r="AE167" s="1075"/>
      <c r="AF167" s="1074"/>
      <c r="AG167" s="1074"/>
      <c r="AH167" s="1074"/>
      <c r="AI167" s="1074"/>
      <c r="AJ167" s="1074"/>
      <c r="AK167" s="157"/>
    </row>
    <row r="168" spans="1:39" ht="11.25" customHeight="1" x14ac:dyDescent="0.2">
      <c r="A168" s="142"/>
      <c r="B168" s="1680" t="s">
        <v>24</v>
      </c>
      <c r="C168" s="1680"/>
      <c r="D168" s="1680"/>
      <c r="E168" s="1680"/>
      <c r="F168" s="1680"/>
      <c r="G168" s="1680"/>
      <c r="H168" s="1680"/>
      <c r="I168" s="1680"/>
      <c r="J168" s="12"/>
      <c r="K168" s="9"/>
      <c r="L168" s="9"/>
      <c r="M168" s="9"/>
      <c r="N168" s="9"/>
      <c r="O168" s="9"/>
      <c r="P168" s="9"/>
      <c r="Q168" s="9"/>
      <c r="R168" s="9"/>
      <c r="S168" s="9"/>
      <c r="T168" s="9"/>
      <c r="U168" s="9"/>
      <c r="V168" s="9"/>
      <c r="W168" s="137"/>
      <c r="X168" s="150"/>
      <c r="AF168" s="82" t="b">
        <f>AF144=AA144</f>
        <v>1</v>
      </c>
      <c r="AG168" s="82" t="b">
        <f t="shared" ref="AG168:AJ168" si="32">AG144=AB144</f>
        <v>1</v>
      </c>
      <c r="AH168" s="82" t="b">
        <f t="shared" si="32"/>
        <v>1</v>
      </c>
      <c r="AI168" s="82" t="b">
        <f t="shared" si="32"/>
        <v>1</v>
      </c>
      <c r="AJ168" s="82" t="b">
        <f t="shared" si="32"/>
        <v>1</v>
      </c>
      <c r="AK168" s="157"/>
    </row>
    <row r="169" spans="1:39" ht="11.25" customHeight="1" x14ac:dyDescent="0.2">
      <c r="A169" s="142"/>
      <c r="B169" s="1680"/>
      <c r="C169" s="1680"/>
      <c r="D169" s="1680"/>
      <c r="E169" s="1680"/>
      <c r="F169" s="1680"/>
      <c r="G169" s="1680"/>
      <c r="H169" s="1680"/>
      <c r="I169" s="1680"/>
      <c r="J169" s="12"/>
      <c r="K169" s="9"/>
      <c r="L169" s="9"/>
      <c r="M169" s="9"/>
      <c r="N169" s="9"/>
      <c r="O169" s="9"/>
      <c r="P169" s="9"/>
      <c r="Q169" s="9"/>
      <c r="R169" s="9"/>
      <c r="S169" s="9"/>
      <c r="T169" s="9"/>
      <c r="U169" s="9"/>
      <c r="V169" s="9"/>
      <c r="W169" s="137"/>
      <c r="X169" s="150"/>
      <c r="AF169" s="82"/>
      <c r="AI169" s="184"/>
      <c r="AJ169" s="184"/>
      <c r="AK169" s="157"/>
    </row>
    <row r="170" spans="1:39" ht="11.25" customHeight="1" x14ac:dyDescent="0.2">
      <c r="A170" s="142"/>
      <c r="B170" s="1680" t="s">
        <v>22</v>
      </c>
      <c r="C170" s="1680"/>
      <c r="D170" s="1680"/>
      <c r="E170" s="1680"/>
      <c r="F170" s="1680"/>
      <c r="G170" s="1680"/>
      <c r="H170" s="1680"/>
      <c r="I170" s="1680"/>
      <c r="J170" s="12"/>
      <c r="K170" s="9"/>
      <c r="L170" s="9"/>
      <c r="M170" s="9"/>
      <c r="N170" s="9"/>
      <c r="O170" s="9"/>
      <c r="P170" s="9"/>
      <c r="Q170" s="9"/>
      <c r="R170" s="9"/>
      <c r="S170" s="9"/>
      <c r="T170" s="9"/>
      <c r="U170" s="9"/>
      <c r="V170" s="9"/>
      <c r="W170" s="137"/>
      <c r="X170" s="150"/>
      <c r="AF170" s="82"/>
      <c r="AI170" s="184"/>
      <c r="AJ170" s="184"/>
      <c r="AK170" s="157"/>
    </row>
    <row r="171" spans="1:39" ht="11.25" customHeight="1" x14ac:dyDescent="0.2">
      <c r="A171" s="142"/>
      <c r="B171" s="1680"/>
      <c r="C171" s="1680"/>
      <c r="D171" s="1680"/>
      <c r="E171" s="1680"/>
      <c r="F171" s="1680"/>
      <c r="G171" s="1680"/>
      <c r="H171" s="1680"/>
      <c r="I171" s="1680"/>
      <c r="J171" s="12"/>
      <c r="K171" s="9"/>
      <c r="L171" s="9"/>
      <c r="M171" s="9"/>
      <c r="N171" s="9"/>
      <c r="O171" s="9"/>
      <c r="P171" s="9"/>
      <c r="Q171" s="9"/>
      <c r="R171" s="9"/>
      <c r="S171" s="9"/>
      <c r="T171" s="9"/>
      <c r="U171" s="9"/>
      <c r="V171" s="9"/>
      <c r="W171" s="137"/>
      <c r="X171" s="150"/>
      <c r="AF171" s="82"/>
      <c r="AI171" s="184"/>
      <c r="AJ171" s="184"/>
      <c r="AK171" s="157"/>
    </row>
    <row r="172" spans="1:39" ht="11.25" customHeight="1" x14ac:dyDescent="0.2">
      <c r="A172" s="142"/>
      <c r="B172" s="1680" t="s">
        <v>25</v>
      </c>
      <c r="C172" s="1680"/>
      <c r="D172" s="1680"/>
      <c r="E172" s="1680"/>
      <c r="F172" s="1680"/>
      <c r="G172" s="1680"/>
      <c r="H172" s="1680"/>
      <c r="I172" s="1680"/>
      <c r="J172" s="12"/>
      <c r="K172" s="9"/>
      <c r="L172" s="9"/>
      <c r="M172" s="9"/>
      <c r="N172" s="9"/>
      <c r="O172" s="9"/>
      <c r="P172" s="9"/>
      <c r="Q172" s="9"/>
      <c r="R172" s="9"/>
      <c r="S172" s="9"/>
      <c r="T172" s="9"/>
      <c r="U172" s="9"/>
      <c r="V172" s="9"/>
      <c r="W172" s="137"/>
      <c r="X172" s="150"/>
      <c r="AF172" s="82"/>
      <c r="AI172" s="184"/>
      <c r="AJ172" s="184"/>
      <c r="AK172" s="157"/>
    </row>
    <row r="173" spans="1:39" ht="11.25" customHeight="1" x14ac:dyDescent="0.2">
      <c r="A173" s="142"/>
      <c r="B173" s="1680"/>
      <c r="C173" s="1680"/>
      <c r="D173" s="1680"/>
      <c r="E173" s="1680"/>
      <c r="F173" s="1680"/>
      <c r="G173" s="1680"/>
      <c r="H173" s="1680"/>
      <c r="I173" s="1680"/>
      <c r="J173" s="12"/>
      <c r="K173" s="9"/>
      <c r="L173" s="9"/>
      <c r="M173" s="9"/>
      <c r="N173" s="9"/>
      <c r="O173" s="9"/>
      <c r="P173" s="9"/>
      <c r="Q173" s="9"/>
      <c r="R173" s="9"/>
      <c r="S173" s="9"/>
      <c r="T173" s="9"/>
      <c r="U173" s="9"/>
      <c r="V173" s="9"/>
      <c r="W173" s="137"/>
      <c r="X173" s="150"/>
      <c r="AF173" s="82"/>
      <c r="AI173" s="184"/>
      <c r="AJ173" s="184"/>
      <c r="AK173" s="157"/>
    </row>
    <row r="174" spans="1:39" ht="11.25" customHeight="1" x14ac:dyDescent="0.2">
      <c r="A174" s="142"/>
      <c r="B174" s="1680" t="s">
        <v>18</v>
      </c>
      <c r="C174" s="1680"/>
      <c r="D174" s="1680"/>
      <c r="E174" s="1680"/>
      <c r="F174" s="1680"/>
      <c r="G174" s="1680"/>
      <c r="H174" s="1680"/>
      <c r="I174" s="1680"/>
      <c r="J174" s="12"/>
      <c r="K174" s="9"/>
      <c r="L174" s="9"/>
      <c r="M174" s="9"/>
      <c r="N174" s="9"/>
      <c r="O174" s="9"/>
      <c r="P174" s="9"/>
      <c r="Q174" s="9"/>
      <c r="R174" s="9"/>
      <c r="S174" s="9"/>
      <c r="T174" s="9"/>
      <c r="U174" s="9"/>
      <c r="V174" s="9"/>
      <c r="W174" s="137"/>
      <c r="X174" s="150"/>
      <c r="AF174" s="82"/>
      <c r="AI174" s="184"/>
      <c r="AJ174" s="184"/>
      <c r="AK174" s="157"/>
    </row>
    <row r="175" spans="1:39" ht="11.25" customHeight="1" x14ac:dyDescent="0.2">
      <c r="A175" s="142"/>
      <c r="B175" s="1680"/>
      <c r="C175" s="1680"/>
      <c r="D175" s="1680"/>
      <c r="E175" s="1680"/>
      <c r="F175" s="1680"/>
      <c r="G175" s="1680"/>
      <c r="H175" s="1680"/>
      <c r="I175" s="1680"/>
      <c r="J175" s="12"/>
      <c r="K175" s="9"/>
      <c r="L175" s="9"/>
      <c r="M175" s="9"/>
      <c r="N175" s="9"/>
      <c r="O175" s="9"/>
      <c r="P175" s="9"/>
      <c r="Q175" s="9"/>
      <c r="R175" s="9"/>
      <c r="S175" s="9"/>
      <c r="T175" s="9"/>
      <c r="U175" s="9"/>
      <c r="V175" s="9"/>
      <c r="W175" s="137"/>
      <c r="X175" s="150"/>
      <c r="AF175" s="82"/>
      <c r="AI175" s="184"/>
      <c r="AJ175" s="184"/>
      <c r="AK175" s="157"/>
    </row>
    <row r="176" spans="1:39" ht="11.25" customHeight="1" x14ac:dyDescent="0.2">
      <c r="A176" s="142"/>
      <c r="B176" s="1680" t="s">
        <v>19</v>
      </c>
      <c r="C176" s="1680"/>
      <c r="D176" s="1680"/>
      <c r="E176" s="1680"/>
      <c r="F176" s="1680"/>
      <c r="G176" s="1680"/>
      <c r="H176" s="1680"/>
      <c r="I176" s="1680"/>
      <c r="J176" s="12"/>
      <c r="K176" s="9"/>
      <c r="L176" s="9"/>
      <c r="M176" s="9"/>
      <c r="N176" s="9"/>
      <c r="O176" s="9"/>
      <c r="P176" s="9"/>
      <c r="Q176" s="9"/>
      <c r="R176" s="9"/>
      <c r="S176" s="9"/>
      <c r="T176" s="9"/>
      <c r="U176" s="9"/>
      <c r="V176" s="9"/>
      <c r="W176" s="137"/>
      <c r="X176" s="150"/>
      <c r="AF176" s="82"/>
      <c r="AI176" s="184"/>
      <c r="AJ176" s="184"/>
      <c r="AK176" s="157"/>
    </row>
    <row r="177" spans="1:56" ht="11.25" customHeight="1" x14ac:dyDescent="0.2">
      <c r="A177" s="142"/>
      <c r="B177" s="1680"/>
      <c r="C177" s="1680"/>
      <c r="D177" s="1680"/>
      <c r="E177" s="1680"/>
      <c r="F177" s="1680"/>
      <c r="G177" s="1680"/>
      <c r="H177" s="1680"/>
      <c r="I177" s="1680"/>
      <c r="J177" s="12"/>
      <c r="K177" s="9"/>
      <c r="L177" s="9"/>
      <c r="M177" s="9"/>
      <c r="N177" s="9"/>
      <c r="O177" s="9"/>
      <c r="P177" s="9"/>
      <c r="Q177" s="9"/>
      <c r="R177" s="9"/>
      <c r="S177" s="9"/>
      <c r="T177" s="9"/>
      <c r="U177" s="9"/>
      <c r="V177" s="9"/>
      <c r="W177" s="137"/>
      <c r="X177" s="150"/>
      <c r="AF177" s="82"/>
      <c r="AI177" s="184"/>
      <c r="AJ177" s="184"/>
      <c r="AK177" s="157"/>
    </row>
    <row r="178" spans="1:56" ht="11.25" customHeight="1" x14ac:dyDescent="0.2">
      <c r="A178" s="142"/>
      <c r="B178" s="1680" t="s">
        <v>20</v>
      </c>
      <c r="C178" s="1680"/>
      <c r="D178" s="1680"/>
      <c r="E178" s="1680"/>
      <c r="F178" s="1680"/>
      <c r="G178" s="1680"/>
      <c r="H178" s="1680"/>
      <c r="I178" s="1680"/>
      <c r="J178" s="12"/>
      <c r="K178" s="9"/>
      <c r="L178" s="9"/>
      <c r="M178" s="9"/>
      <c r="N178" s="9"/>
      <c r="O178" s="9"/>
      <c r="P178" s="9"/>
      <c r="Q178" s="9"/>
      <c r="R178" s="9"/>
      <c r="S178" s="9"/>
      <c r="T178" s="9"/>
      <c r="U178" s="9"/>
      <c r="V178" s="9"/>
      <c r="W178" s="137"/>
      <c r="X178" s="150"/>
      <c r="AF178" s="82"/>
      <c r="AI178" s="184"/>
      <c r="AJ178" s="184"/>
      <c r="AK178" s="157"/>
    </row>
    <row r="179" spans="1:56" ht="11.25" customHeight="1" x14ac:dyDescent="0.2">
      <c r="A179" s="142"/>
      <c r="B179" s="1680"/>
      <c r="C179" s="1680"/>
      <c r="D179" s="1680"/>
      <c r="E179" s="1680"/>
      <c r="F179" s="1680"/>
      <c r="G179" s="1680"/>
      <c r="H179" s="1680"/>
      <c r="I179" s="1680"/>
      <c r="J179" s="12"/>
      <c r="K179" s="9"/>
      <c r="L179" s="9"/>
      <c r="M179" s="9"/>
      <c r="N179" s="9"/>
      <c r="O179" s="9"/>
      <c r="P179" s="9"/>
      <c r="Q179" s="9"/>
      <c r="R179" s="9"/>
      <c r="S179" s="9"/>
      <c r="T179" s="9"/>
      <c r="U179" s="9"/>
      <c r="V179" s="9"/>
      <c r="W179" s="137"/>
      <c r="X179" s="150"/>
      <c r="AF179" s="82"/>
      <c r="AI179" s="184"/>
      <c r="AJ179" s="184"/>
      <c r="AK179" s="157"/>
    </row>
    <row r="180" spans="1:56" ht="11.25" customHeight="1" x14ac:dyDescent="0.2">
      <c r="A180" s="142"/>
      <c r="B180" s="1680" t="s">
        <v>26</v>
      </c>
      <c r="C180" s="1680"/>
      <c r="D180" s="1680"/>
      <c r="E180" s="1680"/>
      <c r="F180" s="1680"/>
      <c r="G180" s="1680"/>
      <c r="H180" s="1680"/>
      <c r="I180" s="1680"/>
      <c r="J180" s="12"/>
      <c r="K180" s="9"/>
      <c r="L180" s="9"/>
      <c r="M180" s="9"/>
      <c r="N180" s="9"/>
      <c r="O180" s="9"/>
      <c r="P180" s="9"/>
      <c r="Q180" s="9"/>
      <c r="R180" s="9"/>
      <c r="S180" s="9"/>
      <c r="T180" s="9"/>
      <c r="U180" s="9"/>
      <c r="V180" s="9"/>
      <c r="W180" s="137"/>
      <c r="X180" s="150"/>
      <c r="AF180" s="82"/>
      <c r="AI180" s="184"/>
      <c r="AJ180" s="184"/>
      <c r="AK180" s="157"/>
    </row>
    <row r="181" spans="1:56" ht="11.25" customHeight="1" x14ac:dyDescent="0.2">
      <c r="A181" s="142"/>
      <c r="B181" s="1680"/>
      <c r="C181" s="1680"/>
      <c r="D181" s="1680"/>
      <c r="E181" s="1680"/>
      <c r="F181" s="1680"/>
      <c r="G181" s="1680"/>
      <c r="H181" s="1680"/>
      <c r="I181" s="1680"/>
      <c r="J181" s="12"/>
      <c r="K181" s="9"/>
      <c r="L181" s="9"/>
      <c r="M181" s="9"/>
      <c r="N181" s="9"/>
      <c r="O181" s="9"/>
      <c r="P181" s="9"/>
      <c r="Q181" s="9"/>
      <c r="R181" s="9"/>
      <c r="S181" s="9"/>
      <c r="T181" s="9"/>
      <c r="U181" s="9"/>
      <c r="V181" s="9"/>
      <c r="W181" s="137"/>
      <c r="X181" s="150"/>
      <c r="AF181" s="82"/>
      <c r="AI181" s="184"/>
      <c r="AJ181" s="184"/>
      <c r="AK181" s="157"/>
    </row>
    <row r="182" spans="1:56" ht="11.25" customHeight="1" x14ac:dyDescent="0.2">
      <c r="A182" s="142"/>
      <c r="B182" s="1680" t="s">
        <v>21</v>
      </c>
      <c r="C182" s="1680"/>
      <c r="D182" s="1680"/>
      <c r="E182" s="1680"/>
      <c r="F182" s="1680"/>
      <c r="G182" s="1680"/>
      <c r="H182" s="1680"/>
      <c r="I182" s="1680"/>
      <c r="J182" s="12"/>
      <c r="K182" s="9"/>
      <c r="L182" s="9"/>
      <c r="M182" s="9"/>
      <c r="N182" s="9"/>
      <c r="O182" s="9"/>
      <c r="P182" s="9"/>
      <c r="Q182" s="9"/>
      <c r="R182" s="9"/>
      <c r="S182" s="9"/>
      <c r="T182" s="9"/>
      <c r="U182" s="9"/>
      <c r="V182" s="9"/>
      <c r="W182" s="137"/>
      <c r="X182" s="150"/>
      <c r="AF182" s="82"/>
      <c r="AI182" s="184"/>
      <c r="AJ182" s="184"/>
      <c r="AK182" s="157"/>
    </row>
    <row r="183" spans="1:56" ht="11.25" customHeight="1" x14ac:dyDescent="0.2">
      <c r="A183" s="142"/>
      <c r="B183" s="1680"/>
      <c r="C183" s="1680"/>
      <c r="D183" s="1680"/>
      <c r="E183" s="1680"/>
      <c r="F183" s="1680"/>
      <c r="G183" s="1680"/>
      <c r="H183" s="1680"/>
      <c r="I183" s="1680"/>
      <c r="J183" s="12"/>
      <c r="K183" s="9"/>
      <c r="L183" s="9"/>
      <c r="M183" s="9"/>
      <c r="N183" s="9"/>
      <c r="O183" s="9"/>
      <c r="P183" s="9"/>
      <c r="Q183" s="9"/>
      <c r="R183" s="9"/>
      <c r="S183" s="9"/>
      <c r="T183" s="9"/>
      <c r="U183" s="9"/>
      <c r="V183" s="9"/>
      <c r="W183" s="137"/>
      <c r="X183" s="150"/>
      <c r="AF183" s="82"/>
      <c r="AI183" s="184"/>
      <c r="AJ183" s="184"/>
      <c r="AK183" s="157"/>
    </row>
    <row r="184" spans="1:56" ht="18.75" customHeight="1" x14ac:dyDescent="0.2">
      <c r="A184" s="142"/>
      <c r="B184" s="1680" t="s">
        <v>905</v>
      </c>
      <c r="C184" s="1680"/>
      <c r="D184" s="1680"/>
      <c r="E184" s="1680"/>
      <c r="F184" s="1680"/>
      <c r="G184" s="1680"/>
      <c r="H184" s="1680"/>
      <c r="I184" s="1680"/>
      <c r="J184" s="12"/>
      <c r="K184" s="9"/>
      <c r="L184" s="9"/>
      <c r="M184" s="9"/>
      <c r="N184" s="9"/>
      <c r="O184" s="9"/>
      <c r="P184" s="9"/>
      <c r="Q184" s="9"/>
      <c r="R184" s="9"/>
      <c r="S184" s="9"/>
      <c r="T184" s="9"/>
      <c r="U184" s="9"/>
      <c r="V184" s="9"/>
      <c r="W184" s="137"/>
      <c r="X184" s="150"/>
      <c r="AF184" s="82"/>
      <c r="AI184" s="184"/>
      <c r="AJ184" s="184"/>
      <c r="AK184" s="157"/>
    </row>
    <row r="185" spans="1:56" s="80" customFormat="1" ht="11.25" customHeight="1" x14ac:dyDescent="0.2">
      <c r="A185" s="142"/>
      <c r="B185" s="1680"/>
      <c r="C185" s="1680"/>
      <c r="D185" s="1680"/>
      <c r="E185" s="1680"/>
      <c r="F185" s="1680"/>
      <c r="G185" s="1680"/>
      <c r="H185" s="1680"/>
      <c r="I185" s="1680"/>
      <c r="J185" s="12"/>
      <c r="K185" s="9"/>
      <c r="L185" s="9"/>
      <c r="M185" s="9"/>
      <c r="N185" s="9"/>
      <c r="O185" s="9"/>
      <c r="P185" s="9"/>
      <c r="Q185" s="9"/>
      <c r="R185" s="9"/>
      <c r="S185" s="9"/>
      <c r="T185" s="9"/>
      <c r="U185" s="9"/>
      <c r="V185" s="9"/>
      <c r="W185" s="137"/>
      <c r="X185" s="150"/>
      <c r="Y185" s="81"/>
      <c r="Z185" s="81"/>
      <c r="AA185" s="81"/>
      <c r="AB185" s="81"/>
      <c r="AC185" s="81"/>
      <c r="AD185" s="81"/>
      <c r="AE185" s="81"/>
      <c r="AF185" s="82"/>
      <c r="AG185" s="81"/>
      <c r="AH185" s="81"/>
      <c r="AI185" s="184"/>
      <c r="AJ185" s="184"/>
      <c r="AK185" s="157"/>
      <c r="AL185" s="74"/>
      <c r="AM185" s="74"/>
      <c r="AN185" s="74"/>
      <c r="AO185" s="74"/>
      <c r="AP185" s="74"/>
      <c r="AQ185" s="74"/>
      <c r="AR185" s="74"/>
      <c r="AS185" s="74"/>
      <c r="AT185" s="74"/>
      <c r="AU185" s="74"/>
      <c r="AV185" s="74"/>
      <c r="AW185" s="74"/>
      <c r="AX185" s="74"/>
      <c r="AY185" s="74"/>
      <c r="AZ185" s="74"/>
      <c r="BA185" s="74"/>
      <c r="BB185" s="74"/>
      <c r="BC185" s="74"/>
      <c r="BD185" s="74"/>
    </row>
    <row r="186" spans="1:56" ht="11.25" customHeight="1" x14ac:dyDescent="0.2">
      <c r="A186" s="142"/>
      <c r="B186" s="1680" t="s">
        <v>666</v>
      </c>
      <c r="C186" s="1680"/>
      <c r="D186" s="1680"/>
      <c r="E186" s="1680"/>
      <c r="F186" s="1680"/>
      <c r="G186" s="1680"/>
      <c r="H186" s="1680"/>
      <c r="I186" s="1680"/>
      <c r="J186" s="12"/>
      <c r="K186" s="9"/>
      <c r="L186" s="9"/>
      <c r="M186" s="9"/>
      <c r="N186" s="9"/>
      <c r="O186" s="9"/>
      <c r="P186" s="9"/>
      <c r="Q186" s="9"/>
      <c r="R186" s="9"/>
      <c r="S186" s="9"/>
      <c r="T186" s="9"/>
      <c r="U186" s="9"/>
      <c r="V186" s="9"/>
      <c r="W186" s="137"/>
      <c r="X186" s="150"/>
      <c r="AF186" s="82"/>
      <c r="AI186" s="184"/>
      <c r="AJ186" s="184"/>
      <c r="AK186" s="157"/>
    </row>
    <row r="187" spans="1:56" ht="11.25" customHeight="1" x14ac:dyDescent="0.2">
      <c r="A187" s="142"/>
      <c r="B187" s="1680"/>
      <c r="C187" s="1680"/>
      <c r="D187" s="1680"/>
      <c r="E187" s="1680"/>
      <c r="F187" s="1680"/>
      <c r="G187" s="1680"/>
      <c r="H187" s="1680"/>
      <c r="I187" s="1680"/>
      <c r="J187" s="12"/>
      <c r="K187" s="9"/>
      <c r="L187" s="9"/>
      <c r="M187" s="9"/>
      <c r="N187" s="9"/>
      <c r="O187" s="9"/>
      <c r="P187" s="9"/>
      <c r="Q187" s="9"/>
      <c r="R187" s="9"/>
      <c r="S187" s="9"/>
      <c r="T187" s="9"/>
      <c r="U187" s="9"/>
      <c r="V187" s="9"/>
      <c r="W187" s="137"/>
      <c r="X187" s="150"/>
      <c r="AF187" s="82"/>
      <c r="AI187" s="184"/>
      <c r="AJ187" s="184"/>
      <c r="AK187" s="157"/>
    </row>
    <row r="188" spans="1:56" ht="11.25" customHeight="1" x14ac:dyDescent="0.2">
      <c r="A188" s="142"/>
      <c r="B188" s="1680" t="s">
        <v>32</v>
      </c>
      <c r="C188" s="1680"/>
      <c r="D188" s="1680"/>
      <c r="E188" s="1680"/>
      <c r="F188" s="1680"/>
      <c r="G188" s="1680"/>
      <c r="H188" s="1680"/>
      <c r="I188" s="1680"/>
      <c r="J188" s="12"/>
      <c r="K188" s="9"/>
      <c r="L188" s="9"/>
      <c r="M188" s="9"/>
      <c r="N188" s="9"/>
      <c r="O188" s="9"/>
      <c r="P188" s="9"/>
      <c r="Q188" s="9"/>
      <c r="R188" s="9"/>
      <c r="S188" s="9"/>
      <c r="T188" s="9"/>
      <c r="U188" s="9"/>
      <c r="V188" s="9"/>
      <c r="W188" s="137"/>
      <c r="X188" s="150"/>
      <c r="AF188" s="82"/>
      <c r="AI188" s="184"/>
      <c r="AJ188" s="184"/>
      <c r="AK188" s="157"/>
    </row>
    <row r="189" spans="1:56" ht="11.25" customHeight="1" x14ac:dyDescent="0.2">
      <c r="A189" s="142"/>
      <c r="B189" s="1680"/>
      <c r="C189" s="1680"/>
      <c r="D189" s="1680"/>
      <c r="E189" s="1680"/>
      <c r="F189" s="1680"/>
      <c r="G189" s="1680"/>
      <c r="H189" s="1680"/>
      <c r="I189" s="1680"/>
      <c r="J189" s="12"/>
      <c r="K189" s="9"/>
      <c r="L189" s="9"/>
      <c r="M189" s="9"/>
      <c r="N189" s="9"/>
      <c r="O189" s="9"/>
      <c r="P189" s="9"/>
      <c r="Q189" s="9"/>
      <c r="R189" s="9"/>
      <c r="S189" s="9"/>
      <c r="T189" s="9"/>
      <c r="U189" s="9"/>
      <c r="V189" s="9"/>
      <c r="W189" s="137"/>
      <c r="X189" s="150"/>
      <c r="AF189" s="82"/>
      <c r="AI189" s="184"/>
      <c r="AJ189" s="184"/>
      <c r="AK189" s="157"/>
    </row>
    <row r="190" spans="1:56" ht="11.25" customHeight="1" x14ac:dyDescent="0.2">
      <c r="A190" s="142"/>
      <c r="B190" s="1680" t="s">
        <v>642</v>
      </c>
      <c r="C190" s="1680"/>
      <c r="D190" s="1680"/>
      <c r="E190" s="1680"/>
      <c r="F190" s="1680"/>
      <c r="G190" s="1680"/>
      <c r="H190" s="1680"/>
      <c r="I190" s="1680"/>
      <c r="J190" s="12"/>
      <c r="K190" s="9"/>
      <c r="L190" s="9"/>
      <c r="M190" s="9"/>
      <c r="N190" s="9"/>
      <c r="O190" s="9"/>
      <c r="P190" s="9"/>
      <c r="Q190" s="9"/>
      <c r="R190" s="9"/>
      <c r="S190" s="9"/>
      <c r="T190" s="9"/>
      <c r="U190" s="9"/>
      <c r="V190" s="9"/>
      <c r="W190" s="137"/>
      <c r="X190" s="150"/>
      <c r="AF190" s="82"/>
      <c r="AI190" s="184"/>
      <c r="AJ190" s="184"/>
      <c r="AK190" s="157"/>
    </row>
    <row r="191" spans="1:56" ht="11.25" customHeight="1" x14ac:dyDescent="0.2">
      <c r="A191" s="142"/>
      <c r="B191" s="1680"/>
      <c r="C191" s="1680"/>
      <c r="D191" s="1680"/>
      <c r="E191" s="1680"/>
      <c r="F191" s="1680"/>
      <c r="G191" s="1680"/>
      <c r="H191" s="1680"/>
      <c r="I191" s="1680"/>
      <c r="J191" s="12"/>
      <c r="K191" s="9"/>
      <c r="L191" s="9"/>
      <c r="M191" s="9"/>
      <c r="N191" s="9"/>
      <c r="O191" s="9"/>
      <c r="P191" s="9"/>
      <c r="Q191" s="9"/>
      <c r="R191" s="9"/>
      <c r="S191" s="9"/>
      <c r="T191" s="9"/>
      <c r="U191" s="9"/>
      <c r="V191" s="9"/>
      <c r="W191" s="137"/>
      <c r="X191" s="150"/>
      <c r="AF191" s="82"/>
      <c r="AI191" s="184"/>
      <c r="AJ191" s="184"/>
      <c r="AK191" s="157"/>
    </row>
    <row r="192" spans="1:56" ht="11.25" customHeight="1" x14ac:dyDescent="0.2">
      <c r="A192" s="142"/>
      <c r="B192" s="1680" t="s">
        <v>795</v>
      </c>
      <c r="C192" s="1680"/>
      <c r="D192" s="1680"/>
      <c r="E192" s="1680"/>
      <c r="F192" s="1680"/>
      <c r="G192" s="1680"/>
      <c r="H192" s="1680"/>
      <c r="I192" s="1680"/>
      <c r="J192" s="12"/>
      <c r="K192" s="9"/>
      <c r="L192" s="9"/>
      <c r="M192" s="9"/>
      <c r="N192" s="9"/>
      <c r="O192" s="9"/>
      <c r="P192" s="9"/>
      <c r="Q192" s="9"/>
      <c r="R192" s="9"/>
      <c r="S192" s="9"/>
      <c r="T192" s="9"/>
      <c r="U192" s="9"/>
      <c r="V192" s="9"/>
      <c r="W192" s="137"/>
      <c r="X192" s="150"/>
      <c r="AF192" s="82"/>
      <c r="AI192" s="184"/>
      <c r="AJ192" s="184"/>
      <c r="AK192" s="157"/>
    </row>
    <row r="193" spans="1:37" ht="11.25" customHeight="1" x14ac:dyDescent="0.2">
      <c r="A193" s="142"/>
      <c r="B193" s="1680"/>
      <c r="C193" s="1680"/>
      <c r="D193" s="1680"/>
      <c r="E193" s="1680"/>
      <c r="F193" s="1680"/>
      <c r="G193" s="1680"/>
      <c r="H193" s="1680"/>
      <c r="I193" s="1680"/>
      <c r="J193" s="12"/>
      <c r="K193" s="9"/>
      <c r="L193" s="9"/>
      <c r="M193" s="9"/>
      <c r="N193" s="9"/>
      <c r="O193" s="9"/>
      <c r="P193" s="9"/>
      <c r="Q193" s="9"/>
      <c r="R193" s="9"/>
      <c r="S193" s="9"/>
      <c r="T193" s="9"/>
      <c r="U193" s="9"/>
      <c r="V193" s="9"/>
      <c r="W193" s="137"/>
      <c r="X193" s="150"/>
      <c r="AF193" s="82"/>
      <c r="AI193" s="184"/>
      <c r="AJ193" s="184"/>
      <c r="AK193" s="157"/>
    </row>
    <row r="194" spans="1:37" ht="11.25" customHeight="1" x14ac:dyDescent="0.2">
      <c r="A194" s="142"/>
      <c r="B194" s="1680" t="s">
        <v>672</v>
      </c>
      <c r="C194" s="1680"/>
      <c r="D194" s="1680"/>
      <c r="E194" s="1680"/>
      <c r="F194" s="1680"/>
      <c r="G194" s="1680"/>
      <c r="H194" s="1680"/>
      <c r="I194" s="1680"/>
      <c r="J194" s="12"/>
      <c r="K194" s="9"/>
      <c r="L194" s="9"/>
      <c r="M194" s="9"/>
      <c r="N194" s="9"/>
      <c r="O194" s="9"/>
      <c r="P194" s="9"/>
      <c r="Q194" s="9"/>
      <c r="R194" s="9"/>
      <c r="S194" s="9"/>
      <c r="T194" s="9"/>
      <c r="U194" s="9"/>
      <c r="V194" s="9"/>
      <c r="W194" s="137"/>
      <c r="X194" s="150"/>
      <c r="AF194" s="82"/>
      <c r="AI194" s="184"/>
      <c r="AJ194" s="184"/>
      <c r="AK194" s="157"/>
    </row>
    <row r="195" spans="1:37" ht="11.25" customHeight="1" x14ac:dyDescent="0.2">
      <c r="A195" s="142"/>
      <c r="B195" s="1680"/>
      <c r="C195" s="1680"/>
      <c r="D195" s="1680"/>
      <c r="E195" s="1680"/>
      <c r="F195" s="1680"/>
      <c r="G195" s="1680"/>
      <c r="H195" s="1680"/>
      <c r="I195" s="1680"/>
      <c r="J195" s="12"/>
      <c r="K195" s="9"/>
      <c r="L195" s="9"/>
      <c r="M195" s="9"/>
      <c r="N195" s="9"/>
      <c r="O195" s="9"/>
      <c r="P195" s="9"/>
      <c r="Q195" s="9"/>
      <c r="R195" s="9"/>
      <c r="S195" s="9"/>
      <c r="T195" s="9"/>
      <c r="U195" s="9"/>
      <c r="V195" s="9"/>
      <c r="W195" s="137"/>
      <c r="X195" s="150"/>
      <c r="AF195" s="82"/>
      <c r="AI195" s="184"/>
      <c r="AJ195" s="184"/>
      <c r="AK195" s="157"/>
    </row>
    <row r="196" spans="1:37" ht="11.25" customHeight="1" x14ac:dyDescent="0.2">
      <c r="A196" s="142"/>
      <c r="B196" s="1680" t="s">
        <v>906</v>
      </c>
      <c r="C196" s="1680"/>
      <c r="D196" s="1680"/>
      <c r="E196" s="1680"/>
      <c r="F196" s="1680"/>
      <c r="G196" s="1680"/>
      <c r="H196" s="1680"/>
      <c r="I196" s="1680"/>
      <c r="J196" s="12"/>
      <c r="K196" s="9"/>
      <c r="L196" s="9"/>
      <c r="M196" s="9"/>
      <c r="N196" s="9"/>
      <c r="O196" s="9"/>
      <c r="P196" s="9"/>
      <c r="Q196" s="9"/>
      <c r="R196" s="9"/>
      <c r="S196" s="9"/>
      <c r="T196" s="9"/>
      <c r="U196" s="9"/>
      <c r="V196" s="9"/>
      <c r="W196" s="137"/>
      <c r="X196" s="150"/>
      <c r="AF196" s="82"/>
      <c r="AI196" s="184"/>
      <c r="AJ196" s="184"/>
      <c r="AK196" s="157"/>
    </row>
    <row r="197" spans="1:37" ht="11.25" customHeight="1" x14ac:dyDescent="0.2">
      <c r="A197" s="142"/>
      <c r="B197" s="1680"/>
      <c r="C197" s="1680"/>
      <c r="D197" s="1680"/>
      <c r="E197" s="1680"/>
      <c r="F197" s="1680"/>
      <c r="G197" s="1680"/>
      <c r="H197" s="1680"/>
      <c r="I197" s="1680"/>
      <c r="J197" s="12"/>
      <c r="K197" s="9"/>
      <c r="L197" s="9"/>
      <c r="M197" s="9"/>
      <c r="N197" s="9"/>
      <c r="O197" s="9"/>
      <c r="P197" s="9"/>
      <c r="Q197" s="9"/>
      <c r="R197" s="9"/>
      <c r="S197" s="9"/>
      <c r="T197" s="9"/>
      <c r="U197" s="9"/>
      <c r="V197" s="9"/>
      <c r="W197" s="137"/>
      <c r="X197" s="150"/>
      <c r="AF197" s="82"/>
      <c r="AI197" s="184"/>
      <c r="AJ197" s="184"/>
      <c r="AK197" s="157"/>
    </row>
    <row r="198" spans="1:37" ht="11.25" customHeight="1" x14ac:dyDescent="0.2">
      <c r="A198" s="142"/>
      <c r="B198" s="1680" t="s">
        <v>907</v>
      </c>
      <c r="C198" s="1680"/>
      <c r="D198" s="1680"/>
      <c r="E198" s="1680"/>
      <c r="F198" s="1680"/>
      <c r="G198" s="1680"/>
      <c r="H198" s="1680"/>
      <c r="I198" s="1680"/>
      <c r="J198" s="12"/>
      <c r="K198" s="9"/>
      <c r="L198" s="9"/>
      <c r="M198" s="9"/>
      <c r="N198" s="9"/>
      <c r="O198" s="9"/>
      <c r="P198" s="9"/>
      <c r="Q198" s="9"/>
      <c r="R198" s="9"/>
      <c r="S198" s="9"/>
      <c r="T198" s="9"/>
      <c r="U198" s="9"/>
      <c r="V198" s="9"/>
      <c r="W198" s="137"/>
      <c r="X198" s="150"/>
      <c r="AF198" s="82"/>
      <c r="AI198" s="184"/>
      <c r="AJ198" s="184"/>
      <c r="AK198" s="157"/>
    </row>
    <row r="199" spans="1:37" ht="11.25" customHeight="1" x14ac:dyDescent="0.2">
      <c r="A199" s="142"/>
      <c r="B199" s="1680"/>
      <c r="C199" s="1680"/>
      <c r="D199" s="1680"/>
      <c r="E199" s="1680"/>
      <c r="F199" s="1680"/>
      <c r="G199" s="1680"/>
      <c r="H199" s="1680"/>
      <c r="I199" s="1680"/>
      <c r="J199" s="12"/>
      <c r="K199" s="9"/>
      <c r="L199" s="9"/>
      <c r="M199" s="9"/>
      <c r="N199" s="9"/>
      <c r="O199" s="9"/>
      <c r="P199" s="9"/>
      <c r="Q199" s="9"/>
      <c r="R199" s="9"/>
      <c r="S199" s="9"/>
      <c r="T199" s="9"/>
      <c r="U199" s="9"/>
      <c r="V199" s="9"/>
      <c r="W199" s="137"/>
      <c r="X199" s="150"/>
      <c r="AF199" s="82"/>
      <c r="AI199" s="184"/>
      <c r="AJ199" s="184"/>
      <c r="AK199" s="157"/>
    </row>
    <row r="200" spans="1:37" ht="11.25" customHeight="1" x14ac:dyDescent="0.2">
      <c r="A200" s="255"/>
      <c r="B200" s="1250"/>
      <c r="C200" s="254"/>
      <c r="D200" s="254"/>
      <c r="E200" s="1270"/>
      <c r="F200" s="1270"/>
      <c r="G200" s="1270"/>
      <c r="H200" s="1270"/>
      <c r="I200" s="1270"/>
      <c r="J200" s="144"/>
      <c r="K200" s="143"/>
      <c r="L200" s="143"/>
      <c r="M200" s="143"/>
      <c r="N200" s="143"/>
      <c r="O200" s="143"/>
      <c r="P200" s="143"/>
      <c r="Q200" s="143"/>
      <c r="R200" s="143"/>
      <c r="S200" s="143"/>
      <c r="T200" s="143"/>
      <c r="U200" s="143"/>
      <c r="V200" s="143"/>
      <c r="W200" s="141"/>
      <c r="X200" s="1271"/>
      <c r="Y200" s="464"/>
      <c r="Z200" s="464"/>
      <c r="AA200" s="464"/>
      <c r="AB200" s="464"/>
      <c r="AC200" s="464"/>
      <c r="AD200" s="464"/>
      <c r="AE200" s="464"/>
      <c r="AF200" s="1272"/>
      <c r="AG200" s="464"/>
      <c r="AH200" s="464"/>
      <c r="AI200" s="587"/>
      <c r="AJ200" s="587"/>
      <c r="AK200" s="251"/>
    </row>
    <row r="311" spans="38:38" ht="11.25" customHeight="1" x14ac:dyDescent="0.2">
      <c r="AL311" s="74" t="b">
        <v>1</v>
      </c>
    </row>
  </sheetData>
  <mergeCells count="62">
    <mergeCell ref="B176:I177"/>
    <mergeCell ref="B198:I199"/>
    <mergeCell ref="B182:I183"/>
    <mergeCell ref="B184:I185"/>
    <mergeCell ref="B186:I187"/>
    <mergeCell ref="B188:I189"/>
    <mergeCell ref="B190:I191"/>
    <mergeCell ref="B192:I193"/>
    <mergeCell ref="B194:I195"/>
    <mergeCell ref="B196:I197"/>
    <mergeCell ref="B178:I179"/>
    <mergeCell ref="B180:I181"/>
    <mergeCell ref="B146:I147"/>
    <mergeCell ref="B148:I149"/>
    <mergeCell ref="B150:I151"/>
    <mergeCell ref="B152:I153"/>
    <mergeCell ref="B154:I155"/>
    <mergeCell ref="B156:I157"/>
    <mergeCell ref="B168:I169"/>
    <mergeCell ref="B170:I171"/>
    <mergeCell ref="B172:I173"/>
    <mergeCell ref="B174:I175"/>
    <mergeCell ref="B158:I159"/>
    <mergeCell ref="B160:I161"/>
    <mergeCell ref="B162:I163"/>
    <mergeCell ref="B164:I165"/>
    <mergeCell ref="B166:I167"/>
    <mergeCell ref="A106:V106"/>
    <mergeCell ref="A107:V107"/>
    <mergeCell ref="B109:I110"/>
    <mergeCell ref="A142:V142"/>
    <mergeCell ref="A143:V143"/>
    <mergeCell ref="B73:I74"/>
    <mergeCell ref="B35:U35"/>
    <mergeCell ref="A37:V37"/>
    <mergeCell ref="A38:V38"/>
    <mergeCell ref="Z8:Z9"/>
    <mergeCell ref="A70:V70"/>
    <mergeCell ref="A71:V71"/>
    <mergeCell ref="M65:P65"/>
    <mergeCell ref="R65:U65"/>
    <mergeCell ref="B75:B76"/>
    <mergeCell ref="B111:B112"/>
    <mergeCell ref="Z142:Z143"/>
    <mergeCell ref="B1:O3"/>
    <mergeCell ref="AA8:AA9"/>
    <mergeCell ref="R64:U64"/>
    <mergeCell ref="B5:U6"/>
    <mergeCell ref="B7:B9"/>
    <mergeCell ref="D7:H7"/>
    <mergeCell ref="I7:I9"/>
    <mergeCell ref="Q7:Q9"/>
    <mergeCell ref="K7:P7"/>
    <mergeCell ref="S7:U8"/>
    <mergeCell ref="O8:P8"/>
    <mergeCell ref="O9:P9"/>
    <mergeCell ref="M64:P64"/>
    <mergeCell ref="Z7:AA7"/>
    <mergeCell ref="AB7:AF7"/>
    <mergeCell ref="AG7:AI8"/>
    <mergeCell ref="AX38:BB38"/>
    <mergeCell ref="AS38:AW38"/>
  </mergeCells>
  <conditionalFormatting sqref="B10:B31 B51:C66 B113:B134 D113:H134 D10:I31 Q10:Q31 K10:O33">
    <cfRule type="containsErrors" dxfId="58" priority="63">
      <formula>ISERROR(B10)</formula>
    </cfRule>
  </conditionalFormatting>
  <conditionalFormatting sqref="B10:B31 S10:U31 D10:I31 Q10:Q31 K10:P33 B51:C66 B113:B134 D113:H134 Z144:AE167">
    <cfRule type="expression" dxfId="57" priority="62">
      <formula>$B10=$Z$4</formula>
    </cfRule>
  </conditionalFormatting>
  <conditionalFormatting sqref="S10:U31">
    <cfRule type="containsErrors" dxfId="56" priority="53">
      <formula>ISERROR(S10)</formula>
    </cfRule>
  </conditionalFormatting>
  <conditionalFormatting sqref="A10:A31">
    <cfRule type="cellIs" dxfId="55" priority="52" operator="equal">
      <formula>0</formula>
    </cfRule>
  </conditionalFormatting>
  <conditionalFormatting sqref="A77:A98">
    <cfRule type="cellIs" dxfId="54" priority="51" operator="equal">
      <formula>0</formula>
    </cfRule>
  </conditionalFormatting>
  <conditionalFormatting sqref="A113:A134">
    <cfRule type="cellIs" dxfId="53" priority="50" operator="equal">
      <formula>0</formula>
    </cfRule>
  </conditionalFormatting>
  <conditionalFormatting sqref="A1:A37 A39:A70 A72:A106 A108:A142 A201:A1048576">
    <cfRule type="containsErrors" dxfId="52" priority="48">
      <formula>ISERROR(A1)</formula>
    </cfRule>
  </conditionalFormatting>
  <conditionalFormatting sqref="AG10:AH28">
    <cfRule type="containsErrors" dxfId="51" priority="47">
      <formula>ISERROR(AG10)</formula>
    </cfRule>
  </conditionalFormatting>
  <conditionalFormatting sqref="AG10:AH21 AH11:AH28">
    <cfRule type="expression" dxfId="50" priority="46">
      <formula>$B10=$X$4</formula>
    </cfRule>
  </conditionalFormatting>
  <conditionalFormatting sqref="D136:H136">
    <cfRule type="containsErrors" dxfId="49" priority="45">
      <formula>ISERROR(D136)</formula>
    </cfRule>
  </conditionalFormatting>
  <conditionalFormatting sqref="D100:H100">
    <cfRule type="containsErrors" dxfId="48" priority="43">
      <formula>ISERROR(D100)</formula>
    </cfRule>
  </conditionalFormatting>
  <conditionalFormatting sqref="U33">
    <cfRule type="containsErrors" dxfId="47" priority="41">
      <formula>ISERROR(U33)</formula>
    </cfRule>
  </conditionalFormatting>
  <conditionalFormatting sqref="Q10:Q31">
    <cfRule type="containsErrors" dxfId="46" priority="57">
      <formula>ISERROR(Q10)</formula>
    </cfRule>
  </conditionalFormatting>
  <conditionalFormatting sqref="A38">
    <cfRule type="cellIs" dxfId="45" priority="38" operator="equal">
      <formula>0</formula>
    </cfRule>
    <cfRule type="containsErrors" dxfId="44" priority="39">
      <formula>ISERROR(A38)</formula>
    </cfRule>
  </conditionalFormatting>
  <conditionalFormatting sqref="A71">
    <cfRule type="cellIs" dxfId="43" priority="36" operator="equal">
      <formula>0</formula>
    </cfRule>
    <cfRule type="containsErrors" dxfId="42" priority="37">
      <formula>ISERROR(A71)</formula>
    </cfRule>
  </conditionalFormatting>
  <conditionalFormatting sqref="A107">
    <cfRule type="cellIs" dxfId="41" priority="34" operator="equal">
      <formula>0</formula>
    </cfRule>
    <cfRule type="containsErrors" dxfId="40" priority="35">
      <formula>ISERROR(A107)</formula>
    </cfRule>
  </conditionalFormatting>
  <conditionalFormatting sqref="A143">
    <cfRule type="cellIs" dxfId="39" priority="32" operator="equal">
      <formula>0</formula>
    </cfRule>
    <cfRule type="containsErrors" dxfId="38" priority="33">
      <formula>ISERROR(A143)</formula>
    </cfRule>
  </conditionalFormatting>
  <conditionalFormatting sqref="I10:I31">
    <cfRule type="containsErrors" dxfId="37" priority="29">
      <formula>ISERROR(I10)</formula>
    </cfRule>
  </conditionalFormatting>
  <conditionalFormatting sqref="B77:B98 D77:H98">
    <cfRule type="expression" dxfId="36" priority="1298">
      <formula>$B77=$Z$4</formula>
    </cfRule>
    <cfRule type="containsErrors" dxfId="35" priority="1299">
      <formula>ISERROR(B77)</formula>
    </cfRule>
  </conditionalFormatting>
  <conditionalFormatting sqref="D8:H8">
    <cfRule type="containsErrors" dxfId="34" priority="26">
      <formula>ISERROR(D8)</formula>
    </cfRule>
  </conditionalFormatting>
  <conditionalFormatting sqref="D9:H9">
    <cfRule type="containsErrors" dxfId="33" priority="28">
      <formula>ISERROR(D9)</formula>
    </cfRule>
  </conditionalFormatting>
  <conditionalFormatting sqref="K8:O8">
    <cfRule type="containsErrors" dxfId="32" priority="25">
      <formula>ISERROR(K8)</formula>
    </cfRule>
  </conditionalFormatting>
  <conditionalFormatting sqref="K9:O9">
    <cfRule type="containsErrors" dxfId="31" priority="1300">
      <formula>ISERROR(K9)</formula>
    </cfRule>
  </conditionalFormatting>
  <conditionalFormatting sqref="AA142:AE142">
    <cfRule type="containsErrors" dxfId="30" priority="1">
      <formula>ISERROR(AA142)</formula>
    </cfRule>
  </conditionalFormatting>
  <conditionalFormatting sqref="Z3:AD3">
    <cfRule type="containsErrors" dxfId="29" priority="20">
      <formula>ISERROR(Z3)</formula>
    </cfRule>
  </conditionalFormatting>
  <conditionalFormatting sqref="Z2:AD2">
    <cfRule type="containsErrors" dxfId="28" priority="19">
      <formula>ISERROR(Z2)</formula>
    </cfRule>
  </conditionalFormatting>
  <conditionalFormatting sqref="Y3">
    <cfRule type="containsErrors" dxfId="27" priority="18">
      <formula>ISERROR(Y3)</formula>
    </cfRule>
  </conditionalFormatting>
  <conditionalFormatting sqref="Y2">
    <cfRule type="containsErrors" dxfId="26" priority="17">
      <formula>ISERROR(Y2)</formula>
    </cfRule>
  </conditionalFormatting>
  <conditionalFormatting sqref="P32:P33">
    <cfRule type="containsErrors" dxfId="25" priority="15">
      <formula>ISERROR(P32)</formula>
    </cfRule>
  </conditionalFormatting>
  <conditionalFormatting sqref="P10:P33">
    <cfRule type="containsErrors" dxfId="24" priority="13">
      <formula>ISERROR(P10)</formula>
    </cfRule>
    <cfRule type="dataBar" priority="14">
      <dataBar showValue="0">
        <cfvo type="num" val="0.85"/>
        <cfvo type="max"/>
        <color theme="9"/>
      </dataBar>
      <extLst>
        <ext xmlns:x14="http://schemas.microsoft.com/office/spreadsheetml/2009/9/main" uri="{B025F937-C7B1-47D3-B67F-A62EFF666E3E}">
          <x14:id>{F2B3ACE2-CE22-4801-B993-56AFF5F16A5D}</x14:id>
        </ext>
      </extLst>
    </cfRule>
  </conditionalFormatting>
  <conditionalFormatting sqref="D75:H75">
    <cfRule type="containsErrors" dxfId="23" priority="10">
      <formula>ISERROR(D75)</formula>
    </cfRule>
  </conditionalFormatting>
  <conditionalFormatting sqref="D76:H76">
    <cfRule type="containsErrors" dxfId="22" priority="11">
      <formula>ISERROR(D76)</formula>
    </cfRule>
  </conditionalFormatting>
  <conditionalFormatting sqref="D111:H111">
    <cfRule type="containsErrors" dxfId="21" priority="8">
      <formula>ISERROR(D111)</formula>
    </cfRule>
  </conditionalFormatting>
  <conditionalFormatting sqref="D112:H112">
    <cfRule type="containsErrors" dxfId="20" priority="9">
      <formula>ISERROR(D112)</formula>
    </cfRule>
  </conditionalFormatting>
  <conditionalFormatting sqref="Z144:AE167">
    <cfRule type="containsErrors" dxfId="19" priority="5">
      <formula>ISERROR(Z144)</formula>
    </cfRule>
  </conditionalFormatting>
  <conditionalFormatting sqref="AA143:AE143">
    <cfRule type="containsErrors" dxfId="18" priority="2">
      <formula>ISERROR(AA143)</formula>
    </cfRule>
  </conditionalFormatting>
  <hyperlinks>
    <hyperlink ref="B150:H151" location="IDACI!A1" display="IDACI" xr:uid="{00000000-0004-0000-2100-000000000000}"/>
    <hyperlink ref="B182:I183" location="ROSGO!A1" display="Child Arrangement &amp; Special Guardianship Orders" xr:uid="{00000000-0004-0000-2100-000001000000}"/>
    <hyperlink ref="B154:G155" location="EH_Referrals!A1" display="Early Help Referrals" xr:uid="{00000000-0004-0000-2100-000002000000}"/>
    <hyperlink ref="B156:G157" location="EH_Assessments!A1" display="Early Help Assessments" xr:uid="{00000000-0004-0000-2100-000003000000}"/>
    <hyperlink ref="B158:G159" location="EH_Clients!A1" display="Early Help Clients" xr:uid="{00000000-0004-0000-2100-000004000000}"/>
    <hyperlink ref="B182:E183" location="ROSGO!A1" display="Child Arrangement &amp; Special Guardianship Orders" xr:uid="{00000000-0004-0000-2100-000005000000}"/>
    <hyperlink ref="B154:E155" location="EH_Referrals!A1" display="Early Help Referrals" xr:uid="{00000000-0004-0000-2100-000006000000}"/>
    <hyperlink ref="B156:E157" location="EH_Assessments!A1" display="Early Help Assessments" xr:uid="{00000000-0004-0000-2100-000007000000}"/>
    <hyperlink ref="B158:E159" location="EH_Clients!A1" display="Early Help Clients" xr:uid="{00000000-0004-0000-2100-000008000000}"/>
    <hyperlink ref="B152:D153" location="IDACI!A1" display="IDACI" xr:uid="{00000000-0004-0000-2100-000009000000}"/>
    <hyperlink ref="B190:D191" location="ROSGO!A1" display="Child Arrangement &amp; Special Guardianship Orders" xr:uid="{00000000-0004-0000-2100-00000A000000}"/>
    <hyperlink ref="B158:D159" location="EH_Referrals!A1" display="Early Help Referrals" xr:uid="{00000000-0004-0000-2100-00000B000000}"/>
    <hyperlink ref="B160:D161" location="EH_Assessments!A1" display="Early Help Assessments" xr:uid="{00000000-0004-0000-2100-00000C000000}"/>
    <hyperlink ref="B162:D163" location="EH_Clients!A1" display="Early Help Clients" xr:uid="{00000000-0004-0000-2100-00000D000000}"/>
    <hyperlink ref="B148:D149" location="Indicators!A1" display="Indicators" xr:uid="{00000000-0004-0000-2100-00000E000000}"/>
    <hyperlink ref="B156:D157" location="Contacts!A1" display="Contacts" xr:uid="{00000000-0004-0000-2100-00000F000000}"/>
    <hyperlink ref="B184:D185" location="New_Ceased_LAC!A1" display="New/ Ceased Looked After Children" xr:uid="{00000000-0004-0000-2100-000010000000}"/>
    <hyperlink ref="B186:D187" location="Care_Leavers!A1" display="Care Leavers" xr:uid="{00000000-0004-0000-2100-000011000000}"/>
    <hyperlink ref="B198:D199" location="EHE_CME!A1" display="Elective Home Education &amp; Children Missing Education" xr:uid="{00000000-0004-0000-2100-000012000000}"/>
    <hyperlink ref="B192:D193" location="NEET!A1" display="Participation (NEET)" xr:uid="{00000000-0004-0000-2100-000013000000}"/>
    <hyperlink ref="B194:D195" location="Offending!A1" display="Offending" xr:uid="{00000000-0004-0000-2100-000014000000}"/>
    <hyperlink ref="B196:D197" location="EHCP!A1" display="Education Health and Care Plans (EHCP)" xr:uid="{00000000-0004-0000-2100-000015000000}"/>
    <hyperlink ref="B150:B151" location="Coverage!A1" display="Participating LA's" xr:uid="{00000000-0004-0000-2100-000016000000}"/>
    <hyperlink ref="B152:B153" location="IDACI!A1" display="IDACI" xr:uid="{00000000-0004-0000-2100-000017000000}"/>
    <hyperlink ref="B188:B189" location="Adoption!A1" display="Adoption" xr:uid="{00000000-0004-0000-2100-000018000000}"/>
    <hyperlink ref="B182:B183" location="'Looked After Children'!A1" display="Looked After Children" xr:uid="{00000000-0004-0000-2100-000019000000}"/>
    <hyperlink ref="B180:B181" location="'Court Applications'!A1" display="Court Applications" xr:uid="{00000000-0004-0000-2100-00001A000000}"/>
    <hyperlink ref="B178:B179" location="'Child Protection Plans'!A1" display="Child Protection Plans" xr:uid="{00000000-0004-0000-2100-00001B000000}"/>
    <hyperlink ref="B176:B177" location="'Initial CP Conferences'!A1" display="Initial Child Protection Conferences" xr:uid="{00000000-0004-0000-2100-00001C000000}"/>
    <hyperlink ref="B174:B175" location="'Section 47 Enquiries'!A1" display="Section 47 Enquiries" xr:uid="{00000000-0004-0000-2100-00001D000000}"/>
    <hyperlink ref="B172:B173" location="'Children in Need'!A1" display="Children in Need" xr:uid="{00000000-0004-0000-2100-00001E000000}"/>
    <hyperlink ref="B170:B171" location="Assessments!A1" display="Assessments" xr:uid="{00000000-0004-0000-2100-00001F000000}"/>
    <hyperlink ref="B168:B169" location="'Re-referrals'!A1" display="Re-referrals" xr:uid="{00000000-0004-0000-2100-000020000000}"/>
    <hyperlink ref="B166:B167" location="Referral_Source!A1" display="Referral Source" xr:uid="{00000000-0004-0000-2100-000021000000}"/>
    <hyperlink ref="B164:B165" location="Referrals!A1" display="Referrals" xr:uid="{00000000-0004-0000-2100-000022000000}"/>
    <hyperlink ref="B154:B155" location="Population!A1" display="Population" xr:uid="{00000000-0004-0000-2100-000023000000}"/>
    <hyperlink ref="B152:C153" location="IDACI!A1" display="IDACI" xr:uid="{00000000-0004-0000-2100-000024000000}"/>
    <hyperlink ref="B190:B191" location="Adoption!A1" display="Adoption" xr:uid="{00000000-0004-0000-2100-000025000000}"/>
    <hyperlink ref="B190:C191" location="ROSGO!A1" display="Child Arrangement &amp; Special Guardianship Orders" xr:uid="{00000000-0004-0000-2100-000026000000}"/>
    <hyperlink ref="B158:B159" location="CAF_EHA!A1" display="CAF (EHA's)" xr:uid="{00000000-0004-0000-2100-000027000000}"/>
    <hyperlink ref="B162:B163" location="CAF_EHA!A1" display="CAF (EHA's)" xr:uid="{00000000-0004-0000-2100-000028000000}"/>
    <hyperlink ref="B160:B161" location="CAF_EHA!A1" display="CAF (EHA's)" xr:uid="{00000000-0004-0000-2100-000029000000}"/>
    <hyperlink ref="B158:C159" location="EH_Referrals!A1" display="Early Help Referrals" xr:uid="{00000000-0004-0000-2100-00002A000000}"/>
    <hyperlink ref="B160:C161" location="EH_Assessments!A1" display="Early Help Assessments" xr:uid="{00000000-0004-0000-2100-00002B000000}"/>
    <hyperlink ref="B162:C163" location="EH_Clients!A1" display="Early Help Clients" xr:uid="{00000000-0004-0000-2100-00002C000000}"/>
    <hyperlink ref="B148:B149" location="Coverage!A1" display="Participating LA's" xr:uid="{00000000-0004-0000-2100-00002D000000}"/>
    <hyperlink ref="B148:C149" location="Indicators!A1" display="Indicators" xr:uid="{00000000-0004-0000-2100-00002E000000}"/>
    <hyperlink ref="B156:B157" location="Population!A1" display="Population" xr:uid="{00000000-0004-0000-2100-00002F000000}"/>
    <hyperlink ref="B156:C157" location="Contacts!A1" display="Contacts" xr:uid="{00000000-0004-0000-2100-000030000000}"/>
    <hyperlink ref="B186:B187" location="'Looked After Children'!A1" display="Looked After Children" xr:uid="{00000000-0004-0000-2100-000031000000}"/>
    <hyperlink ref="B184:B185" location="'Court Applications'!A1" display="Court Applications" xr:uid="{00000000-0004-0000-2100-000032000000}"/>
    <hyperlink ref="B184:C185" location="New_Ceased_LAC!A1" display="New/ Ceased Looked After Children" xr:uid="{00000000-0004-0000-2100-000033000000}"/>
    <hyperlink ref="B186:C187" location="Care_Leavers!A1" display="Care Leavers" xr:uid="{00000000-0004-0000-2100-000034000000}"/>
    <hyperlink ref="B197:B199" location="Adoption!A1" display="Adoption" xr:uid="{00000000-0004-0000-2100-000035000000}"/>
    <hyperlink ref="B194:B195" location="'Looked After Children'!A1" display="Looked After Children" xr:uid="{00000000-0004-0000-2100-000036000000}"/>
    <hyperlink ref="B192:B193" location="'Court Applications'!A1" display="Court Applications" xr:uid="{00000000-0004-0000-2100-000037000000}"/>
    <hyperlink ref="B192:C193" location="NEET!A1" display="Participation (NEET)" xr:uid="{00000000-0004-0000-2100-000038000000}"/>
    <hyperlink ref="B194:C195" location="Offending!A1" display="Offending" xr:uid="{00000000-0004-0000-2100-000039000000}"/>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8" max="20" man="1"/>
    <brk id="71" max="20" man="1"/>
    <brk id="107"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69985" r:id="rId4" name="Check Box 1">
              <controlPr defaultSize="0" autoFill="0" autoLine="0" autoPict="0" macro="[0]!CheckBox1_Click" altText="">
                <anchor>
                  <from>
                    <xdr:col>23</xdr:col>
                    <xdr:colOff>76200</xdr:colOff>
                    <xdr:row>39</xdr:row>
                    <xdr:rowOff>19050</xdr:rowOff>
                  </from>
                  <to>
                    <xdr:col>36</xdr:col>
                    <xdr:colOff>47625</xdr:colOff>
                    <xdr:row>41</xdr:row>
                    <xdr:rowOff>0</xdr:rowOff>
                  </to>
                </anchor>
              </controlPr>
            </control>
          </mc:Choice>
        </mc:AlternateContent>
        <mc:AlternateContent xmlns:mc="http://schemas.openxmlformats.org/markup-compatibility/2006">
          <mc:Choice Requires="x14">
            <control shapeId="169986" r:id="rId5" name="Check Box 2">
              <controlPr defaultSize="0" autoFill="0" autoLine="0" autoPict="0" macro="[0]!CheckBox1_Click" altText="">
                <anchor>
                  <from>
                    <xdr:col>23</xdr:col>
                    <xdr:colOff>76200</xdr:colOff>
                    <xdr:row>40</xdr:row>
                    <xdr:rowOff>142875</xdr:rowOff>
                  </from>
                  <to>
                    <xdr:col>36</xdr:col>
                    <xdr:colOff>47625</xdr:colOff>
                    <xdr:row>42</xdr:row>
                    <xdr:rowOff>0</xdr:rowOff>
                  </to>
                </anchor>
              </controlPr>
            </control>
          </mc:Choice>
        </mc:AlternateContent>
        <mc:AlternateContent xmlns:mc="http://schemas.openxmlformats.org/markup-compatibility/2006">
          <mc:Choice Requires="x14">
            <control shapeId="169987" r:id="rId6" name="Check Box 3">
              <controlPr defaultSize="0" autoFill="0" autoLine="0" autoPict="0" macro="[0]!CheckBox1_Click" altText="">
                <anchor>
                  <from>
                    <xdr:col>23</xdr:col>
                    <xdr:colOff>76200</xdr:colOff>
                    <xdr:row>41</xdr:row>
                    <xdr:rowOff>142875</xdr:rowOff>
                  </from>
                  <to>
                    <xdr:col>36</xdr:col>
                    <xdr:colOff>47625</xdr:colOff>
                    <xdr:row>43</xdr:row>
                    <xdr:rowOff>0</xdr:rowOff>
                  </to>
                </anchor>
              </controlPr>
            </control>
          </mc:Choice>
        </mc:AlternateContent>
        <mc:AlternateContent xmlns:mc="http://schemas.openxmlformats.org/markup-compatibility/2006">
          <mc:Choice Requires="x14">
            <control shapeId="169988" r:id="rId7" name="Check Box 4">
              <controlPr defaultSize="0" autoFill="0" autoLine="0" autoPict="0" macro="[0]!CheckBox1_Click" altText="">
                <anchor>
                  <from>
                    <xdr:col>23</xdr:col>
                    <xdr:colOff>76200</xdr:colOff>
                    <xdr:row>42</xdr:row>
                    <xdr:rowOff>142875</xdr:rowOff>
                  </from>
                  <to>
                    <xdr:col>36</xdr:col>
                    <xdr:colOff>47625</xdr:colOff>
                    <xdr:row>44</xdr:row>
                    <xdr:rowOff>0</xdr:rowOff>
                  </to>
                </anchor>
              </controlPr>
            </control>
          </mc:Choice>
        </mc:AlternateContent>
        <mc:AlternateContent xmlns:mc="http://schemas.openxmlformats.org/markup-compatibility/2006">
          <mc:Choice Requires="x14">
            <control shapeId="169989" r:id="rId8" name="Check Box 5">
              <controlPr defaultSize="0" autoFill="0" autoLine="0" autoPict="0" macro="[0]!CheckBox1_Click" altText="">
                <anchor>
                  <from>
                    <xdr:col>23</xdr:col>
                    <xdr:colOff>76200</xdr:colOff>
                    <xdr:row>43</xdr:row>
                    <xdr:rowOff>142875</xdr:rowOff>
                  </from>
                  <to>
                    <xdr:col>36</xdr:col>
                    <xdr:colOff>47625</xdr:colOff>
                    <xdr:row>45</xdr:row>
                    <xdr:rowOff>0</xdr:rowOff>
                  </to>
                </anchor>
              </controlPr>
            </control>
          </mc:Choice>
        </mc:AlternateContent>
        <mc:AlternateContent xmlns:mc="http://schemas.openxmlformats.org/markup-compatibility/2006">
          <mc:Choice Requires="x14">
            <control shapeId="169990" r:id="rId9" name="Check Box 6">
              <controlPr defaultSize="0" autoFill="0" autoLine="0" autoPict="0" macro="[0]!CheckBox1_Click" altText="">
                <anchor>
                  <from>
                    <xdr:col>23</xdr:col>
                    <xdr:colOff>76200</xdr:colOff>
                    <xdr:row>44</xdr:row>
                    <xdr:rowOff>142875</xdr:rowOff>
                  </from>
                  <to>
                    <xdr:col>36</xdr:col>
                    <xdr:colOff>47625</xdr:colOff>
                    <xdr:row>46</xdr:row>
                    <xdr:rowOff>0</xdr:rowOff>
                  </to>
                </anchor>
              </controlPr>
            </control>
          </mc:Choice>
        </mc:AlternateContent>
        <mc:AlternateContent xmlns:mc="http://schemas.openxmlformats.org/markup-compatibility/2006">
          <mc:Choice Requires="x14">
            <control shapeId="169991" r:id="rId10" name="Check Box 7">
              <controlPr defaultSize="0" autoFill="0" autoLine="0" autoPict="0" macro="[0]!CheckBox1_Click" altText="">
                <anchor>
                  <from>
                    <xdr:col>23</xdr:col>
                    <xdr:colOff>76200</xdr:colOff>
                    <xdr:row>45</xdr:row>
                    <xdr:rowOff>142875</xdr:rowOff>
                  </from>
                  <to>
                    <xdr:col>36</xdr:col>
                    <xdr:colOff>47625</xdr:colOff>
                    <xdr:row>47</xdr:row>
                    <xdr:rowOff>0</xdr:rowOff>
                  </to>
                </anchor>
              </controlPr>
            </control>
          </mc:Choice>
        </mc:AlternateContent>
        <mc:AlternateContent xmlns:mc="http://schemas.openxmlformats.org/markup-compatibility/2006">
          <mc:Choice Requires="x14">
            <control shapeId="169992" r:id="rId11" name="Check Box 8">
              <controlPr defaultSize="0" autoFill="0" autoLine="0" autoPict="0" macro="[0]!CheckBox1_Click" altText="">
                <anchor>
                  <from>
                    <xdr:col>23</xdr:col>
                    <xdr:colOff>76200</xdr:colOff>
                    <xdr:row>46</xdr:row>
                    <xdr:rowOff>142875</xdr:rowOff>
                  </from>
                  <to>
                    <xdr:col>36</xdr:col>
                    <xdr:colOff>47625</xdr:colOff>
                    <xdr:row>48</xdr:row>
                    <xdr:rowOff>0</xdr:rowOff>
                  </to>
                </anchor>
              </controlPr>
            </control>
          </mc:Choice>
        </mc:AlternateContent>
        <mc:AlternateContent xmlns:mc="http://schemas.openxmlformats.org/markup-compatibility/2006">
          <mc:Choice Requires="x14">
            <control shapeId="169993" r:id="rId12" name="Check Box 9">
              <controlPr defaultSize="0" autoFill="0" autoLine="0" autoPict="0" macro="[0]!CheckBox1_Click" altText="">
                <anchor>
                  <from>
                    <xdr:col>23</xdr:col>
                    <xdr:colOff>76200</xdr:colOff>
                    <xdr:row>47</xdr:row>
                    <xdr:rowOff>142875</xdr:rowOff>
                  </from>
                  <to>
                    <xdr:col>36</xdr:col>
                    <xdr:colOff>47625</xdr:colOff>
                    <xdr:row>49</xdr:row>
                    <xdr:rowOff>0</xdr:rowOff>
                  </to>
                </anchor>
              </controlPr>
            </control>
          </mc:Choice>
        </mc:AlternateContent>
        <mc:AlternateContent xmlns:mc="http://schemas.openxmlformats.org/markup-compatibility/2006">
          <mc:Choice Requires="x14">
            <control shapeId="169994" r:id="rId13" name="Check Box 10">
              <controlPr defaultSize="0" autoFill="0" autoLine="0" autoPict="0" macro="[0]!CheckBox1_Click" altText="">
                <anchor>
                  <from>
                    <xdr:col>23</xdr:col>
                    <xdr:colOff>76200</xdr:colOff>
                    <xdr:row>48</xdr:row>
                    <xdr:rowOff>142875</xdr:rowOff>
                  </from>
                  <to>
                    <xdr:col>36</xdr:col>
                    <xdr:colOff>47625</xdr:colOff>
                    <xdr:row>50</xdr:row>
                    <xdr:rowOff>0</xdr:rowOff>
                  </to>
                </anchor>
              </controlPr>
            </control>
          </mc:Choice>
        </mc:AlternateContent>
        <mc:AlternateContent xmlns:mc="http://schemas.openxmlformats.org/markup-compatibility/2006">
          <mc:Choice Requires="x14">
            <control shapeId="169995" r:id="rId14" name="Check Box 11">
              <controlPr defaultSize="0" autoFill="0" autoLine="0" autoPict="0" macro="[0]!CheckBox1_Click" altText="">
                <anchor>
                  <from>
                    <xdr:col>23</xdr:col>
                    <xdr:colOff>76200</xdr:colOff>
                    <xdr:row>49</xdr:row>
                    <xdr:rowOff>142875</xdr:rowOff>
                  </from>
                  <to>
                    <xdr:col>36</xdr:col>
                    <xdr:colOff>47625</xdr:colOff>
                    <xdr:row>51</xdr:row>
                    <xdr:rowOff>0</xdr:rowOff>
                  </to>
                </anchor>
              </controlPr>
            </control>
          </mc:Choice>
        </mc:AlternateContent>
        <mc:AlternateContent xmlns:mc="http://schemas.openxmlformats.org/markup-compatibility/2006">
          <mc:Choice Requires="x14">
            <control shapeId="169996" r:id="rId15" name="Check Box 12">
              <controlPr defaultSize="0" autoFill="0" autoLine="0" autoPict="0" macro="[0]!CheckBox1_Click" altText="">
                <anchor>
                  <from>
                    <xdr:col>23</xdr:col>
                    <xdr:colOff>76200</xdr:colOff>
                    <xdr:row>50</xdr:row>
                    <xdr:rowOff>142875</xdr:rowOff>
                  </from>
                  <to>
                    <xdr:col>36</xdr:col>
                    <xdr:colOff>47625</xdr:colOff>
                    <xdr:row>52</xdr:row>
                    <xdr:rowOff>0</xdr:rowOff>
                  </to>
                </anchor>
              </controlPr>
            </control>
          </mc:Choice>
        </mc:AlternateContent>
        <mc:AlternateContent xmlns:mc="http://schemas.openxmlformats.org/markup-compatibility/2006">
          <mc:Choice Requires="x14">
            <control shapeId="169997" r:id="rId16" name="Check Box 13">
              <controlPr defaultSize="0" autoFill="0" autoLine="0" autoPict="0" macro="[0]!CheckBox1_Click" altText="">
                <anchor>
                  <from>
                    <xdr:col>23</xdr:col>
                    <xdr:colOff>76200</xdr:colOff>
                    <xdr:row>51</xdr:row>
                    <xdr:rowOff>142875</xdr:rowOff>
                  </from>
                  <to>
                    <xdr:col>36</xdr:col>
                    <xdr:colOff>47625</xdr:colOff>
                    <xdr:row>53</xdr:row>
                    <xdr:rowOff>0</xdr:rowOff>
                  </to>
                </anchor>
              </controlPr>
            </control>
          </mc:Choice>
        </mc:AlternateContent>
        <mc:AlternateContent xmlns:mc="http://schemas.openxmlformats.org/markup-compatibility/2006">
          <mc:Choice Requires="x14">
            <control shapeId="169998" r:id="rId17" name="Check Box 14">
              <controlPr defaultSize="0" autoFill="0" autoLine="0" autoPict="0" macro="[0]!CheckBox1_Click" altText="">
                <anchor>
                  <from>
                    <xdr:col>23</xdr:col>
                    <xdr:colOff>76200</xdr:colOff>
                    <xdr:row>52</xdr:row>
                    <xdr:rowOff>142875</xdr:rowOff>
                  </from>
                  <to>
                    <xdr:col>36</xdr:col>
                    <xdr:colOff>47625</xdr:colOff>
                    <xdr:row>54</xdr:row>
                    <xdr:rowOff>0</xdr:rowOff>
                  </to>
                </anchor>
              </controlPr>
            </control>
          </mc:Choice>
        </mc:AlternateContent>
        <mc:AlternateContent xmlns:mc="http://schemas.openxmlformats.org/markup-compatibility/2006">
          <mc:Choice Requires="x14">
            <control shapeId="169999" r:id="rId18" name="Check Box 15">
              <controlPr defaultSize="0" autoFill="0" autoLine="0" autoPict="0" macro="[0]!CheckBox1_Click" altText="">
                <anchor>
                  <from>
                    <xdr:col>23</xdr:col>
                    <xdr:colOff>76200</xdr:colOff>
                    <xdr:row>53</xdr:row>
                    <xdr:rowOff>142875</xdr:rowOff>
                  </from>
                  <to>
                    <xdr:col>36</xdr:col>
                    <xdr:colOff>47625</xdr:colOff>
                    <xdr:row>55</xdr:row>
                    <xdr:rowOff>0</xdr:rowOff>
                  </to>
                </anchor>
              </controlPr>
            </control>
          </mc:Choice>
        </mc:AlternateContent>
        <mc:AlternateContent xmlns:mc="http://schemas.openxmlformats.org/markup-compatibility/2006">
          <mc:Choice Requires="x14">
            <control shapeId="170000" r:id="rId19" name="Check Box 16">
              <controlPr defaultSize="0" autoFill="0" autoLine="0" autoPict="0" macro="[0]!CheckBox1_Click" altText="">
                <anchor>
                  <from>
                    <xdr:col>23</xdr:col>
                    <xdr:colOff>76200</xdr:colOff>
                    <xdr:row>54</xdr:row>
                    <xdr:rowOff>142875</xdr:rowOff>
                  </from>
                  <to>
                    <xdr:col>36</xdr:col>
                    <xdr:colOff>47625</xdr:colOff>
                    <xdr:row>56</xdr:row>
                    <xdr:rowOff>0</xdr:rowOff>
                  </to>
                </anchor>
              </controlPr>
            </control>
          </mc:Choice>
        </mc:AlternateContent>
        <mc:AlternateContent xmlns:mc="http://schemas.openxmlformats.org/markup-compatibility/2006">
          <mc:Choice Requires="x14">
            <control shapeId="170001" r:id="rId20" name="Check Box 17">
              <controlPr defaultSize="0" autoFill="0" autoLine="0" autoPict="0" macro="[0]!CheckBox1_Click" altText="">
                <anchor>
                  <from>
                    <xdr:col>23</xdr:col>
                    <xdr:colOff>76200</xdr:colOff>
                    <xdr:row>57</xdr:row>
                    <xdr:rowOff>142875</xdr:rowOff>
                  </from>
                  <to>
                    <xdr:col>36</xdr:col>
                    <xdr:colOff>47625</xdr:colOff>
                    <xdr:row>59</xdr:row>
                    <xdr:rowOff>0</xdr:rowOff>
                  </to>
                </anchor>
              </controlPr>
            </control>
          </mc:Choice>
        </mc:AlternateContent>
        <mc:AlternateContent xmlns:mc="http://schemas.openxmlformats.org/markup-compatibility/2006">
          <mc:Choice Requires="x14">
            <control shapeId="170002" r:id="rId21" name="Check Box 18">
              <controlPr defaultSize="0" autoFill="0" autoLine="0" autoPict="0" macro="[0]!CheckBox1_Click" altText="">
                <anchor>
                  <from>
                    <xdr:col>23</xdr:col>
                    <xdr:colOff>76200</xdr:colOff>
                    <xdr:row>58</xdr:row>
                    <xdr:rowOff>142875</xdr:rowOff>
                  </from>
                  <to>
                    <xdr:col>36</xdr:col>
                    <xdr:colOff>47625</xdr:colOff>
                    <xdr:row>60</xdr:row>
                    <xdr:rowOff>0</xdr:rowOff>
                  </to>
                </anchor>
              </controlPr>
            </control>
          </mc:Choice>
        </mc:AlternateContent>
        <mc:AlternateContent xmlns:mc="http://schemas.openxmlformats.org/markup-compatibility/2006">
          <mc:Choice Requires="x14">
            <control shapeId="170003" r:id="rId22" name="Check Box 19">
              <controlPr defaultSize="0" autoFill="0" autoLine="0" autoPict="0" macro="[0]!CheckBox1_Click" altText="">
                <anchor>
                  <from>
                    <xdr:col>23</xdr:col>
                    <xdr:colOff>76200</xdr:colOff>
                    <xdr:row>59</xdr:row>
                    <xdr:rowOff>142875</xdr:rowOff>
                  </from>
                  <to>
                    <xdr:col>36</xdr:col>
                    <xdr:colOff>47625</xdr:colOff>
                    <xdr:row>61</xdr:row>
                    <xdr:rowOff>0</xdr:rowOff>
                  </to>
                </anchor>
              </controlPr>
            </control>
          </mc:Choice>
        </mc:AlternateContent>
        <mc:AlternateContent xmlns:mc="http://schemas.openxmlformats.org/markup-compatibility/2006">
          <mc:Choice Requires="x14">
            <control shapeId="170004" r:id="rId23" name="Check Box 20">
              <controlPr defaultSize="0" autoFill="0" autoLine="0" autoPict="0" macro="[0]!CheckBox1_Click" altText="">
                <anchor>
                  <from>
                    <xdr:col>23</xdr:col>
                    <xdr:colOff>76200</xdr:colOff>
                    <xdr:row>60</xdr:row>
                    <xdr:rowOff>142875</xdr:rowOff>
                  </from>
                  <to>
                    <xdr:col>36</xdr:col>
                    <xdr:colOff>47625</xdr:colOff>
                    <xdr:row>62</xdr:row>
                    <xdr:rowOff>0</xdr:rowOff>
                  </to>
                </anchor>
              </controlPr>
            </control>
          </mc:Choice>
        </mc:AlternateContent>
        <mc:AlternateContent xmlns:mc="http://schemas.openxmlformats.org/markup-compatibility/2006">
          <mc:Choice Requires="x14">
            <control shapeId="170005" r:id="rId24" name="Check Box 21">
              <controlPr defaultSize="0" autoFill="0" autoLine="0" autoPict="0" macro="[0]!CheckBox1_Click" altText="">
                <anchor>
                  <from>
                    <xdr:col>23</xdr:col>
                    <xdr:colOff>76200</xdr:colOff>
                    <xdr:row>61</xdr:row>
                    <xdr:rowOff>142875</xdr:rowOff>
                  </from>
                  <to>
                    <xdr:col>36</xdr:col>
                    <xdr:colOff>47625</xdr:colOff>
                    <xdr:row>63</xdr:row>
                    <xdr:rowOff>0</xdr:rowOff>
                  </to>
                </anchor>
              </controlPr>
            </control>
          </mc:Choice>
        </mc:AlternateContent>
        <mc:AlternateContent xmlns:mc="http://schemas.openxmlformats.org/markup-compatibility/2006">
          <mc:Choice Requires="x14">
            <control shapeId="170006" r:id="rId25" name="Check Box 22">
              <controlPr defaultSize="0" autoFill="0" autoLine="0" autoPict="0" macro="[0]!CheckBox1_Click" altText="">
                <anchor>
                  <from>
                    <xdr:col>23</xdr:col>
                    <xdr:colOff>76200</xdr:colOff>
                    <xdr:row>55</xdr:row>
                    <xdr:rowOff>142875</xdr:rowOff>
                  </from>
                  <to>
                    <xdr:col>36</xdr:col>
                    <xdr:colOff>47625</xdr:colOff>
                    <xdr:row>57</xdr:row>
                    <xdr:rowOff>0</xdr:rowOff>
                  </to>
                </anchor>
              </controlPr>
            </control>
          </mc:Choice>
        </mc:AlternateContent>
        <mc:AlternateContent xmlns:mc="http://schemas.openxmlformats.org/markup-compatibility/2006">
          <mc:Choice Requires="x14">
            <control shapeId="170007" r:id="rId26" name="Check Box 23">
              <controlPr defaultSize="0" autoFill="0" autoLine="0" autoPict="0" macro="[0]!CheckBox1_Click" altText="">
                <anchor>
                  <from>
                    <xdr:col>23</xdr:col>
                    <xdr:colOff>76200</xdr:colOff>
                    <xdr:row>56</xdr:row>
                    <xdr:rowOff>142875</xdr:rowOff>
                  </from>
                  <to>
                    <xdr:col>36</xdr:col>
                    <xdr:colOff>47625</xdr:colOff>
                    <xdr:row>58</xdr:row>
                    <xdr:rowOff>0</xdr:rowOff>
                  </to>
                </anchor>
              </controlPr>
            </control>
          </mc:Choice>
        </mc:AlternateContent>
        <mc:AlternateContent xmlns:mc="http://schemas.openxmlformats.org/markup-compatibility/2006">
          <mc:Choice Requires="x14">
            <control shapeId="170008" r:id="rId27" name="Check Box 24">
              <controlPr defaultSize="0" autoFill="0" autoLine="0" autoPict="0" macro="[0]!CheckBox1_Click" altText="">
                <anchor>
                  <from>
                    <xdr:col>23</xdr:col>
                    <xdr:colOff>76200</xdr:colOff>
                    <xdr:row>62</xdr:row>
                    <xdr:rowOff>142875</xdr:rowOff>
                  </from>
                  <to>
                    <xdr:col>36</xdr:col>
                    <xdr:colOff>47625</xdr:colOff>
                    <xdr:row>64</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F2B3ACE2-CE22-4801-B993-56AFF5F16A5D}">
            <x14:dataBar minLength="0" maxLength="100" gradient="0" direction="leftToRight" negativeBarColorSameAsPositive="1">
              <x14:cfvo type="num">
                <xm:f>0.85</xm:f>
              </x14:cfvo>
              <x14:cfvo type="autoMax"/>
              <x14:axisColor rgb="FF000000"/>
            </x14:dataBar>
          </x14:cfRule>
          <xm:sqref>P10:P33</xm:sqref>
        </x14:conditionalFormatting>
      </x14:conditionalFormatting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53">
    <tabColor rgb="FFFFC000"/>
  </sheetPr>
  <dimension ref="A1:BN192"/>
  <sheetViews>
    <sheetView showRowColHeaders="0" workbookViewId="0"/>
  </sheetViews>
  <sheetFormatPr defaultColWidth="9.140625" defaultRowHeight="11.25" customHeight="1" x14ac:dyDescent="0.2"/>
  <cols>
    <col min="1" max="1" width="2.140625" style="74" customWidth="1"/>
    <col min="2" max="2" width="17.140625" style="74" customWidth="1"/>
    <col min="3" max="3" width="1.42578125" style="74" customWidth="1"/>
    <col min="4" max="8" width="6.85546875" style="74" customWidth="1"/>
    <col min="9" max="9" width="7.42578125" style="74" customWidth="1"/>
    <col min="10" max="10" width="1.42578125" style="88" customWidth="1"/>
    <col min="11" max="15" width="6.85546875" style="74" customWidth="1"/>
    <col min="16" max="16" width="7.140625" style="74" customWidth="1"/>
    <col min="17" max="17" width="7.42578125" style="74" customWidth="1"/>
    <col min="18" max="18" width="1.42578125" style="74" customWidth="1"/>
    <col min="19" max="19" width="5.7109375" style="74" customWidth="1"/>
    <col min="20" max="20" width="8.28515625" style="74" customWidth="1"/>
    <col min="21" max="21" width="7.7109375" style="74" customWidth="1"/>
    <col min="22" max="22" width="2.140625" style="74" customWidth="1"/>
    <col min="23" max="23" width="6.42578125" style="80" customWidth="1"/>
    <col min="24" max="24" width="4.85546875" style="80" customWidth="1"/>
    <col min="25" max="25" width="17.85546875" style="81" hidden="1" customWidth="1"/>
    <col min="26" max="26" width="19.42578125" style="81" hidden="1" customWidth="1"/>
    <col min="27" max="27" width="19.85546875" style="81" hidden="1" customWidth="1"/>
    <col min="28" max="29" width="16.5703125" style="81" hidden="1" customWidth="1"/>
    <col min="30" max="30" width="8.5703125" style="81" hidden="1" customWidth="1"/>
    <col min="31" max="31" width="17.42578125" style="81" hidden="1" customWidth="1"/>
    <col min="32" max="33" width="8.5703125" style="81" hidden="1" customWidth="1"/>
    <col min="34" max="34" width="17" style="81" hidden="1" customWidth="1"/>
    <col min="35" max="35" width="8.5703125" style="81" hidden="1" customWidth="1"/>
    <col min="36" max="37" width="17" style="81" hidden="1" customWidth="1"/>
    <col min="38" max="38" width="8.5703125" style="81" hidden="1" customWidth="1"/>
    <col min="39" max="39" width="14.42578125" style="81" hidden="1" customWidth="1"/>
    <col min="40" max="41" width="6.5703125" style="81" hidden="1" customWidth="1"/>
    <col min="42" max="43" width="6.5703125" style="74" hidden="1" customWidth="1"/>
    <col min="44" max="44" width="31.5703125" style="184" customWidth="1"/>
    <col min="45" max="45" width="17" style="74" hidden="1" customWidth="1"/>
    <col min="46" max="50" width="13.5703125" style="74" hidden="1" customWidth="1"/>
    <col min="51" max="57" width="9.140625" style="74" hidden="1" customWidth="1"/>
    <col min="58" max="76" width="9.140625" style="74" customWidth="1"/>
    <col min="77" max="16384" width="9.140625" style="74"/>
  </cols>
  <sheetData>
    <row r="1" spans="1:56" ht="18.75" customHeight="1" thickBot="1" x14ac:dyDescent="0.25">
      <c r="A1" s="112"/>
      <c r="B1" s="113"/>
      <c r="C1" s="113"/>
      <c r="D1" s="113"/>
      <c r="E1" s="113"/>
      <c r="F1" s="113"/>
      <c r="G1" s="113"/>
      <c r="H1" s="113"/>
      <c r="I1" s="113"/>
      <c r="J1" s="114"/>
      <c r="K1" s="113"/>
      <c r="L1" s="113"/>
      <c r="M1" s="113"/>
      <c r="N1" s="113"/>
      <c r="O1" s="113"/>
      <c r="P1" s="113"/>
      <c r="Q1" s="113"/>
      <c r="R1" s="113"/>
      <c r="S1" s="113"/>
      <c r="T1" s="113"/>
      <c r="U1" s="113"/>
      <c r="V1" s="115"/>
      <c r="W1" s="275"/>
      <c r="X1" s="155"/>
      <c r="Y1" s="180"/>
      <c r="Z1" s="939" t="str">
        <f>IF(Sheet1!$C$3="Annual"," the year ending 31st March"," the quarter")</f>
        <v xml:space="preserve"> the year ending 31st March</v>
      </c>
      <c r="AA1" s="180"/>
      <c r="AB1" s="180"/>
      <c r="AC1" s="180"/>
      <c r="AD1" s="180"/>
      <c r="AE1" s="180"/>
      <c r="AF1" s="180"/>
      <c r="AG1" s="180"/>
      <c r="AH1" s="180"/>
      <c r="AI1" s="180"/>
      <c r="AJ1" s="180"/>
      <c r="AK1" s="1049"/>
      <c r="AL1" s="180"/>
      <c r="AM1" s="180"/>
      <c r="AN1" s="180"/>
      <c r="AO1" s="180"/>
      <c r="AP1" s="181"/>
      <c r="AQ1" s="181"/>
      <c r="AR1" s="419"/>
    </row>
    <row r="2" spans="1:56" ht="18.75" customHeight="1" x14ac:dyDescent="0.2">
      <c r="A2" s="118"/>
      <c r="B2" s="128" t="s">
        <v>672</v>
      </c>
      <c r="C2" s="9"/>
      <c r="D2" s="9"/>
      <c r="E2" s="9"/>
      <c r="F2" s="9"/>
      <c r="G2" s="9"/>
      <c r="H2" s="9"/>
      <c r="I2" s="9"/>
      <c r="J2" s="12"/>
      <c r="K2" s="9"/>
      <c r="L2" s="9"/>
      <c r="M2" s="9"/>
      <c r="N2" s="9"/>
      <c r="O2" s="9"/>
      <c r="P2" s="9"/>
      <c r="Q2" s="9"/>
      <c r="R2" s="9"/>
      <c r="S2" s="9"/>
      <c r="T2" s="9"/>
      <c r="U2" s="9"/>
      <c r="V2" s="117"/>
      <c r="W2" s="161"/>
      <c r="X2" s="150"/>
      <c r="Y2" s="866">
        <f>IF(Sheet1!$C$3="Annual",1,4)</f>
        <v>1</v>
      </c>
      <c r="Z2" s="800" t="str">
        <f>IF(Sheet1!$C$3="Annual","",Sheet1!$D$28)</f>
        <v/>
      </c>
      <c r="AA2" s="801" t="str">
        <f>IF(Sheet1!$C$3="Annual","",Sheet1!$E$28)</f>
        <v/>
      </c>
      <c r="AB2" s="801" t="str">
        <f>IF(Sheet1!$C$3="Annual","",Sheet1!$F$28)</f>
        <v/>
      </c>
      <c r="AC2" s="801" t="str">
        <f>IF(Sheet1!$C$3="Annual","",Sheet1!$G$28)</f>
        <v/>
      </c>
      <c r="AD2" s="802" t="str">
        <f>IF(Sheet1!$C$3="Annual","",Sheet1!$H$28)</f>
        <v/>
      </c>
      <c r="AP2" s="184"/>
      <c r="AQ2" s="184"/>
      <c r="AR2" s="157"/>
    </row>
    <row r="3" spans="1:56" ht="18.75" customHeight="1" thickBot="1" x14ac:dyDescent="0.25">
      <c r="A3" s="124"/>
      <c r="B3" s="125"/>
      <c r="C3" s="125"/>
      <c r="D3" s="125"/>
      <c r="E3" s="125"/>
      <c r="F3" s="125"/>
      <c r="G3" s="125"/>
      <c r="H3" s="125"/>
      <c r="I3" s="267"/>
      <c r="J3" s="126"/>
      <c r="K3" s="125"/>
      <c r="L3" s="125"/>
      <c r="M3" s="125"/>
      <c r="N3" s="125"/>
      <c r="O3" s="125"/>
      <c r="P3" s="553"/>
      <c r="Q3" s="125"/>
      <c r="R3" s="125"/>
      <c r="S3" s="125"/>
      <c r="T3" s="267"/>
      <c r="U3" s="125"/>
      <c r="V3" s="127"/>
      <c r="W3" s="161"/>
      <c r="X3" s="150"/>
      <c r="Y3" s="803"/>
      <c r="Z3" s="803" t="str">
        <f>Sheet1!$D$27</f>
        <v>2015-16</v>
      </c>
      <c r="AA3" s="804" t="str">
        <f>Sheet1!$E$27</f>
        <v>2016-17</v>
      </c>
      <c r="AB3" s="804" t="str">
        <f>Sheet1!$F$27</f>
        <v>2017-18</v>
      </c>
      <c r="AC3" s="804" t="str">
        <f>Sheet1!$G$27</f>
        <v>2018-19</v>
      </c>
      <c r="AD3" s="805" t="str">
        <f>Sheet1!$H$27</f>
        <v>2019-20</v>
      </c>
      <c r="AP3" s="184"/>
      <c r="AQ3" s="184"/>
      <c r="AR3" s="157"/>
    </row>
    <row r="4" spans="1:56" ht="11.25" customHeight="1" x14ac:dyDescent="0.2">
      <c r="A4" s="112"/>
      <c r="B4" s="2017" t="s">
        <v>911</v>
      </c>
      <c r="C4" s="2017"/>
      <c r="D4" s="2017"/>
      <c r="E4" s="2017"/>
      <c r="F4" s="2017"/>
      <c r="G4" s="2017"/>
      <c r="H4" s="2017"/>
      <c r="I4" s="2017"/>
      <c r="J4" s="114"/>
      <c r="K4" s="113"/>
      <c r="L4" s="113"/>
      <c r="M4" s="113"/>
      <c r="N4" s="113"/>
      <c r="O4" s="113"/>
      <c r="P4" s="113"/>
      <c r="Q4" s="113"/>
      <c r="R4" s="113"/>
      <c r="S4" s="113"/>
      <c r="T4" s="113"/>
      <c r="U4" s="113"/>
      <c r="V4" s="115"/>
      <c r="W4" s="137"/>
      <c r="X4" s="150"/>
      <c r="Y4" s="186"/>
      <c r="Z4" s="186" t="str">
        <f>Home!$D$10</f>
        <v>(none)</v>
      </c>
      <c r="AA4" s="42" t="str">
        <f>"Selected LA- "&amp;Z4</f>
        <v>Selected LA- (none)</v>
      </c>
      <c r="AP4" s="184"/>
      <c r="AQ4" s="184"/>
      <c r="AR4" s="157"/>
    </row>
    <row r="5" spans="1:56" s="76" customFormat="1" ht="15" customHeight="1" x14ac:dyDescent="0.2">
      <c r="A5" s="119"/>
      <c r="B5" s="2018"/>
      <c r="C5" s="2018"/>
      <c r="D5" s="2018"/>
      <c r="E5" s="2018"/>
      <c r="F5" s="2018"/>
      <c r="G5" s="2018"/>
      <c r="H5" s="2018"/>
      <c r="I5" s="2018"/>
      <c r="J5" s="70"/>
      <c r="K5" s="70"/>
      <c r="L5" s="70"/>
      <c r="M5" s="70"/>
      <c r="N5" s="825"/>
      <c r="O5" s="70"/>
      <c r="P5" s="70"/>
      <c r="Q5" s="70"/>
      <c r="R5" s="70"/>
      <c r="S5" s="70"/>
      <c r="T5" s="70"/>
      <c r="U5" s="70"/>
      <c r="V5" s="120"/>
      <c r="W5" s="138"/>
      <c r="X5" s="151"/>
      <c r="Y5" s="609" t="s">
        <v>742</v>
      </c>
      <c r="Z5" s="609"/>
      <c r="AA5" s="1047"/>
      <c r="AB5" s="609"/>
      <c r="AC5" s="609"/>
      <c r="AD5" s="609"/>
      <c r="AE5" s="609" t="s">
        <v>744</v>
      </c>
      <c r="AF5" s="609"/>
      <c r="AG5" s="609"/>
      <c r="AH5" s="609"/>
      <c r="AI5" s="609"/>
      <c r="AJ5" s="596"/>
      <c r="AK5" s="596"/>
      <c r="AL5" s="610" t="s">
        <v>743</v>
      </c>
      <c r="AM5" s="611"/>
      <c r="AN5" s="596"/>
      <c r="AO5" s="383"/>
      <c r="AP5" s="596"/>
      <c r="AQ5" s="81"/>
      <c r="AR5" s="161"/>
      <c r="AS5" s="81"/>
      <c r="AT5" s="81">
        <v>10</v>
      </c>
      <c r="AU5" s="81">
        <v>11</v>
      </c>
      <c r="AV5" s="81">
        <v>12</v>
      </c>
      <c r="AW5" s="81">
        <v>13</v>
      </c>
      <c r="AX5" s="81">
        <v>14</v>
      </c>
      <c r="AY5" s="81">
        <v>18</v>
      </c>
      <c r="AZ5" s="81">
        <v>3</v>
      </c>
      <c r="BA5" s="24">
        <v>4</v>
      </c>
      <c r="BB5" s="24">
        <v>5</v>
      </c>
      <c r="BC5" s="24">
        <v>6</v>
      </c>
      <c r="BD5" s="23">
        <v>7</v>
      </c>
    </row>
    <row r="6" spans="1:56" ht="15" hidden="1" customHeight="1" x14ac:dyDescent="0.2">
      <c r="A6" s="118"/>
      <c r="B6" s="226"/>
      <c r="C6" s="226"/>
      <c r="D6" s="226"/>
      <c r="E6" s="226"/>
      <c r="F6" s="226"/>
      <c r="G6" s="226"/>
      <c r="H6" s="226"/>
      <c r="I6" s="226"/>
      <c r="J6" s="70"/>
      <c r="K6" s="70"/>
      <c r="L6" s="70"/>
      <c r="M6" s="70"/>
      <c r="N6" s="825"/>
      <c r="O6" s="70"/>
      <c r="P6" s="70"/>
      <c r="Q6" s="70"/>
      <c r="R6" s="10"/>
      <c r="S6" s="70"/>
      <c r="T6" s="70"/>
      <c r="U6" s="70"/>
      <c r="V6" s="117"/>
      <c r="W6" s="137"/>
      <c r="X6" s="150"/>
      <c r="Y6" s="383"/>
      <c r="Z6" s="382"/>
      <c r="AA6" s="381"/>
      <c r="AB6" s="383"/>
      <c r="AC6" s="383"/>
      <c r="AD6" s="596"/>
      <c r="AE6" s="596"/>
      <c r="AF6" s="596"/>
      <c r="AG6" s="596"/>
      <c r="AH6" s="596"/>
      <c r="AI6" s="596"/>
      <c r="AJ6" s="383"/>
      <c r="AK6" s="383"/>
      <c r="AL6" s="382"/>
      <c r="AM6" s="383"/>
      <c r="AN6" s="383"/>
      <c r="AO6" s="383"/>
      <c r="AP6" s="596"/>
      <c r="AQ6" s="184"/>
      <c r="AR6" s="160"/>
      <c r="AS6" s="87"/>
      <c r="AT6" s="1542" t="s">
        <v>89</v>
      </c>
      <c r="AU6" s="1543"/>
      <c r="AV6" s="1543"/>
      <c r="AW6" s="1543"/>
      <c r="AX6" s="1544"/>
      <c r="AY6" s="1540" t="s">
        <v>1213</v>
      </c>
      <c r="AZ6" s="1548" t="s">
        <v>768</v>
      </c>
      <c r="BA6" s="1549"/>
      <c r="BB6" s="1549"/>
      <c r="BC6" s="1549"/>
      <c r="BD6" s="1550"/>
    </row>
    <row r="7" spans="1:56" s="87" customFormat="1" ht="13.5" customHeight="1" x14ac:dyDescent="0.2">
      <c r="A7" s="121"/>
      <c r="B7" s="1771" t="s">
        <v>205</v>
      </c>
      <c r="C7" s="1031"/>
      <c r="D7" s="1696" t="s">
        <v>910</v>
      </c>
      <c r="E7" s="1696"/>
      <c r="F7" s="1696"/>
      <c r="G7" s="1696"/>
      <c r="H7" s="1697"/>
      <c r="I7" s="96"/>
      <c r="J7" s="96"/>
      <c r="K7" s="61"/>
      <c r="L7" s="61"/>
      <c r="M7" s="61"/>
      <c r="N7" s="61"/>
      <c r="O7" s="61"/>
      <c r="P7" s="61"/>
      <c r="Q7" s="828"/>
      <c r="R7" s="828"/>
      <c r="S7" s="159"/>
      <c r="T7" s="159"/>
      <c r="U7" s="829"/>
      <c r="V7" s="122"/>
      <c r="W7" s="139"/>
      <c r="Y7" s="577"/>
      <c r="Z7" s="581" t="str">
        <f>IF(Sheet1!$C$3="Annual","",Sheet1!$D$28)</f>
        <v/>
      </c>
      <c r="AA7" s="489" t="str">
        <f>IF(Sheet1!$C$3="Annual","",Sheet1!$E$28)</f>
        <v/>
      </c>
      <c r="AB7" s="489" t="str">
        <f>IF(Sheet1!$C$3="Annual","",Sheet1!$F$28)</f>
        <v/>
      </c>
      <c r="AC7" s="489" t="str">
        <f>IF(Sheet1!$C$3="Annual","",Sheet1!$G$28)</f>
        <v/>
      </c>
      <c r="AD7" s="578" t="str">
        <f>IF(Sheet1!$C$3="Annual","",Sheet1!$H$28)</f>
        <v/>
      </c>
      <c r="AE7" s="577"/>
      <c r="AF7" s="581" t="str">
        <f>IF(Sheet1!$C$3="Annual","",Sheet1!$D$28)</f>
        <v/>
      </c>
      <c r="AG7" s="489" t="str">
        <f>IF(Sheet1!$C$3="Annual","",Sheet1!$E$28)</f>
        <v/>
      </c>
      <c r="AH7" s="489" t="str">
        <f>IF(Sheet1!$C$3="Annual","",Sheet1!$F$28)</f>
        <v/>
      </c>
      <c r="AI7" s="489" t="str">
        <f>IF(Sheet1!$C$3="Annual","",Sheet1!$G$28)</f>
        <v/>
      </c>
      <c r="AJ7" s="578" t="str">
        <f>IF(Sheet1!$C$3="Annual","",Sheet1!$H$28)</f>
        <v/>
      </c>
      <c r="AK7" s="384"/>
      <c r="AL7" s="489" t="str">
        <f>IF(Sheet1!$C$3="Annual","",Sheet1!$D$28)</f>
        <v/>
      </c>
      <c r="AM7" s="489" t="str">
        <f>IF(Sheet1!$C$3="Annual","",Sheet1!$E$28)</f>
        <v/>
      </c>
      <c r="AN7" s="489" t="str">
        <f>IF(Sheet1!$C$3="Annual","",Sheet1!$F$28)</f>
        <v/>
      </c>
      <c r="AO7" s="489" t="str">
        <f>IF(Sheet1!$C$3="Annual","",Sheet1!$G$28)</f>
        <v/>
      </c>
      <c r="AP7" s="489" t="str">
        <f>IF(Sheet1!$C$3="Annual","",Sheet1!$H$28)</f>
        <v/>
      </c>
      <c r="AQ7" s="184"/>
      <c r="AR7" s="160"/>
      <c r="AT7" s="1540" t="str">
        <f>IF(Sheet1!$C$3="Annual","",Sheet1!$D$28)</f>
        <v/>
      </c>
      <c r="AU7" s="1540" t="str">
        <f>IF(Sheet1!$C$3="Annual","",Sheet1!$E$28)</f>
        <v/>
      </c>
      <c r="AV7" s="1540" t="str">
        <f>IF(Sheet1!$C$3="Annual","",Sheet1!$F$28)</f>
        <v/>
      </c>
      <c r="AW7" s="1540" t="str">
        <f>IF(Sheet1!$C$3="Annual","",Sheet1!$G$28)</f>
        <v/>
      </c>
      <c r="AX7" s="1540" t="str">
        <f>IF(Sheet1!$C$3="Annual","",Sheet1!$H$28)</f>
        <v/>
      </c>
      <c r="AY7" s="1541"/>
      <c r="AZ7" s="1540" t="str">
        <f>IF(Sheet1!$C$3="Annual","",Sheet1!$D$28)</f>
        <v/>
      </c>
      <c r="BA7" s="1540" t="str">
        <f>IF(Sheet1!$C$3="Annual","",Sheet1!$E$28)</f>
        <v/>
      </c>
      <c r="BB7" s="1540" t="str">
        <f>IF(Sheet1!$C$3="Annual","",Sheet1!$F$28)</f>
        <v/>
      </c>
      <c r="BC7" s="1540" t="str">
        <f>IF(Sheet1!$C$3="Annual","",Sheet1!$G$28)</f>
        <v/>
      </c>
      <c r="BD7" s="1540" t="str">
        <f>IF(Sheet1!$C$3="Annual","",Sheet1!$H$28)</f>
        <v/>
      </c>
    </row>
    <row r="8" spans="1:56" s="87" customFormat="1" ht="13.5" customHeight="1" x14ac:dyDescent="0.2">
      <c r="A8" s="292"/>
      <c r="B8" s="1772"/>
      <c r="C8" s="85"/>
      <c r="D8" s="1294">
        <f>Sheet1!$D$29</f>
        <v>41699</v>
      </c>
      <c r="E8" s="1294">
        <f>Sheet1!$E$29</f>
        <v>42064</v>
      </c>
      <c r="F8" s="1294">
        <f>Sheet1!$F$29</f>
        <v>42430</v>
      </c>
      <c r="G8" s="1294">
        <f>Sheet1!$G$29</f>
        <v>42795</v>
      </c>
      <c r="H8" s="1295">
        <f>Sheet1!$H$29</f>
        <v>43160</v>
      </c>
      <c r="I8" s="96"/>
      <c r="J8" s="96"/>
      <c r="K8" s="61"/>
      <c r="L8" s="61"/>
      <c r="M8" s="61"/>
      <c r="N8" s="61"/>
      <c r="O8" s="61"/>
      <c r="P8" s="61"/>
      <c r="Q8" s="1036"/>
      <c r="R8" s="1036"/>
      <c r="S8" s="159"/>
      <c r="T8" s="159"/>
      <c r="U8" s="1037"/>
      <c r="V8" s="122"/>
      <c r="W8" s="139"/>
      <c r="X8" s="149" t="s">
        <v>101</v>
      </c>
      <c r="Y8" s="577"/>
      <c r="Z8" s="581" t="str">
        <f>Sheet1!$D$27</f>
        <v>2015-16</v>
      </c>
      <c r="AA8" s="489" t="str">
        <f>Sheet1!$E$27</f>
        <v>2016-17</v>
      </c>
      <c r="AB8" s="489" t="str">
        <f>Sheet1!$F$27</f>
        <v>2017-18</v>
      </c>
      <c r="AC8" s="489" t="str">
        <f>Sheet1!$G$27</f>
        <v>2018-19</v>
      </c>
      <c r="AD8" s="578" t="str">
        <f>Sheet1!$H$27</f>
        <v>2019-20</v>
      </c>
      <c r="AE8" s="577"/>
      <c r="AF8" s="581" t="str">
        <f>Sheet1!$D$27</f>
        <v>2015-16</v>
      </c>
      <c r="AG8" s="489" t="str">
        <f>Sheet1!$E$27</f>
        <v>2016-17</v>
      </c>
      <c r="AH8" s="489" t="str">
        <f>Sheet1!$F$27</f>
        <v>2017-18</v>
      </c>
      <c r="AI8" s="489" t="str">
        <f>Sheet1!$G$27</f>
        <v>2018-19</v>
      </c>
      <c r="AJ8" s="578" t="str">
        <f>Sheet1!$H$27</f>
        <v>2019-20</v>
      </c>
      <c r="AK8" s="384"/>
      <c r="AL8" s="489" t="str">
        <f>Sheet1!$D$27</f>
        <v>2015-16</v>
      </c>
      <c r="AM8" s="489" t="str">
        <f>Sheet1!$E$27</f>
        <v>2016-17</v>
      </c>
      <c r="AN8" s="489" t="str">
        <f>Sheet1!$F$27</f>
        <v>2017-18</v>
      </c>
      <c r="AO8" s="489" t="str">
        <f>Sheet1!$G$27</f>
        <v>2018-19</v>
      </c>
      <c r="AP8" s="489" t="str">
        <f>Sheet1!$H$27</f>
        <v>2019-20</v>
      </c>
      <c r="AQ8" s="81"/>
      <c r="AR8" s="160"/>
      <c r="AT8" s="1540" t="str">
        <f>Sheet1!$D$27</f>
        <v>2015-16</v>
      </c>
      <c r="AU8" s="1540" t="str">
        <f>Sheet1!$E$27</f>
        <v>2016-17</v>
      </c>
      <c r="AV8" s="1540" t="str">
        <f>Sheet1!$F$27</f>
        <v>2017-18</v>
      </c>
      <c r="AW8" s="1540" t="str">
        <f>Sheet1!$G$27</f>
        <v>2018-19</v>
      </c>
      <c r="AX8" s="1540" t="str">
        <f>Sheet1!$H$27</f>
        <v>2019-20</v>
      </c>
      <c r="AY8" s="1541"/>
      <c r="AZ8" s="1540" t="str">
        <f>Sheet1!$D$27</f>
        <v>2015-16</v>
      </c>
      <c r="BA8" s="1540" t="str">
        <f>Sheet1!$E$27</f>
        <v>2016-17</v>
      </c>
      <c r="BB8" s="1540" t="str">
        <f>Sheet1!$F$27</f>
        <v>2017-18</v>
      </c>
      <c r="BC8" s="1540" t="str">
        <f>Sheet1!$G$27</f>
        <v>2018-19</v>
      </c>
      <c r="BD8" s="1540" t="str">
        <f>Sheet1!$H$27</f>
        <v>2019-20</v>
      </c>
    </row>
    <row r="9" spans="1:56" s="87" customFormat="1" ht="12.75" customHeight="1" x14ac:dyDescent="0.2">
      <c r="A9" s="488">
        <f>VLOOKUP(B9,Sheet1!$AQ$4:$AR$25,2,FALSE)</f>
        <v>0</v>
      </c>
      <c r="B9" s="93" t="s">
        <v>0</v>
      </c>
      <c r="C9" s="85"/>
      <c r="D9" s="162">
        <f t="shared" ref="D9:D30" si="0">IF(AND(ISNUMBER(AL9),ISNUMBER(Z9)),AL9/Z9,NA())</f>
        <v>0.40277777777777779</v>
      </c>
      <c r="E9" s="162">
        <f t="shared" ref="E9:E30" si="1">IF(AND(ISNUMBER(AM9),ISNUMBER(AA9)),AM9/AA9,NA())</f>
        <v>0.31147540983606559</v>
      </c>
      <c r="F9" s="162">
        <f t="shared" ref="F9:F30" si="2">IF(AND(ISNUMBER(AN9),ISNUMBER(AB9)),AN9/AB9,NA())</f>
        <v>0.2857142857142857</v>
      </c>
      <c r="G9" s="162">
        <f t="shared" ref="G9:G30" si="3">IF(AND(ISNUMBER(AO9),ISNUMBER(AC9)),AO9/AC9,NA())</f>
        <v>0.21276595744680851</v>
      </c>
      <c r="H9" s="164">
        <f t="shared" ref="H9:H30" si="4">IF(AND(ISNUMBER(AP9),ISNUMBER(AD9)),AP9/AD9,NA())</f>
        <v>0.2</v>
      </c>
      <c r="I9" s="96"/>
      <c r="J9" s="96"/>
      <c r="K9" s="166"/>
      <c r="L9" s="166"/>
      <c r="M9" s="166"/>
      <c r="N9" s="166"/>
      <c r="O9" s="166"/>
      <c r="P9" s="166"/>
      <c r="Q9" s="166"/>
      <c r="R9" s="167"/>
      <c r="S9" s="159"/>
      <c r="T9" s="159"/>
      <c r="U9" s="166"/>
      <c r="V9" s="122"/>
      <c r="W9" s="139"/>
      <c r="X9" s="152"/>
      <c r="Y9" s="93" t="str">
        <f>Sheet1!$K$4</f>
        <v>Bracknell Forest</v>
      </c>
      <c r="Z9" s="1052">
        <f>IF(Year1_Bracknell_Forest Year1_Juvenile_Offenders__Age_10_17="","",Year1_Bracknell_Forest Year1_Juvenile_Offenders__Age_10_17)</f>
        <v>72</v>
      </c>
      <c r="AA9" s="372">
        <f>IF(Year2_Bracknell_Forest Year2_Juvenile_Offenders__Age_10_17="","",Year2_Bracknell_Forest Year2_Juvenile_Offenders__Age_10_17)</f>
        <v>61</v>
      </c>
      <c r="AB9" s="372">
        <f>IF(Year3_Bracknell_Forest Year3_Juvenile_Offenders__Age_10_17="","",Year3_Bracknell_Forest Year3_Juvenile_Offenders__Age_10_17)</f>
        <v>49</v>
      </c>
      <c r="AC9" s="372">
        <f>IF(Year4_Bracknell_Forest Year4_Juvenile_Offenders__Age_10_17="","",Year4_Bracknell_Forest Year4_Juvenile_Offenders__Age_10_17)</f>
        <v>47</v>
      </c>
      <c r="AD9" s="577">
        <f>IF(Year5_Bracknell_Forest Year5_Juvenile_Offenders__Age_10_17="","",Year5_Bracknell_Forest Year5_Juvenile_Offenders__Age_10_17)</f>
        <v>35</v>
      </c>
      <c r="AE9" s="1056" t="str">
        <f>Sheet1!$K$4</f>
        <v>Bracknell Forest</v>
      </c>
      <c r="AF9" s="1051">
        <f>IF(ISNUMBER(AL9),Z9,0)</f>
        <v>72</v>
      </c>
      <c r="AG9" s="1051">
        <f t="shared" ref="AG9:AJ24" si="5">IF(ISNUMBER(AM9),AA9,0)</f>
        <v>61</v>
      </c>
      <c r="AH9" s="1051">
        <f t="shared" si="5"/>
        <v>49</v>
      </c>
      <c r="AI9" s="1051">
        <f t="shared" si="5"/>
        <v>47</v>
      </c>
      <c r="AJ9" s="1051">
        <f t="shared" si="5"/>
        <v>35</v>
      </c>
      <c r="AK9" s="384" t="str">
        <f t="shared" ref="AK9:AK32" si="6">Y9</f>
        <v>Bracknell Forest</v>
      </c>
      <c r="AL9" s="489">
        <f>IF(Year1_Bracknell_Forest Year1_Juvenile_Re_offenders__Age_10_17="","",Year1_Bracknell_Forest Year1_Juvenile_Re_offenders__Age_10_17)</f>
        <v>29</v>
      </c>
      <c r="AM9" s="372">
        <f>IF(Year2_Bracknell_Forest Year2_Juvenile_Re_offenders__Age_10_17="","",Year2_Bracknell_Forest Year2_Juvenile_Re_offenders__Age_10_17)</f>
        <v>19</v>
      </c>
      <c r="AN9" s="372">
        <f>IF(Year3_Bracknell_Forest Year3_Juvenile_Re_offenders__Age_10_17="","",Year3_Bracknell_Forest Year3_Juvenile_Re_offenders__Age_10_17)</f>
        <v>14</v>
      </c>
      <c r="AO9" s="372">
        <f>IF(Year4_Bracknell_Forest Year4_Juvenile_Re_offenders__Age_10_17="","",Year4_Bracknell_Forest Year4_Juvenile_Re_offenders__Age_10_17)</f>
        <v>10</v>
      </c>
      <c r="AP9" s="372">
        <f>IF(Year5_Bracknell_Forest Year5_Juvenile_Re_offenders__Age_10_17="","",Year5_Bracknell_Forest Year5_Juvenile_Re_offenders__Age_10_17)</f>
        <v>7</v>
      </c>
      <c r="AQ9" s="585" t="b">
        <v>1</v>
      </c>
      <c r="AR9" s="160" t="s">
        <v>0</v>
      </c>
      <c r="AS9" s="575" t="str">
        <f>IF(AQ9=TRUE,AE9,"")</f>
        <v>Bracknell Forest</v>
      </c>
      <c r="AT9" s="936" t="e">
        <f>VLOOKUP($AS9,#REF!,AT$5,FALSE)</f>
        <v>#REF!</v>
      </c>
      <c r="AU9" s="936" t="e">
        <f>VLOOKUP($AS9,#REF!,AU$5,FALSE)</f>
        <v>#REF!</v>
      </c>
      <c r="AV9" s="936" t="e">
        <f>VLOOKUP($AS9,#REF!,AV$5,FALSE)</f>
        <v>#REF!</v>
      </c>
      <c r="AW9" s="936" t="e">
        <f>VLOOKUP($AS9,#REF!,AW$5,FALSE)</f>
        <v>#REF!</v>
      </c>
      <c r="AX9" s="936" t="e">
        <f>VLOOKUP($AS9,#REF!,AX$5,FALSE)</f>
        <v>#REF!</v>
      </c>
      <c r="AY9" s="1120" t="e">
        <f>VLOOKUP(AS9,#REF!,AY$5,FALSE)</f>
        <v>#REF!</v>
      </c>
      <c r="AZ9" s="1121">
        <f t="shared" ref="AZ9:BD18" si="7">VLOOKUP($AS9,$B$9:$H$32,AZ$5,FALSE)</f>
        <v>0.40277777777777779</v>
      </c>
      <c r="BA9" s="1121">
        <f t="shared" si="7"/>
        <v>0.31147540983606559</v>
      </c>
      <c r="BB9" s="1121">
        <f t="shared" si="7"/>
        <v>0.2857142857142857</v>
      </c>
      <c r="BC9" s="1121">
        <f t="shared" si="7"/>
        <v>0.21276595744680851</v>
      </c>
      <c r="BD9" s="1121">
        <f t="shared" si="7"/>
        <v>0.2</v>
      </c>
    </row>
    <row r="10" spans="1:56" s="87" customFormat="1" ht="12.75" customHeight="1" x14ac:dyDescent="0.2">
      <c r="A10" s="488">
        <f>VLOOKUP(B10,Sheet1!$AQ$4:$AR$25,2,FALSE)</f>
        <v>0</v>
      </c>
      <c r="B10" s="93" t="s">
        <v>31</v>
      </c>
      <c r="C10" s="85"/>
      <c r="D10" s="162">
        <f t="shared" si="0"/>
        <v>0.53629032258064513</v>
      </c>
      <c r="E10" s="162">
        <f t="shared" si="1"/>
        <v>0.48888888888888887</v>
      </c>
      <c r="F10" s="162">
        <f t="shared" si="2"/>
        <v>0.46875</v>
      </c>
      <c r="G10" s="162">
        <f t="shared" si="3"/>
        <v>0.5847457627118644</v>
      </c>
      <c r="H10" s="164">
        <f t="shared" si="4"/>
        <v>0.44262295081967212</v>
      </c>
      <c r="I10" s="96"/>
      <c r="J10" s="96"/>
      <c r="K10" s="166"/>
      <c r="L10" s="166"/>
      <c r="M10" s="166"/>
      <c r="N10" s="166"/>
      <c r="O10" s="166"/>
      <c r="P10" s="166"/>
      <c r="Q10" s="166"/>
      <c r="R10" s="167"/>
      <c r="S10" s="159"/>
      <c r="T10" s="159"/>
      <c r="U10" s="166"/>
      <c r="V10" s="122"/>
      <c r="W10" s="139"/>
      <c r="X10" s="152"/>
      <c r="Y10" s="93" t="str">
        <f>Sheet1!$K$5</f>
        <v>Brighton &amp; Hove</v>
      </c>
      <c r="Z10" s="1052">
        <f>IF(Year1_Brighton_Hove Year1_Juvenile_Offenders__Age_10_17="","",Year1_Brighton_Hove Year1_Juvenile_Offenders__Age_10_17)</f>
        <v>248</v>
      </c>
      <c r="AA10" s="372">
        <f>IF(Year2_Brighton_Hove Year2_Juvenile_Offenders__Age_10_17="","",Year2_Brighton_Hove Year2_Juvenile_Offenders__Age_10_17)</f>
        <v>180</v>
      </c>
      <c r="AB10" s="372">
        <f>IF(Year3_Brighton_Hove Year3_Juvenile_Offenders__Age_10_17="","",Year3_Brighton_Hove Year3_Juvenile_Offenders__Age_10_17)</f>
        <v>160</v>
      </c>
      <c r="AC10" s="372">
        <f>IF(Year4_Brighton_Hove Year4_Juvenile_Offenders__Age_10_17="","",Year4_Brighton_Hove Year4_Juvenile_Offenders__Age_10_17)</f>
        <v>118</v>
      </c>
      <c r="AD10" s="577">
        <f>IF(Year5_Brighton_Hove Year5_Juvenile_Offenders__Age_10_17="","",Year5_Brighton_Hove Year5_Juvenile_Offenders__Age_10_17)</f>
        <v>61</v>
      </c>
      <c r="AE10" s="1056" t="str">
        <f>Sheet1!$K$5</f>
        <v>Brighton &amp; Hove</v>
      </c>
      <c r="AF10" s="1051">
        <f t="shared" ref="AF10:AF32" si="8">IF(ISNUMBER(AL10),Z10,0)</f>
        <v>248</v>
      </c>
      <c r="AG10" s="1051">
        <f t="shared" si="5"/>
        <v>180</v>
      </c>
      <c r="AH10" s="1051">
        <f t="shared" si="5"/>
        <v>160</v>
      </c>
      <c r="AI10" s="1051">
        <f t="shared" si="5"/>
        <v>118</v>
      </c>
      <c r="AJ10" s="1051">
        <f t="shared" si="5"/>
        <v>61</v>
      </c>
      <c r="AK10" s="384" t="str">
        <f t="shared" si="6"/>
        <v>Brighton &amp; Hove</v>
      </c>
      <c r="AL10" s="489">
        <f>IF(Year1_Brighton_Hove Year1_Juvenile_Re_offenders__Age_10_17="","",Year1_Brighton_Hove Year1_Juvenile_Re_offenders__Age_10_17)</f>
        <v>133</v>
      </c>
      <c r="AM10" s="372">
        <f>IF(Year2_Brighton_Hove Year2_Juvenile_Re_offenders__Age_10_17="","",Year2_Brighton_Hove Year2_Juvenile_Re_offenders__Age_10_17)</f>
        <v>88</v>
      </c>
      <c r="AN10" s="372">
        <f>IF(Year3_Brighton_Hove Year3_Juvenile_Re_offenders__Age_10_17="","",Year3_Brighton_Hove Year3_Juvenile_Re_offenders__Age_10_17)</f>
        <v>75</v>
      </c>
      <c r="AO10" s="372">
        <f>IF(Year4_Brighton_Hove Year4_Juvenile_Re_offenders__Age_10_17="","",Year4_Brighton_Hove Year4_Juvenile_Re_offenders__Age_10_17)</f>
        <v>69</v>
      </c>
      <c r="AP10" s="372">
        <f>IF(Year5_Brighton_Hove Year5_Juvenile_Re_offenders__Age_10_17="","",Year5_Brighton_Hove Year5_Juvenile_Re_offenders__Age_10_17)</f>
        <v>27</v>
      </c>
      <c r="AQ10" s="585" t="b">
        <v>1</v>
      </c>
      <c r="AR10" s="160" t="s">
        <v>31</v>
      </c>
      <c r="AS10" s="575" t="str">
        <f t="shared" ref="AS10:AS31" si="9">IF(AQ10=TRUE,AE10,"")</f>
        <v>Brighton &amp; Hove</v>
      </c>
      <c r="AT10" s="936" t="e">
        <f>VLOOKUP($AS10,#REF!,AT$5,FALSE)</f>
        <v>#REF!</v>
      </c>
      <c r="AU10" s="936" t="e">
        <f>VLOOKUP($AS10,#REF!,AU$5,FALSE)</f>
        <v>#REF!</v>
      </c>
      <c r="AV10" s="936" t="e">
        <f>VLOOKUP($AS10,#REF!,AV$5,FALSE)</f>
        <v>#REF!</v>
      </c>
      <c r="AW10" s="936" t="e">
        <f>VLOOKUP($AS10,#REF!,AW$5,FALSE)</f>
        <v>#REF!</v>
      </c>
      <c r="AX10" s="936" t="e">
        <f>VLOOKUP($AS10,#REF!,AX$5,FALSE)</f>
        <v>#REF!</v>
      </c>
      <c r="AY10" s="1120" t="e">
        <f>VLOOKUP(AS10,#REF!,AY$5,FALSE)</f>
        <v>#REF!</v>
      </c>
      <c r="AZ10" s="1121">
        <f t="shared" si="7"/>
        <v>0.53629032258064513</v>
      </c>
      <c r="BA10" s="1121">
        <f t="shared" si="7"/>
        <v>0.48888888888888887</v>
      </c>
      <c r="BB10" s="1121">
        <f t="shared" si="7"/>
        <v>0.46875</v>
      </c>
      <c r="BC10" s="1121">
        <f t="shared" si="7"/>
        <v>0.5847457627118644</v>
      </c>
      <c r="BD10" s="1121">
        <f t="shared" si="7"/>
        <v>0.44262295081967212</v>
      </c>
    </row>
    <row r="11" spans="1:56" s="87" customFormat="1" ht="12.75" customHeight="1" x14ac:dyDescent="0.2">
      <c r="A11" s="488">
        <f>VLOOKUP(B11,Sheet1!$AQ$4:$AR$25,2,FALSE)</f>
        <v>0</v>
      </c>
      <c r="B11" s="93" t="s">
        <v>8</v>
      </c>
      <c r="C11" s="85"/>
      <c r="D11" s="162">
        <f t="shared" si="0"/>
        <v>0.40433212996389889</v>
      </c>
      <c r="E11" s="162">
        <f t="shared" si="1"/>
        <v>0.35680751173708919</v>
      </c>
      <c r="F11" s="162">
        <f t="shared" si="2"/>
        <v>0.42738589211618255</v>
      </c>
      <c r="G11" s="162">
        <f t="shared" si="3"/>
        <v>0.35537190082644626</v>
      </c>
      <c r="H11" s="164">
        <f t="shared" si="4"/>
        <v>0.28767123287671231</v>
      </c>
      <c r="I11" s="96"/>
      <c r="J11" s="96"/>
      <c r="K11" s="166"/>
      <c r="L11" s="166"/>
      <c r="M11" s="166"/>
      <c r="N11" s="166"/>
      <c r="O11" s="166"/>
      <c r="P11" s="166"/>
      <c r="Q11" s="166"/>
      <c r="R11" s="167"/>
      <c r="S11" s="159"/>
      <c r="T11" s="159"/>
      <c r="U11" s="166"/>
      <c r="V11" s="122"/>
      <c r="W11" s="139"/>
      <c r="X11" s="152"/>
      <c r="Y11" s="93" t="str">
        <f>Sheet1!$K$6</f>
        <v>Buckinghamshire</v>
      </c>
      <c r="Z11" s="1052">
        <f>IF(Year1_Buckinghamshire Year1_Juvenile_Offenders__Age_10_17="","",Year1_Buckinghamshire Year1_Juvenile_Offenders__Age_10_17)</f>
        <v>277</v>
      </c>
      <c r="AA11" s="372">
        <f>IF(Year2_Buckinghamshire Year2_Juvenile_Offenders__Age_10_17="","",Year2_Buckinghamshire Year2_Juvenile_Offenders__Age_10_17)</f>
        <v>213</v>
      </c>
      <c r="AB11" s="372">
        <f>IF(Year3_Buckinghamshire Year3_Juvenile_Offenders__Age_10_17="","",Year3_Buckinghamshire Year3_Juvenile_Offenders__Age_10_17)</f>
        <v>241</v>
      </c>
      <c r="AC11" s="372">
        <f>IF(Year4_Buckinghamshire Year4_Juvenile_Offenders__Age_10_17="","",Year4_Buckinghamshire Year4_Juvenile_Offenders__Age_10_17)</f>
        <v>242</v>
      </c>
      <c r="AD11" s="577">
        <f>IF(Year5_Buckinghamshire Year5_Juvenile_Offenders__Age_10_17="","",Year5_Buckinghamshire Year5_Juvenile_Offenders__Age_10_17)</f>
        <v>219</v>
      </c>
      <c r="AE11" s="1056" t="str">
        <f>Sheet1!$K$6</f>
        <v>Buckinghamshire</v>
      </c>
      <c r="AF11" s="1051">
        <f t="shared" si="8"/>
        <v>277</v>
      </c>
      <c r="AG11" s="1051">
        <f t="shared" si="5"/>
        <v>213</v>
      </c>
      <c r="AH11" s="1051">
        <f t="shared" si="5"/>
        <v>241</v>
      </c>
      <c r="AI11" s="1051">
        <f t="shared" si="5"/>
        <v>242</v>
      </c>
      <c r="AJ11" s="1051">
        <f t="shared" si="5"/>
        <v>219</v>
      </c>
      <c r="AK11" s="384" t="str">
        <f t="shared" si="6"/>
        <v>Buckinghamshire</v>
      </c>
      <c r="AL11" s="489">
        <f>IF(Year1_Buckinghamshire Year1_Juvenile_Re_offenders__Age_10_17="","",Year1_Buckinghamshire Year1_Juvenile_Re_offenders__Age_10_17)</f>
        <v>112</v>
      </c>
      <c r="AM11" s="372">
        <f>IF(Year2_Buckinghamshire Year2_Juvenile_Re_offenders__Age_10_17="","",Year2_Buckinghamshire Year2_Juvenile_Re_offenders__Age_10_17)</f>
        <v>76</v>
      </c>
      <c r="AN11" s="372">
        <f>IF(Year3_Buckinghamshire Year3_Juvenile_Re_offenders__Age_10_17="","",Year3_Buckinghamshire Year3_Juvenile_Re_offenders__Age_10_17)</f>
        <v>103</v>
      </c>
      <c r="AO11" s="372">
        <f>IF(Year4_Buckinghamshire Year4_Juvenile_Re_offenders__Age_10_17="","",Year4_Buckinghamshire Year4_Juvenile_Re_offenders__Age_10_17)</f>
        <v>86</v>
      </c>
      <c r="AP11" s="372">
        <f>IF(Year5_Buckinghamshire Year5_Juvenile_Re_offenders__Age_10_17="","",Year5_Buckinghamshire Year5_Juvenile_Re_offenders__Age_10_17)</f>
        <v>63</v>
      </c>
      <c r="AQ11" s="585" t="b">
        <v>1</v>
      </c>
      <c r="AR11" s="160" t="s">
        <v>8</v>
      </c>
      <c r="AS11" s="575" t="str">
        <f t="shared" si="9"/>
        <v>Buckinghamshire</v>
      </c>
      <c r="AT11" s="936" t="e">
        <f>VLOOKUP($AS11,#REF!,AT$5,FALSE)</f>
        <v>#REF!</v>
      </c>
      <c r="AU11" s="936" t="e">
        <f>VLOOKUP($AS11,#REF!,AU$5,FALSE)</f>
        <v>#REF!</v>
      </c>
      <c r="AV11" s="936" t="e">
        <f>VLOOKUP($AS11,#REF!,AV$5,FALSE)</f>
        <v>#REF!</v>
      </c>
      <c r="AW11" s="936" t="e">
        <f>VLOOKUP($AS11,#REF!,AW$5,FALSE)</f>
        <v>#REF!</v>
      </c>
      <c r="AX11" s="936" t="e">
        <f>VLOOKUP($AS11,#REF!,AX$5,FALSE)</f>
        <v>#REF!</v>
      </c>
      <c r="AY11" s="1120" t="e">
        <f>VLOOKUP(AS11,#REF!,AY$5,FALSE)</f>
        <v>#REF!</v>
      </c>
      <c r="AZ11" s="1121">
        <f t="shared" si="7"/>
        <v>0.40433212996389889</v>
      </c>
      <c r="BA11" s="1121">
        <f t="shared" si="7"/>
        <v>0.35680751173708919</v>
      </c>
      <c r="BB11" s="1121">
        <f t="shared" si="7"/>
        <v>0.42738589211618255</v>
      </c>
      <c r="BC11" s="1121">
        <f t="shared" si="7"/>
        <v>0.35537190082644626</v>
      </c>
      <c r="BD11" s="1121">
        <f t="shared" si="7"/>
        <v>0.28767123287671231</v>
      </c>
    </row>
    <row r="12" spans="1:56" s="87" customFormat="1" ht="12.75" customHeight="1" x14ac:dyDescent="0.2">
      <c r="A12" s="488">
        <f>VLOOKUP(B12,Sheet1!$AQ$4:$AR$25,2,FALSE)</f>
        <v>0</v>
      </c>
      <c r="B12" s="93" t="s">
        <v>4</v>
      </c>
      <c r="C12" s="85"/>
      <c r="D12" s="162">
        <f t="shared" si="0"/>
        <v>0.41037735849056606</v>
      </c>
      <c r="E12" s="162">
        <f t="shared" si="1"/>
        <v>0.44289693593314761</v>
      </c>
      <c r="F12" s="162">
        <f t="shared" si="2"/>
        <v>0.48172757475083056</v>
      </c>
      <c r="G12" s="162">
        <f t="shared" si="3"/>
        <v>0.38775510204081631</v>
      </c>
      <c r="H12" s="164">
        <f t="shared" si="4"/>
        <v>0.28169014084507044</v>
      </c>
      <c r="I12" s="96"/>
      <c r="J12" s="96"/>
      <c r="K12" s="166"/>
      <c r="L12" s="166"/>
      <c r="M12" s="166"/>
      <c r="N12" s="166"/>
      <c r="O12" s="166"/>
      <c r="P12" s="166"/>
      <c r="Q12" s="166"/>
      <c r="R12" s="167"/>
      <c r="S12" s="159"/>
      <c r="T12" s="159"/>
      <c r="U12" s="166"/>
      <c r="V12" s="122"/>
      <c r="W12" s="139"/>
      <c r="X12" s="152"/>
      <c r="Y12" s="93" t="str">
        <f>Sheet1!$K$7</f>
        <v>East Sussex</v>
      </c>
      <c r="Z12" s="1052">
        <f>IF(Year1_East_Sussex Year1_Juvenile_Offenders__Age_10_17="","",Year1_East_Sussex Year1_Juvenile_Offenders__Age_10_17)</f>
        <v>424</v>
      </c>
      <c r="AA12" s="372">
        <f>IF(Year2_East_Sussex Year2_Juvenile_Offenders__Age_10_17="","",Year2_East_Sussex Year2_Juvenile_Offenders__Age_10_17)</f>
        <v>359</v>
      </c>
      <c r="AB12" s="372">
        <f>IF(Year3_East_Sussex Year3_Juvenile_Offenders__Age_10_17="","",Year3_East_Sussex Year3_Juvenile_Offenders__Age_10_17)</f>
        <v>301</v>
      </c>
      <c r="AC12" s="372">
        <f>IF(Year4_East_Sussex Year4_Juvenile_Offenders__Age_10_17="","",Year4_East_Sussex Year4_Juvenile_Offenders__Age_10_17)</f>
        <v>294</v>
      </c>
      <c r="AD12" s="577">
        <f>IF(Year5_East_Sussex Year5_Juvenile_Offenders__Age_10_17="","",Year5_East_Sussex Year5_Juvenile_Offenders__Age_10_17)</f>
        <v>142</v>
      </c>
      <c r="AE12" s="1056" t="str">
        <f>Sheet1!$K$7</f>
        <v>East Sussex</v>
      </c>
      <c r="AF12" s="1051">
        <f t="shared" si="8"/>
        <v>424</v>
      </c>
      <c r="AG12" s="1051">
        <f t="shared" si="5"/>
        <v>359</v>
      </c>
      <c r="AH12" s="1051">
        <f t="shared" si="5"/>
        <v>301</v>
      </c>
      <c r="AI12" s="1051">
        <f t="shared" si="5"/>
        <v>294</v>
      </c>
      <c r="AJ12" s="1051">
        <f t="shared" si="5"/>
        <v>142</v>
      </c>
      <c r="AK12" s="384" t="str">
        <f t="shared" si="6"/>
        <v>East Sussex</v>
      </c>
      <c r="AL12" s="489">
        <f>IF(Year1_East_Sussex Year1_Juvenile_Re_offenders__Age_10_17="","",Year1_East_Sussex Year1_Juvenile_Re_offenders__Age_10_17)</f>
        <v>174</v>
      </c>
      <c r="AM12" s="372">
        <f>IF(Year2_East_Sussex Year2_Juvenile_Re_offenders__Age_10_17="","",Year2_East_Sussex Year2_Juvenile_Re_offenders__Age_10_17)</f>
        <v>159</v>
      </c>
      <c r="AN12" s="372">
        <f>IF(Year3_East_Sussex Year3_Juvenile_Re_offenders__Age_10_17="","",Year3_East_Sussex Year3_Juvenile_Re_offenders__Age_10_17)</f>
        <v>145</v>
      </c>
      <c r="AO12" s="372">
        <f>IF(Year4_East_Sussex Year4_Juvenile_Re_offenders__Age_10_17="","",Year4_East_Sussex Year4_Juvenile_Re_offenders__Age_10_17)</f>
        <v>114</v>
      </c>
      <c r="AP12" s="372">
        <f>IF(Year5_East_Sussex Year5_Juvenile_Re_offenders__Age_10_17="","",Year5_East_Sussex Year5_Juvenile_Re_offenders__Age_10_17)</f>
        <v>40</v>
      </c>
      <c r="AQ12" s="585" t="b">
        <v>1</v>
      </c>
      <c r="AR12" s="160" t="s">
        <v>4</v>
      </c>
      <c r="AS12" s="575" t="str">
        <f t="shared" si="9"/>
        <v>East Sussex</v>
      </c>
      <c r="AT12" s="936" t="e">
        <f>VLOOKUP($AS12,#REF!,AT$5,FALSE)</f>
        <v>#REF!</v>
      </c>
      <c r="AU12" s="936" t="e">
        <f>VLOOKUP($AS12,#REF!,AU$5,FALSE)</f>
        <v>#REF!</v>
      </c>
      <c r="AV12" s="936" t="e">
        <f>VLOOKUP($AS12,#REF!,AV$5,FALSE)</f>
        <v>#REF!</v>
      </c>
      <c r="AW12" s="936" t="e">
        <f>VLOOKUP($AS12,#REF!,AW$5,FALSE)</f>
        <v>#REF!</v>
      </c>
      <c r="AX12" s="936" t="e">
        <f>VLOOKUP($AS12,#REF!,AX$5,FALSE)</f>
        <v>#REF!</v>
      </c>
      <c r="AY12" s="1120" t="e">
        <f>VLOOKUP(AS12,#REF!,AY$5,FALSE)</f>
        <v>#REF!</v>
      </c>
      <c r="AZ12" s="1121">
        <f t="shared" si="7"/>
        <v>0.41037735849056606</v>
      </c>
      <c r="BA12" s="1121">
        <f t="shared" si="7"/>
        <v>0.44289693593314761</v>
      </c>
      <c r="BB12" s="1121">
        <f t="shared" si="7"/>
        <v>0.48172757475083056</v>
      </c>
      <c r="BC12" s="1121">
        <f t="shared" si="7"/>
        <v>0.38775510204081631</v>
      </c>
      <c r="BD12" s="1121">
        <f t="shared" si="7"/>
        <v>0.28169014084507044</v>
      </c>
    </row>
    <row r="13" spans="1:56" s="87" customFormat="1" ht="12.75" customHeight="1" x14ac:dyDescent="0.2">
      <c r="A13" s="488">
        <f>VLOOKUP(B13,Sheet1!$AQ$4:$AR$25,2,FALSE)</f>
        <v>0</v>
      </c>
      <c r="B13" s="93" t="s">
        <v>6</v>
      </c>
      <c r="C13" s="85"/>
      <c r="D13" s="162">
        <f t="shared" si="0"/>
        <v>0.42898272552783112</v>
      </c>
      <c r="E13" s="162">
        <f t="shared" si="1"/>
        <v>0.42129105322763305</v>
      </c>
      <c r="F13" s="162">
        <f t="shared" si="2"/>
        <v>0.39912280701754388</v>
      </c>
      <c r="G13" s="162">
        <f t="shared" si="3"/>
        <v>0.45824847250509165</v>
      </c>
      <c r="H13" s="164">
        <f t="shared" si="4"/>
        <v>0.34468085106382979</v>
      </c>
      <c r="I13" s="96"/>
      <c r="J13" s="96"/>
      <c r="K13" s="166"/>
      <c r="L13" s="166"/>
      <c r="M13" s="166"/>
      <c r="N13" s="166"/>
      <c r="O13" s="166"/>
      <c r="P13" s="166"/>
      <c r="Q13" s="166"/>
      <c r="R13" s="167"/>
      <c r="S13" s="159"/>
      <c r="T13" s="159"/>
      <c r="U13" s="166"/>
      <c r="V13" s="122"/>
      <c r="W13" s="139"/>
      <c r="X13" s="152"/>
      <c r="Y13" s="93" t="str">
        <f>Sheet1!$K$8</f>
        <v>Hampshire</v>
      </c>
      <c r="Z13" s="1052">
        <f>IF(Year1_Hampshire Year1_Juvenile_Offenders__Age_10_17="","",Year1_Hampshire Year1_Juvenile_Offenders__Age_10_17)</f>
        <v>1042</v>
      </c>
      <c r="AA13" s="581">
        <f>IF(Year2_Hampshire Year2_Juvenile_Offenders__Age_10_17="","",Year2_Hampshire Year2_Juvenile_Offenders__Age_10_17)</f>
        <v>883</v>
      </c>
      <c r="AB13" s="372">
        <f>IF(Year3_Hampshire Year3_Juvenile_Offenders__Age_10_17="","",Year3_Hampshire Year3_Juvenile_Offenders__Age_10_17)</f>
        <v>684</v>
      </c>
      <c r="AC13" s="372">
        <f>IF(Year4_Hampshire Year4_Juvenile_Offenders__Age_10_17="","",Year4_Hampshire Year4_Juvenile_Offenders__Age_10_17)</f>
        <v>491</v>
      </c>
      <c r="AD13" s="577">
        <f>IF(Year5_Hampshire Year5_Juvenile_Offenders__Age_10_17="","",Year5_Hampshire Year5_Juvenile_Offenders__Age_10_17)</f>
        <v>470</v>
      </c>
      <c r="AE13" s="1056" t="str">
        <f>Sheet1!$K$8</f>
        <v>Hampshire</v>
      </c>
      <c r="AF13" s="1051">
        <f t="shared" si="8"/>
        <v>1042</v>
      </c>
      <c r="AG13" s="1051">
        <f t="shared" si="5"/>
        <v>883</v>
      </c>
      <c r="AH13" s="1051">
        <f t="shared" si="5"/>
        <v>684</v>
      </c>
      <c r="AI13" s="1051">
        <f t="shared" si="5"/>
        <v>491</v>
      </c>
      <c r="AJ13" s="1051">
        <f t="shared" si="5"/>
        <v>470</v>
      </c>
      <c r="AK13" s="384" t="str">
        <f t="shared" si="6"/>
        <v>Hampshire</v>
      </c>
      <c r="AL13" s="489">
        <f>IF(Year1_Hampshire Year1_Juvenile_Re_offenders__Age_10_17="","",Year1_Hampshire Year1_Juvenile_Re_offenders__Age_10_17)</f>
        <v>447</v>
      </c>
      <c r="AM13" s="372">
        <f>IF(Year2_Hampshire Year2_Juvenile_Re_offenders__Age_10_17="","",Year2_Hampshire Year2_Juvenile_Re_offenders__Age_10_17)</f>
        <v>372</v>
      </c>
      <c r="AN13" s="372">
        <f>IF(Year3_Hampshire Year3_Juvenile_Re_offenders__Age_10_17="","",Year3_Hampshire Year3_Juvenile_Re_offenders__Age_10_17)</f>
        <v>273</v>
      </c>
      <c r="AO13" s="372">
        <f>IF(Year4_Hampshire Year4_Juvenile_Re_offenders__Age_10_17="","",Year4_Hampshire Year4_Juvenile_Re_offenders__Age_10_17)</f>
        <v>225</v>
      </c>
      <c r="AP13" s="372">
        <f>IF(Year5_Hampshire Year5_Juvenile_Re_offenders__Age_10_17="","",Year5_Hampshire Year5_Juvenile_Re_offenders__Age_10_17)</f>
        <v>162</v>
      </c>
      <c r="AQ13" s="585" t="b">
        <v>1</v>
      </c>
      <c r="AR13" s="160" t="s">
        <v>6</v>
      </c>
      <c r="AS13" s="575" t="str">
        <f t="shared" si="9"/>
        <v>Hampshire</v>
      </c>
      <c r="AT13" s="936" t="e">
        <f>VLOOKUP($AS13,#REF!,AT$5,FALSE)</f>
        <v>#REF!</v>
      </c>
      <c r="AU13" s="936" t="e">
        <f>VLOOKUP($AS13,#REF!,AU$5,FALSE)</f>
        <v>#REF!</v>
      </c>
      <c r="AV13" s="936" t="e">
        <f>VLOOKUP($AS13,#REF!,AV$5,FALSE)</f>
        <v>#REF!</v>
      </c>
      <c r="AW13" s="936" t="e">
        <f>VLOOKUP($AS13,#REF!,AW$5,FALSE)</f>
        <v>#REF!</v>
      </c>
      <c r="AX13" s="936" t="e">
        <f>VLOOKUP($AS13,#REF!,AX$5,FALSE)</f>
        <v>#REF!</v>
      </c>
      <c r="AY13" s="1120" t="e">
        <f>VLOOKUP(AS13,#REF!,AY$5,FALSE)</f>
        <v>#REF!</v>
      </c>
      <c r="AZ13" s="1121">
        <f t="shared" si="7"/>
        <v>0.42898272552783112</v>
      </c>
      <c r="BA13" s="1121">
        <f t="shared" si="7"/>
        <v>0.42129105322763305</v>
      </c>
      <c r="BB13" s="1121">
        <f t="shared" si="7"/>
        <v>0.39912280701754388</v>
      </c>
      <c r="BC13" s="1121">
        <f t="shared" si="7"/>
        <v>0.45824847250509165</v>
      </c>
      <c r="BD13" s="1121">
        <f t="shared" si="7"/>
        <v>0.34468085106382979</v>
      </c>
    </row>
    <row r="14" spans="1:56" s="87" customFormat="1" ht="12.75" customHeight="1" x14ac:dyDescent="0.2">
      <c r="A14" s="488">
        <f>VLOOKUP(B14,Sheet1!$AQ$4:$AR$25,2,FALSE)</f>
        <v>0</v>
      </c>
      <c r="B14" s="93" t="s">
        <v>1</v>
      </c>
      <c r="C14" s="85"/>
      <c r="D14" s="162">
        <f t="shared" si="0"/>
        <v>0.52736318407960203</v>
      </c>
      <c r="E14" s="162">
        <f t="shared" si="1"/>
        <v>0.64</v>
      </c>
      <c r="F14" s="162">
        <f t="shared" si="2"/>
        <v>0.5546875</v>
      </c>
      <c r="G14" s="162">
        <f t="shared" si="3"/>
        <v>0.5</v>
      </c>
      <c r="H14" s="164">
        <f t="shared" si="4"/>
        <v>0.45544554455445546</v>
      </c>
      <c r="I14" s="96"/>
      <c r="J14" s="96"/>
      <c r="K14" s="166"/>
      <c r="L14" s="166"/>
      <c r="M14" s="166"/>
      <c r="N14" s="166"/>
      <c r="O14" s="166"/>
      <c r="P14" s="166"/>
      <c r="Q14" s="166"/>
      <c r="R14" s="167"/>
      <c r="S14" s="159"/>
      <c r="T14" s="159"/>
      <c r="U14" s="166"/>
      <c r="V14" s="122"/>
      <c r="W14" s="139"/>
      <c r="X14" s="152"/>
      <c r="Y14" s="93" t="str">
        <f>Sheet1!$K$9</f>
        <v>Isle of Wight</v>
      </c>
      <c r="Z14" s="1052">
        <f>IF(Year1_Isle_of_Wight Year1_Juvenile_Offenders__Age_10_17="","",Year1_Isle_of_Wight Year1_Juvenile_Offenders__Age_10_17)</f>
        <v>201</v>
      </c>
      <c r="AA14" s="581">
        <f>IF(Year2_Isle_of_Wight Year2_Juvenile_Offenders__Age_10_17="","",Year2_Isle_of_Wight Year2_Juvenile_Offenders__Age_10_17)</f>
        <v>175</v>
      </c>
      <c r="AB14" s="372">
        <f>IF(Year3_Isle_of_Wight Year3_Juvenile_Offenders__Age_10_17="","",Year3_Isle_of_Wight Year3_Juvenile_Offenders__Age_10_17)</f>
        <v>128</v>
      </c>
      <c r="AC14" s="372">
        <f>IF(Year4_Isle_of_Wight Year4_Juvenile_Offenders__Age_10_17="","",Year4_Isle_of_Wight Year4_Juvenile_Offenders__Age_10_17)</f>
        <v>82</v>
      </c>
      <c r="AD14" s="577">
        <f>IF(Year5_Isle_of_Wight Year5_Juvenile_Offenders__Age_10_17="","",Year5_Isle_of_Wight Year5_Juvenile_Offenders__Age_10_17)</f>
        <v>101</v>
      </c>
      <c r="AE14" s="1056" t="str">
        <f>Sheet1!$K$9</f>
        <v>Isle of Wight</v>
      </c>
      <c r="AF14" s="1051">
        <f t="shared" si="8"/>
        <v>201</v>
      </c>
      <c r="AG14" s="1051">
        <f t="shared" si="5"/>
        <v>175</v>
      </c>
      <c r="AH14" s="1051">
        <f t="shared" si="5"/>
        <v>128</v>
      </c>
      <c r="AI14" s="1051">
        <f t="shared" si="5"/>
        <v>82</v>
      </c>
      <c r="AJ14" s="1051">
        <f t="shared" si="5"/>
        <v>101</v>
      </c>
      <c r="AK14" s="384" t="str">
        <f t="shared" si="6"/>
        <v>Isle of Wight</v>
      </c>
      <c r="AL14" s="489">
        <f>IF(Year1_Isle_of_Wight Year1_Juvenile_Re_offenders__Age_10_17="","",Year1_Isle_of_Wight Year1_Juvenile_Re_offenders__Age_10_17)</f>
        <v>106</v>
      </c>
      <c r="AM14" s="372">
        <f>IF(Year2_Isle_of_Wight Year2_Juvenile_Re_offenders__Age_10_17="","",Year2_Isle_of_Wight Year2_Juvenile_Re_offenders__Age_10_17)</f>
        <v>112</v>
      </c>
      <c r="AN14" s="372">
        <f>IF(Year3_Isle_of_Wight Year3_Juvenile_Re_offenders__Age_10_17="","",Year3_Isle_of_Wight Year3_Juvenile_Re_offenders__Age_10_17)</f>
        <v>71</v>
      </c>
      <c r="AO14" s="372">
        <f>IF(Year4_Isle_of_Wight Year4_Juvenile_Re_offenders__Age_10_17="","",Year4_Isle_of_Wight Year4_Juvenile_Re_offenders__Age_10_17)</f>
        <v>41</v>
      </c>
      <c r="AP14" s="372">
        <f>IF(Year5_Isle_of_Wight Year5_Juvenile_Re_offenders__Age_10_17="","",Year5_Isle_of_Wight Year5_Juvenile_Re_offenders__Age_10_17)</f>
        <v>46</v>
      </c>
      <c r="AQ14" s="585" t="b">
        <v>1</v>
      </c>
      <c r="AR14" s="160" t="s">
        <v>1</v>
      </c>
      <c r="AS14" s="575" t="str">
        <f t="shared" si="9"/>
        <v>Isle of Wight</v>
      </c>
      <c r="AT14" s="936" t="e">
        <f>VLOOKUP($AS14,#REF!,AT$5,FALSE)</f>
        <v>#REF!</v>
      </c>
      <c r="AU14" s="936" t="e">
        <f>VLOOKUP($AS14,#REF!,AU$5,FALSE)</f>
        <v>#REF!</v>
      </c>
      <c r="AV14" s="936" t="e">
        <f>VLOOKUP($AS14,#REF!,AV$5,FALSE)</f>
        <v>#REF!</v>
      </c>
      <c r="AW14" s="936" t="e">
        <f>VLOOKUP($AS14,#REF!,AW$5,FALSE)</f>
        <v>#REF!</v>
      </c>
      <c r="AX14" s="936" t="e">
        <f>VLOOKUP($AS14,#REF!,AX$5,FALSE)</f>
        <v>#REF!</v>
      </c>
      <c r="AY14" s="1120" t="e">
        <f>VLOOKUP(AS14,#REF!,AY$5,FALSE)</f>
        <v>#REF!</v>
      </c>
      <c r="AZ14" s="1121">
        <f t="shared" si="7"/>
        <v>0.52736318407960203</v>
      </c>
      <c r="BA14" s="1121">
        <f t="shared" si="7"/>
        <v>0.64</v>
      </c>
      <c r="BB14" s="1121">
        <f t="shared" si="7"/>
        <v>0.5546875</v>
      </c>
      <c r="BC14" s="1121">
        <f t="shared" si="7"/>
        <v>0.5</v>
      </c>
      <c r="BD14" s="1121">
        <f t="shared" si="7"/>
        <v>0.45544554455445546</v>
      </c>
    </row>
    <row r="15" spans="1:56" s="87" customFormat="1" ht="12.75" customHeight="1" x14ac:dyDescent="0.2">
      <c r="A15" s="488">
        <f>VLOOKUP(B15,Sheet1!$AQ$4:$AR$25,2,FALSE)</f>
        <v>0</v>
      </c>
      <c r="B15" s="93" t="s">
        <v>9</v>
      </c>
      <c r="C15" s="85"/>
      <c r="D15" s="162">
        <f t="shared" si="0"/>
        <v>0.42661336379211878</v>
      </c>
      <c r="E15" s="162">
        <f t="shared" si="1"/>
        <v>0.36714610143830434</v>
      </c>
      <c r="F15" s="162">
        <f t="shared" si="2"/>
        <v>0.34428086070215175</v>
      </c>
      <c r="G15" s="162">
        <f t="shared" si="3"/>
        <v>0.35500878734622143</v>
      </c>
      <c r="H15" s="164">
        <f t="shared" si="4"/>
        <v>0.34817813765182187</v>
      </c>
      <c r="I15" s="96"/>
      <c r="J15" s="96"/>
      <c r="K15" s="166"/>
      <c r="L15" s="166"/>
      <c r="M15" s="166"/>
      <c r="N15" s="166"/>
      <c r="O15" s="166"/>
      <c r="P15" s="166"/>
      <c r="Q15" s="166"/>
      <c r="R15" s="167"/>
      <c r="S15" s="159"/>
      <c r="T15" s="159"/>
      <c r="U15" s="166"/>
      <c r="V15" s="122"/>
      <c r="W15" s="139"/>
      <c r="X15" s="152"/>
      <c r="Y15" s="93" t="str">
        <f>Sheet1!$K$10</f>
        <v>Kent</v>
      </c>
      <c r="Z15" s="1052">
        <f>IF(Year1_Kent Year1_Juvenile_Offenders__Age_10_17="","",Year1_Kent Year1_Juvenile_Offenders__Age_10_17)</f>
        <v>1751</v>
      </c>
      <c r="AA15" s="581">
        <f>IF(Year2_Kent Year2_Juvenile_Offenders__Age_10_17="","",Year2_Kent Year2_Juvenile_Offenders__Age_10_17)</f>
        <v>1321</v>
      </c>
      <c r="AB15" s="372">
        <f>IF(Year3_Kent Year3_Juvenile_Offenders__Age_10_17="","",Year3_Kent Year3_Juvenile_Offenders__Age_10_17)</f>
        <v>883</v>
      </c>
      <c r="AC15" s="372">
        <f>IF(Year4_Kent Year4_Juvenile_Offenders__Age_10_17="","",Year4_Kent Year4_Juvenile_Offenders__Age_10_17)</f>
        <v>569</v>
      </c>
      <c r="AD15" s="577">
        <f>IF(Year5_Kent Year5_Juvenile_Offenders__Age_10_17="","",Year5_Kent Year5_Juvenile_Offenders__Age_10_17)</f>
        <v>494</v>
      </c>
      <c r="AE15" s="1056" t="str">
        <f>Sheet1!$K$10</f>
        <v>Kent</v>
      </c>
      <c r="AF15" s="1051">
        <f t="shared" si="8"/>
        <v>1751</v>
      </c>
      <c r="AG15" s="1051">
        <f t="shared" si="5"/>
        <v>1321</v>
      </c>
      <c r="AH15" s="1051">
        <f t="shared" si="5"/>
        <v>883</v>
      </c>
      <c r="AI15" s="1051">
        <f t="shared" si="5"/>
        <v>569</v>
      </c>
      <c r="AJ15" s="1051">
        <f t="shared" si="5"/>
        <v>494</v>
      </c>
      <c r="AK15" s="384" t="str">
        <f t="shared" si="6"/>
        <v>Kent</v>
      </c>
      <c r="AL15" s="489">
        <f>IF(Year1_Kent Year1_Juvenile_Re_offenders__Age_10_17="","",Year1_Kent Year1_Juvenile_Re_offenders__Age_10_17)</f>
        <v>747</v>
      </c>
      <c r="AM15" s="372">
        <f>IF(Year2_Kent Year2_Juvenile_Re_offenders__Age_10_17="","",Year2_Kent Year2_Juvenile_Re_offenders__Age_10_17)</f>
        <v>485</v>
      </c>
      <c r="AN15" s="372">
        <f>IF(Year3_Kent Year3_Juvenile_Re_offenders__Age_10_17="","",Year3_Kent Year3_Juvenile_Re_offenders__Age_10_17)</f>
        <v>304</v>
      </c>
      <c r="AO15" s="372">
        <f>IF(Year4_Kent Year4_Juvenile_Re_offenders__Age_10_17="","",Year4_Kent Year4_Juvenile_Re_offenders__Age_10_17)</f>
        <v>202</v>
      </c>
      <c r="AP15" s="372">
        <f>IF(Year5_Kent Year5_Juvenile_Re_offenders__Age_10_17="","",Year5_Kent Year5_Juvenile_Re_offenders__Age_10_17)</f>
        <v>172</v>
      </c>
      <c r="AQ15" s="585" t="b">
        <v>1</v>
      </c>
      <c r="AR15" s="160" t="s">
        <v>9</v>
      </c>
      <c r="AS15" s="575" t="str">
        <f t="shared" si="9"/>
        <v>Kent</v>
      </c>
      <c r="AT15" s="936" t="e">
        <f>VLOOKUP($AS15,#REF!,AT$5,FALSE)</f>
        <v>#REF!</v>
      </c>
      <c r="AU15" s="936" t="e">
        <f>VLOOKUP($AS15,#REF!,AU$5,FALSE)</f>
        <v>#REF!</v>
      </c>
      <c r="AV15" s="936" t="e">
        <f>VLOOKUP($AS15,#REF!,AV$5,FALSE)</f>
        <v>#REF!</v>
      </c>
      <c r="AW15" s="936" t="e">
        <f>VLOOKUP($AS15,#REF!,AW$5,FALSE)</f>
        <v>#REF!</v>
      </c>
      <c r="AX15" s="936" t="e">
        <f>VLOOKUP($AS15,#REF!,AX$5,FALSE)</f>
        <v>#REF!</v>
      </c>
      <c r="AY15" s="1120" t="e">
        <f>VLOOKUP(AS15,#REF!,AY$5,FALSE)</f>
        <v>#REF!</v>
      </c>
      <c r="AZ15" s="1121">
        <f t="shared" si="7"/>
        <v>0.42661336379211878</v>
      </c>
      <c r="BA15" s="1121">
        <f t="shared" si="7"/>
        <v>0.36714610143830434</v>
      </c>
      <c r="BB15" s="1121">
        <f t="shared" si="7"/>
        <v>0.34428086070215175</v>
      </c>
      <c r="BC15" s="1121">
        <f t="shared" si="7"/>
        <v>0.35500878734622143</v>
      </c>
      <c r="BD15" s="1121">
        <f t="shared" si="7"/>
        <v>0.34817813765182187</v>
      </c>
    </row>
    <row r="16" spans="1:56" s="87" customFormat="1" ht="12.75" customHeight="1" x14ac:dyDescent="0.2">
      <c r="A16" s="488">
        <f>VLOOKUP(B16,Sheet1!$AQ$4:$AR$25,2,FALSE)</f>
        <v>0</v>
      </c>
      <c r="B16" s="93" t="s">
        <v>2</v>
      </c>
      <c r="C16" s="85"/>
      <c r="D16" s="162">
        <f t="shared" si="0"/>
        <v>0.40569395017793597</v>
      </c>
      <c r="E16" s="162">
        <f t="shared" si="1"/>
        <v>0.40799999999999997</v>
      </c>
      <c r="F16" s="162">
        <f t="shared" si="2"/>
        <v>0.42346938775510207</v>
      </c>
      <c r="G16" s="162">
        <f t="shared" si="3"/>
        <v>0.46794871794871795</v>
      </c>
      <c r="H16" s="164">
        <f t="shared" si="4"/>
        <v>0.35862068965517241</v>
      </c>
      <c r="I16" s="96"/>
      <c r="J16" s="96"/>
      <c r="K16" s="166"/>
      <c r="L16" s="166"/>
      <c r="M16" s="166"/>
      <c r="N16" s="166"/>
      <c r="O16" s="166"/>
      <c r="P16" s="166"/>
      <c r="Q16" s="166"/>
      <c r="R16" s="167"/>
      <c r="S16" s="159"/>
      <c r="T16" s="159"/>
      <c r="U16" s="166"/>
      <c r="V16" s="122"/>
      <c r="W16" s="139"/>
      <c r="X16" s="152"/>
      <c r="Y16" s="93" t="str">
        <f>Sheet1!$K$11</f>
        <v>Medway</v>
      </c>
      <c r="Z16" s="1052">
        <f>IF(Year1_Medway Year1_Juvenile_Offenders__Age_10_17="","",Year1_Medway Year1_Juvenile_Offenders__Age_10_17)</f>
        <v>281</v>
      </c>
      <c r="AA16" s="581">
        <f>IF(Year2_Medway Year2_Juvenile_Offenders__Age_10_17="","",Year2_Medway Year2_Juvenile_Offenders__Age_10_17)</f>
        <v>250</v>
      </c>
      <c r="AB16" s="372">
        <f>IF(Year3_Medway Year3_Juvenile_Offenders__Age_10_17="","",Year3_Medway Year3_Juvenile_Offenders__Age_10_17)</f>
        <v>196</v>
      </c>
      <c r="AC16" s="372">
        <f>IF(Year4_Medway Year4_Juvenile_Offenders__Age_10_17="","",Year4_Medway Year4_Juvenile_Offenders__Age_10_17)</f>
        <v>156</v>
      </c>
      <c r="AD16" s="577">
        <f>IF(Year5_Medway Year5_Juvenile_Offenders__Age_10_17="","",Year5_Medway Year5_Juvenile_Offenders__Age_10_17)</f>
        <v>145</v>
      </c>
      <c r="AE16" s="1056" t="str">
        <f>Sheet1!$K$11</f>
        <v>Medway</v>
      </c>
      <c r="AF16" s="1051">
        <f t="shared" si="8"/>
        <v>281</v>
      </c>
      <c r="AG16" s="1051">
        <f t="shared" si="5"/>
        <v>250</v>
      </c>
      <c r="AH16" s="1051">
        <f t="shared" si="5"/>
        <v>196</v>
      </c>
      <c r="AI16" s="1051">
        <f t="shared" si="5"/>
        <v>156</v>
      </c>
      <c r="AJ16" s="1051">
        <f t="shared" si="5"/>
        <v>145</v>
      </c>
      <c r="AK16" s="384" t="str">
        <f t="shared" si="6"/>
        <v>Medway</v>
      </c>
      <c r="AL16" s="489">
        <f>IF(Year1_Medway Year1_Juvenile_Re_offenders__Age_10_17="","",Year1_Medway Year1_Juvenile_Re_offenders__Age_10_17)</f>
        <v>114</v>
      </c>
      <c r="AM16" s="372">
        <f>IF(Year2_Medway Year2_Juvenile_Re_offenders__Age_10_17="","",Year2_Medway Year2_Juvenile_Re_offenders__Age_10_17)</f>
        <v>102</v>
      </c>
      <c r="AN16" s="372">
        <f>IF(Year3_Medway Year3_Juvenile_Re_offenders__Age_10_17="","",Year3_Medway Year3_Juvenile_Re_offenders__Age_10_17)</f>
        <v>83</v>
      </c>
      <c r="AO16" s="372">
        <f>IF(Year4_Medway Year4_Juvenile_Re_offenders__Age_10_17="","",Year4_Medway Year4_Juvenile_Re_offenders__Age_10_17)</f>
        <v>73</v>
      </c>
      <c r="AP16" s="372">
        <f>IF(Year5_Medway Year5_Juvenile_Re_offenders__Age_10_17="","",Year5_Medway Year5_Juvenile_Re_offenders__Age_10_17)</f>
        <v>52</v>
      </c>
      <c r="AQ16" s="585" t="b">
        <v>1</v>
      </c>
      <c r="AR16" s="160" t="s">
        <v>2</v>
      </c>
      <c r="AS16" s="575" t="str">
        <f t="shared" si="9"/>
        <v>Medway</v>
      </c>
      <c r="AT16" s="936" t="e">
        <f>VLOOKUP($AS16,#REF!,AT$5,FALSE)</f>
        <v>#REF!</v>
      </c>
      <c r="AU16" s="936" t="e">
        <f>VLOOKUP($AS16,#REF!,AU$5,FALSE)</f>
        <v>#REF!</v>
      </c>
      <c r="AV16" s="936" t="e">
        <f>VLOOKUP($AS16,#REF!,AV$5,FALSE)</f>
        <v>#REF!</v>
      </c>
      <c r="AW16" s="936" t="e">
        <f>VLOOKUP($AS16,#REF!,AW$5,FALSE)</f>
        <v>#REF!</v>
      </c>
      <c r="AX16" s="936" t="e">
        <f>VLOOKUP($AS16,#REF!,AX$5,FALSE)</f>
        <v>#REF!</v>
      </c>
      <c r="AY16" s="1120" t="e">
        <f>VLOOKUP(AS16,#REF!,AY$5,FALSE)</f>
        <v>#REF!</v>
      </c>
      <c r="AZ16" s="1121">
        <f t="shared" si="7"/>
        <v>0.40569395017793597</v>
      </c>
      <c r="BA16" s="1121">
        <f t="shared" si="7"/>
        <v>0.40799999999999997</v>
      </c>
      <c r="BB16" s="1121">
        <f t="shared" si="7"/>
        <v>0.42346938775510207</v>
      </c>
      <c r="BC16" s="1121">
        <f t="shared" si="7"/>
        <v>0.46794871794871795</v>
      </c>
      <c r="BD16" s="1121">
        <f t="shared" si="7"/>
        <v>0.35862068965517241</v>
      </c>
    </row>
    <row r="17" spans="1:56" s="87" customFormat="1" ht="12.75" customHeight="1" x14ac:dyDescent="0.2">
      <c r="A17" s="488">
        <f>VLOOKUP(B17,Sheet1!$AQ$4:$AR$25,2,FALSE)</f>
        <v>0</v>
      </c>
      <c r="B17" s="93" t="s">
        <v>10</v>
      </c>
      <c r="C17" s="85"/>
      <c r="D17" s="162">
        <f t="shared" si="0"/>
        <v>0.30735930735930733</v>
      </c>
      <c r="E17" s="162">
        <f t="shared" si="1"/>
        <v>0.34358974358974359</v>
      </c>
      <c r="F17" s="162">
        <f t="shared" si="2"/>
        <v>0.24875621890547264</v>
      </c>
      <c r="G17" s="162">
        <f t="shared" si="3"/>
        <v>0.35911602209944754</v>
      </c>
      <c r="H17" s="164">
        <f t="shared" si="4"/>
        <v>0.40939597315436244</v>
      </c>
      <c r="I17" s="96"/>
      <c r="J17" s="96"/>
      <c r="K17" s="166"/>
      <c r="L17" s="166"/>
      <c r="M17" s="166"/>
      <c r="N17" s="166"/>
      <c r="O17" s="166"/>
      <c r="P17" s="166"/>
      <c r="Q17" s="166"/>
      <c r="R17" s="167"/>
      <c r="S17" s="159"/>
      <c r="T17" s="159"/>
      <c r="U17" s="166"/>
      <c r="V17" s="122"/>
      <c r="W17" s="139"/>
      <c r="X17" s="152"/>
      <c r="Y17" s="93" t="str">
        <f>Sheet1!$K$12</f>
        <v>Milton Keynes</v>
      </c>
      <c r="Z17" s="1052">
        <f>IF(Year1_Milton_Keynes Year1_Juvenile_Offenders__Age_10_17="","",Year1_Milton_Keynes Year1_Juvenile_Offenders__Age_10_17)</f>
        <v>231</v>
      </c>
      <c r="AA17" s="372">
        <f>IF(Year2_Milton_Keynes Year2_Juvenile_Offenders__Age_10_17="","",Year2_Milton_Keynes Year2_Juvenile_Offenders__Age_10_17)</f>
        <v>195</v>
      </c>
      <c r="AB17" s="372">
        <f>IF(Year3_Milton_Keynes Year3_Juvenile_Offenders__Age_10_17="","",Year3_Milton_Keynes Year3_Juvenile_Offenders__Age_10_17)</f>
        <v>201</v>
      </c>
      <c r="AC17" s="372">
        <f>IF(Year4_Milton_Keynes Year4_Juvenile_Offenders__Age_10_17="","",Year4_Milton_Keynes Year4_Juvenile_Offenders__Age_10_17)</f>
        <v>181</v>
      </c>
      <c r="AD17" s="577">
        <f>IF(Year5_Milton_Keynes Year5_Juvenile_Offenders__Age_10_17="","",Year5_Milton_Keynes Year5_Juvenile_Offenders__Age_10_17)</f>
        <v>149</v>
      </c>
      <c r="AE17" s="1056" t="str">
        <f>Sheet1!$K$12</f>
        <v>Milton Keynes</v>
      </c>
      <c r="AF17" s="1051">
        <f t="shared" si="8"/>
        <v>231</v>
      </c>
      <c r="AG17" s="1051">
        <f t="shared" si="5"/>
        <v>195</v>
      </c>
      <c r="AH17" s="1051">
        <f t="shared" si="5"/>
        <v>201</v>
      </c>
      <c r="AI17" s="1051">
        <f t="shared" si="5"/>
        <v>181</v>
      </c>
      <c r="AJ17" s="1051">
        <f t="shared" si="5"/>
        <v>149</v>
      </c>
      <c r="AK17" s="384" t="str">
        <f t="shared" si="6"/>
        <v>Milton Keynes</v>
      </c>
      <c r="AL17" s="489">
        <f>IF(Year1_Milton_Keynes Year1_Juvenile_Re_offenders__Age_10_17="","",Year1_Milton_Keynes Year1_Juvenile_Re_offenders__Age_10_17)</f>
        <v>71</v>
      </c>
      <c r="AM17" s="372">
        <f>IF(Year2_Milton_Keynes Year2_Juvenile_Re_offenders__Age_10_17="","",Year2_Milton_Keynes Year2_Juvenile_Re_offenders__Age_10_17)</f>
        <v>67</v>
      </c>
      <c r="AN17" s="372">
        <f>IF(Year3_Milton_Keynes Year3_Juvenile_Re_offenders__Age_10_17="","",Year3_Milton_Keynes Year3_Juvenile_Re_offenders__Age_10_17)</f>
        <v>50</v>
      </c>
      <c r="AO17" s="372">
        <f>IF(Year4_Milton_Keynes Year4_Juvenile_Re_offenders__Age_10_17="","",Year4_Milton_Keynes Year4_Juvenile_Re_offenders__Age_10_17)</f>
        <v>65</v>
      </c>
      <c r="AP17" s="372">
        <f>IF(Year5_Milton_Keynes Year5_Juvenile_Re_offenders__Age_10_17="","",Year5_Milton_Keynes Year5_Juvenile_Re_offenders__Age_10_17)</f>
        <v>61</v>
      </c>
      <c r="AQ17" s="585" t="b">
        <v>1</v>
      </c>
      <c r="AR17" s="160" t="s">
        <v>10</v>
      </c>
      <c r="AS17" s="575" t="str">
        <f t="shared" si="9"/>
        <v>Milton Keynes</v>
      </c>
      <c r="AT17" s="936" t="e">
        <f>VLOOKUP($AS17,#REF!,AT$5,FALSE)</f>
        <v>#REF!</v>
      </c>
      <c r="AU17" s="936" t="e">
        <f>VLOOKUP($AS17,#REF!,AU$5,FALSE)</f>
        <v>#REF!</v>
      </c>
      <c r="AV17" s="936" t="e">
        <f>VLOOKUP($AS17,#REF!,AV$5,FALSE)</f>
        <v>#REF!</v>
      </c>
      <c r="AW17" s="936" t="e">
        <f>VLOOKUP($AS17,#REF!,AW$5,FALSE)</f>
        <v>#REF!</v>
      </c>
      <c r="AX17" s="936" t="e">
        <f>VLOOKUP($AS17,#REF!,AX$5,FALSE)</f>
        <v>#REF!</v>
      </c>
      <c r="AY17" s="1120" t="e">
        <f>VLOOKUP(AS17,#REF!,AY$5,FALSE)</f>
        <v>#REF!</v>
      </c>
      <c r="AZ17" s="1121">
        <f t="shared" si="7"/>
        <v>0.30735930735930733</v>
      </c>
      <c r="BA17" s="1121">
        <f t="shared" si="7"/>
        <v>0.34358974358974359</v>
      </c>
      <c r="BB17" s="1121">
        <f t="shared" si="7"/>
        <v>0.24875621890547264</v>
      </c>
      <c r="BC17" s="1121">
        <f t="shared" si="7"/>
        <v>0.35911602209944754</v>
      </c>
      <c r="BD17" s="1121">
        <f t="shared" si="7"/>
        <v>0.40939597315436244</v>
      </c>
    </row>
    <row r="18" spans="1:56" s="87" customFormat="1" ht="12.75" customHeight="1" x14ac:dyDescent="0.2">
      <c r="A18" s="488">
        <f>VLOOKUP(B18,Sheet1!$AQ$4:$AR$25,2,FALSE)</f>
        <v>0</v>
      </c>
      <c r="B18" s="93" t="s">
        <v>11</v>
      </c>
      <c r="C18" s="85"/>
      <c r="D18" s="162">
        <f t="shared" si="0"/>
        <v>0.3316831683168317</v>
      </c>
      <c r="E18" s="162">
        <f t="shared" si="1"/>
        <v>0.34188034188034189</v>
      </c>
      <c r="F18" s="162">
        <f t="shared" si="2"/>
        <v>0.36842105263157893</v>
      </c>
      <c r="G18" s="162">
        <f t="shared" si="3"/>
        <v>0.36879432624113473</v>
      </c>
      <c r="H18" s="164">
        <f t="shared" si="4"/>
        <v>0.29914529914529914</v>
      </c>
      <c r="I18" s="96"/>
      <c r="J18" s="96"/>
      <c r="K18" s="166"/>
      <c r="L18" s="166"/>
      <c r="M18" s="166"/>
      <c r="N18" s="166"/>
      <c r="O18" s="166"/>
      <c r="P18" s="166"/>
      <c r="Q18" s="166"/>
      <c r="R18" s="167"/>
      <c r="S18" s="159"/>
      <c r="T18" s="159"/>
      <c r="U18" s="166"/>
      <c r="V18" s="122"/>
      <c r="W18" s="139"/>
      <c r="X18" s="152"/>
      <c r="Y18" s="93" t="str">
        <f>Sheet1!$K$13</f>
        <v>Oxfordshire</v>
      </c>
      <c r="Z18" s="1052">
        <f>IF(Year1_Oxfordshire Year1_Juvenile_Offenders__Age_10_17="","",Year1_Oxfordshire Year1_Juvenile_Offenders__Age_10_17)</f>
        <v>404</v>
      </c>
      <c r="AA18" s="372">
        <f>IF(Year2_Oxfordshire Year2_Juvenile_Offenders__Age_10_17="","",Year2_Oxfordshire Year2_Juvenile_Offenders__Age_10_17)</f>
        <v>351</v>
      </c>
      <c r="AB18" s="372">
        <f>IF(Year3_Oxfordshire Year3_Juvenile_Offenders__Age_10_17="","",Year3_Oxfordshire Year3_Juvenile_Offenders__Age_10_17)</f>
        <v>304</v>
      </c>
      <c r="AC18" s="372">
        <f>IF(Year4_Oxfordshire Year4_Juvenile_Offenders__Age_10_17="","",Year4_Oxfordshire Year4_Juvenile_Offenders__Age_10_17)</f>
        <v>282</v>
      </c>
      <c r="AD18" s="577">
        <f>IF(Year5_Oxfordshire Year5_Juvenile_Offenders__Age_10_17="","",Year5_Oxfordshire Year5_Juvenile_Offenders__Age_10_17)</f>
        <v>234</v>
      </c>
      <c r="AE18" s="1056" t="str">
        <f>Sheet1!$K$13</f>
        <v>Oxfordshire</v>
      </c>
      <c r="AF18" s="1051">
        <f t="shared" si="8"/>
        <v>404</v>
      </c>
      <c r="AG18" s="1051">
        <f t="shared" si="5"/>
        <v>351</v>
      </c>
      <c r="AH18" s="1051">
        <f t="shared" si="5"/>
        <v>304</v>
      </c>
      <c r="AI18" s="1051">
        <f t="shared" si="5"/>
        <v>282</v>
      </c>
      <c r="AJ18" s="1051">
        <f t="shared" si="5"/>
        <v>234</v>
      </c>
      <c r="AK18" s="384" t="str">
        <f t="shared" si="6"/>
        <v>Oxfordshire</v>
      </c>
      <c r="AL18" s="489">
        <f>IF(Year1_Oxfordshire Year1_Juvenile_Re_offenders__Age_10_17="","",Year1_Oxfordshire Year1_Juvenile_Re_offenders__Age_10_17)</f>
        <v>134</v>
      </c>
      <c r="AM18" s="372">
        <f>IF(Year2_Oxfordshire Year2_Juvenile_Re_offenders__Age_10_17="","",Year2_Oxfordshire Year2_Juvenile_Re_offenders__Age_10_17)</f>
        <v>120</v>
      </c>
      <c r="AN18" s="372">
        <f>IF(Year3_Oxfordshire Year3_Juvenile_Re_offenders__Age_10_17="","",Year3_Oxfordshire Year3_Juvenile_Re_offenders__Age_10_17)</f>
        <v>112</v>
      </c>
      <c r="AO18" s="372">
        <f>IF(Year4_Oxfordshire Year4_Juvenile_Re_offenders__Age_10_17="","",Year4_Oxfordshire Year4_Juvenile_Re_offenders__Age_10_17)</f>
        <v>104</v>
      </c>
      <c r="AP18" s="372">
        <f>IF(Year5_Oxfordshire Year5_Juvenile_Re_offenders__Age_10_17="","",Year5_Oxfordshire Year5_Juvenile_Re_offenders__Age_10_17)</f>
        <v>70</v>
      </c>
      <c r="AQ18" s="585" t="b">
        <v>1</v>
      </c>
      <c r="AR18" s="160" t="s">
        <v>11</v>
      </c>
      <c r="AS18" s="575" t="str">
        <f t="shared" si="9"/>
        <v>Oxfordshire</v>
      </c>
      <c r="AT18" s="936" t="e">
        <f>VLOOKUP($AS18,#REF!,AT$5,FALSE)</f>
        <v>#REF!</v>
      </c>
      <c r="AU18" s="936" t="e">
        <f>VLOOKUP($AS18,#REF!,AU$5,FALSE)</f>
        <v>#REF!</v>
      </c>
      <c r="AV18" s="936" t="e">
        <f>VLOOKUP($AS18,#REF!,AV$5,FALSE)</f>
        <v>#REF!</v>
      </c>
      <c r="AW18" s="936" t="e">
        <f>VLOOKUP($AS18,#REF!,AW$5,FALSE)</f>
        <v>#REF!</v>
      </c>
      <c r="AX18" s="936" t="e">
        <f>VLOOKUP($AS18,#REF!,AX$5,FALSE)</f>
        <v>#REF!</v>
      </c>
      <c r="AY18" s="1120" t="e">
        <f>VLOOKUP(AS18,#REF!,AY$5,FALSE)</f>
        <v>#REF!</v>
      </c>
      <c r="AZ18" s="1121">
        <f t="shared" si="7"/>
        <v>0.3316831683168317</v>
      </c>
      <c r="BA18" s="1121">
        <f t="shared" si="7"/>
        <v>0.34188034188034189</v>
      </c>
      <c r="BB18" s="1121">
        <f t="shared" si="7"/>
        <v>0.36842105263157893</v>
      </c>
      <c r="BC18" s="1121">
        <f t="shared" si="7"/>
        <v>0.36879432624113473</v>
      </c>
      <c r="BD18" s="1121">
        <f t="shared" si="7"/>
        <v>0.29914529914529914</v>
      </c>
    </row>
    <row r="19" spans="1:56" s="87" customFormat="1" ht="12.75" customHeight="1" x14ac:dyDescent="0.2">
      <c r="A19" s="488">
        <f>VLOOKUP(B19,Sheet1!$AQ$4:$AR$25,2,FALSE)</f>
        <v>0</v>
      </c>
      <c r="B19" s="93" t="s">
        <v>12</v>
      </c>
      <c r="C19" s="85"/>
      <c r="D19" s="162">
        <f t="shared" si="0"/>
        <v>0.54333333333333333</v>
      </c>
      <c r="E19" s="162">
        <f t="shared" si="1"/>
        <v>0.47583643122676578</v>
      </c>
      <c r="F19" s="162">
        <f t="shared" si="2"/>
        <v>0.51428571428571423</v>
      </c>
      <c r="G19" s="162">
        <f t="shared" si="3"/>
        <v>0.56830601092896171</v>
      </c>
      <c r="H19" s="164">
        <f t="shared" si="4"/>
        <v>0.59624413145539901</v>
      </c>
      <c r="I19" s="96"/>
      <c r="J19" s="96"/>
      <c r="K19" s="166"/>
      <c r="L19" s="166"/>
      <c r="M19" s="166"/>
      <c r="N19" s="166"/>
      <c r="O19" s="166"/>
      <c r="P19" s="166"/>
      <c r="Q19" s="166"/>
      <c r="R19" s="167"/>
      <c r="S19" s="159"/>
      <c r="T19" s="159"/>
      <c r="U19" s="166"/>
      <c r="V19" s="122"/>
      <c r="W19" s="139"/>
      <c r="X19" s="152"/>
      <c r="Y19" s="93" t="str">
        <f>Sheet1!$K$14</f>
        <v>Portsmouth</v>
      </c>
      <c r="Z19" s="1052">
        <f>IF(Year1_Portsmouth Year1_Juvenile_Offenders__Age_10_17="","",Year1_Portsmouth Year1_Juvenile_Offenders__Age_10_17)</f>
        <v>300</v>
      </c>
      <c r="AA19" s="372">
        <f>IF(Year2_Portsmouth Year2_Juvenile_Offenders__Age_10_17="","",Year2_Portsmouth Year2_Juvenile_Offenders__Age_10_17)</f>
        <v>269</v>
      </c>
      <c r="AB19" s="372">
        <f>IF(Year3_Portsmouth Year3_Juvenile_Offenders__Age_10_17="","",Year3_Portsmouth Year3_Juvenile_Offenders__Age_10_17)</f>
        <v>140</v>
      </c>
      <c r="AC19" s="372">
        <f>IF(Year4_Portsmouth Year4_Juvenile_Offenders__Age_10_17="","",Year4_Portsmouth Year4_Juvenile_Offenders__Age_10_17)</f>
        <v>183</v>
      </c>
      <c r="AD19" s="577">
        <f>IF(Year5_Portsmouth Year5_Juvenile_Offenders__Age_10_17="","",Year5_Portsmouth Year5_Juvenile_Offenders__Age_10_17)</f>
        <v>213</v>
      </c>
      <c r="AE19" s="1056" t="str">
        <f>Sheet1!$K$14</f>
        <v>Portsmouth</v>
      </c>
      <c r="AF19" s="1051">
        <f t="shared" si="8"/>
        <v>300</v>
      </c>
      <c r="AG19" s="1051">
        <f t="shared" si="5"/>
        <v>269</v>
      </c>
      <c r="AH19" s="1051">
        <f t="shared" si="5"/>
        <v>140</v>
      </c>
      <c r="AI19" s="1051">
        <f t="shared" si="5"/>
        <v>183</v>
      </c>
      <c r="AJ19" s="1051">
        <f t="shared" si="5"/>
        <v>213</v>
      </c>
      <c r="AK19" s="384" t="str">
        <f t="shared" si="6"/>
        <v>Portsmouth</v>
      </c>
      <c r="AL19" s="489">
        <f>IF(Year1_Portsmouth Year1_Juvenile_Re_offenders__Age_10_17="","",Year1_Portsmouth Year1_Juvenile_Re_offenders__Age_10_17)</f>
        <v>163</v>
      </c>
      <c r="AM19" s="372">
        <f>IF(Year2_Portsmouth Year2_Juvenile_Re_offenders__Age_10_17="","",Year2_Portsmouth Year2_Juvenile_Re_offenders__Age_10_17)</f>
        <v>128</v>
      </c>
      <c r="AN19" s="372">
        <f>IF(Year3_Portsmouth Year3_Juvenile_Re_offenders__Age_10_17="","",Year3_Portsmouth Year3_Juvenile_Re_offenders__Age_10_17)</f>
        <v>72</v>
      </c>
      <c r="AO19" s="372">
        <f>IF(Year4_Portsmouth Year4_Juvenile_Re_offenders__Age_10_17="","",Year4_Portsmouth Year4_Juvenile_Re_offenders__Age_10_17)</f>
        <v>104</v>
      </c>
      <c r="AP19" s="372">
        <f>IF(Year5_Portsmouth Year5_Juvenile_Re_offenders__Age_10_17="","",Year5_Portsmouth Year5_Juvenile_Re_offenders__Age_10_17)</f>
        <v>127</v>
      </c>
      <c r="AQ19" s="585" t="b">
        <v>1</v>
      </c>
      <c r="AR19" s="160" t="s">
        <v>12</v>
      </c>
      <c r="AS19" s="575" t="str">
        <f t="shared" si="9"/>
        <v>Portsmouth</v>
      </c>
      <c r="AT19" s="936" t="e">
        <f>VLOOKUP($AS19,#REF!,AT$5,FALSE)</f>
        <v>#REF!</v>
      </c>
      <c r="AU19" s="936" t="e">
        <f>VLOOKUP($AS19,#REF!,AU$5,FALSE)</f>
        <v>#REF!</v>
      </c>
      <c r="AV19" s="936" t="e">
        <f>VLOOKUP($AS19,#REF!,AV$5,FALSE)</f>
        <v>#REF!</v>
      </c>
      <c r="AW19" s="936" t="e">
        <f>VLOOKUP($AS19,#REF!,AW$5,FALSE)</f>
        <v>#REF!</v>
      </c>
      <c r="AX19" s="936" t="e">
        <f>VLOOKUP($AS19,#REF!,AX$5,FALSE)</f>
        <v>#REF!</v>
      </c>
      <c r="AY19" s="1120" t="e">
        <f>VLOOKUP(AS19,#REF!,AY$5,FALSE)</f>
        <v>#REF!</v>
      </c>
      <c r="AZ19" s="1121">
        <f t="shared" ref="AZ19:BD32" si="10">VLOOKUP($AS19,$B$9:$H$32,AZ$5,FALSE)</f>
        <v>0.54333333333333333</v>
      </c>
      <c r="BA19" s="1121">
        <f t="shared" si="10"/>
        <v>0.47583643122676578</v>
      </c>
      <c r="BB19" s="1121">
        <f t="shared" si="10"/>
        <v>0.51428571428571423</v>
      </c>
      <c r="BC19" s="1121">
        <f t="shared" si="10"/>
        <v>0.56830601092896171</v>
      </c>
      <c r="BD19" s="1121">
        <f t="shared" si="10"/>
        <v>0.59624413145539901</v>
      </c>
    </row>
    <row r="20" spans="1:56" s="87" customFormat="1" ht="12.75" customHeight="1" x14ac:dyDescent="0.2">
      <c r="A20" s="488">
        <f>VLOOKUP(B20,Sheet1!$AQ$4:$AR$25,2,FALSE)</f>
        <v>0</v>
      </c>
      <c r="B20" s="93" t="s">
        <v>3</v>
      </c>
      <c r="C20" s="85"/>
      <c r="D20" s="162">
        <f t="shared" si="0"/>
        <v>0.52755905511811019</v>
      </c>
      <c r="E20" s="162">
        <f t="shared" si="1"/>
        <v>0.43801652892561982</v>
      </c>
      <c r="F20" s="162">
        <f t="shared" si="2"/>
        <v>0.32258064516129031</v>
      </c>
      <c r="G20" s="162">
        <f t="shared" si="3"/>
        <v>0.32173913043478258</v>
      </c>
      <c r="H20" s="164">
        <f t="shared" si="4"/>
        <v>0.30864197530864196</v>
      </c>
      <c r="I20" s="96"/>
      <c r="J20" s="96"/>
      <c r="K20" s="166"/>
      <c r="L20" s="166"/>
      <c r="M20" s="166"/>
      <c r="N20" s="166"/>
      <c r="O20" s="166"/>
      <c r="P20" s="166"/>
      <c r="Q20" s="166"/>
      <c r="R20" s="167"/>
      <c r="S20" s="159"/>
      <c r="T20" s="159"/>
      <c r="U20" s="166"/>
      <c r="V20" s="122"/>
      <c r="W20" s="139"/>
      <c r="X20" s="152"/>
      <c r="Y20" s="93" t="str">
        <f>Sheet1!$K$15</f>
        <v>Reading</v>
      </c>
      <c r="Z20" s="1052">
        <f>IF(Year1_Reading Year1_Juvenile_Offenders__Age_10_17="","",Year1_Reading Year1_Juvenile_Offenders__Age_10_17)</f>
        <v>127</v>
      </c>
      <c r="AA20" s="372">
        <f>IF(Year2_Reading Year2_Juvenile_Offenders__Age_10_17="","",Year2_Reading Year2_Juvenile_Offenders__Age_10_17)</f>
        <v>121</v>
      </c>
      <c r="AB20" s="372">
        <f>IF(Year3_Reading Year3_Juvenile_Offenders__Age_10_17="","",Year3_Reading Year3_Juvenile_Offenders__Age_10_17)</f>
        <v>124</v>
      </c>
      <c r="AC20" s="372">
        <f>IF(Year4_Reading Year4_Juvenile_Offenders__Age_10_17="","",Year4_Reading Year4_Juvenile_Offenders__Age_10_17)</f>
        <v>115</v>
      </c>
      <c r="AD20" s="577">
        <f>IF(Year5_Reading Year5_Juvenile_Offenders__Age_10_17="","",Year5_Reading Year5_Juvenile_Offenders__Age_10_17)</f>
        <v>81</v>
      </c>
      <c r="AE20" s="1056" t="str">
        <f>Sheet1!$K$15</f>
        <v>Reading</v>
      </c>
      <c r="AF20" s="1051">
        <f t="shared" si="8"/>
        <v>127</v>
      </c>
      <c r="AG20" s="1051">
        <f t="shared" si="5"/>
        <v>121</v>
      </c>
      <c r="AH20" s="1051">
        <f t="shared" si="5"/>
        <v>124</v>
      </c>
      <c r="AI20" s="1051">
        <f t="shared" si="5"/>
        <v>115</v>
      </c>
      <c r="AJ20" s="1051">
        <f t="shared" si="5"/>
        <v>81</v>
      </c>
      <c r="AK20" s="384" t="str">
        <f t="shared" si="6"/>
        <v>Reading</v>
      </c>
      <c r="AL20" s="489">
        <f>IF(Year1_Reading Year1_Juvenile_Re_offenders__Age_10_17="","",Year1_Reading Year1_Juvenile_Re_offenders__Age_10_17)</f>
        <v>67</v>
      </c>
      <c r="AM20" s="372">
        <f>IF(Year2_Reading Year2_Juvenile_Re_offenders__Age_10_17="","",Year2_Reading Year2_Juvenile_Re_offenders__Age_10_17)</f>
        <v>53</v>
      </c>
      <c r="AN20" s="372">
        <f>IF(Year3_Reading Year3_Juvenile_Re_offenders__Age_10_17="","",Year3_Reading Year3_Juvenile_Re_offenders__Age_10_17)</f>
        <v>40</v>
      </c>
      <c r="AO20" s="372">
        <f>IF(Year4_Reading Year4_Juvenile_Re_offenders__Age_10_17="","",Year4_Reading Year4_Juvenile_Re_offenders__Age_10_17)</f>
        <v>37</v>
      </c>
      <c r="AP20" s="372">
        <f>IF(Year5_Reading Year5_Juvenile_Re_offenders__Age_10_17="","",Year5_Reading Year5_Juvenile_Re_offenders__Age_10_17)</f>
        <v>25</v>
      </c>
      <c r="AQ20" s="585" t="b">
        <v>1</v>
      </c>
      <c r="AR20" s="160" t="s">
        <v>3</v>
      </c>
      <c r="AS20" s="575" t="str">
        <f t="shared" si="9"/>
        <v>Reading</v>
      </c>
      <c r="AT20" s="936" t="e">
        <f>VLOOKUP($AS20,#REF!,AT$5,FALSE)</f>
        <v>#REF!</v>
      </c>
      <c r="AU20" s="936" t="e">
        <f>VLOOKUP($AS20,#REF!,AU$5,FALSE)</f>
        <v>#REF!</v>
      </c>
      <c r="AV20" s="936" t="e">
        <f>VLOOKUP($AS20,#REF!,AV$5,FALSE)</f>
        <v>#REF!</v>
      </c>
      <c r="AW20" s="936" t="e">
        <f>VLOOKUP($AS20,#REF!,AW$5,FALSE)</f>
        <v>#REF!</v>
      </c>
      <c r="AX20" s="936" t="e">
        <f>VLOOKUP($AS20,#REF!,AX$5,FALSE)</f>
        <v>#REF!</v>
      </c>
      <c r="AY20" s="1120" t="e">
        <f>VLOOKUP(AS20,#REF!,AY$5,FALSE)</f>
        <v>#REF!</v>
      </c>
      <c r="AZ20" s="1121">
        <f t="shared" si="10"/>
        <v>0.52755905511811019</v>
      </c>
      <c r="BA20" s="1121">
        <f t="shared" si="10"/>
        <v>0.43801652892561982</v>
      </c>
      <c r="BB20" s="1121">
        <f t="shared" si="10"/>
        <v>0.32258064516129031</v>
      </c>
      <c r="BC20" s="1121">
        <f t="shared" si="10"/>
        <v>0.32173913043478258</v>
      </c>
      <c r="BD20" s="1121">
        <f t="shared" si="10"/>
        <v>0.30864197530864196</v>
      </c>
    </row>
    <row r="21" spans="1:56" s="87" customFormat="1" ht="12.75" customHeight="1" x14ac:dyDescent="0.2">
      <c r="A21" s="488">
        <f>VLOOKUP(B21,Sheet1!$AQ$4:$AR$25,2,FALSE)</f>
        <v>0</v>
      </c>
      <c r="B21" s="93" t="s">
        <v>13</v>
      </c>
      <c r="C21" s="85"/>
      <c r="D21" s="162">
        <f t="shared" si="0"/>
        <v>0.41025641025641024</v>
      </c>
      <c r="E21" s="162">
        <f t="shared" si="1"/>
        <v>0.44715447154471544</v>
      </c>
      <c r="F21" s="162">
        <f t="shared" si="2"/>
        <v>0.42758620689655175</v>
      </c>
      <c r="G21" s="162">
        <f t="shared" si="3"/>
        <v>0.41346153846153844</v>
      </c>
      <c r="H21" s="164">
        <f t="shared" si="4"/>
        <v>0.51020408163265307</v>
      </c>
      <c r="I21" s="96"/>
      <c r="J21" s="96"/>
      <c r="K21" s="166"/>
      <c r="L21" s="166"/>
      <c r="M21" s="166"/>
      <c r="N21" s="166"/>
      <c r="O21" s="166"/>
      <c r="P21" s="166"/>
      <c r="Q21" s="166"/>
      <c r="R21" s="167"/>
      <c r="S21" s="159"/>
      <c r="T21" s="159"/>
      <c r="U21" s="166"/>
      <c r="V21" s="122"/>
      <c r="W21" s="139"/>
      <c r="X21" s="152"/>
      <c r="Y21" s="93" t="str">
        <f>Sheet1!$K$16</f>
        <v>Slough</v>
      </c>
      <c r="Z21" s="1052">
        <f>IF(Year1_Slough Year1_Juvenile_Offenders__Age_10_17="","",Year1_Slough Year1_Juvenile_Offenders__Age_10_17)</f>
        <v>156</v>
      </c>
      <c r="AA21" s="372">
        <f>IF(Year2_Slough Year2_Juvenile_Offenders__Age_10_17="","",Year2_Slough Year2_Juvenile_Offenders__Age_10_17)</f>
        <v>123</v>
      </c>
      <c r="AB21" s="372">
        <f>IF(Year3_Slough Year3_Juvenile_Offenders__Age_10_17="","",Year3_Slough Year3_Juvenile_Offenders__Age_10_17)</f>
        <v>145</v>
      </c>
      <c r="AC21" s="372">
        <f>IF(Year4_Slough Year4_Juvenile_Offenders__Age_10_17="","",Year4_Slough Year4_Juvenile_Offenders__Age_10_17)</f>
        <v>104</v>
      </c>
      <c r="AD21" s="577">
        <f>IF(Year5_Slough Year5_Juvenile_Offenders__Age_10_17="","",Year5_Slough Year5_Juvenile_Offenders__Age_10_17)</f>
        <v>98</v>
      </c>
      <c r="AE21" s="1056" t="str">
        <f>Sheet1!$K$16</f>
        <v>Slough</v>
      </c>
      <c r="AF21" s="1051">
        <f t="shared" si="8"/>
        <v>156</v>
      </c>
      <c r="AG21" s="1051">
        <f t="shared" si="5"/>
        <v>123</v>
      </c>
      <c r="AH21" s="1051">
        <f t="shared" si="5"/>
        <v>145</v>
      </c>
      <c r="AI21" s="1051">
        <f t="shared" si="5"/>
        <v>104</v>
      </c>
      <c r="AJ21" s="1051">
        <f t="shared" si="5"/>
        <v>98</v>
      </c>
      <c r="AK21" s="384" t="str">
        <f t="shared" si="6"/>
        <v>Slough</v>
      </c>
      <c r="AL21" s="489">
        <f>IF(Year1_Slough Year1_Juvenile_Re_offenders__Age_10_17="","",Year1_Slough Year1_Juvenile_Re_offenders__Age_10_17)</f>
        <v>64</v>
      </c>
      <c r="AM21" s="372">
        <f>IF(Year2_Slough Year2_Juvenile_Re_offenders__Age_10_17="","",Year2_Slough Year2_Juvenile_Re_offenders__Age_10_17)</f>
        <v>55</v>
      </c>
      <c r="AN21" s="372">
        <f>IF(Year3_Slough Year3_Juvenile_Re_offenders__Age_10_17="","",Year3_Slough Year3_Juvenile_Re_offenders__Age_10_17)</f>
        <v>62</v>
      </c>
      <c r="AO21" s="372">
        <f>IF(Year4_Slough Year4_Juvenile_Re_offenders__Age_10_17="","",Year4_Slough Year4_Juvenile_Re_offenders__Age_10_17)</f>
        <v>43</v>
      </c>
      <c r="AP21" s="372">
        <f>IF(Year5_Slough Year5_Juvenile_Re_offenders__Age_10_17="","",Year5_Slough Year5_Juvenile_Re_offenders__Age_10_17)</f>
        <v>50</v>
      </c>
      <c r="AQ21" s="585" t="b">
        <v>1</v>
      </c>
      <c r="AR21" s="160" t="s">
        <v>13</v>
      </c>
      <c r="AS21" s="575" t="str">
        <f t="shared" si="9"/>
        <v>Slough</v>
      </c>
      <c r="AT21" s="936" t="e">
        <f>VLOOKUP($AS21,#REF!,AT$5,FALSE)</f>
        <v>#REF!</v>
      </c>
      <c r="AU21" s="936" t="e">
        <f>VLOOKUP($AS21,#REF!,AU$5,FALSE)</f>
        <v>#REF!</v>
      </c>
      <c r="AV21" s="936" t="e">
        <f>VLOOKUP($AS21,#REF!,AV$5,FALSE)</f>
        <v>#REF!</v>
      </c>
      <c r="AW21" s="936" t="e">
        <f>VLOOKUP($AS21,#REF!,AW$5,FALSE)</f>
        <v>#REF!</v>
      </c>
      <c r="AX21" s="936" t="e">
        <f>VLOOKUP($AS21,#REF!,AX$5,FALSE)</f>
        <v>#REF!</v>
      </c>
      <c r="AY21" s="1120" t="e">
        <f>VLOOKUP(AS21,#REF!,AY$5,FALSE)</f>
        <v>#REF!</v>
      </c>
      <c r="AZ21" s="1121">
        <f t="shared" si="10"/>
        <v>0.41025641025641024</v>
      </c>
      <c r="BA21" s="1121">
        <f t="shared" si="10"/>
        <v>0.44715447154471544</v>
      </c>
      <c r="BB21" s="1121">
        <f t="shared" si="10"/>
        <v>0.42758620689655175</v>
      </c>
      <c r="BC21" s="1121">
        <f t="shared" si="10"/>
        <v>0.41346153846153844</v>
      </c>
      <c r="BD21" s="1121">
        <f t="shared" si="10"/>
        <v>0.51020408163265307</v>
      </c>
    </row>
    <row r="22" spans="1:56" s="87" customFormat="1" ht="12.75" customHeight="1" x14ac:dyDescent="0.2">
      <c r="A22" s="488">
        <f>VLOOKUP(B22,Sheet1!$AQ$4:$AR$25,2,FALSE)</f>
        <v>0</v>
      </c>
      <c r="B22" s="93" t="s">
        <v>95</v>
      </c>
      <c r="C22" s="85"/>
      <c r="D22" s="162">
        <f t="shared" si="0"/>
        <v>0.36952380952380953</v>
      </c>
      <c r="E22" s="162">
        <f t="shared" si="1"/>
        <v>0.35980148883374691</v>
      </c>
      <c r="F22" s="162">
        <f t="shared" si="2"/>
        <v>0.34876543209876543</v>
      </c>
      <c r="G22" s="162">
        <f t="shared" si="3"/>
        <v>0.38970588235294118</v>
      </c>
      <c r="H22" s="164">
        <f t="shared" si="4"/>
        <v>0.36138613861386137</v>
      </c>
      <c r="I22" s="96"/>
      <c r="J22" s="96"/>
      <c r="K22" s="166"/>
      <c r="L22" s="166"/>
      <c r="M22" s="166"/>
      <c r="N22" s="166"/>
      <c r="O22" s="166"/>
      <c r="P22" s="166"/>
      <c r="Q22" s="166"/>
      <c r="R22" s="167"/>
      <c r="S22" s="159"/>
      <c r="T22" s="159"/>
      <c r="U22" s="166"/>
      <c r="V22" s="122"/>
      <c r="W22" s="139"/>
      <c r="X22" s="152"/>
      <c r="Y22" s="93" t="str">
        <f>Sheet1!$K$17</f>
        <v>Somerset</v>
      </c>
      <c r="Z22" s="1052">
        <f>IF(Year1_Somerset Year1_Juvenile_Offenders__Age_10_17="","",Year1_Somerset Year1_Juvenile_Offenders__Age_10_17)</f>
        <v>525</v>
      </c>
      <c r="AA22" s="372">
        <f>IF(Year2_Somerset Year2_Juvenile_Offenders__Age_10_17="","",Year2_Somerset Year2_Juvenile_Offenders__Age_10_17)</f>
        <v>403</v>
      </c>
      <c r="AB22" s="372">
        <f>IF(Year3_Somerset Year3_Juvenile_Offenders__Age_10_17="","",Year3_Somerset Year3_Juvenile_Offenders__Age_10_17)</f>
        <v>324</v>
      </c>
      <c r="AC22" s="372">
        <f>IF(Year4_Somerset Year4_Juvenile_Offenders__Age_10_17="","",Year4_Somerset Year4_Juvenile_Offenders__Age_10_17)</f>
        <v>272</v>
      </c>
      <c r="AD22" s="577">
        <f>IF(Year5_Somerset Year5_Juvenile_Offenders__Age_10_17="","",Year5_Somerset Year5_Juvenile_Offenders__Age_10_17)</f>
        <v>202</v>
      </c>
      <c r="AE22" s="1056" t="str">
        <f>Sheet1!$K$17</f>
        <v>Somerset</v>
      </c>
      <c r="AF22" s="1051">
        <f t="shared" si="8"/>
        <v>525</v>
      </c>
      <c r="AG22" s="1051">
        <f t="shared" si="5"/>
        <v>403</v>
      </c>
      <c r="AH22" s="1051">
        <f t="shared" si="5"/>
        <v>324</v>
      </c>
      <c r="AI22" s="1051">
        <f t="shared" si="5"/>
        <v>272</v>
      </c>
      <c r="AJ22" s="1051">
        <f t="shared" si="5"/>
        <v>202</v>
      </c>
      <c r="AK22" s="384" t="str">
        <f t="shared" si="6"/>
        <v>Somerset</v>
      </c>
      <c r="AL22" s="489">
        <f>IF(Year1_Somerset Year1_Juvenile_Re_offenders__Age_10_17="","",Year1_Somerset Year1_Juvenile_Re_offenders__Age_10_17)</f>
        <v>194</v>
      </c>
      <c r="AM22" s="372">
        <f>IF(Year2_Somerset Year2_Juvenile_Re_offenders__Age_10_17="","",Year2_Somerset Year2_Juvenile_Re_offenders__Age_10_17)</f>
        <v>145</v>
      </c>
      <c r="AN22" s="372">
        <f>IF(Year3_Somerset Year3_Juvenile_Re_offenders__Age_10_17="","",Year3_Somerset Year3_Juvenile_Re_offenders__Age_10_17)</f>
        <v>113</v>
      </c>
      <c r="AO22" s="372">
        <f>IF(Year4_Somerset Year4_Juvenile_Re_offenders__Age_10_17="","",Year4_Somerset Year4_Juvenile_Re_offenders__Age_10_17)</f>
        <v>106</v>
      </c>
      <c r="AP22" s="372">
        <f>IF(Year5_Somerset Year5_Juvenile_Re_offenders__Age_10_17="","",Year5_Somerset Year5_Juvenile_Re_offenders__Age_10_17)</f>
        <v>73</v>
      </c>
      <c r="AQ22" s="585" t="b">
        <v>1</v>
      </c>
      <c r="AR22" s="160" t="s">
        <v>95</v>
      </c>
      <c r="AS22" s="575" t="str">
        <f t="shared" si="9"/>
        <v>Somerset</v>
      </c>
      <c r="AT22" s="936" t="e">
        <f>VLOOKUP($AS22,#REF!,AT$5,FALSE)</f>
        <v>#REF!</v>
      </c>
      <c r="AU22" s="936" t="e">
        <f>VLOOKUP($AS22,#REF!,AU$5,FALSE)</f>
        <v>#REF!</v>
      </c>
      <c r="AV22" s="936" t="e">
        <f>VLOOKUP($AS22,#REF!,AV$5,FALSE)</f>
        <v>#REF!</v>
      </c>
      <c r="AW22" s="936" t="e">
        <f>VLOOKUP($AS22,#REF!,AW$5,FALSE)</f>
        <v>#REF!</v>
      </c>
      <c r="AX22" s="936" t="e">
        <f>VLOOKUP($AS22,#REF!,AX$5,FALSE)</f>
        <v>#REF!</v>
      </c>
      <c r="AY22" s="1120" t="e">
        <f>VLOOKUP(AS22,#REF!,AY$5,FALSE)</f>
        <v>#REF!</v>
      </c>
      <c r="AZ22" s="1121">
        <f t="shared" si="10"/>
        <v>0.36952380952380953</v>
      </c>
      <c r="BA22" s="1121">
        <f t="shared" si="10"/>
        <v>0.35980148883374691</v>
      </c>
      <c r="BB22" s="1121">
        <f t="shared" si="10"/>
        <v>0.34876543209876543</v>
      </c>
      <c r="BC22" s="1121">
        <f t="shared" si="10"/>
        <v>0.38970588235294118</v>
      </c>
      <c r="BD22" s="1121">
        <f t="shared" si="10"/>
        <v>0.36138613861386137</v>
      </c>
    </row>
    <row r="23" spans="1:56" s="87" customFormat="1" ht="12.75" customHeight="1" x14ac:dyDescent="0.2">
      <c r="A23" s="488">
        <f>VLOOKUP(B23,Sheet1!$AQ$4:$AR$25,2,FALSE)</f>
        <v>0</v>
      </c>
      <c r="B23" s="93" t="s">
        <v>14</v>
      </c>
      <c r="C23" s="85"/>
      <c r="D23" s="162">
        <f t="shared" si="0"/>
        <v>0.42280285035629456</v>
      </c>
      <c r="E23" s="162">
        <f t="shared" si="1"/>
        <v>0.42153846153846153</v>
      </c>
      <c r="F23" s="162">
        <f t="shared" si="2"/>
        <v>0.46586345381526106</v>
      </c>
      <c r="G23" s="162">
        <f t="shared" si="3"/>
        <v>0.4157303370786517</v>
      </c>
      <c r="H23" s="164">
        <f t="shared" si="4"/>
        <v>0.38372093023255816</v>
      </c>
      <c r="I23" s="96"/>
      <c r="J23" s="96"/>
      <c r="K23" s="166"/>
      <c r="L23" s="166"/>
      <c r="M23" s="166"/>
      <c r="N23" s="166"/>
      <c r="O23" s="166"/>
      <c r="P23" s="166"/>
      <c r="Q23" s="166"/>
      <c r="R23" s="167"/>
      <c r="S23" s="159"/>
      <c r="T23" s="159"/>
      <c r="U23" s="166"/>
      <c r="V23" s="122"/>
      <c r="W23" s="139"/>
      <c r="X23" s="152"/>
      <c r="Y23" s="93" t="str">
        <f>Sheet1!$K$18</f>
        <v>Southampton</v>
      </c>
      <c r="Z23" s="1052">
        <f>IF(Year1_Southampton Year1_Juvenile_Offenders__Age_10_17="","",Year1_Southampton Year1_Juvenile_Offenders__Age_10_17)</f>
        <v>421</v>
      </c>
      <c r="AA23" s="372">
        <f>IF(Year2_Southampton Year2_Juvenile_Offenders__Age_10_17="","",Year2_Southampton Year2_Juvenile_Offenders__Age_10_17)</f>
        <v>325</v>
      </c>
      <c r="AB23" s="372">
        <f>IF(Year3_Southampton Year3_Juvenile_Offenders__Age_10_17="","",Year3_Southampton Year3_Juvenile_Offenders__Age_10_17)</f>
        <v>249</v>
      </c>
      <c r="AC23" s="372">
        <f>IF(Year4_Southampton Year4_Juvenile_Offenders__Age_10_17="","",Year4_Southampton Year4_Juvenile_Offenders__Age_10_17)</f>
        <v>178</v>
      </c>
      <c r="AD23" s="577">
        <f>IF(Year5_Southampton Year5_Juvenile_Offenders__Age_10_17="","",Year5_Southampton Year5_Juvenile_Offenders__Age_10_17)</f>
        <v>172</v>
      </c>
      <c r="AE23" s="1056" t="str">
        <f>Sheet1!$K$18</f>
        <v>Southampton</v>
      </c>
      <c r="AF23" s="1051">
        <f t="shared" si="8"/>
        <v>421</v>
      </c>
      <c r="AG23" s="1051">
        <f t="shared" si="5"/>
        <v>325</v>
      </c>
      <c r="AH23" s="1051">
        <f t="shared" si="5"/>
        <v>249</v>
      </c>
      <c r="AI23" s="1051">
        <f t="shared" si="5"/>
        <v>178</v>
      </c>
      <c r="AJ23" s="1051">
        <f t="shared" si="5"/>
        <v>172</v>
      </c>
      <c r="AK23" s="384" t="str">
        <f t="shared" si="6"/>
        <v>Southampton</v>
      </c>
      <c r="AL23" s="489">
        <f>IF(Year1_Southampton Year1_Juvenile_Re_offenders__Age_10_17="","",Year1_Southampton Year1_Juvenile_Re_offenders__Age_10_17)</f>
        <v>178</v>
      </c>
      <c r="AM23" s="372">
        <f>IF(Year2_Southampton Year2_Juvenile_Re_offenders__Age_10_17="","",Year2_Southampton Year2_Juvenile_Re_offenders__Age_10_17)</f>
        <v>137</v>
      </c>
      <c r="AN23" s="372">
        <f>IF(Year3_Southampton Year3_Juvenile_Re_offenders__Age_10_17="","",Year3_Southampton Year3_Juvenile_Re_offenders__Age_10_17)</f>
        <v>116</v>
      </c>
      <c r="AO23" s="372">
        <f>IF(Year4_Southampton Year4_Juvenile_Re_offenders__Age_10_17="","",Year4_Southampton Year4_Juvenile_Re_offenders__Age_10_17)</f>
        <v>74</v>
      </c>
      <c r="AP23" s="372">
        <f>IF(Year5_Southampton Year5_Juvenile_Re_offenders__Age_10_17="","",Year5_Southampton Year5_Juvenile_Re_offenders__Age_10_17)</f>
        <v>66</v>
      </c>
      <c r="AQ23" s="585" t="b">
        <v>1</v>
      </c>
      <c r="AR23" s="160" t="s">
        <v>14</v>
      </c>
      <c r="AS23" s="575" t="str">
        <f t="shared" si="9"/>
        <v>Southampton</v>
      </c>
      <c r="AT23" s="936" t="e">
        <f>VLOOKUP($AS23,#REF!,AT$5,FALSE)</f>
        <v>#REF!</v>
      </c>
      <c r="AU23" s="936" t="e">
        <f>VLOOKUP($AS23,#REF!,AU$5,FALSE)</f>
        <v>#REF!</v>
      </c>
      <c r="AV23" s="936" t="e">
        <f>VLOOKUP($AS23,#REF!,AV$5,FALSE)</f>
        <v>#REF!</v>
      </c>
      <c r="AW23" s="936" t="e">
        <f>VLOOKUP($AS23,#REF!,AW$5,FALSE)</f>
        <v>#REF!</v>
      </c>
      <c r="AX23" s="936" t="e">
        <f>VLOOKUP($AS23,#REF!,AX$5,FALSE)</f>
        <v>#REF!</v>
      </c>
      <c r="AY23" s="1120" t="e">
        <f>VLOOKUP(AS23,#REF!,AY$5,FALSE)</f>
        <v>#REF!</v>
      </c>
      <c r="AZ23" s="1121">
        <f t="shared" si="10"/>
        <v>0.42280285035629456</v>
      </c>
      <c r="BA23" s="1121">
        <f t="shared" si="10"/>
        <v>0.42153846153846153</v>
      </c>
      <c r="BB23" s="1121">
        <f t="shared" si="10"/>
        <v>0.46586345381526106</v>
      </c>
      <c r="BC23" s="1121">
        <f t="shared" si="10"/>
        <v>0.4157303370786517</v>
      </c>
      <c r="BD23" s="1121">
        <f t="shared" si="10"/>
        <v>0.38372093023255816</v>
      </c>
    </row>
    <row r="24" spans="1:56" s="87" customFormat="1" ht="12.75" customHeight="1" x14ac:dyDescent="0.2">
      <c r="A24" s="488">
        <f>VLOOKUP(B24,Sheet1!$AQ$4:$AR$25,2,FALSE)</f>
        <v>0</v>
      </c>
      <c r="B24" s="93" t="s">
        <v>7</v>
      </c>
      <c r="C24" s="85"/>
      <c r="D24" s="162">
        <f t="shared" si="0"/>
        <v>0.47482014388489208</v>
      </c>
      <c r="E24" s="162">
        <f t="shared" si="1"/>
        <v>0.42024539877300615</v>
      </c>
      <c r="F24" s="162">
        <f t="shared" si="2"/>
        <v>0.39743589743589741</v>
      </c>
      <c r="G24" s="162">
        <f t="shared" si="3"/>
        <v>0.40211640211640209</v>
      </c>
      <c r="H24" s="164">
        <f t="shared" si="4"/>
        <v>0.37128712871287128</v>
      </c>
      <c r="I24" s="96"/>
      <c r="J24" s="96"/>
      <c r="K24" s="166"/>
      <c r="L24" s="166"/>
      <c r="M24" s="166"/>
      <c r="N24" s="166"/>
      <c r="O24" s="166"/>
      <c r="P24" s="166"/>
      <c r="Q24" s="166"/>
      <c r="R24" s="167"/>
      <c r="S24" s="159"/>
      <c r="T24" s="159"/>
      <c r="U24" s="166"/>
      <c r="V24" s="122"/>
      <c r="W24" s="139"/>
      <c r="X24" s="152"/>
      <c r="Y24" s="93" t="str">
        <f>Sheet1!$K$19</f>
        <v>Surrey</v>
      </c>
      <c r="Z24" s="1052">
        <f>IF(Year1_Surrey Year1_Juvenile_Offenders__Age_10_17="","",Year1_Surrey Year1_Juvenile_Offenders__Age_10_17)</f>
        <v>417</v>
      </c>
      <c r="AA24" s="372">
        <f>IF(Year2_Surrey Year2_Juvenile_Offenders__Age_10_17="","",Year2_Surrey Year2_Juvenile_Offenders__Age_10_17)</f>
        <v>326</v>
      </c>
      <c r="AB24" s="372">
        <f>IF(Year3_Surrey Year3_Juvenile_Offenders__Age_10_17="","",Year3_Surrey Year3_Juvenile_Offenders__Age_10_17)</f>
        <v>234</v>
      </c>
      <c r="AC24" s="372">
        <f>IF(Year4_Surrey Year4_Juvenile_Offenders__Age_10_17="","",Year4_Surrey Year4_Juvenile_Offenders__Age_10_17)</f>
        <v>189</v>
      </c>
      <c r="AD24" s="577">
        <f>IF(Year5_Surrey Year5_Juvenile_Offenders__Age_10_17="","",Year5_Surrey Year5_Juvenile_Offenders__Age_10_17)</f>
        <v>202</v>
      </c>
      <c r="AE24" s="1056" t="str">
        <f>Sheet1!$K$19</f>
        <v>Surrey</v>
      </c>
      <c r="AF24" s="1051">
        <f t="shared" si="8"/>
        <v>417</v>
      </c>
      <c r="AG24" s="1051">
        <f t="shared" si="5"/>
        <v>326</v>
      </c>
      <c r="AH24" s="1051">
        <f t="shared" si="5"/>
        <v>234</v>
      </c>
      <c r="AI24" s="1051">
        <f t="shared" si="5"/>
        <v>189</v>
      </c>
      <c r="AJ24" s="1051">
        <f t="shared" si="5"/>
        <v>202</v>
      </c>
      <c r="AK24" s="384" t="str">
        <f t="shared" si="6"/>
        <v>Surrey</v>
      </c>
      <c r="AL24" s="489">
        <f>IF(Year1_Surrey Year1_Juvenile_Re_offenders__Age_10_17="","",Year1_Surrey Year1_Juvenile_Re_offenders__Age_10_17)</f>
        <v>198</v>
      </c>
      <c r="AM24" s="372">
        <f>IF(Year2_Surrey Year2_Juvenile_Re_offenders__Age_10_17="","",Year2_Surrey Year2_Juvenile_Re_offenders__Age_10_17)</f>
        <v>137</v>
      </c>
      <c r="AN24" s="372">
        <f>IF(Year3_Surrey Year3_Juvenile_Re_offenders__Age_10_17="","",Year3_Surrey Year3_Juvenile_Re_offenders__Age_10_17)</f>
        <v>93</v>
      </c>
      <c r="AO24" s="372">
        <f>IF(Year4_Surrey Year4_Juvenile_Re_offenders__Age_10_17="","",Year4_Surrey Year4_Juvenile_Re_offenders__Age_10_17)</f>
        <v>76</v>
      </c>
      <c r="AP24" s="372">
        <f>IF(Year5_Surrey Year5_Juvenile_Re_offenders__Age_10_17="","",Year5_Surrey Year5_Juvenile_Re_offenders__Age_10_17)</f>
        <v>75</v>
      </c>
      <c r="AQ24" s="585" t="b">
        <v>1</v>
      </c>
      <c r="AR24" s="160" t="s">
        <v>7</v>
      </c>
      <c r="AS24" s="575" t="str">
        <f t="shared" si="9"/>
        <v>Surrey</v>
      </c>
      <c r="AT24" s="936" t="e">
        <f>VLOOKUP($AS24,#REF!,AT$5,FALSE)</f>
        <v>#REF!</v>
      </c>
      <c r="AU24" s="936" t="e">
        <f>VLOOKUP($AS24,#REF!,AU$5,FALSE)</f>
        <v>#REF!</v>
      </c>
      <c r="AV24" s="936" t="e">
        <f>VLOOKUP($AS24,#REF!,AV$5,FALSE)</f>
        <v>#REF!</v>
      </c>
      <c r="AW24" s="936" t="e">
        <f>VLOOKUP($AS24,#REF!,AW$5,FALSE)</f>
        <v>#REF!</v>
      </c>
      <c r="AX24" s="936" t="e">
        <f>VLOOKUP($AS24,#REF!,AX$5,FALSE)</f>
        <v>#REF!</v>
      </c>
      <c r="AY24" s="1120" t="e">
        <f>VLOOKUP(AS24,#REF!,AY$5,FALSE)</f>
        <v>#REF!</v>
      </c>
      <c r="AZ24" s="1121">
        <f t="shared" si="10"/>
        <v>0.47482014388489208</v>
      </c>
      <c r="BA24" s="1121">
        <f t="shared" si="10"/>
        <v>0.42024539877300615</v>
      </c>
      <c r="BB24" s="1121">
        <f t="shared" si="10"/>
        <v>0.39743589743589741</v>
      </c>
      <c r="BC24" s="1121">
        <f t="shared" si="10"/>
        <v>0.40211640211640209</v>
      </c>
      <c r="BD24" s="1121">
        <f t="shared" si="10"/>
        <v>0.37128712871287128</v>
      </c>
    </row>
    <row r="25" spans="1:56" s="87" customFormat="1" ht="12.75" customHeight="1" x14ac:dyDescent="0.2">
      <c r="A25" s="488">
        <f>VLOOKUP(B25,Sheet1!$AQ$4:$AR$25,2,FALSE)</f>
        <v>0</v>
      </c>
      <c r="B25" s="93" t="s">
        <v>113</v>
      </c>
      <c r="C25" s="85"/>
      <c r="D25" s="162">
        <f t="shared" si="0"/>
        <v>0.44884488448844884</v>
      </c>
      <c r="E25" s="162">
        <f t="shared" si="1"/>
        <v>0.42293906810035842</v>
      </c>
      <c r="F25" s="162">
        <f t="shared" si="2"/>
        <v>0.40282685512367489</v>
      </c>
      <c r="G25" s="162">
        <f t="shared" si="3"/>
        <v>0.4220532319391635</v>
      </c>
      <c r="H25" s="164">
        <f t="shared" si="4"/>
        <v>0.43162393162393164</v>
      </c>
      <c r="I25" s="96"/>
      <c r="J25" s="96"/>
      <c r="K25" s="166"/>
      <c r="L25" s="166"/>
      <c r="M25" s="166"/>
      <c r="N25" s="166"/>
      <c r="O25" s="166"/>
      <c r="P25" s="166"/>
      <c r="Q25" s="166"/>
      <c r="R25" s="167"/>
      <c r="S25" s="159"/>
      <c r="T25" s="159"/>
      <c r="U25" s="166"/>
      <c r="V25" s="122"/>
      <c r="W25" s="139"/>
      <c r="X25" s="152"/>
      <c r="Y25" s="93" t="str">
        <f>Sheet1!$K$20</f>
        <v>Swindon</v>
      </c>
      <c r="Z25" s="1052">
        <f>IF(Year1_Swindon Year1_Juvenile_Offenders__Age_10_17="","",Year1_Swindon Year1_Juvenile_Offenders__Age_10_17)</f>
        <v>303</v>
      </c>
      <c r="AA25" s="372">
        <f>IF(Year2_Swindon Year2_Juvenile_Offenders__Age_10_17="","",Year2_Swindon Year2_Juvenile_Offenders__Age_10_17)</f>
        <v>279</v>
      </c>
      <c r="AB25" s="372">
        <f>IF(Year3_Swindon Year3_Juvenile_Offenders__Age_10_17="","",Year3_Swindon Year3_Juvenile_Offenders__Age_10_17)</f>
        <v>283</v>
      </c>
      <c r="AC25" s="580">
        <f>IF(Year4_Swindon Year4_Juvenile_Offenders__Age_10_17="","",Year4_Swindon Year4_Juvenile_Offenders__Age_10_17)</f>
        <v>263</v>
      </c>
      <c r="AD25" s="604">
        <f>IF(Year5_Swindon Year5_Juvenile_Offenders__Age_10_17="","",Year5_Swindon Year5_Juvenile_Offenders__Age_10_17)</f>
        <v>234</v>
      </c>
      <c r="AE25" s="1056" t="str">
        <f>Sheet1!$K$20</f>
        <v>Swindon</v>
      </c>
      <c r="AF25" s="1051">
        <f t="shared" si="8"/>
        <v>303</v>
      </c>
      <c r="AG25" s="1051">
        <f t="shared" ref="AG25:AG32" si="11">IF(ISNUMBER(AM25),AA25,0)</f>
        <v>279</v>
      </c>
      <c r="AH25" s="1051">
        <f t="shared" ref="AH25:AH32" si="12">IF(ISNUMBER(AN25),AB25,0)</f>
        <v>283</v>
      </c>
      <c r="AI25" s="1051">
        <f t="shared" ref="AI25:AI32" si="13">IF(ISNUMBER(AO25),AC25,0)</f>
        <v>263</v>
      </c>
      <c r="AJ25" s="1051">
        <f t="shared" ref="AJ25:AJ32" si="14">IF(ISNUMBER(AP25),AD25,0)</f>
        <v>234</v>
      </c>
      <c r="AK25" s="384" t="str">
        <f t="shared" si="6"/>
        <v>Swindon</v>
      </c>
      <c r="AL25" s="489">
        <f>IF(Year1_Swindon Year1_Juvenile_Re_offenders__Age_10_17="","",Year1_Swindon Year1_Juvenile_Re_offenders__Age_10_17)</f>
        <v>136</v>
      </c>
      <c r="AM25" s="372">
        <f>IF(Year2_Swindon Year2_Juvenile_Re_offenders__Age_10_17="","",Year2_Swindon Year2_Juvenile_Re_offenders__Age_10_17)</f>
        <v>118</v>
      </c>
      <c r="AN25" s="372">
        <f>IF(Year3_Swindon Year3_Juvenile_Re_offenders__Age_10_17="","",Year3_Swindon Year3_Juvenile_Re_offenders__Age_10_17)</f>
        <v>114</v>
      </c>
      <c r="AO25" s="580">
        <f>IF(Year4_Swindon Year4_Juvenile_Re_offenders__Age_10_17="","",Year4_Swindon Year4_Juvenile_Re_offenders__Age_10_17)</f>
        <v>111</v>
      </c>
      <c r="AP25" s="605">
        <f>IF(Year5_Swindon Year5_Juvenile_Re_offenders__Age_10_17="","",Year5_Swindon Year5_Juvenile_Re_offenders__Age_10_17)</f>
        <v>101</v>
      </c>
      <c r="AQ25" s="585" t="b">
        <v>1</v>
      </c>
      <c r="AR25" s="160" t="s">
        <v>113</v>
      </c>
      <c r="AS25" s="575" t="str">
        <f t="shared" si="9"/>
        <v>Swindon</v>
      </c>
      <c r="AT25" s="936" t="e">
        <f>VLOOKUP($AS25,#REF!,AT$5,FALSE)</f>
        <v>#REF!</v>
      </c>
      <c r="AU25" s="936" t="e">
        <f>VLOOKUP($AS25,#REF!,AU$5,FALSE)</f>
        <v>#REF!</v>
      </c>
      <c r="AV25" s="936" t="e">
        <f>VLOOKUP($AS25,#REF!,AV$5,FALSE)</f>
        <v>#REF!</v>
      </c>
      <c r="AW25" s="936" t="e">
        <f>VLOOKUP($AS25,#REF!,AW$5,FALSE)</f>
        <v>#REF!</v>
      </c>
      <c r="AX25" s="936" t="e">
        <f>VLOOKUP($AS25,#REF!,AX$5,FALSE)</f>
        <v>#REF!</v>
      </c>
      <c r="AY25" s="1120" t="e">
        <f>VLOOKUP(AS25,#REF!,AY$5,FALSE)</f>
        <v>#REF!</v>
      </c>
      <c r="AZ25" s="1121">
        <f t="shared" si="10"/>
        <v>0.44884488448844884</v>
      </c>
      <c r="BA25" s="1121">
        <f t="shared" si="10"/>
        <v>0.42293906810035842</v>
      </c>
      <c r="BB25" s="1121">
        <f t="shared" si="10"/>
        <v>0.40282685512367489</v>
      </c>
      <c r="BC25" s="1121">
        <f t="shared" si="10"/>
        <v>0.4220532319391635</v>
      </c>
      <c r="BD25" s="1121">
        <f t="shared" si="10"/>
        <v>0.43162393162393164</v>
      </c>
    </row>
    <row r="26" spans="1:56" s="87" customFormat="1" ht="12.75" customHeight="1" x14ac:dyDescent="0.2">
      <c r="A26" s="488">
        <f>VLOOKUP(B26,Sheet1!$AQ$4:$AR$25,2,FALSE)</f>
        <v>0</v>
      </c>
      <c r="B26" s="93" t="s">
        <v>114</v>
      </c>
      <c r="C26" s="85"/>
      <c r="D26" s="162">
        <f t="shared" si="0"/>
        <v>0.33898305084745761</v>
      </c>
      <c r="E26" s="162">
        <f t="shared" si="1"/>
        <v>0.27551020408163263</v>
      </c>
      <c r="F26" s="162">
        <f t="shared" si="2"/>
        <v>0.39325842696629215</v>
      </c>
      <c r="G26" s="162">
        <f t="shared" si="3"/>
        <v>0.31521739130434784</v>
      </c>
      <c r="H26" s="164">
        <f t="shared" si="4"/>
        <v>0.26</v>
      </c>
      <c r="I26" s="96"/>
      <c r="J26" s="96"/>
      <c r="K26" s="166"/>
      <c r="L26" s="166"/>
      <c r="M26" s="166"/>
      <c r="N26" s="166"/>
      <c r="O26" s="166"/>
      <c r="P26" s="166"/>
      <c r="Q26" s="166"/>
      <c r="R26" s="167"/>
      <c r="S26" s="159"/>
      <c r="T26" s="159"/>
      <c r="U26" s="166"/>
      <c r="V26" s="122"/>
      <c r="W26" s="139"/>
      <c r="X26" s="152"/>
      <c r="Y26" s="93" t="str">
        <f>Sheet1!$K$21</f>
        <v>Torbay</v>
      </c>
      <c r="Z26" s="1052">
        <f>IF(Year1_Torbay Year1_Juvenile_Offenders__Age_10_17="","",Year1_Torbay Year1_Juvenile_Offenders__Age_10_17)</f>
        <v>118</v>
      </c>
      <c r="AA26" s="372">
        <f>IF(Year2_Torbay Year2_Juvenile_Offenders__Age_10_17="","",Year2_Torbay Year2_Juvenile_Offenders__Age_10_17)</f>
        <v>98</v>
      </c>
      <c r="AB26" s="372">
        <f>IF(Year3_Torbay Year3_Juvenile_Offenders__Age_10_17="","",Year3_Torbay Year3_Juvenile_Offenders__Age_10_17)</f>
        <v>89</v>
      </c>
      <c r="AC26" s="580">
        <f>IF(Year4_Torbay Year4_Juvenile_Offenders__Age_10_17="","",Year4_Torbay Year4_Juvenile_Offenders__Age_10_17)</f>
        <v>92</v>
      </c>
      <c r="AD26" s="604">
        <f>IF(Year5_Torbay Year5_Juvenile_Offenders__Age_10_17="","",Year5_Torbay Year5_Juvenile_Offenders__Age_10_17)</f>
        <v>50</v>
      </c>
      <c r="AE26" s="1056" t="str">
        <f>Sheet1!$K$21</f>
        <v>Torbay</v>
      </c>
      <c r="AF26" s="1051">
        <f t="shared" si="8"/>
        <v>118</v>
      </c>
      <c r="AG26" s="1051">
        <f t="shared" si="11"/>
        <v>98</v>
      </c>
      <c r="AH26" s="1051">
        <f t="shared" si="12"/>
        <v>89</v>
      </c>
      <c r="AI26" s="1051">
        <f t="shared" si="13"/>
        <v>92</v>
      </c>
      <c r="AJ26" s="1051">
        <f t="shared" si="14"/>
        <v>50</v>
      </c>
      <c r="AK26" s="384" t="str">
        <f t="shared" si="6"/>
        <v>Torbay</v>
      </c>
      <c r="AL26" s="489">
        <f>IF(Year1_Torbay Year1_Juvenile_Re_offenders__Age_10_17="","",Year1_Torbay Year1_Juvenile_Re_offenders__Age_10_17)</f>
        <v>40</v>
      </c>
      <c r="AM26" s="372">
        <f>IF(Year2_Torbay Year2_Juvenile_Re_offenders__Age_10_17="","",Year2_Torbay Year2_Juvenile_Re_offenders__Age_10_17)</f>
        <v>27</v>
      </c>
      <c r="AN26" s="372">
        <f>IF(Year3_Torbay Year3_Juvenile_Re_offenders__Age_10_17="","",Year3_Torbay Year3_Juvenile_Re_offenders__Age_10_17)</f>
        <v>35</v>
      </c>
      <c r="AO26" s="580">
        <f>IF(Year4_Torbay Year4_Juvenile_Re_offenders__Age_10_17="","",Year4_Torbay Year4_Juvenile_Re_offenders__Age_10_17)</f>
        <v>29</v>
      </c>
      <c r="AP26" s="605">
        <f>IF(Year5_Torbay Year5_Juvenile_Re_offenders__Age_10_17="","",Year5_Torbay Year5_Juvenile_Re_offenders__Age_10_17)</f>
        <v>13</v>
      </c>
      <c r="AQ26" s="585" t="b">
        <v>1</v>
      </c>
      <c r="AR26" s="160" t="s">
        <v>114</v>
      </c>
      <c r="AS26" s="575" t="str">
        <f t="shared" si="9"/>
        <v>Torbay</v>
      </c>
      <c r="AT26" s="936" t="e">
        <f>VLOOKUP($AS26,#REF!,AT$5,FALSE)</f>
        <v>#REF!</v>
      </c>
      <c r="AU26" s="936" t="e">
        <f>VLOOKUP($AS26,#REF!,AU$5,FALSE)</f>
        <v>#REF!</v>
      </c>
      <c r="AV26" s="936" t="e">
        <f>VLOOKUP($AS26,#REF!,AV$5,FALSE)</f>
        <v>#REF!</v>
      </c>
      <c r="AW26" s="936" t="e">
        <f>VLOOKUP($AS26,#REF!,AW$5,FALSE)</f>
        <v>#REF!</v>
      </c>
      <c r="AX26" s="936" t="e">
        <f>VLOOKUP($AS26,#REF!,AX$5,FALSE)</f>
        <v>#REF!</v>
      </c>
      <c r="AY26" s="1120" t="e">
        <f>VLOOKUP(AS26,#REF!,AY$5,FALSE)</f>
        <v>#REF!</v>
      </c>
      <c r="AZ26" s="1121">
        <f t="shared" si="10"/>
        <v>0.33898305084745761</v>
      </c>
      <c r="BA26" s="1121">
        <f t="shared" si="10"/>
        <v>0.27551020408163263</v>
      </c>
      <c r="BB26" s="1121">
        <f t="shared" si="10"/>
        <v>0.39325842696629215</v>
      </c>
      <c r="BC26" s="1121">
        <f t="shared" si="10"/>
        <v>0.31521739130434784</v>
      </c>
      <c r="BD26" s="1121">
        <f t="shared" si="10"/>
        <v>0.26</v>
      </c>
    </row>
    <row r="27" spans="1:56" s="87" customFormat="1" ht="12.75" customHeight="1" x14ac:dyDescent="0.2">
      <c r="A27" s="488">
        <f>VLOOKUP(B27,Sheet1!$AQ$4:$AR$25,2,FALSE)</f>
        <v>0</v>
      </c>
      <c r="B27" s="93" t="s">
        <v>15</v>
      </c>
      <c r="C27" s="85"/>
      <c r="D27" s="162">
        <f t="shared" si="0"/>
        <v>0.43333333333333335</v>
      </c>
      <c r="E27" s="162">
        <f t="shared" si="1"/>
        <v>0.4107142857142857</v>
      </c>
      <c r="F27" s="162">
        <f t="shared" si="2"/>
        <v>0.37349397590361444</v>
      </c>
      <c r="G27" s="162">
        <f t="shared" si="3"/>
        <v>0.44047619047619047</v>
      </c>
      <c r="H27" s="164">
        <f t="shared" si="4"/>
        <v>0.32894736842105265</v>
      </c>
      <c r="I27" s="96"/>
      <c r="J27" s="96"/>
      <c r="K27" s="166"/>
      <c r="L27" s="166"/>
      <c r="M27" s="166"/>
      <c r="N27" s="166"/>
      <c r="O27" s="166"/>
      <c r="P27" s="166"/>
      <c r="Q27" s="166"/>
      <c r="R27" s="167"/>
      <c r="S27" s="159"/>
      <c r="T27" s="159"/>
      <c r="U27" s="166"/>
      <c r="V27" s="122"/>
      <c r="W27" s="139"/>
      <c r="X27" s="152"/>
      <c r="Y27" s="93" t="str">
        <f>Sheet1!$K$22</f>
        <v>West Berkshire</v>
      </c>
      <c r="Z27" s="1052">
        <f>IF(Year1_West_Berkshire Year1_Juvenile_Offenders__Age_10_17="","",Year1_West_Berkshire Year1_Juvenile_Offenders__Age_10_17)</f>
        <v>120</v>
      </c>
      <c r="AA27" s="372">
        <f>IF(Year2_West_Berkshire Year2_Juvenile_Offenders__Age_10_17="","",Year2_West_Berkshire Year2_Juvenile_Offenders__Age_10_17)</f>
        <v>112</v>
      </c>
      <c r="AB27" s="372">
        <f>IF(Year3_West_Berkshire Year3_Juvenile_Offenders__Age_10_17="","",Year3_West_Berkshire Year3_Juvenile_Offenders__Age_10_17)</f>
        <v>83</v>
      </c>
      <c r="AC27" s="372">
        <f>IF(Year4_West_Berkshire Year4_Juvenile_Offenders__Age_10_17="","",Year4_West_Berkshire Year4_Juvenile_Offenders__Age_10_17)</f>
        <v>84</v>
      </c>
      <c r="AD27" s="577">
        <f>IF(Year5_West_Berkshire Year5_Juvenile_Offenders__Age_10_17="","",Year5_West_Berkshire Year5_Juvenile_Offenders__Age_10_17)</f>
        <v>76</v>
      </c>
      <c r="AE27" s="1056" t="str">
        <f>Sheet1!$K$22</f>
        <v>West Berkshire</v>
      </c>
      <c r="AF27" s="1051">
        <f t="shared" si="8"/>
        <v>120</v>
      </c>
      <c r="AG27" s="1051">
        <f t="shared" si="11"/>
        <v>112</v>
      </c>
      <c r="AH27" s="1051">
        <f t="shared" si="12"/>
        <v>83</v>
      </c>
      <c r="AI27" s="1051">
        <f t="shared" si="13"/>
        <v>84</v>
      </c>
      <c r="AJ27" s="1051">
        <f t="shared" si="14"/>
        <v>76</v>
      </c>
      <c r="AK27" s="384" t="str">
        <f t="shared" si="6"/>
        <v>West Berkshire</v>
      </c>
      <c r="AL27" s="489">
        <f>IF(Year1_West_Berkshire Year1_Juvenile_Re_offenders__Age_10_17="","",Year1_West_Berkshire Year1_Juvenile_Re_offenders__Age_10_17)</f>
        <v>52</v>
      </c>
      <c r="AM27" s="372">
        <f>IF(Year2_West_Berkshire Year2_Juvenile_Re_offenders__Age_10_17="","",Year2_West_Berkshire Year2_Juvenile_Re_offenders__Age_10_17)</f>
        <v>46</v>
      </c>
      <c r="AN27" s="372">
        <f>IF(Year3_West_Berkshire Year3_Juvenile_Re_offenders__Age_10_17="","",Year3_West_Berkshire Year3_Juvenile_Re_offenders__Age_10_17)</f>
        <v>31</v>
      </c>
      <c r="AO27" s="372">
        <f>IF(Year4_West_Berkshire Year4_Juvenile_Re_offenders__Age_10_17="","",Year4_West_Berkshire Year4_Juvenile_Re_offenders__Age_10_17)</f>
        <v>37</v>
      </c>
      <c r="AP27" s="372">
        <f>IF(Year5_West_Berkshire Year5_Juvenile_Re_offenders__Age_10_17="","",Year5_West_Berkshire Year5_Juvenile_Re_offenders__Age_10_17)</f>
        <v>25</v>
      </c>
      <c r="AQ27" s="585" t="b">
        <v>1</v>
      </c>
      <c r="AR27" s="160" t="s">
        <v>15</v>
      </c>
      <c r="AS27" s="575" t="str">
        <f t="shared" si="9"/>
        <v>West Berkshire</v>
      </c>
      <c r="AT27" s="936" t="e">
        <f>VLOOKUP($AS27,#REF!,AT$5,FALSE)</f>
        <v>#REF!</v>
      </c>
      <c r="AU27" s="936" t="e">
        <f>VLOOKUP($AS27,#REF!,AU$5,FALSE)</f>
        <v>#REF!</v>
      </c>
      <c r="AV27" s="936" t="e">
        <f>VLOOKUP($AS27,#REF!,AV$5,FALSE)</f>
        <v>#REF!</v>
      </c>
      <c r="AW27" s="936" t="e">
        <f>VLOOKUP($AS27,#REF!,AW$5,FALSE)</f>
        <v>#REF!</v>
      </c>
      <c r="AX27" s="936" t="e">
        <f>VLOOKUP($AS27,#REF!,AX$5,FALSE)</f>
        <v>#REF!</v>
      </c>
      <c r="AY27" s="1120" t="e">
        <f>VLOOKUP(AS27,#REF!,AY$5,FALSE)</f>
        <v>#REF!</v>
      </c>
      <c r="AZ27" s="1121">
        <f t="shared" si="10"/>
        <v>0.43333333333333335</v>
      </c>
      <c r="BA27" s="1121">
        <f t="shared" si="10"/>
        <v>0.4107142857142857</v>
      </c>
      <c r="BB27" s="1121">
        <f t="shared" si="10"/>
        <v>0.37349397590361444</v>
      </c>
      <c r="BC27" s="1121">
        <f t="shared" si="10"/>
        <v>0.44047619047619047</v>
      </c>
      <c r="BD27" s="1121">
        <f t="shared" si="10"/>
        <v>0.32894736842105265</v>
      </c>
    </row>
    <row r="28" spans="1:56" s="87" customFormat="1" ht="12.75" customHeight="1" x14ac:dyDescent="0.2">
      <c r="A28" s="488">
        <f>VLOOKUP(B28,Sheet1!$AQ$4:$AR$25,2,FALSE)</f>
        <v>0</v>
      </c>
      <c r="B28" s="93" t="s">
        <v>5</v>
      </c>
      <c r="C28" s="85"/>
      <c r="D28" s="162">
        <f t="shared" si="0"/>
        <v>0.45945945945945948</v>
      </c>
      <c r="E28" s="162">
        <f t="shared" si="1"/>
        <v>0.34668721109399075</v>
      </c>
      <c r="F28" s="162">
        <f t="shared" si="2"/>
        <v>0.37881873727087578</v>
      </c>
      <c r="G28" s="162">
        <f t="shared" si="3"/>
        <v>0.37223974763406942</v>
      </c>
      <c r="H28" s="164">
        <f t="shared" si="4"/>
        <v>0.38388625592417064</v>
      </c>
      <c r="I28" s="96"/>
      <c r="J28" s="96"/>
      <c r="K28" s="166"/>
      <c r="L28" s="166"/>
      <c r="M28" s="166"/>
      <c r="N28" s="166"/>
      <c r="O28" s="166"/>
      <c r="P28" s="166"/>
      <c r="Q28" s="166"/>
      <c r="R28" s="167"/>
      <c r="S28" s="159"/>
      <c r="T28" s="159"/>
      <c r="U28" s="166"/>
      <c r="V28" s="122"/>
      <c r="W28" s="139"/>
      <c r="X28" s="152"/>
      <c r="Y28" s="93" t="str">
        <f>Sheet1!$K$23</f>
        <v>West Sussex</v>
      </c>
      <c r="Z28" s="1052">
        <f>IF(Year1_West_Sussex Year1_Juvenile_Offenders__Age_10_17="","",Year1_West_Sussex Year1_Juvenile_Offenders__Age_10_17)</f>
        <v>777</v>
      </c>
      <c r="AA28" s="372">
        <f>IF(Year2_West_Sussex Year2_Juvenile_Offenders__Age_10_17="","",Year2_West_Sussex Year2_Juvenile_Offenders__Age_10_17)</f>
        <v>649</v>
      </c>
      <c r="AB28" s="372">
        <f>IF(Year3_West_Sussex Year3_Juvenile_Offenders__Age_10_17="","",Year3_West_Sussex Year3_Juvenile_Offenders__Age_10_17)</f>
        <v>491</v>
      </c>
      <c r="AC28" s="372">
        <f>IF(Year4_West_Sussex Year4_Juvenile_Offenders__Age_10_17="","",Year4_West_Sussex Year4_Juvenile_Offenders__Age_10_17)</f>
        <v>317</v>
      </c>
      <c r="AD28" s="577">
        <f>IF(Year5_West_Sussex Year5_Juvenile_Offenders__Age_10_17="","",Year5_West_Sussex Year5_Juvenile_Offenders__Age_10_17)</f>
        <v>211</v>
      </c>
      <c r="AE28" s="1056" t="str">
        <f>Sheet1!$K$23</f>
        <v>West Sussex</v>
      </c>
      <c r="AF28" s="1051">
        <f t="shared" si="8"/>
        <v>777</v>
      </c>
      <c r="AG28" s="1051">
        <f t="shared" si="11"/>
        <v>649</v>
      </c>
      <c r="AH28" s="1051">
        <f t="shared" si="12"/>
        <v>491</v>
      </c>
      <c r="AI28" s="1051">
        <f t="shared" si="13"/>
        <v>317</v>
      </c>
      <c r="AJ28" s="1051">
        <f t="shared" si="14"/>
        <v>211</v>
      </c>
      <c r="AK28" s="384" t="str">
        <f t="shared" si="6"/>
        <v>West Sussex</v>
      </c>
      <c r="AL28" s="489">
        <f>IF(Year1_West_Sussex Year1_Juvenile_Re_offenders__Age_10_17="","",Year1_West_Sussex Year1_Juvenile_Re_offenders__Age_10_17)</f>
        <v>357</v>
      </c>
      <c r="AM28" s="372">
        <f>IF(Year2_West_Sussex Year2_Juvenile_Re_offenders__Age_10_17="","",Year2_West_Sussex Year2_Juvenile_Re_offenders__Age_10_17)</f>
        <v>225</v>
      </c>
      <c r="AN28" s="372">
        <f>IF(Year3_West_Sussex Year3_Juvenile_Re_offenders__Age_10_17="","",Year3_West_Sussex Year3_Juvenile_Re_offenders__Age_10_17)</f>
        <v>186</v>
      </c>
      <c r="AO28" s="372">
        <f>IF(Year4_West_Sussex Year4_Juvenile_Re_offenders__Age_10_17="","",Year4_West_Sussex Year4_Juvenile_Re_offenders__Age_10_17)</f>
        <v>118</v>
      </c>
      <c r="AP28" s="372">
        <f>IF(Year5_West_Sussex Year5_Juvenile_Re_offenders__Age_10_17="","",Year5_West_Sussex Year5_Juvenile_Re_offenders__Age_10_17)</f>
        <v>81</v>
      </c>
      <c r="AQ28" s="585" t="b">
        <v>1</v>
      </c>
      <c r="AR28" s="160" t="s">
        <v>5</v>
      </c>
      <c r="AS28" s="575" t="str">
        <f t="shared" si="9"/>
        <v>West Sussex</v>
      </c>
      <c r="AT28" s="936" t="e">
        <f>VLOOKUP($AS28,#REF!,AT$5,FALSE)</f>
        <v>#REF!</v>
      </c>
      <c r="AU28" s="936" t="e">
        <f>VLOOKUP($AS28,#REF!,AU$5,FALSE)</f>
        <v>#REF!</v>
      </c>
      <c r="AV28" s="936" t="e">
        <f>VLOOKUP($AS28,#REF!,AV$5,FALSE)</f>
        <v>#REF!</v>
      </c>
      <c r="AW28" s="936" t="e">
        <f>VLOOKUP($AS28,#REF!,AW$5,FALSE)</f>
        <v>#REF!</v>
      </c>
      <c r="AX28" s="936" t="e">
        <f>VLOOKUP($AS28,#REF!,AX$5,FALSE)</f>
        <v>#REF!</v>
      </c>
      <c r="AY28" s="1120" t="e">
        <f>VLOOKUP(AS28,#REF!,AY$5,FALSE)</f>
        <v>#REF!</v>
      </c>
      <c r="AZ28" s="1121">
        <f t="shared" si="10"/>
        <v>0.45945945945945948</v>
      </c>
      <c r="BA28" s="1121">
        <f t="shared" si="10"/>
        <v>0.34668721109399075</v>
      </c>
      <c r="BB28" s="1121">
        <f t="shared" si="10"/>
        <v>0.37881873727087578</v>
      </c>
      <c r="BC28" s="1121">
        <f t="shared" si="10"/>
        <v>0.37223974763406942</v>
      </c>
      <c r="BD28" s="1121">
        <f t="shared" si="10"/>
        <v>0.38388625592417064</v>
      </c>
    </row>
    <row r="29" spans="1:56" s="87" customFormat="1" ht="12.75" customHeight="1" x14ac:dyDescent="0.2">
      <c r="A29" s="488">
        <f>VLOOKUP(B29,Sheet1!$AQ$4:$AR$25,2,FALSE)</f>
        <v>0</v>
      </c>
      <c r="B29" s="93" t="s">
        <v>30</v>
      </c>
      <c r="C29" s="85"/>
      <c r="D29" s="162">
        <f t="shared" si="0"/>
        <v>0.41666666666666669</v>
      </c>
      <c r="E29" s="162">
        <f t="shared" si="1"/>
        <v>0.31506849315068491</v>
      </c>
      <c r="F29" s="162">
        <f t="shared" si="2"/>
        <v>0.2711864406779661</v>
      </c>
      <c r="G29" s="162">
        <f t="shared" si="3"/>
        <v>0.27500000000000002</v>
      </c>
      <c r="H29" s="164">
        <f t="shared" si="4"/>
        <v>0.29545454545454547</v>
      </c>
      <c r="I29" s="96"/>
      <c r="J29" s="96"/>
      <c r="K29" s="166"/>
      <c r="L29" s="166"/>
      <c r="M29" s="166"/>
      <c r="N29" s="166"/>
      <c r="O29" s="166"/>
      <c r="P29" s="166"/>
      <c r="Q29" s="166"/>
      <c r="R29" s="167"/>
      <c r="S29" s="159"/>
      <c r="T29" s="159"/>
      <c r="U29" s="166"/>
      <c r="V29" s="122"/>
      <c r="W29" s="139"/>
      <c r="X29" s="152"/>
      <c r="Y29" s="93" t="str">
        <f>Sheet1!$K$24</f>
        <v>Windsor &amp; Maidenhead</v>
      </c>
      <c r="Z29" s="1052">
        <f>IF(Year1_Windsor_Maidenhead Year1_Juvenile_Offenders__Age_10_17="","",Year1_Windsor_Maidenhead Year1_Juvenile_Offenders__Age_10_17)</f>
        <v>72</v>
      </c>
      <c r="AA29" s="372">
        <f>IF(Year2_Windsor_Maidenhead Year2_Juvenile_Offenders__Age_10_17="","",Year2_Windsor_Maidenhead Year2_Juvenile_Offenders__Age_10_17)</f>
        <v>73</v>
      </c>
      <c r="AB29" s="372">
        <f>IF(Year3_Windsor_Maidenhead Year3_Juvenile_Offenders__Age_10_17="","",Year3_Windsor_Maidenhead Year3_Juvenile_Offenders__Age_10_17)</f>
        <v>59</v>
      </c>
      <c r="AC29" s="372">
        <f>IF(Year4_Windsor_Maidenhead Year4_Juvenile_Offenders__Age_10_17="","",Year4_Windsor_Maidenhead Year4_Juvenile_Offenders__Age_10_17)</f>
        <v>40</v>
      </c>
      <c r="AD29" s="577">
        <f>IF(Year5_Windsor_Maidenhead Year5_Juvenile_Offenders__Age_10_17="","",Year5_Windsor_Maidenhead Year5_Juvenile_Offenders__Age_10_17)</f>
        <v>44</v>
      </c>
      <c r="AE29" s="1056" t="str">
        <f>Sheet1!$K$24</f>
        <v>Windsor &amp; Maidenhead</v>
      </c>
      <c r="AF29" s="1051">
        <f t="shared" si="8"/>
        <v>72</v>
      </c>
      <c r="AG29" s="1051">
        <f t="shared" si="11"/>
        <v>73</v>
      </c>
      <c r="AH29" s="1051">
        <f t="shared" si="12"/>
        <v>59</v>
      </c>
      <c r="AI29" s="1051">
        <f t="shared" si="13"/>
        <v>40</v>
      </c>
      <c r="AJ29" s="1051">
        <f t="shared" si="14"/>
        <v>44</v>
      </c>
      <c r="AK29" s="384" t="str">
        <f t="shared" si="6"/>
        <v>Windsor &amp; Maidenhead</v>
      </c>
      <c r="AL29" s="489">
        <f>IF(Year1_Windsor_Maidenhead Year1_Juvenile_Re_offenders__Age_10_17="","",Year1_Windsor_Maidenhead Year1_Juvenile_Re_offenders__Age_10_17)</f>
        <v>30</v>
      </c>
      <c r="AM29" s="372">
        <f>IF(Year2_Windsor_Maidenhead Year2_Juvenile_Re_offenders__Age_10_17="","",Year2_Windsor_Maidenhead Year2_Juvenile_Re_offenders__Age_10_17)</f>
        <v>23</v>
      </c>
      <c r="AN29" s="372">
        <f>IF(Year3_Windsor_Maidenhead Year3_Juvenile_Re_offenders__Age_10_17="","",Year3_Windsor_Maidenhead Year3_Juvenile_Re_offenders__Age_10_17)</f>
        <v>16</v>
      </c>
      <c r="AO29" s="372">
        <f>IF(Year4_Windsor_Maidenhead Year4_Juvenile_Re_offenders__Age_10_17="","",Year4_Windsor_Maidenhead Year4_Juvenile_Re_offenders__Age_10_17)</f>
        <v>11</v>
      </c>
      <c r="AP29" s="372">
        <f>IF(Year5_Windsor_Maidenhead Year5_Juvenile_Re_offenders__Age_10_17="","",Year5_Windsor_Maidenhead Year5_Juvenile_Re_offenders__Age_10_17)</f>
        <v>13</v>
      </c>
      <c r="AQ29" s="585" t="b">
        <v>1</v>
      </c>
      <c r="AR29" s="160" t="s">
        <v>30</v>
      </c>
      <c r="AS29" s="575" t="str">
        <f t="shared" si="9"/>
        <v>Windsor &amp; Maidenhead</v>
      </c>
      <c r="AT29" s="936" t="e">
        <f>VLOOKUP($AS29,#REF!,AT$5,FALSE)</f>
        <v>#REF!</v>
      </c>
      <c r="AU29" s="936" t="e">
        <f>VLOOKUP($AS29,#REF!,AU$5,FALSE)</f>
        <v>#REF!</v>
      </c>
      <c r="AV29" s="936" t="e">
        <f>VLOOKUP($AS29,#REF!,AV$5,FALSE)</f>
        <v>#REF!</v>
      </c>
      <c r="AW29" s="936" t="e">
        <f>VLOOKUP($AS29,#REF!,AW$5,FALSE)</f>
        <v>#REF!</v>
      </c>
      <c r="AX29" s="936" t="e">
        <f>VLOOKUP($AS29,#REF!,AX$5,FALSE)</f>
        <v>#REF!</v>
      </c>
      <c r="AY29" s="1120" t="e">
        <f>VLOOKUP(AS29,#REF!,AY$5,FALSE)</f>
        <v>#REF!</v>
      </c>
      <c r="AZ29" s="1121">
        <f t="shared" si="10"/>
        <v>0.41666666666666669</v>
      </c>
      <c r="BA29" s="1121">
        <f t="shared" si="10"/>
        <v>0.31506849315068491</v>
      </c>
      <c r="BB29" s="1121">
        <f t="shared" si="10"/>
        <v>0.2711864406779661</v>
      </c>
      <c r="BC29" s="1121">
        <f t="shared" si="10"/>
        <v>0.27500000000000002</v>
      </c>
      <c r="BD29" s="1121">
        <f t="shared" si="10"/>
        <v>0.29545454545454547</v>
      </c>
    </row>
    <row r="30" spans="1:56" s="87" customFormat="1" ht="12.75" customHeight="1" x14ac:dyDescent="0.2">
      <c r="A30" s="488">
        <f>VLOOKUP(B30,Sheet1!$AQ$4:$AR$25,2,FALSE)</f>
        <v>0</v>
      </c>
      <c r="B30" s="93" t="s">
        <v>16</v>
      </c>
      <c r="C30" s="85"/>
      <c r="D30" s="162">
        <f t="shared" si="0"/>
        <v>0.30985915492957744</v>
      </c>
      <c r="E30" s="162">
        <f t="shared" si="1"/>
        <v>0.44</v>
      </c>
      <c r="F30" s="162">
        <f t="shared" si="2"/>
        <v>0.2</v>
      </c>
      <c r="G30" s="162">
        <f t="shared" si="3"/>
        <v>0.33333333333333331</v>
      </c>
      <c r="H30" s="164">
        <f t="shared" si="4"/>
        <v>0.30188679245283018</v>
      </c>
      <c r="I30" s="96"/>
      <c r="J30" s="96"/>
      <c r="K30" s="166"/>
      <c r="L30" s="166"/>
      <c r="M30" s="166"/>
      <c r="N30" s="166"/>
      <c r="O30" s="166"/>
      <c r="P30" s="166"/>
      <c r="Q30" s="166"/>
      <c r="R30" s="167"/>
      <c r="S30" s="159"/>
      <c r="T30" s="159"/>
      <c r="U30" s="166"/>
      <c r="V30" s="122"/>
      <c r="W30" s="139"/>
      <c r="X30" s="152"/>
      <c r="Y30" s="93" t="str">
        <f>Sheet1!$K$25</f>
        <v>Wokingham</v>
      </c>
      <c r="Z30" s="1052">
        <f>IF(Year1_Wokingham Year1_Juvenile_Offenders__Age_10_17="","",Year1_Wokingham Year1_Juvenile_Offenders__Age_10_17)</f>
        <v>71</v>
      </c>
      <c r="AA30" s="372">
        <f>IF(Year2_Wokingham Year2_Juvenile_Offenders__Age_10_17="","",Year2_Wokingham Year2_Juvenile_Offenders__Age_10_17)</f>
        <v>50</v>
      </c>
      <c r="AB30" s="372">
        <f>IF(Year3_Wokingham Year3_Juvenile_Offenders__Age_10_17="","",Year3_Wokingham Year3_Juvenile_Offenders__Age_10_17)</f>
        <v>65</v>
      </c>
      <c r="AC30" s="372">
        <f>IF(Year4_Wokingham Year4_Juvenile_Offenders__Age_10_17="","",Year4_Wokingham Year4_Juvenile_Offenders__Age_10_17)</f>
        <v>42</v>
      </c>
      <c r="AD30" s="577">
        <f>IF(Year5_Wokingham Year5_Juvenile_Offenders__Age_10_17="","",Year5_Wokingham Year5_Juvenile_Offenders__Age_10_17)</f>
        <v>53</v>
      </c>
      <c r="AE30" s="1056" t="str">
        <f>Sheet1!$K$25</f>
        <v>Wokingham</v>
      </c>
      <c r="AF30" s="1051">
        <f t="shared" si="8"/>
        <v>71</v>
      </c>
      <c r="AG30" s="1051">
        <f t="shared" si="11"/>
        <v>50</v>
      </c>
      <c r="AH30" s="1051">
        <f t="shared" si="12"/>
        <v>65</v>
      </c>
      <c r="AI30" s="1051">
        <f t="shared" si="13"/>
        <v>42</v>
      </c>
      <c r="AJ30" s="1051">
        <f t="shared" si="14"/>
        <v>53</v>
      </c>
      <c r="AK30" s="384" t="str">
        <f t="shared" si="6"/>
        <v>Wokingham</v>
      </c>
      <c r="AL30" s="489">
        <f>IF(Year1_Wokingham Year1_Juvenile_Re_offenders__Age_10_17="","",Year1_Wokingham Year1_Juvenile_Re_offenders__Age_10_17)</f>
        <v>22</v>
      </c>
      <c r="AM30" s="372">
        <f>IF(Year2_Wokingham Year2_Juvenile_Re_offenders__Age_10_17="","",Year2_Wokingham Year2_Juvenile_Re_offenders__Age_10_17)</f>
        <v>22</v>
      </c>
      <c r="AN30" s="372">
        <f>IF(Year3_Wokingham Year3_Juvenile_Re_offenders__Age_10_17="","",Year3_Wokingham Year3_Juvenile_Re_offenders__Age_10_17)</f>
        <v>13</v>
      </c>
      <c r="AO30" s="372">
        <f>IF(Year4_Wokingham Year4_Juvenile_Re_offenders__Age_10_17="","",Year4_Wokingham Year4_Juvenile_Re_offenders__Age_10_17)</f>
        <v>14</v>
      </c>
      <c r="AP30" s="372">
        <f>IF(Year5_Wokingham Year5_Juvenile_Re_offenders__Age_10_17="","",Year5_Wokingham Year5_Juvenile_Re_offenders__Age_10_17)</f>
        <v>16</v>
      </c>
      <c r="AQ30" s="585" t="b">
        <v>1</v>
      </c>
      <c r="AR30" s="160" t="s">
        <v>16</v>
      </c>
      <c r="AS30" s="575" t="str">
        <f t="shared" si="9"/>
        <v>Wokingham</v>
      </c>
      <c r="AT30" s="936" t="e">
        <f>VLOOKUP($AS30,#REF!,AT$5,FALSE)</f>
        <v>#REF!</v>
      </c>
      <c r="AU30" s="936" t="e">
        <f>VLOOKUP($AS30,#REF!,AU$5,FALSE)</f>
        <v>#REF!</v>
      </c>
      <c r="AV30" s="936" t="e">
        <f>VLOOKUP($AS30,#REF!,AV$5,FALSE)</f>
        <v>#REF!</v>
      </c>
      <c r="AW30" s="936" t="e">
        <f>VLOOKUP($AS30,#REF!,AW$5,FALSE)</f>
        <v>#REF!</v>
      </c>
      <c r="AX30" s="936" t="e">
        <f>VLOOKUP($AS30,#REF!,AX$5,FALSE)</f>
        <v>#REF!</v>
      </c>
      <c r="AY30" s="1120" t="e">
        <f>VLOOKUP(AS30,#REF!,AY$5,FALSE)</f>
        <v>#REF!</v>
      </c>
      <c r="AZ30" s="1121">
        <f t="shared" si="10"/>
        <v>0.30985915492957744</v>
      </c>
      <c r="BA30" s="1121">
        <f t="shared" si="10"/>
        <v>0.44</v>
      </c>
      <c r="BB30" s="1121">
        <f t="shared" si="10"/>
        <v>0.2</v>
      </c>
      <c r="BC30" s="1121">
        <f t="shared" si="10"/>
        <v>0.33333333333333331</v>
      </c>
      <c r="BD30" s="1121">
        <f t="shared" si="10"/>
        <v>0.30188679245283018</v>
      </c>
    </row>
    <row r="31" spans="1:56" s="87" customFormat="1" ht="12.75" customHeight="1" x14ac:dyDescent="0.2">
      <c r="A31" s="121"/>
      <c r="B31" s="129" t="s">
        <v>74</v>
      </c>
      <c r="C31" s="85"/>
      <c r="D31" s="163">
        <f>IF(AND(ISNUMBER(AL31),ISNUMBER(AF31),AF31&lt;&gt;0),AL31/AF31,NA())</f>
        <v>0.43262987012987014</v>
      </c>
      <c r="E31" s="163">
        <f t="shared" ref="E31:H31" si="15">IF(AND(ISNUMBER(AM31),ISNUMBER(AG31),AG31&lt;&gt;0),AM31/AG31,NA())</f>
        <v>0.40192180251822401</v>
      </c>
      <c r="F31" s="163">
        <f t="shared" si="15"/>
        <v>0.39244247413975092</v>
      </c>
      <c r="G31" s="163">
        <f t="shared" si="15"/>
        <v>0.36968228325255786</v>
      </c>
      <c r="H31" s="165">
        <f t="shared" si="15"/>
        <v>0.36812499999999998</v>
      </c>
      <c r="I31" s="96"/>
      <c r="J31" s="96"/>
      <c r="K31" s="168"/>
      <c r="L31" s="168"/>
      <c r="M31" s="168"/>
      <c r="N31" s="168"/>
      <c r="O31" s="168"/>
      <c r="P31" s="168"/>
      <c r="Q31" s="168"/>
      <c r="R31" s="169"/>
      <c r="S31" s="159"/>
      <c r="T31" s="159"/>
      <c r="U31" s="170"/>
      <c r="V31" s="122"/>
      <c r="W31" s="139"/>
      <c r="X31" s="152"/>
      <c r="Y31" s="129" t="str">
        <f>Sheet1!$K$26</f>
        <v>South East</v>
      </c>
      <c r="Z31" s="1053">
        <f t="shared" ref="Z31" si="16">IF(SUM(Z9:Z21,Z23:Z24,Z27:Z30)&gt;0,SUM(Z9:Z21,Z23:Z24,Z27:Z30),NA())</f>
        <v>7392</v>
      </c>
      <c r="AA31" s="1048">
        <f t="shared" ref="AA31" si="17">IF(SUM(AA9:AA21,AA23:AA24,AA27:AA30)&gt;0,SUM(AA9:AA21,AA23:AA24,AA27:AA30),NA())</f>
        <v>6036</v>
      </c>
      <c r="AB31" s="1048">
        <f t="shared" ref="AB31:AD31" si="18">IF(SUM(AB9:AB21,AB23:AB24,AB27:AB30)&gt;0,SUM(AB9:AB21,AB23:AB24,AB27:AB30),NA())</f>
        <v>4737</v>
      </c>
      <c r="AC31" s="1048">
        <f t="shared" si="18"/>
        <v>3714</v>
      </c>
      <c r="AD31" s="1054">
        <f t="shared" si="18"/>
        <v>3200</v>
      </c>
      <c r="AE31" s="1057" t="str">
        <f>Sheet1!$K$26</f>
        <v>South East</v>
      </c>
      <c r="AF31" s="1059">
        <f t="shared" ref="AF31" si="19">IF(SUM(AF9:AF21,AF23:AF24,AF27:AF30)&gt;0,SUM(AF9:AF21,AF23:AF24,AF27:AF30),NA())</f>
        <v>7392</v>
      </c>
      <c r="AG31" s="1059">
        <f t="shared" ref="AG31" si="20">IF(SUM(AG9:AG21,AG23:AG24,AG27:AG30)&gt;0,SUM(AG9:AG21,AG23:AG24,AG27:AG30),NA())</f>
        <v>6036</v>
      </c>
      <c r="AH31" s="1059">
        <f t="shared" ref="AH31" si="21">IF(SUM(AH9:AH21,AH23:AH24,AH27:AH30)&gt;0,SUM(AH9:AH21,AH23:AH24,AH27:AH30),NA())</f>
        <v>4737</v>
      </c>
      <c r="AI31" s="1059">
        <f t="shared" ref="AI31" si="22">IF(SUM(AI9:AI21,AI23:AI24,AI27:AI30)&gt;0,SUM(AI9:AI21,AI23:AI24,AI27:AI30),NA())</f>
        <v>3714</v>
      </c>
      <c r="AJ31" s="1059">
        <f t="shared" ref="AJ31" si="23">IF(SUM(AJ9:AJ21,AJ23:AJ24,AJ27:AJ30)&gt;0,SUM(AJ9:AJ21,AJ23:AJ24,AJ27:AJ30),NA())</f>
        <v>3200</v>
      </c>
      <c r="AK31" s="384" t="str">
        <f t="shared" si="6"/>
        <v>South East</v>
      </c>
      <c r="AL31" s="580">
        <f>IF(Year1_SouthEast Year1_Juvenile_Re_offenders__Age_10_17="","",Year1_SouthEast Year1_Juvenile_Re_offenders__Age_10_17)</f>
        <v>3198</v>
      </c>
      <c r="AM31" s="580">
        <f>IF(Year2_SouthEast Year2_Juvenile_Re_offenders__Age_10_17="","",Year2_SouthEast Year2_Juvenile_Re_offenders__Age_10_17)</f>
        <v>2426</v>
      </c>
      <c r="AN31" s="580">
        <f>IF(Year3_SouthEast Year3_Juvenile_Re_offenders__Age_10_17="","",Year3_SouthEast Year3_Juvenile_Re_offenders__Age_10_17)</f>
        <v>1859</v>
      </c>
      <c r="AO31" s="580">
        <f>IF(Year4_SouthEast Year4_Juvenile_Re_offenders__Age_10_17="","",Year4_SouthEast Year4_Juvenile_Re_offenders__Age_10_17)</f>
        <v>1373</v>
      </c>
      <c r="AP31" s="580">
        <f>IF(Year5_SouthEast Year5_Juvenile_Re_offenders__Age_10_17="","",Year5_SouthEast Year5_Juvenile_Re_offenders__Age_10_17)</f>
        <v>1178</v>
      </c>
      <c r="AQ31" s="585" t="b">
        <v>1</v>
      </c>
      <c r="AR31" s="160" t="s">
        <v>74</v>
      </c>
      <c r="AS31" s="575" t="str">
        <f t="shared" si="9"/>
        <v>South East</v>
      </c>
      <c r="AT31" s="936" t="e">
        <f>VLOOKUP($AS31,#REF!,AT$5,FALSE)</f>
        <v>#REF!</v>
      </c>
      <c r="AU31" s="936" t="e">
        <f>VLOOKUP($AS31,#REF!,AU$5,FALSE)</f>
        <v>#REF!</v>
      </c>
      <c r="AV31" s="936" t="e">
        <f>VLOOKUP($AS31,#REF!,AV$5,FALSE)</f>
        <v>#REF!</v>
      </c>
      <c r="AW31" s="936" t="e">
        <f>VLOOKUP($AS31,#REF!,AW$5,FALSE)</f>
        <v>#REF!</v>
      </c>
      <c r="AX31" s="936" t="e">
        <f>VLOOKUP($AS31,#REF!,AX$5,FALSE)</f>
        <v>#REF!</v>
      </c>
      <c r="AY31" s="1120" t="e">
        <f>VLOOKUP(AS31,#REF!,AY$5,FALSE)</f>
        <v>#REF!</v>
      </c>
      <c r="AZ31" s="1121">
        <f t="shared" si="10"/>
        <v>0.43262987012987014</v>
      </c>
      <c r="BA31" s="1121">
        <f t="shared" si="10"/>
        <v>0.40192180251822401</v>
      </c>
      <c r="BB31" s="1121">
        <f t="shared" si="10"/>
        <v>0.39244247413975092</v>
      </c>
      <c r="BC31" s="1121">
        <f t="shared" si="10"/>
        <v>0.36968228325255786</v>
      </c>
      <c r="BD31" s="1121">
        <f t="shared" si="10"/>
        <v>0.36812499999999998</v>
      </c>
    </row>
    <row r="32" spans="1:56" s="87" customFormat="1" ht="12.75" customHeight="1" x14ac:dyDescent="0.2">
      <c r="A32" s="121"/>
      <c r="B32" s="329" t="str">
        <f>Sheet1!C29</f>
        <v>England and Wales</v>
      </c>
      <c r="C32" s="85"/>
      <c r="D32" s="351">
        <f>IF(AND(ISNUMBER(AL32),ISNUMBER(Z32)),AL32/Z32,NA())</f>
        <v>0.42916372112573797</v>
      </c>
      <c r="E32" s="351">
        <f>IF(AND(ISNUMBER(AM32),ISNUMBER(AA32)),AM32/AA32,NA())</f>
        <v>0.42595799476044582</v>
      </c>
      <c r="F32" s="351">
        <f>IF(AND(ISNUMBER(AN32),ISNUMBER(AB32)),AN32/AB32,NA())</f>
        <v>0.42229412378666109</v>
      </c>
      <c r="G32" s="351">
        <f>IF(AND(ISNUMBER(AO32),ISNUMBER(AC32)),AO32/AC32,NA())</f>
        <v>0.40944717003709463</v>
      </c>
      <c r="H32" s="352">
        <f>IF(AND(ISNUMBER(AP32),ISNUMBER(AD32)),AP32/AD32,NA())</f>
        <v>0.38410875920121157</v>
      </c>
      <c r="I32" s="96"/>
      <c r="J32" s="96"/>
      <c r="K32" s="168"/>
      <c r="L32" s="168"/>
      <c r="M32" s="168"/>
      <c r="N32" s="168"/>
      <c r="O32" s="168"/>
      <c r="P32" s="168"/>
      <c r="Q32" s="168"/>
      <c r="R32" s="169"/>
      <c r="S32" s="159"/>
      <c r="T32" s="159"/>
      <c r="U32" s="170"/>
      <c r="V32" s="122"/>
      <c r="W32" s="139"/>
      <c r="X32" s="152"/>
      <c r="Y32" s="329" t="str">
        <f>Sheet1!$K$27</f>
        <v>England</v>
      </c>
      <c r="Z32" s="1055">
        <f>IF(Year1_England Year1_Juvenile_Offenders__Age_10_17="","",Year1_England Year1_Juvenile_Offenders__Age_10_17)</f>
        <v>52339</v>
      </c>
      <c r="AA32" s="607">
        <f>IF(Year2_England Year2_Juvenile_Offenders__Age_10_17="","",Year2_England Year2_Juvenile_Offenders__Age_10_17)</f>
        <v>45042</v>
      </c>
      <c r="AB32" s="607">
        <f>IF(Year3_England Year3_Juvenile_Offenders__Age_10_17="","",Year3_England Year3_Juvenile_Offenders__Age_10_17)</f>
        <v>38324</v>
      </c>
      <c r="AC32" s="372">
        <f>IF(Year4_England Year4_Juvenile_Offenders__Age_10_17="","",Year4_England Year4_Juvenile_Offenders__Age_10_17)</f>
        <v>33428</v>
      </c>
      <c r="AD32" s="577">
        <f>IF(Year5_England Year5_Juvenile_Offenders__Age_10_17="","",Year5_England Year5_Juvenile_Offenders__Age_10_17)</f>
        <v>28393</v>
      </c>
      <c r="AE32" s="1058" t="str">
        <f>Sheet1!$K$27</f>
        <v>England</v>
      </c>
      <c r="AF32" s="1051">
        <f t="shared" si="8"/>
        <v>52339</v>
      </c>
      <c r="AG32" s="1051">
        <f t="shared" si="11"/>
        <v>45042</v>
      </c>
      <c r="AH32" s="1051">
        <f t="shared" si="12"/>
        <v>38324</v>
      </c>
      <c r="AI32" s="1051">
        <f t="shared" si="13"/>
        <v>33428</v>
      </c>
      <c r="AJ32" s="1051">
        <f t="shared" si="14"/>
        <v>28393</v>
      </c>
      <c r="AK32" s="384" t="str">
        <f t="shared" si="6"/>
        <v>England</v>
      </c>
      <c r="AL32" s="580">
        <f>IF(Year1_England Year1_Juvenile_Re_offenders__Age_10_17="","",Year1_England Year1_Juvenile_Re_offenders__Age_10_17)</f>
        <v>22462</v>
      </c>
      <c r="AM32" s="580">
        <f>IF(Year2_England Year2_Juvenile_Re_offenders__Age_10_17="","",Year2_England Year2_Juvenile_Re_offenders__Age_10_17)</f>
        <v>19186</v>
      </c>
      <c r="AN32" s="580">
        <f>IF(Year3_England Year3_Juvenile_Re_offenders__Age_10_17="","",Year3_England Year3_Juvenile_Re_offenders__Age_10_17)</f>
        <v>16184</v>
      </c>
      <c r="AO32" s="372">
        <f>IF(Year4_England Year4_Juvenile_Re_offenders__Age_10_17="","",Year4_England Year4_Juvenile_Re_offenders__Age_10_17)</f>
        <v>13687</v>
      </c>
      <c r="AP32" s="372">
        <f>IF(Year5_England Year5_Juvenile_Re_offenders__Age_10_17="","",Year5_England Year5_Juvenile_Re_offenders__Age_10_17)</f>
        <v>10906</v>
      </c>
      <c r="AQ32" s="585" t="b">
        <v>1</v>
      </c>
      <c r="AR32" s="160" t="s">
        <v>927</v>
      </c>
      <c r="AS32" s="575" t="str">
        <f>IF(AQ32=TRUE,B32,"")</f>
        <v>England and Wales</v>
      </c>
      <c r="AT32" s="936" t="e">
        <f>VLOOKUP($AS32,#REF!,AT$5,FALSE)</f>
        <v>#REF!</v>
      </c>
      <c r="AU32" s="936" t="e">
        <f>VLOOKUP($AS32,#REF!,AU$5,FALSE)</f>
        <v>#REF!</v>
      </c>
      <c r="AV32" s="936" t="e">
        <f>VLOOKUP($AS32,#REF!,AV$5,FALSE)</f>
        <v>#REF!</v>
      </c>
      <c r="AW32" s="936" t="e">
        <f>VLOOKUP($AS32,#REF!,AW$5,FALSE)</f>
        <v>#REF!</v>
      </c>
      <c r="AX32" s="936" t="e">
        <f>VLOOKUP($AS32,#REF!,AX$5,FALSE)</f>
        <v>#REF!</v>
      </c>
      <c r="AY32" s="1120" t="e">
        <f>VLOOKUP(AS32,#REF!,AY$5,FALSE)</f>
        <v>#REF!</v>
      </c>
      <c r="AZ32" s="1121">
        <f t="shared" si="10"/>
        <v>0.42916372112573797</v>
      </c>
      <c r="BA32" s="1121">
        <f t="shared" si="10"/>
        <v>0.42595799476044582</v>
      </c>
      <c r="BB32" s="1121">
        <f t="shared" si="10"/>
        <v>0.42229412378666109</v>
      </c>
      <c r="BC32" s="1121">
        <f t="shared" si="10"/>
        <v>0.40944717003709463</v>
      </c>
      <c r="BD32" s="1121">
        <f t="shared" si="10"/>
        <v>0.38410875920121157</v>
      </c>
    </row>
    <row r="33" spans="1:66" s="87" customFormat="1" ht="6" customHeight="1" x14ac:dyDescent="0.2">
      <c r="A33" s="292"/>
      <c r="B33" s="96"/>
      <c r="C33" s="96"/>
      <c r="D33" s="96"/>
      <c r="E33" s="96"/>
      <c r="F33" s="96"/>
      <c r="G33" s="96"/>
      <c r="H33" s="96"/>
      <c r="I33" s="96"/>
      <c r="J33" s="96"/>
      <c r="K33" s="168"/>
      <c r="L33" s="168"/>
      <c r="M33" s="168"/>
      <c r="N33" s="168"/>
      <c r="O33" s="168"/>
      <c r="P33" s="168"/>
      <c r="Q33" s="168"/>
      <c r="R33" s="169"/>
      <c r="S33" s="159"/>
      <c r="T33" s="159"/>
      <c r="U33" s="170"/>
      <c r="V33" s="122"/>
      <c r="W33" s="139"/>
      <c r="X33" s="152"/>
      <c r="Y33" s="188"/>
      <c r="Z33" s="188"/>
      <c r="AA33" s="81"/>
      <c r="AB33" s="81"/>
      <c r="AC33" s="81"/>
      <c r="AD33" s="81"/>
      <c r="AE33" s="81"/>
      <c r="AF33" s="81"/>
      <c r="AG33" s="81"/>
      <c r="AH33" s="81"/>
      <c r="AI33" s="81"/>
      <c r="AJ33" s="81"/>
      <c r="AK33" s="81"/>
      <c r="AL33" s="202"/>
      <c r="AM33" s="202"/>
      <c r="AN33" s="202"/>
      <c r="AO33" s="190"/>
      <c r="AP33" s="202"/>
      <c r="AQ33" s="81"/>
      <c r="AR33" s="161"/>
      <c r="AS33" s="1124" t="str">
        <f>AA4</f>
        <v>Selected LA- (none)</v>
      </c>
      <c r="AT33" s="1122" t="e">
        <f>VLOOKUP($Z4,#REF!,AT$5,FALSE)</f>
        <v>#REF!</v>
      </c>
      <c r="AU33" s="1122" t="e">
        <f>VLOOKUP($Z4,#REF!,AU$5,FALSE)</f>
        <v>#REF!</v>
      </c>
      <c r="AV33" s="1122" t="e">
        <f>VLOOKUP($Z4,#REF!,AV$5,FALSE)</f>
        <v>#REF!</v>
      </c>
      <c r="AW33" s="1122" t="e">
        <f>VLOOKUP($Z4,#REF!,AW$5,FALSE)</f>
        <v>#REF!</v>
      </c>
      <c r="AX33" s="1122" t="e">
        <f>VLOOKUP($Z4,#REF!,AX$5,FALSE)</f>
        <v>#REF!</v>
      </c>
      <c r="AY33" s="1120" t="e">
        <f>VLOOKUP(Z4,#REF!,AY5,FALSE)</f>
        <v>#REF!</v>
      </c>
      <c r="AZ33" s="1123" t="e">
        <f>VLOOKUP($Z$4,$B$9:$H$32,AZ$5,FALSE)</f>
        <v>#N/A</v>
      </c>
      <c r="BA33" s="1123" t="e">
        <f>VLOOKUP($Z$4,$B$9:$H$32,BA$5,FALSE)</f>
        <v>#N/A</v>
      </c>
      <c r="BB33" s="1123" t="e">
        <f>VLOOKUP($Z$4,$B$9:$H$32,BB$5,FALSE)</f>
        <v>#N/A</v>
      </c>
      <c r="BC33" s="1123" t="e">
        <f>VLOOKUP($Z$4,$B$9:$H$32,BC$5,FALSE)</f>
        <v>#N/A</v>
      </c>
      <c r="BD33" s="1123" t="e">
        <f>VLOOKUP($Z$4,$B$9:$H$32,BD$5,FALSE)</f>
        <v>#N/A</v>
      </c>
    </row>
    <row r="34" spans="1:66" s="81" customFormat="1" ht="38.25" customHeight="1" x14ac:dyDescent="0.2">
      <c r="A34" s="217"/>
      <c r="B34" s="392"/>
      <c r="C34" s="392"/>
      <c r="D34" s="392"/>
      <c r="E34" s="392"/>
      <c r="F34" s="392"/>
      <c r="G34" s="392"/>
      <c r="H34" s="392"/>
      <c r="I34" s="2007" t="s">
        <v>1250</v>
      </c>
      <c r="J34" s="2007"/>
      <c r="K34" s="2007"/>
      <c r="L34" s="2007"/>
      <c r="M34" s="2007"/>
      <c r="N34" s="2007"/>
      <c r="O34" s="2007"/>
      <c r="P34" s="2007"/>
      <c r="Q34" s="2007"/>
      <c r="R34" s="2007"/>
      <c r="S34" s="2007"/>
      <c r="T34" s="2007"/>
      <c r="U34" s="2007"/>
      <c r="V34" s="117"/>
      <c r="W34" s="137"/>
      <c r="X34" s="150"/>
      <c r="AD34" s="197"/>
      <c r="AE34" s="197"/>
      <c r="AF34" s="197"/>
      <c r="AG34" s="197"/>
      <c r="AH34" s="197"/>
      <c r="AI34" s="197"/>
      <c r="AJ34" s="199"/>
      <c r="AK34" s="199"/>
      <c r="AL34" s="184"/>
      <c r="AM34" s="184"/>
      <c r="AN34" s="184"/>
      <c r="AP34" s="184"/>
      <c r="AQ34" s="184"/>
      <c r="AR34" s="161"/>
    </row>
    <row r="35" spans="1:66" s="81" customFormat="1" ht="0.75" customHeight="1" x14ac:dyDescent="0.2">
      <c r="A35" s="217"/>
      <c r="B35" s="392"/>
      <c r="C35" s="392"/>
      <c r="D35" s="392"/>
      <c r="E35" s="392"/>
      <c r="F35" s="392"/>
      <c r="G35" s="392"/>
      <c r="H35" s="392"/>
      <c r="I35" s="2007"/>
      <c r="J35" s="2007"/>
      <c r="K35" s="2007"/>
      <c r="L35" s="2007"/>
      <c r="M35" s="2007"/>
      <c r="N35" s="2007"/>
      <c r="O35" s="2007"/>
      <c r="P35" s="2007"/>
      <c r="Q35" s="2007"/>
      <c r="R35" s="2007"/>
      <c r="S35" s="2007"/>
      <c r="T35" s="2007"/>
      <c r="U35" s="2007"/>
      <c r="V35" s="117"/>
      <c r="W35" s="137"/>
      <c r="X35" s="150"/>
      <c r="Z35" s="190"/>
      <c r="AJ35" s="199"/>
      <c r="AK35" s="199"/>
      <c r="AL35" s="184"/>
      <c r="AM35" s="184"/>
      <c r="AN35" s="184"/>
      <c r="AP35" s="184"/>
      <c r="AQ35" s="184"/>
      <c r="AR35" s="161"/>
    </row>
    <row r="36" spans="1:66" s="81" customFormat="1" ht="36" customHeight="1" x14ac:dyDescent="0.2">
      <c r="A36" s="217"/>
      <c r="B36" s="392"/>
      <c r="C36" s="392"/>
      <c r="D36" s="392"/>
      <c r="E36" s="392"/>
      <c r="F36" s="392"/>
      <c r="G36" s="392"/>
      <c r="H36" s="392"/>
      <c r="I36" s="2007"/>
      <c r="J36" s="2007"/>
      <c r="K36" s="2007"/>
      <c r="L36" s="2007"/>
      <c r="M36" s="2007"/>
      <c r="N36" s="2007"/>
      <c r="O36" s="2007"/>
      <c r="P36" s="2007"/>
      <c r="Q36" s="2007"/>
      <c r="R36" s="2007"/>
      <c r="S36" s="2007"/>
      <c r="T36" s="2007"/>
      <c r="U36" s="2007"/>
      <c r="V36" s="117"/>
      <c r="W36" s="137"/>
      <c r="X36" s="150"/>
      <c r="Z36" s="190"/>
      <c r="AJ36" s="199"/>
      <c r="AK36" s="199"/>
      <c r="AL36" s="184"/>
      <c r="AM36" s="184"/>
      <c r="AN36" s="184"/>
      <c r="AP36" s="184"/>
      <c r="AQ36" s="184"/>
      <c r="AR36" s="161"/>
    </row>
    <row r="37" spans="1:66" s="81" customFormat="1" ht="7.5" customHeight="1" x14ac:dyDescent="0.2">
      <c r="A37" s="118"/>
      <c r="B37" s="17"/>
      <c r="C37" s="17"/>
      <c r="D37" s="16"/>
      <c r="E37" s="16"/>
      <c r="F37" s="16"/>
      <c r="G37" s="16"/>
      <c r="H37" s="16"/>
      <c r="I37" s="16"/>
      <c r="J37" s="12"/>
      <c r="K37" s="18"/>
      <c r="L37" s="18"/>
      <c r="M37" s="18"/>
      <c r="N37" s="18"/>
      <c r="O37" s="18"/>
      <c r="P37" s="18"/>
      <c r="Q37" s="18"/>
      <c r="R37" s="18"/>
      <c r="S37" s="18"/>
      <c r="T37" s="18"/>
      <c r="U37" s="19"/>
      <c r="V37" s="117"/>
      <c r="W37" s="137"/>
      <c r="X37" s="150"/>
      <c r="Z37" s="190"/>
      <c r="AP37" s="184"/>
      <c r="AQ37" s="184"/>
      <c r="AR37" s="157"/>
      <c r="AS37" s="74"/>
      <c r="AT37" s="74"/>
      <c r="AU37" s="74"/>
      <c r="AV37" s="74"/>
      <c r="AW37" s="74"/>
      <c r="AX37" s="74"/>
      <c r="AY37" s="74"/>
    </row>
    <row r="38" spans="1:66" s="81" customFormat="1" ht="15" customHeight="1" x14ac:dyDescent="0.2">
      <c r="A38" s="1716"/>
      <c r="B38" s="1760"/>
      <c r="C38" s="1760"/>
      <c r="D38" s="1760"/>
      <c r="E38" s="1760"/>
      <c r="F38" s="1760"/>
      <c r="G38" s="1760"/>
      <c r="H38" s="1760"/>
      <c r="I38" s="1760"/>
      <c r="J38" s="1760"/>
      <c r="K38" s="1760"/>
      <c r="L38" s="1760"/>
      <c r="M38" s="1760"/>
      <c r="N38" s="1760"/>
      <c r="O38" s="1760"/>
      <c r="P38" s="1760"/>
      <c r="Q38" s="1760"/>
      <c r="R38" s="1760"/>
      <c r="S38" s="1760"/>
      <c r="T38" s="1760"/>
      <c r="U38" s="1760"/>
      <c r="V38" s="1761"/>
      <c r="W38" s="137"/>
      <c r="X38" s="150"/>
      <c r="AR38" s="161"/>
      <c r="BA38" s="74"/>
    </row>
    <row r="39" spans="1:66" s="81" customFormat="1" ht="11.25" customHeight="1" x14ac:dyDescent="0.2">
      <c r="A39" s="1765" t="str">
        <f>Home!$A$39</f>
        <v xml:space="preserve"> </v>
      </c>
      <c r="B39" s="1766"/>
      <c r="C39" s="1766"/>
      <c r="D39" s="1766"/>
      <c r="E39" s="1766"/>
      <c r="F39" s="1766"/>
      <c r="G39" s="1766"/>
      <c r="H39" s="1766"/>
      <c r="I39" s="1767"/>
      <c r="J39" s="1766"/>
      <c r="K39" s="1766"/>
      <c r="L39" s="1766"/>
      <c r="M39" s="1766"/>
      <c r="N39" s="1766"/>
      <c r="O39" s="1766"/>
      <c r="P39" s="1768"/>
      <c r="Q39" s="1766"/>
      <c r="R39" s="1766"/>
      <c r="S39" s="1766"/>
      <c r="T39" s="1767"/>
      <c r="U39" s="1766"/>
      <c r="V39" s="1769"/>
      <c r="W39" s="137"/>
      <c r="X39" s="150"/>
      <c r="AP39" s="184"/>
      <c r="AQ39" s="184"/>
      <c r="AR39" s="160"/>
      <c r="AS39" s="87"/>
      <c r="BA39" s="74"/>
    </row>
    <row r="40" spans="1:66" ht="11.25" customHeight="1" x14ac:dyDescent="0.2">
      <c r="A40" s="142"/>
      <c r="B40" s="9"/>
      <c r="C40" s="9"/>
      <c r="D40" s="9"/>
      <c r="E40" s="9"/>
      <c r="F40" s="58"/>
      <c r="G40" s="58"/>
      <c r="H40" s="58"/>
      <c r="I40" s="58"/>
      <c r="J40" s="114"/>
      <c r="K40" s="113"/>
      <c r="L40" s="113"/>
      <c r="M40" s="113"/>
      <c r="N40" s="113"/>
      <c r="O40" s="113"/>
      <c r="P40" s="113"/>
      <c r="Q40" s="113"/>
      <c r="R40" s="113"/>
      <c r="S40" s="113"/>
      <c r="T40" s="113"/>
      <c r="U40" s="113"/>
      <c r="V40" s="113"/>
      <c r="W40" s="137"/>
      <c r="X40" s="150"/>
      <c r="AL40" s="82"/>
      <c r="AO40" s="184"/>
      <c r="AP40" s="184"/>
      <c r="AQ40" s="184"/>
      <c r="AR40" s="157"/>
      <c r="AZ40" s="81"/>
      <c r="BA40" s="81"/>
      <c r="BB40" s="81"/>
      <c r="BC40" s="81"/>
      <c r="BD40" s="81"/>
      <c r="BE40" s="81"/>
      <c r="BF40" s="81"/>
      <c r="BG40" s="81"/>
      <c r="BH40" s="81"/>
      <c r="BI40" s="81"/>
      <c r="BJ40" s="81"/>
      <c r="BK40" s="81"/>
      <c r="BL40" s="81"/>
      <c r="BM40" s="81"/>
      <c r="BN40" s="81"/>
    </row>
    <row r="41" spans="1:66" ht="11.25" customHeight="1" x14ac:dyDescent="0.2">
      <c r="A41" s="142"/>
      <c r="B41" s="1685" t="s">
        <v>82</v>
      </c>
      <c r="C41" s="1685"/>
      <c r="D41" s="1685"/>
      <c r="E41" s="1685"/>
      <c r="F41" s="1685"/>
      <c r="G41" s="1685"/>
      <c r="H41" s="1685"/>
      <c r="I41" s="1685"/>
      <c r="J41" s="12"/>
      <c r="K41" s="9"/>
      <c r="L41" s="9"/>
      <c r="M41" s="9"/>
      <c r="N41" s="9"/>
      <c r="O41" s="9"/>
      <c r="P41" s="9"/>
      <c r="Q41" s="9"/>
      <c r="R41" s="9"/>
      <c r="S41" s="9"/>
      <c r="T41" s="9"/>
      <c r="U41" s="9"/>
      <c r="V41" s="9"/>
      <c r="W41" s="137"/>
      <c r="X41" s="150"/>
      <c r="AL41" s="82"/>
      <c r="AO41" s="184"/>
      <c r="AP41" s="184"/>
      <c r="AQ41" s="184"/>
      <c r="AR41" s="157"/>
      <c r="AT41" s="81"/>
      <c r="AU41" s="81"/>
      <c r="AV41" s="81"/>
      <c r="AW41" s="81"/>
      <c r="AX41" s="81"/>
      <c r="AY41" s="81"/>
    </row>
    <row r="42" spans="1:66" ht="11.25" customHeight="1" x14ac:dyDescent="0.2">
      <c r="A42" s="142"/>
      <c r="B42" s="1685"/>
      <c r="C42" s="1685"/>
      <c r="D42" s="1685"/>
      <c r="E42" s="1685"/>
      <c r="F42" s="1685"/>
      <c r="G42" s="1685"/>
      <c r="H42" s="1685"/>
      <c r="I42" s="1685"/>
      <c r="J42" s="12"/>
      <c r="K42" s="9"/>
      <c r="L42" s="9"/>
      <c r="M42" s="9"/>
      <c r="N42" s="9"/>
      <c r="O42" s="9"/>
      <c r="P42" s="9"/>
      <c r="Q42" s="9"/>
      <c r="R42" s="9"/>
      <c r="S42" s="9"/>
      <c r="T42" s="9"/>
      <c r="U42" s="9"/>
      <c r="V42" s="9"/>
      <c r="W42" s="137"/>
      <c r="X42" s="150"/>
      <c r="AL42" s="82"/>
      <c r="AO42" s="184"/>
      <c r="AP42" s="184"/>
      <c r="AQ42" s="184"/>
      <c r="AR42" s="157"/>
    </row>
    <row r="43" spans="1:66" ht="11.25" customHeight="1" x14ac:dyDescent="0.2">
      <c r="A43" s="142"/>
      <c r="B43" s="1680" t="s">
        <v>800</v>
      </c>
      <c r="C43" s="1680"/>
      <c r="D43" s="1680"/>
      <c r="E43" s="1680"/>
      <c r="F43" s="1680"/>
      <c r="G43" s="1680"/>
      <c r="H43" s="1680"/>
      <c r="I43" s="1680"/>
      <c r="J43" s="12"/>
      <c r="K43" s="9"/>
      <c r="L43" s="9"/>
      <c r="M43" s="9"/>
      <c r="N43" s="9"/>
      <c r="O43" s="9"/>
      <c r="P43" s="9"/>
      <c r="Q43" s="9"/>
      <c r="R43" s="9"/>
      <c r="S43" s="9"/>
      <c r="T43" s="9"/>
      <c r="U43" s="9"/>
      <c r="V43" s="9"/>
      <c r="W43" s="137"/>
      <c r="X43" s="150"/>
      <c r="AL43" s="82"/>
      <c r="AO43" s="184"/>
      <c r="AP43" s="184"/>
      <c r="AQ43" s="184"/>
      <c r="AR43" s="157"/>
    </row>
    <row r="44" spans="1:66" ht="11.25" customHeight="1" x14ac:dyDescent="0.2">
      <c r="A44" s="142"/>
      <c r="B44" s="1680"/>
      <c r="C44" s="1680"/>
      <c r="D44" s="1680"/>
      <c r="E44" s="1680"/>
      <c r="F44" s="1680"/>
      <c r="G44" s="1680"/>
      <c r="H44" s="1680"/>
      <c r="I44" s="1680"/>
      <c r="J44" s="12"/>
      <c r="K44" s="9"/>
      <c r="L44" s="9"/>
      <c r="M44" s="9"/>
      <c r="N44" s="9"/>
      <c r="O44" s="9"/>
      <c r="P44" s="9"/>
      <c r="Q44" s="9"/>
      <c r="R44" s="9"/>
      <c r="S44" s="9"/>
      <c r="T44" s="9"/>
      <c r="U44" s="9"/>
      <c r="V44" s="9"/>
      <c r="W44" s="137"/>
      <c r="X44" s="150"/>
      <c r="AL44" s="82"/>
      <c r="AO44" s="188"/>
      <c r="AP44" s="188"/>
      <c r="AQ44" s="188"/>
      <c r="AR44" s="158"/>
    </row>
    <row r="45" spans="1:66" s="76" customFormat="1" ht="11.25" hidden="1" customHeight="1" x14ac:dyDescent="0.2">
      <c r="A45" s="142"/>
      <c r="B45" s="1680" t="s">
        <v>81</v>
      </c>
      <c r="C45" s="1680"/>
      <c r="D45" s="1680"/>
      <c r="E45" s="1680"/>
      <c r="F45" s="1680"/>
      <c r="G45" s="1680"/>
      <c r="H45" s="1680"/>
      <c r="I45" s="1680"/>
      <c r="J45" s="14"/>
      <c r="K45" s="14"/>
      <c r="L45" s="14"/>
      <c r="M45" s="14"/>
      <c r="N45" s="14"/>
      <c r="O45" s="14"/>
      <c r="P45" s="14"/>
      <c r="Q45" s="14"/>
      <c r="R45" s="14"/>
      <c r="S45" s="14"/>
      <c r="T45" s="14"/>
      <c r="U45" s="14"/>
      <c r="V45" s="14"/>
      <c r="W45" s="140"/>
      <c r="X45" s="154"/>
      <c r="Y45" s="81"/>
      <c r="Z45" s="81"/>
      <c r="AA45" s="81"/>
      <c r="AB45" s="81"/>
      <c r="AC45" s="81"/>
      <c r="AD45" s="81"/>
      <c r="AE45" s="81"/>
      <c r="AF45" s="81"/>
      <c r="AG45" s="81"/>
      <c r="AH45" s="81"/>
      <c r="AI45" s="81"/>
      <c r="AJ45" s="81"/>
      <c r="AK45" s="81"/>
      <c r="AL45" s="82"/>
      <c r="AM45" s="81"/>
      <c r="AN45" s="81"/>
      <c r="AO45" s="184"/>
      <c r="AP45" s="184"/>
      <c r="AQ45" s="184"/>
      <c r="AR45" s="157"/>
    </row>
    <row r="46" spans="1:66" ht="11.25" hidden="1" customHeight="1" x14ac:dyDescent="0.2">
      <c r="A46" s="142"/>
      <c r="B46" s="1680"/>
      <c r="C46" s="1680"/>
      <c r="D46" s="1680"/>
      <c r="E46" s="1680"/>
      <c r="F46" s="1680"/>
      <c r="G46" s="1680"/>
      <c r="H46" s="1680"/>
      <c r="I46" s="1680"/>
      <c r="J46" s="12"/>
      <c r="K46" s="9"/>
      <c r="L46" s="9"/>
      <c r="M46" s="9"/>
      <c r="N46" s="9"/>
      <c r="O46" s="9"/>
      <c r="P46" s="9"/>
      <c r="Q46" s="9"/>
      <c r="R46" s="9"/>
      <c r="S46" s="9"/>
      <c r="T46" s="9"/>
      <c r="U46" s="9"/>
      <c r="V46" s="9"/>
      <c r="W46" s="137"/>
      <c r="X46" s="150"/>
      <c r="AL46" s="82"/>
      <c r="AO46" s="184"/>
      <c r="AP46" s="184"/>
      <c r="AQ46" s="184"/>
      <c r="AR46" s="157"/>
    </row>
    <row r="47" spans="1:66" ht="11.25" customHeight="1" x14ac:dyDescent="0.2">
      <c r="A47" s="142"/>
      <c r="B47" s="1680" t="s">
        <v>78</v>
      </c>
      <c r="C47" s="1680"/>
      <c r="D47" s="1680"/>
      <c r="E47" s="1680"/>
      <c r="F47" s="1680"/>
      <c r="G47" s="1680"/>
      <c r="H47" s="1680"/>
      <c r="I47" s="1680"/>
      <c r="J47" s="12"/>
      <c r="K47" s="9"/>
      <c r="L47" s="9"/>
      <c r="M47" s="9"/>
      <c r="N47" s="9"/>
      <c r="O47" s="9"/>
      <c r="P47" s="9"/>
      <c r="Q47" s="9"/>
      <c r="R47" s="9"/>
      <c r="S47" s="9"/>
      <c r="T47" s="9"/>
      <c r="U47" s="9"/>
      <c r="V47" s="9"/>
      <c r="W47" s="137"/>
      <c r="X47" s="150"/>
      <c r="AL47" s="82"/>
      <c r="AO47" s="184"/>
      <c r="AP47" s="184"/>
      <c r="AQ47" s="184"/>
      <c r="AR47" s="157"/>
      <c r="AS47" s="76"/>
      <c r="AT47" s="76"/>
    </row>
    <row r="48" spans="1:66" ht="11.25" customHeight="1" x14ac:dyDescent="0.2">
      <c r="A48" s="142"/>
      <c r="B48" s="1680"/>
      <c r="C48" s="1680"/>
      <c r="D48" s="1680"/>
      <c r="E48" s="1680"/>
      <c r="F48" s="1680"/>
      <c r="G48" s="1680"/>
      <c r="H48" s="1680"/>
      <c r="I48" s="1680"/>
      <c r="J48" s="12"/>
      <c r="K48" s="9"/>
      <c r="L48" s="9"/>
      <c r="M48" s="9"/>
      <c r="N48" s="9"/>
      <c r="O48" s="9"/>
      <c r="P48" s="9"/>
      <c r="Q48" s="9"/>
      <c r="R48" s="9"/>
      <c r="S48" s="9"/>
      <c r="T48" s="9"/>
      <c r="U48" s="9"/>
      <c r="V48" s="9"/>
      <c r="W48" s="137"/>
      <c r="X48" s="150"/>
      <c r="AL48" s="82"/>
      <c r="AO48" s="184"/>
      <c r="AP48" s="184"/>
      <c r="AQ48" s="184"/>
      <c r="AR48" s="157"/>
    </row>
    <row r="49" spans="1:46" ht="11.25" customHeight="1" x14ac:dyDescent="0.2">
      <c r="A49" s="142"/>
      <c r="B49" s="1680" t="s">
        <v>17</v>
      </c>
      <c r="C49" s="1680"/>
      <c r="D49" s="1680"/>
      <c r="E49" s="1680"/>
      <c r="F49" s="1680"/>
      <c r="G49" s="1680"/>
      <c r="H49" s="1680"/>
      <c r="I49" s="1680"/>
      <c r="J49" s="12"/>
      <c r="K49" s="9"/>
      <c r="L49" s="9"/>
      <c r="M49" s="9"/>
      <c r="N49" s="9"/>
      <c r="O49" s="9"/>
      <c r="P49" s="9"/>
      <c r="Q49" s="9"/>
      <c r="R49" s="9"/>
      <c r="S49" s="9"/>
      <c r="T49" s="9"/>
      <c r="U49" s="9"/>
      <c r="V49" s="11"/>
      <c r="W49" s="252"/>
      <c r="X49" s="150"/>
      <c r="AA49" s="74"/>
      <c r="AB49" s="74"/>
      <c r="AL49" s="82"/>
      <c r="AO49" s="184"/>
      <c r="AP49" s="184"/>
      <c r="AQ49" s="184"/>
      <c r="AR49" s="157"/>
      <c r="AS49" s="76"/>
      <c r="AT49" s="76"/>
    </row>
    <row r="50" spans="1:46" ht="11.25" customHeight="1" x14ac:dyDescent="0.2">
      <c r="A50" s="142"/>
      <c r="B50" s="1680"/>
      <c r="C50" s="1680"/>
      <c r="D50" s="1680"/>
      <c r="E50" s="1680"/>
      <c r="F50" s="1680"/>
      <c r="G50" s="1680"/>
      <c r="H50" s="1680"/>
      <c r="I50" s="1680"/>
      <c r="J50" s="12"/>
      <c r="K50" s="9"/>
      <c r="L50" s="9"/>
      <c r="M50" s="9"/>
      <c r="N50" s="9"/>
      <c r="O50" s="9"/>
      <c r="P50" s="9"/>
      <c r="Q50" s="9"/>
      <c r="R50" s="9"/>
      <c r="S50" s="9"/>
      <c r="T50" s="9"/>
      <c r="U50" s="9"/>
      <c r="V50" s="11"/>
      <c r="W50" s="252"/>
      <c r="X50" s="150"/>
      <c r="AA50" s="74"/>
      <c r="AB50" s="74"/>
      <c r="AL50" s="82"/>
      <c r="AO50" s="184"/>
      <c r="AP50" s="184"/>
      <c r="AQ50" s="184"/>
      <c r="AR50" s="157"/>
    </row>
    <row r="51" spans="1:46" ht="11.25" customHeight="1" x14ac:dyDescent="0.2">
      <c r="A51" s="142"/>
      <c r="B51" s="1680" t="s">
        <v>80</v>
      </c>
      <c r="C51" s="1680"/>
      <c r="D51" s="1680"/>
      <c r="E51" s="1680"/>
      <c r="F51" s="1680"/>
      <c r="G51" s="1680"/>
      <c r="H51" s="1680"/>
      <c r="I51" s="1680"/>
      <c r="J51" s="12"/>
      <c r="K51" s="9"/>
      <c r="L51" s="9"/>
      <c r="M51" s="9"/>
      <c r="N51" s="9"/>
      <c r="O51" s="9"/>
      <c r="P51" s="9"/>
      <c r="Q51" s="9"/>
      <c r="R51" s="9"/>
      <c r="S51" s="9"/>
      <c r="T51" s="9"/>
      <c r="U51" s="9"/>
      <c r="V51" s="11"/>
      <c r="W51" s="252"/>
      <c r="X51" s="150"/>
      <c r="AA51" s="74"/>
      <c r="AB51" s="74"/>
      <c r="AL51" s="82"/>
      <c r="AO51" s="184"/>
      <c r="AP51" s="184"/>
      <c r="AQ51" s="184"/>
      <c r="AR51" s="157"/>
      <c r="AS51" s="76"/>
      <c r="AT51" s="76"/>
    </row>
    <row r="52" spans="1:46" ht="11.25" customHeight="1" x14ac:dyDescent="0.2">
      <c r="A52" s="142"/>
      <c r="B52" s="1680"/>
      <c r="C52" s="1680"/>
      <c r="D52" s="1680"/>
      <c r="E52" s="1680"/>
      <c r="F52" s="1680"/>
      <c r="G52" s="1680"/>
      <c r="H52" s="1680"/>
      <c r="I52" s="1680"/>
      <c r="J52" s="12"/>
      <c r="K52" s="9"/>
      <c r="L52" s="9"/>
      <c r="M52" s="9"/>
      <c r="N52" s="9"/>
      <c r="O52" s="9"/>
      <c r="P52" s="9"/>
      <c r="Q52" s="9"/>
      <c r="R52" s="9"/>
      <c r="S52" s="9"/>
      <c r="T52" s="9"/>
      <c r="U52" s="9"/>
      <c r="V52" s="11"/>
      <c r="W52" s="252"/>
      <c r="X52" s="150"/>
      <c r="AA52" s="74"/>
      <c r="AB52" s="74"/>
      <c r="AL52" s="82"/>
      <c r="AO52" s="184"/>
      <c r="AP52" s="184"/>
      <c r="AQ52" s="184"/>
      <c r="AR52" s="157"/>
    </row>
    <row r="53" spans="1:46" ht="11.25" customHeight="1" x14ac:dyDescent="0.2">
      <c r="A53" s="142"/>
      <c r="B53" s="1680" t="s">
        <v>69</v>
      </c>
      <c r="C53" s="1680"/>
      <c r="D53" s="1680"/>
      <c r="E53" s="1680"/>
      <c r="F53" s="1680"/>
      <c r="G53" s="1680"/>
      <c r="H53" s="1680"/>
      <c r="I53" s="1680"/>
      <c r="J53" s="12"/>
      <c r="K53" s="9"/>
      <c r="L53" s="9"/>
      <c r="M53" s="9"/>
      <c r="N53" s="9"/>
      <c r="O53" s="9"/>
      <c r="P53" s="9"/>
      <c r="Q53" s="9"/>
      <c r="R53" s="9"/>
      <c r="S53" s="9"/>
      <c r="T53" s="9"/>
      <c r="U53" s="9"/>
      <c r="V53" s="11"/>
      <c r="W53" s="252"/>
      <c r="X53" s="150"/>
      <c r="AA53" s="74"/>
      <c r="AB53" s="74"/>
      <c r="AL53" s="82"/>
      <c r="AO53" s="184"/>
      <c r="AP53" s="184"/>
      <c r="AQ53" s="184"/>
      <c r="AR53" s="157"/>
      <c r="AS53" s="76"/>
      <c r="AT53" s="76"/>
    </row>
    <row r="54" spans="1:46" ht="11.25" customHeight="1" x14ac:dyDescent="0.2">
      <c r="A54" s="142"/>
      <c r="B54" s="1680"/>
      <c r="C54" s="1680"/>
      <c r="D54" s="1680"/>
      <c r="E54" s="1680"/>
      <c r="F54" s="1680"/>
      <c r="G54" s="1680"/>
      <c r="H54" s="1680"/>
      <c r="I54" s="1680"/>
      <c r="J54" s="12"/>
      <c r="K54" s="9"/>
      <c r="L54" s="9"/>
      <c r="M54" s="9"/>
      <c r="N54" s="9"/>
      <c r="O54" s="9"/>
      <c r="P54" s="9"/>
      <c r="Q54" s="9"/>
      <c r="R54" s="9"/>
      <c r="S54" s="9"/>
      <c r="T54" s="9"/>
      <c r="U54" s="9"/>
      <c r="V54" s="11"/>
      <c r="W54" s="252"/>
      <c r="X54" s="150"/>
      <c r="AA54" s="74"/>
      <c r="AB54" s="74"/>
      <c r="AL54" s="82"/>
      <c r="AO54" s="184"/>
      <c r="AP54" s="184"/>
      <c r="AQ54" s="184"/>
      <c r="AR54" s="157"/>
    </row>
    <row r="55" spans="1:46" ht="11.25" customHeight="1" x14ac:dyDescent="0.2">
      <c r="A55" s="142"/>
      <c r="B55" s="1680" t="s">
        <v>24</v>
      </c>
      <c r="C55" s="1680"/>
      <c r="D55" s="1680"/>
      <c r="E55" s="1680"/>
      <c r="F55" s="1680"/>
      <c r="G55" s="1680"/>
      <c r="H55" s="1680"/>
      <c r="I55" s="1680"/>
      <c r="J55" s="12"/>
      <c r="K55" s="9"/>
      <c r="L55" s="9"/>
      <c r="M55" s="9"/>
      <c r="N55" s="9"/>
      <c r="O55" s="9"/>
      <c r="P55" s="9"/>
      <c r="Q55" s="9"/>
      <c r="R55" s="9"/>
      <c r="S55" s="9"/>
      <c r="T55" s="9"/>
      <c r="U55" s="9"/>
      <c r="V55" s="9"/>
      <c r="W55" s="137"/>
      <c r="X55" s="150"/>
      <c r="AL55" s="82"/>
      <c r="AO55" s="184"/>
      <c r="AP55" s="184"/>
      <c r="AQ55" s="184"/>
      <c r="AR55" s="157"/>
      <c r="AS55" s="76"/>
      <c r="AT55" s="76"/>
    </row>
    <row r="56" spans="1:46" ht="11.25" customHeight="1" x14ac:dyDescent="0.2">
      <c r="A56" s="142"/>
      <c r="B56" s="1680"/>
      <c r="C56" s="1680"/>
      <c r="D56" s="1680"/>
      <c r="E56" s="1680"/>
      <c r="F56" s="1680"/>
      <c r="G56" s="1680"/>
      <c r="H56" s="1680"/>
      <c r="I56" s="1680"/>
      <c r="J56" s="12"/>
      <c r="K56" s="9"/>
      <c r="L56" s="9"/>
      <c r="M56" s="9"/>
      <c r="N56" s="9"/>
      <c r="O56" s="9"/>
      <c r="P56" s="9"/>
      <c r="Q56" s="9"/>
      <c r="R56" s="9"/>
      <c r="S56" s="9"/>
      <c r="T56" s="9"/>
      <c r="U56" s="9"/>
      <c r="V56" s="9"/>
      <c r="W56" s="137"/>
      <c r="X56" s="150"/>
      <c r="AL56" s="82"/>
      <c r="AO56" s="184"/>
      <c r="AP56" s="184"/>
      <c r="AQ56" s="184"/>
      <c r="AR56" s="157"/>
    </row>
    <row r="57" spans="1:46" ht="11.25" customHeight="1" x14ac:dyDescent="0.2">
      <c r="A57" s="142"/>
      <c r="B57" s="1680" t="s">
        <v>22</v>
      </c>
      <c r="C57" s="1680"/>
      <c r="D57" s="1680"/>
      <c r="E57" s="1680"/>
      <c r="F57" s="1680"/>
      <c r="G57" s="1680"/>
      <c r="H57" s="1680"/>
      <c r="I57" s="1680"/>
      <c r="J57" s="12"/>
      <c r="K57" s="9"/>
      <c r="L57" s="9"/>
      <c r="M57" s="9"/>
      <c r="N57" s="9"/>
      <c r="O57" s="9"/>
      <c r="P57" s="9"/>
      <c r="Q57" s="9"/>
      <c r="R57" s="9"/>
      <c r="S57" s="9"/>
      <c r="T57" s="9"/>
      <c r="U57" s="9"/>
      <c r="V57" s="9"/>
      <c r="W57" s="137"/>
      <c r="X57" s="150"/>
      <c r="AL57" s="82"/>
      <c r="AO57" s="184"/>
      <c r="AP57" s="184"/>
      <c r="AQ57" s="184"/>
      <c r="AR57" s="157"/>
      <c r="AS57" s="76"/>
      <c r="AT57" s="76"/>
    </row>
    <row r="58" spans="1:46" ht="11.25" customHeight="1" x14ac:dyDescent="0.2">
      <c r="A58" s="142"/>
      <c r="B58" s="1680"/>
      <c r="C58" s="1680"/>
      <c r="D58" s="1680"/>
      <c r="E58" s="1680"/>
      <c r="F58" s="1680"/>
      <c r="G58" s="1680"/>
      <c r="H58" s="1680"/>
      <c r="I58" s="1680"/>
      <c r="J58" s="12"/>
      <c r="K58" s="9"/>
      <c r="L58" s="9"/>
      <c r="M58" s="9"/>
      <c r="N58" s="9"/>
      <c r="O58" s="9"/>
      <c r="P58" s="9"/>
      <c r="Q58" s="9"/>
      <c r="R58" s="9"/>
      <c r="S58" s="9"/>
      <c r="T58" s="9"/>
      <c r="U58" s="9"/>
      <c r="V58" s="9"/>
      <c r="W58" s="137"/>
      <c r="X58" s="150"/>
      <c r="AL58" s="82"/>
      <c r="AO58" s="184"/>
      <c r="AP58" s="184"/>
      <c r="AQ58" s="184"/>
      <c r="AR58" s="157"/>
    </row>
    <row r="59" spans="1:46" ht="11.25" customHeight="1" x14ac:dyDescent="0.2">
      <c r="A59" s="142"/>
      <c r="B59" s="1680" t="s">
        <v>25</v>
      </c>
      <c r="C59" s="1680"/>
      <c r="D59" s="1680"/>
      <c r="E59" s="1680"/>
      <c r="F59" s="1680"/>
      <c r="G59" s="1680"/>
      <c r="H59" s="1680"/>
      <c r="I59" s="1680"/>
      <c r="J59" s="12"/>
      <c r="K59" s="9"/>
      <c r="L59" s="9"/>
      <c r="M59" s="9"/>
      <c r="N59" s="9"/>
      <c r="O59" s="9"/>
      <c r="P59" s="9"/>
      <c r="Q59" s="9"/>
      <c r="R59" s="9"/>
      <c r="S59" s="9"/>
      <c r="T59" s="9"/>
      <c r="U59" s="9"/>
      <c r="V59" s="9"/>
      <c r="W59" s="137"/>
      <c r="X59" s="150"/>
      <c r="AL59" s="82"/>
      <c r="AO59" s="184"/>
      <c r="AP59" s="184"/>
      <c r="AQ59" s="184"/>
      <c r="AR59" s="157"/>
      <c r="AS59" s="76"/>
      <c r="AT59" s="76"/>
    </row>
    <row r="60" spans="1:46" ht="11.25" customHeight="1" x14ac:dyDescent="0.2">
      <c r="A60" s="142"/>
      <c r="B60" s="1680"/>
      <c r="C60" s="1680"/>
      <c r="D60" s="1680"/>
      <c r="E60" s="1680"/>
      <c r="F60" s="1680"/>
      <c r="G60" s="1680"/>
      <c r="H60" s="1680"/>
      <c r="I60" s="1680"/>
      <c r="J60" s="12"/>
      <c r="K60" s="9"/>
      <c r="L60" s="9"/>
      <c r="M60" s="9"/>
      <c r="N60" s="9"/>
      <c r="O60" s="9"/>
      <c r="P60" s="9"/>
      <c r="Q60" s="9"/>
      <c r="R60" s="9"/>
      <c r="S60" s="9"/>
      <c r="T60" s="9"/>
      <c r="U60" s="9"/>
      <c r="V60" s="9"/>
      <c r="W60" s="137"/>
      <c r="X60" s="150"/>
      <c r="AL60" s="82"/>
      <c r="AO60" s="184"/>
      <c r="AP60" s="184"/>
      <c r="AQ60" s="184"/>
      <c r="AR60" s="157"/>
    </row>
    <row r="61" spans="1:46" ht="11.25" customHeight="1" x14ac:dyDescent="0.2">
      <c r="A61" s="142"/>
      <c r="B61" s="1680" t="s">
        <v>18</v>
      </c>
      <c r="C61" s="1680"/>
      <c r="D61" s="1680"/>
      <c r="E61" s="1680"/>
      <c r="F61" s="1680"/>
      <c r="G61" s="1680"/>
      <c r="H61" s="1680"/>
      <c r="I61" s="1680"/>
      <c r="J61" s="12"/>
      <c r="K61" s="9"/>
      <c r="L61" s="9"/>
      <c r="M61" s="9"/>
      <c r="N61" s="9"/>
      <c r="O61" s="9"/>
      <c r="P61" s="9"/>
      <c r="Q61" s="9"/>
      <c r="R61" s="9"/>
      <c r="S61" s="9"/>
      <c r="T61" s="9"/>
      <c r="U61" s="9"/>
      <c r="V61" s="9"/>
      <c r="W61" s="137"/>
      <c r="X61" s="150"/>
      <c r="AL61" s="82"/>
      <c r="AO61" s="184"/>
      <c r="AP61" s="184"/>
      <c r="AQ61" s="184"/>
      <c r="AR61" s="157"/>
    </row>
    <row r="62" spans="1:46" ht="11.25" customHeight="1" x14ac:dyDescent="0.2">
      <c r="A62" s="142"/>
      <c r="B62" s="1680"/>
      <c r="C62" s="1680"/>
      <c r="D62" s="1680"/>
      <c r="E62" s="1680"/>
      <c r="F62" s="1680"/>
      <c r="G62" s="1680"/>
      <c r="H62" s="1680"/>
      <c r="I62" s="1680"/>
      <c r="J62" s="12"/>
      <c r="K62" s="9"/>
      <c r="L62" s="9"/>
      <c r="M62" s="9"/>
      <c r="N62" s="9"/>
      <c r="O62" s="9"/>
      <c r="P62" s="9"/>
      <c r="Q62" s="9"/>
      <c r="R62" s="9"/>
      <c r="S62" s="9"/>
      <c r="T62" s="9"/>
      <c r="U62" s="9"/>
      <c r="V62" s="9"/>
      <c r="W62" s="137"/>
      <c r="X62" s="150"/>
      <c r="AL62" s="82"/>
      <c r="AO62" s="184"/>
      <c r="AP62" s="184"/>
      <c r="AQ62" s="184"/>
      <c r="AR62" s="157"/>
    </row>
    <row r="63" spans="1:46" ht="11.25" customHeight="1" x14ac:dyDescent="0.2">
      <c r="A63" s="142"/>
      <c r="B63" s="1680" t="s">
        <v>19</v>
      </c>
      <c r="C63" s="1680"/>
      <c r="D63" s="1680"/>
      <c r="E63" s="1680"/>
      <c r="F63" s="1680"/>
      <c r="G63" s="1680"/>
      <c r="H63" s="1680"/>
      <c r="I63" s="1680"/>
      <c r="J63" s="12"/>
      <c r="K63" s="9"/>
      <c r="L63" s="9"/>
      <c r="M63" s="9"/>
      <c r="N63" s="9"/>
      <c r="O63" s="9"/>
      <c r="P63" s="9"/>
      <c r="Q63" s="9"/>
      <c r="R63" s="9"/>
      <c r="S63" s="9"/>
      <c r="T63" s="9"/>
      <c r="U63" s="9"/>
      <c r="V63" s="9"/>
      <c r="W63" s="137"/>
      <c r="X63" s="150"/>
      <c r="AL63" s="82"/>
      <c r="AO63" s="184"/>
      <c r="AP63" s="184"/>
      <c r="AQ63" s="184"/>
      <c r="AR63" s="157"/>
    </row>
    <row r="64" spans="1:46" ht="11.25" customHeight="1" x14ac:dyDescent="0.2">
      <c r="A64" s="142"/>
      <c r="B64" s="1680"/>
      <c r="C64" s="1680"/>
      <c r="D64" s="1680"/>
      <c r="E64" s="1680"/>
      <c r="F64" s="1680"/>
      <c r="G64" s="1680"/>
      <c r="H64" s="1680"/>
      <c r="I64" s="1680"/>
      <c r="J64" s="12"/>
      <c r="K64" s="9"/>
      <c r="L64" s="9"/>
      <c r="M64" s="9"/>
      <c r="N64" s="9"/>
      <c r="O64" s="9"/>
      <c r="P64" s="9"/>
      <c r="Q64" s="9"/>
      <c r="R64" s="9"/>
      <c r="S64" s="9"/>
      <c r="T64" s="9"/>
      <c r="U64" s="9"/>
      <c r="V64" s="9"/>
      <c r="W64" s="137"/>
      <c r="X64" s="150"/>
      <c r="AL64" s="82"/>
      <c r="AO64" s="184"/>
      <c r="AP64" s="184"/>
      <c r="AQ64" s="184"/>
      <c r="AR64" s="157"/>
    </row>
    <row r="65" spans="1:58" ht="11.25" customHeight="1" x14ac:dyDescent="0.2">
      <c r="A65" s="142"/>
      <c r="B65" s="1680" t="s">
        <v>20</v>
      </c>
      <c r="C65" s="1680"/>
      <c r="D65" s="1680"/>
      <c r="E65" s="1680"/>
      <c r="F65" s="1680"/>
      <c r="G65" s="1680"/>
      <c r="H65" s="1680"/>
      <c r="I65" s="1680"/>
      <c r="J65" s="12"/>
      <c r="K65" s="9"/>
      <c r="L65" s="9"/>
      <c r="M65" s="9"/>
      <c r="N65" s="9"/>
      <c r="O65" s="9"/>
      <c r="P65" s="9"/>
      <c r="Q65" s="9"/>
      <c r="R65" s="9"/>
      <c r="S65" s="9"/>
      <c r="T65" s="9"/>
      <c r="U65" s="9"/>
      <c r="V65" s="9"/>
      <c r="W65" s="137"/>
      <c r="X65" s="150"/>
      <c r="AL65" s="82"/>
      <c r="AO65" s="184"/>
      <c r="AP65" s="184"/>
      <c r="AQ65" s="184"/>
      <c r="AR65" s="157"/>
    </row>
    <row r="66" spans="1:58" ht="11.25" customHeight="1" x14ac:dyDescent="0.2">
      <c r="A66" s="142"/>
      <c r="B66" s="1680"/>
      <c r="C66" s="1680"/>
      <c r="D66" s="1680"/>
      <c r="E66" s="1680"/>
      <c r="F66" s="1680"/>
      <c r="G66" s="1680"/>
      <c r="H66" s="1680"/>
      <c r="I66" s="1680"/>
      <c r="J66" s="12"/>
      <c r="K66" s="9"/>
      <c r="L66" s="9"/>
      <c r="M66" s="9"/>
      <c r="N66" s="9"/>
      <c r="O66" s="9"/>
      <c r="P66" s="9"/>
      <c r="Q66" s="9"/>
      <c r="R66" s="9"/>
      <c r="S66" s="9"/>
      <c r="T66" s="9"/>
      <c r="U66" s="9"/>
      <c r="V66" s="9"/>
      <c r="W66" s="137"/>
      <c r="X66" s="150"/>
      <c r="AL66" s="82"/>
      <c r="AO66" s="184"/>
      <c r="AP66" s="184"/>
      <c r="AQ66" s="184"/>
      <c r="AR66" s="157"/>
    </row>
    <row r="67" spans="1:58" ht="11.25" customHeight="1" x14ac:dyDescent="0.2">
      <c r="A67" s="142"/>
      <c r="B67" s="1680" t="s">
        <v>26</v>
      </c>
      <c r="C67" s="1680"/>
      <c r="D67" s="1680"/>
      <c r="E67" s="1680"/>
      <c r="F67" s="1680"/>
      <c r="G67" s="1680"/>
      <c r="H67" s="1680"/>
      <c r="I67" s="1680"/>
      <c r="J67" s="12"/>
      <c r="K67" s="9"/>
      <c r="L67" s="9"/>
      <c r="M67" s="9"/>
      <c r="N67" s="9"/>
      <c r="O67" s="9"/>
      <c r="P67" s="9"/>
      <c r="Q67" s="9"/>
      <c r="R67" s="9"/>
      <c r="S67" s="9"/>
      <c r="T67" s="9"/>
      <c r="U67" s="9"/>
      <c r="V67" s="9"/>
      <c r="W67" s="137"/>
      <c r="X67" s="150"/>
      <c r="AL67" s="82"/>
      <c r="AO67" s="184"/>
      <c r="AP67" s="184"/>
      <c r="AQ67" s="184"/>
      <c r="AR67" s="157"/>
    </row>
    <row r="68" spans="1:58" ht="11.25" customHeight="1" x14ac:dyDescent="0.2">
      <c r="A68" s="142"/>
      <c r="B68" s="1680"/>
      <c r="C68" s="1680"/>
      <c r="D68" s="1680"/>
      <c r="E68" s="1680"/>
      <c r="F68" s="1680"/>
      <c r="G68" s="1680"/>
      <c r="H68" s="1680"/>
      <c r="I68" s="1680"/>
      <c r="J68" s="12"/>
      <c r="K68" s="9"/>
      <c r="L68" s="9"/>
      <c r="M68" s="9"/>
      <c r="N68" s="9"/>
      <c r="O68" s="9"/>
      <c r="P68" s="9"/>
      <c r="Q68" s="9"/>
      <c r="R68" s="9"/>
      <c r="S68" s="9"/>
      <c r="T68" s="9"/>
      <c r="U68" s="9"/>
      <c r="V68" s="9"/>
      <c r="W68" s="137"/>
      <c r="X68" s="150"/>
      <c r="AL68" s="82"/>
      <c r="AO68" s="184"/>
      <c r="AP68" s="184"/>
      <c r="AQ68" s="184"/>
      <c r="AR68" s="157"/>
    </row>
    <row r="69" spans="1:58" ht="11.25" customHeight="1" x14ac:dyDescent="0.2">
      <c r="A69" s="142"/>
      <c r="B69" s="1680" t="s">
        <v>21</v>
      </c>
      <c r="C69" s="1680"/>
      <c r="D69" s="1680"/>
      <c r="E69" s="1680"/>
      <c r="F69" s="1680"/>
      <c r="G69" s="1680"/>
      <c r="H69" s="1680"/>
      <c r="I69" s="1680"/>
      <c r="J69" s="12"/>
      <c r="K69" s="9"/>
      <c r="L69" s="9"/>
      <c r="M69" s="9"/>
      <c r="N69" s="9"/>
      <c r="O69" s="9"/>
      <c r="P69" s="9"/>
      <c r="Q69" s="9"/>
      <c r="R69" s="9"/>
      <c r="S69" s="9"/>
      <c r="T69" s="9"/>
      <c r="U69" s="9"/>
      <c r="V69" s="9"/>
      <c r="W69" s="137"/>
      <c r="X69" s="150"/>
      <c r="AL69" s="82"/>
      <c r="AO69" s="184"/>
      <c r="AP69" s="184"/>
      <c r="AQ69" s="184"/>
      <c r="AR69" s="157"/>
    </row>
    <row r="70" spans="1:58" ht="11.25" customHeight="1" x14ac:dyDescent="0.2">
      <c r="A70" s="142"/>
      <c r="B70" s="1680"/>
      <c r="C70" s="1680"/>
      <c r="D70" s="1680"/>
      <c r="E70" s="1680"/>
      <c r="F70" s="1680"/>
      <c r="G70" s="1680"/>
      <c r="H70" s="1680"/>
      <c r="I70" s="1680"/>
      <c r="J70" s="12"/>
      <c r="K70" s="9"/>
      <c r="L70" s="9"/>
      <c r="M70" s="9"/>
      <c r="N70" s="9"/>
      <c r="O70" s="9"/>
      <c r="P70" s="9"/>
      <c r="Q70" s="9"/>
      <c r="R70" s="9"/>
      <c r="S70" s="9"/>
      <c r="T70" s="9"/>
      <c r="U70" s="9"/>
      <c r="V70" s="9"/>
      <c r="W70" s="137"/>
      <c r="X70" s="150"/>
      <c r="AL70" s="82"/>
      <c r="AO70" s="184"/>
      <c r="AP70" s="184"/>
      <c r="AQ70" s="184"/>
      <c r="AR70" s="157"/>
    </row>
    <row r="71" spans="1:58" ht="11.25" customHeight="1" x14ac:dyDescent="0.2">
      <c r="A71" s="142"/>
      <c r="B71" s="1680" t="s">
        <v>905</v>
      </c>
      <c r="C71" s="1680"/>
      <c r="D71" s="1680"/>
      <c r="E71" s="1680"/>
      <c r="F71" s="1680"/>
      <c r="G71" s="1680"/>
      <c r="H71" s="1680"/>
      <c r="I71" s="1680"/>
      <c r="J71" s="12"/>
      <c r="K71" s="9"/>
      <c r="L71" s="9"/>
      <c r="M71" s="9"/>
      <c r="N71" s="9"/>
      <c r="O71" s="9"/>
      <c r="P71" s="9"/>
      <c r="Q71" s="9"/>
      <c r="R71" s="9"/>
      <c r="S71" s="9"/>
      <c r="T71" s="9"/>
      <c r="U71" s="9"/>
      <c r="V71" s="9"/>
      <c r="W71" s="137"/>
      <c r="X71" s="150"/>
      <c r="AL71" s="82"/>
      <c r="AO71" s="184"/>
      <c r="AP71" s="184"/>
      <c r="AQ71" s="184"/>
      <c r="AR71" s="157"/>
    </row>
    <row r="72" spans="1:58" ht="11.25" customHeight="1" x14ac:dyDescent="0.2">
      <c r="A72" s="142"/>
      <c r="B72" s="1680"/>
      <c r="C72" s="1680"/>
      <c r="D72" s="1680"/>
      <c r="E72" s="1680"/>
      <c r="F72" s="1680"/>
      <c r="G72" s="1680"/>
      <c r="H72" s="1680"/>
      <c r="I72" s="1680"/>
      <c r="J72" s="12"/>
      <c r="K72" s="9"/>
      <c r="L72" s="9"/>
      <c r="M72" s="9"/>
      <c r="N72" s="9"/>
      <c r="O72" s="9"/>
      <c r="P72" s="9"/>
      <c r="Q72" s="9"/>
      <c r="R72" s="9"/>
      <c r="S72" s="9"/>
      <c r="T72" s="9"/>
      <c r="U72" s="9"/>
      <c r="V72" s="9"/>
      <c r="W72" s="137"/>
      <c r="X72" s="150"/>
      <c r="AL72" s="82"/>
      <c r="AO72" s="184"/>
      <c r="AP72" s="184"/>
      <c r="AQ72" s="184"/>
      <c r="AR72" s="157"/>
    </row>
    <row r="73" spans="1:58" ht="11.25" customHeight="1" x14ac:dyDescent="0.2">
      <c r="A73" s="142"/>
      <c r="B73" s="1680" t="s">
        <v>32</v>
      </c>
      <c r="C73" s="1680"/>
      <c r="D73" s="1680"/>
      <c r="E73" s="1680"/>
      <c r="F73" s="1680"/>
      <c r="G73" s="1680"/>
      <c r="H73" s="1680"/>
      <c r="I73" s="1680"/>
      <c r="J73" s="12"/>
      <c r="K73" s="9"/>
      <c r="L73" s="9"/>
      <c r="M73" s="9"/>
      <c r="N73" s="9"/>
      <c r="O73" s="9"/>
      <c r="P73" s="9"/>
      <c r="Q73" s="9"/>
      <c r="R73" s="9"/>
      <c r="S73" s="9"/>
      <c r="T73" s="9"/>
      <c r="U73" s="9"/>
      <c r="V73" s="9"/>
      <c r="W73" s="137"/>
      <c r="X73" s="150"/>
      <c r="AL73" s="82"/>
      <c r="AO73" s="184"/>
      <c r="AP73" s="184"/>
      <c r="AQ73" s="184"/>
      <c r="AR73" s="157"/>
    </row>
    <row r="74" spans="1:58" ht="11.25" customHeight="1" x14ac:dyDescent="0.2">
      <c r="A74" s="142"/>
      <c r="B74" s="1680"/>
      <c r="C74" s="1680"/>
      <c r="D74" s="1680"/>
      <c r="E74" s="1680"/>
      <c r="F74" s="1680"/>
      <c r="G74" s="1680"/>
      <c r="H74" s="1680"/>
      <c r="I74" s="1680"/>
      <c r="J74" s="12"/>
      <c r="K74" s="9"/>
      <c r="L74" s="9"/>
      <c r="M74" s="9"/>
      <c r="N74" s="9"/>
      <c r="O74" s="9"/>
      <c r="P74" s="9"/>
      <c r="Q74" s="9"/>
      <c r="R74" s="9"/>
      <c r="S74" s="9"/>
      <c r="T74" s="9"/>
      <c r="U74" s="9"/>
      <c r="V74" s="9"/>
      <c r="W74" s="137"/>
      <c r="X74" s="150"/>
      <c r="AL74" s="82"/>
      <c r="AO74" s="184"/>
      <c r="AP74" s="184"/>
      <c r="AQ74" s="184"/>
      <c r="AR74" s="157"/>
    </row>
    <row r="75" spans="1:58" ht="11.25" customHeight="1" x14ac:dyDescent="0.2">
      <c r="A75" s="142"/>
      <c r="B75" s="1680" t="s">
        <v>666</v>
      </c>
      <c r="C75" s="1680"/>
      <c r="D75" s="1680"/>
      <c r="E75" s="1680"/>
      <c r="F75" s="1680"/>
      <c r="G75" s="1680"/>
      <c r="H75" s="1680"/>
      <c r="I75" s="1680"/>
      <c r="J75" s="12"/>
      <c r="K75" s="9"/>
      <c r="L75" s="9"/>
      <c r="M75" s="9"/>
      <c r="N75" s="9"/>
      <c r="O75" s="9"/>
      <c r="P75" s="9"/>
      <c r="Q75" s="9"/>
      <c r="R75" s="9"/>
      <c r="S75" s="9"/>
      <c r="T75" s="9"/>
      <c r="U75" s="9"/>
      <c r="V75" s="9"/>
      <c r="W75" s="137"/>
      <c r="X75" s="150"/>
      <c r="AL75" s="82"/>
      <c r="AO75" s="184"/>
      <c r="AP75" s="184"/>
      <c r="AQ75" s="184"/>
      <c r="AR75" s="157"/>
    </row>
    <row r="76" spans="1:58" ht="11.25" customHeight="1" x14ac:dyDescent="0.2">
      <c r="A76" s="142"/>
      <c r="B76" s="1680"/>
      <c r="C76" s="1680"/>
      <c r="D76" s="1680"/>
      <c r="E76" s="1680"/>
      <c r="F76" s="1680"/>
      <c r="G76" s="1680"/>
      <c r="H76" s="1680"/>
      <c r="I76" s="1680"/>
      <c r="J76" s="12"/>
      <c r="K76" s="9"/>
      <c r="L76" s="9"/>
      <c r="M76" s="9"/>
      <c r="N76" s="9"/>
      <c r="O76" s="9"/>
      <c r="P76" s="9"/>
      <c r="Q76" s="9"/>
      <c r="R76" s="9"/>
      <c r="S76" s="9"/>
      <c r="T76" s="9"/>
      <c r="U76" s="9"/>
      <c r="V76" s="9"/>
      <c r="W76" s="137"/>
      <c r="X76" s="150"/>
      <c r="AL76" s="82"/>
      <c r="AO76" s="184"/>
      <c r="AP76" s="184"/>
      <c r="AQ76" s="184"/>
      <c r="AR76" s="157"/>
    </row>
    <row r="77" spans="1:58" ht="11.25" customHeight="1" x14ac:dyDescent="0.2">
      <c r="A77" s="142"/>
      <c r="B77" s="1680" t="s">
        <v>906</v>
      </c>
      <c r="C77" s="1680"/>
      <c r="D77" s="1680"/>
      <c r="E77" s="1680"/>
      <c r="F77" s="1680"/>
      <c r="G77" s="1680"/>
      <c r="H77" s="1680"/>
      <c r="I77" s="1680"/>
      <c r="J77" s="12"/>
      <c r="K77" s="9"/>
      <c r="L77" s="9"/>
      <c r="M77" s="9"/>
      <c r="N77" s="9"/>
      <c r="O77" s="9"/>
      <c r="P77" s="9"/>
      <c r="Q77" s="9"/>
      <c r="R77" s="9"/>
      <c r="S77" s="9"/>
      <c r="T77" s="9"/>
      <c r="U77" s="9"/>
      <c r="V77" s="9"/>
      <c r="W77" s="137"/>
      <c r="X77" s="150"/>
      <c r="AL77" s="82"/>
      <c r="AO77" s="184"/>
      <c r="AP77" s="184"/>
      <c r="AQ77" s="184"/>
      <c r="AR77" s="157"/>
    </row>
    <row r="78" spans="1:58" ht="11.25" customHeight="1" x14ac:dyDescent="0.2">
      <c r="A78" s="142"/>
      <c r="B78" s="1680"/>
      <c r="C78" s="1680"/>
      <c r="D78" s="1680"/>
      <c r="E78" s="1680"/>
      <c r="F78" s="1680"/>
      <c r="G78" s="1680"/>
      <c r="H78" s="1680"/>
      <c r="I78" s="1680"/>
      <c r="J78" s="12"/>
      <c r="K78" s="9"/>
      <c r="L78" s="9"/>
      <c r="M78" s="9"/>
      <c r="N78" s="9"/>
      <c r="O78" s="9"/>
      <c r="P78" s="9"/>
      <c r="Q78" s="9"/>
      <c r="R78" s="9"/>
      <c r="S78" s="9"/>
      <c r="T78" s="9"/>
      <c r="U78" s="9"/>
      <c r="V78" s="9"/>
      <c r="W78" s="137"/>
      <c r="X78" s="150"/>
      <c r="AL78" s="82"/>
      <c r="AO78" s="184"/>
      <c r="AP78" s="184"/>
      <c r="AQ78" s="184"/>
      <c r="AR78" s="157"/>
    </row>
    <row r="79" spans="1:58" ht="11.25" customHeight="1" x14ac:dyDescent="0.2">
      <c r="A79" s="142"/>
      <c r="B79" s="1680" t="s">
        <v>672</v>
      </c>
      <c r="C79" s="1680"/>
      <c r="D79" s="1680"/>
      <c r="E79" s="1680"/>
      <c r="F79" s="1680"/>
      <c r="G79" s="1680"/>
      <c r="H79" s="1680"/>
      <c r="I79" s="1680"/>
      <c r="J79" s="12"/>
      <c r="K79" s="9"/>
      <c r="L79" s="9"/>
      <c r="M79" s="9"/>
      <c r="N79" s="9"/>
      <c r="O79" s="9"/>
      <c r="P79" s="9"/>
      <c r="Q79" s="9"/>
      <c r="R79" s="9"/>
      <c r="S79" s="9"/>
      <c r="T79" s="9"/>
      <c r="U79" s="9"/>
      <c r="V79" s="9"/>
      <c r="W79" s="137"/>
      <c r="X79" s="150"/>
      <c r="AL79" s="82"/>
      <c r="AO79" s="184"/>
      <c r="AP79" s="184"/>
      <c r="AQ79" s="184"/>
      <c r="AR79" s="157"/>
    </row>
    <row r="80" spans="1:58" s="80" customFormat="1" ht="11.25" customHeight="1" x14ac:dyDescent="0.2">
      <c r="A80" s="142"/>
      <c r="B80" s="1680"/>
      <c r="C80" s="1680"/>
      <c r="D80" s="1680"/>
      <c r="E80" s="1680"/>
      <c r="F80" s="1680"/>
      <c r="G80" s="1680"/>
      <c r="H80" s="1680"/>
      <c r="I80" s="1680"/>
      <c r="J80" s="12"/>
      <c r="K80" s="9"/>
      <c r="L80" s="9"/>
      <c r="M80" s="9"/>
      <c r="N80" s="9"/>
      <c r="O80" s="9"/>
      <c r="P80" s="9"/>
      <c r="Q80" s="9"/>
      <c r="R80" s="9"/>
      <c r="S80" s="9"/>
      <c r="T80" s="9"/>
      <c r="U80" s="9"/>
      <c r="V80" s="9"/>
      <c r="W80" s="137"/>
      <c r="X80" s="150"/>
      <c r="Y80" s="81"/>
      <c r="Z80" s="81"/>
      <c r="AA80" s="81"/>
      <c r="AB80" s="81"/>
      <c r="AC80" s="81"/>
      <c r="AD80" s="81"/>
      <c r="AE80" s="81"/>
      <c r="AF80" s="81"/>
      <c r="AG80" s="81"/>
      <c r="AH80" s="81"/>
      <c r="AI80" s="81"/>
      <c r="AJ80" s="81"/>
      <c r="AK80" s="81"/>
      <c r="AL80" s="82"/>
      <c r="AM80" s="81"/>
      <c r="AN80" s="81"/>
      <c r="AO80" s="184"/>
      <c r="AP80" s="184"/>
      <c r="AQ80" s="184"/>
      <c r="AR80" s="157"/>
      <c r="AS80" s="74"/>
      <c r="AT80" s="74"/>
      <c r="AU80" s="74"/>
      <c r="AV80" s="74"/>
      <c r="AW80" s="74"/>
      <c r="AX80" s="74"/>
      <c r="AY80" s="74"/>
      <c r="AZ80" s="74"/>
      <c r="BA80" s="74"/>
      <c r="BB80" s="74"/>
      <c r="BC80" s="74"/>
      <c r="BD80" s="74"/>
      <c r="BE80" s="74"/>
      <c r="BF80" s="74"/>
    </row>
    <row r="81" spans="1:44" ht="11.25" customHeight="1" x14ac:dyDescent="0.2">
      <c r="A81" s="1273"/>
      <c r="B81" s="1274"/>
      <c r="C81" s="1275"/>
      <c r="D81" s="1275"/>
      <c r="E81" s="1275"/>
      <c r="F81" s="1275"/>
      <c r="G81" s="1275"/>
      <c r="H81" s="1275"/>
      <c r="I81" s="1275"/>
      <c r="J81" s="1276"/>
      <c r="K81" s="201"/>
      <c r="L81" s="201"/>
      <c r="M81" s="201"/>
      <c r="N81" s="201"/>
      <c r="O81" s="201"/>
      <c r="P81" s="201"/>
      <c r="Q81" s="201"/>
      <c r="R81" s="201"/>
      <c r="S81" s="201"/>
      <c r="T81" s="201"/>
      <c r="U81" s="201"/>
      <c r="V81" s="201"/>
      <c r="W81" s="1277"/>
      <c r="X81" s="1271"/>
      <c r="Y81" s="200"/>
      <c r="Z81" s="200"/>
      <c r="AA81" s="200"/>
      <c r="AB81" s="200"/>
      <c r="AC81" s="200"/>
      <c r="AD81" s="200"/>
      <c r="AE81" s="200"/>
      <c r="AF81" s="200"/>
      <c r="AG81" s="200"/>
      <c r="AH81" s="200"/>
      <c r="AI81" s="200"/>
      <c r="AJ81" s="200"/>
      <c r="AK81" s="200"/>
      <c r="AL81" s="1278"/>
      <c r="AM81" s="200"/>
      <c r="AN81" s="200"/>
      <c r="AO81" s="201"/>
      <c r="AP81" s="201"/>
      <c r="AQ81" s="201"/>
      <c r="AR81" s="251"/>
    </row>
    <row r="192" spans="45:45" ht="11.25" customHeight="1" x14ac:dyDescent="0.2">
      <c r="AS192" s="74" t="b">
        <v>1</v>
      </c>
    </row>
  </sheetData>
  <sheetProtection sheet="1" objects="1" scenarios="1"/>
  <mergeCells count="26">
    <mergeCell ref="B77:I78"/>
    <mergeCell ref="B79:I80"/>
    <mergeCell ref="B4:I5"/>
    <mergeCell ref="B67:I68"/>
    <mergeCell ref="B69:I70"/>
    <mergeCell ref="B71:I72"/>
    <mergeCell ref="B73:I74"/>
    <mergeCell ref="B75:I76"/>
    <mergeCell ref="B59:I60"/>
    <mergeCell ref="B61:I62"/>
    <mergeCell ref="B63:I64"/>
    <mergeCell ref="B65:I66"/>
    <mergeCell ref="A38:V38"/>
    <mergeCell ref="A39:V39"/>
    <mergeCell ref="B45:I46"/>
    <mergeCell ref="B47:I48"/>
    <mergeCell ref="B49:I50"/>
    <mergeCell ref="B51:I52"/>
    <mergeCell ref="B53:I54"/>
    <mergeCell ref="B55:I56"/>
    <mergeCell ref="B57:I58"/>
    <mergeCell ref="B41:I42"/>
    <mergeCell ref="B43:I44"/>
    <mergeCell ref="D7:H7"/>
    <mergeCell ref="I34:U36"/>
    <mergeCell ref="B7:B8"/>
  </mergeCells>
  <conditionalFormatting sqref="A5:A38">
    <cfRule type="containsErrors" dxfId="17" priority="48">
      <formula>ISERROR(A5)</formula>
    </cfRule>
  </conditionalFormatting>
  <conditionalFormatting sqref="B9:B30 D9:H30">
    <cfRule type="expression" dxfId="16" priority="43">
      <formula>$B9=$Z$4</formula>
    </cfRule>
    <cfRule type="containsErrors" dxfId="15" priority="44">
      <formula>ISERROR(B9)</formula>
    </cfRule>
  </conditionalFormatting>
  <conditionalFormatting sqref="Y9:Y30 AE9:AE30">
    <cfRule type="expression" dxfId="14" priority="47">
      <formula>$B9=$Z$4</formula>
    </cfRule>
  </conditionalFormatting>
  <conditionalFormatting sqref="A9:A30">
    <cfRule type="cellIs" dxfId="13" priority="40" operator="equal">
      <formula>0</formula>
    </cfRule>
  </conditionalFormatting>
  <conditionalFormatting sqref="A1:A4 A82:A1048576">
    <cfRule type="containsErrors" dxfId="12" priority="38">
      <formula>ISERROR(A1)</formula>
    </cfRule>
  </conditionalFormatting>
  <conditionalFormatting sqref="D32:H32">
    <cfRule type="containsErrors" dxfId="11" priority="34">
      <formula>ISERROR(D32)</formula>
    </cfRule>
  </conditionalFormatting>
  <conditionalFormatting sqref="A39">
    <cfRule type="cellIs" dxfId="10" priority="25" operator="equal">
      <formula>0</formula>
    </cfRule>
    <cfRule type="containsErrors" dxfId="9" priority="26">
      <formula>ISERROR(A39)</formula>
    </cfRule>
  </conditionalFormatting>
  <conditionalFormatting sqref="Z3:AD3">
    <cfRule type="containsErrors" dxfId="8" priority="17">
      <formula>ISERROR(Z3)</formula>
    </cfRule>
  </conditionalFormatting>
  <conditionalFormatting sqref="Z2:AD2">
    <cfRule type="containsErrors" dxfId="7" priority="16">
      <formula>ISERROR(Z2)</formula>
    </cfRule>
  </conditionalFormatting>
  <conditionalFormatting sqref="Y2">
    <cfRule type="containsErrors" dxfId="6" priority="14">
      <formula>ISERROR(Y2)</formula>
    </cfRule>
  </conditionalFormatting>
  <conditionalFormatting sqref="Y3">
    <cfRule type="containsErrors" dxfId="5" priority="15">
      <formula>ISERROR(Y3)</formula>
    </cfRule>
  </conditionalFormatting>
  <conditionalFormatting sqref="D7">
    <cfRule type="containsErrors" dxfId="4" priority="7">
      <formula>ISERROR(D7)</formula>
    </cfRule>
  </conditionalFormatting>
  <conditionalFormatting sqref="D8:H8">
    <cfRule type="containsErrors" dxfId="3" priority="8">
      <formula>ISERROR(D8)</formula>
    </cfRule>
  </conditionalFormatting>
  <conditionalFormatting sqref="Y9:Y30">
    <cfRule type="containsErrors" dxfId="2" priority="6">
      <formula>ISERROR(Y9)</formula>
    </cfRule>
  </conditionalFormatting>
  <conditionalFormatting sqref="AE9:AE30">
    <cfRule type="containsErrors" dxfId="1" priority="4">
      <formula>ISERROR(AE9)</formula>
    </cfRule>
  </conditionalFormatting>
  <conditionalFormatting sqref="D31:H31">
    <cfRule type="containsErrors" dxfId="0" priority="2">
      <formula>ISERROR(D31)</formula>
    </cfRule>
  </conditionalFormatting>
  <hyperlinks>
    <hyperlink ref="B45:H46" location="IDACI!A1" display="IDACI" xr:uid="{537F4D42-F75B-4FE2-930E-F7EDFDE42FB0}"/>
    <hyperlink ref="B69:I70" location="ROSGO!A1" display="Child Arrangement &amp; Special Guardianship Orders" xr:uid="{DFE4406E-E46C-4FB0-9933-F9D2BB6B1B27}"/>
    <hyperlink ref="B49:G50" location="EH_Referrals!A1" display="Early Help Referrals" xr:uid="{52650862-86E7-46A6-A02E-56A9E2E0CC29}"/>
    <hyperlink ref="B69:E70" location="ROSGO!A1" display="Child Arrangement &amp; Special Guardianship Orders" xr:uid="{3C740AAC-F47A-4515-8C4F-6B0615FB243E}"/>
    <hyperlink ref="B49:E50" location="EH_Referrals!A1" display="Early Help Referrals" xr:uid="{7CD361FE-E95D-4533-B1ED-32F03D76A245}"/>
    <hyperlink ref="B47:D48" location="IDACI!A1" display="IDACI" xr:uid="{8C20E44B-A178-4182-85DD-1782AE0C7E45}"/>
    <hyperlink ref="B43:D44" location="Indicators!A1" display="Indicators" xr:uid="{CF79A5B3-7B5C-492D-91B8-C350E243E49F}"/>
    <hyperlink ref="B71:D72" location="New_Ceased_LAC!A1" display="New/ Ceased Looked After Children" xr:uid="{7DA29FFE-9693-4DDF-B362-08D62D926B47}"/>
    <hyperlink ref="B75:D76" location="Care_Leavers!A1" display="Care Leavers" xr:uid="{8CF8B06C-92F5-4FAA-9E15-C91C1517B71F}"/>
    <hyperlink ref="B79:D80" location="Offending!A1" display="Offending" xr:uid="{0309DB2F-1AA2-4470-9EF3-A67A8D6696AF}"/>
    <hyperlink ref="B77:D78" location="EHCP!A1" display="Education Health and Care Plans (EHCP)" xr:uid="{2427D783-A7BE-4404-8EB5-D9A343E25C66}"/>
    <hyperlink ref="B45:B46" location="Coverage!A1" display="Participating LA's" xr:uid="{C1A66501-D3D7-4EB9-B366-D473486D9B5E}"/>
    <hyperlink ref="B47:B48" location="IDACI!A1" display="IDACI" xr:uid="{6EA08276-80A6-4B06-B0D0-CFD5B3C1F097}"/>
    <hyperlink ref="B73:B74" location="Adoption!A1" display="Adoption" xr:uid="{3FDD7728-7AB7-440D-BEB9-47D5DA209415}"/>
    <hyperlink ref="B69:B70" location="'Looked After Children'!A1" display="Looked After Children" xr:uid="{08FB9395-173B-42AC-BC27-DF231850F451}"/>
    <hyperlink ref="B67:B68" location="'Court Applications'!A1" display="Court Applications" xr:uid="{BA9B0896-BD5A-4867-8E66-591E13E368E4}"/>
    <hyperlink ref="B65:B66" location="'Child Protection Plans'!A1" display="Child Protection Plans" xr:uid="{54DAAD4F-7913-4F0A-88DE-A312B2C0B159}"/>
    <hyperlink ref="B63:B64" location="'Initial CP Conferences'!A1" display="Initial Child Protection Conferences" xr:uid="{8053F737-6352-452E-BF05-278436897778}"/>
    <hyperlink ref="B61:B62" location="'Section 47 Enquiries'!A1" display="Section 47 Enquiries" xr:uid="{4FD5FCB8-4967-4FD1-9ABC-B0117715FA6C}"/>
    <hyperlink ref="B59:B60" location="'Children in Need'!A1" display="Children in Need" xr:uid="{FFDB1DAC-3029-4838-86BF-7B2CE0E31A2C}"/>
    <hyperlink ref="B57:B58" location="Assessments!A1" display="Assessments" xr:uid="{3F1AE3EC-14D6-4018-83E4-20094BD813F3}"/>
    <hyperlink ref="B55:B56" location="'Re-referrals'!A1" display="Re-referrals" xr:uid="{EBB7C7F6-5F7A-4A55-B968-FB031ABDE082}"/>
    <hyperlink ref="B53:B54" location="Referral_Source!A1" display="Referral Source" xr:uid="{4F9D90B4-8037-4086-ABE0-D37387C249A4}"/>
    <hyperlink ref="B51:B52" location="Referrals!A1" display="Referrals" xr:uid="{ADE2A966-B474-44F3-8473-761E715D1945}"/>
    <hyperlink ref="B49:B50" location="Population!A1" display="Population" xr:uid="{8F7BB394-5A7F-46FB-93B5-F9A3864299C1}"/>
    <hyperlink ref="B47:C48" location="IDACI!A1" display="IDACI" xr:uid="{CA42BA46-9B93-46D7-9435-06B7C609F9BC}"/>
    <hyperlink ref="B43:B44" location="Coverage!A1" display="Participating LA's" xr:uid="{0F0967FA-B48F-44EF-91CB-225514F53763}"/>
    <hyperlink ref="B43:C44" location="Indicators!A1" display="Indicators" xr:uid="{8AE210BD-5085-4F69-BF4D-CBF7C5EE816D}"/>
    <hyperlink ref="B75:B76" location="'Looked After Children'!A1" display="Looked After Children" xr:uid="{41FAD52A-E79A-4E9F-AA53-D9E9F1A6439E}"/>
    <hyperlink ref="B71:B72" location="'Court Applications'!A1" display="Court Applications" xr:uid="{63E44054-A5B4-4E89-A6F6-016EC60CA35E}"/>
    <hyperlink ref="B71:C72" location="New_Ceased_LAC!A1" display="New/ Ceased Looked After Children" xr:uid="{6F8A8CE1-A92E-4DC9-9F74-755B5BDD78DF}"/>
    <hyperlink ref="B75:C76" location="Care_Leavers!A1" display="Care Leavers" xr:uid="{2A9314B6-24DF-47E7-954A-4C83A74445D7}"/>
    <hyperlink ref="B78:B80" location="Adoption!A1" display="Adoption" xr:uid="{C5EC51C5-9E28-43CF-8412-0226F2D98901}"/>
    <hyperlink ref="B79:B80" location="'Looked After Children'!A1" display="Looked After Children" xr:uid="{6A0469AE-99FB-4284-9CD8-592B841E07E4}"/>
    <hyperlink ref="B79:C80" location="Offending!A1" display="Offending" xr:uid="{F0DAFAF7-17FA-4E41-9812-16F074910464}"/>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1009" r:id="rId4" name="Check Box 1">
              <controlPr defaultSize="0" autoFill="0" autoLine="0" autoPict="0" macro="[0]!CheckBox1_Click" altText="">
                <anchor>
                  <from>
                    <xdr:col>23</xdr:col>
                    <xdr:colOff>95250</xdr:colOff>
                    <xdr:row>7</xdr:row>
                    <xdr:rowOff>142875</xdr:rowOff>
                  </from>
                  <to>
                    <xdr:col>43</xdr:col>
                    <xdr:colOff>66675</xdr:colOff>
                    <xdr:row>9</xdr:row>
                    <xdr:rowOff>19050</xdr:rowOff>
                  </to>
                </anchor>
              </controlPr>
            </control>
          </mc:Choice>
        </mc:AlternateContent>
        <mc:AlternateContent xmlns:mc="http://schemas.openxmlformats.org/markup-compatibility/2006">
          <mc:Choice Requires="x14">
            <control shapeId="171010" r:id="rId5" name="Check Box 2">
              <controlPr defaultSize="0" autoFill="0" autoLine="0" autoPict="0" macro="[0]!CheckBox1_Click" altText="">
                <anchor>
                  <from>
                    <xdr:col>23</xdr:col>
                    <xdr:colOff>95250</xdr:colOff>
                    <xdr:row>8</xdr:row>
                    <xdr:rowOff>123825</xdr:rowOff>
                  </from>
                  <to>
                    <xdr:col>43</xdr:col>
                    <xdr:colOff>66675</xdr:colOff>
                    <xdr:row>10</xdr:row>
                    <xdr:rowOff>19050</xdr:rowOff>
                  </to>
                </anchor>
              </controlPr>
            </control>
          </mc:Choice>
        </mc:AlternateContent>
        <mc:AlternateContent xmlns:mc="http://schemas.openxmlformats.org/markup-compatibility/2006">
          <mc:Choice Requires="x14">
            <control shapeId="171011" r:id="rId6" name="Check Box 3">
              <controlPr defaultSize="0" autoFill="0" autoLine="0" autoPict="0" macro="[0]!CheckBox1_Click" altText="">
                <anchor>
                  <from>
                    <xdr:col>23</xdr:col>
                    <xdr:colOff>95250</xdr:colOff>
                    <xdr:row>9</xdr:row>
                    <xdr:rowOff>123825</xdr:rowOff>
                  </from>
                  <to>
                    <xdr:col>43</xdr:col>
                    <xdr:colOff>66675</xdr:colOff>
                    <xdr:row>11</xdr:row>
                    <xdr:rowOff>19050</xdr:rowOff>
                  </to>
                </anchor>
              </controlPr>
            </control>
          </mc:Choice>
        </mc:AlternateContent>
        <mc:AlternateContent xmlns:mc="http://schemas.openxmlformats.org/markup-compatibility/2006">
          <mc:Choice Requires="x14">
            <control shapeId="171012" r:id="rId7" name="Check Box 4">
              <controlPr defaultSize="0" autoFill="0" autoLine="0" autoPict="0" macro="[0]!CheckBox1_Click" altText="">
                <anchor>
                  <from>
                    <xdr:col>23</xdr:col>
                    <xdr:colOff>95250</xdr:colOff>
                    <xdr:row>10</xdr:row>
                    <xdr:rowOff>123825</xdr:rowOff>
                  </from>
                  <to>
                    <xdr:col>43</xdr:col>
                    <xdr:colOff>66675</xdr:colOff>
                    <xdr:row>12</xdr:row>
                    <xdr:rowOff>19050</xdr:rowOff>
                  </to>
                </anchor>
              </controlPr>
            </control>
          </mc:Choice>
        </mc:AlternateContent>
        <mc:AlternateContent xmlns:mc="http://schemas.openxmlformats.org/markup-compatibility/2006">
          <mc:Choice Requires="x14">
            <control shapeId="171013" r:id="rId8" name="Check Box 5">
              <controlPr defaultSize="0" autoFill="0" autoLine="0" autoPict="0" macro="[0]!CheckBox1_Click" altText="">
                <anchor>
                  <from>
                    <xdr:col>23</xdr:col>
                    <xdr:colOff>95250</xdr:colOff>
                    <xdr:row>11</xdr:row>
                    <xdr:rowOff>123825</xdr:rowOff>
                  </from>
                  <to>
                    <xdr:col>43</xdr:col>
                    <xdr:colOff>66675</xdr:colOff>
                    <xdr:row>13</xdr:row>
                    <xdr:rowOff>19050</xdr:rowOff>
                  </to>
                </anchor>
              </controlPr>
            </control>
          </mc:Choice>
        </mc:AlternateContent>
        <mc:AlternateContent xmlns:mc="http://schemas.openxmlformats.org/markup-compatibility/2006">
          <mc:Choice Requires="x14">
            <control shapeId="171014" r:id="rId9" name="Check Box 6">
              <controlPr defaultSize="0" autoFill="0" autoLine="0" autoPict="0" macro="[0]!CheckBox1_Click" altText="">
                <anchor>
                  <from>
                    <xdr:col>23</xdr:col>
                    <xdr:colOff>95250</xdr:colOff>
                    <xdr:row>12</xdr:row>
                    <xdr:rowOff>123825</xdr:rowOff>
                  </from>
                  <to>
                    <xdr:col>43</xdr:col>
                    <xdr:colOff>66675</xdr:colOff>
                    <xdr:row>14</xdr:row>
                    <xdr:rowOff>19050</xdr:rowOff>
                  </to>
                </anchor>
              </controlPr>
            </control>
          </mc:Choice>
        </mc:AlternateContent>
        <mc:AlternateContent xmlns:mc="http://schemas.openxmlformats.org/markup-compatibility/2006">
          <mc:Choice Requires="x14">
            <control shapeId="171015" r:id="rId10" name="Check Box 7">
              <controlPr defaultSize="0" autoFill="0" autoLine="0" autoPict="0" macro="[0]!CheckBox1_Click" altText="">
                <anchor>
                  <from>
                    <xdr:col>23</xdr:col>
                    <xdr:colOff>95250</xdr:colOff>
                    <xdr:row>13</xdr:row>
                    <xdr:rowOff>123825</xdr:rowOff>
                  </from>
                  <to>
                    <xdr:col>43</xdr:col>
                    <xdr:colOff>66675</xdr:colOff>
                    <xdr:row>15</xdr:row>
                    <xdr:rowOff>19050</xdr:rowOff>
                  </to>
                </anchor>
              </controlPr>
            </control>
          </mc:Choice>
        </mc:AlternateContent>
        <mc:AlternateContent xmlns:mc="http://schemas.openxmlformats.org/markup-compatibility/2006">
          <mc:Choice Requires="x14">
            <control shapeId="171016" r:id="rId11" name="Check Box 8">
              <controlPr defaultSize="0" autoFill="0" autoLine="0" autoPict="0" macro="[0]!CheckBox1_Click" altText="">
                <anchor>
                  <from>
                    <xdr:col>23</xdr:col>
                    <xdr:colOff>95250</xdr:colOff>
                    <xdr:row>14</xdr:row>
                    <xdr:rowOff>123825</xdr:rowOff>
                  </from>
                  <to>
                    <xdr:col>43</xdr:col>
                    <xdr:colOff>66675</xdr:colOff>
                    <xdr:row>16</xdr:row>
                    <xdr:rowOff>19050</xdr:rowOff>
                  </to>
                </anchor>
              </controlPr>
            </control>
          </mc:Choice>
        </mc:AlternateContent>
        <mc:AlternateContent xmlns:mc="http://schemas.openxmlformats.org/markup-compatibility/2006">
          <mc:Choice Requires="x14">
            <control shapeId="171017" r:id="rId12" name="Check Box 9">
              <controlPr defaultSize="0" autoFill="0" autoLine="0" autoPict="0" macro="[0]!CheckBox1_Click" altText="">
                <anchor>
                  <from>
                    <xdr:col>23</xdr:col>
                    <xdr:colOff>95250</xdr:colOff>
                    <xdr:row>15</xdr:row>
                    <xdr:rowOff>123825</xdr:rowOff>
                  </from>
                  <to>
                    <xdr:col>43</xdr:col>
                    <xdr:colOff>66675</xdr:colOff>
                    <xdr:row>17</xdr:row>
                    <xdr:rowOff>19050</xdr:rowOff>
                  </to>
                </anchor>
              </controlPr>
            </control>
          </mc:Choice>
        </mc:AlternateContent>
        <mc:AlternateContent xmlns:mc="http://schemas.openxmlformats.org/markup-compatibility/2006">
          <mc:Choice Requires="x14">
            <control shapeId="171018" r:id="rId13" name="Check Box 10">
              <controlPr defaultSize="0" autoFill="0" autoLine="0" autoPict="0" macro="[0]!CheckBox1_Click" altText="">
                <anchor>
                  <from>
                    <xdr:col>23</xdr:col>
                    <xdr:colOff>95250</xdr:colOff>
                    <xdr:row>16</xdr:row>
                    <xdr:rowOff>123825</xdr:rowOff>
                  </from>
                  <to>
                    <xdr:col>43</xdr:col>
                    <xdr:colOff>66675</xdr:colOff>
                    <xdr:row>18</xdr:row>
                    <xdr:rowOff>19050</xdr:rowOff>
                  </to>
                </anchor>
              </controlPr>
            </control>
          </mc:Choice>
        </mc:AlternateContent>
        <mc:AlternateContent xmlns:mc="http://schemas.openxmlformats.org/markup-compatibility/2006">
          <mc:Choice Requires="x14">
            <control shapeId="171019" r:id="rId14" name="Check Box 11">
              <controlPr defaultSize="0" autoFill="0" autoLine="0" autoPict="0" macro="[0]!CheckBox1_Click" altText="">
                <anchor>
                  <from>
                    <xdr:col>23</xdr:col>
                    <xdr:colOff>95250</xdr:colOff>
                    <xdr:row>17</xdr:row>
                    <xdr:rowOff>123825</xdr:rowOff>
                  </from>
                  <to>
                    <xdr:col>43</xdr:col>
                    <xdr:colOff>66675</xdr:colOff>
                    <xdr:row>19</xdr:row>
                    <xdr:rowOff>19050</xdr:rowOff>
                  </to>
                </anchor>
              </controlPr>
            </control>
          </mc:Choice>
        </mc:AlternateContent>
        <mc:AlternateContent xmlns:mc="http://schemas.openxmlformats.org/markup-compatibility/2006">
          <mc:Choice Requires="x14">
            <control shapeId="171020" r:id="rId15" name="Check Box 12">
              <controlPr defaultSize="0" autoFill="0" autoLine="0" autoPict="0" macro="[0]!CheckBox1_Click" altText="">
                <anchor>
                  <from>
                    <xdr:col>23</xdr:col>
                    <xdr:colOff>95250</xdr:colOff>
                    <xdr:row>18</xdr:row>
                    <xdr:rowOff>123825</xdr:rowOff>
                  </from>
                  <to>
                    <xdr:col>43</xdr:col>
                    <xdr:colOff>66675</xdr:colOff>
                    <xdr:row>20</xdr:row>
                    <xdr:rowOff>19050</xdr:rowOff>
                  </to>
                </anchor>
              </controlPr>
            </control>
          </mc:Choice>
        </mc:AlternateContent>
        <mc:AlternateContent xmlns:mc="http://schemas.openxmlformats.org/markup-compatibility/2006">
          <mc:Choice Requires="x14">
            <control shapeId="171021" r:id="rId16" name="Check Box 13">
              <controlPr defaultSize="0" autoFill="0" autoLine="0" autoPict="0" macro="[0]!CheckBox1_Click" altText="">
                <anchor>
                  <from>
                    <xdr:col>23</xdr:col>
                    <xdr:colOff>95250</xdr:colOff>
                    <xdr:row>19</xdr:row>
                    <xdr:rowOff>123825</xdr:rowOff>
                  </from>
                  <to>
                    <xdr:col>43</xdr:col>
                    <xdr:colOff>66675</xdr:colOff>
                    <xdr:row>21</xdr:row>
                    <xdr:rowOff>19050</xdr:rowOff>
                  </to>
                </anchor>
              </controlPr>
            </control>
          </mc:Choice>
        </mc:AlternateContent>
        <mc:AlternateContent xmlns:mc="http://schemas.openxmlformats.org/markup-compatibility/2006">
          <mc:Choice Requires="x14">
            <control shapeId="171022" r:id="rId17" name="Check Box 14">
              <controlPr defaultSize="0" autoFill="0" autoLine="0" autoPict="0" macro="[0]!CheckBox1_Click" altText="">
                <anchor>
                  <from>
                    <xdr:col>23</xdr:col>
                    <xdr:colOff>95250</xdr:colOff>
                    <xdr:row>20</xdr:row>
                    <xdr:rowOff>123825</xdr:rowOff>
                  </from>
                  <to>
                    <xdr:col>43</xdr:col>
                    <xdr:colOff>66675</xdr:colOff>
                    <xdr:row>22</xdr:row>
                    <xdr:rowOff>19050</xdr:rowOff>
                  </to>
                </anchor>
              </controlPr>
            </control>
          </mc:Choice>
        </mc:AlternateContent>
        <mc:AlternateContent xmlns:mc="http://schemas.openxmlformats.org/markup-compatibility/2006">
          <mc:Choice Requires="x14">
            <control shapeId="171023" r:id="rId18" name="Check Box 15">
              <controlPr defaultSize="0" autoFill="0" autoLine="0" autoPict="0" macro="[0]!CheckBox1_Click" altText="">
                <anchor>
                  <from>
                    <xdr:col>23</xdr:col>
                    <xdr:colOff>95250</xdr:colOff>
                    <xdr:row>21</xdr:row>
                    <xdr:rowOff>123825</xdr:rowOff>
                  </from>
                  <to>
                    <xdr:col>43</xdr:col>
                    <xdr:colOff>66675</xdr:colOff>
                    <xdr:row>23</xdr:row>
                    <xdr:rowOff>19050</xdr:rowOff>
                  </to>
                </anchor>
              </controlPr>
            </control>
          </mc:Choice>
        </mc:AlternateContent>
        <mc:AlternateContent xmlns:mc="http://schemas.openxmlformats.org/markup-compatibility/2006">
          <mc:Choice Requires="x14">
            <control shapeId="171024" r:id="rId19" name="Check Box 16">
              <controlPr defaultSize="0" autoFill="0" autoLine="0" autoPict="0" macro="[0]!CheckBox1_Click" altText="">
                <anchor>
                  <from>
                    <xdr:col>23</xdr:col>
                    <xdr:colOff>95250</xdr:colOff>
                    <xdr:row>22</xdr:row>
                    <xdr:rowOff>123825</xdr:rowOff>
                  </from>
                  <to>
                    <xdr:col>43</xdr:col>
                    <xdr:colOff>66675</xdr:colOff>
                    <xdr:row>24</xdr:row>
                    <xdr:rowOff>19050</xdr:rowOff>
                  </to>
                </anchor>
              </controlPr>
            </control>
          </mc:Choice>
        </mc:AlternateContent>
        <mc:AlternateContent xmlns:mc="http://schemas.openxmlformats.org/markup-compatibility/2006">
          <mc:Choice Requires="x14">
            <control shapeId="171025" r:id="rId20" name="Check Box 17">
              <controlPr defaultSize="0" autoFill="0" autoLine="0" autoPict="0" macro="[0]!CheckBox1_Click" altText="">
                <anchor>
                  <from>
                    <xdr:col>23</xdr:col>
                    <xdr:colOff>95250</xdr:colOff>
                    <xdr:row>25</xdr:row>
                    <xdr:rowOff>123825</xdr:rowOff>
                  </from>
                  <to>
                    <xdr:col>43</xdr:col>
                    <xdr:colOff>66675</xdr:colOff>
                    <xdr:row>27</xdr:row>
                    <xdr:rowOff>19050</xdr:rowOff>
                  </to>
                </anchor>
              </controlPr>
            </control>
          </mc:Choice>
        </mc:AlternateContent>
        <mc:AlternateContent xmlns:mc="http://schemas.openxmlformats.org/markup-compatibility/2006">
          <mc:Choice Requires="x14">
            <control shapeId="171026" r:id="rId21" name="Check Box 18">
              <controlPr defaultSize="0" autoFill="0" autoLine="0" autoPict="0" macro="[0]!CheckBox1_Click" altText="">
                <anchor>
                  <from>
                    <xdr:col>23</xdr:col>
                    <xdr:colOff>95250</xdr:colOff>
                    <xdr:row>26</xdr:row>
                    <xdr:rowOff>123825</xdr:rowOff>
                  </from>
                  <to>
                    <xdr:col>43</xdr:col>
                    <xdr:colOff>66675</xdr:colOff>
                    <xdr:row>28</xdr:row>
                    <xdr:rowOff>19050</xdr:rowOff>
                  </to>
                </anchor>
              </controlPr>
            </control>
          </mc:Choice>
        </mc:AlternateContent>
        <mc:AlternateContent xmlns:mc="http://schemas.openxmlformats.org/markup-compatibility/2006">
          <mc:Choice Requires="x14">
            <control shapeId="171027" r:id="rId22" name="Check Box 19">
              <controlPr defaultSize="0" autoFill="0" autoLine="0" autoPict="0" macro="[0]!CheckBox1_Click" altText="">
                <anchor>
                  <from>
                    <xdr:col>23</xdr:col>
                    <xdr:colOff>95250</xdr:colOff>
                    <xdr:row>27</xdr:row>
                    <xdr:rowOff>123825</xdr:rowOff>
                  </from>
                  <to>
                    <xdr:col>43</xdr:col>
                    <xdr:colOff>66675</xdr:colOff>
                    <xdr:row>29</xdr:row>
                    <xdr:rowOff>19050</xdr:rowOff>
                  </to>
                </anchor>
              </controlPr>
            </control>
          </mc:Choice>
        </mc:AlternateContent>
        <mc:AlternateContent xmlns:mc="http://schemas.openxmlformats.org/markup-compatibility/2006">
          <mc:Choice Requires="x14">
            <control shapeId="171028" r:id="rId23" name="Check Box 20">
              <controlPr defaultSize="0" autoFill="0" autoLine="0" autoPict="0" macro="[0]!CheckBox1_Click" altText="">
                <anchor>
                  <from>
                    <xdr:col>23</xdr:col>
                    <xdr:colOff>95250</xdr:colOff>
                    <xdr:row>28</xdr:row>
                    <xdr:rowOff>123825</xdr:rowOff>
                  </from>
                  <to>
                    <xdr:col>43</xdr:col>
                    <xdr:colOff>66675</xdr:colOff>
                    <xdr:row>30</xdr:row>
                    <xdr:rowOff>19050</xdr:rowOff>
                  </to>
                </anchor>
              </controlPr>
            </control>
          </mc:Choice>
        </mc:AlternateContent>
        <mc:AlternateContent xmlns:mc="http://schemas.openxmlformats.org/markup-compatibility/2006">
          <mc:Choice Requires="x14">
            <control shapeId="171029" r:id="rId24" name="Check Box 21">
              <controlPr defaultSize="0" autoFill="0" autoLine="0" autoPict="0" macro="[0]!CheckBox1_Click" altText="">
                <anchor>
                  <from>
                    <xdr:col>23</xdr:col>
                    <xdr:colOff>95250</xdr:colOff>
                    <xdr:row>29</xdr:row>
                    <xdr:rowOff>123825</xdr:rowOff>
                  </from>
                  <to>
                    <xdr:col>43</xdr:col>
                    <xdr:colOff>66675</xdr:colOff>
                    <xdr:row>31</xdr:row>
                    <xdr:rowOff>19050</xdr:rowOff>
                  </to>
                </anchor>
              </controlPr>
            </control>
          </mc:Choice>
        </mc:AlternateContent>
        <mc:AlternateContent xmlns:mc="http://schemas.openxmlformats.org/markup-compatibility/2006">
          <mc:Choice Requires="x14">
            <control shapeId="171030" r:id="rId25" name="Check Box 22">
              <controlPr defaultSize="0" autoFill="0" autoLine="0" autoPict="0" macro="[0]!CheckBox1_Click" altText="">
                <anchor>
                  <from>
                    <xdr:col>23</xdr:col>
                    <xdr:colOff>95250</xdr:colOff>
                    <xdr:row>23</xdr:row>
                    <xdr:rowOff>123825</xdr:rowOff>
                  </from>
                  <to>
                    <xdr:col>43</xdr:col>
                    <xdr:colOff>66675</xdr:colOff>
                    <xdr:row>25</xdr:row>
                    <xdr:rowOff>19050</xdr:rowOff>
                  </to>
                </anchor>
              </controlPr>
            </control>
          </mc:Choice>
        </mc:AlternateContent>
        <mc:AlternateContent xmlns:mc="http://schemas.openxmlformats.org/markup-compatibility/2006">
          <mc:Choice Requires="x14">
            <control shapeId="171031" r:id="rId26" name="Check Box 23">
              <controlPr defaultSize="0" autoFill="0" autoLine="0" autoPict="0" macro="[0]!CheckBox1_Click" altText="">
                <anchor>
                  <from>
                    <xdr:col>23</xdr:col>
                    <xdr:colOff>95250</xdr:colOff>
                    <xdr:row>24</xdr:row>
                    <xdr:rowOff>123825</xdr:rowOff>
                  </from>
                  <to>
                    <xdr:col>43</xdr:col>
                    <xdr:colOff>66675</xdr:colOff>
                    <xdr:row>26</xdr:row>
                    <xdr:rowOff>19050</xdr:rowOff>
                  </to>
                </anchor>
              </controlPr>
            </control>
          </mc:Choice>
        </mc:AlternateContent>
        <mc:AlternateContent xmlns:mc="http://schemas.openxmlformats.org/markup-compatibility/2006">
          <mc:Choice Requires="x14">
            <control shapeId="171032" r:id="rId27" name="Check Box 24">
              <controlPr defaultSize="0" autoFill="0" autoLine="0" autoPict="0" macro="[0]!CheckBox1_Click" altText="">
                <anchor>
                  <from>
                    <xdr:col>23</xdr:col>
                    <xdr:colOff>95250</xdr:colOff>
                    <xdr:row>30</xdr:row>
                    <xdr:rowOff>123825</xdr:rowOff>
                  </from>
                  <to>
                    <xdr:col>43</xdr:col>
                    <xdr:colOff>66675</xdr:colOff>
                    <xdr:row>32</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99FFCC"/>
    <pageSetUpPr fitToPage="1"/>
  </sheetPr>
  <dimension ref="A1:Z133"/>
  <sheetViews>
    <sheetView workbookViewId="0">
      <pane xSplit="2" ySplit="1" topLeftCell="C75" activePane="bottomRight" state="frozen"/>
      <selection activeCell="A19" sqref="A19"/>
      <selection pane="topRight" activeCell="A19" sqref="A19"/>
      <selection pane="bottomLeft" activeCell="A19" sqref="A19"/>
      <selection pane="bottomRight" activeCell="A19" sqref="A19"/>
    </sheetView>
  </sheetViews>
  <sheetFormatPr defaultColWidth="9.140625" defaultRowHeight="13.5" customHeight="1" x14ac:dyDescent="0.2"/>
  <cols>
    <col min="1" max="1" width="4.5703125" style="470" customWidth="1"/>
    <col min="2" max="2" width="41.42578125" style="557" customWidth="1"/>
    <col min="3" max="5" width="4.85546875" style="470" customWidth="1"/>
    <col min="6" max="6" width="5.28515625" style="470" bestFit="1" customWidth="1"/>
    <col min="7" max="19" width="4.85546875" style="470" customWidth="1"/>
    <col min="20" max="20" width="4.7109375" style="470" customWidth="1"/>
    <col min="21" max="24" width="4.85546875" style="470" customWidth="1"/>
    <col min="25" max="25" width="6.42578125" style="837" customWidth="1"/>
    <col min="26" max="26" width="7.85546875" style="470" customWidth="1"/>
    <col min="27" max="27" width="9.140625" style="470" customWidth="1"/>
    <col min="28" max="16384" width="9.140625" style="470"/>
  </cols>
  <sheetData>
    <row r="1" spans="1:26" s="555" customFormat="1" ht="75" customHeight="1" x14ac:dyDescent="0.2">
      <c r="A1" s="831" t="str">
        <f>IF(Sheet1!$C$3="Quarterly",Sheet1!$G$24&amp;" "&amp;Sheet1!$G$25,Sheet1!$G$22)</f>
        <v>2018-19</v>
      </c>
      <c r="B1" s="831"/>
      <c r="C1" s="1365" t="s">
        <v>1168</v>
      </c>
      <c r="D1" s="1365" t="s">
        <v>1169</v>
      </c>
      <c r="E1" s="1365" t="s">
        <v>1170</v>
      </c>
      <c r="F1" s="1365" t="s">
        <v>1171</v>
      </c>
      <c r="G1" s="1365" t="s">
        <v>1172</v>
      </c>
      <c r="H1" s="1365" t="s">
        <v>1173</v>
      </c>
      <c r="I1" s="1365" t="s">
        <v>1174</v>
      </c>
      <c r="J1" s="1365" t="s">
        <v>1175</v>
      </c>
      <c r="K1" s="1365" t="s">
        <v>1176</v>
      </c>
      <c r="L1" s="1365" t="s">
        <v>1177</v>
      </c>
      <c r="M1" s="1365" t="s">
        <v>1178</v>
      </c>
      <c r="N1" s="1365" t="s">
        <v>1179</v>
      </c>
      <c r="O1" s="1365" t="s">
        <v>1180</v>
      </c>
      <c r="P1" s="1365" t="s">
        <v>1181</v>
      </c>
      <c r="Q1" s="1365" t="s">
        <v>1182</v>
      </c>
      <c r="R1" s="1365" t="s">
        <v>1183</v>
      </c>
      <c r="S1" s="1367" t="s">
        <v>1184</v>
      </c>
      <c r="T1" s="1367" t="s">
        <v>1185</v>
      </c>
      <c r="U1" s="1365" t="s">
        <v>1186</v>
      </c>
      <c r="V1" s="1365" t="s">
        <v>1187</v>
      </c>
      <c r="W1" s="1365" t="s">
        <v>1188</v>
      </c>
      <c r="X1" s="1365" t="s">
        <v>1189</v>
      </c>
      <c r="Y1" s="615" t="s">
        <v>1190</v>
      </c>
      <c r="Z1" s="616" t="s">
        <v>1191</v>
      </c>
    </row>
    <row r="2" spans="1:26" s="556" customFormat="1" ht="13.5" customHeight="1" x14ac:dyDescent="0.2">
      <c r="A2" s="622">
        <v>1</v>
      </c>
      <c r="B2" s="832" t="s">
        <v>556</v>
      </c>
      <c r="C2" s="1478"/>
      <c r="D2" s="1478"/>
      <c r="E2" s="1478"/>
      <c r="F2" s="1478"/>
      <c r="G2" s="1478"/>
      <c r="H2" s="1478"/>
      <c r="I2" s="1478"/>
      <c r="J2" s="1478"/>
      <c r="K2" s="1478"/>
      <c r="L2" s="1478"/>
      <c r="M2" s="1478"/>
      <c r="N2" s="1478"/>
      <c r="O2" s="1478"/>
      <c r="P2" s="1478"/>
      <c r="Q2" s="1478"/>
      <c r="R2" s="1478"/>
      <c r="S2" s="1478"/>
      <c r="T2" s="1478"/>
      <c r="U2" s="1478"/>
      <c r="V2" s="1478"/>
      <c r="W2" s="1482"/>
      <c r="X2" s="1551"/>
      <c r="Y2" s="1481"/>
      <c r="Z2" s="1483"/>
    </row>
    <row r="3" spans="1:26" s="556" customFormat="1" ht="13.5" customHeight="1" x14ac:dyDescent="0.2">
      <c r="A3" s="622">
        <v>2</v>
      </c>
      <c r="B3" s="832" t="s">
        <v>370</v>
      </c>
      <c r="C3" s="1470"/>
      <c r="D3" s="1470"/>
      <c r="E3" s="1470"/>
      <c r="F3" s="1470"/>
      <c r="G3" s="1470"/>
      <c r="H3" s="1470"/>
      <c r="I3" s="1470"/>
      <c r="J3" s="1470"/>
      <c r="K3" s="1470"/>
      <c r="L3" s="1470"/>
      <c r="M3" s="1470"/>
      <c r="N3" s="1474"/>
      <c r="O3" s="1470"/>
      <c r="P3" s="1470"/>
      <c r="Q3" s="1470"/>
      <c r="R3" s="1470"/>
      <c r="S3" s="1470"/>
      <c r="T3" s="1470"/>
      <c r="U3" s="1469"/>
      <c r="V3" s="1470"/>
      <c r="W3" s="1470"/>
      <c r="X3" s="1471"/>
      <c r="Y3" s="1472"/>
      <c r="Z3" s="1473"/>
    </row>
    <row r="4" spans="1:26" s="556" customFormat="1" ht="13.5" customHeight="1" x14ac:dyDescent="0.2">
      <c r="A4" s="622">
        <v>3</v>
      </c>
      <c r="B4" s="832" t="s">
        <v>371</v>
      </c>
      <c r="C4" s="1470"/>
      <c r="D4" s="1470"/>
      <c r="E4" s="1470"/>
      <c r="F4" s="1470"/>
      <c r="G4" s="1470"/>
      <c r="H4" s="1470"/>
      <c r="I4" s="1470"/>
      <c r="J4" s="1470"/>
      <c r="K4" s="1470"/>
      <c r="L4" s="1470"/>
      <c r="M4" s="1470"/>
      <c r="N4" s="1474"/>
      <c r="O4" s="1470"/>
      <c r="P4" s="1470"/>
      <c r="Q4" s="1470"/>
      <c r="R4" s="1470"/>
      <c r="S4" s="1470"/>
      <c r="T4" s="1470"/>
      <c r="U4" s="1469"/>
      <c r="V4" s="1470"/>
      <c r="W4" s="1470"/>
      <c r="X4" s="1471"/>
      <c r="Y4" s="1472"/>
      <c r="Z4" s="1473"/>
    </row>
    <row r="5" spans="1:26" s="556" customFormat="1" ht="13.5" customHeight="1" x14ac:dyDescent="0.2">
      <c r="A5" s="622">
        <v>4</v>
      </c>
      <c r="B5" s="832" t="s">
        <v>372</v>
      </c>
      <c r="C5" s="1470"/>
      <c r="D5" s="1470"/>
      <c r="E5" s="1470"/>
      <c r="F5" s="1470"/>
      <c r="G5" s="1470"/>
      <c r="H5" s="1470"/>
      <c r="I5" s="1470"/>
      <c r="J5" s="1470"/>
      <c r="K5" s="1470"/>
      <c r="L5" s="1470"/>
      <c r="M5" s="1470"/>
      <c r="N5" s="1474"/>
      <c r="O5" s="1470"/>
      <c r="P5" s="1470"/>
      <c r="Q5" s="1470"/>
      <c r="R5" s="1470"/>
      <c r="S5" s="1470"/>
      <c r="T5" s="1470"/>
      <c r="U5" s="1469"/>
      <c r="V5" s="1470"/>
      <c r="W5" s="1470"/>
      <c r="X5" s="1471"/>
      <c r="Y5" s="1472"/>
      <c r="Z5" s="1473"/>
    </row>
    <row r="6" spans="1:26" s="556" customFormat="1" ht="13.5" customHeight="1" x14ac:dyDescent="0.2">
      <c r="A6" s="622">
        <v>5</v>
      </c>
      <c r="B6" s="832" t="s">
        <v>373</v>
      </c>
      <c r="C6" s="1470"/>
      <c r="D6" s="1470"/>
      <c r="E6" s="1470"/>
      <c r="F6" s="1470"/>
      <c r="G6" s="1470"/>
      <c r="H6" s="1470"/>
      <c r="I6" s="1470"/>
      <c r="J6" s="1470"/>
      <c r="K6" s="1470"/>
      <c r="L6" s="1470"/>
      <c r="M6" s="1470"/>
      <c r="N6" s="1474"/>
      <c r="O6" s="1470"/>
      <c r="P6" s="1470"/>
      <c r="Q6" s="1470"/>
      <c r="R6" s="1470"/>
      <c r="S6" s="1470"/>
      <c r="T6" s="1470"/>
      <c r="U6" s="1469"/>
      <c r="V6" s="1470"/>
      <c r="W6" s="1470"/>
      <c r="X6" s="1471"/>
      <c r="Y6" s="1472"/>
      <c r="Z6" s="1473"/>
    </row>
    <row r="7" spans="1:26" s="556" customFormat="1" ht="13.5" customHeight="1" x14ac:dyDescent="0.2">
      <c r="A7" s="622">
        <v>6</v>
      </c>
      <c r="B7" s="832" t="s">
        <v>374</v>
      </c>
      <c r="C7" s="1470"/>
      <c r="D7" s="1470"/>
      <c r="E7" s="1470"/>
      <c r="F7" s="1470"/>
      <c r="G7" s="1470"/>
      <c r="H7" s="1470"/>
      <c r="I7" s="1470"/>
      <c r="J7" s="1470"/>
      <c r="K7" s="1470"/>
      <c r="L7" s="1470"/>
      <c r="M7" s="1470"/>
      <c r="N7" s="1474"/>
      <c r="O7" s="1470"/>
      <c r="P7" s="1470"/>
      <c r="Q7" s="1470"/>
      <c r="R7" s="1470"/>
      <c r="S7" s="1470"/>
      <c r="T7" s="1470"/>
      <c r="U7" s="1469"/>
      <c r="V7" s="1470"/>
      <c r="W7" s="1470"/>
      <c r="X7" s="1471"/>
      <c r="Y7" s="1472"/>
      <c r="Z7" s="1473"/>
    </row>
    <row r="8" spans="1:26" s="556" customFormat="1" ht="13.5" customHeight="1" x14ac:dyDescent="0.2">
      <c r="A8" s="1451"/>
      <c r="B8" s="1452" t="s">
        <v>243</v>
      </c>
      <c r="C8" s="1552"/>
      <c r="D8" s="1552"/>
      <c r="E8" s="1552"/>
      <c r="F8" s="1552"/>
      <c r="G8" s="1552"/>
      <c r="H8" s="1552"/>
      <c r="I8" s="1552"/>
      <c r="J8" s="1552"/>
      <c r="K8" s="1552"/>
      <c r="L8" s="1552"/>
      <c r="M8" s="1552"/>
      <c r="N8" s="1552"/>
      <c r="O8" s="1552"/>
      <c r="P8" s="1552"/>
      <c r="Q8" s="1552"/>
      <c r="R8" s="1552"/>
      <c r="S8" s="1552"/>
      <c r="T8" s="1552"/>
      <c r="U8" s="1552"/>
      <c r="V8" s="1552"/>
      <c r="W8" s="1552"/>
      <c r="X8" s="1552"/>
      <c r="Y8" s="1553"/>
      <c r="Z8" s="1554"/>
    </row>
    <row r="9" spans="1:26" s="556" customFormat="1" ht="13.5" customHeight="1" x14ac:dyDescent="0.2">
      <c r="A9" s="622">
        <v>7</v>
      </c>
      <c r="B9" s="832" t="s">
        <v>375</v>
      </c>
      <c r="C9" s="1470"/>
      <c r="D9" s="1470"/>
      <c r="E9" s="1470"/>
      <c r="F9" s="1470"/>
      <c r="G9" s="1470"/>
      <c r="H9" s="1470"/>
      <c r="I9" s="1470"/>
      <c r="J9" s="1470"/>
      <c r="K9" s="1470"/>
      <c r="L9" s="1470"/>
      <c r="M9" s="1470"/>
      <c r="N9" s="1474"/>
      <c r="O9" s="1470"/>
      <c r="P9" s="1470"/>
      <c r="Q9" s="1470"/>
      <c r="R9" s="1470"/>
      <c r="S9" s="1470"/>
      <c r="T9" s="1470"/>
      <c r="U9" s="1469"/>
      <c r="V9" s="1470"/>
      <c r="W9" s="1470"/>
      <c r="X9" s="1471"/>
      <c r="Y9" s="1472"/>
      <c r="Z9" s="1473"/>
    </row>
    <row r="10" spans="1:26" s="556" customFormat="1" ht="13.5" customHeight="1" x14ac:dyDescent="0.2">
      <c r="A10" s="940">
        <v>8</v>
      </c>
      <c r="B10" s="833" t="s">
        <v>376</v>
      </c>
      <c r="C10" s="1470"/>
      <c r="D10" s="1470"/>
      <c r="E10" s="1470"/>
      <c r="F10" s="1470"/>
      <c r="G10" s="1470"/>
      <c r="H10" s="1470"/>
      <c r="I10" s="1470"/>
      <c r="J10" s="1470"/>
      <c r="K10" s="1470"/>
      <c r="L10" s="1470"/>
      <c r="M10" s="1470"/>
      <c r="N10" s="1474"/>
      <c r="O10" s="1470"/>
      <c r="P10" s="1470"/>
      <c r="Q10" s="1470"/>
      <c r="R10" s="1470"/>
      <c r="S10" s="1470"/>
      <c r="T10" s="1470"/>
      <c r="U10" s="1469"/>
      <c r="V10" s="1470"/>
      <c r="W10" s="1470"/>
      <c r="X10" s="1471"/>
      <c r="Y10" s="1472"/>
      <c r="Z10" s="1473"/>
    </row>
    <row r="11" spans="1:26" s="556" customFormat="1" ht="13.5" customHeight="1" x14ac:dyDescent="0.2">
      <c r="A11" s="622">
        <v>9</v>
      </c>
      <c r="B11" s="832" t="s">
        <v>377</v>
      </c>
      <c r="C11" s="1470"/>
      <c r="D11" s="1470"/>
      <c r="E11" s="1470"/>
      <c r="F11" s="1470"/>
      <c r="G11" s="1470"/>
      <c r="H11" s="1470"/>
      <c r="I11" s="1470"/>
      <c r="J11" s="1470"/>
      <c r="K11" s="1470"/>
      <c r="L11" s="1470"/>
      <c r="M11" s="1470"/>
      <c r="N11" s="1474"/>
      <c r="O11" s="1470"/>
      <c r="P11" s="1470"/>
      <c r="Q11" s="1470"/>
      <c r="R11" s="1470"/>
      <c r="S11" s="1470"/>
      <c r="T11" s="1470"/>
      <c r="U11" s="1469"/>
      <c r="V11" s="1470"/>
      <c r="W11" s="1470"/>
      <c r="X11" s="1471"/>
      <c r="Y11" s="1472"/>
      <c r="Z11" s="1473"/>
    </row>
    <row r="12" spans="1:26" s="556" customFormat="1" ht="13.5" customHeight="1" x14ac:dyDescent="0.2">
      <c r="A12" s="622">
        <v>10</v>
      </c>
      <c r="B12" s="832" t="s">
        <v>378</v>
      </c>
      <c r="C12" s="1459">
        <v>2240</v>
      </c>
      <c r="D12" s="1459">
        <v>3239</v>
      </c>
      <c r="E12" s="1459">
        <v>7640</v>
      </c>
      <c r="F12" s="1459">
        <v>4315</v>
      </c>
      <c r="G12" s="1459">
        <v>18408</v>
      </c>
      <c r="H12" s="1459">
        <v>2424</v>
      </c>
      <c r="I12" s="1459">
        <v>18283</v>
      </c>
      <c r="J12" s="1459">
        <v>4025</v>
      </c>
      <c r="K12" s="1459">
        <v>2717</v>
      </c>
      <c r="L12" s="1459">
        <v>6779</v>
      </c>
      <c r="M12" s="1459">
        <v>2844</v>
      </c>
      <c r="N12" s="1459">
        <v>2739</v>
      </c>
      <c r="O12" s="1459">
        <v>1985</v>
      </c>
      <c r="P12" s="1459">
        <v>3830</v>
      </c>
      <c r="Q12" s="1459">
        <v>2598</v>
      </c>
      <c r="R12" s="1459">
        <v>10635</v>
      </c>
      <c r="S12" s="1459">
        <v>3242</v>
      </c>
      <c r="T12" s="1459">
        <v>1766</v>
      </c>
      <c r="U12" s="1459">
        <v>1686</v>
      </c>
      <c r="V12" s="1459">
        <v>9490</v>
      </c>
      <c r="W12" s="1459">
        <v>1135</v>
      </c>
      <c r="X12" s="1468">
        <v>1705</v>
      </c>
      <c r="Y12" s="1460">
        <v>104890</v>
      </c>
      <c r="Z12" s="617">
        <v>650930</v>
      </c>
    </row>
    <row r="13" spans="1:26" s="556" customFormat="1" ht="13.5" customHeight="1" x14ac:dyDescent="0.2">
      <c r="A13" s="622">
        <v>11</v>
      </c>
      <c r="B13" s="832" t="s">
        <v>379</v>
      </c>
      <c r="C13" s="1470"/>
      <c r="D13" s="1470"/>
      <c r="E13" s="1470"/>
      <c r="F13" s="1470"/>
      <c r="G13" s="1470"/>
      <c r="H13" s="1470"/>
      <c r="I13" s="1470"/>
      <c r="J13" s="1470"/>
      <c r="K13" s="1470"/>
      <c r="L13" s="1470"/>
      <c r="M13" s="1470"/>
      <c r="N13" s="1470"/>
      <c r="O13" s="1470"/>
      <c r="P13" s="1470"/>
      <c r="Q13" s="1470"/>
      <c r="R13" s="1470"/>
      <c r="S13" s="1470"/>
      <c r="T13" s="1470"/>
      <c r="U13" s="1470"/>
      <c r="V13" s="1470"/>
      <c r="W13" s="1470"/>
      <c r="X13" s="1471"/>
      <c r="Y13" s="1472"/>
      <c r="Z13" s="1473"/>
    </row>
    <row r="14" spans="1:26" s="556" customFormat="1" ht="13.5" customHeight="1" x14ac:dyDescent="0.2">
      <c r="A14" s="622">
        <v>12</v>
      </c>
      <c r="B14" s="832" t="s">
        <v>380</v>
      </c>
      <c r="C14" s="1459">
        <v>1610</v>
      </c>
      <c r="D14" s="1459">
        <v>2995</v>
      </c>
      <c r="E14" s="1459">
        <v>5607</v>
      </c>
      <c r="F14" s="1459">
        <v>4235</v>
      </c>
      <c r="G14" s="1459">
        <v>15738</v>
      </c>
      <c r="H14" s="1459">
        <v>1887</v>
      </c>
      <c r="I14" s="1459">
        <v>18179</v>
      </c>
      <c r="J14" s="1459">
        <v>3730</v>
      </c>
      <c r="K14" s="1459">
        <v>2261</v>
      </c>
      <c r="L14" s="1459">
        <v>5618</v>
      </c>
      <c r="M14" s="1459">
        <v>2771</v>
      </c>
      <c r="N14" s="1459">
        <v>2701</v>
      </c>
      <c r="O14" s="1459">
        <v>1896</v>
      </c>
      <c r="P14" s="1459">
        <v>3635</v>
      </c>
      <c r="Q14" s="1459">
        <v>2269</v>
      </c>
      <c r="R14" s="1459">
        <v>10489</v>
      </c>
      <c r="S14" s="1459">
        <v>3032</v>
      </c>
      <c r="T14" s="1459">
        <v>1539</v>
      </c>
      <c r="U14" s="1459">
        <v>1686</v>
      </c>
      <c r="V14" s="1459">
        <v>9490</v>
      </c>
      <c r="W14" s="1459">
        <v>1073</v>
      </c>
      <c r="X14" s="1468">
        <v>1684</v>
      </c>
      <c r="Y14" s="1460">
        <v>95920</v>
      </c>
      <c r="Z14" s="617">
        <v>598320</v>
      </c>
    </row>
    <row r="15" spans="1:26" s="556" customFormat="1" ht="13.5" customHeight="1" x14ac:dyDescent="0.2">
      <c r="A15" s="1451"/>
      <c r="B15" s="1452" t="s">
        <v>244</v>
      </c>
      <c r="C15" s="1552"/>
      <c r="D15" s="1552"/>
      <c r="E15" s="1552"/>
      <c r="F15" s="1552"/>
      <c r="G15" s="1552"/>
      <c r="H15" s="1552"/>
      <c r="I15" s="1552"/>
      <c r="J15" s="1552"/>
      <c r="K15" s="1552"/>
      <c r="L15" s="1552"/>
      <c r="M15" s="1552"/>
      <c r="N15" s="1552"/>
      <c r="O15" s="1552"/>
      <c r="P15" s="1552"/>
      <c r="Q15" s="1552"/>
      <c r="R15" s="1552"/>
      <c r="S15" s="1552"/>
      <c r="T15" s="1552"/>
      <c r="U15" s="1552"/>
      <c r="V15" s="1552"/>
      <c r="W15" s="1552"/>
      <c r="X15" s="1552"/>
      <c r="Y15" s="1553"/>
      <c r="Z15" s="1554"/>
    </row>
    <row r="16" spans="1:26" s="556" customFormat="1" ht="13.5" customHeight="1" x14ac:dyDescent="0.2">
      <c r="A16" s="942">
        <v>13</v>
      </c>
      <c r="B16" s="834" t="s">
        <v>381</v>
      </c>
      <c r="C16" s="1458">
        <v>215</v>
      </c>
      <c r="D16" s="1459">
        <v>105</v>
      </c>
      <c r="E16" s="1459">
        <v>571</v>
      </c>
      <c r="F16" s="1459">
        <v>458</v>
      </c>
      <c r="G16" s="1459">
        <v>1906</v>
      </c>
      <c r="H16" s="1459">
        <v>176</v>
      </c>
      <c r="I16" s="1459">
        <v>1561</v>
      </c>
      <c r="J16" s="1459">
        <v>415</v>
      </c>
      <c r="K16" s="1459">
        <v>287</v>
      </c>
      <c r="L16" s="1459">
        <v>392</v>
      </c>
      <c r="M16" s="1459">
        <v>220</v>
      </c>
      <c r="N16" s="1459">
        <v>176</v>
      </c>
      <c r="O16" s="1459">
        <v>138</v>
      </c>
      <c r="P16" s="1459">
        <v>92</v>
      </c>
      <c r="Q16" s="1459">
        <v>565</v>
      </c>
      <c r="R16" s="1459">
        <v>194</v>
      </c>
      <c r="S16" s="1459">
        <v>820</v>
      </c>
      <c r="T16" s="1459">
        <v>89</v>
      </c>
      <c r="U16" s="1459">
        <v>142</v>
      </c>
      <c r="V16" s="1459">
        <v>497</v>
      </c>
      <c r="W16" s="1459">
        <v>179</v>
      </c>
      <c r="X16" s="1468">
        <v>143</v>
      </c>
      <c r="Y16" s="1460">
        <v>8520</v>
      </c>
      <c r="Z16" s="617">
        <v>51950</v>
      </c>
    </row>
    <row r="17" spans="1:26" s="556" customFormat="1" ht="13.5" customHeight="1" x14ac:dyDescent="0.2">
      <c r="A17" s="942">
        <v>14</v>
      </c>
      <c r="B17" s="834" t="s">
        <v>382</v>
      </c>
      <c r="C17" s="1469"/>
      <c r="D17" s="1470"/>
      <c r="E17" s="1470"/>
      <c r="F17" s="1470"/>
      <c r="G17" s="1470"/>
      <c r="H17" s="1470"/>
      <c r="I17" s="1470"/>
      <c r="J17" s="1470"/>
      <c r="K17" s="1470"/>
      <c r="L17" s="1470"/>
      <c r="M17" s="1470"/>
      <c r="N17" s="1470"/>
      <c r="O17" s="1470"/>
      <c r="P17" s="1470"/>
      <c r="Q17" s="1470"/>
      <c r="R17" s="1470"/>
      <c r="S17" s="1470"/>
      <c r="T17" s="1470"/>
      <c r="U17" s="1470"/>
      <c r="V17" s="1470"/>
      <c r="W17" s="1470"/>
      <c r="X17" s="1471"/>
      <c r="Y17" s="1472"/>
      <c r="Z17" s="1473"/>
    </row>
    <row r="18" spans="1:26" s="556" customFormat="1" ht="13.5" customHeight="1" x14ac:dyDescent="0.2">
      <c r="A18" s="942">
        <v>15</v>
      </c>
      <c r="B18" s="834" t="s">
        <v>383</v>
      </c>
      <c r="C18" s="1469"/>
      <c r="D18" s="1470"/>
      <c r="E18" s="1470"/>
      <c r="F18" s="1470"/>
      <c r="G18" s="1470"/>
      <c r="H18" s="1470"/>
      <c r="I18" s="1470"/>
      <c r="J18" s="1470"/>
      <c r="K18" s="1470"/>
      <c r="L18" s="1470"/>
      <c r="M18" s="1470"/>
      <c r="N18" s="1470"/>
      <c r="O18" s="1470"/>
      <c r="P18" s="1470"/>
      <c r="Q18" s="1470"/>
      <c r="R18" s="1470"/>
      <c r="S18" s="1470"/>
      <c r="T18" s="1470"/>
      <c r="U18" s="1470"/>
      <c r="V18" s="1470"/>
      <c r="W18" s="1470"/>
      <c r="X18" s="1471"/>
      <c r="Y18" s="1472"/>
      <c r="Z18" s="1473"/>
    </row>
    <row r="19" spans="1:26" s="556" customFormat="1" ht="13.5" customHeight="1" x14ac:dyDescent="0.2">
      <c r="A19" s="942">
        <v>16</v>
      </c>
      <c r="B19" s="834" t="s">
        <v>384</v>
      </c>
      <c r="C19" s="1469"/>
      <c r="D19" s="1470"/>
      <c r="E19" s="1470"/>
      <c r="F19" s="1470"/>
      <c r="G19" s="1470"/>
      <c r="H19" s="1470"/>
      <c r="I19" s="1470"/>
      <c r="J19" s="1470"/>
      <c r="K19" s="1470"/>
      <c r="L19" s="1470"/>
      <c r="M19" s="1470"/>
      <c r="N19" s="1470"/>
      <c r="O19" s="1470"/>
      <c r="P19" s="1470"/>
      <c r="Q19" s="1470"/>
      <c r="R19" s="1470"/>
      <c r="S19" s="1470"/>
      <c r="T19" s="1470"/>
      <c r="U19" s="1470"/>
      <c r="V19" s="1470"/>
      <c r="W19" s="1470"/>
      <c r="X19" s="1471"/>
      <c r="Y19" s="1472"/>
      <c r="Z19" s="1473"/>
    </row>
    <row r="20" spans="1:26" s="556" customFormat="1" ht="13.5" customHeight="1" x14ac:dyDescent="0.2">
      <c r="A20" s="942">
        <v>17</v>
      </c>
      <c r="B20" s="834" t="s">
        <v>385</v>
      </c>
      <c r="C20" s="1458">
        <v>592</v>
      </c>
      <c r="D20" s="1459">
        <v>508</v>
      </c>
      <c r="E20" s="1459">
        <v>1537</v>
      </c>
      <c r="F20" s="1459">
        <v>669</v>
      </c>
      <c r="G20" s="1459">
        <v>4431</v>
      </c>
      <c r="H20" s="1459">
        <v>679</v>
      </c>
      <c r="I20" s="1459">
        <v>3213</v>
      </c>
      <c r="J20" s="1459">
        <v>819</v>
      </c>
      <c r="K20" s="1459">
        <v>567</v>
      </c>
      <c r="L20" s="1459">
        <v>1387</v>
      </c>
      <c r="M20" s="1459">
        <v>548</v>
      </c>
      <c r="N20" s="1457">
        <v>458</v>
      </c>
      <c r="O20" s="1459">
        <v>459</v>
      </c>
      <c r="P20" s="1459">
        <v>561</v>
      </c>
      <c r="Q20" s="1459">
        <v>1842</v>
      </c>
      <c r="R20" s="1459">
        <v>219</v>
      </c>
      <c r="S20" s="1459">
        <v>2046</v>
      </c>
      <c r="T20" s="1459">
        <v>172</v>
      </c>
      <c r="U20" s="1458">
        <v>334</v>
      </c>
      <c r="V20" s="1459">
        <v>527</v>
      </c>
      <c r="W20" s="1459">
        <v>632</v>
      </c>
      <c r="X20" s="1468">
        <v>295</v>
      </c>
      <c r="Y20" s="1460">
        <v>21040</v>
      </c>
      <c r="Z20" s="617">
        <v>117190</v>
      </c>
    </row>
    <row r="21" spans="1:26" s="556" customFormat="1" ht="13.5" customHeight="1" x14ac:dyDescent="0.2">
      <c r="A21" s="942">
        <v>18</v>
      </c>
      <c r="B21" s="834" t="s">
        <v>386</v>
      </c>
      <c r="C21" s="1458">
        <v>0</v>
      </c>
      <c r="D21" s="1459">
        <v>101</v>
      </c>
      <c r="E21" s="1459">
        <v>19</v>
      </c>
      <c r="F21" s="1459">
        <v>189</v>
      </c>
      <c r="G21" s="1459">
        <v>0</v>
      </c>
      <c r="H21" s="1459">
        <v>0</v>
      </c>
      <c r="I21" s="1459">
        <v>93</v>
      </c>
      <c r="J21" s="1459">
        <v>52</v>
      </c>
      <c r="K21" s="1459">
        <v>0</v>
      </c>
      <c r="L21" s="1459">
        <v>32</v>
      </c>
      <c r="M21" s="1459">
        <v>18</v>
      </c>
      <c r="N21" s="1457">
        <v>77</v>
      </c>
      <c r="O21" s="1459">
        <v>0</v>
      </c>
      <c r="P21" s="1459">
        <v>0</v>
      </c>
      <c r="Q21" s="1459">
        <v>416</v>
      </c>
      <c r="R21" s="1459">
        <v>104</v>
      </c>
      <c r="S21" s="1459">
        <v>0</v>
      </c>
      <c r="T21" s="1459">
        <v>12</v>
      </c>
      <c r="U21" s="1458">
        <v>11</v>
      </c>
      <c r="V21" s="1459">
        <v>51</v>
      </c>
      <c r="W21" s="1459">
        <v>21</v>
      </c>
      <c r="X21" s="1468">
        <v>0</v>
      </c>
      <c r="Y21" s="1460">
        <v>1200</v>
      </c>
      <c r="Z21" s="617">
        <v>15580</v>
      </c>
    </row>
    <row r="22" spans="1:26" s="556" customFormat="1" ht="13.5" customHeight="1" x14ac:dyDescent="0.2">
      <c r="A22" s="942">
        <v>19</v>
      </c>
      <c r="B22" s="834" t="s">
        <v>387</v>
      </c>
      <c r="C22" s="1458">
        <v>254</v>
      </c>
      <c r="D22" s="1459">
        <v>305</v>
      </c>
      <c r="E22" s="1459">
        <v>1182</v>
      </c>
      <c r="F22" s="1459">
        <v>408</v>
      </c>
      <c r="G22" s="1459">
        <v>3063</v>
      </c>
      <c r="H22" s="1459">
        <v>308</v>
      </c>
      <c r="I22" s="1459">
        <v>2326</v>
      </c>
      <c r="J22" s="1459">
        <v>359</v>
      </c>
      <c r="K22" s="1459">
        <v>332</v>
      </c>
      <c r="L22" s="1459">
        <v>623</v>
      </c>
      <c r="M22" s="1459">
        <v>371</v>
      </c>
      <c r="N22" s="1457">
        <v>397</v>
      </c>
      <c r="O22" s="1459">
        <v>209</v>
      </c>
      <c r="P22" s="1459">
        <v>363</v>
      </c>
      <c r="Q22" s="1459">
        <v>1437</v>
      </c>
      <c r="R22" s="1459">
        <v>150</v>
      </c>
      <c r="S22" s="1459">
        <v>1139</v>
      </c>
      <c r="T22" s="1459">
        <v>130</v>
      </c>
      <c r="U22" s="1458">
        <v>253</v>
      </c>
      <c r="V22" s="1459">
        <v>608</v>
      </c>
      <c r="W22" s="1459">
        <v>414</v>
      </c>
      <c r="X22" s="1468">
        <v>235</v>
      </c>
      <c r="Y22" s="1460">
        <v>13610</v>
      </c>
      <c r="Z22" s="617">
        <v>95070</v>
      </c>
    </row>
    <row r="23" spans="1:26" s="556" customFormat="1" ht="13.5" customHeight="1" x14ac:dyDescent="0.2">
      <c r="A23" s="942">
        <v>20</v>
      </c>
      <c r="B23" s="834" t="s">
        <v>388</v>
      </c>
      <c r="C23" s="1469"/>
      <c r="D23" s="1470"/>
      <c r="E23" s="1470"/>
      <c r="F23" s="1470"/>
      <c r="G23" s="1470"/>
      <c r="H23" s="1470"/>
      <c r="I23" s="1470"/>
      <c r="J23" s="1470"/>
      <c r="K23" s="1470"/>
      <c r="L23" s="1470"/>
      <c r="M23" s="1470"/>
      <c r="N23" s="1474"/>
      <c r="O23" s="1470"/>
      <c r="P23" s="1470"/>
      <c r="Q23" s="1470"/>
      <c r="R23" s="1470"/>
      <c r="S23" s="1470"/>
      <c r="T23" s="1470"/>
      <c r="U23" s="1469"/>
      <c r="V23" s="1470"/>
      <c r="W23" s="1470"/>
      <c r="X23" s="1471"/>
      <c r="Y23" s="1472"/>
      <c r="Z23" s="1473"/>
    </row>
    <row r="24" spans="1:26" s="556" customFormat="1" ht="13.5" customHeight="1" x14ac:dyDescent="0.2">
      <c r="A24" s="942">
        <v>21</v>
      </c>
      <c r="B24" s="834" t="s">
        <v>389</v>
      </c>
      <c r="C24" s="1469"/>
      <c r="D24" s="1470"/>
      <c r="E24" s="1470"/>
      <c r="F24" s="1470"/>
      <c r="G24" s="1470"/>
      <c r="H24" s="1470"/>
      <c r="I24" s="1470"/>
      <c r="J24" s="1470"/>
      <c r="K24" s="1470"/>
      <c r="L24" s="1470"/>
      <c r="M24" s="1470"/>
      <c r="N24" s="1474"/>
      <c r="O24" s="1470"/>
      <c r="P24" s="1470"/>
      <c r="Q24" s="1470"/>
      <c r="R24" s="1470"/>
      <c r="S24" s="1470"/>
      <c r="T24" s="1470"/>
      <c r="U24" s="1469"/>
      <c r="V24" s="1470"/>
      <c r="W24" s="1470"/>
      <c r="X24" s="1471"/>
      <c r="Y24" s="1472"/>
      <c r="Z24" s="1473"/>
    </row>
    <row r="25" spans="1:26" s="556" customFormat="1" ht="13.5" customHeight="1" x14ac:dyDescent="0.2">
      <c r="A25" s="942">
        <v>22</v>
      </c>
      <c r="B25" s="834" t="s">
        <v>390</v>
      </c>
      <c r="C25" s="1469"/>
      <c r="D25" s="1470"/>
      <c r="E25" s="1470"/>
      <c r="F25" s="1470"/>
      <c r="G25" s="1470"/>
      <c r="H25" s="1470"/>
      <c r="I25" s="1470"/>
      <c r="J25" s="1470"/>
      <c r="K25" s="1470"/>
      <c r="L25" s="1470"/>
      <c r="M25" s="1470"/>
      <c r="N25" s="1474"/>
      <c r="O25" s="1470"/>
      <c r="P25" s="1470"/>
      <c r="Q25" s="1470"/>
      <c r="R25" s="1470"/>
      <c r="S25" s="1470"/>
      <c r="T25" s="1470"/>
      <c r="U25" s="1469"/>
      <c r="V25" s="1470"/>
      <c r="W25" s="1470"/>
      <c r="X25" s="1471"/>
      <c r="Y25" s="1472"/>
      <c r="Z25" s="1473"/>
    </row>
    <row r="26" spans="1:26" s="556" customFormat="1" ht="13.5" customHeight="1" x14ac:dyDescent="0.2">
      <c r="A26" s="942">
        <v>23</v>
      </c>
      <c r="B26" s="834" t="s">
        <v>391</v>
      </c>
      <c r="C26" s="1469"/>
      <c r="D26" s="1470"/>
      <c r="E26" s="1470"/>
      <c r="F26" s="1470"/>
      <c r="G26" s="1470"/>
      <c r="H26" s="1470"/>
      <c r="I26" s="1470"/>
      <c r="J26" s="1470"/>
      <c r="K26" s="1470"/>
      <c r="L26" s="1470"/>
      <c r="M26" s="1470"/>
      <c r="N26" s="1474"/>
      <c r="O26" s="1470"/>
      <c r="P26" s="1470"/>
      <c r="Q26" s="1470"/>
      <c r="R26" s="1470"/>
      <c r="S26" s="1470"/>
      <c r="T26" s="1470"/>
      <c r="U26" s="1471"/>
      <c r="V26" s="1470"/>
      <c r="W26" s="1470"/>
      <c r="X26" s="1471"/>
      <c r="Y26" s="1472"/>
      <c r="Z26" s="1473"/>
    </row>
    <row r="27" spans="1:26" s="556" customFormat="1" ht="13.5" customHeight="1" x14ac:dyDescent="0.2">
      <c r="A27" s="942">
        <v>24</v>
      </c>
      <c r="B27" s="834" t="s">
        <v>392</v>
      </c>
      <c r="C27" s="1469"/>
      <c r="D27" s="1470"/>
      <c r="E27" s="1470"/>
      <c r="F27" s="1470"/>
      <c r="G27" s="1470"/>
      <c r="H27" s="1470"/>
      <c r="I27" s="1470"/>
      <c r="J27" s="1470"/>
      <c r="K27" s="1470"/>
      <c r="L27" s="1470"/>
      <c r="M27" s="1470"/>
      <c r="N27" s="1474"/>
      <c r="O27" s="1470"/>
      <c r="P27" s="1470"/>
      <c r="Q27" s="1470"/>
      <c r="R27" s="1470"/>
      <c r="S27" s="1470"/>
      <c r="T27" s="1470"/>
      <c r="U27" s="1469"/>
      <c r="V27" s="1470"/>
      <c r="W27" s="1470"/>
      <c r="X27" s="1471"/>
      <c r="Y27" s="1472"/>
      <c r="Z27" s="1473"/>
    </row>
    <row r="28" spans="1:26" s="556" customFormat="1" ht="13.5" customHeight="1" x14ac:dyDescent="0.2">
      <c r="A28" s="942">
        <v>25</v>
      </c>
      <c r="B28" s="834" t="s">
        <v>393</v>
      </c>
      <c r="C28" s="1458">
        <v>30</v>
      </c>
      <c r="D28" s="1459">
        <v>41</v>
      </c>
      <c r="E28" s="1459">
        <v>66</v>
      </c>
      <c r="F28" s="1459">
        <v>98</v>
      </c>
      <c r="G28" s="1459">
        <v>0</v>
      </c>
      <c r="H28" s="1459">
        <v>0</v>
      </c>
      <c r="I28" s="1459">
        <v>363</v>
      </c>
      <c r="J28" s="1459">
        <v>67</v>
      </c>
      <c r="K28" s="1459">
        <v>43</v>
      </c>
      <c r="L28" s="1459">
        <v>53</v>
      </c>
      <c r="M28" s="1459">
        <v>108</v>
      </c>
      <c r="N28" s="1457">
        <v>76</v>
      </c>
      <c r="O28" s="1459">
        <v>0</v>
      </c>
      <c r="P28" s="1459">
        <v>0</v>
      </c>
      <c r="Q28" s="1459">
        <v>145</v>
      </c>
      <c r="R28" s="1459">
        <v>32</v>
      </c>
      <c r="S28" s="1459">
        <v>143</v>
      </c>
      <c r="T28" s="1459">
        <v>10</v>
      </c>
      <c r="U28" s="1458">
        <v>9</v>
      </c>
      <c r="V28" s="1459">
        <v>32</v>
      </c>
      <c r="W28" s="1459">
        <v>38</v>
      </c>
      <c r="X28" s="1468">
        <v>0</v>
      </c>
      <c r="Y28" s="1460">
        <v>1540</v>
      </c>
      <c r="Z28" s="617">
        <v>8540</v>
      </c>
    </row>
    <row r="29" spans="1:26" s="556" customFormat="1" ht="13.5" customHeight="1" x14ac:dyDescent="0.2">
      <c r="A29" s="942">
        <v>26</v>
      </c>
      <c r="B29" s="834" t="s">
        <v>394</v>
      </c>
      <c r="C29" s="1458">
        <v>466</v>
      </c>
      <c r="D29" s="1459">
        <v>419</v>
      </c>
      <c r="E29" s="1459">
        <v>766</v>
      </c>
      <c r="F29" s="1459">
        <v>706</v>
      </c>
      <c r="G29" s="1459">
        <v>1661</v>
      </c>
      <c r="H29" s="1459">
        <v>227</v>
      </c>
      <c r="I29" s="1459">
        <v>2281</v>
      </c>
      <c r="J29" s="1459">
        <v>506</v>
      </c>
      <c r="K29" s="1459">
        <v>418</v>
      </c>
      <c r="L29" s="1459">
        <v>331</v>
      </c>
      <c r="M29" s="1459">
        <v>513</v>
      </c>
      <c r="N29" s="1457">
        <v>249</v>
      </c>
      <c r="O29" s="1459">
        <v>331</v>
      </c>
      <c r="P29" s="1459">
        <v>433</v>
      </c>
      <c r="Q29" s="1459">
        <v>1299</v>
      </c>
      <c r="R29" s="1459">
        <v>300</v>
      </c>
      <c r="S29" s="1459">
        <v>1493</v>
      </c>
      <c r="T29" s="1459">
        <v>77</v>
      </c>
      <c r="U29" s="1458">
        <v>151</v>
      </c>
      <c r="V29" s="1459">
        <v>578</v>
      </c>
      <c r="W29" s="1459">
        <v>271</v>
      </c>
      <c r="X29" s="1468">
        <v>266</v>
      </c>
      <c r="Y29" s="1460">
        <v>12630</v>
      </c>
      <c r="Z29" s="617">
        <v>86810</v>
      </c>
    </row>
    <row r="30" spans="1:26" s="556" customFormat="1" ht="13.5" customHeight="1" x14ac:dyDescent="0.2">
      <c r="A30" s="942">
        <v>27</v>
      </c>
      <c r="B30" s="834" t="s">
        <v>395</v>
      </c>
      <c r="C30" s="1469"/>
      <c r="D30" s="1470"/>
      <c r="E30" s="1470"/>
      <c r="F30" s="1470"/>
      <c r="G30" s="1470"/>
      <c r="H30" s="1470"/>
      <c r="I30" s="1470"/>
      <c r="J30" s="1470"/>
      <c r="K30" s="1470"/>
      <c r="L30" s="1470"/>
      <c r="M30" s="1470"/>
      <c r="N30" s="1474"/>
      <c r="O30" s="1470"/>
      <c r="P30" s="1470"/>
      <c r="Q30" s="1470"/>
      <c r="R30" s="1470"/>
      <c r="S30" s="1470"/>
      <c r="T30" s="1470"/>
      <c r="U30" s="1469"/>
      <c r="V30" s="1470"/>
      <c r="W30" s="1470"/>
      <c r="X30" s="1471"/>
      <c r="Y30" s="1472"/>
      <c r="Z30" s="1473"/>
    </row>
    <row r="31" spans="1:26" s="556" customFormat="1" ht="13.5" customHeight="1" x14ac:dyDescent="0.2">
      <c r="A31" s="942">
        <v>28</v>
      </c>
      <c r="B31" s="834" t="s">
        <v>396</v>
      </c>
      <c r="C31" s="1469"/>
      <c r="D31" s="1470"/>
      <c r="E31" s="1470"/>
      <c r="F31" s="1470"/>
      <c r="G31" s="1470"/>
      <c r="H31" s="1470"/>
      <c r="I31" s="1470"/>
      <c r="J31" s="1470"/>
      <c r="K31" s="1470"/>
      <c r="L31" s="1470"/>
      <c r="M31" s="1470"/>
      <c r="N31" s="1474"/>
      <c r="O31" s="1470"/>
      <c r="P31" s="1470"/>
      <c r="Q31" s="1470"/>
      <c r="R31" s="1470"/>
      <c r="S31" s="1470"/>
      <c r="T31" s="1470"/>
      <c r="U31" s="1469"/>
      <c r="V31" s="1470"/>
      <c r="W31" s="1470"/>
      <c r="X31" s="1471"/>
      <c r="Y31" s="1472"/>
      <c r="Z31" s="1473"/>
    </row>
    <row r="32" spans="1:26" s="556" customFormat="1" ht="13.5" customHeight="1" x14ac:dyDescent="0.2">
      <c r="A32" s="942">
        <v>29</v>
      </c>
      <c r="B32" s="834" t="s">
        <v>397</v>
      </c>
      <c r="C32" s="1458">
        <v>443</v>
      </c>
      <c r="D32" s="1459">
        <v>780</v>
      </c>
      <c r="E32" s="1459">
        <v>2712</v>
      </c>
      <c r="F32" s="1459">
        <v>1148</v>
      </c>
      <c r="G32" s="1459">
        <v>4559</v>
      </c>
      <c r="H32" s="1459">
        <v>555</v>
      </c>
      <c r="I32" s="1459">
        <v>6290</v>
      </c>
      <c r="J32" s="1459">
        <v>1341</v>
      </c>
      <c r="K32" s="1459">
        <v>754</v>
      </c>
      <c r="L32" s="1459">
        <v>2080</v>
      </c>
      <c r="M32" s="1459">
        <v>700</v>
      </c>
      <c r="N32" s="1457">
        <v>1062</v>
      </c>
      <c r="O32" s="1459">
        <v>624</v>
      </c>
      <c r="P32" s="1459">
        <v>813</v>
      </c>
      <c r="Q32" s="1459">
        <v>3862</v>
      </c>
      <c r="R32" s="1459">
        <v>545</v>
      </c>
      <c r="S32" s="1459">
        <v>2556</v>
      </c>
      <c r="T32" s="1459">
        <v>401</v>
      </c>
      <c r="U32" s="1458">
        <v>617</v>
      </c>
      <c r="V32" s="1459">
        <v>1008</v>
      </c>
      <c r="W32" s="1459">
        <v>1214</v>
      </c>
      <c r="X32" s="1468">
        <v>514</v>
      </c>
      <c r="Y32" s="1475">
        <v>31840</v>
      </c>
      <c r="Z32" s="617">
        <v>189910</v>
      </c>
    </row>
    <row r="33" spans="1:26" s="556" customFormat="1" ht="13.5" customHeight="1" x14ac:dyDescent="0.2">
      <c r="A33" s="942">
        <v>30</v>
      </c>
      <c r="B33" s="834" t="s">
        <v>398</v>
      </c>
      <c r="C33" s="1458">
        <v>53</v>
      </c>
      <c r="D33" s="1459">
        <v>80</v>
      </c>
      <c r="E33" s="1459">
        <v>244</v>
      </c>
      <c r="F33" s="1459">
        <v>217</v>
      </c>
      <c r="G33" s="1459">
        <v>593</v>
      </c>
      <c r="H33" s="1459">
        <v>59</v>
      </c>
      <c r="I33" s="1459">
        <v>884</v>
      </c>
      <c r="J33" s="1459">
        <v>135</v>
      </c>
      <c r="K33" s="1459">
        <v>107</v>
      </c>
      <c r="L33" s="1459">
        <v>73</v>
      </c>
      <c r="M33" s="1459">
        <v>151</v>
      </c>
      <c r="N33" s="1457">
        <v>71</v>
      </c>
      <c r="O33" s="1459">
        <v>69</v>
      </c>
      <c r="P33" s="1459">
        <v>65</v>
      </c>
      <c r="Q33" s="1459">
        <v>340</v>
      </c>
      <c r="R33" s="1459">
        <v>47</v>
      </c>
      <c r="S33" s="1459">
        <v>292</v>
      </c>
      <c r="T33" s="1459">
        <v>27</v>
      </c>
      <c r="U33" s="1458">
        <v>41</v>
      </c>
      <c r="V33" s="1459">
        <v>136</v>
      </c>
      <c r="W33" s="1459">
        <v>124</v>
      </c>
      <c r="X33" s="1468">
        <v>29</v>
      </c>
      <c r="Y33" s="1460">
        <v>3550</v>
      </c>
      <c r="Z33" s="617">
        <v>23780</v>
      </c>
    </row>
    <row r="34" spans="1:26" s="556" customFormat="1" ht="13.5" customHeight="1" x14ac:dyDescent="0.2">
      <c r="A34" s="942">
        <v>31</v>
      </c>
      <c r="B34" s="834" t="s">
        <v>399</v>
      </c>
      <c r="C34" s="1458">
        <v>95</v>
      </c>
      <c r="D34" s="1459">
        <v>156</v>
      </c>
      <c r="E34" s="1459">
        <v>345</v>
      </c>
      <c r="F34" s="1459">
        <v>318</v>
      </c>
      <c r="G34" s="1459">
        <v>1248</v>
      </c>
      <c r="H34" s="1459">
        <v>301</v>
      </c>
      <c r="I34" s="1459">
        <v>698</v>
      </c>
      <c r="J34" s="1459">
        <v>163</v>
      </c>
      <c r="K34" s="1459">
        <v>106</v>
      </c>
      <c r="L34" s="1459">
        <v>975</v>
      </c>
      <c r="M34" s="1459">
        <v>149</v>
      </c>
      <c r="N34" s="1457">
        <v>138</v>
      </c>
      <c r="O34" s="1459">
        <v>124</v>
      </c>
      <c r="P34" s="1459">
        <v>179</v>
      </c>
      <c r="Q34" s="1459">
        <v>587</v>
      </c>
      <c r="R34" s="1459">
        <v>38</v>
      </c>
      <c r="S34" s="1459">
        <v>609</v>
      </c>
      <c r="T34" s="1459">
        <v>148</v>
      </c>
      <c r="U34" s="1458">
        <v>87</v>
      </c>
      <c r="V34" s="1459">
        <v>234</v>
      </c>
      <c r="W34" s="1459">
        <v>78</v>
      </c>
      <c r="X34" s="1468">
        <v>163</v>
      </c>
      <c r="Y34" s="1475">
        <v>6460</v>
      </c>
      <c r="Z34" s="617">
        <v>35780</v>
      </c>
    </row>
    <row r="35" spans="1:26" s="556" customFormat="1" ht="13.5" customHeight="1" x14ac:dyDescent="0.2">
      <c r="A35" s="942">
        <v>32</v>
      </c>
      <c r="B35" s="834" t="s">
        <v>400</v>
      </c>
      <c r="C35" s="1458">
        <v>65</v>
      </c>
      <c r="D35" s="1459">
        <v>44</v>
      </c>
      <c r="E35" s="1459">
        <v>186</v>
      </c>
      <c r="F35" s="1459">
        <v>82</v>
      </c>
      <c r="G35" s="1459">
        <v>495</v>
      </c>
      <c r="H35" s="1459">
        <v>0</v>
      </c>
      <c r="I35" s="1459">
        <v>375</v>
      </c>
      <c r="J35" s="1459">
        <v>89</v>
      </c>
      <c r="K35" s="1459">
        <v>63</v>
      </c>
      <c r="L35" s="1459">
        <v>70</v>
      </c>
      <c r="M35" s="1459">
        <v>66</v>
      </c>
      <c r="N35" s="1457">
        <v>35</v>
      </c>
      <c r="O35" s="1459">
        <v>21</v>
      </c>
      <c r="P35" s="1459">
        <v>56</v>
      </c>
      <c r="Q35" s="1459">
        <v>142</v>
      </c>
      <c r="R35" s="1459">
        <v>37</v>
      </c>
      <c r="S35" s="1459">
        <v>0</v>
      </c>
      <c r="T35" s="1459">
        <v>19</v>
      </c>
      <c r="U35" s="1458">
        <v>28</v>
      </c>
      <c r="V35" s="1459">
        <v>152</v>
      </c>
      <c r="W35" s="1459">
        <v>96</v>
      </c>
      <c r="X35" s="1468">
        <v>78</v>
      </c>
      <c r="Y35" s="1460">
        <v>1870</v>
      </c>
      <c r="Z35" s="617">
        <v>15580</v>
      </c>
    </row>
    <row r="36" spans="1:26" s="556" customFormat="1" ht="13.5" customHeight="1" x14ac:dyDescent="0.2">
      <c r="A36" s="942">
        <v>33</v>
      </c>
      <c r="B36" s="834" t="s">
        <v>401</v>
      </c>
      <c r="C36" s="1458">
        <v>0</v>
      </c>
      <c r="D36" s="1459">
        <v>700</v>
      </c>
      <c r="E36" s="1459">
        <v>12</v>
      </c>
      <c r="F36" s="1459">
        <v>22</v>
      </c>
      <c r="G36" s="1459">
        <v>263</v>
      </c>
      <c r="H36" s="1459">
        <v>61</v>
      </c>
      <c r="I36" s="1459">
        <v>199</v>
      </c>
      <c r="J36" s="1459">
        <v>79</v>
      </c>
      <c r="K36" s="1459">
        <v>0</v>
      </c>
      <c r="L36" s="1459">
        <v>763</v>
      </c>
      <c r="M36" s="1459">
        <v>0</v>
      </c>
      <c r="N36" s="1457">
        <v>0</v>
      </c>
      <c r="O36" s="1468">
        <v>0</v>
      </c>
      <c r="P36" s="1459">
        <v>24</v>
      </c>
      <c r="Q36" s="1459">
        <v>0</v>
      </c>
      <c r="R36" s="1459">
        <v>20</v>
      </c>
      <c r="S36" s="1459">
        <v>392</v>
      </c>
      <c r="T36" s="1459">
        <v>50</v>
      </c>
      <c r="U36" s="1468">
        <v>32</v>
      </c>
      <c r="V36" s="1459">
        <v>7</v>
      </c>
      <c r="W36" s="1459">
        <v>175</v>
      </c>
      <c r="X36" s="1468">
        <v>34</v>
      </c>
      <c r="Y36" s="1475">
        <v>2630</v>
      </c>
      <c r="Z36" s="617">
        <v>10730</v>
      </c>
    </row>
    <row r="37" spans="1:26" s="556" customFormat="1" ht="13.5" customHeight="1" x14ac:dyDescent="0.2">
      <c r="A37" s="622">
        <v>34</v>
      </c>
      <c r="B37" s="835" t="s">
        <v>402</v>
      </c>
      <c r="C37" s="620">
        <v>616</v>
      </c>
      <c r="D37" s="1459">
        <v>795</v>
      </c>
      <c r="E37" s="1459">
        <v>2424</v>
      </c>
      <c r="F37" s="1459">
        <v>815</v>
      </c>
      <c r="G37" s="1459">
        <v>5359</v>
      </c>
      <c r="H37" s="1459">
        <v>827</v>
      </c>
      <c r="I37" s="1459">
        <v>4772</v>
      </c>
      <c r="J37" s="1459">
        <v>576</v>
      </c>
      <c r="K37" s="1459">
        <v>539</v>
      </c>
      <c r="L37" s="1459">
        <v>1240</v>
      </c>
      <c r="M37" s="1459">
        <v>729</v>
      </c>
      <c r="N37" s="621">
        <v>746</v>
      </c>
      <c r="O37" s="1459">
        <v>293</v>
      </c>
      <c r="P37" s="1459">
        <v>914</v>
      </c>
      <c r="Q37" s="1459">
        <v>441</v>
      </c>
      <c r="R37" s="1459">
        <v>2715</v>
      </c>
      <c r="S37" s="1459">
        <v>582</v>
      </c>
      <c r="T37" s="1459">
        <v>466</v>
      </c>
      <c r="U37" s="620">
        <v>441</v>
      </c>
      <c r="V37" s="1459">
        <v>2446</v>
      </c>
      <c r="W37" s="1459">
        <v>238</v>
      </c>
      <c r="X37" s="1468">
        <v>359</v>
      </c>
      <c r="Y37" s="1475">
        <v>26840</v>
      </c>
      <c r="Z37" s="617">
        <v>147150</v>
      </c>
    </row>
    <row r="38" spans="1:26" s="556" customFormat="1" ht="13.5" customHeight="1" x14ac:dyDescent="0.2">
      <c r="A38" s="622">
        <v>35</v>
      </c>
      <c r="B38" s="835" t="s">
        <v>403</v>
      </c>
      <c r="C38" s="620">
        <v>1703</v>
      </c>
      <c r="D38" s="1459">
        <v>2470</v>
      </c>
      <c r="E38" s="1459">
        <v>7819</v>
      </c>
      <c r="F38" s="1459">
        <v>3598</v>
      </c>
      <c r="G38" s="1459">
        <v>18003</v>
      </c>
      <c r="H38" s="1459">
        <v>1965</v>
      </c>
      <c r="I38" s="1459">
        <v>17703</v>
      </c>
      <c r="J38" s="1459">
        <v>3420</v>
      </c>
      <c r="K38" s="1459">
        <v>2249</v>
      </c>
      <c r="L38" s="1459">
        <v>5404</v>
      </c>
      <c r="M38" s="1459">
        <v>3737</v>
      </c>
      <c r="N38" s="621">
        <v>2676</v>
      </c>
      <c r="O38" s="1459">
        <v>1853</v>
      </c>
      <c r="P38" s="1459">
        <v>4112</v>
      </c>
      <c r="Q38" s="1459">
        <v>2448</v>
      </c>
      <c r="R38" s="1459">
        <v>11842</v>
      </c>
      <c r="S38" s="1459">
        <v>4204</v>
      </c>
      <c r="T38" s="1459">
        <v>1877</v>
      </c>
      <c r="U38" s="620">
        <v>2069</v>
      </c>
      <c r="V38" s="1459">
        <v>10412</v>
      </c>
      <c r="W38" s="1459">
        <v>861</v>
      </c>
      <c r="X38" s="1468">
        <v>1733</v>
      </c>
      <c r="Y38" s="1460">
        <v>102220</v>
      </c>
      <c r="Z38" s="617">
        <v>631090</v>
      </c>
    </row>
    <row r="39" spans="1:26" s="556" customFormat="1" ht="13.5" customHeight="1" x14ac:dyDescent="0.2">
      <c r="A39" s="1451"/>
      <c r="B39" s="1452" t="s">
        <v>245</v>
      </c>
      <c r="C39" s="1552"/>
      <c r="D39" s="1552"/>
      <c r="E39" s="1552"/>
      <c r="F39" s="1552"/>
      <c r="G39" s="1552"/>
      <c r="H39" s="1552"/>
      <c r="I39" s="1552"/>
      <c r="J39" s="1552"/>
      <c r="K39" s="1552"/>
      <c r="L39" s="1552"/>
      <c r="M39" s="1552"/>
      <c r="N39" s="1552"/>
      <c r="O39" s="1552"/>
      <c r="P39" s="1552"/>
      <c r="Q39" s="1552"/>
      <c r="R39" s="1552"/>
      <c r="S39" s="1552"/>
      <c r="T39" s="1552"/>
      <c r="U39" s="1552"/>
      <c r="V39" s="1552"/>
      <c r="W39" s="1552"/>
      <c r="X39" s="1552"/>
      <c r="Y39" s="1553"/>
      <c r="Z39" s="1554"/>
    </row>
    <row r="40" spans="1:26" s="556" customFormat="1" ht="13.5" customHeight="1" x14ac:dyDescent="0.2">
      <c r="A40" s="943">
        <v>36</v>
      </c>
      <c r="B40" s="832" t="s">
        <v>404</v>
      </c>
      <c r="C40" s="1458">
        <v>319</v>
      </c>
      <c r="D40" s="1459">
        <v>321</v>
      </c>
      <c r="E40" s="1459">
        <v>1748</v>
      </c>
      <c r="F40" s="1459">
        <v>283</v>
      </c>
      <c r="G40" s="1459">
        <v>4210</v>
      </c>
      <c r="H40" s="1459">
        <v>577</v>
      </c>
      <c r="I40" s="1459">
        <v>1473</v>
      </c>
      <c r="J40" s="1459">
        <v>134</v>
      </c>
      <c r="K40" s="1459">
        <v>593</v>
      </c>
      <c r="L40" s="1459">
        <v>287</v>
      </c>
      <c r="M40" s="1459">
        <v>1391</v>
      </c>
      <c r="N40" s="1457">
        <v>360</v>
      </c>
      <c r="O40" s="1459">
        <v>77</v>
      </c>
      <c r="P40" s="1459">
        <v>455</v>
      </c>
      <c r="Q40" s="1459">
        <v>297</v>
      </c>
      <c r="R40" s="1459">
        <v>645</v>
      </c>
      <c r="S40" s="1459">
        <v>934</v>
      </c>
      <c r="T40" s="1459">
        <v>128</v>
      </c>
      <c r="U40" s="1458">
        <v>779</v>
      </c>
      <c r="V40" s="1459">
        <v>3135</v>
      </c>
      <c r="W40" s="1459">
        <v>0</v>
      </c>
      <c r="X40" s="1459">
        <v>195</v>
      </c>
      <c r="Y40" s="1460">
        <v>16870</v>
      </c>
      <c r="Z40" s="617">
        <v>95560</v>
      </c>
    </row>
    <row r="41" spans="1:26" s="556" customFormat="1" ht="13.5" customHeight="1" x14ac:dyDescent="0.2">
      <c r="A41" s="943">
        <v>37</v>
      </c>
      <c r="B41" s="832" t="s">
        <v>627</v>
      </c>
      <c r="C41" s="1458">
        <v>664</v>
      </c>
      <c r="D41" s="1459">
        <v>289</v>
      </c>
      <c r="E41" s="1459">
        <v>816</v>
      </c>
      <c r="F41" s="1459">
        <v>460</v>
      </c>
      <c r="G41" s="1459">
        <v>8167</v>
      </c>
      <c r="H41" s="1459">
        <v>826</v>
      </c>
      <c r="I41" s="1459">
        <v>2241</v>
      </c>
      <c r="J41" s="1459">
        <v>288</v>
      </c>
      <c r="K41" s="1459">
        <v>685</v>
      </c>
      <c r="L41" s="1459">
        <v>519</v>
      </c>
      <c r="M41" s="1459">
        <v>752</v>
      </c>
      <c r="N41" s="1457">
        <v>673</v>
      </c>
      <c r="O41" s="1459">
        <v>149</v>
      </c>
      <c r="P41" s="1459">
        <v>626</v>
      </c>
      <c r="Q41" s="1459">
        <v>372</v>
      </c>
      <c r="R41" s="1459">
        <v>2030</v>
      </c>
      <c r="S41" s="1459">
        <v>937</v>
      </c>
      <c r="T41" s="1459">
        <v>322</v>
      </c>
      <c r="U41" s="1458">
        <v>249</v>
      </c>
      <c r="V41" s="1459">
        <v>823</v>
      </c>
      <c r="W41" s="1459">
        <v>76</v>
      </c>
      <c r="X41" s="1459">
        <v>374</v>
      </c>
      <c r="Y41" s="1460">
        <v>20450</v>
      </c>
      <c r="Z41" s="617">
        <v>110460</v>
      </c>
    </row>
    <row r="42" spans="1:26" s="556" customFormat="1" ht="13.5" customHeight="1" x14ac:dyDescent="0.2">
      <c r="A42" s="943">
        <v>38</v>
      </c>
      <c r="B42" s="832" t="s">
        <v>628</v>
      </c>
      <c r="C42" s="1458">
        <v>291</v>
      </c>
      <c r="D42" s="1459">
        <v>644</v>
      </c>
      <c r="E42" s="1459">
        <v>880</v>
      </c>
      <c r="F42" s="1459">
        <v>470</v>
      </c>
      <c r="G42" s="1459">
        <v>2295</v>
      </c>
      <c r="H42" s="1459">
        <v>208</v>
      </c>
      <c r="I42" s="1459">
        <v>4452</v>
      </c>
      <c r="J42" s="1459">
        <v>345</v>
      </c>
      <c r="K42" s="1459">
        <v>461</v>
      </c>
      <c r="L42" s="1459">
        <v>670</v>
      </c>
      <c r="M42" s="1459">
        <v>720</v>
      </c>
      <c r="N42" s="1457">
        <v>539</v>
      </c>
      <c r="O42" s="1459">
        <v>406</v>
      </c>
      <c r="P42" s="1459">
        <v>898</v>
      </c>
      <c r="Q42" s="1459">
        <v>275</v>
      </c>
      <c r="R42" s="1459">
        <v>1662</v>
      </c>
      <c r="S42" s="1459">
        <v>690</v>
      </c>
      <c r="T42" s="1459">
        <v>298</v>
      </c>
      <c r="U42" s="1458">
        <v>200</v>
      </c>
      <c r="V42" s="1459">
        <v>1115</v>
      </c>
      <c r="W42" s="1459">
        <v>60</v>
      </c>
      <c r="X42" s="1459">
        <v>413</v>
      </c>
      <c r="Y42" s="1456">
        <v>16110</v>
      </c>
      <c r="Z42" s="617">
        <v>104990</v>
      </c>
    </row>
    <row r="43" spans="1:26" s="556" customFormat="1" ht="13.5" customHeight="1" x14ac:dyDescent="0.2">
      <c r="A43" s="943">
        <v>39</v>
      </c>
      <c r="B43" s="832" t="s">
        <v>629</v>
      </c>
      <c r="C43" s="1458">
        <v>319</v>
      </c>
      <c r="D43" s="1459">
        <v>922</v>
      </c>
      <c r="E43" s="1459">
        <v>2299</v>
      </c>
      <c r="F43" s="1459">
        <v>871</v>
      </c>
      <c r="G43" s="1459">
        <v>1684</v>
      </c>
      <c r="H43" s="1459">
        <v>271</v>
      </c>
      <c r="I43" s="1459">
        <v>8141</v>
      </c>
      <c r="J43" s="1459">
        <v>1392</v>
      </c>
      <c r="K43" s="1459">
        <v>372</v>
      </c>
      <c r="L43" s="1459">
        <v>1676</v>
      </c>
      <c r="M43" s="1459">
        <v>695</v>
      </c>
      <c r="N43" s="1457">
        <v>788</v>
      </c>
      <c r="O43" s="1459">
        <v>845</v>
      </c>
      <c r="P43" s="1459">
        <v>1148</v>
      </c>
      <c r="Q43" s="1462">
        <v>674</v>
      </c>
      <c r="R43" s="1459">
        <v>4315</v>
      </c>
      <c r="S43" s="1459">
        <v>780</v>
      </c>
      <c r="T43" s="1459">
        <v>561</v>
      </c>
      <c r="U43" s="1458">
        <v>763</v>
      </c>
      <c r="V43" s="1459">
        <v>3819</v>
      </c>
      <c r="W43" s="1459">
        <v>369</v>
      </c>
      <c r="X43" s="1459">
        <v>325</v>
      </c>
      <c r="Y43" s="1460">
        <v>30550</v>
      </c>
      <c r="Z43" s="617">
        <v>225060</v>
      </c>
    </row>
    <row r="44" spans="1:26" s="556" customFormat="1" ht="13.5" customHeight="1" x14ac:dyDescent="0.2">
      <c r="A44" s="943">
        <v>40</v>
      </c>
      <c r="B44" s="832" t="s">
        <v>405</v>
      </c>
      <c r="C44" s="1458">
        <v>110</v>
      </c>
      <c r="D44" s="1476">
        <v>294</v>
      </c>
      <c r="E44" s="1476">
        <v>2076</v>
      </c>
      <c r="F44" s="1476">
        <v>1514</v>
      </c>
      <c r="G44" s="1476">
        <v>1647</v>
      </c>
      <c r="H44" s="1476">
        <v>83</v>
      </c>
      <c r="I44" s="1476">
        <v>1396</v>
      </c>
      <c r="J44" s="1476">
        <v>1261</v>
      </c>
      <c r="K44" s="1476">
        <v>138</v>
      </c>
      <c r="L44" s="1476">
        <v>2252</v>
      </c>
      <c r="M44" s="1476">
        <v>179</v>
      </c>
      <c r="N44" s="1457">
        <v>316</v>
      </c>
      <c r="O44" s="1476">
        <v>376</v>
      </c>
      <c r="P44" s="1476">
        <v>985</v>
      </c>
      <c r="Q44" s="1462">
        <v>830</v>
      </c>
      <c r="R44" s="1476">
        <v>3190</v>
      </c>
      <c r="S44" s="1476">
        <v>863</v>
      </c>
      <c r="T44" s="1476">
        <v>451</v>
      </c>
      <c r="U44" s="1458">
        <v>62</v>
      </c>
      <c r="V44" s="1476">
        <v>1518</v>
      </c>
      <c r="W44" s="1476">
        <v>315</v>
      </c>
      <c r="X44" s="1476">
        <v>426</v>
      </c>
      <c r="Y44" s="1460">
        <v>18000</v>
      </c>
      <c r="Z44" s="1435">
        <v>108650</v>
      </c>
    </row>
    <row r="45" spans="1:26" s="556" customFormat="1" ht="13.5" customHeight="1" x14ac:dyDescent="0.2">
      <c r="A45" s="622">
        <v>41</v>
      </c>
      <c r="B45" s="835" t="s">
        <v>406</v>
      </c>
      <c r="C45" s="1469"/>
      <c r="D45" s="1470"/>
      <c r="E45" s="1470"/>
      <c r="F45" s="1470"/>
      <c r="G45" s="1470"/>
      <c r="H45" s="1470"/>
      <c r="I45" s="1470"/>
      <c r="J45" s="1470"/>
      <c r="K45" s="1470"/>
      <c r="L45" s="1470"/>
      <c r="M45" s="1470"/>
      <c r="N45" s="1474"/>
      <c r="O45" s="1470"/>
      <c r="P45" s="1470"/>
      <c r="Q45" s="1470"/>
      <c r="R45" s="1470"/>
      <c r="S45" s="1470"/>
      <c r="T45" s="1470"/>
      <c r="U45" s="1469"/>
      <c r="V45" s="1470"/>
      <c r="W45" s="1470"/>
      <c r="X45" s="1471"/>
      <c r="Y45" s="1472"/>
      <c r="Z45" s="1473"/>
    </row>
    <row r="46" spans="1:26" s="556" customFormat="1" ht="13.5" customHeight="1" x14ac:dyDescent="0.2">
      <c r="A46" s="622">
        <v>42</v>
      </c>
      <c r="B46" s="835" t="s">
        <v>407</v>
      </c>
      <c r="C46" s="1469"/>
      <c r="D46" s="1470"/>
      <c r="E46" s="1470"/>
      <c r="F46" s="1470"/>
      <c r="G46" s="1470"/>
      <c r="H46" s="1470"/>
      <c r="I46" s="1470"/>
      <c r="J46" s="1470"/>
      <c r="K46" s="1470"/>
      <c r="L46" s="1470"/>
      <c r="M46" s="1470"/>
      <c r="N46" s="1474"/>
      <c r="O46" s="1470"/>
      <c r="P46" s="1470"/>
      <c r="Q46" s="1470"/>
      <c r="R46" s="1470"/>
      <c r="S46" s="1470"/>
      <c r="T46" s="1470"/>
      <c r="U46" s="1469"/>
      <c r="V46" s="1470"/>
      <c r="W46" s="1470"/>
      <c r="X46" s="1471"/>
      <c r="Y46" s="1472"/>
      <c r="Z46" s="1473"/>
    </row>
    <row r="47" spans="1:26" s="556" customFormat="1" ht="13.5" customHeight="1" x14ac:dyDescent="0.2">
      <c r="A47" s="622">
        <v>43</v>
      </c>
      <c r="B47" s="835" t="s">
        <v>408</v>
      </c>
      <c r="C47" s="620">
        <v>1043</v>
      </c>
      <c r="D47" s="1459">
        <v>2039</v>
      </c>
      <c r="E47" s="1459">
        <v>3338</v>
      </c>
      <c r="F47" s="1459">
        <v>3135</v>
      </c>
      <c r="G47" s="1459">
        <v>8585</v>
      </c>
      <c r="H47" s="1459">
        <v>1178</v>
      </c>
      <c r="I47" s="1459">
        <v>10370</v>
      </c>
      <c r="J47" s="1459">
        <v>2417</v>
      </c>
      <c r="K47" s="1459">
        <v>2156</v>
      </c>
      <c r="L47" s="1459">
        <v>4511</v>
      </c>
      <c r="M47" s="1459">
        <v>1645</v>
      </c>
      <c r="N47" s="621">
        <v>1635</v>
      </c>
      <c r="O47" s="1459">
        <v>1426</v>
      </c>
      <c r="P47" s="1459">
        <v>2608</v>
      </c>
      <c r="Q47" s="1459">
        <v>2657</v>
      </c>
      <c r="R47" s="1459">
        <v>5932</v>
      </c>
      <c r="S47" s="1459">
        <v>2277</v>
      </c>
      <c r="T47" s="1459">
        <v>1067</v>
      </c>
      <c r="U47" s="620">
        <v>1065</v>
      </c>
      <c r="V47" s="1459">
        <v>4699</v>
      </c>
      <c r="W47" s="1459">
        <v>737</v>
      </c>
      <c r="X47" s="1468">
        <v>898</v>
      </c>
      <c r="Y47" s="1460">
        <v>59470</v>
      </c>
      <c r="Z47" s="617">
        <v>399510</v>
      </c>
    </row>
    <row r="48" spans="1:26" s="556" customFormat="1" ht="13.5" customHeight="1" x14ac:dyDescent="0.2">
      <c r="A48" s="622">
        <v>44</v>
      </c>
      <c r="B48" s="835" t="s">
        <v>409</v>
      </c>
      <c r="C48" s="620">
        <v>702</v>
      </c>
      <c r="D48" s="1459">
        <v>778</v>
      </c>
      <c r="E48" s="1459">
        <v>2174</v>
      </c>
      <c r="F48" s="1459">
        <v>1329</v>
      </c>
      <c r="G48" s="1459">
        <v>4317</v>
      </c>
      <c r="H48" s="1459">
        <v>501</v>
      </c>
      <c r="I48" s="1459">
        <v>6015</v>
      </c>
      <c r="J48" s="1459">
        <v>1509</v>
      </c>
      <c r="K48" s="1459">
        <v>603</v>
      </c>
      <c r="L48" s="1459">
        <v>1873</v>
      </c>
      <c r="M48" s="1459">
        <v>1313</v>
      </c>
      <c r="N48" s="621">
        <v>1031</v>
      </c>
      <c r="O48" s="1459">
        <v>1064</v>
      </c>
      <c r="P48" s="1459">
        <v>1221</v>
      </c>
      <c r="Q48" s="1459">
        <v>1713</v>
      </c>
      <c r="R48" s="1459">
        <v>4139</v>
      </c>
      <c r="S48" s="1459">
        <v>1058</v>
      </c>
      <c r="T48" s="1459">
        <v>776</v>
      </c>
      <c r="U48" s="620">
        <v>556</v>
      </c>
      <c r="V48" s="1459">
        <v>2894</v>
      </c>
      <c r="W48" s="1459">
        <v>522</v>
      </c>
      <c r="X48" s="1468">
        <v>655</v>
      </c>
      <c r="Y48" s="1460">
        <v>33690</v>
      </c>
      <c r="Z48" s="617">
        <v>201170</v>
      </c>
    </row>
    <row r="49" spans="1:26" s="556" customFormat="1" ht="13.5" customHeight="1" x14ac:dyDescent="0.2">
      <c r="A49" s="622">
        <v>45</v>
      </c>
      <c r="B49" s="835" t="s">
        <v>410</v>
      </c>
      <c r="C49" s="620">
        <v>253</v>
      </c>
      <c r="D49" s="1459">
        <v>391</v>
      </c>
      <c r="E49" s="1459">
        <v>797</v>
      </c>
      <c r="F49" s="1459">
        <v>717</v>
      </c>
      <c r="G49" s="1459">
        <v>1762</v>
      </c>
      <c r="H49" s="1459">
        <v>231</v>
      </c>
      <c r="I49" s="1459">
        <v>1573</v>
      </c>
      <c r="J49" s="1459">
        <v>554</v>
      </c>
      <c r="K49" s="1459">
        <v>222</v>
      </c>
      <c r="L49" s="1459">
        <v>845</v>
      </c>
      <c r="M49" s="1459">
        <v>290</v>
      </c>
      <c r="N49" s="621">
        <v>424</v>
      </c>
      <c r="O49" s="1459">
        <v>343</v>
      </c>
      <c r="P49" s="1459">
        <v>515</v>
      </c>
      <c r="Q49" s="1459">
        <v>479</v>
      </c>
      <c r="R49" s="1459">
        <v>1507</v>
      </c>
      <c r="S49" s="1459">
        <v>495</v>
      </c>
      <c r="T49" s="1459">
        <v>307</v>
      </c>
      <c r="U49" s="620">
        <v>259</v>
      </c>
      <c r="V49" s="1459">
        <v>874</v>
      </c>
      <c r="W49" s="1459">
        <v>121</v>
      </c>
      <c r="X49" s="1468">
        <v>256</v>
      </c>
      <c r="Y49" s="1460">
        <v>11900</v>
      </c>
      <c r="Z49" s="617">
        <v>77440</v>
      </c>
    </row>
    <row r="50" spans="1:26" s="556" customFormat="1" ht="13.5" customHeight="1" x14ac:dyDescent="0.2">
      <c r="A50" s="622">
        <v>46</v>
      </c>
      <c r="B50" s="835" t="s">
        <v>411</v>
      </c>
      <c r="C50" s="620">
        <v>199</v>
      </c>
      <c r="D50" s="1459">
        <v>324</v>
      </c>
      <c r="E50" s="1459">
        <v>586</v>
      </c>
      <c r="F50" s="1463">
        <v>539</v>
      </c>
      <c r="G50" s="1459">
        <v>1327</v>
      </c>
      <c r="H50" s="1459">
        <v>187</v>
      </c>
      <c r="I50" s="1459">
        <v>1377</v>
      </c>
      <c r="J50" s="1459">
        <v>415</v>
      </c>
      <c r="K50" s="1459">
        <v>194</v>
      </c>
      <c r="L50" s="1459">
        <v>690</v>
      </c>
      <c r="M50" s="1459">
        <v>237</v>
      </c>
      <c r="N50" s="621">
        <v>256</v>
      </c>
      <c r="O50" s="1459">
        <v>236</v>
      </c>
      <c r="P50" s="1459">
        <v>476</v>
      </c>
      <c r="Q50" s="1459">
        <v>341</v>
      </c>
      <c r="R50" s="1459">
        <v>1174</v>
      </c>
      <c r="S50" s="1459">
        <v>339</v>
      </c>
      <c r="T50" s="1459">
        <v>225</v>
      </c>
      <c r="U50" s="620">
        <v>249</v>
      </c>
      <c r="V50" s="1459">
        <v>607</v>
      </c>
      <c r="W50" s="1459">
        <v>78</v>
      </c>
      <c r="X50" s="1468">
        <v>168</v>
      </c>
      <c r="Y50" s="1460">
        <v>9190</v>
      </c>
      <c r="Z50" s="617">
        <v>60950</v>
      </c>
    </row>
    <row r="51" spans="1:26" s="556" customFormat="1" ht="13.5" customHeight="1" x14ac:dyDescent="0.2">
      <c r="A51" s="622">
        <v>47</v>
      </c>
      <c r="B51" s="835" t="s">
        <v>412</v>
      </c>
      <c r="C51" s="620">
        <v>130</v>
      </c>
      <c r="D51" s="1459">
        <v>316</v>
      </c>
      <c r="E51" s="1459">
        <v>562</v>
      </c>
      <c r="F51" s="1459">
        <v>569</v>
      </c>
      <c r="G51" s="1459">
        <v>1097</v>
      </c>
      <c r="H51" s="1459">
        <v>165</v>
      </c>
      <c r="I51" s="1459">
        <v>1303</v>
      </c>
      <c r="J51" s="1459">
        <v>355</v>
      </c>
      <c r="K51" s="1459">
        <v>136</v>
      </c>
      <c r="L51" s="1459">
        <v>592</v>
      </c>
      <c r="M51" s="1459">
        <v>195</v>
      </c>
      <c r="N51" s="621">
        <v>255</v>
      </c>
      <c r="O51" s="1459">
        <v>218</v>
      </c>
      <c r="P51" s="1459">
        <v>402</v>
      </c>
      <c r="Q51" s="1459">
        <v>305</v>
      </c>
      <c r="R51" s="1459">
        <v>959</v>
      </c>
      <c r="S51" s="1459">
        <v>333</v>
      </c>
      <c r="T51" s="1459">
        <v>179</v>
      </c>
      <c r="U51" s="620">
        <v>118</v>
      </c>
      <c r="V51" s="1459">
        <v>621</v>
      </c>
      <c r="W51" s="1459">
        <v>90</v>
      </c>
      <c r="X51" s="1468">
        <v>127</v>
      </c>
      <c r="Y51" s="1460">
        <v>8110</v>
      </c>
      <c r="Z51" s="617">
        <v>52260</v>
      </c>
    </row>
    <row r="52" spans="1:26" s="556" customFormat="1" ht="13.5" customHeight="1" x14ac:dyDescent="0.2">
      <c r="A52" s="622">
        <v>48</v>
      </c>
      <c r="B52" s="832" t="s">
        <v>413</v>
      </c>
      <c r="C52" s="620">
        <v>69</v>
      </c>
      <c r="D52" s="1459">
        <v>247</v>
      </c>
      <c r="E52" s="1459">
        <v>391</v>
      </c>
      <c r="F52" s="1459">
        <v>449</v>
      </c>
      <c r="G52" s="1459">
        <v>823</v>
      </c>
      <c r="H52" s="1459">
        <v>125</v>
      </c>
      <c r="I52" s="1459">
        <v>922</v>
      </c>
      <c r="J52" s="1459">
        <v>241</v>
      </c>
      <c r="K52" s="1459">
        <v>86</v>
      </c>
      <c r="L52" s="1459">
        <v>413</v>
      </c>
      <c r="M52" s="1459">
        <v>143</v>
      </c>
      <c r="N52" s="621">
        <v>175</v>
      </c>
      <c r="O52" s="1459">
        <v>141</v>
      </c>
      <c r="P52" s="1459">
        <v>272</v>
      </c>
      <c r="Q52" s="1459">
        <v>199</v>
      </c>
      <c r="R52" s="1459">
        <v>783</v>
      </c>
      <c r="S52" s="1459">
        <v>265</v>
      </c>
      <c r="T52" s="1459">
        <v>116</v>
      </c>
      <c r="U52" s="620">
        <v>76</v>
      </c>
      <c r="V52" s="1459">
        <v>431</v>
      </c>
      <c r="W52" s="1459">
        <v>60</v>
      </c>
      <c r="X52" s="1468">
        <v>85</v>
      </c>
      <c r="Y52" s="1460">
        <v>5860</v>
      </c>
      <c r="Z52" s="617">
        <v>35570</v>
      </c>
    </row>
    <row r="53" spans="1:26" s="556" customFormat="1" ht="13.5" customHeight="1" x14ac:dyDescent="0.2">
      <c r="A53" s="622">
        <v>49</v>
      </c>
      <c r="B53" s="832" t="s">
        <v>414</v>
      </c>
      <c r="C53" s="620">
        <v>67</v>
      </c>
      <c r="D53" s="1459">
        <v>238</v>
      </c>
      <c r="E53" s="1459">
        <v>334</v>
      </c>
      <c r="F53" s="1463">
        <v>427</v>
      </c>
      <c r="G53" s="1459">
        <v>687</v>
      </c>
      <c r="H53" s="1459">
        <v>124</v>
      </c>
      <c r="I53" s="1459">
        <v>921</v>
      </c>
      <c r="J53" s="1459">
        <v>239</v>
      </c>
      <c r="K53" s="1459">
        <v>83</v>
      </c>
      <c r="L53" s="1459">
        <v>380</v>
      </c>
      <c r="M53" s="1459">
        <v>143</v>
      </c>
      <c r="N53" s="621">
        <v>136</v>
      </c>
      <c r="O53" s="1459">
        <v>127</v>
      </c>
      <c r="P53" s="1459">
        <v>245</v>
      </c>
      <c r="Q53" s="1459">
        <v>123</v>
      </c>
      <c r="R53" s="1459">
        <v>695</v>
      </c>
      <c r="S53" s="1459">
        <v>247</v>
      </c>
      <c r="T53" s="1459">
        <v>97</v>
      </c>
      <c r="U53" s="620">
        <v>75</v>
      </c>
      <c r="V53" s="1459">
        <v>380</v>
      </c>
      <c r="W53" s="1459">
        <v>57</v>
      </c>
      <c r="X53" s="1468">
        <v>80</v>
      </c>
      <c r="Y53" s="1460">
        <v>5320</v>
      </c>
      <c r="Z53" s="617">
        <v>32640</v>
      </c>
    </row>
    <row r="54" spans="1:26" s="556" customFormat="1" ht="13.5" customHeight="1" x14ac:dyDescent="0.2">
      <c r="A54" s="622">
        <v>50</v>
      </c>
      <c r="B54" s="832" t="s">
        <v>555</v>
      </c>
      <c r="C54" s="1477"/>
      <c r="D54" s="1478"/>
      <c r="E54" s="1478"/>
      <c r="F54" s="1478"/>
      <c r="G54" s="1478"/>
      <c r="H54" s="1478"/>
      <c r="I54" s="1478"/>
      <c r="J54" s="1478"/>
      <c r="K54" s="1478"/>
      <c r="L54" s="1478"/>
      <c r="M54" s="1478"/>
      <c r="N54" s="1479"/>
      <c r="O54" s="1478"/>
      <c r="P54" s="1478"/>
      <c r="Q54" s="1478"/>
      <c r="R54" s="1478"/>
      <c r="S54" s="1478"/>
      <c r="T54" s="1478"/>
      <c r="U54" s="1477"/>
      <c r="V54" s="1478"/>
      <c r="W54" s="1478"/>
      <c r="X54" s="1480"/>
      <c r="Y54" s="1481"/>
      <c r="Z54" s="1482"/>
    </row>
    <row r="55" spans="1:26" s="556" customFormat="1" ht="13.5" customHeight="1" x14ac:dyDescent="0.2">
      <c r="A55" s="622">
        <v>51</v>
      </c>
      <c r="B55" s="832" t="s">
        <v>696</v>
      </c>
      <c r="C55" s="1477">
        <v>0</v>
      </c>
      <c r="D55" s="1478">
        <v>12</v>
      </c>
      <c r="E55" s="1478">
        <v>14</v>
      </c>
      <c r="F55" s="1478">
        <v>25</v>
      </c>
      <c r="G55" s="1478">
        <v>35</v>
      </c>
      <c r="H55" s="1478" t="s">
        <v>73</v>
      </c>
      <c r="I55" s="1478">
        <v>34</v>
      </c>
      <c r="J55" s="1478">
        <v>12</v>
      </c>
      <c r="K55" s="1478" t="s">
        <v>73</v>
      </c>
      <c r="L55" s="1478">
        <v>37</v>
      </c>
      <c r="M55" s="1478" t="s">
        <v>73</v>
      </c>
      <c r="N55" s="1479">
        <v>10</v>
      </c>
      <c r="O55" s="1478" t="s">
        <v>73</v>
      </c>
      <c r="P55" s="1478">
        <v>8</v>
      </c>
      <c r="Q55" s="1478" t="s">
        <v>73</v>
      </c>
      <c r="R55" s="1478">
        <v>16</v>
      </c>
      <c r="S55" s="1478">
        <v>6</v>
      </c>
      <c r="T55" s="1478">
        <v>0</v>
      </c>
      <c r="U55" s="1477">
        <v>0</v>
      </c>
      <c r="V55" s="1478">
        <v>19</v>
      </c>
      <c r="W55" s="1478" t="s">
        <v>73</v>
      </c>
      <c r="X55" s="1480">
        <v>0</v>
      </c>
      <c r="Y55" s="1481">
        <v>230</v>
      </c>
      <c r="Z55" s="1482">
        <v>1120</v>
      </c>
    </row>
    <row r="56" spans="1:26" s="556" customFormat="1" ht="13.5" customHeight="1" x14ac:dyDescent="0.2">
      <c r="A56" s="622">
        <v>52</v>
      </c>
      <c r="B56" s="832" t="s">
        <v>415</v>
      </c>
      <c r="C56" s="620">
        <v>162</v>
      </c>
      <c r="D56" s="1459">
        <v>404</v>
      </c>
      <c r="E56" s="1459">
        <v>772</v>
      </c>
      <c r="F56" s="1459">
        <v>620</v>
      </c>
      <c r="G56" s="1459">
        <v>1669</v>
      </c>
      <c r="H56" s="1459">
        <v>229</v>
      </c>
      <c r="I56" s="1459">
        <v>1558</v>
      </c>
      <c r="J56" s="1459">
        <v>458</v>
      </c>
      <c r="K56" s="1459">
        <v>171</v>
      </c>
      <c r="L56" s="1459">
        <v>839</v>
      </c>
      <c r="M56" s="1459">
        <v>344</v>
      </c>
      <c r="N56" s="621">
        <v>371</v>
      </c>
      <c r="O56" s="1459">
        <v>210</v>
      </c>
      <c r="P56" s="1459">
        <v>509</v>
      </c>
      <c r="Q56" s="1459">
        <v>407</v>
      </c>
      <c r="R56" s="1459">
        <v>1173</v>
      </c>
      <c r="S56" s="1459">
        <v>448</v>
      </c>
      <c r="T56" s="1459">
        <v>211</v>
      </c>
      <c r="U56" s="620">
        <v>251</v>
      </c>
      <c r="V56" s="1459">
        <v>859</v>
      </c>
      <c r="W56" s="1459">
        <v>76</v>
      </c>
      <c r="X56" s="1468">
        <v>195</v>
      </c>
      <c r="Y56" s="1460">
        <v>10770</v>
      </c>
      <c r="Z56" s="617">
        <v>67910</v>
      </c>
    </row>
    <row r="57" spans="1:26" s="556" customFormat="1" ht="13.5" customHeight="1" x14ac:dyDescent="0.2">
      <c r="A57" s="622">
        <v>53</v>
      </c>
      <c r="B57" s="835" t="s">
        <v>416</v>
      </c>
      <c r="C57" s="620" t="s">
        <v>73</v>
      </c>
      <c r="D57" s="1459">
        <v>21</v>
      </c>
      <c r="E57" s="1459">
        <v>24</v>
      </c>
      <c r="F57" s="1459">
        <v>45</v>
      </c>
      <c r="G57" s="1459">
        <v>73</v>
      </c>
      <c r="H57" s="1459">
        <v>12</v>
      </c>
      <c r="I57" s="1459">
        <v>89</v>
      </c>
      <c r="J57" s="1459">
        <v>33</v>
      </c>
      <c r="K57" s="1459" t="s">
        <v>73</v>
      </c>
      <c r="L57" s="1459">
        <v>57</v>
      </c>
      <c r="M57" s="1459">
        <v>20</v>
      </c>
      <c r="N57" s="621">
        <v>14</v>
      </c>
      <c r="O57" s="1459" t="s">
        <v>73</v>
      </c>
      <c r="P57" s="1459">
        <v>21</v>
      </c>
      <c r="Q57" s="1459">
        <v>7</v>
      </c>
      <c r="R57" s="1459">
        <v>53</v>
      </c>
      <c r="S57" s="1459">
        <v>19</v>
      </c>
      <c r="T57" s="1459" t="s">
        <v>73</v>
      </c>
      <c r="U57" s="620" t="s">
        <v>73</v>
      </c>
      <c r="V57" s="1459">
        <v>28</v>
      </c>
      <c r="W57" s="1459" t="s">
        <v>73</v>
      </c>
      <c r="X57" s="1468">
        <v>8</v>
      </c>
      <c r="Y57" s="1460">
        <v>500</v>
      </c>
      <c r="Z57" s="617">
        <v>2270</v>
      </c>
    </row>
    <row r="58" spans="1:26" s="556" customFormat="1" ht="13.5" customHeight="1" x14ac:dyDescent="0.2">
      <c r="A58" s="622">
        <v>54</v>
      </c>
      <c r="B58" s="835" t="s">
        <v>417</v>
      </c>
      <c r="C58" s="620">
        <v>187</v>
      </c>
      <c r="D58" s="1459">
        <v>325</v>
      </c>
      <c r="E58" s="1459">
        <v>696</v>
      </c>
      <c r="F58" s="1459">
        <v>631</v>
      </c>
      <c r="G58" s="1459">
        <v>1476</v>
      </c>
      <c r="H58" s="1459">
        <v>202</v>
      </c>
      <c r="I58" s="1459">
        <v>1404</v>
      </c>
      <c r="J58" s="1459">
        <v>469</v>
      </c>
      <c r="K58" s="1459">
        <v>202</v>
      </c>
      <c r="L58" s="1459">
        <v>744</v>
      </c>
      <c r="M58" s="1459">
        <v>253</v>
      </c>
      <c r="N58" s="621">
        <v>331</v>
      </c>
      <c r="O58" s="1459">
        <v>263</v>
      </c>
      <c r="P58" s="1459">
        <v>483</v>
      </c>
      <c r="Q58" s="1459">
        <v>383</v>
      </c>
      <c r="R58" s="1459">
        <v>1136</v>
      </c>
      <c r="S58" s="1459">
        <v>420</v>
      </c>
      <c r="T58" s="1459">
        <v>244</v>
      </c>
      <c r="U58" s="620">
        <v>202</v>
      </c>
      <c r="V58" s="1459">
        <v>814</v>
      </c>
      <c r="W58" s="1459">
        <v>92</v>
      </c>
      <c r="X58" s="1468">
        <v>196</v>
      </c>
      <c r="Y58" s="1460">
        <v>10010</v>
      </c>
      <c r="Z58" s="617">
        <v>66680</v>
      </c>
    </row>
    <row r="59" spans="1:26" s="556" customFormat="1" ht="13.5" customHeight="1" x14ac:dyDescent="0.2">
      <c r="A59" s="622">
        <v>55</v>
      </c>
      <c r="B59" s="835" t="s">
        <v>418</v>
      </c>
      <c r="C59" s="620">
        <v>44</v>
      </c>
      <c r="D59" s="1459">
        <v>90</v>
      </c>
      <c r="E59" s="1459">
        <v>140</v>
      </c>
      <c r="F59" s="1459">
        <v>138</v>
      </c>
      <c r="G59" s="1459">
        <v>317</v>
      </c>
      <c r="H59" s="1459">
        <v>44</v>
      </c>
      <c r="I59" s="1459">
        <v>268</v>
      </c>
      <c r="J59" s="1459">
        <v>82</v>
      </c>
      <c r="K59" s="1459">
        <v>28</v>
      </c>
      <c r="L59" s="1459">
        <v>163</v>
      </c>
      <c r="M59" s="1459">
        <v>50</v>
      </c>
      <c r="N59" s="621">
        <v>95</v>
      </c>
      <c r="O59" s="1459">
        <v>54</v>
      </c>
      <c r="P59" s="1459">
        <v>98</v>
      </c>
      <c r="Q59" s="1459">
        <v>77</v>
      </c>
      <c r="R59" s="1459">
        <v>249</v>
      </c>
      <c r="S59" s="1459">
        <v>51</v>
      </c>
      <c r="T59" s="1459">
        <v>77</v>
      </c>
      <c r="U59" s="620">
        <v>50</v>
      </c>
      <c r="V59" s="1459">
        <v>183</v>
      </c>
      <c r="W59" s="1459">
        <v>11</v>
      </c>
      <c r="X59" s="1468">
        <v>29</v>
      </c>
      <c r="Y59" s="1460">
        <v>2110</v>
      </c>
      <c r="Z59" s="617">
        <v>13860</v>
      </c>
    </row>
    <row r="60" spans="1:26" s="556" customFormat="1" ht="13.5" customHeight="1" x14ac:dyDescent="0.2">
      <c r="A60" s="622">
        <v>56</v>
      </c>
      <c r="B60" s="835" t="s">
        <v>419</v>
      </c>
      <c r="C60" s="1469"/>
      <c r="D60" s="1470"/>
      <c r="E60" s="1470"/>
      <c r="F60" s="1470"/>
      <c r="G60" s="1470"/>
      <c r="H60" s="1470"/>
      <c r="I60" s="1470"/>
      <c r="J60" s="1470"/>
      <c r="K60" s="1470"/>
      <c r="L60" s="1470"/>
      <c r="M60" s="1470"/>
      <c r="N60" s="1474"/>
      <c r="O60" s="1470"/>
      <c r="P60" s="1470"/>
      <c r="Q60" s="1470"/>
      <c r="R60" s="1470"/>
      <c r="S60" s="1470"/>
      <c r="T60" s="1470"/>
      <c r="U60" s="1469"/>
      <c r="V60" s="1470"/>
      <c r="W60" s="1470"/>
      <c r="X60" s="1471"/>
      <c r="Y60" s="1472"/>
      <c r="Z60" s="1473"/>
    </row>
    <row r="61" spans="1:26" s="556" customFormat="1" ht="13.5" customHeight="1" x14ac:dyDescent="0.2">
      <c r="A61" s="622">
        <v>57</v>
      </c>
      <c r="B61" s="835" t="s">
        <v>420</v>
      </c>
      <c r="C61" s="620">
        <v>158</v>
      </c>
      <c r="D61" s="1459">
        <v>391</v>
      </c>
      <c r="E61" s="1459">
        <v>515</v>
      </c>
      <c r="F61" s="1459">
        <v>600</v>
      </c>
      <c r="G61" s="1459">
        <v>1664</v>
      </c>
      <c r="H61" s="1459">
        <v>243</v>
      </c>
      <c r="I61" s="1459">
        <v>1590</v>
      </c>
      <c r="J61" s="1459">
        <v>424</v>
      </c>
      <c r="K61" s="1459">
        <v>381</v>
      </c>
      <c r="L61" s="1459">
        <v>779</v>
      </c>
      <c r="M61" s="1459">
        <v>486</v>
      </c>
      <c r="N61" s="621">
        <v>273</v>
      </c>
      <c r="O61" s="1459">
        <v>213</v>
      </c>
      <c r="P61" s="1459">
        <v>534</v>
      </c>
      <c r="Q61" s="1459">
        <v>481</v>
      </c>
      <c r="R61" s="1459">
        <v>973</v>
      </c>
      <c r="S61" s="1459">
        <v>348</v>
      </c>
      <c r="T61" s="1459">
        <v>362</v>
      </c>
      <c r="U61" s="620">
        <v>172</v>
      </c>
      <c r="V61" s="1459">
        <v>704</v>
      </c>
      <c r="W61" s="1459">
        <v>124</v>
      </c>
      <c r="X61" s="1468">
        <v>110</v>
      </c>
      <c r="Y61" s="1460">
        <v>10280</v>
      </c>
      <c r="Z61" s="617">
        <v>78150</v>
      </c>
    </row>
    <row r="62" spans="1:26" s="556" customFormat="1" ht="13.5" customHeight="1" x14ac:dyDescent="0.2">
      <c r="A62" s="1451"/>
      <c r="B62" s="1450" t="s">
        <v>908</v>
      </c>
      <c r="C62" s="620"/>
      <c r="D62" s="1066"/>
      <c r="E62" s="1066"/>
      <c r="F62" s="1066"/>
      <c r="G62" s="1066"/>
      <c r="H62" s="1066"/>
      <c r="I62" s="1066"/>
      <c r="J62" s="1066"/>
      <c r="K62" s="1066"/>
      <c r="L62" s="1066"/>
      <c r="M62" s="1066"/>
      <c r="N62" s="1457"/>
      <c r="O62" s="1066"/>
      <c r="P62" s="1066"/>
      <c r="Q62" s="1066"/>
      <c r="R62" s="1066"/>
      <c r="S62" s="1066"/>
      <c r="T62" s="1066"/>
      <c r="U62" s="1458"/>
      <c r="V62" s="1066"/>
      <c r="W62" s="1066"/>
      <c r="X62" s="1066"/>
      <c r="Y62" s="1456">
        <f t="shared" ref="Y62" si="0">SUM(C62:O62,Q62:R62,U62:X62)</f>
        <v>0</v>
      </c>
      <c r="Z62" s="1291"/>
    </row>
    <row r="63" spans="1:26" s="556" customFormat="1" ht="13.5" customHeight="1" x14ac:dyDescent="0.2">
      <c r="A63" s="622">
        <v>58</v>
      </c>
      <c r="B63" s="836" t="s">
        <v>581</v>
      </c>
      <c r="C63" s="620" t="s">
        <v>73</v>
      </c>
      <c r="D63" s="1459">
        <v>14</v>
      </c>
      <c r="E63" s="1459">
        <v>21</v>
      </c>
      <c r="F63" s="1459">
        <v>32</v>
      </c>
      <c r="G63" s="1459">
        <v>62</v>
      </c>
      <c r="H63" s="1459">
        <v>13</v>
      </c>
      <c r="I63" s="1459">
        <v>64</v>
      </c>
      <c r="J63" s="1459">
        <v>30</v>
      </c>
      <c r="K63" s="1459">
        <v>28</v>
      </c>
      <c r="L63" s="1459">
        <v>33</v>
      </c>
      <c r="M63" s="1459">
        <v>18</v>
      </c>
      <c r="N63" s="621">
        <v>20</v>
      </c>
      <c r="O63" s="1459">
        <v>17</v>
      </c>
      <c r="P63" s="1459">
        <v>31</v>
      </c>
      <c r="Q63" s="1459">
        <v>25</v>
      </c>
      <c r="R63" s="1459">
        <v>37</v>
      </c>
      <c r="S63" s="1459">
        <v>15</v>
      </c>
      <c r="T63" s="1459">
        <v>13</v>
      </c>
      <c r="U63" s="620">
        <v>10</v>
      </c>
      <c r="V63" s="1459">
        <v>51</v>
      </c>
      <c r="W63" s="1459" t="s">
        <v>73</v>
      </c>
      <c r="X63" s="1468">
        <v>7</v>
      </c>
      <c r="Y63" s="1460">
        <v>490</v>
      </c>
      <c r="Z63" s="617">
        <v>4090</v>
      </c>
    </row>
    <row r="64" spans="1:26" s="556" customFormat="1" ht="13.5" customHeight="1" x14ac:dyDescent="0.2">
      <c r="A64" s="622">
        <v>59</v>
      </c>
      <c r="B64" s="836" t="s">
        <v>582</v>
      </c>
      <c r="C64" s="620" t="s">
        <v>73</v>
      </c>
      <c r="D64" s="1459">
        <v>33</v>
      </c>
      <c r="E64" s="1459">
        <v>62</v>
      </c>
      <c r="F64" s="1459">
        <v>83</v>
      </c>
      <c r="G64" s="1459">
        <v>200</v>
      </c>
      <c r="H64" s="1459">
        <v>38</v>
      </c>
      <c r="I64" s="1459">
        <v>84</v>
      </c>
      <c r="J64" s="1459">
        <v>53</v>
      </c>
      <c r="K64" s="1459">
        <v>51</v>
      </c>
      <c r="L64" s="1459">
        <v>94</v>
      </c>
      <c r="M64" s="1459">
        <v>57</v>
      </c>
      <c r="N64" s="621">
        <v>34</v>
      </c>
      <c r="O64" s="1459">
        <v>33</v>
      </c>
      <c r="P64" s="1459">
        <v>80</v>
      </c>
      <c r="Q64" s="1459">
        <v>55</v>
      </c>
      <c r="R64" s="1459">
        <v>93</v>
      </c>
      <c r="S64" s="1459">
        <v>54</v>
      </c>
      <c r="T64" s="1459">
        <v>54</v>
      </c>
      <c r="U64" s="620">
        <v>10</v>
      </c>
      <c r="V64" s="1459">
        <v>80</v>
      </c>
      <c r="W64" s="1459" t="s">
        <v>73</v>
      </c>
      <c r="X64" s="1468">
        <v>12</v>
      </c>
      <c r="Y64" s="1460">
        <v>1100</v>
      </c>
      <c r="Z64" s="617">
        <v>10490</v>
      </c>
    </row>
    <row r="65" spans="1:26" s="556" customFormat="1" ht="13.5" customHeight="1" x14ac:dyDescent="0.2">
      <c r="A65" s="622">
        <v>60</v>
      </c>
      <c r="B65" s="836" t="s">
        <v>583</v>
      </c>
      <c r="C65" s="620">
        <v>24</v>
      </c>
      <c r="D65" s="1459">
        <v>67</v>
      </c>
      <c r="E65" s="1459">
        <v>78</v>
      </c>
      <c r="F65" s="1459">
        <v>116</v>
      </c>
      <c r="G65" s="1459">
        <v>356</v>
      </c>
      <c r="H65" s="1459">
        <v>58</v>
      </c>
      <c r="I65" s="1459">
        <v>200</v>
      </c>
      <c r="J65" s="1459">
        <v>74</v>
      </c>
      <c r="K65" s="1459">
        <v>87</v>
      </c>
      <c r="L65" s="1459">
        <v>154</v>
      </c>
      <c r="M65" s="1459">
        <v>63</v>
      </c>
      <c r="N65" s="621">
        <v>57</v>
      </c>
      <c r="O65" s="1459">
        <v>31</v>
      </c>
      <c r="P65" s="1459">
        <v>82</v>
      </c>
      <c r="Q65" s="1459">
        <v>115</v>
      </c>
      <c r="R65" s="1459">
        <v>180</v>
      </c>
      <c r="S65" s="1459">
        <v>77</v>
      </c>
      <c r="T65" s="1459">
        <v>64</v>
      </c>
      <c r="U65" s="620">
        <v>23</v>
      </c>
      <c r="V65" s="1459">
        <v>102</v>
      </c>
      <c r="W65" s="1459">
        <v>15</v>
      </c>
      <c r="X65" s="1468">
        <v>18</v>
      </c>
      <c r="Y65" s="1460">
        <v>1820</v>
      </c>
      <c r="Z65" s="617">
        <v>14420</v>
      </c>
    </row>
    <row r="66" spans="1:26" s="556" customFormat="1" ht="13.5" customHeight="1" x14ac:dyDescent="0.2">
      <c r="A66" s="622">
        <v>61</v>
      </c>
      <c r="B66" s="836" t="s">
        <v>584</v>
      </c>
      <c r="C66" s="620">
        <v>74</v>
      </c>
      <c r="D66" s="1459">
        <v>156</v>
      </c>
      <c r="E66" s="1459">
        <v>219</v>
      </c>
      <c r="F66" s="1459">
        <v>250</v>
      </c>
      <c r="G66" s="1459">
        <v>648</v>
      </c>
      <c r="H66" s="1459">
        <v>95</v>
      </c>
      <c r="I66" s="1459">
        <v>693</v>
      </c>
      <c r="J66" s="1459">
        <v>179</v>
      </c>
      <c r="K66" s="1459">
        <v>150</v>
      </c>
      <c r="L66" s="1459">
        <v>299</v>
      </c>
      <c r="M66" s="1459">
        <v>190</v>
      </c>
      <c r="N66" s="621">
        <v>110</v>
      </c>
      <c r="O66" s="1459">
        <v>83</v>
      </c>
      <c r="P66" s="1459">
        <v>203</v>
      </c>
      <c r="Q66" s="1459">
        <v>214</v>
      </c>
      <c r="R66" s="1459">
        <v>370</v>
      </c>
      <c r="S66" s="1459">
        <v>110</v>
      </c>
      <c r="T66" s="1459">
        <v>167</v>
      </c>
      <c r="U66" s="620">
        <v>63</v>
      </c>
      <c r="V66" s="1459">
        <v>275</v>
      </c>
      <c r="W66" s="1459">
        <v>52</v>
      </c>
      <c r="X66" s="1468">
        <v>36</v>
      </c>
      <c r="Y66" s="1460">
        <v>4160</v>
      </c>
      <c r="Z66" s="617">
        <v>30780</v>
      </c>
    </row>
    <row r="67" spans="1:26" s="556" customFormat="1" ht="13.5" customHeight="1" x14ac:dyDescent="0.2">
      <c r="A67" s="622">
        <v>62</v>
      </c>
      <c r="B67" s="836" t="s">
        <v>585</v>
      </c>
      <c r="C67" s="620">
        <v>38</v>
      </c>
      <c r="D67" s="1459">
        <v>121</v>
      </c>
      <c r="E67" s="1459">
        <v>135</v>
      </c>
      <c r="F67" s="1459">
        <v>119</v>
      </c>
      <c r="G67" s="1459">
        <v>398</v>
      </c>
      <c r="H67" s="1459">
        <v>39</v>
      </c>
      <c r="I67" s="1459">
        <v>549</v>
      </c>
      <c r="J67" s="1459">
        <v>88</v>
      </c>
      <c r="K67" s="1459">
        <v>65</v>
      </c>
      <c r="L67" s="1459">
        <v>199</v>
      </c>
      <c r="M67" s="1459">
        <v>158</v>
      </c>
      <c r="N67" s="621">
        <v>52</v>
      </c>
      <c r="O67" s="1459">
        <v>49</v>
      </c>
      <c r="P67" s="1459">
        <v>138</v>
      </c>
      <c r="Q67" s="1459">
        <v>72</v>
      </c>
      <c r="R67" s="1459">
        <v>293</v>
      </c>
      <c r="S67" s="1459">
        <v>92</v>
      </c>
      <c r="T67" s="1459">
        <v>64</v>
      </c>
      <c r="U67" s="620">
        <v>66</v>
      </c>
      <c r="V67" s="1459">
        <v>196</v>
      </c>
      <c r="W67" s="1459">
        <v>42</v>
      </c>
      <c r="X67" s="1468">
        <v>37</v>
      </c>
      <c r="Y67" s="1460">
        <v>2720</v>
      </c>
      <c r="Z67" s="617">
        <v>18380</v>
      </c>
    </row>
    <row r="68" spans="1:26" s="556" customFormat="1" ht="13.5" customHeight="1" x14ac:dyDescent="0.2">
      <c r="A68" s="622">
        <v>63</v>
      </c>
      <c r="B68" s="832" t="s">
        <v>421</v>
      </c>
      <c r="C68" s="620">
        <v>98</v>
      </c>
      <c r="D68" s="620">
        <v>270</v>
      </c>
      <c r="E68" s="620">
        <v>380</v>
      </c>
      <c r="F68" s="620">
        <v>481</v>
      </c>
      <c r="G68" s="620">
        <v>1266</v>
      </c>
      <c r="H68" s="620">
        <v>204</v>
      </c>
      <c r="I68" s="620">
        <v>1041</v>
      </c>
      <c r="J68" s="620">
        <v>336</v>
      </c>
      <c r="K68" s="620">
        <v>316</v>
      </c>
      <c r="L68" s="620">
        <v>580</v>
      </c>
      <c r="M68" s="620">
        <v>328</v>
      </c>
      <c r="N68" s="620">
        <v>221</v>
      </c>
      <c r="O68" s="620">
        <v>164</v>
      </c>
      <c r="P68" s="620">
        <v>396</v>
      </c>
      <c r="Q68" s="620">
        <v>409</v>
      </c>
      <c r="R68" s="620">
        <v>680</v>
      </c>
      <c r="S68" s="620">
        <v>256</v>
      </c>
      <c r="T68" s="620">
        <v>298</v>
      </c>
      <c r="U68" s="620">
        <v>106</v>
      </c>
      <c r="V68" s="620">
        <v>508</v>
      </c>
      <c r="W68" s="620">
        <v>67</v>
      </c>
      <c r="X68" s="620">
        <v>73</v>
      </c>
      <c r="Y68" s="620">
        <v>7570</v>
      </c>
      <c r="Z68" s="620">
        <v>59780</v>
      </c>
    </row>
    <row r="69" spans="1:26" s="556" customFormat="1" ht="13.5" customHeight="1" x14ac:dyDescent="0.2">
      <c r="A69" s="622">
        <v>64</v>
      </c>
      <c r="B69" s="832" t="s">
        <v>422</v>
      </c>
      <c r="C69" s="620">
        <v>31</v>
      </c>
      <c r="D69" s="1459">
        <v>113</v>
      </c>
      <c r="E69" s="1459">
        <v>172</v>
      </c>
      <c r="F69" s="1459">
        <v>221</v>
      </c>
      <c r="G69" s="1459">
        <v>533</v>
      </c>
      <c r="H69" s="1459">
        <v>95</v>
      </c>
      <c r="I69" s="1459">
        <v>548</v>
      </c>
      <c r="J69" s="1459">
        <v>170</v>
      </c>
      <c r="K69" s="1459">
        <v>150</v>
      </c>
      <c r="L69" s="1459">
        <v>189</v>
      </c>
      <c r="M69" s="1459">
        <v>125</v>
      </c>
      <c r="N69" s="621">
        <v>97</v>
      </c>
      <c r="O69" s="1459">
        <v>54</v>
      </c>
      <c r="P69" s="1459">
        <v>160</v>
      </c>
      <c r="Q69" s="1459">
        <v>235</v>
      </c>
      <c r="R69" s="1459">
        <v>250</v>
      </c>
      <c r="S69" s="1459">
        <v>106</v>
      </c>
      <c r="T69" s="1459">
        <v>129</v>
      </c>
      <c r="U69" s="620">
        <v>50</v>
      </c>
      <c r="V69" s="1459">
        <v>181</v>
      </c>
      <c r="W69" s="1459">
        <v>25</v>
      </c>
      <c r="X69" s="1468">
        <v>15</v>
      </c>
      <c r="Y69" s="1460">
        <v>3250</v>
      </c>
      <c r="Z69" s="617">
        <v>25750</v>
      </c>
    </row>
    <row r="70" spans="1:26" s="556" customFormat="1" ht="13.5" customHeight="1" x14ac:dyDescent="0.2">
      <c r="A70" s="622">
        <v>65</v>
      </c>
      <c r="B70" s="832" t="s">
        <v>423</v>
      </c>
      <c r="C70" s="1458">
        <v>20</v>
      </c>
      <c r="D70" s="1459">
        <v>72</v>
      </c>
      <c r="E70" s="1459">
        <v>125</v>
      </c>
      <c r="F70" s="1459">
        <v>154</v>
      </c>
      <c r="G70" s="1459">
        <v>359</v>
      </c>
      <c r="H70" s="1459">
        <v>59</v>
      </c>
      <c r="I70" s="1459">
        <v>386</v>
      </c>
      <c r="J70" s="1459">
        <v>121</v>
      </c>
      <c r="K70" s="1459">
        <v>99</v>
      </c>
      <c r="L70" s="1459">
        <v>133</v>
      </c>
      <c r="M70" s="1459">
        <v>83</v>
      </c>
      <c r="N70" s="621">
        <v>64</v>
      </c>
      <c r="O70" s="1459">
        <v>35</v>
      </c>
      <c r="P70" s="1459">
        <v>100</v>
      </c>
      <c r="Q70" s="1459">
        <v>152</v>
      </c>
      <c r="R70" s="1459">
        <v>162</v>
      </c>
      <c r="S70" s="1459">
        <v>62</v>
      </c>
      <c r="T70" s="1459">
        <v>83</v>
      </c>
      <c r="U70" s="620">
        <v>27</v>
      </c>
      <c r="V70" s="1459">
        <v>120</v>
      </c>
      <c r="W70" s="1459">
        <v>19</v>
      </c>
      <c r="X70" s="1468">
        <v>12</v>
      </c>
      <c r="Y70" s="1460">
        <v>2200</v>
      </c>
      <c r="Z70" s="617">
        <v>17680</v>
      </c>
    </row>
    <row r="71" spans="1:26" s="556" customFormat="1" ht="13.5" customHeight="1" x14ac:dyDescent="0.2">
      <c r="A71" s="622">
        <v>66</v>
      </c>
      <c r="B71" s="832" t="s">
        <v>570</v>
      </c>
      <c r="C71" s="620" t="s">
        <v>73</v>
      </c>
      <c r="D71" s="1459">
        <v>38</v>
      </c>
      <c r="E71" s="1459">
        <v>31</v>
      </c>
      <c r="F71" s="1459">
        <v>36</v>
      </c>
      <c r="G71" s="1459">
        <v>133</v>
      </c>
      <c r="H71" s="1459">
        <v>6</v>
      </c>
      <c r="I71" s="1459">
        <v>255</v>
      </c>
      <c r="J71" s="1459">
        <v>11</v>
      </c>
      <c r="K71" s="1459">
        <v>23</v>
      </c>
      <c r="L71" s="1459">
        <v>64</v>
      </c>
      <c r="M71" s="1459">
        <v>101</v>
      </c>
      <c r="N71" s="621" t="s">
        <v>73</v>
      </c>
      <c r="O71" s="1459" t="s">
        <v>73</v>
      </c>
      <c r="P71" s="1459">
        <v>13</v>
      </c>
      <c r="Q71" s="1459">
        <v>15</v>
      </c>
      <c r="R71" s="1459">
        <v>114</v>
      </c>
      <c r="S71" s="1459">
        <v>24</v>
      </c>
      <c r="T71" s="1459" t="s">
        <v>73</v>
      </c>
      <c r="U71" s="620">
        <v>30</v>
      </c>
      <c r="V71" s="1459">
        <v>72</v>
      </c>
      <c r="W71" s="1459">
        <v>10</v>
      </c>
      <c r="X71" s="1468">
        <v>12</v>
      </c>
      <c r="Y71" s="1460">
        <v>960</v>
      </c>
      <c r="Z71" s="617">
        <v>5070</v>
      </c>
    </row>
    <row r="72" spans="1:26" s="556" customFormat="1" ht="13.5" customHeight="1" x14ac:dyDescent="0.2">
      <c r="A72" s="622">
        <v>67</v>
      </c>
      <c r="B72" s="832" t="s">
        <v>551</v>
      </c>
      <c r="C72" s="620">
        <v>31</v>
      </c>
      <c r="D72" s="1459">
        <v>32</v>
      </c>
      <c r="E72" s="1459">
        <v>46</v>
      </c>
      <c r="F72" s="1459">
        <v>72</v>
      </c>
      <c r="G72" s="1459">
        <v>265</v>
      </c>
      <c r="H72" s="1459">
        <v>24</v>
      </c>
      <c r="I72" s="1459">
        <v>165</v>
      </c>
      <c r="J72" s="1459">
        <v>40</v>
      </c>
      <c r="K72" s="1459">
        <v>41</v>
      </c>
      <c r="L72" s="1459">
        <v>72</v>
      </c>
      <c r="M72" s="1459">
        <v>77</v>
      </c>
      <c r="N72" s="621">
        <v>33</v>
      </c>
      <c r="O72" s="1459">
        <v>23</v>
      </c>
      <c r="P72" s="1459">
        <v>77</v>
      </c>
      <c r="Q72" s="1459">
        <v>60</v>
      </c>
      <c r="R72" s="1459">
        <v>88</v>
      </c>
      <c r="S72" s="1459">
        <v>25</v>
      </c>
      <c r="T72" s="1459">
        <v>40</v>
      </c>
      <c r="U72" s="620">
        <v>17</v>
      </c>
      <c r="V72" s="1459">
        <v>72</v>
      </c>
      <c r="W72" s="1459">
        <v>19</v>
      </c>
      <c r="X72" s="1468">
        <v>11</v>
      </c>
      <c r="Y72" s="1460">
        <v>1190</v>
      </c>
      <c r="Z72" s="617">
        <v>8110</v>
      </c>
    </row>
    <row r="73" spans="1:26" s="556" customFormat="1" ht="13.5" customHeight="1" x14ac:dyDescent="0.2">
      <c r="A73" s="622">
        <v>68</v>
      </c>
      <c r="B73" s="832" t="s">
        <v>564</v>
      </c>
      <c r="C73" s="1469"/>
      <c r="D73" s="1470"/>
      <c r="E73" s="1470"/>
      <c r="F73" s="1470"/>
      <c r="G73" s="1470"/>
      <c r="H73" s="1470"/>
      <c r="I73" s="1470"/>
      <c r="J73" s="1470"/>
      <c r="K73" s="1470"/>
      <c r="L73" s="1470"/>
      <c r="M73" s="1470"/>
      <c r="N73" s="1474"/>
      <c r="O73" s="1470"/>
      <c r="P73" s="1470"/>
      <c r="Q73" s="1470"/>
      <c r="R73" s="1470"/>
      <c r="S73" s="1470"/>
      <c r="T73" s="1470"/>
      <c r="U73" s="1469"/>
      <c r="V73" s="1470"/>
      <c r="W73" s="1470"/>
      <c r="X73" s="1471"/>
      <c r="Y73" s="1472"/>
      <c r="Z73" s="1473"/>
    </row>
    <row r="74" spans="1:26" s="556" customFormat="1" ht="13.5" customHeight="1" x14ac:dyDescent="0.2">
      <c r="A74" s="622">
        <v>69</v>
      </c>
      <c r="B74" s="832" t="s">
        <v>565</v>
      </c>
      <c r="C74" s="1469"/>
      <c r="D74" s="1470"/>
      <c r="E74" s="1470"/>
      <c r="F74" s="1470"/>
      <c r="G74" s="1470"/>
      <c r="H74" s="1470"/>
      <c r="I74" s="1470"/>
      <c r="J74" s="1470"/>
      <c r="K74" s="1470"/>
      <c r="L74" s="1470"/>
      <c r="M74" s="1470"/>
      <c r="N74" s="1474"/>
      <c r="O74" s="1470"/>
      <c r="P74" s="1470"/>
      <c r="Q74" s="1470"/>
      <c r="R74" s="1470"/>
      <c r="S74" s="1470"/>
      <c r="T74" s="1470"/>
      <c r="U74" s="1469"/>
      <c r="V74" s="1470"/>
      <c r="W74" s="1470"/>
      <c r="X74" s="1471"/>
      <c r="Y74" s="1472"/>
      <c r="Z74" s="1473"/>
    </row>
    <row r="75" spans="1:26" s="556" customFormat="1" ht="13.5" customHeight="1" x14ac:dyDescent="0.2">
      <c r="A75" s="622">
        <v>70</v>
      </c>
      <c r="B75" s="832" t="s">
        <v>552</v>
      </c>
      <c r="C75" s="620">
        <v>84</v>
      </c>
      <c r="D75" s="1459">
        <v>157</v>
      </c>
      <c r="E75" s="1459">
        <v>209</v>
      </c>
      <c r="F75" s="1459">
        <v>192</v>
      </c>
      <c r="G75" s="1459">
        <v>652</v>
      </c>
      <c r="H75" s="1459">
        <v>74</v>
      </c>
      <c r="I75" s="1459">
        <v>696</v>
      </c>
      <c r="J75" s="1459">
        <v>167</v>
      </c>
      <c r="K75" s="1459">
        <v>162</v>
      </c>
      <c r="L75" s="1459">
        <v>355</v>
      </c>
      <c r="M75" s="1459">
        <v>229</v>
      </c>
      <c r="N75" s="1457">
        <v>89</v>
      </c>
      <c r="O75" s="1459">
        <v>134</v>
      </c>
      <c r="P75" s="1459">
        <v>194</v>
      </c>
      <c r="Q75" s="1459">
        <v>170</v>
      </c>
      <c r="R75" s="1459">
        <v>435</v>
      </c>
      <c r="S75" s="1459">
        <v>137</v>
      </c>
      <c r="T75" s="1459">
        <v>147</v>
      </c>
      <c r="U75" s="1458">
        <v>79</v>
      </c>
      <c r="V75" s="1459">
        <v>346</v>
      </c>
      <c r="W75" s="1459">
        <v>65</v>
      </c>
      <c r="X75" s="1468">
        <v>62</v>
      </c>
      <c r="Y75" s="1460">
        <v>4360</v>
      </c>
      <c r="Z75" s="617">
        <v>31680</v>
      </c>
    </row>
    <row r="76" spans="1:26" s="556" customFormat="1" ht="13.5" customHeight="1" x14ac:dyDescent="0.2">
      <c r="A76" s="622">
        <v>71</v>
      </c>
      <c r="B76" s="832" t="s">
        <v>553</v>
      </c>
      <c r="C76" s="1477"/>
      <c r="D76" s="1478"/>
      <c r="E76" s="1478"/>
      <c r="F76" s="1478"/>
      <c r="G76" s="1478"/>
      <c r="H76" s="1478"/>
      <c r="I76" s="1478"/>
      <c r="J76" s="1478"/>
      <c r="K76" s="1478"/>
      <c r="L76" s="1478"/>
      <c r="M76" s="1478"/>
      <c r="N76" s="1479"/>
      <c r="O76" s="1478"/>
      <c r="P76" s="1478"/>
      <c r="Q76" s="1478"/>
      <c r="R76" s="1478"/>
      <c r="S76" s="1478"/>
      <c r="T76" s="1478"/>
      <c r="U76" s="1477"/>
      <c r="V76" s="1478"/>
      <c r="W76" s="1478"/>
      <c r="X76" s="1480"/>
      <c r="Y76" s="1481"/>
      <c r="Z76" s="1482"/>
    </row>
    <row r="77" spans="1:26" s="556" customFormat="1" ht="13.5" customHeight="1" x14ac:dyDescent="0.2">
      <c r="A77" s="622">
        <v>72</v>
      </c>
      <c r="B77" s="832" t="s">
        <v>554</v>
      </c>
      <c r="C77" s="1477" t="s">
        <v>73</v>
      </c>
      <c r="D77" s="1478" t="s">
        <v>73</v>
      </c>
      <c r="E77" s="1478" t="s">
        <v>73</v>
      </c>
      <c r="F77" s="1478" t="s">
        <v>73</v>
      </c>
      <c r="G77" s="1478">
        <v>12</v>
      </c>
      <c r="H77" s="1478" t="s">
        <v>73</v>
      </c>
      <c r="I77" s="1478" t="s">
        <v>73</v>
      </c>
      <c r="J77" s="1478" t="s">
        <v>73</v>
      </c>
      <c r="K77" s="1478" t="s">
        <v>73</v>
      </c>
      <c r="L77" s="1478" t="s">
        <v>73</v>
      </c>
      <c r="M77" s="1478" t="s">
        <v>73</v>
      </c>
      <c r="N77" s="1479" t="s">
        <v>73</v>
      </c>
      <c r="O77" s="1478">
        <v>8</v>
      </c>
      <c r="P77" s="1478" t="s">
        <v>73</v>
      </c>
      <c r="Q77" s="1478">
        <v>8</v>
      </c>
      <c r="R77" s="1478" t="s">
        <v>73</v>
      </c>
      <c r="S77" s="1478" t="s">
        <v>73</v>
      </c>
      <c r="T77" s="1478">
        <v>0</v>
      </c>
      <c r="U77" s="1477">
        <v>0</v>
      </c>
      <c r="V77" s="1478" t="s">
        <v>73</v>
      </c>
      <c r="W77" s="1478">
        <v>0</v>
      </c>
      <c r="X77" s="1480" t="s">
        <v>73</v>
      </c>
      <c r="Y77" s="1481">
        <v>70</v>
      </c>
      <c r="Z77" s="1482">
        <v>780</v>
      </c>
    </row>
    <row r="78" spans="1:26" s="556" customFormat="1" ht="13.5" customHeight="1" x14ac:dyDescent="0.2">
      <c r="A78" s="622">
        <v>73</v>
      </c>
      <c r="B78" s="832" t="s">
        <v>593</v>
      </c>
      <c r="C78" s="1464" t="s">
        <v>73</v>
      </c>
      <c r="D78" s="1459">
        <v>10</v>
      </c>
      <c r="E78" s="1459">
        <v>18</v>
      </c>
      <c r="F78" s="1459" t="s">
        <v>73</v>
      </c>
      <c r="G78" s="1459">
        <v>48</v>
      </c>
      <c r="H78" s="1459" t="s">
        <v>73</v>
      </c>
      <c r="I78" s="1459">
        <v>38</v>
      </c>
      <c r="J78" s="1459">
        <v>10</v>
      </c>
      <c r="K78" s="1459">
        <v>6</v>
      </c>
      <c r="L78" s="1459">
        <v>29</v>
      </c>
      <c r="M78" s="1459" t="s">
        <v>73</v>
      </c>
      <c r="N78" s="621">
        <v>7</v>
      </c>
      <c r="O78" s="1459" t="s">
        <v>73</v>
      </c>
      <c r="P78" s="1459" t="s">
        <v>73</v>
      </c>
      <c r="Q78" s="1459">
        <v>13</v>
      </c>
      <c r="R78" s="1459">
        <v>13</v>
      </c>
      <c r="S78" s="1459">
        <v>10</v>
      </c>
      <c r="T78" s="1459">
        <v>21</v>
      </c>
      <c r="U78" s="620" t="s">
        <v>73</v>
      </c>
      <c r="V78" s="1459">
        <v>35</v>
      </c>
      <c r="W78" s="1459" t="s">
        <v>73</v>
      </c>
      <c r="X78" s="1468" t="s">
        <v>73</v>
      </c>
      <c r="Y78" s="1460">
        <v>280</v>
      </c>
      <c r="Z78" s="617">
        <v>2190</v>
      </c>
    </row>
    <row r="79" spans="1:26" s="556" customFormat="1" ht="13.5" customHeight="1" x14ac:dyDescent="0.2">
      <c r="A79" s="622">
        <v>74</v>
      </c>
      <c r="B79" s="832" t="s">
        <v>424</v>
      </c>
      <c r="C79" s="1458">
        <v>65</v>
      </c>
      <c r="D79" s="1459">
        <v>187</v>
      </c>
      <c r="E79" s="1459">
        <v>170</v>
      </c>
      <c r="F79" s="1459">
        <v>192</v>
      </c>
      <c r="G79" s="1459">
        <v>593</v>
      </c>
      <c r="H79" s="1459">
        <v>61</v>
      </c>
      <c r="I79" s="1459">
        <v>763</v>
      </c>
      <c r="J79" s="1459">
        <v>158</v>
      </c>
      <c r="K79" s="1459">
        <v>173</v>
      </c>
      <c r="L79" s="1459">
        <v>273</v>
      </c>
      <c r="M79" s="1459">
        <v>161</v>
      </c>
      <c r="N79" s="621">
        <v>95</v>
      </c>
      <c r="O79" s="1459">
        <v>127</v>
      </c>
      <c r="P79" s="1459">
        <v>184</v>
      </c>
      <c r="Q79" s="1459">
        <v>214</v>
      </c>
      <c r="R79" s="1459">
        <v>394</v>
      </c>
      <c r="S79" s="1459">
        <v>149</v>
      </c>
      <c r="T79" s="1459">
        <v>118</v>
      </c>
      <c r="U79" s="620">
        <v>53</v>
      </c>
      <c r="V79" s="1459">
        <v>354</v>
      </c>
      <c r="W79" s="1459">
        <v>52</v>
      </c>
      <c r="X79" s="1468">
        <v>58</v>
      </c>
      <c r="Y79" s="1460">
        <v>4140</v>
      </c>
      <c r="Z79" s="617">
        <v>29460</v>
      </c>
    </row>
    <row r="80" spans="1:26" s="556" customFormat="1" ht="13.5" customHeight="1" x14ac:dyDescent="0.2">
      <c r="A80" s="622">
        <v>75</v>
      </c>
      <c r="B80" s="832" t="s">
        <v>1219</v>
      </c>
      <c r="C80" s="1464"/>
      <c r="D80" s="1459"/>
      <c r="E80" s="1459"/>
      <c r="F80" s="1459"/>
      <c r="G80" s="1459"/>
      <c r="H80" s="1459"/>
      <c r="I80" s="1459"/>
      <c r="J80" s="1459"/>
      <c r="K80" s="1459"/>
      <c r="L80" s="1459"/>
      <c r="M80" s="1459"/>
      <c r="N80" s="1465"/>
      <c r="O80" s="1459"/>
      <c r="P80" s="1459"/>
      <c r="Q80" s="1459"/>
      <c r="R80" s="1459"/>
      <c r="S80" s="1459"/>
      <c r="T80" s="1459"/>
      <c r="U80" s="1464"/>
      <c r="V80" s="1459"/>
      <c r="W80" s="1459"/>
      <c r="X80" s="1468"/>
      <c r="Y80" s="1460"/>
      <c r="Z80" s="617"/>
    </row>
    <row r="81" spans="1:26" s="556" customFormat="1" ht="13.5" customHeight="1" x14ac:dyDescent="0.2">
      <c r="A81" s="622">
        <v>76</v>
      </c>
      <c r="B81" s="832" t="s">
        <v>1220</v>
      </c>
      <c r="C81" s="1470"/>
      <c r="D81" s="1470"/>
      <c r="E81" s="1470"/>
      <c r="F81" s="1470"/>
      <c r="G81" s="1470"/>
      <c r="H81" s="1470"/>
      <c r="I81" s="1470"/>
      <c r="J81" s="1470"/>
      <c r="K81" s="1470"/>
      <c r="L81" s="1470"/>
      <c r="M81" s="1470"/>
      <c r="N81" s="1470"/>
      <c r="O81" s="1470"/>
      <c r="P81" s="1470"/>
      <c r="Q81" s="1470"/>
      <c r="R81" s="1470"/>
      <c r="S81" s="1470"/>
      <c r="T81" s="1470"/>
      <c r="U81" s="1470"/>
      <c r="V81" s="1470"/>
      <c r="W81" s="1470"/>
      <c r="X81" s="1471"/>
      <c r="Y81" s="1472"/>
      <c r="Z81" s="1473"/>
    </row>
    <row r="82" spans="1:26" s="556" customFormat="1" ht="13.5" customHeight="1" x14ac:dyDescent="0.2">
      <c r="A82" s="622">
        <v>77</v>
      </c>
      <c r="B82" s="832" t="s">
        <v>425</v>
      </c>
      <c r="C82" s="1464">
        <v>7</v>
      </c>
      <c r="D82" s="1459">
        <v>34</v>
      </c>
      <c r="E82" s="1459">
        <v>18</v>
      </c>
      <c r="F82" s="1459">
        <v>30</v>
      </c>
      <c r="G82" s="1459">
        <v>69</v>
      </c>
      <c r="H82" s="1459">
        <v>11</v>
      </c>
      <c r="I82" s="1459">
        <v>96</v>
      </c>
      <c r="J82" s="1459">
        <v>24</v>
      </c>
      <c r="K82" s="1459">
        <v>20</v>
      </c>
      <c r="L82" s="1459">
        <v>25</v>
      </c>
      <c r="M82" s="1459">
        <v>15</v>
      </c>
      <c r="N82" s="1465">
        <v>20</v>
      </c>
      <c r="O82" s="1459">
        <v>14</v>
      </c>
      <c r="P82" s="1459">
        <v>23</v>
      </c>
      <c r="Q82" s="1459">
        <v>48</v>
      </c>
      <c r="R82" s="1459">
        <v>24</v>
      </c>
      <c r="S82" s="1459">
        <v>16</v>
      </c>
      <c r="T82" s="1459">
        <v>11</v>
      </c>
      <c r="U82" s="1464">
        <v>6</v>
      </c>
      <c r="V82" s="1459">
        <v>42</v>
      </c>
      <c r="W82" s="1459">
        <v>7</v>
      </c>
      <c r="X82" s="1468" t="s">
        <v>73</v>
      </c>
      <c r="Y82" s="1460">
        <v>510</v>
      </c>
      <c r="Z82" s="617">
        <v>3570</v>
      </c>
    </row>
    <row r="83" spans="1:26" s="556" customFormat="1" ht="13.5" customHeight="1" x14ac:dyDescent="0.2">
      <c r="A83" s="622">
        <v>78</v>
      </c>
      <c r="B83" s="832" t="s">
        <v>426</v>
      </c>
      <c r="C83" s="1478" t="s">
        <v>73</v>
      </c>
      <c r="D83" s="1478">
        <f>D82*D109</f>
        <v>12002</v>
      </c>
      <c r="E83" s="1478">
        <f t="shared" ref="E83:V83" si="1">E82*E109</f>
        <v>6192</v>
      </c>
      <c r="F83" s="1478">
        <f t="shared" si="1"/>
        <v>11160</v>
      </c>
      <c r="G83" s="1478">
        <f t="shared" si="1"/>
        <v>23184</v>
      </c>
      <c r="H83" s="1478">
        <f t="shared" si="1"/>
        <v>3718</v>
      </c>
      <c r="I83" s="1478">
        <f t="shared" si="1"/>
        <v>32160</v>
      </c>
      <c r="J83" s="1478">
        <f t="shared" si="1"/>
        <v>11568</v>
      </c>
      <c r="K83" s="1478">
        <f t="shared" si="1"/>
        <v>7620</v>
      </c>
      <c r="L83" s="1478">
        <f t="shared" si="1"/>
        <v>8275</v>
      </c>
      <c r="M83" s="1478">
        <f t="shared" si="1"/>
        <v>3585</v>
      </c>
      <c r="N83" s="1478">
        <f t="shared" si="1"/>
        <v>6840</v>
      </c>
      <c r="O83" s="1478">
        <f t="shared" si="1"/>
        <v>5754</v>
      </c>
      <c r="P83" s="1478">
        <f t="shared" si="1"/>
        <v>6532</v>
      </c>
      <c r="Q83" s="1478">
        <f t="shared" si="1"/>
        <v>22464</v>
      </c>
      <c r="R83" s="1478">
        <f t="shared" si="1"/>
        <v>7800</v>
      </c>
      <c r="S83" s="1478">
        <f t="shared" si="1"/>
        <v>1664</v>
      </c>
      <c r="T83" s="1478">
        <f t="shared" si="1"/>
        <v>3333</v>
      </c>
      <c r="U83" s="1478" t="s">
        <v>73</v>
      </c>
      <c r="V83" s="1478">
        <f t="shared" si="1"/>
        <v>16716</v>
      </c>
      <c r="W83" s="1478" t="s">
        <v>73</v>
      </c>
      <c r="X83" s="1478" t="s">
        <v>73</v>
      </c>
      <c r="Y83" s="1456">
        <f t="shared" ref="Y83" si="2">SUM(C83:O83,Q83:R83,U83:X83)</f>
        <v>179038</v>
      </c>
      <c r="Z83" s="1483">
        <f>Z82*Z109</f>
        <v>1295910</v>
      </c>
    </row>
    <row r="84" spans="1:26" s="556" customFormat="1" ht="13.5" customHeight="1" x14ac:dyDescent="0.2">
      <c r="A84" s="622">
        <v>79</v>
      </c>
      <c r="B84" s="832" t="s">
        <v>427</v>
      </c>
      <c r="C84" s="1478"/>
      <c r="D84" s="1478"/>
      <c r="E84" s="1478"/>
      <c r="F84" s="1478"/>
      <c r="G84" s="1478"/>
      <c r="H84" s="1478"/>
      <c r="I84" s="1478"/>
      <c r="J84" s="1478"/>
      <c r="K84" s="1478"/>
      <c r="L84" s="1478"/>
      <c r="M84" s="1478"/>
      <c r="N84" s="1478"/>
      <c r="O84" s="1478"/>
      <c r="P84" s="1478"/>
      <c r="Q84" s="1478"/>
      <c r="R84" s="1478"/>
      <c r="S84" s="1478"/>
      <c r="T84" s="1478"/>
      <c r="U84" s="1478"/>
      <c r="V84" s="1478"/>
      <c r="W84" s="1478"/>
      <c r="X84" s="1480"/>
      <c r="Y84" s="1481"/>
      <c r="Z84" s="1483"/>
    </row>
    <row r="85" spans="1:26" s="556" customFormat="1" ht="13.5" customHeight="1" x14ac:dyDescent="0.2">
      <c r="A85" s="622">
        <v>80</v>
      </c>
      <c r="B85" s="832" t="s">
        <v>1221</v>
      </c>
      <c r="C85" s="1478"/>
      <c r="D85" s="1478"/>
      <c r="E85" s="1478"/>
      <c r="F85" s="1478"/>
      <c r="G85" s="1478"/>
      <c r="H85" s="1478"/>
      <c r="I85" s="1478"/>
      <c r="J85" s="1478"/>
      <c r="K85" s="1478"/>
      <c r="L85" s="1478"/>
      <c r="M85" s="1478"/>
      <c r="N85" s="1478"/>
      <c r="O85" s="1478"/>
      <c r="P85" s="1478"/>
      <c r="Q85" s="1478"/>
      <c r="R85" s="1478"/>
      <c r="S85" s="1478"/>
      <c r="T85" s="1478"/>
      <c r="U85" s="1478"/>
      <c r="V85" s="1478"/>
      <c r="W85" s="1478"/>
      <c r="X85" s="1480"/>
      <c r="Y85" s="1481"/>
      <c r="Z85" s="1483"/>
    </row>
    <row r="86" spans="1:26" s="556" customFormat="1" ht="13.5" customHeight="1" x14ac:dyDescent="0.2">
      <c r="A86" s="622">
        <v>81</v>
      </c>
      <c r="B86" s="832" t="s">
        <v>547</v>
      </c>
      <c r="C86" s="1478">
        <v>47</v>
      </c>
      <c r="D86" s="1478">
        <v>219</v>
      </c>
      <c r="E86" s="1478">
        <v>186</v>
      </c>
      <c r="F86" s="1478">
        <v>167</v>
      </c>
      <c r="G86" s="1478">
        <v>514</v>
      </c>
      <c r="H86" s="1478">
        <v>89</v>
      </c>
      <c r="I86" s="1478">
        <v>1519</v>
      </c>
      <c r="J86" s="1478">
        <v>119</v>
      </c>
      <c r="K86" s="1478">
        <v>167</v>
      </c>
      <c r="L86" s="1478">
        <v>275</v>
      </c>
      <c r="M86" s="1478">
        <v>123</v>
      </c>
      <c r="N86" s="1478">
        <v>98</v>
      </c>
      <c r="O86" s="1478">
        <v>87</v>
      </c>
      <c r="P86" s="1478">
        <v>181</v>
      </c>
      <c r="Q86" s="1478">
        <v>127</v>
      </c>
      <c r="R86" s="1478">
        <v>475</v>
      </c>
      <c r="S86" s="1478">
        <v>135</v>
      </c>
      <c r="T86" s="1478">
        <v>104</v>
      </c>
      <c r="U86" s="1478">
        <v>76</v>
      </c>
      <c r="V86" s="1478">
        <v>363</v>
      </c>
      <c r="W86" s="1478">
        <v>56</v>
      </c>
      <c r="X86" s="1480">
        <v>38</v>
      </c>
      <c r="Y86" s="1481">
        <v>4750</v>
      </c>
      <c r="Z86" s="1483">
        <v>29930</v>
      </c>
    </row>
    <row r="87" spans="1:26" s="556" customFormat="1" ht="13.5" customHeight="1" x14ac:dyDescent="0.2">
      <c r="A87" s="622">
        <v>82</v>
      </c>
      <c r="B87" s="832" t="s">
        <v>548</v>
      </c>
      <c r="C87" s="1478">
        <v>25</v>
      </c>
      <c r="D87" s="1478">
        <v>211</v>
      </c>
      <c r="E87" s="1478">
        <v>178</v>
      </c>
      <c r="F87" s="1478">
        <v>142</v>
      </c>
      <c r="G87" s="1478">
        <v>375</v>
      </c>
      <c r="H87" s="1478">
        <v>89</v>
      </c>
      <c r="I87" s="1478">
        <v>1260</v>
      </c>
      <c r="J87" s="1478">
        <v>59</v>
      </c>
      <c r="K87" s="1478">
        <v>152</v>
      </c>
      <c r="L87" s="1478">
        <v>225</v>
      </c>
      <c r="M87" s="1478">
        <v>95</v>
      </c>
      <c r="N87" s="1478">
        <v>48</v>
      </c>
      <c r="O87" s="1478">
        <v>79</v>
      </c>
      <c r="P87" s="1478">
        <v>104</v>
      </c>
      <c r="Q87" s="1478">
        <v>119</v>
      </c>
      <c r="R87" s="1478">
        <v>433</v>
      </c>
      <c r="S87" s="1478">
        <v>128</v>
      </c>
      <c r="T87" s="1478">
        <v>58</v>
      </c>
      <c r="U87" s="1478">
        <v>67</v>
      </c>
      <c r="V87" s="1478">
        <v>334</v>
      </c>
      <c r="W87" s="1478">
        <v>49</v>
      </c>
      <c r="X87" s="1480">
        <v>38</v>
      </c>
      <c r="Y87" s="1481">
        <v>4110</v>
      </c>
      <c r="Z87" s="1483">
        <v>27200</v>
      </c>
    </row>
    <row r="88" spans="1:26" s="556" customFormat="1" ht="13.5" customHeight="1" x14ac:dyDescent="0.2">
      <c r="A88" s="622">
        <v>83</v>
      </c>
      <c r="B88" s="832" t="s">
        <v>549</v>
      </c>
      <c r="C88" s="1478" t="s">
        <v>73</v>
      </c>
      <c r="D88" s="1478">
        <v>198</v>
      </c>
      <c r="E88" s="1478">
        <v>166</v>
      </c>
      <c r="F88" s="1478">
        <v>131</v>
      </c>
      <c r="G88" s="1478">
        <v>338</v>
      </c>
      <c r="H88" s="1478">
        <v>79</v>
      </c>
      <c r="I88" s="1478">
        <v>1169</v>
      </c>
      <c r="J88" s="1478">
        <v>108</v>
      </c>
      <c r="K88" s="1478">
        <v>136</v>
      </c>
      <c r="L88" s="1478">
        <v>205</v>
      </c>
      <c r="M88" s="1478">
        <v>84</v>
      </c>
      <c r="N88" s="1478">
        <v>86</v>
      </c>
      <c r="O88" s="1478">
        <v>69</v>
      </c>
      <c r="P88" s="1478" t="s">
        <v>73</v>
      </c>
      <c r="Q88" s="1478">
        <v>106</v>
      </c>
      <c r="R88" s="1478">
        <v>403</v>
      </c>
      <c r="S88" s="1478">
        <v>111</v>
      </c>
      <c r="T88" s="1478">
        <v>95</v>
      </c>
      <c r="U88" s="1478" t="s">
        <v>73</v>
      </c>
      <c r="V88" s="1478">
        <v>318</v>
      </c>
      <c r="W88" s="1478">
        <v>49</v>
      </c>
      <c r="X88" s="1480" t="s">
        <v>73</v>
      </c>
      <c r="Y88" s="1481">
        <v>3790</v>
      </c>
      <c r="Z88" s="1483">
        <v>25050</v>
      </c>
    </row>
    <row r="89" spans="1:26" s="556" customFormat="1" ht="13.5" customHeight="1" x14ac:dyDescent="0.2">
      <c r="A89" s="622">
        <v>84</v>
      </c>
      <c r="B89" s="832" t="s">
        <v>550</v>
      </c>
      <c r="C89" s="1478">
        <v>25</v>
      </c>
      <c r="D89" s="1478">
        <v>152</v>
      </c>
      <c r="E89" s="1478">
        <v>104</v>
      </c>
      <c r="F89" s="1478">
        <v>87</v>
      </c>
      <c r="G89" s="1478">
        <v>231</v>
      </c>
      <c r="H89" s="1478">
        <v>53</v>
      </c>
      <c r="I89" s="1478">
        <v>833</v>
      </c>
      <c r="J89" s="1478" t="s">
        <v>73</v>
      </c>
      <c r="K89" s="1478">
        <v>67</v>
      </c>
      <c r="L89" s="1478">
        <v>136</v>
      </c>
      <c r="M89" s="1478">
        <v>55</v>
      </c>
      <c r="N89" s="1478" t="s">
        <v>73</v>
      </c>
      <c r="O89" s="1478">
        <v>51</v>
      </c>
      <c r="P89" s="1478">
        <v>104</v>
      </c>
      <c r="Q89" s="1478">
        <v>57</v>
      </c>
      <c r="R89" s="1478">
        <v>275</v>
      </c>
      <c r="S89" s="1478">
        <v>70</v>
      </c>
      <c r="T89" s="1478">
        <v>58</v>
      </c>
      <c r="U89" s="1478">
        <v>35</v>
      </c>
      <c r="V89" s="1478">
        <v>239</v>
      </c>
      <c r="W89" s="1478">
        <v>31</v>
      </c>
      <c r="X89" s="1480">
        <v>21</v>
      </c>
      <c r="Y89" s="1481">
        <v>2560</v>
      </c>
      <c r="Z89" s="1483">
        <v>15640</v>
      </c>
    </row>
    <row r="90" spans="1:26" s="556" customFormat="1" ht="13.5" customHeight="1" x14ac:dyDescent="0.2">
      <c r="A90" s="622">
        <v>85</v>
      </c>
      <c r="B90" s="836" t="s">
        <v>597</v>
      </c>
      <c r="C90" s="1459" t="s">
        <v>73</v>
      </c>
      <c r="D90" s="1459" t="s">
        <v>73</v>
      </c>
      <c r="E90" s="1459" t="s">
        <v>73</v>
      </c>
      <c r="F90" s="1459" t="s">
        <v>73</v>
      </c>
      <c r="G90" s="1459">
        <v>18</v>
      </c>
      <c r="H90" s="1459" t="s">
        <v>73</v>
      </c>
      <c r="I90" s="1459">
        <v>10</v>
      </c>
      <c r="J90" s="1459" t="s">
        <v>73</v>
      </c>
      <c r="K90" s="1459" t="s">
        <v>73</v>
      </c>
      <c r="L90" s="1459">
        <v>19</v>
      </c>
      <c r="M90" s="1459">
        <v>10</v>
      </c>
      <c r="N90" s="1459">
        <v>0</v>
      </c>
      <c r="O90" s="1459" t="s">
        <v>73</v>
      </c>
      <c r="P90" s="1459" t="s">
        <v>73</v>
      </c>
      <c r="Q90" s="1459">
        <v>8</v>
      </c>
      <c r="R90" s="1459">
        <v>11</v>
      </c>
      <c r="S90" s="1459" t="s">
        <v>73</v>
      </c>
      <c r="T90" s="1459">
        <v>8</v>
      </c>
      <c r="U90" s="1459" t="s">
        <v>73</v>
      </c>
      <c r="V90" s="1459" t="s">
        <v>73</v>
      </c>
      <c r="W90" s="1459">
        <v>0</v>
      </c>
      <c r="X90" s="1468" t="s">
        <v>73</v>
      </c>
      <c r="Y90" s="1460">
        <v>110</v>
      </c>
      <c r="Z90" s="1466">
        <v>1120</v>
      </c>
    </row>
    <row r="91" spans="1:26" s="556" customFormat="1" ht="13.5" customHeight="1" x14ac:dyDescent="0.2">
      <c r="A91" s="622">
        <v>86</v>
      </c>
      <c r="B91" s="836" t="s">
        <v>598</v>
      </c>
      <c r="C91" s="1459">
        <v>0</v>
      </c>
      <c r="D91" s="1459">
        <v>25</v>
      </c>
      <c r="E91" s="1459">
        <v>14</v>
      </c>
      <c r="F91" s="1459">
        <v>24</v>
      </c>
      <c r="G91" s="1459">
        <v>92</v>
      </c>
      <c r="H91" s="1459">
        <v>0</v>
      </c>
      <c r="I91" s="1459">
        <v>45</v>
      </c>
      <c r="J91" s="1459">
        <v>25</v>
      </c>
      <c r="K91" s="1459">
        <v>26</v>
      </c>
      <c r="L91" s="1459">
        <v>26</v>
      </c>
      <c r="M91" s="1459">
        <v>7</v>
      </c>
      <c r="N91" s="1459">
        <v>14</v>
      </c>
      <c r="O91" s="1459">
        <v>9</v>
      </c>
      <c r="P91" s="1459">
        <v>13</v>
      </c>
      <c r="Q91" s="1459">
        <v>37</v>
      </c>
      <c r="R91" s="1459">
        <v>43</v>
      </c>
      <c r="S91" s="1459">
        <v>32</v>
      </c>
      <c r="T91" s="1459">
        <v>12</v>
      </c>
      <c r="U91" s="1459">
        <v>16</v>
      </c>
      <c r="V91" s="1459">
        <v>34</v>
      </c>
      <c r="W91" s="1459">
        <v>0</v>
      </c>
      <c r="X91" s="1468">
        <v>9</v>
      </c>
      <c r="Y91" s="1460">
        <v>490</v>
      </c>
      <c r="Z91" s="1466">
        <v>3840</v>
      </c>
    </row>
    <row r="92" spans="1:26" s="556" customFormat="1" ht="13.5" customHeight="1" x14ac:dyDescent="0.2">
      <c r="A92" s="622">
        <v>87</v>
      </c>
      <c r="B92" s="836" t="s">
        <v>428</v>
      </c>
      <c r="C92" s="1478"/>
      <c r="D92" s="1478"/>
      <c r="E92" s="1478"/>
      <c r="F92" s="1478"/>
      <c r="G92" s="1478"/>
      <c r="H92" s="1478"/>
      <c r="I92" s="1478"/>
      <c r="J92" s="1478"/>
      <c r="K92" s="1478"/>
      <c r="L92" s="1478"/>
      <c r="M92" s="1478"/>
      <c r="N92" s="1478"/>
      <c r="O92" s="1478"/>
      <c r="P92" s="1478"/>
      <c r="Q92" s="1478"/>
      <c r="R92" s="1478"/>
      <c r="S92" s="1478"/>
      <c r="T92" s="1478"/>
      <c r="U92" s="1478"/>
      <c r="V92" s="1478"/>
      <c r="W92" s="1478"/>
      <c r="X92" s="1480"/>
      <c r="Y92" s="1481"/>
      <c r="Z92" s="1483"/>
    </row>
    <row r="93" spans="1:26" s="556" customFormat="1" ht="13.5" customHeight="1" x14ac:dyDescent="0.2">
      <c r="A93" s="622">
        <v>88</v>
      </c>
      <c r="B93" s="836" t="s">
        <v>429</v>
      </c>
      <c r="C93" s="1478"/>
      <c r="D93" s="1478"/>
      <c r="E93" s="1478"/>
      <c r="F93" s="1478"/>
      <c r="G93" s="1478"/>
      <c r="H93" s="1478"/>
      <c r="I93" s="1478"/>
      <c r="J93" s="1478"/>
      <c r="K93" s="1478"/>
      <c r="L93" s="1478"/>
      <c r="M93" s="1478"/>
      <c r="N93" s="1478"/>
      <c r="O93" s="1478"/>
      <c r="P93" s="1478"/>
      <c r="Q93" s="1478"/>
      <c r="R93" s="1478"/>
      <c r="S93" s="1478"/>
      <c r="T93" s="1478"/>
      <c r="U93" s="1478"/>
      <c r="V93" s="1478"/>
      <c r="W93" s="1478"/>
      <c r="X93" s="1480"/>
      <c r="Y93" s="1481"/>
      <c r="Z93" s="1483"/>
    </row>
    <row r="94" spans="1:26" s="556" customFormat="1" ht="13.5" customHeight="1" x14ac:dyDescent="0.2">
      <c r="A94" s="622">
        <v>89</v>
      </c>
      <c r="B94" s="832" t="s">
        <v>546</v>
      </c>
      <c r="C94" s="1478">
        <v>148</v>
      </c>
      <c r="D94" s="1478">
        <v>245</v>
      </c>
      <c r="E94" s="1478">
        <v>625</v>
      </c>
      <c r="F94" s="1478">
        <v>331</v>
      </c>
      <c r="G94" s="1478">
        <v>1105</v>
      </c>
      <c r="H94" s="1478">
        <v>155</v>
      </c>
      <c r="I94" s="1478">
        <v>1654</v>
      </c>
      <c r="J94" s="1478">
        <v>258</v>
      </c>
      <c r="K94" s="1478">
        <v>167</v>
      </c>
      <c r="L94" s="1478">
        <v>559</v>
      </c>
      <c r="M94" s="1478">
        <v>189</v>
      </c>
      <c r="N94" s="1478">
        <v>201</v>
      </c>
      <c r="O94" s="1478">
        <v>167</v>
      </c>
      <c r="P94" s="1478">
        <v>437</v>
      </c>
      <c r="Q94" s="1478">
        <v>185</v>
      </c>
      <c r="R94" s="1478">
        <v>1382</v>
      </c>
      <c r="S94" s="1478">
        <v>204</v>
      </c>
      <c r="T94" s="1478">
        <v>180</v>
      </c>
      <c r="U94" s="1478">
        <v>115</v>
      </c>
      <c r="V94" s="1478">
        <v>615</v>
      </c>
      <c r="W94" s="1478">
        <v>116</v>
      </c>
      <c r="X94" s="1480">
        <v>107</v>
      </c>
      <c r="Y94" s="1481">
        <v>8324</v>
      </c>
      <c r="Z94" s="1483">
        <v>48543</v>
      </c>
    </row>
    <row r="95" spans="1:26" s="1303" customFormat="1" ht="13.5" customHeight="1" x14ac:dyDescent="0.2">
      <c r="A95" s="622">
        <v>90</v>
      </c>
      <c r="B95" s="832" t="s">
        <v>542</v>
      </c>
      <c r="C95" s="1478">
        <v>128</v>
      </c>
      <c r="D95" s="1478">
        <v>160.99999999999997</v>
      </c>
      <c r="E95" s="1478">
        <v>193</v>
      </c>
      <c r="F95" s="1478">
        <v>201</v>
      </c>
      <c r="G95" s="1478">
        <v>605</v>
      </c>
      <c r="H95" s="1478">
        <v>64</v>
      </c>
      <c r="I95" s="1478">
        <v>471</v>
      </c>
      <c r="J95" s="1478">
        <v>58</v>
      </c>
      <c r="K95" s="1478">
        <v>111</v>
      </c>
      <c r="L95" s="1478">
        <v>264</v>
      </c>
      <c r="M95" s="1478">
        <v>184</v>
      </c>
      <c r="N95" s="1478">
        <v>143</v>
      </c>
      <c r="O95" s="1478">
        <v>96</v>
      </c>
      <c r="P95" s="1478">
        <v>156.99999999999997</v>
      </c>
      <c r="Q95" s="1478">
        <v>52</v>
      </c>
      <c r="R95" s="1478">
        <v>929</v>
      </c>
      <c r="S95" s="1478">
        <v>188</v>
      </c>
      <c r="T95" s="1478">
        <v>167</v>
      </c>
      <c r="U95" s="1478">
        <v>97</v>
      </c>
      <c r="V95" s="1478">
        <v>268</v>
      </c>
      <c r="W95" s="1478">
        <v>114</v>
      </c>
      <c r="X95" s="1480">
        <v>32</v>
      </c>
      <c r="Y95" s="1481">
        <v>4171</v>
      </c>
      <c r="Z95" s="1483">
        <v>28178</v>
      </c>
    </row>
    <row r="96" spans="1:26" s="556" customFormat="1" ht="13.5" customHeight="1" x14ac:dyDescent="0.2">
      <c r="A96" s="622">
        <v>91</v>
      </c>
      <c r="B96" s="832" t="s">
        <v>543</v>
      </c>
      <c r="C96" s="1478"/>
      <c r="D96" s="1478"/>
      <c r="E96" s="1478"/>
      <c r="F96" s="1478"/>
      <c r="G96" s="1478"/>
      <c r="H96" s="1478"/>
      <c r="I96" s="1478"/>
      <c r="J96" s="1478"/>
      <c r="K96" s="1478"/>
      <c r="L96" s="1478"/>
      <c r="M96" s="1478"/>
      <c r="N96" s="1478"/>
      <c r="O96" s="1478"/>
      <c r="P96" s="1478"/>
      <c r="Q96" s="1478"/>
      <c r="R96" s="1478"/>
      <c r="S96" s="1478"/>
      <c r="T96" s="1478"/>
      <c r="U96" s="1478"/>
      <c r="V96" s="1478"/>
      <c r="W96" s="1478"/>
      <c r="X96" s="1480"/>
      <c r="Y96" s="1481"/>
      <c r="Z96" s="1483"/>
    </row>
    <row r="97" spans="1:26" s="556" customFormat="1" ht="13.5" customHeight="1" x14ac:dyDescent="0.2">
      <c r="A97" s="622">
        <v>92</v>
      </c>
      <c r="B97" s="832" t="s">
        <v>544</v>
      </c>
      <c r="C97" s="1066"/>
      <c r="D97" s="1066"/>
      <c r="E97" s="1066"/>
      <c r="F97" s="1066"/>
      <c r="G97" s="1066"/>
      <c r="H97" s="1066"/>
      <c r="I97" s="1066"/>
      <c r="J97" s="1066"/>
      <c r="K97" s="1066"/>
      <c r="L97" s="1066"/>
      <c r="M97" s="1066"/>
      <c r="N97" s="1066"/>
      <c r="O97" s="1066"/>
      <c r="P97" s="1066"/>
      <c r="Q97" s="1066"/>
      <c r="R97" s="1066"/>
      <c r="S97" s="1066"/>
      <c r="T97" s="1066"/>
      <c r="U97" s="1066"/>
      <c r="V97" s="1066"/>
      <c r="W97" s="1066"/>
      <c r="X97" s="1066"/>
      <c r="Y97" s="1456"/>
      <c r="Z97" s="1067"/>
    </row>
    <row r="98" spans="1:26" s="556" customFormat="1" ht="13.5" customHeight="1" x14ac:dyDescent="0.2">
      <c r="A98" s="622">
        <v>93</v>
      </c>
      <c r="B98" s="832" t="s">
        <v>545</v>
      </c>
      <c r="C98" s="1066"/>
      <c r="D98" s="1066"/>
      <c r="E98" s="1066"/>
      <c r="F98" s="1066"/>
      <c r="G98" s="1066"/>
      <c r="H98" s="1066"/>
      <c r="I98" s="1066"/>
      <c r="J98" s="1066"/>
      <c r="K98" s="1066"/>
      <c r="L98" s="1066"/>
      <c r="M98" s="1066"/>
      <c r="N98" s="1066"/>
      <c r="O98" s="1066"/>
      <c r="P98" s="1066"/>
      <c r="Q98" s="1066"/>
      <c r="R98" s="1066"/>
      <c r="S98" s="1066"/>
      <c r="T98" s="1066"/>
      <c r="U98" s="1066"/>
      <c r="V98" s="1066"/>
      <c r="W98" s="1066"/>
      <c r="X98" s="1066"/>
      <c r="Y98" s="1456"/>
      <c r="Z98" s="1067"/>
    </row>
    <row r="99" spans="1:26" s="556" customFormat="1" ht="13.5" customHeight="1" x14ac:dyDescent="0.2">
      <c r="A99" s="1292">
        <v>94</v>
      </c>
      <c r="B99" s="832" t="s">
        <v>1092</v>
      </c>
      <c r="C99" s="1066">
        <v>42</v>
      </c>
      <c r="D99" s="1066">
        <v>61</v>
      </c>
      <c r="E99" s="1066">
        <v>104</v>
      </c>
      <c r="F99" s="1066">
        <v>82</v>
      </c>
      <c r="G99" s="1066">
        <v>264</v>
      </c>
      <c r="H99" s="1066">
        <v>40</v>
      </c>
      <c r="I99" s="1066">
        <v>240</v>
      </c>
      <c r="J99" s="1066">
        <v>72</v>
      </c>
      <c r="K99" s="1066">
        <v>71</v>
      </c>
      <c r="L99" s="1066">
        <v>158</v>
      </c>
      <c r="M99" s="1066">
        <v>68</v>
      </c>
      <c r="N99" s="1066">
        <v>73</v>
      </c>
      <c r="O99" s="1066">
        <v>54</v>
      </c>
      <c r="P99" s="1066">
        <v>118</v>
      </c>
      <c r="Q99" s="1066">
        <v>80</v>
      </c>
      <c r="R99" s="1066">
        <v>197</v>
      </c>
      <c r="S99" s="1066">
        <v>73</v>
      </c>
      <c r="T99" s="1066">
        <v>63</v>
      </c>
      <c r="U99" s="1066">
        <v>33</v>
      </c>
      <c r="V99" s="1066">
        <v>149</v>
      </c>
      <c r="W99" s="1066">
        <v>23</v>
      </c>
      <c r="X99" s="1066">
        <v>27</v>
      </c>
      <c r="Y99" s="1456">
        <f t="shared" ref="Y99:Y100" si="3">SUM(C99:O99,Q99:R99,U99:X99)</f>
        <v>1838</v>
      </c>
      <c r="Z99" s="1067">
        <v>13556</v>
      </c>
    </row>
    <row r="100" spans="1:26" s="556" customFormat="1" ht="13.5" customHeight="1" x14ac:dyDescent="0.2">
      <c r="A100" s="1292">
        <v>95</v>
      </c>
      <c r="B100" s="832" t="s">
        <v>1093</v>
      </c>
      <c r="C100" s="1066">
        <v>71</v>
      </c>
      <c r="D100" s="1066">
        <v>104</v>
      </c>
      <c r="E100" s="1066">
        <v>167</v>
      </c>
      <c r="F100" s="1066">
        <v>124</v>
      </c>
      <c r="G100" s="1066">
        <v>439</v>
      </c>
      <c r="H100" s="1066">
        <v>62</v>
      </c>
      <c r="I100" s="1066">
        <v>378</v>
      </c>
      <c r="J100" s="1066">
        <v>118</v>
      </c>
      <c r="K100" s="1066">
        <v>121</v>
      </c>
      <c r="L100" s="1066">
        <v>267</v>
      </c>
      <c r="M100" s="1066">
        <v>108</v>
      </c>
      <c r="N100" s="1066">
        <v>116</v>
      </c>
      <c r="O100" s="1066">
        <v>97</v>
      </c>
      <c r="P100" s="1066">
        <v>184</v>
      </c>
      <c r="Q100" s="1066">
        <v>124</v>
      </c>
      <c r="R100" s="1066">
        <v>337</v>
      </c>
      <c r="S100" s="1066">
        <v>136</v>
      </c>
      <c r="T100" s="1066">
        <v>102</v>
      </c>
      <c r="U100" s="1066">
        <v>48</v>
      </c>
      <c r="V100" s="1066">
        <v>240</v>
      </c>
      <c r="W100" s="1066">
        <v>46</v>
      </c>
      <c r="X100" s="1066">
        <v>48</v>
      </c>
      <c r="Y100" s="1456">
        <f t="shared" si="3"/>
        <v>3015</v>
      </c>
      <c r="Z100" s="1067">
        <v>22053</v>
      </c>
    </row>
    <row r="101" spans="1:26" s="556" customFormat="1" ht="13.5" customHeight="1" x14ac:dyDescent="0.2">
      <c r="A101" s="1292">
        <v>96</v>
      </c>
      <c r="B101" s="832" t="s">
        <v>936</v>
      </c>
      <c r="C101" s="1478"/>
      <c r="D101" s="1478"/>
      <c r="E101" s="1478"/>
      <c r="F101" s="1478"/>
      <c r="G101" s="1478"/>
      <c r="H101" s="1478"/>
      <c r="I101" s="1478"/>
      <c r="J101" s="1478"/>
      <c r="K101" s="1478"/>
      <c r="L101" s="1478"/>
      <c r="M101" s="1478"/>
      <c r="N101" s="1478"/>
      <c r="O101" s="1478"/>
      <c r="P101" s="1478"/>
      <c r="Q101" s="1478"/>
      <c r="R101" s="1478"/>
      <c r="S101" s="1478"/>
      <c r="T101" s="1478"/>
      <c r="U101" s="1478"/>
      <c r="V101" s="1478"/>
      <c r="W101" s="1478"/>
      <c r="X101" s="1480"/>
      <c r="Y101" s="1481"/>
      <c r="Z101" s="1483"/>
    </row>
    <row r="102" spans="1:26" s="556" customFormat="1" ht="13.5" customHeight="1" x14ac:dyDescent="0.2">
      <c r="A102" s="1292">
        <v>97</v>
      </c>
      <c r="B102" s="832" t="s">
        <v>989</v>
      </c>
      <c r="C102" s="1478"/>
      <c r="D102" s="1478"/>
      <c r="E102" s="1478"/>
      <c r="F102" s="1478"/>
      <c r="G102" s="1478"/>
      <c r="H102" s="1478"/>
      <c r="I102" s="1478"/>
      <c r="J102" s="1478"/>
      <c r="K102" s="1478"/>
      <c r="L102" s="1478"/>
      <c r="M102" s="1478"/>
      <c r="N102" s="1478"/>
      <c r="O102" s="1478"/>
      <c r="P102" s="1478"/>
      <c r="Q102" s="1478"/>
      <c r="R102" s="1478"/>
      <c r="S102" s="1478"/>
      <c r="T102" s="1478"/>
      <c r="U102" s="1478"/>
      <c r="V102" s="1478"/>
      <c r="W102" s="1478"/>
      <c r="X102" s="1480"/>
      <c r="Y102" s="1481"/>
      <c r="Z102" s="1483"/>
    </row>
    <row r="103" spans="1:26" s="556" customFormat="1" ht="13.5" customHeight="1" x14ac:dyDescent="0.2">
      <c r="A103" s="1292">
        <v>98</v>
      </c>
      <c r="B103" s="832" t="s">
        <v>937</v>
      </c>
      <c r="C103" s="1478"/>
      <c r="D103" s="1478"/>
      <c r="E103" s="1478"/>
      <c r="F103" s="1478"/>
      <c r="G103" s="1478"/>
      <c r="H103" s="1478"/>
      <c r="I103" s="1478"/>
      <c r="J103" s="1478"/>
      <c r="K103" s="1478"/>
      <c r="L103" s="1478"/>
      <c r="M103" s="1478"/>
      <c r="N103" s="1478"/>
      <c r="O103" s="1478"/>
      <c r="P103" s="1478"/>
      <c r="Q103" s="1478"/>
      <c r="R103" s="1478"/>
      <c r="S103" s="1478"/>
      <c r="T103" s="1478"/>
      <c r="U103" s="1478"/>
      <c r="V103" s="1478"/>
      <c r="W103" s="1478"/>
      <c r="X103" s="1480"/>
      <c r="Y103" s="1481"/>
      <c r="Z103" s="1483"/>
    </row>
    <row r="104" spans="1:26" s="556" customFormat="1" ht="13.5" customHeight="1" x14ac:dyDescent="0.2">
      <c r="A104" s="1292">
        <v>99</v>
      </c>
      <c r="B104" s="832" t="s">
        <v>938</v>
      </c>
      <c r="C104" s="1478">
        <v>47</v>
      </c>
      <c r="D104" s="1478">
        <v>118</v>
      </c>
      <c r="E104" s="1478">
        <v>242</v>
      </c>
      <c r="F104" s="1478">
        <v>294</v>
      </c>
      <c r="G104" s="1478">
        <v>491</v>
      </c>
      <c r="H104" s="1478">
        <v>82</v>
      </c>
      <c r="I104" s="1478">
        <v>569</v>
      </c>
      <c r="J104" s="1478">
        <v>156</v>
      </c>
      <c r="K104" s="1478">
        <v>181</v>
      </c>
      <c r="L104" s="1478">
        <v>282</v>
      </c>
      <c r="M104" s="1478">
        <v>183</v>
      </c>
      <c r="N104" s="1478">
        <v>115</v>
      </c>
      <c r="O104" s="1478">
        <v>104</v>
      </c>
      <c r="P104" s="1478">
        <v>272</v>
      </c>
      <c r="Q104" s="1478">
        <v>178</v>
      </c>
      <c r="R104" s="1478">
        <v>189</v>
      </c>
      <c r="S104" s="1478">
        <v>263</v>
      </c>
      <c r="T104" s="1478">
        <v>92</v>
      </c>
      <c r="U104" s="1478">
        <v>84</v>
      </c>
      <c r="V104" s="1478">
        <v>317</v>
      </c>
      <c r="W104" s="1478">
        <v>40</v>
      </c>
      <c r="X104" s="1480">
        <v>42</v>
      </c>
      <c r="Y104" s="1481">
        <v>3714</v>
      </c>
      <c r="Z104" s="1483">
        <v>33428</v>
      </c>
    </row>
    <row r="105" spans="1:26" s="556" customFormat="1" ht="13.5" customHeight="1" x14ac:dyDescent="0.2">
      <c r="A105" s="1292">
        <v>100</v>
      </c>
      <c r="B105" s="832" t="s">
        <v>939</v>
      </c>
      <c r="C105" s="1478">
        <v>10</v>
      </c>
      <c r="D105" s="1478">
        <v>69</v>
      </c>
      <c r="E105" s="1478">
        <v>86</v>
      </c>
      <c r="F105" s="1478">
        <v>114</v>
      </c>
      <c r="G105" s="1478">
        <v>225</v>
      </c>
      <c r="H105" s="1478">
        <v>41</v>
      </c>
      <c r="I105" s="1478">
        <v>202</v>
      </c>
      <c r="J105" s="1478">
        <v>73</v>
      </c>
      <c r="K105" s="1478">
        <v>65</v>
      </c>
      <c r="L105" s="1478">
        <v>104</v>
      </c>
      <c r="M105" s="1478">
        <v>104</v>
      </c>
      <c r="N105" s="1478">
        <v>37</v>
      </c>
      <c r="O105" s="1478">
        <v>43</v>
      </c>
      <c r="P105" s="1478">
        <v>106</v>
      </c>
      <c r="Q105" s="1478">
        <v>74</v>
      </c>
      <c r="R105" s="1478">
        <v>76</v>
      </c>
      <c r="S105" s="1478">
        <v>111</v>
      </c>
      <c r="T105" s="1478">
        <v>29</v>
      </c>
      <c r="U105" s="1478">
        <v>37</v>
      </c>
      <c r="V105" s="1478">
        <v>118</v>
      </c>
      <c r="W105" s="1478">
        <v>11</v>
      </c>
      <c r="X105" s="1480">
        <v>14</v>
      </c>
      <c r="Y105" s="1481">
        <v>1373</v>
      </c>
      <c r="Z105" s="1483">
        <v>13687</v>
      </c>
    </row>
    <row r="106" spans="1:26" ht="13.5" customHeight="1" x14ac:dyDescent="0.2">
      <c r="A106" s="941" t="s">
        <v>557</v>
      </c>
      <c r="B106" s="1382" t="s">
        <v>430</v>
      </c>
      <c r="C106" s="617">
        <f>IF(SUM(C40:C43)&gt;0,SUM(C40:C43),NA())</f>
        <v>1593</v>
      </c>
      <c r="D106" s="617">
        <f t="shared" ref="D106:Z106" si="4">IF(SUM(D40:D43)&gt;0,SUM(D40:D43),NA())</f>
        <v>2176</v>
      </c>
      <c r="E106" s="617">
        <f t="shared" si="4"/>
        <v>5743</v>
      </c>
      <c r="F106" s="617">
        <f t="shared" si="4"/>
        <v>2084</v>
      </c>
      <c r="G106" s="617">
        <f t="shared" si="4"/>
        <v>16356</v>
      </c>
      <c r="H106" s="617">
        <f t="shared" si="4"/>
        <v>1882</v>
      </c>
      <c r="I106" s="617">
        <f t="shared" si="4"/>
        <v>16307</v>
      </c>
      <c r="J106" s="617">
        <f t="shared" si="4"/>
        <v>2159</v>
      </c>
      <c r="K106" s="617">
        <f t="shared" si="4"/>
        <v>2111</v>
      </c>
      <c r="L106" s="617">
        <f t="shared" si="4"/>
        <v>3152</v>
      </c>
      <c r="M106" s="617">
        <f t="shared" si="4"/>
        <v>3558</v>
      </c>
      <c r="N106" s="617">
        <f t="shared" si="4"/>
        <v>2360</v>
      </c>
      <c r="O106" s="617">
        <f t="shared" si="4"/>
        <v>1477</v>
      </c>
      <c r="P106" s="617">
        <f t="shared" si="4"/>
        <v>3127</v>
      </c>
      <c r="Q106" s="617">
        <f t="shared" si="4"/>
        <v>1618</v>
      </c>
      <c r="R106" s="617">
        <f t="shared" si="4"/>
        <v>8652</v>
      </c>
      <c r="S106" s="617">
        <f t="shared" si="4"/>
        <v>3341</v>
      </c>
      <c r="T106" s="617">
        <f t="shared" si="4"/>
        <v>1309</v>
      </c>
      <c r="U106" s="617">
        <f t="shared" si="4"/>
        <v>1991</v>
      </c>
      <c r="V106" s="617">
        <f t="shared" si="4"/>
        <v>8892</v>
      </c>
      <c r="W106" s="617">
        <f t="shared" si="4"/>
        <v>505</v>
      </c>
      <c r="X106" s="617">
        <f t="shared" si="4"/>
        <v>1307</v>
      </c>
      <c r="Y106" s="617">
        <f t="shared" si="4"/>
        <v>83980</v>
      </c>
      <c r="Z106" s="617">
        <f t="shared" si="4"/>
        <v>536070</v>
      </c>
    </row>
    <row r="107" spans="1:26" ht="13.5" customHeight="1" x14ac:dyDescent="0.2">
      <c r="A107" s="941" t="s">
        <v>557</v>
      </c>
      <c r="B107" s="1382" t="s">
        <v>431</v>
      </c>
      <c r="C107" s="617">
        <f>SUM(C40:C44)</f>
        <v>1703</v>
      </c>
      <c r="D107" s="617">
        <f t="shared" ref="D107:Z107" si="5">SUM(D40:D44)</f>
        <v>2470</v>
      </c>
      <c r="E107" s="617">
        <f t="shared" si="5"/>
        <v>7819</v>
      </c>
      <c r="F107" s="617">
        <f t="shared" si="5"/>
        <v>3598</v>
      </c>
      <c r="G107" s="617">
        <f t="shared" si="5"/>
        <v>18003</v>
      </c>
      <c r="H107" s="617">
        <f t="shared" si="5"/>
        <v>1965</v>
      </c>
      <c r="I107" s="617">
        <f t="shared" si="5"/>
        <v>17703</v>
      </c>
      <c r="J107" s="617">
        <f t="shared" si="5"/>
        <v>3420</v>
      </c>
      <c r="K107" s="617">
        <f t="shared" si="5"/>
        <v>2249</v>
      </c>
      <c r="L107" s="617">
        <f t="shared" si="5"/>
        <v>5404</v>
      </c>
      <c r="M107" s="617">
        <f t="shared" si="5"/>
        <v>3737</v>
      </c>
      <c r="N107" s="617">
        <f t="shared" si="5"/>
        <v>2676</v>
      </c>
      <c r="O107" s="617">
        <f t="shared" si="5"/>
        <v>1853</v>
      </c>
      <c r="P107" s="617">
        <f t="shared" si="5"/>
        <v>4112</v>
      </c>
      <c r="Q107" s="617">
        <f t="shared" si="5"/>
        <v>2448</v>
      </c>
      <c r="R107" s="617">
        <f t="shared" si="5"/>
        <v>11842</v>
      </c>
      <c r="S107" s="617">
        <f t="shared" si="5"/>
        <v>4204</v>
      </c>
      <c r="T107" s="617">
        <f t="shared" si="5"/>
        <v>1760</v>
      </c>
      <c r="U107" s="617">
        <f t="shared" si="5"/>
        <v>2053</v>
      </c>
      <c r="V107" s="617">
        <f t="shared" si="5"/>
        <v>10410</v>
      </c>
      <c r="W107" s="617">
        <f t="shared" si="5"/>
        <v>820</v>
      </c>
      <c r="X107" s="617">
        <f t="shared" si="5"/>
        <v>1733</v>
      </c>
      <c r="Y107" s="617">
        <f t="shared" si="5"/>
        <v>101980</v>
      </c>
      <c r="Z107" s="617">
        <f t="shared" si="5"/>
        <v>644720</v>
      </c>
    </row>
    <row r="108" spans="1:26" ht="13.5" customHeight="1" x14ac:dyDescent="0.2">
      <c r="C108" s="1484"/>
      <c r="D108" s="1484"/>
      <c r="E108" s="1484"/>
      <c r="F108" s="1484"/>
      <c r="G108" s="1484"/>
      <c r="H108" s="1484"/>
      <c r="I108" s="1484"/>
      <c r="J108" s="1484"/>
      <c r="K108" s="1484"/>
      <c r="L108" s="1484"/>
      <c r="M108" s="1484"/>
      <c r="N108" s="1484"/>
      <c r="O108" s="1484"/>
      <c r="P108" s="1484"/>
      <c r="Q108" s="1484"/>
      <c r="R108" s="1484"/>
      <c r="S108" s="1484"/>
      <c r="T108" s="1484"/>
      <c r="U108" s="1484"/>
      <c r="V108" s="1484"/>
      <c r="W108" s="1484"/>
      <c r="X108" s="1484"/>
      <c r="Y108" s="1485"/>
      <c r="Z108" s="1486"/>
    </row>
    <row r="109" spans="1:26" ht="13.5" customHeight="1" x14ac:dyDescent="0.2">
      <c r="B109" s="557" t="s">
        <v>1292</v>
      </c>
      <c r="C109" s="1484" t="s">
        <v>1281</v>
      </c>
      <c r="D109" s="1484">
        <v>353</v>
      </c>
      <c r="E109" s="1484">
        <v>344</v>
      </c>
      <c r="F109" s="1484">
        <v>372</v>
      </c>
      <c r="G109" s="1484">
        <v>336</v>
      </c>
      <c r="H109" s="1484">
        <v>338</v>
      </c>
      <c r="I109" s="1484">
        <v>335</v>
      </c>
      <c r="J109" s="1484">
        <v>482</v>
      </c>
      <c r="K109" s="1484">
        <v>381</v>
      </c>
      <c r="L109" s="1484">
        <v>331</v>
      </c>
      <c r="M109" s="1484">
        <v>239</v>
      </c>
      <c r="N109" s="1484">
        <v>342</v>
      </c>
      <c r="O109" s="1484">
        <v>411</v>
      </c>
      <c r="P109" s="1484">
        <v>284</v>
      </c>
      <c r="Q109" s="1484">
        <v>468</v>
      </c>
      <c r="R109" s="1484">
        <v>325</v>
      </c>
      <c r="S109" s="1484">
        <v>104</v>
      </c>
      <c r="T109" s="1484">
        <v>303</v>
      </c>
      <c r="U109" s="1484" t="s">
        <v>1281</v>
      </c>
      <c r="V109" s="1484">
        <v>398</v>
      </c>
      <c r="W109" s="1484" t="s">
        <v>1281</v>
      </c>
      <c r="X109" s="1484" t="s">
        <v>1281</v>
      </c>
      <c r="Y109" s="1485">
        <f>Y83/Y82</f>
        <v>351.05490196078432</v>
      </c>
      <c r="Z109" s="1486">
        <v>363</v>
      </c>
    </row>
    <row r="113" spans="2:25" ht="13.5" customHeight="1" x14ac:dyDescent="0.2">
      <c r="B113" s="470"/>
      <c r="Y113" s="470"/>
    </row>
    <row r="114" spans="2:25" ht="13.5" customHeight="1" x14ac:dyDescent="0.2">
      <c r="B114" s="470"/>
      <c r="Y114" s="470"/>
    </row>
    <row r="115" spans="2:25" ht="13.5" customHeight="1" x14ac:dyDescent="0.2">
      <c r="B115" s="470"/>
      <c r="Y115" s="470"/>
    </row>
    <row r="116" spans="2:25" ht="13.5" customHeight="1" x14ac:dyDescent="0.2">
      <c r="B116" s="470"/>
      <c r="Y116" s="470"/>
    </row>
    <row r="117" spans="2:25" ht="13.5" customHeight="1" x14ac:dyDescent="0.2">
      <c r="B117" s="470"/>
      <c r="Y117" s="470"/>
    </row>
    <row r="118" spans="2:25" ht="13.5" customHeight="1" x14ac:dyDescent="0.2">
      <c r="B118" s="470"/>
      <c r="Y118" s="470"/>
    </row>
    <row r="119" spans="2:25" ht="13.5" customHeight="1" x14ac:dyDescent="0.2">
      <c r="B119" s="470"/>
      <c r="Y119" s="470"/>
    </row>
    <row r="120" spans="2:25" ht="13.5" customHeight="1" x14ac:dyDescent="0.2">
      <c r="B120" s="470"/>
      <c r="Y120" s="470"/>
    </row>
    <row r="121" spans="2:25" ht="13.5" customHeight="1" x14ac:dyDescent="0.2">
      <c r="B121" s="470"/>
      <c r="Y121" s="470"/>
    </row>
    <row r="122" spans="2:25" ht="13.5" customHeight="1" x14ac:dyDescent="0.2">
      <c r="B122" s="470"/>
      <c r="Y122" s="470"/>
    </row>
    <row r="123" spans="2:25" ht="13.5" customHeight="1" x14ac:dyDescent="0.2">
      <c r="B123" s="470"/>
      <c r="Y123" s="470"/>
    </row>
    <row r="124" spans="2:25" ht="13.5" customHeight="1" x14ac:dyDescent="0.2">
      <c r="B124" s="470"/>
      <c r="Y124" s="470"/>
    </row>
    <row r="125" spans="2:25" ht="13.5" customHeight="1" x14ac:dyDescent="0.2">
      <c r="B125" s="470"/>
      <c r="Y125" s="470"/>
    </row>
    <row r="126" spans="2:25" ht="13.5" customHeight="1" x14ac:dyDescent="0.2">
      <c r="B126" s="470"/>
      <c r="Y126" s="470"/>
    </row>
    <row r="127" spans="2:25" ht="13.5" customHeight="1" x14ac:dyDescent="0.2">
      <c r="B127" s="470"/>
      <c r="Y127" s="470"/>
    </row>
    <row r="128" spans="2:25" ht="13.5" customHeight="1" x14ac:dyDescent="0.2">
      <c r="B128" s="470"/>
      <c r="Y128" s="470"/>
    </row>
    <row r="129" spans="2:25" ht="13.5" customHeight="1" x14ac:dyDescent="0.2">
      <c r="B129" s="470"/>
      <c r="Y129" s="470"/>
    </row>
    <row r="130" spans="2:25" ht="13.5" customHeight="1" x14ac:dyDescent="0.2">
      <c r="B130" s="470"/>
      <c r="Y130" s="470"/>
    </row>
    <row r="131" spans="2:25" ht="13.5" customHeight="1" x14ac:dyDescent="0.2">
      <c r="B131" s="470"/>
      <c r="Y131" s="470"/>
    </row>
    <row r="132" spans="2:25" ht="13.5" customHeight="1" x14ac:dyDescent="0.2">
      <c r="B132" s="470"/>
      <c r="Y132" s="470"/>
    </row>
    <row r="133" spans="2:25" ht="13.5" customHeight="1" x14ac:dyDescent="0.2">
      <c r="B133" s="470"/>
      <c r="Y133" s="470"/>
    </row>
  </sheetData>
  <conditionalFormatting sqref="C1:X1">
    <cfRule type="expression" dxfId="1124" priority="9">
      <formula>SUM(C$2:C$98)=0</formula>
    </cfRule>
    <cfRule type="containsErrors" dxfId="1123" priority="10">
      <formula>ISERROR(C1)</formula>
    </cfRule>
  </conditionalFormatting>
  <conditionalFormatting sqref="Q43:Q44">
    <cfRule type="containsErrors" dxfId="1122" priority="1">
      <formula>ISERROR(Q43)</formula>
    </cfRule>
  </conditionalFormatting>
  <pageMargins left="0.70866141732283472" right="0.70866141732283472" top="0.35433070866141736" bottom="0.35433070866141736" header="0.31496062992125984" footer="0.31496062992125984"/>
  <pageSetup scale="48" orientation="portrait" r:id="rId1"/>
  <extLst>
    <ext xmlns:x14="http://schemas.microsoft.com/office/spreadsheetml/2009/9/main" uri="{78C0D931-6437-407d-A8EE-F0AAD7539E65}">
      <x14:conditionalFormattings>
        <x14:conditionalFormatting xmlns:xm="http://schemas.microsoft.com/office/excel/2006/main">
          <x14:cfRule type="expression" priority="8" id="{F2D854C0-52DA-44C3-9F4D-C987C08C2771}">
            <xm:f>C$1=Sheet1!$AR$3</xm:f>
            <x14:dxf>
              <fill>
                <patternFill>
                  <bgColor rgb="FF66FF99"/>
                </patternFill>
              </fill>
            </x14:dxf>
          </x14:cfRule>
          <xm:sqref>C1:X1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99FFCC"/>
    <pageSetUpPr fitToPage="1"/>
  </sheetPr>
  <dimension ref="A1:AB133"/>
  <sheetViews>
    <sheetView workbookViewId="0">
      <pane xSplit="2" ySplit="1" topLeftCell="C53" activePane="bottomRight" state="frozen"/>
      <selection activeCell="A19" sqref="A19"/>
      <selection pane="topRight" activeCell="A19" sqref="A19"/>
      <selection pane="bottomLeft" activeCell="A19" sqref="A19"/>
      <selection pane="bottomRight" activeCell="A19" sqref="A19"/>
    </sheetView>
  </sheetViews>
  <sheetFormatPr defaultColWidth="9.140625" defaultRowHeight="13.5" customHeight="1" x14ac:dyDescent="0.2"/>
  <cols>
    <col min="1" max="1" width="4.5703125" style="470" customWidth="1"/>
    <col min="2" max="2" width="41.42578125" style="557" customWidth="1"/>
    <col min="3" max="3" width="5.42578125" style="470" customWidth="1"/>
    <col min="4" max="5" width="5.42578125" style="1436" customWidth="1"/>
    <col min="6" max="6" width="5.42578125" style="470" customWidth="1"/>
    <col min="7" max="7" width="6.140625" style="470" bestFit="1" customWidth="1"/>
    <col min="8" max="24" width="5.42578125" style="470" customWidth="1"/>
    <col min="25" max="25" width="6.42578125" style="837" customWidth="1"/>
    <col min="26" max="26" width="7" style="470" bestFit="1" customWidth="1"/>
    <col min="27" max="27" width="9.140625" style="470"/>
    <col min="28" max="46" width="4.85546875" style="470" customWidth="1"/>
    <col min="47" max="16384" width="9.140625" style="470"/>
  </cols>
  <sheetData>
    <row r="1" spans="1:26" s="555" customFormat="1" ht="75" customHeight="1" x14ac:dyDescent="0.2">
      <c r="A1" s="831" t="str">
        <f>IF(Sheet1!$C$3="Quarterly",Sheet1!$H$24&amp;" "&amp;Sheet1!$H$25,Sheet1!$H$22)</f>
        <v>2019-20</v>
      </c>
      <c r="B1" s="831"/>
      <c r="C1" s="1365" t="s">
        <v>1244</v>
      </c>
      <c r="D1" s="1365" t="s">
        <v>1192</v>
      </c>
      <c r="E1" s="1365" t="s">
        <v>1245</v>
      </c>
      <c r="F1" s="1365" t="s">
        <v>1193</v>
      </c>
      <c r="G1" s="1365" t="s">
        <v>1194</v>
      </c>
      <c r="H1" s="1365" t="s">
        <v>1195</v>
      </c>
      <c r="I1" s="1365" t="s">
        <v>1196</v>
      </c>
      <c r="J1" s="1365" t="s">
        <v>1197</v>
      </c>
      <c r="K1" s="1365" t="s">
        <v>1198</v>
      </c>
      <c r="L1" s="1365" t="s">
        <v>1199</v>
      </c>
      <c r="M1" s="1365" t="s">
        <v>1200</v>
      </c>
      <c r="N1" s="1365" t="s">
        <v>1201</v>
      </c>
      <c r="O1" s="1365" t="s">
        <v>1202</v>
      </c>
      <c r="P1" s="1365" t="s">
        <v>1203</v>
      </c>
      <c r="Q1" s="1365" t="s">
        <v>1204</v>
      </c>
      <c r="R1" s="1365" t="s">
        <v>1205</v>
      </c>
      <c r="S1" s="1365" t="s">
        <v>1206</v>
      </c>
      <c r="T1" s="1523" t="s">
        <v>1283</v>
      </c>
      <c r="U1" s="1365" t="s">
        <v>1207</v>
      </c>
      <c r="V1" s="1365" t="s">
        <v>1208</v>
      </c>
      <c r="W1" s="1365" t="s">
        <v>1209</v>
      </c>
      <c r="X1" s="1365" t="s">
        <v>1210</v>
      </c>
      <c r="Y1" s="615" t="s">
        <v>1211</v>
      </c>
      <c r="Z1" s="616" t="s">
        <v>1212</v>
      </c>
    </row>
    <row r="2" spans="1:26" s="555" customFormat="1" ht="13.5" customHeight="1" x14ac:dyDescent="0.2">
      <c r="A2" s="622">
        <v>1</v>
      </c>
      <c r="B2" s="832" t="s">
        <v>432</v>
      </c>
      <c r="C2" s="1290"/>
      <c r="D2" s="1428"/>
      <c r="E2" s="871"/>
      <c r="F2" s="1290"/>
      <c r="G2" s="1290"/>
      <c r="H2" s="1290"/>
      <c r="I2" s="1290"/>
      <c r="J2" s="1290"/>
      <c r="K2" s="1290"/>
      <c r="L2" s="1290"/>
      <c r="M2" s="1290"/>
      <c r="N2" s="1290"/>
      <c r="O2" s="1290"/>
      <c r="P2" s="1290"/>
      <c r="Q2" s="1290"/>
      <c r="R2" s="1290"/>
      <c r="S2" s="1290"/>
      <c r="T2" s="1066"/>
      <c r="U2" s="1290"/>
      <c r="V2" s="1290"/>
      <c r="W2" s="1290"/>
      <c r="X2" s="1290"/>
      <c r="Y2" s="554"/>
      <c r="Z2" s="1067"/>
    </row>
    <row r="3" spans="1:26" s="556" customFormat="1" ht="13.5" customHeight="1" x14ac:dyDescent="0.2">
      <c r="A3" s="622">
        <v>2</v>
      </c>
      <c r="B3" s="832" t="s">
        <v>433</v>
      </c>
      <c r="C3" s="1066"/>
      <c r="D3" s="1427"/>
      <c r="E3" s="871"/>
      <c r="F3" s="1066"/>
      <c r="G3" s="1066"/>
      <c r="H3" s="1066"/>
      <c r="I3" s="1066"/>
      <c r="J3" s="1066"/>
      <c r="K3" s="1066"/>
      <c r="L3" s="1066"/>
      <c r="M3" s="1290"/>
      <c r="N3" s="1066"/>
      <c r="O3" s="1066"/>
      <c r="P3" s="1066"/>
      <c r="Q3" s="1066"/>
      <c r="R3" s="1066"/>
      <c r="S3" s="1066"/>
      <c r="T3" s="1066"/>
      <c r="U3" s="1066"/>
      <c r="V3" s="1066"/>
      <c r="W3" s="1066"/>
      <c r="X3" s="1066"/>
      <c r="Y3" s="554"/>
      <c r="Z3" s="1291"/>
    </row>
    <row r="4" spans="1:26" s="556" customFormat="1" ht="13.5" customHeight="1" x14ac:dyDescent="0.2">
      <c r="A4" s="622">
        <v>3</v>
      </c>
      <c r="B4" s="832" t="s">
        <v>434</v>
      </c>
      <c r="C4" s="1066"/>
      <c r="D4" s="1427"/>
      <c r="E4" s="871"/>
      <c r="F4" s="1066"/>
      <c r="G4" s="1066"/>
      <c r="H4" s="1066"/>
      <c r="I4" s="1066"/>
      <c r="J4" s="1066"/>
      <c r="K4" s="1066"/>
      <c r="L4" s="1066"/>
      <c r="M4" s="1290"/>
      <c r="N4" s="1066"/>
      <c r="O4" s="1066"/>
      <c r="P4" s="1066"/>
      <c r="Q4" s="1066"/>
      <c r="R4" s="1066"/>
      <c r="S4" s="1066"/>
      <c r="T4" s="1066"/>
      <c r="U4" s="1066"/>
      <c r="V4" s="1066"/>
      <c r="W4" s="1066"/>
      <c r="X4" s="1066"/>
      <c r="Y4" s="554"/>
      <c r="Z4" s="1291"/>
    </row>
    <row r="5" spans="1:26" s="556" customFormat="1" ht="13.5" customHeight="1" x14ac:dyDescent="0.2">
      <c r="A5" s="622">
        <v>4</v>
      </c>
      <c r="B5" s="832" t="s">
        <v>435</v>
      </c>
      <c r="C5" s="1066"/>
      <c r="D5" s="1427"/>
      <c r="E5" s="871"/>
      <c r="F5" s="1066"/>
      <c r="G5" s="1066"/>
      <c r="H5" s="1066"/>
      <c r="I5" s="1066"/>
      <c r="J5" s="1066"/>
      <c r="K5" s="1066"/>
      <c r="L5" s="1066"/>
      <c r="M5" s="1290"/>
      <c r="N5" s="1066"/>
      <c r="O5" s="1066"/>
      <c r="P5" s="1066"/>
      <c r="Q5" s="1066"/>
      <c r="R5" s="1066"/>
      <c r="S5" s="1066"/>
      <c r="T5" s="1066"/>
      <c r="U5" s="1066"/>
      <c r="V5" s="1066"/>
      <c r="W5" s="1066"/>
      <c r="X5" s="1066"/>
      <c r="Y5" s="554"/>
      <c r="Z5" s="1291"/>
    </row>
    <row r="6" spans="1:26" s="556" customFormat="1" ht="13.5" customHeight="1" x14ac:dyDescent="0.2">
      <c r="A6" s="622">
        <v>5</v>
      </c>
      <c r="B6" s="832" t="s">
        <v>436</v>
      </c>
      <c r="C6" s="1066"/>
      <c r="D6" s="1427"/>
      <c r="E6" s="871"/>
      <c r="F6" s="1066"/>
      <c r="G6" s="1066"/>
      <c r="H6" s="1066"/>
      <c r="I6" s="1066"/>
      <c r="J6" s="1066"/>
      <c r="K6" s="1066"/>
      <c r="L6" s="1066"/>
      <c r="M6" s="1290"/>
      <c r="N6" s="618"/>
      <c r="O6" s="1066"/>
      <c r="P6" s="1066"/>
      <c r="Q6" s="1066"/>
      <c r="R6" s="1066"/>
      <c r="S6" s="1066"/>
      <c r="T6" s="1066"/>
      <c r="U6" s="619"/>
      <c r="V6" s="1066"/>
      <c r="W6" s="1066"/>
      <c r="X6" s="1066"/>
      <c r="Y6" s="554"/>
      <c r="Z6" s="1291"/>
    </row>
    <row r="7" spans="1:26" s="556" customFormat="1" ht="13.5" customHeight="1" x14ac:dyDescent="0.2">
      <c r="A7" s="622">
        <v>6</v>
      </c>
      <c r="B7" s="832" t="s">
        <v>437</v>
      </c>
      <c r="C7" s="1066"/>
      <c r="D7" s="1427"/>
      <c r="E7" s="1434"/>
      <c r="F7" s="1290"/>
      <c r="G7" s="1066"/>
      <c r="H7" s="1066"/>
      <c r="I7" s="1066"/>
      <c r="J7" s="1066"/>
      <c r="K7" s="1066"/>
      <c r="L7" s="1066"/>
      <c r="M7" s="1290"/>
      <c r="N7" s="618"/>
      <c r="O7" s="1066"/>
      <c r="P7" s="1066"/>
      <c r="Q7" s="1066"/>
      <c r="R7" s="1066"/>
      <c r="S7" s="1066"/>
      <c r="T7" s="1066"/>
      <c r="U7" s="619"/>
      <c r="V7" s="1066"/>
      <c r="W7" s="1066"/>
      <c r="X7" s="1066"/>
      <c r="Y7" s="554"/>
      <c r="Z7" s="1291"/>
    </row>
    <row r="8" spans="1:26" s="556" customFormat="1" ht="13.5" customHeight="1" x14ac:dyDescent="0.2">
      <c r="A8" s="1451"/>
      <c r="B8" s="1452" t="s">
        <v>243</v>
      </c>
      <c r="C8" s="1453"/>
      <c r="D8" s="1454"/>
      <c r="E8" s="1454"/>
      <c r="F8" s="1453"/>
      <c r="G8" s="1453"/>
      <c r="H8" s="1453"/>
      <c r="I8" s="1453"/>
      <c r="J8" s="1453"/>
      <c r="K8" s="1453"/>
      <c r="L8" s="1453"/>
      <c r="M8" s="1453"/>
      <c r="N8" s="1453"/>
      <c r="O8" s="1453"/>
      <c r="P8" s="1453"/>
      <c r="Q8" s="1453"/>
      <c r="R8" s="1453"/>
      <c r="S8" s="1453"/>
      <c r="T8" s="1522"/>
      <c r="U8" s="1453"/>
      <c r="V8" s="1453"/>
      <c r="W8" s="1453"/>
      <c r="X8" s="1453"/>
      <c r="Y8" s="1447"/>
      <c r="Z8" s="1448"/>
    </row>
    <row r="9" spans="1:26" s="556" customFormat="1" ht="13.5" customHeight="1" x14ac:dyDescent="0.2">
      <c r="A9" s="622">
        <v>7</v>
      </c>
      <c r="B9" s="832" t="s">
        <v>438</v>
      </c>
      <c r="C9" s="1066"/>
      <c r="D9" s="1427"/>
      <c r="E9" s="1427"/>
      <c r="F9" s="1290"/>
      <c r="G9" s="1066"/>
      <c r="H9" s="1066"/>
      <c r="I9" s="1066"/>
      <c r="J9" s="1066"/>
      <c r="K9" s="1066"/>
      <c r="L9" s="1066"/>
      <c r="M9" s="1290"/>
      <c r="N9" s="618"/>
      <c r="O9" s="1066"/>
      <c r="P9" s="1066"/>
      <c r="Q9" s="1066"/>
      <c r="R9" s="1066"/>
      <c r="S9" s="1066"/>
      <c r="T9" s="1066"/>
      <c r="U9" s="619"/>
      <c r="V9" s="1066"/>
      <c r="W9" s="1066"/>
      <c r="X9" s="1066"/>
      <c r="Y9" s="554"/>
      <c r="Z9" s="1291"/>
    </row>
    <row r="10" spans="1:26" s="556" customFormat="1" ht="13.5" customHeight="1" x14ac:dyDescent="0.2">
      <c r="A10" s="940">
        <v>8</v>
      </c>
      <c r="B10" s="833" t="s">
        <v>439</v>
      </c>
      <c r="C10" s="1066"/>
      <c r="D10" s="1427"/>
      <c r="E10" s="1427"/>
      <c r="F10" s="1290"/>
      <c r="G10" s="1066"/>
      <c r="H10" s="1066"/>
      <c r="I10" s="1066"/>
      <c r="J10" s="1066"/>
      <c r="K10" s="1066"/>
      <c r="L10" s="1066"/>
      <c r="M10" s="1290"/>
      <c r="N10" s="618"/>
      <c r="O10" s="1066"/>
      <c r="P10" s="1066"/>
      <c r="Q10" s="1066"/>
      <c r="R10" s="1066"/>
      <c r="S10" s="1066"/>
      <c r="T10" s="1066"/>
      <c r="U10" s="619"/>
      <c r="V10" s="1066"/>
      <c r="W10" s="1066"/>
      <c r="X10" s="1066"/>
      <c r="Y10" s="554"/>
      <c r="Z10" s="1291"/>
    </row>
    <row r="11" spans="1:26" s="556" customFormat="1" ht="13.5" customHeight="1" x14ac:dyDescent="0.2">
      <c r="A11" s="622">
        <v>9</v>
      </c>
      <c r="B11" s="832" t="s">
        <v>440</v>
      </c>
      <c r="C11" s="1066"/>
      <c r="D11" s="1427"/>
      <c r="E11" s="1427"/>
      <c r="F11" s="1066"/>
      <c r="G11" s="1066"/>
      <c r="H11" s="1066"/>
      <c r="I11" s="1066"/>
      <c r="J11" s="1066"/>
      <c r="K11" s="1066"/>
      <c r="L11" s="1066"/>
      <c r="M11" s="1290"/>
      <c r="N11" s="618"/>
      <c r="O11" s="1066"/>
      <c r="P11" s="1066"/>
      <c r="Q11" s="1066"/>
      <c r="R11" s="1066"/>
      <c r="S11" s="1066"/>
      <c r="T11" s="1066"/>
      <c r="U11" s="619"/>
      <c r="V11" s="1066"/>
      <c r="W11" s="1066"/>
      <c r="X11" s="1066"/>
      <c r="Y11" s="554"/>
      <c r="Z11" s="1291"/>
    </row>
    <row r="12" spans="1:26" s="556" customFormat="1" ht="13.5" customHeight="1" x14ac:dyDescent="0.2">
      <c r="A12" s="622">
        <v>10</v>
      </c>
      <c r="B12" s="832" t="s">
        <v>441</v>
      </c>
      <c r="C12" s="1526">
        <v>1699</v>
      </c>
      <c r="D12" s="1525">
        <v>3571</v>
      </c>
      <c r="E12" s="1525">
        <v>8367</v>
      </c>
      <c r="F12" s="1526">
        <v>4167</v>
      </c>
      <c r="G12" s="1526">
        <v>20220</v>
      </c>
      <c r="H12" s="1526">
        <v>2670</v>
      </c>
      <c r="I12" s="1526">
        <v>22349</v>
      </c>
      <c r="J12" s="1526">
        <v>4904</v>
      </c>
      <c r="K12" s="1526">
        <v>3090</v>
      </c>
      <c r="L12" s="1526">
        <v>7502</v>
      </c>
      <c r="M12" s="1526">
        <v>2664</v>
      </c>
      <c r="N12" s="1526">
        <v>2564</v>
      </c>
      <c r="O12" s="1526">
        <v>2540</v>
      </c>
      <c r="P12" s="1526">
        <v>3619</v>
      </c>
      <c r="Q12" s="1526">
        <v>4840</v>
      </c>
      <c r="R12" s="1526">
        <v>8519</v>
      </c>
      <c r="S12" s="1526">
        <v>3026</v>
      </c>
      <c r="T12" s="1526">
        <v>1869</v>
      </c>
      <c r="U12" s="1526">
        <v>1654</v>
      </c>
      <c r="V12" s="1526">
        <v>9993</v>
      </c>
      <c r="W12" s="1526">
        <v>1356</v>
      </c>
      <c r="X12" s="1526">
        <v>1774</v>
      </c>
      <c r="Y12" s="1528">
        <v>114440</v>
      </c>
      <c r="Z12" s="1529">
        <v>642980</v>
      </c>
    </row>
    <row r="13" spans="1:26" s="556" customFormat="1" ht="13.5" customHeight="1" x14ac:dyDescent="0.2">
      <c r="A13" s="622">
        <v>11</v>
      </c>
      <c r="B13" s="832" t="s">
        <v>442</v>
      </c>
      <c r="C13" s="1066"/>
      <c r="D13" s="1427"/>
      <c r="E13" s="1427"/>
      <c r="F13" s="1066"/>
      <c r="G13" s="1066"/>
      <c r="H13" s="1066"/>
      <c r="I13" s="1066"/>
      <c r="J13" s="1066"/>
      <c r="K13" s="1066"/>
      <c r="L13" s="1066"/>
      <c r="M13" s="1290"/>
      <c r="N13" s="1066"/>
      <c r="O13" s="1066"/>
      <c r="P13" s="1066"/>
      <c r="Q13" s="1066"/>
      <c r="R13" s="1066"/>
      <c r="S13" s="1066"/>
      <c r="T13" s="1066"/>
      <c r="U13" s="1066"/>
      <c r="V13" s="1066"/>
      <c r="W13" s="1066"/>
      <c r="X13" s="1066"/>
      <c r="Y13" s="554"/>
      <c r="Z13" s="1291"/>
    </row>
    <row r="14" spans="1:26" s="556" customFormat="1" ht="13.5" customHeight="1" x14ac:dyDescent="0.2">
      <c r="A14" s="622">
        <v>12</v>
      </c>
      <c r="B14" s="832" t="s">
        <v>443</v>
      </c>
      <c r="C14" s="1526">
        <v>1391</v>
      </c>
      <c r="D14" s="1525">
        <v>3099</v>
      </c>
      <c r="E14" s="1525">
        <v>7154</v>
      </c>
      <c r="F14" s="1526">
        <v>4111</v>
      </c>
      <c r="G14" s="1526">
        <v>17519</v>
      </c>
      <c r="H14" s="1526">
        <v>2215</v>
      </c>
      <c r="I14" s="1526">
        <v>22243</v>
      </c>
      <c r="J14" s="1526">
        <v>4669</v>
      </c>
      <c r="K14" s="1526">
        <v>2801</v>
      </c>
      <c r="L14" s="1526">
        <v>6973</v>
      </c>
      <c r="M14" s="1526">
        <v>2606</v>
      </c>
      <c r="N14" s="1526">
        <v>2540</v>
      </c>
      <c r="O14" s="1526">
        <v>2467</v>
      </c>
      <c r="P14" s="1526">
        <v>3391</v>
      </c>
      <c r="Q14" s="1526">
        <v>3955</v>
      </c>
      <c r="R14" s="1526">
        <v>8248</v>
      </c>
      <c r="S14" s="1526">
        <v>2637</v>
      </c>
      <c r="T14" s="1526">
        <v>1629</v>
      </c>
      <c r="U14" s="1526">
        <v>1654</v>
      </c>
      <c r="V14" s="1526">
        <v>9993</v>
      </c>
      <c r="W14" s="1526">
        <v>1279</v>
      </c>
      <c r="X14" s="1526">
        <v>1730</v>
      </c>
      <c r="Y14" s="1528">
        <v>106640</v>
      </c>
      <c r="Z14" s="1529">
        <v>602580</v>
      </c>
    </row>
    <row r="15" spans="1:26" s="556" customFormat="1" ht="13.5" customHeight="1" x14ac:dyDescent="0.2">
      <c r="A15" s="1451"/>
      <c r="B15" s="1452" t="s">
        <v>244</v>
      </c>
      <c r="C15" s="1453"/>
      <c r="D15" s="1454"/>
      <c r="E15" s="1454"/>
      <c r="F15" s="1453"/>
      <c r="G15" s="1453"/>
      <c r="H15" s="1453"/>
      <c r="I15" s="1453"/>
      <c r="J15" s="1453"/>
      <c r="K15" s="1453"/>
      <c r="L15" s="1453"/>
      <c r="M15" s="1453"/>
      <c r="N15" s="1453"/>
      <c r="O15" s="1453"/>
      <c r="P15" s="1453"/>
      <c r="Q15" s="1453"/>
      <c r="R15" s="1453"/>
      <c r="S15" s="1453"/>
      <c r="T15" s="1522"/>
      <c r="U15" s="1453"/>
      <c r="V15" s="1453"/>
      <c r="W15" s="1453"/>
      <c r="X15" s="1453"/>
      <c r="Y15" s="1447"/>
      <c r="Z15" s="1448"/>
    </row>
    <row r="16" spans="1:26" s="556" customFormat="1" ht="13.5" customHeight="1" x14ac:dyDescent="0.2">
      <c r="A16" s="942">
        <v>13</v>
      </c>
      <c r="B16" s="834" t="s">
        <v>444</v>
      </c>
      <c r="C16" s="1524">
        <v>113</v>
      </c>
      <c r="D16" s="1525">
        <v>105</v>
      </c>
      <c r="E16" s="1525">
        <v>631</v>
      </c>
      <c r="F16" s="1526">
        <v>388</v>
      </c>
      <c r="G16" s="1526">
        <v>2303</v>
      </c>
      <c r="H16" s="1526">
        <v>308</v>
      </c>
      <c r="I16" s="1526">
        <v>1684</v>
      </c>
      <c r="J16" s="1526">
        <v>444</v>
      </c>
      <c r="K16" s="1526">
        <v>278</v>
      </c>
      <c r="L16" s="1526">
        <v>545</v>
      </c>
      <c r="M16" s="1526">
        <v>155</v>
      </c>
      <c r="N16" s="1526">
        <v>192</v>
      </c>
      <c r="O16" s="1526">
        <v>104</v>
      </c>
      <c r="P16" s="1526">
        <v>314</v>
      </c>
      <c r="Q16" s="1526">
        <v>221</v>
      </c>
      <c r="R16" s="1526">
        <v>613</v>
      </c>
      <c r="S16" s="1526">
        <v>180</v>
      </c>
      <c r="T16" s="1526">
        <v>139</v>
      </c>
      <c r="U16" s="1526">
        <v>226</v>
      </c>
      <c r="V16" s="1526">
        <v>880</v>
      </c>
      <c r="W16" s="1526">
        <v>97</v>
      </c>
      <c r="X16" s="1526">
        <v>148</v>
      </c>
      <c r="Y16" s="1528">
        <v>9440</v>
      </c>
      <c r="Z16" s="1529">
        <v>52290</v>
      </c>
    </row>
    <row r="17" spans="1:26" s="556" customFormat="1" ht="13.5" customHeight="1" x14ac:dyDescent="0.2">
      <c r="A17" s="942">
        <v>14</v>
      </c>
      <c r="B17" s="834" t="s">
        <v>445</v>
      </c>
      <c r="C17" s="1524"/>
      <c r="D17" s="1525"/>
      <c r="E17" s="1525"/>
      <c r="F17" s="1526"/>
      <c r="G17" s="1526"/>
      <c r="H17" s="1526"/>
      <c r="I17" s="1526"/>
      <c r="J17" s="1526"/>
      <c r="K17" s="1526"/>
      <c r="L17" s="1526"/>
      <c r="M17" s="1526"/>
      <c r="N17" s="1526"/>
      <c r="O17" s="1526"/>
      <c r="P17" s="1526"/>
      <c r="Q17" s="1526"/>
      <c r="R17" s="1526"/>
      <c r="S17" s="1526"/>
      <c r="T17" s="1526"/>
      <c r="U17" s="1526"/>
      <c r="V17" s="1526"/>
      <c r="W17" s="1526"/>
      <c r="X17" s="1526"/>
      <c r="Y17" s="1528"/>
      <c r="Z17" s="1529"/>
    </row>
    <row r="18" spans="1:26" s="556" customFormat="1" ht="13.5" customHeight="1" x14ac:dyDescent="0.2">
      <c r="A18" s="942">
        <v>15</v>
      </c>
      <c r="B18" s="834" t="s">
        <v>446</v>
      </c>
      <c r="C18" s="1524"/>
      <c r="D18" s="1525"/>
      <c r="E18" s="1525"/>
      <c r="F18" s="1526"/>
      <c r="G18" s="1526"/>
      <c r="H18" s="1526"/>
      <c r="I18" s="1526"/>
      <c r="J18" s="1526"/>
      <c r="K18" s="1526"/>
      <c r="L18" s="1526"/>
      <c r="M18" s="1526"/>
      <c r="N18" s="1526"/>
      <c r="O18" s="1526"/>
      <c r="P18" s="1526"/>
      <c r="Q18" s="1526"/>
      <c r="R18" s="1526"/>
      <c r="S18" s="1526"/>
      <c r="T18" s="1526"/>
      <c r="U18" s="1526"/>
      <c r="V18" s="1526"/>
      <c r="W18" s="1526"/>
      <c r="X18" s="1526"/>
      <c r="Y18" s="1528"/>
      <c r="Z18" s="1529"/>
    </row>
    <row r="19" spans="1:26" s="556" customFormat="1" ht="13.5" customHeight="1" x14ac:dyDescent="0.2">
      <c r="A19" s="942">
        <v>16</v>
      </c>
      <c r="B19" s="834" t="s">
        <v>447</v>
      </c>
      <c r="C19" s="1524"/>
      <c r="D19" s="1525"/>
      <c r="E19" s="1525"/>
      <c r="F19" s="1526"/>
      <c r="G19" s="1526"/>
      <c r="H19" s="1526"/>
      <c r="I19" s="1526"/>
      <c r="J19" s="1526"/>
      <c r="K19" s="1526"/>
      <c r="L19" s="1526"/>
      <c r="M19" s="1526"/>
      <c r="N19" s="1526"/>
      <c r="O19" s="1526"/>
      <c r="P19" s="1526"/>
      <c r="Q19" s="1526"/>
      <c r="R19" s="1526"/>
      <c r="S19" s="1526"/>
      <c r="T19" s="1526"/>
      <c r="U19" s="1526"/>
      <c r="V19" s="1526"/>
      <c r="W19" s="1526"/>
      <c r="X19" s="1526"/>
      <c r="Y19" s="1528"/>
      <c r="Z19" s="1529"/>
    </row>
    <row r="20" spans="1:26" s="556" customFormat="1" ht="13.5" customHeight="1" x14ac:dyDescent="0.2">
      <c r="A20" s="942">
        <v>17</v>
      </c>
      <c r="B20" s="834" t="s">
        <v>448</v>
      </c>
      <c r="C20" s="1524">
        <v>472</v>
      </c>
      <c r="D20" s="1525">
        <v>546</v>
      </c>
      <c r="E20" s="1525">
        <v>1618</v>
      </c>
      <c r="F20" s="1526">
        <v>597</v>
      </c>
      <c r="G20" s="1526">
        <v>5007</v>
      </c>
      <c r="H20" s="1526">
        <v>710</v>
      </c>
      <c r="I20" s="1526">
        <v>4301</v>
      </c>
      <c r="J20" s="1526">
        <v>1161</v>
      </c>
      <c r="K20" s="1526">
        <v>575</v>
      </c>
      <c r="L20" s="1526">
        <v>724</v>
      </c>
      <c r="M20" s="1526">
        <v>580</v>
      </c>
      <c r="N20" s="1527">
        <v>460</v>
      </c>
      <c r="O20" s="1526">
        <v>613</v>
      </c>
      <c r="P20" s="1526">
        <v>459</v>
      </c>
      <c r="Q20" s="1526">
        <v>946</v>
      </c>
      <c r="R20" s="1526">
        <v>1534</v>
      </c>
      <c r="S20" s="1526">
        <v>544</v>
      </c>
      <c r="T20" s="1526">
        <v>298</v>
      </c>
      <c r="U20" s="1524">
        <v>351</v>
      </c>
      <c r="V20" s="1526">
        <v>2028</v>
      </c>
      <c r="W20" s="1526">
        <v>284</v>
      </c>
      <c r="X20" s="1526">
        <v>359</v>
      </c>
      <c r="Y20" s="1528">
        <v>22870</v>
      </c>
      <c r="Z20" s="1529">
        <v>117010</v>
      </c>
    </row>
    <row r="21" spans="1:26" s="556" customFormat="1" ht="13.5" customHeight="1" x14ac:dyDescent="0.2">
      <c r="A21" s="942">
        <v>18</v>
      </c>
      <c r="B21" s="834" t="s">
        <v>449</v>
      </c>
      <c r="C21" s="1524">
        <v>22</v>
      </c>
      <c r="D21" s="1525">
        <v>126</v>
      </c>
      <c r="E21" s="1525" t="s">
        <v>1281</v>
      </c>
      <c r="F21" s="1526">
        <v>103</v>
      </c>
      <c r="G21" s="1526">
        <v>0</v>
      </c>
      <c r="H21" s="1526">
        <v>8</v>
      </c>
      <c r="I21" s="1526">
        <v>77</v>
      </c>
      <c r="J21" s="1526">
        <v>22</v>
      </c>
      <c r="K21" s="1526">
        <v>96</v>
      </c>
      <c r="L21" s="1526">
        <v>929</v>
      </c>
      <c r="M21" s="1526">
        <v>12</v>
      </c>
      <c r="N21" s="1527">
        <v>73</v>
      </c>
      <c r="O21" s="1526">
        <v>21</v>
      </c>
      <c r="P21" s="1526">
        <v>32</v>
      </c>
      <c r="Q21" s="1526">
        <v>6</v>
      </c>
      <c r="R21" s="1526">
        <v>101</v>
      </c>
      <c r="S21" s="1526">
        <v>6</v>
      </c>
      <c r="T21" s="1526" t="s">
        <v>1281</v>
      </c>
      <c r="U21" s="1524">
        <v>50</v>
      </c>
      <c r="V21" s="1526">
        <v>0</v>
      </c>
      <c r="W21" s="1526">
        <v>0</v>
      </c>
      <c r="X21" s="1526" t="s">
        <v>1281</v>
      </c>
      <c r="Y21" s="1528">
        <v>1700</v>
      </c>
      <c r="Z21" s="1529">
        <v>13630</v>
      </c>
    </row>
    <row r="22" spans="1:26" s="556" customFormat="1" ht="13.5" customHeight="1" x14ac:dyDescent="0.2">
      <c r="A22" s="942">
        <v>19</v>
      </c>
      <c r="B22" s="834" t="s">
        <v>450</v>
      </c>
      <c r="C22" s="1524">
        <v>177</v>
      </c>
      <c r="D22" s="1525">
        <v>451</v>
      </c>
      <c r="E22" s="1525">
        <v>1287</v>
      </c>
      <c r="F22" s="1526">
        <v>465</v>
      </c>
      <c r="G22" s="1526">
        <v>3656</v>
      </c>
      <c r="H22" s="1526">
        <v>367</v>
      </c>
      <c r="I22" s="1526">
        <v>2954</v>
      </c>
      <c r="J22" s="1526">
        <v>454</v>
      </c>
      <c r="K22" s="1526">
        <v>472</v>
      </c>
      <c r="L22" s="1526">
        <v>985</v>
      </c>
      <c r="M22" s="1526">
        <v>376</v>
      </c>
      <c r="N22" s="1527">
        <v>372</v>
      </c>
      <c r="O22" s="1526">
        <v>344</v>
      </c>
      <c r="P22" s="1526">
        <v>520</v>
      </c>
      <c r="Q22" s="1526">
        <v>761</v>
      </c>
      <c r="R22" s="1526">
        <v>1344</v>
      </c>
      <c r="S22" s="1526">
        <v>452</v>
      </c>
      <c r="T22" s="1526">
        <v>199</v>
      </c>
      <c r="U22" s="1524">
        <v>197</v>
      </c>
      <c r="V22" s="1526">
        <v>1316</v>
      </c>
      <c r="W22" s="1526">
        <v>164</v>
      </c>
      <c r="X22" s="1526">
        <v>221</v>
      </c>
      <c r="Y22" s="1528">
        <v>16360</v>
      </c>
      <c r="Z22" s="1529">
        <v>96300</v>
      </c>
    </row>
    <row r="23" spans="1:26" s="556" customFormat="1" ht="13.5" customHeight="1" x14ac:dyDescent="0.2">
      <c r="A23" s="942">
        <v>20</v>
      </c>
      <c r="B23" s="834" t="s">
        <v>451</v>
      </c>
      <c r="C23" s="1524"/>
      <c r="D23" s="1525"/>
      <c r="E23" s="1525"/>
      <c r="F23" s="1526"/>
      <c r="G23" s="1526"/>
      <c r="H23" s="1526"/>
      <c r="I23" s="1526"/>
      <c r="J23" s="1526"/>
      <c r="K23" s="1526"/>
      <c r="L23" s="1526"/>
      <c r="M23" s="1526"/>
      <c r="N23" s="1527"/>
      <c r="O23" s="1526"/>
      <c r="P23" s="1526"/>
      <c r="Q23" s="1526"/>
      <c r="R23" s="1526"/>
      <c r="S23" s="1526"/>
      <c r="T23" s="1526"/>
      <c r="U23" s="1524"/>
      <c r="V23" s="1526"/>
      <c r="W23" s="1526"/>
      <c r="X23" s="1526"/>
      <c r="Y23" s="1528"/>
      <c r="Z23" s="1529"/>
    </row>
    <row r="24" spans="1:26" s="556" customFormat="1" ht="13.5" customHeight="1" x14ac:dyDescent="0.2">
      <c r="A24" s="942">
        <v>21</v>
      </c>
      <c r="B24" s="834" t="s">
        <v>452</v>
      </c>
      <c r="C24" s="1524"/>
      <c r="D24" s="1525"/>
      <c r="E24" s="1525"/>
      <c r="F24" s="1526"/>
      <c r="G24" s="1526"/>
      <c r="H24" s="1526"/>
      <c r="I24" s="1526"/>
      <c r="J24" s="1526"/>
      <c r="K24" s="1526"/>
      <c r="L24" s="1526"/>
      <c r="M24" s="1526"/>
      <c r="N24" s="1527"/>
      <c r="O24" s="1526"/>
      <c r="P24" s="1526"/>
      <c r="Q24" s="1526"/>
      <c r="R24" s="1526"/>
      <c r="S24" s="1526"/>
      <c r="T24" s="1526"/>
      <c r="U24" s="1524"/>
      <c r="V24" s="1526"/>
      <c r="W24" s="1526"/>
      <c r="X24" s="1526"/>
      <c r="Y24" s="1528"/>
      <c r="Z24" s="1529"/>
    </row>
    <row r="25" spans="1:26" s="556" customFormat="1" ht="13.5" customHeight="1" x14ac:dyDescent="0.2">
      <c r="A25" s="942">
        <v>22</v>
      </c>
      <c r="B25" s="834" t="s">
        <v>453</v>
      </c>
      <c r="C25" s="1524"/>
      <c r="D25" s="1525"/>
      <c r="E25" s="1525"/>
      <c r="F25" s="1526"/>
      <c r="G25" s="1526"/>
      <c r="H25" s="1526"/>
      <c r="I25" s="1526"/>
      <c r="J25" s="1526"/>
      <c r="K25" s="1526"/>
      <c r="L25" s="1526"/>
      <c r="M25" s="1526"/>
      <c r="N25" s="1527"/>
      <c r="O25" s="1526"/>
      <c r="P25" s="1526"/>
      <c r="Q25" s="1526"/>
      <c r="R25" s="1526"/>
      <c r="S25" s="1526"/>
      <c r="T25" s="1526"/>
      <c r="U25" s="1524"/>
      <c r="V25" s="1526"/>
      <c r="W25" s="1526"/>
      <c r="X25" s="1526"/>
      <c r="Y25" s="1528"/>
      <c r="Z25" s="1529"/>
    </row>
    <row r="26" spans="1:26" s="556" customFormat="1" ht="13.5" customHeight="1" x14ac:dyDescent="0.2">
      <c r="A26" s="942">
        <v>23</v>
      </c>
      <c r="B26" s="834" t="s">
        <v>454</v>
      </c>
      <c r="C26" s="1524"/>
      <c r="D26" s="1525"/>
      <c r="E26" s="1525"/>
      <c r="F26" s="1526"/>
      <c r="G26" s="1526"/>
      <c r="H26" s="1526"/>
      <c r="I26" s="1526"/>
      <c r="J26" s="1526"/>
      <c r="K26" s="1526"/>
      <c r="L26" s="1526"/>
      <c r="M26" s="1526"/>
      <c r="N26" s="1527"/>
      <c r="O26" s="1526"/>
      <c r="P26" s="1526"/>
      <c r="Q26" s="1526"/>
      <c r="R26" s="1526"/>
      <c r="S26" s="1526"/>
      <c r="T26" s="1526"/>
      <c r="U26" s="1524"/>
      <c r="V26" s="1526"/>
      <c r="W26" s="1526"/>
      <c r="X26" s="1526"/>
      <c r="Y26" s="1528"/>
      <c r="Z26" s="1529"/>
    </row>
    <row r="27" spans="1:26" s="556" customFormat="1" ht="13.5" customHeight="1" x14ac:dyDescent="0.2">
      <c r="A27" s="942">
        <v>24</v>
      </c>
      <c r="B27" s="834" t="s">
        <v>455</v>
      </c>
      <c r="C27" s="1524"/>
      <c r="D27" s="1525"/>
      <c r="E27" s="1525"/>
      <c r="F27" s="1526"/>
      <c r="G27" s="1526"/>
      <c r="H27" s="1526"/>
      <c r="I27" s="1526"/>
      <c r="J27" s="1526"/>
      <c r="K27" s="1526"/>
      <c r="L27" s="1526"/>
      <c r="M27" s="1526"/>
      <c r="N27" s="1527"/>
      <c r="O27" s="1526"/>
      <c r="P27" s="1526"/>
      <c r="Q27" s="1526"/>
      <c r="R27" s="1526"/>
      <c r="S27" s="1526"/>
      <c r="T27" s="1526"/>
      <c r="U27" s="1524"/>
      <c r="V27" s="1526"/>
      <c r="W27" s="1526"/>
      <c r="X27" s="1526"/>
      <c r="Y27" s="1528"/>
      <c r="Z27" s="1529"/>
    </row>
    <row r="28" spans="1:26" s="556" customFormat="1" ht="13.5" customHeight="1" x14ac:dyDescent="0.2">
      <c r="A28" s="942">
        <v>25</v>
      </c>
      <c r="B28" s="834" t="s">
        <v>456</v>
      </c>
      <c r="C28" s="1524">
        <v>18</v>
      </c>
      <c r="D28" s="1525">
        <v>64</v>
      </c>
      <c r="E28" s="1525">
        <v>124</v>
      </c>
      <c r="F28" s="1526">
        <v>57</v>
      </c>
      <c r="G28" s="1526">
        <v>248</v>
      </c>
      <c r="H28" s="1526">
        <v>41</v>
      </c>
      <c r="I28" s="1526">
        <v>449</v>
      </c>
      <c r="J28" s="1526">
        <v>75</v>
      </c>
      <c r="K28" s="1526">
        <v>35</v>
      </c>
      <c r="L28" s="1526">
        <v>35</v>
      </c>
      <c r="M28" s="1526">
        <v>63</v>
      </c>
      <c r="N28" s="1527">
        <v>64</v>
      </c>
      <c r="O28" s="1526">
        <v>0</v>
      </c>
      <c r="P28" s="1526">
        <v>15</v>
      </c>
      <c r="Q28" s="1526">
        <v>28</v>
      </c>
      <c r="R28" s="1526">
        <v>101</v>
      </c>
      <c r="S28" s="1526">
        <v>33</v>
      </c>
      <c r="T28" s="1526" t="s">
        <v>1281</v>
      </c>
      <c r="U28" s="1524">
        <v>22</v>
      </c>
      <c r="V28" s="1526">
        <v>206</v>
      </c>
      <c r="W28" s="1526">
        <v>15</v>
      </c>
      <c r="X28" s="1526">
        <v>11</v>
      </c>
      <c r="Y28" s="1528">
        <v>1660</v>
      </c>
      <c r="Z28" s="1529">
        <v>8300</v>
      </c>
    </row>
    <row r="29" spans="1:26" s="556" customFormat="1" ht="13.5" customHeight="1" x14ac:dyDescent="0.2">
      <c r="A29" s="942">
        <v>26</v>
      </c>
      <c r="B29" s="834" t="s">
        <v>457</v>
      </c>
      <c r="C29" s="1524">
        <v>377</v>
      </c>
      <c r="D29" s="1525">
        <v>497</v>
      </c>
      <c r="E29" s="1525">
        <v>969</v>
      </c>
      <c r="F29" s="1526">
        <v>811</v>
      </c>
      <c r="G29" s="1526">
        <v>1600</v>
      </c>
      <c r="H29" s="1526">
        <v>253</v>
      </c>
      <c r="I29" s="1526">
        <v>2706</v>
      </c>
      <c r="J29" s="1526">
        <v>621</v>
      </c>
      <c r="K29" s="1526">
        <v>392</v>
      </c>
      <c r="L29" s="1526">
        <v>1389</v>
      </c>
      <c r="M29" s="1526">
        <v>451</v>
      </c>
      <c r="N29" s="1527">
        <v>263</v>
      </c>
      <c r="O29" s="1526">
        <v>391</v>
      </c>
      <c r="P29" s="1526">
        <v>538</v>
      </c>
      <c r="Q29" s="1526">
        <v>980</v>
      </c>
      <c r="R29" s="1526">
        <v>1066</v>
      </c>
      <c r="S29" s="1526">
        <v>270</v>
      </c>
      <c r="T29" s="1526">
        <v>435</v>
      </c>
      <c r="U29" s="1524">
        <v>278</v>
      </c>
      <c r="V29" s="1526">
        <v>1755</v>
      </c>
      <c r="W29" s="1526">
        <v>159</v>
      </c>
      <c r="X29" s="1526">
        <v>241</v>
      </c>
      <c r="Y29" s="1528">
        <v>15200</v>
      </c>
      <c r="Z29" s="1529">
        <v>90810</v>
      </c>
    </row>
    <row r="30" spans="1:26" s="556" customFormat="1" ht="13.5" customHeight="1" x14ac:dyDescent="0.2">
      <c r="A30" s="942">
        <v>27</v>
      </c>
      <c r="B30" s="834" t="s">
        <v>458</v>
      </c>
      <c r="C30" s="1524"/>
      <c r="D30" s="1525"/>
      <c r="E30" s="1525"/>
      <c r="F30" s="1526"/>
      <c r="G30" s="1526"/>
      <c r="H30" s="1526"/>
      <c r="I30" s="1526"/>
      <c r="J30" s="1526"/>
      <c r="K30" s="1526"/>
      <c r="L30" s="1526"/>
      <c r="M30" s="1526"/>
      <c r="N30" s="1527"/>
      <c r="O30" s="1526"/>
      <c r="P30" s="1526"/>
      <c r="Q30" s="1526"/>
      <c r="R30" s="1526"/>
      <c r="S30" s="1526"/>
      <c r="T30" s="1526"/>
      <c r="U30" s="1524"/>
      <c r="V30" s="1526"/>
      <c r="W30" s="1526"/>
      <c r="X30" s="1526"/>
      <c r="Y30" s="1528"/>
      <c r="Z30" s="1529"/>
    </row>
    <row r="31" spans="1:26" s="556" customFormat="1" ht="13.5" customHeight="1" x14ac:dyDescent="0.2">
      <c r="A31" s="942">
        <v>28</v>
      </c>
      <c r="B31" s="834" t="s">
        <v>459</v>
      </c>
      <c r="C31" s="1524"/>
      <c r="D31" s="1525"/>
      <c r="E31" s="1525"/>
      <c r="F31" s="1526"/>
      <c r="G31" s="1526"/>
      <c r="H31" s="1526"/>
      <c r="I31" s="1526"/>
      <c r="J31" s="1526"/>
      <c r="K31" s="1526"/>
      <c r="L31" s="1526"/>
      <c r="M31" s="1526"/>
      <c r="N31" s="1527"/>
      <c r="O31" s="1526"/>
      <c r="P31" s="1526"/>
      <c r="Q31" s="1526"/>
      <c r="R31" s="1526"/>
      <c r="S31" s="1526"/>
      <c r="T31" s="1526"/>
      <c r="U31" s="1524"/>
      <c r="V31" s="1526"/>
      <c r="W31" s="1526"/>
      <c r="X31" s="1526"/>
      <c r="Y31" s="1528"/>
      <c r="Z31" s="1529"/>
    </row>
    <row r="32" spans="1:26" s="556" customFormat="1" ht="13.5" customHeight="1" x14ac:dyDescent="0.2">
      <c r="A32" s="942">
        <v>29</v>
      </c>
      <c r="B32" s="834" t="s">
        <v>460</v>
      </c>
      <c r="C32" s="1524">
        <v>387</v>
      </c>
      <c r="D32" s="1525">
        <v>1021</v>
      </c>
      <c r="E32" s="1525">
        <v>2910</v>
      </c>
      <c r="F32" s="1526">
        <v>1111</v>
      </c>
      <c r="G32" s="1526">
        <v>4585</v>
      </c>
      <c r="H32" s="1526">
        <v>519</v>
      </c>
      <c r="I32" s="1526">
        <v>7430</v>
      </c>
      <c r="J32" s="1526">
        <v>1700</v>
      </c>
      <c r="K32" s="1526">
        <v>951</v>
      </c>
      <c r="L32" s="1526">
        <v>2239</v>
      </c>
      <c r="M32" s="1526">
        <v>725</v>
      </c>
      <c r="N32" s="1527">
        <v>930</v>
      </c>
      <c r="O32" s="1526">
        <v>825</v>
      </c>
      <c r="P32" s="1526">
        <v>1160</v>
      </c>
      <c r="Q32" s="1526">
        <v>1369</v>
      </c>
      <c r="R32" s="1526">
        <v>2844</v>
      </c>
      <c r="S32" s="1526">
        <v>1142</v>
      </c>
      <c r="T32" s="1526">
        <v>520</v>
      </c>
      <c r="U32" s="1524">
        <v>403</v>
      </c>
      <c r="V32" s="1526">
        <v>2796</v>
      </c>
      <c r="W32" s="1526">
        <v>506</v>
      </c>
      <c r="X32" s="1526">
        <v>641</v>
      </c>
      <c r="Y32" s="1528">
        <v>33890</v>
      </c>
      <c r="Z32" s="1529">
        <v>184760</v>
      </c>
    </row>
    <row r="33" spans="1:26" s="556" customFormat="1" ht="13.5" customHeight="1" x14ac:dyDescent="0.2">
      <c r="A33" s="942">
        <v>30</v>
      </c>
      <c r="B33" s="834" t="s">
        <v>461</v>
      </c>
      <c r="C33" s="1524">
        <v>42</v>
      </c>
      <c r="D33" s="1525">
        <v>94</v>
      </c>
      <c r="E33" s="1525">
        <v>222</v>
      </c>
      <c r="F33" s="1526">
        <v>194</v>
      </c>
      <c r="G33" s="1526">
        <v>696</v>
      </c>
      <c r="H33" s="1526">
        <v>70</v>
      </c>
      <c r="I33" s="1526">
        <v>1228</v>
      </c>
      <c r="J33" s="1526">
        <v>130</v>
      </c>
      <c r="K33" s="1526">
        <v>111</v>
      </c>
      <c r="L33" s="1526">
        <v>209</v>
      </c>
      <c r="M33" s="1526">
        <v>124</v>
      </c>
      <c r="N33" s="1527">
        <v>55</v>
      </c>
      <c r="O33" s="1526">
        <v>91</v>
      </c>
      <c r="P33" s="1526">
        <v>201</v>
      </c>
      <c r="Q33" s="1526">
        <v>54</v>
      </c>
      <c r="R33" s="1526">
        <v>300</v>
      </c>
      <c r="S33" s="1526">
        <v>143</v>
      </c>
      <c r="T33" s="1526">
        <v>29</v>
      </c>
      <c r="U33" s="1524">
        <v>33</v>
      </c>
      <c r="V33" s="1526">
        <v>342</v>
      </c>
      <c r="W33" s="1526">
        <v>18</v>
      </c>
      <c r="X33" s="1526">
        <v>44</v>
      </c>
      <c r="Y33" s="1528">
        <v>4060</v>
      </c>
      <c r="Z33" s="1529">
        <v>25180</v>
      </c>
    </row>
    <row r="34" spans="1:26" s="556" customFormat="1" ht="13.5" customHeight="1" x14ac:dyDescent="0.2">
      <c r="A34" s="942">
        <v>31</v>
      </c>
      <c r="B34" s="834" t="s">
        <v>462</v>
      </c>
      <c r="C34" s="1524">
        <v>68</v>
      </c>
      <c r="D34" s="1525">
        <v>117</v>
      </c>
      <c r="E34" s="1525">
        <v>399</v>
      </c>
      <c r="F34" s="1526">
        <v>274</v>
      </c>
      <c r="G34" s="1526">
        <v>1262</v>
      </c>
      <c r="H34" s="1526">
        <v>346</v>
      </c>
      <c r="I34" s="1526">
        <v>713</v>
      </c>
      <c r="J34" s="1526">
        <v>199</v>
      </c>
      <c r="K34" s="1526">
        <v>113</v>
      </c>
      <c r="L34" s="1526">
        <v>323</v>
      </c>
      <c r="M34" s="1526">
        <v>137</v>
      </c>
      <c r="N34" s="1527">
        <v>128</v>
      </c>
      <c r="O34" s="1526">
        <v>107</v>
      </c>
      <c r="P34" s="1526">
        <v>226</v>
      </c>
      <c r="Q34" s="1526">
        <v>300</v>
      </c>
      <c r="R34" s="1526">
        <v>382</v>
      </c>
      <c r="S34" s="1526">
        <v>99</v>
      </c>
      <c r="T34" s="1526">
        <v>152</v>
      </c>
      <c r="U34" s="1524">
        <v>53</v>
      </c>
      <c r="V34" s="1526">
        <v>623</v>
      </c>
      <c r="W34" s="1526">
        <v>71</v>
      </c>
      <c r="X34" s="1526">
        <v>70</v>
      </c>
      <c r="Y34" s="1528">
        <v>5690</v>
      </c>
      <c r="Z34" s="1529">
        <v>31630</v>
      </c>
    </row>
    <row r="35" spans="1:26" s="556" customFormat="1" ht="13.5" customHeight="1" x14ac:dyDescent="0.2">
      <c r="A35" s="942">
        <v>32</v>
      </c>
      <c r="B35" s="834" t="s">
        <v>463</v>
      </c>
      <c r="C35" s="1524">
        <v>23</v>
      </c>
      <c r="D35" s="1525">
        <v>47</v>
      </c>
      <c r="E35" s="1525">
        <v>154</v>
      </c>
      <c r="F35" s="1526">
        <v>95</v>
      </c>
      <c r="G35" s="1526">
        <v>531</v>
      </c>
      <c r="H35" s="1526">
        <v>0</v>
      </c>
      <c r="I35" s="1526">
        <v>315</v>
      </c>
      <c r="J35" s="1526">
        <v>87</v>
      </c>
      <c r="K35" s="1526">
        <v>59</v>
      </c>
      <c r="L35" s="1526">
        <v>90</v>
      </c>
      <c r="M35" s="1526">
        <v>35</v>
      </c>
      <c r="N35" s="1527">
        <v>19</v>
      </c>
      <c r="O35" s="1526">
        <v>44</v>
      </c>
      <c r="P35" s="1526">
        <v>136</v>
      </c>
      <c r="Q35" s="1526">
        <v>163</v>
      </c>
      <c r="R35" s="1526">
        <v>234</v>
      </c>
      <c r="S35" s="1526">
        <v>76</v>
      </c>
      <c r="T35" s="1526">
        <v>67</v>
      </c>
      <c r="U35" s="1524">
        <v>33</v>
      </c>
      <c r="V35" s="1526">
        <v>0</v>
      </c>
      <c r="W35" s="1526">
        <v>42</v>
      </c>
      <c r="X35" s="1526">
        <v>25</v>
      </c>
      <c r="Y35" s="1528">
        <v>2000</v>
      </c>
      <c r="Z35" s="1529">
        <v>13770</v>
      </c>
    </row>
    <row r="36" spans="1:26" s="556" customFormat="1" ht="13.5" customHeight="1" x14ac:dyDescent="0.2">
      <c r="A36" s="942">
        <v>33</v>
      </c>
      <c r="B36" s="834" t="s">
        <v>464</v>
      </c>
      <c r="C36" s="1524">
        <v>0</v>
      </c>
      <c r="D36" s="1525">
        <v>503</v>
      </c>
      <c r="E36" s="1525" t="s">
        <v>1281</v>
      </c>
      <c r="F36" s="1526">
        <v>72</v>
      </c>
      <c r="G36" s="1526">
        <v>332</v>
      </c>
      <c r="H36" s="1526">
        <v>48</v>
      </c>
      <c r="I36" s="1526">
        <v>492</v>
      </c>
      <c r="J36" s="1526">
        <v>11</v>
      </c>
      <c r="K36" s="1526">
        <v>8</v>
      </c>
      <c r="L36" s="1526">
        <v>34</v>
      </c>
      <c r="M36" s="1526">
        <v>6</v>
      </c>
      <c r="N36" s="1527">
        <v>8</v>
      </c>
      <c r="O36" s="1526">
        <v>0</v>
      </c>
      <c r="P36" s="1526">
        <v>18</v>
      </c>
      <c r="Q36" s="1526">
        <v>12</v>
      </c>
      <c r="R36" s="1526">
        <v>0</v>
      </c>
      <c r="S36" s="1526">
        <v>81</v>
      </c>
      <c r="T36" s="1526">
        <v>21</v>
      </c>
      <c r="U36" s="1524">
        <v>8</v>
      </c>
      <c r="V36" s="1526">
        <v>47</v>
      </c>
      <c r="W36" s="1526">
        <v>0</v>
      </c>
      <c r="X36" s="1526" t="s">
        <v>1281</v>
      </c>
      <c r="Y36" s="1528">
        <v>1600</v>
      </c>
      <c r="Z36" s="1529">
        <v>9300</v>
      </c>
    </row>
    <row r="37" spans="1:26" s="556" customFormat="1" ht="13.5" customHeight="1" x14ac:dyDescent="0.2">
      <c r="A37" s="622">
        <v>34</v>
      </c>
      <c r="B37" s="835" t="s">
        <v>465</v>
      </c>
      <c r="C37" s="1524">
        <v>434</v>
      </c>
      <c r="D37" s="1525">
        <v>1094</v>
      </c>
      <c r="E37" s="1525">
        <v>2180</v>
      </c>
      <c r="F37" s="1526">
        <v>761</v>
      </c>
      <c r="G37" s="1526">
        <v>6536</v>
      </c>
      <c r="H37" s="1526">
        <v>946</v>
      </c>
      <c r="I37" s="1526">
        <v>6362</v>
      </c>
      <c r="J37" s="1526">
        <v>1220</v>
      </c>
      <c r="K37" s="1526">
        <v>521</v>
      </c>
      <c r="L37" s="1526">
        <v>1325</v>
      </c>
      <c r="M37" s="1526">
        <v>631</v>
      </c>
      <c r="N37" s="1527">
        <v>676</v>
      </c>
      <c r="O37" s="1526">
        <v>429</v>
      </c>
      <c r="P37" s="1526">
        <v>718</v>
      </c>
      <c r="Q37" s="1526">
        <v>1109</v>
      </c>
      <c r="R37" s="1526">
        <v>1832</v>
      </c>
      <c r="S37" s="1526">
        <v>893</v>
      </c>
      <c r="T37" s="1526">
        <v>414</v>
      </c>
      <c r="U37" s="1524">
        <v>443</v>
      </c>
      <c r="V37" s="1526">
        <v>2654</v>
      </c>
      <c r="W37" s="1526">
        <v>214</v>
      </c>
      <c r="X37" s="1526">
        <v>436</v>
      </c>
      <c r="Y37" s="1528">
        <v>29800</v>
      </c>
      <c r="Z37" s="1529">
        <v>145390</v>
      </c>
    </row>
    <row r="38" spans="1:26" s="556" customFormat="1" ht="13.5" customHeight="1" x14ac:dyDescent="0.2">
      <c r="A38" s="622">
        <v>35</v>
      </c>
      <c r="B38" s="835" t="s">
        <v>466</v>
      </c>
      <c r="C38" s="1524">
        <v>1531</v>
      </c>
      <c r="D38" s="1525">
        <v>2754</v>
      </c>
      <c r="E38" s="1525">
        <v>8122</v>
      </c>
      <c r="F38" s="1526">
        <v>3470</v>
      </c>
      <c r="G38" s="1526">
        <v>19712</v>
      </c>
      <c r="H38" s="1526">
        <v>3149</v>
      </c>
      <c r="I38" s="1526">
        <v>20686</v>
      </c>
      <c r="J38" s="1526">
        <v>4769</v>
      </c>
      <c r="K38" s="1526">
        <v>3052</v>
      </c>
      <c r="L38" s="1526">
        <v>7021</v>
      </c>
      <c r="M38" s="1526">
        <v>2590</v>
      </c>
      <c r="N38" s="1527">
        <v>2689</v>
      </c>
      <c r="O38" s="1526">
        <v>2484</v>
      </c>
      <c r="P38" s="1526">
        <v>3315</v>
      </c>
      <c r="Q38" s="1526">
        <v>4602</v>
      </c>
      <c r="R38" s="1526">
        <v>8724</v>
      </c>
      <c r="S38" s="1526">
        <v>4304</v>
      </c>
      <c r="T38" s="1526">
        <v>1664</v>
      </c>
      <c r="U38" s="1524">
        <v>1878</v>
      </c>
      <c r="V38" s="1526">
        <v>10458</v>
      </c>
      <c r="W38" s="1526">
        <v>1211</v>
      </c>
      <c r="X38" s="1526">
        <v>1583</v>
      </c>
      <c r="Y38" s="1528">
        <v>110490</v>
      </c>
      <c r="Z38" s="1529">
        <v>665660</v>
      </c>
    </row>
    <row r="39" spans="1:26" s="556" customFormat="1" ht="13.5" customHeight="1" x14ac:dyDescent="0.2">
      <c r="A39" s="1451"/>
      <c r="B39" s="1452" t="s">
        <v>245</v>
      </c>
      <c r="C39" s="1453"/>
      <c r="D39" s="1454"/>
      <c r="E39" s="1454"/>
      <c r="F39" s="1453"/>
      <c r="G39" s="1453"/>
      <c r="H39" s="1453"/>
      <c r="I39" s="1453"/>
      <c r="J39" s="1453"/>
      <c r="K39" s="1453"/>
      <c r="L39" s="1453"/>
      <c r="M39" s="1453"/>
      <c r="N39" s="1453"/>
      <c r="O39" s="1453"/>
      <c r="P39" s="1453"/>
      <c r="Q39" s="1453"/>
      <c r="R39" s="1453"/>
      <c r="S39" s="1453"/>
      <c r="T39" s="1522"/>
      <c r="U39" s="1453"/>
      <c r="V39" s="1453"/>
      <c r="W39" s="1453"/>
      <c r="X39" s="1453"/>
      <c r="Y39" s="1447"/>
      <c r="Z39" s="1448"/>
    </row>
    <row r="40" spans="1:26" s="556" customFormat="1" ht="13.5" customHeight="1" x14ac:dyDescent="0.2">
      <c r="A40" s="943">
        <v>36</v>
      </c>
      <c r="B40" s="832" t="s">
        <v>467</v>
      </c>
      <c r="C40" s="1524">
        <v>278</v>
      </c>
      <c r="D40" s="1525">
        <v>403</v>
      </c>
      <c r="E40" s="1525">
        <v>1971</v>
      </c>
      <c r="F40" s="1526">
        <v>236</v>
      </c>
      <c r="G40" s="1526">
        <v>4642</v>
      </c>
      <c r="H40" s="1526">
        <v>1015</v>
      </c>
      <c r="I40" s="1526">
        <v>1414</v>
      </c>
      <c r="J40" s="1526">
        <v>109</v>
      </c>
      <c r="K40" s="1526">
        <v>471</v>
      </c>
      <c r="L40" s="1526">
        <v>425</v>
      </c>
      <c r="M40" s="1526">
        <v>695</v>
      </c>
      <c r="N40" s="1527">
        <v>215</v>
      </c>
      <c r="O40" s="1526">
        <v>0</v>
      </c>
      <c r="P40" s="1526">
        <v>369</v>
      </c>
      <c r="Q40" s="1526">
        <v>421</v>
      </c>
      <c r="R40" s="1526">
        <v>414</v>
      </c>
      <c r="S40" s="1526">
        <v>1746</v>
      </c>
      <c r="T40" s="1526">
        <v>183</v>
      </c>
      <c r="U40" s="1524">
        <v>417</v>
      </c>
      <c r="V40" s="1526">
        <v>2526</v>
      </c>
      <c r="W40" s="1526">
        <v>84</v>
      </c>
      <c r="X40" s="1526">
        <v>126</v>
      </c>
      <c r="Y40" s="1528">
        <v>15930</v>
      </c>
      <c r="Z40" s="1529">
        <v>92240</v>
      </c>
    </row>
    <row r="41" spans="1:26" s="556" customFormat="1" ht="13.5" customHeight="1" x14ac:dyDescent="0.2">
      <c r="A41" s="943">
        <v>37</v>
      </c>
      <c r="B41" s="832" t="s">
        <v>630</v>
      </c>
      <c r="C41" s="1524">
        <v>565</v>
      </c>
      <c r="D41" s="1525">
        <v>317</v>
      </c>
      <c r="E41" s="1525">
        <v>1055</v>
      </c>
      <c r="F41" s="1526">
        <v>463</v>
      </c>
      <c r="G41" s="1526">
        <v>9450</v>
      </c>
      <c r="H41" s="1526">
        <v>1146</v>
      </c>
      <c r="I41" s="1526">
        <v>2670</v>
      </c>
      <c r="J41" s="1526">
        <v>644</v>
      </c>
      <c r="K41" s="1526">
        <v>601</v>
      </c>
      <c r="L41" s="1526">
        <v>720</v>
      </c>
      <c r="M41" s="1526">
        <v>631</v>
      </c>
      <c r="N41" s="1527">
        <v>443</v>
      </c>
      <c r="O41" s="1526">
        <v>276</v>
      </c>
      <c r="P41" s="1526">
        <v>374</v>
      </c>
      <c r="Q41" s="1526">
        <v>759</v>
      </c>
      <c r="R41" s="1526">
        <v>1462</v>
      </c>
      <c r="S41" s="1526">
        <v>1381</v>
      </c>
      <c r="T41" s="1526">
        <v>357</v>
      </c>
      <c r="U41" s="1524">
        <v>321</v>
      </c>
      <c r="V41" s="1526">
        <v>1129</v>
      </c>
      <c r="W41" s="1526">
        <v>241</v>
      </c>
      <c r="X41" s="1526">
        <v>246</v>
      </c>
      <c r="Y41" s="1528">
        <v>23140</v>
      </c>
      <c r="Z41" s="1529">
        <v>112100</v>
      </c>
    </row>
    <row r="42" spans="1:26" s="556" customFormat="1" ht="13.5" customHeight="1" x14ac:dyDescent="0.2">
      <c r="A42" s="943">
        <v>38</v>
      </c>
      <c r="B42" s="832" t="s">
        <v>631</v>
      </c>
      <c r="C42" s="1524">
        <v>286</v>
      </c>
      <c r="D42" s="1525">
        <v>665</v>
      </c>
      <c r="E42" s="1525">
        <v>1630</v>
      </c>
      <c r="F42" s="1526">
        <v>459</v>
      </c>
      <c r="G42" s="1526">
        <v>2150</v>
      </c>
      <c r="H42" s="1526">
        <v>303</v>
      </c>
      <c r="I42" s="1526">
        <v>5101</v>
      </c>
      <c r="J42" s="1526">
        <v>971</v>
      </c>
      <c r="K42" s="1526">
        <v>633</v>
      </c>
      <c r="L42" s="1526">
        <v>765</v>
      </c>
      <c r="M42" s="1526">
        <v>625</v>
      </c>
      <c r="N42" s="1527">
        <v>394</v>
      </c>
      <c r="O42" s="1526">
        <v>538</v>
      </c>
      <c r="P42" s="1526">
        <v>610</v>
      </c>
      <c r="Q42" s="1526">
        <v>691</v>
      </c>
      <c r="R42" s="1526">
        <v>1853</v>
      </c>
      <c r="S42" s="1526">
        <v>525</v>
      </c>
      <c r="T42" s="1526">
        <v>362</v>
      </c>
      <c r="U42" s="1524">
        <v>211</v>
      </c>
      <c r="V42" s="1526">
        <v>1527</v>
      </c>
      <c r="W42" s="1526">
        <v>275</v>
      </c>
      <c r="X42" s="1526">
        <v>325</v>
      </c>
      <c r="Y42" s="1528">
        <v>19400</v>
      </c>
      <c r="Z42" s="1529">
        <v>112180</v>
      </c>
    </row>
    <row r="43" spans="1:26" s="556" customFormat="1" ht="13.5" customHeight="1" x14ac:dyDescent="0.2">
      <c r="A43" s="943">
        <v>39</v>
      </c>
      <c r="B43" s="832" t="s">
        <v>632</v>
      </c>
      <c r="C43" s="1524">
        <v>306</v>
      </c>
      <c r="D43" s="1525">
        <v>1094</v>
      </c>
      <c r="E43" s="1525">
        <v>2488</v>
      </c>
      <c r="F43" s="1526">
        <v>959</v>
      </c>
      <c r="G43" s="1526">
        <v>2013</v>
      </c>
      <c r="H43" s="1526">
        <v>511</v>
      </c>
      <c r="I43" s="1526">
        <v>9023</v>
      </c>
      <c r="J43" s="1526">
        <v>2757</v>
      </c>
      <c r="K43" s="1526">
        <v>826</v>
      </c>
      <c r="L43" s="1526">
        <v>2514</v>
      </c>
      <c r="M43" s="1526">
        <v>587</v>
      </c>
      <c r="N43" s="1527">
        <v>1099</v>
      </c>
      <c r="O43" s="1526">
        <v>973</v>
      </c>
      <c r="P43" s="1526">
        <v>1397</v>
      </c>
      <c r="Q43" s="1530">
        <v>1132</v>
      </c>
      <c r="R43" s="1526">
        <v>3408</v>
      </c>
      <c r="S43" s="1526">
        <v>355</v>
      </c>
      <c r="T43" s="1526">
        <v>368</v>
      </c>
      <c r="U43" s="1524">
        <v>903</v>
      </c>
      <c r="V43" s="1526">
        <v>3998</v>
      </c>
      <c r="W43" s="1526">
        <v>527</v>
      </c>
      <c r="X43" s="1526">
        <v>470</v>
      </c>
      <c r="Y43" s="1528">
        <v>35590</v>
      </c>
      <c r="Z43" s="1529">
        <v>241640</v>
      </c>
    </row>
    <row r="44" spans="1:26" s="556" customFormat="1" ht="13.5" customHeight="1" x14ac:dyDescent="0.2">
      <c r="A44" s="943">
        <v>40</v>
      </c>
      <c r="B44" s="832" t="s">
        <v>468</v>
      </c>
      <c r="C44" s="1524">
        <v>96</v>
      </c>
      <c r="D44" s="1525">
        <v>275</v>
      </c>
      <c r="E44" s="1525">
        <v>978</v>
      </c>
      <c r="F44" s="1526">
        <v>1353</v>
      </c>
      <c r="G44" s="1526">
        <v>1457</v>
      </c>
      <c r="H44" s="1526">
        <v>174</v>
      </c>
      <c r="I44" s="1526">
        <v>2478</v>
      </c>
      <c r="J44" s="1526">
        <v>231</v>
      </c>
      <c r="K44" s="1526">
        <v>521</v>
      </c>
      <c r="L44" s="1526">
        <v>2597</v>
      </c>
      <c r="M44" s="1526">
        <v>52</v>
      </c>
      <c r="N44" s="1527">
        <v>538</v>
      </c>
      <c r="O44" s="1526">
        <v>631</v>
      </c>
      <c r="P44" s="1526">
        <v>565</v>
      </c>
      <c r="Q44" s="1530">
        <v>1599</v>
      </c>
      <c r="R44" s="1526">
        <v>1587</v>
      </c>
      <c r="S44" s="1526">
        <v>297</v>
      </c>
      <c r="T44" s="1526">
        <v>311</v>
      </c>
      <c r="U44" s="1524">
        <v>17</v>
      </c>
      <c r="V44" s="1526">
        <v>1278</v>
      </c>
      <c r="W44" s="1526">
        <v>84</v>
      </c>
      <c r="X44" s="1526">
        <v>315</v>
      </c>
      <c r="Y44" s="1528">
        <v>16430</v>
      </c>
      <c r="Z44" s="1529">
        <v>107520</v>
      </c>
    </row>
    <row r="45" spans="1:26" s="556" customFormat="1" ht="13.5" customHeight="1" x14ac:dyDescent="0.2">
      <c r="A45" s="622">
        <v>41</v>
      </c>
      <c r="B45" s="835" t="s">
        <v>469</v>
      </c>
      <c r="C45" s="619"/>
      <c r="D45" s="1428"/>
      <c r="E45" s="1428"/>
      <c r="F45" s="1290"/>
      <c r="G45" s="1290"/>
      <c r="H45" s="1290"/>
      <c r="I45" s="1290"/>
      <c r="J45" s="1290"/>
      <c r="K45" s="1290"/>
      <c r="L45" s="1290"/>
      <c r="M45" s="1290"/>
      <c r="N45" s="618"/>
      <c r="O45" s="1290"/>
      <c r="P45" s="1290"/>
      <c r="Q45" s="1290"/>
      <c r="R45" s="1290"/>
      <c r="S45" s="1290"/>
      <c r="T45" s="1066"/>
      <c r="U45" s="619"/>
      <c r="V45" s="1290"/>
      <c r="W45" s="1290"/>
      <c r="X45" s="1290"/>
      <c r="Y45" s="554"/>
      <c r="Z45" s="1291"/>
    </row>
    <row r="46" spans="1:26" s="556" customFormat="1" ht="13.5" customHeight="1" x14ac:dyDescent="0.2">
      <c r="A46" s="622">
        <v>42</v>
      </c>
      <c r="B46" s="835" t="s">
        <v>470</v>
      </c>
      <c r="C46" s="619"/>
      <c r="D46" s="1428"/>
      <c r="E46" s="1428"/>
      <c r="F46" s="1290"/>
      <c r="G46" s="1290"/>
      <c r="H46" s="1290"/>
      <c r="I46" s="1290"/>
      <c r="J46" s="1290"/>
      <c r="K46" s="1290"/>
      <c r="L46" s="1290"/>
      <c r="M46" s="1290"/>
      <c r="N46" s="618"/>
      <c r="O46" s="1290"/>
      <c r="P46" s="1290"/>
      <c r="Q46" s="1290"/>
      <c r="R46" s="1290"/>
      <c r="S46" s="1290"/>
      <c r="T46" s="1066"/>
      <c r="U46" s="619"/>
      <c r="V46" s="1290"/>
      <c r="W46" s="1290"/>
      <c r="X46" s="1290"/>
      <c r="Y46" s="554"/>
      <c r="Z46" s="1291"/>
    </row>
    <row r="47" spans="1:26" s="556" customFormat="1" ht="13.5" customHeight="1" x14ac:dyDescent="0.2">
      <c r="A47" s="622">
        <v>43</v>
      </c>
      <c r="B47" s="835" t="s">
        <v>471</v>
      </c>
      <c r="C47" s="1524">
        <v>879</v>
      </c>
      <c r="D47" s="1525">
        <v>1815</v>
      </c>
      <c r="E47" s="1525">
        <v>3328</v>
      </c>
      <c r="F47" s="1526">
        <v>3276</v>
      </c>
      <c r="G47" s="1526">
        <v>8293</v>
      </c>
      <c r="H47" s="1526">
        <v>1168</v>
      </c>
      <c r="I47" s="1526">
        <v>10524</v>
      </c>
      <c r="J47" s="1526">
        <v>2303</v>
      </c>
      <c r="K47" s="1526">
        <v>2365</v>
      </c>
      <c r="L47" s="1526">
        <v>4750</v>
      </c>
      <c r="M47" s="1526">
        <v>1661</v>
      </c>
      <c r="N47" s="1527">
        <v>1451</v>
      </c>
      <c r="O47" s="1526">
        <v>1589</v>
      </c>
      <c r="P47" s="1526">
        <v>2445</v>
      </c>
      <c r="Q47" s="1526">
        <v>2406</v>
      </c>
      <c r="R47" s="1526">
        <v>5751</v>
      </c>
      <c r="S47" s="1526">
        <v>1457</v>
      </c>
      <c r="T47" s="1526">
        <v>1288</v>
      </c>
      <c r="U47" s="1524">
        <v>930</v>
      </c>
      <c r="V47" s="1526">
        <v>5536</v>
      </c>
      <c r="W47" s="1526">
        <v>883</v>
      </c>
      <c r="X47" s="1526">
        <v>1039</v>
      </c>
      <c r="Y47" s="1528">
        <v>59950</v>
      </c>
      <c r="Z47" s="1529">
        <v>389260</v>
      </c>
    </row>
    <row r="48" spans="1:26" s="556" customFormat="1" ht="13.5" customHeight="1" x14ac:dyDescent="0.2">
      <c r="A48" s="622">
        <v>44</v>
      </c>
      <c r="B48" s="835" t="s">
        <v>472</v>
      </c>
      <c r="C48" s="1524">
        <v>818</v>
      </c>
      <c r="D48" s="1525">
        <v>844</v>
      </c>
      <c r="E48" s="1525">
        <v>2414</v>
      </c>
      <c r="F48" s="1526">
        <v>1331</v>
      </c>
      <c r="G48" s="1526">
        <v>5035</v>
      </c>
      <c r="H48" s="1526">
        <v>641</v>
      </c>
      <c r="I48" s="1526">
        <v>6614</v>
      </c>
      <c r="J48" s="1526">
        <v>1773</v>
      </c>
      <c r="K48" s="1526">
        <v>817</v>
      </c>
      <c r="L48" s="1526">
        <v>1905</v>
      </c>
      <c r="M48" s="1526">
        <v>1294</v>
      </c>
      <c r="N48" s="1527">
        <v>865</v>
      </c>
      <c r="O48" s="1526">
        <v>1295</v>
      </c>
      <c r="P48" s="1526">
        <v>923</v>
      </c>
      <c r="Q48" s="1526">
        <v>2116</v>
      </c>
      <c r="R48" s="1526">
        <v>2658</v>
      </c>
      <c r="S48" s="1526">
        <v>1048</v>
      </c>
      <c r="T48" s="1526">
        <v>807</v>
      </c>
      <c r="U48" s="1524">
        <v>517</v>
      </c>
      <c r="V48" s="1526">
        <v>3080</v>
      </c>
      <c r="W48" s="1526">
        <v>597</v>
      </c>
      <c r="X48" s="1526">
        <v>650</v>
      </c>
      <c r="Y48" s="1528">
        <v>35260</v>
      </c>
      <c r="Z48" s="1529">
        <v>201000</v>
      </c>
    </row>
    <row r="49" spans="1:28" s="556" customFormat="1" ht="13.5" customHeight="1" x14ac:dyDescent="0.2">
      <c r="A49" s="622">
        <v>45</v>
      </c>
      <c r="B49" s="835" t="s">
        <v>473</v>
      </c>
      <c r="C49" s="1524">
        <v>257</v>
      </c>
      <c r="D49" s="1525">
        <v>466</v>
      </c>
      <c r="E49" s="1525">
        <v>857</v>
      </c>
      <c r="F49" s="1526">
        <v>687</v>
      </c>
      <c r="G49" s="1526">
        <v>1585</v>
      </c>
      <c r="H49" s="1526">
        <v>154</v>
      </c>
      <c r="I49" s="1526">
        <v>1705</v>
      </c>
      <c r="J49" s="1526">
        <v>667</v>
      </c>
      <c r="K49" s="1526">
        <v>263</v>
      </c>
      <c r="L49" s="1526">
        <v>866</v>
      </c>
      <c r="M49" s="1526">
        <v>338</v>
      </c>
      <c r="N49" s="1527">
        <v>321</v>
      </c>
      <c r="O49" s="1526">
        <v>388</v>
      </c>
      <c r="P49" s="1526">
        <v>302</v>
      </c>
      <c r="Q49" s="1526">
        <v>703</v>
      </c>
      <c r="R49" s="1526">
        <v>856</v>
      </c>
      <c r="S49" s="1526">
        <v>278</v>
      </c>
      <c r="T49" s="1526">
        <v>311</v>
      </c>
      <c r="U49" s="1524">
        <v>214</v>
      </c>
      <c r="V49" s="1526">
        <v>1340</v>
      </c>
      <c r="W49" s="1526">
        <v>259</v>
      </c>
      <c r="X49" s="1526">
        <v>206</v>
      </c>
      <c r="Y49" s="1528">
        <v>12130</v>
      </c>
      <c r="Z49" s="1529">
        <v>77470</v>
      </c>
    </row>
    <row r="50" spans="1:28" s="556" customFormat="1" ht="13.5" customHeight="1" x14ac:dyDescent="0.2">
      <c r="A50" s="622">
        <v>46</v>
      </c>
      <c r="B50" s="835" t="s">
        <v>474</v>
      </c>
      <c r="C50" s="1524">
        <v>199</v>
      </c>
      <c r="D50" s="1525">
        <v>418</v>
      </c>
      <c r="E50" s="1525">
        <v>646</v>
      </c>
      <c r="F50" s="1526">
        <v>559</v>
      </c>
      <c r="G50" s="1526">
        <v>1222</v>
      </c>
      <c r="H50" s="1526">
        <v>128</v>
      </c>
      <c r="I50" s="1526">
        <v>1479</v>
      </c>
      <c r="J50" s="1526">
        <v>493</v>
      </c>
      <c r="K50" s="1526">
        <v>239</v>
      </c>
      <c r="L50" s="1526">
        <v>676</v>
      </c>
      <c r="M50" s="1526">
        <v>291</v>
      </c>
      <c r="N50" s="1527">
        <v>252</v>
      </c>
      <c r="O50" s="1526">
        <v>156</v>
      </c>
      <c r="P50" s="1526">
        <v>274</v>
      </c>
      <c r="Q50" s="1526">
        <v>390</v>
      </c>
      <c r="R50" s="1526">
        <v>704</v>
      </c>
      <c r="S50" s="1526">
        <v>260</v>
      </c>
      <c r="T50" s="1526">
        <v>221</v>
      </c>
      <c r="U50" s="1524">
        <v>181</v>
      </c>
      <c r="V50" s="1526">
        <v>817</v>
      </c>
      <c r="W50" s="1526">
        <v>150</v>
      </c>
      <c r="X50" s="1526">
        <v>180</v>
      </c>
      <c r="Y50" s="1528">
        <v>9210</v>
      </c>
      <c r="Z50" s="1529">
        <v>60160</v>
      </c>
    </row>
    <row r="51" spans="1:28" s="556" customFormat="1" ht="13.5" customHeight="1" x14ac:dyDescent="0.2">
      <c r="A51" s="622">
        <v>47</v>
      </c>
      <c r="B51" s="835" t="s">
        <v>475</v>
      </c>
      <c r="C51" s="1524">
        <v>122</v>
      </c>
      <c r="D51" s="1525">
        <v>335</v>
      </c>
      <c r="E51" s="1525">
        <v>575</v>
      </c>
      <c r="F51" s="1526">
        <v>536</v>
      </c>
      <c r="G51" s="1526">
        <v>938</v>
      </c>
      <c r="H51" s="1526">
        <v>126</v>
      </c>
      <c r="I51" s="1526">
        <v>1332</v>
      </c>
      <c r="J51" s="1526">
        <v>463</v>
      </c>
      <c r="K51" s="1526">
        <v>132</v>
      </c>
      <c r="L51" s="1526">
        <v>543</v>
      </c>
      <c r="M51" s="1526">
        <v>203</v>
      </c>
      <c r="N51" s="1527">
        <v>224</v>
      </c>
      <c r="O51" s="1526">
        <v>301</v>
      </c>
      <c r="P51" s="1526">
        <v>278</v>
      </c>
      <c r="Q51" s="1526">
        <v>396</v>
      </c>
      <c r="R51" s="1526">
        <v>685</v>
      </c>
      <c r="S51" s="1526">
        <v>169</v>
      </c>
      <c r="T51" s="1526">
        <v>192</v>
      </c>
      <c r="U51" s="1524">
        <v>106</v>
      </c>
      <c r="V51" s="1526">
        <v>816</v>
      </c>
      <c r="W51" s="1526">
        <v>131</v>
      </c>
      <c r="X51" s="1526">
        <v>142</v>
      </c>
      <c r="Y51" s="1528">
        <v>8110</v>
      </c>
      <c r="Z51" s="1529">
        <v>51510</v>
      </c>
      <c r="AB51" s="1425"/>
    </row>
    <row r="52" spans="1:28" s="556" customFormat="1" ht="13.5" customHeight="1" x14ac:dyDescent="0.2">
      <c r="A52" s="622">
        <v>48</v>
      </c>
      <c r="B52" s="832" t="s">
        <v>476</v>
      </c>
      <c r="C52" s="1524">
        <v>63</v>
      </c>
      <c r="D52" s="1525">
        <v>214</v>
      </c>
      <c r="E52" s="1525">
        <v>468</v>
      </c>
      <c r="F52" s="1526">
        <v>381</v>
      </c>
      <c r="G52" s="1526">
        <v>591</v>
      </c>
      <c r="H52" s="1526">
        <v>82</v>
      </c>
      <c r="I52" s="1526">
        <v>1041</v>
      </c>
      <c r="J52" s="1526">
        <v>310</v>
      </c>
      <c r="K52" s="1526">
        <v>93</v>
      </c>
      <c r="L52" s="1526">
        <v>366</v>
      </c>
      <c r="M52" s="1526">
        <v>129</v>
      </c>
      <c r="N52" s="1527">
        <v>139</v>
      </c>
      <c r="O52" s="1526">
        <v>184</v>
      </c>
      <c r="P52" s="1526">
        <v>213</v>
      </c>
      <c r="Q52" s="1526">
        <v>309</v>
      </c>
      <c r="R52" s="1526">
        <v>469</v>
      </c>
      <c r="S52" s="1526">
        <v>109</v>
      </c>
      <c r="T52" s="1526">
        <v>109</v>
      </c>
      <c r="U52" s="1524">
        <v>62</v>
      </c>
      <c r="V52" s="1526">
        <v>568</v>
      </c>
      <c r="W52" s="1526">
        <v>85</v>
      </c>
      <c r="X52" s="1526">
        <v>100</v>
      </c>
      <c r="Y52" s="1528">
        <v>5650</v>
      </c>
      <c r="Z52" s="1529">
        <v>35100</v>
      </c>
    </row>
    <row r="53" spans="1:28" s="556" customFormat="1" ht="13.5" customHeight="1" x14ac:dyDescent="0.2">
      <c r="A53" s="622">
        <v>49</v>
      </c>
      <c r="B53" s="832" t="s">
        <v>477</v>
      </c>
      <c r="C53" s="1524">
        <v>62</v>
      </c>
      <c r="D53" s="1525">
        <v>208</v>
      </c>
      <c r="E53" s="1525">
        <v>455</v>
      </c>
      <c r="F53" s="1526">
        <v>353</v>
      </c>
      <c r="G53" s="1526">
        <v>478</v>
      </c>
      <c r="H53" s="1526">
        <v>76</v>
      </c>
      <c r="I53" s="1526">
        <v>1041</v>
      </c>
      <c r="J53" s="1526">
        <v>310</v>
      </c>
      <c r="K53" s="1526">
        <v>87</v>
      </c>
      <c r="L53" s="1526">
        <v>276</v>
      </c>
      <c r="M53" s="1526">
        <v>129</v>
      </c>
      <c r="N53" s="1527">
        <v>96</v>
      </c>
      <c r="O53" s="1526">
        <v>129</v>
      </c>
      <c r="P53" s="1526">
        <v>193</v>
      </c>
      <c r="Q53" s="1526">
        <v>201</v>
      </c>
      <c r="R53" s="1526">
        <v>437</v>
      </c>
      <c r="S53" s="1526">
        <v>107</v>
      </c>
      <c r="T53" s="1526">
        <v>76</v>
      </c>
      <c r="U53" s="1524">
        <v>62</v>
      </c>
      <c r="V53" s="1526">
        <v>491</v>
      </c>
      <c r="W53" s="1526">
        <v>69</v>
      </c>
      <c r="X53" s="1526">
        <v>100</v>
      </c>
      <c r="Y53" s="1528">
        <v>5060</v>
      </c>
      <c r="Z53" s="1529">
        <v>32110</v>
      </c>
    </row>
    <row r="54" spans="1:28" s="556" customFormat="1" ht="13.5" customHeight="1" x14ac:dyDescent="0.2">
      <c r="A54" s="622">
        <v>50</v>
      </c>
      <c r="B54" s="832" t="s">
        <v>603</v>
      </c>
      <c r="C54" s="619"/>
      <c r="D54" s="1428"/>
      <c r="E54" s="1428"/>
      <c r="F54" s="1290"/>
      <c r="G54" s="1290"/>
      <c r="H54" s="1290"/>
      <c r="I54" s="1290"/>
      <c r="J54" s="1290"/>
      <c r="K54" s="1290"/>
      <c r="L54" s="1290"/>
      <c r="M54" s="1290"/>
      <c r="N54" s="618"/>
      <c r="O54" s="1290"/>
      <c r="P54" s="1290"/>
      <c r="Q54" s="1290"/>
      <c r="R54" s="1290"/>
      <c r="S54" s="1290"/>
      <c r="T54" s="1066"/>
      <c r="U54" s="619"/>
      <c r="V54" s="1290"/>
      <c r="W54" s="1290"/>
      <c r="X54" s="1290"/>
      <c r="Y54" s="554"/>
      <c r="Z54" s="1291"/>
    </row>
    <row r="55" spans="1:28" s="556" customFormat="1" ht="13.5" customHeight="1" x14ac:dyDescent="0.2">
      <c r="A55" s="622">
        <v>51</v>
      </c>
      <c r="B55" s="832" t="s">
        <v>693</v>
      </c>
      <c r="C55" s="1524" t="s">
        <v>1281</v>
      </c>
      <c r="D55" s="1525">
        <v>11</v>
      </c>
      <c r="E55" s="1525">
        <v>17</v>
      </c>
      <c r="F55" s="1526">
        <v>21</v>
      </c>
      <c r="G55" s="1526">
        <v>15</v>
      </c>
      <c r="H55" s="1526" t="s">
        <v>1281</v>
      </c>
      <c r="I55" s="1526">
        <v>35</v>
      </c>
      <c r="J55" s="1526">
        <v>9</v>
      </c>
      <c r="K55" s="1526" t="s">
        <v>1281</v>
      </c>
      <c r="L55" s="1526">
        <v>19</v>
      </c>
      <c r="M55" s="1526">
        <v>7</v>
      </c>
      <c r="N55" s="1527">
        <v>9</v>
      </c>
      <c r="O55" s="1526" t="s">
        <v>1281</v>
      </c>
      <c r="P55" s="1526" t="s">
        <v>1281</v>
      </c>
      <c r="Q55" s="1526">
        <v>7</v>
      </c>
      <c r="R55" s="1526">
        <v>20</v>
      </c>
      <c r="S55" s="1526" t="s">
        <v>1281</v>
      </c>
      <c r="T55" s="1526" t="s">
        <v>1281</v>
      </c>
      <c r="U55" s="1524" t="s">
        <v>1281</v>
      </c>
      <c r="V55" s="1526">
        <v>8</v>
      </c>
      <c r="W55" s="1526" t="s">
        <v>1281</v>
      </c>
      <c r="X55" s="1526">
        <v>0</v>
      </c>
      <c r="Y55" s="1528">
        <v>200</v>
      </c>
      <c r="Z55" s="1529">
        <v>1100</v>
      </c>
    </row>
    <row r="56" spans="1:28" s="556" customFormat="1" ht="13.5" customHeight="1" x14ac:dyDescent="0.2">
      <c r="A56" s="622">
        <v>52</v>
      </c>
      <c r="B56" s="832" t="s">
        <v>478</v>
      </c>
      <c r="C56" s="1524">
        <v>192</v>
      </c>
      <c r="D56" s="1525">
        <v>372</v>
      </c>
      <c r="E56" s="1525">
        <v>721</v>
      </c>
      <c r="F56" s="1526">
        <v>621</v>
      </c>
      <c r="G56" s="1526">
        <v>1501</v>
      </c>
      <c r="H56" s="1526">
        <v>184</v>
      </c>
      <c r="I56" s="1526">
        <v>1486</v>
      </c>
      <c r="J56" s="1526">
        <v>475</v>
      </c>
      <c r="K56" s="1526">
        <v>233</v>
      </c>
      <c r="L56" s="1526">
        <v>807</v>
      </c>
      <c r="M56" s="1526">
        <v>291</v>
      </c>
      <c r="N56" s="1527">
        <v>277</v>
      </c>
      <c r="O56" s="1526">
        <v>234</v>
      </c>
      <c r="P56" s="1526">
        <v>394</v>
      </c>
      <c r="Q56" s="1526">
        <v>437</v>
      </c>
      <c r="R56" s="1526">
        <v>968</v>
      </c>
      <c r="S56" s="1526">
        <v>403</v>
      </c>
      <c r="T56" s="1526">
        <v>280</v>
      </c>
      <c r="U56" s="1524">
        <v>182</v>
      </c>
      <c r="V56" s="1526">
        <v>948</v>
      </c>
      <c r="W56" s="1526">
        <v>172</v>
      </c>
      <c r="X56" s="1526">
        <v>164</v>
      </c>
      <c r="Y56" s="1528">
        <v>10270</v>
      </c>
      <c r="Z56" s="1529">
        <v>66970</v>
      </c>
    </row>
    <row r="57" spans="1:28" s="556" customFormat="1" ht="13.5" customHeight="1" x14ac:dyDescent="0.2">
      <c r="A57" s="622">
        <v>53</v>
      </c>
      <c r="B57" s="835" t="s">
        <v>479</v>
      </c>
      <c r="C57" s="1524">
        <v>0</v>
      </c>
      <c r="D57" s="1525">
        <v>16</v>
      </c>
      <c r="E57" s="1525">
        <v>29</v>
      </c>
      <c r="F57" s="1526">
        <v>53</v>
      </c>
      <c r="G57" s="1526">
        <v>59</v>
      </c>
      <c r="H57" s="1526" t="s">
        <v>1281</v>
      </c>
      <c r="I57" s="1526">
        <v>85</v>
      </c>
      <c r="J57" s="1526">
        <v>22</v>
      </c>
      <c r="K57" s="1526" t="s">
        <v>1281</v>
      </c>
      <c r="L57" s="1526">
        <v>54</v>
      </c>
      <c r="M57" s="1526">
        <v>7</v>
      </c>
      <c r="N57" s="1527">
        <v>15</v>
      </c>
      <c r="O57" s="1526">
        <v>12</v>
      </c>
      <c r="P57" s="1526">
        <v>19</v>
      </c>
      <c r="Q57" s="1526">
        <v>13</v>
      </c>
      <c r="R57" s="1526">
        <v>67</v>
      </c>
      <c r="S57" s="1526">
        <v>26</v>
      </c>
      <c r="T57" s="1526">
        <v>0</v>
      </c>
      <c r="U57" s="1524" t="s">
        <v>1281</v>
      </c>
      <c r="V57" s="1526">
        <v>55</v>
      </c>
      <c r="W57" s="1526">
        <v>8</v>
      </c>
      <c r="X57" s="1526" t="s">
        <v>1281</v>
      </c>
      <c r="Y57" s="1528">
        <v>520</v>
      </c>
      <c r="Z57" s="1529">
        <v>2400</v>
      </c>
    </row>
    <row r="58" spans="1:28" s="556" customFormat="1" ht="13.5" customHeight="1" x14ac:dyDescent="0.2">
      <c r="A58" s="622">
        <v>54</v>
      </c>
      <c r="B58" s="835" t="s">
        <v>480</v>
      </c>
      <c r="C58" s="1524">
        <v>184</v>
      </c>
      <c r="D58" s="1525">
        <v>392</v>
      </c>
      <c r="E58" s="1525">
        <v>734</v>
      </c>
      <c r="F58" s="1526">
        <v>591</v>
      </c>
      <c r="G58" s="1526">
        <v>1343</v>
      </c>
      <c r="H58" s="1526">
        <v>147</v>
      </c>
      <c r="I58" s="1526">
        <v>1520</v>
      </c>
      <c r="J58" s="1526">
        <v>583</v>
      </c>
      <c r="K58" s="1526">
        <v>224</v>
      </c>
      <c r="L58" s="1526">
        <v>747</v>
      </c>
      <c r="M58" s="1526">
        <v>299</v>
      </c>
      <c r="N58" s="1527">
        <v>252</v>
      </c>
      <c r="O58" s="1526">
        <v>317</v>
      </c>
      <c r="P58" s="1526">
        <v>270</v>
      </c>
      <c r="Q58" s="1526">
        <v>562</v>
      </c>
      <c r="R58" s="1526">
        <v>697</v>
      </c>
      <c r="S58" s="1526">
        <v>233</v>
      </c>
      <c r="T58" s="1526">
        <v>289</v>
      </c>
      <c r="U58" s="1524">
        <v>170</v>
      </c>
      <c r="V58" s="1526">
        <v>1125</v>
      </c>
      <c r="W58" s="1526">
        <v>213</v>
      </c>
      <c r="X58" s="1526">
        <v>178</v>
      </c>
      <c r="Y58" s="1528">
        <v>10280</v>
      </c>
      <c r="Z58" s="1529">
        <v>66380</v>
      </c>
    </row>
    <row r="59" spans="1:28" s="556" customFormat="1" ht="13.5" customHeight="1" x14ac:dyDescent="0.2">
      <c r="A59" s="622">
        <v>55</v>
      </c>
      <c r="B59" s="835" t="s">
        <v>481</v>
      </c>
      <c r="C59" s="1524">
        <v>44</v>
      </c>
      <c r="D59" s="1525">
        <v>105</v>
      </c>
      <c r="E59" s="1525">
        <v>180</v>
      </c>
      <c r="F59" s="1526">
        <v>148</v>
      </c>
      <c r="G59" s="1526">
        <v>321</v>
      </c>
      <c r="H59" s="1526">
        <v>26</v>
      </c>
      <c r="I59" s="1526">
        <v>344</v>
      </c>
      <c r="J59" s="1526">
        <v>127</v>
      </c>
      <c r="K59" s="1526">
        <v>25</v>
      </c>
      <c r="L59" s="1526">
        <v>185</v>
      </c>
      <c r="M59" s="1526">
        <v>59</v>
      </c>
      <c r="N59" s="1527">
        <v>63</v>
      </c>
      <c r="O59" s="1526">
        <v>58</v>
      </c>
      <c r="P59" s="1526">
        <v>73</v>
      </c>
      <c r="Q59" s="1526">
        <v>137</v>
      </c>
      <c r="R59" s="1526">
        <v>184</v>
      </c>
      <c r="S59" s="1526">
        <v>30</v>
      </c>
      <c r="T59" s="1526">
        <v>82</v>
      </c>
      <c r="U59" s="1524">
        <v>37</v>
      </c>
      <c r="V59" s="1526">
        <v>298</v>
      </c>
      <c r="W59" s="1526">
        <v>32</v>
      </c>
      <c r="X59" s="1526">
        <v>36</v>
      </c>
      <c r="Y59" s="1528">
        <v>2410</v>
      </c>
      <c r="Z59" s="1529">
        <v>14540</v>
      </c>
    </row>
    <row r="60" spans="1:28" s="556" customFormat="1" ht="13.5" customHeight="1" x14ac:dyDescent="0.2">
      <c r="A60" s="622">
        <v>56</v>
      </c>
      <c r="B60" s="835" t="s">
        <v>482</v>
      </c>
      <c r="C60" s="619"/>
      <c r="D60" s="1428"/>
      <c r="E60" s="1428"/>
      <c r="F60" s="1290"/>
      <c r="G60" s="1290"/>
      <c r="H60" s="1290"/>
      <c r="I60" s="1290"/>
      <c r="J60" s="1290"/>
      <c r="K60" s="1290"/>
      <c r="L60" s="1290"/>
      <c r="M60" s="1290"/>
      <c r="N60" s="618"/>
      <c r="O60" s="1290"/>
      <c r="P60" s="1290"/>
      <c r="Q60" s="1290"/>
      <c r="R60" s="1290"/>
      <c r="S60" s="1290"/>
      <c r="T60" s="1066"/>
      <c r="U60" s="619"/>
      <c r="V60" s="1290"/>
      <c r="W60" s="1290"/>
      <c r="X60" s="1290"/>
      <c r="Y60" s="554"/>
      <c r="Z60" s="1291"/>
    </row>
    <row r="61" spans="1:28" s="556" customFormat="1" ht="13.5" customHeight="1" x14ac:dyDescent="0.2">
      <c r="A61" s="622">
        <v>57</v>
      </c>
      <c r="B61" s="835" t="s">
        <v>483</v>
      </c>
      <c r="C61" s="1524">
        <v>142</v>
      </c>
      <c r="D61" s="1525">
        <v>370</v>
      </c>
      <c r="E61" s="1525">
        <v>484</v>
      </c>
      <c r="F61" s="1526">
        <v>592</v>
      </c>
      <c r="G61" s="1526">
        <v>1602</v>
      </c>
      <c r="H61" s="1526">
        <v>264</v>
      </c>
      <c r="I61" s="1526">
        <v>1807</v>
      </c>
      <c r="J61" s="1526">
        <v>426</v>
      </c>
      <c r="K61" s="1526">
        <v>403</v>
      </c>
      <c r="L61" s="1526">
        <v>767</v>
      </c>
      <c r="M61" s="1526">
        <v>466</v>
      </c>
      <c r="N61" s="1527">
        <v>280</v>
      </c>
      <c r="O61" s="1526">
        <v>196</v>
      </c>
      <c r="P61" s="1526">
        <v>529</v>
      </c>
      <c r="Q61" s="1526">
        <v>486</v>
      </c>
      <c r="R61" s="1526">
        <v>981</v>
      </c>
      <c r="S61" s="1526">
        <v>301</v>
      </c>
      <c r="T61" s="1526">
        <v>357</v>
      </c>
      <c r="U61" s="1524">
        <v>157</v>
      </c>
      <c r="V61" s="1526">
        <v>808</v>
      </c>
      <c r="W61" s="1526">
        <v>116</v>
      </c>
      <c r="X61" s="1526">
        <v>98</v>
      </c>
      <c r="Y61" s="1528">
        <v>10450</v>
      </c>
      <c r="Z61" s="1529">
        <v>80080</v>
      </c>
    </row>
    <row r="62" spans="1:28" s="556" customFormat="1" ht="13.5" customHeight="1" x14ac:dyDescent="0.2">
      <c r="A62" s="1451"/>
      <c r="B62" s="1450" t="s">
        <v>908</v>
      </c>
      <c r="C62" s="1444"/>
      <c r="D62" s="1449"/>
      <c r="E62" s="1449"/>
      <c r="F62" s="1445"/>
      <c r="G62" s="1445"/>
      <c r="H62" s="1445"/>
      <c r="I62" s="1445"/>
      <c r="J62" s="1445"/>
      <c r="K62" s="1445"/>
      <c r="L62" s="1445"/>
      <c r="M62" s="1445"/>
      <c r="N62" s="1446"/>
      <c r="O62" s="1445"/>
      <c r="P62" s="1445"/>
      <c r="Q62" s="1445"/>
      <c r="R62" s="1445"/>
      <c r="S62" s="1445"/>
      <c r="T62" s="1445"/>
      <c r="U62" s="1444"/>
      <c r="V62" s="1445"/>
      <c r="W62" s="1445"/>
      <c r="X62" s="1445"/>
      <c r="Y62" s="1447"/>
      <c r="Z62" s="1448"/>
    </row>
    <row r="63" spans="1:28" s="556" customFormat="1" ht="13.5" customHeight="1" x14ac:dyDescent="0.2">
      <c r="A63" s="622">
        <v>58</v>
      </c>
      <c r="B63" s="836" t="s">
        <v>586</v>
      </c>
      <c r="C63" s="1524">
        <v>8</v>
      </c>
      <c r="D63" s="1525">
        <v>15</v>
      </c>
      <c r="E63" s="1525">
        <v>29</v>
      </c>
      <c r="F63" s="1526">
        <v>24</v>
      </c>
      <c r="G63" s="1526">
        <v>69</v>
      </c>
      <c r="H63" s="1526">
        <v>8</v>
      </c>
      <c r="I63" s="1526">
        <v>75</v>
      </c>
      <c r="J63" s="1526">
        <v>28</v>
      </c>
      <c r="K63" s="1526">
        <v>22</v>
      </c>
      <c r="L63" s="1526">
        <v>29</v>
      </c>
      <c r="M63" s="1526">
        <v>27</v>
      </c>
      <c r="N63" s="1527">
        <v>13</v>
      </c>
      <c r="O63" s="1526">
        <v>11</v>
      </c>
      <c r="P63" s="1526">
        <v>35</v>
      </c>
      <c r="Q63" s="1526">
        <v>29</v>
      </c>
      <c r="R63" s="1526">
        <v>39</v>
      </c>
      <c r="S63" s="1526">
        <v>18</v>
      </c>
      <c r="T63" s="1526">
        <v>20</v>
      </c>
      <c r="U63" s="1524">
        <v>7</v>
      </c>
      <c r="V63" s="1526">
        <v>47</v>
      </c>
      <c r="W63" s="1526" t="s">
        <v>1281</v>
      </c>
      <c r="X63" s="1526" t="s">
        <v>1281</v>
      </c>
      <c r="Y63" s="1528">
        <v>490</v>
      </c>
      <c r="Z63" s="1529">
        <v>4130</v>
      </c>
    </row>
    <row r="64" spans="1:28" s="556" customFormat="1" ht="13.5" customHeight="1" x14ac:dyDescent="0.2">
      <c r="A64" s="622">
        <v>59</v>
      </c>
      <c r="B64" s="836" t="s">
        <v>587</v>
      </c>
      <c r="C64" s="1524">
        <v>7</v>
      </c>
      <c r="D64" s="1525">
        <v>44</v>
      </c>
      <c r="E64" s="1525">
        <v>49</v>
      </c>
      <c r="F64" s="1526">
        <v>72</v>
      </c>
      <c r="G64" s="1526">
        <v>156</v>
      </c>
      <c r="H64" s="1526">
        <v>43</v>
      </c>
      <c r="I64" s="1526">
        <v>113</v>
      </c>
      <c r="J64" s="1526">
        <v>50</v>
      </c>
      <c r="K64" s="1526">
        <v>71</v>
      </c>
      <c r="L64" s="1526">
        <v>84</v>
      </c>
      <c r="M64" s="1526">
        <v>40</v>
      </c>
      <c r="N64" s="1527">
        <v>32</v>
      </c>
      <c r="O64" s="1526">
        <v>31</v>
      </c>
      <c r="P64" s="1526">
        <v>70</v>
      </c>
      <c r="Q64" s="1526">
        <v>47</v>
      </c>
      <c r="R64" s="1526">
        <v>92</v>
      </c>
      <c r="S64" s="1526">
        <v>35</v>
      </c>
      <c r="T64" s="1526">
        <v>48</v>
      </c>
      <c r="U64" s="1524">
        <v>12</v>
      </c>
      <c r="V64" s="1526">
        <v>112</v>
      </c>
      <c r="W64" s="1526" t="s">
        <v>1281</v>
      </c>
      <c r="X64" s="1526" t="s">
        <v>1281</v>
      </c>
      <c r="Y64" s="1528">
        <v>1080</v>
      </c>
      <c r="Z64" s="1529">
        <v>10850</v>
      </c>
    </row>
    <row r="65" spans="1:26" s="556" customFormat="1" ht="13.5" customHeight="1" x14ac:dyDescent="0.2">
      <c r="A65" s="622">
        <v>60</v>
      </c>
      <c r="B65" s="836" t="s">
        <v>588</v>
      </c>
      <c r="C65" s="1524">
        <v>23</v>
      </c>
      <c r="D65" s="1525">
        <v>51</v>
      </c>
      <c r="E65" s="1525">
        <v>68</v>
      </c>
      <c r="F65" s="1526">
        <v>125</v>
      </c>
      <c r="G65" s="1526">
        <v>345</v>
      </c>
      <c r="H65" s="1526">
        <v>67</v>
      </c>
      <c r="I65" s="1526">
        <v>190</v>
      </c>
      <c r="J65" s="1526">
        <v>75</v>
      </c>
      <c r="K65" s="1526">
        <v>69</v>
      </c>
      <c r="L65" s="1526">
        <v>137</v>
      </c>
      <c r="M65" s="1526">
        <v>68</v>
      </c>
      <c r="N65" s="1527">
        <v>61</v>
      </c>
      <c r="O65" s="1526">
        <v>31</v>
      </c>
      <c r="P65" s="1526">
        <v>69</v>
      </c>
      <c r="Q65" s="1526">
        <v>105</v>
      </c>
      <c r="R65" s="1526">
        <v>168</v>
      </c>
      <c r="S65" s="1526">
        <v>60</v>
      </c>
      <c r="T65" s="1526">
        <v>61</v>
      </c>
      <c r="U65" s="1524">
        <v>18</v>
      </c>
      <c r="V65" s="1526">
        <v>117</v>
      </c>
      <c r="W65" s="1526">
        <v>17</v>
      </c>
      <c r="X65" s="1526">
        <v>16</v>
      </c>
      <c r="Y65" s="1528">
        <v>1750</v>
      </c>
      <c r="Z65" s="1529">
        <v>14700</v>
      </c>
    </row>
    <row r="66" spans="1:26" s="556" customFormat="1" ht="13.5" customHeight="1" x14ac:dyDescent="0.2">
      <c r="A66" s="622">
        <v>61</v>
      </c>
      <c r="B66" s="836" t="s">
        <v>589</v>
      </c>
      <c r="C66" s="1524">
        <v>63</v>
      </c>
      <c r="D66" s="1525">
        <v>156</v>
      </c>
      <c r="E66" s="1525">
        <v>208</v>
      </c>
      <c r="F66" s="1526">
        <v>241</v>
      </c>
      <c r="G66" s="1526">
        <v>669</v>
      </c>
      <c r="H66" s="1526">
        <v>99</v>
      </c>
      <c r="I66" s="1526">
        <v>713</v>
      </c>
      <c r="J66" s="1526">
        <v>187</v>
      </c>
      <c r="K66" s="1526">
        <v>144</v>
      </c>
      <c r="L66" s="1526">
        <v>310</v>
      </c>
      <c r="M66" s="1526">
        <v>173</v>
      </c>
      <c r="N66" s="1527">
        <v>108</v>
      </c>
      <c r="O66" s="1526">
        <v>78</v>
      </c>
      <c r="P66" s="1526">
        <v>201</v>
      </c>
      <c r="Q66" s="1526">
        <v>218</v>
      </c>
      <c r="R66" s="1526">
        <v>383</v>
      </c>
      <c r="S66" s="1526">
        <v>113</v>
      </c>
      <c r="T66" s="1526">
        <v>157</v>
      </c>
      <c r="U66" s="1524">
        <v>65</v>
      </c>
      <c r="V66" s="1526">
        <v>298</v>
      </c>
      <c r="W66" s="1526">
        <v>47</v>
      </c>
      <c r="X66" s="1526">
        <v>33</v>
      </c>
      <c r="Y66" s="1528">
        <v>4190</v>
      </c>
      <c r="Z66" s="1529">
        <v>31370</v>
      </c>
    </row>
    <row r="67" spans="1:26" s="556" customFormat="1" ht="13.5" customHeight="1" x14ac:dyDescent="0.2">
      <c r="A67" s="622">
        <v>62</v>
      </c>
      <c r="B67" s="836" t="s">
        <v>590</v>
      </c>
      <c r="C67" s="1524">
        <v>41</v>
      </c>
      <c r="D67" s="1525">
        <v>104</v>
      </c>
      <c r="E67" s="1525">
        <v>130</v>
      </c>
      <c r="F67" s="1526">
        <v>130</v>
      </c>
      <c r="G67" s="1526">
        <v>363</v>
      </c>
      <c r="H67" s="1526">
        <v>47</v>
      </c>
      <c r="I67" s="1526">
        <v>716</v>
      </c>
      <c r="J67" s="1526">
        <v>86</v>
      </c>
      <c r="K67" s="1526">
        <v>97</v>
      </c>
      <c r="L67" s="1526">
        <v>207</v>
      </c>
      <c r="M67" s="1526">
        <v>158</v>
      </c>
      <c r="N67" s="1527">
        <v>66</v>
      </c>
      <c r="O67" s="1526">
        <v>45</v>
      </c>
      <c r="P67" s="1526">
        <v>154</v>
      </c>
      <c r="Q67" s="1526">
        <v>87</v>
      </c>
      <c r="R67" s="1526">
        <v>299</v>
      </c>
      <c r="S67" s="1526">
        <v>75</v>
      </c>
      <c r="T67" s="1526">
        <v>71</v>
      </c>
      <c r="U67" s="1524">
        <v>55</v>
      </c>
      <c r="V67" s="1526">
        <v>234</v>
      </c>
      <c r="W67" s="1526">
        <v>35</v>
      </c>
      <c r="X67" s="1526">
        <v>33</v>
      </c>
      <c r="Y67" s="1528">
        <v>2930</v>
      </c>
      <c r="Z67" s="1529">
        <v>19030</v>
      </c>
    </row>
    <row r="68" spans="1:26" s="556" customFormat="1" ht="13.5" customHeight="1" x14ac:dyDescent="0.2">
      <c r="A68" s="622">
        <v>63</v>
      </c>
      <c r="B68" s="832" t="s">
        <v>484</v>
      </c>
      <c r="C68" s="1524">
        <f>SUM(C63:C66)</f>
        <v>101</v>
      </c>
      <c r="D68" s="1525">
        <f t="shared" ref="D68:X68" si="0">SUM(D63:D66)</f>
        <v>266</v>
      </c>
      <c r="E68" s="1525">
        <f t="shared" si="0"/>
        <v>354</v>
      </c>
      <c r="F68" s="1526">
        <f t="shared" si="0"/>
        <v>462</v>
      </c>
      <c r="G68" s="1526">
        <f t="shared" si="0"/>
        <v>1239</v>
      </c>
      <c r="H68" s="1526">
        <f t="shared" si="0"/>
        <v>217</v>
      </c>
      <c r="I68" s="1526">
        <f t="shared" si="0"/>
        <v>1091</v>
      </c>
      <c r="J68" s="1526">
        <f t="shared" si="0"/>
        <v>340</v>
      </c>
      <c r="K68" s="1526">
        <f t="shared" si="0"/>
        <v>306</v>
      </c>
      <c r="L68" s="1526">
        <f t="shared" si="0"/>
        <v>560</v>
      </c>
      <c r="M68" s="1526">
        <f t="shared" si="0"/>
        <v>308</v>
      </c>
      <c r="N68" s="1527">
        <f t="shared" si="0"/>
        <v>214</v>
      </c>
      <c r="O68" s="1526">
        <f t="shared" si="0"/>
        <v>151</v>
      </c>
      <c r="P68" s="1526">
        <f t="shared" si="0"/>
        <v>375</v>
      </c>
      <c r="Q68" s="1526">
        <f t="shared" si="0"/>
        <v>399</v>
      </c>
      <c r="R68" s="1526">
        <f t="shared" si="0"/>
        <v>682</v>
      </c>
      <c r="S68" s="1526">
        <f t="shared" si="0"/>
        <v>226</v>
      </c>
      <c r="T68" s="1526">
        <f t="shared" si="0"/>
        <v>286</v>
      </c>
      <c r="U68" s="1524">
        <f t="shared" si="0"/>
        <v>102</v>
      </c>
      <c r="V68" s="1526">
        <f t="shared" si="0"/>
        <v>574</v>
      </c>
      <c r="W68" s="1526">
        <f t="shared" si="0"/>
        <v>64</v>
      </c>
      <c r="X68" s="1526">
        <f t="shared" si="0"/>
        <v>49</v>
      </c>
      <c r="Y68" s="1528">
        <f>SUM(C68:O68,Q68:R68,U68:X68)</f>
        <v>7479</v>
      </c>
      <c r="Z68" s="1529">
        <f>SUM(Z63:Z66)</f>
        <v>61050</v>
      </c>
    </row>
    <row r="69" spans="1:26" s="556" customFormat="1" ht="13.5" customHeight="1" x14ac:dyDescent="0.2">
      <c r="A69" s="622">
        <v>64</v>
      </c>
      <c r="B69" s="832" t="s">
        <v>485</v>
      </c>
      <c r="C69" s="1524">
        <v>41</v>
      </c>
      <c r="D69" s="1525">
        <v>119</v>
      </c>
      <c r="E69" s="1525">
        <v>168</v>
      </c>
      <c r="F69" s="1526">
        <v>239</v>
      </c>
      <c r="G69" s="1526">
        <v>594</v>
      </c>
      <c r="H69" s="1526">
        <v>104</v>
      </c>
      <c r="I69" s="1526">
        <v>528</v>
      </c>
      <c r="J69" s="1526">
        <v>165</v>
      </c>
      <c r="K69" s="1526">
        <v>140</v>
      </c>
      <c r="L69" s="1526">
        <v>226</v>
      </c>
      <c r="M69" s="1526">
        <v>132</v>
      </c>
      <c r="N69" s="1527">
        <v>100</v>
      </c>
      <c r="O69" s="1526">
        <v>56</v>
      </c>
      <c r="P69" s="1526">
        <v>164</v>
      </c>
      <c r="Q69" s="1526">
        <v>214</v>
      </c>
      <c r="R69" s="1526">
        <v>285</v>
      </c>
      <c r="S69" s="1526">
        <v>119</v>
      </c>
      <c r="T69" s="1526">
        <v>117</v>
      </c>
      <c r="U69" s="1524">
        <v>45</v>
      </c>
      <c r="V69" s="1526">
        <v>184</v>
      </c>
      <c r="W69" s="1526">
        <v>30</v>
      </c>
      <c r="X69" s="1526">
        <v>12</v>
      </c>
      <c r="Y69" s="1528">
        <v>3380</v>
      </c>
      <c r="Z69" s="1529">
        <v>27200</v>
      </c>
    </row>
    <row r="70" spans="1:26" s="556" customFormat="1" ht="13.5" customHeight="1" x14ac:dyDescent="0.2">
      <c r="A70" s="622">
        <v>65</v>
      </c>
      <c r="B70" s="832" t="s">
        <v>486</v>
      </c>
      <c r="C70" s="1524">
        <v>21</v>
      </c>
      <c r="D70" s="1525">
        <v>74</v>
      </c>
      <c r="E70" s="1525">
        <v>118</v>
      </c>
      <c r="F70" s="1526">
        <v>149</v>
      </c>
      <c r="G70" s="1526">
        <v>379</v>
      </c>
      <c r="H70" s="1526">
        <v>72</v>
      </c>
      <c r="I70" s="1526">
        <v>368</v>
      </c>
      <c r="J70" s="1526">
        <v>114</v>
      </c>
      <c r="K70" s="1526">
        <v>91</v>
      </c>
      <c r="L70" s="1526">
        <v>147</v>
      </c>
      <c r="M70" s="1526">
        <v>81</v>
      </c>
      <c r="N70" s="1527">
        <v>64</v>
      </c>
      <c r="O70" s="1526">
        <v>41</v>
      </c>
      <c r="P70" s="1526">
        <v>102</v>
      </c>
      <c r="Q70" s="1526">
        <v>148</v>
      </c>
      <c r="R70" s="1526">
        <v>190</v>
      </c>
      <c r="S70" s="1526">
        <v>56</v>
      </c>
      <c r="T70" s="1526">
        <v>70</v>
      </c>
      <c r="U70" s="1524">
        <v>25</v>
      </c>
      <c r="V70" s="1526">
        <v>101</v>
      </c>
      <c r="W70" s="1526">
        <v>17</v>
      </c>
      <c r="X70" s="1526">
        <v>10</v>
      </c>
      <c r="Y70" s="1528">
        <v>2210</v>
      </c>
      <c r="Z70" s="1529">
        <v>18550</v>
      </c>
    </row>
    <row r="71" spans="1:26" s="556" customFormat="1" ht="13.5" customHeight="1" x14ac:dyDescent="0.2">
      <c r="A71" s="622">
        <v>66</v>
      </c>
      <c r="B71" s="832" t="s">
        <v>508</v>
      </c>
      <c r="C71" s="1524" t="s">
        <v>1281</v>
      </c>
      <c r="D71" s="1525">
        <v>32</v>
      </c>
      <c r="E71" s="1525">
        <v>25</v>
      </c>
      <c r="F71" s="1526">
        <v>31</v>
      </c>
      <c r="G71" s="1526">
        <v>85</v>
      </c>
      <c r="H71" s="1526" t="s">
        <v>1281</v>
      </c>
      <c r="I71" s="1526">
        <v>426</v>
      </c>
      <c r="J71" s="1526">
        <v>8</v>
      </c>
      <c r="K71" s="1526">
        <v>32</v>
      </c>
      <c r="L71" s="1526">
        <v>51</v>
      </c>
      <c r="M71" s="1526">
        <v>99</v>
      </c>
      <c r="N71" s="1527">
        <v>10</v>
      </c>
      <c r="O71" s="1526" t="s">
        <v>1281</v>
      </c>
      <c r="P71" s="1526">
        <v>11</v>
      </c>
      <c r="Q71" s="1526">
        <v>15</v>
      </c>
      <c r="R71" s="1526">
        <v>108</v>
      </c>
      <c r="S71" s="1526">
        <v>15</v>
      </c>
      <c r="T71" s="1526" t="s">
        <v>1281</v>
      </c>
      <c r="U71" s="1524">
        <v>15</v>
      </c>
      <c r="V71" s="1526">
        <v>78</v>
      </c>
      <c r="W71" s="1526" t="s">
        <v>1281</v>
      </c>
      <c r="X71" s="1526">
        <v>7</v>
      </c>
      <c r="Y71" s="1528">
        <v>1040</v>
      </c>
      <c r="Z71" s="1529">
        <v>5000</v>
      </c>
    </row>
    <row r="72" spans="1:26" s="556" customFormat="1" ht="13.5" customHeight="1" x14ac:dyDescent="0.2">
      <c r="A72" s="622">
        <v>67</v>
      </c>
      <c r="B72" s="832" t="s">
        <v>487</v>
      </c>
      <c r="C72" s="1524">
        <v>22</v>
      </c>
      <c r="D72" s="1525">
        <v>41</v>
      </c>
      <c r="E72" s="1525">
        <v>47</v>
      </c>
      <c r="F72" s="1526">
        <v>79</v>
      </c>
      <c r="G72" s="1526">
        <v>277</v>
      </c>
      <c r="H72" s="1526">
        <v>36</v>
      </c>
      <c r="I72" s="1526">
        <v>202</v>
      </c>
      <c r="J72" s="1526">
        <v>41</v>
      </c>
      <c r="K72" s="1526">
        <v>57</v>
      </c>
      <c r="L72" s="1526">
        <v>85</v>
      </c>
      <c r="M72" s="1526">
        <v>65</v>
      </c>
      <c r="N72" s="1527">
        <v>38</v>
      </c>
      <c r="O72" s="1526">
        <v>33</v>
      </c>
      <c r="P72" s="1526">
        <v>83</v>
      </c>
      <c r="Q72" s="1526">
        <v>78</v>
      </c>
      <c r="R72" s="1526">
        <v>88</v>
      </c>
      <c r="S72" s="1526">
        <v>44</v>
      </c>
      <c r="T72" s="1526">
        <v>58</v>
      </c>
      <c r="U72" s="1524">
        <v>21</v>
      </c>
      <c r="V72" s="1526">
        <v>93</v>
      </c>
      <c r="W72" s="1526">
        <v>17</v>
      </c>
      <c r="X72" s="1526">
        <v>19</v>
      </c>
      <c r="Y72" s="1528">
        <v>1340</v>
      </c>
      <c r="Z72" s="1529">
        <v>8470</v>
      </c>
    </row>
    <row r="73" spans="1:26" s="556" customFormat="1" ht="13.5" customHeight="1" x14ac:dyDescent="0.2">
      <c r="A73" s="622">
        <v>68</v>
      </c>
      <c r="B73" s="832" t="s">
        <v>566</v>
      </c>
      <c r="C73" s="619"/>
      <c r="D73" s="1428"/>
      <c r="E73" s="1428"/>
      <c r="F73" s="1290"/>
      <c r="G73" s="1290"/>
      <c r="H73" s="1290"/>
      <c r="I73" s="1290"/>
      <c r="J73" s="1290"/>
      <c r="K73" s="1290"/>
      <c r="L73" s="1290"/>
      <c r="M73" s="1290"/>
      <c r="N73" s="618"/>
      <c r="O73" s="1290"/>
      <c r="P73" s="1290"/>
      <c r="Q73" s="1290"/>
      <c r="R73" s="1290"/>
      <c r="S73" s="1290"/>
      <c r="T73" s="1066"/>
      <c r="U73" s="619"/>
      <c r="V73" s="1290"/>
      <c r="W73" s="1290"/>
      <c r="X73" s="1290"/>
      <c r="Y73" s="554"/>
      <c r="Z73" s="1291"/>
    </row>
    <row r="74" spans="1:26" s="556" customFormat="1" ht="13.5" customHeight="1" x14ac:dyDescent="0.2">
      <c r="A74" s="622">
        <v>69</v>
      </c>
      <c r="B74" s="832" t="s">
        <v>567</v>
      </c>
      <c r="C74" s="619"/>
      <c r="D74" s="1428"/>
      <c r="E74" s="1428"/>
      <c r="F74" s="1290"/>
      <c r="G74" s="1290"/>
      <c r="H74" s="1290"/>
      <c r="I74" s="1290"/>
      <c r="J74" s="1290"/>
      <c r="K74" s="1290"/>
      <c r="L74" s="1290"/>
      <c r="M74" s="1290"/>
      <c r="N74" s="618"/>
      <c r="O74" s="1290"/>
      <c r="P74" s="1290"/>
      <c r="Q74" s="1290"/>
      <c r="R74" s="1290"/>
      <c r="S74" s="1290"/>
      <c r="T74" s="1066"/>
      <c r="U74" s="619"/>
      <c r="V74" s="1290"/>
      <c r="W74" s="1290"/>
      <c r="X74" s="1290"/>
      <c r="Y74" s="554"/>
      <c r="Z74" s="1291"/>
    </row>
    <row r="75" spans="1:26" s="556" customFormat="1" ht="13.5" customHeight="1" x14ac:dyDescent="0.2">
      <c r="A75" s="622">
        <v>70</v>
      </c>
      <c r="B75" s="832" t="s">
        <v>488</v>
      </c>
      <c r="C75" s="1524">
        <v>47</v>
      </c>
      <c r="D75" s="1525">
        <v>154</v>
      </c>
      <c r="E75" s="1524">
        <v>203</v>
      </c>
      <c r="F75" s="1526">
        <v>174</v>
      </c>
      <c r="G75" s="1524">
        <v>549</v>
      </c>
      <c r="H75" s="1526">
        <v>72</v>
      </c>
      <c r="I75" s="1524">
        <v>946</v>
      </c>
      <c r="J75" s="1526">
        <v>174</v>
      </c>
      <c r="K75" s="1524">
        <v>168</v>
      </c>
      <c r="L75" s="1526">
        <v>309</v>
      </c>
      <c r="M75" s="1524">
        <v>179</v>
      </c>
      <c r="N75" s="1526">
        <v>116</v>
      </c>
      <c r="O75" s="1524">
        <v>107</v>
      </c>
      <c r="P75" s="1526">
        <v>191</v>
      </c>
      <c r="Q75" s="1524">
        <v>197</v>
      </c>
      <c r="R75" s="1526">
        <v>373</v>
      </c>
      <c r="S75" s="1524">
        <v>107</v>
      </c>
      <c r="T75" s="1526">
        <v>135</v>
      </c>
      <c r="U75" s="1524">
        <v>59</v>
      </c>
      <c r="V75" s="1526">
        <v>457</v>
      </c>
      <c r="W75" s="1524">
        <v>52</v>
      </c>
      <c r="X75" s="1526">
        <v>44</v>
      </c>
      <c r="Y75" s="1528">
        <v>4380</v>
      </c>
      <c r="Z75" s="1529">
        <v>30970</v>
      </c>
    </row>
    <row r="76" spans="1:26" s="556" customFormat="1" ht="13.5" customHeight="1" x14ac:dyDescent="0.2">
      <c r="A76" s="622">
        <v>71</v>
      </c>
      <c r="B76" s="832" t="s">
        <v>489</v>
      </c>
      <c r="C76" s="619"/>
      <c r="D76" s="1428"/>
      <c r="E76" s="1428"/>
      <c r="F76" s="1290"/>
      <c r="G76" s="1290"/>
      <c r="H76" s="1290"/>
      <c r="I76" s="1290"/>
      <c r="J76" s="1290"/>
      <c r="K76" s="1290"/>
      <c r="L76" s="1290"/>
      <c r="M76" s="1290"/>
      <c r="N76" s="1290"/>
      <c r="O76" s="1290"/>
      <c r="P76" s="1290"/>
      <c r="Q76" s="1290"/>
      <c r="R76" s="1290"/>
      <c r="S76" s="1290"/>
      <c r="T76" s="1066"/>
      <c r="U76" s="1290"/>
      <c r="V76" s="1290"/>
      <c r="W76" s="1290"/>
      <c r="X76" s="1290"/>
      <c r="Y76" s="554"/>
      <c r="Z76" s="1291"/>
    </row>
    <row r="77" spans="1:26" s="556" customFormat="1" ht="13.5" customHeight="1" x14ac:dyDescent="0.2">
      <c r="A77" s="622">
        <v>72</v>
      </c>
      <c r="B77" s="832" t="s">
        <v>490</v>
      </c>
      <c r="C77" s="1524">
        <v>0</v>
      </c>
      <c r="D77" s="1525" t="s">
        <v>1281</v>
      </c>
      <c r="E77" s="1525" t="s">
        <v>1281</v>
      </c>
      <c r="F77" s="1526" t="s">
        <v>1281</v>
      </c>
      <c r="G77" s="1526">
        <v>10</v>
      </c>
      <c r="H77" s="1526" t="s">
        <v>1281</v>
      </c>
      <c r="I77" s="1526" t="s">
        <v>1281</v>
      </c>
      <c r="J77" s="1526" t="s">
        <v>1281</v>
      </c>
      <c r="K77" s="1526" t="s">
        <v>1281</v>
      </c>
      <c r="L77" s="1526" t="s">
        <v>1281</v>
      </c>
      <c r="M77" s="1526" t="s">
        <v>1281</v>
      </c>
      <c r="N77" s="1526" t="s">
        <v>1281</v>
      </c>
      <c r="O77" s="1526" t="s">
        <v>1281</v>
      </c>
      <c r="P77" s="1526">
        <v>0</v>
      </c>
      <c r="Q77" s="1526" t="s">
        <v>1281</v>
      </c>
      <c r="R77" s="1526" t="s">
        <v>1281</v>
      </c>
      <c r="S77" s="1526" t="s">
        <v>1281</v>
      </c>
      <c r="T77" s="1526" t="s">
        <v>1281</v>
      </c>
      <c r="U77" s="1526" t="s">
        <v>1281</v>
      </c>
      <c r="V77" s="1526" t="s">
        <v>1281</v>
      </c>
      <c r="W77" s="1526">
        <v>0</v>
      </c>
      <c r="X77" s="1526">
        <v>0</v>
      </c>
      <c r="Y77" s="1528">
        <v>60</v>
      </c>
      <c r="Z77" s="1529">
        <v>710</v>
      </c>
    </row>
    <row r="78" spans="1:26" s="556" customFormat="1" ht="13.5" customHeight="1" x14ac:dyDescent="0.2">
      <c r="A78" s="622">
        <v>73</v>
      </c>
      <c r="B78" s="832" t="s">
        <v>594</v>
      </c>
      <c r="C78" s="1524">
        <v>0</v>
      </c>
      <c r="D78" s="1525">
        <v>8</v>
      </c>
      <c r="E78" s="1525">
        <v>8</v>
      </c>
      <c r="F78" s="1526">
        <v>30</v>
      </c>
      <c r="G78" s="1526">
        <v>38</v>
      </c>
      <c r="H78" s="1526" t="s">
        <v>1281</v>
      </c>
      <c r="I78" s="1526">
        <v>36</v>
      </c>
      <c r="J78" s="1526">
        <v>14</v>
      </c>
      <c r="K78" s="1526">
        <v>16</v>
      </c>
      <c r="L78" s="1526">
        <v>17</v>
      </c>
      <c r="M78" s="1526">
        <v>7</v>
      </c>
      <c r="N78" s="1527" t="s">
        <v>1281</v>
      </c>
      <c r="O78" s="1526">
        <v>8</v>
      </c>
      <c r="P78" s="1526">
        <v>23</v>
      </c>
      <c r="Q78" s="1526" t="s">
        <v>1281</v>
      </c>
      <c r="R78" s="1526" t="s">
        <v>1281</v>
      </c>
      <c r="S78" s="1526">
        <v>12</v>
      </c>
      <c r="T78" s="1526" t="s">
        <v>1281</v>
      </c>
      <c r="U78" s="1524" t="s">
        <v>1281</v>
      </c>
      <c r="V78" s="1526">
        <v>32</v>
      </c>
      <c r="W78" s="1526" t="s">
        <v>1281</v>
      </c>
      <c r="X78" s="1526" t="s">
        <v>1281</v>
      </c>
      <c r="Y78" s="1528">
        <v>250</v>
      </c>
      <c r="Z78" s="1529">
        <v>2060</v>
      </c>
    </row>
    <row r="79" spans="1:26" s="556" customFormat="1" ht="13.5" customHeight="1" x14ac:dyDescent="0.2">
      <c r="A79" s="622">
        <v>74</v>
      </c>
      <c r="B79" s="832" t="s">
        <v>491</v>
      </c>
      <c r="C79" s="1524">
        <v>62</v>
      </c>
      <c r="D79" s="1525">
        <v>178</v>
      </c>
      <c r="E79" s="1524">
        <v>235</v>
      </c>
      <c r="F79" s="1526">
        <v>176</v>
      </c>
      <c r="G79" s="1524">
        <v>624</v>
      </c>
      <c r="H79" s="1526">
        <v>53</v>
      </c>
      <c r="I79" s="1524">
        <v>738</v>
      </c>
      <c r="J79" s="1526">
        <v>180</v>
      </c>
      <c r="K79" s="1524">
        <v>148</v>
      </c>
      <c r="L79" s="1526">
        <v>322</v>
      </c>
      <c r="M79" s="1524">
        <v>204</v>
      </c>
      <c r="N79" s="1526">
        <v>109</v>
      </c>
      <c r="O79" s="1524">
        <v>125</v>
      </c>
      <c r="P79" s="1526">
        <v>197</v>
      </c>
      <c r="Q79" s="1524">
        <v>199</v>
      </c>
      <c r="R79" s="1526">
        <v>365</v>
      </c>
      <c r="S79" s="1524">
        <v>155</v>
      </c>
      <c r="T79" s="1526">
        <v>141</v>
      </c>
      <c r="U79" s="1524">
        <v>74</v>
      </c>
      <c r="V79" s="1526">
        <v>355</v>
      </c>
      <c r="W79" s="1524">
        <v>62</v>
      </c>
      <c r="X79" s="1526">
        <v>55</v>
      </c>
      <c r="Y79" s="1528">
        <v>4260</v>
      </c>
      <c r="Z79" s="1529">
        <v>29590</v>
      </c>
    </row>
    <row r="80" spans="1:26" s="556" customFormat="1" ht="13.5" customHeight="1" x14ac:dyDescent="0.2">
      <c r="A80" s="622">
        <v>75</v>
      </c>
      <c r="B80" s="832" t="s">
        <v>1216</v>
      </c>
      <c r="C80" s="1524">
        <v>27</v>
      </c>
      <c r="D80" s="1525">
        <v>78</v>
      </c>
      <c r="E80" s="1524">
        <v>104</v>
      </c>
      <c r="F80" s="1526">
        <v>76</v>
      </c>
      <c r="G80" s="1524">
        <v>270</v>
      </c>
      <c r="H80" s="1526">
        <v>25</v>
      </c>
      <c r="I80" s="1524">
        <v>421</v>
      </c>
      <c r="J80" s="1526">
        <v>50</v>
      </c>
      <c r="K80" s="1524">
        <v>34</v>
      </c>
      <c r="L80" s="1526">
        <v>131</v>
      </c>
      <c r="M80" s="1524">
        <v>128</v>
      </c>
      <c r="N80" s="1526">
        <v>37</v>
      </c>
      <c r="O80" s="1524">
        <v>47</v>
      </c>
      <c r="P80" s="1526">
        <v>79</v>
      </c>
      <c r="Q80" s="1524">
        <v>43</v>
      </c>
      <c r="R80" s="1526">
        <v>196</v>
      </c>
      <c r="S80" s="1524">
        <v>53</v>
      </c>
      <c r="T80" s="1526">
        <v>38</v>
      </c>
      <c r="U80" s="1524">
        <v>47</v>
      </c>
      <c r="V80" s="1526">
        <v>170</v>
      </c>
      <c r="W80" s="1524">
        <v>24</v>
      </c>
      <c r="X80" s="1526">
        <v>25</v>
      </c>
      <c r="Y80" s="1528">
        <f>SUM(C80:O80,Q80:R80,U80:X80)</f>
        <v>1933</v>
      </c>
      <c r="Z80" s="1529">
        <v>13150</v>
      </c>
    </row>
    <row r="81" spans="1:26" s="556" customFormat="1" ht="13.5" customHeight="1" x14ac:dyDescent="0.2">
      <c r="A81" s="622">
        <v>76</v>
      </c>
      <c r="B81" s="832" t="s">
        <v>1217</v>
      </c>
      <c r="C81" s="1524">
        <v>20</v>
      </c>
      <c r="D81" s="1525">
        <v>63</v>
      </c>
      <c r="E81" s="1524">
        <v>81</v>
      </c>
      <c r="F81" s="1526">
        <v>76</v>
      </c>
      <c r="G81" s="1524">
        <v>213</v>
      </c>
      <c r="H81" s="1526">
        <v>21</v>
      </c>
      <c r="I81" s="1524">
        <v>355</v>
      </c>
      <c r="J81" s="1526">
        <v>50</v>
      </c>
      <c r="K81" s="1524">
        <v>34</v>
      </c>
      <c r="L81" s="1526">
        <v>100</v>
      </c>
      <c r="M81" s="1524">
        <v>99</v>
      </c>
      <c r="N81" s="1526">
        <v>27</v>
      </c>
      <c r="O81" s="1524">
        <v>30</v>
      </c>
      <c r="P81" s="1526">
        <v>65</v>
      </c>
      <c r="Q81" s="1524">
        <v>43</v>
      </c>
      <c r="R81" s="1526">
        <v>157</v>
      </c>
      <c r="S81" s="1524">
        <v>53</v>
      </c>
      <c r="T81" s="1526" t="s">
        <v>1281</v>
      </c>
      <c r="U81" s="1524">
        <v>39</v>
      </c>
      <c r="V81" s="1526">
        <v>133</v>
      </c>
      <c r="W81" s="1524">
        <v>21</v>
      </c>
      <c r="X81" s="1526">
        <v>17</v>
      </c>
      <c r="Y81" s="1528">
        <v>1580</v>
      </c>
      <c r="Z81" s="1529">
        <v>10330</v>
      </c>
    </row>
    <row r="82" spans="1:26" s="556" customFormat="1" ht="13.5" customHeight="1" x14ac:dyDescent="0.2">
      <c r="A82" s="622">
        <v>77</v>
      </c>
      <c r="B82" s="832" t="s">
        <v>492</v>
      </c>
      <c r="C82" s="1524">
        <v>6</v>
      </c>
      <c r="D82" s="1525">
        <v>18</v>
      </c>
      <c r="E82" s="1525">
        <v>23</v>
      </c>
      <c r="F82" s="1526">
        <v>27</v>
      </c>
      <c r="G82" s="1526">
        <v>70</v>
      </c>
      <c r="H82" s="1526">
        <v>9</v>
      </c>
      <c r="I82" s="1526">
        <v>63</v>
      </c>
      <c r="J82" s="1526">
        <v>23</v>
      </c>
      <c r="K82" s="1526">
        <v>19</v>
      </c>
      <c r="L82" s="1526">
        <v>35</v>
      </c>
      <c r="M82" s="1526">
        <v>23</v>
      </c>
      <c r="N82" s="1527">
        <v>16</v>
      </c>
      <c r="O82" s="1526">
        <v>15</v>
      </c>
      <c r="P82" s="1526">
        <v>42</v>
      </c>
      <c r="Q82" s="1524">
        <v>27</v>
      </c>
      <c r="R82" s="1526">
        <v>28</v>
      </c>
      <c r="S82" s="1526">
        <v>29</v>
      </c>
      <c r="T82" s="1526">
        <v>26</v>
      </c>
      <c r="U82" s="1524">
        <v>6</v>
      </c>
      <c r="V82" s="1526">
        <v>39</v>
      </c>
      <c r="W82" s="1526">
        <v>0</v>
      </c>
      <c r="X82" s="1526">
        <v>6</v>
      </c>
      <c r="Y82" s="1528">
        <v>470</v>
      </c>
      <c r="Z82" s="1529">
        <v>3450</v>
      </c>
    </row>
    <row r="83" spans="1:26" s="556" customFormat="1" ht="13.5" customHeight="1" x14ac:dyDescent="0.2">
      <c r="A83" s="622">
        <v>78</v>
      </c>
      <c r="B83" s="832" t="s">
        <v>493</v>
      </c>
      <c r="C83" s="1526" t="s">
        <v>73</v>
      </c>
      <c r="D83" s="1526">
        <f t="shared" ref="D83:Z83" si="1">D82*D108</f>
        <v>7380</v>
      </c>
      <c r="E83" s="1526">
        <f t="shared" si="1"/>
        <v>10180</v>
      </c>
      <c r="F83" s="1526">
        <f t="shared" si="1"/>
        <v>13215.461538461539</v>
      </c>
      <c r="G83" s="1526">
        <f t="shared" si="1"/>
        <v>26515</v>
      </c>
      <c r="H83" s="1526" t="s">
        <v>73</v>
      </c>
      <c r="I83" s="1526">
        <f t="shared" si="1"/>
        <v>21208</v>
      </c>
      <c r="J83" s="1526">
        <f t="shared" si="1"/>
        <v>11564.157894736842</v>
      </c>
      <c r="K83" s="1526">
        <f t="shared" si="1"/>
        <v>7658.3571428571422</v>
      </c>
      <c r="L83" s="1526">
        <f t="shared" si="1"/>
        <v>18381.363636363636</v>
      </c>
      <c r="M83" s="1526">
        <f t="shared" si="1"/>
        <v>8971.84</v>
      </c>
      <c r="N83" s="1526">
        <f t="shared" si="1"/>
        <v>7029.333333333333</v>
      </c>
      <c r="O83" s="1526">
        <f t="shared" si="1"/>
        <v>6072</v>
      </c>
      <c r="P83" s="1526">
        <f t="shared" si="1"/>
        <v>18522</v>
      </c>
      <c r="Q83" s="1526">
        <f t="shared" si="1"/>
        <v>9181.8620689655181</v>
      </c>
      <c r="R83" s="1526">
        <f t="shared" si="1"/>
        <v>9127</v>
      </c>
      <c r="S83" s="1526">
        <f t="shared" si="1"/>
        <v>14703</v>
      </c>
      <c r="T83" s="1526">
        <f t="shared" si="1"/>
        <v>10920</v>
      </c>
      <c r="U83" s="1526" t="s">
        <v>73</v>
      </c>
      <c r="V83" s="1526">
        <f t="shared" si="1"/>
        <v>20966.93181818182</v>
      </c>
      <c r="W83" s="1526" t="s">
        <v>73</v>
      </c>
      <c r="X83" s="1526" t="s">
        <v>73</v>
      </c>
      <c r="Y83" s="1526">
        <f t="shared" si="1"/>
        <v>195990</v>
      </c>
      <c r="Z83" s="1526">
        <f t="shared" si="1"/>
        <v>1583550</v>
      </c>
    </row>
    <row r="84" spans="1:26" s="556" customFormat="1" ht="13.5" customHeight="1" x14ac:dyDescent="0.2">
      <c r="A84" s="622">
        <v>79</v>
      </c>
      <c r="B84" s="832" t="s">
        <v>494</v>
      </c>
      <c r="C84" s="1290"/>
      <c r="D84" s="1428"/>
      <c r="E84" s="1428"/>
      <c r="F84" s="1290"/>
      <c r="G84" s="1290"/>
      <c r="H84" s="1290"/>
      <c r="I84" s="1290"/>
      <c r="J84" s="1290"/>
      <c r="K84" s="1290"/>
      <c r="L84" s="1290"/>
      <c r="M84" s="1290"/>
      <c r="N84" s="1290"/>
      <c r="O84" s="1290"/>
      <c r="P84" s="1290"/>
      <c r="Q84" s="1290"/>
      <c r="R84" s="1290"/>
      <c r="S84" s="1290"/>
      <c r="T84" s="1066"/>
      <c r="U84" s="1290"/>
      <c r="V84" s="1290"/>
      <c r="W84" s="1290"/>
      <c r="X84" s="1290"/>
      <c r="Y84" s="554"/>
      <c r="Z84" s="1291"/>
    </row>
    <row r="85" spans="1:26" ht="13.5" customHeight="1" x14ac:dyDescent="0.2">
      <c r="A85" s="622">
        <v>80</v>
      </c>
      <c r="B85" s="832" t="s">
        <v>1218</v>
      </c>
      <c r="C85" s="1526" t="s">
        <v>1281</v>
      </c>
      <c r="D85" s="1525">
        <v>19</v>
      </c>
      <c r="E85" s="1525">
        <v>10</v>
      </c>
      <c r="F85" s="1526">
        <v>18</v>
      </c>
      <c r="G85" s="1526">
        <v>0</v>
      </c>
      <c r="H85" s="1526">
        <v>0</v>
      </c>
      <c r="I85" s="1526">
        <v>58</v>
      </c>
      <c r="J85" s="1526">
        <v>15</v>
      </c>
      <c r="K85" s="1526" t="s">
        <v>1281</v>
      </c>
      <c r="L85" s="1526">
        <v>13</v>
      </c>
      <c r="M85" s="1526">
        <v>6</v>
      </c>
      <c r="N85" s="1526">
        <v>6</v>
      </c>
      <c r="O85" s="1526">
        <v>8</v>
      </c>
      <c r="P85" s="1526">
        <v>18</v>
      </c>
      <c r="Q85" s="1526">
        <v>8</v>
      </c>
      <c r="R85" s="1526">
        <v>25</v>
      </c>
      <c r="S85" s="1526">
        <v>11</v>
      </c>
      <c r="T85" s="1526" t="s">
        <v>1281</v>
      </c>
      <c r="U85" s="1526" t="s">
        <v>1281</v>
      </c>
      <c r="V85" s="1526">
        <v>40</v>
      </c>
      <c r="W85" s="1526" t="s">
        <v>1281</v>
      </c>
      <c r="X85" s="1526">
        <v>8</v>
      </c>
      <c r="Y85" s="1528">
        <v>250</v>
      </c>
      <c r="Z85" s="1531">
        <v>1890</v>
      </c>
    </row>
    <row r="86" spans="1:26" ht="13.5" customHeight="1" x14ac:dyDescent="0.2">
      <c r="A86" s="622">
        <v>81</v>
      </c>
      <c r="B86" s="832" t="s">
        <v>495</v>
      </c>
      <c r="C86" s="1526">
        <v>57</v>
      </c>
      <c r="D86" s="1525">
        <v>229</v>
      </c>
      <c r="E86" s="1525">
        <v>194</v>
      </c>
      <c r="F86" s="1526">
        <v>199</v>
      </c>
      <c r="G86" s="1526">
        <v>552</v>
      </c>
      <c r="H86" s="1526">
        <v>87</v>
      </c>
      <c r="I86" s="1526">
        <v>1383</v>
      </c>
      <c r="J86" s="1526">
        <v>121</v>
      </c>
      <c r="K86" s="1526">
        <v>165</v>
      </c>
      <c r="L86" s="1526">
        <v>291</v>
      </c>
      <c r="M86" s="1526">
        <v>153</v>
      </c>
      <c r="N86" s="1526">
        <v>101</v>
      </c>
      <c r="O86" s="1526">
        <v>93</v>
      </c>
      <c r="P86" s="1526">
        <v>209</v>
      </c>
      <c r="Q86" s="1526">
        <v>131</v>
      </c>
      <c r="R86" s="1526">
        <v>514</v>
      </c>
      <c r="S86" s="1526">
        <v>142</v>
      </c>
      <c r="T86" s="1526">
        <v>116</v>
      </c>
      <c r="U86" s="1526">
        <v>80</v>
      </c>
      <c r="V86" s="1526">
        <v>369</v>
      </c>
      <c r="W86" s="1526">
        <v>56</v>
      </c>
      <c r="X86" s="1526">
        <v>51</v>
      </c>
      <c r="Y86" s="1528">
        <v>4830</v>
      </c>
      <c r="Z86" s="1531">
        <v>31260</v>
      </c>
    </row>
    <row r="87" spans="1:26" ht="13.5" customHeight="1" x14ac:dyDescent="0.2">
      <c r="A87" s="622">
        <v>82</v>
      </c>
      <c r="B87" s="832" t="s">
        <v>496</v>
      </c>
      <c r="C87" s="1526" t="s">
        <v>1281</v>
      </c>
      <c r="D87" s="1525">
        <v>219</v>
      </c>
      <c r="E87" s="1525">
        <v>173</v>
      </c>
      <c r="F87" s="1526">
        <v>166</v>
      </c>
      <c r="G87" s="1526">
        <v>432</v>
      </c>
      <c r="H87" s="1526" t="s">
        <v>1281</v>
      </c>
      <c r="I87" s="1526">
        <v>1177</v>
      </c>
      <c r="J87" s="1526" t="s">
        <v>1281</v>
      </c>
      <c r="K87" s="1526">
        <v>147</v>
      </c>
      <c r="L87" s="1526">
        <v>244</v>
      </c>
      <c r="M87" s="1526">
        <v>117</v>
      </c>
      <c r="N87" s="1526">
        <v>91</v>
      </c>
      <c r="O87" s="1526">
        <v>84</v>
      </c>
      <c r="P87" s="1526">
        <v>203</v>
      </c>
      <c r="Q87" s="1526">
        <v>119</v>
      </c>
      <c r="R87" s="1526">
        <v>418</v>
      </c>
      <c r="S87" s="1526" t="s">
        <v>1281</v>
      </c>
      <c r="T87" s="1526" t="s">
        <v>1281</v>
      </c>
      <c r="U87" s="1526">
        <v>70</v>
      </c>
      <c r="V87" s="1526">
        <v>333</v>
      </c>
      <c r="W87" s="1526">
        <v>50</v>
      </c>
      <c r="X87" s="1526" t="s">
        <v>1281</v>
      </c>
      <c r="Y87" s="1528">
        <v>4150</v>
      </c>
      <c r="Z87" s="1531">
        <v>28060</v>
      </c>
    </row>
    <row r="88" spans="1:26" ht="13.5" customHeight="1" x14ac:dyDescent="0.2">
      <c r="A88" s="622">
        <v>83</v>
      </c>
      <c r="B88" s="832" t="s">
        <v>497</v>
      </c>
      <c r="C88" s="1526" t="s">
        <v>1281</v>
      </c>
      <c r="D88" s="1525">
        <v>207</v>
      </c>
      <c r="E88" s="1525">
        <v>161</v>
      </c>
      <c r="F88" s="1526">
        <v>156</v>
      </c>
      <c r="G88" s="1526">
        <v>390</v>
      </c>
      <c r="H88" s="1526" t="s">
        <v>1281</v>
      </c>
      <c r="I88" s="1526">
        <v>1032</v>
      </c>
      <c r="J88" s="1526">
        <v>114</v>
      </c>
      <c r="K88" s="1526">
        <v>135</v>
      </c>
      <c r="L88" s="1526">
        <v>224</v>
      </c>
      <c r="M88" s="1526">
        <v>108</v>
      </c>
      <c r="N88" s="1526">
        <v>85</v>
      </c>
      <c r="O88" s="1526">
        <v>74</v>
      </c>
      <c r="P88" s="1526">
        <v>199</v>
      </c>
      <c r="Q88" s="1526">
        <v>104</v>
      </c>
      <c r="R88" s="1526">
        <v>402</v>
      </c>
      <c r="S88" s="1526">
        <v>115</v>
      </c>
      <c r="T88" s="1526">
        <v>104</v>
      </c>
      <c r="U88" s="1526" t="s">
        <v>1281</v>
      </c>
      <c r="V88" s="1526">
        <v>318</v>
      </c>
      <c r="W88" s="1526">
        <v>45</v>
      </c>
      <c r="X88" s="1526" t="s">
        <v>1281</v>
      </c>
      <c r="Y88" s="1528">
        <v>3820</v>
      </c>
      <c r="Z88" s="1531">
        <v>26360</v>
      </c>
    </row>
    <row r="89" spans="1:26" ht="13.5" customHeight="1" x14ac:dyDescent="0.2">
      <c r="A89" s="622">
        <v>84</v>
      </c>
      <c r="B89" s="832" t="s">
        <v>498</v>
      </c>
      <c r="C89" s="1526">
        <v>29</v>
      </c>
      <c r="D89" s="1525">
        <v>157</v>
      </c>
      <c r="E89" s="1525">
        <v>94</v>
      </c>
      <c r="F89" s="1526">
        <v>105</v>
      </c>
      <c r="G89" s="1526">
        <v>284</v>
      </c>
      <c r="H89" s="1526">
        <v>55</v>
      </c>
      <c r="I89" s="1526">
        <v>747</v>
      </c>
      <c r="J89" s="1526">
        <v>58</v>
      </c>
      <c r="K89" s="1526">
        <v>67</v>
      </c>
      <c r="L89" s="1526">
        <v>133</v>
      </c>
      <c r="M89" s="1526">
        <v>77</v>
      </c>
      <c r="N89" s="1526">
        <v>47</v>
      </c>
      <c r="O89" s="1526">
        <v>59</v>
      </c>
      <c r="P89" s="1526">
        <v>124</v>
      </c>
      <c r="Q89" s="1526">
        <v>56</v>
      </c>
      <c r="R89" s="1526">
        <v>274</v>
      </c>
      <c r="S89" s="1526">
        <v>79</v>
      </c>
      <c r="T89" s="1526">
        <v>64</v>
      </c>
      <c r="U89" s="1526">
        <v>56</v>
      </c>
      <c r="V89" s="1526">
        <v>219</v>
      </c>
      <c r="W89" s="1526">
        <v>25</v>
      </c>
      <c r="X89" s="1526">
        <v>29</v>
      </c>
      <c r="Y89" s="1528">
        <v>2570</v>
      </c>
      <c r="Z89" s="1531">
        <v>16440</v>
      </c>
    </row>
    <row r="90" spans="1:26" s="556" customFormat="1" ht="13.5" customHeight="1" x14ac:dyDescent="0.2">
      <c r="A90" s="622">
        <v>85</v>
      </c>
      <c r="B90" s="836" t="s">
        <v>595</v>
      </c>
      <c r="C90" s="1526">
        <v>0</v>
      </c>
      <c r="D90" s="1525">
        <v>6</v>
      </c>
      <c r="E90" s="1525">
        <v>7</v>
      </c>
      <c r="F90" s="1526">
        <v>0</v>
      </c>
      <c r="G90" s="1526">
        <v>27</v>
      </c>
      <c r="H90" s="1526">
        <v>0</v>
      </c>
      <c r="I90" s="1526">
        <v>18</v>
      </c>
      <c r="J90" s="1526">
        <v>14</v>
      </c>
      <c r="K90" s="1526">
        <v>9</v>
      </c>
      <c r="L90" s="1526">
        <v>17</v>
      </c>
      <c r="M90" s="1526">
        <v>0</v>
      </c>
      <c r="N90" s="1526">
        <v>0</v>
      </c>
      <c r="O90" s="1526">
        <v>0</v>
      </c>
      <c r="P90" s="1526">
        <v>11</v>
      </c>
      <c r="Q90" s="1526">
        <v>21</v>
      </c>
      <c r="R90" s="1526">
        <v>10</v>
      </c>
      <c r="S90" s="1526">
        <v>0</v>
      </c>
      <c r="T90" s="1526">
        <v>0</v>
      </c>
      <c r="U90" s="1526">
        <v>0</v>
      </c>
      <c r="V90" s="1526">
        <v>0</v>
      </c>
      <c r="W90" s="1526">
        <v>0</v>
      </c>
      <c r="X90" s="1526">
        <v>6</v>
      </c>
      <c r="Y90" s="1528">
        <v>160</v>
      </c>
      <c r="Z90" s="1531">
        <v>1160</v>
      </c>
    </row>
    <row r="91" spans="1:26" s="556" customFormat="1" ht="13.5" customHeight="1" x14ac:dyDescent="0.2">
      <c r="A91" s="622">
        <v>86</v>
      </c>
      <c r="B91" s="836" t="s">
        <v>596</v>
      </c>
      <c r="C91" s="1526">
        <v>0</v>
      </c>
      <c r="D91" s="1525">
        <v>29</v>
      </c>
      <c r="E91" s="1525">
        <v>18</v>
      </c>
      <c r="F91" s="1526">
        <v>22</v>
      </c>
      <c r="G91" s="1526">
        <v>90</v>
      </c>
      <c r="H91" s="1526">
        <v>0</v>
      </c>
      <c r="I91" s="1526">
        <v>49</v>
      </c>
      <c r="J91" s="1526">
        <v>23</v>
      </c>
      <c r="K91" s="1526">
        <v>20</v>
      </c>
      <c r="L91" s="1526">
        <v>44</v>
      </c>
      <c r="M91" s="1526">
        <v>7</v>
      </c>
      <c r="N91" s="1526">
        <v>17</v>
      </c>
      <c r="O91" s="1526">
        <v>0</v>
      </c>
      <c r="P91" s="1526">
        <v>20</v>
      </c>
      <c r="Q91" s="1526">
        <v>17</v>
      </c>
      <c r="R91" s="1526">
        <v>36</v>
      </c>
      <c r="S91" s="1526">
        <v>15</v>
      </c>
      <c r="T91" s="1526">
        <v>18</v>
      </c>
      <c r="U91" s="1526">
        <v>0</v>
      </c>
      <c r="V91" s="1526">
        <v>22</v>
      </c>
      <c r="W91" s="1526">
        <v>6</v>
      </c>
      <c r="X91" s="1526">
        <v>9</v>
      </c>
      <c r="Y91" s="1528">
        <v>480</v>
      </c>
      <c r="Z91" s="1531">
        <v>3700</v>
      </c>
    </row>
    <row r="92" spans="1:26" ht="13.5" customHeight="1" x14ac:dyDescent="0.2">
      <c r="A92" s="622">
        <v>87</v>
      </c>
      <c r="B92" s="836" t="s">
        <v>499</v>
      </c>
      <c r="C92" s="1290"/>
      <c r="D92" s="1428"/>
      <c r="E92" s="1428"/>
      <c r="F92" s="1290"/>
      <c r="G92" s="1290"/>
      <c r="H92" s="1290"/>
      <c r="I92" s="1290"/>
      <c r="J92" s="1290"/>
      <c r="K92" s="1290"/>
      <c r="L92" s="1290"/>
      <c r="M92" s="1290"/>
      <c r="N92" s="1290"/>
      <c r="O92" s="1290"/>
      <c r="P92" s="1290"/>
      <c r="Q92" s="1290"/>
      <c r="R92" s="1290"/>
      <c r="S92" s="1290"/>
      <c r="T92" s="1066"/>
      <c r="U92" s="1290"/>
      <c r="V92" s="1290"/>
      <c r="W92" s="1290"/>
      <c r="X92" s="1290"/>
      <c r="Y92" s="554"/>
      <c r="Z92" s="1067"/>
    </row>
    <row r="93" spans="1:26" ht="13.5" customHeight="1" x14ac:dyDescent="0.2">
      <c r="A93" s="622">
        <v>88</v>
      </c>
      <c r="B93" s="836" t="s">
        <v>500</v>
      </c>
      <c r="C93" s="1290"/>
      <c r="D93" s="1428"/>
      <c r="E93" s="1428"/>
      <c r="F93" s="1290"/>
      <c r="G93" s="1290"/>
      <c r="H93" s="1290"/>
      <c r="I93" s="1290"/>
      <c r="J93" s="1290"/>
      <c r="K93" s="1290"/>
      <c r="L93" s="1290"/>
      <c r="M93" s="1290"/>
      <c r="N93" s="1290"/>
      <c r="O93" s="1290"/>
      <c r="P93" s="1290"/>
      <c r="Q93" s="1290"/>
      <c r="R93" s="1290"/>
      <c r="S93" s="1290"/>
      <c r="T93" s="1066"/>
      <c r="U93" s="1290"/>
      <c r="V93" s="1290"/>
      <c r="W93" s="1290"/>
      <c r="X93" s="1290"/>
      <c r="Y93" s="554"/>
      <c r="Z93" s="1067"/>
    </row>
    <row r="94" spans="1:26" ht="13.5" customHeight="1" x14ac:dyDescent="0.2">
      <c r="A94" s="622">
        <v>89</v>
      </c>
      <c r="B94" s="832" t="s">
        <v>501</v>
      </c>
      <c r="C94" s="1526">
        <v>175</v>
      </c>
      <c r="D94" s="1525">
        <v>241</v>
      </c>
      <c r="E94" s="1525">
        <v>673</v>
      </c>
      <c r="F94" s="1526">
        <v>296</v>
      </c>
      <c r="G94" s="1526">
        <v>978</v>
      </c>
      <c r="H94" s="1526">
        <v>152</v>
      </c>
      <c r="I94" s="1526">
        <v>1998</v>
      </c>
      <c r="J94" s="1526">
        <v>316</v>
      </c>
      <c r="K94" s="1526">
        <v>292</v>
      </c>
      <c r="L94" s="1526">
        <v>619</v>
      </c>
      <c r="M94" s="1526">
        <v>198</v>
      </c>
      <c r="N94" s="1526">
        <v>174</v>
      </c>
      <c r="O94" s="1526">
        <v>213</v>
      </c>
      <c r="P94" s="1526">
        <v>545</v>
      </c>
      <c r="Q94" s="1526">
        <v>253</v>
      </c>
      <c r="R94" s="1526">
        <v>1471</v>
      </c>
      <c r="S94" s="1526">
        <v>237</v>
      </c>
      <c r="T94" s="1526">
        <v>188</v>
      </c>
      <c r="U94" s="1526">
        <v>155</v>
      </c>
      <c r="V94" s="1526">
        <v>764</v>
      </c>
      <c r="W94" s="1526">
        <v>152</v>
      </c>
      <c r="X94" s="1526">
        <v>161</v>
      </c>
      <c r="Y94" s="1528">
        <v>9281</v>
      </c>
      <c r="Z94" s="1531">
        <v>53327</v>
      </c>
    </row>
    <row r="95" spans="1:26" s="530" customFormat="1" ht="13.5" customHeight="1" x14ac:dyDescent="0.2">
      <c r="A95" s="622">
        <v>90</v>
      </c>
      <c r="B95" s="832" t="s">
        <v>502</v>
      </c>
      <c r="C95" s="1526">
        <v>107</v>
      </c>
      <c r="D95" s="1525">
        <v>146</v>
      </c>
      <c r="E95" s="1525">
        <v>258</v>
      </c>
      <c r="F95" s="1526">
        <v>125</v>
      </c>
      <c r="G95" s="1526">
        <v>57</v>
      </c>
      <c r="H95" s="1526">
        <v>109</v>
      </c>
      <c r="I95" s="1526">
        <v>577</v>
      </c>
      <c r="J95" s="1526">
        <v>180</v>
      </c>
      <c r="K95" s="1526">
        <v>218</v>
      </c>
      <c r="L95" s="1526">
        <v>311</v>
      </c>
      <c r="M95" s="1526">
        <v>190</v>
      </c>
      <c r="N95" s="1526">
        <v>85</v>
      </c>
      <c r="O95" s="1526">
        <v>133</v>
      </c>
      <c r="P95" s="1526">
        <v>114</v>
      </c>
      <c r="Q95" s="1526">
        <v>138</v>
      </c>
      <c r="R95" s="1526">
        <v>800</v>
      </c>
      <c r="S95" s="1526">
        <v>72</v>
      </c>
      <c r="T95" s="1526">
        <v>50</v>
      </c>
      <c r="U95" s="1526">
        <v>131</v>
      </c>
      <c r="V95" s="1526">
        <v>596</v>
      </c>
      <c r="W95" s="1526">
        <v>128</v>
      </c>
      <c r="X95" s="1526">
        <v>14</v>
      </c>
      <c r="Y95" s="1528">
        <v>4303</v>
      </c>
      <c r="Z95" s="1531">
        <v>31313</v>
      </c>
    </row>
    <row r="96" spans="1:26" ht="13.5" customHeight="1" x14ac:dyDescent="0.2">
      <c r="A96" s="622">
        <v>91</v>
      </c>
      <c r="B96" s="832" t="s">
        <v>503</v>
      </c>
      <c r="C96" s="1290"/>
      <c r="D96" s="1428"/>
      <c r="E96" s="1428"/>
      <c r="F96" s="1290"/>
      <c r="G96" s="1290"/>
      <c r="H96" s="1290"/>
      <c r="I96" s="1290"/>
      <c r="J96" s="1290"/>
      <c r="K96" s="1290"/>
      <c r="L96" s="1290"/>
      <c r="M96" s="1290"/>
      <c r="N96" s="1290"/>
      <c r="O96" s="1290"/>
      <c r="P96" s="1290"/>
      <c r="Q96" s="1290"/>
      <c r="R96" s="1290"/>
      <c r="S96" s="1290"/>
      <c r="T96" s="1066"/>
      <c r="U96" s="1290"/>
      <c r="V96" s="1290"/>
      <c r="W96" s="1290"/>
      <c r="X96" s="1290"/>
      <c r="Y96" s="554"/>
      <c r="Z96" s="1067"/>
    </row>
    <row r="97" spans="1:26" ht="13.5" customHeight="1" x14ac:dyDescent="0.2">
      <c r="A97" s="622">
        <v>92</v>
      </c>
      <c r="B97" s="832" t="s">
        <v>504</v>
      </c>
      <c r="C97" s="1290"/>
      <c r="D97" s="1428"/>
      <c r="E97" s="1428"/>
      <c r="F97" s="1290"/>
      <c r="G97" s="1290"/>
      <c r="H97" s="1290"/>
      <c r="I97" s="1290"/>
      <c r="J97" s="1290"/>
      <c r="K97" s="1290"/>
      <c r="L97" s="1290"/>
      <c r="M97" s="1290"/>
      <c r="N97" s="1290"/>
      <c r="O97" s="1290"/>
      <c r="P97" s="1290"/>
      <c r="Q97" s="1290"/>
      <c r="R97" s="1290"/>
      <c r="S97" s="1290"/>
      <c r="T97" s="1066"/>
      <c r="U97" s="1290"/>
      <c r="V97" s="1290"/>
      <c r="W97" s="1290"/>
      <c r="X97" s="1290"/>
      <c r="Y97" s="554"/>
      <c r="Z97" s="1067"/>
    </row>
    <row r="98" spans="1:26" ht="13.5" customHeight="1" x14ac:dyDescent="0.2">
      <c r="A98" s="622">
        <v>93</v>
      </c>
      <c r="B98" s="832" t="s">
        <v>505</v>
      </c>
      <c r="C98" s="1290"/>
      <c r="D98" s="1428"/>
      <c r="E98" s="1428"/>
      <c r="F98" s="1290"/>
      <c r="G98" s="1290"/>
      <c r="H98" s="1290"/>
      <c r="I98" s="1290"/>
      <c r="J98" s="1290"/>
      <c r="K98" s="1290"/>
      <c r="L98" s="1290"/>
      <c r="M98" s="1290"/>
      <c r="N98" s="1290"/>
      <c r="O98" s="1290"/>
      <c r="P98" s="1290"/>
      <c r="Q98" s="1290"/>
      <c r="R98" s="1290"/>
      <c r="S98" s="1290"/>
      <c r="T98" s="1066"/>
      <c r="U98" s="1290"/>
      <c r="V98" s="1290"/>
      <c r="W98" s="1290"/>
      <c r="X98" s="1290"/>
      <c r="Y98" s="554"/>
      <c r="Z98" s="1067"/>
    </row>
    <row r="99" spans="1:26" ht="13.5" customHeight="1" x14ac:dyDescent="0.2">
      <c r="A99" s="1292">
        <v>94</v>
      </c>
      <c r="B99" s="832" t="s">
        <v>1094</v>
      </c>
      <c r="C99" s="1526">
        <v>29</v>
      </c>
      <c r="D99" s="1525">
        <v>79</v>
      </c>
      <c r="E99" s="1525">
        <v>90</v>
      </c>
      <c r="F99" s="1526">
        <v>69</v>
      </c>
      <c r="G99" s="1526">
        <v>206</v>
      </c>
      <c r="H99" s="1526">
        <v>26</v>
      </c>
      <c r="I99" s="1526">
        <v>270</v>
      </c>
      <c r="J99" s="1526">
        <v>94</v>
      </c>
      <c r="K99" s="1526">
        <v>70</v>
      </c>
      <c r="L99" s="1526">
        <v>147</v>
      </c>
      <c r="M99" s="1526">
        <v>62</v>
      </c>
      <c r="N99" s="1526">
        <v>50</v>
      </c>
      <c r="O99" s="1526">
        <v>50</v>
      </c>
      <c r="P99" s="1526">
        <v>114</v>
      </c>
      <c r="Q99" s="1526">
        <v>101</v>
      </c>
      <c r="R99" s="1526">
        <v>148</v>
      </c>
      <c r="S99" s="1526">
        <v>59</v>
      </c>
      <c r="T99" s="1526">
        <v>64</v>
      </c>
      <c r="U99" s="1526">
        <v>22</v>
      </c>
      <c r="V99" s="1526">
        <v>194</v>
      </c>
      <c r="W99" s="1526">
        <v>29</v>
      </c>
      <c r="X99" s="1526">
        <v>26</v>
      </c>
      <c r="Y99" s="1528">
        <f>SUM(C99:O99,Q99:R99,U99:X99)</f>
        <v>1762</v>
      </c>
      <c r="Z99" s="1531">
        <v>13084</v>
      </c>
    </row>
    <row r="100" spans="1:26" ht="13.5" customHeight="1" x14ac:dyDescent="0.2">
      <c r="A100" s="1292">
        <v>95</v>
      </c>
      <c r="B100" s="832" t="s">
        <v>1095</v>
      </c>
      <c r="C100" s="1526">
        <v>45</v>
      </c>
      <c r="D100" s="1525">
        <v>127</v>
      </c>
      <c r="E100" s="1525">
        <v>139</v>
      </c>
      <c r="F100" s="1526">
        <v>107</v>
      </c>
      <c r="G100" s="1526">
        <v>328</v>
      </c>
      <c r="H100" s="1526">
        <v>45</v>
      </c>
      <c r="I100" s="1526">
        <v>456</v>
      </c>
      <c r="J100" s="1526">
        <v>155</v>
      </c>
      <c r="K100" s="1526">
        <v>105</v>
      </c>
      <c r="L100" s="1526">
        <v>250</v>
      </c>
      <c r="M100" s="1526">
        <v>82</v>
      </c>
      <c r="N100" s="1526">
        <v>76</v>
      </c>
      <c r="O100" s="1526">
        <v>81</v>
      </c>
      <c r="P100" s="1526">
        <v>190</v>
      </c>
      <c r="Q100" s="1526">
        <v>158</v>
      </c>
      <c r="R100" s="1526">
        <v>237</v>
      </c>
      <c r="S100" s="1526">
        <v>86</v>
      </c>
      <c r="T100" s="1526">
        <v>100</v>
      </c>
      <c r="U100" s="1526">
        <v>41</v>
      </c>
      <c r="V100" s="1526">
        <v>336</v>
      </c>
      <c r="W100" s="1526">
        <v>40</v>
      </c>
      <c r="X100" s="1526">
        <v>40</v>
      </c>
      <c r="Y100" s="1528">
        <f>SUM(C100:O100,Q100:R100,U100:X100)</f>
        <v>2848</v>
      </c>
      <c r="Z100" s="1531">
        <v>21105</v>
      </c>
    </row>
    <row r="101" spans="1:26" ht="13.5" customHeight="1" x14ac:dyDescent="0.2">
      <c r="A101" s="1292">
        <v>96</v>
      </c>
      <c r="B101" s="832" t="s">
        <v>940</v>
      </c>
      <c r="C101" s="1290"/>
      <c r="D101" s="1428"/>
      <c r="E101" s="1428"/>
      <c r="F101" s="1290"/>
      <c r="G101" s="1290"/>
      <c r="H101" s="1290"/>
      <c r="I101" s="1290"/>
      <c r="J101" s="1290"/>
      <c r="K101" s="1290"/>
      <c r="L101" s="1290"/>
      <c r="M101" s="1290"/>
      <c r="N101" s="1290"/>
      <c r="O101" s="1290"/>
      <c r="P101" s="1290"/>
      <c r="Q101" s="1290"/>
      <c r="R101" s="1290"/>
      <c r="S101" s="1290"/>
      <c r="T101" s="1066"/>
      <c r="U101" s="1290"/>
      <c r="V101" s="1290"/>
      <c r="W101" s="1290"/>
      <c r="X101" s="1290"/>
      <c r="Y101" s="554"/>
      <c r="Z101" s="1067"/>
    </row>
    <row r="102" spans="1:26" ht="13.5" customHeight="1" x14ac:dyDescent="0.2">
      <c r="A102" s="1292">
        <v>97</v>
      </c>
      <c r="B102" s="832" t="s">
        <v>941</v>
      </c>
      <c r="C102" s="1428"/>
      <c r="D102" s="1428"/>
      <c r="E102" s="1428"/>
      <c r="F102" s="1428"/>
      <c r="G102" s="1428"/>
      <c r="H102" s="1428"/>
      <c r="I102" s="1428"/>
      <c r="J102" s="1428"/>
      <c r="K102" s="1428"/>
      <c r="L102" s="1428"/>
      <c r="M102" s="1428"/>
      <c r="N102" s="1428"/>
      <c r="O102" s="1428"/>
      <c r="P102" s="1428"/>
      <c r="Q102" s="1428"/>
      <c r="R102" s="1428"/>
      <c r="S102" s="1428"/>
      <c r="T102" s="1427"/>
      <c r="U102" s="1428"/>
      <c r="V102" s="1428"/>
      <c r="W102" s="1428"/>
      <c r="X102" s="1428"/>
      <c r="Y102" s="554"/>
      <c r="Z102" s="1429"/>
    </row>
    <row r="103" spans="1:26" ht="13.5" customHeight="1" x14ac:dyDescent="0.2">
      <c r="A103" s="1292">
        <v>98</v>
      </c>
      <c r="B103" s="832" t="s">
        <v>942</v>
      </c>
      <c r="C103" s="1290"/>
      <c r="D103" s="1428"/>
      <c r="E103" s="1428"/>
      <c r="F103" s="1290"/>
      <c r="G103" s="1290"/>
      <c r="H103" s="1290"/>
      <c r="I103" s="1290"/>
      <c r="J103" s="1290"/>
      <c r="K103" s="1290"/>
      <c r="L103" s="1290"/>
      <c r="M103" s="1290"/>
      <c r="N103" s="1290"/>
      <c r="O103" s="1290"/>
      <c r="P103" s="1290"/>
      <c r="Q103" s="1290"/>
      <c r="R103" s="1290"/>
      <c r="S103" s="1290"/>
      <c r="T103" s="1066"/>
      <c r="U103" s="1290"/>
      <c r="V103" s="1290"/>
      <c r="W103" s="1290"/>
      <c r="X103" s="1290"/>
      <c r="Y103" s="554"/>
      <c r="Z103" s="1067"/>
    </row>
    <row r="104" spans="1:26" ht="13.5" customHeight="1" x14ac:dyDescent="0.2">
      <c r="A104" s="1292">
        <v>99</v>
      </c>
      <c r="B104" s="832" t="s">
        <v>943</v>
      </c>
      <c r="C104" s="1526">
        <v>35</v>
      </c>
      <c r="D104" s="1525">
        <v>61</v>
      </c>
      <c r="E104" s="1525">
        <v>219</v>
      </c>
      <c r="F104" s="1526">
        <v>142</v>
      </c>
      <c r="G104" s="1526">
        <v>470</v>
      </c>
      <c r="H104" s="1526">
        <v>101</v>
      </c>
      <c r="I104" s="1526">
        <v>494</v>
      </c>
      <c r="J104" s="1526">
        <v>145</v>
      </c>
      <c r="K104" s="1526">
        <v>149</v>
      </c>
      <c r="L104" s="1526">
        <v>234</v>
      </c>
      <c r="M104" s="1526">
        <v>213</v>
      </c>
      <c r="N104" s="1526">
        <v>81</v>
      </c>
      <c r="O104" s="1526">
        <v>98</v>
      </c>
      <c r="P104" s="1526">
        <v>202</v>
      </c>
      <c r="Q104" s="1526">
        <v>172</v>
      </c>
      <c r="R104" s="1526">
        <v>202</v>
      </c>
      <c r="S104" s="1526">
        <v>234</v>
      </c>
      <c r="T104" s="1526">
        <v>50</v>
      </c>
      <c r="U104" s="1526">
        <v>76</v>
      </c>
      <c r="V104" s="1526">
        <v>211</v>
      </c>
      <c r="W104" s="1526">
        <v>44</v>
      </c>
      <c r="X104" s="1526">
        <v>53</v>
      </c>
      <c r="Y104" s="1528">
        <f>SUM(C104:O104,Q104:R104,U104:X104)</f>
        <v>3200</v>
      </c>
      <c r="Z104" s="1531">
        <v>28393</v>
      </c>
    </row>
    <row r="105" spans="1:26" ht="13.5" customHeight="1" x14ac:dyDescent="0.2">
      <c r="A105" s="1292">
        <v>100</v>
      </c>
      <c r="B105" s="832" t="s">
        <v>944</v>
      </c>
      <c r="C105" s="1526">
        <v>7</v>
      </c>
      <c r="D105" s="1525">
        <v>27</v>
      </c>
      <c r="E105" s="1525">
        <v>63</v>
      </c>
      <c r="F105" s="1526">
        <v>40</v>
      </c>
      <c r="G105" s="1526">
        <v>162</v>
      </c>
      <c r="H105" s="1526">
        <v>46</v>
      </c>
      <c r="I105" s="1526">
        <v>172</v>
      </c>
      <c r="J105" s="1526">
        <v>52</v>
      </c>
      <c r="K105" s="1526">
        <v>61</v>
      </c>
      <c r="L105" s="1526">
        <v>70</v>
      </c>
      <c r="M105" s="1526">
        <v>127</v>
      </c>
      <c r="N105" s="1526">
        <v>25</v>
      </c>
      <c r="O105" s="1526">
        <v>50</v>
      </c>
      <c r="P105" s="1526">
        <v>73</v>
      </c>
      <c r="Q105" s="1526">
        <v>66</v>
      </c>
      <c r="R105" s="1526">
        <v>75</v>
      </c>
      <c r="S105" s="1526">
        <v>101</v>
      </c>
      <c r="T105" s="1526">
        <v>13</v>
      </c>
      <c r="U105" s="1526">
        <v>25</v>
      </c>
      <c r="V105" s="1526">
        <v>81</v>
      </c>
      <c r="W105" s="1526">
        <v>13</v>
      </c>
      <c r="X105" s="1526">
        <v>16</v>
      </c>
      <c r="Y105" s="1528">
        <f>SUM(C105:O105,Q105:R105,U105:X105)</f>
        <v>1178</v>
      </c>
      <c r="Z105" s="1531">
        <v>10906</v>
      </c>
    </row>
    <row r="106" spans="1:26" ht="13.5" customHeight="1" x14ac:dyDescent="0.2">
      <c r="A106" s="941" t="s">
        <v>557</v>
      </c>
      <c r="B106" s="1382" t="s">
        <v>506</v>
      </c>
      <c r="C106" s="1532">
        <f t="shared" ref="C106" si="2">IF(SUM(C40:C43)&gt;0,SUM(C40:C43),NA())</f>
        <v>1435</v>
      </c>
      <c r="D106" s="1532">
        <f t="shared" ref="D106:X106" si="3">IF(SUM(D40:D43)&gt;0,SUM(D40:D43),NA())</f>
        <v>2479</v>
      </c>
      <c r="E106" s="1532">
        <f t="shared" si="3"/>
        <v>7144</v>
      </c>
      <c r="F106" s="1529">
        <f t="shared" si="3"/>
        <v>2117</v>
      </c>
      <c r="G106" s="1529">
        <f t="shared" si="3"/>
        <v>18255</v>
      </c>
      <c r="H106" s="1529">
        <f t="shared" si="3"/>
        <v>2975</v>
      </c>
      <c r="I106" s="1529">
        <f t="shared" si="3"/>
        <v>18208</v>
      </c>
      <c r="J106" s="1529">
        <f t="shared" si="3"/>
        <v>4481</v>
      </c>
      <c r="K106" s="1529">
        <f t="shared" si="3"/>
        <v>2531</v>
      </c>
      <c r="L106" s="1529">
        <f t="shared" si="3"/>
        <v>4424</v>
      </c>
      <c r="M106" s="1529">
        <f t="shared" si="3"/>
        <v>2538</v>
      </c>
      <c r="N106" s="1529">
        <f t="shared" si="3"/>
        <v>2151</v>
      </c>
      <c r="O106" s="1529">
        <f t="shared" si="3"/>
        <v>1787</v>
      </c>
      <c r="P106" s="1529">
        <f t="shared" si="3"/>
        <v>2750</v>
      </c>
      <c r="Q106" s="1529">
        <f t="shared" si="3"/>
        <v>3003</v>
      </c>
      <c r="R106" s="1529">
        <f t="shared" si="3"/>
        <v>7137</v>
      </c>
      <c r="S106" s="1529">
        <f t="shared" si="3"/>
        <v>4007</v>
      </c>
      <c r="T106" s="1529">
        <f t="shared" si="3"/>
        <v>1270</v>
      </c>
      <c r="U106" s="1529">
        <f t="shared" si="3"/>
        <v>1852</v>
      </c>
      <c r="V106" s="1529">
        <f t="shared" si="3"/>
        <v>9180</v>
      </c>
      <c r="W106" s="1529">
        <f t="shared" si="3"/>
        <v>1127</v>
      </c>
      <c r="X106" s="1529">
        <f t="shared" si="3"/>
        <v>1167</v>
      </c>
      <c r="Y106" s="1529">
        <f t="shared" ref="Y106:Z106" si="4">IF(SUM(Y40:Y43)&gt;0,SUM(Y40:Y43),NA())</f>
        <v>94060</v>
      </c>
      <c r="Z106" s="1529">
        <f t="shared" si="4"/>
        <v>558160</v>
      </c>
    </row>
    <row r="107" spans="1:26" ht="13.5" customHeight="1" x14ac:dyDescent="0.2">
      <c r="A107" s="941" t="s">
        <v>557</v>
      </c>
      <c r="B107" s="1382" t="s">
        <v>507</v>
      </c>
      <c r="C107" s="1532">
        <f t="shared" ref="C107" si="5">SUM(C40:C44)</f>
        <v>1531</v>
      </c>
      <c r="D107" s="1532">
        <f t="shared" ref="D107:X107" si="6">SUM(D40:D44)</f>
        <v>2754</v>
      </c>
      <c r="E107" s="1532">
        <f t="shared" si="6"/>
        <v>8122</v>
      </c>
      <c r="F107" s="1529">
        <f t="shared" si="6"/>
        <v>3470</v>
      </c>
      <c r="G107" s="1529">
        <f t="shared" si="6"/>
        <v>19712</v>
      </c>
      <c r="H107" s="1529">
        <f t="shared" si="6"/>
        <v>3149</v>
      </c>
      <c r="I107" s="1529">
        <f t="shared" si="6"/>
        <v>20686</v>
      </c>
      <c r="J107" s="1529">
        <f t="shared" si="6"/>
        <v>4712</v>
      </c>
      <c r="K107" s="1529">
        <f t="shared" si="6"/>
        <v>3052</v>
      </c>
      <c r="L107" s="1529">
        <f t="shared" si="6"/>
        <v>7021</v>
      </c>
      <c r="M107" s="1529">
        <f t="shared" si="6"/>
        <v>2590</v>
      </c>
      <c r="N107" s="1529">
        <f t="shared" si="6"/>
        <v>2689</v>
      </c>
      <c r="O107" s="1529">
        <f t="shared" si="6"/>
        <v>2418</v>
      </c>
      <c r="P107" s="1529">
        <f t="shared" si="6"/>
        <v>3315</v>
      </c>
      <c r="Q107" s="1529">
        <f t="shared" si="6"/>
        <v>4602</v>
      </c>
      <c r="R107" s="1529">
        <f t="shared" si="6"/>
        <v>8724</v>
      </c>
      <c r="S107" s="1529">
        <f t="shared" si="6"/>
        <v>4304</v>
      </c>
      <c r="T107" s="1529">
        <f t="shared" si="6"/>
        <v>1581</v>
      </c>
      <c r="U107" s="1529">
        <f t="shared" si="6"/>
        <v>1869</v>
      </c>
      <c r="V107" s="1529">
        <f t="shared" si="6"/>
        <v>10458</v>
      </c>
      <c r="W107" s="1529">
        <f t="shared" si="6"/>
        <v>1211</v>
      </c>
      <c r="X107" s="1529">
        <f t="shared" si="6"/>
        <v>1482</v>
      </c>
      <c r="Y107" s="1529">
        <f t="shared" ref="Y107:Z107" si="7">SUM(Y40:Y44)</f>
        <v>110490</v>
      </c>
      <c r="Z107" s="1529">
        <f t="shared" si="7"/>
        <v>665680</v>
      </c>
    </row>
    <row r="108" spans="1:26" ht="13.5" customHeight="1" x14ac:dyDescent="0.2">
      <c r="B108" s="557" t="s">
        <v>1291</v>
      </c>
      <c r="C108" s="1533" t="s">
        <v>1281</v>
      </c>
      <c r="D108" s="1534">
        <v>410</v>
      </c>
      <c r="E108" s="1534">
        <v>442.60869565217394</v>
      </c>
      <c r="F108" s="1533">
        <v>489.46153846153845</v>
      </c>
      <c r="G108" s="1533">
        <v>378.78571428571428</v>
      </c>
      <c r="H108" s="1533" t="s">
        <v>1281</v>
      </c>
      <c r="I108" s="1533">
        <v>336.63492063492066</v>
      </c>
      <c r="J108" s="1533">
        <v>502.78947368421052</v>
      </c>
      <c r="K108" s="1533">
        <v>403.07142857142856</v>
      </c>
      <c r="L108" s="1533">
        <v>525.18181818181813</v>
      </c>
      <c r="M108" s="1533">
        <v>390.08</v>
      </c>
      <c r="N108" s="1533">
        <v>439.33333333333331</v>
      </c>
      <c r="O108" s="1533">
        <v>404.8</v>
      </c>
      <c r="P108" s="1533">
        <v>441</v>
      </c>
      <c r="Q108" s="1533">
        <v>340.06896551724139</v>
      </c>
      <c r="R108" s="1533">
        <v>325.96428571428572</v>
      </c>
      <c r="S108" s="1533">
        <v>507</v>
      </c>
      <c r="T108" s="1533">
        <v>420</v>
      </c>
      <c r="U108" s="1533" t="s">
        <v>1281</v>
      </c>
      <c r="V108" s="1533">
        <v>537.61363636363637</v>
      </c>
      <c r="W108" s="1533" t="s">
        <v>1281</v>
      </c>
      <c r="X108" s="1533" t="s">
        <v>1281</v>
      </c>
      <c r="Y108" s="1533">
        <v>417</v>
      </c>
      <c r="Z108" s="1533">
        <v>459</v>
      </c>
    </row>
    <row r="109" spans="1:26" ht="13.5" customHeight="1" x14ac:dyDescent="0.2">
      <c r="C109" s="524"/>
      <c r="D109" s="1437"/>
      <c r="E109" s="1437"/>
      <c r="F109" s="524"/>
      <c r="G109" s="524"/>
      <c r="H109" s="524"/>
      <c r="I109" s="524"/>
      <c r="J109" s="524"/>
      <c r="K109" s="524"/>
      <c r="L109" s="524"/>
      <c r="M109" s="524"/>
      <c r="N109" s="524"/>
      <c r="O109" s="524"/>
      <c r="P109" s="524"/>
      <c r="Q109" s="524"/>
      <c r="R109" s="524"/>
      <c r="S109" s="524"/>
      <c r="T109" s="524"/>
      <c r="U109" s="524"/>
      <c r="V109" s="524"/>
      <c r="W109" s="524"/>
      <c r="X109" s="524"/>
      <c r="Y109" s="524"/>
      <c r="Z109" s="1433"/>
    </row>
    <row r="110" spans="1:26" s="524" customFormat="1" ht="13.5" customHeight="1" x14ac:dyDescent="0.2">
      <c r="B110" s="1442"/>
      <c r="C110" s="1441"/>
      <c r="D110" s="1441"/>
      <c r="E110" s="1441"/>
      <c r="F110" s="1441"/>
      <c r="G110" s="1441"/>
      <c r="H110" s="1441"/>
      <c r="I110" s="1441"/>
      <c r="J110" s="1441"/>
      <c r="K110" s="1441"/>
      <c r="L110" s="1441"/>
      <c r="M110" s="1441"/>
      <c r="N110" s="1441"/>
      <c r="O110" s="1441"/>
      <c r="P110" s="1441"/>
      <c r="Q110" s="1441"/>
      <c r="R110" s="1441"/>
      <c r="S110" s="1441"/>
      <c r="T110" s="1441"/>
      <c r="U110" s="1441"/>
      <c r="V110" s="1441"/>
      <c r="W110" s="1441"/>
      <c r="X110" s="1441"/>
      <c r="Y110" s="1441"/>
      <c r="Z110" s="1441"/>
    </row>
    <row r="111" spans="1:26" s="524" customFormat="1" ht="13.5" customHeight="1" x14ac:dyDescent="0.2">
      <c r="B111" s="1442" t="s">
        <v>1284</v>
      </c>
      <c r="C111" s="1443"/>
      <c r="D111" s="1443"/>
      <c r="E111" s="1443"/>
      <c r="F111" s="1443"/>
      <c r="G111" s="1443"/>
      <c r="H111" s="1443"/>
      <c r="I111" s="1443"/>
      <c r="J111" s="1443"/>
      <c r="K111" s="1443"/>
      <c r="L111" s="1443"/>
      <c r="M111" s="1443"/>
      <c r="N111" s="1443"/>
      <c r="O111" s="1443"/>
      <c r="P111" s="1443"/>
      <c r="Q111" s="1443"/>
      <c r="R111" s="1443"/>
      <c r="S111" s="1443"/>
      <c r="T111" s="1443"/>
      <c r="U111" s="1443"/>
      <c r="V111" s="1443"/>
      <c r="W111" s="1443"/>
      <c r="X111" s="1443"/>
      <c r="Y111" s="1443"/>
      <c r="Z111" s="1443"/>
    </row>
    <row r="112" spans="1:26" s="524" customFormat="1" ht="13.5" customHeight="1" x14ac:dyDescent="0.2">
      <c r="B112" s="1442" t="s">
        <v>1285</v>
      </c>
      <c r="C112" s="1433"/>
      <c r="D112" s="1437"/>
      <c r="E112" s="1437"/>
    </row>
    <row r="113" spans="2:26" s="524" customFormat="1" ht="13.5" customHeight="1" x14ac:dyDescent="0.2">
      <c r="B113" s="524" t="s">
        <v>1286</v>
      </c>
      <c r="C113" s="1433"/>
      <c r="D113" s="1437"/>
      <c r="E113" s="1437"/>
    </row>
    <row r="114" spans="2:26" s="524" customFormat="1" ht="13.5" customHeight="1" x14ac:dyDescent="0.2">
      <c r="C114" s="1433"/>
      <c r="D114" s="1433"/>
      <c r="E114" s="1433"/>
      <c r="F114" s="1433"/>
      <c r="G114" s="1433"/>
      <c r="H114" s="1433"/>
      <c r="I114" s="1433"/>
      <c r="J114" s="1433"/>
      <c r="K114" s="1433"/>
      <c r="L114" s="1433"/>
      <c r="M114" s="1433"/>
      <c r="N114" s="1433"/>
      <c r="O114" s="1433"/>
      <c r="P114" s="1433"/>
      <c r="Q114" s="1433"/>
      <c r="R114" s="1433"/>
      <c r="S114" s="1433"/>
      <c r="T114" s="1433"/>
      <c r="U114" s="1433"/>
      <c r="V114" s="1433"/>
      <c r="W114" s="1433"/>
      <c r="X114" s="1433"/>
      <c r="Y114" s="1433"/>
      <c r="Z114" s="1433"/>
    </row>
    <row r="115" spans="2:26" ht="13.5" customHeight="1" x14ac:dyDescent="0.2">
      <c r="B115" s="470"/>
      <c r="C115" s="970"/>
      <c r="D115" s="970"/>
      <c r="E115" s="970"/>
      <c r="F115" s="970"/>
      <c r="G115" s="970"/>
      <c r="H115" s="970"/>
      <c r="I115" s="970"/>
      <c r="J115" s="970"/>
      <c r="K115" s="970"/>
      <c r="L115" s="970"/>
      <c r="M115" s="970"/>
      <c r="N115" s="970"/>
      <c r="O115" s="970"/>
      <c r="P115" s="970"/>
      <c r="Q115" s="970"/>
      <c r="R115" s="970"/>
      <c r="S115" s="970"/>
      <c r="T115" s="970"/>
      <c r="U115" s="970"/>
      <c r="V115" s="970"/>
      <c r="W115" s="970"/>
      <c r="X115" s="970"/>
      <c r="Y115" s="970"/>
      <c r="Z115" s="970"/>
    </row>
    <row r="116" spans="2:26" ht="13.5" customHeight="1" x14ac:dyDescent="0.2">
      <c r="B116" s="470"/>
      <c r="C116" s="970"/>
      <c r="Y116" s="470"/>
    </row>
    <row r="117" spans="2:26" ht="13.5" customHeight="1" x14ac:dyDescent="0.2">
      <c r="B117" s="470"/>
      <c r="C117" s="970"/>
      <c r="Y117" s="470"/>
    </row>
    <row r="118" spans="2:26" ht="13.5" customHeight="1" x14ac:dyDescent="0.2">
      <c r="B118" s="470"/>
      <c r="C118" s="970"/>
      <c r="Y118" s="470"/>
    </row>
    <row r="119" spans="2:26" ht="13.5" customHeight="1" x14ac:dyDescent="0.2">
      <c r="B119" s="470"/>
      <c r="C119" s="970"/>
      <c r="Y119" s="470"/>
    </row>
    <row r="120" spans="2:26" ht="13.5" customHeight="1" x14ac:dyDescent="0.2">
      <c r="B120" s="470"/>
      <c r="C120" s="970"/>
      <c r="Y120" s="470"/>
    </row>
    <row r="121" spans="2:26" ht="13.5" customHeight="1" x14ac:dyDescent="0.2">
      <c r="B121" s="470"/>
      <c r="C121" s="970"/>
      <c r="Y121" s="470"/>
    </row>
    <row r="122" spans="2:26" ht="13.5" customHeight="1" x14ac:dyDescent="0.2">
      <c r="B122" s="470"/>
      <c r="C122" s="970"/>
      <c r="Y122" s="470"/>
    </row>
    <row r="123" spans="2:26" ht="13.5" customHeight="1" x14ac:dyDescent="0.2">
      <c r="B123" s="470"/>
      <c r="C123" s="970"/>
      <c r="Y123" s="470"/>
    </row>
    <row r="124" spans="2:26" ht="13.5" customHeight="1" x14ac:dyDescent="0.2">
      <c r="B124" s="470"/>
      <c r="C124" s="970"/>
      <c r="Y124" s="470"/>
    </row>
    <row r="125" spans="2:26" ht="13.5" customHeight="1" x14ac:dyDescent="0.2">
      <c r="B125" s="470"/>
      <c r="C125" s="970"/>
      <c r="Y125" s="470"/>
    </row>
    <row r="126" spans="2:26" ht="13.5" customHeight="1" x14ac:dyDescent="0.2">
      <c r="B126" s="470"/>
      <c r="C126" s="970"/>
      <c r="Y126" s="470"/>
    </row>
    <row r="127" spans="2:26" ht="13.5" customHeight="1" x14ac:dyDescent="0.2">
      <c r="B127" s="470"/>
      <c r="C127" s="970"/>
      <c r="Y127" s="470"/>
    </row>
    <row r="128" spans="2:26" ht="13.5" customHeight="1" x14ac:dyDescent="0.2">
      <c r="B128" s="470"/>
      <c r="C128" s="970"/>
      <c r="Y128" s="470"/>
    </row>
    <row r="129" spans="2:25" ht="13.5" customHeight="1" x14ac:dyDescent="0.2">
      <c r="B129" s="470"/>
      <c r="C129" s="970"/>
      <c r="Y129" s="470"/>
    </row>
    <row r="130" spans="2:25" ht="13.5" customHeight="1" x14ac:dyDescent="0.2">
      <c r="B130" s="470"/>
      <c r="C130" s="970"/>
      <c r="Y130" s="470"/>
    </row>
    <row r="131" spans="2:25" ht="13.5" customHeight="1" x14ac:dyDescent="0.2">
      <c r="B131" s="470"/>
      <c r="C131" s="970"/>
      <c r="Y131" s="470"/>
    </row>
    <row r="132" spans="2:25" ht="13.5" customHeight="1" x14ac:dyDescent="0.2">
      <c r="B132" s="470"/>
      <c r="C132" s="970"/>
      <c r="Y132" s="470"/>
    </row>
    <row r="133" spans="2:25" ht="13.5" customHeight="1" x14ac:dyDescent="0.2">
      <c r="B133" s="470"/>
      <c r="C133" s="970"/>
      <c r="Y133" s="470"/>
    </row>
  </sheetData>
  <conditionalFormatting sqref="Q43:Q44">
    <cfRule type="containsErrors" dxfId="1120" priority="11">
      <formula>ISERROR(Q43)</formula>
    </cfRule>
  </conditionalFormatting>
  <conditionalFormatting sqref="C1:S1 U1:X1">
    <cfRule type="expression" dxfId="1119" priority="1339">
      <formula>SUM(C$2:C$98)=0</formula>
    </cfRule>
    <cfRule type="containsErrors" dxfId="1118" priority="1340">
      <formula>ISERROR(C1)</formula>
    </cfRule>
  </conditionalFormatting>
  <conditionalFormatting sqref="T1">
    <cfRule type="expression" dxfId="1117" priority="1">
      <formula>SUM(T$2:T$98)=0</formula>
    </cfRule>
    <cfRule type="containsErrors" dxfId="1116" priority="2">
      <formula>ISERROR(T1)</formula>
    </cfRule>
  </conditionalFormatting>
  <pageMargins left="0.70866141732283472" right="0.70866141732283472" top="0.35433070866141736" bottom="0.35433070866141736" header="0.31496062992125984" footer="0.31496062992125984"/>
  <pageSetup paperSize="9" scale="53" orientation="portrait" r:id="rId1"/>
  <extLst>
    <ext xmlns:x14="http://schemas.microsoft.com/office/spreadsheetml/2009/9/main" uri="{78C0D931-6437-407d-A8EE-F0AAD7539E65}">
      <x14:conditionalFormattings>
        <x14:conditionalFormatting xmlns:xm="http://schemas.microsoft.com/office/excel/2006/main">
          <x14:cfRule type="expression" priority="1212" id="{68FACF89-6B27-45C4-9B16-E96A84C1E255}">
            <xm:f>C$1=Sheet1!$AR$3</xm:f>
            <x14:dxf>
              <fill>
                <patternFill>
                  <bgColor rgb="FF66FF99"/>
                </patternFill>
              </fill>
            </x14:dxf>
          </x14:cfRule>
          <xm:sqref>C1:S1 U1:X1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39"/>
  </sheetPr>
  <dimension ref="B1:BO393"/>
  <sheetViews>
    <sheetView topLeftCell="A64" workbookViewId="0">
      <selection activeCell="A19" sqref="A19"/>
    </sheetView>
  </sheetViews>
  <sheetFormatPr defaultColWidth="9.140625" defaultRowHeight="12.75" x14ac:dyDescent="0.2"/>
  <cols>
    <col min="1" max="1" width="2.42578125" style="470" customWidth="1"/>
    <col min="2" max="2" width="28.140625" style="470" customWidth="1"/>
    <col min="3" max="3" width="24" style="470" customWidth="1"/>
    <col min="4" max="8" width="10" style="470" customWidth="1"/>
    <col min="9" max="9" width="4.42578125" style="470" customWidth="1"/>
    <col min="10" max="12" width="20.5703125" style="470" bestFit="1" customWidth="1"/>
    <col min="13" max="13" width="12" style="470" bestFit="1" customWidth="1"/>
    <col min="14" max="14" width="6.85546875" style="470" bestFit="1" customWidth="1"/>
    <col min="15" max="15" width="3.85546875" style="470" bestFit="1" customWidth="1"/>
    <col min="16" max="27" width="3" style="470" bestFit="1" customWidth="1"/>
    <col min="28" max="28" width="30.42578125" style="470" bestFit="1" customWidth="1"/>
    <col min="29" max="29" width="25.42578125" style="470" customWidth="1"/>
    <col min="30" max="30" width="11.5703125" style="470" customWidth="1"/>
    <col min="31" max="31" width="9.140625" style="470"/>
    <col min="32" max="32" width="9.5703125" style="470" customWidth="1"/>
    <col min="33" max="34" width="9.140625" style="470"/>
    <col min="35" max="37" width="20.5703125" style="470" bestFit="1" customWidth="1"/>
    <col min="38" max="38" width="4" style="470" bestFit="1" customWidth="1"/>
    <col min="39" max="39" width="6.85546875" style="470" bestFit="1" customWidth="1"/>
    <col min="40" max="40" width="3.85546875" style="470" bestFit="1" customWidth="1"/>
    <col min="41" max="42" width="9.140625" style="470"/>
    <col min="43" max="43" width="22.42578125" style="470" bestFit="1" customWidth="1"/>
    <col min="44" max="44" width="20.140625" style="470" bestFit="1" customWidth="1"/>
    <col min="45" max="66" width="3" style="470" bestFit="1" customWidth="1"/>
    <col min="67" max="16384" width="9.140625" style="470"/>
  </cols>
  <sheetData>
    <row r="1" spans="2:67" x14ac:dyDescent="0.2">
      <c r="C1" s="780" t="s">
        <v>643</v>
      </c>
    </row>
    <row r="2" spans="2:67" x14ac:dyDescent="0.2">
      <c r="C2" s="780" t="s">
        <v>649</v>
      </c>
      <c r="AR2" s="471" t="s">
        <v>203</v>
      </c>
      <c r="AS2" s="1637" t="s">
        <v>204</v>
      </c>
      <c r="AT2" s="1638"/>
      <c r="AU2" s="1638"/>
      <c r="AV2" s="1638"/>
      <c r="AW2" s="1638"/>
      <c r="AX2" s="1638"/>
      <c r="AY2" s="1638"/>
      <c r="AZ2" s="1638"/>
      <c r="BA2" s="1638"/>
      <c r="BB2" s="1638"/>
      <c r="BC2" s="1638"/>
      <c r="BD2" s="1638"/>
      <c r="BE2" s="1638"/>
      <c r="BF2" s="1638"/>
      <c r="BG2" s="1638"/>
      <c r="BH2" s="1638"/>
      <c r="BI2" s="1638"/>
      <c r="BJ2" s="1638"/>
      <c r="BK2" s="1638"/>
      <c r="BL2" s="1638"/>
      <c r="BM2" s="1638"/>
      <c r="BN2" s="1639"/>
    </row>
    <row r="3" spans="2:67" ht="89.25" x14ac:dyDescent="0.2">
      <c r="B3" s="1279" t="s">
        <v>648</v>
      </c>
      <c r="C3" s="781" t="s">
        <v>643</v>
      </c>
      <c r="E3" s="867" t="str">
        <f>IF($C$3="Quarterly",H24&amp;" "&amp;H25,H22)</f>
        <v>2019-20</v>
      </c>
      <c r="F3" s="1226" t="str">
        <f>IF(C3="Annual","Years","Quarters")</f>
        <v>Years</v>
      </c>
      <c r="G3" s="1226" t="str">
        <f>IF(C3="Annual","Year ending 31st March","Quarter")</f>
        <v>Year ending 31st March</v>
      </c>
      <c r="H3" s="1226" t="str">
        <f>IF(C3="Annual","31st March","last day in Quarter")</f>
        <v>31st March</v>
      </c>
      <c r="J3" s="1280" t="s">
        <v>661</v>
      </c>
      <c r="K3" s="1280" t="s">
        <v>662</v>
      </c>
      <c r="AQ3" s="472" t="s">
        <v>75</v>
      </c>
      <c r="AR3" s="473" t="str">
        <f>Home!$D$10</f>
        <v>(none)</v>
      </c>
      <c r="AS3" s="474" t="s">
        <v>0</v>
      </c>
      <c r="AT3" s="475" t="s">
        <v>31</v>
      </c>
      <c r="AU3" s="475" t="s">
        <v>8</v>
      </c>
      <c r="AV3" s="475" t="s">
        <v>4</v>
      </c>
      <c r="AW3" s="475" t="s">
        <v>6</v>
      </c>
      <c r="AX3" s="475" t="s">
        <v>1</v>
      </c>
      <c r="AY3" s="475" t="s">
        <v>9</v>
      </c>
      <c r="AZ3" s="475" t="s">
        <v>2</v>
      </c>
      <c r="BA3" s="475" t="s">
        <v>10</v>
      </c>
      <c r="BB3" s="475" t="s">
        <v>11</v>
      </c>
      <c r="BC3" s="475" t="s">
        <v>12</v>
      </c>
      <c r="BD3" s="475" t="s">
        <v>3</v>
      </c>
      <c r="BE3" s="475" t="s">
        <v>13</v>
      </c>
      <c r="BF3" s="475" t="s">
        <v>95</v>
      </c>
      <c r="BG3" s="475" t="s">
        <v>14</v>
      </c>
      <c r="BH3" s="475" t="s">
        <v>7</v>
      </c>
      <c r="BI3" s="475" t="s">
        <v>113</v>
      </c>
      <c r="BJ3" s="475" t="s">
        <v>114</v>
      </c>
      <c r="BK3" s="475" t="s">
        <v>15</v>
      </c>
      <c r="BL3" s="475" t="s">
        <v>5</v>
      </c>
      <c r="BM3" s="475" t="s">
        <v>30</v>
      </c>
      <c r="BN3" s="476" t="s">
        <v>16</v>
      </c>
    </row>
    <row r="4" spans="2:67" x14ac:dyDescent="0.2">
      <c r="B4" s="785" t="s">
        <v>655</v>
      </c>
      <c r="J4" s="984" t="s">
        <v>0</v>
      </c>
      <c r="K4" s="982" t="s">
        <v>0</v>
      </c>
      <c r="L4" s="470" t="s">
        <v>0</v>
      </c>
      <c r="M4" s="470">
        <v>101</v>
      </c>
      <c r="N4" s="470" t="str">
        <f t="shared" ref="N4:N25" si="0">CONCATENATE(O4,M4)</f>
        <v>LA:101</v>
      </c>
      <c r="O4" s="470" t="s">
        <v>660</v>
      </c>
      <c r="AQ4" s="477" t="s">
        <v>0</v>
      </c>
      <c r="AR4" s="477">
        <f t="shared" ref="AR4:AR25" si="1">IF($AR$3="(none)",0,IF(HLOOKUP($AR$3,$AS$3:$BN$25,BO4,FALSE)=0,0,"*"))</f>
        <v>0</v>
      </c>
      <c r="AS4" s="478"/>
      <c r="AT4" s="478"/>
      <c r="AU4" s="479" t="s">
        <v>33</v>
      </c>
      <c r="AV4" s="478"/>
      <c r="AW4" s="478"/>
      <c r="AX4" s="478"/>
      <c r="AY4" s="478"/>
      <c r="AZ4" s="478"/>
      <c r="BA4" s="478"/>
      <c r="BB4" s="479" t="s">
        <v>33</v>
      </c>
      <c r="BC4" s="478"/>
      <c r="BD4" s="478"/>
      <c r="BE4" s="478"/>
      <c r="BF4" s="478"/>
      <c r="BG4" s="478"/>
      <c r="BH4" s="479" t="s">
        <v>33</v>
      </c>
      <c r="BI4" s="478"/>
      <c r="BJ4" s="478"/>
      <c r="BK4" s="479" t="s">
        <v>33</v>
      </c>
      <c r="BL4" s="478"/>
      <c r="BM4" s="479" t="s">
        <v>33</v>
      </c>
      <c r="BN4" s="479" t="s">
        <v>33</v>
      </c>
      <c r="BO4" s="470">
        <v>2</v>
      </c>
    </row>
    <row r="5" spans="2:67" x14ac:dyDescent="0.2">
      <c r="J5" s="985" t="s">
        <v>31</v>
      </c>
      <c r="K5" s="983" t="s">
        <v>31</v>
      </c>
      <c r="L5" s="470" t="s">
        <v>31</v>
      </c>
      <c r="M5" s="470">
        <f t="shared" ref="M5:M25" si="2">M4+1</f>
        <v>102</v>
      </c>
      <c r="N5" s="470" t="str">
        <f t="shared" si="0"/>
        <v>LA:102</v>
      </c>
      <c r="O5" s="470" t="s">
        <v>660</v>
      </c>
      <c r="AQ5" s="477" t="s">
        <v>31</v>
      </c>
      <c r="AR5" s="477">
        <f t="shared" si="1"/>
        <v>0</v>
      </c>
      <c r="AS5" s="478"/>
      <c r="AT5" s="478"/>
      <c r="AU5" s="478"/>
      <c r="AV5" s="478"/>
      <c r="AW5" s="478"/>
      <c r="AX5" s="478"/>
      <c r="AY5" s="478"/>
      <c r="AZ5" s="478"/>
      <c r="BA5" s="478"/>
      <c r="BB5" s="478"/>
      <c r="BC5" s="478"/>
      <c r="BD5" s="479" t="s">
        <v>33</v>
      </c>
      <c r="BE5" s="478"/>
      <c r="BF5" s="478"/>
      <c r="BG5" s="478"/>
      <c r="BH5" s="478"/>
      <c r="BI5" s="478"/>
      <c r="BJ5" s="478"/>
      <c r="BK5" s="478"/>
      <c r="BL5" s="478"/>
      <c r="BM5" s="478"/>
      <c r="BN5" s="478"/>
      <c r="BO5" s="470">
        <v>3</v>
      </c>
    </row>
    <row r="6" spans="2:67" x14ac:dyDescent="0.2">
      <c r="B6" s="785" t="s">
        <v>657</v>
      </c>
      <c r="D6" s="1296" t="s">
        <v>912</v>
      </c>
      <c r="E6" s="1296" t="s">
        <v>913</v>
      </c>
      <c r="F6" s="1296" t="s">
        <v>914</v>
      </c>
      <c r="G6" s="1296" t="s">
        <v>230</v>
      </c>
      <c r="H6" s="1296" t="s">
        <v>915</v>
      </c>
      <c r="J6" s="985" t="s">
        <v>8</v>
      </c>
      <c r="K6" s="983" t="s">
        <v>8</v>
      </c>
      <c r="L6" s="470" t="s">
        <v>8</v>
      </c>
      <c r="M6" s="470">
        <f t="shared" si="2"/>
        <v>103</v>
      </c>
      <c r="N6" s="470" t="str">
        <f t="shared" si="0"/>
        <v>LA:103</v>
      </c>
      <c r="O6" s="470" t="s">
        <v>660</v>
      </c>
      <c r="AQ6" s="477" t="s">
        <v>8</v>
      </c>
      <c r="AR6" s="477">
        <f t="shared" si="1"/>
        <v>0</v>
      </c>
      <c r="AS6" s="479" t="s">
        <v>33</v>
      </c>
      <c r="AT6" s="480"/>
      <c r="AU6" s="480"/>
      <c r="AV6" s="480"/>
      <c r="AW6" s="480"/>
      <c r="AX6" s="480"/>
      <c r="AY6" s="480"/>
      <c r="AZ6" s="480"/>
      <c r="BA6" s="480"/>
      <c r="BB6" s="479" t="s">
        <v>33</v>
      </c>
      <c r="BC6" s="480"/>
      <c r="BD6" s="480"/>
      <c r="BE6" s="480"/>
      <c r="BF6" s="480"/>
      <c r="BG6" s="480"/>
      <c r="BH6" s="479" t="s">
        <v>33</v>
      </c>
      <c r="BI6" s="480"/>
      <c r="BJ6" s="478"/>
      <c r="BK6" s="479" t="s">
        <v>33</v>
      </c>
      <c r="BL6" s="480"/>
      <c r="BM6" s="479" t="s">
        <v>33</v>
      </c>
      <c r="BN6" s="479" t="s">
        <v>33</v>
      </c>
      <c r="BO6" s="470">
        <v>4</v>
      </c>
    </row>
    <row r="7" spans="2:67" ht="13.5" thickBot="1" x14ac:dyDescent="0.25">
      <c r="C7" s="1297" t="s">
        <v>73</v>
      </c>
      <c r="D7" s="1299">
        <v>15.888993757429454</v>
      </c>
      <c r="E7" s="1299">
        <v>3.6952575577108195</v>
      </c>
      <c r="F7" s="1299">
        <v>19.23772745363004</v>
      </c>
      <c r="G7" s="1299">
        <v>10.40887607429843</v>
      </c>
      <c r="H7" s="1299">
        <v>7.4427236022157812</v>
      </c>
      <c r="J7" s="985" t="s">
        <v>4</v>
      </c>
      <c r="K7" s="983" t="s">
        <v>4</v>
      </c>
      <c r="L7" s="470" t="s">
        <v>4</v>
      </c>
      <c r="M7" s="470">
        <f t="shared" si="2"/>
        <v>104</v>
      </c>
      <c r="N7" s="470" t="str">
        <f t="shared" si="0"/>
        <v>LA:104</v>
      </c>
      <c r="O7" s="470" t="s">
        <v>660</v>
      </c>
      <c r="AQ7" s="477" t="s">
        <v>4</v>
      </c>
      <c r="AR7" s="477">
        <f t="shared" si="1"/>
        <v>0</v>
      </c>
      <c r="AS7" s="480"/>
      <c r="AT7" s="480"/>
      <c r="AU7" s="480"/>
      <c r="AV7" s="480"/>
      <c r="AW7" s="480"/>
      <c r="AX7" s="479" t="s">
        <v>33</v>
      </c>
      <c r="AY7" s="479" t="s">
        <v>33</v>
      </c>
      <c r="AZ7" s="480"/>
      <c r="BA7" s="480"/>
      <c r="BB7" s="480"/>
      <c r="BC7" s="480"/>
      <c r="BD7" s="480"/>
      <c r="BE7" s="480"/>
      <c r="BF7" s="479" t="s">
        <v>33</v>
      </c>
      <c r="BG7" s="480"/>
      <c r="BH7" s="480"/>
      <c r="BI7" s="480"/>
      <c r="BJ7" s="478"/>
      <c r="BK7" s="480"/>
      <c r="BL7" s="479" t="s">
        <v>33</v>
      </c>
      <c r="BM7" s="480"/>
      <c r="BN7" s="480"/>
      <c r="BO7" s="470">
        <v>5</v>
      </c>
    </row>
    <row r="8" spans="2:67" ht="13.5" thickBot="1" x14ac:dyDescent="0.25">
      <c r="B8" s="1300">
        <v>2020</v>
      </c>
      <c r="C8" s="1297" t="s">
        <v>920</v>
      </c>
      <c r="D8" s="1299">
        <v>282.80592657914866</v>
      </c>
      <c r="E8" s="1299">
        <v>59.195393759889939</v>
      </c>
      <c r="F8" s="1299">
        <v>246.80578779975093</v>
      </c>
      <c r="G8" s="1299">
        <v>171.1101808120157</v>
      </c>
      <c r="H8" s="1299">
        <v>52.192201095938799</v>
      </c>
      <c r="J8" s="985" t="s">
        <v>6</v>
      </c>
      <c r="K8" s="983" t="s">
        <v>6</v>
      </c>
      <c r="L8" s="470" t="s">
        <v>6</v>
      </c>
      <c r="M8" s="470">
        <f t="shared" si="2"/>
        <v>105</v>
      </c>
      <c r="N8" s="470" t="str">
        <f t="shared" si="0"/>
        <v>LA:105</v>
      </c>
      <c r="O8" s="470" t="s">
        <v>660</v>
      </c>
      <c r="AQ8" s="477" t="s">
        <v>6</v>
      </c>
      <c r="AR8" s="477">
        <f t="shared" si="1"/>
        <v>0</v>
      </c>
      <c r="AS8" s="479" t="s">
        <v>33</v>
      </c>
      <c r="AT8" s="480"/>
      <c r="AU8" s="479" t="s">
        <v>33</v>
      </c>
      <c r="AV8" s="480"/>
      <c r="AW8" s="480"/>
      <c r="AX8" s="480"/>
      <c r="AY8" s="480"/>
      <c r="AZ8" s="480"/>
      <c r="BA8" s="480"/>
      <c r="BB8" s="479" t="s">
        <v>33</v>
      </c>
      <c r="BC8" s="480"/>
      <c r="BD8" s="480"/>
      <c r="BE8" s="480"/>
      <c r="BF8" s="480"/>
      <c r="BG8" s="480"/>
      <c r="BH8" s="479" t="s">
        <v>33</v>
      </c>
      <c r="BI8" s="480"/>
      <c r="BJ8" s="478"/>
      <c r="BK8" s="479" t="s">
        <v>33</v>
      </c>
      <c r="BL8" s="479" t="s">
        <v>33</v>
      </c>
      <c r="BM8" s="479" t="s">
        <v>33</v>
      </c>
      <c r="BN8" s="479" t="s">
        <v>33</v>
      </c>
      <c r="BO8" s="470">
        <v>6</v>
      </c>
    </row>
    <row r="9" spans="2:67" x14ac:dyDescent="0.2">
      <c r="C9" s="1297" t="s">
        <v>921</v>
      </c>
      <c r="D9" s="1299">
        <v>0.2567700199178688</v>
      </c>
      <c r="E9" s="1299">
        <v>0.1133256733915541</v>
      </c>
      <c r="F9" s="1299">
        <v>0.28696148967575846</v>
      </c>
      <c r="G9" s="1299">
        <v>0.29032491361079849</v>
      </c>
      <c r="H9" s="1299">
        <v>0.29941838805592924</v>
      </c>
      <c r="J9" s="985" t="s">
        <v>1</v>
      </c>
      <c r="K9" s="983" t="s">
        <v>1</v>
      </c>
      <c r="L9" s="470" t="s">
        <v>1</v>
      </c>
      <c r="M9" s="470">
        <f t="shared" si="2"/>
        <v>106</v>
      </c>
      <c r="N9" s="470" t="str">
        <f t="shared" si="0"/>
        <v>LA:106</v>
      </c>
      <c r="O9" s="470" t="s">
        <v>660</v>
      </c>
      <c r="AQ9" s="477" t="s">
        <v>1</v>
      </c>
      <c r="AR9" s="477">
        <f t="shared" si="1"/>
        <v>0</v>
      </c>
      <c r="AS9" s="480"/>
      <c r="AT9" s="480"/>
      <c r="AU9" s="480"/>
      <c r="AV9" s="480"/>
      <c r="AW9" s="480"/>
      <c r="AX9" s="480"/>
      <c r="AY9" s="480"/>
      <c r="AZ9" s="480"/>
      <c r="BA9" s="480"/>
      <c r="BB9" s="480"/>
      <c r="BC9" s="480"/>
      <c r="BD9" s="480"/>
      <c r="BE9" s="480"/>
      <c r="BF9" s="480"/>
      <c r="BG9" s="479" t="s">
        <v>33</v>
      </c>
      <c r="BH9" s="480"/>
      <c r="BI9" s="480"/>
      <c r="BJ9" s="479" t="s">
        <v>33</v>
      </c>
      <c r="BK9" s="480"/>
      <c r="BL9" s="480"/>
      <c r="BM9" s="480"/>
      <c r="BN9" s="480"/>
      <c r="BO9" s="470">
        <v>7</v>
      </c>
    </row>
    <row r="10" spans="2:67" x14ac:dyDescent="0.2">
      <c r="C10" s="1296" t="s">
        <v>916</v>
      </c>
      <c r="D10" s="1296" t="s">
        <v>917</v>
      </c>
      <c r="E10" s="1296" t="s">
        <v>918</v>
      </c>
      <c r="F10" s="785" t="s">
        <v>922</v>
      </c>
      <c r="G10" s="1296" t="s">
        <v>923</v>
      </c>
      <c r="H10" s="1296" t="s">
        <v>919</v>
      </c>
      <c r="J10" s="985" t="s">
        <v>9</v>
      </c>
      <c r="K10" s="983" t="s">
        <v>9</v>
      </c>
      <c r="L10" s="470" t="s">
        <v>9</v>
      </c>
      <c r="M10" s="470">
        <f t="shared" si="2"/>
        <v>107</v>
      </c>
      <c r="N10" s="470" t="str">
        <f t="shared" si="0"/>
        <v>LA:107</v>
      </c>
      <c r="O10" s="470" t="s">
        <v>660</v>
      </c>
      <c r="AQ10" s="477" t="s">
        <v>9</v>
      </c>
      <c r="AR10" s="477">
        <f t="shared" si="1"/>
        <v>0</v>
      </c>
      <c r="AS10" s="480"/>
      <c r="AT10" s="480"/>
      <c r="AU10" s="480"/>
      <c r="AV10" s="479" t="s">
        <v>33</v>
      </c>
      <c r="AW10" s="480"/>
      <c r="AX10" s="480"/>
      <c r="AY10" s="480"/>
      <c r="AZ10" s="479" t="s">
        <v>33</v>
      </c>
      <c r="BA10" s="479" t="s">
        <v>33</v>
      </c>
      <c r="BB10" s="480"/>
      <c r="BC10" s="480"/>
      <c r="BD10" s="480"/>
      <c r="BE10" s="480"/>
      <c r="BF10" s="480"/>
      <c r="BG10" s="480"/>
      <c r="BH10" s="480"/>
      <c r="BI10" s="479" t="s">
        <v>33</v>
      </c>
      <c r="BJ10" s="478"/>
      <c r="BK10" s="480"/>
      <c r="BL10" s="480"/>
      <c r="BM10" s="480"/>
      <c r="BN10" s="480"/>
      <c r="BO10" s="470">
        <v>8</v>
      </c>
    </row>
    <row r="11" spans="2:67" x14ac:dyDescent="0.2">
      <c r="B11" s="1297" t="s">
        <v>73</v>
      </c>
      <c r="C11" s="1298">
        <v>2.7048698211005346</v>
      </c>
      <c r="D11" s="1298">
        <v>2.0734801401586833</v>
      </c>
      <c r="E11" s="1298">
        <v>0.4913932056391912</v>
      </c>
      <c r="F11" s="1298">
        <v>0.67811367176487181</v>
      </c>
      <c r="G11" s="1298">
        <v>1.1545905537772005</v>
      </c>
      <c r="H11" s="1298">
        <v>3.7511768882106828</v>
      </c>
      <c r="J11" s="985" t="s">
        <v>2</v>
      </c>
      <c r="K11" s="983" t="s">
        <v>2</v>
      </c>
      <c r="L11" s="470" t="s">
        <v>2</v>
      </c>
      <c r="M11" s="470">
        <f t="shared" si="2"/>
        <v>108</v>
      </c>
      <c r="N11" s="470" t="str">
        <f t="shared" si="0"/>
        <v>LA:108</v>
      </c>
      <c r="O11" s="470" t="s">
        <v>660</v>
      </c>
      <c r="AQ11" s="477" t="s">
        <v>2</v>
      </c>
      <c r="AR11" s="477">
        <f t="shared" si="1"/>
        <v>0</v>
      </c>
      <c r="AS11" s="480"/>
      <c r="AT11" s="480"/>
      <c r="AU11" s="480"/>
      <c r="AV11" s="480"/>
      <c r="AW11" s="480"/>
      <c r="AX11" s="480"/>
      <c r="AY11" s="480"/>
      <c r="AZ11" s="480"/>
      <c r="BA11" s="480"/>
      <c r="BB11" s="480"/>
      <c r="BC11" s="480"/>
      <c r="BD11" s="480"/>
      <c r="BE11" s="480"/>
      <c r="BF11" s="480"/>
      <c r="BG11" s="480"/>
      <c r="BH11" s="480"/>
      <c r="BI11" s="479" t="s">
        <v>33</v>
      </c>
      <c r="BJ11" s="478"/>
      <c r="BK11" s="480"/>
      <c r="BL11" s="480"/>
      <c r="BM11" s="480"/>
      <c r="BN11" s="480"/>
      <c r="BO11" s="470">
        <v>9</v>
      </c>
    </row>
    <row r="12" spans="2:67" x14ac:dyDescent="0.2">
      <c r="B12" s="1297" t="s">
        <v>920</v>
      </c>
      <c r="C12" s="1298">
        <v>22.172542367894707</v>
      </c>
      <c r="D12" s="1298">
        <v>9.6161392546149429</v>
      </c>
      <c r="E12" s="1298">
        <v>4.4478969995930839</v>
      </c>
      <c r="F12" s="1298">
        <v>0.33433330938026629</v>
      </c>
      <c r="G12" s="1298">
        <v>-0.34119987578688082</v>
      </c>
      <c r="H12" s="1298">
        <v>7.3920854075927878</v>
      </c>
      <c r="J12" s="985" t="s">
        <v>10</v>
      </c>
      <c r="K12" s="983" t="s">
        <v>10</v>
      </c>
      <c r="L12" s="470" t="s">
        <v>10</v>
      </c>
      <c r="M12" s="470">
        <f t="shared" si="2"/>
        <v>109</v>
      </c>
      <c r="N12" s="470" t="str">
        <f t="shared" si="0"/>
        <v>LA:109</v>
      </c>
      <c r="O12" s="470" t="s">
        <v>660</v>
      </c>
      <c r="AQ12" s="477" t="s">
        <v>10</v>
      </c>
      <c r="AR12" s="477">
        <f t="shared" si="1"/>
        <v>0</v>
      </c>
      <c r="AS12" s="480"/>
      <c r="AT12" s="480"/>
      <c r="AU12" s="480"/>
      <c r="AV12" s="480"/>
      <c r="AW12" s="480"/>
      <c r="AX12" s="480"/>
      <c r="AY12" s="480"/>
      <c r="AZ12" s="480"/>
      <c r="BA12" s="480"/>
      <c r="BB12" s="480"/>
      <c r="BC12" s="480"/>
      <c r="BD12" s="479" t="s">
        <v>33</v>
      </c>
      <c r="BE12" s="480"/>
      <c r="BF12" s="480"/>
      <c r="BG12" s="480"/>
      <c r="BH12" s="480"/>
      <c r="BI12" s="480"/>
      <c r="BJ12" s="478"/>
      <c r="BK12" s="480"/>
      <c r="BL12" s="480"/>
      <c r="BM12" s="480"/>
      <c r="BN12" s="480"/>
      <c r="BO12" s="470">
        <v>10</v>
      </c>
    </row>
    <row r="13" spans="2:67" x14ac:dyDescent="0.2">
      <c r="B13" s="1297" t="s">
        <v>921</v>
      </c>
      <c r="C13" s="1298">
        <v>0.28694180208690917</v>
      </c>
      <c r="D13" s="1298">
        <v>0.34114235866706905</v>
      </c>
      <c r="E13" s="1298">
        <v>0.18665487262482394</v>
      </c>
      <c r="F13" s="1298">
        <v>0.34844097263972562</v>
      </c>
      <c r="G13" s="1298">
        <v>0.3276780179615007</v>
      </c>
      <c r="H13" s="1298">
        <v>0.41870502207637134</v>
      </c>
      <c r="J13" s="985" t="s">
        <v>11</v>
      </c>
      <c r="K13" s="983" t="s">
        <v>11</v>
      </c>
      <c r="L13" s="470" t="s">
        <v>11</v>
      </c>
      <c r="M13" s="470">
        <f t="shared" si="2"/>
        <v>110</v>
      </c>
      <c r="N13" s="470" t="str">
        <f t="shared" si="0"/>
        <v>LA:110</v>
      </c>
      <c r="O13" s="470" t="s">
        <v>660</v>
      </c>
      <c r="AQ13" s="477" t="s">
        <v>11</v>
      </c>
      <c r="AR13" s="477">
        <f t="shared" si="1"/>
        <v>0</v>
      </c>
      <c r="AS13" s="480"/>
      <c r="AT13" s="480"/>
      <c r="AU13" s="479" t="s">
        <v>33</v>
      </c>
      <c r="AV13" s="480"/>
      <c r="AW13" s="480"/>
      <c r="AX13" s="480"/>
      <c r="AY13" s="480"/>
      <c r="AZ13" s="480"/>
      <c r="BA13" s="480"/>
      <c r="BB13" s="480"/>
      <c r="BC13" s="480"/>
      <c r="BD13" s="480"/>
      <c r="BE13" s="480"/>
      <c r="BF13" s="480"/>
      <c r="BG13" s="480"/>
      <c r="BH13" s="479" t="s">
        <v>33</v>
      </c>
      <c r="BI13" s="480"/>
      <c r="BJ13" s="478"/>
      <c r="BK13" s="479" t="s">
        <v>33</v>
      </c>
      <c r="BL13" s="480"/>
      <c r="BM13" s="479" t="s">
        <v>33</v>
      </c>
      <c r="BN13" s="479" t="s">
        <v>33</v>
      </c>
      <c r="BO13" s="470">
        <v>11</v>
      </c>
    </row>
    <row r="14" spans="2:67" x14ac:dyDescent="0.2">
      <c r="C14" s="1296" t="s">
        <v>1235</v>
      </c>
      <c r="D14" s="1296" t="s">
        <v>1236</v>
      </c>
      <c r="E14" s="1296" t="s">
        <v>1237</v>
      </c>
      <c r="F14" s="785" t="s">
        <v>1238</v>
      </c>
      <c r="G14" s="1296" t="s">
        <v>1239</v>
      </c>
      <c r="H14" s="1296"/>
      <c r="I14" s="1297"/>
      <c r="J14" s="985" t="s">
        <v>12</v>
      </c>
      <c r="K14" s="983" t="s">
        <v>12</v>
      </c>
      <c r="L14" s="470" t="s">
        <v>12</v>
      </c>
      <c r="M14" s="470">
        <f t="shared" si="2"/>
        <v>111</v>
      </c>
      <c r="N14" s="470" t="str">
        <f t="shared" si="0"/>
        <v>LA:111</v>
      </c>
      <c r="O14" s="470" t="s">
        <v>660</v>
      </c>
      <c r="AQ14" s="477" t="s">
        <v>12</v>
      </c>
      <c r="AR14" s="477">
        <f t="shared" si="1"/>
        <v>0</v>
      </c>
      <c r="AS14" s="480"/>
      <c r="AT14" s="479" t="s">
        <v>33</v>
      </c>
      <c r="AU14" s="480"/>
      <c r="AV14" s="480"/>
      <c r="AW14" s="480"/>
      <c r="AX14" s="480"/>
      <c r="AY14" s="480"/>
      <c r="AZ14" s="480"/>
      <c r="BA14" s="480"/>
      <c r="BB14" s="480"/>
      <c r="BC14" s="480"/>
      <c r="BD14" s="480"/>
      <c r="BE14" s="480"/>
      <c r="BF14" s="480"/>
      <c r="BG14" s="480"/>
      <c r="BH14" s="480"/>
      <c r="BI14" s="480"/>
      <c r="BJ14" s="478"/>
      <c r="BK14" s="480"/>
      <c r="BL14" s="480"/>
      <c r="BM14" s="480"/>
      <c r="BN14" s="480"/>
      <c r="BO14" s="470">
        <v>12</v>
      </c>
    </row>
    <row r="15" spans="2:67" x14ac:dyDescent="0.2">
      <c r="B15" s="1297" t="s">
        <v>73</v>
      </c>
      <c r="C15" s="1298">
        <v>1.117600343256699</v>
      </c>
      <c r="D15" s="1298">
        <v>0.89683435330422845</v>
      </c>
      <c r="E15" s="1298">
        <v>0.26088339474688954</v>
      </c>
      <c r="F15" s="1497">
        <v>1.633193382663845</v>
      </c>
      <c r="G15" s="1497"/>
      <c r="H15" s="1497"/>
      <c r="J15" s="985" t="s">
        <v>3</v>
      </c>
      <c r="K15" s="983" t="s">
        <v>3</v>
      </c>
      <c r="L15" s="470" t="s">
        <v>3</v>
      </c>
      <c r="M15" s="470">
        <f t="shared" si="2"/>
        <v>112</v>
      </c>
      <c r="N15" s="470" t="str">
        <f t="shared" si="0"/>
        <v>LA:112</v>
      </c>
      <c r="O15" s="470" t="s">
        <v>660</v>
      </c>
      <c r="AQ15" s="477" t="s">
        <v>3</v>
      </c>
      <c r="AR15" s="477">
        <f t="shared" si="1"/>
        <v>0</v>
      </c>
      <c r="AS15" s="480"/>
      <c r="AT15" s="479" t="s">
        <v>33</v>
      </c>
      <c r="AU15" s="480"/>
      <c r="AV15" s="480"/>
      <c r="AW15" s="480"/>
      <c r="AX15" s="480"/>
      <c r="AY15" s="480"/>
      <c r="AZ15" s="480"/>
      <c r="BA15" s="480"/>
      <c r="BB15" s="480"/>
      <c r="BC15" s="480"/>
      <c r="BD15" s="480"/>
      <c r="BE15" s="480"/>
      <c r="BF15" s="480"/>
      <c r="BG15" s="480"/>
      <c r="BH15" s="480"/>
      <c r="BI15" s="480"/>
      <c r="BJ15" s="478"/>
      <c r="BK15" s="480"/>
      <c r="BL15" s="480"/>
      <c r="BM15" s="480"/>
      <c r="BN15" s="480"/>
      <c r="BO15" s="470">
        <v>13</v>
      </c>
    </row>
    <row r="16" spans="2:67" x14ac:dyDescent="0.2">
      <c r="B16" s="1297" t="s">
        <v>920</v>
      </c>
      <c r="C16" s="1298">
        <v>9.6387778448552979</v>
      </c>
      <c r="D16" s="1298">
        <v>11.638222837162425</v>
      </c>
      <c r="E16" s="1298">
        <v>-2.8145525941218734</v>
      </c>
      <c r="F16" s="1497">
        <v>156.27114341801121</v>
      </c>
      <c r="G16" s="1497"/>
      <c r="H16" s="1497"/>
      <c r="J16" s="985" t="s">
        <v>13</v>
      </c>
      <c r="K16" s="983" t="s">
        <v>13</v>
      </c>
      <c r="L16" s="470" t="s">
        <v>13</v>
      </c>
      <c r="M16" s="470">
        <f t="shared" si="2"/>
        <v>113</v>
      </c>
      <c r="N16" s="470" t="str">
        <f t="shared" si="0"/>
        <v>LA:113</v>
      </c>
      <c r="O16" s="470" t="s">
        <v>660</v>
      </c>
      <c r="AQ16" s="477" t="s">
        <v>13</v>
      </c>
      <c r="AR16" s="477">
        <f t="shared" si="1"/>
        <v>0</v>
      </c>
      <c r="AS16" s="480"/>
      <c r="AT16" s="480"/>
      <c r="AU16" s="480"/>
      <c r="AV16" s="480"/>
      <c r="AW16" s="480"/>
      <c r="AX16" s="480"/>
      <c r="AY16" s="480"/>
      <c r="AZ16" s="480"/>
      <c r="BA16" s="480"/>
      <c r="BB16" s="480"/>
      <c r="BC16" s="480"/>
      <c r="BD16" s="480"/>
      <c r="BE16" s="480"/>
      <c r="BF16" s="480"/>
      <c r="BG16" s="480"/>
      <c r="BH16" s="480"/>
      <c r="BI16" s="480"/>
      <c r="BJ16" s="478"/>
      <c r="BK16" s="480"/>
      <c r="BL16" s="480"/>
      <c r="BM16" s="480"/>
      <c r="BN16" s="480"/>
      <c r="BO16" s="470">
        <v>14</v>
      </c>
    </row>
    <row r="17" spans="2:67" x14ac:dyDescent="0.2">
      <c r="B17" s="1297" t="s">
        <v>921</v>
      </c>
      <c r="C17" s="1298">
        <v>0.16011684890224265</v>
      </c>
      <c r="D17" s="1298">
        <v>0.17710906068405521</v>
      </c>
      <c r="E17" s="1298">
        <v>4.967578819793015E-2</v>
      </c>
      <c r="F17" s="1497">
        <v>1.3676737141542449E-2</v>
      </c>
      <c r="G17" s="1497"/>
      <c r="H17" s="1497"/>
      <c r="J17" s="985" t="s">
        <v>14</v>
      </c>
      <c r="K17" s="983" t="s">
        <v>95</v>
      </c>
      <c r="L17" s="470" t="s">
        <v>95</v>
      </c>
      <c r="M17" s="470">
        <f t="shared" si="2"/>
        <v>114</v>
      </c>
      <c r="N17" s="470" t="str">
        <f t="shared" si="0"/>
        <v>LA:114</v>
      </c>
      <c r="O17" s="470" t="s">
        <v>660</v>
      </c>
      <c r="AQ17" s="477" t="s">
        <v>95</v>
      </c>
      <c r="AR17" s="477">
        <f t="shared" si="1"/>
        <v>0</v>
      </c>
      <c r="AS17" s="480"/>
      <c r="AT17" s="480"/>
      <c r="AU17" s="480"/>
      <c r="AV17" s="480"/>
      <c r="AW17" s="480"/>
      <c r="AX17" s="480"/>
      <c r="AY17" s="480"/>
      <c r="AZ17" s="480"/>
      <c r="BA17" s="480"/>
      <c r="BB17" s="480"/>
      <c r="BC17" s="480"/>
      <c r="BD17" s="480"/>
      <c r="BE17" s="480"/>
      <c r="BF17" s="480"/>
      <c r="BG17" s="480"/>
      <c r="BH17" s="480"/>
      <c r="BI17" s="480"/>
      <c r="BJ17" s="478"/>
      <c r="BK17" s="480"/>
      <c r="BL17" s="480"/>
      <c r="BM17" s="480"/>
      <c r="BN17" s="480"/>
      <c r="BO17" s="470">
        <v>15</v>
      </c>
    </row>
    <row r="18" spans="2:67" x14ac:dyDescent="0.2">
      <c r="J18" s="985" t="s">
        <v>7</v>
      </c>
      <c r="K18" s="983" t="s">
        <v>14</v>
      </c>
      <c r="L18" s="470" t="s">
        <v>14</v>
      </c>
      <c r="M18" s="470">
        <f t="shared" si="2"/>
        <v>115</v>
      </c>
      <c r="N18" s="470" t="str">
        <f t="shared" si="0"/>
        <v>LA:115</v>
      </c>
      <c r="O18" s="470" t="s">
        <v>660</v>
      </c>
      <c r="AQ18" s="477" t="s">
        <v>14</v>
      </c>
      <c r="AR18" s="477">
        <f t="shared" si="1"/>
        <v>0</v>
      </c>
      <c r="AS18" s="480"/>
      <c r="AT18" s="479" t="s">
        <v>33</v>
      </c>
      <c r="AU18" s="480"/>
      <c r="AV18" s="480"/>
      <c r="AW18" s="480"/>
      <c r="AX18" s="480"/>
      <c r="AY18" s="480"/>
      <c r="AZ18" s="480"/>
      <c r="BA18" s="480"/>
      <c r="BB18" s="480"/>
      <c r="BC18" s="479" t="s">
        <v>33</v>
      </c>
      <c r="BD18" s="480"/>
      <c r="BE18" s="480"/>
      <c r="BF18" s="480"/>
      <c r="BG18" s="479" t="s">
        <v>33</v>
      </c>
      <c r="BH18" s="480"/>
      <c r="BI18" s="480"/>
      <c r="BJ18" s="478"/>
      <c r="BK18" s="480"/>
      <c r="BL18" s="480"/>
      <c r="BM18" s="480"/>
      <c r="BN18" s="480"/>
      <c r="BO18" s="470">
        <v>16</v>
      </c>
    </row>
    <row r="19" spans="2:67" x14ac:dyDescent="0.2">
      <c r="J19" s="985" t="s">
        <v>15</v>
      </c>
      <c r="K19" s="983" t="s">
        <v>7</v>
      </c>
      <c r="L19" s="470" t="s">
        <v>7</v>
      </c>
      <c r="M19" s="470">
        <f t="shared" si="2"/>
        <v>116</v>
      </c>
      <c r="N19" s="470" t="str">
        <f t="shared" si="0"/>
        <v>LA:116</v>
      </c>
      <c r="O19" s="470" t="s">
        <v>660</v>
      </c>
      <c r="AQ19" s="477" t="s">
        <v>7</v>
      </c>
      <c r="AR19" s="477">
        <f t="shared" si="1"/>
        <v>0</v>
      </c>
      <c r="AS19" s="479" t="s">
        <v>33</v>
      </c>
      <c r="AT19" s="480"/>
      <c r="AU19" s="479" t="s">
        <v>33</v>
      </c>
      <c r="AV19" s="480"/>
      <c r="AW19" s="480"/>
      <c r="AX19" s="480"/>
      <c r="AY19" s="480"/>
      <c r="AZ19" s="480"/>
      <c r="BA19" s="480"/>
      <c r="BB19" s="479" t="s">
        <v>33</v>
      </c>
      <c r="BC19" s="480"/>
      <c r="BD19" s="480"/>
      <c r="BE19" s="480"/>
      <c r="BF19" s="480"/>
      <c r="BG19" s="480"/>
      <c r="BH19" s="480"/>
      <c r="BI19" s="480"/>
      <c r="BJ19" s="478"/>
      <c r="BK19" s="479" t="s">
        <v>33</v>
      </c>
      <c r="BL19" s="480"/>
      <c r="BM19" s="479" t="s">
        <v>33</v>
      </c>
      <c r="BN19" s="479" t="s">
        <v>33</v>
      </c>
      <c r="BO19" s="470">
        <v>17</v>
      </c>
    </row>
    <row r="20" spans="2:67" x14ac:dyDescent="0.2">
      <c r="B20" s="785" t="s">
        <v>656</v>
      </c>
      <c r="J20" s="985" t="s">
        <v>5</v>
      </c>
      <c r="K20" s="983" t="s">
        <v>113</v>
      </c>
      <c r="L20" s="470" t="s">
        <v>113</v>
      </c>
      <c r="M20" s="470">
        <f t="shared" si="2"/>
        <v>117</v>
      </c>
      <c r="N20" s="470" t="str">
        <f t="shared" si="0"/>
        <v>LA:117</v>
      </c>
      <c r="O20" s="470" t="s">
        <v>660</v>
      </c>
      <c r="AQ20" s="477" t="s">
        <v>113</v>
      </c>
      <c r="AR20" s="477">
        <f t="shared" si="1"/>
        <v>0</v>
      </c>
      <c r="AS20" s="481"/>
      <c r="AT20" s="482"/>
      <c r="AU20" s="481"/>
      <c r="AV20" s="482"/>
      <c r="AW20" s="482"/>
      <c r="AX20" s="482"/>
      <c r="AY20" s="479" t="s">
        <v>33</v>
      </c>
      <c r="AZ20" s="479" t="s">
        <v>33</v>
      </c>
      <c r="BA20" s="479" t="s">
        <v>33</v>
      </c>
      <c r="BB20" s="481"/>
      <c r="BC20" s="482"/>
      <c r="BD20" s="482"/>
      <c r="BE20" s="482"/>
      <c r="BF20" s="482"/>
      <c r="BG20" s="482"/>
      <c r="BH20" s="482"/>
      <c r="BI20" s="482"/>
      <c r="BJ20" s="483"/>
      <c r="BK20" s="481"/>
      <c r="BL20" s="482"/>
      <c r="BM20" s="481"/>
      <c r="BN20" s="481"/>
      <c r="BO20" s="470">
        <v>18</v>
      </c>
    </row>
    <row r="21" spans="2:67" x14ac:dyDescent="0.2">
      <c r="D21" s="971">
        <v>2</v>
      </c>
      <c r="E21" s="971">
        <v>3</v>
      </c>
      <c r="F21" s="971">
        <v>4</v>
      </c>
      <c r="G21" s="971">
        <v>5</v>
      </c>
      <c r="H21" s="971">
        <v>6</v>
      </c>
      <c r="J21" s="985" t="s">
        <v>30</v>
      </c>
      <c r="K21" s="983" t="s">
        <v>114</v>
      </c>
      <c r="L21" s="470" t="s">
        <v>114</v>
      </c>
      <c r="M21" s="470">
        <f t="shared" si="2"/>
        <v>118</v>
      </c>
      <c r="N21" s="470" t="str">
        <f t="shared" si="0"/>
        <v>LA:118</v>
      </c>
      <c r="O21" s="470" t="s">
        <v>660</v>
      </c>
      <c r="AQ21" s="477" t="s">
        <v>114</v>
      </c>
      <c r="AR21" s="477">
        <f t="shared" si="1"/>
        <v>0</v>
      </c>
      <c r="AS21" s="481"/>
      <c r="AT21" s="482"/>
      <c r="AU21" s="481"/>
      <c r="AV21" s="482"/>
      <c r="AW21" s="482"/>
      <c r="AX21" s="479" t="s">
        <v>33</v>
      </c>
      <c r="AY21" s="482"/>
      <c r="AZ21" s="482"/>
      <c r="BA21" s="482"/>
      <c r="BB21" s="481"/>
      <c r="BC21" s="482"/>
      <c r="BD21" s="482"/>
      <c r="BE21" s="482"/>
      <c r="BF21" s="482"/>
      <c r="BG21" s="482"/>
      <c r="BH21" s="482"/>
      <c r="BI21" s="482"/>
      <c r="BJ21" s="483"/>
      <c r="BK21" s="481"/>
      <c r="BL21" s="482"/>
      <c r="BM21" s="481"/>
      <c r="BN21" s="481"/>
      <c r="BO21" s="470">
        <v>19</v>
      </c>
    </row>
    <row r="22" spans="2:67" x14ac:dyDescent="0.2">
      <c r="C22" s="1282" t="s">
        <v>644</v>
      </c>
      <c r="D22" s="1286" t="s">
        <v>559</v>
      </c>
      <c r="E22" s="1286" t="s">
        <v>558</v>
      </c>
      <c r="F22" s="1286" t="s">
        <v>210</v>
      </c>
      <c r="G22" s="1287" t="s">
        <v>650</v>
      </c>
      <c r="H22" s="1287" t="s">
        <v>987</v>
      </c>
      <c r="J22" s="986" t="s">
        <v>16</v>
      </c>
      <c r="K22" s="983" t="s">
        <v>15</v>
      </c>
      <c r="L22" s="470" t="s">
        <v>15</v>
      </c>
      <c r="M22" s="470">
        <f t="shared" si="2"/>
        <v>119</v>
      </c>
      <c r="N22" s="470" t="str">
        <f t="shared" si="0"/>
        <v>LA:119</v>
      </c>
      <c r="O22" s="470" t="s">
        <v>660</v>
      </c>
      <c r="AQ22" s="477" t="s">
        <v>15</v>
      </c>
      <c r="AR22" s="477">
        <f t="shared" si="1"/>
        <v>0</v>
      </c>
      <c r="AS22" s="480"/>
      <c r="AT22" s="480"/>
      <c r="AU22" s="479" t="s">
        <v>33</v>
      </c>
      <c r="AV22" s="480"/>
      <c r="AW22" s="479" t="s">
        <v>33</v>
      </c>
      <c r="AX22" s="480"/>
      <c r="AY22" s="480"/>
      <c r="AZ22" s="480"/>
      <c r="BA22" s="480"/>
      <c r="BB22" s="479" t="s">
        <v>33</v>
      </c>
      <c r="BC22" s="480"/>
      <c r="BD22" s="480"/>
      <c r="BE22" s="480"/>
      <c r="BF22" s="480"/>
      <c r="BG22" s="480"/>
      <c r="BH22" s="479" t="s">
        <v>33</v>
      </c>
      <c r="BI22" s="480"/>
      <c r="BJ22" s="478"/>
      <c r="BK22" s="480"/>
      <c r="BL22" s="480"/>
      <c r="BM22" s="479" t="s">
        <v>33</v>
      </c>
      <c r="BN22" s="479" t="s">
        <v>33</v>
      </c>
      <c r="BO22" s="470">
        <v>20</v>
      </c>
    </row>
    <row r="23" spans="2:67" x14ac:dyDescent="0.2">
      <c r="C23" s="1282" t="s">
        <v>645</v>
      </c>
      <c r="D23" s="1284" t="e">
        <f>NA()</f>
        <v>#N/A</v>
      </c>
      <c r="E23" s="1285" t="e">
        <f>NA()</f>
        <v>#N/A</v>
      </c>
      <c r="F23" s="1285" t="e">
        <f>NA()</f>
        <v>#N/A</v>
      </c>
      <c r="G23" s="1285" t="e">
        <f>NA()</f>
        <v>#N/A</v>
      </c>
      <c r="H23" s="1288" t="e">
        <f>NA()</f>
        <v>#N/A</v>
      </c>
      <c r="K23" s="983" t="s">
        <v>5</v>
      </c>
      <c r="L23" s="470" t="s">
        <v>5</v>
      </c>
      <c r="M23" s="470">
        <f t="shared" si="2"/>
        <v>120</v>
      </c>
      <c r="N23" s="470" t="str">
        <f t="shared" si="0"/>
        <v>LA:120</v>
      </c>
      <c r="O23" s="470" t="s">
        <v>660</v>
      </c>
      <c r="AQ23" s="477" t="s">
        <v>5</v>
      </c>
      <c r="AR23" s="477">
        <f t="shared" si="1"/>
        <v>0</v>
      </c>
      <c r="AS23" s="480"/>
      <c r="AT23" s="480"/>
      <c r="AU23" s="480"/>
      <c r="AV23" s="479" t="s">
        <v>33</v>
      </c>
      <c r="AW23" s="479" t="s">
        <v>33</v>
      </c>
      <c r="AX23" s="480"/>
      <c r="AY23" s="479" t="s">
        <v>33</v>
      </c>
      <c r="AZ23" s="480"/>
      <c r="BA23" s="480"/>
      <c r="BB23" s="480"/>
      <c r="BC23" s="480"/>
      <c r="BD23" s="480"/>
      <c r="BE23" s="480"/>
      <c r="BF23" s="480"/>
      <c r="BG23" s="480"/>
      <c r="BH23" s="480"/>
      <c r="BI23" s="480"/>
      <c r="BJ23" s="480"/>
      <c r="BK23" s="480"/>
      <c r="BL23" s="480"/>
      <c r="BM23" s="480"/>
      <c r="BN23" s="480"/>
      <c r="BO23" s="470">
        <v>21</v>
      </c>
    </row>
    <row r="24" spans="2:67" x14ac:dyDescent="0.2">
      <c r="C24" s="1282" t="s">
        <v>646</v>
      </c>
      <c r="D24" s="1283" t="s">
        <v>987</v>
      </c>
      <c r="E24" s="1283" t="s">
        <v>987</v>
      </c>
      <c r="F24" s="1283" t="s">
        <v>987</v>
      </c>
      <c r="G24" s="1287" t="s">
        <v>987</v>
      </c>
      <c r="H24" s="1287" t="s">
        <v>1248</v>
      </c>
      <c r="K24" s="983" t="s">
        <v>30</v>
      </c>
      <c r="L24" s="470" t="s">
        <v>30</v>
      </c>
      <c r="M24" s="470">
        <f t="shared" si="2"/>
        <v>121</v>
      </c>
      <c r="N24" s="470" t="str">
        <f t="shared" si="0"/>
        <v>LA:121</v>
      </c>
      <c r="O24" s="470" t="s">
        <v>660</v>
      </c>
      <c r="AQ24" s="477" t="s">
        <v>30</v>
      </c>
      <c r="AR24" s="477">
        <f t="shared" si="1"/>
        <v>0</v>
      </c>
      <c r="AS24" s="479" t="s">
        <v>33</v>
      </c>
      <c r="AT24" s="484"/>
      <c r="AU24" s="479" t="s">
        <v>33</v>
      </c>
      <c r="AV24" s="484"/>
      <c r="AW24" s="484"/>
      <c r="AX24" s="484"/>
      <c r="AY24" s="484"/>
      <c r="AZ24" s="484"/>
      <c r="BA24" s="484"/>
      <c r="BB24" s="484"/>
      <c r="BC24" s="484"/>
      <c r="BD24" s="484"/>
      <c r="BE24" s="484"/>
      <c r="BF24" s="480"/>
      <c r="BG24" s="484"/>
      <c r="BH24" s="479" t="s">
        <v>33</v>
      </c>
      <c r="BI24" s="480"/>
      <c r="BJ24" s="480"/>
      <c r="BK24" s="485"/>
      <c r="BL24" s="484"/>
      <c r="BM24" s="484"/>
      <c r="BN24" s="479" t="s">
        <v>33</v>
      </c>
      <c r="BO24" s="470">
        <v>22</v>
      </c>
    </row>
    <row r="25" spans="2:67" x14ac:dyDescent="0.2">
      <c r="C25" s="1282" t="s">
        <v>647</v>
      </c>
      <c r="D25" s="1289" t="s">
        <v>654</v>
      </c>
      <c r="E25" s="1289" t="s">
        <v>651</v>
      </c>
      <c r="F25" s="1289" t="s">
        <v>652</v>
      </c>
      <c r="G25" s="1289" t="s">
        <v>653</v>
      </c>
      <c r="H25" s="1289" t="s">
        <v>654</v>
      </c>
      <c r="K25" s="983" t="s">
        <v>16</v>
      </c>
      <c r="L25" s="470" t="s">
        <v>16</v>
      </c>
      <c r="M25" s="470">
        <f t="shared" si="2"/>
        <v>122</v>
      </c>
      <c r="N25" s="470" t="str">
        <f t="shared" si="0"/>
        <v>LA:122</v>
      </c>
      <c r="O25" s="470" t="s">
        <v>660</v>
      </c>
      <c r="AQ25" s="477" t="s">
        <v>16</v>
      </c>
      <c r="AR25" s="477">
        <f t="shared" si="1"/>
        <v>0</v>
      </c>
      <c r="AS25" s="486"/>
      <c r="AT25" s="484"/>
      <c r="AU25" s="479" t="s">
        <v>33</v>
      </c>
      <c r="AV25" s="484"/>
      <c r="AW25" s="484"/>
      <c r="AX25" s="484"/>
      <c r="AY25" s="484"/>
      <c r="AZ25" s="484"/>
      <c r="BA25" s="484"/>
      <c r="BB25" s="484"/>
      <c r="BC25" s="484"/>
      <c r="BD25" s="485"/>
      <c r="BE25" s="485"/>
      <c r="BF25" s="484"/>
      <c r="BG25" s="485"/>
      <c r="BH25" s="479" t="s">
        <v>33</v>
      </c>
      <c r="BI25" s="484"/>
      <c r="BJ25" s="484"/>
      <c r="BK25" s="485"/>
      <c r="BL25" s="485"/>
      <c r="BM25" s="479" t="s">
        <v>33</v>
      </c>
      <c r="BN25" s="485"/>
      <c r="BO25" s="470">
        <v>23</v>
      </c>
    </row>
    <row r="26" spans="2:67" x14ac:dyDescent="0.2">
      <c r="K26" s="987" t="s">
        <v>74</v>
      </c>
      <c r="AQ26" s="487"/>
      <c r="AR26" s="487"/>
    </row>
    <row r="27" spans="2:67" x14ac:dyDescent="0.2">
      <c r="C27" s="971">
        <v>1</v>
      </c>
      <c r="D27" s="1281" t="str">
        <f t="shared" ref="D27:H28" si="3">VLOOKUP(CONCATENATE($C$3,$C27),$C$22:$H$25,D$21,FALSE)</f>
        <v>2015-16</v>
      </c>
      <c r="E27" s="972" t="str">
        <f t="shared" si="3"/>
        <v>2016-17</v>
      </c>
      <c r="F27" s="972" t="str">
        <f t="shared" si="3"/>
        <v>2017-18</v>
      </c>
      <c r="G27" s="972" t="str">
        <f t="shared" si="3"/>
        <v>2018-19</v>
      </c>
      <c r="H27" s="972" t="str">
        <f t="shared" si="3"/>
        <v>2019-20</v>
      </c>
      <c r="K27" s="988" t="s">
        <v>127</v>
      </c>
    </row>
    <row r="28" spans="2:67" x14ac:dyDescent="0.2">
      <c r="C28" s="971">
        <v>2</v>
      </c>
      <c r="D28" s="1281" t="e">
        <f t="shared" si="3"/>
        <v>#N/A</v>
      </c>
      <c r="E28" s="972" t="e">
        <f t="shared" si="3"/>
        <v>#N/A</v>
      </c>
      <c r="F28" s="972" t="e">
        <f t="shared" si="3"/>
        <v>#N/A</v>
      </c>
      <c r="G28" s="972" t="e">
        <f t="shared" si="3"/>
        <v>#N/A</v>
      </c>
      <c r="H28" s="972" t="e">
        <f>VLOOKUP(CONCATENATE($C$3,$C28),$C$22:$H$25,H$21,FALSE)</f>
        <v>#N/A</v>
      </c>
    </row>
    <row r="29" spans="2:67" x14ac:dyDescent="0.2">
      <c r="B29" s="470" t="s">
        <v>909</v>
      </c>
      <c r="C29" s="470" t="s">
        <v>927</v>
      </c>
      <c r="D29" s="1430">
        <v>41699</v>
      </c>
      <c r="E29" s="1430">
        <v>42064</v>
      </c>
      <c r="F29" s="1430">
        <v>42430</v>
      </c>
      <c r="G29" s="1430">
        <v>42795</v>
      </c>
      <c r="H29" s="1430">
        <v>43160</v>
      </c>
      <c r="J29" s="470" t="s">
        <v>611</v>
      </c>
    </row>
    <row r="30" spans="2:67" x14ac:dyDescent="0.2">
      <c r="C30" s="470" t="s">
        <v>1251</v>
      </c>
      <c r="D30" s="470" t="s">
        <v>1253</v>
      </c>
      <c r="E30" s="470" t="s">
        <v>1252</v>
      </c>
      <c r="F30" s="470" t="s">
        <v>559</v>
      </c>
      <c r="G30" s="470" t="s">
        <v>558</v>
      </c>
      <c r="H30" s="470" t="s">
        <v>210</v>
      </c>
      <c r="J30" s="470" t="s">
        <v>612</v>
      </c>
    </row>
    <row r="31" spans="2:67" x14ac:dyDescent="0.2">
      <c r="B31" s="470" t="s">
        <v>714</v>
      </c>
      <c r="C31" s="785" t="s">
        <v>707</v>
      </c>
      <c r="J31" s="470" t="s">
        <v>8</v>
      </c>
    </row>
    <row r="32" spans="2:67" x14ac:dyDescent="0.2">
      <c r="B32" s="965" t="s">
        <v>708</v>
      </c>
      <c r="C32" s="470" t="s">
        <v>643</v>
      </c>
      <c r="D32" s="972" t="str">
        <f>D$22</f>
        <v>2015-16</v>
      </c>
      <c r="E32" s="972" t="str">
        <f t="shared" ref="E32:G32" si="4">E$22</f>
        <v>2016-17</v>
      </c>
      <c r="F32" s="972" t="str">
        <f t="shared" si="4"/>
        <v>2017-18</v>
      </c>
      <c r="G32" s="972" t="str">
        <f t="shared" si="4"/>
        <v>2018-19</v>
      </c>
      <c r="H32" s="972" t="str">
        <f>H$22</f>
        <v>2019-20</v>
      </c>
      <c r="J32" s="470" t="s">
        <v>613</v>
      </c>
    </row>
    <row r="33" spans="2:35" x14ac:dyDescent="0.2">
      <c r="B33" s="470" t="str">
        <f t="shared" ref="B33:B57" si="5">CONCATENATE($B$31,$C$32,C33)</f>
        <v>0-17Annual</v>
      </c>
      <c r="C33" s="1003"/>
      <c r="D33" s="1439" t="s">
        <v>126</v>
      </c>
      <c r="E33" s="1438" t="s">
        <v>189</v>
      </c>
      <c r="F33" s="1438" t="s">
        <v>237</v>
      </c>
      <c r="G33" s="1438" t="s">
        <v>988</v>
      </c>
      <c r="H33" s="955" t="s">
        <v>1246</v>
      </c>
      <c r="J33" s="470" t="s">
        <v>6</v>
      </c>
      <c r="AI33" s="970"/>
    </row>
    <row r="34" spans="2:35" x14ac:dyDescent="0.2">
      <c r="B34" s="470" t="str">
        <f t="shared" si="5"/>
        <v>0-17AnnualBracknell Forest</v>
      </c>
      <c r="C34" s="961" t="s">
        <v>0</v>
      </c>
      <c r="D34" s="1440">
        <v>28200</v>
      </c>
      <c r="E34" s="1002">
        <v>28200</v>
      </c>
      <c r="F34" s="1002">
        <v>28100</v>
      </c>
      <c r="G34" s="1002">
        <v>28300</v>
      </c>
      <c r="H34" s="1002">
        <v>28400</v>
      </c>
      <c r="J34" s="470" t="s">
        <v>614</v>
      </c>
      <c r="AI34" s="970"/>
    </row>
    <row r="35" spans="2:35" x14ac:dyDescent="0.2">
      <c r="B35" s="470" t="str">
        <f t="shared" si="5"/>
        <v>0-17AnnualBrighton &amp; Hove</v>
      </c>
      <c r="C35" s="962" t="s">
        <v>31</v>
      </c>
      <c r="D35" s="1440">
        <v>51200</v>
      </c>
      <c r="E35" s="1002">
        <v>51300</v>
      </c>
      <c r="F35" s="1002">
        <v>51000</v>
      </c>
      <c r="G35" s="1002">
        <v>51000</v>
      </c>
      <c r="H35" s="1002">
        <v>50300</v>
      </c>
      <c r="J35" s="470" t="s">
        <v>9</v>
      </c>
      <c r="AI35" s="970"/>
    </row>
    <row r="36" spans="2:35" x14ac:dyDescent="0.2">
      <c r="B36" s="470" t="str">
        <f t="shared" si="5"/>
        <v>0-17AnnualBuckinghamshire</v>
      </c>
      <c r="C36" s="961" t="s">
        <v>8</v>
      </c>
      <c r="D36" s="1440">
        <v>120600</v>
      </c>
      <c r="E36" s="1002">
        <v>122200</v>
      </c>
      <c r="F36" s="1002">
        <v>123100</v>
      </c>
      <c r="G36" s="1002">
        <v>124300</v>
      </c>
      <c r="H36" s="1002">
        <v>125700</v>
      </c>
      <c r="J36" s="470" t="s">
        <v>2</v>
      </c>
      <c r="AI36" s="970"/>
    </row>
    <row r="37" spans="2:35" x14ac:dyDescent="0.2">
      <c r="B37" s="470" t="str">
        <f t="shared" si="5"/>
        <v>0-17AnnualEast Sussex</v>
      </c>
      <c r="C37" s="961" t="s">
        <v>4</v>
      </c>
      <c r="D37" s="1440">
        <v>105900</v>
      </c>
      <c r="E37" s="1002">
        <v>105900</v>
      </c>
      <c r="F37" s="1002">
        <v>106000</v>
      </c>
      <c r="G37" s="1002">
        <v>106400</v>
      </c>
      <c r="H37" s="1002">
        <v>106300</v>
      </c>
      <c r="J37" s="470" t="s">
        <v>615</v>
      </c>
      <c r="AI37" s="970"/>
    </row>
    <row r="38" spans="2:35" x14ac:dyDescent="0.2">
      <c r="B38" s="470" t="str">
        <f t="shared" si="5"/>
        <v>0-17AnnualHampshire</v>
      </c>
      <c r="C38" s="962" t="s">
        <v>6</v>
      </c>
      <c r="D38" s="1440">
        <v>281900</v>
      </c>
      <c r="E38" s="1002">
        <v>282800</v>
      </c>
      <c r="F38" s="1002">
        <v>283300</v>
      </c>
      <c r="G38" s="1002">
        <v>284000</v>
      </c>
      <c r="H38" s="1002">
        <v>284300</v>
      </c>
      <c r="J38" s="470" t="s">
        <v>11</v>
      </c>
      <c r="AI38" s="970"/>
    </row>
    <row r="39" spans="2:35" x14ac:dyDescent="0.2">
      <c r="B39" s="470" t="str">
        <f t="shared" si="5"/>
        <v>0-17AnnualIsle of Wight</v>
      </c>
      <c r="C39" s="961" t="s">
        <v>1</v>
      </c>
      <c r="D39" s="1440">
        <v>25300</v>
      </c>
      <c r="E39" s="1002">
        <v>25200</v>
      </c>
      <c r="F39" s="1002">
        <v>25100</v>
      </c>
      <c r="G39" s="1002">
        <v>24900</v>
      </c>
      <c r="H39" s="1002">
        <v>24700</v>
      </c>
      <c r="J39" s="470" t="s">
        <v>12</v>
      </c>
      <c r="AI39" s="970"/>
    </row>
    <row r="40" spans="2:35" x14ac:dyDescent="0.2">
      <c r="B40" s="470" t="str">
        <f t="shared" si="5"/>
        <v>0-17AnnualKent</v>
      </c>
      <c r="C40" s="961" t="s">
        <v>9</v>
      </c>
      <c r="D40" s="1440">
        <v>330400</v>
      </c>
      <c r="E40" s="1002">
        <v>333000</v>
      </c>
      <c r="F40" s="1002">
        <v>336100</v>
      </c>
      <c r="G40" s="1002">
        <v>340100</v>
      </c>
      <c r="H40" s="1002">
        <v>343800</v>
      </c>
      <c r="J40" s="470" t="s">
        <v>3</v>
      </c>
      <c r="AI40" s="970"/>
    </row>
    <row r="41" spans="2:35" x14ac:dyDescent="0.2">
      <c r="B41" s="470" t="str">
        <f t="shared" si="5"/>
        <v>0-17AnnualMedway</v>
      </c>
      <c r="C41" s="961" t="s">
        <v>2</v>
      </c>
      <c r="D41" s="1440">
        <v>63200</v>
      </c>
      <c r="E41" s="1002">
        <v>63700</v>
      </c>
      <c r="F41" s="1002">
        <v>63900</v>
      </c>
      <c r="G41" s="1002">
        <v>64400</v>
      </c>
      <c r="H41" s="1002">
        <v>65000</v>
      </c>
      <c r="J41" s="470" t="s">
        <v>13</v>
      </c>
      <c r="AI41" s="970"/>
    </row>
    <row r="42" spans="2:35" x14ac:dyDescent="0.2">
      <c r="B42" s="470" t="str">
        <f t="shared" si="5"/>
        <v>0-17AnnualMilton Keynes</v>
      </c>
      <c r="C42" s="961" t="s">
        <v>10</v>
      </c>
      <c r="D42" s="1440">
        <v>66100</v>
      </c>
      <c r="E42" s="1002">
        <v>67100</v>
      </c>
      <c r="F42" s="1002">
        <v>67600</v>
      </c>
      <c r="G42" s="1002">
        <v>68300</v>
      </c>
      <c r="H42" s="1002">
        <v>68800</v>
      </c>
      <c r="J42" s="470" t="s">
        <v>95</v>
      </c>
      <c r="AI42" s="970"/>
    </row>
    <row r="43" spans="2:35" x14ac:dyDescent="0.2">
      <c r="B43" s="470" t="str">
        <f t="shared" si="5"/>
        <v>0-17AnnualOxfordshire</v>
      </c>
      <c r="C43" s="961" t="s">
        <v>11</v>
      </c>
      <c r="D43" s="1440">
        <v>141800</v>
      </c>
      <c r="E43" s="1002">
        <v>142900</v>
      </c>
      <c r="F43" s="1002">
        <v>143400</v>
      </c>
      <c r="G43" s="1002">
        <v>144800</v>
      </c>
      <c r="H43" s="1002">
        <v>146100</v>
      </c>
      <c r="J43" s="470" t="s">
        <v>14</v>
      </c>
      <c r="AI43" s="970"/>
    </row>
    <row r="44" spans="2:35" x14ac:dyDescent="0.2">
      <c r="B44" s="470" t="str">
        <f t="shared" si="5"/>
        <v>0-17AnnualPortsmouth</v>
      </c>
      <c r="C44" s="961" t="s">
        <v>12</v>
      </c>
      <c r="D44" s="1440">
        <v>43800</v>
      </c>
      <c r="E44" s="1002">
        <v>44000</v>
      </c>
      <c r="F44" s="1002">
        <v>44200</v>
      </c>
      <c r="G44" s="1002">
        <v>44000</v>
      </c>
      <c r="H44" s="1002">
        <v>43800</v>
      </c>
      <c r="J44" s="470" t="s">
        <v>7</v>
      </c>
      <c r="AI44" s="970"/>
    </row>
    <row r="45" spans="2:35" x14ac:dyDescent="0.2">
      <c r="B45" s="470" t="str">
        <f t="shared" si="5"/>
        <v>0-17AnnualReading</v>
      </c>
      <c r="C45" s="961" t="s">
        <v>3</v>
      </c>
      <c r="D45" s="1440">
        <v>36400</v>
      </c>
      <c r="E45" s="1002">
        <v>36600</v>
      </c>
      <c r="F45" s="1002">
        <v>37100</v>
      </c>
      <c r="G45" s="1002">
        <v>37100</v>
      </c>
      <c r="H45" s="1002">
        <v>37000</v>
      </c>
      <c r="J45" s="470" t="s">
        <v>113</v>
      </c>
      <c r="AI45" s="970"/>
    </row>
    <row r="46" spans="2:35" x14ac:dyDescent="0.2">
      <c r="B46" s="470" t="str">
        <f t="shared" si="5"/>
        <v>0-17AnnualSlough</v>
      </c>
      <c r="C46" s="961" t="s">
        <v>13</v>
      </c>
      <c r="D46" s="1440">
        <v>40600</v>
      </c>
      <c r="E46" s="1002">
        <v>41400</v>
      </c>
      <c r="F46" s="1002">
        <v>42200</v>
      </c>
      <c r="G46" s="1002">
        <v>42700</v>
      </c>
      <c r="H46" s="1002">
        <v>43100</v>
      </c>
      <c r="J46" s="470" t="s">
        <v>114</v>
      </c>
      <c r="AI46" s="970"/>
    </row>
    <row r="47" spans="2:35" x14ac:dyDescent="0.2">
      <c r="B47" s="470" t="str">
        <f t="shared" si="5"/>
        <v>0-17AnnualSomerset</v>
      </c>
      <c r="C47" s="961" t="s">
        <v>95</v>
      </c>
      <c r="D47" s="1440">
        <v>109200</v>
      </c>
      <c r="E47" s="1002">
        <v>109700</v>
      </c>
      <c r="F47" s="1002">
        <v>110100</v>
      </c>
      <c r="G47" s="1002">
        <v>110700</v>
      </c>
      <c r="H47" s="1002">
        <v>111200</v>
      </c>
      <c r="J47" s="470" t="s">
        <v>616</v>
      </c>
      <c r="AI47" s="970"/>
    </row>
    <row r="48" spans="2:35" x14ac:dyDescent="0.2">
      <c r="B48" s="470" t="str">
        <f t="shared" si="5"/>
        <v>0-17AnnualSouthampton</v>
      </c>
      <c r="C48" s="961" t="s">
        <v>14</v>
      </c>
      <c r="D48" s="1440">
        <v>49200</v>
      </c>
      <c r="E48" s="1002">
        <v>49900</v>
      </c>
      <c r="F48" s="1002">
        <v>50300</v>
      </c>
      <c r="G48" s="1002">
        <v>50800</v>
      </c>
      <c r="H48" s="1002">
        <v>51300</v>
      </c>
      <c r="J48" s="470" t="s">
        <v>617</v>
      </c>
      <c r="AI48" s="970"/>
    </row>
    <row r="49" spans="2:35" x14ac:dyDescent="0.2">
      <c r="B49" s="470" t="str">
        <f t="shared" si="5"/>
        <v>0-17AnnualSurrey</v>
      </c>
      <c r="C49" s="961" t="s">
        <v>7</v>
      </c>
      <c r="D49" s="1440">
        <v>256400</v>
      </c>
      <c r="E49" s="1002">
        <v>259000</v>
      </c>
      <c r="F49" s="1002">
        <v>260300</v>
      </c>
      <c r="G49" s="1002">
        <v>261900</v>
      </c>
      <c r="H49" s="1002">
        <v>263800</v>
      </c>
      <c r="J49" s="470" t="s">
        <v>618</v>
      </c>
      <c r="AI49" s="970"/>
    </row>
    <row r="50" spans="2:35" x14ac:dyDescent="0.2">
      <c r="B50" s="470" t="str">
        <f t="shared" si="5"/>
        <v>0-17AnnualSwindon</v>
      </c>
      <c r="C50" s="961" t="s">
        <v>113</v>
      </c>
      <c r="D50" s="1440">
        <v>49000</v>
      </c>
      <c r="E50" s="1002">
        <v>49500</v>
      </c>
      <c r="F50" s="1002">
        <v>49900</v>
      </c>
      <c r="G50" s="1002">
        <v>50200</v>
      </c>
      <c r="H50" s="1002">
        <v>50400</v>
      </c>
      <c r="J50" s="470" t="s">
        <v>16</v>
      </c>
      <c r="AI50" s="970"/>
    </row>
    <row r="51" spans="2:35" x14ac:dyDescent="0.2">
      <c r="B51" s="470" t="str">
        <f t="shared" si="5"/>
        <v>0-17AnnualTorbay</v>
      </c>
      <c r="C51" s="961" t="s">
        <v>114</v>
      </c>
      <c r="D51" s="1440">
        <v>25200</v>
      </c>
      <c r="E51" s="1002">
        <v>25400</v>
      </c>
      <c r="F51" s="1002">
        <v>25400</v>
      </c>
      <c r="G51" s="1002">
        <v>25400</v>
      </c>
      <c r="H51" s="1002">
        <v>25600</v>
      </c>
      <c r="J51" s="470" t="s">
        <v>509</v>
      </c>
      <c r="AI51" s="970"/>
    </row>
    <row r="52" spans="2:35" x14ac:dyDescent="0.2">
      <c r="B52" s="470" t="str">
        <f t="shared" si="5"/>
        <v>0-17AnnualWest Berkshire</v>
      </c>
      <c r="C52" s="961" t="s">
        <v>15</v>
      </c>
      <c r="D52" s="1440">
        <v>35700</v>
      </c>
      <c r="E52" s="1002">
        <v>35900</v>
      </c>
      <c r="F52" s="1002">
        <v>35800</v>
      </c>
      <c r="G52" s="1002">
        <v>35600</v>
      </c>
      <c r="H52" s="1002">
        <v>35600</v>
      </c>
      <c r="J52" s="470" t="s">
        <v>127</v>
      </c>
      <c r="AI52" s="970"/>
    </row>
    <row r="53" spans="2:35" x14ac:dyDescent="0.2">
      <c r="B53" s="470" t="str">
        <f t="shared" si="5"/>
        <v>0-17AnnualWest Sussex</v>
      </c>
      <c r="C53" s="961" t="s">
        <v>5</v>
      </c>
      <c r="D53" s="1440">
        <v>170400</v>
      </c>
      <c r="E53" s="1002">
        <v>171800</v>
      </c>
      <c r="F53" s="1002">
        <v>173300</v>
      </c>
      <c r="G53" s="1002">
        <v>174700</v>
      </c>
      <c r="H53" s="1002">
        <v>176100</v>
      </c>
      <c r="AI53" s="970"/>
    </row>
    <row r="54" spans="2:35" x14ac:dyDescent="0.2">
      <c r="B54" s="470" t="str">
        <f t="shared" si="5"/>
        <v>0-17AnnualWindsor &amp; Maidenhead</v>
      </c>
      <c r="C54" s="962" t="s">
        <v>30</v>
      </c>
      <c r="D54" s="1440">
        <v>33700</v>
      </c>
      <c r="E54" s="1002">
        <v>34200</v>
      </c>
      <c r="F54" s="1002">
        <v>34400</v>
      </c>
      <c r="G54" s="1002">
        <v>34600</v>
      </c>
      <c r="H54" s="1002">
        <v>34700</v>
      </c>
      <c r="AI54" s="970"/>
    </row>
    <row r="55" spans="2:35" x14ac:dyDescent="0.2">
      <c r="B55" s="470" t="str">
        <f t="shared" si="5"/>
        <v>0-17AnnualWokingham</v>
      </c>
      <c r="C55" s="961" t="s">
        <v>16</v>
      </c>
      <c r="D55" s="1440">
        <v>37300</v>
      </c>
      <c r="E55" s="1002">
        <v>38000</v>
      </c>
      <c r="F55" s="1002">
        <v>38700</v>
      </c>
      <c r="G55" s="1002">
        <v>39500</v>
      </c>
      <c r="H55" s="1002">
        <v>40400</v>
      </c>
      <c r="AI55" s="970"/>
    </row>
    <row r="56" spans="2:35" x14ac:dyDescent="0.2">
      <c r="B56" s="470" t="str">
        <f t="shared" si="5"/>
        <v>0-17AnnualSouth East</v>
      </c>
      <c r="C56" s="963" t="s">
        <v>74</v>
      </c>
      <c r="D56" s="1440">
        <v>1918100</v>
      </c>
      <c r="E56" s="1002">
        <v>1933200</v>
      </c>
      <c r="F56" s="1002">
        <v>1943900</v>
      </c>
      <c r="G56" s="1002">
        <v>1957500</v>
      </c>
      <c r="H56" s="1002">
        <v>1969300</v>
      </c>
      <c r="AI56" s="970"/>
    </row>
    <row r="57" spans="2:35" x14ac:dyDescent="0.2">
      <c r="B57" s="470" t="str">
        <f t="shared" si="5"/>
        <v>0-17AnnualEngland</v>
      </c>
      <c r="C57" s="964" t="s">
        <v>127</v>
      </c>
      <c r="D57" s="1440">
        <v>11677900</v>
      </c>
      <c r="E57" s="1002">
        <v>11785300</v>
      </c>
      <c r="F57" s="1002">
        <v>11867000</v>
      </c>
      <c r="G57" s="1002">
        <v>11954600</v>
      </c>
      <c r="H57" s="1002">
        <v>12023600</v>
      </c>
      <c r="J57" s="1322"/>
      <c r="K57" s="1323" t="s">
        <v>70</v>
      </c>
      <c r="L57" s="1323" t="s">
        <v>71</v>
      </c>
      <c r="M57" s="1323" t="s">
        <v>921</v>
      </c>
    </row>
    <row r="58" spans="2:35" x14ac:dyDescent="0.2">
      <c r="J58" s="1324" t="s">
        <v>979</v>
      </c>
      <c r="K58" s="1325">
        <v>0.84782505007221554</v>
      </c>
      <c r="L58" s="1325">
        <v>12.157229630229935</v>
      </c>
      <c r="M58" s="1325">
        <v>0.21962408233957659</v>
      </c>
    </row>
    <row r="59" spans="2:35" x14ac:dyDescent="0.2">
      <c r="B59" s="470" t="s">
        <v>714</v>
      </c>
      <c r="C59" s="785" t="s">
        <v>707</v>
      </c>
      <c r="D59" s="972" t="str">
        <f>D$24</f>
        <v>2019-20</v>
      </c>
      <c r="E59" s="972" t="str">
        <f t="shared" ref="E59:H59" si="6">E$24</f>
        <v>2019-20</v>
      </c>
      <c r="F59" s="972" t="str">
        <f t="shared" si="6"/>
        <v>2019-20</v>
      </c>
      <c r="G59" s="972" t="str">
        <f t="shared" si="6"/>
        <v>2019-20</v>
      </c>
      <c r="H59" s="972" t="str">
        <f t="shared" si="6"/>
        <v>2020-21</v>
      </c>
      <c r="J59" s="1324" t="s">
        <v>980</v>
      </c>
      <c r="K59" s="1325">
        <v>0.68188609953621271</v>
      </c>
      <c r="L59" s="1325">
        <v>13.645439879591356</v>
      </c>
      <c r="M59" s="1325">
        <v>0.15163932334035232</v>
      </c>
    </row>
    <row r="60" spans="2:35" x14ac:dyDescent="0.2">
      <c r="B60" s="965" t="s">
        <v>708</v>
      </c>
      <c r="C60" s="470" t="s">
        <v>649</v>
      </c>
      <c r="D60" s="972" t="str">
        <f>D$25</f>
        <v>Q1</v>
      </c>
      <c r="E60" s="972" t="str">
        <f t="shared" ref="E60:H60" si="7">E$25</f>
        <v>Q2</v>
      </c>
      <c r="F60" s="972" t="str">
        <f t="shared" si="7"/>
        <v>Q3</v>
      </c>
      <c r="G60" s="972" t="str">
        <f t="shared" si="7"/>
        <v>Q4</v>
      </c>
      <c r="H60" s="972" t="str">
        <f t="shared" si="7"/>
        <v>Q1</v>
      </c>
      <c r="J60" s="1324" t="s">
        <v>981</v>
      </c>
      <c r="K60" s="1325">
        <v>0.16593895053600335</v>
      </c>
      <c r="L60" s="1325">
        <v>-1.4882102493614529</v>
      </c>
      <c r="M60" s="1325">
        <v>4.4850493783119692E-2</v>
      </c>
    </row>
    <row r="61" spans="2:35" x14ac:dyDescent="0.2">
      <c r="B61" s="470" t="str">
        <f>CONCATENATE($B$31,$C$60,C61)</f>
        <v>0-17Quarterly</v>
      </c>
      <c r="C61" s="1003"/>
      <c r="D61" s="1438" t="s">
        <v>1246</v>
      </c>
      <c r="E61" s="1366" t="s">
        <v>1246</v>
      </c>
      <c r="F61" s="1366" t="s">
        <v>1246</v>
      </c>
      <c r="G61" s="1366" t="s">
        <v>1246</v>
      </c>
      <c r="H61" s="1366" t="s">
        <v>1246</v>
      </c>
      <c r="J61" s="1322" t="s">
        <v>982</v>
      </c>
      <c r="K61" s="1325">
        <v>1.5634745482838188</v>
      </c>
      <c r="L61" s="1325">
        <v>132.1403876762727</v>
      </c>
      <c r="M61" s="1325">
        <v>2.0874789365720469E-2</v>
      </c>
    </row>
    <row r="62" spans="2:35" x14ac:dyDescent="0.2">
      <c r="B62" s="470" t="str">
        <f t="shared" ref="B62:B85" si="8">CONCATENATE($B$31,$C$60,C62)</f>
        <v>0-17QuarterlyBracknell Forest</v>
      </c>
      <c r="C62" s="961" t="s">
        <v>0</v>
      </c>
      <c r="D62" s="1002">
        <v>28400</v>
      </c>
      <c r="E62" s="1002">
        <v>28400</v>
      </c>
      <c r="F62" s="1002">
        <v>28400</v>
      </c>
      <c r="G62" s="1002">
        <v>28400</v>
      </c>
      <c r="H62" s="1002">
        <v>28400</v>
      </c>
      <c r="J62" s="1322" t="s">
        <v>983</v>
      </c>
      <c r="K62" s="1325">
        <v>9.3723170840427219</v>
      </c>
      <c r="L62" s="1325">
        <v>98.901193325294628</v>
      </c>
      <c r="M62" s="1325">
        <v>0.3446076069267483</v>
      </c>
    </row>
    <row r="63" spans="2:35" x14ac:dyDescent="0.2">
      <c r="B63" s="470" t="str">
        <f t="shared" si="8"/>
        <v>0-17QuarterlyBrighton &amp; Hove</v>
      </c>
      <c r="C63" s="962" t="s">
        <v>31</v>
      </c>
      <c r="D63" s="1002">
        <v>50300</v>
      </c>
      <c r="E63" s="1002">
        <v>50300</v>
      </c>
      <c r="F63" s="1002">
        <v>50300</v>
      </c>
      <c r="G63" s="1002">
        <v>50300</v>
      </c>
      <c r="H63" s="1002">
        <v>50300</v>
      </c>
      <c r="J63" s="1322" t="s">
        <v>738</v>
      </c>
      <c r="K63" s="1325">
        <v>-7.1620262934073559E-2</v>
      </c>
      <c r="L63" s="1325">
        <v>95.943547161568404</v>
      </c>
      <c r="M63" s="1325">
        <v>2.2426075352246066E-2</v>
      </c>
    </row>
    <row r="64" spans="2:35" x14ac:dyDescent="0.2">
      <c r="B64" s="470" t="str">
        <f t="shared" si="8"/>
        <v>0-17QuarterlyBuckinghamshire</v>
      </c>
      <c r="C64" s="961" t="s">
        <v>8</v>
      </c>
      <c r="D64" s="1002">
        <v>125700</v>
      </c>
      <c r="E64" s="1002">
        <v>125700</v>
      </c>
      <c r="F64" s="1002">
        <v>125700</v>
      </c>
      <c r="G64" s="1002">
        <v>125700</v>
      </c>
      <c r="H64" s="1002">
        <v>125700</v>
      </c>
      <c r="J64" s="1322" t="s">
        <v>984</v>
      </c>
      <c r="K64" s="1325">
        <v>8.264382124063771E-2</v>
      </c>
      <c r="L64" s="1325">
        <v>19.803443190477921</v>
      </c>
      <c r="M64" s="1325">
        <v>5.144574676242855E-3</v>
      </c>
    </row>
    <row r="65" spans="2:13" x14ac:dyDescent="0.2">
      <c r="B65" s="470" t="str">
        <f t="shared" si="8"/>
        <v>0-17QuarterlyEast Sussex</v>
      </c>
      <c r="C65" s="961" t="s">
        <v>4</v>
      </c>
      <c r="D65" s="1002">
        <v>106300</v>
      </c>
      <c r="E65" s="1002">
        <v>106300</v>
      </c>
      <c r="F65" s="1002">
        <v>106300</v>
      </c>
      <c r="G65" s="1002">
        <v>106300</v>
      </c>
      <c r="H65" s="1002">
        <v>106300</v>
      </c>
      <c r="J65" s="1322" t="s">
        <v>985</v>
      </c>
      <c r="K65" s="1325">
        <v>-0.14218703604111427</v>
      </c>
      <c r="L65" s="1325">
        <v>191.33700814765808</v>
      </c>
      <c r="M65" s="1325">
        <v>5.8582307965984422E-4</v>
      </c>
    </row>
    <row r="66" spans="2:13" x14ac:dyDescent="0.2">
      <c r="B66" s="470" t="str">
        <f t="shared" si="8"/>
        <v>0-17QuarterlyHampshire</v>
      </c>
      <c r="C66" s="962" t="s">
        <v>6</v>
      </c>
      <c r="D66" s="1002">
        <v>284300</v>
      </c>
      <c r="E66" s="1002">
        <v>284300</v>
      </c>
      <c r="F66" s="1002">
        <v>284300</v>
      </c>
      <c r="G66" s="1002">
        <v>284300</v>
      </c>
      <c r="H66" s="1002">
        <v>284300</v>
      </c>
    </row>
    <row r="67" spans="2:13" x14ac:dyDescent="0.2">
      <c r="B67" s="470" t="str">
        <f t="shared" si="8"/>
        <v>0-17QuarterlyIsle of Wight</v>
      </c>
      <c r="C67" s="961" t="s">
        <v>1</v>
      </c>
      <c r="D67" s="1002">
        <v>24700</v>
      </c>
      <c r="E67" s="1002">
        <v>24700</v>
      </c>
      <c r="F67" s="1002">
        <v>24700</v>
      </c>
      <c r="G67" s="1002">
        <v>24700</v>
      </c>
      <c r="H67" s="1002">
        <v>24700</v>
      </c>
    </row>
    <row r="68" spans="2:13" x14ac:dyDescent="0.2">
      <c r="B68" s="470" t="str">
        <f t="shared" si="8"/>
        <v>0-17QuarterlyKent</v>
      </c>
      <c r="C68" s="961" t="s">
        <v>9</v>
      </c>
      <c r="D68" s="1002">
        <v>343800</v>
      </c>
      <c r="E68" s="1002">
        <v>343800</v>
      </c>
      <c r="F68" s="1002">
        <v>343800</v>
      </c>
      <c r="G68" s="1002">
        <v>343800</v>
      </c>
      <c r="H68" s="1002">
        <v>343800</v>
      </c>
    </row>
    <row r="69" spans="2:13" x14ac:dyDescent="0.2">
      <c r="B69" s="470" t="str">
        <f t="shared" si="8"/>
        <v>0-17QuarterlyMedway</v>
      </c>
      <c r="C69" s="961" t="s">
        <v>2</v>
      </c>
      <c r="D69" s="1002">
        <v>65000</v>
      </c>
      <c r="E69" s="1002">
        <v>65000</v>
      </c>
      <c r="F69" s="1002">
        <v>65000</v>
      </c>
      <c r="G69" s="1002">
        <v>65000</v>
      </c>
      <c r="H69" s="1002">
        <v>65000</v>
      </c>
    </row>
    <row r="70" spans="2:13" x14ac:dyDescent="0.2">
      <c r="B70" s="470" t="str">
        <f t="shared" si="8"/>
        <v>0-17QuarterlyMilton Keynes</v>
      </c>
      <c r="C70" s="961" t="s">
        <v>10</v>
      </c>
      <c r="D70" s="1002">
        <v>68800</v>
      </c>
      <c r="E70" s="1002">
        <v>68800</v>
      </c>
      <c r="F70" s="1002">
        <v>68800</v>
      </c>
      <c r="G70" s="1002">
        <v>68800</v>
      </c>
      <c r="H70" s="1002">
        <v>68800</v>
      </c>
    </row>
    <row r="71" spans="2:13" x14ac:dyDescent="0.2">
      <c r="B71" s="470" t="str">
        <f t="shared" si="8"/>
        <v>0-17QuarterlyOxfordshire</v>
      </c>
      <c r="C71" s="961" t="s">
        <v>11</v>
      </c>
      <c r="D71" s="1002">
        <v>146100</v>
      </c>
      <c r="E71" s="1002">
        <v>146100</v>
      </c>
      <c r="F71" s="1002">
        <v>146100</v>
      </c>
      <c r="G71" s="1002">
        <v>146100</v>
      </c>
      <c r="H71" s="1002">
        <v>146100</v>
      </c>
    </row>
    <row r="72" spans="2:13" x14ac:dyDescent="0.2">
      <c r="B72" s="470" t="str">
        <f t="shared" si="8"/>
        <v>0-17QuarterlyPortsmouth</v>
      </c>
      <c r="C72" s="961" t="s">
        <v>12</v>
      </c>
      <c r="D72" s="1002">
        <v>43800</v>
      </c>
      <c r="E72" s="1002">
        <v>43800</v>
      </c>
      <c r="F72" s="1002">
        <v>43800</v>
      </c>
      <c r="G72" s="1002">
        <v>43800</v>
      </c>
      <c r="H72" s="1002">
        <v>43800</v>
      </c>
    </row>
    <row r="73" spans="2:13" x14ac:dyDescent="0.2">
      <c r="B73" s="470" t="str">
        <f t="shared" si="8"/>
        <v>0-17QuarterlyReading</v>
      </c>
      <c r="C73" s="961" t="s">
        <v>3</v>
      </c>
      <c r="D73" s="1002">
        <v>37000</v>
      </c>
      <c r="E73" s="1002">
        <v>37000</v>
      </c>
      <c r="F73" s="1002">
        <v>37000</v>
      </c>
      <c r="G73" s="1002">
        <v>37000</v>
      </c>
      <c r="H73" s="1002">
        <v>37000</v>
      </c>
    </row>
    <row r="74" spans="2:13" x14ac:dyDescent="0.2">
      <c r="B74" s="470" t="str">
        <f t="shared" si="8"/>
        <v>0-17QuarterlySlough</v>
      </c>
      <c r="C74" s="961" t="s">
        <v>13</v>
      </c>
      <c r="D74" s="1002">
        <v>43100</v>
      </c>
      <c r="E74" s="1002">
        <v>43100</v>
      </c>
      <c r="F74" s="1002">
        <v>43100</v>
      </c>
      <c r="G74" s="1002">
        <v>43100</v>
      </c>
      <c r="H74" s="1002">
        <v>43100</v>
      </c>
    </row>
    <row r="75" spans="2:13" x14ac:dyDescent="0.2">
      <c r="B75" s="470" t="str">
        <f t="shared" si="8"/>
        <v>0-17QuarterlySomerset</v>
      </c>
      <c r="C75" s="961" t="s">
        <v>95</v>
      </c>
      <c r="D75" s="1002">
        <v>111200</v>
      </c>
      <c r="E75" s="1002">
        <v>111200</v>
      </c>
      <c r="F75" s="1002">
        <v>111200</v>
      </c>
      <c r="G75" s="1002">
        <v>111200</v>
      </c>
      <c r="H75" s="1002">
        <v>111200</v>
      </c>
    </row>
    <row r="76" spans="2:13" x14ac:dyDescent="0.2">
      <c r="B76" s="470" t="str">
        <f t="shared" si="8"/>
        <v>0-17QuarterlySouthampton</v>
      </c>
      <c r="C76" s="961" t="s">
        <v>14</v>
      </c>
      <c r="D76" s="1002">
        <v>51300</v>
      </c>
      <c r="E76" s="1002">
        <v>51300</v>
      </c>
      <c r="F76" s="1002">
        <v>51300</v>
      </c>
      <c r="G76" s="1002">
        <v>51300</v>
      </c>
      <c r="H76" s="1002">
        <v>51300</v>
      </c>
    </row>
    <row r="77" spans="2:13" x14ac:dyDescent="0.2">
      <c r="B77" s="470" t="str">
        <f t="shared" si="8"/>
        <v>0-17QuarterlySurrey</v>
      </c>
      <c r="C77" s="961" t="s">
        <v>7</v>
      </c>
      <c r="D77" s="1002">
        <v>263800</v>
      </c>
      <c r="E77" s="1002">
        <v>263800</v>
      </c>
      <c r="F77" s="1002">
        <v>263800</v>
      </c>
      <c r="G77" s="1002">
        <v>263800</v>
      </c>
      <c r="H77" s="1002">
        <v>263800</v>
      </c>
    </row>
    <row r="78" spans="2:13" x14ac:dyDescent="0.2">
      <c r="B78" s="470" t="str">
        <f t="shared" si="8"/>
        <v>0-17QuarterlySwindon</v>
      </c>
      <c r="C78" s="961" t="s">
        <v>113</v>
      </c>
      <c r="D78" s="1002">
        <v>50400</v>
      </c>
      <c r="E78" s="1002">
        <v>50400</v>
      </c>
      <c r="F78" s="1002">
        <v>50400</v>
      </c>
      <c r="G78" s="1002">
        <v>50400</v>
      </c>
      <c r="H78" s="1002">
        <v>50400</v>
      </c>
    </row>
    <row r="79" spans="2:13" x14ac:dyDescent="0.2">
      <c r="B79" s="470" t="str">
        <f t="shared" si="8"/>
        <v>0-17QuarterlyTorbay</v>
      </c>
      <c r="C79" s="961" t="s">
        <v>114</v>
      </c>
      <c r="D79" s="1002">
        <v>25600</v>
      </c>
      <c r="E79" s="1002">
        <v>25600</v>
      </c>
      <c r="F79" s="1002">
        <v>25600</v>
      </c>
      <c r="G79" s="1002">
        <v>25600</v>
      </c>
      <c r="H79" s="1002">
        <v>25600</v>
      </c>
    </row>
    <row r="80" spans="2:13" x14ac:dyDescent="0.2">
      <c r="B80" s="470" t="str">
        <f t="shared" si="8"/>
        <v>0-17QuarterlyWest Berkshire</v>
      </c>
      <c r="C80" s="961" t="s">
        <v>15</v>
      </c>
      <c r="D80" s="1002">
        <v>35600</v>
      </c>
      <c r="E80" s="1002">
        <v>35600</v>
      </c>
      <c r="F80" s="1002">
        <v>35600</v>
      </c>
      <c r="G80" s="1002">
        <v>35600</v>
      </c>
      <c r="H80" s="1002">
        <v>35600</v>
      </c>
    </row>
    <row r="81" spans="2:8" x14ac:dyDescent="0.2">
      <c r="B81" s="470" t="str">
        <f t="shared" si="8"/>
        <v>0-17QuarterlyWest Sussex</v>
      </c>
      <c r="C81" s="961" t="s">
        <v>5</v>
      </c>
      <c r="D81" s="1002">
        <v>176100</v>
      </c>
      <c r="E81" s="1002">
        <v>176100</v>
      </c>
      <c r="F81" s="1002">
        <v>176100</v>
      </c>
      <c r="G81" s="1002">
        <v>176100</v>
      </c>
      <c r="H81" s="1002">
        <v>176100</v>
      </c>
    </row>
    <row r="82" spans="2:8" x14ac:dyDescent="0.2">
      <c r="B82" s="470" t="str">
        <f t="shared" si="8"/>
        <v>0-17QuarterlyWindsor &amp; Maidenhead</v>
      </c>
      <c r="C82" s="962" t="s">
        <v>30</v>
      </c>
      <c r="D82" s="1002">
        <v>34700</v>
      </c>
      <c r="E82" s="1002">
        <v>34700</v>
      </c>
      <c r="F82" s="1002">
        <v>34700</v>
      </c>
      <c r="G82" s="1002">
        <v>34700</v>
      </c>
      <c r="H82" s="1002">
        <v>34700</v>
      </c>
    </row>
    <row r="83" spans="2:8" x14ac:dyDescent="0.2">
      <c r="B83" s="470" t="str">
        <f t="shared" si="8"/>
        <v>0-17QuarterlyWokingham</v>
      </c>
      <c r="C83" s="961" t="s">
        <v>16</v>
      </c>
      <c r="D83" s="1002">
        <v>40400</v>
      </c>
      <c r="E83" s="1002">
        <v>40400</v>
      </c>
      <c r="F83" s="1002">
        <v>40400</v>
      </c>
      <c r="G83" s="1002">
        <v>40400</v>
      </c>
      <c r="H83" s="1002">
        <v>40400</v>
      </c>
    </row>
    <row r="84" spans="2:8" x14ac:dyDescent="0.2">
      <c r="B84" s="470" t="str">
        <f t="shared" si="8"/>
        <v>0-17QuarterlySouth East</v>
      </c>
      <c r="C84" s="963" t="s">
        <v>74</v>
      </c>
      <c r="D84" s="1002">
        <v>1969300</v>
      </c>
      <c r="E84" s="1002">
        <v>1969300</v>
      </c>
      <c r="F84" s="1002">
        <v>1969300</v>
      </c>
      <c r="G84" s="1002">
        <v>1969300</v>
      </c>
      <c r="H84" s="1002">
        <v>1969300</v>
      </c>
    </row>
    <row r="85" spans="2:8" x14ac:dyDescent="0.2">
      <c r="B85" s="470" t="str">
        <f t="shared" si="8"/>
        <v>0-17QuarterlyEngland</v>
      </c>
      <c r="C85" s="964" t="s">
        <v>127</v>
      </c>
      <c r="D85" s="1002">
        <v>12023600</v>
      </c>
      <c r="E85" s="1002">
        <v>12023600</v>
      </c>
      <c r="F85" s="1002">
        <v>12023600</v>
      </c>
      <c r="G85" s="1002">
        <v>12023600</v>
      </c>
      <c r="H85" s="1002">
        <v>12023600</v>
      </c>
    </row>
    <row r="87" spans="2:8" x14ac:dyDescent="0.2">
      <c r="B87" s="470" t="s">
        <v>715</v>
      </c>
      <c r="C87" s="785" t="s">
        <v>718</v>
      </c>
    </row>
    <row r="88" spans="2:8" x14ac:dyDescent="0.2">
      <c r="B88" s="965" t="s">
        <v>708</v>
      </c>
      <c r="C88" s="470" t="s">
        <v>643</v>
      </c>
      <c r="D88" s="972" t="str">
        <f>D$22</f>
        <v>2015-16</v>
      </c>
      <c r="E88" s="972" t="str">
        <f t="shared" ref="E88:H88" si="9">E$22</f>
        <v>2016-17</v>
      </c>
      <c r="F88" s="972" t="str">
        <f t="shared" si="9"/>
        <v>2017-18</v>
      </c>
      <c r="G88" s="972" t="str">
        <f t="shared" si="9"/>
        <v>2018-19</v>
      </c>
      <c r="H88" s="972" t="str">
        <f t="shared" si="9"/>
        <v>2019-20</v>
      </c>
    </row>
    <row r="89" spans="2:8" x14ac:dyDescent="0.2">
      <c r="B89" s="470" t="str">
        <f t="shared" ref="B89:B113" si="10">CONCATENATE($B$87,$C$88,C89)</f>
        <v>0-25Annual</v>
      </c>
      <c r="C89" s="960"/>
      <c r="D89" s="1366" t="s">
        <v>126</v>
      </c>
      <c r="E89" s="1366" t="s">
        <v>189</v>
      </c>
      <c r="F89" s="1366" t="s">
        <v>237</v>
      </c>
      <c r="G89" s="955" t="s">
        <v>988</v>
      </c>
      <c r="H89" s="955" t="s">
        <v>1246</v>
      </c>
    </row>
    <row r="90" spans="2:8" x14ac:dyDescent="0.2">
      <c r="B90" s="470" t="str">
        <f t="shared" si="10"/>
        <v>0-25AnnualBracknell Forest</v>
      </c>
      <c r="C90" s="961" t="s">
        <v>0</v>
      </c>
      <c r="D90" s="1002">
        <v>38300</v>
      </c>
      <c r="E90" s="1002">
        <v>38300</v>
      </c>
      <c r="F90" s="1002">
        <v>38200</v>
      </c>
      <c r="G90" s="1002">
        <v>38700</v>
      </c>
      <c r="H90" s="1002">
        <v>38800</v>
      </c>
    </row>
    <row r="91" spans="2:8" x14ac:dyDescent="0.2">
      <c r="B91" s="470" t="str">
        <f t="shared" si="10"/>
        <v>0-25AnnualBrighton &amp; Hove</v>
      </c>
      <c r="C91" s="962" t="s">
        <v>31</v>
      </c>
      <c r="D91" s="1002">
        <v>97600</v>
      </c>
      <c r="E91" s="1002">
        <v>98800</v>
      </c>
      <c r="F91" s="1002">
        <v>98800</v>
      </c>
      <c r="G91" s="1002">
        <v>99700</v>
      </c>
      <c r="H91" s="1002">
        <v>99500</v>
      </c>
    </row>
    <row r="92" spans="2:8" x14ac:dyDescent="0.2">
      <c r="B92" s="470" t="str">
        <f t="shared" si="10"/>
        <v>0-25AnnualBuckinghamshire</v>
      </c>
      <c r="C92" s="961" t="s">
        <v>8</v>
      </c>
      <c r="D92" s="1002">
        <v>164200</v>
      </c>
      <c r="E92" s="1002">
        <v>165500</v>
      </c>
      <c r="F92" s="1002">
        <v>165300</v>
      </c>
      <c r="G92" s="1002">
        <v>166200</v>
      </c>
      <c r="H92" s="1002">
        <v>166900</v>
      </c>
    </row>
    <row r="93" spans="2:8" x14ac:dyDescent="0.2">
      <c r="B93" s="470" t="str">
        <f t="shared" si="10"/>
        <v>0-25AnnualEast Sussex</v>
      </c>
      <c r="C93" s="961" t="s">
        <v>4</v>
      </c>
      <c r="D93" s="1002">
        <v>150100</v>
      </c>
      <c r="E93" s="1002">
        <v>150200</v>
      </c>
      <c r="F93" s="1002">
        <v>149300</v>
      </c>
      <c r="G93" s="1002">
        <v>148900</v>
      </c>
      <c r="H93" s="1002">
        <v>148400</v>
      </c>
    </row>
    <row r="94" spans="2:8" x14ac:dyDescent="0.2">
      <c r="B94" s="470" t="str">
        <f t="shared" si="10"/>
        <v>0-25AnnualHampshire</v>
      </c>
      <c r="C94" s="962" t="s">
        <v>6</v>
      </c>
      <c r="D94" s="1002">
        <v>398100</v>
      </c>
      <c r="E94" s="1002">
        <v>397500</v>
      </c>
      <c r="F94" s="1002">
        <v>395900</v>
      </c>
      <c r="G94" s="1002">
        <v>395300</v>
      </c>
      <c r="H94" s="1002">
        <v>394500</v>
      </c>
    </row>
    <row r="95" spans="2:8" x14ac:dyDescent="0.2">
      <c r="B95" s="470" t="str">
        <f t="shared" si="10"/>
        <v>0-25AnnualIsle of Wight</v>
      </c>
      <c r="C95" s="961" t="s">
        <v>1</v>
      </c>
      <c r="D95" s="1002">
        <v>36500</v>
      </c>
      <c r="E95" s="1002">
        <v>36300</v>
      </c>
      <c r="F95" s="1002">
        <v>36000</v>
      </c>
      <c r="G95" s="1002">
        <v>35600</v>
      </c>
      <c r="H95" s="1002">
        <v>35300</v>
      </c>
    </row>
    <row r="96" spans="2:8" x14ac:dyDescent="0.2">
      <c r="B96" s="470" t="str">
        <f t="shared" si="10"/>
        <v>0-25AnnualKent</v>
      </c>
      <c r="C96" s="961" t="s">
        <v>9</v>
      </c>
      <c r="D96" s="1002">
        <v>477000</v>
      </c>
      <c r="E96" s="1002">
        <v>480100</v>
      </c>
      <c r="F96" s="1002">
        <v>481500</v>
      </c>
      <c r="G96" s="1002">
        <v>482700</v>
      </c>
      <c r="H96" s="1002">
        <v>483800</v>
      </c>
    </row>
    <row r="97" spans="2:8" x14ac:dyDescent="0.2">
      <c r="B97" s="470" t="str">
        <f t="shared" si="10"/>
        <v>0-25AnnualMedway</v>
      </c>
      <c r="C97" s="961" t="s">
        <v>2</v>
      </c>
      <c r="D97" s="1002">
        <v>93700</v>
      </c>
      <c r="E97" s="1002">
        <v>93400</v>
      </c>
      <c r="F97" s="1002">
        <v>92500</v>
      </c>
      <c r="G97" s="1002">
        <v>91500</v>
      </c>
      <c r="H97" s="1002">
        <v>91100</v>
      </c>
    </row>
    <row r="98" spans="2:8" x14ac:dyDescent="0.2">
      <c r="B98" s="470" t="str">
        <f t="shared" si="10"/>
        <v>0-25AnnualMilton Keynes</v>
      </c>
      <c r="C98" s="961" t="s">
        <v>10</v>
      </c>
      <c r="D98" s="1002">
        <v>88100</v>
      </c>
      <c r="E98" s="1002">
        <v>89000</v>
      </c>
      <c r="F98" s="1002">
        <v>89100</v>
      </c>
      <c r="G98" s="1002">
        <v>89400</v>
      </c>
      <c r="H98" s="1002">
        <v>89700</v>
      </c>
    </row>
    <row r="99" spans="2:8" x14ac:dyDescent="0.2">
      <c r="B99" s="470" t="str">
        <f t="shared" si="10"/>
        <v>0-25AnnualOxfordshire</v>
      </c>
      <c r="C99" s="961" t="s">
        <v>11</v>
      </c>
      <c r="D99" s="1002">
        <v>218500</v>
      </c>
      <c r="E99" s="1002">
        <v>219900</v>
      </c>
      <c r="F99" s="1002">
        <v>220400</v>
      </c>
      <c r="G99" s="1002">
        <v>221800</v>
      </c>
      <c r="H99" s="1002">
        <v>222300</v>
      </c>
    </row>
    <row r="100" spans="2:8" x14ac:dyDescent="0.2">
      <c r="B100" s="470" t="str">
        <f t="shared" si="10"/>
        <v>0-25AnnualPortsmouth</v>
      </c>
      <c r="C100" s="961" t="s">
        <v>12</v>
      </c>
      <c r="D100" s="1002">
        <v>79300</v>
      </c>
      <c r="E100" s="1002">
        <v>80300</v>
      </c>
      <c r="F100" s="1002">
        <v>80700</v>
      </c>
      <c r="G100" s="1002">
        <v>80200</v>
      </c>
      <c r="H100" s="1002">
        <v>79500</v>
      </c>
    </row>
    <row r="101" spans="2:8" x14ac:dyDescent="0.2">
      <c r="B101" s="470" t="str">
        <f t="shared" si="10"/>
        <v>0-25AnnualReading</v>
      </c>
      <c r="C101" s="961" t="s">
        <v>3</v>
      </c>
      <c r="D101" s="1002">
        <v>58500</v>
      </c>
      <c r="E101" s="1002">
        <v>58700</v>
      </c>
      <c r="F101" s="1002">
        <v>58800</v>
      </c>
      <c r="G101" s="1002">
        <v>59100</v>
      </c>
      <c r="H101" s="1002">
        <v>58000</v>
      </c>
    </row>
    <row r="102" spans="2:8" x14ac:dyDescent="0.2">
      <c r="B102" s="470" t="str">
        <f t="shared" si="10"/>
        <v>0-25AnnualSlough</v>
      </c>
      <c r="C102" s="961" t="s">
        <v>13</v>
      </c>
      <c r="D102" s="1002">
        <v>53700</v>
      </c>
      <c r="E102" s="1002">
        <v>54500</v>
      </c>
      <c r="F102" s="1002">
        <v>54900</v>
      </c>
      <c r="G102" s="1002">
        <v>55300</v>
      </c>
      <c r="H102" s="1002">
        <v>55800</v>
      </c>
    </row>
    <row r="103" spans="2:8" x14ac:dyDescent="0.2">
      <c r="B103" s="470" t="str">
        <f t="shared" si="10"/>
        <v>0-25AnnualSomerset</v>
      </c>
      <c r="C103" s="961" t="s">
        <v>95</v>
      </c>
      <c r="D103" s="1002">
        <v>153800</v>
      </c>
      <c r="E103" s="1002">
        <v>153700</v>
      </c>
      <c r="F103" s="1002">
        <v>153200</v>
      </c>
      <c r="G103" s="1002">
        <v>153200</v>
      </c>
      <c r="H103" s="1002">
        <v>152700</v>
      </c>
    </row>
    <row r="104" spans="2:8" x14ac:dyDescent="0.2">
      <c r="B104" s="470" t="str">
        <f t="shared" si="10"/>
        <v>0-25AnnualSouthampton</v>
      </c>
      <c r="C104" s="961" t="s">
        <v>14</v>
      </c>
      <c r="D104" s="1002">
        <v>96600</v>
      </c>
      <c r="E104" s="1002">
        <v>98900</v>
      </c>
      <c r="F104" s="1002">
        <v>99700</v>
      </c>
      <c r="G104" s="1002">
        <v>99100</v>
      </c>
      <c r="H104" s="1002">
        <v>97400</v>
      </c>
    </row>
    <row r="105" spans="2:8" x14ac:dyDescent="0.2">
      <c r="B105" s="470" t="str">
        <f t="shared" si="10"/>
        <v>0-25AnnualSurrey</v>
      </c>
      <c r="C105" s="961" t="s">
        <v>7</v>
      </c>
      <c r="D105" s="1002">
        <v>361000</v>
      </c>
      <c r="E105" s="1002">
        <v>363700</v>
      </c>
      <c r="F105" s="1002">
        <v>364500</v>
      </c>
      <c r="G105" s="1002">
        <v>366100</v>
      </c>
      <c r="H105" s="1002">
        <v>368400</v>
      </c>
    </row>
    <row r="106" spans="2:8" x14ac:dyDescent="0.2">
      <c r="B106" s="470" t="str">
        <f t="shared" si="10"/>
        <v>0-25AnnualSwindon</v>
      </c>
      <c r="C106" s="961" t="s">
        <v>113</v>
      </c>
      <c r="D106" s="1002">
        <v>68100</v>
      </c>
      <c r="E106" s="1002">
        <v>68000</v>
      </c>
      <c r="F106" s="1002">
        <v>68300</v>
      </c>
      <c r="G106" s="1002">
        <v>68700</v>
      </c>
      <c r="H106" s="1002">
        <v>68400</v>
      </c>
    </row>
    <row r="107" spans="2:8" x14ac:dyDescent="0.2">
      <c r="B107" s="470" t="str">
        <f t="shared" si="10"/>
        <v>0-25AnnualTorbay</v>
      </c>
      <c r="C107" s="961" t="s">
        <v>114</v>
      </c>
      <c r="D107" s="1002">
        <v>36100</v>
      </c>
      <c r="E107" s="1002">
        <v>36000</v>
      </c>
      <c r="F107" s="1002">
        <v>35900</v>
      </c>
      <c r="G107" s="1002">
        <v>35700</v>
      </c>
      <c r="H107" s="1002">
        <v>35300</v>
      </c>
    </row>
    <row r="108" spans="2:8" x14ac:dyDescent="0.2">
      <c r="B108" s="470" t="str">
        <f t="shared" si="10"/>
        <v>0-25AnnualWest Berkshire</v>
      </c>
      <c r="C108" s="961" t="s">
        <v>15</v>
      </c>
      <c r="D108" s="1002">
        <v>48200</v>
      </c>
      <c r="E108" s="1002">
        <v>48400</v>
      </c>
      <c r="F108" s="1002">
        <v>47900</v>
      </c>
      <c r="G108" s="1002">
        <v>47700</v>
      </c>
      <c r="H108" s="1002">
        <v>47400</v>
      </c>
    </row>
    <row r="109" spans="2:8" x14ac:dyDescent="0.2">
      <c r="B109" s="470" t="str">
        <f t="shared" si="10"/>
        <v>0-25AnnualWest Sussex</v>
      </c>
      <c r="C109" s="961" t="s">
        <v>5</v>
      </c>
      <c r="D109" s="1002">
        <v>237300</v>
      </c>
      <c r="E109" s="1002">
        <v>238400</v>
      </c>
      <c r="F109" s="1002">
        <v>238300</v>
      </c>
      <c r="G109" s="1002">
        <v>239100</v>
      </c>
      <c r="H109" s="1002">
        <v>239200</v>
      </c>
    </row>
    <row r="110" spans="2:8" x14ac:dyDescent="0.2">
      <c r="B110" s="470" t="str">
        <f t="shared" si="10"/>
        <v>0-25AnnualWindsor &amp; Maidenhead</v>
      </c>
      <c r="C110" s="962" t="s">
        <v>30</v>
      </c>
      <c r="D110" s="1002">
        <v>44500</v>
      </c>
      <c r="E110" s="1002">
        <v>45000</v>
      </c>
      <c r="F110" s="1002">
        <v>44900</v>
      </c>
      <c r="G110" s="1002">
        <v>45200</v>
      </c>
      <c r="H110" s="1002">
        <v>45500</v>
      </c>
    </row>
    <row r="111" spans="2:8" x14ac:dyDescent="0.2">
      <c r="B111" s="470" t="str">
        <f t="shared" si="10"/>
        <v>0-25AnnualWokingham</v>
      </c>
      <c r="C111" s="961" t="s">
        <v>16</v>
      </c>
      <c r="D111" s="1002">
        <v>49600</v>
      </c>
      <c r="E111" s="1002">
        <v>50500</v>
      </c>
      <c r="F111" s="1002">
        <v>51500</v>
      </c>
      <c r="G111" s="1002">
        <v>52300</v>
      </c>
      <c r="H111" s="1002">
        <v>53500</v>
      </c>
    </row>
    <row r="112" spans="2:8" x14ac:dyDescent="0.2">
      <c r="B112" s="470" t="str">
        <f t="shared" si="10"/>
        <v>0-25AnnualSouth East</v>
      </c>
      <c r="C112" s="963" t="s">
        <v>74</v>
      </c>
      <c r="D112" s="1002">
        <v>2790900</v>
      </c>
      <c r="E112" s="1002">
        <v>2807300</v>
      </c>
      <c r="F112" s="1002">
        <v>2808300</v>
      </c>
      <c r="G112" s="1002">
        <v>2813800</v>
      </c>
      <c r="H112" s="1002">
        <v>2814900</v>
      </c>
    </row>
    <row r="113" spans="2:8" x14ac:dyDescent="0.2">
      <c r="B113" s="470" t="str">
        <f t="shared" si="10"/>
        <v>0-25AnnualEngland</v>
      </c>
      <c r="C113" s="964" t="s">
        <v>127</v>
      </c>
      <c r="D113" s="1002">
        <v>17352600</v>
      </c>
      <c r="E113" s="1002">
        <v>17440500</v>
      </c>
      <c r="F113" s="1002">
        <v>17452600</v>
      </c>
      <c r="G113" s="1002">
        <v>17493000</v>
      </c>
      <c r="H113" s="1002">
        <v>17510800</v>
      </c>
    </row>
    <row r="115" spans="2:8" x14ac:dyDescent="0.2">
      <c r="B115" s="470" t="s">
        <v>715</v>
      </c>
      <c r="C115" s="785" t="s">
        <v>718</v>
      </c>
      <c r="D115" s="972" t="str">
        <f>D$24</f>
        <v>2019-20</v>
      </c>
      <c r="E115" s="972" t="str">
        <f t="shared" ref="E115:H115" si="11">E$24</f>
        <v>2019-20</v>
      </c>
      <c r="F115" s="972" t="str">
        <f t="shared" si="11"/>
        <v>2019-20</v>
      </c>
      <c r="G115" s="972" t="str">
        <f t="shared" si="11"/>
        <v>2019-20</v>
      </c>
      <c r="H115" s="972" t="str">
        <f t="shared" si="11"/>
        <v>2020-21</v>
      </c>
    </row>
    <row r="116" spans="2:8" x14ac:dyDescent="0.2">
      <c r="B116" s="965" t="s">
        <v>708</v>
      </c>
      <c r="C116" s="470" t="s">
        <v>649</v>
      </c>
      <c r="D116" s="972" t="str">
        <f>D$25</f>
        <v>Q1</v>
      </c>
      <c r="E116" s="972" t="str">
        <f t="shared" ref="E116:H116" si="12">E$25</f>
        <v>Q2</v>
      </c>
      <c r="F116" s="972" t="str">
        <f t="shared" si="12"/>
        <v>Q3</v>
      </c>
      <c r="G116" s="972" t="str">
        <f t="shared" si="12"/>
        <v>Q4</v>
      </c>
      <c r="H116" s="972" t="str">
        <f t="shared" si="12"/>
        <v>Q1</v>
      </c>
    </row>
    <row r="117" spans="2:8" x14ac:dyDescent="0.2">
      <c r="B117" s="470" t="str">
        <f t="shared" ref="B117:B141" si="13">CONCATENATE($B$115,$C$116,C117)</f>
        <v>0-25Quarterly</v>
      </c>
      <c r="C117" s="960"/>
      <c r="D117" s="1438" t="s">
        <v>1246</v>
      </c>
      <c r="E117" s="1366" t="s">
        <v>1246</v>
      </c>
      <c r="F117" s="1432" t="s">
        <v>1246</v>
      </c>
      <c r="G117" s="1432" t="s">
        <v>1246</v>
      </c>
      <c r="H117" s="1432" t="s">
        <v>1246</v>
      </c>
    </row>
    <row r="118" spans="2:8" x14ac:dyDescent="0.2">
      <c r="B118" s="470" t="str">
        <f t="shared" si="13"/>
        <v>0-25QuarterlyBracknell Forest</v>
      </c>
      <c r="C118" s="961" t="s">
        <v>0</v>
      </c>
      <c r="D118" s="1002">
        <v>38800</v>
      </c>
      <c r="E118" s="1002">
        <v>38800</v>
      </c>
      <c r="F118" s="1002">
        <v>38800</v>
      </c>
      <c r="G118" s="1002">
        <v>38800</v>
      </c>
      <c r="H118" s="1002">
        <v>38800</v>
      </c>
    </row>
    <row r="119" spans="2:8" x14ac:dyDescent="0.2">
      <c r="B119" s="470" t="str">
        <f t="shared" si="13"/>
        <v>0-25QuarterlyBrighton &amp; Hove</v>
      </c>
      <c r="C119" s="962" t="s">
        <v>31</v>
      </c>
      <c r="D119" s="1002">
        <v>99500</v>
      </c>
      <c r="E119" s="1002">
        <v>99500</v>
      </c>
      <c r="F119" s="1002">
        <v>99500</v>
      </c>
      <c r="G119" s="1002">
        <v>99500</v>
      </c>
      <c r="H119" s="1002">
        <v>99500</v>
      </c>
    </row>
    <row r="120" spans="2:8" x14ac:dyDescent="0.2">
      <c r="B120" s="470" t="str">
        <f t="shared" si="13"/>
        <v>0-25QuarterlyBuckinghamshire</v>
      </c>
      <c r="C120" s="961" t="s">
        <v>8</v>
      </c>
      <c r="D120" s="1002">
        <v>166900</v>
      </c>
      <c r="E120" s="1002">
        <v>166900</v>
      </c>
      <c r="F120" s="1002">
        <v>166900</v>
      </c>
      <c r="G120" s="1002">
        <v>166900</v>
      </c>
      <c r="H120" s="1002">
        <v>166900</v>
      </c>
    </row>
    <row r="121" spans="2:8" x14ac:dyDescent="0.2">
      <c r="B121" s="470" t="str">
        <f t="shared" si="13"/>
        <v>0-25QuarterlyEast Sussex</v>
      </c>
      <c r="C121" s="961" t="s">
        <v>4</v>
      </c>
      <c r="D121" s="1002">
        <v>148400</v>
      </c>
      <c r="E121" s="1002">
        <v>148400</v>
      </c>
      <c r="F121" s="1002">
        <v>148400</v>
      </c>
      <c r="G121" s="1002">
        <v>148400</v>
      </c>
      <c r="H121" s="1002">
        <v>148400</v>
      </c>
    </row>
    <row r="122" spans="2:8" x14ac:dyDescent="0.2">
      <c r="B122" s="470" t="str">
        <f t="shared" si="13"/>
        <v>0-25QuarterlyHampshire</v>
      </c>
      <c r="C122" s="962" t="s">
        <v>6</v>
      </c>
      <c r="D122" s="1002">
        <v>394500</v>
      </c>
      <c r="E122" s="1002">
        <v>394500</v>
      </c>
      <c r="F122" s="1002">
        <v>394500</v>
      </c>
      <c r="G122" s="1002">
        <v>394500</v>
      </c>
      <c r="H122" s="1002">
        <v>394500</v>
      </c>
    </row>
    <row r="123" spans="2:8" x14ac:dyDescent="0.2">
      <c r="B123" s="470" t="str">
        <f t="shared" si="13"/>
        <v>0-25QuarterlyIsle of Wight</v>
      </c>
      <c r="C123" s="961" t="s">
        <v>1</v>
      </c>
      <c r="D123" s="1002">
        <v>35300</v>
      </c>
      <c r="E123" s="1002">
        <v>35300</v>
      </c>
      <c r="F123" s="1002">
        <v>35300</v>
      </c>
      <c r="G123" s="1002">
        <v>35300</v>
      </c>
      <c r="H123" s="1002">
        <v>35300</v>
      </c>
    </row>
    <row r="124" spans="2:8" x14ac:dyDescent="0.2">
      <c r="B124" s="470" t="str">
        <f t="shared" si="13"/>
        <v>0-25QuarterlyKent</v>
      </c>
      <c r="C124" s="961" t="s">
        <v>9</v>
      </c>
      <c r="D124" s="1002">
        <v>483800</v>
      </c>
      <c r="E124" s="1002">
        <v>483800</v>
      </c>
      <c r="F124" s="1002">
        <v>483800</v>
      </c>
      <c r="G124" s="1002">
        <v>483800</v>
      </c>
      <c r="H124" s="1002">
        <v>483800</v>
      </c>
    </row>
    <row r="125" spans="2:8" x14ac:dyDescent="0.2">
      <c r="B125" s="470" t="str">
        <f t="shared" si="13"/>
        <v>0-25QuarterlyMedway</v>
      </c>
      <c r="C125" s="961" t="s">
        <v>2</v>
      </c>
      <c r="D125" s="1002">
        <v>91100</v>
      </c>
      <c r="E125" s="1002">
        <v>91100</v>
      </c>
      <c r="F125" s="1002">
        <v>91100</v>
      </c>
      <c r="G125" s="1002">
        <v>91100</v>
      </c>
      <c r="H125" s="1002">
        <v>91100</v>
      </c>
    </row>
    <row r="126" spans="2:8" x14ac:dyDescent="0.2">
      <c r="B126" s="470" t="str">
        <f t="shared" si="13"/>
        <v>0-25QuarterlyMilton Keynes</v>
      </c>
      <c r="C126" s="961" t="s">
        <v>10</v>
      </c>
      <c r="D126" s="1002">
        <v>89700</v>
      </c>
      <c r="E126" s="1002">
        <v>89700</v>
      </c>
      <c r="F126" s="1002">
        <v>89700</v>
      </c>
      <c r="G126" s="1002">
        <v>89700</v>
      </c>
      <c r="H126" s="1002">
        <v>89700</v>
      </c>
    </row>
    <row r="127" spans="2:8" x14ac:dyDescent="0.2">
      <c r="B127" s="470" t="str">
        <f t="shared" si="13"/>
        <v>0-25QuarterlyOxfordshire</v>
      </c>
      <c r="C127" s="961" t="s">
        <v>11</v>
      </c>
      <c r="D127" s="1002">
        <v>222300</v>
      </c>
      <c r="E127" s="1002">
        <v>222300</v>
      </c>
      <c r="F127" s="1002">
        <v>222300</v>
      </c>
      <c r="G127" s="1002">
        <v>222300</v>
      </c>
      <c r="H127" s="1002">
        <v>222300</v>
      </c>
    </row>
    <row r="128" spans="2:8" x14ac:dyDescent="0.2">
      <c r="B128" s="470" t="str">
        <f t="shared" si="13"/>
        <v>0-25QuarterlyPortsmouth</v>
      </c>
      <c r="C128" s="961" t="s">
        <v>12</v>
      </c>
      <c r="D128" s="1002">
        <v>79500</v>
      </c>
      <c r="E128" s="1002">
        <v>79500</v>
      </c>
      <c r="F128" s="1002">
        <v>79500</v>
      </c>
      <c r="G128" s="1002">
        <v>79500</v>
      </c>
      <c r="H128" s="1002">
        <v>79500</v>
      </c>
    </row>
    <row r="129" spans="2:8" x14ac:dyDescent="0.2">
      <c r="B129" s="470" t="str">
        <f t="shared" si="13"/>
        <v>0-25QuarterlyReading</v>
      </c>
      <c r="C129" s="961" t="s">
        <v>3</v>
      </c>
      <c r="D129" s="1002">
        <v>58000</v>
      </c>
      <c r="E129" s="1002">
        <v>58000</v>
      </c>
      <c r="F129" s="1002">
        <v>58000</v>
      </c>
      <c r="G129" s="1002">
        <v>58000</v>
      </c>
      <c r="H129" s="1002">
        <v>58000</v>
      </c>
    </row>
    <row r="130" spans="2:8" x14ac:dyDescent="0.2">
      <c r="B130" s="470" t="str">
        <f t="shared" si="13"/>
        <v>0-25QuarterlySlough</v>
      </c>
      <c r="C130" s="961" t="s">
        <v>13</v>
      </c>
      <c r="D130" s="1002">
        <v>55800</v>
      </c>
      <c r="E130" s="1002">
        <v>55800</v>
      </c>
      <c r="F130" s="1002">
        <v>55800</v>
      </c>
      <c r="G130" s="1002">
        <v>55800</v>
      </c>
      <c r="H130" s="1002">
        <v>55800</v>
      </c>
    </row>
    <row r="131" spans="2:8" x14ac:dyDescent="0.2">
      <c r="B131" s="470" t="str">
        <f t="shared" si="13"/>
        <v>0-25QuarterlySomerset</v>
      </c>
      <c r="C131" s="961" t="s">
        <v>95</v>
      </c>
      <c r="D131" s="1002">
        <v>152700</v>
      </c>
      <c r="E131" s="1002">
        <v>152700</v>
      </c>
      <c r="F131" s="1002">
        <v>152700</v>
      </c>
      <c r="G131" s="1002">
        <v>152700</v>
      </c>
      <c r="H131" s="1002">
        <v>152700</v>
      </c>
    </row>
    <row r="132" spans="2:8" x14ac:dyDescent="0.2">
      <c r="B132" s="470" t="str">
        <f t="shared" si="13"/>
        <v>0-25QuarterlySouthampton</v>
      </c>
      <c r="C132" s="961" t="s">
        <v>14</v>
      </c>
      <c r="D132" s="1002">
        <v>97400</v>
      </c>
      <c r="E132" s="1002">
        <v>97400</v>
      </c>
      <c r="F132" s="1002">
        <v>97400</v>
      </c>
      <c r="G132" s="1002">
        <v>97400</v>
      </c>
      <c r="H132" s="1002">
        <v>97400</v>
      </c>
    </row>
    <row r="133" spans="2:8" x14ac:dyDescent="0.2">
      <c r="B133" s="470" t="str">
        <f t="shared" si="13"/>
        <v>0-25QuarterlySurrey</v>
      </c>
      <c r="C133" s="961" t="s">
        <v>7</v>
      </c>
      <c r="D133" s="1002">
        <v>368400</v>
      </c>
      <c r="E133" s="1002">
        <v>368400</v>
      </c>
      <c r="F133" s="1002">
        <v>368400</v>
      </c>
      <c r="G133" s="1002">
        <v>368400</v>
      </c>
      <c r="H133" s="1002">
        <v>368400</v>
      </c>
    </row>
    <row r="134" spans="2:8" x14ac:dyDescent="0.2">
      <c r="B134" s="470" t="str">
        <f t="shared" si="13"/>
        <v>0-25QuarterlySwindon</v>
      </c>
      <c r="C134" s="961" t="s">
        <v>113</v>
      </c>
      <c r="D134" s="1002">
        <v>68400</v>
      </c>
      <c r="E134" s="1002">
        <v>68400</v>
      </c>
      <c r="F134" s="1002">
        <v>68400</v>
      </c>
      <c r="G134" s="1002">
        <v>68400</v>
      </c>
      <c r="H134" s="1002">
        <v>68400</v>
      </c>
    </row>
    <row r="135" spans="2:8" x14ac:dyDescent="0.2">
      <c r="B135" s="470" t="str">
        <f t="shared" si="13"/>
        <v>0-25QuarterlyTorbay</v>
      </c>
      <c r="C135" s="961" t="s">
        <v>114</v>
      </c>
      <c r="D135" s="1002">
        <v>35300</v>
      </c>
      <c r="E135" s="1002">
        <v>35300</v>
      </c>
      <c r="F135" s="1002">
        <v>35300</v>
      </c>
      <c r="G135" s="1002">
        <v>35300</v>
      </c>
      <c r="H135" s="1002">
        <v>35300</v>
      </c>
    </row>
    <row r="136" spans="2:8" x14ac:dyDescent="0.2">
      <c r="B136" s="470" t="str">
        <f t="shared" si="13"/>
        <v>0-25QuarterlyWest Berkshire</v>
      </c>
      <c r="C136" s="961" t="s">
        <v>15</v>
      </c>
      <c r="D136" s="1002">
        <v>47400</v>
      </c>
      <c r="E136" s="1002">
        <v>47400</v>
      </c>
      <c r="F136" s="1002">
        <v>47400</v>
      </c>
      <c r="G136" s="1002">
        <v>47400</v>
      </c>
      <c r="H136" s="1002">
        <v>47400</v>
      </c>
    </row>
    <row r="137" spans="2:8" x14ac:dyDescent="0.2">
      <c r="B137" s="470" t="str">
        <f t="shared" si="13"/>
        <v>0-25QuarterlyWest Sussex</v>
      </c>
      <c r="C137" s="961" t="s">
        <v>5</v>
      </c>
      <c r="D137" s="1002">
        <v>239200</v>
      </c>
      <c r="E137" s="1002">
        <v>239200</v>
      </c>
      <c r="F137" s="1002">
        <v>239200</v>
      </c>
      <c r="G137" s="1002">
        <v>239200</v>
      </c>
      <c r="H137" s="1002">
        <v>239200</v>
      </c>
    </row>
    <row r="138" spans="2:8" x14ac:dyDescent="0.2">
      <c r="B138" s="470" t="str">
        <f t="shared" si="13"/>
        <v>0-25QuarterlyWindsor &amp; Maidenhead</v>
      </c>
      <c r="C138" s="962" t="s">
        <v>30</v>
      </c>
      <c r="D138" s="1002">
        <v>45500</v>
      </c>
      <c r="E138" s="1002">
        <v>45500</v>
      </c>
      <c r="F138" s="1002">
        <v>45500</v>
      </c>
      <c r="G138" s="1002">
        <v>45500</v>
      </c>
      <c r="H138" s="1002">
        <v>45500</v>
      </c>
    </row>
    <row r="139" spans="2:8" x14ac:dyDescent="0.2">
      <c r="B139" s="470" t="str">
        <f t="shared" si="13"/>
        <v>0-25QuarterlyWokingham</v>
      </c>
      <c r="C139" s="961" t="s">
        <v>16</v>
      </c>
      <c r="D139" s="1002">
        <v>53500</v>
      </c>
      <c r="E139" s="1002">
        <v>53500</v>
      </c>
      <c r="F139" s="1002">
        <v>53500</v>
      </c>
      <c r="G139" s="1002">
        <v>53500</v>
      </c>
      <c r="H139" s="1002">
        <v>53500</v>
      </c>
    </row>
    <row r="140" spans="2:8" x14ac:dyDescent="0.2">
      <c r="B140" s="470" t="str">
        <f t="shared" si="13"/>
        <v>0-25QuarterlySouth East</v>
      </c>
      <c r="C140" s="963" t="s">
        <v>74</v>
      </c>
      <c r="D140" s="1002">
        <v>2814900</v>
      </c>
      <c r="E140" s="1002">
        <v>2814900</v>
      </c>
      <c r="F140" s="1002">
        <v>2814900</v>
      </c>
      <c r="G140" s="1002">
        <v>2814900</v>
      </c>
      <c r="H140" s="1002">
        <v>2814900</v>
      </c>
    </row>
    <row r="141" spans="2:8" x14ac:dyDescent="0.2">
      <c r="B141" s="470" t="str">
        <f t="shared" si="13"/>
        <v>0-25QuarterlyEngland</v>
      </c>
      <c r="C141" s="964" t="s">
        <v>127</v>
      </c>
      <c r="D141" s="1002">
        <v>17510800</v>
      </c>
      <c r="E141" s="1002">
        <v>17510800</v>
      </c>
      <c r="F141" s="1002">
        <v>17510800</v>
      </c>
      <c r="G141" s="1002">
        <v>17510800</v>
      </c>
      <c r="H141" s="1002">
        <v>17510800</v>
      </c>
    </row>
    <row r="143" spans="2:8" x14ac:dyDescent="0.2">
      <c r="B143" s="470" t="s">
        <v>716</v>
      </c>
      <c r="C143" s="785" t="s">
        <v>719</v>
      </c>
    </row>
    <row r="144" spans="2:8" x14ac:dyDescent="0.2">
      <c r="B144" s="965" t="s">
        <v>708</v>
      </c>
      <c r="C144" s="470" t="s">
        <v>643</v>
      </c>
      <c r="D144" s="972" t="str">
        <f>D$22</f>
        <v>2015-16</v>
      </c>
      <c r="E144" s="972" t="str">
        <f t="shared" ref="E144:H144" si="14">E$22</f>
        <v>2016-17</v>
      </c>
      <c r="F144" s="972" t="str">
        <f t="shared" si="14"/>
        <v>2017-18</v>
      </c>
      <c r="G144" s="972" t="str">
        <f t="shared" si="14"/>
        <v>2018-19</v>
      </c>
      <c r="H144" s="972" t="str">
        <f t="shared" si="14"/>
        <v>2019-20</v>
      </c>
    </row>
    <row r="145" spans="2:8" x14ac:dyDescent="0.2">
      <c r="B145" s="470" t="str">
        <f t="shared" ref="B145:B169" si="15">CONCATENATE($B$143,$C$144,C145)</f>
        <v>19-21Annual</v>
      </c>
      <c r="C145" s="960"/>
      <c r="D145" s="1366" t="s">
        <v>126</v>
      </c>
      <c r="E145" s="1366" t="s">
        <v>189</v>
      </c>
      <c r="F145" s="1366" t="s">
        <v>237</v>
      </c>
      <c r="G145" s="955" t="s">
        <v>988</v>
      </c>
      <c r="H145" s="955" t="s">
        <v>1246</v>
      </c>
    </row>
    <row r="146" spans="2:8" x14ac:dyDescent="0.2">
      <c r="B146" s="470" t="str">
        <f t="shared" si="15"/>
        <v>19-21AnnualBracknell Forest</v>
      </c>
      <c r="C146" s="961" t="s">
        <v>0</v>
      </c>
      <c r="D146" s="1002">
        <v>3300</v>
      </c>
      <c r="E146" s="1002">
        <v>3100</v>
      </c>
      <c r="F146" s="1002">
        <v>3200</v>
      </c>
      <c r="G146" s="1002">
        <v>3300</v>
      </c>
      <c r="H146" s="1002">
        <v>3370</v>
      </c>
    </row>
    <row r="147" spans="2:8" x14ac:dyDescent="0.2">
      <c r="B147" s="470" t="str">
        <f t="shared" si="15"/>
        <v>19-21AnnualBrighton &amp; Hove</v>
      </c>
      <c r="C147" s="962" t="s">
        <v>31</v>
      </c>
      <c r="D147" s="1002">
        <v>18200</v>
      </c>
      <c r="E147" s="1002">
        <v>19300</v>
      </c>
      <c r="F147" s="1002">
        <v>20400</v>
      </c>
      <c r="G147" s="1002">
        <v>21100</v>
      </c>
      <c r="H147" s="1002">
        <v>20940</v>
      </c>
    </row>
    <row r="148" spans="2:8" x14ac:dyDescent="0.2">
      <c r="B148" s="470" t="str">
        <f t="shared" si="15"/>
        <v>19-21AnnualBuckinghamshire</v>
      </c>
      <c r="C148" s="961" t="s">
        <v>8</v>
      </c>
      <c r="D148" s="1002">
        <v>14700</v>
      </c>
      <c r="E148" s="1002">
        <v>14400</v>
      </c>
      <c r="F148" s="1002">
        <v>13700</v>
      </c>
      <c r="G148" s="1002">
        <v>13300</v>
      </c>
      <c r="H148" s="1002">
        <v>12800</v>
      </c>
    </row>
    <row r="149" spans="2:8" x14ac:dyDescent="0.2">
      <c r="B149" s="470" t="str">
        <f t="shared" si="15"/>
        <v>19-21AnnualEast Sussex</v>
      </c>
      <c r="C149" s="961" t="s">
        <v>4</v>
      </c>
      <c r="D149" s="1002">
        <v>15900</v>
      </c>
      <c r="E149" s="1002">
        <v>15700</v>
      </c>
      <c r="F149" s="1002">
        <v>15500</v>
      </c>
      <c r="G149" s="1002">
        <v>15200</v>
      </c>
      <c r="H149" s="1002">
        <v>14484</v>
      </c>
    </row>
    <row r="150" spans="2:8" x14ac:dyDescent="0.2">
      <c r="B150" s="470" t="str">
        <f t="shared" si="15"/>
        <v>19-21AnnualHampshire</v>
      </c>
      <c r="C150" s="962" t="s">
        <v>6</v>
      </c>
      <c r="D150" s="1002">
        <v>41000</v>
      </c>
      <c r="E150" s="1002">
        <v>40800</v>
      </c>
      <c r="F150" s="1002">
        <v>39700</v>
      </c>
      <c r="G150" s="1002">
        <v>39200</v>
      </c>
      <c r="H150" s="1002">
        <v>38339</v>
      </c>
    </row>
    <row r="151" spans="2:8" x14ac:dyDescent="0.2">
      <c r="B151" s="470" t="str">
        <f t="shared" si="15"/>
        <v>19-21AnnualIsle of Wight</v>
      </c>
      <c r="C151" s="961" t="s">
        <v>1</v>
      </c>
      <c r="D151" s="1002">
        <v>4100</v>
      </c>
      <c r="E151" s="1002">
        <v>4000</v>
      </c>
      <c r="F151" s="1002">
        <v>3800</v>
      </c>
      <c r="G151" s="1002">
        <v>3800</v>
      </c>
      <c r="H151" s="1002">
        <v>3573</v>
      </c>
    </row>
    <row r="152" spans="2:8" x14ac:dyDescent="0.2">
      <c r="B152" s="470" t="str">
        <f t="shared" si="15"/>
        <v>19-21AnnualKent</v>
      </c>
      <c r="C152" s="961" t="s">
        <v>9</v>
      </c>
      <c r="D152" s="1002">
        <v>54200</v>
      </c>
      <c r="E152" s="1002">
        <v>53400</v>
      </c>
      <c r="F152" s="1002">
        <v>52800</v>
      </c>
      <c r="G152" s="1002">
        <v>52300</v>
      </c>
      <c r="H152" s="1002">
        <v>50859</v>
      </c>
    </row>
    <row r="153" spans="2:8" x14ac:dyDescent="0.2">
      <c r="B153" s="470" t="str">
        <f t="shared" si="15"/>
        <v>19-21AnnualMedway</v>
      </c>
      <c r="C153" s="961" t="s">
        <v>2</v>
      </c>
      <c r="D153" s="1002">
        <v>10700</v>
      </c>
      <c r="E153" s="1002">
        <v>10300</v>
      </c>
      <c r="F153" s="1002">
        <v>9900</v>
      </c>
      <c r="G153" s="1002">
        <v>9600</v>
      </c>
      <c r="H153" s="1002">
        <v>9343</v>
      </c>
    </row>
    <row r="154" spans="2:8" x14ac:dyDescent="0.2">
      <c r="B154" s="470" t="str">
        <f t="shared" si="15"/>
        <v>19-21AnnualMilton Keynes</v>
      </c>
      <c r="C154" s="961" t="s">
        <v>10</v>
      </c>
      <c r="D154" s="1002">
        <v>7100</v>
      </c>
      <c r="E154" s="1002">
        <v>6700</v>
      </c>
      <c r="F154" s="1002">
        <v>6700</v>
      </c>
      <c r="G154" s="1002">
        <v>6500</v>
      </c>
      <c r="H154" s="1002">
        <v>6330</v>
      </c>
    </row>
    <row r="155" spans="2:8" x14ac:dyDescent="0.2">
      <c r="B155" s="470" t="str">
        <f t="shared" si="15"/>
        <v>19-21AnnualOxfordshire</v>
      </c>
      <c r="C155" s="961" t="s">
        <v>11</v>
      </c>
      <c r="D155" s="1002">
        <v>30300</v>
      </c>
      <c r="E155" s="1002">
        <v>30400</v>
      </c>
      <c r="F155" s="1002">
        <v>29900</v>
      </c>
      <c r="G155" s="1002">
        <v>29900</v>
      </c>
      <c r="H155" s="1002">
        <v>29923</v>
      </c>
    </row>
    <row r="156" spans="2:8" x14ac:dyDescent="0.2">
      <c r="B156" s="470" t="str">
        <f t="shared" si="15"/>
        <v>19-21AnnualPortsmouth</v>
      </c>
      <c r="C156" s="961" t="s">
        <v>12</v>
      </c>
      <c r="D156" s="1002">
        <v>15200</v>
      </c>
      <c r="E156" s="1002">
        <v>15500</v>
      </c>
      <c r="F156" s="1002">
        <v>16200</v>
      </c>
      <c r="G156" s="1002">
        <v>16400</v>
      </c>
      <c r="H156" s="1002">
        <v>16626</v>
      </c>
    </row>
    <row r="157" spans="2:8" x14ac:dyDescent="0.2">
      <c r="B157" s="470" t="str">
        <f t="shared" si="15"/>
        <v>19-21AnnualReading</v>
      </c>
      <c r="C157" s="961" t="s">
        <v>3</v>
      </c>
      <c r="D157" s="1002">
        <v>8800</v>
      </c>
      <c r="E157" s="1002">
        <v>8800</v>
      </c>
      <c r="F157" s="1002">
        <v>9100</v>
      </c>
      <c r="G157" s="1002">
        <v>9400</v>
      </c>
      <c r="H157" s="1002">
        <v>8844</v>
      </c>
    </row>
    <row r="158" spans="2:8" x14ac:dyDescent="0.2">
      <c r="B158" s="470" t="str">
        <f t="shared" si="15"/>
        <v>19-21AnnualSlough</v>
      </c>
      <c r="C158" s="961" t="s">
        <v>13</v>
      </c>
      <c r="D158" s="1002">
        <v>4500</v>
      </c>
      <c r="E158" s="1002">
        <v>4400</v>
      </c>
      <c r="F158" s="1002">
        <v>4300</v>
      </c>
      <c r="G158" s="1002">
        <v>4200</v>
      </c>
      <c r="H158" s="1002">
        <v>4095</v>
      </c>
    </row>
    <row r="159" spans="2:8" x14ac:dyDescent="0.2">
      <c r="B159" s="470" t="str">
        <f t="shared" si="15"/>
        <v>19-21AnnualSomerset</v>
      </c>
      <c r="C159" s="961" t="s">
        <v>95</v>
      </c>
      <c r="D159" s="1002">
        <v>15300</v>
      </c>
      <c r="E159" s="1002">
        <v>14900</v>
      </c>
      <c r="F159" s="1002">
        <v>14800</v>
      </c>
      <c r="G159" s="1002">
        <v>14500</v>
      </c>
      <c r="H159" s="1002">
        <v>13953</v>
      </c>
    </row>
    <row r="160" spans="2:8" x14ac:dyDescent="0.2">
      <c r="B160" s="470" t="str">
        <f t="shared" si="15"/>
        <v>19-21AnnualSouthampton</v>
      </c>
      <c r="C160" s="961" t="s">
        <v>14</v>
      </c>
      <c r="D160" s="1002">
        <v>20800</v>
      </c>
      <c r="E160" s="1002">
        <v>21800</v>
      </c>
      <c r="F160" s="1002">
        <v>22100</v>
      </c>
      <c r="G160" s="1002">
        <v>22000</v>
      </c>
      <c r="H160" s="1002">
        <v>20481</v>
      </c>
    </row>
    <row r="161" spans="2:8" x14ac:dyDescent="0.2">
      <c r="B161" s="470" t="str">
        <f t="shared" si="15"/>
        <v>19-21AnnualSurrey</v>
      </c>
      <c r="C161" s="961" t="s">
        <v>7</v>
      </c>
      <c r="D161" s="1002">
        <v>36700</v>
      </c>
      <c r="E161" s="1002">
        <v>36600</v>
      </c>
      <c r="F161" s="1002">
        <v>37200</v>
      </c>
      <c r="G161" s="1002">
        <v>37500</v>
      </c>
      <c r="H161" s="1002">
        <v>37488</v>
      </c>
    </row>
    <row r="162" spans="2:8" x14ac:dyDescent="0.2">
      <c r="B162" s="470" t="str">
        <f t="shared" si="15"/>
        <v>19-21AnnualSwindon</v>
      </c>
      <c r="C162" s="961" t="s">
        <v>113</v>
      </c>
      <c r="D162" s="1002">
        <v>6500</v>
      </c>
      <c r="E162" s="1002">
        <v>6300</v>
      </c>
      <c r="F162" s="1002">
        <v>6300</v>
      </c>
      <c r="G162" s="1002">
        <v>6300</v>
      </c>
      <c r="H162" s="1002">
        <v>6173</v>
      </c>
    </row>
    <row r="163" spans="2:8" x14ac:dyDescent="0.2">
      <c r="B163" s="470" t="str">
        <f t="shared" si="15"/>
        <v>19-21AnnualTorbay</v>
      </c>
      <c r="C163" s="961" t="s">
        <v>114</v>
      </c>
      <c r="D163" s="1002">
        <v>3800</v>
      </c>
      <c r="E163" s="1002">
        <v>3700</v>
      </c>
      <c r="F163" s="1002">
        <v>3600</v>
      </c>
      <c r="G163" s="1002">
        <v>3500</v>
      </c>
      <c r="H163" s="1002">
        <v>3378</v>
      </c>
    </row>
    <row r="164" spans="2:8" x14ac:dyDescent="0.2">
      <c r="B164" s="470" t="str">
        <f t="shared" si="15"/>
        <v>19-21AnnualWest Berkshire</v>
      </c>
      <c r="C164" s="961" t="s">
        <v>15</v>
      </c>
      <c r="D164" s="1002">
        <v>3800</v>
      </c>
      <c r="E164" s="1002">
        <v>3900</v>
      </c>
      <c r="F164" s="1002">
        <v>3800</v>
      </c>
      <c r="G164" s="1002">
        <v>3800</v>
      </c>
      <c r="H164" s="1002">
        <v>3750</v>
      </c>
    </row>
    <row r="165" spans="2:8" x14ac:dyDescent="0.2">
      <c r="B165" s="470" t="str">
        <f t="shared" si="15"/>
        <v>19-21AnnualWest Sussex</v>
      </c>
      <c r="C165" s="961" t="s">
        <v>5</v>
      </c>
      <c r="D165" s="1002">
        <v>23500</v>
      </c>
      <c r="E165" s="1002">
        <v>23100</v>
      </c>
      <c r="F165" s="1002">
        <v>22800</v>
      </c>
      <c r="G165" s="1002">
        <v>22500</v>
      </c>
      <c r="H165" s="1002">
        <v>21481</v>
      </c>
    </row>
    <row r="166" spans="2:8" x14ac:dyDescent="0.2">
      <c r="B166" s="470" t="str">
        <f t="shared" si="15"/>
        <v>19-21AnnualWindsor &amp; Maidenhead</v>
      </c>
      <c r="C166" s="962" t="s">
        <v>30</v>
      </c>
      <c r="D166" s="1002">
        <v>3100</v>
      </c>
      <c r="E166" s="1002">
        <v>3100</v>
      </c>
      <c r="F166" s="1002">
        <v>3100</v>
      </c>
      <c r="G166" s="1002">
        <v>3200</v>
      </c>
      <c r="H166" s="1002">
        <v>3330</v>
      </c>
    </row>
    <row r="167" spans="2:8" x14ac:dyDescent="0.2">
      <c r="B167" s="470" t="str">
        <f t="shared" si="15"/>
        <v>19-21AnnualWokingham</v>
      </c>
      <c r="C167" s="961" t="s">
        <v>16</v>
      </c>
      <c r="D167" s="1002">
        <v>4400</v>
      </c>
      <c r="E167" s="1002">
        <v>4300</v>
      </c>
      <c r="F167" s="1002">
        <v>4400</v>
      </c>
      <c r="G167" s="1002">
        <v>4400</v>
      </c>
      <c r="H167" s="1002">
        <v>4402</v>
      </c>
    </row>
    <row r="168" spans="2:8" x14ac:dyDescent="0.2">
      <c r="B168" s="470" t="str">
        <f t="shared" si="15"/>
        <v>19-21AnnualSouth East</v>
      </c>
      <c r="C168" s="963" t="s">
        <v>74</v>
      </c>
      <c r="D168" s="1002">
        <v>320000</v>
      </c>
      <c r="E168" s="1002">
        <v>319700</v>
      </c>
      <c r="F168" s="1002">
        <v>318600</v>
      </c>
      <c r="G168" s="1002">
        <v>317600</v>
      </c>
      <c r="H168" s="1002">
        <v>310458</v>
      </c>
    </row>
    <row r="169" spans="2:8" x14ac:dyDescent="0.2">
      <c r="B169" s="470" t="str">
        <f t="shared" si="15"/>
        <v>19-21AnnualEngland</v>
      </c>
      <c r="C169" s="964" t="s">
        <v>127</v>
      </c>
      <c r="D169" s="1002">
        <v>2042300</v>
      </c>
      <c r="E169" s="1002">
        <v>2038900</v>
      </c>
      <c r="F169" s="1002">
        <v>2029700</v>
      </c>
      <c r="G169" s="1002">
        <v>2020500</v>
      </c>
      <c r="H169" s="1002">
        <v>1987585</v>
      </c>
    </row>
    <row r="171" spans="2:8" x14ac:dyDescent="0.2">
      <c r="B171" s="470" t="s">
        <v>716</v>
      </c>
      <c r="C171" s="785" t="s">
        <v>719</v>
      </c>
      <c r="D171" s="972" t="str">
        <f>D$24</f>
        <v>2019-20</v>
      </c>
      <c r="E171" s="972" t="str">
        <f t="shared" ref="E171:H171" si="16">E$24</f>
        <v>2019-20</v>
      </c>
      <c r="F171" s="972" t="str">
        <f t="shared" si="16"/>
        <v>2019-20</v>
      </c>
      <c r="G171" s="972" t="str">
        <f t="shared" si="16"/>
        <v>2019-20</v>
      </c>
      <c r="H171" s="972" t="str">
        <f t="shared" si="16"/>
        <v>2020-21</v>
      </c>
    </row>
    <row r="172" spans="2:8" x14ac:dyDescent="0.2">
      <c r="B172" s="965" t="s">
        <v>708</v>
      </c>
      <c r="C172" s="470" t="s">
        <v>649</v>
      </c>
      <c r="D172" s="972" t="str">
        <f>D$25</f>
        <v>Q1</v>
      </c>
      <c r="E172" s="972" t="str">
        <f t="shared" ref="E172:H172" si="17">E$25</f>
        <v>Q2</v>
      </c>
      <c r="F172" s="972" t="str">
        <f t="shared" si="17"/>
        <v>Q3</v>
      </c>
      <c r="G172" s="972" t="str">
        <f t="shared" si="17"/>
        <v>Q4</v>
      </c>
      <c r="H172" s="972" t="str">
        <f t="shared" si="17"/>
        <v>Q1</v>
      </c>
    </row>
    <row r="173" spans="2:8" x14ac:dyDescent="0.2">
      <c r="B173" s="470" t="str">
        <f t="shared" ref="B173:B197" si="18">CONCATENATE($B$171,$C$172,C173)</f>
        <v>19-21Quarterly</v>
      </c>
      <c r="C173" s="960"/>
      <c r="D173" s="1438" t="s">
        <v>1246</v>
      </c>
      <c r="E173" s="1366" t="s">
        <v>1246</v>
      </c>
      <c r="F173" s="1432" t="s">
        <v>1246</v>
      </c>
      <c r="G173" s="1432" t="s">
        <v>1246</v>
      </c>
      <c r="H173" s="1432" t="s">
        <v>1246</v>
      </c>
    </row>
    <row r="174" spans="2:8" x14ac:dyDescent="0.2">
      <c r="B174" s="470" t="str">
        <f t="shared" si="18"/>
        <v>19-21QuarterlyBracknell Forest</v>
      </c>
      <c r="C174" s="961" t="s">
        <v>0</v>
      </c>
      <c r="D174" s="1002">
        <v>3370</v>
      </c>
      <c r="E174" s="1002">
        <v>3370</v>
      </c>
      <c r="F174" s="1002">
        <v>3370</v>
      </c>
      <c r="G174" s="1002">
        <v>3370</v>
      </c>
      <c r="H174" s="1002">
        <v>3370</v>
      </c>
    </row>
    <row r="175" spans="2:8" x14ac:dyDescent="0.2">
      <c r="B175" s="470" t="str">
        <f t="shared" si="18"/>
        <v>19-21QuarterlyBrighton &amp; Hove</v>
      </c>
      <c r="C175" s="962" t="s">
        <v>31</v>
      </c>
      <c r="D175" s="1002">
        <v>20940</v>
      </c>
      <c r="E175" s="1002">
        <v>20940</v>
      </c>
      <c r="F175" s="1002">
        <v>20940</v>
      </c>
      <c r="G175" s="1002">
        <v>20940</v>
      </c>
      <c r="H175" s="1002">
        <v>20940</v>
      </c>
    </row>
    <row r="176" spans="2:8" x14ac:dyDescent="0.2">
      <c r="B176" s="470" t="str">
        <f t="shared" si="18"/>
        <v>19-21QuarterlyBuckinghamshire</v>
      </c>
      <c r="C176" s="961" t="s">
        <v>8</v>
      </c>
      <c r="D176" s="1002">
        <v>12800</v>
      </c>
      <c r="E176" s="1002">
        <v>12800</v>
      </c>
      <c r="F176" s="1002">
        <v>12800</v>
      </c>
      <c r="G176" s="1002">
        <v>12800</v>
      </c>
      <c r="H176" s="1002">
        <v>12800</v>
      </c>
    </row>
    <row r="177" spans="2:8" x14ac:dyDescent="0.2">
      <c r="B177" s="470" t="str">
        <f t="shared" si="18"/>
        <v>19-21QuarterlyEast Sussex</v>
      </c>
      <c r="C177" s="961" t="s">
        <v>4</v>
      </c>
      <c r="D177" s="1002">
        <v>14484</v>
      </c>
      <c r="E177" s="1002">
        <v>14484</v>
      </c>
      <c r="F177" s="1002">
        <v>14484</v>
      </c>
      <c r="G177" s="1002">
        <v>14484</v>
      </c>
      <c r="H177" s="1002">
        <v>14484</v>
      </c>
    </row>
    <row r="178" spans="2:8" x14ac:dyDescent="0.2">
      <c r="B178" s="470" t="str">
        <f t="shared" si="18"/>
        <v>19-21QuarterlyHampshire</v>
      </c>
      <c r="C178" s="962" t="s">
        <v>6</v>
      </c>
      <c r="D178" s="1002">
        <v>38339</v>
      </c>
      <c r="E178" s="1002">
        <v>38339</v>
      </c>
      <c r="F178" s="1002">
        <v>38339</v>
      </c>
      <c r="G178" s="1002">
        <v>38339</v>
      </c>
      <c r="H178" s="1002">
        <v>38339</v>
      </c>
    </row>
    <row r="179" spans="2:8" x14ac:dyDescent="0.2">
      <c r="B179" s="470" t="str">
        <f t="shared" si="18"/>
        <v>19-21QuarterlyIsle of Wight</v>
      </c>
      <c r="C179" s="961" t="s">
        <v>1</v>
      </c>
      <c r="D179" s="1002">
        <v>3573</v>
      </c>
      <c r="E179" s="1002">
        <v>3573</v>
      </c>
      <c r="F179" s="1002">
        <v>3573</v>
      </c>
      <c r="G179" s="1002">
        <v>3573</v>
      </c>
      <c r="H179" s="1002">
        <v>3573</v>
      </c>
    </row>
    <row r="180" spans="2:8" x14ac:dyDescent="0.2">
      <c r="B180" s="470" t="str">
        <f t="shared" si="18"/>
        <v>19-21QuarterlyKent</v>
      </c>
      <c r="C180" s="961" t="s">
        <v>9</v>
      </c>
      <c r="D180" s="1002">
        <v>50859</v>
      </c>
      <c r="E180" s="1002">
        <v>50859</v>
      </c>
      <c r="F180" s="1002">
        <v>50859</v>
      </c>
      <c r="G180" s="1002">
        <v>50859</v>
      </c>
      <c r="H180" s="1002">
        <v>50859</v>
      </c>
    </row>
    <row r="181" spans="2:8" x14ac:dyDescent="0.2">
      <c r="B181" s="470" t="str">
        <f t="shared" si="18"/>
        <v>19-21QuarterlyMedway</v>
      </c>
      <c r="C181" s="961" t="s">
        <v>2</v>
      </c>
      <c r="D181" s="1002">
        <v>9343</v>
      </c>
      <c r="E181" s="1002">
        <v>9343</v>
      </c>
      <c r="F181" s="1002">
        <v>9343</v>
      </c>
      <c r="G181" s="1002">
        <v>9343</v>
      </c>
      <c r="H181" s="1002">
        <v>9343</v>
      </c>
    </row>
    <row r="182" spans="2:8" x14ac:dyDescent="0.2">
      <c r="B182" s="470" t="str">
        <f t="shared" si="18"/>
        <v>19-21QuarterlyMilton Keynes</v>
      </c>
      <c r="C182" s="961" t="s">
        <v>10</v>
      </c>
      <c r="D182" s="1002">
        <v>6330</v>
      </c>
      <c r="E182" s="1002">
        <v>6330</v>
      </c>
      <c r="F182" s="1002">
        <v>6330</v>
      </c>
      <c r="G182" s="1002">
        <v>6330</v>
      </c>
      <c r="H182" s="1002">
        <v>6330</v>
      </c>
    </row>
    <row r="183" spans="2:8" x14ac:dyDescent="0.2">
      <c r="B183" s="470" t="str">
        <f t="shared" si="18"/>
        <v>19-21QuarterlyOxfordshire</v>
      </c>
      <c r="C183" s="961" t="s">
        <v>11</v>
      </c>
      <c r="D183" s="1002">
        <v>29923</v>
      </c>
      <c r="E183" s="1002">
        <v>29923</v>
      </c>
      <c r="F183" s="1002">
        <v>29923</v>
      </c>
      <c r="G183" s="1002">
        <v>29923</v>
      </c>
      <c r="H183" s="1002">
        <v>29923</v>
      </c>
    </row>
    <row r="184" spans="2:8" x14ac:dyDescent="0.2">
      <c r="B184" s="470" t="str">
        <f t="shared" si="18"/>
        <v>19-21QuarterlyPortsmouth</v>
      </c>
      <c r="C184" s="961" t="s">
        <v>12</v>
      </c>
      <c r="D184" s="1002">
        <v>16626</v>
      </c>
      <c r="E184" s="1002">
        <v>16626</v>
      </c>
      <c r="F184" s="1002">
        <v>16626</v>
      </c>
      <c r="G184" s="1002">
        <v>16626</v>
      </c>
      <c r="H184" s="1002">
        <v>16626</v>
      </c>
    </row>
    <row r="185" spans="2:8" x14ac:dyDescent="0.2">
      <c r="B185" s="470" t="str">
        <f t="shared" si="18"/>
        <v>19-21QuarterlyReading</v>
      </c>
      <c r="C185" s="961" t="s">
        <v>3</v>
      </c>
      <c r="D185" s="1002">
        <v>8844</v>
      </c>
      <c r="E185" s="1002">
        <v>8844</v>
      </c>
      <c r="F185" s="1002">
        <v>8844</v>
      </c>
      <c r="G185" s="1002">
        <v>8844</v>
      </c>
      <c r="H185" s="1002">
        <v>8844</v>
      </c>
    </row>
    <row r="186" spans="2:8" x14ac:dyDescent="0.2">
      <c r="B186" s="470" t="str">
        <f t="shared" si="18"/>
        <v>19-21QuarterlySlough</v>
      </c>
      <c r="C186" s="961" t="s">
        <v>13</v>
      </c>
      <c r="D186" s="1002">
        <v>4095</v>
      </c>
      <c r="E186" s="1002">
        <v>4095</v>
      </c>
      <c r="F186" s="1002">
        <v>4095</v>
      </c>
      <c r="G186" s="1002">
        <v>4095</v>
      </c>
      <c r="H186" s="1002">
        <v>4095</v>
      </c>
    </row>
    <row r="187" spans="2:8" x14ac:dyDescent="0.2">
      <c r="B187" s="470" t="str">
        <f t="shared" si="18"/>
        <v>19-21QuarterlySomerset</v>
      </c>
      <c r="C187" s="961" t="s">
        <v>95</v>
      </c>
      <c r="D187" s="1002">
        <v>13953</v>
      </c>
      <c r="E187" s="1002">
        <v>13953</v>
      </c>
      <c r="F187" s="1002">
        <v>13953</v>
      </c>
      <c r="G187" s="1002">
        <v>13953</v>
      </c>
      <c r="H187" s="1002">
        <v>13953</v>
      </c>
    </row>
    <row r="188" spans="2:8" x14ac:dyDescent="0.2">
      <c r="B188" s="470" t="str">
        <f t="shared" si="18"/>
        <v>19-21QuarterlySouthampton</v>
      </c>
      <c r="C188" s="961" t="s">
        <v>14</v>
      </c>
      <c r="D188" s="1002">
        <v>20481</v>
      </c>
      <c r="E188" s="1002">
        <v>20481</v>
      </c>
      <c r="F188" s="1002">
        <v>20481</v>
      </c>
      <c r="G188" s="1002">
        <v>20481</v>
      </c>
      <c r="H188" s="1002">
        <v>20481</v>
      </c>
    </row>
    <row r="189" spans="2:8" x14ac:dyDescent="0.2">
      <c r="B189" s="470" t="str">
        <f t="shared" si="18"/>
        <v>19-21QuarterlySurrey</v>
      </c>
      <c r="C189" s="961" t="s">
        <v>7</v>
      </c>
      <c r="D189" s="1002">
        <v>37488</v>
      </c>
      <c r="E189" s="1002">
        <v>37488</v>
      </c>
      <c r="F189" s="1002">
        <v>37488</v>
      </c>
      <c r="G189" s="1002">
        <v>37488</v>
      </c>
      <c r="H189" s="1002">
        <v>37488</v>
      </c>
    </row>
    <row r="190" spans="2:8" x14ac:dyDescent="0.2">
      <c r="B190" s="470" t="str">
        <f t="shared" si="18"/>
        <v>19-21QuarterlySwindon</v>
      </c>
      <c r="C190" s="961" t="s">
        <v>113</v>
      </c>
      <c r="D190" s="1002">
        <v>6173</v>
      </c>
      <c r="E190" s="1002">
        <v>6173</v>
      </c>
      <c r="F190" s="1002">
        <v>6173</v>
      </c>
      <c r="G190" s="1002">
        <v>6173</v>
      </c>
      <c r="H190" s="1002">
        <v>6173</v>
      </c>
    </row>
    <row r="191" spans="2:8" x14ac:dyDescent="0.2">
      <c r="B191" s="470" t="str">
        <f t="shared" si="18"/>
        <v>19-21QuarterlyTorbay</v>
      </c>
      <c r="C191" s="961" t="s">
        <v>114</v>
      </c>
      <c r="D191" s="1002">
        <v>3378</v>
      </c>
      <c r="E191" s="1002">
        <v>3378</v>
      </c>
      <c r="F191" s="1002">
        <v>3378</v>
      </c>
      <c r="G191" s="1002">
        <v>3378</v>
      </c>
      <c r="H191" s="1002">
        <v>3378</v>
      </c>
    </row>
    <row r="192" spans="2:8" x14ac:dyDescent="0.2">
      <c r="B192" s="470" t="str">
        <f t="shared" si="18"/>
        <v>19-21QuarterlyWest Berkshire</v>
      </c>
      <c r="C192" s="961" t="s">
        <v>15</v>
      </c>
      <c r="D192" s="1002">
        <v>3750</v>
      </c>
      <c r="E192" s="1002">
        <v>3750</v>
      </c>
      <c r="F192" s="1002">
        <v>3750</v>
      </c>
      <c r="G192" s="1002">
        <v>3750</v>
      </c>
      <c r="H192" s="1002">
        <v>3750</v>
      </c>
    </row>
    <row r="193" spans="2:10" x14ac:dyDescent="0.2">
      <c r="B193" s="470" t="str">
        <f t="shared" si="18"/>
        <v>19-21QuarterlyWest Sussex</v>
      </c>
      <c r="C193" s="961" t="s">
        <v>5</v>
      </c>
      <c r="D193" s="1002">
        <v>21481</v>
      </c>
      <c r="E193" s="1002">
        <v>21481</v>
      </c>
      <c r="F193" s="1002">
        <v>21481</v>
      </c>
      <c r="G193" s="1002">
        <v>21481</v>
      </c>
      <c r="H193" s="1002">
        <v>21481</v>
      </c>
      <c r="J193" s="970"/>
    </row>
    <row r="194" spans="2:10" x14ac:dyDescent="0.2">
      <c r="B194" s="470" t="str">
        <f t="shared" si="18"/>
        <v>19-21QuarterlyWindsor &amp; Maidenhead</v>
      </c>
      <c r="C194" s="962" t="s">
        <v>30</v>
      </c>
      <c r="D194" s="1002">
        <v>3330</v>
      </c>
      <c r="E194" s="1002">
        <v>3330</v>
      </c>
      <c r="F194" s="1002">
        <v>3330</v>
      </c>
      <c r="G194" s="1002">
        <v>3330</v>
      </c>
      <c r="H194" s="1002">
        <v>3330</v>
      </c>
      <c r="J194" s="970"/>
    </row>
    <row r="195" spans="2:10" x14ac:dyDescent="0.2">
      <c r="B195" s="470" t="str">
        <f t="shared" si="18"/>
        <v>19-21QuarterlyWokingham</v>
      </c>
      <c r="C195" s="961" t="s">
        <v>16</v>
      </c>
      <c r="D195" s="1002">
        <v>4402</v>
      </c>
      <c r="E195" s="1002">
        <v>4402</v>
      </c>
      <c r="F195" s="1002">
        <v>4402</v>
      </c>
      <c r="G195" s="1002">
        <v>4402</v>
      </c>
      <c r="H195" s="1002">
        <v>4402</v>
      </c>
      <c r="J195" s="970"/>
    </row>
    <row r="196" spans="2:10" x14ac:dyDescent="0.2">
      <c r="B196" s="470" t="str">
        <f t="shared" si="18"/>
        <v>19-21QuarterlySouth East</v>
      </c>
      <c r="C196" s="963" t="s">
        <v>74</v>
      </c>
      <c r="D196" s="1002">
        <v>310458</v>
      </c>
      <c r="E196" s="1002">
        <v>310458</v>
      </c>
      <c r="F196" s="1002">
        <v>310458</v>
      </c>
      <c r="G196" s="1002">
        <v>310458</v>
      </c>
      <c r="H196" s="1002">
        <v>310458</v>
      </c>
      <c r="J196" s="970"/>
    </row>
    <row r="197" spans="2:10" x14ac:dyDescent="0.2">
      <c r="B197" s="470" t="str">
        <f t="shared" si="18"/>
        <v>19-21QuarterlyEngland</v>
      </c>
      <c r="C197" s="964" t="s">
        <v>127</v>
      </c>
      <c r="D197" s="1002">
        <v>1987585</v>
      </c>
      <c r="E197" s="1002">
        <v>1987585</v>
      </c>
      <c r="F197" s="1002">
        <v>1987585</v>
      </c>
      <c r="G197" s="1002">
        <v>1987585</v>
      </c>
      <c r="H197" s="1002">
        <v>1987585</v>
      </c>
      <c r="J197" s="970"/>
    </row>
    <row r="198" spans="2:10" x14ac:dyDescent="0.2">
      <c r="J198" s="970"/>
    </row>
    <row r="199" spans="2:10" x14ac:dyDescent="0.2">
      <c r="B199" s="981" t="s">
        <v>717</v>
      </c>
      <c r="C199" s="785" t="s">
        <v>720</v>
      </c>
      <c r="J199" s="970"/>
    </row>
    <row r="200" spans="2:10" x14ac:dyDescent="0.2">
      <c r="B200" s="965" t="s">
        <v>708</v>
      </c>
      <c r="C200" s="470" t="s">
        <v>643</v>
      </c>
      <c r="D200" s="972" t="str">
        <f>D$22</f>
        <v>2015-16</v>
      </c>
      <c r="E200" s="972" t="str">
        <f t="shared" ref="E200:H200" si="19">E$22</f>
        <v>2016-17</v>
      </c>
      <c r="F200" s="972" t="str">
        <f t="shared" si="19"/>
        <v>2017-18</v>
      </c>
      <c r="G200" s="972" t="str">
        <f t="shared" si="19"/>
        <v>2018-19</v>
      </c>
      <c r="H200" s="972" t="str">
        <f t="shared" si="19"/>
        <v>2019-20</v>
      </c>
      <c r="J200" s="970"/>
    </row>
    <row r="201" spans="2:10" x14ac:dyDescent="0.2">
      <c r="B201" s="470" t="str">
        <f t="shared" ref="B201:B225" si="20">CONCATENATE($B$199,$C$200,C201)</f>
        <v>10-17Annual</v>
      </c>
      <c r="C201" s="960"/>
      <c r="D201" s="1455" t="s">
        <v>126</v>
      </c>
      <c r="E201" s="1455" t="s">
        <v>189</v>
      </c>
      <c r="F201" s="1455" t="s">
        <v>237</v>
      </c>
      <c r="G201" s="1455" t="s">
        <v>988</v>
      </c>
      <c r="H201" s="1455" t="s">
        <v>1246</v>
      </c>
      <c r="J201" s="970"/>
    </row>
    <row r="202" spans="2:10" x14ac:dyDescent="0.2">
      <c r="B202" s="470" t="str">
        <f t="shared" si="20"/>
        <v>10-17AnnualBracknell Forest</v>
      </c>
      <c r="C202" s="961" t="s">
        <v>0</v>
      </c>
      <c r="D202" s="959">
        <v>11846</v>
      </c>
      <c r="E202" s="959">
        <v>12000</v>
      </c>
      <c r="F202" s="1002">
        <v>12100</v>
      </c>
      <c r="G202" s="1002">
        <v>12447</v>
      </c>
      <c r="H202" s="959">
        <v>12881</v>
      </c>
      <c r="J202" s="970"/>
    </row>
    <row r="203" spans="2:10" x14ac:dyDescent="0.2">
      <c r="B203" s="470" t="str">
        <f t="shared" si="20"/>
        <v>10-17AnnualBrighton &amp; Hove</v>
      </c>
      <c r="C203" s="962" t="s">
        <v>31</v>
      </c>
      <c r="D203" s="959">
        <v>21570</v>
      </c>
      <c r="E203" s="959">
        <v>21800</v>
      </c>
      <c r="F203" s="1002">
        <v>22000</v>
      </c>
      <c r="G203" s="1002">
        <v>22524</v>
      </c>
      <c r="H203" s="959">
        <v>22498</v>
      </c>
      <c r="J203" s="970"/>
    </row>
    <row r="204" spans="2:10" x14ac:dyDescent="0.2">
      <c r="B204" s="470" t="str">
        <f t="shared" si="20"/>
        <v>10-17AnnualBuckinghamshire</v>
      </c>
      <c r="C204" s="961" t="s">
        <v>8</v>
      </c>
      <c r="D204" s="959">
        <v>52507</v>
      </c>
      <c r="E204" s="959">
        <v>53100</v>
      </c>
      <c r="F204" s="1002">
        <v>53800</v>
      </c>
      <c r="G204" s="1002">
        <v>54966</v>
      </c>
      <c r="H204" s="959">
        <v>56496</v>
      </c>
      <c r="J204" s="970"/>
    </row>
    <row r="205" spans="2:10" x14ac:dyDescent="0.2">
      <c r="B205" s="470" t="str">
        <f t="shared" si="20"/>
        <v>10-17AnnualEast Sussex</v>
      </c>
      <c r="C205" s="961" t="s">
        <v>4</v>
      </c>
      <c r="D205" s="959">
        <v>47370</v>
      </c>
      <c r="E205" s="959">
        <v>47400</v>
      </c>
      <c r="F205" s="1002">
        <v>47500</v>
      </c>
      <c r="G205" s="1002">
        <v>48105</v>
      </c>
      <c r="H205" s="959">
        <v>48701</v>
      </c>
      <c r="J205" s="970"/>
    </row>
    <row r="206" spans="2:10" x14ac:dyDescent="0.2">
      <c r="B206" s="470" t="str">
        <f t="shared" si="20"/>
        <v>10-17AnnualHampshire</v>
      </c>
      <c r="C206" s="962" t="s">
        <v>6</v>
      </c>
      <c r="D206" s="959">
        <v>123211</v>
      </c>
      <c r="E206" s="959">
        <v>123600</v>
      </c>
      <c r="F206" s="1002">
        <v>124000</v>
      </c>
      <c r="G206" s="1002">
        <v>125760</v>
      </c>
      <c r="H206" s="959">
        <v>127268</v>
      </c>
      <c r="J206" s="970"/>
    </row>
    <row r="207" spans="2:10" x14ac:dyDescent="0.2">
      <c r="B207" s="470" t="str">
        <f t="shared" si="20"/>
        <v>10-17AnnualIsle of Wight</v>
      </c>
      <c r="C207" s="961" t="s">
        <v>1</v>
      </c>
      <c r="D207" s="959">
        <v>11635</v>
      </c>
      <c r="E207" s="959">
        <v>11600</v>
      </c>
      <c r="F207" s="1002">
        <v>11500</v>
      </c>
      <c r="G207" s="1002">
        <v>11376</v>
      </c>
      <c r="H207" s="959">
        <v>11346</v>
      </c>
      <c r="J207" s="970"/>
    </row>
    <row r="208" spans="2:10" x14ac:dyDescent="0.2">
      <c r="B208" s="470" t="str">
        <f t="shared" si="20"/>
        <v>10-17AnnualKent</v>
      </c>
      <c r="C208" s="961" t="s">
        <v>9</v>
      </c>
      <c r="D208" s="959">
        <v>144159</v>
      </c>
      <c r="E208" s="959">
        <v>144500</v>
      </c>
      <c r="F208" s="1002">
        <v>146000</v>
      </c>
      <c r="G208" s="1002">
        <v>149135</v>
      </c>
      <c r="H208" s="959">
        <v>152528</v>
      </c>
      <c r="J208" s="970"/>
    </row>
    <row r="209" spans="2:10" x14ac:dyDescent="0.2">
      <c r="B209" s="470" t="str">
        <f t="shared" si="20"/>
        <v>10-17AnnualMedway</v>
      </c>
      <c r="C209" s="961" t="s">
        <v>2</v>
      </c>
      <c r="D209" s="959">
        <v>26710</v>
      </c>
      <c r="E209" s="959">
        <v>26800</v>
      </c>
      <c r="F209" s="1002">
        <v>26800</v>
      </c>
      <c r="G209" s="1002">
        <v>27033</v>
      </c>
      <c r="H209" s="959">
        <v>27546</v>
      </c>
      <c r="J209" s="970"/>
    </row>
    <row r="210" spans="2:10" x14ac:dyDescent="0.2">
      <c r="B210" s="470" t="str">
        <f t="shared" si="20"/>
        <v>10-17AnnualMilton Keynes</v>
      </c>
      <c r="C210" s="961" t="s">
        <v>10</v>
      </c>
      <c r="D210" s="959">
        <v>25787</v>
      </c>
      <c r="E210" s="959">
        <v>26400</v>
      </c>
      <c r="F210" s="1002">
        <v>27000</v>
      </c>
      <c r="G210" s="1002">
        <v>27995</v>
      </c>
      <c r="H210" s="959">
        <v>29032</v>
      </c>
      <c r="J210" s="970"/>
    </row>
    <row r="211" spans="2:10" x14ac:dyDescent="0.2">
      <c r="B211" s="470" t="str">
        <f t="shared" si="20"/>
        <v>10-17AnnualOxfordshire</v>
      </c>
      <c r="C211" s="961" t="s">
        <v>11</v>
      </c>
      <c r="D211" s="959">
        <v>59840</v>
      </c>
      <c r="E211" s="959">
        <v>60500</v>
      </c>
      <c r="F211" s="1002">
        <v>61400</v>
      </c>
      <c r="G211" s="1002">
        <v>62607</v>
      </c>
      <c r="H211" s="959">
        <v>63775</v>
      </c>
      <c r="J211" s="970"/>
    </row>
    <row r="212" spans="2:10" x14ac:dyDescent="0.2">
      <c r="B212" s="470" t="str">
        <f t="shared" si="20"/>
        <v>10-17AnnualPortsmouth</v>
      </c>
      <c r="C212" s="961" t="s">
        <v>12</v>
      </c>
      <c r="D212" s="959">
        <v>17264</v>
      </c>
      <c r="E212" s="959">
        <v>17500</v>
      </c>
      <c r="F212" s="1002">
        <v>17900</v>
      </c>
      <c r="G212" s="1002">
        <v>18124</v>
      </c>
      <c r="H212" s="959">
        <v>18548</v>
      </c>
      <c r="J212" s="970"/>
    </row>
    <row r="213" spans="2:10" x14ac:dyDescent="0.2">
      <c r="B213" s="470" t="str">
        <f t="shared" si="20"/>
        <v>10-17AnnualReading</v>
      </c>
      <c r="C213" s="961" t="s">
        <v>3</v>
      </c>
      <c r="D213" s="959">
        <v>13059</v>
      </c>
      <c r="E213" s="959">
        <v>13400</v>
      </c>
      <c r="F213" s="1002">
        <v>13800</v>
      </c>
      <c r="G213" s="1002">
        <v>14250</v>
      </c>
      <c r="H213" s="959">
        <v>14585</v>
      </c>
      <c r="J213" s="970"/>
    </row>
    <row r="214" spans="2:10" x14ac:dyDescent="0.2">
      <c r="B214" s="470" t="str">
        <f t="shared" si="20"/>
        <v>10-17AnnualSlough</v>
      </c>
      <c r="C214" s="961" t="s">
        <v>13</v>
      </c>
      <c r="D214" s="959">
        <v>15026</v>
      </c>
      <c r="E214" s="959">
        <v>15500</v>
      </c>
      <c r="F214" s="1002">
        <v>16300</v>
      </c>
      <c r="G214" s="1002">
        <v>16845</v>
      </c>
      <c r="H214" s="959">
        <v>17393</v>
      </c>
      <c r="J214" s="970"/>
    </row>
    <row r="215" spans="2:10" x14ac:dyDescent="0.2">
      <c r="B215" s="470" t="str">
        <f t="shared" si="20"/>
        <v>10-17AnnualSomerset</v>
      </c>
      <c r="C215" s="961" t="s">
        <v>95</v>
      </c>
      <c r="D215" s="959">
        <v>48998</v>
      </c>
      <c r="E215" s="959">
        <v>48900</v>
      </c>
      <c r="F215" s="1002">
        <v>49000</v>
      </c>
      <c r="G215" s="1002">
        <v>49514</v>
      </c>
      <c r="H215" s="959">
        <v>50492</v>
      </c>
      <c r="J215" s="970"/>
    </row>
    <row r="216" spans="2:10" x14ac:dyDescent="0.2">
      <c r="B216" s="470" t="str">
        <f t="shared" si="20"/>
        <v>10-17AnnualSouthampton</v>
      </c>
      <c r="C216" s="961" t="s">
        <v>14</v>
      </c>
      <c r="D216" s="959">
        <v>18339</v>
      </c>
      <c r="E216" s="959">
        <v>18600</v>
      </c>
      <c r="F216" s="1002">
        <v>19000</v>
      </c>
      <c r="G216" s="1002">
        <v>19591</v>
      </c>
      <c r="H216" s="959">
        <v>20279</v>
      </c>
      <c r="J216" s="970"/>
    </row>
    <row r="217" spans="2:10" x14ac:dyDescent="0.2">
      <c r="B217" s="470" t="str">
        <f t="shared" si="20"/>
        <v>10-17AnnualSurrey</v>
      </c>
      <c r="C217" s="961" t="s">
        <v>7</v>
      </c>
      <c r="D217" s="959">
        <v>108753</v>
      </c>
      <c r="E217" s="959">
        <v>110200</v>
      </c>
      <c r="F217" s="1002">
        <v>111600</v>
      </c>
      <c r="G217" s="1002">
        <v>114104</v>
      </c>
      <c r="H217" s="959">
        <v>116528</v>
      </c>
    </row>
    <row r="218" spans="2:10" x14ac:dyDescent="0.2">
      <c r="B218" s="470" t="str">
        <f t="shared" si="20"/>
        <v>10-17AnnualSwindon</v>
      </c>
      <c r="C218" s="961" t="s">
        <v>113</v>
      </c>
      <c r="D218" s="959">
        <v>19724</v>
      </c>
      <c r="E218" s="959">
        <v>19900</v>
      </c>
      <c r="F218" s="1002">
        <v>20200</v>
      </c>
      <c r="G218" s="1002">
        <v>20663</v>
      </c>
      <c r="H218" s="959">
        <v>20976</v>
      </c>
    </row>
    <row r="219" spans="2:10" x14ac:dyDescent="0.2">
      <c r="B219" s="470" t="str">
        <f t="shared" si="20"/>
        <v>10-17AnnualTorbay</v>
      </c>
      <c r="C219" s="961" t="s">
        <v>114</v>
      </c>
      <c r="D219" s="959">
        <v>10969</v>
      </c>
      <c r="E219" s="959">
        <v>10900</v>
      </c>
      <c r="F219" s="1002">
        <v>10900</v>
      </c>
      <c r="G219" s="1002">
        <v>11055</v>
      </c>
      <c r="H219" s="959">
        <v>11157</v>
      </c>
    </row>
    <row r="220" spans="2:10" x14ac:dyDescent="0.2">
      <c r="B220" s="470" t="str">
        <f t="shared" si="20"/>
        <v>10-17AnnualWest Berkshire</v>
      </c>
      <c r="C220" s="961" t="s">
        <v>15</v>
      </c>
      <c r="D220" s="959">
        <v>15966</v>
      </c>
      <c r="E220" s="959">
        <v>16100</v>
      </c>
      <c r="F220" s="1002">
        <v>16200</v>
      </c>
      <c r="G220" s="1002">
        <v>16328</v>
      </c>
      <c r="H220" s="959">
        <v>16539</v>
      </c>
    </row>
    <row r="221" spans="2:10" x14ac:dyDescent="0.2">
      <c r="B221" s="470" t="str">
        <f t="shared" si="20"/>
        <v>10-17AnnualWest Sussex</v>
      </c>
      <c r="C221" s="961" t="s">
        <v>5</v>
      </c>
      <c r="D221" s="959">
        <v>73209</v>
      </c>
      <c r="E221" s="959">
        <v>73400</v>
      </c>
      <c r="F221" s="1002">
        <v>74200</v>
      </c>
      <c r="G221" s="1002">
        <v>75679</v>
      </c>
      <c r="H221" s="959">
        <v>77656</v>
      </c>
    </row>
    <row r="222" spans="2:10" x14ac:dyDescent="0.2">
      <c r="B222" s="470" t="str">
        <f t="shared" si="20"/>
        <v>10-17AnnualWindsor &amp; Maidenhead</v>
      </c>
      <c r="C222" s="962" t="s">
        <v>30</v>
      </c>
      <c r="D222" s="959">
        <v>15146</v>
      </c>
      <c r="E222" s="959">
        <v>15400</v>
      </c>
      <c r="F222" s="1002">
        <v>15700</v>
      </c>
      <c r="G222" s="1002">
        <v>16074</v>
      </c>
      <c r="H222" s="959">
        <v>16358</v>
      </c>
    </row>
    <row r="223" spans="2:10" x14ac:dyDescent="0.2">
      <c r="B223" s="470" t="str">
        <f t="shared" si="20"/>
        <v>10-17AnnualWokingham</v>
      </c>
      <c r="C223" s="961" t="s">
        <v>16</v>
      </c>
      <c r="D223" s="959">
        <v>16146</v>
      </c>
      <c r="E223" s="959">
        <v>16400</v>
      </c>
      <c r="F223" s="1002">
        <v>16800</v>
      </c>
      <c r="G223" s="1002">
        <v>17471</v>
      </c>
      <c r="H223" s="959">
        <v>18166</v>
      </c>
    </row>
    <row r="224" spans="2:10" x14ac:dyDescent="0.2">
      <c r="B224" s="470" t="str">
        <f t="shared" si="20"/>
        <v>10-17AnnualSouth East</v>
      </c>
      <c r="C224" s="963" t="s">
        <v>74</v>
      </c>
      <c r="D224" s="959">
        <v>817543</v>
      </c>
      <c r="E224" s="959">
        <v>824300</v>
      </c>
      <c r="F224" s="1002">
        <v>833500</v>
      </c>
      <c r="G224" s="1002">
        <v>850414</v>
      </c>
      <c r="H224" s="959">
        <v>868123</v>
      </c>
    </row>
    <row r="225" spans="2:8" x14ac:dyDescent="0.2">
      <c r="B225" s="470" t="str">
        <f t="shared" si="20"/>
        <v>10-17AnnualEngland</v>
      </c>
      <c r="C225" s="964" t="s">
        <v>127</v>
      </c>
      <c r="D225" s="959">
        <v>4885713</v>
      </c>
      <c r="E225" s="959">
        <v>4928000</v>
      </c>
      <c r="F225" s="1002">
        <v>4984600</v>
      </c>
      <c r="G225" s="1002">
        <v>5084025</v>
      </c>
      <c r="H225" s="959">
        <v>5185725</v>
      </c>
    </row>
    <row r="226" spans="2:8" x14ac:dyDescent="0.2">
      <c r="D226" s="1368">
        <f>D$29</f>
        <v>41699</v>
      </c>
      <c r="E226" s="1368">
        <f t="shared" ref="E226:H226" si="21">E$29</f>
        <v>42064</v>
      </c>
      <c r="F226" s="1368">
        <f t="shared" si="21"/>
        <v>42430</v>
      </c>
      <c r="G226" s="1368">
        <f t="shared" si="21"/>
        <v>42795</v>
      </c>
      <c r="H226" s="1368">
        <f t="shared" si="21"/>
        <v>43160</v>
      </c>
    </row>
    <row r="227" spans="2:8" x14ac:dyDescent="0.2">
      <c r="B227" s="981" t="s">
        <v>717</v>
      </c>
      <c r="C227" s="785" t="s">
        <v>720</v>
      </c>
      <c r="D227" s="972" t="str">
        <f>D$24</f>
        <v>2019-20</v>
      </c>
      <c r="E227" s="972" t="str">
        <f t="shared" ref="E227:H227" si="22">E$24</f>
        <v>2019-20</v>
      </c>
      <c r="F227" s="972" t="str">
        <f t="shared" si="22"/>
        <v>2019-20</v>
      </c>
      <c r="G227" s="972" t="str">
        <f t="shared" si="22"/>
        <v>2019-20</v>
      </c>
      <c r="H227" s="972" t="str">
        <f t="shared" si="22"/>
        <v>2020-21</v>
      </c>
    </row>
    <row r="228" spans="2:8" x14ac:dyDescent="0.2">
      <c r="B228" s="965" t="s">
        <v>708</v>
      </c>
      <c r="C228" s="470" t="s">
        <v>649</v>
      </c>
      <c r="D228" s="972" t="str">
        <f>D$25</f>
        <v>Q1</v>
      </c>
      <c r="E228" s="972" t="str">
        <f t="shared" ref="E228:H228" si="23">E$25</f>
        <v>Q2</v>
      </c>
      <c r="F228" s="972" t="str">
        <f t="shared" si="23"/>
        <v>Q3</v>
      </c>
      <c r="G228" s="972" t="str">
        <f t="shared" si="23"/>
        <v>Q4</v>
      </c>
      <c r="H228" s="972" t="str">
        <f t="shared" si="23"/>
        <v>Q1</v>
      </c>
    </row>
    <row r="229" spans="2:8" x14ac:dyDescent="0.2">
      <c r="B229" s="470" t="str">
        <f t="shared" ref="B229:B253" si="24">CONCATENATE($B$227,$C$228,C229)</f>
        <v>10-17Quarterly</v>
      </c>
      <c r="C229" s="960"/>
      <c r="D229" s="1438" t="s">
        <v>1246</v>
      </c>
      <c r="E229" s="1431" t="s">
        <v>1246</v>
      </c>
      <c r="F229" s="1432" t="s">
        <v>1246</v>
      </c>
      <c r="G229" s="1432" t="s">
        <v>1246</v>
      </c>
      <c r="H229" s="1432" t="s">
        <v>1246</v>
      </c>
    </row>
    <row r="230" spans="2:8" x14ac:dyDescent="0.2">
      <c r="B230" s="470" t="str">
        <f t="shared" si="24"/>
        <v>10-17QuarterlyBracknell Forest</v>
      </c>
      <c r="C230" s="961" t="s">
        <v>0</v>
      </c>
      <c r="D230" s="959">
        <v>12881</v>
      </c>
      <c r="E230" s="959">
        <v>12881</v>
      </c>
      <c r="F230" s="959">
        <v>12881</v>
      </c>
      <c r="G230" s="959">
        <v>12881</v>
      </c>
      <c r="H230" s="959">
        <v>12881</v>
      </c>
    </row>
    <row r="231" spans="2:8" x14ac:dyDescent="0.2">
      <c r="B231" s="470" t="str">
        <f t="shared" si="24"/>
        <v>10-17QuarterlyBrighton &amp; Hove</v>
      </c>
      <c r="C231" s="962" t="s">
        <v>31</v>
      </c>
      <c r="D231" s="959">
        <v>22498</v>
      </c>
      <c r="E231" s="959">
        <v>22498</v>
      </c>
      <c r="F231" s="959">
        <v>22498</v>
      </c>
      <c r="G231" s="959">
        <v>22498</v>
      </c>
      <c r="H231" s="959">
        <v>22498</v>
      </c>
    </row>
    <row r="232" spans="2:8" x14ac:dyDescent="0.2">
      <c r="B232" s="470" t="str">
        <f t="shared" si="24"/>
        <v>10-17QuarterlyBuckinghamshire</v>
      </c>
      <c r="C232" s="961" t="s">
        <v>8</v>
      </c>
      <c r="D232" s="959">
        <v>56496</v>
      </c>
      <c r="E232" s="959">
        <v>56496</v>
      </c>
      <c r="F232" s="959">
        <v>56496</v>
      </c>
      <c r="G232" s="959">
        <v>56496</v>
      </c>
      <c r="H232" s="959">
        <v>56496</v>
      </c>
    </row>
    <row r="233" spans="2:8" x14ac:dyDescent="0.2">
      <c r="B233" s="470" t="str">
        <f t="shared" si="24"/>
        <v>10-17QuarterlyEast Sussex</v>
      </c>
      <c r="C233" s="961" t="s">
        <v>4</v>
      </c>
      <c r="D233" s="959">
        <v>48701</v>
      </c>
      <c r="E233" s="959">
        <v>48701</v>
      </c>
      <c r="F233" s="959">
        <v>48701</v>
      </c>
      <c r="G233" s="959">
        <v>48701</v>
      </c>
      <c r="H233" s="959">
        <v>48701</v>
      </c>
    </row>
    <row r="234" spans="2:8" x14ac:dyDescent="0.2">
      <c r="B234" s="470" t="str">
        <f t="shared" si="24"/>
        <v>10-17QuarterlyHampshire</v>
      </c>
      <c r="C234" s="962" t="s">
        <v>6</v>
      </c>
      <c r="D234" s="959">
        <v>127268</v>
      </c>
      <c r="E234" s="959">
        <v>127268</v>
      </c>
      <c r="F234" s="959">
        <v>127268</v>
      </c>
      <c r="G234" s="959">
        <v>127268</v>
      </c>
      <c r="H234" s="959">
        <v>127268</v>
      </c>
    </row>
    <row r="235" spans="2:8" x14ac:dyDescent="0.2">
      <c r="B235" s="470" t="str">
        <f t="shared" si="24"/>
        <v>10-17QuarterlyIsle of Wight</v>
      </c>
      <c r="C235" s="961" t="s">
        <v>1</v>
      </c>
      <c r="D235" s="959">
        <v>11346</v>
      </c>
      <c r="E235" s="959">
        <v>11346</v>
      </c>
      <c r="F235" s="959">
        <v>11346</v>
      </c>
      <c r="G235" s="959">
        <v>11346</v>
      </c>
      <c r="H235" s="959">
        <v>11346</v>
      </c>
    </row>
    <row r="236" spans="2:8" x14ac:dyDescent="0.2">
      <c r="B236" s="470" t="str">
        <f t="shared" si="24"/>
        <v>10-17QuarterlyKent</v>
      </c>
      <c r="C236" s="961" t="s">
        <v>9</v>
      </c>
      <c r="D236" s="959">
        <v>152528</v>
      </c>
      <c r="E236" s="959">
        <v>152528</v>
      </c>
      <c r="F236" s="959">
        <v>152528</v>
      </c>
      <c r="G236" s="959">
        <v>152528</v>
      </c>
      <c r="H236" s="959">
        <v>152528</v>
      </c>
    </row>
    <row r="237" spans="2:8" x14ac:dyDescent="0.2">
      <c r="B237" s="470" t="str">
        <f t="shared" si="24"/>
        <v>10-17QuarterlyMedway</v>
      </c>
      <c r="C237" s="961" t="s">
        <v>2</v>
      </c>
      <c r="D237" s="959">
        <v>27546</v>
      </c>
      <c r="E237" s="959">
        <v>27546</v>
      </c>
      <c r="F237" s="959">
        <v>27546</v>
      </c>
      <c r="G237" s="959">
        <v>27546</v>
      </c>
      <c r="H237" s="959">
        <v>27546</v>
      </c>
    </row>
    <row r="238" spans="2:8" x14ac:dyDescent="0.2">
      <c r="B238" s="470" t="str">
        <f t="shared" si="24"/>
        <v>10-17QuarterlyMilton Keynes</v>
      </c>
      <c r="C238" s="961" t="s">
        <v>10</v>
      </c>
      <c r="D238" s="959">
        <v>29032</v>
      </c>
      <c r="E238" s="959">
        <v>29032</v>
      </c>
      <c r="F238" s="959">
        <v>29032</v>
      </c>
      <c r="G238" s="959">
        <v>29032</v>
      </c>
      <c r="H238" s="959">
        <v>29032</v>
      </c>
    </row>
    <row r="239" spans="2:8" x14ac:dyDescent="0.2">
      <c r="B239" s="470" t="str">
        <f t="shared" si="24"/>
        <v>10-17QuarterlyOxfordshire</v>
      </c>
      <c r="C239" s="961" t="s">
        <v>11</v>
      </c>
      <c r="D239" s="959">
        <v>63775</v>
      </c>
      <c r="E239" s="959">
        <v>63775</v>
      </c>
      <c r="F239" s="959">
        <v>63775</v>
      </c>
      <c r="G239" s="959">
        <v>63775</v>
      </c>
      <c r="H239" s="959">
        <v>63775</v>
      </c>
    </row>
    <row r="240" spans="2:8" x14ac:dyDescent="0.2">
      <c r="B240" s="470" t="str">
        <f t="shared" si="24"/>
        <v>10-17QuarterlyPortsmouth</v>
      </c>
      <c r="C240" s="961" t="s">
        <v>12</v>
      </c>
      <c r="D240" s="959">
        <v>18548</v>
      </c>
      <c r="E240" s="959">
        <v>18548</v>
      </c>
      <c r="F240" s="959">
        <v>18548</v>
      </c>
      <c r="G240" s="959">
        <v>18548</v>
      </c>
      <c r="H240" s="959">
        <v>18548</v>
      </c>
    </row>
    <row r="241" spans="2:8" x14ac:dyDescent="0.2">
      <c r="B241" s="470" t="str">
        <f t="shared" si="24"/>
        <v>10-17QuarterlyReading</v>
      </c>
      <c r="C241" s="961" t="s">
        <v>3</v>
      </c>
      <c r="D241" s="959">
        <v>14585</v>
      </c>
      <c r="E241" s="959">
        <v>14585</v>
      </c>
      <c r="F241" s="959">
        <v>14585</v>
      </c>
      <c r="G241" s="959">
        <v>14585</v>
      </c>
      <c r="H241" s="959">
        <v>14585</v>
      </c>
    </row>
    <row r="242" spans="2:8" x14ac:dyDescent="0.2">
      <c r="B242" s="470" t="str">
        <f t="shared" si="24"/>
        <v>10-17QuarterlySlough</v>
      </c>
      <c r="C242" s="961" t="s">
        <v>13</v>
      </c>
      <c r="D242" s="959">
        <v>17393</v>
      </c>
      <c r="E242" s="959">
        <v>17393</v>
      </c>
      <c r="F242" s="959">
        <v>17393</v>
      </c>
      <c r="G242" s="959">
        <v>17393</v>
      </c>
      <c r="H242" s="959">
        <v>17393</v>
      </c>
    </row>
    <row r="243" spans="2:8" x14ac:dyDescent="0.2">
      <c r="B243" s="470" t="str">
        <f t="shared" si="24"/>
        <v>10-17QuarterlySomerset</v>
      </c>
      <c r="C243" s="961" t="s">
        <v>95</v>
      </c>
      <c r="D243" s="959">
        <v>50492</v>
      </c>
      <c r="E243" s="959">
        <v>50492</v>
      </c>
      <c r="F243" s="959">
        <v>50492</v>
      </c>
      <c r="G243" s="959">
        <v>50492</v>
      </c>
      <c r="H243" s="959">
        <v>50492</v>
      </c>
    </row>
    <row r="244" spans="2:8" x14ac:dyDescent="0.2">
      <c r="B244" s="470" t="str">
        <f t="shared" si="24"/>
        <v>10-17QuarterlySouthampton</v>
      </c>
      <c r="C244" s="961" t="s">
        <v>14</v>
      </c>
      <c r="D244" s="959">
        <v>20279</v>
      </c>
      <c r="E244" s="959">
        <v>20279</v>
      </c>
      <c r="F244" s="959">
        <v>20279</v>
      </c>
      <c r="G244" s="959">
        <v>20279</v>
      </c>
      <c r="H244" s="959">
        <v>20279</v>
      </c>
    </row>
    <row r="245" spans="2:8" x14ac:dyDescent="0.2">
      <c r="B245" s="470" t="str">
        <f t="shared" si="24"/>
        <v>10-17QuarterlySurrey</v>
      </c>
      <c r="C245" s="961" t="s">
        <v>7</v>
      </c>
      <c r="D245" s="959">
        <v>116528</v>
      </c>
      <c r="E245" s="959">
        <v>116528</v>
      </c>
      <c r="F245" s="959">
        <v>116528</v>
      </c>
      <c r="G245" s="959">
        <v>116528</v>
      </c>
      <c r="H245" s="959">
        <v>116528</v>
      </c>
    </row>
    <row r="246" spans="2:8" x14ac:dyDescent="0.2">
      <c r="B246" s="470" t="str">
        <f t="shared" si="24"/>
        <v>10-17QuarterlySwindon</v>
      </c>
      <c r="C246" s="961" t="s">
        <v>113</v>
      </c>
      <c r="D246" s="959">
        <v>20976</v>
      </c>
      <c r="E246" s="959">
        <v>20976</v>
      </c>
      <c r="F246" s="959">
        <v>20976</v>
      </c>
      <c r="G246" s="959">
        <v>20976</v>
      </c>
      <c r="H246" s="959">
        <v>20976</v>
      </c>
    </row>
    <row r="247" spans="2:8" x14ac:dyDescent="0.2">
      <c r="B247" s="470" t="str">
        <f t="shared" si="24"/>
        <v>10-17QuarterlyTorbay</v>
      </c>
      <c r="C247" s="961" t="s">
        <v>114</v>
      </c>
      <c r="D247" s="959">
        <v>11157</v>
      </c>
      <c r="E247" s="959">
        <v>11157</v>
      </c>
      <c r="F247" s="959">
        <v>11157</v>
      </c>
      <c r="G247" s="959">
        <v>11157</v>
      </c>
      <c r="H247" s="959">
        <v>11157</v>
      </c>
    </row>
    <row r="248" spans="2:8" x14ac:dyDescent="0.2">
      <c r="B248" s="470" t="str">
        <f t="shared" si="24"/>
        <v>10-17QuarterlyWest Berkshire</v>
      </c>
      <c r="C248" s="961" t="s">
        <v>15</v>
      </c>
      <c r="D248" s="959">
        <v>16539</v>
      </c>
      <c r="E248" s="959">
        <v>16539</v>
      </c>
      <c r="F248" s="959">
        <v>16539</v>
      </c>
      <c r="G248" s="959">
        <v>16539</v>
      </c>
      <c r="H248" s="959">
        <v>16539</v>
      </c>
    </row>
    <row r="249" spans="2:8" x14ac:dyDescent="0.2">
      <c r="B249" s="470" t="str">
        <f t="shared" si="24"/>
        <v>10-17QuarterlyWest Sussex</v>
      </c>
      <c r="C249" s="961" t="s">
        <v>5</v>
      </c>
      <c r="D249" s="959">
        <v>77656</v>
      </c>
      <c r="E249" s="959">
        <v>77656</v>
      </c>
      <c r="F249" s="959">
        <v>77656</v>
      </c>
      <c r="G249" s="959">
        <v>77656</v>
      </c>
      <c r="H249" s="959">
        <v>77656</v>
      </c>
    </row>
    <row r="250" spans="2:8" x14ac:dyDescent="0.2">
      <c r="B250" s="470" t="str">
        <f t="shared" si="24"/>
        <v>10-17QuarterlyWindsor &amp; Maidenhead</v>
      </c>
      <c r="C250" s="962" t="s">
        <v>30</v>
      </c>
      <c r="D250" s="959">
        <v>16358</v>
      </c>
      <c r="E250" s="959">
        <v>16358</v>
      </c>
      <c r="F250" s="959">
        <v>16358</v>
      </c>
      <c r="G250" s="959">
        <v>16358</v>
      </c>
      <c r="H250" s="959">
        <v>16358</v>
      </c>
    </row>
    <row r="251" spans="2:8" x14ac:dyDescent="0.2">
      <c r="B251" s="470" t="str">
        <f t="shared" si="24"/>
        <v>10-17QuarterlyWokingham</v>
      </c>
      <c r="C251" s="961" t="s">
        <v>16</v>
      </c>
      <c r="D251" s="959">
        <v>18166</v>
      </c>
      <c r="E251" s="959">
        <v>18166</v>
      </c>
      <c r="F251" s="959">
        <v>18166</v>
      </c>
      <c r="G251" s="959">
        <v>18166</v>
      </c>
      <c r="H251" s="959">
        <v>18166</v>
      </c>
    </row>
    <row r="252" spans="2:8" x14ac:dyDescent="0.2">
      <c r="B252" s="470" t="str">
        <f t="shared" si="24"/>
        <v>10-17QuarterlySouth East</v>
      </c>
      <c r="C252" s="963" t="s">
        <v>74</v>
      </c>
      <c r="D252" s="959">
        <v>868123</v>
      </c>
      <c r="E252" s="959">
        <v>868123</v>
      </c>
      <c r="F252" s="959">
        <v>868123</v>
      </c>
      <c r="G252" s="959">
        <v>868123</v>
      </c>
      <c r="H252" s="959">
        <v>868123</v>
      </c>
    </row>
    <row r="253" spans="2:8" x14ac:dyDescent="0.2">
      <c r="B253" s="470" t="str">
        <f t="shared" si="24"/>
        <v>10-17QuarterlyEngland</v>
      </c>
      <c r="C253" s="964" t="s">
        <v>127</v>
      </c>
      <c r="D253" s="959">
        <v>5185725</v>
      </c>
      <c r="E253" s="959">
        <v>5185725</v>
      </c>
      <c r="F253" s="959">
        <v>5185725</v>
      </c>
      <c r="G253" s="959">
        <v>5185725</v>
      </c>
      <c r="H253" s="959">
        <v>5185725</v>
      </c>
    </row>
    <row r="255" spans="2:8" x14ac:dyDescent="0.2">
      <c r="B255" s="981" t="s">
        <v>167</v>
      </c>
      <c r="C255" s="785" t="s">
        <v>749</v>
      </c>
    </row>
    <row r="256" spans="2:8" x14ac:dyDescent="0.2">
      <c r="B256" s="965" t="s">
        <v>708</v>
      </c>
      <c r="C256" s="470" t="s">
        <v>643</v>
      </c>
      <c r="D256" s="972" t="str">
        <f>D$22</f>
        <v>2015-16</v>
      </c>
      <c r="E256" s="972" t="str">
        <f t="shared" ref="E256:G256" si="25">E$22</f>
        <v>2016-17</v>
      </c>
      <c r="F256" s="972" t="str">
        <f t="shared" si="25"/>
        <v>2017-18</v>
      </c>
      <c r="G256" s="972" t="str">
        <f t="shared" si="25"/>
        <v>2018-19</v>
      </c>
      <c r="H256" s="972" t="str">
        <f>H$22</f>
        <v>2019-20</v>
      </c>
    </row>
    <row r="257" spans="2:8" x14ac:dyDescent="0.2">
      <c r="B257" s="470" t="str">
        <f>CONCATENATE($B$255,$C$256,C257)</f>
        <v>16-17Annual</v>
      </c>
      <c r="C257" s="960"/>
      <c r="D257" s="1065">
        <v>42430</v>
      </c>
      <c r="E257" s="1065">
        <v>42795</v>
      </c>
      <c r="F257" s="1065">
        <v>43160</v>
      </c>
      <c r="G257" s="1065">
        <v>43525</v>
      </c>
      <c r="H257" s="1065">
        <v>43891</v>
      </c>
    </row>
    <row r="258" spans="2:8" x14ac:dyDescent="0.2">
      <c r="B258" s="470" t="str">
        <f t="shared" ref="B258:B281" si="26">CONCATENATE($B$255,$C$256,C258)</f>
        <v>16-17AnnualBracknell Forest</v>
      </c>
      <c r="C258" s="961" t="s">
        <v>0</v>
      </c>
      <c r="D258" s="959">
        <v>2456</v>
      </c>
      <c r="E258" s="959">
        <v>2359</v>
      </c>
      <c r="F258" s="959">
        <v>2550</v>
      </c>
      <c r="G258" s="959">
        <v>2186</v>
      </c>
      <c r="H258" s="959">
        <v>2212</v>
      </c>
    </row>
    <row r="259" spans="2:8" x14ac:dyDescent="0.2">
      <c r="B259" s="470" t="str">
        <f t="shared" si="26"/>
        <v>16-17AnnualBrighton &amp; Hove</v>
      </c>
      <c r="C259" s="962" t="s">
        <v>31</v>
      </c>
      <c r="D259" s="959">
        <v>4849</v>
      </c>
      <c r="E259" s="959">
        <v>4769</v>
      </c>
      <c r="F259" s="959">
        <v>4868</v>
      </c>
      <c r="G259" s="959">
        <v>4902</v>
      </c>
      <c r="H259" s="959">
        <v>4769</v>
      </c>
    </row>
    <row r="260" spans="2:8" x14ac:dyDescent="0.2">
      <c r="B260" s="470" t="str">
        <f t="shared" si="26"/>
        <v>16-17AnnualBuckinghamshire</v>
      </c>
      <c r="C260" s="961" t="s">
        <v>8</v>
      </c>
      <c r="D260" s="959">
        <v>12048</v>
      </c>
      <c r="E260" s="959">
        <v>11702</v>
      </c>
      <c r="F260" s="959">
        <v>11443</v>
      </c>
      <c r="G260" s="959">
        <v>11580</v>
      </c>
      <c r="H260" s="959">
        <v>11759</v>
      </c>
    </row>
    <row r="261" spans="2:8" x14ac:dyDescent="0.2">
      <c r="B261" s="470" t="str">
        <f t="shared" si="26"/>
        <v>16-17AnnualEast Sussex</v>
      </c>
      <c r="C261" s="961" t="s">
        <v>4</v>
      </c>
      <c r="D261" s="959">
        <v>11399</v>
      </c>
      <c r="E261" s="959">
        <v>11146</v>
      </c>
      <c r="F261" s="959">
        <v>10823</v>
      </c>
      <c r="G261" s="959">
        <v>10539</v>
      </c>
      <c r="H261" s="959">
        <v>10366</v>
      </c>
    </row>
    <row r="262" spans="2:8" x14ac:dyDescent="0.2">
      <c r="B262" s="470" t="str">
        <f t="shared" si="26"/>
        <v>16-17AnnualHampshire</v>
      </c>
      <c r="C262" s="962" t="s">
        <v>6</v>
      </c>
      <c r="D262" s="959">
        <v>27255</v>
      </c>
      <c r="E262" s="959">
        <v>28093</v>
      </c>
      <c r="F262" s="959">
        <v>28029</v>
      </c>
      <c r="G262" s="959">
        <v>26921</v>
      </c>
      <c r="H262" s="959">
        <v>27687</v>
      </c>
    </row>
    <row r="263" spans="2:8" x14ac:dyDescent="0.2">
      <c r="B263" s="470" t="str">
        <f t="shared" si="26"/>
        <v>16-17AnnualIsle of Wight</v>
      </c>
      <c r="C263" s="961" t="s">
        <v>1</v>
      </c>
      <c r="D263" s="959">
        <v>2914</v>
      </c>
      <c r="E263" s="959">
        <v>2870</v>
      </c>
      <c r="F263" s="959">
        <v>2752</v>
      </c>
      <c r="G263" s="959">
        <v>2523</v>
      </c>
      <c r="H263" s="959">
        <v>2483</v>
      </c>
    </row>
    <row r="264" spans="2:8" x14ac:dyDescent="0.2">
      <c r="B264" s="470" t="str">
        <f t="shared" si="26"/>
        <v>16-17AnnualKent</v>
      </c>
      <c r="C264" s="961" t="s">
        <v>9</v>
      </c>
      <c r="D264" s="959">
        <v>35305</v>
      </c>
      <c r="E264" s="959">
        <v>34055</v>
      </c>
      <c r="F264" s="959">
        <v>33090</v>
      </c>
      <c r="G264" s="959">
        <v>32582</v>
      </c>
      <c r="H264" s="959">
        <v>32288</v>
      </c>
    </row>
    <row r="265" spans="2:8" x14ac:dyDescent="0.2">
      <c r="B265" s="470" t="str">
        <f t="shared" si="26"/>
        <v>16-17AnnualMedway</v>
      </c>
      <c r="C265" s="961" t="s">
        <v>2</v>
      </c>
      <c r="D265" s="959">
        <v>6882</v>
      </c>
      <c r="E265" s="959">
        <v>6765</v>
      </c>
      <c r="F265" s="959">
        <v>6525</v>
      </c>
      <c r="G265" s="959">
        <v>6374</v>
      </c>
      <c r="H265" s="959">
        <v>6292</v>
      </c>
    </row>
    <row r="266" spans="2:8" x14ac:dyDescent="0.2">
      <c r="B266" s="470" t="str">
        <f t="shared" si="26"/>
        <v>16-17AnnualMilton Keynes</v>
      </c>
      <c r="C266" s="961" t="s">
        <v>10</v>
      </c>
      <c r="D266" s="959">
        <v>6393</v>
      </c>
      <c r="E266" s="959">
        <v>6165</v>
      </c>
      <c r="F266" s="959">
        <v>6026</v>
      </c>
      <c r="G266" s="959">
        <v>6073</v>
      </c>
      <c r="H266" s="959">
        <v>6250</v>
      </c>
    </row>
    <row r="267" spans="2:8" x14ac:dyDescent="0.2">
      <c r="B267" s="470" t="str">
        <f t="shared" si="26"/>
        <v>16-17AnnualOxfordshire</v>
      </c>
      <c r="C267" s="961" t="s">
        <v>11</v>
      </c>
      <c r="D267" s="959">
        <v>12756</v>
      </c>
      <c r="E267" s="959">
        <v>12707</v>
      </c>
      <c r="F267" s="959">
        <v>12590</v>
      </c>
      <c r="G267" s="959">
        <v>12451</v>
      </c>
      <c r="H267" s="959">
        <v>12823</v>
      </c>
    </row>
    <row r="268" spans="2:8" x14ac:dyDescent="0.2">
      <c r="B268" s="470" t="str">
        <f t="shared" si="26"/>
        <v>16-17AnnualPortsmouth</v>
      </c>
      <c r="C268" s="961" t="s">
        <v>12</v>
      </c>
      <c r="D268" s="959">
        <v>3990</v>
      </c>
      <c r="E268" s="959">
        <v>3982</v>
      </c>
      <c r="F268" s="959">
        <v>3907</v>
      </c>
      <c r="G268" s="959">
        <v>3719</v>
      </c>
      <c r="H268" s="959">
        <v>3974</v>
      </c>
    </row>
    <row r="269" spans="2:8" x14ac:dyDescent="0.2">
      <c r="B269" s="470" t="str">
        <f t="shared" si="26"/>
        <v>16-17AnnualReading</v>
      </c>
      <c r="C269" s="961" t="s">
        <v>3</v>
      </c>
      <c r="D269" s="959">
        <v>3166</v>
      </c>
      <c r="E269" s="959">
        <v>3116</v>
      </c>
      <c r="F269" s="959">
        <v>3086</v>
      </c>
      <c r="G269" s="959">
        <v>2916</v>
      </c>
      <c r="H269" s="959">
        <v>3021</v>
      </c>
    </row>
    <row r="270" spans="2:8" x14ac:dyDescent="0.2">
      <c r="B270" s="470" t="str">
        <f t="shared" si="26"/>
        <v>16-17AnnualSlough</v>
      </c>
      <c r="C270" s="961" t="s">
        <v>13</v>
      </c>
      <c r="D270" s="959">
        <v>3443</v>
      </c>
      <c r="E270" s="959">
        <v>3494</v>
      </c>
      <c r="F270" s="959">
        <v>3630</v>
      </c>
      <c r="G270" s="959">
        <v>3722</v>
      </c>
      <c r="H270" s="959">
        <v>3917</v>
      </c>
    </row>
    <row r="271" spans="2:8" x14ac:dyDescent="0.2">
      <c r="B271" s="470" t="str">
        <f t="shared" si="26"/>
        <v>16-17AnnualSomerset</v>
      </c>
      <c r="C271" s="961" t="s">
        <v>95</v>
      </c>
      <c r="D271" s="959">
        <v>11916</v>
      </c>
      <c r="E271" s="959">
        <v>11647</v>
      </c>
      <c r="F271" s="959">
        <v>11288</v>
      </c>
      <c r="G271" s="959">
        <v>10965</v>
      </c>
      <c r="H271" s="959">
        <v>11082</v>
      </c>
    </row>
    <row r="272" spans="2:8" x14ac:dyDescent="0.2">
      <c r="B272" s="470" t="str">
        <f t="shared" si="26"/>
        <v>16-17AnnualSouthampton</v>
      </c>
      <c r="C272" s="961" t="s">
        <v>14</v>
      </c>
      <c r="D272" s="959">
        <v>4423</v>
      </c>
      <c r="E272" s="959">
        <v>4426</v>
      </c>
      <c r="F272" s="959">
        <v>4477</v>
      </c>
      <c r="G272" s="959">
        <v>4263</v>
      </c>
      <c r="H272" s="959">
        <v>4389</v>
      </c>
    </row>
    <row r="273" spans="2:8" x14ac:dyDescent="0.2">
      <c r="B273" s="470" t="str">
        <f t="shared" si="26"/>
        <v>16-17AnnualSurrey</v>
      </c>
      <c r="C273" s="961" t="s">
        <v>7</v>
      </c>
      <c r="D273" s="959">
        <v>22197</v>
      </c>
      <c r="E273" s="959">
        <v>22595</v>
      </c>
      <c r="F273" s="959">
        <v>21987</v>
      </c>
      <c r="G273" s="959">
        <v>21342</v>
      </c>
      <c r="H273" s="959">
        <v>21869</v>
      </c>
    </row>
    <row r="274" spans="2:8" x14ac:dyDescent="0.2">
      <c r="B274" s="470" t="str">
        <f t="shared" si="26"/>
        <v>16-17AnnualSwindon</v>
      </c>
      <c r="C274" s="961" t="s">
        <v>113</v>
      </c>
      <c r="D274" s="959">
        <v>5149</v>
      </c>
      <c r="E274" s="959">
        <v>4940</v>
      </c>
      <c r="F274" s="959">
        <v>4857</v>
      </c>
      <c r="G274" s="959">
        <v>4817</v>
      </c>
      <c r="H274" s="959">
        <v>5012</v>
      </c>
    </row>
    <row r="275" spans="2:8" x14ac:dyDescent="0.2">
      <c r="B275" s="470" t="str">
        <f t="shared" si="26"/>
        <v>16-17AnnualTorbay</v>
      </c>
      <c r="C275" s="961" t="s">
        <v>114</v>
      </c>
      <c r="D275" s="959">
        <v>3146</v>
      </c>
      <c r="E275" s="959">
        <v>3041</v>
      </c>
      <c r="F275" s="959">
        <v>2765</v>
      </c>
      <c r="G275" s="959">
        <v>2678</v>
      </c>
      <c r="H275" s="959">
        <v>2833</v>
      </c>
    </row>
    <row r="276" spans="2:8" x14ac:dyDescent="0.2">
      <c r="B276" s="470" t="str">
        <f t="shared" si="26"/>
        <v>16-17AnnualWest Berkshire</v>
      </c>
      <c r="C276" s="961" t="s">
        <v>15</v>
      </c>
      <c r="D276" s="959">
        <v>3376</v>
      </c>
      <c r="E276" s="959">
        <v>3531</v>
      </c>
      <c r="F276" s="959">
        <v>3397</v>
      </c>
      <c r="G276" s="959">
        <v>3245</v>
      </c>
      <c r="H276" s="959">
        <v>3360</v>
      </c>
    </row>
    <row r="277" spans="2:8" x14ac:dyDescent="0.2">
      <c r="B277" s="470" t="str">
        <f t="shared" si="26"/>
        <v>16-17AnnualWest Sussex</v>
      </c>
      <c r="C277" s="961" t="s">
        <v>5</v>
      </c>
      <c r="D277" s="959">
        <v>18601</v>
      </c>
      <c r="E277" s="959">
        <v>17640</v>
      </c>
      <c r="F277" s="959">
        <v>17439</v>
      </c>
      <c r="G277" s="959">
        <v>16302</v>
      </c>
      <c r="H277" s="959">
        <v>16617</v>
      </c>
    </row>
    <row r="278" spans="2:8" x14ac:dyDescent="0.2">
      <c r="B278" s="470" t="str">
        <f t="shared" si="26"/>
        <v>16-17AnnualWindsor &amp; Maidenhead</v>
      </c>
      <c r="C278" s="962" t="s">
        <v>30</v>
      </c>
      <c r="D278" s="959">
        <v>2785</v>
      </c>
      <c r="E278" s="959">
        <v>2543</v>
      </c>
      <c r="F278" s="959">
        <v>2459</v>
      </c>
      <c r="G278" s="959">
        <v>2909</v>
      </c>
      <c r="H278" s="959">
        <v>2923</v>
      </c>
    </row>
    <row r="279" spans="2:8" x14ac:dyDescent="0.2">
      <c r="B279" s="470" t="str">
        <f t="shared" si="26"/>
        <v>16-17AnnualWokingham</v>
      </c>
      <c r="C279" s="961" t="s">
        <v>16</v>
      </c>
      <c r="D279" s="959">
        <v>3400</v>
      </c>
      <c r="E279" s="959">
        <v>3293</v>
      </c>
      <c r="F279" s="959">
        <v>3301</v>
      </c>
      <c r="G279" s="959">
        <v>3424</v>
      </c>
      <c r="H279" s="959">
        <v>3438</v>
      </c>
    </row>
    <row r="280" spans="2:8" x14ac:dyDescent="0.2">
      <c r="B280" s="470" t="str">
        <f t="shared" si="26"/>
        <v>16-17AnnualSouth East</v>
      </c>
      <c r="C280" s="963" t="s">
        <v>74</v>
      </c>
      <c r="D280" s="959">
        <v>187638</v>
      </c>
      <c r="E280" s="959">
        <v>185251</v>
      </c>
      <c r="F280" s="959">
        <v>182379</v>
      </c>
      <c r="G280" s="959">
        <v>177973</v>
      </c>
      <c r="H280" s="959">
        <v>180437</v>
      </c>
    </row>
    <row r="281" spans="2:8" x14ac:dyDescent="0.2">
      <c r="B281" s="470" t="str">
        <f t="shared" si="26"/>
        <v>16-17AnnualEngland</v>
      </c>
      <c r="C281" s="964" t="s">
        <v>127</v>
      </c>
      <c r="D281" s="959">
        <v>1152097</v>
      </c>
      <c r="E281" s="959">
        <v>1157456</v>
      </c>
      <c r="F281" s="959">
        <v>1136681</v>
      </c>
      <c r="G281" s="959">
        <v>1124120</v>
      </c>
      <c r="H281" s="959">
        <v>1141042</v>
      </c>
    </row>
    <row r="283" spans="2:8" x14ac:dyDescent="0.2">
      <c r="B283" s="981" t="s">
        <v>167</v>
      </c>
      <c r="C283" s="785" t="s">
        <v>749</v>
      </c>
      <c r="D283" s="972" t="str">
        <f>D$24</f>
        <v>2019-20</v>
      </c>
      <c r="E283" s="972" t="str">
        <f t="shared" ref="E283:H283" si="27">E$24</f>
        <v>2019-20</v>
      </c>
      <c r="F283" s="972" t="str">
        <f t="shared" si="27"/>
        <v>2019-20</v>
      </c>
      <c r="G283" s="972" t="str">
        <f t="shared" si="27"/>
        <v>2019-20</v>
      </c>
      <c r="H283" s="972" t="str">
        <f t="shared" si="27"/>
        <v>2020-21</v>
      </c>
    </row>
    <row r="284" spans="2:8" x14ac:dyDescent="0.2">
      <c r="B284" s="965" t="s">
        <v>708</v>
      </c>
      <c r="C284" s="470" t="s">
        <v>649</v>
      </c>
      <c r="D284" s="972" t="str">
        <f>D$25</f>
        <v>Q1</v>
      </c>
      <c r="E284" s="972" t="str">
        <f t="shared" ref="E284:H284" si="28">E$25</f>
        <v>Q2</v>
      </c>
      <c r="F284" s="972" t="str">
        <f t="shared" si="28"/>
        <v>Q3</v>
      </c>
      <c r="G284" s="972" t="str">
        <f t="shared" si="28"/>
        <v>Q4</v>
      </c>
      <c r="H284" s="972" t="str">
        <f t="shared" si="28"/>
        <v>Q1</v>
      </c>
    </row>
    <row r="285" spans="2:8" x14ac:dyDescent="0.2">
      <c r="B285" s="470" t="str">
        <f>CONCATENATE($B$283,$C$284,C285)</f>
        <v>16-17Quarterly</v>
      </c>
      <c r="C285" s="960"/>
      <c r="D285" s="1065">
        <v>43617</v>
      </c>
      <c r="E285" s="1065">
        <v>43709</v>
      </c>
      <c r="F285" s="1065">
        <v>43800</v>
      </c>
      <c r="G285" s="1065">
        <v>43891</v>
      </c>
      <c r="H285" s="1065">
        <v>43983</v>
      </c>
    </row>
    <row r="286" spans="2:8" x14ac:dyDescent="0.2">
      <c r="B286" s="470" t="str">
        <f t="shared" ref="B286:B309" si="29">CONCATENATE($B$283,$C$284,C286)</f>
        <v>16-17QuarterlyBracknell Forest</v>
      </c>
      <c r="C286" s="961" t="s">
        <v>0</v>
      </c>
      <c r="D286" s="1002">
        <v>2268</v>
      </c>
      <c r="E286" s="1002">
        <v>2077</v>
      </c>
      <c r="F286" s="1002">
        <v>2210</v>
      </c>
      <c r="G286" s="1002">
        <v>2212</v>
      </c>
      <c r="H286" s="1002">
        <v>2231</v>
      </c>
    </row>
    <row r="287" spans="2:8" x14ac:dyDescent="0.2">
      <c r="B287" s="470" t="str">
        <f t="shared" si="29"/>
        <v>16-17QuarterlyBrighton &amp; Hove</v>
      </c>
      <c r="C287" s="962" t="s">
        <v>31</v>
      </c>
      <c r="D287" s="1002">
        <v>4900</v>
      </c>
      <c r="E287" s="1002">
        <v>4818</v>
      </c>
      <c r="F287" s="1002">
        <v>4771</v>
      </c>
      <c r="G287" s="1002">
        <v>4769</v>
      </c>
      <c r="H287" s="1002">
        <v>4824</v>
      </c>
    </row>
    <row r="288" spans="2:8" x14ac:dyDescent="0.2">
      <c r="B288" s="470" t="str">
        <f t="shared" si="29"/>
        <v>16-17QuarterlyBuckinghamshire</v>
      </c>
      <c r="C288" s="961" t="s">
        <v>8</v>
      </c>
      <c r="D288" s="1002">
        <v>11551</v>
      </c>
      <c r="E288" s="1002">
        <v>11652</v>
      </c>
      <c r="F288" s="1002">
        <v>11765</v>
      </c>
      <c r="G288" s="1002">
        <v>11759</v>
      </c>
      <c r="H288" s="1002">
        <v>11747</v>
      </c>
    </row>
    <row r="289" spans="2:8" x14ac:dyDescent="0.2">
      <c r="B289" s="470" t="str">
        <f t="shared" si="29"/>
        <v>16-17QuarterlyEast Sussex</v>
      </c>
      <c r="C289" s="961" t="s">
        <v>4</v>
      </c>
      <c r="D289" s="1002">
        <v>10513</v>
      </c>
      <c r="E289" s="1002">
        <v>10365</v>
      </c>
      <c r="F289" s="1002">
        <v>10338</v>
      </c>
      <c r="G289" s="1002">
        <v>10366</v>
      </c>
      <c r="H289" s="1002">
        <v>10388</v>
      </c>
    </row>
    <row r="290" spans="2:8" x14ac:dyDescent="0.2">
      <c r="B290" s="470" t="str">
        <f t="shared" si="29"/>
        <v>16-17QuarterlyHampshire</v>
      </c>
      <c r="C290" s="962" t="s">
        <v>6</v>
      </c>
      <c r="D290" s="1002">
        <v>26912</v>
      </c>
      <c r="E290" s="1002">
        <v>27828</v>
      </c>
      <c r="F290" s="1002">
        <v>27706</v>
      </c>
      <c r="G290" s="1002">
        <v>27687</v>
      </c>
      <c r="H290" s="1002">
        <v>27663</v>
      </c>
    </row>
    <row r="291" spans="2:8" x14ac:dyDescent="0.2">
      <c r="B291" s="470" t="str">
        <f t="shared" si="29"/>
        <v>16-17QuarterlyIsle of Wight</v>
      </c>
      <c r="C291" s="961" t="s">
        <v>1</v>
      </c>
      <c r="D291" s="1002">
        <v>2517</v>
      </c>
      <c r="E291" s="1002">
        <v>2491</v>
      </c>
      <c r="F291" s="1002">
        <v>2481</v>
      </c>
      <c r="G291" s="1002">
        <v>2483</v>
      </c>
      <c r="H291" s="1002">
        <v>2484</v>
      </c>
    </row>
    <row r="292" spans="2:8" x14ac:dyDescent="0.2">
      <c r="B292" s="470" t="str">
        <f t="shared" si="29"/>
        <v>16-17QuarterlyKent</v>
      </c>
      <c r="C292" s="961" t="s">
        <v>9</v>
      </c>
      <c r="D292" s="1002">
        <v>32532</v>
      </c>
      <c r="E292" s="1002">
        <v>32246</v>
      </c>
      <c r="F292" s="1002">
        <v>32322</v>
      </c>
      <c r="G292" s="1002">
        <v>32288</v>
      </c>
      <c r="H292" s="1002">
        <v>32720</v>
      </c>
    </row>
    <row r="293" spans="2:8" x14ac:dyDescent="0.2">
      <c r="B293" s="470" t="str">
        <f t="shared" si="29"/>
        <v>16-17QuarterlyMedway</v>
      </c>
      <c r="C293" s="961" t="s">
        <v>2</v>
      </c>
      <c r="D293" s="1002">
        <v>6329</v>
      </c>
      <c r="E293" s="1002">
        <v>6259</v>
      </c>
      <c r="F293" s="1002">
        <v>6294</v>
      </c>
      <c r="G293" s="1002">
        <v>6292</v>
      </c>
      <c r="H293" s="1002">
        <v>6282</v>
      </c>
    </row>
    <row r="294" spans="2:8" x14ac:dyDescent="0.2">
      <c r="B294" s="470" t="str">
        <f t="shared" si="29"/>
        <v>16-17QuarterlyMilton Keynes</v>
      </c>
      <c r="C294" s="961" t="s">
        <v>10</v>
      </c>
      <c r="D294" s="1002">
        <v>6136</v>
      </c>
      <c r="E294" s="1002">
        <v>6174</v>
      </c>
      <c r="F294" s="1002">
        <v>6221</v>
      </c>
      <c r="G294" s="1002">
        <v>6250</v>
      </c>
      <c r="H294" s="1002">
        <v>6231</v>
      </c>
    </row>
    <row r="295" spans="2:8" x14ac:dyDescent="0.2">
      <c r="B295" s="470" t="str">
        <f t="shared" si="29"/>
        <v>16-17QuarterlyOxfordshire</v>
      </c>
      <c r="C295" s="961" t="s">
        <v>11</v>
      </c>
      <c r="D295" s="1002">
        <v>12474</v>
      </c>
      <c r="E295" s="1002">
        <v>12611</v>
      </c>
      <c r="F295" s="1002">
        <v>12566</v>
      </c>
      <c r="G295" s="1002">
        <v>12823</v>
      </c>
      <c r="H295" s="1002">
        <v>12805</v>
      </c>
    </row>
    <row r="296" spans="2:8" x14ac:dyDescent="0.2">
      <c r="B296" s="470" t="str">
        <f t="shared" si="29"/>
        <v>16-17QuarterlyPortsmouth</v>
      </c>
      <c r="C296" s="961" t="s">
        <v>12</v>
      </c>
      <c r="D296" s="1002">
        <v>3737</v>
      </c>
      <c r="E296" s="1002">
        <v>3624</v>
      </c>
      <c r="F296" s="1002">
        <v>3994</v>
      </c>
      <c r="G296" s="1002">
        <v>3974</v>
      </c>
      <c r="H296" s="1002">
        <v>3972</v>
      </c>
    </row>
    <row r="297" spans="2:8" x14ac:dyDescent="0.2">
      <c r="B297" s="470" t="str">
        <f t="shared" si="29"/>
        <v>16-17QuarterlyReading</v>
      </c>
      <c r="C297" s="961" t="s">
        <v>3</v>
      </c>
      <c r="D297" s="1002">
        <v>2914</v>
      </c>
      <c r="E297" s="1002">
        <v>2327</v>
      </c>
      <c r="F297" s="1002">
        <v>2994</v>
      </c>
      <c r="G297" s="1002">
        <v>3021</v>
      </c>
      <c r="H297" s="1002">
        <v>3053</v>
      </c>
    </row>
    <row r="298" spans="2:8" x14ac:dyDescent="0.2">
      <c r="B298" s="470" t="str">
        <f t="shared" si="29"/>
        <v>16-17QuarterlySlough</v>
      </c>
      <c r="C298" s="961" t="s">
        <v>13</v>
      </c>
      <c r="D298" s="1002">
        <v>3704</v>
      </c>
      <c r="E298" s="1002">
        <v>3885</v>
      </c>
      <c r="F298" s="1002">
        <v>3892</v>
      </c>
      <c r="G298" s="1002">
        <v>3917</v>
      </c>
      <c r="H298" s="1002">
        <v>3884</v>
      </c>
    </row>
    <row r="299" spans="2:8" x14ac:dyDescent="0.2">
      <c r="B299" s="470" t="str">
        <f t="shared" si="29"/>
        <v>16-17QuarterlySomerset</v>
      </c>
      <c r="C299" s="961" t="s">
        <v>95</v>
      </c>
      <c r="D299" s="1002">
        <v>10955</v>
      </c>
      <c r="E299" s="1002">
        <v>10505</v>
      </c>
      <c r="F299" s="1002">
        <v>11106</v>
      </c>
      <c r="G299" s="1002">
        <v>11082</v>
      </c>
      <c r="H299" s="1002">
        <v>11073</v>
      </c>
    </row>
    <row r="300" spans="2:8" x14ac:dyDescent="0.2">
      <c r="B300" s="470" t="str">
        <f t="shared" si="29"/>
        <v>16-17QuarterlySouthampton</v>
      </c>
      <c r="C300" s="961" t="s">
        <v>14</v>
      </c>
      <c r="D300" s="1002">
        <v>4257</v>
      </c>
      <c r="E300" s="1002">
        <v>4056</v>
      </c>
      <c r="F300" s="1002">
        <v>4387</v>
      </c>
      <c r="G300" s="1002">
        <v>4389</v>
      </c>
      <c r="H300" s="1002">
        <v>4386</v>
      </c>
    </row>
    <row r="301" spans="2:8" x14ac:dyDescent="0.2">
      <c r="B301" s="470" t="str">
        <f t="shared" si="29"/>
        <v>16-17QuarterlySurrey</v>
      </c>
      <c r="C301" s="961" t="s">
        <v>7</v>
      </c>
      <c r="D301" s="1002">
        <v>21331</v>
      </c>
      <c r="E301" s="1002">
        <v>20867</v>
      </c>
      <c r="F301" s="1002">
        <v>21676</v>
      </c>
      <c r="G301" s="1002">
        <v>21869</v>
      </c>
      <c r="H301" s="1002">
        <v>21854</v>
      </c>
    </row>
    <row r="302" spans="2:8" x14ac:dyDescent="0.2">
      <c r="B302" s="470" t="str">
        <f t="shared" si="29"/>
        <v>16-17QuarterlySwindon</v>
      </c>
      <c r="C302" s="961" t="s">
        <v>113</v>
      </c>
      <c r="D302" s="1002">
        <v>4810</v>
      </c>
      <c r="E302" s="1002">
        <v>4893</v>
      </c>
      <c r="F302" s="1002">
        <v>4994</v>
      </c>
      <c r="G302" s="1002">
        <v>5012</v>
      </c>
      <c r="H302" s="1002">
        <v>4984</v>
      </c>
    </row>
    <row r="303" spans="2:8" x14ac:dyDescent="0.2">
      <c r="B303" s="470" t="str">
        <f t="shared" si="29"/>
        <v>16-17QuarterlyTorbay</v>
      </c>
      <c r="C303" s="961" t="s">
        <v>114</v>
      </c>
      <c r="D303" s="1002">
        <v>2676</v>
      </c>
      <c r="E303" s="1002">
        <v>2807</v>
      </c>
      <c r="F303" s="1002">
        <v>2842</v>
      </c>
      <c r="G303" s="1002">
        <v>2833</v>
      </c>
      <c r="H303" s="1002">
        <v>2820</v>
      </c>
    </row>
    <row r="304" spans="2:8" x14ac:dyDescent="0.2">
      <c r="B304" s="470" t="str">
        <f t="shared" si="29"/>
        <v>16-17QuarterlyWest Berkshire</v>
      </c>
      <c r="C304" s="961" t="s">
        <v>15</v>
      </c>
      <c r="D304" s="1002">
        <v>3227</v>
      </c>
      <c r="E304" s="1002">
        <v>3343</v>
      </c>
      <c r="F304" s="1002">
        <v>3362</v>
      </c>
      <c r="G304" s="1002">
        <v>3360</v>
      </c>
      <c r="H304" s="1002">
        <v>3358</v>
      </c>
    </row>
    <row r="305" spans="2:8" x14ac:dyDescent="0.2">
      <c r="B305" s="470" t="str">
        <f t="shared" si="29"/>
        <v>16-17QuarterlyWest Sussex</v>
      </c>
      <c r="C305" s="961" t="s">
        <v>5</v>
      </c>
      <c r="D305" s="1002">
        <v>16397</v>
      </c>
      <c r="E305" s="1002">
        <v>16135</v>
      </c>
      <c r="F305" s="1002">
        <v>16663</v>
      </c>
      <c r="G305" s="1002">
        <v>16617</v>
      </c>
      <c r="H305" s="1002">
        <v>16526</v>
      </c>
    </row>
    <row r="306" spans="2:8" x14ac:dyDescent="0.2">
      <c r="B306" s="470" t="str">
        <f t="shared" si="29"/>
        <v>16-17QuarterlyWindsor &amp; Maidenhead</v>
      </c>
      <c r="C306" s="962" t="s">
        <v>30</v>
      </c>
      <c r="D306" s="1002">
        <v>2913</v>
      </c>
      <c r="E306" s="1002">
        <v>2841</v>
      </c>
      <c r="F306" s="1002">
        <v>2912</v>
      </c>
      <c r="G306" s="1002">
        <v>2923</v>
      </c>
      <c r="H306" s="1002">
        <v>2925</v>
      </c>
    </row>
    <row r="307" spans="2:8" x14ac:dyDescent="0.2">
      <c r="B307" s="470" t="str">
        <f t="shared" si="29"/>
        <v>16-17QuarterlyWokingham</v>
      </c>
      <c r="C307" s="961" t="s">
        <v>16</v>
      </c>
      <c r="D307" s="1002">
        <v>3431</v>
      </c>
      <c r="E307" s="1002">
        <v>3143</v>
      </c>
      <c r="F307" s="1002">
        <v>3417</v>
      </c>
      <c r="G307" s="1002">
        <v>3438</v>
      </c>
      <c r="H307" s="1002">
        <v>3489</v>
      </c>
    </row>
    <row r="308" spans="2:8" x14ac:dyDescent="0.2">
      <c r="B308" s="470" t="str">
        <f t="shared" si="29"/>
        <v>16-17QuarterlySouth East</v>
      </c>
      <c r="C308" s="963" t="s">
        <v>74</v>
      </c>
      <c r="D308" s="1002">
        <v>178043</v>
      </c>
      <c r="E308" s="1002">
        <v>176742</v>
      </c>
      <c r="F308" s="1002">
        <v>179971</v>
      </c>
      <c r="G308" s="1002">
        <v>180437</v>
      </c>
      <c r="H308" s="1002">
        <v>180822</v>
      </c>
    </row>
    <row r="309" spans="2:8" x14ac:dyDescent="0.2">
      <c r="B309" s="470" t="str">
        <f t="shared" si="29"/>
        <v>16-17QuarterlyEngland</v>
      </c>
      <c r="C309" s="964" t="s">
        <v>127</v>
      </c>
      <c r="D309" s="1002">
        <v>1119953</v>
      </c>
      <c r="E309" s="1002">
        <v>1128869</v>
      </c>
      <c r="F309" s="1002">
        <v>1140174</v>
      </c>
      <c r="G309" s="1002">
        <v>1141042</v>
      </c>
      <c r="H309" s="1002">
        <v>1145619</v>
      </c>
    </row>
    <row r="311" spans="2:8" x14ac:dyDescent="0.2">
      <c r="B311" s="785" t="s">
        <v>721</v>
      </c>
    </row>
    <row r="312" spans="2:8" x14ac:dyDescent="0.2">
      <c r="B312" s="470" t="s">
        <v>723</v>
      </c>
      <c r="C312" s="470" t="s">
        <v>649</v>
      </c>
      <c r="D312" s="955" t="s">
        <v>1246</v>
      </c>
      <c r="E312" s="1432" t="s">
        <v>1246</v>
      </c>
      <c r="F312" s="1432" t="s">
        <v>1246</v>
      </c>
      <c r="G312" s="1432" t="s">
        <v>1246</v>
      </c>
      <c r="H312" s="1432" t="s">
        <v>1246</v>
      </c>
    </row>
    <row r="313" spans="2:8" x14ac:dyDescent="0.2">
      <c r="B313" s="470" t="str">
        <f t="shared" ref="B313:B337" si="30">CONCATENATE($B$312,$C$3,C313)</f>
        <v>LACAgeAnnual</v>
      </c>
      <c r="C313" s="1003"/>
      <c r="D313" s="746" t="s">
        <v>154</v>
      </c>
      <c r="E313" s="1001" t="s">
        <v>725</v>
      </c>
      <c r="F313" s="1001" t="s">
        <v>724</v>
      </c>
      <c r="G313" s="746" t="s">
        <v>726</v>
      </c>
      <c r="H313" s="746" t="s">
        <v>727</v>
      </c>
    </row>
    <row r="314" spans="2:8" x14ac:dyDescent="0.2">
      <c r="B314" s="470" t="str">
        <f t="shared" si="30"/>
        <v>LACAgeAnnualBracknell Forest</v>
      </c>
      <c r="C314" s="961" t="s">
        <v>0</v>
      </c>
      <c r="D314" s="1004">
        <v>1362</v>
      </c>
      <c r="E314" s="1004">
        <v>5905</v>
      </c>
      <c r="F314" s="1004">
        <v>8236</v>
      </c>
      <c r="G314" s="1004">
        <v>9839</v>
      </c>
      <c r="H314" s="1005">
        <v>3042</v>
      </c>
    </row>
    <row r="315" spans="2:8" x14ac:dyDescent="0.2">
      <c r="B315" s="470" t="str">
        <f t="shared" si="30"/>
        <v>LACAgeAnnualBrighton &amp; Hove</v>
      </c>
      <c r="C315" s="962" t="s">
        <v>31</v>
      </c>
      <c r="D315" s="1004">
        <v>2421</v>
      </c>
      <c r="E315" s="1004">
        <v>10910</v>
      </c>
      <c r="F315" s="1004">
        <v>14438</v>
      </c>
      <c r="G315" s="1004">
        <v>17049</v>
      </c>
      <c r="H315" s="1005">
        <v>5449</v>
      </c>
    </row>
    <row r="316" spans="2:8" x14ac:dyDescent="0.2">
      <c r="B316" s="470" t="str">
        <f t="shared" si="30"/>
        <v>LACAgeAnnualBuckinghamshire</v>
      </c>
      <c r="C316" s="961" t="s">
        <v>8</v>
      </c>
      <c r="D316" s="1004">
        <v>5811</v>
      </c>
      <c r="E316" s="1004">
        <v>26428</v>
      </c>
      <c r="F316" s="1004">
        <v>36999</v>
      </c>
      <c r="G316" s="1004">
        <v>43402</v>
      </c>
      <c r="H316" s="1005">
        <v>13094</v>
      </c>
    </row>
    <row r="317" spans="2:8" x14ac:dyDescent="0.2">
      <c r="B317" s="470" t="str">
        <f t="shared" si="30"/>
        <v>LACAgeAnnualEast Sussex</v>
      </c>
      <c r="C317" s="961" t="s">
        <v>4</v>
      </c>
      <c r="D317" s="1004">
        <v>4764</v>
      </c>
      <c r="E317" s="1004">
        <v>21827</v>
      </c>
      <c r="F317" s="1004">
        <v>31046</v>
      </c>
      <c r="G317" s="1004">
        <v>37139</v>
      </c>
      <c r="H317" s="1005">
        <v>11562</v>
      </c>
    </row>
    <row r="318" spans="2:8" x14ac:dyDescent="0.2">
      <c r="B318" s="470" t="str">
        <f t="shared" si="30"/>
        <v>LACAgeAnnualHampshire</v>
      </c>
      <c r="C318" s="962" t="s">
        <v>6</v>
      </c>
      <c r="D318" s="1004">
        <v>13463</v>
      </c>
      <c r="E318" s="1004">
        <v>59782</v>
      </c>
      <c r="F318" s="1004">
        <v>83818</v>
      </c>
      <c r="G318" s="1004">
        <v>97415</v>
      </c>
      <c r="H318" s="1005">
        <v>29853</v>
      </c>
    </row>
    <row r="319" spans="2:8" x14ac:dyDescent="0.2">
      <c r="B319" s="470" t="str">
        <f t="shared" si="30"/>
        <v>LACAgeAnnualIsle of Wight</v>
      </c>
      <c r="C319" s="961" t="s">
        <v>1</v>
      </c>
      <c r="D319" s="1004">
        <v>1122</v>
      </c>
      <c r="E319" s="1004">
        <v>5098</v>
      </c>
      <c r="F319" s="1004">
        <v>7172</v>
      </c>
      <c r="G319" s="1004">
        <v>8629</v>
      </c>
      <c r="H319" s="1005">
        <v>2717</v>
      </c>
    </row>
    <row r="320" spans="2:8" x14ac:dyDescent="0.2">
      <c r="B320" s="470" t="str">
        <f t="shared" si="30"/>
        <v>LACAgeAnnualKent</v>
      </c>
      <c r="C320" s="961" t="s">
        <v>9</v>
      </c>
      <c r="D320" s="1004">
        <v>16814</v>
      </c>
      <c r="E320" s="1004">
        <v>74065</v>
      </c>
      <c r="F320" s="1004">
        <v>100432</v>
      </c>
      <c r="G320" s="1004">
        <v>116913</v>
      </c>
      <c r="H320" s="1005">
        <v>35615</v>
      </c>
    </row>
    <row r="321" spans="2:10" x14ac:dyDescent="0.2">
      <c r="B321" s="470" t="str">
        <f t="shared" si="30"/>
        <v>LACAgeAnnualMedway</v>
      </c>
      <c r="C321" s="961" t="s">
        <v>2</v>
      </c>
      <c r="D321" s="1004">
        <v>3484</v>
      </c>
      <c r="E321" s="1004">
        <v>14842</v>
      </c>
      <c r="F321" s="1004">
        <v>19107</v>
      </c>
      <c r="G321" s="1004">
        <v>20996</v>
      </c>
      <c r="H321" s="1005">
        <v>6550</v>
      </c>
    </row>
    <row r="322" spans="2:10" x14ac:dyDescent="0.2">
      <c r="B322" s="470" t="str">
        <f t="shared" si="30"/>
        <v>LACAgeAnnualMilton Keynes</v>
      </c>
      <c r="C322" s="961" t="s">
        <v>10</v>
      </c>
      <c r="D322" s="1004">
        <v>3414</v>
      </c>
      <c r="E322" s="1004">
        <v>15262</v>
      </c>
      <c r="F322" s="1004">
        <v>21097</v>
      </c>
      <c r="G322" s="1004">
        <v>22718</v>
      </c>
      <c r="H322" s="1005">
        <v>6314</v>
      </c>
    </row>
    <row r="323" spans="2:10" x14ac:dyDescent="0.2">
      <c r="B323" s="470" t="str">
        <f t="shared" si="30"/>
        <v>LACAgeAnnualOxfordshire</v>
      </c>
      <c r="C323" s="961" t="s">
        <v>11</v>
      </c>
      <c r="D323" s="1004">
        <v>7414</v>
      </c>
      <c r="E323" s="1004">
        <v>32018</v>
      </c>
      <c r="F323" s="1004">
        <v>42916</v>
      </c>
      <c r="G323" s="1004">
        <v>49025</v>
      </c>
      <c r="H323" s="1005">
        <v>14750</v>
      </c>
    </row>
    <row r="324" spans="2:10" x14ac:dyDescent="0.2">
      <c r="B324" s="470" t="str">
        <f t="shared" si="30"/>
        <v>LACAgeAnnualPortsmouth</v>
      </c>
      <c r="C324" s="961" t="s">
        <v>12</v>
      </c>
      <c r="D324" s="1004">
        <v>2283</v>
      </c>
      <c r="E324" s="1004">
        <v>9929</v>
      </c>
      <c r="F324" s="1004">
        <v>12996</v>
      </c>
      <c r="G324" s="1004">
        <v>14403</v>
      </c>
      <c r="H324" s="1005">
        <v>4145</v>
      </c>
    </row>
    <row r="325" spans="2:10" x14ac:dyDescent="0.2">
      <c r="B325" s="470" t="str">
        <f t="shared" si="30"/>
        <v>LACAgeAnnualReading</v>
      </c>
      <c r="C325" s="961" t="s">
        <v>3</v>
      </c>
      <c r="D325" s="1004">
        <v>2130</v>
      </c>
      <c r="E325" s="1004">
        <v>9159</v>
      </c>
      <c r="F325" s="1004">
        <v>11135</v>
      </c>
      <c r="G325" s="1004">
        <v>11390</v>
      </c>
      <c r="H325" s="1005">
        <v>3195</v>
      </c>
    </row>
    <row r="326" spans="2:10" x14ac:dyDescent="0.2">
      <c r="B326" s="470" t="str">
        <f t="shared" si="30"/>
        <v>LACAgeAnnualSlough</v>
      </c>
      <c r="C326" s="961" t="s">
        <v>13</v>
      </c>
      <c r="D326" s="1004">
        <v>2364</v>
      </c>
      <c r="E326" s="1004">
        <v>10290</v>
      </c>
      <c r="F326" s="1004">
        <v>13065</v>
      </c>
      <c r="G326" s="1004">
        <v>13738</v>
      </c>
      <c r="H326" s="1005">
        <v>3655</v>
      </c>
    </row>
    <row r="327" spans="2:10" x14ac:dyDescent="0.2">
      <c r="B327" s="470" t="str">
        <f t="shared" si="30"/>
        <v>LACAgeAnnualSomerset</v>
      </c>
      <c r="C327" s="961" t="s">
        <v>95</v>
      </c>
      <c r="D327" s="1004">
        <v>5167</v>
      </c>
      <c r="E327" s="1004">
        <v>23316</v>
      </c>
      <c r="F327" s="1004">
        <v>32215</v>
      </c>
      <c r="G327" s="1004">
        <v>38290</v>
      </c>
      <c r="H327" s="1005">
        <v>12202</v>
      </c>
    </row>
    <row r="328" spans="2:10" x14ac:dyDescent="0.2">
      <c r="B328" s="470" t="str">
        <f t="shared" si="30"/>
        <v>LACAgeAnnualSouthampton</v>
      </c>
      <c r="C328" s="961" t="s">
        <v>14</v>
      </c>
      <c r="D328" s="1004">
        <v>2953</v>
      </c>
      <c r="E328" s="1004">
        <v>12443</v>
      </c>
      <c r="F328" s="1004">
        <v>15600</v>
      </c>
      <c r="G328" s="1004">
        <v>15745</v>
      </c>
      <c r="H328" s="1005">
        <v>4534</v>
      </c>
    </row>
    <row r="329" spans="2:10" x14ac:dyDescent="0.2">
      <c r="B329" s="470" t="str">
        <f t="shared" si="30"/>
        <v>LACAgeAnnualSurrey</v>
      </c>
      <c r="C329" s="961" t="s">
        <v>7</v>
      </c>
      <c r="D329" s="1004">
        <v>12705</v>
      </c>
      <c r="E329" s="1004">
        <v>56741</v>
      </c>
      <c r="F329" s="1004">
        <v>77786</v>
      </c>
      <c r="G329" s="1004">
        <v>89194</v>
      </c>
      <c r="H329" s="1005">
        <v>27334</v>
      </c>
    </row>
    <row r="330" spans="2:10" x14ac:dyDescent="0.2">
      <c r="B330" s="470" t="str">
        <f t="shared" si="30"/>
        <v>LACAgeAnnualSwindon</v>
      </c>
      <c r="C330" s="961" t="s">
        <v>113</v>
      </c>
      <c r="D330" s="1004">
        <v>2616</v>
      </c>
      <c r="E330" s="1004">
        <v>11536</v>
      </c>
      <c r="F330" s="1004">
        <v>15229</v>
      </c>
      <c r="G330" s="1004">
        <v>16158</v>
      </c>
      <c r="H330" s="1005">
        <v>4818</v>
      </c>
    </row>
    <row r="331" spans="2:10" x14ac:dyDescent="0.2">
      <c r="B331" s="470" t="str">
        <f t="shared" si="30"/>
        <v>LACAgeAnnualTorbay</v>
      </c>
      <c r="C331" s="961" t="s">
        <v>114</v>
      </c>
      <c r="D331" s="1004">
        <v>1256</v>
      </c>
      <c r="E331" s="1004">
        <v>5477</v>
      </c>
      <c r="F331" s="1004">
        <v>7669</v>
      </c>
      <c r="G331" s="1004">
        <v>8463</v>
      </c>
      <c r="H331" s="1005">
        <v>2694</v>
      </c>
    </row>
    <row r="332" spans="2:10" x14ac:dyDescent="0.2">
      <c r="B332" s="470" t="str">
        <f t="shared" si="30"/>
        <v>LACAgeAnnualWest Berkshire</v>
      </c>
      <c r="C332" s="961" t="s">
        <v>15</v>
      </c>
      <c r="D332" s="1004">
        <v>1539</v>
      </c>
      <c r="E332" s="1004">
        <v>7262</v>
      </c>
      <c r="F332" s="1004">
        <v>10255</v>
      </c>
      <c r="G332" s="1004">
        <v>12514</v>
      </c>
      <c r="H332" s="1005">
        <v>4025</v>
      </c>
    </row>
    <row r="333" spans="2:10" x14ac:dyDescent="0.2">
      <c r="B333" s="470" t="str">
        <f t="shared" si="30"/>
        <v>LACAgeAnnualWest Sussex</v>
      </c>
      <c r="C333" s="961" t="s">
        <v>5</v>
      </c>
      <c r="D333" s="1004">
        <v>8435</v>
      </c>
      <c r="E333" s="1004">
        <v>37724</v>
      </c>
      <c r="F333" s="1004">
        <v>52292</v>
      </c>
      <c r="G333" s="1004">
        <v>59737</v>
      </c>
      <c r="H333" s="1005">
        <v>17919</v>
      </c>
      <c r="J333" s="970"/>
    </row>
    <row r="334" spans="2:10" x14ac:dyDescent="0.2">
      <c r="B334" s="470" t="str">
        <f t="shared" si="30"/>
        <v>LACAgeAnnualWindsor &amp; Maidenhead</v>
      </c>
      <c r="C334" s="962" t="s">
        <v>30</v>
      </c>
      <c r="D334" s="1004">
        <v>1571</v>
      </c>
      <c r="E334" s="1004">
        <v>7044</v>
      </c>
      <c r="F334" s="1004">
        <v>9755</v>
      </c>
      <c r="G334" s="1004">
        <v>12356</v>
      </c>
      <c r="H334" s="1005">
        <v>4002</v>
      </c>
      <c r="J334" s="970"/>
    </row>
    <row r="335" spans="2:10" x14ac:dyDescent="0.2">
      <c r="B335" s="470" t="str">
        <f t="shared" si="30"/>
        <v>LACAgeAnnualWokingham</v>
      </c>
      <c r="C335" s="961" t="s">
        <v>16</v>
      </c>
      <c r="D335" s="1004">
        <v>1776</v>
      </c>
      <c r="E335" s="1004">
        <v>8125</v>
      </c>
      <c r="F335" s="1004">
        <v>12350</v>
      </c>
      <c r="G335" s="1004">
        <v>14048</v>
      </c>
      <c r="H335" s="1005">
        <v>4118</v>
      </c>
      <c r="J335" s="970"/>
    </row>
    <row r="336" spans="2:10" x14ac:dyDescent="0.2">
      <c r="B336" s="470" t="str">
        <f t="shared" si="30"/>
        <v>LACAgeAnnualSouth East</v>
      </c>
      <c r="C336" s="963" t="s">
        <v>74</v>
      </c>
      <c r="D336" s="1004">
        <v>95825</v>
      </c>
      <c r="E336" s="1004">
        <v>424854</v>
      </c>
      <c r="F336" s="1004">
        <v>580495</v>
      </c>
      <c r="G336" s="1004">
        <v>666250</v>
      </c>
      <c r="H336" s="1004">
        <v>201873</v>
      </c>
      <c r="J336" s="970"/>
    </row>
    <row r="337" spans="2:10" x14ac:dyDescent="0.2">
      <c r="B337" s="470" t="str">
        <f t="shared" si="30"/>
        <v>LACAgeAnnualEngland</v>
      </c>
      <c r="C337" s="964" t="s">
        <v>127</v>
      </c>
      <c r="D337" s="1006">
        <v>618858</v>
      </c>
      <c r="E337" s="1006">
        <v>2680779</v>
      </c>
      <c r="F337" s="1006">
        <v>3538206</v>
      </c>
      <c r="G337" s="1006">
        <v>3978836</v>
      </c>
      <c r="H337" s="1006">
        <v>1206889</v>
      </c>
      <c r="J337" s="970"/>
    </row>
    <row r="338" spans="2:10" x14ac:dyDescent="0.2">
      <c r="J338" s="970"/>
    </row>
    <row r="339" spans="2:10" x14ac:dyDescent="0.2">
      <c r="B339" s="981" t="s">
        <v>763</v>
      </c>
      <c r="C339" s="785" t="s">
        <v>764</v>
      </c>
      <c r="J339" s="970"/>
    </row>
    <row r="340" spans="2:10" x14ac:dyDescent="0.2">
      <c r="B340" s="965" t="s">
        <v>708</v>
      </c>
      <c r="C340" s="470" t="s">
        <v>643</v>
      </c>
      <c r="D340" s="972" t="str">
        <f>D$22</f>
        <v>2015-16</v>
      </c>
      <c r="E340" s="972" t="str">
        <f t="shared" ref="E340:H340" si="31">E$22</f>
        <v>2016-17</v>
      </c>
      <c r="F340" s="972" t="str">
        <f t="shared" si="31"/>
        <v>2017-18</v>
      </c>
      <c r="G340" s="972" t="str">
        <f t="shared" si="31"/>
        <v>2018-19</v>
      </c>
      <c r="H340" s="972" t="str">
        <f t="shared" si="31"/>
        <v>2019-20</v>
      </c>
      <c r="J340" s="970"/>
    </row>
    <row r="341" spans="2:10" x14ac:dyDescent="0.2">
      <c r="B341" s="470" t="str">
        <f>CONCATENATE($B$339,$C$256,C341)</f>
        <v>5-15Annual</v>
      </c>
      <c r="C341" s="960"/>
      <c r="D341" s="1438" t="s">
        <v>1249</v>
      </c>
      <c r="E341" s="1438" t="s">
        <v>1249</v>
      </c>
      <c r="F341" s="1455" t="s">
        <v>237</v>
      </c>
      <c r="G341" s="1438" t="s">
        <v>988</v>
      </c>
      <c r="H341" s="1438" t="s">
        <v>1246</v>
      </c>
      <c r="J341" s="970"/>
    </row>
    <row r="342" spans="2:10" x14ac:dyDescent="0.2">
      <c r="B342" s="470" t="str">
        <f t="shared" ref="B342:B365" si="32">CONCATENATE($B$339,$C$256,C342)</f>
        <v>5-15AnnualBracknell Forest</v>
      </c>
      <c r="C342" s="961" t="s">
        <v>0</v>
      </c>
      <c r="D342" s="959" t="s">
        <v>1249</v>
      </c>
      <c r="E342" s="1002" t="s">
        <v>1249</v>
      </c>
      <c r="F342" s="1002">
        <v>17400</v>
      </c>
      <c r="G342" s="1002">
        <v>17900</v>
      </c>
      <c r="H342" s="1002">
        <v>18075</v>
      </c>
      <c r="J342" s="970"/>
    </row>
    <row r="343" spans="2:10" x14ac:dyDescent="0.2">
      <c r="B343" s="470" t="str">
        <f t="shared" si="32"/>
        <v>5-15AnnualBrighton &amp; Hove</v>
      </c>
      <c r="C343" s="962" t="s">
        <v>31</v>
      </c>
      <c r="D343" s="959" t="s">
        <v>1249</v>
      </c>
      <c r="E343" s="1002" t="s">
        <v>1249</v>
      </c>
      <c r="F343" s="1002">
        <v>31200</v>
      </c>
      <c r="G343" s="1002">
        <v>31600</v>
      </c>
      <c r="H343" s="1002">
        <v>31487</v>
      </c>
      <c r="J343" s="970"/>
    </row>
    <row r="344" spans="2:10" x14ac:dyDescent="0.2">
      <c r="B344" s="470" t="str">
        <f t="shared" si="32"/>
        <v>5-15AnnualBuckinghamshire</v>
      </c>
      <c r="C344" s="961" t="s">
        <v>8</v>
      </c>
      <c r="D344" s="959" t="s">
        <v>1249</v>
      </c>
      <c r="E344" s="1002" t="s">
        <v>1249</v>
      </c>
      <c r="F344" s="1002">
        <v>77300</v>
      </c>
      <c r="G344" s="1002">
        <v>78900</v>
      </c>
      <c r="H344" s="1002">
        <v>80401</v>
      </c>
      <c r="J344" s="970"/>
    </row>
    <row r="345" spans="2:10" x14ac:dyDescent="0.2">
      <c r="B345" s="470" t="str">
        <f t="shared" si="32"/>
        <v>5-15AnnualEast Sussex</v>
      </c>
      <c r="C345" s="961" t="s">
        <v>4</v>
      </c>
      <c r="D345" s="959" t="s">
        <v>1249</v>
      </c>
      <c r="E345" s="1002" t="s">
        <v>1249</v>
      </c>
      <c r="F345" s="1002">
        <v>66500</v>
      </c>
      <c r="G345" s="1002">
        <v>67500</v>
      </c>
      <c r="H345" s="1002">
        <v>68185</v>
      </c>
      <c r="J345" s="970"/>
    </row>
    <row r="346" spans="2:10" x14ac:dyDescent="0.2">
      <c r="B346" s="470" t="str">
        <f t="shared" si="32"/>
        <v>5-15AnnualHampshire</v>
      </c>
      <c r="C346" s="962" t="s">
        <v>6</v>
      </c>
      <c r="D346" s="959" t="s">
        <v>1249</v>
      </c>
      <c r="E346" s="1002" t="s">
        <v>1249</v>
      </c>
      <c r="F346" s="1002">
        <v>176600</v>
      </c>
      <c r="G346" s="1002">
        <v>179200</v>
      </c>
      <c r="H346" s="1002">
        <v>181233</v>
      </c>
      <c r="J346" s="970"/>
    </row>
    <row r="347" spans="2:10" x14ac:dyDescent="0.2">
      <c r="B347" s="470" t="str">
        <f t="shared" si="32"/>
        <v>5-15AnnualIsle of Wight</v>
      </c>
      <c r="C347" s="961" t="s">
        <v>1</v>
      </c>
      <c r="D347" s="959" t="s">
        <v>1249</v>
      </c>
      <c r="E347" s="1002" t="s">
        <v>1249</v>
      </c>
      <c r="F347" s="1002">
        <v>15400</v>
      </c>
      <c r="G347" s="1002">
        <v>15600</v>
      </c>
      <c r="H347" s="1002">
        <v>15801</v>
      </c>
      <c r="J347" s="970"/>
    </row>
    <row r="348" spans="2:10" x14ac:dyDescent="0.2">
      <c r="B348" s="470" t="str">
        <f t="shared" si="32"/>
        <v>5-15AnnualKent</v>
      </c>
      <c r="C348" s="961" t="s">
        <v>9</v>
      </c>
      <c r="D348" s="959" t="s">
        <v>1249</v>
      </c>
      <c r="E348" s="1002" t="s">
        <v>1249</v>
      </c>
      <c r="F348" s="1002">
        <v>208500</v>
      </c>
      <c r="G348" s="1002">
        <v>213100</v>
      </c>
      <c r="H348" s="1002">
        <v>217345</v>
      </c>
      <c r="J348" s="970"/>
    </row>
    <row r="349" spans="2:10" x14ac:dyDescent="0.2">
      <c r="B349" s="470" t="str">
        <f t="shared" si="32"/>
        <v>5-15AnnualMedway</v>
      </c>
      <c r="C349" s="961" t="s">
        <v>2</v>
      </c>
      <c r="D349" s="959" t="s">
        <v>1249</v>
      </c>
      <c r="E349" s="1002" t="s">
        <v>1249</v>
      </c>
      <c r="F349" s="1002">
        <v>38700</v>
      </c>
      <c r="G349" s="1002">
        <v>39400</v>
      </c>
      <c r="H349" s="1002">
        <v>40103</v>
      </c>
      <c r="J349" s="970"/>
    </row>
    <row r="350" spans="2:10" x14ac:dyDescent="0.2">
      <c r="B350" s="470" t="str">
        <f t="shared" si="32"/>
        <v>5-15AnnualMilton Keynes</v>
      </c>
      <c r="C350" s="961" t="s">
        <v>10</v>
      </c>
      <c r="D350" s="959" t="s">
        <v>1249</v>
      </c>
      <c r="E350" s="1002" t="s">
        <v>1249</v>
      </c>
      <c r="F350" s="1002">
        <v>42000</v>
      </c>
      <c r="G350" s="1002">
        <v>43000</v>
      </c>
      <c r="H350" s="1002">
        <v>43815</v>
      </c>
      <c r="J350" s="970"/>
    </row>
    <row r="351" spans="2:10" x14ac:dyDescent="0.2">
      <c r="B351" s="470" t="str">
        <f t="shared" si="32"/>
        <v>5-15AnnualOxfordshire</v>
      </c>
      <c r="C351" s="961" t="s">
        <v>11</v>
      </c>
      <c r="D351" s="959" t="s">
        <v>1249</v>
      </c>
      <c r="E351" s="1002" t="s">
        <v>1249</v>
      </c>
      <c r="F351" s="1002">
        <v>88700</v>
      </c>
      <c r="G351" s="1002">
        <v>90700</v>
      </c>
      <c r="H351" s="1002">
        <v>91941</v>
      </c>
      <c r="J351" s="970"/>
    </row>
    <row r="352" spans="2:10" x14ac:dyDescent="0.2">
      <c r="B352" s="470" t="str">
        <f t="shared" si="32"/>
        <v>5-15AnnualPortsmouth</v>
      </c>
      <c r="C352" s="961" t="s">
        <v>12</v>
      </c>
      <c r="D352" s="959" t="s">
        <v>1249</v>
      </c>
      <c r="E352" s="1002" t="s">
        <v>1249</v>
      </c>
      <c r="F352" s="1002">
        <v>26800</v>
      </c>
      <c r="G352" s="1002">
        <v>27200</v>
      </c>
      <c r="H352" s="1002">
        <v>27399</v>
      </c>
      <c r="J352" s="970"/>
    </row>
    <row r="353" spans="2:10" x14ac:dyDescent="0.2">
      <c r="B353" s="470" t="str">
        <f t="shared" si="32"/>
        <v>5-15AnnualReading</v>
      </c>
      <c r="C353" s="961" t="s">
        <v>3</v>
      </c>
      <c r="D353" s="959" t="s">
        <v>1249</v>
      </c>
      <c r="E353" s="1002" t="s">
        <v>1249</v>
      </c>
      <c r="F353" s="1002">
        <v>21600</v>
      </c>
      <c r="G353" s="1002">
        <v>22200</v>
      </c>
      <c r="H353" s="1002">
        <v>22525</v>
      </c>
      <c r="J353" s="970"/>
    </row>
    <row r="354" spans="2:10" x14ac:dyDescent="0.2">
      <c r="B354" s="470" t="str">
        <f t="shared" si="32"/>
        <v>5-15AnnualSlough</v>
      </c>
      <c r="C354" s="961" t="s">
        <v>13</v>
      </c>
      <c r="D354" s="959" t="s">
        <v>1249</v>
      </c>
      <c r="E354" s="1002" t="s">
        <v>1249</v>
      </c>
      <c r="F354" s="1002">
        <v>25500</v>
      </c>
      <c r="G354" s="1002">
        <v>26200</v>
      </c>
      <c r="H354" s="1002">
        <v>26803</v>
      </c>
      <c r="J354" s="970"/>
    </row>
    <row r="355" spans="2:10" x14ac:dyDescent="0.2">
      <c r="B355" s="470" t="str">
        <f t="shared" si="32"/>
        <v>5-15AnnualSomerset</v>
      </c>
      <c r="C355" s="961" t="s">
        <v>95</v>
      </c>
      <c r="D355" s="959" t="s">
        <v>1249</v>
      </c>
      <c r="E355" s="1002" t="s">
        <v>1249</v>
      </c>
      <c r="F355" s="1002">
        <v>68300</v>
      </c>
      <c r="G355" s="1002">
        <v>69700</v>
      </c>
      <c r="H355" s="1002">
        <v>70505</v>
      </c>
      <c r="J355" s="970"/>
    </row>
    <row r="356" spans="2:10" x14ac:dyDescent="0.2">
      <c r="B356" s="470" t="str">
        <f t="shared" si="32"/>
        <v>5-15AnnualSouthampton</v>
      </c>
      <c r="C356" s="961" t="s">
        <v>14</v>
      </c>
      <c r="D356" s="959" t="s">
        <v>1249</v>
      </c>
      <c r="E356" s="1002" t="s">
        <v>1249</v>
      </c>
      <c r="F356" s="1002">
        <v>29700</v>
      </c>
      <c r="G356" s="1002">
        <v>30600</v>
      </c>
      <c r="H356" s="1002">
        <v>31345</v>
      </c>
      <c r="J356" s="970"/>
    </row>
    <row r="357" spans="2:10" x14ac:dyDescent="0.2">
      <c r="B357" s="470" t="str">
        <f t="shared" si="32"/>
        <v>5-15AnnualSurrey</v>
      </c>
      <c r="C357" s="961" t="s">
        <v>7</v>
      </c>
      <c r="D357" s="959" t="s">
        <v>1249</v>
      </c>
      <c r="E357" s="1002" t="s">
        <v>1249</v>
      </c>
      <c r="F357" s="1002">
        <v>161700</v>
      </c>
      <c r="G357" s="1002">
        <v>164700</v>
      </c>
      <c r="H357" s="1002">
        <v>166980</v>
      </c>
      <c r="J357" s="970"/>
    </row>
    <row r="358" spans="2:10" x14ac:dyDescent="0.2">
      <c r="B358" s="470" t="str">
        <f t="shared" si="32"/>
        <v>5-15AnnualSwindon</v>
      </c>
      <c r="C358" s="961" t="s">
        <v>113</v>
      </c>
      <c r="D358" s="959" t="s">
        <v>1249</v>
      </c>
      <c r="E358" s="1002" t="s">
        <v>1249</v>
      </c>
      <c r="F358" s="1002">
        <v>30200</v>
      </c>
      <c r="G358" s="1002">
        <v>30900</v>
      </c>
      <c r="H358" s="1002">
        <v>31387</v>
      </c>
      <c r="J358" s="970"/>
    </row>
    <row r="359" spans="2:10" x14ac:dyDescent="0.2">
      <c r="B359" s="470" t="str">
        <f t="shared" si="32"/>
        <v>5-15AnnualTorbay</v>
      </c>
      <c r="C359" s="961" t="s">
        <v>114</v>
      </c>
      <c r="D359" s="959" t="s">
        <v>1249</v>
      </c>
      <c r="E359" s="1002" t="s">
        <v>1249</v>
      </c>
      <c r="F359" s="1002">
        <v>15500</v>
      </c>
      <c r="G359" s="1002">
        <v>15900</v>
      </c>
      <c r="H359" s="1002">
        <v>16132</v>
      </c>
      <c r="J359" s="970"/>
    </row>
    <row r="360" spans="2:10" x14ac:dyDescent="0.2">
      <c r="B360" s="470" t="str">
        <f t="shared" si="32"/>
        <v>5-15AnnualWest Berkshire</v>
      </c>
      <c r="C360" s="961" t="s">
        <v>15</v>
      </c>
      <c r="D360" s="959" t="s">
        <v>1249</v>
      </c>
      <c r="E360" s="1002" t="s">
        <v>1249</v>
      </c>
      <c r="F360" s="1002">
        <v>22400</v>
      </c>
      <c r="G360" s="1002">
        <v>22700</v>
      </c>
      <c r="H360" s="1002">
        <v>22769</v>
      </c>
      <c r="J360" s="970"/>
    </row>
    <row r="361" spans="2:10" x14ac:dyDescent="0.2">
      <c r="B361" s="470" t="str">
        <f t="shared" si="32"/>
        <v>5-15AnnualWest Sussex</v>
      </c>
      <c r="C361" s="961" t="s">
        <v>5</v>
      </c>
      <c r="D361" s="959" t="s">
        <v>1249</v>
      </c>
      <c r="E361" s="1002" t="s">
        <v>1249</v>
      </c>
      <c r="F361" s="1002">
        <v>107800</v>
      </c>
      <c r="G361" s="1002">
        <v>110000</v>
      </c>
      <c r="H361" s="1002">
        <v>112029</v>
      </c>
      <c r="J361" s="970"/>
    </row>
    <row r="362" spans="2:10" x14ac:dyDescent="0.2">
      <c r="B362" s="470" t="str">
        <f t="shared" si="32"/>
        <v>5-15AnnualWindsor &amp; Maidenhead</v>
      </c>
      <c r="C362" s="962" t="s">
        <v>30</v>
      </c>
      <c r="D362" s="959" t="s">
        <v>1249</v>
      </c>
      <c r="E362" s="1002" t="s">
        <v>1249</v>
      </c>
      <c r="F362" s="1002">
        <v>21600</v>
      </c>
      <c r="G362" s="1002">
        <v>21900</v>
      </c>
      <c r="H362" s="1002">
        <v>22111</v>
      </c>
      <c r="J362" s="970"/>
    </row>
    <row r="363" spans="2:10" x14ac:dyDescent="0.2">
      <c r="B363" s="470" t="str">
        <f t="shared" si="32"/>
        <v>5-15AnnualWokingham</v>
      </c>
      <c r="C363" s="961" t="s">
        <v>16</v>
      </c>
      <c r="D363" s="959" t="s">
        <v>1249</v>
      </c>
      <c r="E363" s="1002" t="s">
        <v>1249</v>
      </c>
      <c r="F363" s="1002">
        <v>24800</v>
      </c>
      <c r="G363" s="1002">
        <v>25600</v>
      </c>
      <c r="H363" s="1002">
        <v>26398</v>
      </c>
      <c r="J363" s="970"/>
    </row>
    <row r="364" spans="2:10" x14ac:dyDescent="0.2">
      <c r="B364" s="470" t="str">
        <f t="shared" si="32"/>
        <v>5-15AnnualSouth East</v>
      </c>
      <c r="C364" s="963" t="s">
        <v>74</v>
      </c>
      <c r="D364" s="959" t="s">
        <v>1249</v>
      </c>
      <c r="E364" s="1002" t="s">
        <v>1249</v>
      </c>
      <c r="F364" s="1002">
        <v>1204300</v>
      </c>
      <c r="G364" s="1002">
        <v>1228000</v>
      </c>
      <c r="H364" s="1002">
        <v>1246745</v>
      </c>
    </row>
    <row r="365" spans="2:10" x14ac:dyDescent="0.2">
      <c r="B365" s="470" t="str">
        <f t="shared" si="32"/>
        <v>5-15AnnualEngland</v>
      </c>
      <c r="C365" s="964" t="s">
        <v>127</v>
      </c>
      <c r="D365" s="959" t="s">
        <v>1249</v>
      </c>
      <c r="E365" s="1002" t="s">
        <v>1249</v>
      </c>
      <c r="F365" s="1002">
        <v>7253000</v>
      </c>
      <c r="G365" s="1002">
        <v>7401700</v>
      </c>
      <c r="H365" s="1002">
        <v>7517042</v>
      </c>
    </row>
    <row r="367" spans="2:10" x14ac:dyDescent="0.2">
      <c r="B367" s="981" t="s">
        <v>763</v>
      </c>
      <c r="C367" s="785" t="s">
        <v>764</v>
      </c>
      <c r="D367" s="972" t="str">
        <f>D$24</f>
        <v>2019-20</v>
      </c>
      <c r="E367" s="972" t="str">
        <f t="shared" ref="E367:H367" si="33">E$24</f>
        <v>2019-20</v>
      </c>
      <c r="F367" s="972" t="str">
        <f t="shared" si="33"/>
        <v>2019-20</v>
      </c>
      <c r="G367" s="972" t="str">
        <f t="shared" si="33"/>
        <v>2019-20</v>
      </c>
      <c r="H367" s="972" t="str">
        <f t="shared" si="33"/>
        <v>2020-21</v>
      </c>
    </row>
    <row r="368" spans="2:10" x14ac:dyDescent="0.2">
      <c r="B368" s="965" t="s">
        <v>708</v>
      </c>
      <c r="C368" s="470" t="s">
        <v>649</v>
      </c>
      <c r="D368" s="972" t="str">
        <f>D$25</f>
        <v>Q1</v>
      </c>
      <c r="E368" s="972" t="str">
        <f t="shared" ref="E368:H368" si="34">E$25</f>
        <v>Q2</v>
      </c>
      <c r="F368" s="972" t="str">
        <f t="shared" si="34"/>
        <v>Q3</v>
      </c>
      <c r="G368" s="972" t="str">
        <f t="shared" si="34"/>
        <v>Q4</v>
      </c>
      <c r="H368" s="972" t="str">
        <f t="shared" si="34"/>
        <v>Q1</v>
      </c>
    </row>
    <row r="369" spans="2:8" x14ac:dyDescent="0.2">
      <c r="B369" s="470" t="str">
        <f>CONCATENATE($B$339,$C$284,C369)</f>
        <v>5-15Quarterly</v>
      </c>
      <c r="C369" s="960"/>
      <c r="D369" s="1438" t="s">
        <v>1246</v>
      </c>
      <c r="E369" s="1366" t="s">
        <v>1246</v>
      </c>
      <c r="F369" s="1432" t="s">
        <v>1246</v>
      </c>
      <c r="G369" s="1432" t="s">
        <v>1246</v>
      </c>
      <c r="H369" s="1432" t="s">
        <v>1246</v>
      </c>
    </row>
    <row r="370" spans="2:8" x14ac:dyDescent="0.2">
      <c r="B370" s="470" t="str">
        <f t="shared" ref="B370:B393" si="35">CONCATENATE($B$339,$C$284,C370)</f>
        <v>5-15QuarterlyBracknell Forest</v>
      </c>
      <c r="C370" s="961" t="s">
        <v>0</v>
      </c>
      <c r="D370" s="1002">
        <v>18075</v>
      </c>
      <c r="E370" s="1002">
        <v>18075</v>
      </c>
      <c r="F370" s="1002">
        <v>18075</v>
      </c>
      <c r="G370" s="1002">
        <v>18075</v>
      </c>
      <c r="H370" s="1002">
        <v>18075</v>
      </c>
    </row>
    <row r="371" spans="2:8" x14ac:dyDescent="0.2">
      <c r="B371" s="470" t="str">
        <f t="shared" si="35"/>
        <v>5-15QuarterlyBrighton &amp; Hove</v>
      </c>
      <c r="C371" s="962" t="s">
        <v>31</v>
      </c>
      <c r="D371" s="1002">
        <v>31487</v>
      </c>
      <c r="E371" s="1002">
        <v>31487</v>
      </c>
      <c r="F371" s="1002">
        <v>31487</v>
      </c>
      <c r="G371" s="1002">
        <v>31487</v>
      </c>
      <c r="H371" s="1002">
        <v>31487</v>
      </c>
    </row>
    <row r="372" spans="2:8" x14ac:dyDescent="0.2">
      <c r="B372" s="470" t="str">
        <f t="shared" si="35"/>
        <v>5-15QuarterlyBuckinghamshire</v>
      </c>
      <c r="C372" s="961" t="s">
        <v>8</v>
      </c>
      <c r="D372" s="1002">
        <v>80401</v>
      </c>
      <c r="E372" s="1002">
        <v>80401</v>
      </c>
      <c r="F372" s="1002">
        <v>80401</v>
      </c>
      <c r="G372" s="1002">
        <v>80401</v>
      </c>
      <c r="H372" s="1002">
        <v>80401</v>
      </c>
    </row>
    <row r="373" spans="2:8" x14ac:dyDescent="0.2">
      <c r="B373" s="470" t="str">
        <f t="shared" si="35"/>
        <v>5-15QuarterlyEast Sussex</v>
      </c>
      <c r="C373" s="961" t="s">
        <v>4</v>
      </c>
      <c r="D373" s="1002">
        <v>68185</v>
      </c>
      <c r="E373" s="1002">
        <v>68185</v>
      </c>
      <c r="F373" s="1002">
        <v>68185</v>
      </c>
      <c r="G373" s="1002">
        <v>68185</v>
      </c>
      <c r="H373" s="1002">
        <v>68185</v>
      </c>
    </row>
    <row r="374" spans="2:8" x14ac:dyDescent="0.2">
      <c r="B374" s="470" t="str">
        <f t="shared" si="35"/>
        <v>5-15QuarterlyHampshire</v>
      </c>
      <c r="C374" s="962" t="s">
        <v>6</v>
      </c>
      <c r="D374" s="1002">
        <v>181233</v>
      </c>
      <c r="E374" s="1002">
        <v>181233</v>
      </c>
      <c r="F374" s="1002">
        <v>181233</v>
      </c>
      <c r="G374" s="1002">
        <v>181233</v>
      </c>
      <c r="H374" s="1002">
        <v>181233</v>
      </c>
    </row>
    <row r="375" spans="2:8" x14ac:dyDescent="0.2">
      <c r="B375" s="470" t="str">
        <f t="shared" si="35"/>
        <v>5-15QuarterlyIsle of Wight</v>
      </c>
      <c r="C375" s="961" t="s">
        <v>1</v>
      </c>
      <c r="D375" s="1002">
        <v>15801</v>
      </c>
      <c r="E375" s="1002">
        <v>15801</v>
      </c>
      <c r="F375" s="1002">
        <v>15801</v>
      </c>
      <c r="G375" s="1002">
        <v>15801</v>
      </c>
      <c r="H375" s="1002">
        <v>15801</v>
      </c>
    </row>
    <row r="376" spans="2:8" x14ac:dyDescent="0.2">
      <c r="B376" s="470" t="str">
        <f t="shared" si="35"/>
        <v>5-15QuarterlyKent</v>
      </c>
      <c r="C376" s="961" t="s">
        <v>9</v>
      </c>
      <c r="D376" s="1002">
        <v>217345</v>
      </c>
      <c r="E376" s="1002">
        <v>217345</v>
      </c>
      <c r="F376" s="1002">
        <v>217345</v>
      </c>
      <c r="G376" s="1002">
        <v>217345</v>
      </c>
      <c r="H376" s="1002">
        <v>217345</v>
      </c>
    </row>
    <row r="377" spans="2:8" x14ac:dyDescent="0.2">
      <c r="B377" s="470" t="str">
        <f t="shared" si="35"/>
        <v>5-15QuarterlyMedway</v>
      </c>
      <c r="C377" s="961" t="s">
        <v>2</v>
      </c>
      <c r="D377" s="1002">
        <v>40103</v>
      </c>
      <c r="E377" s="1002">
        <v>40103</v>
      </c>
      <c r="F377" s="1002">
        <v>40103</v>
      </c>
      <c r="G377" s="1002">
        <v>40103</v>
      </c>
      <c r="H377" s="1002">
        <v>40103</v>
      </c>
    </row>
    <row r="378" spans="2:8" x14ac:dyDescent="0.2">
      <c r="B378" s="470" t="str">
        <f t="shared" si="35"/>
        <v>5-15QuarterlyMilton Keynes</v>
      </c>
      <c r="C378" s="961" t="s">
        <v>10</v>
      </c>
      <c r="D378" s="1002">
        <v>43815</v>
      </c>
      <c r="E378" s="1002">
        <v>43815</v>
      </c>
      <c r="F378" s="1002">
        <v>43815</v>
      </c>
      <c r="G378" s="1002">
        <v>43815</v>
      </c>
      <c r="H378" s="1002">
        <v>43815</v>
      </c>
    </row>
    <row r="379" spans="2:8" x14ac:dyDescent="0.2">
      <c r="B379" s="470" t="str">
        <f t="shared" si="35"/>
        <v>5-15QuarterlyOxfordshire</v>
      </c>
      <c r="C379" s="961" t="s">
        <v>11</v>
      </c>
      <c r="D379" s="1002">
        <v>91941</v>
      </c>
      <c r="E379" s="1002">
        <v>91941</v>
      </c>
      <c r="F379" s="1002">
        <v>91941</v>
      </c>
      <c r="G379" s="1002">
        <v>91941</v>
      </c>
      <c r="H379" s="1002">
        <v>91941</v>
      </c>
    </row>
    <row r="380" spans="2:8" x14ac:dyDescent="0.2">
      <c r="B380" s="470" t="str">
        <f t="shared" si="35"/>
        <v>5-15QuarterlyPortsmouth</v>
      </c>
      <c r="C380" s="961" t="s">
        <v>12</v>
      </c>
      <c r="D380" s="1002">
        <v>27399</v>
      </c>
      <c r="E380" s="1002">
        <v>27399</v>
      </c>
      <c r="F380" s="1002">
        <v>27399</v>
      </c>
      <c r="G380" s="1002">
        <v>27399</v>
      </c>
      <c r="H380" s="1002">
        <v>27399</v>
      </c>
    </row>
    <row r="381" spans="2:8" x14ac:dyDescent="0.2">
      <c r="B381" s="470" t="str">
        <f t="shared" si="35"/>
        <v>5-15QuarterlyReading</v>
      </c>
      <c r="C381" s="961" t="s">
        <v>3</v>
      </c>
      <c r="D381" s="1002">
        <v>22525</v>
      </c>
      <c r="E381" s="1002">
        <v>22525</v>
      </c>
      <c r="F381" s="1002">
        <v>22525</v>
      </c>
      <c r="G381" s="1002">
        <v>22525</v>
      </c>
      <c r="H381" s="1002">
        <v>22525</v>
      </c>
    </row>
    <row r="382" spans="2:8" x14ac:dyDescent="0.2">
      <c r="B382" s="470" t="str">
        <f t="shared" si="35"/>
        <v>5-15QuarterlySlough</v>
      </c>
      <c r="C382" s="961" t="s">
        <v>13</v>
      </c>
      <c r="D382" s="1002">
        <v>26803</v>
      </c>
      <c r="E382" s="1002">
        <v>26803</v>
      </c>
      <c r="F382" s="1002">
        <v>26803</v>
      </c>
      <c r="G382" s="1002">
        <v>26803</v>
      </c>
      <c r="H382" s="1002">
        <v>26803</v>
      </c>
    </row>
    <row r="383" spans="2:8" x14ac:dyDescent="0.2">
      <c r="B383" s="470" t="str">
        <f t="shared" si="35"/>
        <v>5-15QuarterlySomerset</v>
      </c>
      <c r="C383" s="961" t="s">
        <v>95</v>
      </c>
      <c r="D383" s="1002">
        <v>70505</v>
      </c>
      <c r="E383" s="1002">
        <v>70505</v>
      </c>
      <c r="F383" s="1002">
        <v>70505</v>
      </c>
      <c r="G383" s="1002">
        <v>70505</v>
      </c>
      <c r="H383" s="1002">
        <v>70505</v>
      </c>
    </row>
    <row r="384" spans="2:8" x14ac:dyDescent="0.2">
      <c r="B384" s="470" t="str">
        <f t="shared" si="35"/>
        <v>5-15QuarterlySouthampton</v>
      </c>
      <c r="C384" s="961" t="s">
        <v>14</v>
      </c>
      <c r="D384" s="1002">
        <v>31345</v>
      </c>
      <c r="E384" s="1002">
        <v>31345</v>
      </c>
      <c r="F384" s="1002">
        <v>31345</v>
      </c>
      <c r="G384" s="1002">
        <v>31345</v>
      </c>
      <c r="H384" s="1002">
        <v>31345</v>
      </c>
    </row>
    <row r="385" spans="2:8" x14ac:dyDescent="0.2">
      <c r="B385" s="470" t="str">
        <f t="shared" si="35"/>
        <v>5-15QuarterlySurrey</v>
      </c>
      <c r="C385" s="961" t="s">
        <v>7</v>
      </c>
      <c r="D385" s="1002">
        <v>166980</v>
      </c>
      <c r="E385" s="1002">
        <v>166980</v>
      </c>
      <c r="F385" s="1002">
        <v>166980</v>
      </c>
      <c r="G385" s="1002">
        <v>166980</v>
      </c>
      <c r="H385" s="1002">
        <v>166980</v>
      </c>
    </row>
    <row r="386" spans="2:8" x14ac:dyDescent="0.2">
      <c r="B386" s="470" t="str">
        <f t="shared" si="35"/>
        <v>5-15QuarterlySwindon</v>
      </c>
      <c r="C386" s="961" t="s">
        <v>113</v>
      </c>
      <c r="D386" s="1002">
        <v>31387</v>
      </c>
      <c r="E386" s="1002">
        <v>31387</v>
      </c>
      <c r="F386" s="1002">
        <v>31387</v>
      </c>
      <c r="G386" s="1002">
        <v>31387</v>
      </c>
      <c r="H386" s="1002">
        <v>31387</v>
      </c>
    </row>
    <row r="387" spans="2:8" x14ac:dyDescent="0.2">
      <c r="B387" s="470" t="str">
        <f t="shared" si="35"/>
        <v>5-15QuarterlyTorbay</v>
      </c>
      <c r="C387" s="961" t="s">
        <v>114</v>
      </c>
      <c r="D387" s="1002">
        <v>16132</v>
      </c>
      <c r="E387" s="1002">
        <v>16132</v>
      </c>
      <c r="F387" s="1002">
        <v>16132</v>
      </c>
      <c r="G387" s="1002">
        <v>16132</v>
      </c>
      <c r="H387" s="1002">
        <v>16132</v>
      </c>
    </row>
    <row r="388" spans="2:8" x14ac:dyDescent="0.2">
      <c r="B388" s="470" t="str">
        <f t="shared" si="35"/>
        <v>5-15QuarterlyWest Berkshire</v>
      </c>
      <c r="C388" s="961" t="s">
        <v>15</v>
      </c>
      <c r="D388" s="1002">
        <v>22769</v>
      </c>
      <c r="E388" s="1002">
        <v>22769</v>
      </c>
      <c r="F388" s="1002">
        <v>22769</v>
      </c>
      <c r="G388" s="1002">
        <v>22769</v>
      </c>
      <c r="H388" s="1002">
        <v>22769</v>
      </c>
    </row>
    <row r="389" spans="2:8" x14ac:dyDescent="0.2">
      <c r="B389" s="470" t="str">
        <f t="shared" si="35"/>
        <v>5-15QuarterlyWest Sussex</v>
      </c>
      <c r="C389" s="961" t="s">
        <v>5</v>
      </c>
      <c r="D389" s="1002">
        <v>112029</v>
      </c>
      <c r="E389" s="1002">
        <v>112029</v>
      </c>
      <c r="F389" s="1002">
        <v>112029</v>
      </c>
      <c r="G389" s="1002">
        <v>112029</v>
      </c>
      <c r="H389" s="1002">
        <v>112029</v>
      </c>
    </row>
    <row r="390" spans="2:8" x14ac:dyDescent="0.2">
      <c r="B390" s="470" t="str">
        <f t="shared" si="35"/>
        <v>5-15QuarterlyWindsor &amp; Maidenhead</v>
      </c>
      <c r="C390" s="962" t="s">
        <v>30</v>
      </c>
      <c r="D390" s="1002">
        <v>22111</v>
      </c>
      <c r="E390" s="1002">
        <v>22111</v>
      </c>
      <c r="F390" s="1002">
        <v>22111</v>
      </c>
      <c r="G390" s="1002">
        <v>22111</v>
      </c>
      <c r="H390" s="1002">
        <v>22111</v>
      </c>
    </row>
    <row r="391" spans="2:8" x14ac:dyDescent="0.2">
      <c r="B391" s="470" t="str">
        <f t="shared" si="35"/>
        <v>5-15QuarterlyWokingham</v>
      </c>
      <c r="C391" s="961" t="s">
        <v>16</v>
      </c>
      <c r="D391" s="1002">
        <v>26398</v>
      </c>
      <c r="E391" s="1002">
        <v>26398</v>
      </c>
      <c r="F391" s="1002">
        <v>26398</v>
      </c>
      <c r="G391" s="1002">
        <v>26398</v>
      </c>
      <c r="H391" s="1002">
        <v>26398</v>
      </c>
    </row>
    <row r="392" spans="2:8" x14ac:dyDescent="0.2">
      <c r="B392" s="470" t="str">
        <f t="shared" si="35"/>
        <v>5-15QuarterlySouth East</v>
      </c>
      <c r="C392" s="963" t="s">
        <v>74</v>
      </c>
      <c r="D392" s="1002">
        <v>1246745</v>
      </c>
      <c r="E392" s="1002">
        <v>1246745</v>
      </c>
      <c r="F392" s="1002">
        <v>1246745</v>
      </c>
      <c r="G392" s="1002">
        <v>1246745</v>
      </c>
      <c r="H392" s="1002">
        <v>1246745</v>
      </c>
    </row>
    <row r="393" spans="2:8" x14ac:dyDescent="0.2">
      <c r="B393" s="470" t="str">
        <f t="shared" si="35"/>
        <v>5-15QuarterlyEngland</v>
      </c>
      <c r="C393" s="964" t="s">
        <v>127</v>
      </c>
      <c r="D393" s="1002">
        <v>7517042</v>
      </c>
      <c r="E393" s="1002">
        <v>7517042</v>
      </c>
      <c r="F393" s="1002">
        <v>7517042</v>
      </c>
      <c r="G393" s="1002">
        <v>7517042</v>
      </c>
      <c r="H393" s="1002">
        <v>7517042</v>
      </c>
    </row>
  </sheetData>
  <mergeCells count="1">
    <mergeCell ref="AS2:BN2"/>
  </mergeCells>
  <conditionalFormatting sqref="C56 C112">
    <cfRule type="expression" dxfId="1114" priority="1238" stopIfTrue="1">
      <formula>#REF!=$BM$4</formula>
    </cfRule>
  </conditionalFormatting>
  <conditionalFormatting sqref="C90:H111 C35:C55 E35:H55">
    <cfRule type="expression" dxfId="1113" priority="1239" stopIfTrue="1">
      <formula>#REF!=$BH$4</formula>
    </cfRule>
  </conditionalFormatting>
  <conditionalFormatting sqref="C34 E34:H34">
    <cfRule type="expression" dxfId="1112" priority="1240" stopIfTrue="1">
      <formula>$AQ30=$BH$4</formula>
    </cfRule>
  </conditionalFormatting>
  <conditionalFormatting sqref="C84 C140">
    <cfRule type="expression" dxfId="1111" priority="1241" stopIfTrue="1">
      <formula>#REF!=$BM$4</formula>
    </cfRule>
  </conditionalFormatting>
  <conditionalFormatting sqref="C62:C83 C118:C139">
    <cfRule type="expression" dxfId="1110" priority="1242" stopIfTrue="1">
      <formula>#REF!=$BH$4</formula>
    </cfRule>
  </conditionalFormatting>
  <conditionalFormatting sqref="C168">
    <cfRule type="expression" dxfId="1109" priority="39" stopIfTrue="1">
      <formula>#REF!=$BM$4</formula>
    </cfRule>
  </conditionalFormatting>
  <conditionalFormatting sqref="E174:H195 C146:H167">
    <cfRule type="expression" dxfId="1108" priority="40" stopIfTrue="1">
      <formula>#REF!=$BH$4</formula>
    </cfRule>
  </conditionalFormatting>
  <conditionalFormatting sqref="C196">
    <cfRule type="expression" dxfId="1107" priority="41" stopIfTrue="1">
      <formula>#REF!=$BM$4</formula>
    </cfRule>
  </conditionalFormatting>
  <conditionalFormatting sqref="C174:C195">
    <cfRule type="expression" dxfId="1106" priority="42" stopIfTrue="1">
      <formula>#REF!=$BH$4</formula>
    </cfRule>
  </conditionalFormatting>
  <conditionalFormatting sqref="C224">
    <cfRule type="expression" dxfId="1105" priority="35" stopIfTrue="1">
      <formula>#REF!=$BM$4</formula>
    </cfRule>
  </conditionalFormatting>
  <conditionalFormatting sqref="C202:G223 D203:F225">
    <cfRule type="expression" dxfId="1104" priority="36" stopIfTrue="1">
      <formula>#REF!=$BH$4</formula>
    </cfRule>
  </conditionalFormatting>
  <conditionalFormatting sqref="C252">
    <cfRule type="expression" dxfId="1103" priority="37" stopIfTrue="1">
      <formula>#REF!=$BM$4</formula>
    </cfRule>
  </conditionalFormatting>
  <conditionalFormatting sqref="C230:C251">
    <cfRule type="expression" dxfId="1102" priority="38" stopIfTrue="1">
      <formula>#REF!=$BH$4</formula>
    </cfRule>
  </conditionalFormatting>
  <conditionalFormatting sqref="C280">
    <cfRule type="expression" dxfId="1101" priority="31" stopIfTrue="1">
      <formula>#REF!=$BM$4</formula>
    </cfRule>
  </conditionalFormatting>
  <conditionalFormatting sqref="C258:H279 D286:H307">
    <cfRule type="expression" dxfId="1100" priority="32" stopIfTrue="1">
      <formula>#REF!=$BH$4</formula>
    </cfRule>
  </conditionalFormatting>
  <conditionalFormatting sqref="C308">
    <cfRule type="expression" dxfId="1099" priority="33" stopIfTrue="1">
      <formula>#REF!=$BM$4</formula>
    </cfRule>
  </conditionalFormatting>
  <conditionalFormatting sqref="C286:C307">
    <cfRule type="expression" dxfId="1098" priority="34" stopIfTrue="1">
      <formula>#REF!=$BH$4</formula>
    </cfRule>
  </conditionalFormatting>
  <conditionalFormatting sqref="C336">
    <cfRule type="expression" dxfId="1097" priority="29" stopIfTrue="1">
      <formula>#REF!=$BM$4</formula>
    </cfRule>
  </conditionalFormatting>
  <conditionalFormatting sqref="C314:C335">
    <cfRule type="expression" dxfId="1096" priority="30" stopIfTrue="1">
      <formula>#REF!=$BH$4</formula>
    </cfRule>
  </conditionalFormatting>
  <conditionalFormatting sqref="C364">
    <cfRule type="expression" dxfId="1095" priority="23" stopIfTrue="1">
      <formula>#REF!=$BM$4</formula>
    </cfRule>
  </conditionalFormatting>
  <conditionalFormatting sqref="H370:H391 C342:E363 G342:G363">
    <cfRule type="expression" dxfId="1094" priority="24" stopIfTrue="1">
      <formula>#REF!=$BH$4</formula>
    </cfRule>
  </conditionalFormatting>
  <conditionalFormatting sqref="C392">
    <cfRule type="expression" dxfId="1093" priority="25" stopIfTrue="1">
      <formula>#REF!=$BM$4</formula>
    </cfRule>
  </conditionalFormatting>
  <conditionalFormatting sqref="C370:C391">
    <cfRule type="expression" dxfId="1092" priority="26" stopIfTrue="1">
      <formula>#REF!=$BH$4</formula>
    </cfRule>
  </conditionalFormatting>
  <conditionalFormatting sqref="E370:G391">
    <cfRule type="expression" dxfId="1091" priority="22" stopIfTrue="1">
      <formula>#REF!=$BH$4</formula>
    </cfRule>
  </conditionalFormatting>
  <conditionalFormatting sqref="E63:H83">
    <cfRule type="expression" dxfId="1090" priority="18" stopIfTrue="1">
      <formula>#REF!=$BH$4</formula>
    </cfRule>
  </conditionalFormatting>
  <conditionalFormatting sqref="E62:H62">
    <cfRule type="expression" dxfId="1089" priority="19" stopIfTrue="1">
      <formula>$AQ58=$BH$4</formula>
    </cfRule>
  </conditionalFormatting>
  <conditionalFormatting sqref="E118:H139">
    <cfRule type="expression" dxfId="1088" priority="17" stopIfTrue="1">
      <formula>#REF!=$BH$4</formula>
    </cfRule>
  </conditionalFormatting>
  <conditionalFormatting sqref="E230:H230 E231:E251 G231:H251 F231:F253">
    <cfRule type="expression" dxfId="1087" priority="16" stopIfTrue="1">
      <formula>#REF!=$BH$4</formula>
    </cfRule>
  </conditionalFormatting>
  <conditionalFormatting sqref="D63:D83">
    <cfRule type="expression" dxfId="1086" priority="13" stopIfTrue="1">
      <formula>#REF!=$BH$4</formula>
    </cfRule>
  </conditionalFormatting>
  <conditionalFormatting sqref="D62">
    <cfRule type="expression" dxfId="1085" priority="14" stopIfTrue="1">
      <formula>$AQ58=$BH$4</formula>
    </cfRule>
  </conditionalFormatting>
  <conditionalFormatting sqref="D174:D195">
    <cfRule type="expression" dxfId="1084" priority="12" stopIfTrue="1">
      <formula>#REF!=$BH$4</formula>
    </cfRule>
  </conditionalFormatting>
  <conditionalFormatting sqref="D118:D139">
    <cfRule type="expression" dxfId="1083" priority="11" stopIfTrue="1">
      <formula>#REF!=$BH$4</formula>
    </cfRule>
  </conditionalFormatting>
  <conditionalFormatting sqref="D230:D251">
    <cfRule type="expression" dxfId="1082" priority="10" stopIfTrue="1">
      <formula>#REF!=$BH$4</formula>
    </cfRule>
  </conditionalFormatting>
  <conditionalFormatting sqref="G342:G363">
    <cfRule type="expression" dxfId="1081" priority="9" stopIfTrue="1">
      <formula>#REF!=$BH$4</formula>
    </cfRule>
  </conditionalFormatting>
  <conditionalFormatting sqref="E342:E363">
    <cfRule type="expression" dxfId="1080" priority="8" stopIfTrue="1">
      <formula>#REF!=$BH$4</formula>
    </cfRule>
  </conditionalFormatting>
  <conditionalFormatting sqref="H342:H363">
    <cfRule type="expression" dxfId="1079" priority="7" stopIfTrue="1">
      <formula>#REF!=$BH$4</formula>
    </cfRule>
  </conditionalFormatting>
  <conditionalFormatting sqref="D370:D391">
    <cfRule type="expression" dxfId="1078" priority="6" stopIfTrue="1">
      <formula>#REF!=$BH$4</formula>
    </cfRule>
  </conditionalFormatting>
  <conditionalFormatting sqref="D35:D55">
    <cfRule type="expression" dxfId="1077" priority="4" stopIfTrue="1">
      <formula>#REF!=$BH$4</formula>
    </cfRule>
  </conditionalFormatting>
  <conditionalFormatting sqref="D34">
    <cfRule type="expression" dxfId="1076" priority="5" stopIfTrue="1">
      <formula>$AQ30=$BH$4</formula>
    </cfRule>
  </conditionalFormatting>
  <conditionalFormatting sqref="F342:F363">
    <cfRule type="expression" dxfId="1075" priority="3" stopIfTrue="1">
      <formula>#REF!=$BH$4</formula>
    </cfRule>
  </conditionalFormatting>
  <conditionalFormatting sqref="F342:F363">
    <cfRule type="expression" dxfId="1074" priority="2" stopIfTrue="1">
      <formula>#REF!=$BH$4</formula>
    </cfRule>
  </conditionalFormatting>
  <conditionalFormatting sqref="H202:H223">
    <cfRule type="expression" dxfId="1073" priority="1" stopIfTrue="1">
      <formula>#REF!=$BH$4</formula>
    </cfRule>
  </conditionalFormatting>
  <dataValidations count="1">
    <dataValidation type="list" allowBlank="1" showInputMessage="1" showErrorMessage="1" sqref="C3" xr:uid="{00000000-0002-0000-0000-000000000000}">
      <formula1>$C$1:$C$2</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C34"/>
  <sheetViews>
    <sheetView topLeftCell="A16" workbookViewId="0">
      <selection activeCell="A19" sqref="A19"/>
    </sheetView>
  </sheetViews>
  <sheetFormatPr defaultColWidth="9.140625" defaultRowHeight="12" x14ac:dyDescent="0.2"/>
  <cols>
    <col min="1" max="1" width="47.140625" style="1317" customWidth="1"/>
    <col min="2" max="5" width="5.5703125" style="1317" customWidth="1"/>
    <col min="6" max="7" width="6.5703125" style="1317" customWidth="1"/>
    <col min="8" max="14" width="5.5703125" style="1317" customWidth="1"/>
    <col min="15" max="15" width="5.140625" style="1317" customWidth="1"/>
    <col min="16" max="16" width="6.5703125" style="1317" customWidth="1"/>
    <col min="17" max="17" width="5.5703125" style="1317" customWidth="1"/>
    <col min="18" max="19" width="5.140625" style="1317" customWidth="1"/>
    <col min="20" max="22" width="5.5703125" style="1317" customWidth="1"/>
    <col min="23" max="24" width="5.140625" style="1317" customWidth="1"/>
    <col min="25" max="25" width="9.140625" style="1317"/>
    <col min="26" max="26" width="10.85546875" style="1317" bestFit="1" customWidth="1"/>
    <col min="27" max="27" width="9.140625" style="1317"/>
    <col min="28" max="29" width="47.140625" style="1317" customWidth="1"/>
    <col min="30" max="16384" width="9.140625" style="1317"/>
  </cols>
  <sheetData>
    <row r="1" spans="1:29" s="1304" customFormat="1" ht="102.75" x14ac:dyDescent="0.2">
      <c r="B1" s="1305" t="s">
        <v>0</v>
      </c>
      <c r="C1" s="1305" t="s">
        <v>31</v>
      </c>
      <c r="D1" s="1305" t="s">
        <v>8</v>
      </c>
      <c r="E1" s="1305" t="s">
        <v>4</v>
      </c>
      <c r="F1" s="1305" t="s">
        <v>6</v>
      </c>
      <c r="G1" s="1305" t="s">
        <v>1</v>
      </c>
      <c r="H1" s="1305" t="s">
        <v>9</v>
      </c>
      <c r="I1" s="1305" t="s">
        <v>2</v>
      </c>
      <c r="J1" s="1305" t="s">
        <v>10</v>
      </c>
      <c r="K1" s="1305" t="s">
        <v>11</v>
      </c>
      <c r="L1" s="1305" t="s">
        <v>12</v>
      </c>
      <c r="M1" s="1305" t="s">
        <v>3</v>
      </c>
      <c r="N1" s="1305" t="s">
        <v>13</v>
      </c>
      <c r="O1" s="1306" t="s">
        <v>73</v>
      </c>
      <c r="P1" s="1305" t="s">
        <v>14</v>
      </c>
      <c r="Q1" s="1305" t="s">
        <v>7</v>
      </c>
      <c r="R1" s="1306" t="s">
        <v>972</v>
      </c>
      <c r="S1" s="1306" t="s">
        <v>973</v>
      </c>
      <c r="T1" s="1305" t="s">
        <v>15</v>
      </c>
      <c r="U1" s="1305" t="s">
        <v>5</v>
      </c>
      <c r="V1" s="1305" t="s">
        <v>30</v>
      </c>
      <c r="W1" s="1305" t="s">
        <v>16</v>
      </c>
      <c r="X1" s="1307"/>
      <c r="Y1" s="1308" t="s">
        <v>974</v>
      </c>
      <c r="Z1" s="1308" t="s">
        <v>975</v>
      </c>
      <c r="AA1" s="1309" t="s">
        <v>976</v>
      </c>
    </row>
    <row r="2" spans="1:29" x14ac:dyDescent="0.2">
      <c r="A2" s="1310" t="str">
        <f>IF(Sheet1!$C$3="Annual",ChartLabels!AB2,ChartLabels!AC2)</f>
        <v>Proportion of Children aged 0-15 Living in Poverty (2019)</v>
      </c>
      <c r="B2" s="1311">
        <f>IF(ISNUMBER(HLOOKUP(B$1,Home!$D$12:$AB$82,$X2,FALSE)),HLOOKUP(B$1,Home!$D$12:$AB$82,$X2,FALSE),NA())</f>
        <v>8.9</v>
      </c>
      <c r="C2" s="1311">
        <f>IF(ISNUMBER(HLOOKUP(C$1,Home!$D$12:$AB$82,$X2,FALSE)),HLOOKUP(C$1,Home!$D$12:$AB$82,$X2,FALSE),NA())</f>
        <v>15.299999999999999</v>
      </c>
      <c r="D2" s="1311">
        <f>IF(ISNUMBER(HLOOKUP(D$1,Home!$D$12:$AB$82,$X2,FALSE)),HLOOKUP(D$1,Home!$D$12:$AB$82,$X2,FALSE),NA())</f>
        <v>8.5</v>
      </c>
      <c r="E2" s="1311">
        <f>IF(ISNUMBER(HLOOKUP(E$1,Home!$D$12:$AB$82,$X2,FALSE)),HLOOKUP(E$1,Home!$D$12:$AB$82,$X2,FALSE),NA())</f>
        <v>16.100000000000001</v>
      </c>
      <c r="F2" s="1311">
        <f>IF(ISNUMBER(HLOOKUP(F$1,Home!$D$12:$AB$82,$X2,FALSE)),HLOOKUP(F$1,Home!$D$12:$AB$82,$X2,FALSE),NA())</f>
        <v>10.100000000000001</v>
      </c>
      <c r="G2" s="1311">
        <f>IF(ISNUMBER(HLOOKUP(G$1,Home!$D$12:$AB$82,$X2,FALSE)),HLOOKUP(G$1,Home!$D$12:$AB$82,$X2,FALSE),NA())</f>
        <v>18</v>
      </c>
      <c r="H2" s="1311">
        <f>IF(ISNUMBER(HLOOKUP(H$1,Home!$D$12:$AB$82,$X2,FALSE)),HLOOKUP(H$1,Home!$D$12:$AB$82,$X2,FALSE),NA())</f>
        <v>15.8</v>
      </c>
      <c r="I2" s="1311">
        <f>IF(ISNUMBER(HLOOKUP(I$1,Home!$D$12:$AB$82,$X2,FALSE)),HLOOKUP(I$1,Home!$D$12:$AB$82,$X2,FALSE),NA())</f>
        <v>18.899999999999999</v>
      </c>
      <c r="J2" s="1311">
        <f>IF(ISNUMBER(HLOOKUP(J$1,Home!$D$12:$AB$82,$X2,FALSE)),HLOOKUP(J$1,Home!$D$12:$AB$82,$X2,FALSE),NA())</f>
        <v>15</v>
      </c>
      <c r="K2" s="1311">
        <f>IF(ISNUMBER(HLOOKUP(K$1,Home!$D$12:$AB$82,$X2,FALSE)),HLOOKUP(K$1,Home!$D$12:$AB$82,$X2,FALSE),NA())</f>
        <v>10.100000000000001</v>
      </c>
      <c r="L2" s="1311">
        <f>IF(ISNUMBER(HLOOKUP(L$1,Home!$D$12:$AB$82,$X2,FALSE)),HLOOKUP(L$1,Home!$D$12:$AB$82,$X2,FALSE),NA())</f>
        <v>20.200000000000003</v>
      </c>
      <c r="M2" s="1311">
        <f>IF(ISNUMBER(HLOOKUP(M$1,Home!$D$12:$AB$82,$X2,FALSE)),HLOOKUP(M$1,Home!$D$12:$AB$82,$X2,FALSE),NA())</f>
        <v>16</v>
      </c>
      <c r="N2" s="1311">
        <f>IF(ISNUMBER(HLOOKUP(N$1,Home!$D$12:$AB$82,$X2,FALSE)),HLOOKUP(N$1,Home!$D$12:$AB$82,$X2,FALSE),NA())</f>
        <v>14.7</v>
      </c>
      <c r="O2" s="1312" t="e">
        <f>IF(ISNUMBER(HLOOKUP(O$1,Home!$D$12:$AB$82,$X2,FALSE)),HLOOKUP(O$1,Home!$D$12:$AB$82,$X2,FALSE),NA())</f>
        <v>#N/A</v>
      </c>
      <c r="P2" s="1311">
        <f>IF(ISNUMBER(HLOOKUP(P$1,Home!$D$12:$AB$82,$X2,FALSE)),HLOOKUP(P$1,Home!$D$12:$AB$82,$X2,FALSE),NA())</f>
        <v>20.5</v>
      </c>
      <c r="Q2" s="1311">
        <f>IF(ISNUMBER(HLOOKUP(Q$1,Home!$D$12:$AB$82,$X2,FALSE)),HLOOKUP(Q$1,Home!$D$12:$AB$82,$X2,FALSE),NA())</f>
        <v>8.3000000000000007</v>
      </c>
      <c r="R2" s="1312" t="e">
        <f>IF(ISNUMBER(HLOOKUP(R$1,Home!$D$12:$AB$82,$X2,FALSE)),HLOOKUP(R$1,Home!$D$12:$AB$82,$X2,FALSE),NA())</f>
        <v>#N/A</v>
      </c>
      <c r="S2" s="1312" t="e">
        <f>IF(ISNUMBER(HLOOKUP(S$1,Home!$D$12:$AB$82,$X2,FALSE)),HLOOKUP(S$1,Home!$D$12:$AB$82,$X2,FALSE),NA())</f>
        <v>#N/A</v>
      </c>
      <c r="T2" s="1311">
        <f>IF(ISNUMBER(HLOOKUP(T$1,Home!$D$12:$AB$82,$X2,FALSE)),HLOOKUP(T$1,Home!$D$12:$AB$82,$X2,FALSE),NA())</f>
        <v>8.6999999999999993</v>
      </c>
      <c r="U2" s="1311">
        <f>IF(ISNUMBER(HLOOKUP(U$1,Home!$D$12:$AB$82,$X2,FALSE)),HLOOKUP(U$1,Home!$D$12:$AB$82,$X2,FALSE),NA())</f>
        <v>11</v>
      </c>
      <c r="V2" s="1311">
        <f>IF(ISNUMBER(HLOOKUP(V$1,Home!$D$12:$AB$82,$X2,FALSE)),HLOOKUP(V$1,Home!$D$12:$AB$82,$X2,FALSE),NA())</f>
        <v>6.7</v>
      </c>
      <c r="W2" s="1311">
        <f>IF(ISNUMBER(HLOOKUP(W$1,Home!$D$12:$AB$82,$X2,FALSE)),HLOOKUP(W$1,Home!$D$12:$AB$82,$X2,FALSE),NA())</f>
        <v>5.6000000000000005</v>
      </c>
      <c r="X2" s="1308">
        <f>VLOOKUP(A2,Home!C:BB,52,FALSE)</f>
        <v>3</v>
      </c>
      <c r="Y2" s="1313"/>
      <c r="Z2" s="1308"/>
      <c r="AA2" s="1308"/>
      <c r="AB2" s="1310" t="s">
        <v>1215</v>
      </c>
      <c r="AC2" s="1310" t="s">
        <v>1215</v>
      </c>
    </row>
    <row r="3" spans="1:29" ht="24" x14ac:dyDescent="0.2">
      <c r="A3" s="1310" t="str">
        <f>IF(Sheet1!$C$3="Annual",ChartLabels!AB3,ChartLabels!AC3)</f>
        <v>Contacts received in the Year ending 31st March, Rate per 10,000 0-17 Year Olds</v>
      </c>
      <c r="B3" s="1311" t="e">
        <f>IF(ISNUMBER(HLOOKUP(B$1,Home!$D$12:$AB$82,$X3,FALSE)),HLOOKUP(B$1,Home!$D$12:$AB$82,$X3,FALSE),NA())</f>
        <v>#N/A</v>
      </c>
      <c r="C3" s="1311" t="e">
        <f>IF(ISNUMBER(HLOOKUP(C$1,Home!$D$12:$AB$82,$X3,FALSE)),HLOOKUP(C$1,Home!$D$12:$AB$82,$X3,FALSE),NA())</f>
        <v>#N/A</v>
      </c>
      <c r="D3" s="1311" t="e">
        <f>IF(ISNUMBER(HLOOKUP(D$1,Home!$D$12:$AB$82,$X3,FALSE)),HLOOKUP(D$1,Home!$D$12:$AB$82,$X3,FALSE),NA())</f>
        <v>#N/A</v>
      </c>
      <c r="E3" s="1311" t="e">
        <f>IF(ISNUMBER(HLOOKUP(E$1,Home!$D$12:$AB$82,$X3,FALSE)),HLOOKUP(E$1,Home!$D$12:$AB$82,$X3,FALSE),NA())</f>
        <v>#N/A</v>
      </c>
      <c r="F3" s="1311" t="e">
        <f>IF(ISNUMBER(HLOOKUP(F$1,Home!$D$12:$AB$82,$X3,FALSE)),HLOOKUP(F$1,Home!$D$12:$AB$82,$X3,FALSE),NA())</f>
        <v>#N/A</v>
      </c>
      <c r="G3" s="1311" t="e">
        <f>IF(ISNUMBER(HLOOKUP(G$1,Home!$D$12:$AB$82,$X3,FALSE)),HLOOKUP(G$1,Home!$D$12:$AB$82,$X3,FALSE),NA())</f>
        <v>#N/A</v>
      </c>
      <c r="H3" s="1311" t="e">
        <f>IF(ISNUMBER(HLOOKUP(H$1,Home!$D$12:$AB$82,$X3,FALSE)),HLOOKUP(H$1,Home!$D$12:$AB$82,$X3,FALSE),NA())</f>
        <v>#N/A</v>
      </c>
      <c r="I3" s="1311" t="e">
        <f>IF(ISNUMBER(HLOOKUP(I$1,Home!$D$12:$AB$82,$X3,FALSE)),HLOOKUP(I$1,Home!$D$12:$AB$82,$X3,FALSE),NA())</f>
        <v>#N/A</v>
      </c>
      <c r="J3" s="1311" t="e">
        <f>IF(ISNUMBER(HLOOKUP(J$1,Home!$D$12:$AB$82,$X3,FALSE)),HLOOKUP(J$1,Home!$D$12:$AB$82,$X3,FALSE),NA())</f>
        <v>#N/A</v>
      </c>
      <c r="K3" s="1311" t="e">
        <f>IF(ISNUMBER(HLOOKUP(K$1,Home!$D$12:$AB$82,$X3,FALSE)),HLOOKUP(K$1,Home!$D$12:$AB$82,$X3,FALSE),NA())</f>
        <v>#N/A</v>
      </c>
      <c r="L3" s="1311" t="e">
        <f>IF(ISNUMBER(HLOOKUP(L$1,Home!$D$12:$AB$82,$X3,FALSE)),HLOOKUP(L$1,Home!$D$12:$AB$82,$X3,FALSE),NA())</f>
        <v>#N/A</v>
      </c>
      <c r="M3" s="1311" t="e">
        <f>IF(ISNUMBER(HLOOKUP(M$1,Home!$D$12:$AB$82,$X3,FALSE)),HLOOKUP(M$1,Home!$D$12:$AB$82,$X3,FALSE),NA())</f>
        <v>#N/A</v>
      </c>
      <c r="N3" s="1311" t="e">
        <f>IF(ISNUMBER(HLOOKUP(N$1,Home!$D$12:$AB$82,$X3,FALSE)),HLOOKUP(N$1,Home!$D$12:$AB$82,$X3,FALSE),NA())</f>
        <v>#N/A</v>
      </c>
      <c r="O3" s="1312" t="e">
        <f>IF(ISNUMBER(HLOOKUP(O$1,Home!$D$12:$AB$82,$X3,FALSE)),HLOOKUP(O$1,Home!$D$12:$AB$82,$X3,FALSE),NA())</f>
        <v>#N/A</v>
      </c>
      <c r="P3" s="1311" t="e">
        <f>IF(ISNUMBER(HLOOKUP(P$1,Home!$D$12:$AB$82,$X3,FALSE)),HLOOKUP(P$1,Home!$D$12:$AB$82,$X3,FALSE),NA())</f>
        <v>#N/A</v>
      </c>
      <c r="Q3" s="1311" t="e">
        <f>IF(ISNUMBER(HLOOKUP(Q$1,Home!$D$12:$AB$82,$X3,FALSE)),HLOOKUP(Q$1,Home!$D$12:$AB$82,$X3,FALSE),NA())</f>
        <v>#N/A</v>
      </c>
      <c r="R3" s="1312" t="e">
        <f>IF(ISNUMBER(HLOOKUP(R$1,Home!$D$12:$AB$82,$X3,FALSE)),HLOOKUP(R$1,Home!$D$12:$AB$82,$X3,FALSE),NA())</f>
        <v>#N/A</v>
      </c>
      <c r="S3" s="1312" t="e">
        <f>IF(ISNUMBER(HLOOKUP(S$1,Home!$D$12:$AB$82,$X3,FALSE)),HLOOKUP(S$1,Home!$D$12:$AB$82,$X3,FALSE),NA())</f>
        <v>#N/A</v>
      </c>
      <c r="T3" s="1311" t="e">
        <f>IF(ISNUMBER(HLOOKUP(T$1,Home!$D$12:$AB$82,$X3,FALSE)),HLOOKUP(T$1,Home!$D$12:$AB$82,$X3,FALSE),NA())</f>
        <v>#N/A</v>
      </c>
      <c r="U3" s="1311" t="e">
        <f>IF(ISNUMBER(HLOOKUP(U$1,Home!$D$12:$AB$82,$X3,FALSE)),HLOOKUP(U$1,Home!$D$12:$AB$82,$X3,FALSE),NA())</f>
        <v>#N/A</v>
      </c>
      <c r="V3" s="1311" t="e">
        <f>IF(ISNUMBER(HLOOKUP(V$1,Home!$D$12:$AB$82,$X3,FALSE)),HLOOKUP(V$1,Home!$D$12:$AB$82,$X3,FALSE),NA())</f>
        <v>#N/A</v>
      </c>
      <c r="W3" s="1311" t="e">
        <f>IF(ISNUMBER(HLOOKUP(W$1,Home!$D$12:$AB$82,$X3,FALSE)),HLOOKUP(W$1,Home!$D$12:$AB$82,$X3,FALSE),NA())</f>
        <v>#N/A</v>
      </c>
      <c r="X3" s="1308" t="e">
        <f>VLOOKUP(A3,Home!C:BB,52,FALSE)</f>
        <v>#N/A</v>
      </c>
      <c r="Y3" s="1314" t="e">
        <f t="array" ref="Y3">SLOPE(IF(ISNA($B3:$W3),"",$B3:$W3),IF(ISNA($B$2:$W$2),"",$B$2:$W$2))</f>
        <v>#DIV/0!</v>
      </c>
      <c r="Z3" s="1314" t="e">
        <f t="array" ref="Z3">INTERCEPT(IF(ISNA($B3:$W3),"",$B3:$W3),IF(ISNA($B$2:$W$2),"",$B$2:$W$2))</f>
        <v>#DIV/0!</v>
      </c>
      <c r="AA3" s="1314" t="e">
        <f t="array" ref="AA3">RSQ(IF(ISNA($B3:$W3),"",$B3:$W3),IF(ISNA($B$2:$W$2),"",$B$2:$W$2))</f>
        <v>#DIV/0!</v>
      </c>
      <c r="AB3" s="1488" t="s">
        <v>1254</v>
      </c>
      <c r="AC3" s="1488" t="s">
        <v>945</v>
      </c>
    </row>
    <row r="4" spans="1:29" ht="24" x14ac:dyDescent="0.2">
      <c r="A4" s="1310" t="str">
        <f>IF(Sheet1!$C$3="Annual",ChartLabels!AB4,ChartLabels!AC4)</f>
        <v>Referrals to Early Help in the Year ending 31st March, Rate per 10,000 0-17 Year Olds</v>
      </c>
      <c r="B4" s="1311" t="e">
        <f>IF(ISNUMBER(HLOOKUP(B$1,Home!$D$12:$AB$82,$X4,FALSE)),HLOOKUP(B$1,Home!$D$12:$AB$82,$X4,FALSE),NA())</f>
        <v>#N/A</v>
      </c>
      <c r="C4" s="1311" t="e">
        <f>IF(ISNUMBER(HLOOKUP(C$1,Home!$D$12:$AB$82,$X4,FALSE)),HLOOKUP(C$1,Home!$D$12:$AB$82,$X4,FALSE),NA())</f>
        <v>#N/A</v>
      </c>
      <c r="D4" s="1311" t="e">
        <f>IF(ISNUMBER(HLOOKUP(D$1,Home!$D$12:$AB$82,$X4,FALSE)),HLOOKUP(D$1,Home!$D$12:$AB$82,$X4,FALSE),NA())</f>
        <v>#N/A</v>
      </c>
      <c r="E4" s="1311" t="e">
        <f>IF(ISNUMBER(HLOOKUP(E$1,Home!$D$12:$AB$82,$X4,FALSE)),HLOOKUP(E$1,Home!$D$12:$AB$82,$X4,FALSE),NA())</f>
        <v>#N/A</v>
      </c>
      <c r="F4" s="1311" t="e">
        <f>IF(ISNUMBER(HLOOKUP(F$1,Home!$D$12:$AB$82,$X4,FALSE)),HLOOKUP(F$1,Home!$D$12:$AB$82,$X4,FALSE),NA())</f>
        <v>#N/A</v>
      </c>
      <c r="G4" s="1311" t="e">
        <f>IF(ISNUMBER(HLOOKUP(G$1,Home!$D$12:$AB$82,$X4,FALSE)),HLOOKUP(G$1,Home!$D$12:$AB$82,$X4,FALSE),NA())</f>
        <v>#N/A</v>
      </c>
      <c r="H4" s="1311" t="e">
        <f>IF(ISNUMBER(HLOOKUP(H$1,Home!$D$12:$AB$82,$X4,FALSE)),HLOOKUP(H$1,Home!$D$12:$AB$82,$X4,FALSE),NA())</f>
        <v>#N/A</v>
      </c>
      <c r="I4" s="1311" t="e">
        <f>IF(ISNUMBER(HLOOKUP(I$1,Home!$D$12:$AB$82,$X4,FALSE)),HLOOKUP(I$1,Home!$D$12:$AB$82,$X4,FALSE),NA())</f>
        <v>#N/A</v>
      </c>
      <c r="J4" s="1311" t="e">
        <f>IF(ISNUMBER(HLOOKUP(J$1,Home!$D$12:$AB$82,$X4,FALSE)),HLOOKUP(J$1,Home!$D$12:$AB$82,$X4,FALSE),NA())</f>
        <v>#N/A</v>
      </c>
      <c r="K4" s="1311" t="e">
        <f>IF(ISNUMBER(HLOOKUP(K$1,Home!$D$12:$AB$82,$X4,FALSE)),HLOOKUP(K$1,Home!$D$12:$AB$82,$X4,FALSE),NA())</f>
        <v>#N/A</v>
      </c>
      <c r="L4" s="1311" t="e">
        <f>IF(ISNUMBER(HLOOKUP(L$1,Home!$D$12:$AB$82,$X4,FALSE)),HLOOKUP(L$1,Home!$D$12:$AB$82,$X4,FALSE),NA())</f>
        <v>#N/A</v>
      </c>
      <c r="M4" s="1311" t="e">
        <f>IF(ISNUMBER(HLOOKUP(M$1,Home!$D$12:$AB$82,$X4,FALSE)),HLOOKUP(M$1,Home!$D$12:$AB$82,$X4,FALSE),NA())</f>
        <v>#N/A</v>
      </c>
      <c r="N4" s="1311" t="e">
        <f>IF(ISNUMBER(HLOOKUP(N$1,Home!$D$12:$AB$82,$X4,FALSE)),HLOOKUP(N$1,Home!$D$12:$AB$82,$X4,FALSE),NA())</f>
        <v>#N/A</v>
      </c>
      <c r="O4" s="1312" t="e">
        <f>IF(ISNUMBER(HLOOKUP(O$1,Home!$D$12:$AB$82,$X4,FALSE)),HLOOKUP(O$1,Home!$D$12:$AB$82,$X4,FALSE),NA())</f>
        <v>#N/A</v>
      </c>
      <c r="P4" s="1311" t="e">
        <f>IF(ISNUMBER(HLOOKUP(P$1,Home!$D$12:$AB$82,$X4,FALSE)),HLOOKUP(P$1,Home!$D$12:$AB$82,$X4,FALSE),NA())</f>
        <v>#N/A</v>
      </c>
      <c r="Q4" s="1311" t="e">
        <f>IF(ISNUMBER(HLOOKUP(Q$1,Home!$D$12:$AB$82,$X4,FALSE)),HLOOKUP(Q$1,Home!$D$12:$AB$82,$X4,FALSE),NA())</f>
        <v>#N/A</v>
      </c>
      <c r="R4" s="1312" t="e">
        <f>IF(ISNUMBER(HLOOKUP(R$1,Home!$D$12:$AB$82,$X4,FALSE)),HLOOKUP(R$1,Home!$D$12:$AB$82,$X4,FALSE),NA())</f>
        <v>#N/A</v>
      </c>
      <c r="S4" s="1312" t="e">
        <f>IF(ISNUMBER(HLOOKUP(S$1,Home!$D$12:$AB$82,$X4,FALSE)),HLOOKUP(S$1,Home!$D$12:$AB$82,$X4,FALSE),NA())</f>
        <v>#N/A</v>
      </c>
      <c r="T4" s="1311" t="e">
        <f>IF(ISNUMBER(HLOOKUP(T$1,Home!$D$12:$AB$82,$X4,FALSE)),HLOOKUP(T$1,Home!$D$12:$AB$82,$X4,FALSE),NA())</f>
        <v>#N/A</v>
      </c>
      <c r="U4" s="1311" t="e">
        <f>IF(ISNUMBER(HLOOKUP(U$1,Home!$D$12:$AB$82,$X4,FALSE)),HLOOKUP(U$1,Home!$D$12:$AB$82,$X4,FALSE),NA())</f>
        <v>#N/A</v>
      </c>
      <c r="V4" s="1311" t="e">
        <f>IF(ISNUMBER(HLOOKUP(V$1,Home!$D$12:$AB$82,$X4,FALSE)),HLOOKUP(V$1,Home!$D$12:$AB$82,$X4,FALSE),NA())</f>
        <v>#N/A</v>
      </c>
      <c r="W4" s="1311" t="e">
        <f>IF(ISNUMBER(HLOOKUP(W$1,Home!$D$12:$AB$82,$X4,FALSE)),HLOOKUP(W$1,Home!$D$12:$AB$82,$X4,FALSE),NA())</f>
        <v>#N/A</v>
      </c>
      <c r="X4" s="1308" t="e">
        <f>VLOOKUP(A4,Home!C:BB,52,FALSE)</f>
        <v>#N/A</v>
      </c>
      <c r="Y4" s="1314" t="e">
        <f t="array" ref="Y4">SLOPE(IF(ISNA($B4:$W4),"",$B4:$W4),IF(ISNA($B$2:$W$2),"",$B$2:$W$2))</f>
        <v>#DIV/0!</v>
      </c>
      <c r="Z4" s="1314" t="e">
        <f t="array" ref="Z4">INTERCEPT(IF(ISNA($B4:$W4),"",$B4:$W4),IF(ISNA($B$2:$W$2),"",$B$2:$W$2))</f>
        <v>#DIV/0!</v>
      </c>
      <c r="AA4" s="1314" t="e">
        <f t="array" ref="AA4">RSQ(IF(ISNA($B4:$W4),"",$B4:$W4),IF(ISNA($B$2:$W$2),"",$B$2:$W$2))</f>
        <v>#DIV/0!</v>
      </c>
      <c r="AB4" s="1310" t="s">
        <v>1255</v>
      </c>
      <c r="AC4" s="1310" t="s">
        <v>946</v>
      </c>
    </row>
    <row r="5" spans="1:29" ht="24" x14ac:dyDescent="0.2">
      <c r="A5" s="1310" t="str">
        <f>IF(Sheet1!$C$3="Annual",ChartLabels!AB5,ChartLabels!AC5)</f>
        <v>Early Help Assessments Completed in Year ending 31st March, Rate per 10,000 0-17 Year Olds</v>
      </c>
      <c r="B5" s="1311" t="e">
        <f>IF(ISNUMBER(HLOOKUP(B$1,Home!$D$12:$AB$82,$X5,FALSE)),HLOOKUP(B$1,Home!$D$12:$AB$82,$X5,FALSE),NA())</f>
        <v>#N/A</v>
      </c>
      <c r="C5" s="1311" t="e">
        <f>IF(ISNUMBER(HLOOKUP(C$1,Home!$D$12:$AB$82,$X5,FALSE)),HLOOKUP(C$1,Home!$D$12:$AB$82,$X5,FALSE),NA())</f>
        <v>#N/A</v>
      </c>
      <c r="D5" s="1311" t="e">
        <f>IF(ISNUMBER(HLOOKUP(D$1,Home!$D$12:$AB$82,$X5,FALSE)),HLOOKUP(D$1,Home!$D$12:$AB$82,$X5,FALSE),NA())</f>
        <v>#N/A</v>
      </c>
      <c r="E5" s="1311" t="e">
        <f>IF(ISNUMBER(HLOOKUP(E$1,Home!$D$12:$AB$82,$X5,FALSE)),HLOOKUP(E$1,Home!$D$12:$AB$82,$X5,FALSE),NA())</f>
        <v>#N/A</v>
      </c>
      <c r="F5" s="1311" t="e">
        <f>IF(ISNUMBER(HLOOKUP(F$1,Home!$D$12:$AB$82,$X5,FALSE)),HLOOKUP(F$1,Home!$D$12:$AB$82,$X5,FALSE),NA())</f>
        <v>#N/A</v>
      </c>
      <c r="G5" s="1311" t="e">
        <f>IF(ISNUMBER(HLOOKUP(G$1,Home!$D$12:$AB$82,$X5,FALSE)),HLOOKUP(G$1,Home!$D$12:$AB$82,$X5,FALSE),NA())</f>
        <v>#N/A</v>
      </c>
      <c r="H5" s="1311" t="e">
        <f>IF(ISNUMBER(HLOOKUP(H$1,Home!$D$12:$AB$82,$X5,FALSE)),HLOOKUP(H$1,Home!$D$12:$AB$82,$X5,FALSE),NA())</f>
        <v>#N/A</v>
      </c>
      <c r="I5" s="1311" t="e">
        <f>IF(ISNUMBER(HLOOKUP(I$1,Home!$D$12:$AB$82,$X5,FALSE)),HLOOKUP(I$1,Home!$D$12:$AB$82,$X5,FALSE),NA())</f>
        <v>#N/A</v>
      </c>
      <c r="J5" s="1311" t="e">
        <f>IF(ISNUMBER(HLOOKUP(J$1,Home!$D$12:$AB$82,$X5,FALSE)),HLOOKUP(J$1,Home!$D$12:$AB$82,$X5,FALSE),NA())</f>
        <v>#N/A</v>
      </c>
      <c r="K5" s="1311" t="e">
        <f>IF(ISNUMBER(HLOOKUP(K$1,Home!$D$12:$AB$82,$X5,FALSE)),HLOOKUP(K$1,Home!$D$12:$AB$82,$X5,FALSE),NA())</f>
        <v>#N/A</v>
      </c>
      <c r="L5" s="1311" t="e">
        <f>IF(ISNUMBER(HLOOKUP(L$1,Home!$D$12:$AB$82,$X5,FALSE)),HLOOKUP(L$1,Home!$D$12:$AB$82,$X5,FALSE),NA())</f>
        <v>#N/A</v>
      </c>
      <c r="M5" s="1311" t="e">
        <f>IF(ISNUMBER(HLOOKUP(M$1,Home!$D$12:$AB$82,$X5,FALSE)),HLOOKUP(M$1,Home!$D$12:$AB$82,$X5,FALSE),NA())</f>
        <v>#N/A</v>
      </c>
      <c r="N5" s="1311" t="e">
        <f>IF(ISNUMBER(HLOOKUP(N$1,Home!$D$12:$AB$82,$X5,FALSE)),HLOOKUP(N$1,Home!$D$12:$AB$82,$X5,FALSE),NA())</f>
        <v>#N/A</v>
      </c>
      <c r="O5" s="1312" t="e">
        <f>IF(ISNUMBER(HLOOKUP(O$1,Home!$D$12:$AB$82,$X5,FALSE)),HLOOKUP(O$1,Home!$D$12:$AB$82,$X5,FALSE),NA())</f>
        <v>#N/A</v>
      </c>
      <c r="P5" s="1311" t="e">
        <f>IF(ISNUMBER(HLOOKUP(P$1,Home!$D$12:$AB$82,$X5,FALSE)),HLOOKUP(P$1,Home!$D$12:$AB$82,$X5,FALSE),NA())</f>
        <v>#N/A</v>
      </c>
      <c r="Q5" s="1311" t="e">
        <f>IF(ISNUMBER(HLOOKUP(Q$1,Home!$D$12:$AB$82,$X5,FALSE)),HLOOKUP(Q$1,Home!$D$12:$AB$82,$X5,FALSE),NA())</f>
        <v>#N/A</v>
      </c>
      <c r="R5" s="1312" t="e">
        <f>IF(ISNUMBER(HLOOKUP(R$1,Home!$D$12:$AB$82,$X5,FALSE)),HLOOKUP(R$1,Home!$D$12:$AB$82,$X5,FALSE),NA())</f>
        <v>#N/A</v>
      </c>
      <c r="S5" s="1312" t="e">
        <f>IF(ISNUMBER(HLOOKUP(S$1,Home!$D$12:$AB$82,$X5,FALSE)),HLOOKUP(S$1,Home!$D$12:$AB$82,$X5,FALSE),NA())</f>
        <v>#N/A</v>
      </c>
      <c r="T5" s="1311" t="e">
        <f>IF(ISNUMBER(HLOOKUP(T$1,Home!$D$12:$AB$82,$X5,FALSE)),HLOOKUP(T$1,Home!$D$12:$AB$82,$X5,FALSE),NA())</f>
        <v>#N/A</v>
      </c>
      <c r="U5" s="1311" t="e">
        <f>IF(ISNUMBER(HLOOKUP(U$1,Home!$D$12:$AB$82,$X5,FALSE)),HLOOKUP(U$1,Home!$D$12:$AB$82,$X5,FALSE),NA())</f>
        <v>#N/A</v>
      </c>
      <c r="V5" s="1311" t="e">
        <f>IF(ISNUMBER(HLOOKUP(V$1,Home!$D$12:$AB$82,$X5,FALSE)),HLOOKUP(V$1,Home!$D$12:$AB$82,$X5,FALSE),NA())</f>
        <v>#N/A</v>
      </c>
      <c r="W5" s="1311" t="e">
        <f>IF(ISNUMBER(HLOOKUP(W$1,Home!$D$12:$AB$82,$X5,FALSE)),HLOOKUP(W$1,Home!$D$12:$AB$82,$X5,FALSE),NA())</f>
        <v>#N/A</v>
      </c>
      <c r="X5" s="1308" t="e">
        <f>VLOOKUP(A5,Home!C:BB,52,FALSE)</f>
        <v>#N/A</v>
      </c>
      <c r="Y5" s="1314" t="e">
        <f t="array" ref="Y5">SLOPE(IF(ISNA($B5:$W5),"",$B5:$W5),IF(ISNA($B$2:$W$2),"",$B$2:$W$2))</f>
        <v>#DIV/0!</v>
      </c>
      <c r="Z5" s="1314" t="e">
        <f t="array" ref="Z5">INTERCEPT(IF(ISNA($B5:$W5),"",$B5:$W5),IF(ISNA($B$2:$W$2),"",$B$2:$W$2))</f>
        <v>#DIV/0!</v>
      </c>
      <c r="AA5" s="1314" t="e">
        <f t="array" ref="AA5">RSQ(IF(ISNA($B5:$W5),"",$B5:$W5),IF(ISNA($B$2:$W$2),"",$B$2:$W$2))</f>
        <v>#DIV/0!</v>
      </c>
      <c r="AB5" s="1315" t="s">
        <v>1256</v>
      </c>
      <c r="AC5" s="1315" t="s">
        <v>947</v>
      </c>
    </row>
    <row r="6" spans="1:29" ht="24" x14ac:dyDescent="0.2">
      <c r="A6" s="1310" t="str">
        <f>IF(Sheet1!$C$3="Annual",ChartLabels!AB6,ChartLabels!AC6)</f>
        <v>Children being 'Early Helped' as at 31st March, Rate per 10,000 0-17 Year Olds</v>
      </c>
      <c r="B6" s="1311" t="e">
        <f>IF(ISNUMBER(HLOOKUP(B$1,Home!$D$12:$AB$82,$X6,FALSE)),HLOOKUP(B$1,Home!$D$12:$AB$82,$X6,FALSE),NA())</f>
        <v>#N/A</v>
      </c>
      <c r="C6" s="1311" t="e">
        <f>IF(ISNUMBER(HLOOKUP(C$1,Home!$D$12:$AB$82,$X6,FALSE)),HLOOKUP(C$1,Home!$D$12:$AB$82,$X6,FALSE),NA())</f>
        <v>#N/A</v>
      </c>
      <c r="D6" s="1311" t="e">
        <f>IF(ISNUMBER(HLOOKUP(D$1,Home!$D$12:$AB$82,$X6,FALSE)),HLOOKUP(D$1,Home!$D$12:$AB$82,$X6,FALSE),NA())</f>
        <v>#N/A</v>
      </c>
      <c r="E6" s="1311" t="e">
        <f>IF(ISNUMBER(HLOOKUP(E$1,Home!$D$12:$AB$82,$X6,FALSE)),HLOOKUP(E$1,Home!$D$12:$AB$82,$X6,FALSE),NA())</f>
        <v>#N/A</v>
      </c>
      <c r="F6" s="1311" t="e">
        <f>IF(ISNUMBER(HLOOKUP(F$1,Home!$D$12:$AB$82,$X6,FALSE)),HLOOKUP(F$1,Home!$D$12:$AB$82,$X6,FALSE),NA())</f>
        <v>#N/A</v>
      </c>
      <c r="G6" s="1311" t="e">
        <f>IF(ISNUMBER(HLOOKUP(G$1,Home!$D$12:$AB$82,$X6,FALSE)),HLOOKUP(G$1,Home!$D$12:$AB$82,$X6,FALSE),NA())</f>
        <v>#N/A</v>
      </c>
      <c r="H6" s="1311" t="e">
        <f>IF(ISNUMBER(HLOOKUP(H$1,Home!$D$12:$AB$82,$X6,FALSE)),HLOOKUP(H$1,Home!$D$12:$AB$82,$X6,FALSE),NA())</f>
        <v>#N/A</v>
      </c>
      <c r="I6" s="1311" t="e">
        <f>IF(ISNUMBER(HLOOKUP(I$1,Home!$D$12:$AB$82,$X6,FALSE)),HLOOKUP(I$1,Home!$D$12:$AB$82,$X6,FALSE),NA())</f>
        <v>#N/A</v>
      </c>
      <c r="J6" s="1311" t="e">
        <f>IF(ISNUMBER(HLOOKUP(J$1,Home!$D$12:$AB$82,$X6,FALSE)),HLOOKUP(J$1,Home!$D$12:$AB$82,$X6,FALSE),NA())</f>
        <v>#N/A</v>
      </c>
      <c r="K6" s="1311" t="e">
        <f>IF(ISNUMBER(HLOOKUP(K$1,Home!$D$12:$AB$82,$X6,FALSE)),HLOOKUP(K$1,Home!$D$12:$AB$82,$X6,FALSE),NA())</f>
        <v>#N/A</v>
      </c>
      <c r="L6" s="1311" t="e">
        <f>IF(ISNUMBER(HLOOKUP(L$1,Home!$D$12:$AB$82,$X6,FALSE)),HLOOKUP(L$1,Home!$D$12:$AB$82,$X6,FALSE),NA())</f>
        <v>#N/A</v>
      </c>
      <c r="M6" s="1311" t="e">
        <f>IF(ISNUMBER(HLOOKUP(M$1,Home!$D$12:$AB$82,$X6,FALSE)),HLOOKUP(M$1,Home!$D$12:$AB$82,$X6,FALSE),NA())</f>
        <v>#N/A</v>
      </c>
      <c r="N6" s="1311" t="e">
        <f>IF(ISNUMBER(HLOOKUP(N$1,Home!$D$12:$AB$82,$X6,FALSE)),HLOOKUP(N$1,Home!$D$12:$AB$82,$X6,FALSE),NA())</f>
        <v>#N/A</v>
      </c>
      <c r="O6" s="1312" t="e">
        <f>IF(ISNUMBER(HLOOKUP(O$1,Home!$D$12:$AB$82,$X6,FALSE)),HLOOKUP(O$1,Home!$D$12:$AB$82,$X6,FALSE),NA())</f>
        <v>#N/A</v>
      </c>
      <c r="P6" s="1311" t="e">
        <f>IF(ISNUMBER(HLOOKUP(P$1,Home!$D$12:$AB$82,$X6,FALSE)),HLOOKUP(P$1,Home!$D$12:$AB$82,$X6,FALSE),NA())</f>
        <v>#N/A</v>
      </c>
      <c r="Q6" s="1311" t="e">
        <f>IF(ISNUMBER(HLOOKUP(Q$1,Home!$D$12:$AB$82,$X6,FALSE)),HLOOKUP(Q$1,Home!$D$12:$AB$82,$X6,FALSE),NA())</f>
        <v>#N/A</v>
      </c>
      <c r="R6" s="1312" t="e">
        <f>IF(ISNUMBER(HLOOKUP(R$1,Home!$D$12:$AB$82,$X6,FALSE)),HLOOKUP(R$1,Home!$D$12:$AB$82,$X6,FALSE),NA())</f>
        <v>#N/A</v>
      </c>
      <c r="S6" s="1312" t="e">
        <f>IF(ISNUMBER(HLOOKUP(S$1,Home!$D$12:$AB$82,$X6,FALSE)),HLOOKUP(S$1,Home!$D$12:$AB$82,$X6,FALSE),NA())</f>
        <v>#N/A</v>
      </c>
      <c r="T6" s="1311" t="e">
        <f>IF(ISNUMBER(HLOOKUP(T$1,Home!$D$12:$AB$82,$X6,FALSE)),HLOOKUP(T$1,Home!$D$12:$AB$82,$X6,FALSE),NA())</f>
        <v>#N/A</v>
      </c>
      <c r="U6" s="1311" t="e">
        <f>IF(ISNUMBER(HLOOKUP(U$1,Home!$D$12:$AB$82,$X6,FALSE)),HLOOKUP(U$1,Home!$D$12:$AB$82,$X6,FALSE),NA())</f>
        <v>#N/A</v>
      </c>
      <c r="V6" s="1311" t="e">
        <f>IF(ISNUMBER(HLOOKUP(V$1,Home!$D$12:$AB$82,$X6,FALSE)),HLOOKUP(V$1,Home!$D$12:$AB$82,$X6,FALSE),NA())</f>
        <v>#N/A</v>
      </c>
      <c r="W6" s="1311" t="e">
        <f>IF(ISNUMBER(HLOOKUP(W$1,Home!$D$12:$AB$82,$X6,FALSE)),HLOOKUP(W$1,Home!$D$12:$AB$82,$X6,FALSE),NA())</f>
        <v>#N/A</v>
      </c>
      <c r="X6" s="1308" t="e">
        <f>VLOOKUP(A6,Home!C:BB,52,FALSE)</f>
        <v>#N/A</v>
      </c>
      <c r="Y6" s="1314" t="e">
        <f t="array" ref="Y6">SLOPE(IF(ISNA($B6:$W6),"",$B6:$W6),IF(ISNA($B$2:$W$2),"",$B$2:$W$2))</f>
        <v>#DIV/0!</v>
      </c>
      <c r="Z6" s="1314" t="e">
        <f t="array" ref="Z6">INTERCEPT(IF(ISNA($B6:$W6),"",$B6:$W6),IF(ISNA($B$2:$W$2),"",$B$2:$W$2))</f>
        <v>#DIV/0!</v>
      </c>
      <c r="AA6" s="1314" t="e">
        <f t="array" ref="AA6">RSQ(IF(ISNA($B6:$W6),"",$B6:$W6),IF(ISNA($B$2:$W$2),"",$B$2:$W$2))</f>
        <v>#DIV/0!</v>
      </c>
      <c r="AB6" s="1310" t="s">
        <v>1257</v>
      </c>
      <c r="AC6" s="1310" t="s">
        <v>948</v>
      </c>
    </row>
    <row r="7" spans="1:29" ht="36" x14ac:dyDescent="0.2">
      <c r="A7" s="1310" t="str">
        <f>IF(Sheet1!$C$3="Annual",ChartLabels!AB7,ChartLabels!AC7)</f>
        <v>Referrals received to Children's Social Care (CSC) during the Year ending 31st March, Rate per 10,000 0-17 Year Olds</v>
      </c>
      <c r="B7" s="1311">
        <f>IF(ISNUMBER(HLOOKUP(B$1,Home!$D$12:$AB$82,$X7,FALSE)),HLOOKUP(B$1,Home!$D$12:$AB$82,$X7,FALSE),NA())</f>
        <v>598.23943661971828</v>
      </c>
      <c r="C7" s="1311">
        <f>IF(ISNUMBER(HLOOKUP(C$1,Home!$D$12:$AB$82,$X7,FALSE)),HLOOKUP(C$1,Home!$D$12:$AB$82,$X7,FALSE),NA())</f>
        <v>709.94035785288281</v>
      </c>
      <c r="D7" s="1311">
        <f>IF(ISNUMBER(HLOOKUP(D$1,Home!$D$12:$AB$82,$X7,FALSE)),HLOOKUP(D$1,Home!$D$12:$AB$82,$X7,FALSE),NA())</f>
        <v>665.63245823389013</v>
      </c>
      <c r="E7" s="1311">
        <f>IF(ISNUMBER(HLOOKUP(E$1,Home!$D$12:$AB$82,$X7,FALSE)),HLOOKUP(E$1,Home!$D$12:$AB$82,$X7,FALSE),NA())</f>
        <v>392.00376293508936</v>
      </c>
      <c r="F7" s="1311">
        <f>IF(ISNUMBER(HLOOKUP(F$1,Home!$D$12:$AB$82,$X7,FALSE)),HLOOKUP(F$1,Home!$D$12:$AB$82,$X7,FALSE),NA())</f>
        <v>711.22054168132252</v>
      </c>
      <c r="G7" s="1311">
        <f>IF(ISNUMBER(HLOOKUP(G$1,Home!$D$12:$AB$82,$X7,FALSE)),HLOOKUP(G$1,Home!$D$12:$AB$82,$X7,FALSE),NA())</f>
        <v>1080.9716599190283</v>
      </c>
      <c r="H7" s="1311">
        <f>IF(ISNUMBER(HLOOKUP(H$1,Home!$D$12:$AB$82,$X7,FALSE)),HLOOKUP(H$1,Home!$D$12:$AB$82,$X7,FALSE),NA())</f>
        <v>650.05817335660277</v>
      </c>
      <c r="I7" s="1311">
        <f>IF(ISNUMBER(HLOOKUP(I$1,Home!$D$12:$AB$82,$X7,FALSE)),HLOOKUP(I$1,Home!$D$12:$AB$82,$X7,FALSE),NA())</f>
        <v>754.46153846153845</v>
      </c>
      <c r="J7" s="1311">
        <f>IF(ISNUMBER(HLOOKUP(J$1,Home!$D$12:$AB$82,$X7,FALSE)),HLOOKUP(J$1,Home!$D$12:$AB$82,$X7,FALSE),NA())</f>
        <v>449.12790697674421</v>
      </c>
      <c r="K7" s="1311">
        <f>IF(ISNUMBER(HLOOKUP(K$1,Home!$D$12:$AB$82,$X7,FALSE)),HLOOKUP(K$1,Home!$D$12:$AB$82,$X7,FALSE),NA())</f>
        <v>513.48391512662556</v>
      </c>
      <c r="L7" s="1311">
        <f>IF(ISNUMBER(HLOOKUP(L$1,Home!$D$12:$AB$82,$X7,FALSE)),HLOOKUP(L$1,Home!$D$12:$AB$82,$X7,FALSE),NA())</f>
        <v>608.21917808219177</v>
      </c>
      <c r="M7" s="1311">
        <f>IF(ISNUMBER(HLOOKUP(M$1,Home!$D$12:$AB$82,$X7,FALSE)),HLOOKUP(M$1,Home!$D$12:$AB$82,$X7,FALSE),NA())</f>
        <v>692.97297297297291</v>
      </c>
      <c r="N7" s="1311">
        <f>IF(ISNUMBER(HLOOKUP(N$1,Home!$D$12:$AB$82,$X7,FALSE)),HLOOKUP(N$1,Home!$D$12:$AB$82,$X7,FALSE),NA())</f>
        <v>589.3271461716937</v>
      </c>
      <c r="O7" s="1312" t="e">
        <f>IF(ISNUMBER(HLOOKUP(O$1,Home!$D$12:$AB$82,$X7,FALSE)),HLOOKUP(O$1,Home!$D$12:$AB$82,$X7,FALSE),NA())</f>
        <v>#N/A</v>
      </c>
      <c r="P7" s="1311">
        <f>IF(ISNUMBER(HLOOKUP(P$1,Home!$D$12:$AB$82,$X7,FALSE)),HLOOKUP(P$1,Home!$D$12:$AB$82,$X7,FALSE),NA())</f>
        <v>943.46978557504872</v>
      </c>
      <c r="Q7" s="1311">
        <f>IF(ISNUMBER(HLOOKUP(Q$1,Home!$D$12:$AB$82,$X7,FALSE)),HLOOKUP(Q$1,Home!$D$12:$AB$82,$X7,FALSE),NA())</f>
        <v>322.93404094010617</v>
      </c>
      <c r="R7" s="1312" t="e">
        <f>IF(ISNUMBER(HLOOKUP(R$1,Home!$D$12:$AB$82,$X7,FALSE)),HLOOKUP(R$1,Home!$D$12:$AB$82,$X7,FALSE),NA())</f>
        <v>#N/A</v>
      </c>
      <c r="S7" s="1312" t="e">
        <f>IF(ISNUMBER(HLOOKUP(S$1,Home!$D$12:$AB$82,$X7,FALSE)),HLOOKUP(S$1,Home!$D$12:$AB$82,$X7,FALSE),NA())</f>
        <v>#N/A</v>
      </c>
      <c r="T7" s="1311">
        <f>IF(ISNUMBER(HLOOKUP(T$1,Home!$D$12:$AB$82,$X7,FALSE)),HLOOKUP(T$1,Home!$D$12:$AB$82,$X7,FALSE),NA())</f>
        <v>464.60674157303373</v>
      </c>
      <c r="U7" s="1311">
        <f>IF(ISNUMBER(HLOOKUP(U$1,Home!$D$12:$AB$82,$X7,FALSE)),HLOOKUP(U$1,Home!$D$12:$AB$82,$X7,FALSE),NA())</f>
        <v>567.4616695059625</v>
      </c>
      <c r="V7" s="1311">
        <f>IF(ISNUMBER(HLOOKUP(V$1,Home!$D$12:$AB$82,$X7,FALSE)),HLOOKUP(V$1,Home!$D$12:$AB$82,$X7,FALSE),NA())</f>
        <v>390.77809798270891</v>
      </c>
      <c r="W7" s="1311">
        <f>IF(ISNUMBER(HLOOKUP(W$1,Home!$D$12:$AB$82,$X7,FALSE)),HLOOKUP(W$1,Home!$D$12:$AB$82,$X7,FALSE),NA())</f>
        <v>439.10891089108907</v>
      </c>
      <c r="X7" s="1308">
        <f>VLOOKUP(A7,Home!C:BB,52,FALSE)</f>
        <v>4</v>
      </c>
      <c r="Y7" s="1314">
        <f t="array" ref="Y7">SLOPE(IF(ISNA($B7:$W7),"",$B7:$W7),IF(ISNA($B$2:$W$2),"",$B$2:$W$2))</f>
        <v>24.406559196216019</v>
      </c>
      <c r="Z7" s="1314">
        <f t="array" ref="Z7">INTERCEPT(IF(ISNA($B7:$W7),"",$B7:$W7),IF(ISNA($B$2:$W$2),"",$B$2:$W$2))</f>
        <v>288.4962626588524</v>
      </c>
      <c r="AA7" s="1314">
        <f t="array" ref="AA7">RSQ(IF(ISNA($B7:$W7),"",$B7:$W7),IF(ISNA($B$2:$W$2),"",$B$2:$W$2))</f>
        <v>0.36512427598833896</v>
      </c>
      <c r="AB7" s="1315" t="s">
        <v>1258</v>
      </c>
      <c r="AC7" s="1315" t="s">
        <v>949</v>
      </c>
    </row>
    <row r="8" spans="1:29" ht="24" x14ac:dyDescent="0.2">
      <c r="A8" s="1310" t="str">
        <f>IF(Sheet1!$C$3="Annual",ChartLabels!AB8,ChartLabels!AC8)</f>
        <v>Re-referrals to CSC during the Year ending 31st March, Rate per 10,000 0-17 Year Olds</v>
      </c>
      <c r="B8" s="1311">
        <f>IF(ISNUMBER(HLOOKUP(B$1,Home!$D$12:$AB$82,$X8,FALSE)),HLOOKUP(B$1,Home!$D$12:$AB$82,$X8,FALSE),NA())</f>
        <v>152.81690140845072</v>
      </c>
      <c r="C8" s="1311">
        <f>IF(ISNUMBER(HLOOKUP(C$1,Home!$D$12:$AB$82,$X8,FALSE)),HLOOKUP(C$1,Home!$D$12:$AB$82,$X8,FALSE),NA())</f>
        <v>217.49502982107353</v>
      </c>
      <c r="D8" s="1311">
        <f>IF(ISNUMBER(HLOOKUP(D$1,Home!$D$12:$AB$82,$X8,FALSE)),HLOOKUP(D$1,Home!$D$12:$AB$82,$X8,FALSE),NA())</f>
        <v>173.42879872712805</v>
      </c>
      <c r="E8" s="1311">
        <f>IF(ISNUMBER(HLOOKUP(E$1,Home!$D$12:$AB$82,$X8,FALSE)),HLOOKUP(E$1,Home!$D$12:$AB$82,$X8,FALSE),NA())</f>
        <v>71.589840075258692</v>
      </c>
      <c r="F8" s="1311">
        <f>IF(ISNUMBER(HLOOKUP(F$1,Home!$D$12:$AB$82,$X8,FALSE)),HLOOKUP(F$1,Home!$D$12:$AB$82,$X8,FALSE),NA())</f>
        <v>229.89799507562435</v>
      </c>
      <c r="G8" s="1311">
        <f>IF(ISNUMBER(HLOOKUP(G$1,Home!$D$12:$AB$82,$X8,FALSE)),HLOOKUP(G$1,Home!$D$12:$AB$82,$X8,FALSE),NA())</f>
        <v>382.99595141700405</v>
      </c>
      <c r="H8" s="1311">
        <f>IF(ISNUMBER(HLOOKUP(H$1,Home!$D$12:$AB$82,$X8,FALSE)),HLOOKUP(H$1,Home!$D$12:$AB$82,$X8,FALSE),NA())</f>
        <v>185.04944735311227</v>
      </c>
      <c r="I8" s="1311">
        <f>IF(ISNUMBER(HLOOKUP(I$1,Home!$D$12:$AB$82,$X8,FALSE)),HLOOKUP(I$1,Home!$D$12:$AB$82,$X8,FALSE),NA())</f>
        <v>187.69230769230771</v>
      </c>
      <c r="J8" s="1311">
        <f>IF(ISNUMBER(HLOOKUP(J$1,Home!$D$12:$AB$82,$X8,FALSE)),HLOOKUP(J$1,Home!$D$12:$AB$82,$X8,FALSE),NA())</f>
        <v>75.726744186046517</v>
      </c>
      <c r="K8" s="1311">
        <f>IF(ISNUMBER(HLOOKUP(K$1,Home!$D$12:$AB$82,$X8,FALSE)),HLOOKUP(K$1,Home!$D$12:$AB$82,$X8,FALSE),NA())</f>
        <v>90.691307323750863</v>
      </c>
      <c r="L8" s="1311">
        <f>IF(ISNUMBER(HLOOKUP(L$1,Home!$D$12:$AB$82,$X8,FALSE)),HLOOKUP(L$1,Home!$D$12:$AB$82,$X8,FALSE),NA())</f>
        <v>144.06392694063928</v>
      </c>
      <c r="M8" s="1311">
        <f>IF(ISNUMBER(HLOOKUP(M$1,Home!$D$12:$AB$82,$X8,FALSE)),HLOOKUP(M$1,Home!$D$12:$AB$82,$X8,FALSE),NA())</f>
        <v>182.70270270270271</v>
      </c>
      <c r="N8" s="1311">
        <f>IF(ISNUMBER(HLOOKUP(N$1,Home!$D$12:$AB$82,$X8,FALSE)),HLOOKUP(N$1,Home!$D$12:$AB$82,$X8,FALSE),NA())</f>
        <v>99.535962877030158</v>
      </c>
      <c r="O8" s="1312" t="e">
        <f>IF(ISNUMBER(HLOOKUP(O$1,Home!$D$12:$AB$82,$X8,FALSE)),HLOOKUP(O$1,Home!$D$12:$AB$82,$X8,FALSE),NA())</f>
        <v>#N/A</v>
      </c>
      <c r="P8" s="1311">
        <f>IF(ISNUMBER(HLOOKUP(P$1,Home!$D$12:$AB$82,$X8,FALSE)),HLOOKUP(P$1,Home!$D$12:$AB$82,$X8,FALSE),NA())</f>
        <v>216.17933723196879</v>
      </c>
      <c r="Q8" s="1311">
        <f>IF(ISNUMBER(HLOOKUP(Q$1,Home!$D$12:$AB$82,$X8,FALSE)),HLOOKUP(Q$1,Home!$D$12:$AB$82,$X8,FALSE),NA())</f>
        <v>69.446550416982561</v>
      </c>
      <c r="R8" s="1312" t="e">
        <f>IF(ISNUMBER(HLOOKUP(R$1,Home!$D$12:$AB$82,$X8,FALSE)),HLOOKUP(R$1,Home!$D$12:$AB$82,$X8,FALSE),NA())</f>
        <v>#N/A</v>
      </c>
      <c r="S8" s="1312" t="e">
        <f>IF(ISNUMBER(HLOOKUP(S$1,Home!$D$12:$AB$82,$X8,FALSE)),HLOOKUP(S$1,Home!$D$12:$AB$82,$X8,FALSE),NA())</f>
        <v>#N/A</v>
      </c>
      <c r="T8" s="1311">
        <f>IF(ISNUMBER(HLOOKUP(T$1,Home!$D$12:$AB$82,$X8,FALSE)),HLOOKUP(T$1,Home!$D$12:$AB$82,$X8,FALSE),NA())</f>
        <v>124.438202247191</v>
      </c>
      <c r="U8" s="1311">
        <f>IF(ISNUMBER(HLOOKUP(U$1,Home!$D$12:$AB$82,$X8,FALSE)),HLOOKUP(U$1,Home!$D$12:$AB$82,$X8,FALSE),NA())</f>
        <v>150.70982396365702</v>
      </c>
      <c r="V8" s="1311">
        <f>IF(ISNUMBER(HLOOKUP(V$1,Home!$D$12:$AB$82,$X8,FALSE)),HLOOKUP(V$1,Home!$D$12:$AB$82,$X8,FALSE),NA())</f>
        <v>61.671469740634002</v>
      </c>
      <c r="W8" s="1311">
        <f>IF(ISNUMBER(HLOOKUP(W$1,Home!$D$12:$AB$82,$X8,FALSE)),HLOOKUP(W$1,Home!$D$12:$AB$82,$X8,FALSE),NA())</f>
        <v>107.92079207920791</v>
      </c>
      <c r="X8" s="1308">
        <f>VLOOKUP(A8,Home!C:BB,52,FALSE)</f>
        <v>16</v>
      </c>
      <c r="Y8" s="1314">
        <f t="array" ref="Y8">SLOPE(IF(ISNA($B8:$W8),"",$B8:$W8),IF(ISNA($B$2:$W$2),"",$B$2:$W$2))</f>
        <v>7.2316310294939825</v>
      </c>
      <c r="Z8" s="1314">
        <f t="array" ref="Z8">INTERCEPT(IF(ISNA($B8:$W8),"",$B8:$W8),IF(ISNA($B$2:$W$2),"",$B$2:$W$2))</f>
        <v>59.353470713340286</v>
      </c>
      <c r="AA8" s="1314">
        <f t="array" ref="AA8">RSQ(IF(ISNA($B8:$W8),"",$B8:$W8),IF(ISNA($B$2:$W$2),"",$B$2:$W$2))</f>
        <v>0.19324012219105882</v>
      </c>
      <c r="AB8" s="1315" t="s">
        <v>1259</v>
      </c>
      <c r="AC8" s="1315" t="s">
        <v>950</v>
      </c>
    </row>
    <row r="9" spans="1:29" ht="24" x14ac:dyDescent="0.2">
      <c r="A9" s="1310" t="str">
        <f>IF(Sheet1!$C$3="Annual",ChartLabels!AB9,ChartLabels!AC9)</f>
        <v>CSC Single Assessments Completed during the Year ending 31st March, Rate per 10,000 0-17 Year Olds</v>
      </c>
      <c r="B9" s="1311">
        <f>IF(ISNUMBER(HLOOKUP(B$1,Home!$D$12:$AB$82,$X9,FALSE)),HLOOKUP(B$1,Home!$D$12:$AB$82,$X9,FALSE),NA())</f>
        <v>539.08450704225356</v>
      </c>
      <c r="C9" s="1311">
        <f>IF(ISNUMBER(HLOOKUP(C$1,Home!$D$12:$AB$82,$X9,FALSE)),HLOOKUP(C$1,Home!$D$12:$AB$82,$X9,FALSE),NA())</f>
        <v>547.51491053677933</v>
      </c>
      <c r="D9" s="1311">
        <f>IF(ISNUMBER(HLOOKUP(D$1,Home!$D$12:$AB$82,$X9,FALSE)),HLOOKUP(D$1,Home!$D$12:$AB$82,$X9,FALSE),NA())</f>
        <v>646.14160700079549</v>
      </c>
      <c r="E9" s="1311">
        <f>IF(ISNUMBER(HLOOKUP(E$1,Home!$D$12:$AB$82,$X9,FALSE)),HLOOKUP(E$1,Home!$D$12:$AB$82,$X9,FALSE),NA())</f>
        <v>326.43461900282222</v>
      </c>
      <c r="F9" s="1311">
        <f>IF(ISNUMBER(HLOOKUP(F$1,Home!$D$12:$AB$82,$X9,FALSE)),HLOOKUP(F$1,Home!$D$12:$AB$82,$X9,FALSE),NA())</f>
        <v>693.35209285965527</v>
      </c>
      <c r="G9" s="1311">
        <f>IF(ISNUMBER(HLOOKUP(G$1,Home!$D$12:$AB$82,$X9,FALSE)),HLOOKUP(G$1,Home!$D$12:$AB$82,$X9,FALSE),NA())</f>
        <v>1274.8987854251013</v>
      </c>
      <c r="H9" s="1311">
        <f>IF(ISNUMBER(HLOOKUP(H$1,Home!$D$12:$AB$82,$X9,FALSE)),HLOOKUP(H$1,Home!$D$12:$AB$82,$X9,FALSE),NA())</f>
        <v>601.68702734147757</v>
      </c>
      <c r="I9" s="1311">
        <f>IF(ISNUMBER(HLOOKUP(I$1,Home!$D$12:$AB$82,$X9,FALSE)),HLOOKUP(I$1,Home!$D$12:$AB$82,$X9,FALSE),NA())</f>
        <v>733.69230769230774</v>
      </c>
      <c r="J9" s="1311">
        <f>IF(ISNUMBER(HLOOKUP(J$1,Home!$D$12:$AB$82,$X9,FALSE)),HLOOKUP(J$1,Home!$D$12:$AB$82,$X9,FALSE),NA())</f>
        <v>443.60465116279073</v>
      </c>
      <c r="K9" s="1311">
        <f>IF(ISNUMBER(HLOOKUP(K$1,Home!$D$12:$AB$82,$X9,FALSE)),HLOOKUP(K$1,Home!$D$12:$AB$82,$X9,FALSE),NA())</f>
        <v>480.56125941136207</v>
      </c>
      <c r="L9" s="1311">
        <f>IF(ISNUMBER(HLOOKUP(L$1,Home!$D$12:$AB$82,$X9,FALSE)),HLOOKUP(L$1,Home!$D$12:$AB$82,$X9,FALSE),NA())</f>
        <v>591.32420091324207</v>
      </c>
      <c r="M9" s="1311">
        <f>IF(ISNUMBER(HLOOKUP(M$1,Home!$D$12:$AB$82,$X9,FALSE)),HLOOKUP(M$1,Home!$D$12:$AB$82,$X9,FALSE),NA())</f>
        <v>726.75675675675677</v>
      </c>
      <c r="N9" s="1311">
        <f>IF(ISNUMBER(HLOOKUP(N$1,Home!$D$12:$AB$82,$X9,FALSE)),HLOOKUP(N$1,Home!$D$12:$AB$82,$X9,FALSE),NA())</f>
        <v>576.33410672853836</v>
      </c>
      <c r="O9" s="1312" t="e">
        <f>IF(ISNUMBER(HLOOKUP(O$1,Home!$D$12:$AB$82,$X9,FALSE)),HLOOKUP(O$1,Home!$D$12:$AB$82,$X9,FALSE),NA())</f>
        <v>#N/A</v>
      </c>
      <c r="P9" s="1311">
        <f>IF(ISNUMBER(HLOOKUP(P$1,Home!$D$12:$AB$82,$X9,FALSE)),HLOOKUP(P$1,Home!$D$12:$AB$82,$X9,FALSE),NA())</f>
        <v>897.0760233918129</v>
      </c>
      <c r="Q9" s="1311">
        <f>IF(ISNUMBER(HLOOKUP(Q$1,Home!$D$12:$AB$82,$X9,FALSE)),HLOOKUP(Q$1,Home!$D$12:$AB$82,$X9,FALSE),NA())</f>
        <v>330.70507960576197</v>
      </c>
      <c r="R9" s="1312" t="e">
        <f>IF(ISNUMBER(HLOOKUP(R$1,Home!$D$12:$AB$82,$X9,FALSE)),HLOOKUP(R$1,Home!$D$12:$AB$82,$X9,FALSE),NA())</f>
        <v>#N/A</v>
      </c>
      <c r="S9" s="1312" t="e">
        <f>IF(ISNUMBER(HLOOKUP(S$1,Home!$D$12:$AB$82,$X9,FALSE)),HLOOKUP(S$1,Home!$D$12:$AB$82,$X9,FALSE),NA())</f>
        <v>#N/A</v>
      </c>
      <c r="T9" s="1311">
        <f>IF(ISNUMBER(HLOOKUP(T$1,Home!$D$12:$AB$82,$X9,FALSE)),HLOOKUP(T$1,Home!$D$12:$AB$82,$X9,FALSE),NA())</f>
        <v>527.52808988764048</v>
      </c>
      <c r="U9" s="1311">
        <f>IF(ISNUMBER(HLOOKUP(U$1,Home!$D$12:$AB$82,$X9,FALSE)),HLOOKUP(U$1,Home!$D$12:$AB$82,$X9,FALSE),NA())</f>
        <v>593.86712095400344</v>
      </c>
      <c r="V9" s="1311">
        <f>IF(ISNUMBER(HLOOKUP(V$1,Home!$D$12:$AB$82,$X9,FALSE)),HLOOKUP(V$1,Home!$D$12:$AB$82,$X9,FALSE),NA())</f>
        <v>348.99135446685881</v>
      </c>
      <c r="W9" s="1311">
        <f>IF(ISNUMBER(HLOOKUP(W$1,Home!$D$12:$AB$82,$X9,FALSE)),HLOOKUP(W$1,Home!$D$12:$AB$82,$X9,FALSE),NA())</f>
        <v>391.83168316831683</v>
      </c>
      <c r="X9" s="1308">
        <f>VLOOKUP(A9,Home!C:BB,52,FALSE)</f>
        <v>18</v>
      </c>
      <c r="Y9" s="1314">
        <f t="array" ref="Y9">SLOPE(IF(ISNA($B9:$W9),"",$B9:$W9),IF(ISNA($B$2:$W$2),"",$B$2:$W$2))</f>
        <v>25.619252255173677</v>
      </c>
      <c r="Z9" s="1314">
        <f t="array" ref="Z9">INTERCEPT(IF(ISNA($B9:$W9),"",$B9:$W9),IF(ISNA($B$2:$W$2),"",$B$2:$W$2))</f>
        <v>258.29283806121771</v>
      </c>
      <c r="AA9" s="1314">
        <f t="array" ref="AA9">RSQ(IF(ISNA($B9:$W9),"",$B9:$W9),IF(ISNA($B$2:$W$2),"",$B$2:$W$2))</f>
        <v>0.29368219158109193</v>
      </c>
      <c r="AB9" s="1310" t="s">
        <v>1260</v>
      </c>
      <c r="AC9" s="1310" t="s">
        <v>951</v>
      </c>
    </row>
    <row r="10" spans="1:29" ht="24" x14ac:dyDescent="0.2">
      <c r="A10" s="1310" t="str">
        <f>IF(Sheet1!$C$3="Annual",ChartLabels!AB10,ChartLabels!AC10)</f>
        <v>Children in Need at 31st March, Rate per 10,000 0-17 Year Olds</v>
      </c>
      <c r="B10" s="1311">
        <f>IF(ISNUMBER(HLOOKUP(B$1,Home!$D$12:$AB$82,$X10,FALSE)),HLOOKUP(B$1,Home!$D$12:$AB$82,$X10,FALSE),NA())</f>
        <v>309.50704225352109</v>
      </c>
      <c r="C10" s="1311">
        <f>IF(ISNUMBER(HLOOKUP(C$1,Home!$D$12:$AB$82,$X10,FALSE)),HLOOKUP(C$1,Home!$D$12:$AB$82,$X10,FALSE),NA())</f>
        <v>360.83499005964211</v>
      </c>
      <c r="D10" s="1311">
        <f>IF(ISNUMBER(HLOOKUP(D$1,Home!$D$12:$AB$82,$X10,FALSE)),HLOOKUP(D$1,Home!$D$12:$AB$82,$X10,FALSE),NA())</f>
        <v>264.75735879077166</v>
      </c>
      <c r="E10" s="1311">
        <f>IF(ISNUMBER(HLOOKUP(E$1,Home!$D$12:$AB$82,$X10,FALSE)),HLOOKUP(E$1,Home!$D$12:$AB$82,$X10,FALSE),NA())</f>
        <v>308.18438381937909</v>
      </c>
      <c r="F10" s="1311">
        <f>IF(ISNUMBER(HLOOKUP(F$1,Home!$D$12:$AB$82,$X10,FALSE)),HLOOKUP(F$1,Home!$D$12:$AB$82,$X10,FALSE),NA())</f>
        <v>291.69890960253252</v>
      </c>
      <c r="G10" s="1311">
        <f>IF(ISNUMBER(HLOOKUP(G$1,Home!$D$12:$AB$82,$X10,FALSE)),HLOOKUP(G$1,Home!$D$12:$AB$82,$X10,FALSE),NA())</f>
        <v>472.87449392712551</v>
      </c>
      <c r="H10" s="1311">
        <f>IF(ISNUMBER(HLOOKUP(H$1,Home!$D$12:$AB$82,$X10,FALSE)),HLOOKUP(H$1,Home!$D$12:$AB$82,$X10,FALSE),NA())</f>
        <v>306.10820244328096</v>
      </c>
      <c r="I10" s="1311">
        <f>IF(ISNUMBER(HLOOKUP(I$1,Home!$D$12:$AB$82,$X10,FALSE)),HLOOKUP(I$1,Home!$D$12:$AB$82,$X10,FALSE),NA())</f>
        <v>354.30769230769232</v>
      </c>
      <c r="J10" s="1311">
        <f>IF(ISNUMBER(HLOOKUP(J$1,Home!$D$12:$AB$82,$X10,FALSE)),HLOOKUP(J$1,Home!$D$12:$AB$82,$X10,FALSE),NA())</f>
        <v>343.75</v>
      </c>
      <c r="K10" s="1311">
        <f>IF(ISNUMBER(HLOOKUP(K$1,Home!$D$12:$AB$82,$X10,FALSE)),HLOOKUP(K$1,Home!$D$12:$AB$82,$X10,FALSE),NA())</f>
        <v>325.11978097193702</v>
      </c>
      <c r="L10" s="1311">
        <f>IF(ISNUMBER(HLOOKUP(L$1,Home!$D$12:$AB$82,$X10,FALSE)),HLOOKUP(L$1,Home!$D$12:$AB$82,$X10,FALSE),NA())</f>
        <v>379.22374429223743</v>
      </c>
      <c r="M10" s="1311">
        <f>IF(ISNUMBER(HLOOKUP(M$1,Home!$D$12:$AB$82,$X10,FALSE)),HLOOKUP(M$1,Home!$D$12:$AB$82,$X10,FALSE),NA())</f>
        <v>392.16216216216219</v>
      </c>
      <c r="N10" s="1311">
        <f>IF(ISNUMBER(HLOOKUP(N$1,Home!$D$12:$AB$82,$X10,FALSE)),HLOOKUP(N$1,Home!$D$12:$AB$82,$X10,FALSE),NA())</f>
        <v>368.677494199536</v>
      </c>
      <c r="O10" s="1312" t="e">
        <f>IF(ISNUMBER(HLOOKUP(O$1,Home!$D$12:$AB$82,$X10,FALSE)),HLOOKUP(O$1,Home!$D$12:$AB$82,$X10,FALSE),NA())</f>
        <v>#N/A</v>
      </c>
      <c r="P10" s="1311">
        <f>IF(ISNUMBER(HLOOKUP(P$1,Home!$D$12:$AB$82,$X10,FALSE)),HLOOKUP(P$1,Home!$D$12:$AB$82,$X10,FALSE),NA())</f>
        <v>469.00584795321635</v>
      </c>
      <c r="Q10" s="1311">
        <f>IF(ISNUMBER(HLOOKUP(Q$1,Home!$D$12:$AB$82,$X10,FALSE)),HLOOKUP(Q$1,Home!$D$12:$AB$82,$X10,FALSE),NA())</f>
        <v>218.00606520090977</v>
      </c>
      <c r="R10" s="1312" t="e">
        <f>IF(ISNUMBER(HLOOKUP(R$1,Home!$D$12:$AB$82,$X10,FALSE)),HLOOKUP(R$1,Home!$D$12:$AB$82,$X10,FALSE),NA())</f>
        <v>#N/A</v>
      </c>
      <c r="S10" s="1312" t="e">
        <f>IF(ISNUMBER(HLOOKUP(S$1,Home!$D$12:$AB$82,$X10,FALSE)),HLOOKUP(S$1,Home!$D$12:$AB$82,$X10,FALSE),NA())</f>
        <v>#N/A</v>
      </c>
      <c r="T10" s="1311">
        <f>IF(ISNUMBER(HLOOKUP(T$1,Home!$D$12:$AB$82,$X10,FALSE)),HLOOKUP(T$1,Home!$D$12:$AB$82,$X10,FALSE),NA())</f>
        <v>261.23595505617976</v>
      </c>
      <c r="U10" s="1311">
        <f>IF(ISNUMBER(HLOOKUP(U$1,Home!$D$12:$AB$82,$X10,FALSE)),HLOOKUP(U$1,Home!$D$12:$AB$82,$X10,FALSE),NA())</f>
        <v>314.36683702441792</v>
      </c>
      <c r="V10" s="1311">
        <f>IF(ISNUMBER(HLOOKUP(V$1,Home!$D$12:$AB$82,$X10,FALSE)),HLOOKUP(V$1,Home!$D$12:$AB$82,$X10,FALSE),NA())</f>
        <v>254.46685878962535</v>
      </c>
      <c r="W10" s="1311">
        <f>IF(ISNUMBER(HLOOKUP(W$1,Home!$D$12:$AB$82,$X10,FALSE)),HLOOKUP(W$1,Home!$D$12:$AB$82,$X10,FALSE),NA())</f>
        <v>257.17821782178214</v>
      </c>
      <c r="X10" s="1308">
        <f>VLOOKUP(A10,Home!C:BB,52,FALSE)</f>
        <v>24</v>
      </c>
      <c r="Y10" s="1314">
        <f t="array" ref="Y10">SLOPE(IF(ISNA($B10:$W10),"",$B10:$W10),IF(ISNA($B$2:$W$2),"",$B$2:$W$2))</f>
        <v>12.127965875166677</v>
      </c>
      <c r="Z10" s="1314">
        <f t="array" ref="Z10">INTERCEPT(IF(ISNA($B10:$W10),"",$B10:$W10),IF(ISNA($B$2:$W$2),"",$B$2:$W$2))</f>
        <v>170.46733227813408</v>
      </c>
      <c r="AA10" s="1314">
        <f t="array" ref="AA10">RSQ(IF(ISNA($B10:$W10),"",$B10:$W10),IF(ISNA($B$2:$W$2),"",$B$2:$W$2))</f>
        <v>0.69127851450831801</v>
      </c>
      <c r="AB10" s="1315" t="s">
        <v>1261</v>
      </c>
      <c r="AC10" s="1315" t="s">
        <v>952</v>
      </c>
    </row>
    <row r="11" spans="1:29" ht="24" x14ac:dyDescent="0.2">
      <c r="A11" s="1310" t="str">
        <f>IF(Sheet1!$C$3="Annual",ChartLabels!AB11,ChartLabels!AC11)</f>
        <v>Children subject to Section 47 Enquiries during the Year ending 31st March, Rate per 10,000 0-17 Year Olds</v>
      </c>
      <c r="B11" s="1311">
        <f>IF(ISNUMBER(HLOOKUP(B$1,Home!$D$12:$AB$82,$X11,FALSE)),HLOOKUP(B$1,Home!$D$12:$AB$82,$X11,FALSE),NA())</f>
        <v>288.02816901408448</v>
      </c>
      <c r="C11" s="1311">
        <f>IF(ISNUMBER(HLOOKUP(C$1,Home!$D$12:$AB$82,$X11,FALSE)),HLOOKUP(C$1,Home!$D$12:$AB$82,$X11,FALSE),NA())</f>
        <v>167.79324055666004</v>
      </c>
      <c r="D11" s="1311">
        <f>IF(ISNUMBER(HLOOKUP(D$1,Home!$D$12:$AB$82,$X11,FALSE)),HLOOKUP(D$1,Home!$D$12:$AB$82,$X11,FALSE),NA())</f>
        <v>192.04455051710423</v>
      </c>
      <c r="E11" s="1311">
        <f>IF(ISNUMBER(HLOOKUP(E$1,Home!$D$12:$AB$82,$X11,FALSE)),HLOOKUP(E$1,Home!$D$12:$AB$82,$X11,FALSE),NA())</f>
        <v>125.21166509877705</v>
      </c>
      <c r="F11" s="1311">
        <f>IF(ISNUMBER(HLOOKUP(F$1,Home!$D$12:$AB$82,$X11,FALSE)),HLOOKUP(F$1,Home!$D$12:$AB$82,$X11,FALSE),NA())</f>
        <v>177.10165318325713</v>
      </c>
      <c r="G11" s="1311">
        <f>IF(ISNUMBER(HLOOKUP(G$1,Home!$D$12:$AB$82,$X11,FALSE)),HLOOKUP(G$1,Home!$D$12:$AB$82,$X11,FALSE),NA())</f>
        <v>259.51417004048579</v>
      </c>
      <c r="H11" s="1311">
        <f>IF(ISNUMBER(HLOOKUP(H$1,Home!$D$12:$AB$82,$X11,FALSE)),HLOOKUP(H$1,Home!$D$12:$AB$82,$X11,FALSE),NA())</f>
        <v>192.37929028504945</v>
      </c>
      <c r="I11" s="1311">
        <f>IF(ISNUMBER(HLOOKUP(I$1,Home!$D$12:$AB$82,$X11,FALSE)),HLOOKUP(I$1,Home!$D$12:$AB$82,$X11,FALSE),NA())</f>
        <v>272.76923076923077</v>
      </c>
      <c r="J11" s="1311">
        <f>IF(ISNUMBER(HLOOKUP(J$1,Home!$D$12:$AB$82,$X11,FALSE)),HLOOKUP(J$1,Home!$D$12:$AB$82,$X11,FALSE),NA())</f>
        <v>118.75</v>
      </c>
      <c r="K11" s="1311">
        <f>IF(ISNUMBER(HLOOKUP(K$1,Home!$D$12:$AB$82,$X11,FALSE)),HLOOKUP(K$1,Home!$D$12:$AB$82,$X11,FALSE),NA())</f>
        <v>130.39014373716631</v>
      </c>
      <c r="L11" s="1311">
        <f>IF(ISNUMBER(HLOOKUP(L$1,Home!$D$12:$AB$82,$X11,FALSE)),HLOOKUP(L$1,Home!$D$12:$AB$82,$X11,FALSE),NA())</f>
        <v>295.4337899543379</v>
      </c>
      <c r="M11" s="1311">
        <f>IF(ISNUMBER(HLOOKUP(M$1,Home!$D$12:$AB$82,$X11,FALSE)),HLOOKUP(M$1,Home!$D$12:$AB$82,$X11,FALSE),NA())</f>
        <v>233.7837837837838</v>
      </c>
      <c r="N11" s="1311">
        <f>IF(ISNUMBER(HLOOKUP(N$1,Home!$D$12:$AB$82,$X11,FALSE)),HLOOKUP(N$1,Home!$D$12:$AB$82,$X11,FALSE),NA())</f>
        <v>300.46403712296984</v>
      </c>
      <c r="O11" s="1312" t="e">
        <f>IF(ISNUMBER(HLOOKUP(O$1,Home!$D$12:$AB$82,$X11,FALSE)),HLOOKUP(O$1,Home!$D$12:$AB$82,$X11,FALSE),NA())</f>
        <v>#N/A</v>
      </c>
      <c r="P11" s="1311">
        <f>IF(ISNUMBER(HLOOKUP(P$1,Home!$D$12:$AB$82,$X11,FALSE)),HLOOKUP(P$1,Home!$D$12:$AB$82,$X11,FALSE),NA())</f>
        <v>412.47563352826512</v>
      </c>
      <c r="Q11" s="1311">
        <f>IF(ISNUMBER(HLOOKUP(Q$1,Home!$D$12:$AB$82,$X11,FALSE)),HLOOKUP(Q$1,Home!$D$12:$AB$82,$X11,FALSE),NA())</f>
        <v>100.75815011372252</v>
      </c>
      <c r="R11" s="1312" t="e">
        <f>IF(ISNUMBER(HLOOKUP(R$1,Home!$D$12:$AB$82,$X11,FALSE)),HLOOKUP(R$1,Home!$D$12:$AB$82,$X11,FALSE),NA())</f>
        <v>#N/A</v>
      </c>
      <c r="S11" s="1312" t="e">
        <f>IF(ISNUMBER(HLOOKUP(S$1,Home!$D$12:$AB$82,$X11,FALSE)),HLOOKUP(S$1,Home!$D$12:$AB$82,$X11,FALSE),NA())</f>
        <v>#N/A</v>
      </c>
      <c r="T11" s="1311">
        <f>IF(ISNUMBER(HLOOKUP(T$1,Home!$D$12:$AB$82,$X11,FALSE)),HLOOKUP(T$1,Home!$D$12:$AB$82,$X11,FALSE),NA())</f>
        <v>145.22471910112358</v>
      </c>
      <c r="U11" s="1311">
        <f>IF(ISNUMBER(HLOOKUP(U$1,Home!$D$12:$AB$82,$X11,FALSE)),HLOOKUP(U$1,Home!$D$12:$AB$82,$X11,FALSE),NA())</f>
        <v>174.90062464508802</v>
      </c>
      <c r="V11" s="1311">
        <f>IF(ISNUMBER(HLOOKUP(V$1,Home!$D$12:$AB$82,$X11,FALSE)),HLOOKUP(V$1,Home!$D$12:$AB$82,$X11,FALSE),NA())</f>
        <v>172.04610951008647</v>
      </c>
      <c r="W11" s="1311">
        <f>IF(ISNUMBER(HLOOKUP(W$1,Home!$D$12:$AB$82,$X11,FALSE)),HLOOKUP(W$1,Home!$D$12:$AB$82,$X11,FALSE),NA())</f>
        <v>160.8910891089109</v>
      </c>
      <c r="X11" s="1308">
        <f>VLOOKUP(A11,Home!C:BB,52,FALSE)</f>
        <v>25</v>
      </c>
      <c r="Y11" s="1314">
        <f t="array" ref="Y11">SLOPE(IF(ISNA($B11:$W11),"",$B11:$W11),IF(ISNA($B$2:$W$2),"",$B$2:$W$2))</f>
        <v>9.8713305119066472</v>
      </c>
      <c r="Z11" s="1314">
        <f t="array" ref="Z11">INTERCEPT(IF(ISNA($B11:$W11),"",$B11:$W11),IF(ISNA($B$2:$W$2),"",$B$2:$W$2))</f>
        <v>77.259028995394317</v>
      </c>
      <c r="AA11" s="1314">
        <f t="array" ref="AA11">RSQ(IF(ISNA($B11:$W11),"",$B11:$W11),IF(ISNA($B$2:$W$2),"",$B$2:$W$2))</f>
        <v>0.33594536664983615</v>
      </c>
      <c r="AB11" s="1310" t="s">
        <v>1262</v>
      </c>
      <c r="AC11" s="1310" t="s">
        <v>953</v>
      </c>
    </row>
    <row r="12" spans="1:29" ht="36" x14ac:dyDescent="0.2">
      <c r="A12" s="1310" t="str">
        <f>IF(Sheet1!$C$3="Annual",ChartLabels!AB12,ChartLabels!AC12)</f>
        <v>Children subject to an Initial Child Protection Conference during the Year ending 31st March, Rate per 10,000 0-17 Year Olds</v>
      </c>
      <c r="B12" s="1311">
        <f>IF(ISNUMBER(HLOOKUP(B$1,Home!$D$12:$AB$82,$X12,FALSE)),HLOOKUP(B$1,Home!$D$12:$AB$82,$X12,FALSE),NA())</f>
        <v>90.492957746478879</v>
      </c>
      <c r="C12" s="1311">
        <f>IF(ISNUMBER(HLOOKUP(C$1,Home!$D$12:$AB$82,$X12,FALSE)),HLOOKUP(C$1,Home!$D$12:$AB$82,$X12,FALSE),NA())</f>
        <v>92.644135188866798</v>
      </c>
      <c r="D12" s="1311">
        <f>IF(ISNUMBER(HLOOKUP(D$1,Home!$D$12:$AB$82,$X12,FALSE)),HLOOKUP(D$1,Home!$D$12:$AB$82,$X12,FALSE),NA())</f>
        <v>68.178202068416866</v>
      </c>
      <c r="E12" s="1311">
        <f>IF(ISNUMBER(HLOOKUP(E$1,Home!$D$12:$AB$82,$X12,FALSE)),HLOOKUP(E$1,Home!$D$12:$AB$82,$X12,FALSE),NA())</f>
        <v>64.628410159924741</v>
      </c>
      <c r="F12" s="1311">
        <f>IF(ISNUMBER(HLOOKUP(F$1,Home!$D$12:$AB$82,$X12,FALSE)),HLOOKUP(F$1,Home!$D$12:$AB$82,$X12,FALSE),NA())</f>
        <v>55.750967288075977</v>
      </c>
      <c r="G12" s="1311">
        <f>IF(ISNUMBER(HLOOKUP(G$1,Home!$D$12:$AB$82,$X12,FALSE)),HLOOKUP(G$1,Home!$D$12:$AB$82,$X12,FALSE),NA())</f>
        <v>62.348178137651821</v>
      </c>
      <c r="H12" s="1311">
        <f>IF(ISNUMBER(HLOOKUP(H$1,Home!$D$12:$AB$82,$X12,FALSE)),HLOOKUP(H$1,Home!$D$12:$AB$82,$X12,FALSE),NA())</f>
        <v>49.592786503781262</v>
      </c>
      <c r="I12" s="1311">
        <f>IF(ISNUMBER(HLOOKUP(I$1,Home!$D$12:$AB$82,$X12,FALSE)),HLOOKUP(I$1,Home!$D$12:$AB$82,$X12,FALSE),NA())</f>
        <v>102.61538461538461</v>
      </c>
      <c r="J12" s="1311">
        <f>IF(ISNUMBER(HLOOKUP(J$1,Home!$D$12:$AB$82,$X12,FALSE)),HLOOKUP(J$1,Home!$D$12:$AB$82,$X12,FALSE),NA())</f>
        <v>38.22674418604651</v>
      </c>
      <c r="K12" s="1311">
        <f>IF(ISNUMBER(HLOOKUP(K$1,Home!$D$12:$AB$82,$X12,FALSE)),HLOOKUP(K$1,Home!$D$12:$AB$82,$X12,FALSE),NA())</f>
        <v>59.274469541409992</v>
      </c>
      <c r="L12" s="1311">
        <f>IF(ISNUMBER(HLOOKUP(L$1,Home!$D$12:$AB$82,$X12,FALSE)),HLOOKUP(L$1,Home!$D$12:$AB$82,$X12,FALSE),NA())</f>
        <v>77.168949771689498</v>
      </c>
      <c r="M12" s="1311">
        <f>IF(ISNUMBER(HLOOKUP(M$1,Home!$D$12:$AB$82,$X12,FALSE)),HLOOKUP(M$1,Home!$D$12:$AB$82,$X12,FALSE),NA())</f>
        <v>86.756756756756758</v>
      </c>
      <c r="N12" s="1311">
        <f>IF(ISNUMBER(HLOOKUP(N$1,Home!$D$12:$AB$82,$X12,FALSE)),HLOOKUP(N$1,Home!$D$12:$AB$82,$X12,FALSE),NA())</f>
        <v>90.023201856148489</v>
      </c>
      <c r="O12" s="1312" t="e">
        <f>IF(ISNUMBER(HLOOKUP(O$1,Home!$D$12:$AB$82,$X12,FALSE)),HLOOKUP(O$1,Home!$D$12:$AB$82,$X12,FALSE),NA())</f>
        <v>#N/A</v>
      </c>
      <c r="P12" s="1311">
        <f>IF(ISNUMBER(HLOOKUP(P$1,Home!$D$12:$AB$82,$X12,FALSE)),HLOOKUP(P$1,Home!$D$12:$AB$82,$X12,FALSE),NA())</f>
        <v>137.03703703703704</v>
      </c>
      <c r="Q12" s="1311">
        <f>IF(ISNUMBER(HLOOKUP(Q$1,Home!$D$12:$AB$82,$X12,FALSE)),HLOOKUP(Q$1,Home!$D$12:$AB$82,$X12,FALSE),NA())</f>
        <v>32.448824867323729</v>
      </c>
      <c r="R12" s="1312" t="e">
        <f>IF(ISNUMBER(HLOOKUP(R$1,Home!$D$12:$AB$82,$X12,FALSE)),HLOOKUP(R$1,Home!$D$12:$AB$82,$X12,FALSE),NA())</f>
        <v>#N/A</v>
      </c>
      <c r="S12" s="1312" t="e">
        <f>IF(ISNUMBER(HLOOKUP(S$1,Home!$D$12:$AB$82,$X12,FALSE)),HLOOKUP(S$1,Home!$D$12:$AB$82,$X12,FALSE),NA())</f>
        <v>#N/A</v>
      </c>
      <c r="T12" s="1311">
        <f>IF(ISNUMBER(HLOOKUP(T$1,Home!$D$12:$AB$82,$X12,FALSE)),HLOOKUP(T$1,Home!$D$12:$AB$82,$X12,FALSE),NA())</f>
        <v>60.112359550561798</v>
      </c>
      <c r="U12" s="1311">
        <f>IF(ISNUMBER(HLOOKUP(U$1,Home!$D$12:$AB$82,$X12,FALSE)),HLOOKUP(U$1,Home!$D$12:$AB$82,$X12,FALSE),NA())</f>
        <v>76.093128904031801</v>
      </c>
      <c r="V12" s="1311">
        <f>IF(ISNUMBER(HLOOKUP(V$1,Home!$D$12:$AB$82,$X12,FALSE)),HLOOKUP(V$1,Home!$D$12:$AB$82,$X12,FALSE),NA())</f>
        <v>74.639769452449571</v>
      </c>
      <c r="W12" s="1311">
        <f>IF(ISNUMBER(HLOOKUP(W$1,Home!$D$12:$AB$82,$X12,FALSE)),HLOOKUP(W$1,Home!$D$12:$AB$82,$X12,FALSE),NA())</f>
        <v>50.990099009900995</v>
      </c>
      <c r="X12" s="1308">
        <f>VLOOKUP(A12,Home!C:BB,52,FALSE)</f>
        <v>26</v>
      </c>
      <c r="Y12" s="1314">
        <f t="array" ref="Y12">SLOPE(IF(ISNA($B12:$W12),"",$B12:$W12),IF(ISNA($B$2:$W$2),"",$B$2:$W$2))</f>
        <v>2.5532584503913069</v>
      </c>
      <c r="Z12" s="1314">
        <f t="array" ref="Z12">INTERCEPT(IF(ISNA($B12:$W12),"",$B12:$W12),IF(ISNA($B$2:$W$2),"",$B$2:$W$2))</f>
        <v>38.673313871828256</v>
      </c>
      <c r="AA12" s="1314">
        <f t="array" ref="AA12">RSQ(IF(ISNA($B12:$W12),"",$B12:$W12),IF(ISNA($B$2:$W$2),"",$B$2:$W$2))</f>
        <v>0.23870412578748934</v>
      </c>
      <c r="AB12" s="1315" t="s">
        <v>1263</v>
      </c>
      <c r="AC12" s="1315" t="s">
        <v>954</v>
      </c>
    </row>
    <row r="13" spans="1:29" ht="24" x14ac:dyDescent="0.2">
      <c r="A13" s="1310" t="str">
        <f>IF(Sheet1!$C$3="Annual",ChartLabels!AB13,ChartLabels!AC13)</f>
        <v>Children subject to a Child Protection Plan at 31st March, Rate per 10,000 0-17 Year Olds</v>
      </c>
      <c r="B13" s="1311">
        <f>IF(ISNUMBER(HLOOKUP(B$1,Home!$D$12:$AB$82,$X13,FALSE)),HLOOKUP(B$1,Home!$D$12:$AB$82,$X13,FALSE),NA())</f>
        <v>42.95774647887324</v>
      </c>
      <c r="C13" s="1311">
        <f>IF(ISNUMBER(HLOOKUP(C$1,Home!$D$12:$AB$82,$X13,FALSE)),HLOOKUP(C$1,Home!$D$12:$AB$82,$X13,FALSE),NA())</f>
        <v>66.600397614314119</v>
      </c>
      <c r="D13" s="1311">
        <f>IF(ISNUMBER(HLOOKUP(D$1,Home!$D$12:$AB$82,$X13,FALSE)),HLOOKUP(D$1,Home!$D$12:$AB$82,$X13,FALSE),NA())</f>
        <v>45.743834526650758</v>
      </c>
      <c r="E13" s="1311">
        <f>IF(ISNUMBER(HLOOKUP(E$1,Home!$D$12:$AB$82,$X13,FALSE)),HLOOKUP(E$1,Home!$D$12:$AB$82,$X13,FALSE),NA())</f>
        <v>50.423330197554094</v>
      </c>
      <c r="F13" s="1311">
        <f>IF(ISNUMBER(HLOOKUP(F$1,Home!$D$12:$AB$82,$X13,FALSE)),HLOOKUP(F$1,Home!$D$12:$AB$82,$X13,FALSE),NA())</f>
        <v>32.993316918747801</v>
      </c>
      <c r="G13" s="1311">
        <f>IF(ISNUMBER(HLOOKUP(G$1,Home!$D$12:$AB$82,$X13,FALSE)),HLOOKUP(G$1,Home!$D$12:$AB$82,$X13,FALSE),NA())</f>
        <v>51.012145748987855</v>
      </c>
      <c r="H13" s="1311">
        <f>IF(ISNUMBER(HLOOKUP(H$1,Home!$D$12:$AB$82,$X13,FALSE)),HLOOKUP(H$1,Home!$D$12:$AB$82,$X13,FALSE),NA())</f>
        <v>38.7434554973822</v>
      </c>
      <c r="I13" s="1311">
        <f>IF(ISNUMBER(HLOOKUP(I$1,Home!$D$12:$AB$82,$X13,FALSE)),HLOOKUP(I$1,Home!$D$12:$AB$82,$X13,FALSE),NA())</f>
        <v>71.230769230769226</v>
      </c>
      <c r="J13" s="1311">
        <f>IF(ISNUMBER(HLOOKUP(J$1,Home!$D$12:$AB$82,$X13,FALSE)),HLOOKUP(J$1,Home!$D$12:$AB$82,$X13,FALSE),NA())</f>
        <v>19.186046511627907</v>
      </c>
      <c r="K13" s="1311">
        <f>IF(ISNUMBER(HLOOKUP(K$1,Home!$D$12:$AB$82,$X13,FALSE)),HLOOKUP(K$1,Home!$D$12:$AB$82,$X13,FALSE),NA())</f>
        <v>37.166324435318273</v>
      </c>
      <c r="L13" s="1311">
        <f>IF(ISNUMBER(HLOOKUP(L$1,Home!$D$12:$AB$82,$X13,FALSE)),HLOOKUP(L$1,Home!$D$12:$AB$82,$X13,FALSE),NA())</f>
        <v>46.347031963470322</v>
      </c>
      <c r="M13" s="1311">
        <f>IF(ISNUMBER(HLOOKUP(M$1,Home!$D$12:$AB$82,$X13,FALSE)),HLOOKUP(M$1,Home!$D$12:$AB$82,$X13,FALSE),NA())</f>
        <v>60.54054054054054</v>
      </c>
      <c r="N13" s="1311">
        <f>IF(ISNUMBER(HLOOKUP(N$1,Home!$D$12:$AB$82,$X13,FALSE)),HLOOKUP(N$1,Home!$D$12:$AB$82,$X13,FALSE),NA())</f>
        <v>69.837587006960561</v>
      </c>
      <c r="O13" s="1312" t="e">
        <f>IF(ISNUMBER(HLOOKUP(O$1,Home!$D$12:$AB$82,$X13,FALSE)),HLOOKUP(O$1,Home!$D$12:$AB$82,$X13,FALSE),NA())</f>
        <v>#N/A</v>
      </c>
      <c r="P13" s="1311">
        <f>IF(ISNUMBER(HLOOKUP(P$1,Home!$D$12:$AB$82,$X13,FALSE)),HLOOKUP(P$1,Home!$D$12:$AB$82,$X13,FALSE),NA())</f>
        <v>77.192982456140356</v>
      </c>
      <c r="Q13" s="1311">
        <f>IF(ISNUMBER(HLOOKUP(Q$1,Home!$D$12:$AB$82,$X13,FALSE)),HLOOKUP(Q$1,Home!$D$12:$AB$82,$X13,FALSE),NA())</f>
        <v>25.966641394996209</v>
      </c>
      <c r="R13" s="1312" t="e">
        <f>IF(ISNUMBER(HLOOKUP(R$1,Home!$D$12:$AB$82,$X13,FALSE)),HLOOKUP(R$1,Home!$D$12:$AB$82,$X13,FALSE),NA())</f>
        <v>#N/A</v>
      </c>
      <c r="S13" s="1312" t="e">
        <f>IF(ISNUMBER(HLOOKUP(S$1,Home!$D$12:$AB$82,$X13,FALSE)),HLOOKUP(S$1,Home!$D$12:$AB$82,$X13,FALSE),NA())</f>
        <v>#N/A</v>
      </c>
      <c r="T13" s="1311">
        <f>IF(ISNUMBER(HLOOKUP(T$1,Home!$D$12:$AB$82,$X13,FALSE)),HLOOKUP(T$1,Home!$D$12:$AB$82,$X13,FALSE),NA())</f>
        <v>29.775280898876403</v>
      </c>
      <c r="U13" s="1311">
        <f>IF(ISNUMBER(HLOOKUP(U$1,Home!$D$12:$AB$82,$X13,FALSE)),HLOOKUP(U$1,Home!$D$12:$AB$82,$X13,FALSE),NA())</f>
        <v>46.337308347529813</v>
      </c>
      <c r="V13" s="1311">
        <f>IF(ISNUMBER(HLOOKUP(V$1,Home!$D$12:$AB$82,$X13,FALSE)),HLOOKUP(V$1,Home!$D$12:$AB$82,$X13,FALSE),NA())</f>
        <v>37.752161383285298</v>
      </c>
      <c r="W13" s="1311">
        <f>IF(ISNUMBER(HLOOKUP(W$1,Home!$D$12:$AB$82,$X13,FALSE)),HLOOKUP(W$1,Home!$D$12:$AB$82,$X13,FALSE),NA())</f>
        <v>35.148514851485146</v>
      </c>
      <c r="X13" s="1308">
        <f>VLOOKUP(A13,Home!C:BB,52,FALSE)</f>
        <v>33</v>
      </c>
      <c r="Y13" s="1314">
        <f t="array" ref="Y13">SLOPE(IF(ISNA($B13:$W13),"",$B13:$W13),IF(ISNA($B$2:$W$2),"",$B$2:$W$2))</f>
        <v>2.1368612136282694</v>
      </c>
      <c r="Z13" s="1314">
        <f t="array" ref="Z13">INTERCEPT(IF(ISNA($B13:$W13),"",$B13:$W13),IF(ISNA($B$2:$W$2),"",$B$2:$W$2))</f>
        <v>18.639952133592018</v>
      </c>
      <c r="AA13" s="1314">
        <f t="array" ref="AA13">RSQ(IF(ISNA($B13:$W13),"",$B13:$W13),IF(ISNA($B$2:$W$2),"",$B$2:$W$2))</f>
        <v>0.38544337797153527</v>
      </c>
      <c r="AB13" s="1310" t="s">
        <v>1264</v>
      </c>
      <c r="AC13" s="1310" t="s">
        <v>955</v>
      </c>
    </row>
    <row r="14" spans="1:29" ht="24" x14ac:dyDescent="0.2">
      <c r="A14" s="1310" t="str">
        <f>IF(Sheet1!$C$3="Annual",ChartLabels!AB14,ChartLabels!AC14)</f>
        <v>Number of Care Applications to Court during the Year ending 31st March, Rate per 10,000 0-17 Year Olds</v>
      </c>
      <c r="B14" s="1311">
        <f>IF(ISNUMBER(HLOOKUP(B$1,Home!$D$12:$AB$82,$X14,FALSE)),HLOOKUP(B$1,Home!$D$12:$AB$82,$X14,FALSE),NA())</f>
        <v>10.211267605633804</v>
      </c>
      <c r="C14" s="1311">
        <f>IF(ISNUMBER(HLOOKUP(C$1,Home!$D$12:$AB$82,$X14,FALSE)),HLOOKUP(C$1,Home!$D$12:$AB$82,$X14,FALSE),NA())</f>
        <v>15.705765407554672</v>
      </c>
      <c r="D14" s="1311">
        <f>IF(ISNUMBER(HLOOKUP(D$1,Home!$D$12:$AB$82,$X14,FALSE)),HLOOKUP(D$1,Home!$D$12:$AB$82,$X14,FALSE),NA())</f>
        <v>7.1599045346062056</v>
      </c>
      <c r="E14" s="1311">
        <f>IF(ISNUMBER(HLOOKUP(E$1,Home!$D$12:$AB$82,$X14,FALSE)),HLOOKUP(E$1,Home!$D$12:$AB$82,$X14,FALSE),NA())</f>
        <v>6.4910630291627474</v>
      </c>
      <c r="F14" s="1311">
        <f>IF(ISNUMBER(HLOOKUP(F$1,Home!$D$12:$AB$82,$X14,FALSE)),HLOOKUP(F$1,Home!$D$12:$AB$82,$X14,FALSE),NA())</f>
        <v>7.2458670418571929</v>
      </c>
      <c r="G14" s="1311">
        <f>IF(ISNUMBER(HLOOKUP(G$1,Home!$D$12:$AB$82,$X14,FALSE)),HLOOKUP(G$1,Home!$D$12:$AB$82,$X14,FALSE),NA())</f>
        <v>10.526315789473683</v>
      </c>
      <c r="H14" s="1311">
        <f>IF(ISNUMBER(HLOOKUP(H$1,Home!$D$12:$AB$82,$X14,FALSE)),HLOOKUP(H$1,Home!$D$12:$AB$82,$X14,FALSE),NA())</f>
        <v>7.8534031413612571</v>
      </c>
      <c r="I14" s="1311">
        <f>IF(ISNUMBER(HLOOKUP(I$1,Home!$D$12:$AB$82,$X14,FALSE)),HLOOKUP(I$1,Home!$D$12:$AB$82,$X14,FALSE),NA())</f>
        <v>14.461538461538462</v>
      </c>
      <c r="J14" s="1311">
        <f>IF(ISNUMBER(HLOOKUP(J$1,Home!$D$12:$AB$82,$X14,FALSE)),HLOOKUP(J$1,Home!$D$12:$AB$82,$X14,FALSE),NA())</f>
        <v>10.174418604651162</v>
      </c>
      <c r="K14" s="1311">
        <f>IF(ISNUMBER(HLOOKUP(K$1,Home!$D$12:$AB$82,$X14,FALSE)),HLOOKUP(K$1,Home!$D$12:$AB$82,$X14,FALSE),NA())</f>
        <v>10.061601642710471</v>
      </c>
      <c r="L14" s="1311">
        <f>IF(ISNUMBER(HLOOKUP(L$1,Home!$D$12:$AB$82,$X14,FALSE)),HLOOKUP(L$1,Home!$D$12:$AB$82,$X14,FALSE),NA())</f>
        <v>14.155251141552512</v>
      </c>
      <c r="M14" s="1311">
        <f>IF(ISNUMBER(HLOOKUP(M$1,Home!$D$12:$AB$82,$X14,FALSE)),HLOOKUP(M$1,Home!$D$12:$AB$82,$X14,FALSE),NA())</f>
        <v>13.513513513513514</v>
      </c>
      <c r="N14" s="1311">
        <f>IF(ISNUMBER(HLOOKUP(N$1,Home!$D$12:$AB$82,$X14,FALSE)),HLOOKUP(N$1,Home!$D$12:$AB$82,$X14,FALSE),NA())</f>
        <v>11.600928074245939</v>
      </c>
      <c r="O14" s="1312" t="e">
        <f>IF(ISNUMBER(HLOOKUP(O$1,Home!$D$12:$AB$82,$X14,FALSE)),HLOOKUP(O$1,Home!$D$12:$AB$82,$X14,FALSE),NA())</f>
        <v>#N/A</v>
      </c>
      <c r="P14" s="1311">
        <f>IF(ISNUMBER(HLOOKUP(P$1,Home!$D$12:$AB$82,$X14,FALSE)),HLOOKUP(P$1,Home!$D$12:$AB$82,$X14,FALSE),NA())</f>
        <v>19.688109161793374</v>
      </c>
      <c r="Q14" s="1311">
        <f>IF(ISNUMBER(HLOOKUP(Q$1,Home!$D$12:$AB$82,$X14,FALSE)),HLOOKUP(Q$1,Home!$D$12:$AB$82,$X14,FALSE),NA())</f>
        <v>5.6103108415466263</v>
      </c>
      <c r="R14" s="1312" t="e">
        <f>IF(ISNUMBER(HLOOKUP(R$1,Home!$D$12:$AB$82,$X14,FALSE)),HLOOKUP(R$1,Home!$D$12:$AB$82,$X14,FALSE),NA())</f>
        <v>#N/A</v>
      </c>
      <c r="S14" s="1312" t="e">
        <f>IF(ISNUMBER(HLOOKUP(S$1,Home!$D$12:$AB$82,$X14,FALSE)),HLOOKUP(S$1,Home!$D$12:$AB$82,$X14,FALSE),NA())</f>
        <v>#N/A</v>
      </c>
      <c r="T14" s="1311">
        <f>IF(ISNUMBER(HLOOKUP(T$1,Home!$D$12:$AB$82,$X14,FALSE)),HLOOKUP(T$1,Home!$D$12:$AB$82,$X14,FALSE),NA())</f>
        <v>6.179775280898876</v>
      </c>
      <c r="U14" s="1311">
        <f>IF(ISNUMBER(HLOOKUP(U$1,Home!$D$12:$AB$82,$X14,FALSE)),HLOOKUP(U$1,Home!$D$12:$AB$82,$X14,FALSE),NA())</f>
        <v>11.016467915956843</v>
      </c>
      <c r="V14" s="1311">
        <f>IF(ISNUMBER(HLOOKUP(V$1,Home!$D$12:$AB$82,$X14,FALSE)),HLOOKUP(V$1,Home!$D$12:$AB$82,$X14,FALSE),NA())</f>
        <v>8.3573487031700289</v>
      </c>
      <c r="W14" s="1311">
        <f>IF(ISNUMBER(HLOOKUP(W$1,Home!$D$12:$AB$82,$X14,FALSE)),HLOOKUP(W$1,Home!$D$12:$AB$82,$X14,FALSE),NA())</f>
        <v>6.435643564356436</v>
      </c>
      <c r="X14" s="1308">
        <f>VLOOKUP(A14,Home!C:BB,52,FALSE)</f>
        <v>38</v>
      </c>
      <c r="Y14" s="1314">
        <f t="array" ref="Y14">SLOPE(IF(ISNA($B14:$W14),"",$B14:$W14),IF(ISNA($B$2:$W$2),"",$B$2:$W$2))</f>
        <v>0.58190787770286567</v>
      </c>
      <c r="Z14" s="1314">
        <f t="array" ref="Z14">INTERCEPT(IF(ISNA($B14:$W14),"",$B14:$W14),IF(ISNA($B$2:$W$2),"",$B$2:$W$2))</f>
        <v>2.7317145596943169</v>
      </c>
      <c r="AA14" s="1314">
        <f t="array" ref="AA14">RSQ(IF(ISNA($B14:$W14),"",$B14:$W14),IF(ISNA($B$2:$W$2),"",$B$2:$W$2))</f>
        <v>0.52102059912206289</v>
      </c>
      <c r="AB14" s="1316" t="s">
        <v>1265</v>
      </c>
      <c r="AC14" s="1316" t="s">
        <v>956</v>
      </c>
    </row>
    <row r="15" spans="1:29" ht="36" x14ac:dyDescent="0.2">
      <c r="A15" s="1310" t="str">
        <f>IF(Sheet1!$C$3="Annual",ChartLabels!AB15,ChartLabels!AC15)</f>
        <v>Number of Children subject to Care Applications to Court during the Year ending 31st March, Rate per 10,000 0-17 Year Olds</v>
      </c>
      <c r="B15" s="1311">
        <f>IF(ISNUMBER(HLOOKUP(B$1,Home!$D$12:$AB$82,$X15,FALSE)),HLOOKUP(B$1,Home!$D$12:$AB$82,$X15,FALSE),NA())</f>
        <v>15.845070422535212</v>
      </c>
      <c r="C15" s="1311">
        <f>IF(ISNUMBER(HLOOKUP(C$1,Home!$D$12:$AB$82,$X15,FALSE)),HLOOKUP(C$1,Home!$D$12:$AB$82,$X15,FALSE),NA())</f>
        <v>25.248508946322069</v>
      </c>
      <c r="D15" s="1311">
        <f>IF(ISNUMBER(HLOOKUP(D$1,Home!$D$12:$AB$82,$X15,FALSE)),HLOOKUP(D$1,Home!$D$12:$AB$82,$X15,FALSE),NA())</f>
        <v>11.058074781225139</v>
      </c>
      <c r="E15" s="1311">
        <f>IF(ISNUMBER(HLOOKUP(E$1,Home!$D$12:$AB$82,$X15,FALSE)),HLOOKUP(E$1,Home!$D$12:$AB$82,$X15,FALSE),NA())</f>
        <v>10.06585136406397</v>
      </c>
      <c r="F15" s="1311">
        <f>IF(ISNUMBER(HLOOKUP(F$1,Home!$D$12:$AB$82,$X15,FALSE)),HLOOKUP(F$1,Home!$D$12:$AB$82,$X15,FALSE),NA())</f>
        <v>11.537108688005627</v>
      </c>
      <c r="G15" s="1311">
        <f>IF(ISNUMBER(HLOOKUP(G$1,Home!$D$12:$AB$82,$X15,FALSE)),HLOOKUP(G$1,Home!$D$12:$AB$82,$X15,FALSE),NA())</f>
        <v>18.218623481781375</v>
      </c>
      <c r="H15" s="1311">
        <f>IF(ISNUMBER(HLOOKUP(H$1,Home!$D$12:$AB$82,$X15,FALSE)),HLOOKUP(H$1,Home!$D$12:$AB$82,$X15,FALSE),NA())</f>
        <v>13.263525305410122</v>
      </c>
      <c r="I15" s="1311">
        <f>IF(ISNUMBER(HLOOKUP(I$1,Home!$D$12:$AB$82,$X15,FALSE)),HLOOKUP(I$1,Home!$D$12:$AB$82,$X15,FALSE),NA())</f>
        <v>23.846153846153847</v>
      </c>
      <c r="J15" s="1311">
        <f>IF(ISNUMBER(HLOOKUP(J$1,Home!$D$12:$AB$82,$X15,FALSE)),HLOOKUP(J$1,Home!$D$12:$AB$82,$X15,FALSE),NA())</f>
        <v>15.261627906976743</v>
      </c>
      <c r="K15" s="1311">
        <f>IF(ISNUMBER(HLOOKUP(K$1,Home!$D$12:$AB$82,$X15,FALSE)),HLOOKUP(K$1,Home!$D$12:$AB$82,$X15,FALSE),NA())</f>
        <v>17.111567419575632</v>
      </c>
      <c r="L15" s="1311">
        <f>IF(ISNUMBER(HLOOKUP(L$1,Home!$D$12:$AB$82,$X15,FALSE)),HLOOKUP(L$1,Home!$D$12:$AB$82,$X15,FALSE),NA())</f>
        <v>18.721461187214611</v>
      </c>
      <c r="M15" s="1311">
        <f>IF(ISNUMBER(HLOOKUP(M$1,Home!$D$12:$AB$82,$X15,FALSE)),HLOOKUP(M$1,Home!$D$12:$AB$82,$X15,FALSE),NA())</f>
        <v>20.540540540540544</v>
      </c>
      <c r="N15" s="1311">
        <f>IF(ISNUMBER(HLOOKUP(N$1,Home!$D$12:$AB$82,$X15,FALSE)),HLOOKUP(N$1,Home!$D$12:$AB$82,$X15,FALSE),NA())</f>
        <v>18.793503480278421</v>
      </c>
      <c r="O15" s="1312" t="e">
        <f>IF(ISNUMBER(HLOOKUP(O$1,Home!$D$12:$AB$82,$X15,FALSE)),HLOOKUP(O$1,Home!$D$12:$AB$82,$X15,FALSE),NA())</f>
        <v>#N/A</v>
      </c>
      <c r="P15" s="1311">
        <f>IF(ISNUMBER(HLOOKUP(P$1,Home!$D$12:$AB$82,$X15,FALSE)),HLOOKUP(P$1,Home!$D$12:$AB$82,$X15,FALSE),NA())</f>
        <v>30.799220272904481</v>
      </c>
      <c r="Q15" s="1311">
        <f>IF(ISNUMBER(HLOOKUP(Q$1,Home!$D$12:$AB$82,$X15,FALSE)),HLOOKUP(Q$1,Home!$D$12:$AB$82,$X15,FALSE),NA())</f>
        <v>8.9840788476118281</v>
      </c>
      <c r="R15" s="1312" t="e">
        <f>IF(ISNUMBER(HLOOKUP(R$1,Home!$D$12:$AB$82,$X15,FALSE)),HLOOKUP(R$1,Home!$D$12:$AB$82,$X15,FALSE),NA())</f>
        <v>#N/A</v>
      </c>
      <c r="S15" s="1312" t="e">
        <f>IF(ISNUMBER(HLOOKUP(S$1,Home!$D$12:$AB$82,$X15,FALSE)),HLOOKUP(S$1,Home!$D$12:$AB$82,$X15,FALSE),NA())</f>
        <v>#N/A</v>
      </c>
      <c r="T15" s="1311">
        <f>IF(ISNUMBER(HLOOKUP(T$1,Home!$D$12:$AB$82,$X15,FALSE)),HLOOKUP(T$1,Home!$D$12:$AB$82,$X15,FALSE),NA())</f>
        <v>11.51685393258427</v>
      </c>
      <c r="U15" s="1311">
        <f>IF(ISNUMBER(HLOOKUP(U$1,Home!$D$12:$AB$82,$X15,FALSE)),HLOOKUP(U$1,Home!$D$12:$AB$82,$X15,FALSE),NA())</f>
        <v>19.080068143100512</v>
      </c>
      <c r="V15" s="1311">
        <f>IF(ISNUMBER(HLOOKUP(V$1,Home!$D$12:$AB$82,$X15,FALSE)),HLOOKUP(V$1,Home!$D$12:$AB$82,$X15,FALSE),NA())</f>
        <v>11.527377521613833</v>
      </c>
      <c r="W15" s="1311">
        <f>IF(ISNUMBER(HLOOKUP(W$1,Home!$D$12:$AB$82,$X15,FALSE)),HLOOKUP(W$1,Home!$D$12:$AB$82,$X15,FALSE),NA())</f>
        <v>9.9009900990099009</v>
      </c>
      <c r="X15" s="1308">
        <f>VLOOKUP(A15,Home!C:BB,52,FALSE)</f>
        <v>39</v>
      </c>
      <c r="Y15" s="1314">
        <f t="array" ref="Y15">SLOPE(IF(ISNA($B15:$W15),"",$B15:$W15),IF(ISNA($B$2:$W$2),"",$B$2:$W$2))</f>
        <v>0.88030259462767291</v>
      </c>
      <c r="Z15" s="1314">
        <f t="array" ref="Z15">INTERCEPT(IF(ISNA($B15:$W15),"",$B15:$W15),IF(ISNA($B$2:$W$2),"",$B$2:$W$2))</f>
        <v>4.8764758779681223</v>
      </c>
      <c r="AA15" s="1314">
        <f t="array" ref="AA15">RSQ(IF(ISNA($B15:$W15),"",$B15:$W15),IF(ISNA($B$2:$W$2),"",$B$2:$W$2))</f>
        <v>0.49206374413337595</v>
      </c>
      <c r="AB15" s="1316" t="s">
        <v>1266</v>
      </c>
      <c r="AC15" s="1316" t="s">
        <v>957</v>
      </c>
    </row>
    <row r="16" spans="1:29" ht="24" x14ac:dyDescent="0.2">
      <c r="A16" s="1310" t="str">
        <f>IF(Sheet1!$C$3="Annual",ChartLabels!AB16,ChartLabels!AC16)</f>
        <v>Children who were Looked After at 31st March, Rate per 10,000 0-17 Year Olds</v>
      </c>
      <c r="B16" s="1311">
        <f>IF(ISNUMBER(HLOOKUP(B$1,Home!$D$12:$AB$82,$X16,FALSE)),HLOOKUP(B$1,Home!$D$12:$AB$82,$X16,FALSE),NA())</f>
        <v>50</v>
      </c>
      <c r="C16" s="1311">
        <f>IF(ISNUMBER(HLOOKUP(C$1,Home!$D$12:$AB$82,$X16,FALSE)),HLOOKUP(C$1,Home!$D$12:$AB$82,$X16,FALSE),NA())</f>
        <v>73.558648111332005</v>
      </c>
      <c r="D16" s="1311">
        <f>IF(ISNUMBER(HLOOKUP(D$1,Home!$D$12:$AB$82,$X16,FALSE)),HLOOKUP(D$1,Home!$D$12:$AB$82,$X16,FALSE),NA())</f>
        <v>38.504375497215598</v>
      </c>
      <c r="E16" s="1311">
        <f>IF(ISNUMBER(HLOOKUP(E$1,Home!$D$12:$AB$82,$X16,FALSE)),HLOOKUP(E$1,Home!$D$12:$AB$82,$X16,FALSE),NA())</f>
        <v>55.691439322671684</v>
      </c>
      <c r="F16" s="1311">
        <f>IF(ISNUMBER(HLOOKUP(F$1,Home!$D$12:$AB$82,$X16,FALSE)),HLOOKUP(F$1,Home!$D$12:$AB$82,$X16,FALSE),NA())</f>
        <v>56.348927189588466</v>
      </c>
      <c r="G16" s="1311">
        <f>IF(ISNUMBER(HLOOKUP(G$1,Home!$D$12:$AB$82,$X16,FALSE)),HLOOKUP(G$1,Home!$D$12:$AB$82,$X16,FALSE),NA())</f>
        <v>106.88259109311741</v>
      </c>
      <c r="H16" s="1311">
        <f>IF(ISNUMBER(HLOOKUP(H$1,Home!$D$12:$AB$82,$X16,FALSE)),HLOOKUP(H$1,Home!$D$12:$AB$82,$X16,FALSE),NA())</f>
        <v>52.559627690517736</v>
      </c>
      <c r="I16" s="1311">
        <f>IF(ISNUMBER(HLOOKUP(I$1,Home!$D$12:$AB$82,$X16,FALSE)),HLOOKUP(I$1,Home!$D$12:$AB$82,$X16,FALSE),NA())</f>
        <v>65.538461538461547</v>
      </c>
      <c r="J16" s="1311">
        <f>IF(ISNUMBER(HLOOKUP(J$1,Home!$D$12:$AB$82,$X16,FALSE)),HLOOKUP(J$1,Home!$D$12:$AB$82,$X16,FALSE),NA())</f>
        <v>58.575581395348834</v>
      </c>
      <c r="K16" s="1311">
        <f>IF(ISNUMBER(HLOOKUP(K$1,Home!$D$12:$AB$82,$X16,FALSE)),HLOOKUP(K$1,Home!$D$12:$AB$82,$X16,FALSE),NA())</f>
        <v>52.498288843258045</v>
      </c>
      <c r="L16" s="1311">
        <f>IF(ISNUMBER(HLOOKUP(L$1,Home!$D$12:$AB$82,$X16,FALSE)),HLOOKUP(L$1,Home!$D$12:$AB$82,$X16,FALSE),NA())</f>
        <v>106.39269406392694</v>
      </c>
      <c r="M16" s="1311">
        <f>IF(ISNUMBER(HLOOKUP(M$1,Home!$D$12:$AB$82,$X16,FALSE)),HLOOKUP(M$1,Home!$D$12:$AB$82,$X16,FALSE),NA())</f>
        <v>75.675675675675677</v>
      </c>
      <c r="N16" s="1311">
        <f>IF(ISNUMBER(HLOOKUP(N$1,Home!$D$12:$AB$82,$X16,FALSE)),HLOOKUP(N$1,Home!$D$12:$AB$82,$X16,FALSE),NA())</f>
        <v>45.475638051044086</v>
      </c>
      <c r="O16" s="1312" t="e">
        <f>IF(ISNUMBER(HLOOKUP(O$1,Home!$D$12:$AB$82,$X16,FALSE)),HLOOKUP(O$1,Home!$D$12:$AB$82,$X16,FALSE),NA())</f>
        <v>#N/A</v>
      </c>
      <c r="P16" s="1311">
        <f>IF(ISNUMBER(HLOOKUP(P$1,Home!$D$12:$AB$82,$X16,FALSE)),HLOOKUP(P$1,Home!$D$12:$AB$82,$X16,FALSE),NA())</f>
        <v>94.736842105263165</v>
      </c>
      <c r="Q16" s="1311">
        <f>IF(ISNUMBER(HLOOKUP(Q$1,Home!$D$12:$AB$82,$X16,FALSE)),HLOOKUP(Q$1,Home!$D$12:$AB$82,$X16,FALSE),NA())</f>
        <v>37.187263078089465</v>
      </c>
      <c r="R16" s="1312" t="e">
        <f>IF(ISNUMBER(HLOOKUP(R$1,Home!$D$12:$AB$82,$X16,FALSE)),HLOOKUP(R$1,Home!$D$12:$AB$82,$X16,FALSE),NA())</f>
        <v>#N/A</v>
      </c>
      <c r="S16" s="1312" t="e">
        <f>IF(ISNUMBER(HLOOKUP(S$1,Home!$D$12:$AB$82,$X16,FALSE)),HLOOKUP(S$1,Home!$D$12:$AB$82,$X16,FALSE),NA())</f>
        <v>#N/A</v>
      </c>
      <c r="T16" s="1311">
        <f>IF(ISNUMBER(HLOOKUP(T$1,Home!$D$12:$AB$82,$X16,FALSE)),HLOOKUP(T$1,Home!$D$12:$AB$82,$X16,FALSE),NA())</f>
        <v>44.101123595505619</v>
      </c>
      <c r="U16" s="1311">
        <f>IF(ISNUMBER(HLOOKUP(U$1,Home!$D$12:$AB$82,$X16,FALSE)),HLOOKUP(U$1,Home!$D$12:$AB$82,$X16,FALSE),NA())</f>
        <v>45.883021010789321</v>
      </c>
      <c r="V16" s="1311">
        <f>IF(ISNUMBER(HLOOKUP(V$1,Home!$D$12:$AB$82,$X16,FALSE)),HLOOKUP(V$1,Home!$D$12:$AB$82,$X16,FALSE),NA())</f>
        <v>33.429394812680115</v>
      </c>
      <c r="W16" s="1311">
        <f>IF(ISNUMBER(HLOOKUP(W$1,Home!$D$12:$AB$82,$X16,FALSE)),HLOOKUP(W$1,Home!$D$12:$AB$82,$X16,FALSE),NA())</f>
        <v>24.257425742574256</v>
      </c>
      <c r="X16" s="1308">
        <f>VLOOKUP(A16,Home!C:BB,52,FALSE)</f>
        <v>40</v>
      </c>
      <c r="Y16" s="1314">
        <f t="array" ref="Y16">SLOPE(IF(ISNA($B16:$W16),"",$B16:$W16),IF(ISNA($B$2:$W$2),"",$B$2:$W$2))</f>
        <v>4.2209497990430069</v>
      </c>
      <c r="Z16" s="1314">
        <f t="array" ref="Z16">INTERCEPT(IF(ISNA($B16:$W16),"",$B16:$W16),IF(ISNA($B$2:$W$2),"",$B$2:$W$2))</f>
        <v>3.6217415123566994</v>
      </c>
      <c r="AA16" s="1314">
        <f t="array" ref="AA16">RSQ(IF(ISNA($B16:$W16),"",$B16:$W16),IF(ISNA($B$2:$W$2),"",$B$2:$W$2))</f>
        <v>0.72124019088610847</v>
      </c>
      <c r="AB16" s="1310" t="s">
        <v>1267</v>
      </c>
      <c r="AC16" s="1310" t="s">
        <v>958</v>
      </c>
    </row>
    <row r="17" spans="1:29" ht="24" x14ac:dyDescent="0.2">
      <c r="A17" s="1310" t="str">
        <f>IF(Sheet1!$C$3="Annual",ChartLabels!AB17,ChartLabels!AC17)</f>
        <v>Children who Started to be Looked After during the Year ending 31st March, Rate per 10,000 0-17 Year Olds</v>
      </c>
      <c r="B17" s="1311">
        <f>IF(ISNUMBER(HLOOKUP(B$1,Home!$D$12:$AB$82,$X17,FALSE)),HLOOKUP(B$1,Home!$D$12:$AB$82,$X17,FALSE),NA())</f>
        <v>16.549295774647888</v>
      </c>
      <c r="C17" s="1311">
        <f>IF(ISNUMBER(HLOOKUP(C$1,Home!$D$12:$AB$82,$X17,FALSE)),HLOOKUP(C$1,Home!$D$12:$AB$82,$X17,FALSE),NA())</f>
        <v>30.616302186878727</v>
      </c>
      <c r="D17" s="1311">
        <f>IF(ISNUMBER(HLOOKUP(D$1,Home!$D$12:$AB$82,$X17,FALSE)),HLOOKUP(D$1,Home!$D$12:$AB$82,$X17,FALSE),NA())</f>
        <v>16.149562450278442</v>
      </c>
      <c r="E17" s="1311">
        <f>IF(ISNUMBER(HLOOKUP(E$1,Home!$D$12:$AB$82,$X17,FALSE)),HLOOKUP(E$1,Home!$D$12:$AB$82,$X17,FALSE),NA())</f>
        <v>16.368767638758232</v>
      </c>
      <c r="F17" s="1311">
        <f>IF(ISNUMBER(HLOOKUP(F$1,Home!$D$12:$AB$82,$X17,FALSE)),HLOOKUP(F$1,Home!$D$12:$AB$82,$X17,FALSE),NA())</f>
        <v>19.310587407667956</v>
      </c>
      <c r="G17" s="1311">
        <f>IF(ISNUMBER(HLOOKUP(G$1,Home!$D$12:$AB$82,$X17,FALSE)),HLOOKUP(G$1,Home!$D$12:$AB$82,$X17,FALSE),NA())</f>
        <v>29.149797570850204</v>
      </c>
      <c r="H17" s="1311">
        <f>IF(ISNUMBER(HLOOKUP(H$1,Home!$D$12:$AB$82,$X17,FALSE)),HLOOKUP(H$1,Home!$D$12:$AB$82,$X17,FALSE),NA())</f>
        <v>27.515997673065737</v>
      </c>
      <c r="I17" s="1311">
        <f>IF(ISNUMBER(HLOOKUP(I$1,Home!$D$12:$AB$82,$X17,FALSE)),HLOOKUP(I$1,Home!$D$12:$AB$82,$X17,FALSE),NA())</f>
        <v>26.769230769230766</v>
      </c>
      <c r="J17" s="1311">
        <f>IF(ISNUMBER(HLOOKUP(J$1,Home!$D$12:$AB$82,$X17,FALSE)),HLOOKUP(J$1,Home!$D$12:$AB$82,$X17,FALSE),NA())</f>
        <v>24.418604651162788</v>
      </c>
      <c r="K17" s="1311">
        <f>IF(ISNUMBER(HLOOKUP(K$1,Home!$D$12:$AB$82,$X17,FALSE)),HLOOKUP(K$1,Home!$D$12:$AB$82,$X17,FALSE),NA())</f>
        <v>21.149897330595483</v>
      </c>
      <c r="L17" s="1311">
        <f>IF(ISNUMBER(HLOOKUP(L$1,Home!$D$12:$AB$82,$X17,FALSE)),HLOOKUP(L$1,Home!$D$12:$AB$82,$X17,FALSE),NA())</f>
        <v>40.8675799086758</v>
      </c>
      <c r="M17" s="1311">
        <f>IF(ISNUMBER(HLOOKUP(M$1,Home!$D$12:$AB$82,$X17,FALSE)),HLOOKUP(M$1,Home!$D$12:$AB$82,$X17,FALSE),NA())</f>
        <v>31.351351351351351</v>
      </c>
      <c r="N17" s="1311">
        <f>IF(ISNUMBER(HLOOKUP(N$1,Home!$D$12:$AB$82,$X17,FALSE)),HLOOKUP(N$1,Home!$D$12:$AB$82,$X17,FALSE),NA())</f>
        <v>24.825986078886313</v>
      </c>
      <c r="O17" s="1312" t="e">
        <f>IF(ISNUMBER(HLOOKUP(O$1,Home!$D$12:$AB$82,$X17,FALSE)),HLOOKUP(O$1,Home!$D$12:$AB$82,$X17,FALSE),NA())</f>
        <v>#N/A</v>
      </c>
      <c r="P17" s="1311">
        <f>IF(ISNUMBER(HLOOKUP(P$1,Home!$D$12:$AB$82,$X17,FALSE)),HLOOKUP(P$1,Home!$D$12:$AB$82,$X17,FALSE),NA())</f>
        <v>38.40155945419103</v>
      </c>
      <c r="Q17" s="1311">
        <f>IF(ISNUMBER(HLOOKUP(Q$1,Home!$D$12:$AB$82,$X17,FALSE)),HLOOKUP(Q$1,Home!$D$12:$AB$82,$X17,FALSE),NA())</f>
        <v>14.139499620924942</v>
      </c>
      <c r="R17" s="1312" t="e">
        <f>IF(ISNUMBER(HLOOKUP(R$1,Home!$D$12:$AB$82,$X17,FALSE)),HLOOKUP(R$1,Home!$D$12:$AB$82,$X17,FALSE),NA())</f>
        <v>#N/A</v>
      </c>
      <c r="S17" s="1312" t="e">
        <f>IF(ISNUMBER(HLOOKUP(S$1,Home!$D$12:$AB$82,$X17,FALSE)),HLOOKUP(S$1,Home!$D$12:$AB$82,$X17,FALSE),NA())</f>
        <v>#N/A</v>
      </c>
      <c r="T17" s="1311">
        <f>IF(ISNUMBER(HLOOKUP(T$1,Home!$D$12:$AB$82,$X17,FALSE)),HLOOKUP(T$1,Home!$D$12:$AB$82,$X17,FALSE),NA())</f>
        <v>16.573033707865168</v>
      </c>
      <c r="U17" s="1311">
        <f>IF(ISNUMBER(HLOOKUP(U$1,Home!$D$12:$AB$82,$X17,FALSE)),HLOOKUP(U$1,Home!$D$12:$AB$82,$X17,FALSE),NA())</f>
        <v>25.9511641113004</v>
      </c>
      <c r="V17" s="1311">
        <f>IF(ISNUMBER(HLOOKUP(V$1,Home!$D$12:$AB$82,$X17,FALSE)),HLOOKUP(V$1,Home!$D$12:$AB$82,$X17,FALSE),NA())</f>
        <v>14.985590778097983</v>
      </c>
      <c r="W17" s="1311">
        <f>IF(ISNUMBER(HLOOKUP(W$1,Home!$D$12:$AB$82,$X17,FALSE)),HLOOKUP(W$1,Home!$D$12:$AB$82,$X17,FALSE),NA())</f>
        <v>10.891089108910892</v>
      </c>
      <c r="X17" s="1308">
        <f>VLOOKUP(A17,Home!C:BB,52,FALSE)</f>
        <v>50</v>
      </c>
      <c r="Y17" s="1314">
        <f t="array" ref="Y17">SLOPE(IF(ISNA($B17:$W17),"",$B17:$W17),IF(ISNA($B$2:$W$2),"",$B$2:$W$2))</f>
        <v>1.5372955023881361</v>
      </c>
      <c r="Z17" s="1314">
        <f t="array" ref="Z17">INTERCEPT(IF(ISNA($B17:$W17),"",$B17:$W17),IF(ISNA($B$2:$W$2),"",$B$2:$W$2))</f>
        <v>3.3747734094803761</v>
      </c>
      <c r="AA17" s="1314">
        <f t="array" ref="AA17">RSQ(IF(ISNA($B17:$W17),"",$B17:$W17),IF(ISNA($B$2:$W$2),"",$B$2:$W$2))</f>
        <v>0.75701842662960839</v>
      </c>
      <c r="AB17" s="1310" t="s">
        <v>1268</v>
      </c>
      <c r="AC17" s="1310" t="s">
        <v>959</v>
      </c>
    </row>
    <row r="18" spans="1:29" ht="24" x14ac:dyDescent="0.2">
      <c r="A18" s="1310" t="str">
        <f>IF(Sheet1!$C$3="Annual",ChartLabels!AB18,ChartLabels!AC18)</f>
        <v>Children who Ceased to be Looked After during the Year ending 31st March, Rate per 10,000 0-17 Year Olds</v>
      </c>
      <c r="B18" s="1311">
        <f>IF(ISNUMBER(HLOOKUP(B$1,Home!$D$12:$AB$82,$X18,FALSE)),HLOOKUP(B$1,Home!$D$12:$AB$82,$X18,FALSE),NA())</f>
        <v>21.830985915492956</v>
      </c>
      <c r="C18" s="1311">
        <f>IF(ISNUMBER(HLOOKUP(C$1,Home!$D$12:$AB$82,$X18,FALSE)),HLOOKUP(C$1,Home!$D$12:$AB$82,$X18,FALSE),NA())</f>
        <v>35.387673956262425</v>
      </c>
      <c r="D18" s="1311">
        <f>IF(ISNUMBER(HLOOKUP(D$1,Home!$D$12:$AB$82,$X18,FALSE)),HLOOKUP(D$1,Home!$D$12:$AB$82,$X18,FALSE),NA())</f>
        <v>18.695306284805092</v>
      </c>
      <c r="E18" s="1311">
        <f>IF(ISNUMBER(HLOOKUP(E$1,Home!$D$12:$AB$82,$X18,FALSE)),HLOOKUP(E$1,Home!$D$12:$AB$82,$X18,FALSE),NA())</f>
        <v>16.556914393226716</v>
      </c>
      <c r="F18" s="1311">
        <f>IF(ISNUMBER(HLOOKUP(F$1,Home!$D$12:$AB$82,$X18,FALSE)),HLOOKUP(F$1,Home!$D$12:$AB$82,$X18,FALSE),NA())</f>
        <v>21.948645796693633</v>
      </c>
      <c r="G18" s="1311">
        <f>IF(ISNUMBER(HLOOKUP(G$1,Home!$D$12:$AB$82,$X18,FALSE)),HLOOKUP(G$1,Home!$D$12:$AB$82,$X18,FALSE),NA())</f>
        <v>21.457489878542511</v>
      </c>
      <c r="H18" s="1311">
        <f>IF(ISNUMBER(HLOOKUP(H$1,Home!$D$12:$AB$82,$X18,FALSE)),HLOOKUP(H$1,Home!$D$12:$AB$82,$X18,FALSE),NA())</f>
        <v>21.465968586387437</v>
      </c>
      <c r="I18" s="1311">
        <f>IF(ISNUMBER(HLOOKUP(I$1,Home!$D$12:$AB$82,$X18,FALSE)),HLOOKUP(I$1,Home!$D$12:$AB$82,$X18,FALSE),NA())</f>
        <v>27.69230769230769</v>
      </c>
      <c r="J18" s="1311">
        <f>IF(ISNUMBER(HLOOKUP(J$1,Home!$D$12:$AB$82,$X18,FALSE)),HLOOKUP(J$1,Home!$D$12:$AB$82,$X18,FALSE),NA())</f>
        <v>21.511627906976742</v>
      </c>
      <c r="K18" s="1311">
        <f>IF(ISNUMBER(HLOOKUP(K$1,Home!$D$12:$AB$82,$X18,FALSE)),HLOOKUP(K$1,Home!$D$12:$AB$82,$X18,FALSE),NA())</f>
        <v>22.039698836413415</v>
      </c>
      <c r="L18" s="1311">
        <f>IF(ISNUMBER(HLOOKUP(L$1,Home!$D$12:$AB$82,$X18,FALSE)),HLOOKUP(L$1,Home!$D$12:$AB$82,$X18,FALSE),NA())</f>
        <v>46.575342465753423</v>
      </c>
      <c r="M18" s="1311">
        <f>IF(ISNUMBER(HLOOKUP(M$1,Home!$D$12:$AB$82,$X18,FALSE)),HLOOKUP(M$1,Home!$D$12:$AB$82,$X18,FALSE),NA())</f>
        <v>29.45945945945946</v>
      </c>
      <c r="N18" s="1311">
        <f>IF(ISNUMBER(HLOOKUP(N$1,Home!$D$12:$AB$82,$X18,FALSE)),HLOOKUP(N$1,Home!$D$12:$AB$82,$X18,FALSE),NA())</f>
        <v>29.002320185614849</v>
      </c>
      <c r="O18" s="1312" t="e">
        <f>IF(ISNUMBER(HLOOKUP(O$1,Home!$D$12:$AB$82,$X18,FALSE)),HLOOKUP(O$1,Home!$D$12:$AB$82,$X18,FALSE),NA())</f>
        <v>#N/A</v>
      </c>
      <c r="P18" s="1311">
        <f>IF(ISNUMBER(HLOOKUP(P$1,Home!$D$12:$AB$82,$X18,FALSE)),HLOOKUP(P$1,Home!$D$12:$AB$82,$X18,FALSE),NA())</f>
        <v>38.791423001949319</v>
      </c>
      <c r="Q18" s="1311">
        <f>IF(ISNUMBER(HLOOKUP(Q$1,Home!$D$12:$AB$82,$X18,FALSE)),HLOOKUP(Q$1,Home!$D$12:$AB$82,$X18,FALSE),NA())</f>
        <v>13.836239575435938</v>
      </c>
      <c r="R18" s="1312" t="e">
        <f>IF(ISNUMBER(HLOOKUP(R$1,Home!$D$12:$AB$82,$X18,FALSE)),HLOOKUP(R$1,Home!$D$12:$AB$82,$X18,FALSE),NA())</f>
        <v>#N/A</v>
      </c>
      <c r="S18" s="1312" t="e">
        <f>IF(ISNUMBER(HLOOKUP(S$1,Home!$D$12:$AB$82,$X18,FALSE)),HLOOKUP(S$1,Home!$D$12:$AB$82,$X18,FALSE),NA())</f>
        <v>#N/A</v>
      </c>
      <c r="T18" s="1311">
        <f>IF(ISNUMBER(HLOOKUP(T$1,Home!$D$12:$AB$82,$X18,FALSE)),HLOOKUP(T$1,Home!$D$12:$AB$82,$X18,FALSE),NA())</f>
        <v>20.786516853932586</v>
      </c>
      <c r="U18" s="1311">
        <f>IF(ISNUMBER(HLOOKUP(U$1,Home!$D$12:$AB$82,$X18,FALSE)),HLOOKUP(U$1,Home!$D$12:$AB$82,$X18,FALSE),NA())</f>
        <v>20.159000567859174</v>
      </c>
      <c r="V18" s="1311">
        <f>IF(ISNUMBER(HLOOKUP(V$1,Home!$D$12:$AB$82,$X18,FALSE)),HLOOKUP(V$1,Home!$D$12:$AB$82,$X18,FALSE),NA())</f>
        <v>17.86743515850144</v>
      </c>
      <c r="W18" s="1311">
        <f>IF(ISNUMBER(HLOOKUP(W$1,Home!$D$12:$AB$82,$X18,FALSE)),HLOOKUP(W$1,Home!$D$12:$AB$82,$X18,FALSE),NA())</f>
        <v>13.613861386138613</v>
      </c>
      <c r="X18" s="1308">
        <f>VLOOKUP(A18,Home!C:BB,52,FALSE)</f>
        <v>52</v>
      </c>
      <c r="Y18" s="1314">
        <f t="array" ref="Y18">SLOPE(IF(ISNA($B18:$W18),"",$B18:$W18),IF(ISNA($B$2:$W$2),"",$B$2:$W$2))</f>
        <v>1.3207931124558878</v>
      </c>
      <c r="Z18" s="1314">
        <f t="array" ref="Z18">INTERCEPT(IF(ISNA($B18:$W18),"",$B18:$W18),IF(ISNA($B$2:$W$2),"",$B$2:$W$2))</f>
        <v>6.8733267772479465</v>
      </c>
      <c r="AA18" s="1314">
        <f t="array" ref="AA18">RSQ(IF(ISNA($B18:$W18),"",$B18:$W18),IF(ISNA($B$2:$W$2),"",$B$2:$W$2))</f>
        <v>0.52959162991839281</v>
      </c>
      <c r="AB18" s="1310" t="s">
        <v>1269</v>
      </c>
      <c r="AC18" s="1310" t="s">
        <v>960</v>
      </c>
    </row>
    <row r="19" spans="1:29" ht="36" x14ac:dyDescent="0.2">
      <c r="A19" s="1310" t="str">
        <f>IF(Sheet1!$C$3="Annual",ChartLabels!AB19,ChartLabels!AC19)</f>
        <v>Net Number of Children becoming Looked After during the Year ending 31st March, Rate per 10,000 0-17 Year Olds</v>
      </c>
      <c r="B19" s="1311">
        <f>IF(ISNUMBER(HLOOKUP(B$1,Home!$D$12:$AB$82,$X19,FALSE)),HLOOKUP(B$1,Home!$D$12:$AB$82,$X19,FALSE),NA())</f>
        <v>-5.28169014084507</v>
      </c>
      <c r="C19" s="1311">
        <f>IF(ISNUMBER(HLOOKUP(C$1,Home!$D$12:$AB$82,$X19,FALSE)),HLOOKUP(C$1,Home!$D$12:$AB$82,$X19,FALSE),NA())</f>
        <v>-4.7713717693836983</v>
      </c>
      <c r="D19" s="1311">
        <f>IF(ISNUMBER(HLOOKUP(D$1,Home!$D$12:$AB$82,$X19,FALSE)),HLOOKUP(D$1,Home!$D$12:$AB$82,$X19,FALSE),NA())</f>
        <v>-2.5457438345266503</v>
      </c>
      <c r="E19" s="1311">
        <f>IF(ISNUMBER(HLOOKUP(E$1,Home!$D$12:$AB$82,$X19,FALSE)),HLOOKUP(E$1,Home!$D$12:$AB$82,$X19,FALSE),NA())</f>
        <v>-0.18814675446848542</v>
      </c>
      <c r="F19" s="1311">
        <f>IF(ISNUMBER(HLOOKUP(F$1,Home!$D$12:$AB$82,$X19,FALSE)),HLOOKUP(F$1,Home!$D$12:$AB$82,$X19,FALSE),NA())</f>
        <v>-2.6380583890256775</v>
      </c>
      <c r="G19" s="1311">
        <f>IF(ISNUMBER(HLOOKUP(G$1,Home!$D$12:$AB$82,$X19,FALSE)),HLOOKUP(G$1,Home!$D$12:$AB$82,$X19,FALSE),NA())</f>
        <v>7.6923076923076925</v>
      </c>
      <c r="H19" s="1311">
        <f>IF(ISNUMBER(HLOOKUP(H$1,Home!$D$12:$AB$82,$X19,FALSE)),HLOOKUP(H$1,Home!$D$12:$AB$82,$X19,FALSE),NA())</f>
        <v>6.0500290866783013</v>
      </c>
      <c r="I19" s="1311">
        <f>IF(ISNUMBER(HLOOKUP(I$1,Home!$D$12:$AB$82,$X19,FALSE)),HLOOKUP(I$1,Home!$D$12:$AB$82,$X19,FALSE),NA())</f>
        <v>-0.92307692307692302</v>
      </c>
      <c r="J19" s="1311">
        <f>IF(ISNUMBER(HLOOKUP(J$1,Home!$D$12:$AB$82,$X19,FALSE)),HLOOKUP(J$1,Home!$D$12:$AB$82,$X19,FALSE),NA())</f>
        <v>2.9069767441860463</v>
      </c>
      <c r="K19" s="1311">
        <f>IF(ISNUMBER(HLOOKUP(K$1,Home!$D$12:$AB$82,$X19,FALSE)),HLOOKUP(K$1,Home!$D$12:$AB$82,$X19,FALSE),NA())</f>
        <v>-0.88980150581793294</v>
      </c>
      <c r="L19" s="1311">
        <f>IF(ISNUMBER(HLOOKUP(L$1,Home!$D$12:$AB$82,$X19,FALSE)),HLOOKUP(L$1,Home!$D$12:$AB$82,$X19,FALSE),NA())</f>
        <v>-5.7077625570776256</v>
      </c>
      <c r="M19" s="1311">
        <f>IF(ISNUMBER(HLOOKUP(M$1,Home!$D$12:$AB$82,$X19,FALSE)),HLOOKUP(M$1,Home!$D$12:$AB$82,$X19,FALSE),NA())</f>
        <v>1.8918918918918919</v>
      </c>
      <c r="N19" s="1311">
        <f>IF(ISNUMBER(HLOOKUP(N$1,Home!$D$12:$AB$82,$X19,FALSE)),HLOOKUP(N$1,Home!$D$12:$AB$82,$X19,FALSE),NA())</f>
        <v>-4.1763341067285387</v>
      </c>
      <c r="O19" s="1312" t="e">
        <f>IF(ISNUMBER(HLOOKUP(O$1,Home!$D$12:$AB$82,$X19,FALSE)),HLOOKUP(O$1,Home!$D$12:$AB$82,$X19,FALSE),NA())</f>
        <v>#N/A</v>
      </c>
      <c r="P19" s="1311">
        <f>IF(ISNUMBER(HLOOKUP(P$1,Home!$D$12:$AB$82,$X19,FALSE)),HLOOKUP(P$1,Home!$D$12:$AB$82,$X19,FALSE),NA())</f>
        <v>-0.38986354775828463</v>
      </c>
      <c r="Q19" s="1311">
        <f>IF(ISNUMBER(HLOOKUP(Q$1,Home!$D$12:$AB$82,$X19,FALSE)),HLOOKUP(Q$1,Home!$D$12:$AB$82,$X19,FALSE),NA())</f>
        <v>0.30326004548900681</v>
      </c>
      <c r="R19" s="1312" t="e">
        <f>IF(ISNUMBER(HLOOKUP(R$1,Home!$D$12:$AB$82,$X19,FALSE)),HLOOKUP(R$1,Home!$D$12:$AB$82,$X19,FALSE),NA())</f>
        <v>#N/A</v>
      </c>
      <c r="S19" s="1312" t="e">
        <f>IF(ISNUMBER(HLOOKUP(S$1,Home!$D$12:$AB$82,$X19,FALSE)),HLOOKUP(S$1,Home!$D$12:$AB$82,$X19,FALSE),NA())</f>
        <v>#N/A</v>
      </c>
      <c r="T19" s="1311">
        <f>IF(ISNUMBER(HLOOKUP(T$1,Home!$D$12:$AB$82,$X19,FALSE)),HLOOKUP(T$1,Home!$D$12:$AB$82,$X19,FALSE),NA())</f>
        <v>-4.213483146067416</v>
      </c>
      <c r="U19" s="1311">
        <f>IF(ISNUMBER(HLOOKUP(U$1,Home!$D$12:$AB$82,$X19,FALSE)),HLOOKUP(U$1,Home!$D$12:$AB$82,$X19,FALSE),NA())</f>
        <v>5.7921635434412266</v>
      </c>
      <c r="V19" s="1311">
        <f>IF(ISNUMBER(HLOOKUP(V$1,Home!$D$12:$AB$82,$X19,FALSE)),HLOOKUP(V$1,Home!$D$12:$AB$82,$X19,FALSE),NA())</f>
        <v>-2.8818443804034581</v>
      </c>
      <c r="W19" s="1311">
        <f>IF(ISNUMBER(HLOOKUP(W$1,Home!$D$12:$AB$82,$X19,FALSE)),HLOOKUP(W$1,Home!$D$12:$AB$82,$X19,FALSE),NA())</f>
        <v>-2.722772277227723</v>
      </c>
      <c r="X19" s="1308">
        <f>VLOOKUP(A19,Home!C:BB,52,FALSE)</f>
        <v>54</v>
      </c>
      <c r="Y19" s="1314">
        <f t="array" ref="Y19">SLOPE(IF(ISNA($B19:$W19),"",$B19:$W19),IF(ISNA($B$2:$W$2),"",$B$2:$W$2))</f>
        <v>0.21650238993224805</v>
      </c>
      <c r="Z19" s="1314">
        <f t="array" ref="Z19">INTERCEPT(IF(ISNA($B19:$W19),"",$B19:$W19),IF(ISNA($B$2:$W$2),"",$B$2:$W$2))</f>
        <v>-3.4985533677675642</v>
      </c>
      <c r="AA19" s="1314">
        <f t="array" ref="AA19">RSQ(IF(ISNA($B19:$W19),"",$B19:$W19),IF(ISNA($B$2:$W$2),"",$B$2:$W$2))</f>
        <v>6.6284745000430551E-2</v>
      </c>
      <c r="AB19" s="1310" t="s">
        <v>1270</v>
      </c>
      <c r="AC19" s="1310" t="s">
        <v>961</v>
      </c>
    </row>
    <row r="20" spans="1:29" ht="24" x14ac:dyDescent="0.2">
      <c r="A20" s="1310" t="str">
        <f>IF(Sheet1!$C$3="Annual",ChartLabels!AB20,ChartLabels!AC20)</f>
        <v>Number of Care Leavers Aged 19-21 at 31st March, Rate per 10,000 19-21 Year Olds</v>
      </c>
      <c r="B20" s="1311">
        <f>IF(ISNUMBER(HLOOKUP(B$1,Home!$D$12:$AB$82,$X20,FALSE)),HLOOKUP(B$1,Home!$D$12:$AB$82,$X20,FALSE),NA())</f>
        <v>169.13946587537092</v>
      </c>
      <c r="C20" s="1311">
        <f>IF(ISNUMBER(HLOOKUP(C$1,Home!$D$12:$AB$82,$X20,FALSE)),HLOOKUP(C$1,Home!$D$12:$AB$82,$X20,FALSE),NA())</f>
        <v>109.36007640878702</v>
      </c>
      <c r="D20" s="1311">
        <f>IF(ISNUMBER(HLOOKUP(D$1,Home!$D$12:$AB$82,$X20,FALSE)),HLOOKUP(D$1,Home!$D$12:$AB$82,$X20,FALSE),NA())</f>
        <v>151.5625</v>
      </c>
      <c r="E20" s="1311">
        <f>IF(ISNUMBER(HLOOKUP(E$1,Home!$D$12:$AB$82,$X20,FALSE)),HLOOKUP(E$1,Home!$D$12:$AB$82,$X20,FALSE),NA())</f>
        <v>137.39298536315934</v>
      </c>
      <c r="F20" s="1311">
        <f>IF(ISNUMBER(HLOOKUP(F$1,Home!$D$12:$AB$82,$X20,FALSE)),HLOOKUP(F$1,Home!$D$12:$AB$82,$X20,FALSE),NA())</f>
        <v>143.97871618978064</v>
      </c>
      <c r="G20" s="1311">
        <f>IF(ISNUMBER(HLOOKUP(G$1,Home!$D$12:$AB$82,$X20,FALSE)),HLOOKUP(G$1,Home!$D$12:$AB$82,$X20,FALSE),NA())</f>
        <v>243.4928631402183</v>
      </c>
      <c r="H20" s="1311">
        <f>IF(ISNUMBER(HLOOKUP(H$1,Home!$D$12:$AB$82,$X20,FALSE)),HLOOKUP(H$1,Home!$D$12:$AB$82,$X20,FALSE),NA())</f>
        <v>271.92827228219193</v>
      </c>
      <c r="I20" s="1311">
        <f>IF(ISNUMBER(HLOOKUP(I$1,Home!$D$12:$AB$82,$X20,FALSE)),HLOOKUP(I$1,Home!$D$12:$AB$82,$X20,FALSE),NA())</f>
        <v>129.50872310820935</v>
      </c>
      <c r="J20" s="1311">
        <f>IF(ISNUMBER(HLOOKUP(J$1,Home!$D$12:$AB$82,$X20,FALSE)),HLOOKUP(J$1,Home!$D$12:$AB$82,$X20,FALSE),NA())</f>
        <v>260.66350710900474</v>
      </c>
      <c r="K20" s="1311">
        <f>IF(ISNUMBER(HLOOKUP(K$1,Home!$D$12:$AB$82,$X20,FALSE)),HLOOKUP(K$1,Home!$D$12:$AB$82,$X20,FALSE),NA())</f>
        <v>97.249607325468702</v>
      </c>
      <c r="L20" s="1311">
        <f>IF(ISNUMBER(HLOOKUP(L$1,Home!$D$12:$AB$82,$X20,FALSE)),HLOOKUP(L$1,Home!$D$12:$AB$82,$X20,FALSE),NA())</f>
        <v>92.024539877300626</v>
      </c>
      <c r="M20" s="1311">
        <f>IF(ISNUMBER(HLOOKUP(M$1,Home!$D$12:$AB$82,$X20,FALSE)),HLOOKUP(M$1,Home!$D$12:$AB$82,$X20,FALSE),NA())</f>
        <v>114.20171867933063</v>
      </c>
      <c r="N20" s="1311">
        <f>IF(ISNUMBER(HLOOKUP(N$1,Home!$D$12:$AB$82,$X20,FALSE)),HLOOKUP(N$1,Home!$D$12:$AB$82,$X20,FALSE),NA())</f>
        <v>227.1062271062271</v>
      </c>
      <c r="O20" s="1312" t="e">
        <f>IF(ISNUMBER(HLOOKUP(O$1,Home!$D$12:$AB$82,$X20,FALSE)),HLOOKUP(O$1,Home!$D$12:$AB$82,$X20,FALSE),NA())</f>
        <v>#N/A</v>
      </c>
      <c r="P20" s="1311">
        <f>IF(ISNUMBER(HLOOKUP(P$1,Home!$D$12:$AB$82,$X20,FALSE)),HLOOKUP(P$1,Home!$D$12:$AB$82,$X20,FALSE),NA())</f>
        <v>63.961720619110395</v>
      </c>
      <c r="Q20" s="1311">
        <f>IF(ISNUMBER(HLOOKUP(Q$1,Home!$D$12:$AB$82,$X20,FALSE)),HLOOKUP(Q$1,Home!$D$12:$AB$82,$X20,FALSE),NA())</f>
        <v>137.1105420401195</v>
      </c>
      <c r="R20" s="1312" t="e">
        <f>IF(ISNUMBER(HLOOKUP(R$1,Home!$D$12:$AB$82,$X20,FALSE)),HLOOKUP(R$1,Home!$D$12:$AB$82,$X20,FALSE),NA())</f>
        <v>#N/A</v>
      </c>
      <c r="S20" s="1312" t="e">
        <f>IF(ISNUMBER(HLOOKUP(S$1,Home!$D$12:$AB$82,$X20,FALSE)),HLOOKUP(S$1,Home!$D$12:$AB$82,$X20,FALSE),NA())</f>
        <v>#N/A</v>
      </c>
      <c r="T20" s="1311">
        <f>IF(ISNUMBER(HLOOKUP(T$1,Home!$D$12:$AB$82,$X20,FALSE)),HLOOKUP(T$1,Home!$D$12:$AB$82,$X20,FALSE),NA())</f>
        <v>213.33333333333331</v>
      </c>
      <c r="U20" s="1311">
        <f>IF(ISNUMBER(HLOOKUP(U$1,Home!$D$12:$AB$82,$X20,FALSE)),HLOOKUP(U$1,Home!$D$12:$AB$82,$X20,FALSE),NA())</f>
        <v>171.77971230389645</v>
      </c>
      <c r="V20" s="1311">
        <f>IF(ISNUMBER(HLOOKUP(V$1,Home!$D$12:$AB$82,$X20,FALSE)),HLOOKUP(V$1,Home!$D$12:$AB$82,$X20,FALSE),NA())</f>
        <v>168.16816816816817</v>
      </c>
      <c r="W20" s="1311">
        <f>IF(ISNUMBER(HLOOKUP(W$1,Home!$D$12:$AB$82,$X20,FALSE)),HLOOKUP(W$1,Home!$D$12:$AB$82,$X20,FALSE),NA())</f>
        <v>115.85642889595638</v>
      </c>
      <c r="X20" s="1308">
        <f>VLOOKUP(A20,Home!C:BB,52,FALSE)</f>
        <v>62</v>
      </c>
      <c r="Y20" s="1314">
        <f t="array" ref="Y20">SLOPE(IF(ISNA($B20:$W20),"",$B20:$W20),IF(ISNA($B$2:$W$2),"",$B$2:$W$2))</f>
        <v>-0.76833990839444088</v>
      </c>
      <c r="Z20" s="1314">
        <f t="array" ref="Z20">INTERCEPT(IF(ISNA($B20:$W20),"",$B20:$W20),IF(ISNA($B$2:$W$2),"",$B$2:$W$2))</f>
        <v>168.87761795109543</v>
      </c>
      <c r="AA20" s="1314">
        <f t="array" ref="AA20">RSQ(IF(ISNA($B20:$W20),"",$B20:$W20),IF(ISNA($B$2:$W$2),"",$B$2:$W$2))</f>
        <v>3.6877124461975903E-3</v>
      </c>
      <c r="AB20" s="1315" t="s">
        <v>1271</v>
      </c>
      <c r="AC20" s="1315" t="s">
        <v>962</v>
      </c>
    </row>
    <row r="21" spans="1:29" ht="24" x14ac:dyDescent="0.2">
      <c r="A21" s="1310" t="str">
        <f>IF(Sheet1!$C$3="Annual",ChartLabels!AB21,ChartLabels!AC21)</f>
        <v>Children placed for Adoption at 31st March, Rate per 10,000 0-17 Year Olds</v>
      </c>
      <c r="B21" s="1311">
        <f>IF(ISNUMBER(HLOOKUP(B$1,Home!$D$12:$AB$82,$X21,FALSE)),HLOOKUP(B$1,Home!$D$12:$AB$82,$X21,FALSE),NA())</f>
        <v>0</v>
      </c>
      <c r="C21" s="1311">
        <f>IF(ISNUMBER(HLOOKUP(C$1,Home!$D$12:$AB$82,$X21,FALSE)),HLOOKUP(C$1,Home!$D$12:$AB$82,$X21,FALSE),NA())</f>
        <v>1.5904572564612327</v>
      </c>
      <c r="D21" s="1311">
        <f>IF(ISNUMBER(HLOOKUP(D$1,Home!$D$12:$AB$82,$X21,FALSE)),HLOOKUP(D$1,Home!$D$12:$AB$82,$X21,FALSE),NA())</f>
        <v>0.63643595863166258</v>
      </c>
      <c r="E21" s="1311">
        <f>IF(ISNUMBER(HLOOKUP(E$1,Home!$D$12:$AB$82,$X21,FALSE)),HLOOKUP(E$1,Home!$D$12:$AB$82,$X21,FALSE),NA())</f>
        <v>2.8222013170272811</v>
      </c>
      <c r="F21" s="1311">
        <f>IF(ISNUMBER(HLOOKUP(F$1,Home!$D$12:$AB$82,$X21,FALSE)),HLOOKUP(F$1,Home!$D$12:$AB$82,$X21,FALSE),NA())</f>
        <v>1.3366162504396764</v>
      </c>
      <c r="G21" s="1311" t="e">
        <f>IF(ISNUMBER(HLOOKUP(G$1,Home!$D$12:$AB$82,$X21,FALSE)),HLOOKUP(G$1,Home!$D$12:$AB$82,$X21,FALSE),NA())</f>
        <v>#N/A</v>
      </c>
      <c r="H21" s="1311">
        <f>IF(ISNUMBER(HLOOKUP(H$1,Home!$D$12:$AB$82,$X21,FALSE)),HLOOKUP(H$1,Home!$D$12:$AB$82,$X21,FALSE),NA())</f>
        <v>1.0471204188481675</v>
      </c>
      <c r="I21" s="1311">
        <f>IF(ISNUMBER(HLOOKUP(I$1,Home!$D$12:$AB$82,$X21,FALSE)),HLOOKUP(I$1,Home!$D$12:$AB$82,$X21,FALSE),NA())</f>
        <v>2.1538461538461537</v>
      </c>
      <c r="J21" s="1311">
        <f>IF(ISNUMBER(HLOOKUP(J$1,Home!$D$12:$AB$82,$X21,FALSE)),HLOOKUP(J$1,Home!$D$12:$AB$82,$X21,FALSE),NA())</f>
        <v>2.3255813953488373</v>
      </c>
      <c r="K21" s="1311">
        <f>IF(ISNUMBER(HLOOKUP(K$1,Home!$D$12:$AB$82,$X21,FALSE)),HLOOKUP(K$1,Home!$D$12:$AB$82,$X21,FALSE),NA())</f>
        <v>1.1635865845311431</v>
      </c>
      <c r="L21" s="1311">
        <f>IF(ISNUMBER(HLOOKUP(L$1,Home!$D$12:$AB$82,$X21,FALSE)),HLOOKUP(L$1,Home!$D$12:$AB$82,$X21,FALSE),NA())</f>
        <v>1.5981735159817352</v>
      </c>
      <c r="M21" s="1311" t="e">
        <f>IF(ISNUMBER(HLOOKUP(M$1,Home!$D$12:$AB$82,$X21,FALSE)),HLOOKUP(M$1,Home!$D$12:$AB$82,$X21,FALSE),NA())</f>
        <v>#N/A</v>
      </c>
      <c r="N21" s="1311">
        <f>IF(ISNUMBER(HLOOKUP(N$1,Home!$D$12:$AB$82,$X21,FALSE)),HLOOKUP(N$1,Home!$D$12:$AB$82,$X21,FALSE),NA())</f>
        <v>1.8561484918793505</v>
      </c>
      <c r="O21" s="1312" t="e">
        <f>IF(ISNUMBER(HLOOKUP(O$1,Home!$D$12:$AB$82,$X21,FALSE)),HLOOKUP(O$1,Home!$D$12:$AB$82,$X21,FALSE),NA())</f>
        <v>#N/A</v>
      </c>
      <c r="P21" s="1311" t="e">
        <f>IF(ISNUMBER(HLOOKUP(P$1,Home!$D$12:$AB$82,$X21,FALSE)),HLOOKUP(P$1,Home!$D$12:$AB$82,$X21,FALSE),NA())</f>
        <v>#N/A</v>
      </c>
      <c r="Q21" s="1311" t="e">
        <f>IF(ISNUMBER(HLOOKUP(Q$1,Home!$D$12:$AB$82,$X21,FALSE)),HLOOKUP(Q$1,Home!$D$12:$AB$82,$X21,FALSE),NA())</f>
        <v>#N/A</v>
      </c>
      <c r="R21" s="1312" t="e">
        <f>IF(ISNUMBER(HLOOKUP(R$1,Home!$D$12:$AB$82,$X21,FALSE)),HLOOKUP(R$1,Home!$D$12:$AB$82,$X21,FALSE),NA())</f>
        <v>#N/A</v>
      </c>
      <c r="S21" s="1312" t="e">
        <f>IF(ISNUMBER(HLOOKUP(S$1,Home!$D$12:$AB$82,$X21,FALSE)),HLOOKUP(S$1,Home!$D$12:$AB$82,$X21,FALSE),NA())</f>
        <v>#N/A</v>
      </c>
      <c r="T21" s="1311" t="e">
        <f>IF(ISNUMBER(HLOOKUP(T$1,Home!$D$12:$AB$82,$X21,FALSE)),HLOOKUP(T$1,Home!$D$12:$AB$82,$X21,FALSE),NA())</f>
        <v>#N/A</v>
      </c>
      <c r="U21" s="1311">
        <f>IF(ISNUMBER(HLOOKUP(U$1,Home!$D$12:$AB$82,$X21,FALSE)),HLOOKUP(U$1,Home!$D$12:$AB$82,$X21,FALSE),NA())</f>
        <v>1.8171493469619533</v>
      </c>
      <c r="V21" s="1311" t="e">
        <f>IF(ISNUMBER(HLOOKUP(V$1,Home!$D$12:$AB$82,$X21,FALSE)),HLOOKUP(V$1,Home!$D$12:$AB$82,$X21,FALSE),NA())</f>
        <v>#N/A</v>
      </c>
      <c r="W21" s="1311" t="e">
        <f>IF(ISNUMBER(HLOOKUP(W$1,Home!$D$12:$AB$82,$X21,FALSE)),HLOOKUP(W$1,Home!$D$12:$AB$82,$X21,FALSE),NA())</f>
        <v>#N/A</v>
      </c>
      <c r="X21" s="1308">
        <f>VLOOKUP(A21,Home!C:BB,52,FALSE)</f>
        <v>66</v>
      </c>
      <c r="Y21" s="1314">
        <f t="array" ref="Y21">SLOPE(IF(ISNA($B21:$W21),"",$B21:$W21),IF(ISNA($B$2:$W$2),"",$B$2:$W$2))</f>
        <v>0.12180129033168849</v>
      </c>
      <c r="Z21" s="1314">
        <f t="array" ref="Z21">INTERCEPT(IF(ISNA($B21:$W21),"",$B21:$W21),IF(ISNA($B$2:$W$2),"",$B$2:$W$2))</f>
        <v>-0.14176464155322743</v>
      </c>
      <c r="AA21" s="1314">
        <f t="array" ref="AA21">RSQ(IF(ISNA($B21:$W21),"",$B21:$W21),IF(ISNA($B$2:$W$2),"",$B$2:$W$2))</f>
        <v>0.38741462810623234</v>
      </c>
      <c r="AB21" s="1315" t="s">
        <v>1272</v>
      </c>
      <c r="AC21" s="1315" t="s">
        <v>963</v>
      </c>
    </row>
    <row r="22" spans="1:29" ht="36" x14ac:dyDescent="0.2">
      <c r="A22" s="1310" t="str">
        <f>IF(Sheet1!$C$3="Annual",ChartLabels!AB22,ChartLabels!AC22)</f>
        <v>Average days, between a child entering care and moving in with their adoptive family (children adopted in Year ending 31st March)</v>
      </c>
      <c r="B22" s="1311" t="e">
        <f>IF(ISNUMBER(HLOOKUP(B$1,Home!$D$12:$AB$82,$X22,FALSE)),HLOOKUP(B$1,Home!$D$12:$AB$82,$X22,FALSE),NA())</f>
        <v>#N/A</v>
      </c>
      <c r="C22" s="1311">
        <f>IF(ISNUMBER(HLOOKUP(C$1,Home!$D$12:$AB$82,$X22,FALSE)),HLOOKUP(C$1,Home!$D$12:$AB$82,$X22,FALSE),NA())</f>
        <v>410</v>
      </c>
      <c r="D22" s="1311">
        <f>IF(ISNUMBER(HLOOKUP(D$1,Home!$D$12:$AB$82,$X22,FALSE)),HLOOKUP(D$1,Home!$D$12:$AB$82,$X22,FALSE),NA())</f>
        <v>442.60869565217394</v>
      </c>
      <c r="E22" s="1311">
        <f>IF(ISNUMBER(HLOOKUP(E$1,Home!$D$12:$AB$82,$X22,FALSE)),HLOOKUP(E$1,Home!$D$12:$AB$82,$X22,FALSE),NA())</f>
        <v>489.46153846153851</v>
      </c>
      <c r="F22" s="1311">
        <f>IF(ISNUMBER(HLOOKUP(F$1,Home!$D$12:$AB$82,$X22,FALSE)),HLOOKUP(F$1,Home!$D$12:$AB$82,$X22,FALSE),NA())</f>
        <v>378.78571428571428</v>
      </c>
      <c r="G22" s="1311" t="e">
        <f>IF(ISNUMBER(HLOOKUP(G$1,Home!$D$12:$AB$82,$X22,FALSE)),HLOOKUP(G$1,Home!$D$12:$AB$82,$X22,FALSE),NA())</f>
        <v>#N/A</v>
      </c>
      <c r="H22" s="1311">
        <f>IF(ISNUMBER(HLOOKUP(H$1,Home!$D$12:$AB$82,$X22,FALSE)),HLOOKUP(H$1,Home!$D$12:$AB$82,$X22,FALSE),NA())</f>
        <v>336.63492063492066</v>
      </c>
      <c r="I22" s="1311">
        <f>IF(ISNUMBER(HLOOKUP(I$1,Home!$D$12:$AB$82,$X22,FALSE)),HLOOKUP(I$1,Home!$D$12:$AB$82,$X22,FALSE),NA())</f>
        <v>502.78947368421052</v>
      </c>
      <c r="J22" s="1311">
        <f>IF(ISNUMBER(HLOOKUP(J$1,Home!$D$12:$AB$82,$X22,FALSE)),HLOOKUP(J$1,Home!$D$12:$AB$82,$X22,FALSE),NA())</f>
        <v>403.07142857142856</v>
      </c>
      <c r="K22" s="1311">
        <f>IF(ISNUMBER(HLOOKUP(K$1,Home!$D$12:$AB$82,$X22,FALSE)),HLOOKUP(K$1,Home!$D$12:$AB$82,$X22,FALSE),NA())</f>
        <v>525.18181818181813</v>
      </c>
      <c r="L22" s="1311">
        <f>IF(ISNUMBER(HLOOKUP(L$1,Home!$D$12:$AB$82,$X22,FALSE)),HLOOKUP(L$1,Home!$D$12:$AB$82,$X22,FALSE),NA())</f>
        <v>390.08</v>
      </c>
      <c r="M22" s="1311">
        <f>IF(ISNUMBER(HLOOKUP(M$1,Home!$D$12:$AB$82,$X22,FALSE)),HLOOKUP(M$1,Home!$D$12:$AB$82,$X22,FALSE),NA())</f>
        <v>439.33333333333331</v>
      </c>
      <c r="N22" s="1311">
        <f>IF(ISNUMBER(HLOOKUP(N$1,Home!$D$12:$AB$82,$X22,FALSE)),HLOOKUP(N$1,Home!$D$12:$AB$82,$X22,FALSE),NA())</f>
        <v>404.8</v>
      </c>
      <c r="O22" s="1312" t="e">
        <f>IF(ISNUMBER(HLOOKUP(O$1,Home!$D$12:$AB$82,$X22,FALSE)),HLOOKUP(O$1,Home!$D$12:$AB$82,$X22,FALSE),NA())</f>
        <v>#N/A</v>
      </c>
      <c r="P22" s="1311">
        <f>IF(ISNUMBER(HLOOKUP(P$1,Home!$D$12:$AB$82,$X22,FALSE)),HLOOKUP(P$1,Home!$D$12:$AB$82,$X22,FALSE),NA())</f>
        <v>340.06896551724139</v>
      </c>
      <c r="Q22" s="1311">
        <f>IF(ISNUMBER(HLOOKUP(Q$1,Home!$D$12:$AB$82,$X22,FALSE)),HLOOKUP(Q$1,Home!$D$12:$AB$82,$X22,FALSE),NA())</f>
        <v>325.96428571428572</v>
      </c>
      <c r="R22" s="1312" t="e">
        <f>IF(ISNUMBER(HLOOKUP(R$1,Home!$D$12:$AB$82,$X22,FALSE)),HLOOKUP(R$1,Home!$D$12:$AB$82,$X22,FALSE),NA())</f>
        <v>#N/A</v>
      </c>
      <c r="S22" s="1312" t="e">
        <f>IF(ISNUMBER(HLOOKUP(S$1,Home!$D$12:$AB$82,$X22,FALSE)),HLOOKUP(S$1,Home!$D$12:$AB$82,$X22,FALSE),NA())</f>
        <v>#N/A</v>
      </c>
      <c r="T22" s="1311" t="e">
        <f>IF(ISNUMBER(HLOOKUP(T$1,Home!$D$12:$AB$82,$X22,FALSE)),HLOOKUP(T$1,Home!$D$12:$AB$82,$X22,FALSE),NA())</f>
        <v>#N/A</v>
      </c>
      <c r="U22" s="1311">
        <f>IF(ISNUMBER(HLOOKUP(U$1,Home!$D$12:$AB$82,$X22,FALSE)),HLOOKUP(U$1,Home!$D$12:$AB$82,$X22,FALSE),NA())</f>
        <v>537.61363636363637</v>
      </c>
      <c r="V22" s="1311" t="e">
        <f>IF(ISNUMBER(HLOOKUP(V$1,Home!$D$12:$AB$82,$X22,FALSE)),HLOOKUP(V$1,Home!$D$12:$AB$82,$X22,FALSE),NA())</f>
        <v>#N/A</v>
      </c>
      <c r="W22" s="1311" t="e">
        <f>IF(ISNUMBER(HLOOKUP(W$1,Home!$D$12:$AB$82,$X22,FALSE)),HLOOKUP(W$1,Home!$D$12:$AB$82,$X22,FALSE),NA())</f>
        <v>#N/A</v>
      </c>
      <c r="X22" s="1308">
        <f>VLOOKUP(A22,Home!C:BB,52,FALSE)</f>
        <v>67</v>
      </c>
      <c r="Y22" s="1314">
        <f t="array" ref="Y22">SLOPE(IF(ISNA($B22:$W22),"",$B22:$W22),IF(ISNA($B$2:$W$2),"",$B$2:$W$2))</f>
        <v>-2.3203762688420859</v>
      </c>
      <c r="Z22" s="1314">
        <f t="array" ref="Z22">INTERCEPT(IF(ISNA($B22:$W22),"",$B22:$W22),IF(ISNA($B$2:$W$2),"",$B$2:$W$2))</f>
        <v>456.54494659308131</v>
      </c>
      <c r="AA22" s="1314">
        <f t="array" ref="AA22">RSQ(IF(ISNA($B22:$W22),"",$B22:$W22),IF(ISNA($B$2:$W$2),"",$B$2:$W$2))</f>
        <v>1.8912886687001158E-2</v>
      </c>
      <c r="AB22" s="1315" t="s">
        <v>1273</v>
      </c>
      <c r="AC22" s="1315" t="s">
        <v>964</v>
      </c>
    </row>
    <row r="23" spans="1:29" ht="24" x14ac:dyDescent="0.2">
      <c r="A23" s="1310" t="str">
        <f>IF(Sheet1!$C$3="Annual",ChartLabels!AB23,ChartLabels!AC23)</f>
        <v>Children subject to Child Arrangement Orders at 31st March- TOTAL (Rate per 10,000 0-17 Year Olds)</v>
      </c>
      <c r="B23" s="1311" t="e">
        <f>IF(ISNUMBER(HLOOKUP(B$1,Home!$D$12:$AB$82,$X23,FALSE)),HLOOKUP(B$1,Home!$D$12:$AB$82,$X23,FALSE),NA())</f>
        <v>#N/A</v>
      </c>
      <c r="C23" s="1311" t="e">
        <f>IF(ISNUMBER(HLOOKUP(C$1,Home!$D$12:$AB$82,$X23,FALSE)),HLOOKUP(C$1,Home!$D$12:$AB$82,$X23,FALSE),NA())</f>
        <v>#N/A</v>
      </c>
      <c r="D23" s="1311" t="e">
        <f>IF(ISNUMBER(HLOOKUP(D$1,Home!$D$12:$AB$82,$X23,FALSE)),HLOOKUP(D$1,Home!$D$12:$AB$82,$X23,FALSE),NA())</f>
        <v>#N/A</v>
      </c>
      <c r="E23" s="1311" t="e">
        <f>IF(ISNUMBER(HLOOKUP(E$1,Home!$D$12:$AB$82,$X23,FALSE)),HLOOKUP(E$1,Home!$D$12:$AB$82,$X23,FALSE),NA())</f>
        <v>#N/A</v>
      </c>
      <c r="F23" s="1311" t="e">
        <f>IF(ISNUMBER(HLOOKUP(F$1,Home!$D$12:$AB$82,$X23,FALSE)),HLOOKUP(F$1,Home!$D$12:$AB$82,$X23,FALSE),NA())</f>
        <v>#N/A</v>
      </c>
      <c r="G23" s="1311" t="e">
        <f>IF(ISNUMBER(HLOOKUP(G$1,Home!$D$12:$AB$82,$X23,FALSE)),HLOOKUP(G$1,Home!$D$12:$AB$82,$X23,FALSE),NA())</f>
        <v>#N/A</v>
      </c>
      <c r="H23" s="1311" t="e">
        <f>IF(ISNUMBER(HLOOKUP(H$1,Home!$D$12:$AB$82,$X23,FALSE)),HLOOKUP(H$1,Home!$D$12:$AB$82,$X23,FALSE),NA())</f>
        <v>#N/A</v>
      </c>
      <c r="I23" s="1311" t="e">
        <f>IF(ISNUMBER(HLOOKUP(I$1,Home!$D$12:$AB$82,$X23,FALSE)),HLOOKUP(I$1,Home!$D$12:$AB$82,$X23,FALSE),NA())</f>
        <v>#N/A</v>
      </c>
      <c r="J23" s="1311" t="e">
        <f>IF(ISNUMBER(HLOOKUP(J$1,Home!$D$12:$AB$82,$X23,FALSE)),HLOOKUP(J$1,Home!$D$12:$AB$82,$X23,FALSE),NA())</f>
        <v>#N/A</v>
      </c>
      <c r="K23" s="1311" t="e">
        <f>IF(ISNUMBER(HLOOKUP(K$1,Home!$D$12:$AB$82,$X23,FALSE)),HLOOKUP(K$1,Home!$D$12:$AB$82,$X23,FALSE),NA())</f>
        <v>#N/A</v>
      </c>
      <c r="L23" s="1311" t="e">
        <f>IF(ISNUMBER(HLOOKUP(L$1,Home!$D$12:$AB$82,$X23,FALSE)),HLOOKUP(L$1,Home!$D$12:$AB$82,$X23,FALSE),NA())</f>
        <v>#N/A</v>
      </c>
      <c r="M23" s="1311" t="e">
        <f>IF(ISNUMBER(HLOOKUP(M$1,Home!$D$12:$AB$82,$X23,FALSE)),HLOOKUP(M$1,Home!$D$12:$AB$82,$X23,FALSE),NA())</f>
        <v>#N/A</v>
      </c>
      <c r="N23" s="1311" t="e">
        <f>IF(ISNUMBER(HLOOKUP(N$1,Home!$D$12:$AB$82,$X23,FALSE)),HLOOKUP(N$1,Home!$D$12:$AB$82,$X23,FALSE),NA())</f>
        <v>#N/A</v>
      </c>
      <c r="O23" s="1312" t="e">
        <f>IF(ISNUMBER(HLOOKUP(O$1,Home!$D$12:$AB$82,$X23,FALSE)),HLOOKUP(O$1,Home!$D$12:$AB$82,$X23,FALSE),NA())</f>
        <v>#N/A</v>
      </c>
      <c r="P23" s="1311" t="e">
        <f>IF(ISNUMBER(HLOOKUP(P$1,Home!$D$12:$AB$82,$X23,FALSE)),HLOOKUP(P$1,Home!$D$12:$AB$82,$X23,FALSE),NA())</f>
        <v>#N/A</v>
      </c>
      <c r="Q23" s="1311" t="e">
        <f>IF(ISNUMBER(HLOOKUP(Q$1,Home!$D$12:$AB$82,$X23,FALSE)),HLOOKUP(Q$1,Home!$D$12:$AB$82,$X23,FALSE),NA())</f>
        <v>#N/A</v>
      </c>
      <c r="R23" s="1312" t="e">
        <f>IF(ISNUMBER(HLOOKUP(R$1,Home!$D$12:$AB$82,$X23,FALSE)),HLOOKUP(R$1,Home!$D$12:$AB$82,$X23,FALSE),NA())</f>
        <v>#N/A</v>
      </c>
      <c r="S23" s="1312" t="e">
        <f>IF(ISNUMBER(HLOOKUP(S$1,Home!$D$12:$AB$82,$X23,FALSE)),HLOOKUP(S$1,Home!$D$12:$AB$82,$X23,FALSE),NA())</f>
        <v>#N/A</v>
      </c>
      <c r="T23" s="1311" t="e">
        <f>IF(ISNUMBER(HLOOKUP(T$1,Home!$D$12:$AB$82,$X23,FALSE)),HLOOKUP(T$1,Home!$D$12:$AB$82,$X23,FALSE),NA())</f>
        <v>#N/A</v>
      </c>
      <c r="U23" s="1311" t="e">
        <f>IF(ISNUMBER(HLOOKUP(U$1,Home!$D$12:$AB$82,$X23,FALSE)),HLOOKUP(U$1,Home!$D$12:$AB$82,$X23,FALSE),NA())</f>
        <v>#N/A</v>
      </c>
      <c r="V23" s="1311" t="e">
        <f>IF(ISNUMBER(HLOOKUP(V$1,Home!$D$12:$AB$82,$X23,FALSE)),HLOOKUP(V$1,Home!$D$12:$AB$82,$X23,FALSE),NA())</f>
        <v>#N/A</v>
      </c>
      <c r="W23" s="1311" t="e">
        <f>IF(ISNUMBER(HLOOKUP(W$1,Home!$D$12:$AB$82,$X23,FALSE)),HLOOKUP(W$1,Home!$D$12:$AB$82,$X23,FALSE),NA())</f>
        <v>#N/A</v>
      </c>
      <c r="X23" s="1308" t="e">
        <f>VLOOKUP(A23,Home!C:BB,52,FALSE)</f>
        <v>#N/A</v>
      </c>
      <c r="Y23" s="1314" t="e">
        <f t="array" ref="Y23">SLOPE(IF(ISNA($B23:$W23),"",$B23:$W23),IF(ISNA($B$2:$W$2),"",$B$2:$W$2))</f>
        <v>#DIV/0!</v>
      </c>
      <c r="Z23" s="1314" t="e">
        <f t="array" ref="Z23">INTERCEPT(IF(ISNA($B23:$W23),"",$B23:$W23),IF(ISNA($B$2:$W$2),"",$B$2:$W$2))</f>
        <v>#DIV/0!</v>
      </c>
      <c r="AA23" s="1314" t="e">
        <f t="array" ref="AA23">RSQ(IF(ISNA($B23:$W23),"",$B23:$W23),IF(ISNA($B$2:$W$2),"",$B$2:$W$2))</f>
        <v>#DIV/0!</v>
      </c>
      <c r="AB23" s="1310" t="s">
        <v>1274</v>
      </c>
      <c r="AC23" s="1310" t="s">
        <v>965</v>
      </c>
    </row>
    <row r="24" spans="1:29" ht="24" x14ac:dyDescent="0.2">
      <c r="A24" s="1310" t="str">
        <f>IF(Sheet1!$C$3="Annual",ChartLabels!AB24,ChartLabels!AC24)</f>
        <v>Children subject to Special Guardianship Orders at 31st March- TOTAL (Rate per 10,000 0-17 Year Olds)</v>
      </c>
      <c r="B24" s="1311" t="e">
        <f>IF(ISNUMBER(HLOOKUP(B$1,Home!$D$12:$AB$82,$X24,FALSE)),HLOOKUP(B$1,Home!$D$12:$AB$82,$X24,FALSE),NA())</f>
        <v>#N/A</v>
      </c>
      <c r="C24" s="1311" t="e">
        <f>IF(ISNUMBER(HLOOKUP(C$1,Home!$D$12:$AB$82,$X24,FALSE)),HLOOKUP(C$1,Home!$D$12:$AB$82,$X24,FALSE),NA())</f>
        <v>#N/A</v>
      </c>
      <c r="D24" s="1311" t="e">
        <f>IF(ISNUMBER(HLOOKUP(D$1,Home!$D$12:$AB$82,$X24,FALSE)),HLOOKUP(D$1,Home!$D$12:$AB$82,$X24,FALSE),NA())</f>
        <v>#N/A</v>
      </c>
      <c r="E24" s="1311" t="e">
        <f>IF(ISNUMBER(HLOOKUP(E$1,Home!$D$12:$AB$82,$X24,FALSE)),HLOOKUP(E$1,Home!$D$12:$AB$82,$X24,FALSE),NA())</f>
        <v>#N/A</v>
      </c>
      <c r="F24" s="1311" t="e">
        <f>IF(ISNUMBER(HLOOKUP(F$1,Home!$D$12:$AB$82,$X24,FALSE)),HLOOKUP(F$1,Home!$D$12:$AB$82,$X24,FALSE),NA())</f>
        <v>#N/A</v>
      </c>
      <c r="G24" s="1311" t="e">
        <f>IF(ISNUMBER(HLOOKUP(G$1,Home!$D$12:$AB$82,$X24,FALSE)),HLOOKUP(G$1,Home!$D$12:$AB$82,$X24,FALSE),NA())</f>
        <v>#N/A</v>
      </c>
      <c r="H24" s="1311" t="e">
        <f>IF(ISNUMBER(HLOOKUP(H$1,Home!$D$12:$AB$82,$X24,FALSE)),HLOOKUP(H$1,Home!$D$12:$AB$82,$X24,FALSE),NA())</f>
        <v>#N/A</v>
      </c>
      <c r="I24" s="1311" t="e">
        <f>IF(ISNUMBER(HLOOKUP(I$1,Home!$D$12:$AB$82,$X24,FALSE)),HLOOKUP(I$1,Home!$D$12:$AB$82,$X24,FALSE),NA())</f>
        <v>#N/A</v>
      </c>
      <c r="J24" s="1311" t="e">
        <f>IF(ISNUMBER(HLOOKUP(J$1,Home!$D$12:$AB$82,$X24,FALSE)),HLOOKUP(J$1,Home!$D$12:$AB$82,$X24,FALSE),NA())</f>
        <v>#N/A</v>
      </c>
      <c r="K24" s="1311" t="e">
        <f>IF(ISNUMBER(HLOOKUP(K$1,Home!$D$12:$AB$82,$X24,FALSE)),HLOOKUP(K$1,Home!$D$12:$AB$82,$X24,FALSE),NA())</f>
        <v>#N/A</v>
      </c>
      <c r="L24" s="1311" t="e">
        <f>IF(ISNUMBER(HLOOKUP(L$1,Home!$D$12:$AB$82,$X24,FALSE)),HLOOKUP(L$1,Home!$D$12:$AB$82,$X24,FALSE),NA())</f>
        <v>#N/A</v>
      </c>
      <c r="M24" s="1311" t="e">
        <f>IF(ISNUMBER(HLOOKUP(M$1,Home!$D$12:$AB$82,$X24,FALSE)),HLOOKUP(M$1,Home!$D$12:$AB$82,$X24,FALSE),NA())</f>
        <v>#N/A</v>
      </c>
      <c r="N24" s="1311" t="e">
        <f>IF(ISNUMBER(HLOOKUP(N$1,Home!$D$12:$AB$82,$X24,FALSE)),HLOOKUP(N$1,Home!$D$12:$AB$82,$X24,FALSE),NA())</f>
        <v>#N/A</v>
      </c>
      <c r="O24" s="1312" t="e">
        <f>IF(ISNUMBER(HLOOKUP(O$1,Home!$D$12:$AB$82,$X24,FALSE)),HLOOKUP(O$1,Home!$D$12:$AB$82,$X24,FALSE),NA())</f>
        <v>#N/A</v>
      </c>
      <c r="P24" s="1311" t="e">
        <f>IF(ISNUMBER(HLOOKUP(P$1,Home!$D$12:$AB$82,$X24,FALSE)),HLOOKUP(P$1,Home!$D$12:$AB$82,$X24,FALSE),NA())</f>
        <v>#N/A</v>
      </c>
      <c r="Q24" s="1311" t="e">
        <f>IF(ISNUMBER(HLOOKUP(Q$1,Home!$D$12:$AB$82,$X24,FALSE)),HLOOKUP(Q$1,Home!$D$12:$AB$82,$X24,FALSE),NA())</f>
        <v>#N/A</v>
      </c>
      <c r="R24" s="1312" t="e">
        <f>IF(ISNUMBER(HLOOKUP(R$1,Home!$D$12:$AB$82,$X24,FALSE)),HLOOKUP(R$1,Home!$D$12:$AB$82,$X24,FALSE),NA())</f>
        <v>#N/A</v>
      </c>
      <c r="S24" s="1312" t="e">
        <f>IF(ISNUMBER(HLOOKUP(S$1,Home!$D$12:$AB$82,$X24,FALSE)),HLOOKUP(S$1,Home!$D$12:$AB$82,$X24,FALSE),NA())</f>
        <v>#N/A</v>
      </c>
      <c r="T24" s="1311" t="e">
        <f>IF(ISNUMBER(HLOOKUP(T$1,Home!$D$12:$AB$82,$X24,FALSE)),HLOOKUP(T$1,Home!$D$12:$AB$82,$X24,FALSE),NA())</f>
        <v>#N/A</v>
      </c>
      <c r="U24" s="1311" t="e">
        <f>IF(ISNUMBER(HLOOKUP(U$1,Home!$D$12:$AB$82,$X24,FALSE)),HLOOKUP(U$1,Home!$D$12:$AB$82,$X24,FALSE),NA())</f>
        <v>#N/A</v>
      </c>
      <c r="V24" s="1311" t="e">
        <f>IF(ISNUMBER(HLOOKUP(V$1,Home!$D$12:$AB$82,$X24,FALSE)),HLOOKUP(V$1,Home!$D$12:$AB$82,$X24,FALSE),NA())</f>
        <v>#N/A</v>
      </c>
      <c r="W24" s="1311" t="e">
        <f>IF(ISNUMBER(HLOOKUP(W$1,Home!$D$12:$AB$82,$X24,FALSE)),HLOOKUP(W$1,Home!$D$12:$AB$82,$X24,FALSE),NA())</f>
        <v>#N/A</v>
      </c>
      <c r="X24" s="1308" t="e">
        <f>VLOOKUP(A24,Home!C:BB,52,FALSE)</f>
        <v>#N/A</v>
      </c>
      <c r="Y24" s="1314" t="e">
        <f t="array" ref="Y24">SLOPE(IF(ISNA($B24:$W24),"",$B24:$W24),IF(ISNA($B$2:$W$2),"",$B$2:$W$2))</f>
        <v>#DIV/0!</v>
      </c>
      <c r="Z24" s="1314" t="e">
        <f t="array" ref="Z24">INTERCEPT(IF(ISNA($B24:$W24),"",$B24:$W24),IF(ISNA($B$2:$W$2),"",$B$2:$W$2))</f>
        <v>#DIV/0!</v>
      </c>
      <c r="AA24" s="1314" t="e">
        <f t="array" ref="AA24">RSQ(IF(ISNA($B24:$W24),"",$B24:$W24),IF(ISNA($B$2:$W$2),"",$B$2:$W$2))</f>
        <v>#DIV/0!</v>
      </c>
      <c r="AB24" s="1310" t="s">
        <v>1275</v>
      </c>
      <c r="AC24" s="1310" t="s">
        <v>966</v>
      </c>
    </row>
    <row r="25" spans="1:29" ht="36" x14ac:dyDescent="0.2">
      <c r="A25" s="1310" t="str">
        <f>IF(Sheet1!$C$3="Annual",ChartLabels!AB25,ChartLabels!AC25)</f>
        <v>% Young People aged 16-17 who are Participating in Education, Employment or Training (EET) at 31st March</v>
      </c>
      <c r="B25" s="1311" t="e">
        <f>IF(ISNUMBER(HLOOKUP(B$1,Home!$D$12:$AB$82,$X25,FALSE)),HLOOKUP(B$1,Home!$D$12:$AB$82,$X25,FALSE),NA())</f>
        <v>#N/A</v>
      </c>
      <c r="C25" s="1311" t="e">
        <f>IF(ISNUMBER(HLOOKUP(C$1,Home!$D$12:$AB$82,$X25,FALSE)),HLOOKUP(C$1,Home!$D$12:$AB$82,$X25,FALSE),NA())</f>
        <v>#N/A</v>
      </c>
      <c r="D25" s="1311" t="e">
        <f>IF(ISNUMBER(HLOOKUP(D$1,Home!$D$12:$AB$82,$X25,FALSE)),HLOOKUP(D$1,Home!$D$12:$AB$82,$X25,FALSE),NA())</f>
        <v>#N/A</v>
      </c>
      <c r="E25" s="1311" t="e">
        <f>IF(ISNUMBER(HLOOKUP(E$1,Home!$D$12:$AB$82,$X25,FALSE)),HLOOKUP(E$1,Home!$D$12:$AB$82,$X25,FALSE),NA())</f>
        <v>#N/A</v>
      </c>
      <c r="F25" s="1311" t="e">
        <f>IF(ISNUMBER(HLOOKUP(F$1,Home!$D$12:$AB$82,$X25,FALSE)),HLOOKUP(F$1,Home!$D$12:$AB$82,$X25,FALSE),NA())</f>
        <v>#N/A</v>
      </c>
      <c r="G25" s="1311" t="e">
        <f>IF(ISNUMBER(HLOOKUP(G$1,Home!$D$12:$AB$82,$X25,FALSE)),HLOOKUP(G$1,Home!$D$12:$AB$82,$X25,FALSE),NA())</f>
        <v>#N/A</v>
      </c>
      <c r="H25" s="1311" t="e">
        <f>IF(ISNUMBER(HLOOKUP(H$1,Home!$D$12:$AB$82,$X25,FALSE)),HLOOKUP(H$1,Home!$D$12:$AB$82,$X25,FALSE),NA())</f>
        <v>#N/A</v>
      </c>
      <c r="I25" s="1311" t="e">
        <f>IF(ISNUMBER(HLOOKUP(I$1,Home!$D$12:$AB$82,$X25,FALSE)),HLOOKUP(I$1,Home!$D$12:$AB$82,$X25,FALSE),NA())</f>
        <v>#N/A</v>
      </c>
      <c r="J25" s="1311" t="e">
        <f>IF(ISNUMBER(HLOOKUP(J$1,Home!$D$12:$AB$82,$X25,FALSE)),HLOOKUP(J$1,Home!$D$12:$AB$82,$X25,FALSE),NA())</f>
        <v>#N/A</v>
      </c>
      <c r="K25" s="1311" t="e">
        <f>IF(ISNUMBER(HLOOKUP(K$1,Home!$D$12:$AB$82,$X25,FALSE)),HLOOKUP(K$1,Home!$D$12:$AB$82,$X25,FALSE),NA())</f>
        <v>#N/A</v>
      </c>
      <c r="L25" s="1311" t="e">
        <f>IF(ISNUMBER(HLOOKUP(L$1,Home!$D$12:$AB$82,$X25,FALSE)),HLOOKUP(L$1,Home!$D$12:$AB$82,$X25,FALSE),NA())</f>
        <v>#N/A</v>
      </c>
      <c r="M25" s="1311" t="e">
        <f>IF(ISNUMBER(HLOOKUP(M$1,Home!$D$12:$AB$82,$X25,FALSE)),HLOOKUP(M$1,Home!$D$12:$AB$82,$X25,FALSE),NA())</f>
        <v>#N/A</v>
      </c>
      <c r="N25" s="1311" t="e">
        <f>IF(ISNUMBER(HLOOKUP(N$1,Home!$D$12:$AB$82,$X25,FALSE)),HLOOKUP(N$1,Home!$D$12:$AB$82,$X25,FALSE),NA())</f>
        <v>#N/A</v>
      </c>
      <c r="O25" s="1312" t="e">
        <f>IF(ISNUMBER(HLOOKUP(O$1,Home!$D$12:$AB$82,$X25,FALSE)),HLOOKUP(O$1,Home!$D$12:$AB$82,$X25,FALSE),NA())</f>
        <v>#N/A</v>
      </c>
      <c r="P25" s="1311" t="e">
        <f>IF(ISNUMBER(HLOOKUP(P$1,Home!$D$12:$AB$82,$X25,FALSE)),HLOOKUP(P$1,Home!$D$12:$AB$82,$X25,FALSE),NA())</f>
        <v>#N/A</v>
      </c>
      <c r="Q25" s="1311" t="e">
        <f>IF(ISNUMBER(HLOOKUP(Q$1,Home!$D$12:$AB$82,$X25,FALSE)),HLOOKUP(Q$1,Home!$D$12:$AB$82,$X25,FALSE),NA())</f>
        <v>#N/A</v>
      </c>
      <c r="R25" s="1312" t="e">
        <f>IF(ISNUMBER(HLOOKUP(R$1,Home!$D$12:$AB$82,$X25,FALSE)),HLOOKUP(R$1,Home!$D$12:$AB$82,$X25,FALSE),NA())</f>
        <v>#N/A</v>
      </c>
      <c r="S25" s="1312" t="e">
        <f>IF(ISNUMBER(HLOOKUP(S$1,Home!$D$12:$AB$82,$X25,FALSE)),HLOOKUP(S$1,Home!$D$12:$AB$82,$X25,FALSE),NA())</f>
        <v>#N/A</v>
      </c>
      <c r="T25" s="1311" t="e">
        <f>IF(ISNUMBER(HLOOKUP(T$1,Home!$D$12:$AB$82,$X25,FALSE)),HLOOKUP(T$1,Home!$D$12:$AB$82,$X25,FALSE),NA())</f>
        <v>#N/A</v>
      </c>
      <c r="U25" s="1311" t="e">
        <f>IF(ISNUMBER(HLOOKUP(U$1,Home!$D$12:$AB$82,$X25,FALSE)),HLOOKUP(U$1,Home!$D$12:$AB$82,$X25,FALSE),NA())</f>
        <v>#N/A</v>
      </c>
      <c r="V25" s="1311" t="e">
        <f>IF(ISNUMBER(HLOOKUP(V$1,Home!$D$12:$AB$82,$X25,FALSE)),HLOOKUP(V$1,Home!$D$12:$AB$82,$X25,FALSE),NA())</f>
        <v>#N/A</v>
      </c>
      <c r="W25" s="1311" t="e">
        <f>IF(ISNUMBER(HLOOKUP(W$1,Home!$D$12:$AB$82,$X25,FALSE)),HLOOKUP(W$1,Home!$D$12:$AB$82,$X25,FALSE),NA())</f>
        <v>#N/A</v>
      </c>
      <c r="X25" s="1308" t="e">
        <f>VLOOKUP(A25,Home!C:BB,52,FALSE)</f>
        <v>#N/A</v>
      </c>
      <c r="Y25" s="1314" t="e">
        <f t="array" ref="Y25">SLOPE(IF(ISNA($B25:$W25),"",$B25:$W25),IF(ISNA($B$2:$W$2),"",$B$2:$W$2))</f>
        <v>#DIV/0!</v>
      </c>
      <c r="Z25" s="1314" t="e">
        <f t="array" ref="Z25">INTERCEPT(IF(ISNA($B25:$W25),"",$B25:$W25),IF(ISNA($B$2:$W$2),"",$B$2:$W$2))</f>
        <v>#DIV/0!</v>
      </c>
      <c r="AA25" s="1314" t="e">
        <f t="array" ref="AA25">RSQ(IF(ISNA($B25:$W25),"",$B25:$W25),IF(ISNA($B$2:$W$2),"",$B$2:$W$2))</f>
        <v>#DIV/0!</v>
      </c>
      <c r="AB25" s="1315" t="s">
        <v>1276</v>
      </c>
      <c r="AC25" s="1315" t="s">
        <v>967</v>
      </c>
    </row>
    <row r="26" spans="1:29" ht="36" x14ac:dyDescent="0.2">
      <c r="A26" s="1310" t="str">
        <f>IF(Sheet1!$C$3="Annual",ChartLabels!AB26,ChartLabels!AC26)</f>
        <v>First Time Entrants to the Youth Justice System during the Year ending 31st March, Rate per 100,000 10-17 Year Olds</v>
      </c>
      <c r="B26" s="1311" t="e">
        <f>IF(ISNUMBER(HLOOKUP(B$1,Home!$D$12:$AB$82,$X26,FALSE)),HLOOKUP(B$1,Home!$D$12:$AB$82,$X26,FALSE),NA())</f>
        <v>#N/A</v>
      </c>
      <c r="C26" s="1311" t="e">
        <f>IF(ISNUMBER(HLOOKUP(C$1,Home!$D$12:$AB$82,$X26,FALSE)),HLOOKUP(C$1,Home!$D$12:$AB$82,$X26,FALSE),NA())</f>
        <v>#N/A</v>
      </c>
      <c r="D26" s="1311" t="e">
        <f>IF(ISNUMBER(HLOOKUP(D$1,Home!$D$12:$AB$82,$X26,FALSE)),HLOOKUP(D$1,Home!$D$12:$AB$82,$X26,FALSE),NA())</f>
        <v>#N/A</v>
      </c>
      <c r="E26" s="1311" t="e">
        <f>IF(ISNUMBER(HLOOKUP(E$1,Home!$D$12:$AB$82,$X26,FALSE)),HLOOKUP(E$1,Home!$D$12:$AB$82,$X26,FALSE),NA())</f>
        <v>#N/A</v>
      </c>
      <c r="F26" s="1311" t="e">
        <f>IF(ISNUMBER(HLOOKUP(F$1,Home!$D$12:$AB$82,$X26,FALSE)),HLOOKUP(F$1,Home!$D$12:$AB$82,$X26,FALSE),NA())</f>
        <v>#N/A</v>
      </c>
      <c r="G26" s="1311" t="e">
        <f>IF(ISNUMBER(HLOOKUP(G$1,Home!$D$12:$AB$82,$X26,FALSE)),HLOOKUP(G$1,Home!$D$12:$AB$82,$X26,FALSE),NA())</f>
        <v>#N/A</v>
      </c>
      <c r="H26" s="1311" t="e">
        <f>IF(ISNUMBER(HLOOKUP(H$1,Home!$D$12:$AB$82,$X26,FALSE)),HLOOKUP(H$1,Home!$D$12:$AB$82,$X26,FALSE),NA())</f>
        <v>#N/A</v>
      </c>
      <c r="I26" s="1311" t="e">
        <f>IF(ISNUMBER(HLOOKUP(I$1,Home!$D$12:$AB$82,$X26,FALSE)),HLOOKUP(I$1,Home!$D$12:$AB$82,$X26,FALSE),NA())</f>
        <v>#N/A</v>
      </c>
      <c r="J26" s="1311" t="e">
        <f>IF(ISNUMBER(HLOOKUP(J$1,Home!$D$12:$AB$82,$X26,FALSE)),HLOOKUP(J$1,Home!$D$12:$AB$82,$X26,FALSE),NA())</f>
        <v>#N/A</v>
      </c>
      <c r="K26" s="1311" t="e">
        <f>IF(ISNUMBER(HLOOKUP(K$1,Home!$D$12:$AB$82,$X26,FALSE)),HLOOKUP(K$1,Home!$D$12:$AB$82,$X26,FALSE),NA())</f>
        <v>#N/A</v>
      </c>
      <c r="L26" s="1311" t="e">
        <f>IF(ISNUMBER(HLOOKUP(L$1,Home!$D$12:$AB$82,$X26,FALSE)),HLOOKUP(L$1,Home!$D$12:$AB$82,$X26,FALSE),NA())</f>
        <v>#N/A</v>
      </c>
      <c r="M26" s="1311" t="e">
        <f>IF(ISNUMBER(HLOOKUP(M$1,Home!$D$12:$AB$82,$X26,FALSE)),HLOOKUP(M$1,Home!$D$12:$AB$82,$X26,FALSE),NA())</f>
        <v>#N/A</v>
      </c>
      <c r="N26" s="1311" t="e">
        <f>IF(ISNUMBER(HLOOKUP(N$1,Home!$D$12:$AB$82,$X26,FALSE)),HLOOKUP(N$1,Home!$D$12:$AB$82,$X26,FALSE),NA())</f>
        <v>#N/A</v>
      </c>
      <c r="O26" s="1312" t="e">
        <f>IF(ISNUMBER(HLOOKUP(O$1,Home!$D$12:$AB$82,$X26,FALSE)),HLOOKUP(O$1,Home!$D$12:$AB$82,$X26,FALSE),NA())</f>
        <v>#N/A</v>
      </c>
      <c r="P26" s="1311" t="e">
        <f>IF(ISNUMBER(HLOOKUP(P$1,Home!$D$12:$AB$82,$X26,FALSE)),HLOOKUP(P$1,Home!$D$12:$AB$82,$X26,FALSE),NA())</f>
        <v>#N/A</v>
      </c>
      <c r="Q26" s="1311" t="e">
        <f>IF(ISNUMBER(HLOOKUP(Q$1,Home!$D$12:$AB$82,$X26,FALSE)),HLOOKUP(Q$1,Home!$D$12:$AB$82,$X26,FALSE),NA())</f>
        <v>#N/A</v>
      </c>
      <c r="R26" s="1312" t="e">
        <f>IF(ISNUMBER(HLOOKUP(R$1,Home!$D$12:$AB$82,$X26,FALSE)),HLOOKUP(R$1,Home!$D$12:$AB$82,$X26,FALSE),NA())</f>
        <v>#N/A</v>
      </c>
      <c r="S26" s="1312" t="e">
        <f>IF(ISNUMBER(HLOOKUP(S$1,Home!$D$12:$AB$82,$X26,FALSE)),HLOOKUP(S$1,Home!$D$12:$AB$82,$X26,FALSE),NA())</f>
        <v>#N/A</v>
      </c>
      <c r="T26" s="1311" t="e">
        <f>IF(ISNUMBER(HLOOKUP(T$1,Home!$D$12:$AB$82,$X26,FALSE)),HLOOKUP(T$1,Home!$D$12:$AB$82,$X26,FALSE),NA())</f>
        <v>#N/A</v>
      </c>
      <c r="U26" s="1311" t="e">
        <f>IF(ISNUMBER(HLOOKUP(U$1,Home!$D$12:$AB$82,$X26,FALSE)),HLOOKUP(U$1,Home!$D$12:$AB$82,$X26,FALSE),NA())</f>
        <v>#N/A</v>
      </c>
      <c r="V26" s="1311" t="e">
        <f>IF(ISNUMBER(HLOOKUP(V$1,Home!$D$12:$AB$82,$X26,FALSE)),HLOOKUP(V$1,Home!$D$12:$AB$82,$X26,FALSE),NA())</f>
        <v>#N/A</v>
      </c>
      <c r="W26" s="1311" t="e">
        <f>IF(ISNUMBER(HLOOKUP(W$1,Home!$D$12:$AB$82,$X26,FALSE)),HLOOKUP(W$1,Home!$D$12:$AB$82,$X26,FALSE),NA())</f>
        <v>#N/A</v>
      </c>
      <c r="X26" s="1308" t="e">
        <f>VLOOKUP(A26,Home!C:BB,52,FALSE)</f>
        <v>#N/A</v>
      </c>
      <c r="Y26" s="1314" t="e">
        <f t="array" ref="Y26">SLOPE(IF(ISNA($B26:$W26),"",$B26:$W26),IF(ISNA($B$2:$W$2),"",$B$2:$W$2))</f>
        <v>#DIV/0!</v>
      </c>
      <c r="Z26" s="1314" t="e">
        <f t="array" ref="Z26">INTERCEPT(IF(ISNA($B26:$W26),"",$B26:$W26),IF(ISNA($B$2:$W$2),"",$B$2:$W$2))</f>
        <v>#DIV/0!</v>
      </c>
      <c r="AA26" s="1314" t="e">
        <f t="array" ref="AA26">RSQ(IF(ISNA($B26:$W26),"",$B26:$W26),IF(ISNA($B$2:$W$2),"",$B$2:$W$2))</f>
        <v>#DIV/0!</v>
      </c>
      <c r="AB26" s="1315" t="s">
        <v>1277</v>
      </c>
      <c r="AC26" s="1315" t="s">
        <v>968</v>
      </c>
    </row>
    <row r="27" spans="1:29" ht="36" x14ac:dyDescent="0.2">
      <c r="A27" s="1310" t="str">
        <f>IF(Sheet1!$C$3="Annual",ChartLabels!AB27,ChartLabels!AC27)</f>
        <v>New Education, Health and Care (EHC) Plans issued during the Year ending 31st March, Rate per 10,000 10-25 Year Olds</v>
      </c>
      <c r="B27" s="1311">
        <f>IF(ISNUMBER(HLOOKUP(B$1,Home!$D$12:$AB$82,$X27,FALSE)),HLOOKUP(B$1,Home!$D$12:$AB$82,$X27,FALSE),NA())</f>
        <v>45.103092783505147</v>
      </c>
      <c r="C27" s="1311">
        <f>IF(ISNUMBER(HLOOKUP(C$1,Home!$D$12:$AB$82,$X27,FALSE)),HLOOKUP(C$1,Home!$D$12:$AB$82,$X27,FALSE),NA())</f>
        <v>24.221105527638191</v>
      </c>
      <c r="D27" s="1311">
        <f>IF(ISNUMBER(HLOOKUP(D$1,Home!$D$12:$AB$82,$X27,FALSE)),HLOOKUP(D$1,Home!$D$12:$AB$82,$X27,FALSE),NA())</f>
        <v>40.323547034152185</v>
      </c>
      <c r="E27" s="1311">
        <f>IF(ISNUMBER(HLOOKUP(E$1,Home!$D$12:$AB$82,$X27,FALSE)),HLOOKUP(E$1,Home!$D$12:$AB$82,$X27,FALSE),NA())</f>
        <v>19.946091644204852</v>
      </c>
      <c r="F27" s="1311">
        <f>IF(ISNUMBER(HLOOKUP(F$1,Home!$D$12:$AB$82,$X27,FALSE)),HLOOKUP(F$1,Home!$D$12:$AB$82,$X27,FALSE),NA())</f>
        <v>24.79087452471483</v>
      </c>
      <c r="G27" s="1311">
        <f>IF(ISNUMBER(HLOOKUP(G$1,Home!$D$12:$AB$82,$X27,FALSE)),HLOOKUP(G$1,Home!$D$12:$AB$82,$X27,FALSE),NA())</f>
        <v>43.059490084985839</v>
      </c>
      <c r="H27" s="1311">
        <f>IF(ISNUMBER(HLOOKUP(H$1,Home!$D$12:$AB$82,$X27,FALSE)),HLOOKUP(H$1,Home!$D$12:$AB$82,$X27,FALSE),NA())</f>
        <v>41.298057048367092</v>
      </c>
      <c r="I27" s="1311">
        <f>IF(ISNUMBER(HLOOKUP(I$1,Home!$D$12:$AB$82,$X27,FALSE)),HLOOKUP(I$1,Home!$D$12:$AB$82,$X27,FALSE),NA())</f>
        <v>34.687156970362238</v>
      </c>
      <c r="J27" s="1311">
        <f>IF(ISNUMBER(HLOOKUP(J$1,Home!$D$12:$AB$82,$X27,FALSE)),HLOOKUP(J$1,Home!$D$12:$AB$82,$X27,FALSE),NA())</f>
        <v>32.552954292084728</v>
      </c>
      <c r="K27" s="1311">
        <f>IF(ISNUMBER(HLOOKUP(K$1,Home!$D$12:$AB$82,$X27,FALSE)),HLOOKUP(K$1,Home!$D$12:$AB$82,$X27,FALSE),NA())</f>
        <v>27.845254161043634</v>
      </c>
      <c r="L27" s="1311">
        <f>IF(ISNUMBER(HLOOKUP(L$1,Home!$D$12:$AB$82,$X27,FALSE)),HLOOKUP(L$1,Home!$D$12:$AB$82,$X27,FALSE),NA())</f>
        <v>24.905660377358494</v>
      </c>
      <c r="M27" s="1311">
        <f>IF(ISNUMBER(HLOOKUP(M$1,Home!$D$12:$AB$82,$X27,FALSE)),HLOOKUP(M$1,Home!$D$12:$AB$82,$X27,FALSE),NA())</f>
        <v>30</v>
      </c>
      <c r="N27" s="1311">
        <f>IF(ISNUMBER(HLOOKUP(N$1,Home!$D$12:$AB$82,$X27,FALSE)),HLOOKUP(N$1,Home!$D$12:$AB$82,$X27,FALSE),NA())</f>
        <v>38.172043010752688</v>
      </c>
      <c r="O27" s="1312" t="e">
        <f>IF(ISNUMBER(HLOOKUP(O$1,Home!$D$12:$AB$82,$X27,FALSE)),HLOOKUP(O$1,Home!$D$12:$AB$82,$X27,FALSE),NA())</f>
        <v>#N/A</v>
      </c>
      <c r="P27" s="1311">
        <f>IF(ISNUMBER(HLOOKUP(P$1,Home!$D$12:$AB$82,$X27,FALSE)),HLOOKUP(P$1,Home!$D$12:$AB$82,$X27,FALSE),NA())</f>
        <v>25.975359342915809</v>
      </c>
      <c r="Q27" s="1311">
        <f>IF(ISNUMBER(HLOOKUP(Q$1,Home!$D$12:$AB$82,$X27,FALSE)),HLOOKUP(Q$1,Home!$D$12:$AB$82,$X27,FALSE),NA())</f>
        <v>39.929424538545064</v>
      </c>
      <c r="R27" s="1312" t="e">
        <f>IF(ISNUMBER(HLOOKUP(R$1,Home!$D$12:$AB$82,$X27,FALSE)),HLOOKUP(R$1,Home!$D$12:$AB$82,$X27,FALSE),NA())</f>
        <v>#N/A</v>
      </c>
      <c r="S27" s="1312" t="e">
        <f>IF(ISNUMBER(HLOOKUP(S$1,Home!$D$12:$AB$82,$X27,FALSE)),HLOOKUP(S$1,Home!$D$12:$AB$82,$X27,FALSE),NA())</f>
        <v>#N/A</v>
      </c>
      <c r="T27" s="1311">
        <f>IF(ISNUMBER(HLOOKUP(T$1,Home!$D$12:$AB$82,$X27,FALSE)),HLOOKUP(T$1,Home!$D$12:$AB$82,$X27,FALSE),NA())</f>
        <v>32.700421940928265</v>
      </c>
      <c r="U27" s="1311">
        <f>IF(ISNUMBER(HLOOKUP(U$1,Home!$D$12:$AB$82,$X27,FALSE)),HLOOKUP(U$1,Home!$D$12:$AB$82,$X27,FALSE),NA())</f>
        <v>31.939799331103682</v>
      </c>
      <c r="V27" s="1311">
        <f>IF(ISNUMBER(HLOOKUP(V$1,Home!$D$12:$AB$82,$X27,FALSE)),HLOOKUP(V$1,Home!$D$12:$AB$82,$X27,FALSE),NA())</f>
        <v>33.406593406593409</v>
      </c>
      <c r="W27" s="1311">
        <f>IF(ISNUMBER(HLOOKUP(W$1,Home!$D$12:$AB$82,$X27,FALSE)),HLOOKUP(W$1,Home!$D$12:$AB$82,$X27,FALSE),NA())</f>
        <v>30.09345794392523</v>
      </c>
      <c r="X27" s="1308">
        <f>VLOOKUP(A27,Home!C:BB,52,FALSE)</f>
        <v>70</v>
      </c>
      <c r="Y27" s="1314" cm="1">
        <f t="array" ref="Y27">SLOPE(IF(ISNA($B27:$W27),"",$B27:$W27),IF(ISNA($B$2:$W$2),"",$B$2:$W$2))</f>
        <v>-0.35766420728592913</v>
      </c>
      <c r="Z27" s="1314" cm="1">
        <f t="array" ref="Z27">INTERCEPT(IF(ISNA($B27:$W27),"",$B27:$W27),IF(ISNA($B$2:$W$2),"",$B$2:$W$2))</f>
        <v>37.357588055421381</v>
      </c>
      <c r="AA27" s="1314">
        <f t="array" ref="AA27">RSQ(IF(ISNA($B27:$W27),"",$B27:$W27),IF(ISNA($B$2:$W$2),"",$B$2:$W$2))</f>
        <v>5.5455472709785444E-2</v>
      </c>
      <c r="AB27" s="1315" t="s">
        <v>1278</v>
      </c>
      <c r="AC27" s="1315" t="s">
        <v>969</v>
      </c>
    </row>
    <row r="28" spans="1:29" ht="24" x14ac:dyDescent="0.2">
      <c r="A28" s="1310" t="str">
        <f>IF(Sheet1!$C$3="Annual",ChartLabels!AB28,ChartLabels!AC28)</f>
        <v>Number of Children Missing Education (CME) at 31st March, Rate per 10,000 5-15 Year Olds</v>
      </c>
      <c r="B28" s="1311" t="e">
        <f>IF(ISNUMBER(HLOOKUP(B$1,Home!$D$12:$AB$82,$X28,FALSE)),HLOOKUP(B$1,Home!$D$12:$AB$82,$X28,FALSE),NA())</f>
        <v>#N/A</v>
      </c>
      <c r="C28" s="1311" t="e">
        <f>IF(ISNUMBER(HLOOKUP(C$1,Home!$D$12:$AB$82,$X28,FALSE)),HLOOKUP(C$1,Home!$D$12:$AB$82,$X28,FALSE),NA())</f>
        <v>#N/A</v>
      </c>
      <c r="D28" s="1311" t="e">
        <f>IF(ISNUMBER(HLOOKUP(D$1,Home!$D$12:$AB$82,$X28,FALSE)),HLOOKUP(D$1,Home!$D$12:$AB$82,$X28,FALSE),NA())</f>
        <v>#N/A</v>
      </c>
      <c r="E28" s="1311" t="e">
        <f>IF(ISNUMBER(HLOOKUP(E$1,Home!$D$12:$AB$82,$X28,FALSE)),HLOOKUP(E$1,Home!$D$12:$AB$82,$X28,FALSE),NA())</f>
        <v>#N/A</v>
      </c>
      <c r="F28" s="1311" t="e">
        <f>IF(ISNUMBER(HLOOKUP(F$1,Home!$D$12:$AB$82,$X28,FALSE)),HLOOKUP(F$1,Home!$D$12:$AB$82,$X28,FALSE),NA())</f>
        <v>#N/A</v>
      </c>
      <c r="G28" s="1311" t="e">
        <f>IF(ISNUMBER(HLOOKUP(G$1,Home!$D$12:$AB$82,$X28,FALSE)),HLOOKUP(G$1,Home!$D$12:$AB$82,$X28,FALSE),NA())</f>
        <v>#N/A</v>
      </c>
      <c r="H28" s="1311" t="e">
        <f>IF(ISNUMBER(HLOOKUP(H$1,Home!$D$12:$AB$82,$X28,FALSE)),HLOOKUP(H$1,Home!$D$12:$AB$82,$X28,FALSE),NA())</f>
        <v>#N/A</v>
      </c>
      <c r="I28" s="1311" t="e">
        <f>IF(ISNUMBER(HLOOKUP(I$1,Home!$D$12:$AB$82,$X28,FALSE)),HLOOKUP(I$1,Home!$D$12:$AB$82,$X28,FALSE),NA())</f>
        <v>#N/A</v>
      </c>
      <c r="J28" s="1311" t="e">
        <f>IF(ISNUMBER(HLOOKUP(J$1,Home!$D$12:$AB$82,$X28,FALSE)),HLOOKUP(J$1,Home!$D$12:$AB$82,$X28,FALSE),NA())</f>
        <v>#N/A</v>
      </c>
      <c r="K28" s="1311" t="e">
        <f>IF(ISNUMBER(HLOOKUP(K$1,Home!$D$12:$AB$82,$X28,FALSE)),HLOOKUP(K$1,Home!$D$12:$AB$82,$X28,FALSE),NA())</f>
        <v>#N/A</v>
      </c>
      <c r="L28" s="1311" t="e">
        <f>IF(ISNUMBER(HLOOKUP(L$1,Home!$D$12:$AB$82,$X28,FALSE)),HLOOKUP(L$1,Home!$D$12:$AB$82,$X28,FALSE),NA())</f>
        <v>#N/A</v>
      </c>
      <c r="M28" s="1311" t="e">
        <f>IF(ISNUMBER(HLOOKUP(M$1,Home!$D$12:$AB$82,$X28,FALSE)),HLOOKUP(M$1,Home!$D$12:$AB$82,$X28,FALSE),NA())</f>
        <v>#N/A</v>
      </c>
      <c r="N28" s="1311" t="e">
        <f>IF(ISNUMBER(HLOOKUP(N$1,Home!$D$12:$AB$82,$X28,FALSE)),HLOOKUP(N$1,Home!$D$12:$AB$82,$X28,FALSE),NA())</f>
        <v>#N/A</v>
      </c>
      <c r="O28" s="1312" t="e">
        <f>IF(ISNUMBER(HLOOKUP(O$1,Home!$D$12:$AB$82,$X28,FALSE)),HLOOKUP(O$1,Home!$D$12:$AB$82,$X28,FALSE),NA())</f>
        <v>#N/A</v>
      </c>
      <c r="P28" s="1311" t="e">
        <f>IF(ISNUMBER(HLOOKUP(P$1,Home!$D$12:$AB$82,$X28,FALSE)),HLOOKUP(P$1,Home!$D$12:$AB$82,$X28,FALSE),NA())</f>
        <v>#N/A</v>
      </c>
      <c r="Q28" s="1311" t="e">
        <f>IF(ISNUMBER(HLOOKUP(Q$1,Home!$D$12:$AB$82,$X28,FALSE)),HLOOKUP(Q$1,Home!$D$12:$AB$82,$X28,FALSE),NA())</f>
        <v>#N/A</v>
      </c>
      <c r="R28" s="1312" t="e">
        <f>IF(ISNUMBER(HLOOKUP(R$1,Home!$D$12:$AB$82,$X28,FALSE)),HLOOKUP(R$1,Home!$D$12:$AB$82,$X28,FALSE),NA())</f>
        <v>#N/A</v>
      </c>
      <c r="S28" s="1312" t="e">
        <f>IF(ISNUMBER(HLOOKUP(S$1,Home!$D$12:$AB$82,$X28,FALSE)),HLOOKUP(S$1,Home!$D$12:$AB$82,$X28,FALSE),NA())</f>
        <v>#N/A</v>
      </c>
      <c r="T28" s="1311" t="e">
        <f>IF(ISNUMBER(HLOOKUP(T$1,Home!$D$12:$AB$82,$X28,FALSE)),HLOOKUP(T$1,Home!$D$12:$AB$82,$X28,FALSE),NA())</f>
        <v>#N/A</v>
      </c>
      <c r="U28" s="1311" t="e">
        <f>IF(ISNUMBER(HLOOKUP(U$1,Home!$D$12:$AB$82,$X28,FALSE)),HLOOKUP(U$1,Home!$D$12:$AB$82,$X28,FALSE),NA())</f>
        <v>#N/A</v>
      </c>
      <c r="V28" s="1311" t="e">
        <f>IF(ISNUMBER(HLOOKUP(V$1,Home!$D$12:$AB$82,$X28,FALSE)),HLOOKUP(V$1,Home!$D$12:$AB$82,$X28,FALSE),NA())</f>
        <v>#N/A</v>
      </c>
      <c r="W28" s="1311" t="e">
        <f>IF(ISNUMBER(HLOOKUP(W$1,Home!$D$12:$AB$82,$X28,FALSE)),HLOOKUP(W$1,Home!$D$12:$AB$82,$X28,FALSE),NA())</f>
        <v>#N/A</v>
      </c>
      <c r="X28" s="1308" t="e">
        <f>VLOOKUP(A28,Home!C:BB,52,FALSE)</f>
        <v>#N/A</v>
      </c>
      <c r="Y28" s="1314" t="e">
        <f t="array" ref="Y28">SLOPE(IF(ISNA($B28:$W28),"",$B28:$W28),IF(ISNA($B$2:$W$2),"",$B$2:$W$2))</f>
        <v>#DIV/0!</v>
      </c>
      <c r="Z28" s="1314" t="e">
        <f t="array" ref="Z28">INTERCEPT(IF(ISNA($B28:$W28),"",$B28:$W28),IF(ISNA($B$2:$W$2),"",$B$2:$W$2))</f>
        <v>#DIV/0!</v>
      </c>
      <c r="AA28" s="1314" t="e">
        <f t="array" ref="AA28">RSQ(IF(ISNA($B28:$W28),"",$B28:$W28),IF(ISNA($B$2:$W$2),"",$B$2:$W$2))</f>
        <v>#DIV/0!</v>
      </c>
      <c r="AB28" s="1315" t="s">
        <v>1279</v>
      </c>
      <c r="AC28" s="1315" t="s">
        <v>970</v>
      </c>
    </row>
    <row r="29" spans="1:29" ht="24" x14ac:dyDescent="0.2">
      <c r="A29" s="1310" t="str">
        <f>IF(Sheet1!$C$3="Annual",ChartLabels!AB29,ChartLabels!AC29)</f>
        <v>Number of Electively Home Educated (EHE) Children at 31st March, Rate per 10,000 5-15 Year Olds</v>
      </c>
      <c r="B29" s="1311" t="e">
        <f>IF(ISNUMBER(HLOOKUP(B$1,Home!$D$12:$AB$82,$X29,FALSE)),HLOOKUP(B$1,Home!$D$12:$AB$82,$X29,FALSE),NA())</f>
        <v>#N/A</v>
      </c>
      <c r="C29" s="1311" t="e">
        <f>IF(ISNUMBER(HLOOKUP(C$1,Home!$D$12:$AB$82,$X29,FALSE)),HLOOKUP(C$1,Home!$D$12:$AB$82,$X29,FALSE),NA())</f>
        <v>#N/A</v>
      </c>
      <c r="D29" s="1311" t="e">
        <f>IF(ISNUMBER(HLOOKUP(D$1,Home!$D$12:$AB$82,$X29,FALSE)),HLOOKUP(D$1,Home!$D$12:$AB$82,$X29,FALSE),NA())</f>
        <v>#N/A</v>
      </c>
      <c r="E29" s="1311" t="e">
        <f>IF(ISNUMBER(HLOOKUP(E$1,Home!$D$12:$AB$82,$X29,FALSE)),HLOOKUP(E$1,Home!$D$12:$AB$82,$X29,FALSE),NA())</f>
        <v>#N/A</v>
      </c>
      <c r="F29" s="1311" t="e">
        <f>IF(ISNUMBER(HLOOKUP(F$1,Home!$D$12:$AB$82,$X29,FALSE)),HLOOKUP(F$1,Home!$D$12:$AB$82,$X29,FALSE),NA())</f>
        <v>#N/A</v>
      </c>
      <c r="G29" s="1311" t="e">
        <f>IF(ISNUMBER(HLOOKUP(G$1,Home!$D$12:$AB$82,$X29,FALSE)),HLOOKUP(G$1,Home!$D$12:$AB$82,$X29,FALSE),NA())</f>
        <v>#N/A</v>
      </c>
      <c r="H29" s="1311" t="e">
        <f>IF(ISNUMBER(HLOOKUP(H$1,Home!$D$12:$AB$82,$X29,FALSE)),HLOOKUP(H$1,Home!$D$12:$AB$82,$X29,FALSE),NA())</f>
        <v>#N/A</v>
      </c>
      <c r="I29" s="1311" t="e">
        <f>IF(ISNUMBER(HLOOKUP(I$1,Home!$D$12:$AB$82,$X29,FALSE)),HLOOKUP(I$1,Home!$D$12:$AB$82,$X29,FALSE),NA())</f>
        <v>#N/A</v>
      </c>
      <c r="J29" s="1311" t="e">
        <f>IF(ISNUMBER(HLOOKUP(J$1,Home!$D$12:$AB$82,$X29,FALSE)),HLOOKUP(J$1,Home!$D$12:$AB$82,$X29,FALSE),NA())</f>
        <v>#N/A</v>
      </c>
      <c r="K29" s="1311" t="e">
        <f>IF(ISNUMBER(HLOOKUP(K$1,Home!$D$12:$AB$82,$X29,FALSE)),HLOOKUP(K$1,Home!$D$12:$AB$82,$X29,FALSE),NA())</f>
        <v>#N/A</v>
      </c>
      <c r="L29" s="1311" t="e">
        <f>IF(ISNUMBER(HLOOKUP(L$1,Home!$D$12:$AB$82,$X29,FALSE)),HLOOKUP(L$1,Home!$D$12:$AB$82,$X29,FALSE),NA())</f>
        <v>#N/A</v>
      </c>
      <c r="M29" s="1311" t="e">
        <f>IF(ISNUMBER(HLOOKUP(M$1,Home!$D$12:$AB$82,$X29,FALSE)),HLOOKUP(M$1,Home!$D$12:$AB$82,$X29,FALSE),NA())</f>
        <v>#N/A</v>
      </c>
      <c r="N29" s="1311" t="e">
        <f>IF(ISNUMBER(HLOOKUP(N$1,Home!$D$12:$AB$82,$X29,FALSE)),HLOOKUP(N$1,Home!$D$12:$AB$82,$X29,FALSE),NA())</f>
        <v>#N/A</v>
      </c>
      <c r="O29" s="1312" t="e">
        <f>IF(ISNUMBER(HLOOKUP(O$1,Home!$D$12:$AB$82,$X29,FALSE)),HLOOKUP(O$1,Home!$D$12:$AB$82,$X29,FALSE),NA())</f>
        <v>#N/A</v>
      </c>
      <c r="P29" s="1311" t="e">
        <f>IF(ISNUMBER(HLOOKUP(P$1,Home!$D$12:$AB$82,$X29,FALSE)),HLOOKUP(P$1,Home!$D$12:$AB$82,$X29,FALSE),NA())</f>
        <v>#N/A</v>
      </c>
      <c r="Q29" s="1311" t="e">
        <f>IF(ISNUMBER(HLOOKUP(Q$1,Home!$D$12:$AB$82,$X29,FALSE)),HLOOKUP(Q$1,Home!$D$12:$AB$82,$X29,FALSE),NA())</f>
        <v>#N/A</v>
      </c>
      <c r="R29" s="1312" t="e">
        <f>IF(ISNUMBER(HLOOKUP(R$1,Home!$D$12:$AB$82,$X29,FALSE)),HLOOKUP(R$1,Home!$D$12:$AB$82,$X29,FALSE),NA())</f>
        <v>#N/A</v>
      </c>
      <c r="S29" s="1312" t="e">
        <f>IF(ISNUMBER(HLOOKUP(S$1,Home!$D$12:$AB$82,$X29,FALSE)),HLOOKUP(S$1,Home!$D$12:$AB$82,$X29,FALSE),NA())</f>
        <v>#N/A</v>
      </c>
      <c r="T29" s="1311" t="e">
        <f>IF(ISNUMBER(HLOOKUP(T$1,Home!$D$12:$AB$82,$X29,FALSE)),HLOOKUP(T$1,Home!$D$12:$AB$82,$X29,FALSE),NA())</f>
        <v>#N/A</v>
      </c>
      <c r="U29" s="1311" t="e">
        <f>IF(ISNUMBER(HLOOKUP(U$1,Home!$D$12:$AB$82,$X29,FALSE)),HLOOKUP(U$1,Home!$D$12:$AB$82,$X29,FALSE),NA())</f>
        <v>#N/A</v>
      </c>
      <c r="V29" s="1311" t="e">
        <f>IF(ISNUMBER(HLOOKUP(V$1,Home!$D$12:$AB$82,$X29,FALSE)),HLOOKUP(V$1,Home!$D$12:$AB$82,$X29,FALSE),NA())</f>
        <v>#N/A</v>
      </c>
      <c r="W29" s="1311" t="e">
        <f>IF(ISNUMBER(HLOOKUP(W$1,Home!$D$12:$AB$82,$X29,FALSE)),HLOOKUP(W$1,Home!$D$12:$AB$82,$X29,FALSE),NA())</f>
        <v>#N/A</v>
      </c>
      <c r="X29" s="1308" t="e">
        <f>VLOOKUP(A29,Home!C:BB,52,FALSE)</f>
        <v>#N/A</v>
      </c>
      <c r="Y29" s="1314" t="e">
        <f t="array" ref="Y29">SLOPE(IF(ISNA($B29:$W29),"",$B29:$W29),IF(ISNA($B$2:$W$2),"",$B$2:$W$2))</f>
        <v>#DIV/0!</v>
      </c>
      <c r="Z29" s="1314" t="e">
        <f t="array" ref="Z29">INTERCEPT(IF(ISNA($B29:$W29),"",$B29:$W29),IF(ISNA($B$2:$W$2),"",$B$2:$W$2))</f>
        <v>#DIV/0!</v>
      </c>
      <c r="AA29" s="1314" t="e">
        <f t="array" ref="AA29">RSQ(IF(ISNA($B29:$W29),"",$B29:$W29),IF(ISNA($B$2:$W$2),"",$B$2:$W$2))</f>
        <v>#DIV/0!</v>
      </c>
      <c r="AB29" s="1315" t="s">
        <v>1280</v>
      </c>
      <c r="AC29" s="1315" t="s">
        <v>971</v>
      </c>
    </row>
    <row r="30" spans="1:29" x14ac:dyDescent="0.2">
      <c r="C30" s="1318"/>
      <c r="D30" s="1318"/>
      <c r="E30" s="1318"/>
      <c r="F30" s="1318"/>
      <c r="G30" s="1318"/>
      <c r="H30" s="1318"/>
      <c r="I30" s="1318"/>
      <c r="J30" s="1318"/>
      <c r="K30" s="1318"/>
      <c r="L30" s="1318"/>
      <c r="M30" s="1318"/>
      <c r="N30" s="1318"/>
      <c r="O30" s="1318"/>
      <c r="P30" s="1318"/>
      <c r="Q30" s="1318"/>
      <c r="R30" s="1318"/>
      <c r="S30" s="1318"/>
      <c r="T30" s="1318"/>
      <c r="U30" s="1318"/>
      <c r="V30" s="1318"/>
      <c r="W30" s="1318"/>
    </row>
    <row r="32" spans="1:29" x14ac:dyDescent="0.2">
      <c r="A32" s="1317" t="s">
        <v>966</v>
      </c>
    </row>
    <row r="33" spans="1:1" x14ac:dyDescent="0.2">
      <c r="A33" s="1317" t="s">
        <v>1234</v>
      </c>
    </row>
    <row r="34" spans="1:1" x14ac:dyDescent="0.2">
      <c r="A34" s="1317" t="b">
        <f>A33=A32</f>
        <v>0</v>
      </c>
    </row>
  </sheetData>
  <conditionalFormatting sqref="AA3:AA29">
    <cfRule type="colorScale" priority="1">
      <colorScale>
        <cfvo type="min"/>
        <cfvo type="percentile" val="50"/>
        <cfvo type="max"/>
        <color rgb="FFF8696B"/>
        <color rgb="FFFCFCFF"/>
        <color rgb="FF63BE7B"/>
      </colorScale>
    </cfRule>
    <cfRule type="colorScale" priority="2">
      <colorScale>
        <cfvo type="min"/>
        <cfvo type="max"/>
        <color rgb="FFFCFCFF"/>
        <color rgb="FF63BE7B"/>
      </colorScale>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9" tint="-0.249977111117893"/>
  </sheetPr>
  <dimension ref="A1:K36"/>
  <sheetViews>
    <sheetView showRowColHeaders="0" tabSelected="1" workbookViewId="0"/>
  </sheetViews>
  <sheetFormatPr defaultColWidth="9.140625" defaultRowHeight="11.25" customHeight="1" x14ac:dyDescent="0.2"/>
  <cols>
    <col min="1" max="1" width="3.42578125" style="583" customWidth="1"/>
    <col min="2" max="2" width="17.140625" style="583" customWidth="1"/>
    <col min="3" max="3" width="34.5703125" style="583" customWidth="1"/>
    <col min="4" max="4" width="4.42578125" style="583" customWidth="1"/>
    <col min="5" max="5" width="15.140625" style="442" customWidth="1"/>
    <col min="6" max="6" width="31.140625" style="583" customWidth="1"/>
    <col min="7" max="7" width="4.42578125" style="583" customWidth="1"/>
    <col min="8" max="8" width="14.140625" style="583" customWidth="1"/>
    <col min="9" max="9" width="5.5703125" style="583" customWidth="1"/>
    <col min="10" max="10" width="4.42578125" style="583" customWidth="1"/>
    <col min="11" max="11" width="3.42578125" style="583" customWidth="1"/>
    <col min="12" max="16384" width="9.140625" style="583"/>
  </cols>
  <sheetData>
    <row r="1" spans="1:11" ht="15.6" customHeight="1" x14ac:dyDescent="0.2">
      <c r="A1" s="691"/>
      <c r="B1" s="692"/>
      <c r="C1" s="692"/>
      <c r="D1" s="692"/>
      <c r="E1" s="693"/>
      <c r="F1" s="692"/>
      <c r="G1" s="692"/>
      <c r="H1" s="692"/>
      <c r="I1" s="692"/>
      <c r="J1" s="692"/>
      <c r="K1" s="694"/>
    </row>
    <row r="2" spans="1:11" ht="21" customHeight="1" x14ac:dyDescent="0.2">
      <c r="A2" s="695"/>
      <c r="B2" s="2"/>
      <c r="C2" s="2"/>
      <c r="D2" s="2"/>
      <c r="E2" s="1"/>
      <c r="F2" s="2"/>
      <c r="G2" s="2"/>
      <c r="H2" s="2"/>
      <c r="I2" s="2"/>
      <c r="J2" s="2"/>
      <c r="K2" s="696"/>
    </row>
    <row r="3" spans="1:11" ht="53.25" customHeight="1" x14ac:dyDescent="0.2">
      <c r="A3" s="695"/>
      <c r="B3" s="2"/>
      <c r="C3" s="2"/>
      <c r="D3" s="2"/>
      <c r="E3" s="1641" t="s">
        <v>1287</v>
      </c>
      <c r="F3" s="1642"/>
      <c r="G3" s="1642"/>
      <c r="H3" s="1642"/>
      <c r="I3" s="1642"/>
      <c r="J3" s="1642"/>
      <c r="K3" s="696"/>
    </row>
    <row r="4" spans="1:11" ht="12" thickBot="1" x14ac:dyDescent="0.25">
      <c r="A4" s="695"/>
      <c r="B4" s="7"/>
      <c r="C4" s="7"/>
      <c r="D4" s="7"/>
      <c r="E4" s="1643"/>
      <c r="F4" s="1643"/>
      <c r="G4" s="1643"/>
      <c r="H4" s="1643"/>
      <c r="I4" s="1643"/>
      <c r="J4" s="1643"/>
      <c r="K4" s="697"/>
    </row>
    <row r="5" spans="1:11" ht="20.25" x14ac:dyDescent="0.3">
      <c r="A5" s="695"/>
      <c r="B5" s="2"/>
      <c r="C5" s="2"/>
      <c r="D5" s="2"/>
      <c r="E5" s="2"/>
      <c r="F5" s="2"/>
      <c r="G5" s="8"/>
      <c r="H5" s="8"/>
      <c r="I5" s="8"/>
      <c r="J5" s="868" t="str">
        <f>Sheet1!$E$3</f>
        <v>2019-20</v>
      </c>
      <c r="K5" s="696"/>
    </row>
    <row r="6" spans="1:11" ht="21" customHeight="1" x14ac:dyDescent="0.2">
      <c r="A6" s="695"/>
      <c r="B6" s="2"/>
      <c r="C6" s="2"/>
      <c r="D6" s="2"/>
      <c r="E6" s="1"/>
      <c r="F6" s="2"/>
      <c r="G6" s="2"/>
      <c r="H6" s="2"/>
      <c r="I6" s="2"/>
      <c r="J6" s="2"/>
      <c r="K6" s="696"/>
    </row>
    <row r="7" spans="1:11" ht="15.6" customHeight="1" x14ac:dyDescent="0.2">
      <c r="A7" s="695"/>
      <c r="B7" s="2"/>
      <c r="C7" s="2"/>
      <c r="D7" s="2"/>
      <c r="E7" s="2"/>
      <c r="F7" s="2"/>
      <c r="G7" s="2"/>
      <c r="H7" s="2"/>
      <c r="I7" s="2"/>
      <c r="J7" s="2"/>
      <c r="K7" s="696"/>
    </row>
    <row r="8" spans="1:11" ht="15.75" customHeight="1" x14ac:dyDescent="0.2">
      <c r="A8" s="695"/>
      <c r="B8" s="1644" t="s">
        <v>28</v>
      </c>
      <c r="C8" s="1645"/>
      <c r="D8" s="1645"/>
      <c r="E8" s="1645"/>
      <c r="F8" s="1645"/>
      <c r="G8" s="1645"/>
      <c r="H8" s="1645"/>
      <c r="I8" s="1645"/>
      <c r="J8" s="1645"/>
      <c r="K8" s="696"/>
    </row>
    <row r="9" spans="1:11" ht="7.5" customHeight="1" x14ac:dyDescent="0.2">
      <c r="A9" s="695"/>
      <c r="B9" s="5"/>
      <c r="C9" s="5"/>
      <c r="D9" s="5"/>
      <c r="E9" s="5"/>
      <c r="F9" s="5"/>
      <c r="G9" s="5"/>
      <c r="H9" s="5"/>
      <c r="I9" s="5"/>
      <c r="J9" s="5"/>
      <c r="K9" s="696"/>
    </row>
    <row r="10" spans="1:11" ht="7.5" customHeight="1" x14ac:dyDescent="0.2">
      <c r="A10" s="695"/>
      <c r="B10" s="2019"/>
      <c r="C10" s="2019"/>
      <c r="D10" s="2019"/>
      <c r="E10" s="2020"/>
      <c r="F10" s="2019"/>
      <c r="G10" s="2019"/>
      <c r="H10" s="2019"/>
      <c r="I10" s="2019"/>
      <c r="J10" s="2019"/>
      <c r="K10" s="696"/>
    </row>
    <row r="11" spans="1:11" ht="7.5" customHeight="1" x14ac:dyDescent="0.2">
      <c r="A11" s="695"/>
      <c r="B11" s="1646"/>
      <c r="C11" s="1647"/>
      <c r="D11" s="1647"/>
      <c r="E11" s="1647"/>
      <c r="F11" s="1647"/>
      <c r="G11" s="1647"/>
      <c r="H11" s="1647"/>
      <c r="I11" s="1647"/>
      <c r="J11" s="1647"/>
      <c r="K11" s="696"/>
    </row>
    <row r="12" spans="1:11" ht="26.1" customHeight="1" x14ac:dyDescent="0.2">
      <c r="A12" s="695"/>
      <c r="B12" s="2008" t="s">
        <v>1306</v>
      </c>
      <c r="C12" s="2008"/>
      <c r="D12" s="2008"/>
      <c r="E12" s="2008"/>
      <c r="F12" s="2008"/>
      <c r="G12" s="2008"/>
      <c r="H12" s="2008"/>
      <c r="I12" s="2008"/>
      <c r="J12" s="2008"/>
      <c r="K12" s="696"/>
    </row>
    <row r="13" spans="1:11" ht="22.5" customHeight="1" x14ac:dyDescent="0.2">
      <c r="A13" s="695"/>
      <c r="B13" s="681"/>
      <c r="C13" s="682"/>
      <c r="D13" s="682"/>
      <c r="E13" s="682"/>
      <c r="F13" s="682"/>
      <c r="G13" s="682"/>
      <c r="H13" s="682"/>
      <c r="I13" s="682"/>
      <c r="J13" s="682"/>
      <c r="K13" s="696"/>
    </row>
    <row r="14" spans="1:11" ht="9" customHeight="1" x14ac:dyDescent="0.2">
      <c r="A14" s="695"/>
      <c r="B14" s="684"/>
      <c r="C14" s="685"/>
      <c r="D14" s="685"/>
      <c r="E14" s="685"/>
      <c r="F14" s="685"/>
      <c r="G14" s="685"/>
      <c r="H14" s="685"/>
      <c r="I14" s="685"/>
      <c r="J14" s="685"/>
      <c r="K14" s="696"/>
    </row>
    <row r="15" spans="1:11" ht="15" x14ac:dyDescent="0.2">
      <c r="A15" s="695"/>
      <c r="B15" s="707" t="s">
        <v>622</v>
      </c>
      <c r="C15" s="682"/>
      <c r="D15" s="682"/>
      <c r="E15" s="682"/>
      <c r="F15" s="682"/>
      <c r="G15" s="682"/>
      <c r="H15" s="682"/>
      <c r="I15" s="682"/>
      <c r="J15" s="682"/>
      <c r="K15" s="696"/>
    </row>
    <row r="16" spans="1:11" ht="3" customHeight="1" x14ac:dyDescent="0.2">
      <c r="A16" s="695"/>
      <c r="B16" s="690"/>
      <c r="C16" s="682"/>
      <c r="D16" s="682"/>
      <c r="E16" s="682"/>
      <c r="F16" s="682"/>
      <c r="G16" s="682"/>
      <c r="H16" s="682"/>
      <c r="I16" s="682"/>
      <c r="J16" s="682"/>
      <c r="K16" s="696"/>
    </row>
    <row r="17" spans="1:11" ht="14.25" customHeight="1" x14ac:dyDescent="0.2">
      <c r="A17" s="695"/>
      <c r="B17" s="1654" t="s">
        <v>623</v>
      </c>
      <c r="C17" s="1654"/>
      <c r="D17" s="1650" t="s">
        <v>986</v>
      </c>
      <c r="E17" s="1650"/>
      <c r="F17" s="1650"/>
      <c r="G17" s="1652" t="s">
        <v>624</v>
      </c>
      <c r="H17" s="1651" t="s">
        <v>1247</v>
      </c>
      <c r="I17" s="1651"/>
      <c r="J17" s="1651"/>
      <c r="K17" s="696"/>
    </row>
    <row r="18" spans="1:11" ht="14.25" customHeight="1" x14ac:dyDescent="0.2">
      <c r="A18" s="695"/>
      <c r="B18" s="1654"/>
      <c r="C18" s="1654"/>
      <c r="D18" s="1650"/>
      <c r="E18" s="1650"/>
      <c r="F18" s="1650"/>
      <c r="G18" s="1652"/>
      <c r="H18" s="1651"/>
      <c r="I18" s="1651"/>
      <c r="J18" s="1651"/>
      <c r="K18" s="696"/>
    </row>
    <row r="19" spans="1:11" ht="9" customHeight="1" x14ac:dyDescent="0.2">
      <c r="A19" s="695"/>
      <c r="B19" s="686"/>
      <c r="C19" s="687"/>
      <c r="D19" s="687"/>
      <c r="E19" s="687"/>
      <c r="F19" s="687"/>
      <c r="G19" s="687"/>
      <c r="H19" s="687"/>
      <c r="I19" s="687"/>
      <c r="J19" s="687"/>
      <c r="K19" s="696"/>
    </row>
    <row r="20" spans="1:11" ht="8.1" customHeight="1" x14ac:dyDescent="0.2">
      <c r="A20" s="695"/>
      <c r="B20" s="683"/>
      <c r="C20" s="682"/>
      <c r="D20" s="682"/>
      <c r="E20" s="682"/>
      <c r="F20" s="682"/>
      <c r="G20" s="682"/>
      <c r="H20" s="682"/>
      <c r="I20" s="682"/>
      <c r="J20" s="682"/>
      <c r="K20" s="696"/>
    </row>
    <row r="21" spans="1:11" ht="41.25" customHeight="1" x14ac:dyDescent="0.2">
      <c r="A21" s="695"/>
      <c r="B21" s="1648" t="s">
        <v>625</v>
      </c>
      <c r="C21" s="1649"/>
      <c r="D21" s="1649"/>
      <c r="E21" s="1649"/>
      <c r="F21" s="1649"/>
      <c r="G21" s="1649"/>
      <c r="H21" s="1649"/>
      <c r="I21" s="1649"/>
      <c r="J21" s="1649"/>
      <c r="K21" s="696"/>
    </row>
    <row r="22" spans="1:11" ht="13.5" customHeight="1" x14ac:dyDescent="0.2">
      <c r="A22" s="695"/>
      <c r="B22" s="689" t="s">
        <v>620</v>
      </c>
      <c r="C22" s="698"/>
      <c r="D22" s="698"/>
      <c r="E22" s="698"/>
      <c r="F22" s="698"/>
      <c r="G22" s="698"/>
      <c r="H22" s="698"/>
      <c r="I22" s="698"/>
      <c r="J22" s="698"/>
      <c r="K22" s="696"/>
    </row>
    <row r="23" spans="1:11" ht="13.5" customHeight="1" x14ac:dyDescent="0.2">
      <c r="A23" s="695"/>
      <c r="B23" s="689" t="s">
        <v>621</v>
      </c>
      <c r="C23" s="698"/>
      <c r="D23" s="698"/>
      <c r="E23" s="698"/>
      <c r="F23" s="698"/>
      <c r="G23" s="698"/>
      <c r="H23" s="698"/>
      <c r="I23" s="698"/>
      <c r="J23" s="698"/>
      <c r="K23" s="696"/>
    </row>
    <row r="24" spans="1:11" ht="8.1" customHeight="1" x14ac:dyDescent="0.2">
      <c r="A24" s="695"/>
      <c r="B24" s="699"/>
      <c r="C24" s="700"/>
      <c r="D24" s="700"/>
      <c r="E24" s="700"/>
      <c r="F24" s="700"/>
      <c r="G24" s="700"/>
      <c r="H24" s="700"/>
      <c r="I24" s="700"/>
      <c r="J24" s="699"/>
      <c r="K24" s="696"/>
    </row>
    <row r="25" spans="1:11" ht="8.1" customHeight="1" x14ac:dyDescent="0.2">
      <c r="A25" s="695"/>
      <c r="B25" s="679"/>
      <c r="C25" s="680"/>
      <c r="D25" s="688"/>
      <c r="E25" s="680"/>
      <c r="F25" s="680"/>
      <c r="G25" s="680"/>
      <c r="H25" s="680"/>
      <c r="I25" s="680"/>
      <c r="J25" s="679"/>
      <c r="K25" s="696"/>
    </row>
    <row r="26" spans="1:11" ht="15" customHeight="1" x14ac:dyDescent="0.25">
      <c r="A26" s="695"/>
      <c r="B26" s="1653" t="s">
        <v>619</v>
      </c>
      <c r="C26" s="1653"/>
      <c r="D26" s="1653"/>
      <c r="E26" s="70"/>
      <c r="F26" s="70"/>
      <c r="G26" s="70"/>
      <c r="H26" s="70"/>
      <c r="I26" s="70"/>
      <c r="J26" s="70"/>
      <c r="K26" s="696"/>
    </row>
    <row r="27" spans="1:11" ht="12" customHeight="1" x14ac:dyDescent="0.2">
      <c r="A27" s="695"/>
      <c r="B27" s="6"/>
      <c r="C27" s="6"/>
      <c r="D27" s="6"/>
      <c r="E27" s="6"/>
      <c r="F27" s="6"/>
      <c r="G27" s="6"/>
      <c r="H27" s="6"/>
      <c r="I27" s="6"/>
      <c r="J27" s="6"/>
      <c r="K27" s="696"/>
    </row>
    <row r="28" spans="1:11" ht="12.75" x14ac:dyDescent="0.2">
      <c r="A28" s="695"/>
      <c r="B28" s="6"/>
      <c r="C28" s="6"/>
      <c r="D28" s="6"/>
      <c r="E28"/>
      <c r="F28" s="6"/>
      <c r="G28" s="6"/>
      <c r="H28" s="6"/>
      <c r="I28" s="6"/>
      <c r="J28" s="6"/>
      <c r="K28" s="696"/>
    </row>
    <row r="29" spans="1:11" ht="11.25" customHeight="1" x14ac:dyDescent="0.2">
      <c r="A29" s="695"/>
      <c r="B29" s="6"/>
      <c r="C29" s="6"/>
      <c r="D29" s="6"/>
      <c r="E29" s="6"/>
      <c r="F29" s="6"/>
      <c r="G29" s="6"/>
      <c r="H29" s="6"/>
      <c r="I29" s="6"/>
      <c r="J29" s="6"/>
      <c r="K29" s="696"/>
    </row>
    <row r="30" spans="1:11" ht="11.25" customHeight="1" x14ac:dyDescent="0.2">
      <c r="A30" s="695"/>
      <c r="B30" s="6"/>
      <c r="C30" s="6"/>
      <c r="D30" s="6"/>
      <c r="E30" s="6"/>
      <c r="F30" s="6"/>
      <c r="G30" s="6"/>
      <c r="H30" s="6"/>
      <c r="I30" s="6"/>
      <c r="J30" s="6"/>
      <c r="K30" s="696"/>
    </row>
    <row r="31" spans="1:11" ht="10.5" customHeight="1" x14ac:dyDescent="0.2">
      <c r="A31" s="695"/>
      <c r="B31" s="6"/>
      <c r="C31" s="6"/>
      <c r="D31" s="6"/>
      <c r="E31" s="6"/>
      <c r="F31" s="6"/>
      <c r="G31" s="6"/>
      <c r="H31" s="6"/>
      <c r="I31" s="6"/>
      <c r="J31" s="6"/>
      <c r="K31" s="696"/>
    </row>
    <row r="32" spans="1:11" ht="10.5" customHeight="1" x14ac:dyDescent="0.2">
      <c r="A32" s="695"/>
      <c r="B32" s="6"/>
      <c r="C32" s="6"/>
      <c r="D32" s="6"/>
      <c r="E32" s="6"/>
      <c r="F32" s="6"/>
      <c r="G32" s="6"/>
      <c r="H32" s="6"/>
      <c r="I32" s="6"/>
      <c r="J32" s="6"/>
      <c r="K32" s="696"/>
    </row>
    <row r="33" spans="1:11" ht="13.5" customHeight="1" x14ac:dyDescent="0.2">
      <c r="A33" s="695"/>
      <c r="B33" s="6"/>
      <c r="C33" s="6"/>
      <c r="D33" s="6"/>
      <c r="E33" s="6"/>
      <c r="F33" s="6"/>
      <c r="G33" s="6"/>
      <c r="H33" s="6"/>
      <c r="I33" s="6"/>
      <c r="J33" s="6"/>
      <c r="K33" s="696"/>
    </row>
    <row r="34" spans="1:11" s="584" customFormat="1" ht="13.5" customHeight="1" x14ac:dyDescent="0.2">
      <c r="A34" s="701"/>
      <c r="B34" s="1640" t="s">
        <v>626</v>
      </c>
      <c r="C34" s="1640"/>
      <c r="D34" s="1640"/>
      <c r="E34" s="1640"/>
      <c r="F34" s="1640"/>
      <c r="G34" s="6"/>
      <c r="H34" s="6"/>
      <c r="I34" s="6"/>
      <c r="J34" s="6"/>
      <c r="K34" s="702"/>
    </row>
    <row r="35" spans="1:11" s="584" customFormat="1" ht="13.5" customHeight="1" x14ac:dyDescent="0.2">
      <c r="A35" s="701"/>
      <c r="B35" s="6"/>
      <c r="C35" s="6"/>
      <c r="D35" s="4"/>
      <c r="E35" s="4"/>
      <c r="F35" s="3"/>
      <c r="G35" s="4"/>
      <c r="H35" s="4"/>
      <c r="I35" s="4"/>
      <c r="J35" s="4"/>
      <c r="K35" s="702"/>
    </row>
    <row r="36" spans="1:11" ht="4.5" customHeight="1" x14ac:dyDescent="0.2">
      <c r="A36" s="703"/>
      <c r="B36" s="704"/>
      <c r="C36" s="704"/>
      <c r="D36" s="704"/>
      <c r="E36" s="705"/>
      <c r="F36" s="704"/>
      <c r="G36" s="704"/>
      <c r="H36" s="704"/>
      <c r="I36" s="704"/>
      <c r="J36" s="704"/>
      <c r="K36" s="706"/>
    </row>
  </sheetData>
  <sheetProtection sheet="1" selectLockedCells="1"/>
  <mergeCells count="11">
    <mergeCell ref="B34:F34"/>
    <mergeCell ref="E3:J4"/>
    <mergeCell ref="B8:J8"/>
    <mergeCell ref="B11:J11"/>
    <mergeCell ref="B21:J21"/>
    <mergeCell ref="B12:J12"/>
    <mergeCell ref="D17:F18"/>
    <mergeCell ref="H17:J18"/>
    <mergeCell ref="G17:G18"/>
    <mergeCell ref="B26:D26"/>
    <mergeCell ref="B17:C18"/>
  </mergeCells>
  <phoneticPr fontId="4" type="noConversion"/>
  <hyperlinks>
    <hyperlink ref="D17" r:id="rId1" display="CSBenchmarking@eastsussex.gcsx.gov.uk" xr:uid="{00000000-0004-0000-0700-000000000000}"/>
    <hyperlink ref="D17:F18" r:id="rId2" display="CSDataBenchmarking@eastsussex.gov.uk" xr:uid="{00000000-0004-0000-0700-000001000000}"/>
  </hyperlinks>
  <printOptions horizontalCentered="1" verticalCentered="1"/>
  <pageMargins left="0.55118110236220474" right="0.55118110236220474" top="0.55118110236220474" bottom="0.55118110236220474" header="0.51181102362204722" footer="0.74803149606299213"/>
  <pageSetup paperSize="9" orientation="landscape" r:id="rId3"/>
  <headerFooter alignWithMargins="0"/>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rgb="FFFFC000"/>
    <pageSetUpPr fitToPage="1"/>
  </sheetPr>
  <dimension ref="A1:BD86"/>
  <sheetViews>
    <sheetView showRowColHeaders="0" zoomScaleNormal="100" workbookViewId="0"/>
  </sheetViews>
  <sheetFormatPr defaultColWidth="7.5703125" defaultRowHeight="11.25" x14ac:dyDescent="0.2"/>
  <cols>
    <col min="1" max="1" width="2.140625" style="543" customWidth="1"/>
    <col min="2" max="2" width="11" style="543" customWidth="1"/>
    <col min="3" max="3" width="47.5703125" style="543" customWidth="1"/>
    <col min="4" max="4" width="5" style="543" customWidth="1"/>
    <col min="5" max="5" width="5" style="544" customWidth="1"/>
    <col min="6" max="8" width="5" style="543" customWidth="1"/>
    <col min="9" max="27" width="5" style="506" customWidth="1"/>
    <col min="28" max="28" width="2.140625" style="506" customWidth="1"/>
    <col min="29" max="29" width="8" style="506" hidden="1" customWidth="1"/>
    <col min="30" max="30" width="6.42578125" style="506" customWidth="1"/>
    <col min="31" max="55" width="7.5703125" style="1619" hidden="1" customWidth="1"/>
    <col min="56" max="56" width="7.5703125" style="506" hidden="1" customWidth="1"/>
    <col min="57" max="57" width="7.5703125" style="506" customWidth="1"/>
    <col min="58" max="16384" width="7.5703125" style="506"/>
  </cols>
  <sheetData>
    <row r="1" spans="1:55" ht="18.75" customHeight="1" x14ac:dyDescent="0.2">
      <c r="A1" s="764"/>
      <c r="B1" s="765"/>
      <c r="C1" s="765"/>
      <c r="D1" s="765"/>
      <c r="E1" s="765"/>
      <c r="F1" s="765"/>
      <c r="G1" s="765"/>
      <c r="H1" s="766"/>
      <c r="I1" s="765"/>
      <c r="J1" s="765"/>
      <c r="K1" s="765"/>
      <c r="L1" s="765"/>
      <c r="M1" s="765"/>
      <c r="N1" s="765"/>
      <c r="O1" s="765"/>
      <c r="P1" s="765"/>
      <c r="Q1" s="765"/>
      <c r="R1" s="765"/>
      <c r="S1" s="765"/>
      <c r="T1" s="765"/>
      <c r="U1" s="767"/>
      <c r="V1" s="767"/>
      <c r="W1" s="768"/>
      <c r="X1" s="768"/>
      <c r="Y1" s="768"/>
      <c r="Z1" s="768"/>
      <c r="AA1" s="768"/>
      <c r="AB1" s="769"/>
      <c r="AC1" s="510"/>
      <c r="AD1" s="505"/>
    </row>
    <row r="2" spans="1:55" ht="18.75" customHeight="1" x14ac:dyDescent="0.2">
      <c r="A2" s="520"/>
      <c r="B2" s="708"/>
      <c r="C2" s="678" t="str">
        <f>Frontpage!E3&amp;" "&amp;Frontpage!J5</f>
        <v>Annual Report
 (Public) 2019-20</v>
      </c>
      <c r="D2" s="507"/>
      <c r="E2" s="507"/>
      <c r="F2" s="507"/>
      <c r="G2" s="507"/>
      <c r="H2" s="508"/>
      <c r="I2" s="507"/>
      <c r="J2" s="507"/>
      <c r="K2" s="507"/>
      <c r="L2" s="507"/>
      <c r="M2" s="507"/>
      <c r="N2" s="507"/>
      <c r="O2" s="507"/>
      <c r="P2" s="507"/>
      <c r="Q2" s="507"/>
      <c r="R2" s="507"/>
      <c r="S2" s="507"/>
      <c r="T2" s="507"/>
      <c r="U2" s="509"/>
      <c r="V2" s="509"/>
      <c r="W2" s="510"/>
      <c r="X2" s="510"/>
      <c r="Y2" s="510"/>
      <c r="Z2" s="510"/>
      <c r="AA2" s="510"/>
      <c r="AB2" s="511"/>
      <c r="AC2" s="510"/>
      <c r="AD2" s="505"/>
    </row>
    <row r="3" spans="1:55" ht="18.75" customHeight="1" x14ac:dyDescent="0.2">
      <c r="A3" s="770"/>
      <c r="B3" s="709"/>
      <c r="C3" s="512"/>
      <c r="D3" s="512"/>
      <c r="E3" s="512"/>
      <c r="F3" s="512"/>
      <c r="G3" s="512"/>
      <c r="H3" s="513"/>
      <c r="I3" s="512"/>
      <c r="J3" s="512"/>
      <c r="K3" s="512"/>
      <c r="L3" s="512"/>
      <c r="M3" s="512"/>
      <c r="N3" s="512"/>
      <c r="O3" s="512"/>
      <c r="P3" s="512"/>
      <c r="Q3" s="512"/>
      <c r="R3" s="512"/>
      <c r="S3" s="512"/>
      <c r="T3" s="512"/>
      <c r="U3" s="514"/>
      <c r="V3" s="514"/>
      <c r="W3" s="515"/>
      <c r="X3" s="515"/>
      <c r="Y3" s="515"/>
      <c r="Z3" s="515"/>
      <c r="AA3" s="515"/>
      <c r="AB3" s="516"/>
      <c r="AC3" s="510"/>
      <c r="AD3" s="505"/>
    </row>
    <row r="4" spans="1:55" ht="9.6" customHeight="1" x14ac:dyDescent="0.2">
      <c r="A4" s="520"/>
      <c r="B4" s="507"/>
      <c r="C4" s="507"/>
      <c r="D4" s="507"/>
      <c r="E4" s="517"/>
      <c r="F4" s="507"/>
      <c r="G4" s="507"/>
      <c r="H4" s="507"/>
      <c r="I4" s="507"/>
      <c r="J4" s="507"/>
      <c r="K4" s="507"/>
      <c r="L4" s="507"/>
      <c r="M4" s="507"/>
      <c r="N4" s="507"/>
      <c r="O4" s="507"/>
      <c r="P4" s="507"/>
      <c r="Q4" s="507"/>
      <c r="R4" s="507"/>
      <c r="S4" s="507"/>
      <c r="T4" s="507"/>
      <c r="U4" s="507"/>
      <c r="V4" s="507"/>
      <c r="W4" s="507"/>
      <c r="X4" s="507"/>
      <c r="Y4" s="507"/>
      <c r="Z4" s="507"/>
      <c r="AA4" s="507"/>
      <c r="AB4" s="518"/>
      <c r="AC4" s="507"/>
      <c r="AD4" s="519"/>
    </row>
    <row r="5" spans="1:55" ht="17.45" customHeight="1" x14ac:dyDescent="0.2">
      <c r="A5" s="520"/>
      <c r="B5" s="1201" t="s">
        <v>904</v>
      </c>
      <c r="C5" s="507"/>
      <c r="D5" s="507"/>
      <c r="E5" s="517"/>
      <c r="F5" s="507"/>
      <c r="G5" s="507"/>
      <c r="H5" s="507"/>
      <c r="I5" s="507"/>
      <c r="J5" s="507"/>
      <c r="K5" s="507"/>
      <c r="L5" s="507"/>
      <c r="M5" s="507"/>
      <c r="N5" s="507"/>
      <c r="O5" s="507"/>
      <c r="P5" s="507"/>
      <c r="Q5" s="507"/>
      <c r="R5" s="507"/>
      <c r="S5" s="507"/>
      <c r="T5" s="507"/>
      <c r="U5" s="507"/>
      <c r="V5" s="507"/>
      <c r="W5" s="507"/>
      <c r="X5" s="507"/>
      <c r="Y5" s="507"/>
      <c r="Z5" s="507"/>
      <c r="AA5" s="507"/>
      <c r="AB5" s="518"/>
      <c r="AC5" s="507"/>
      <c r="AD5" s="519"/>
    </row>
    <row r="6" spans="1:55" ht="17.45" customHeight="1" x14ac:dyDescent="0.2">
      <c r="A6" s="520"/>
      <c r="B6" s="1202" t="s">
        <v>779</v>
      </c>
      <c r="C6" s="1202"/>
      <c r="D6" s="507"/>
      <c r="E6" s="517"/>
      <c r="F6" s="507"/>
      <c r="G6" s="1203"/>
      <c r="H6" s="507"/>
      <c r="I6" s="507"/>
      <c r="J6" s="507"/>
      <c r="K6" s="507"/>
      <c r="L6" s="507"/>
      <c r="M6" s="507"/>
      <c r="N6" s="507"/>
      <c r="O6" s="507"/>
      <c r="P6" s="507"/>
      <c r="Q6" s="507"/>
      <c r="R6" s="507"/>
      <c r="S6" s="507"/>
      <c r="T6" s="507"/>
      <c r="U6" s="507"/>
      <c r="V6" s="507"/>
      <c r="W6" s="507"/>
      <c r="X6" s="507"/>
      <c r="Y6" s="507"/>
      <c r="Z6" s="507"/>
      <c r="AA6" s="507"/>
      <c r="AB6" s="518"/>
      <c r="AC6" s="507"/>
      <c r="AD6" s="519"/>
    </row>
    <row r="7" spans="1:55" ht="17.45" customHeight="1" x14ac:dyDescent="0.2">
      <c r="A7" s="520"/>
      <c r="B7" s="1202" t="s">
        <v>780</v>
      </c>
      <c r="C7" s="1202"/>
      <c r="D7" s="507"/>
      <c r="E7" s="517"/>
      <c r="F7" s="2029"/>
      <c r="G7" s="2029"/>
      <c r="H7" s="507"/>
      <c r="I7" s="507"/>
      <c r="J7" s="507"/>
      <c r="K7" s="507"/>
      <c r="L7" s="507"/>
      <c r="M7" s="507"/>
      <c r="N7" s="507"/>
      <c r="O7" s="507"/>
      <c r="P7" s="507"/>
      <c r="Q7" s="507"/>
      <c r="R7" s="507"/>
      <c r="S7" s="507"/>
      <c r="T7" s="507"/>
      <c r="U7" s="507"/>
      <c r="V7" s="507"/>
      <c r="W7" s="507"/>
      <c r="X7" s="507"/>
      <c r="Y7" s="507"/>
      <c r="Z7" s="507"/>
      <c r="AA7" s="507"/>
      <c r="AB7" s="518"/>
      <c r="AC7" s="507"/>
      <c r="AD7" s="519"/>
    </row>
    <row r="8" spans="1:55" ht="17.45" customHeight="1" x14ac:dyDescent="0.2">
      <c r="A8" s="520"/>
      <c r="C8" s="2029"/>
      <c r="D8" s="2029"/>
      <c r="E8" s="2030"/>
      <c r="F8" s="507"/>
      <c r="G8" s="507"/>
      <c r="H8" s="507"/>
      <c r="I8" s="507"/>
      <c r="J8" s="507"/>
      <c r="K8" s="507"/>
      <c r="L8" s="507"/>
      <c r="M8" s="507"/>
      <c r="N8" s="507"/>
      <c r="O8" s="507"/>
      <c r="P8" s="507"/>
      <c r="Q8" s="507"/>
      <c r="R8" s="507"/>
      <c r="S8" s="507"/>
      <c r="T8" s="507"/>
      <c r="U8" s="507"/>
      <c r="V8" s="507"/>
      <c r="W8" s="507"/>
      <c r="X8" s="507"/>
      <c r="Y8" s="507"/>
      <c r="Z8" s="507"/>
      <c r="AA8" s="507"/>
      <c r="AB8" s="518"/>
      <c r="AC8" s="507"/>
      <c r="AD8" s="519"/>
    </row>
    <row r="9" spans="1:55" ht="6" customHeight="1" x14ac:dyDescent="0.2">
      <c r="A9" s="520"/>
      <c r="B9" s="507"/>
      <c r="C9" s="507"/>
      <c r="D9" s="507"/>
      <c r="E9" s="517"/>
      <c r="F9" s="507"/>
      <c r="G9" s="507"/>
      <c r="H9" s="507"/>
      <c r="I9" s="507"/>
      <c r="J9" s="507"/>
      <c r="K9" s="507"/>
      <c r="L9" s="507"/>
      <c r="M9" s="507"/>
      <c r="N9" s="507"/>
      <c r="O9" s="507"/>
      <c r="P9" s="507"/>
      <c r="Q9" s="507"/>
      <c r="R9" s="507"/>
      <c r="S9" s="507"/>
      <c r="T9" s="507"/>
      <c r="U9" s="507"/>
      <c r="V9" s="507"/>
      <c r="W9" s="507"/>
      <c r="X9" s="507"/>
      <c r="Y9" s="507"/>
      <c r="Z9" s="507"/>
      <c r="AA9" s="507"/>
      <c r="AB9" s="518"/>
      <c r="AC9" s="507"/>
      <c r="AD9" s="519"/>
    </row>
    <row r="10" spans="1:55" ht="15.6" customHeight="1" x14ac:dyDescent="0.2">
      <c r="A10" s="520"/>
      <c r="B10" s="1678" t="s">
        <v>85</v>
      </c>
      <c r="C10" s="1679"/>
      <c r="D10" s="1677" t="s">
        <v>211</v>
      </c>
      <c r="E10" s="1677"/>
      <c r="F10" s="1677"/>
      <c r="G10" s="1677"/>
      <c r="H10" s="1677"/>
      <c r="I10" s="507"/>
      <c r="J10" s="507"/>
      <c r="K10" s="507"/>
      <c r="L10" s="507"/>
      <c r="M10" s="507"/>
      <c r="N10" s="507"/>
      <c r="O10" s="507"/>
      <c r="P10" s="507"/>
      <c r="Q10" s="507"/>
      <c r="R10" s="507"/>
      <c r="S10" s="507"/>
      <c r="T10" s="507"/>
      <c r="U10" s="507"/>
      <c r="V10" s="507"/>
      <c r="X10" s="507"/>
      <c r="Y10" s="507"/>
      <c r="Z10" s="507"/>
      <c r="AA10" s="507"/>
      <c r="AB10" s="518"/>
      <c r="AC10" s="507"/>
      <c r="AD10" s="519"/>
    </row>
    <row r="11" spans="1:55" s="677" customFormat="1" ht="6" customHeight="1" thickBot="1" x14ac:dyDescent="0.25">
      <c r="A11" s="672"/>
      <c r="B11" s="673"/>
      <c r="C11" s="673"/>
      <c r="D11" s="673"/>
      <c r="E11" s="674"/>
      <c r="F11" s="673"/>
      <c r="G11" s="673"/>
      <c r="H11" s="673"/>
      <c r="I11" s="673"/>
      <c r="J11" s="673"/>
      <c r="K11" s="673"/>
      <c r="L11" s="673"/>
      <c r="M11" s="673"/>
      <c r="N11" s="673"/>
      <c r="O11" s="673"/>
      <c r="P11" s="673"/>
      <c r="Q11" s="673"/>
      <c r="R11" s="673"/>
      <c r="S11" s="673"/>
      <c r="T11" s="673"/>
      <c r="U11" s="673"/>
      <c r="V11" s="673"/>
      <c r="W11" s="673"/>
      <c r="X11" s="673"/>
      <c r="Y11" s="673"/>
      <c r="Z11" s="673"/>
      <c r="AA11" s="673"/>
      <c r="AB11" s="675"/>
      <c r="AC11" s="673"/>
      <c r="AD11" s="676"/>
      <c r="AE11" s="1620"/>
      <c r="AF11" s="1620"/>
      <c r="AG11" s="1620"/>
      <c r="AH11" s="1620"/>
      <c r="AI11" s="1620"/>
      <c r="AJ11" s="1620"/>
      <c r="AK11" s="1620"/>
      <c r="AL11" s="1620"/>
      <c r="AM11" s="1620"/>
      <c r="AN11" s="1620"/>
      <c r="AO11" s="1620"/>
      <c r="AP11" s="1620"/>
      <c r="AQ11" s="1620"/>
      <c r="AR11" s="1620"/>
      <c r="AS11" s="1620"/>
      <c r="AT11" s="1620"/>
      <c r="AU11" s="1620"/>
      <c r="AV11" s="1620"/>
      <c r="AW11" s="1620"/>
      <c r="AX11" s="1620"/>
      <c r="AY11" s="1620"/>
      <c r="AZ11" s="1620"/>
      <c r="BA11" s="1620"/>
      <c r="BB11" s="1620"/>
      <c r="BC11" s="1620"/>
    </row>
    <row r="12" spans="1:55" s="524" customFormat="1" ht="57.6" customHeight="1" x14ac:dyDescent="0.2">
      <c r="A12" s="521"/>
      <c r="B12" s="1674" t="s">
        <v>641</v>
      </c>
      <c r="C12" s="1674"/>
      <c r="D12" s="1675" t="s">
        <v>0</v>
      </c>
      <c r="E12" s="1663" t="s">
        <v>31</v>
      </c>
      <c r="F12" s="1663" t="s">
        <v>8</v>
      </c>
      <c r="G12" s="1663" t="s">
        <v>4</v>
      </c>
      <c r="H12" s="1663" t="s">
        <v>6</v>
      </c>
      <c r="I12" s="1663" t="s">
        <v>1</v>
      </c>
      <c r="J12" s="1663" t="s">
        <v>9</v>
      </c>
      <c r="K12" s="1663" t="s">
        <v>2</v>
      </c>
      <c r="L12" s="1663" t="s">
        <v>10</v>
      </c>
      <c r="M12" s="1663" t="s">
        <v>11</v>
      </c>
      <c r="N12" s="1663" t="s">
        <v>12</v>
      </c>
      <c r="O12" s="1663" t="s">
        <v>3</v>
      </c>
      <c r="P12" s="1663" t="s">
        <v>13</v>
      </c>
      <c r="Q12" s="1663" t="s">
        <v>95</v>
      </c>
      <c r="R12" s="1663" t="s">
        <v>14</v>
      </c>
      <c r="S12" s="1663" t="s">
        <v>7</v>
      </c>
      <c r="T12" s="1663" t="s">
        <v>113</v>
      </c>
      <c r="U12" s="1663" t="s">
        <v>114</v>
      </c>
      <c r="V12" s="1663" t="s">
        <v>15</v>
      </c>
      <c r="W12" s="1663" t="s">
        <v>5</v>
      </c>
      <c r="X12" s="1663" t="s">
        <v>30</v>
      </c>
      <c r="Y12" s="1669" t="s">
        <v>16</v>
      </c>
      <c r="Z12" s="1667" t="s">
        <v>74</v>
      </c>
      <c r="AA12" s="1665" t="s">
        <v>127</v>
      </c>
      <c r="AB12" s="522"/>
      <c r="AC12" s="771"/>
      <c r="AD12" s="523"/>
      <c r="AE12" s="1621" t="s">
        <v>211</v>
      </c>
      <c r="AF12" s="1621" t="s">
        <v>0</v>
      </c>
      <c r="AG12" s="1621" t="s">
        <v>31</v>
      </c>
      <c r="AH12" s="1621" t="s">
        <v>8</v>
      </c>
      <c r="AI12" s="1621" t="s">
        <v>4</v>
      </c>
      <c r="AJ12" s="1621" t="s">
        <v>6</v>
      </c>
      <c r="AK12" s="1621" t="s">
        <v>1</v>
      </c>
      <c r="AL12" s="1621" t="s">
        <v>9</v>
      </c>
      <c r="AM12" s="1621" t="s">
        <v>2</v>
      </c>
      <c r="AN12" s="1621" t="s">
        <v>10</v>
      </c>
      <c r="AO12" s="1621" t="s">
        <v>11</v>
      </c>
      <c r="AP12" s="1621" t="s">
        <v>12</v>
      </c>
      <c r="AQ12" s="1621" t="s">
        <v>3</v>
      </c>
      <c r="AR12" s="1621" t="s">
        <v>13</v>
      </c>
      <c r="AS12" s="1621" t="s">
        <v>95</v>
      </c>
      <c r="AT12" s="1621" t="s">
        <v>14</v>
      </c>
      <c r="AU12" s="1621" t="s">
        <v>7</v>
      </c>
      <c r="AV12" s="1621" t="s">
        <v>113</v>
      </c>
      <c r="AW12" s="1621" t="s">
        <v>114</v>
      </c>
      <c r="AX12" s="1621" t="s">
        <v>15</v>
      </c>
      <c r="AY12" s="1621" t="s">
        <v>5</v>
      </c>
      <c r="AZ12" s="1621" t="s">
        <v>30</v>
      </c>
      <c r="BA12" s="1621" t="s">
        <v>16</v>
      </c>
      <c r="BB12" s="1622"/>
      <c r="BC12" s="1622"/>
    </row>
    <row r="13" spans="1:55" s="524" customFormat="1" ht="11.1" customHeight="1" thickBot="1" x14ac:dyDescent="0.25">
      <c r="A13" s="521"/>
      <c r="B13" s="710" t="s">
        <v>212</v>
      </c>
      <c r="C13" s="710" t="s">
        <v>213</v>
      </c>
      <c r="D13" s="1676"/>
      <c r="E13" s="1664"/>
      <c r="F13" s="1664"/>
      <c r="G13" s="1664"/>
      <c r="H13" s="1664"/>
      <c r="I13" s="1664"/>
      <c r="J13" s="1664"/>
      <c r="K13" s="1664"/>
      <c r="L13" s="1664"/>
      <c r="M13" s="1664"/>
      <c r="N13" s="1664"/>
      <c r="O13" s="1664"/>
      <c r="P13" s="1664"/>
      <c r="Q13" s="1664"/>
      <c r="R13" s="1664"/>
      <c r="S13" s="1664"/>
      <c r="T13" s="1664"/>
      <c r="U13" s="1664"/>
      <c r="V13" s="1664"/>
      <c r="W13" s="1664"/>
      <c r="X13" s="1664"/>
      <c r="Y13" s="1670"/>
      <c r="Z13" s="1668"/>
      <c r="AA13" s="1666"/>
      <c r="AB13" s="522"/>
      <c r="AC13" s="771"/>
      <c r="AD13" s="523"/>
      <c r="AE13" s="1621"/>
      <c r="AF13" s="1621"/>
      <c r="AG13" s="1621"/>
      <c r="AH13" s="1621"/>
      <c r="AI13" s="1621"/>
      <c r="AJ13" s="1621"/>
      <c r="AK13" s="1621"/>
      <c r="AL13" s="1621"/>
      <c r="AM13" s="1621"/>
      <c r="AN13" s="1621"/>
      <c r="AO13" s="1621"/>
      <c r="AP13" s="1621"/>
      <c r="AQ13" s="1621"/>
      <c r="AR13" s="1621"/>
      <c r="AS13" s="1621"/>
      <c r="AT13" s="1621"/>
      <c r="AU13" s="1621"/>
      <c r="AV13" s="1621"/>
      <c r="AW13" s="1621"/>
      <c r="AX13" s="1621"/>
      <c r="AY13" s="1621"/>
      <c r="AZ13" s="1621"/>
      <c r="BA13" s="1621"/>
      <c r="BB13" s="1622"/>
      <c r="BC13" s="1622"/>
    </row>
    <row r="14" spans="1:55" s="470" customFormat="1" ht="18.600000000000001" customHeight="1" thickBot="1" x14ac:dyDescent="0.25">
      <c r="A14" s="525"/>
      <c r="B14" s="1627" t="s">
        <v>78</v>
      </c>
      <c r="C14" s="1631" t="s">
        <v>1215</v>
      </c>
      <c r="D14" s="1197">
        <f>VLOOKUP(D$12,IDACI!$B:$C,2,FALSE)</f>
        <v>8.9</v>
      </c>
      <c r="E14" s="1198">
        <f>VLOOKUP(E$12,IDACI!$B:$C,2,FALSE)</f>
        <v>15.299999999999999</v>
      </c>
      <c r="F14" s="1198">
        <f>VLOOKUP(F$12,IDACI!$B:$C,2,FALSE)</f>
        <v>8.5</v>
      </c>
      <c r="G14" s="1198">
        <f>VLOOKUP(G$12,IDACI!$B:$C,2,FALSE)</f>
        <v>16.100000000000001</v>
      </c>
      <c r="H14" s="1198">
        <f>VLOOKUP(H$12,IDACI!$B:$C,2,FALSE)</f>
        <v>10.100000000000001</v>
      </c>
      <c r="I14" s="1198">
        <f>VLOOKUP(I$12,IDACI!$B:$C,2,FALSE)</f>
        <v>18</v>
      </c>
      <c r="J14" s="1198">
        <f>VLOOKUP(J$12,IDACI!$B:$C,2,FALSE)</f>
        <v>15.8</v>
      </c>
      <c r="K14" s="1198">
        <f>VLOOKUP(K$12,IDACI!$B:$C,2,FALSE)</f>
        <v>18.899999999999999</v>
      </c>
      <c r="L14" s="1198">
        <f>VLOOKUP(L$12,IDACI!$B:$C,2,FALSE)</f>
        <v>15</v>
      </c>
      <c r="M14" s="1198">
        <f>VLOOKUP(M$12,IDACI!$B:$C,2,FALSE)</f>
        <v>10.100000000000001</v>
      </c>
      <c r="N14" s="1198">
        <f>VLOOKUP(N$12,IDACI!$B:$C,2,FALSE)</f>
        <v>20.200000000000003</v>
      </c>
      <c r="O14" s="1198">
        <f>VLOOKUP(O$12,IDACI!$B:$C,2,FALSE)</f>
        <v>16</v>
      </c>
      <c r="P14" s="1198">
        <f>VLOOKUP(P$12,IDACI!$B:$C,2,FALSE)</f>
        <v>14.7</v>
      </c>
      <c r="Q14" s="1198">
        <f>VLOOKUP(Q$12,IDACI!$B:$C,2,FALSE)</f>
        <v>13.600000000000001</v>
      </c>
      <c r="R14" s="1198">
        <f>VLOOKUP(R$12,IDACI!$B:$C,2,FALSE)</f>
        <v>20.5</v>
      </c>
      <c r="S14" s="1198">
        <f>VLOOKUP(S$12,IDACI!$B:$C,2,FALSE)</f>
        <v>8.3000000000000007</v>
      </c>
      <c r="T14" s="1198">
        <f>VLOOKUP(T$12,IDACI!$B:$C,2,FALSE)</f>
        <v>14.899999999999999</v>
      </c>
      <c r="U14" s="1198">
        <f>VLOOKUP(U$12,IDACI!$B:$C,2,FALSE)</f>
        <v>21.9</v>
      </c>
      <c r="V14" s="1198">
        <f>VLOOKUP(V$12,IDACI!$B:$C,2,FALSE)</f>
        <v>8.6999999999999993</v>
      </c>
      <c r="W14" s="1198">
        <f>VLOOKUP(W$12,IDACI!$B:$C,2,FALSE)</f>
        <v>11</v>
      </c>
      <c r="X14" s="1198">
        <f>VLOOKUP(X$12,IDACI!$B:$C,2,FALSE)</f>
        <v>6.7</v>
      </c>
      <c r="Y14" s="1199">
        <f>VLOOKUP(Y$12,IDACI!$B:$C,2,FALSE)</f>
        <v>5.6000000000000005</v>
      </c>
      <c r="Z14" s="1227">
        <f>VLOOKUP(Z$12,IDACI!$B:$C,2,FALSE)</f>
        <v>12.371268250968637</v>
      </c>
      <c r="AA14" s="1200">
        <f>VLOOKUP(AA$12,IDACI!$B:$C,2,FALSE)</f>
        <v>17.084413405029373</v>
      </c>
      <c r="AB14" s="528"/>
      <c r="AC14" s="772"/>
      <c r="AD14" s="529"/>
      <c r="AE14" s="1623"/>
      <c r="AF14" s="1623"/>
      <c r="AG14" s="1623"/>
      <c r="AH14" s="1623"/>
      <c r="AI14" s="1623"/>
      <c r="AJ14" s="1623"/>
      <c r="AK14" s="1623"/>
      <c r="AL14" s="1623"/>
      <c r="AM14" s="1623"/>
      <c r="AN14" s="1623"/>
      <c r="AO14" s="1623"/>
      <c r="AP14" s="1623"/>
      <c r="AQ14" s="1623"/>
      <c r="AR14" s="1623"/>
      <c r="AS14" s="1623"/>
      <c r="AT14" s="1623"/>
      <c r="AU14" s="1623"/>
      <c r="AV14" s="1623"/>
      <c r="AW14" s="1623"/>
      <c r="AX14" s="1623"/>
      <c r="AY14" s="1623"/>
      <c r="AZ14" s="1623"/>
      <c r="BA14" s="1623"/>
      <c r="BB14" s="1624">
        <f>ROW(BC14)-11</f>
        <v>3</v>
      </c>
      <c r="BC14" s="1624"/>
    </row>
    <row r="15" spans="1:55" s="470" customFormat="1" ht="22.5" customHeight="1" x14ac:dyDescent="0.2">
      <c r="A15" s="525"/>
      <c r="B15" s="2027" t="s">
        <v>80</v>
      </c>
      <c r="C15" s="526" t="str">
        <f>"Referrals received to Children's Social Care (CSC) during the "&amp;Sheet1!$G$3&amp;", Rate per 10,000 0-17 Year Olds"</f>
        <v>Referrals received to Children's Social Care (CSC) during the Year ending 31st March, Rate per 10,000 0-17 Year Olds</v>
      </c>
      <c r="D15" s="713">
        <f>IFERROR(VLOOKUP(D12,Referrals!$B$10:$O$33,14,FALSE),"")</f>
        <v>598.23943661971828</v>
      </c>
      <c r="E15" s="527">
        <f>IFERROR(VLOOKUP(E12,Referrals!$B$10:$O$33,14,FALSE),"")</f>
        <v>709.94035785288281</v>
      </c>
      <c r="F15" s="527">
        <f>IFERROR(VLOOKUP(F12,Referrals!$B$10:$O$33,14,FALSE),"")</f>
        <v>665.63245823389013</v>
      </c>
      <c r="G15" s="527">
        <f>IFERROR(VLOOKUP(G12,Referrals!$B$10:$O$33,14,FALSE),"")</f>
        <v>392.00376293508936</v>
      </c>
      <c r="H15" s="527">
        <f>IFERROR(VLOOKUP(H12,Referrals!$B$10:$O$33,14,FALSE),"")</f>
        <v>711.22054168132252</v>
      </c>
      <c r="I15" s="527">
        <f>IFERROR(VLOOKUP(I12,Referrals!$B$10:$O$33,14,FALSE),"")</f>
        <v>1080.9716599190283</v>
      </c>
      <c r="J15" s="527">
        <f>IFERROR(VLOOKUP(J12,Referrals!$B$10:$O$33,14,FALSE),"")</f>
        <v>650.05817335660277</v>
      </c>
      <c r="K15" s="527">
        <f>IFERROR(VLOOKUP(K12,Referrals!$B$10:$O$33,14,FALSE),"")</f>
        <v>754.46153846153845</v>
      </c>
      <c r="L15" s="527">
        <f>IFERROR(VLOOKUP(L12,Referrals!$B$10:$O$33,14,FALSE),"")</f>
        <v>449.12790697674421</v>
      </c>
      <c r="M15" s="527">
        <f>IFERROR(VLOOKUP(M12,Referrals!$B$10:$O$33,14,FALSE),"")</f>
        <v>513.48391512662556</v>
      </c>
      <c r="N15" s="527">
        <f>IFERROR(VLOOKUP(N12,Referrals!$B$10:$O$33,14,FALSE),"")</f>
        <v>608.21917808219177</v>
      </c>
      <c r="O15" s="527">
        <f>IFERROR(VLOOKUP(O12,Referrals!$B$10:$O$33,14,FALSE),"")</f>
        <v>692.97297297297291</v>
      </c>
      <c r="P15" s="527">
        <f>IFERROR(VLOOKUP(P12,Referrals!$B$10:$O$33,14,FALSE),"")</f>
        <v>589.3271461716937</v>
      </c>
      <c r="Q15" s="527">
        <f>IFERROR(VLOOKUP(Q12,Referrals!$B$10:$O$33,14,FALSE),"")</f>
        <v>325.44964028776974</v>
      </c>
      <c r="R15" s="527">
        <f>IFERROR(VLOOKUP(R12,Referrals!$B$10:$O$33,14,FALSE),"")</f>
        <v>943.46978557504872</v>
      </c>
      <c r="S15" s="527">
        <f>IFERROR(VLOOKUP(S12,Referrals!$B$10:$O$33,14,FALSE),"")</f>
        <v>322.93404094010617</v>
      </c>
      <c r="T15" s="527">
        <f>IFERROR(VLOOKUP(T12,Referrals!$B$10:$O$33,14,FALSE),"")</f>
        <v>600.39682539682542</v>
      </c>
      <c r="U15" s="527">
        <f>IFERROR(VLOOKUP(U12,Referrals!$B$10:$O$33,14,FALSE),"")</f>
        <v>730.078125</v>
      </c>
      <c r="V15" s="527">
        <f>IFERROR(VLOOKUP(V12,Referrals!$B$10:$O$33,14,FALSE),"")</f>
        <v>464.60674157303373</v>
      </c>
      <c r="W15" s="527">
        <f>IFERROR(VLOOKUP(W12,Referrals!$B$10:$O$33,14,FALSE),"")</f>
        <v>567.4616695059625</v>
      </c>
      <c r="X15" s="527">
        <f>IFERROR(VLOOKUP(X12,Referrals!$B$10:$O$33,14,FALSE),"")</f>
        <v>390.77809798270891</v>
      </c>
      <c r="Y15" s="714">
        <f>IFERROR(VLOOKUP(Y12,Referrals!$B$10:$O$33,14,FALSE),"")</f>
        <v>439.10891089108907</v>
      </c>
      <c r="Z15" s="1228">
        <f>IFERROR(VLOOKUP(Z12,Referrals!$B$10:$O$33,14,FALSE),"")</f>
        <v>581.14970546414793</v>
      </c>
      <c r="AA15" s="1506">
        <f>IFERROR(VLOOKUP(AA12,Referrals!$B$10:$O$33,14,FALSE),"")</f>
        <v>534.76496224092614</v>
      </c>
      <c r="AB15" s="528"/>
      <c r="AC15" s="772"/>
      <c r="AD15" s="529"/>
      <c r="AE15" s="1623"/>
      <c r="AF15" s="1623"/>
      <c r="AG15" s="1623"/>
      <c r="AH15" s="1623"/>
      <c r="AI15" s="1623"/>
      <c r="AJ15" s="1623"/>
      <c r="AK15" s="1623"/>
      <c r="AL15" s="1623"/>
      <c r="AM15" s="1623"/>
      <c r="AN15" s="1623"/>
      <c r="AO15" s="1623"/>
      <c r="AP15" s="1623"/>
      <c r="AQ15" s="1623"/>
      <c r="AR15" s="1623"/>
      <c r="AS15" s="1623"/>
      <c r="AT15" s="1623"/>
      <c r="AU15" s="1623"/>
      <c r="AV15" s="1623"/>
      <c r="AW15" s="1623"/>
      <c r="AX15" s="1623"/>
      <c r="AY15" s="1623"/>
      <c r="AZ15" s="1623"/>
      <c r="BA15" s="1623"/>
      <c r="BB15" s="1624">
        <f t="shared" ref="BB15:BB54" si="0">ROW(BC15)-11</f>
        <v>4</v>
      </c>
      <c r="BC15" s="1624"/>
    </row>
    <row r="16" spans="1:55" s="470" customFormat="1" ht="18.95" customHeight="1" thickBot="1" x14ac:dyDescent="0.25">
      <c r="A16" s="525"/>
      <c r="B16" s="2028"/>
      <c r="C16" s="533" t="s">
        <v>216</v>
      </c>
      <c r="D16" s="720">
        <f>IFERROR(VLOOKUP(D12,Referrals!$B$148:$H$171,7,FALSE),"")</f>
        <v>0.81871689228958211</v>
      </c>
      <c r="E16" s="545">
        <f>IFERROR(VLOOKUP(E12,Referrals!$B$148:$H$171,7,FALSE),"")</f>
        <v>0.86782413889666765</v>
      </c>
      <c r="F16" s="545">
        <f>IFERROR(VLOOKUP(F12,Referrals!$B$148:$H$171,7,FALSE),"")</f>
        <v>0.85502569618740287</v>
      </c>
      <c r="G16" s="545">
        <f>IFERROR(VLOOKUP(G12,Referrals!$B$148:$H$171,7,FALSE),"")</f>
        <v>0.98656107511399083</v>
      </c>
      <c r="H16" s="545">
        <f>IFERROR(VLOOKUP(H12,Referrals!$B$148:$H$171,7,FALSE),"")</f>
        <v>0.86641938674579622</v>
      </c>
      <c r="I16" s="545">
        <f>IFERROR(VLOOKUP(I12,Referrals!$B$148:$H$171,7,FALSE),"")</f>
        <v>0.82958801498127344</v>
      </c>
      <c r="J16" s="545">
        <f>IFERROR(VLOOKUP(J12,Referrals!$B$148:$H$171,7,FALSE),"")</f>
        <v>0.99525705848136381</v>
      </c>
      <c r="K16" s="545">
        <f>IFERROR(VLOOKUP(K12,Referrals!$B$148:$H$171,7,FALSE),"")</f>
        <v>0.95207993474714514</v>
      </c>
      <c r="L16" s="545">
        <f>IFERROR(VLOOKUP(L12,Referrals!$B$148:$H$171,7,FALSE),"")</f>
        <v>0.90647249190938506</v>
      </c>
      <c r="M16" s="545">
        <f>IFERROR(VLOOKUP(M12,Referrals!$B$148:$H$171,7,FALSE),"")</f>
        <v>0.92948547054118902</v>
      </c>
      <c r="N16" s="545">
        <f>IFERROR(VLOOKUP(N12,Referrals!$B$148:$H$171,7,FALSE),"")</f>
        <v>0.97822822822822819</v>
      </c>
      <c r="O16" s="545">
        <f>IFERROR(VLOOKUP(O12,Referrals!$B$148:$H$171,7,FALSE),"")</f>
        <v>0.99063962558502339</v>
      </c>
      <c r="P16" s="545">
        <f>IFERROR(VLOOKUP(P12,Referrals!$B$148:$H$171,7,FALSE),"")</f>
        <v>0.971259842519685</v>
      </c>
      <c r="Q16" s="545">
        <f>IFERROR(VLOOKUP(Q12,Referrals!$B$148:$H$171,7,FALSE),"")</f>
        <v>0.93699917104172425</v>
      </c>
      <c r="R16" s="545">
        <f>IFERROR(VLOOKUP(R12,Referrals!$B$148:$H$171,7,FALSE),"")</f>
        <v>0.81714876033057848</v>
      </c>
      <c r="S16" s="545">
        <f>IFERROR(VLOOKUP(S12,Referrals!$B$148:$H$171,7,FALSE),"")</f>
        <v>0.96818875454865594</v>
      </c>
      <c r="T16" s="545">
        <f>IFERROR(VLOOKUP(T12,Referrals!$B$148:$H$171,7,FALSE),"")</f>
        <v>0.87144745538664903</v>
      </c>
      <c r="U16" s="545">
        <f>IFERROR(VLOOKUP(U12,Referrals!$B$148:$H$171,7,FALSE),"")</f>
        <v>0.8715890850722311</v>
      </c>
      <c r="V16" s="545">
        <f>IFERROR(VLOOKUP(V12,Referrals!$B$148:$H$171,7,FALSE),"")</f>
        <v>1</v>
      </c>
      <c r="W16" s="545">
        <f>IFERROR(VLOOKUP(W12,Referrals!$B$148:$H$171,7,FALSE),"")</f>
        <v>1</v>
      </c>
      <c r="X16" s="545">
        <f>IFERROR(VLOOKUP(X12,Referrals!$B$148:$H$171,7,FALSE),"")</f>
        <v>0.94321533923303835</v>
      </c>
      <c r="Y16" s="721">
        <f>IFERROR(VLOOKUP(Y12,Referrals!$B$148:$H$171,7,FALSE),"")</f>
        <v>0.9751972942502819</v>
      </c>
      <c r="Z16" s="1229">
        <f>IFERROR(VLOOKUP(Z12,Referrals!$B$148:$H$171,7,FALSE),"")</f>
        <v>0.93184201328206917</v>
      </c>
      <c r="AA16" s="1510">
        <f>IFERROR(VLOOKUP(AA12,Referrals!$B$148:$H$171,7,FALSE),"")</f>
        <v>0.93716756353230268</v>
      </c>
      <c r="AB16" s="528"/>
      <c r="AC16" s="772"/>
      <c r="AD16" s="529"/>
      <c r="AE16" s="1623"/>
      <c r="AF16" s="1623"/>
      <c r="AG16" s="1623"/>
      <c r="AH16" s="1623"/>
      <c r="AI16" s="1623"/>
      <c r="AJ16" s="1623"/>
      <c r="AK16" s="1623"/>
      <c r="AL16" s="1623"/>
      <c r="AM16" s="1623"/>
      <c r="AN16" s="1623"/>
      <c r="AO16" s="1623"/>
      <c r="AP16" s="1623"/>
      <c r="AQ16" s="1623"/>
      <c r="AR16" s="1623"/>
      <c r="AS16" s="1623"/>
      <c r="AT16" s="1623"/>
      <c r="AU16" s="1623"/>
      <c r="AV16" s="1623"/>
      <c r="AW16" s="1623"/>
      <c r="AX16" s="1623"/>
      <c r="AY16" s="1623"/>
      <c r="AZ16" s="1623"/>
      <c r="BA16" s="1623"/>
      <c r="BB16" s="1624">
        <f t="shared" si="0"/>
        <v>5</v>
      </c>
      <c r="BC16" s="1624"/>
    </row>
    <row r="17" spans="1:55" s="470" customFormat="1" ht="14.25" customHeight="1" x14ac:dyDescent="0.2">
      <c r="A17" s="525"/>
      <c r="B17" s="2021" t="s">
        <v>640</v>
      </c>
      <c r="C17" s="2022" t="s">
        <v>217</v>
      </c>
      <c r="D17" s="724">
        <f>IFERROR(VLOOKUP(D$12,Referral_Source!$BC$33:$BM$56,2,FALSE),"")</f>
        <v>6.650971159505592E-2</v>
      </c>
      <c r="E17" s="659">
        <f>IFERROR(VLOOKUP(E$12,Referral_Source!$BC$33:$BM$56,2,FALSE),"")</f>
        <v>2.9403528423410808E-2</v>
      </c>
      <c r="F17" s="659">
        <f>IFERROR(VLOOKUP(F$12,Referral_Source!$BC$33:$BM$56,2,FALSE),"")</f>
        <v>7.5896078903055081E-2</v>
      </c>
      <c r="G17" s="659">
        <f>IFERROR(VLOOKUP(G$12,Referral_Source!$BC$33:$BM$56,2,FALSE),"")</f>
        <v>9.3112550995920321E-2</v>
      </c>
      <c r="H17" s="659">
        <f>IFERROR(VLOOKUP(H$12,Referral_Source!$BC$33:$BM$56,2,FALSE),"")</f>
        <v>0.1138971315529179</v>
      </c>
      <c r="I17" s="659">
        <f>IFERROR(VLOOKUP(I$12,Referral_Source!$BC$33:$BM$56,2,FALSE),"")</f>
        <v>0.11535580524344569</v>
      </c>
      <c r="J17" s="659">
        <f>IFERROR(VLOOKUP(J$12,Referral_Source!$BC$33:$BM$56,2,FALSE),"")</f>
        <v>7.5350127522484225E-2</v>
      </c>
      <c r="K17" s="659">
        <f>IFERROR(VLOOKUP(K$12,Referral_Source!$BC$33:$BM$56,2,FALSE),"")</f>
        <v>9.0538336052202281E-2</v>
      </c>
      <c r="L17" s="659">
        <f>IFERROR(VLOOKUP(L$12,Referral_Source!$BC$33:$BM$56,2,FALSE),"")</f>
        <v>8.9967637540453074E-2</v>
      </c>
      <c r="M17" s="659">
        <f>IFERROR(VLOOKUP(M$12,Referral_Source!$BC$33:$BM$56,2,FALSE),"")</f>
        <v>7.2647294054918682E-2</v>
      </c>
      <c r="N17" s="659">
        <f>IFERROR(VLOOKUP(N$12,Referral_Source!$BC$33:$BM$56,2,FALSE),"")</f>
        <v>5.8183183183183183E-2</v>
      </c>
      <c r="O17" s="659">
        <f>IFERROR(VLOOKUP(O$12,Referral_Source!$BC$33:$BM$56,2,FALSE),"")</f>
        <v>7.4882995319812795E-2</v>
      </c>
      <c r="P17" s="659">
        <f>IFERROR(VLOOKUP(P$12,Referral_Source!$BC$33:$BM$56,2,FALSE),"")</f>
        <v>4.0944881889763779E-2</v>
      </c>
      <c r="Q17" s="659">
        <f>IFERROR(VLOOKUP(Q$12,Referral_Source!$BC$33:$BM$56,2,FALSE),"")</f>
        <v>8.676429953025698E-2</v>
      </c>
      <c r="R17" s="659">
        <f>IFERROR(VLOOKUP(R$12,Referral_Source!$BC$33:$BM$56,2,FALSE),"")</f>
        <v>4.566115702479339E-2</v>
      </c>
      <c r="S17" s="659">
        <f>IFERROR(VLOOKUP(S$12,Referral_Source!$BC$33:$BM$56,2,FALSE),"")</f>
        <v>7.1956802441601131E-2</v>
      </c>
      <c r="T17" s="659">
        <f>IFERROR(VLOOKUP(T$12,Referral_Source!$BC$33:$BM$56,2,FALSE),"")</f>
        <v>5.9484467944481166E-2</v>
      </c>
      <c r="U17" s="659">
        <f>IFERROR(VLOOKUP(U$12,Referral_Source!$BC$33:$BM$56,2,FALSE),"")</f>
        <v>7.4731182795698931E-2</v>
      </c>
      <c r="V17" s="659">
        <f>IFERROR(VLOOKUP(V$12,Referral_Source!$BC$33:$BM$56,2,FALSE),"")</f>
        <v>0.13663845223700122</v>
      </c>
      <c r="W17" s="659">
        <f>IFERROR(VLOOKUP(W$12,Referral_Source!$BC$33:$BM$56,2,FALSE),"")</f>
        <v>8.8061643150205149E-2</v>
      </c>
      <c r="X17" s="659">
        <f>IFERROR(VLOOKUP(X$12,Referral_Source!$BC$33:$BM$56,2,FALSE),"")</f>
        <v>7.1533923303834804E-2</v>
      </c>
      <c r="Y17" s="725">
        <f>IFERROR(VLOOKUP(Y$12,Referral_Source!$BC$33:$BM$56,2,FALSE),"")</f>
        <v>8.4090909090909091E-2</v>
      </c>
      <c r="Z17" s="1232">
        <f>IFERROR(VLOOKUP(Z$12,Referral_Source!$BC$33:$BM$56,2,FALSE),"")</f>
        <v>8.2491082045184308E-2</v>
      </c>
      <c r="AA17" s="1512">
        <f>IFERROR(VLOOKUP(AA$12,Referral_Source!$BC$33:$BM$56,2,FALSE),"")</f>
        <v>8.1324457992472551E-2</v>
      </c>
      <c r="AB17" s="528"/>
      <c r="AC17" s="772"/>
      <c r="AD17" s="529"/>
      <c r="AE17" s="1623"/>
      <c r="AF17" s="1623"/>
      <c r="AG17" s="1623"/>
      <c r="AH17" s="1623"/>
      <c r="AI17" s="1623"/>
      <c r="AJ17" s="1623"/>
      <c r="AK17" s="1623"/>
      <c r="AL17" s="1623"/>
      <c r="AM17" s="1623"/>
      <c r="AN17" s="1623"/>
      <c r="AO17" s="1623"/>
      <c r="AP17" s="1623"/>
      <c r="AQ17" s="1623"/>
      <c r="AR17" s="1623"/>
      <c r="AS17" s="1623"/>
      <c r="AT17" s="1623"/>
      <c r="AU17" s="1623"/>
      <c r="AV17" s="1623"/>
      <c r="AW17" s="1623"/>
      <c r="AX17" s="1623"/>
      <c r="AY17" s="1623"/>
      <c r="AZ17" s="1623"/>
      <c r="BA17" s="1623"/>
      <c r="BB17" s="1624">
        <f t="shared" si="0"/>
        <v>6</v>
      </c>
      <c r="BC17" s="1624"/>
    </row>
    <row r="18" spans="1:55" s="470" customFormat="1" ht="14.25" customHeight="1" x14ac:dyDescent="0.2">
      <c r="A18" s="525"/>
      <c r="B18" s="2023"/>
      <c r="C18" s="2024" t="s">
        <v>218</v>
      </c>
      <c r="D18" s="715">
        <f>IFERROR(VLOOKUP(D$12,Referral_Source!$BC$33:$BM$56,3,FALSE),"")</f>
        <v>0.290759270158917</v>
      </c>
      <c r="E18" s="532">
        <f>IFERROR(VLOOKUP(E$12,Referral_Source!$BC$33:$BM$56,3,FALSE),"")</f>
        <v>0.18818258190982917</v>
      </c>
      <c r="F18" s="532">
        <f>IFERROR(VLOOKUP(F$12,Referral_Source!$BC$33:$BM$56,3,FALSE),"")</f>
        <v>0.19461149867693048</v>
      </c>
      <c r="G18" s="532">
        <f>IFERROR(VLOOKUP(G$12,Referral_Source!$BC$33:$BM$56,3,FALSE),"")</f>
        <v>0.16798656107511398</v>
      </c>
      <c r="H18" s="532">
        <f>IFERROR(VLOOKUP(H$12,Referral_Source!$BC$33:$BM$56,3,FALSE),"")</f>
        <v>0.24762611275964391</v>
      </c>
      <c r="I18" s="532">
        <f>IFERROR(VLOOKUP(I$12,Referral_Source!$BC$33:$BM$56,3,FALSE),"")</f>
        <v>0.2689138576779026</v>
      </c>
      <c r="J18" s="532">
        <f>IFERROR(VLOOKUP(J$12,Referral_Source!$BC$33:$BM$56,3,FALSE),"")</f>
        <v>0.19589243366593584</v>
      </c>
      <c r="K18" s="532">
        <f>IFERROR(VLOOKUP(K$12,Referral_Source!$BC$33:$BM$56,3,FALSE),"")</f>
        <v>0.24123164763458402</v>
      </c>
      <c r="L18" s="532">
        <f>IFERROR(VLOOKUP(L$12,Referral_Source!$BC$33:$BM$56,3,FALSE),"")</f>
        <v>0.21715210355987055</v>
      </c>
      <c r="M18" s="532">
        <f>IFERROR(VLOOKUP(M$12,Referral_Source!$BC$33:$BM$56,3,FALSE),"")</f>
        <v>0.22034124233537725</v>
      </c>
      <c r="N18" s="532">
        <f>IFERROR(VLOOKUP(N$12,Referral_Source!$BC$33:$BM$56,3,FALSE),"")</f>
        <v>0.22222222222222221</v>
      </c>
      <c r="O18" s="532">
        <f>IFERROR(VLOOKUP(O$12,Referral_Source!$BC$33:$BM$56,3,FALSE),"")</f>
        <v>0.2078783151326053</v>
      </c>
      <c r="P18" s="532">
        <f>IFERROR(VLOOKUP(P$12,Referral_Source!$BC$33:$BM$56,3,FALSE),"")</f>
        <v>0.24960629921259841</v>
      </c>
      <c r="Q18" s="532">
        <f>IFERROR(VLOOKUP(Q$12,Referral_Source!$BC$33:$BM$56,3,FALSE),"")</f>
        <v>0.13567283780049738</v>
      </c>
      <c r="R18" s="532">
        <f>IFERROR(VLOOKUP(R$12,Referral_Source!$BC$33:$BM$56,3,FALSE),"")</f>
        <v>0.19669421487603306</v>
      </c>
      <c r="S18" s="532">
        <f>IFERROR(VLOOKUP(S$12,Referral_Source!$BC$33:$BM$56,3,FALSE),"")</f>
        <v>0.19192393473412372</v>
      </c>
      <c r="T18" s="532">
        <f>IFERROR(VLOOKUP(T$12,Referral_Source!$BC$33:$BM$56,3,FALSE),"")</f>
        <v>0.18175809649702579</v>
      </c>
      <c r="U18" s="532">
        <f>IFERROR(VLOOKUP(U$12,Referral_Source!$BC$33:$BM$56,3,FALSE),"")</f>
        <v>0.16021505376344086</v>
      </c>
      <c r="V18" s="532">
        <f>IFERROR(VLOOKUP(V$12,Referral_Source!$BC$33:$BM$56,3,FALSE),"")</f>
        <v>0.24244256348246676</v>
      </c>
      <c r="W18" s="532">
        <f>IFERROR(VLOOKUP(W$12,Referral_Source!$BC$33:$BM$56,3,FALSE),"")</f>
        <v>0.20294205944160912</v>
      </c>
      <c r="X18" s="532">
        <f>IFERROR(VLOOKUP(X$12,Referral_Source!$BC$33:$BM$56,3,FALSE),"")</f>
        <v>0.20943952802359883</v>
      </c>
      <c r="Y18" s="658">
        <f>IFERROR(VLOOKUP(Y$12,Referral_Source!$BC$33:$BM$56,3,FALSE),"")</f>
        <v>0.20397727272727273</v>
      </c>
      <c r="Z18" s="1230">
        <f>IFERROR(VLOOKUP(Z$12,Referral_Source!$BC$33:$BM$56,3,FALSE),"")</f>
        <v>0.21431069455130447</v>
      </c>
      <c r="AA18" s="1507">
        <f>IFERROR(VLOOKUP(AA$12,Referral_Source!$BC$33:$BM$56,3,FALSE),"")</f>
        <v>0.20317894802326666</v>
      </c>
      <c r="AB18" s="528"/>
      <c r="AC18" s="772"/>
      <c r="AD18" s="529"/>
      <c r="AE18" s="1623"/>
      <c r="AF18" s="1623"/>
      <c r="AG18" s="1623"/>
      <c r="AH18" s="1623"/>
      <c r="AI18" s="1623"/>
      <c r="AJ18" s="1623"/>
      <c r="AK18" s="1623"/>
      <c r="AL18" s="1623"/>
      <c r="AM18" s="1623"/>
      <c r="AN18" s="1623"/>
      <c r="AO18" s="1623"/>
      <c r="AP18" s="1623"/>
      <c r="AQ18" s="1623"/>
      <c r="AR18" s="1623"/>
      <c r="AS18" s="1623"/>
      <c r="AT18" s="1623"/>
      <c r="AU18" s="1623"/>
      <c r="AV18" s="1623"/>
      <c r="AW18" s="1623"/>
      <c r="AX18" s="1623"/>
      <c r="AY18" s="1623"/>
      <c r="AZ18" s="1623"/>
      <c r="BA18" s="1623"/>
      <c r="BB18" s="1624">
        <f t="shared" si="0"/>
        <v>7</v>
      </c>
      <c r="BC18" s="1624"/>
    </row>
    <row r="19" spans="1:55" s="470" customFormat="1" ht="14.25" customHeight="1" x14ac:dyDescent="0.2">
      <c r="A19" s="525"/>
      <c r="B19" s="2023"/>
      <c r="C19" s="2024" t="s">
        <v>219</v>
      </c>
      <c r="D19" s="715">
        <f>IFERROR(VLOOKUP(D$12,Referral_Source!$BC$33:$BM$56,4,FALSE),"")</f>
        <v>0.10417892878163626</v>
      </c>
      <c r="E19" s="532">
        <f>IFERROR(VLOOKUP(E$12,Referral_Source!$BC$33:$BM$56,4,FALSE),"")</f>
        <v>0.12629515541865025</v>
      </c>
      <c r="F19" s="532">
        <f>IFERROR(VLOOKUP(F$12,Referral_Source!$BC$33:$BM$56,4,FALSE),"")</f>
        <v>0.15479913399085879</v>
      </c>
      <c r="G19" s="532">
        <f>IFERROR(VLOOKUP(G$12,Referral_Source!$BC$33:$BM$56,4,FALSE),"")</f>
        <v>0.11159107271418287</v>
      </c>
      <c r="H19" s="532">
        <f>IFERROR(VLOOKUP(H$12,Referral_Source!$BC$33:$BM$56,4,FALSE),"")</f>
        <v>0.18081107814045499</v>
      </c>
      <c r="I19" s="532">
        <f>IFERROR(VLOOKUP(I$12,Referral_Source!$BC$33:$BM$56,4,FALSE),"")</f>
        <v>0.13745318352059926</v>
      </c>
      <c r="J19" s="532">
        <f>IFERROR(VLOOKUP(J$12,Referral_Source!$BC$33:$BM$56,4,FALSE),"")</f>
        <v>0.1321759362835026</v>
      </c>
      <c r="K19" s="532">
        <f>IFERROR(VLOOKUP(K$12,Referral_Source!$BC$33:$BM$56,4,FALSE),"")</f>
        <v>9.2577487765089728E-2</v>
      </c>
      <c r="L19" s="532">
        <f>IFERROR(VLOOKUP(L$12,Referral_Source!$BC$33:$BM$56,4,FALSE),"")</f>
        <v>0.15275080906148866</v>
      </c>
      <c r="M19" s="532">
        <f>IFERROR(VLOOKUP(M$12,Referral_Source!$BC$33:$BM$56,4,FALSE),"")</f>
        <v>0.13129832044788056</v>
      </c>
      <c r="N19" s="532">
        <f>IFERROR(VLOOKUP(N$12,Referral_Source!$BC$33:$BM$56,4,FALSE),"")</f>
        <v>0.14114114114114115</v>
      </c>
      <c r="O19" s="532">
        <f>IFERROR(VLOOKUP(O$12,Referral_Source!$BC$33:$BM$56,4,FALSE),"")</f>
        <v>0.14508580343213728</v>
      </c>
      <c r="P19" s="532">
        <f>IFERROR(VLOOKUP(P$12,Referral_Source!$BC$33:$BM$56,4,FALSE),"")</f>
        <v>0.13543307086614173</v>
      </c>
      <c r="Q19" s="532">
        <f>IFERROR(VLOOKUP(Q$12,Referral_Source!$BC$33:$BM$56,4,FALSE),"")</f>
        <v>0.14368610113290964</v>
      </c>
      <c r="R19" s="532">
        <f>IFERROR(VLOOKUP(R$12,Referral_Source!$BC$33:$BM$56,4,FALSE),"")</f>
        <v>0.15723140495867768</v>
      </c>
      <c r="S19" s="532">
        <f>IFERROR(VLOOKUP(S$12,Referral_Source!$BC$33:$BM$56,4,FALSE),"")</f>
        <v>0.15776499589153656</v>
      </c>
      <c r="T19" s="532">
        <f>IFERROR(VLOOKUP(T$12,Referral_Source!$BC$33:$BM$56,4,FALSE),"")</f>
        <v>0.14937210839391937</v>
      </c>
      <c r="U19" s="532">
        <f>IFERROR(VLOOKUP(U$12,Referral_Source!$BC$33:$BM$56,4,FALSE),"")</f>
        <v>0.10698924731182796</v>
      </c>
      <c r="V19" s="532">
        <f>IFERROR(VLOOKUP(V$12,Referral_Source!$BC$33:$BM$56,4,FALSE),"")</f>
        <v>0.11910519951632406</v>
      </c>
      <c r="W19" s="532">
        <f>IFERROR(VLOOKUP(W$12,Referral_Source!$BC$33:$BM$56,4,FALSE),"")</f>
        <v>0.13169218452917042</v>
      </c>
      <c r="X19" s="532">
        <f>IFERROR(VLOOKUP(X$12,Referral_Source!$BC$33:$BM$56,4,FALSE),"")</f>
        <v>0.12094395280235988</v>
      </c>
      <c r="Y19" s="658">
        <f>IFERROR(VLOOKUP(Y$12,Referral_Source!$BC$33:$BM$56,4,FALSE),"")</f>
        <v>0.12556818181818183</v>
      </c>
      <c r="Z19" s="1230">
        <f>IFERROR(VLOOKUP(Z$12,Referral_Source!$BC$33:$BM$56,4,FALSE),"")</f>
        <v>0.14306323004826188</v>
      </c>
      <c r="AA19" s="1507">
        <f>IFERROR(VLOOKUP(AA$12,Referral_Source!$BC$33:$BM$56,4,FALSE),"")</f>
        <v>0.14977137702572396</v>
      </c>
      <c r="AB19" s="528"/>
      <c r="AC19" s="772"/>
      <c r="AD19" s="529"/>
      <c r="AE19" s="1623"/>
      <c r="AF19" s="1623"/>
      <c r="AG19" s="1623"/>
      <c r="AH19" s="1623"/>
      <c r="AI19" s="1623"/>
      <c r="AJ19" s="1623"/>
      <c r="AK19" s="1623"/>
      <c r="AL19" s="1623"/>
      <c r="AM19" s="1623"/>
      <c r="AN19" s="1623"/>
      <c r="AO19" s="1623"/>
      <c r="AP19" s="1623"/>
      <c r="AQ19" s="1623"/>
      <c r="AR19" s="1623"/>
      <c r="AS19" s="1623"/>
      <c r="AT19" s="1623"/>
      <c r="AU19" s="1623"/>
      <c r="AV19" s="1623"/>
      <c r="AW19" s="1623"/>
      <c r="AX19" s="1623"/>
      <c r="AY19" s="1623"/>
      <c r="AZ19" s="1623"/>
      <c r="BA19" s="1623"/>
      <c r="BB19" s="1624">
        <f t="shared" si="0"/>
        <v>8</v>
      </c>
      <c r="BC19" s="1624"/>
    </row>
    <row r="20" spans="1:55" s="470" customFormat="1" ht="14.25" customHeight="1" x14ac:dyDescent="0.2">
      <c r="A20" s="525"/>
      <c r="B20" s="2023"/>
      <c r="C20" s="2024" t="s">
        <v>220</v>
      </c>
      <c r="D20" s="715">
        <f>IFERROR(VLOOKUP(D$12,Referral_Source!$BC$33:$BM$56,5,FALSE),"")</f>
        <v>1.059446733372572E-2</v>
      </c>
      <c r="E20" s="532">
        <f>IFERROR(VLOOKUP(E$12,Referral_Source!$BC$33:$BM$56,5,FALSE),"")</f>
        <v>1.7922150658078971E-2</v>
      </c>
      <c r="F20" s="532">
        <f>IFERROR(VLOOKUP(F$12,Referral_Source!$BC$33:$BM$56,5,FALSE),"")</f>
        <v>1.4914601876353139E-2</v>
      </c>
      <c r="G20" s="532">
        <f>IFERROR(VLOOKUP(G$12,Referral_Source!$BC$33:$BM$56,5,FALSE),"")</f>
        <v>1.3678905687544997E-2</v>
      </c>
      <c r="H20" s="532">
        <f>IFERROR(VLOOKUP(H$12,Referral_Source!$BC$33:$BM$56,5,FALSE),"")</f>
        <v>1.2265084075173096E-2</v>
      </c>
      <c r="I20" s="532">
        <f>IFERROR(VLOOKUP(I$12,Referral_Source!$BC$33:$BM$56,5,FALSE),"")</f>
        <v>1.5355805243445693E-2</v>
      </c>
      <c r="J20" s="532">
        <f>IFERROR(VLOOKUP(J$12,Referral_Source!$BC$33:$BM$56,5,FALSE),"")</f>
        <v>2.0090384357241933E-2</v>
      </c>
      <c r="K20" s="532">
        <f>IFERROR(VLOOKUP(K$12,Referral_Source!$BC$33:$BM$56,5,FALSE),"")</f>
        <v>1.5293637846655791E-2</v>
      </c>
      <c r="L20" s="532">
        <f>IFERROR(VLOOKUP(L$12,Referral_Source!$BC$33:$BM$56,5,FALSE),"")</f>
        <v>1.1326860841423949E-2</v>
      </c>
      <c r="M20" s="532">
        <f>IFERROR(VLOOKUP(M$12,Referral_Source!$BC$33:$BM$56,5,FALSE),"")</f>
        <v>4.6654225539856037E-3</v>
      </c>
      <c r="N20" s="532">
        <f>IFERROR(VLOOKUP(N$12,Referral_Source!$BC$33:$BM$56,5,FALSE),"")</f>
        <v>2.364864864864865E-2</v>
      </c>
      <c r="O20" s="532">
        <f>IFERROR(VLOOKUP(O$12,Referral_Source!$BC$33:$BM$56,5,FALSE),"")</f>
        <v>2.4960998439937598E-2</v>
      </c>
      <c r="P20" s="532">
        <f>IFERROR(VLOOKUP(P$12,Referral_Source!$BC$33:$BM$56,5,FALSE),"")</f>
        <v>0</v>
      </c>
      <c r="Q20" s="532">
        <f>IFERROR(VLOOKUP(Q$12,Referral_Source!$BC$33:$BM$56,5,FALSE),"")</f>
        <v>4.1447913788339322E-3</v>
      </c>
      <c r="R20" s="532">
        <f>IFERROR(VLOOKUP(R$12,Referral_Source!$BC$33:$BM$56,5,FALSE),"")</f>
        <v>5.7851239669421484E-3</v>
      </c>
      <c r="S20" s="532">
        <f>IFERROR(VLOOKUP(S$12,Referral_Source!$BC$33:$BM$56,5,FALSE),"")</f>
        <v>1.1855851625777673E-2</v>
      </c>
      <c r="T20" s="532">
        <f>IFERROR(VLOOKUP(T$12,Referral_Source!$BC$33:$BM$56,5,FALSE),"")</f>
        <v>1.0905485789821546E-2</v>
      </c>
      <c r="U20" s="532" t="str">
        <f>IFERROR(VLOOKUP(U$12,Referral_Source!$BC$33:$BM$56,5,FALSE),"")</f>
        <v/>
      </c>
      <c r="V20" s="532">
        <f>IFERROR(VLOOKUP(V$12,Referral_Source!$BC$33:$BM$56,5,FALSE),"")</f>
        <v>1.3301088270858524E-2</v>
      </c>
      <c r="W20" s="532">
        <f>IFERROR(VLOOKUP(W$12,Referral_Source!$BC$33:$BM$56,5,FALSE),"")</f>
        <v>2.0614430101070749E-2</v>
      </c>
      <c r="X20" s="532">
        <f>IFERROR(VLOOKUP(X$12,Referral_Source!$BC$33:$BM$56,5,FALSE),"")</f>
        <v>1.1061946902654867E-2</v>
      </c>
      <c r="Y20" s="658">
        <f>IFERROR(VLOOKUP(Y$12,Referral_Source!$BC$33:$BM$56,5,FALSE),"")</f>
        <v>6.2500000000000003E-3</v>
      </c>
      <c r="Z20" s="1230">
        <f>IFERROR(VLOOKUP(Z$12,Referral_Source!$BC$33:$BM$56,5,FALSE),"")</f>
        <v>1.4478561936070505E-2</v>
      </c>
      <c r="AA20" s="1507">
        <f>IFERROR(VLOOKUP(AA$12,Referral_Source!$BC$33:$BM$56,5,FALSE),"")</f>
        <v>1.2908644125789294E-2</v>
      </c>
      <c r="AB20" s="528"/>
      <c r="AC20" s="772"/>
      <c r="AD20" s="529"/>
      <c r="AE20" s="1623"/>
      <c r="AF20" s="1623"/>
      <c r="AG20" s="1623"/>
      <c r="AH20" s="1623"/>
      <c r="AI20" s="1623"/>
      <c r="AJ20" s="1623"/>
      <c r="AK20" s="1623"/>
      <c r="AL20" s="1623"/>
      <c r="AM20" s="1623"/>
      <c r="AN20" s="1623"/>
      <c r="AO20" s="1623"/>
      <c r="AP20" s="1623"/>
      <c r="AQ20" s="1623"/>
      <c r="AR20" s="1623"/>
      <c r="AS20" s="1623"/>
      <c r="AT20" s="1623"/>
      <c r="AU20" s="1623"/>
      <c r="AV20" s="1623"/>
      <c r="AW20" s="1623"/>
      <c r="AX20" s="1623"/>
      <c r="AY20" s="1623"/>
      <c r="AZ20" s="1623"/>
      <c r="BA20" s="1623"/>
      <c r="BB20" s="1624">
        <f t="shared" si="0"/>
        <v>9</v>
      </c>
      <c r="BC20" s="1624"/>
    </row>
    <row r="21" spans="1:55" s="470" customFormat="1" ht="14.25" customHeight="1" x14ac:dyDescent="0.2">
      <c r="A21" s="525"/>
      <c r="B21" s="2023"/>
      <c r="C21" s="2024" t="s">
        <v>221</v>
      </c>
      <c r="D21" s="715">
        <f>IFERROR(VLOOKUP(D$12,Referral_Source!$BC$33:$BM$56,6,FALSE),"")</f>
        <v>0.22189523248969983</v>
      </c>
      <c r="E21" s="532">
        <f>IFERROR(VLOOKUP(E$12,Referral_Source!$BC$33:$BM$56,6,FALSE),"")</f>
        <v>0.13917670120414449</v>
      </c>
      <c r="F21" s="532">
        <f>IFERROR(VLOOKUP(F$12,Referral_Source!$BC$33:$BM$56,6,FALSE),"")</f>
        <v>0.11655039692085639</v>
      </c>
      <c r="G21" s="532">
        <f>IFERROR(VLOOKUP(G$12,Referral_Source!$BC$33:$BM$56,6,FALSE),"")</f>
        <v>0.19462443004559635</v>
      </c>
      <c r="H21" s="532">
        <f>IFERROR(VLOOKUP(H$12,Referral_Source!$BC$33:$BM$56,6,FALSE),"")</f>
        <v>7.9129574678536096E-2</v>
      </c>
      <c r="I21" s="532">
        <f>IFERROR(VLOOKUP(I$12,Referral_Source!$BC$33:$BM$56,6,FALSE),"")</f>
        <v>9.4756554307116103E-2</v>
      </c>
      <c r="J21" s="532">
        <f>IFERROR(VLOOKUP(J$12,Referral_Source!$BC$33:$BM$56,6,FALSE),"")</f>
        <v>0.12107924291914628</v>
      </c>
      <c r="K21" s="532">
        <f>IFERROR(VLOOKUP(K$12,Referral_Source!$BC$33:$BM$56,6,FALSE),"")</f>
        <v>0.12663132137030994</v>
      </c>
      <c r="L21" s="532">
        <f>IFERROR(VLOOKUP(L$12,Referral_Source!$BC$33:$BM$56,6,FALSE),"")</f>
        <v>0.12686084142394821</v>
      </c>
      <c r="M21" s="532">
        <f>IFERROR(VLOOKUP(M$12,Referral_Source!$BC$33:$BM$56,6,FALSE),"")</f>
        <v>0.1851506264996001</v>
      </c>
      <c r="N21" s="532">
        <f>IFERROR(VLOOKUP(N$12,Referral_Source!$BC$33:$BM$56,6,FALSE),"")</f>
        <v>0.1692942942942943</v>
      </c>
      <c r="O21" s="532">
        <f>IFERROR(VLOOKUP(O$12,Referral_Source!$BC$33:$BM$56,6,FALSE),"")</f>
        <v>0.10257410296411856</v>
      </c>
      <c r="P21" s="532">
        <f>IFERROR(VLOOKUP(P$12,Referral_Source!$BC$33:$BM$56,6,FALSE),"")</f>
        <v>0.15393700787401574</v>
      </c>
      <c r="Q21" s="532">
        <f>IFERROR(VLOOKUP(Q$12,Referral_Source!$BC$33:$BM$56,6,FALSE),"")</f>
        <v>0.14865985078751037</v>
      </c>
      <c r="R21" s="532">
        <f>IFERROR(VLOOKUP(R$12,Referral_Source!$BC$33:$BM$56,6,FALSE),"")</f>
        <v>0.2024793388429752</v>
      </c>
      <c r="S21" s="532">
        <f>IFERROR(VLOOKUP(S$12,Referral_Source!$BC$33:$BM$56,6,FALSE),"")</f>
        <v>0.12513205775325742</v>
      </c>
      <c r="T21" s="532">
        <f>IFERROR(VLOOKUP(T$12,Referral_Source!$BC$33:$BM$56,6,FALSE),"")</f>
        <v>8.9226701916721746E-2</v>
      </c>
      <c r="U21" s="532">
        <f>IFERROR(VLOOKUP(U$12,Referral_Source!$BC$33:$BM$56,6,FALSE),"")</f>
        <v>0.23387096774193547</v>
      </c>
      <c r="V21" s="532">
        <f>IFERROR(VLOOKUP(V$12,Referral_Source!$BC$33:$BM$56,6,FALSE),"")</f>
        <v>0.16807738814993953</v>
      </c>
      <c r="W21" s="532">
        <f>IFERROR(VLOOKUP(W$12,Referral_Source!$BC$33:$BM$56,6,FALSE),"")</f>
        <v>0.17562293605523865</v>
      </c>
      <c r="X21" s="532">
        <f>IFERROR(VLOOKUP(X$12,Referral_Source!$BC$33:$BM$56,6,FALSE),"")</f>
        <v>0.11725663716814159</v>
      </c>
      <c r="Y21" s="658">
        <f>IFERROR(VLOOKUP(Y$12,Referral_Source!$BC$33:$BM$56,6,FALSE),"")</f>
        <v>0.13693181818181818</v>
      </c>
      <c r="Z21" s="1230">
        <f>IFERROR(VLOOKUP(Z$12,Referral_Source!$BC$33:$BM$56,6,FALSE),"")</f>
        <v>0.132886269846821</v>
      </c>
      <c r="AA21" s="1507">
        <f>IFERROR(VLOOKUP(AA$12,Referral_Source!$BC$33:$BM$56,6,FALSE),"")</f>
        <v>0.14123300880276213</v>
      </c>
      <c r="AB21" s="528"/>
      <c r="AC21" s="772"/>
      <c r="AD21" s="529"/>
      <c r="AE21" s="1623"/>
      <c r="AF21" s="1623"/>
      <c r="AG21" s="1623"/>
      <c r="AH21" s="1623"/>
      <c r="AI21" s="1623"/>
      <c r="AJ21" s="1623"/>
      <c r="AK21" s="1623"/>
      <c r="AL21" s="1623"/>
      <c r="AM21" s="1623"/>
      <c r="AN21" s="1623"/>
      <c r="AO21" s="1623"/>
      <c r="AP21" s="1623"/>
      <c r="AQ21" s="1623"/>
      <c r="AR21" s="1623"/>
      <c r="AS21" s="1623"/>
      <c r="AT21" s="1623"/>
      <c r="AU21" s="1623"/>
      <c r="AV21" s="1623"/>
      <c r="AW21" s="1623"/>
      <c r="AX21" s="1623"/>
      <c r="AY21" s="1623"/>
      <c r="AZ21" s="1623"/>
      <c r="BA21" s="1623"/>
      <c r="BB21" s="1624">
        <f t="shared" si="0"/>
        <v>10</v>
      </c>
      <c r="BC21" s="1624"/>
    </row>
    <row r="22" spans="1:55" s="470" customFormat="1" ht="14.25" customHeight="1" x14ac:dyDescent="0.2">
      <c r="A22" s="525"/>
      <c r="B22" s="2023"/>
      <c r="C22" s="2024" t="s">
        <v>222</v>
      </c>
      <c r="D22" s="715">
        <f>IFERROR(VLOOKUP(D$12,Referral_Source!$BC$33:$BM$56,7,FALSE),"")</f>
        <v>0.22778104767510302</v>
      </c>
      <c r="E22" s="532">
        <f>IFERROR(VLOOKUP(E$12,Referral_Source!$BC$33:$BM$56,7,FALSE),"")</f>
        <v>0.28591430971716608</v>
      </c>
      <c r="F22" s="532">
        <f>IFERROR(VLOOKUP(F$12,Referral_Source!$BC$33:$BM$56,7,FALSE),"")</f>
        <v>0.35001202790473901</v>
      </c>
      <c r="G22" s="532">
        <f>IFERROR(VLOOKUP(G$12,Referral_Source!$BC$33:$BM$56,7,FALSE),"")</f>
        <v>0.26661867050635951</v>
      </c>
      <c r="H22" s="532">
        <f>IFERROR(VLOOKUP(H$12,Referral_Source!$BC$33:$BM$56,7,FALSE),"")</f>
        <v>0.22675568743818003</v>
      </c>
      <c r="I22" s="532">
        <f>IFERROR(VLOOKUP(I$12,Referral_Source!$BC$33:$BM$56,7,FALSE),"")</f>
        <v>0.19438202247191011</v>
      </c>
      <c r="J22" s="532">
        <f>IFERROR(VLOOKUP(J$12,Referral_Source!$BC$33:$BM$56,7,FALSE),"")</f>
        <v>0.33245335361761152</v>
      </c>
      <c r="K22" s="532">
        <f>IFERROR(VLOOKUP(K$12,Referral_Source!$BC$33:$BM$56,7,FALSE),"")</f>
        <v>0.34665579119086459</v>
      </c>
      <c r="L22" s="532">
        <f>IFERROR(VLOOKUP(L$12,Referral_Source!$BC$33:$BM$56,7,FALSE),"")</f>
        <v>0.30776699029126214</v>
      </c>
      <c r="M22" s="532">
        <f>IFERROR(VLOOKUP(M$12,Referral_Source!$BC$33:$BM$56,7,FALSE),"")</f>
        <v>0.2984537456678219</v>
      </c>
      <c r="N22" s="532">
        <f>IFERROR(VLOOKUP(N$12,Referral_Source!$BC$33:$BM$56,7,FALSE),"")</f>
        <v>0.27214714714714716</v>
      </c>
      <c r="O22" s="532">
        <f>IFERROR(VLOOKUP(O$12,Referral_Source!$BC$33:$BM$56,7,FALSE),"")</f>
        <v>0.36271450858034321</v>
      </c>
      <c r="P22" s="532">
        <f>IFERROR(VLOOKUP(P$12,Referral_Source!$BC$33:$BM$56,7,FALSE),"")</f>
        <v>0.32480314960629919</v>
      </c>
      <c r="Q22" s="532">
        <f>IFERROR(VLOOKUP(Q$12,Referral_Source!$BC$33:$BM$56,7,FALSE),"")</f>
        <v>0.32053053329649073</v>
      </c>
      <c r="R22" s="532">
        <f>IFERROR(VLOOKUP(R$12,Referral_Source!$BC$33:$BM$56,7,FALSE),"")</f>
        <v>0.28285123966942149</v>
      </c>
      <c r="S22" s="532">
        <f>IFERROR(VLOOKUP(S$12,Referral_Source!$BC$33:$BM$56,7,FALSE),"")</f>
        <v>0.33384200023476934</v>
      </c>
      <c r="T22" s="532">
        <f>IFERROR(VLOOKUP(T$12,Referral_Source!$BC$33:$BM$56,7,FALSE),"")</f>
        <v>0.37739590218109714</v>
      </c>
      <c r="U22" s="532">
        <f>IFERROR(VLOOKUP(U$12,Referral_Source!$BC$33:$BM$56,7,FALSE),"")</f>
        <v>0.27956989247311825</v>
      </c>
      <c r="V22" s="532">
        <f>IFERROR(VLOOKUP(V$12,Referral_Source!$BC$33:$BM$56,7,FALSE),"")</f>
        <v>0.24365175332527206</v>
      </c>
      <c r="W22" s="532">
        <f>IFERROR(VLOOKUP(W$12,Referral_Source!$BC$33:$BM$56,7,FALSE),"")</f>
        <v>0.27979585709996996</v>
      </c>
      <c r="X22" s="532">
        <f>IFERROR(VLOOKUP(X$12,Referral_Source!$BC$33:$BM$56,7,FALSE),"")</f>
        <v>0.37315634218289084</v>
      </c>
      <c r="Y22" s="658">
        <f>IFERROR(VLOOKUP(Y$12,Referral_Source!$BC$33:$BM$56,7,FALSE),"")</f>
        <v>0.36420454545454545</v>
      </c>
      <c r="Z22" s="1230">
        <f>IFERROR(VLOOKUP(Z$12,Referral_Source!$BC$33:$BM$56,7,FALSE),"")</f>
        <v>0.29632090648387771</v>
      </c>
      <c r="AA22" s="1507">
        <f>IFERROR(VLOOKUP(AA$12,Referral_Source!$BC$33:$BM$56,7,FALSE),"")</f>
        <v>0.28734952875672648</v>
      </c>
      <c r="AB22" s="528"/>
      <c r="AC22" s="772"/>
      <c r="AD22" s="529"/>
      <c r="AE22" s="1623"/>
      <c r="AF22" s="1623"/>
      <c r="AG22" s="1623"/>
      <c r="AH22" s="1623"/>
      <c r="AI22" s="1623"/>
      <c r="AJ22" s="1623"/>
      <c r="AK22" s="1623"/>
      <c r="AL22" s="1623"/>
      <c r="AM22" s="1623"/>
      <c r="AN22" s="1623"/>
      <c r="AO22" s="1623"/>
      <c r="AP22" s="1623"/>
      <c r="AQ22" s="1623"/>
      <c r="AR22" s="1623"/>
      <c r="AS22" s="1623"/>
      <c r="AT22" s="1623"/>
      <c r="AU22" s="1623"/>
      <c r="AV22" s="1623"/>
      <c r="AW22" s="1623"/>
      <c r="AX22" s="1623"/>
      <c r="AY22" s="1623"/>
      <c r="AZ22" s="1623"/>
      <c r="BA22" s="1623"/>
      <c r="BB22" s="1624">
        <f t="shared" si="0"/>
        <v>11</v>
      </c>
      <c r="BC22" s="1624"/>
    </row>
    <row r="23" spans="1:55" s="470" customFormat="1" ht="14.25" customHeight="1" x14ac:dyDescent="0.2">
      <c r="A23" s="525"/>
      <c r="B23" s="2023"/>
      <c r="C23" s="2024" t="s">
        <v>223</v>
      </c>
      <c r="D23" s="715">
        <f>IFERROR(VLOOKUP(D$12,Referral_Source!$BC$33:$BM$56,8,FALSE),"")</f>
        <v>2.4720423778693348E-2</v>
      </c>
      <c r="E23" s="532">
        <f>IFERROR(VLOOKUP(E$12,Referral_Source!$BC$33:$BM$56,8,FALSE),"")</f>
        <v>2.6323158779053488E-2</v>
      </c>
      <c r="F23" s="532">
        <f>IFERROR(VLOOKUP(F$12,Referral_Source!$BC$33:$BM$56,8,FALSE),"")</f>
        <v>2.6701948520567717E-2</v>
      </c>
      <c r="G23" s="532">
        <f>IFERROR(VLOOKUP(G$12,Referral_Source!$BC$33:$BM$56,8,FALSE),"")</f>
        <v>4.655627549796016E-2</v>
      </c>
      <c r="H23" s="532">
        <f>IFERROR(VLOOKUP(H$12,Referral_Source!$BC$33:$BM$56,8,FALSE),"")</f>
        <v>3.4421364985163204E-2</v>
      </c>
      <c r="I23" s="532">
        <f>IFERROR(VLOOKUP(I$12,Referral_Source!$BC$33:$BM$56,8,FALSE),"")</f>
        <v>2.6217228464419477E-2</v>
      </c>
      <c r="J23" s="532">
        <f>IFERROR(VLOOKUP(J$12,Referral_Source!$BC$33:$BM$56,8,FALSE),"")</f>
        <v>5.4946530046087072E-2</v>
      </c>
      <c r="K23" s="532">
        <f>IFERROR(VLOOKUP(K$12,Referral_Source!$BC$33:$BM$56,8,FALSE),"")</f>
        <v>2.6508972267536703E-2</v>
      </c>
      <c r="L23" s="532">
        <f>IFERROR(VLOOKUP(L$12,Referral_Source!$BC$33:$BM$56,8,FALSE),"")</f>
        <v>3.5922330097087375E-2</v>
      </c>
      <c r="M23" s="532">
        <f>IFERROR(VLOOKUP(M$12,Referral_Source!$BC$33:$BM$56,8,FALSE),"")</f>
        <v>2.7859237536656891E-2</v>
      </c>
      <c r="N23" s="532">
        <f>IFERROR(VLOOKUP(N$12,Referral_Source!$BC$33:$BM$56,8,FALSE),"")</f>
        <v>4.6546546546546545E-2</v>
      </c>
      <c r="O23" s="532">
        <f>IFERROR(VLOOKUP(O$12,Referral_Source!$BC$33:$BM$56,8,FALSE),"")</f>
        <v>2.1450858034321372E-2</v>
      </c>
      <c r="P23" s="532">
        <f>IFERROR(VLOOKUP(P$12,Referral_Source!$BC$33:$BM$56,8,FALSE),"")</f>
        <v>3.582677165354331E-2</v>
      </c>
      <c r="Q23" s="532">
        <f>IFERROR(VLOOKUP(Q$12,Referral_Source!$BC$33:$BM$56,8,FALSE),"")</f>
        <v>5.5540204476374692E-2</v>
      </c>
      <c r="R23" s="532">
        <f>IFERROR(VLOOKUP(R$12,Referral_Source!$BC$33:$BM$56,8,FALSE),"")</f>
        <v>1.1157024793388429E-2</v>
      </c>
      <c r="S23" s="532">
        <f>IFERROR(VLOOKUP(S$12,Referral_Source!$BC$33:$BM$56,8,FALSE),"")</f>
        <v>3.5215400868646551E-2</v>
      </c>
      <c r="T23" s="532">
        <f>IFERROR(VLOOKUP(T$12,Referral_Source!$BC$33:$BM$56,8,FALSE),"")</f>
        <v>4.7257105089226703E-2</v>
      </c>
      <c r="U23" s="532">
        <f>IFERROR(VLOOKUP(U$12,Referral_Source!$BC$33:$BM$56,8,FALSE),"")</f>
        <v>1.5591397849462365E-2</v>
      </c>
      <c r="V23" s="532">
        <f>IFERROR(VLOOKUP(V$12,Referral_Source!$BC$33:$BM$56,8,FALSE),"")</f>
        <v>1.9951632406287789E-2</v>
      </c>
      <c r="W23" s="532">
        <f>IFERROR(VLOOKUP(W$12,Referral_Source!$BC$33:$BM$56,8,FALSE),"")</f>
        <v>3.4223956769738814E-2</v>
      </c>
      <c r="X23" s="532">
        <f>IFERROR(VLOOKUP(X$12,Referral_Source!$BC$33:$BM$56,8,FALSE),"")</f>
        <v>1.3274336283185841E-2</v>
      </c>
      <c r="Y23" s="658">
        <f>IFERROR(VLOOKUP(Y$12,Referral_Source!$BC$33:$BM$56,8,FALSE),"")</f>
        <v>2.5000000000000001E-2</v>
      </c>
      <c r="Z23" s="1230">
        <f>IFERROR(VLOOKUP(Z$12,Referral_Source!$BC$33:$BM$56,8,FALSE),"")</f>
        <v>3.5470728124781421E-2</v>
      </c>
      <c r="AA23" s="1507">
        <f>IFERROR(VLOOKUP(AA$12,Referral_Source!$BC$33:$BM$56,8,FALSE),"")</f>
        <v>3.9161404709322216E-2</v>
      </c>
      <c r="AB23" s="528"/>
      <c r="AC23" s="772"/>
      <c r="AD23" s="529"/>
      <c r="AE23" s="1623"/>
      <c r="AF23" s="1623"/>
      <c r="AG23" s="1623"/>
      <c r="AH23" s="1623"/>
      <c r="AI23" s="1623"/>
      <c r="AJ23" s="1623"/>
      <c r="AK23" s="1623"/>
      <c r="AL23" s="1623"/>
      <c r="AM23" s="1623"/>
      <c r="AN23" s="1623"/>
      <c r="AO23" s="1623"/>
      <c r="AP23" s="1623"/>
      <c r="AQ23" s="1623"/>
      <c r="AR23" s="1623"/>
      <c r="AS23" s="1623"/>
      <c r="AT23" s="1623"/>
      <c r="AU23" s="1623"/>
      <c r="AV23" s="1623"/>
      <c r="AW23" s="1623"/>
      <c r="AX23" s="1623"/>
      <c r="AY23" s="1623"/>
      <c r="AZ23" s="1623"/>
      <c r="BA23" s="1623"/>
      <c r="BB23" s="1624">
        <f t="shared" si="0"/>
        <v>12</v>
      </c>
      <c r="BC23" s="1624"/>
    </row>
    <row r="24" spans="1:55" s="470" customFormat="1" ht="14.25" customHeight="1" x14ac:dyDescent="0.2">
      <c r="A24" s="525"/>
      <c r="B24" s="2023"/>
      <c r="C24" s="2024" t="s">
        <v>224</v>
      </c>
      <c r="D24" s="715">
        <f>IFERROR(VLOOKUP(D$12,Referral_Source!$BC$33:$BM$56,9,FALSE),"")</f>
        <v>4.0023543260741611E-2</v>
      </c>
      <c r="E24" s="532">
        <f>IFERROR(VLOOKUP(E$12,Referral_Source!$BC$33:$BM$56,9,FALSE),"")</f>
        <v>3.2763931671800618E-2</v>
      </c>
      <c r="F24" s="532">
        <f>IFERROR(VLOOKUP(F$12,Referral_Source!$BC$33:$BM$56,9,FALSE),"")</f>
        <v>4.7991339908587921E-2</v>
      </c>
      <c r="G24" s="532">
        <f>IFERROR(VLOOKUP(G$12,Referral_Source!$BC$33:$BM$56,9,FALSE),"")</f>
        <v>6.5754739620830338E-2</v>
      </c>
      <c r="H24" s="532">
        <f>IFERROR(VLOOKUP(H$12,Referral_Source!$BC$33:$BM$56,9,FALSE),"")</f>
        <v>6.2413452027695354E-2</v>
      </c>
      <c r="I24" s="532">
        <f>IFERROR(VLOOKUP(I$12,Referral_Source!$BC$33:$BM$56,9,FALSE),"")</f>
        <v>0.1295880149812734</v>
      </c>
      <c r="J24" s="532">
        <f>IFERROR(VLOOKUP(J$12,Referral_Source!$BC$33:$BM$56,9,FALSE),"")</f>
        <v>3.1902993422524499E-2</v>
      </c>
      <c r="K24" s="532">
        <f>IFERROR(VLOOKUP(K$12,Referral_Source!$BC$33:$BM$56,9,FALSE),"")</f>
        <v>4.057911908646003E-2</v>
      </c>
      <c r="L24" s="532">
        <f>IFERROR(VLOOKUP(L$12,Referral_Source!$BC$33:$BM$56,9,FALSE),"")</f>
        <v>3.6569579288025893E-2</v>
      </c>
      <c r="M24" s="532">
        <f>IFERROR(VLOOKUP(M$12,Referral_Source!$BC$33:$BM$56,9,FALSE),"")</f>
        <v>4.305518528392429E-2</v>
      </c>
      <c r="N24" s="532">
        <f>IFERROR(VLOOKUP(N$12,Referral_Source!$BC$33:$BM$56,9,FALSE),"")</f>
        <v>5.1426426426426426E-2</v>
      </c>
      <c r="O24" s="532">
        <f>IFERROR(VLOOKUP(O$12,Referral_Source!$BC$33:$BM$56,9,FALSE),"")</f>
        <v>4.9921996879875197E-2</v>
      </c>
      <c r="P24" s="532">
        <f>IFERROR(VLOOKUP(P$12,Referral_Source!$BC$33:$BM$56,9,FALSE),"")</f>
        <v>4.2125984251968507E-2</v>
      </c>
      <c r="Q24" s="532">
        <f>IFERROR(VLOOKUP(Q$12,Referral_Source!$BC$33:$BM$56,9,FALSE),"")</f>
        <v>6.2448190107764576E-2</v>
      </c>
      <c r="R24" s="532">
        <f>IFERROR(VLOOKUP(R$12,Referral_Source!$BC$33:$BM$56,9,FALSE),"")</f>
        <v>6.1983471074380167E-2</v>
      </c>
      <c r="S24" s="532">
        <f>IFERROR(VLOOKUP(S$12,Referral_Source!$BC$33:$BM$56,9,FALSE),"")</f>
        <v>4.484094377274328E-2</v>
      </c>
      <c r="T24" s="532">
        <f>IFERROR(VLOOKUP(T$12,Referral_Source!$BC$33:$BM$56,9,FALSE),"")</f>
        <v>3.2716457369464637E-2</v>
      </c>
      <c r="U24" s="532">
        <f>IFERROR(VLOOKUP(U$12,Referral_Source!$BC$33:$BM$56,9,FALSE),"")</f>
        <v>8.1720430107526887E-2</v>
      </c>
      <c r="V24" s="532">
        <f>IFERROR(VLOOKUP(V$12,Referral_Source!$BC$33:$BM$56,9,FALSE),"")</f>
        <v>3.2043530834340993E-2</v>
      </c>
      <c r="W24" s="532">
        <f>IFERROR(VLOOKUP(W$12,Referral_Source!$BC$33:$BM$56,9,FALSE),"")</f>
        <v>6.2343640548383872E-2</v>
      </c>
      <c r="X24" s="532">
        <f>IFERROR(VLOOKUP(X$12,Referral_Source!$BC$33:$BM$56,9,FALSE),"")</f>
        <v>5.2359882005899708E-2</v>
      </c>
      <c r="Y24" s="658">
        <f>IFERROR(VLOOKUP(Y$12,Referral_Source!$BC$33:$BM$56,9,FALSE),"")</f>
        <v>3.9772727272727272E-2</v>
      </c>
      <c r="Z24" s="1230">
        <f>IFERROR(VLOOKUP(Z$12,Referral_Source!$BC$33:$BM$56,9,FALSE),"")</f>
        <v>4.9704483458068126E-2</v>
      </c>
      <c r="AA24" s="1507">
        <f>IFERROR(VLOOKUP(AA$12,Referral_Source!$BC$33:$BM$56,9,FALSE),"")</f>
        <v>4.9192820927556065E-2</v>
      </c>
      <c r="AB24" s="528"/>
      <c r="AC24" s="772"/>
      <c r="AD24" s="529"/>
      <c r="AE24" s="1623"/>
      <c r="AF24" s="1623"/>
      <c r="AG24" s="1623"/>
      <c r="AH24" s="1623"/>
      <c r="AI24" s="1623"/>
      <c r="AJ24" s="1623"/>
      <c r="AK24" s="1623"/>
      <c r="AL24" s="1623"/>
      <c r="AM24" s="1623"/>
      <c r="AN24" s="1623"/>
      <c r="AO24" s="1623"/>
      <c r="AP24" s="1623"/>
      <c r="AQ24" s="1623"/>
      <c r="AR24" s="1623"/>
      <c r="AS24" s="1623"/>
      <c r="AT24" s="1623"/>
      <c r="AU24" s="1623"/>
      <c r="AV24" s="1623"/>
      <c r="AW24" s="1623"/>
      <c r="AX24" s="1623"/>
      <c r="AY24" s="1623"/>
      <c r="AZ24" s="1623"/>
      <c r="BA24" s="1623"/>
      <c r="BB24" s="1624">
        <f t="shared" si="0"/>
        <v>13</v>
      </c>
      <c r="BC24" s="1624"/>
    </row>
    <row r="25" spans="1:55" s="470" customFormat="1" ht="14.25" customHeight="1" x14ac:dyDescent="0.2">
      <c r="A25" s="525"/>
      <c r="B25" s="2023"/>
      <c r="C25" s="2024" t="s">
        <v>225</v>
      </c>
      <c r="D25" s="715">
        <f>IFERROR(VLOOKUP(D$12,Referral_Source!$BC$33:$BM$56,10,FALSE),"")</f>
        <v>1.3537374926427309E-2</v>
      </c>
      <c r="E25" s="532">
        <f>IFERROR(VLOOKUP(E$12,Referral_Source!$BC$33:$BM$56,10,FALSE),"")</f>
        <v>1.3161579389526744E-2</v>
      </c>
      <c r="F25" s="532">
        <f>IFERROR(VLOOKUP(F$12,Referral_Source!$BC$33:$BM$56,10,FALSE),"")</f>
        <v>1.8522973298051481E-2</v>
      </c>
      <c r="G25" s="532">
        <f>IFERROR(VLOOKUP(G$12,Referral_Source!$BC$33:$BM$56,10,FALSE),"")</f>
        <v>2.2798176145908327E-2</v>
      </c>
      <c r="H25" s="532">
        <f>IFERROR(VLOOKUP(H$12,Referral_Source!$BC$33:$BM$56,10,FALSE),"")</f>
        <v>2.6261127596439168E-2</v>
      </c>
      <c r="I25" s="532">
        <f>IFERROR(VLOOKUP(I$12,Referral_Source!$BC$33:$BM$56,10,FALSE),"")</f>
        <v>0</v>
      </c>
      <c r="J25" s="532">
        <f>IFERROR(VLOOKUP(J$12,Referral_Source!$BC$33:$BM$56,10,FALSE),"")</f>
        <v>1.4094590361984877E-2</v>
      </c>
      <c r="K25" s="532">
        <f>IFERROR(VLOOKUP(K$12,Referral_Source!$BC$33:$BM$56,10,FALSE),"")</f>
        <v>1.7740619902120718E-2</v>
      </c>
      <c r="L25" s="532">
        <f>IFERROR(VLOOKUP(L$12,Referral_Source!$BC$33:$BM$56,10,FALSE),"")</f>
        <v>1.9093851132686083E-2</v>
      </c>
      <c r="M25" s="532">
        <f>IFERROR(VLOOKUP(M$12,Referral_Source!$BC$33:$BM$56,10,FALSE),"")</f>
        <v>1.1996800853105838E-2</v>
      </c>
      <c r="N25" s="532">
        <f>IFERROR(VLOOKUP(N$12,Referral_Source!$BC$33:$BM$56,10,FALSE),"")</f>
        <v>1.3138138138138139E-2</v>
      </c>
      <c r="O25" s="532">
        <f>IFERROR(VLOOKUP(O$12,Referral_Source!$BC$33:$BM$56,10,FALSE),"")</f>
        <v>7.4102964118564745E-3</v>
      </c>
      <c r="P25" s="532">
        <f>IFERROR(VLOOKUP(P$12,Referral_Source!$BC$33:$BM$56,10,FALSE),"")</f>
        <v>1.7322834645669291E-2</v>
      </c>
      <c r="Q25" s="532">
        <f>IFERROR(VLOOKUP(Q$12,Referral_Source!$BC$33:$BM$56,10,FALSE),"")</f>
        <v>3.7579441834760981E-2</v>
      </c>
      <c r="R25" s="532">
        <f>IFERROR(VLOOKUP(R$12,Referral_Source!$BC$33:$BM$56,10,FALSE),"")</f>
        <v>3.3677685950413226E-2</v>
      </c>
      <c r="S25" s="532">
        <f>IFERROR(VLOOKUP(S$12,Referral_Source!$BC$33:$BM$56,10,FALSE),"")</f>
        <v>2.7468012677544312E-2</v>
      </c>
      <c r="T25" s="532">
        <f>IFERROR(VLOOKUP(T$12,Referral_Source!$BC$33:$BM$56,10,FALSE),"")</f>
        <v>2.511566424322538E-2</v>
      </c>
      <c r="U25" s="532">
        <f>IFERROR(VLOOKUP(U$12,Referral_Source!$BC$33:$BM$56,10,FALSE),"")</f>
        <v>3.6021505376344083E-2</v>
      </c>
      <c r="V25" s="532">
        <f>IFERROR(VLOOKUP(V$12,Referral_Source!$BC$33:$BM$56,10,FALSE),"")</f>
        <v>1.9951632406287789E-2</v>
      </c>
      <c r="W25" s="532">
        <f>IFERROR(VLOOKUP(W$12,Referral_Source!$BC$33:$BM$56,10,FALSE),"")</f>
        <v>0</v>
      </c>
      <c r="X25" s="532">
        <f>IFERROR(VLOOKUP(X$12,Referral_Source!$BC$33:$BM$56,10,FALSE),"")</f>
        <v>3.0973451327433628E-2</v>
      </c>
      <c r="Y25" s="658">
        <f>IFERROR(VLOOKUP(Y$12,Referral_Source!$BC$33:$BM$56,10,FALSE),"")</f>
        <v>1.4204545454545454E-2</v>
      </c>
      <c r="Z25" s="1230">
        <f>IFERROR(VLOOKUP(Z$12,Referral_Source!$BC$33:$BM$56,10,FALSE),"")</f>
        <v>1.7451213541302371E-2</v>
      </c>
      <c r="AA25" s="1507">
        <f>IFERROR(VLOOKUP(AA$12,Referral_Source!$BC$33:$BM$56,10,FALSE),"")</f>
        <v>2.1415907182182961E-2</v>
      </c>
      <c r="AB25" s="528"/>
      <c r="AC25" s="772"/>
      <c r="AD25" s="529"/>
      <c r="AE25" s="1623"/>
      <c r="AF25" s="1623"/>
      <c r="AG25" s="1623"/>
      <c r="AH25" s="1623"/>
      <c r="AI25" s="1623"/>
      <c r="AJ25" s="1623"/>
      <c r="AK25" s="1623"/>
      <c r="AL25" s="1623"/>
      <c r="AM25" s="1623"/>
      <c r="AN25" s="1623"/>
      <c r="AO25" s="1623"/>
      <c r="AP25" s="1623"/>
      <c r="AQ25" s="1623"/>
      <c r="AR25" s="1623"/>
      <c r="AS25" s="1623"/>
      <c r="AT25" s="1623"/>
      <c r="AU25" s="1623"/>
      <c r="AV25" s="1623"/>
      <c r="AW25" s="1623"/>
      <c r="AX25" s="1623"/>
      <c r="AY25" s="1623"/>
      <c r="AZ25" s="1623"/>
      <c r="BA25" s="1623"/>
      <c r="BB25" s="1624">
        <f t="shared" si="0"/>
        <v>14</v>
      </c>
      <c r="BC25" s="1624"/>
    </row>
    <row r="26" spans="1:55" s="470" customFormat="1" ht="14.25" customHeight="1" thickBot="1" x14ac:dyDescent="0.25">
      <c r="A26" s="525"/>
      <c r="B26" s="2025"/>
      <c r="C26" s="2026" t="s">
        <v>226</v>
      </c>
      <c r="D26" s="718">
        <f>IFERROR(VLOOKUP(D$12,Referral_Source!$BC$33:$BM$56,11,FALSE),"")</f>
        <v>0</v>
      </c>
      <c r="E26" s="534">
        <f>IFERROR(VLOOKUP(E$12,Referral_Source!$BC$33:$BM$56,11,FALSE),"")</f>
        <v>0.1408569028283394</v>
      </c>
      <c r="F26" s="534" t="str">
        <f>IFERROR(VLOOKUP(F$12,Referral_Source!$BC$33:$BM$56,11,FALSE),"")</f>
        <v/>
      </c>
      <c r="G26" s="534">
        <f>IFERROR(VLOOKUP(G$12,Referral_Source!$BC$33:$BM$56,11,FALSE),"")</f>
        <v>1.7278617710583154E-2</v>
      </c>
      <c r="H26" s="534">
        <f>IFERROR(VLOOKUP(H$12,Referral_Source!$BC$33:$BM$56,11,FALSE),"")</f>
        <v>1.6419386745796242E-2</v>
      </c>
      <c r="I26" s="534">
        <f>IFERROR(VLOOKUP(I$12,Referral_Source!$BC$33:$BM$56,11,FALSE),"")</f>
        <v>1.7977528089887642E-2</v>
      </c>
      <c r="J26" s="534">
        <f>IFERROR(VLOOKUP(J$12,Referral_Source!$BC$33:$BM$56,11,FALSE),"")</f>
        <v>2.2014407803481139E-2</v>
      </c>
      <c r="K26" s="534">
        <f>IFERROR(VLOOKUP(K$12,Referral_Source!$BC$33:$BM$56,11,FALSE),"")</f>
        <v>2.2430668841761825E-3</v>
      </c>
      <c r="L26" s="534">
        <f>IFERROR(VLOOKUP(L$12,Referral_Source!$BC$33:$BM$56,11,FALSE),"")</f>
        <v>2.5889967637540453E-3</v>
      </c>
      <c r="M26" s="534">
        <f>IFERROR(VLOOKUP(M$12,Referral_Source!$BC$33:$BM$56,11,FALSE),"")</f>
        <v>4.5321247667288725E-3</v>
      </c>
      <c r="N26" s="534">
        <f>IFERROR(VLOOKUP(N$12,Referral_Source!$BC$33:$BM$56,11,FALSE),"")</f>
        <v>2.2522522522522522E-3</v>
      </c>
      <c r="O26" s="534">
        <f>IFERROR(VLOOKUP(O$12,Referral_Source!$BC$33:$BM$56,11,FALSE),"")</f>
        <v>3.1201248049921998E-3</v>
      </c>
      <c r="P26" s="534">
        <f>IFERROR(VLOOKUP(P$12,Referral_Source!$BC$33:$BM$56,11,FALSE),"")</f>
        <v>0</v>
      </c>
      <c r="Q26" s="534">
        <f>IFERROR(VLOOKUP(Q$12,Referral_Source!$BC$33:$BM$56,11,FALSE),"")</f>
        <v>4.9737496546007186E-3</v>
      </c>
      <c r="R26" s="534">
        <f>IFERROR(VLOOKUP(R$12,Referral_Source!$BC$33:$BM$56,11,FALSE),"")</f>
        <v>2.4793388429752068E-3</v>
      </c>
      <c r="S26" s="534">
        <f>IFERROR(VLOOKUP(S$12,Referral_Source!$BC$33:$BM$56,11,FALSE),"")</f>
        <v>0</v>
      </c>
      <c r="T26" s="534">
        <f>IFERROR(VLOOKUP(T$12,Referral_Source!$BC$33:$BM$56,11,FALSE),"")</f>
        <v>2.6768010575016522E-2</v>
      </c>
      <c r="U26" s="534">
        <f>IFERROR(VLOOKUP(U$12,Referral_Source!$BC$33:$BM$56,11,FALSE),"")</f>
        <v>1.1290322580645161E-2</v>
      </c>
      <c r="V26" s="534">
        <f>IFERROR(VLOOKUP(V$12,Referral_Source!$BC$33:$BM$56,11,FALSE),"")</f>
        <v>4.8367593712212815E-3</v>
      </c>
      <c r="W26" s="534">
        <f>IFERROR(VLOOKUP(W$12,Referral_Source!$BC$33:$BM$56,11,FALSE),"")</f>
        <v>4.7032923046132291E-3</v>
      </c>
      <c r="X26" s="534">
        <f>IFERROR(VLOOKUP(X$12,Referral_Source!$BC$33:$BM$56,11,FALSE),"")</f>
        <v>0</v>
      </c>
      <c r="Y26" s="719" t="str">
        <f>IFERROR(VLOOKUP(Y$12,Referral_Source!$BC$33:$BM$56,11,FALSE),"")</f>
        <v/>
      </c>
      <c r="Z26" s="1229">
        <f>IFERROR(VLOOKUP(Z$12,Referral_Source!$BC$33:$BM$56,11,FALSE),"")</f>
        <v>1.3822829964328182E-2</v>
      </c>
      <c r="AA26" s="1510">
        <f>IFERROR(VLOOKUP(AA$12,Referral_Source!$BC$33:$BM$56,11,FALSE),"")</f>
        <v>1.4463902454197642E-2</v>
      </c>
      <c r="AB26" s="528"/>
      <c r="AC26" s="772"/>
      <c r="AD26" s="529"/>
      <c r="AE26" s="1623"/>
      <c r="AF26" s="1623"/>
      <c r="AG26" s="1623"/>
      <c r="AH26" s="1623"/>
      <c r="AI26" s="1623"/>
      <c r="AJ26" s="1623"/>
      <c r="AK26" s="1623"/>
      <c r="AL26" s="1623"/>
      <c r="AM26" s="1623"/>
      <c r="AN26" s="1623"/>
      <c r="AO26" s="1623"/>
      <c r="AP26" s="1623"/>
      <c r="AQ26" s="1623"/>
      <c r="AR26" s="1623"/>
      <c r="AS26" s="1623"/>
      <c r="AT26" s="1623"/>
      <c r="AU26" s="1623"/>
      <c r="AV26" s="1623"/>
      <c r="AW26" s="1623"/>
      <c r="AX26" s="1623"/>
      <c r="AY26" s="1623"/>
      <c r="AZ26" s="1623"/>
      <c r="BA26" s="1623"/>
      <c r="BB26" s="1624">
        <f t="shared" si="0"/>
        <v>15</v>
      </c>
      <c r="BC26" s="1624"/>
    </row>
    <row r="27" spans="1:55" s="470" customFormat="1" ht="22.5" customHeight="1" x14ac:dyDescent="0.2">
      <c r="A27" s="525"/>
      <c r="B27" s="1660" t="s">
        <v>227</v>
      </c>
      <c r="C27" s="526" t="str">
        <f>"Re-referrals to CSC during the "&amp;Sheet1!$G$3&amp;", Rate per 10,000 0-17 Year Olds"</f>
        <v>Re-referrals to CSC during the Year ending 31st March, Rate per 10,000 0-17 Year Olds</v>
      </c>
      <c r="D27" s="713">
        <f>IFERROR(VLOOKUP(D12,'Re-referrals'!$B$10:$O$33,14,FALSE),"")</f>
        <v>152.81690140845072</v>
      </c>
      <c r="E27" s="527">
        <f>IFERROR(VLOOKUP(E12,'Re-referrals'!$B$10:$O$33,14,FALSE),"")</f>
        <v>217.49502982107353</v>
      </c>
      <c r="F27" s="527">
        <f>IFERROR(VLOOKUP(F12,'Re-referrals'!$B$10:$O$33,14,FALSE),"")</f>
        <v>173.42879872712805</v>
      </c>
      <c r="G27" s="527">
        <f>IFERROR(VLOOKUP(G12,'Re-referrals'!$B$10:$O$33,14,FALSE),"")</f>
        <v>71.589840075258692</v>
      </c>
      <c r="H27" s="527">
        <f>IFERROR(VLOOKUP(H12,'Re-referrals'!$B$10:$O$33,14,FALSE),"")</f>
        <v>229.89799507562435</v>
      </c>
      <c r="I27" s="527">
        <f>IFERROR(VLOOKUP(I12,'Re-referrals'!$B$10:$O$33,14,FALSE),"")</f>
        <v>382.99595141700405</v>
      </c>
      <c r="J27" s="527">
        <f>IFERROR(VLOOKUP(J12,'Re-referrals'!$B$10:$O$33,14,FALSE),"")</f>
        <v>185.04944735311227</v>
      </c>
      <c r="K27" s="527">
        <f>IFERROR(VLOOKUP(K12,'Re-referrals'!$B$10:$O$33,14,FALSE),"")</f>
        <v>187.69230769230771</v>
      </c>
      <c r="L27" s="527">
        <f>IFERROR(VLOOKUP(L12,'Re-referrals'!$B$10:$O$33,14,FALSE),"")</f>
        <v>75.726744186046517</v>
      </c>
      <c r="M27" s="527">
        <f>IFERROR(VLOOKUP(M12,'Re-referrals'!$B$10:$O$33,14,FALSE),"")</f>
        <v>90.691307323750863</v>
      </c>
      <c r="N27" s="527">
        <f>IFERROR(VLOOKUP(N12,'Re-referrals'!$B$10:$O$33,14,FALSE),"")</f>
        <v>144.06392694063928</v>
      </c>
      <c r="O27" s="527">
        <f>IFERROR(VLOOKUP(O12,'Re-referrals'!$B$10:$O$33,14,FALSE),"")</f>
        <v>182.70270270270271</v>
      </c>
      <c r="P27" s="527">
        <f>IFERROR(VLOOKUP(P12,'Re-referrals'!$B$10:$O$33,14,FALSE),"")</f>
        <v>99.535962877030158</v>
      </c>
      <c r="Q27" s="527">
        <f>IFERROR(VLOOKUP(Q12,'Re-referrals'!$B$10:$O$33,14,FALSE),"")</f>
        <v>64.568345323740999</v>
      </c>
      <c r="R27" s="527">
        <f>IFERROR(VLOOKUP(R12,'Re-referrals'!$B$10:$O$33,14,FALSE),"")</f>
        <v>216.17933723196879</v>
      </c>
      <c r="S27" s="527">
        <f>IFERROR(VLOOKUP(S12,'Re-referrals'!$B$10:$O$33,14,FALSE),"")</f>
        <v>69.446550416982561</v>
      </c>
      <c r="T27" s="527">
        <f>IFERROR(VLOOKUP(T12,'Re-referrals'!$B$10:$O$33,14,FALSE),"")</f>
        <v>177.1825396825397</v>
      </c>
      <c r="U27" s="527">
        <f>IFERROR(VLOOKUP(U12,'Re-referrals'!$B$10:$O$33,14,FALSE),"")</f>
        <v>161.71875</v>
      </c>
      <c r="V27" s="527">
        <f>IFERROR(VLOOKUP(V12,'Re-referrals'!$B$10:$O$33,14,FALSE),"")</f>
        <v>124.438202247191</v>
      </c>
      <c r="W27" s="527">
        <f>IFERROR(VLOOKUP(W12,'Re-referrals'!$B$10:$O$33,14,FALSE),"")</f>
        <v>150.70982396365702</v>
      </c>
      <c r="X27" s="527">
        <f>IFERROR(VLOOKUP(X12,'Re-referrals'!$B$10:$O$33,14,FALSE),"")</f>
        <v>61.671469740634002</v>
      </c>
      <c r="Y27" s="714">
        <f>IFERROR(VLOOKUP(Y12,'Re-referrals'!$B$10:$O$33,14,FALSE),"")</f>
        <v>107.92079207920791</v>
      </c>
      <c r="Z27" s="1228">
        <f>IFERROR(VLOOKUP(Z12,'Re-referrals'!$B$10:$O$33,14,FALSE),"")</f>
        <v>151.33048953889903</v>
      </c>
      <c r="AA27" s="1506">
        <f>IFERROR(VLOOKUP(AA12,'Re-referrals'!$B$10:$O$33,14,FALSE),"")</f>
        <v>120.9205229714894</v>
      </c>
      <c r="AB27" s="528"/>
      <c r="AC27" s="772"/>
      <c r="AD27" s="529"/>
      <c r="AE27" s="1623"/>
      <c r="AF27" s="1623"/>
      <c r="AG27" s="1623"/>
      <c r="AH27" s="1623"/>
      <c r="AI27" s="1623"/>
      <c r="AJ27" s="1623"/>
      <c r="AK27" s="1623"/>
      <c r="AL27" s="1623"/>
      <c r="AM27" s="1623"/>
      <c r="AN27" s="1623"/>
      <c r="AO27" s="1623"/>
      <c r="AP27" s="1623"/>
      <c r="AQ27" s="1623"/>
      <c r="AR27" s="1623"/>
      <c r="AS27" s="1623"/>
      <c r="AT27" s="1623"/>
      <c r="AU27" s="1623"/>
      <c r="AV27" s="1623"/>
      <c r="AW27" s="1623"/>
      <c r="AX27" s="1623"/>
      <c r="AY27" s="1623"/>
      <c r="AZ27" s="1623"/>
      <c r="BA27" s="1623"/>
      <c r="BB27" s="1624">
        <f t="shared" si="0"/>
        <v>16</v>
      </c>
      <c r="BC27" s="1624"/>
    </row>
    <row r="28" spans="1:55" s="470" customFormat="1" ht="18.95" customHeight="1" thickBot="1" x14ac:dyDescent="0.25">
      <c r="A28" s="525"/>
      <c r="B28" s="1662"/>
      <c r="C28" s="533" t="s">
        <v>781</v>
      </c>
      <c r="D28" s="718">
        <f>IFERROR(VLOOKUP(D12,'Re-referrals'!$B$110:$H$135,7,FALSE),"")</f>
        <v>0.25544437904649792</v>
      </c>
      <c r="E28" s="534">
        <f>IFERROR(VLOOKUP(E12,'Re-referrals'!$B$110:$H$135,7,FALSE),"")</f>
        <v>0.3063567628115374</v>
      </c>
      <c r="F28" s="534">
        <f>IFERROR(VLOOKUP(F12,'Re-referrals'!$B$110:$H$135,7,FALSE),"")</f>
        <v>0.26054738855025694</v>
      </c>
      <c r="G28" s="534">
        <f>IFERROR(VLOOKUP(G12,'Re-referrals'!$B$110:$H$135,7,FALSE),"")</f>
        <v>0.18262538996880251</v>
      </c>
      <c r="H28" s="534">
        <f>IFERROR(VLOOKUP(H12,'Re-referrals'!$B$110:$H$135,7,FALSE),"")</f>
        <v>0.32324431256181996</v>
      </c>
      <c r="I28" s="534">
        <f>IFERROR(VLOOKUP(I12,'Re-referrals'!$B$110:$H$135,7,FALSE),"")</f>
        <v>0.35430711610486892</v>
      </c>
      <c r="J28" s="534">
        <f>IFERROR(VLOOKUP(J12,'Re-referrals'!$B$110:$H$135,7,FALSE),"")</f>
        <v>0.28466598058078663</v>
      </c>
      <c r="K28" s="534">
        <f>IFERROR(VLOOKUP(K12,'Re-referrals'!$B$110:$H$135,7,FALSE),"")</f>
        <v>0.24877650897226752</v>
      </c>
      <c r="L28" s="534">
        <f>IFERROR(VLOOKUP(L12,'Re-referrals'!$B$110:$H$135,7,FALSE),"")</f>
        <v>0.1686084142394822</v>
      </c>
      <c r="M28" s="534">
        <f>IFERROR(VLOOKUP(M12,'Re-referrals'!$B$110:$H$135,7,FALSE),"")</f>
        <v>0.1766195681151693</v>
      </c>
      <c r="N28" s="534">
        <f>IFERROR(VLOOKUP(N12,'Re-referrals'!$B$110:$H$135,7,FALSE),"")</f>
        <v>0.23686186186186187</v>
      </c>
      <c r="O28" s="534">
        <f>IFERROR(VLOOKUP(O12,'Re-referrals'!$B$110:$H$135,7,FALSE),"")</f>
        <v>0.26365054602184085</v>
      </c>
      <c r="P28" s="534">
        <f>IFERROR(VLOOKUP(P12,'Re-referrals'!$B$110:$H$135,7,FALSE),"")</f>
        <v>0.16889763779527558</v>
      </c>
      <c r="Q28" s="534">
        <f>IFERROR(VLOOKUP(Q12,'Re-referrals'!$B$110:$H$135,7,FALSE),"")</f>
        <v>0.19839734733351755</v>
      </c>
      <c r="R28" s="534">
        <f>IFERROR(VLOOKUP(R12,'Re-referrals'!$B$110:$H$135,7,FALSE),"")</f>
        <v>0.22913223140495867</v>
      </c>
      <c r="S28" s="534">
        <f>IFERROR(VLOOKUP(S12,'Re-referrals'!$B$110:$H$135,7,FALSE),"")</f>
        <v>0.21504871463786829</v>
      </c>
      <c r="T28" s="534">
        <f>IFERROR(VLOOKUP(T12,'Re-referrals'!$B$110:$H$135,7,FALSE),"")</f>
        <v>0.29510905485789823</v>
      </c>
      <c r="U28" s="534">
        <f>IFERROR(VLOOKUP(U12,'Re-referrals'!$B$110:$H$135,7,FALSE),"")</f>
        <v>0.22150882825040127</v>
      </c>
      <c r="V28" s="534">
        <f>IFERROR(VLOOKUP(V12,'Re-referrals'!$B$110:$H$135,7,FALSE),"")</f>
        <v>0.2678355501813785</v>
      </c>
      <c r="W28" s="534">
        <f>IFERROR(VLOOKUP(W12,'Re-referrals'!$B$110:$H$135,7,FALSE),"")</f>
        <v>0.26558591013709598</v>
      </c>
      <c r="X28" s="534">
        <f>IFERROR(VLOOKUP(X12,'Re-referrals'!$B$110:$H$135,7,FALSE),"")</f>
        <v>0.15781710914454278</v>
      </c>
      <c r="Y28" s="719">
        <f>IFERROR(VLOOKUP(Y12,'Re-referrals'!$B$110:$H$135,7,FALSE),"")</f>
        <v>0.24577226606538896</v>
      </c>
      <c r="Z28" s="1233">
        <f>IFERROR(VLOOKUP(Z12,'Re-referrals'!$B$110:$H$135,7,FALSE),"")</f>
        <v>0.26039846207619716</v>
      </c>
      <c r="AA28" s="1510">
        <f>IFERROR(VLOOKUP(AA12,'Re-referrals'!$B$110:$H$135,7,FALSE),"")</f>
        <v>0.22611900836728982</v>
      </c>
      <c r="AB28" s="528"/>
      <c r="AC28" s="772"/>
      <c r="AD28" s="529"/>
      <c r="AE28" s="1623"/>
      <c r="AF28" s="1623"/>
      <c r="AG28" s="1623"/>
      <c r="AH28" s="1623"/>
      <c r="AI28" s="1623"/>
      <c r="AJ28" s="1623"/>
      <c r="AK28" s="1623"/>
      <c r="AL28" s="1623"/>
      <c r="AM28" s="1623"/>
      <c r="AN28" s="1623"/>
      <c r="AO28" s="1623"/>
      <c r="AP28" s="1623"/>
      <c r="AQ28" s="1623"/>
      <c r="AR28" s="1623"/>
      <c r="AS28" s="1623"/>
      <c r="AT28" s="1623"/>
      <c r="AU28" s="1623"/>
      <c r="AV28" s="1623"/>
      <c r="AW28" s="1623"/>
      <c r="AX28" s="1623"/>
      <c r="AY28" s="1623"/>
      <c r="AZ28" s="1623"/>
      <c r="BA28" s="1623"/>
      <c r="BB28" s="1624">
        <f t="shared" si="0"/>
        <v>17</v>
      </c>
      <c r="BC28" s="1624"/>
    </row>
    <row r="29" spans="1:55" s="470" customFormat="1" ht="22.5" customHeight="1" thickBot="1" x14ac:dyDescent="0.25">
      <c r="A29" s="525"/>
      <c r="B29" s="1657" t="s">
        <v>22</v>
      </c>
      <c r="C29" s="1631" t="str">
        <f>"CSC Single Assessments Completed during the "&amp;Sheet1!$G$3&amp;", Rate per 10,000 0-17 Year Olds"</f>
        <v>CSC Single Assessments Completed during the Year ending 31st March, Rate per 10,000 0-17 Year Olds</v>
      </c>
      <c r="D29" s="711">
        <f>IFERROR(VLOOKUP(D12,Assessments!$B$10:$O$33,14,FALSE),"")</f>
        <v>539.08450704225356</v>
      </c>
      <c r="E29" s="539">
        <f>IFERROR(VLOOKUP(E12,Assessments!$B$10:$O$33,14,FALSE),"")</f>
        <v>547.51491053677933</v>
      </c>
      <c r="F29" s="539">
        <f>IFERROR(VLOOKUP(F12,Assessments!$B$10:$O$33,14,FALSE),"")</f>
        <v>646.14160700079549</v>
      </c>
      <c r="G29" s="539">
        <f>IFERROR(VLOOKUP(G12,Assessments!$B$10:$O$33,14,FALSE),"")</f>
        <v>326.43461900282222</v>
      </c>
      <c r="H29" s="539">
        <f>IFERROR(VLOOKUP(H12,Assessments!$B$10:$O$33,14,FALSE),"")</f>
        <v>693.35209285965527</v>
      </c>
      <c r="I29" s="539">
        <f>IFERROR(VLOOKUP(I12,Assessments!$B$10:$O$33,14,FALSE),"")</f>
        <v>1274.8987854251013</v>
      </c>
      <c r="J29" s="539">
        <f>IFERROR(VLOOKUP(J12,Assessments!$B$10:$O$33,14,FALSE),"")</f>
        <v>601.68702734147757</v>
      </c>
      <c r="K29" s="539">
        <f>IFERROR(VLOOKUP(K12,Assessments!$B$10:$O$33,14,FALSE),"")</f>
        <v>733.69230769230774</v>
      </c>
      <c r="L29" s="539">
        <f>IFERROR(VLOOKUP(L12,Assessments!$B$10:$O$33,14,FALSE),"")</f>
        <v>443.60465116279073</v>
      </c>
      <c r="M29" s="539">
        <f>IFERROR(VLOOKUP(M12,Assessments!$B$10:$O$33,14,FALSE),"")</f>
        <v>480.56125941136207</v>
      </c>
      <c r="N29" s="539">
        <f>IFERROR(VLOOKUP(N12,Assessments!$B$10:$O$33,14,FALSE),"")</f>
        <v>591.32420091324207</v>
      </c>
      <c r="O29" s="539">
        <f>IFERROR(VLOOKUP(O12,Assessments!$B$10:$O$33,14,FALSE),"")</f>
        <v>726.75675675675677</v>
      </c>
      <c r="P29" s="539">
        <f>IFERROR(VLOOKUP(P12,Assessments!$B$10:$O$33,14,FALSE),"")</f>
        <v>576.33410672853836</v>
      </c>
      <c r="Q29" s="539">
        <f>IFERROR(VLOOKUP(Q12,Assessments!$B$10:$O$33,14,FALSE),"")</f>
        <v>298.11151079136692</v>
      </c>
      <c r="R29" s="539">
        <f>IFERROR(VLOOKUP(R12,Assessments!$B$10:$O$33,14,FALSE),"")</f>
        <v>897.0760233918129</v>
      </c>
      <c r="S29" s="539">
        <f>IFERROR(VLOOKUP(S12,Assessments!$B$10:$O$33,14,FALSE),"")</f>
        <v>330.70507960576197</v>
      </c>
      <c r="T29" s="539">
        <f>IFERROR(VLOOKUP(T12,Assessments!$B$10:$O$33,14,FALSE),"")</f>
        <v>853.96825396825398</v>
      </c>
      <c r="U29" s="539">
        <f>IFERROR(VLOOKUP(U12,Assessments!$B$10:$O$33,14,FALSE),"")</f>
        <v>650</v>
      </c>
      <c r="V29" s="539">
        <f>IFERROR(VLOOKUP(V12,Assessments!$B$10:$O$33,14,FALSE),"")</f>
        <v>527.52808988764048</v>
      </c>
      <c r="W29" s="539">
        <f>IFERROR(VLOOKUP(W12,Assessments!$B$10:$O$33,14,FALSE),"")</f>
        <v>593.86712095400344</v>
      </c>
      <c r="X29" s="539">
        <f>IFERROR(VLOOKUP(X12,Assessments!$B$10:$O$33,14,FALSE),"")</f>
        <v>348.99135446685881</v>
      </c>
      <c r="Y29" s="712">
        <f>IFERROR(VLOOKUP(Y12,Assessments!$B$10:$O$33,14,FALSE),"")</f>
        <v>391.83168316831683</v>
      </c>
      <c r="Z29" s="1231">
        <f>IFERROR(VLOOKUP(Z12,Assessments!$B$10:$O$33,14,FALSE),"")</f>
        <v>561.09079829372331</v>
      </c>
      <c r="AA29" s="1509">
        <f>IFERROR(VLOOKUP(AA12,Assessments!$B$10:$O$33,14,FALSE),"")</f>
        <v>553.62786519844303</v>
      </c>
      <c r="AB29" s="528"/>
      <c r="AC29" s="772"/>
      <c r="AD29" s="529"/>
      <c r="AE29" s="1623"/>
      <c r="AF29" s="1623"/>
      <c r="AG29" s="1623"/>
      <c r="AH29" s="1623"/>
      <c r="AI29" s="1623"/>
      <c r="AJ29" s="1623"/>
      <c r="AK29" s="1623"/>
      <c r="AL29" s="1623"/>
      <c r="AM29" s="1623"/>
      <c r="AN29" s="1623"/>
      <c r="AO29" s="1623"/>
      <c r="AP29" s="1623"/>
      <c r="AQ29" s="1623"/>
      <c r="AR29" s="1623"/>
      <c r="AS29" s="1623"/>
      <c r="AT29" s="1623"/>
      <c r="AU29" s="1623"/>
      <c r="AV29" s="1623"/>
      <c r="AW29" s="1623"/>
      <c r="AX29" s="1623"/>
      <c r="AY29" s="1623"/>
      <c r="AZ29" s="1623"/>
      <c r="BA29" s="1623"/>
      <c r="BB29" s="1624">
        <f>ROW(BC29)-11</f>
        <v>18</v>
      </c>
      <c r="BC29" s="1624"/>
    </row>
    <row r="30" spans="1:55" s="470" customFormat="1" ht="15.75" customHeight="1" x14ac:dyDescent="0.2">
      <c r="A30" s="525"/>
      <c r="B30" s="1658"/>
      <c r="C30" s="535" t="s">
        <v>228</v>
      </c>
      <c r="D30" s="724">
        <f>IFERROR(VLOOKUP(D$12,Assessments!$B$147:$H$170,3,FALSE),"")</f>
        <v>0.18158066623122143</v>
      </c>
      <c r="E30" s="659">
        <f>IFERROR(VLOOKUP(E$12,Assessments!$B$147:$H$170,3,FALSE),"")</f>
        <v>0.14633260711692084</v>
      </c>
      <c r="F30" s="659">
        <f>IFERROR(VLOOKUP(F$12,Assessments!$B$147:$H$170,3,FALSE),"")</f>
        <v>0.24267421817286383</v>
      </c>
      <c r="G30" s="659">
        <f>IFERROR(VLOOKUP(G$12,Assessments!$B$147:$H$170,3,FALSE),"")</f>
        <v>6.8011527377521613E-2</v>
      </c>
      <c r="H30" s="659">
        <f>IFERROR(VLOOKUP(H$12,Assessments!$B$147:$H$170,3,FALSE),"")</f>
        <v>0.23549107142857142</v>
      </c>
      <c r="I30" s="659">
        <f>IFERROR(VLOOKUP(I$12,Assessments!$B$147:$H$170,3,FALSE),"")</f>
        <v>0.32232454747538902</v>
      </c>
      <c r="J30" s="659">
        <f>IFERROR(VLOOKUP(J$12,Assessments!$B$147:$H$170,3,FALSE),"")</f>
        <v>6.8355409455670507E-2</v>
      </c>
      <c r="K30" s="659">
        <f>IFERROR(VLOOKUP(K$12,Assessments!$B$147:$H$170,3,FALSE),"")</f>
        <v>2.3132427843803056E-2</v>
      </c>
      <c r="L30" s="659">
        <f>IFERROR(VLOOKUP(L$12,Assessments!$B$147:$H$170,3,FALSE),"")</f>
        <v>0.15432503276539974</v>
      </c>
      <c r="M30" s="659">
        <f>IFERROR(VLOOKUP(M$12,Assessments!$B$147:$H$170,3,FALSE),"")</f>
        <v>6.0532687651331719E-2</v>
      </c>
      <c r="N30" s="659">
        <f>IFERROR(VLOOKUP(N$12,Assessments!$B$147:$H$170,3,FALSE),"")</f>
        <v>0.26833976833976836</v>
      </c>
      <c r="O30" s="659">
        <f>IFERROR(VLOOKUP(O$12,Assessments!$B$147:$H$170,3,FALSE),"")</f>
        <v>7.9955373744886579E-2</v>
      </c>
      <c r="P30" s="659">
        <f>IFERROR(VLOOKUP(P$12,Assessments!$B$147:$H$170,3,FALSE),"")</f>
        <v>0</v>
      </c>
      <c r="Q30" s="659">
        <f>IFERROR(VLOOKUP(Q$12,Assessments!$B$147:$H$170,3,FALSE),"")</f>
        <v>0.11131221719457013</v>
      </c>
      <c r="R30" s="659">
        <f>IFERROR(VLOOKUP(R$12,Assessments!$B$147:$H$170,3,FALSE),"")</f>
        <v>9.1481964363320289E-2</v>
      </c>
      <c r="S30" s="659">
        <f>IFERROR(VLOOKUP(S$12,Assessments!$B$147:$H$170,3,FALSE),"")</f>
        <v>4.745529573590096E-2</v>
      </c>
      <c r="T30" s="659">
        <f>IFERROR(VLOOKUP(T$12,Assessments!$B$147:$H$170,3,FALSE),"")</f>
        <v>0.40566914498141265</v>
      </c>
      <c r="U30" s="659">
        <f>IFERROR(VLOOKUP(U$12,Assessments!$B$147:$H$170,3,FALSE),"")</f>
        <v>0.1157495256166983</v>
      </c>
      <c r="V30" s="659">
        <f>IFERROR(VLOOKUP(V$12,Assessments!$B$147:$H$170,3,FALSE),"")</f>
        <v>0.2231139646869984</v>
      </c>
      <c r="W30" s="659">
        <f>IFERROR(VLOOKUP(W$12,Assessments!$B$147:$H$170,3,FALSE),"")</f>
        <v>0.24153757888697647</v>
      </c>
      <c r="X30" s="659">
        <f>IFERROR(VLOOKUP(X$12,Assessments!$B$147:$H$170,3,FALSE),"")</f>
        <v>6.9364161849710976E-2</v>
      </c>
      <c r="Y30" s="725">
        <f>IFERROR(VLOOKUP(Y$12,Assessments!$B$147:$H$170,3,FALSE),"")</f>
        <v>8.5020242914979755E-2</v>
      </c>
      <c r="Z30" s="1232">
        <f>IFERROR(VLOOKUP(Z$12,Assessments!$B$147:$H$170,3,FALSE),"")</f>
        <v>0.14417594352430085</v>
      </c>
      <c r="AA30" s="1512">
        <f>IFERROR(VLOOKUP(AA$12,Assessments!$B$147:$H$170,3,FALSE),"")</f>
        <v>0.13856507631294315</v>
      </c>
      <c r="AB30" s="528"/>
      <c r="AC30" s="772"/>
      <c r="AD30" s="529"/>
      <c r="AE30" s="1623"/>
      <c r="AF30" s="1623"/>
      <c r="AG30" s="1623"/>
      <c r="AH30" s="1623"/>
      <c r="AI30" s="1623"/>
      <c r="AJ30" s="1623"/>
      <c r="AK30" s="1623"/>
      <c r="AL30" s="1623"/>
      <c r="AM30" s="1623"/>
      <c r="AN30" s="1623"/>
      <c r="AO30" s="1623"/>
      <c r="AP30" s="1623"/>
      <c r="AQ30" s="1623"/>
      <c r="AR30" s="1623"/>
      <c r="AS30" s="1623"/>
      <c r="AT30" s="1623"/>
      <c r="AU30" s="1623"/>
      <c r="AV30" s="1623"/>
      <c r="AW30" s="1623"/>
      <c r="AX30" s="1623"/>
      <c r="AY30" s="1623"/>
      <c r="AZ30" s="1623"/>
      <c r="BA30" s="1623"/>
      <c r="BB30" s="1624">
        <f t="shared" si="0"/>
        <v>19</v>
      </c>
      <c r="BC30" s="1624"/>
    </row>
    <row r="31" spans="1:55" s="470" customFormat="1" ht="15.75" customHeight="1" x14ac:dyDescent="0.2">
      <c r="A31" s="525"/>
      <c r="B31" s="1658"/>
      <c r="C31" s="536" t="s">
        <v>782</v>
      </c>
      <c r="D31" s="715">
        <f>IFERROR(VLOOKUP(D$12,Assessments!$B$147:$H$170,4,FALSE),"")</f>
        <v>0.36903984323971262</v>
      </c>
      <c r="E31" s="532">
        <f>IFERROR(VLOOKUP(E$12,Assessments!$B$147:$H$170,4,FALSE),"")</f>
        <v>0.11510530137981119</v>
      </c>
      <c r="F31" s="532">
        <f>IFERROR(VLOOKUP(F$12,Assessments!$B$147:$H$170,4,FALSE),"")</f>
        <v>0.12989411475006157</v>
      </c>
      <c r="G31" s="532">
        <f>IFERROR(VLOOKUP(G$12,Assessments!$B$147:$H$170,4,FALSE),"")</f>
        <v>0.13342939481268012</v>
      </c>
      <c r="H31" s="532">
        <f>IFERROR(VLOOKUP(H$12,Assessments!$B$147:$H$170,4,FALSE),"")</f>
        <v>0.47940340909090912</v>
      </c>
      <c r="I31" s="532">
        <f>IFERROR(VLOOKUP(I$12,Assessments!$B$147:$H$170,4,FALSE),"")</f>
        <v>0.36392505557319782</v>
      </c>
      <c r="J31" s="532">
        <f>IFERROR(VLOOKUP(J$12,Assessments!$B$147:$H$170,4,FALSE),"")</f>
        <v>0.12907280286183892</v>
      </c>
      <c r="K31" s="532">
        <f>IFERROR(VLOOKUP(K$12,Assessments!$B$147:$H$170,4,FALSE),"")</f>
        <v>0.13667232597623091</v>
      </c>
      <c r="L31" s="532">
        <f>IFERROR(VLOOKUP(L$12,Assessments!$B$147:$H$170,4,FALSE),"")</f>
        <v>0.19692005242463959</v>
      </c>
      <c r="M31" s="532">
        <f>IFERROR(VLOOKUP(M$12,Assessments!$B$147:$H$170,4,FALSE),"")</f>
        <v>0.10254949437402079</v>
      </c>
      <c r="N31" s="532">
        <f>IFERROR(VLOOKUP(N$12,Assessments!$B$147:$H$170,4,FALSE),"")</f>
        <v>0.24362934362934363</v>
      </c>
      <c r="O31" s="532">
        <f>IFERROR(VLOOKUP(O$12,Assessments!$B$147:$H$170,4,FALSE),"")</f>
        <v>0.1647452584603942</v>
      </c>
      <c r="P31" s="532">
        <f>IFERROR(VLOOKUP(P$12,Assessments!$B$147:$H$170,4,FALSE),"")</f>
        <v>0.11414392059553349</v>
      </c>
      <c r="Q31" s="532">
        <f>IFERROR(VLOOKUP(Q$12,Assessments!$B$147:$H$170,4,FALSE),"")</f>
        <v>0.11282051282051282</v>
      </c>
      <c r="R31" s="532">
        <f>IFERROR(VLOOKUP(R$12,Assessments!$B$147:$H$170,4,FALSE),"")</f>
        <v>0.16492829204693613</v>
      </c>
      <c r="S31" s="532">
        <f>IFERROR(VLOOKUP(S$12,Assessments!$B$147:$H$170,4,FALSE),"")</f>
        <v>0.16758367721228795</v>
      </c>
      <c r="T31" s="532">
        <f>IFERROR(VLOOKUP(T$12,Assessments!$B$147:$H$170,4,FALSE),"")</f>
        <v>0.32086431226765799</v>
      </c>
      <c r="U31" s="532">
        <f>IFERROR(VLOOKUP(U$12,Assessments!$B$147:$H$170,4,FALSE),"")</f>
        <v>0.22580645161290322</v>
      </c>
      <c r="V31" s="532">
        <f>IFERROR(VLOOKUP(V$12,Assessments!$B$147:$H$170,4,FALSE),"")</f>
        <v>0.17174959871589085</v>
      </c>
      <c r="W31" s="532">
        <f>IFERROR(VLOOKUP(W$12,Assessments!$B$147:$H$170,4,FALSE),"")</f>
        <v>0.10795563205201759</v>
      </c>
      <c r="X31" s="532">
        <f>IFERROR(VLOOKUP(X$12,Assessments!$B$147:$H$170,4,FALSE),"")</f>
        <v>0.19900908340214699</v>
      </c>
      <c r="Y31" s="658">
        <f>IFERROR(VLOOKUP(Y$12,Assessments!$B$147:$H$170,4,FALSE),"")</f>
        <v>0.16599190283400811</v>
      </c>
      <c r="Z31" s="1230">
        <f>IFERROR(VLOOKUP(Z$12,Assessments!$B$147:$H$170,4,FALSE),"")</f>
        <v>0.20943071771201013</v>
      </c>
      <c r="AA31" s="1507">
        <f>IFERROR(VLOOKUP(AA$12,Assessments!$B$147:$H$170,4,FALSE),"")</f>
        <v>0.16839923086167527</v>
      </c>
      <c r="AB31" s="528"/>
      <c r="AC31" s="772"/>
      <c r="AD31" s="529"/>
      <c r="AE31" s="1623"/>
      <c r="AF31" s="1623"/>
      <c r="AG31" s="1623"/>
      <c r="AH31" s="1623"/>
      <c r="AI31" s="1623"/>
      <c r="AJ31" s="1623"/>
      <c r="AK31" s="1623"/>
      <c r="AL31" s="1623"/>
      <c r="AM31" s="1623"/>
      <c r="AN31" s="1623"/>
      <c r="AO31" s="1623"/>
      <c r="AP31" s="1623"/>
      <c r="AQ31" s="1623"/>
      <c r="AR31" s="1623"/>
      <c r="AS31" s="1623"/>
      <c r="AT31" s="1623"/>
      <c r="AU31" s="1623"/>
      <c r="AV31" s="1623"/>
      <c r="AW31" s="1623"/>
      <c r="AX31" s="1623"/>
      <c r="AY31" s="1623"/>
      <c r="AZ31" s="1623"/>
      <c r="BA31" s="1623"/>
      <c r="BB31" s="1624">
        <f t="shared" si="0"/>
        <v>20</v>
      </c>
      <c r="BC31" s="1624"/>
    </row>
    <row r="32" spans="1:55" s="470" customFormat="1" ht="15.75" customHeight="1" x14ac:dyDescent="0.2">
      <c r="A32" s="525"/>
      <c r="B32" s="1658"/>
      <c r="C32" s="536" t="s">
        <v>783</v>
      </c>
      <c r="D32" s="715">
        <f>IFERROR(VLOOKUP(D$12,Assessments!$B$147:$H$170,5,FALSE),"")</f>
        <v>0.18680600914435011</v>
      </c>
      <c r="E32" s="532">
        <f>IFERROR(VLOOKUP(E$12,Assessments!$B$147:$H$170,5,FALSE),"")</f>
        <v>0.24146695715323166</v>
      </c>
      <c r="F32" s="532">
        <f>IFERROR(VLOOKUP(F$12,Assessments!$B$147:$H$170,5,FALSE),"")</f>
        <v>0.20068948534843634</v>
      </c>
      <c r="G32" s="532">
        <f>IFERROR(VLOOKUP(G$12,Assessments!$B$147:$H$170,5,FALSE),"")</f>
        <v>0.13227665706051872</v>
      </c>
      <c r="H32" s="532">
        <f>IFERROR(VLOOKUP(H$12,Assessments!$B$147:$H$170,5,FALSE),"")</f>
        <v>0.10907061688311688</v>
      </c>
      <c r="I32" s="532">
        <f>IFERROR(VLOOKUP(I$12,Assessments!$B$147:$H$170,5,FALSE),"")</f>
        <v>9.6221022546840271E-2</v>
      </c>
      <c r="J32" s="532">
        <f>IFERROR(VLOOKUP(J$12,Assessments!$B$147:$H$170,5,FALSE),"")</f>
        <v>0.24659189790196268</v>
      </c>
      <c r="K32" s="532">
        <f>IFERROR(VLOOKUP(K$12,Assessments!$B$147:$H$170,5,FALSE),"")</f>
        <v>0.20606960950764006</v>
      </c>
      <c r="L32" s="532">
        <f>IFERROR(VLOOKUP(L$12,Assessments!$B$147:$H$170,5,FALSE),"")</f>
        <v>0.20740498034076016</v>
      </c>
      <c r="M32" s="532">
        <f>IFERROR(VLOOKUP(M$12,Assessments!$B$147:$H$170,5,FALSE),"")</f>
        <v>0.10895883777239709</v>
      </c>
      <c r="N32" s="532">
        <f>IFERROR(VLOOKUP(N$12,Assessments!$B$147:$H$170,5,FALSE),"")</f>
        <v>0.2413127413127413</v>
      </c>
      <c r="O32" s="532">
        <f>IFERROR(VLOOKUP(O$12,Assessments!$B$147:$H$170,5,FALSE),"")</f>
        <v>0.14652287095574562</v>
      </c>
      <c r="P32" s="532">
        <f>IFERROR(VLOOKUP(P$12,Assessments!$B$147:$H$170,5,FALSE),"")</f>
        <v>0.22249793217535152</v>
      </c>
      <c r="Q32" s="532">
        <f>IFERROR(VLOOKUP(Q$12,Assessments!$B$147:$H$170,5,FALSE),"")</f>
        <v>0.18401206636500755</v>
      </c>
      <c r="R32" s="532">
        <f>IFERROR(VLOOKUP(R$12,Assessments!$B$147:$H$170,5,FALSE),"")</f>
        <v>0.15015210777922641</v>
      </c>
      <c r="S32" s="532">
        <f>IFERROR(VLOOKUP(S$12,Assessments!$B$147:$H$170,5,FALSE),"")</f>
        <v>0.21240256762952775</v>
      </c>
      <c r="T32" s="532">
        <f>IFERROR(VLOOKUP(T$12,Assessments!$B$147:$H$170,5,FALSE),"")</f>
        <v>0.12197955390334572</v>
      </c>
      <c r="U32" s="532">
        <f>IFERROR(VLOOKUP(U$12,Assessments!$B$147:$H$170,5,FALSE),"")</f>
        <v>0.22896900695762176</v>
      </c>
      <c r="V32" s="532">
        <f>IFERROR(VLOOKUP(V$12,Assessments!$B$147:$H$170,5,FALSE),"")</f>
        <v>0.11289459604066346</v>
      </c>
      <c r="W32" s="532">
        <f>IFERROR(VLOOKUP(W$12,Assessments!$B$147:$H$170,5,FALSE),"")</f>
        <v>0.14601262191623637</v>
      </c>
      <c r="X32" s="532">
        <f>IFERROR(VLOOKUP(X$12,Assessments!$B$147:$H$170,5,FALSE),"")</f>
        <v>0.22708505367464904</v>
      </c>
      <c r="Y32" s="658">
        <f>IFERROR(VLOOKUP(Y$12,Assessments!$B$147:$H$170,5,FALSE),"")</f>
        <v>0.21929824561403508</v>
      </c>
      <c r="Z32" s="1230">
        <f>IFERROR(VLOOKUP(Z$12,Assessments!$B$147:$H$170,5,FALSE),"")</f>
        <v>0.17558150058828853</v>
      </c>
      <c r="AA32" s="1507">
        <f>IFERROR(VLOOKUP(AA$12,Assessments!$B$147:$H$170,5,FALSE),"")</f>
        <v>0.16851940872491286</v>
      </c>
      <c r="AB32" s="528"/>
      <c r="AC32" s="772"/>
      <c r="AD32" s="529"/>
      <c r="AE32" s="1623"/>
      <c r="AF32" s="1623"/>
      <c r="AG32" s="1623"/>
      <c r="AH32" s="1623"/>
      <c r="AI32" s="1623"/>
      <c r="AJ32" s="1623"/>
      <c r="AK32" s="1623"/>
      <c r="AL32" s="1623"/>
      <c r="AM32" s="1623"/>
      <c r="AN32" s="1623"/>
      <c r="AO32" s="1623"/>
      <c r="AP32" s="1623"/>
      <c r="AQ32" s="1623"/>
      <c r="AR32" s="1623"/>
      <c r="AS32" s="1623"/>
      <c r="AT32" s="1623"/>
      <c r="AU32" s="1623"/>
      <c r="AV32" s="1623"/>
      <c r="AW32" s="1623"/>
      <c r="AX32" s="1623"/>
      <c r="AY32" s="1623"/>
      <c r="AZ32" s="1623"/>
      <c r="BA32" s="1623"/>
      <c r="BB32" s="1624">
        <f t="shared" si="0"/>
        <v>21</v>
      </c>
      <c r="BC32" s="1624"/>
    </row>
    <row r="33" spans="1:55" s="470" customFormat="1" ht="15.75" customHeight="1" x14ac:dyDescent="0.2">
      <c r="A33" s="525"/>
      <c r="B33" s="1658"/>
      <c r="C33" s="536" t="s">
        <v>784</v>
      </c>
      <c r="D33" s="715">
        <f>IFERROR(VLOOKUP(D$12,Assessments!$B$147:$H$170,6,FALSE),"")</f>
        <v>0.19986936642717179</v>
      </c>
      <c r="E33" s="532">
        <f>IFERROR(VLOOKUP(E$12,Assessments!$B$147:$H$170,6,FALSE),"")</f>
        <v>0.3972403776325345</v>
      </c>
      <c r="F33" s="532">
        <f>IFERROR(VLOOKUP(F$12,Assessments!$B$147:$H$170,6,FALSE),"")</f>
        <v>0.30632849051957645</v>
      </c>
      <c r="G33" s="532">
        <f>IFERROR(VLOOKUP(G$12,Assessments!$B$147:$H$170,6,FALSE),"")</f>
        <v>0.27636887608069166</v>
      </c>
      <c r="H33" s="532">
        <f>IFERROR(VLOOKUP(H$12,Assessments!$B$147:$H$170,6,FALSE),"")</f>
        <v>0.10212053571428571</v>
      </c>
      <c r="I33" s="532">
        <f>IFERROR(VLOOKUP(I$12,Assessments!$B$147:$H$170,6,FALSE),"")</f>
        <v>0.1622737376945062</v>
      </c>
      <c r="J33" s="532">
        <f>IFERROR(VLOOKUP(J$12,Assessments!$B$147:$H$170,6,FALSE),"")</f>
        <v>0.43618872667504593</v>
      </c>
      <c r="K33" s="532">
        <f>IFERROR(VLOOKUP(K$12,Assessments!$B$147:$H$170,6,FALSE),"")</f>
        <v>0.58510186757215621</v>
      </c>
      <c r="L33" s="532">
        <f>IFERROR(VLOOKUP(L$12,Assessments!$B$147:$H$170,6,FALSE),"")</f>
        <v>0.27064220183486237</v>
      </c>
      <c r="M33" s="532">
        <f>IFERROR(VLOOKUP(M$12,Assessments!$B$147:$H$170,6,FALSE),"")</f>
        <v>0.35806865118928927</v>
      </c>
      <c r="N33" s="532">
        <f>IFERROR(VLOOKUP(N$12,Assessments!$B$147:$H$170,6,FALSE),"")</f>
        <v>0.22664092664092664</v>
      </c>
      <c r="O33" s="532">
        <f>IFERROR(VLOOKUP(O$12,Assessments!$B$147:$H$170,6,FALSE),"")</f>
        <v>0.4087021197471179</v>
      </c>
      <c r="P33" s="532">
        <f>IFERROR(VLOOKUP(P$12,Assessments!$B$147:$H$170,6,FALSE),"")</f>
        <v>0.402398676592225</v>
      </c>
      <c r="Q33" s="532">
        <f>IFERROR(VLOOKUP(Q$12,Assessments!$B$147:$H$170,6,FALSE),"")</f>
        <v>0.42141779788838613</v>
      </c>
      <c r="R33" s="532">
        <f>IFERROR(VLOOKUP(R$12,Assessments!$B$147:$H$170,6,FALSE),"")</f>
        <v>0.24598000869187309</v>
      </c>
      <c r="S33" s="532">
        <f>IFERROR(VLOOKUP(S$12,Assessments!$B$147:$H$170,6,FALSE),"")</f>
        <v>0.39064649243466298</v>
      </c>
      <c r="T33" s="532">
        <f>IFERROR(VLOOKUP(T$12,Assessments!$B$147:$H$170,6,FALSE),"")</f>
        <v>8.2481412639405199E-2</v>
      </c>
      <c r="U33" s="532">
        <f>IFERROR(VLOOKUP(U$12,Assessments!$B$147:$H$170,6,FALSE),"")</f>
        <v>0.23276407337128399</v>
      </c>
      <c r="V33" s="532">
        <f>IFERROR(VLOOKUP(V$12,Assessments!$B$147:$H$170,6,FALSE),"")</f>
        <v>0.48314606741573035</v>
      </c>
      <c r="W33" s="532">
        <f>IFERROR(VLOOKUP(W$12,Assessments!$B$147:$H$170,6,FALSE),"")</f>
        <v>0.38229106903805699</v>
      </c>
      <c r="X33" s="532">
        <f>IFERROR(VLOOKUP(X$12,Assessments!$B$147:$H$170,6,FALSE),"")</f>
        <v>0.435177539223782</v>
      </c>
      <c r="Y33" s="658">
        <f>IFERROR(VLOOKUP(Y$12,Assessments!$B$147:$H$170,6,FALSE),"")</f>
        <v>0.31713900134952766</v>
      </c>
      <c r="Z33" s="1230">
        <f>IFERROR(VLOOKUP(Z$12,Assessments!$B$147:$H$170,6,FALSE),"")</f>
        <v>0.32211059824418498</v>
      </c>
      <c r="AA33" s="1507">
        <f>IFERROR(VLOOKUP(AA$12,Assessments!$B$147:$H$170,6,FALSE),"")</f>
        <v>0.36299723590914551</v>
      </c>
      <c r="AB33" s="528"/>
      <c r="AC33" s="772"/>
      <c r="AD33" s="529"/>
      <c r="AE33" s="1623"/>
      <c r="AF33" s="1623"/>
      <c r="AG33" s="1623"/>
      <c r="AH33" s="1623"/>
      <c r="AI33" s="1623"/>
      <c r="AJ33" s="1623"/>
      <c r="AK33" s="1623"/>
      <c r="AL33" s="1623"/>
      <c r="AM33" s="1623"/>
      <c r="AN33" s="1623"/>
      <c r="AO33" s="1623"/>
      <c r="AP33" s="1623"/>
      <c r="AQ33" s="1623"/>
      <c r="AR33" s="1623"/>
      <c r="AS33" s="1623"/>
      <c r="AT33" s="1623"/>
      <c r="AU33" s="1623"/>
      <c r="AV33" s="1623"/>
      <c r="AW33" s="1623"/>
      <c r="AX33" s="1623"/>
      <c r="AY33" s="1623"/>
      <c r="AZ33" s="1623"/>
      <c r="BA33" s="1623"/>
      <c r="BB33" s="1624">
        <f t="shared" si="0"/>
        <v>22</v>
      </c>
      <c r="BC33" s="1624"/>
    </row>
    <row r="34" spans="1:55" s="470" customFormat="1" ht="15.75" customHeight="1" thickBot="1" x14ac:dyDescent="0.25">
      <c r="A34" s="525"/>
      <c r="B34" s="1659"/>
      <c r="C34" s="1630" t="s">
        <v>229</v>
      </c>
      <c r="D34" s="718">
        <f>IFERROR(VLOOKUP(D$12,Assessments!$B$147:$H$170,7,FALSE),"")</f>
        <v>6.2704114957544091E-2</v>
      </c>
      <c r="E34" s="534">
        <f>IFERROR(VLOOKUP(E$12,Assessments!$B$147:$H$170,7,FALSE),"")</f>
        <v>9.9854756717501811E-2</v>
      </c>
      <c r="F34" s="534">
        <f>IFERROR(VLOOKUP(F$12,Assessments!$B$147:$H$170,7,FALSE),"")</f>
        <v>0.12041369120906181</v>
      </c>
      <c r="G34" s="534">
        <f>IFERROR(VLOOKUP(G$12,Assessments!$B$147:$H$170,7,FALSE),"")</f>
        <v>0.38991354466858791</v>
      </c>
      <c r="H34" s="534">
        <f>IFERROR(VLOOKUP(H$12,Assessments!$B$147:$H$170,7,FALSE),"")</f>
        <v>7.391436688311688E-2</v>
      </c>
      <c r="I34" s="534">
        <f>IFERROR(VLOOKUP(I$12,Assessments!$B$147:$H$170,7,FALSE),"")</f>
        <v>5.525563671006669E-2</v>
      </c>
      <c r="J34" s="534">
        <f>IFERROR(VLOOKUP(J$12,Assessments!$B$147:$H$170,7,FALSE),"")</f>
        <v>0.11979116310548196</v>
      </c>
      <c r="K34" s="534">
        <f>IFERROR(VLOOKUP(K$12,Assessments!$B$147:$H$170,7,FALSE),"")</f>
        <v>4.9023769100169777E-2</v>
      </c>
      <c r="L34" s="534">
        <f>IFERROR(VLOOKUP(L$12,Assessments!$B$147:$H$170,7,FALSE),"")</f>
        <v>0.17070773263433814</v>
      </c>
      <c r="M34" s="534">
        <f>IFERROR(VLOOKUP(M$12,Assessments!$B$147:$H$170,7,FALSE),"")</f>
        <v>0.36989032901296109</v>
      </c>
      <c r="N34" s="534">
        <f>IFERROR(VLOOKUP(N$12,Assessments!$B$147:$H$170,7,FALSE),"")</f>
        <v>2.0077220077220077E-2</v>
      </c>
      <c r="O34" s="534">
        <f>IFERROR(VLOOKUP(O$12,Assessments!$B$147:$H$170,7,FALSE),"")</f>
        <v>0.20007437709185572</v>
      </c>
      <c r="P34" s="534">
        <f>IFERROR(VLOOKUP(P$12,Assessments!$B$147:$H$170,7,FALSE),"")</f>
        <v>0.26095947063689001</v>
      </c>
      <c r="Q34" s="534">
        <f>IFERROR(VLOOKUP(Q$12,Assessments!$B$147:$H$170,7,FALSE),"")</f>
        <v>0.17043740573152338</v>
      </c>
      <c r="R34" s="534">
        <f>IFERROR(VLOOKUP(R$12,Assessments!$B$147:$H$170,7,FALSE),"")</f>
        <v>0.34745762711864409</v>
      </c>
      <c r="S34" s="534">
        <f>IFERROR(VLOOKUP(S$12,Assessments!$B$147:$H$170,7,FALSE),"")</f>
        <v>0.18191196698762035</v>
      </c>
      <c r="T34" s="534">
        <f>IFERROR(VLOOKUP(T$12,Assessments!$B$147:$H$170,7,FALSE),"")</f>
        <v>6.9005576208178432E-2</v>
      </c>
      <c r="U34" s="534">
        <f>IFERROR(VLOOKUP(U$12,Assessments!$B$147:$H$170,7,FALSE),"")</f>
        <v>0.19671094244149273</v>
      </c>
      <c r="V34" s="534">
        <f>IFERROR(VLOOKUP(V$12,Assessments!$B$147:$H$170,7,FALSE),"")</f>
        <v>9.0957731407169604E-3</v>
      </c>
      <c r="W34" s="534">
        <f>IFERROR(VLOOKUP(W$12,Assessments!$B$147:$H$170,7,FALSE),"")</f>
        <v>0.12220309810671257</v>
      </c>
      <c r="X34" s="534">
        <f>IFERROR(VLOOKUP(X$12,Assessments!$B$147:$H$170,7,FALSE),"")</f>
        <v>6.9364161849710976E-2</v>
      </c>
      <c r="Y34" s="719">
        <f>IFERROR(VLOOKUP(Y$12,Assessments!$B$147:$H$170,7,FALSE),"")</f>
        <v>0.2125506072874494</v>
      </c>
      <c r="Z34" s="1229">
        <f>IFERROR(VLOOKUP(Z$12,Assessments!$B$147:$H$170,7,FALSE),"")</f>
        <v>0.14870123993121551</v>
      </c>
      <c r="AA34" s="1510">
        <f>IFERROR(VLOOKUP(AA$12,Assessments!$B$147:$H$170,7,FALSE),"")</f>
        <v>0.16151904819132315</v>
      </c>
      <c r="AB34" s="528"/>
      <c r="AC34" s="772"/>
      <c r="AD34" s="529"/>
      <c r="AE34" s="1623"/>
      <c r="AF34" s="1623"/>
      <c r="AG34" s="1623"/>
      <c r="AH34" s="1623"/>
      <c r="AI34" s="1623"/>
      <c r="AJ34" s="1623"/>
      <c r="AK34" s="1623"/>
      <c r="AL34" s="1623"/>
      <c r="AM34" s="1623"/>
      <c r="AN34" s="1623"/>
      <c r="AO34" s="1623"/>
      <c r="AP34" s="1623"/>
      <c r="AQ34" s="1623"/>
      <c r="AR34" s="1623"/>
      <c r="AS34" s="1623"/>
      <c r="AT34" s="1623"/>
      <c r="AU34" s="1623"/>
      <c r="AV34" s="1623"/>
      <c r="AW34" s="1623"/>
      <c r="AX34" s="1623"/>
      <c r="AY34" s="1623"/>
      <c r="AZ34" s="1623"/>
      <c r="BA34" s="1623"/>
      <c r="BB34" s="1624">
        <f t="shared" si="0"/>
        <v>23</v>
      </c>
      <c r="BC34" s="1624"/>
    </row>
    <row r="35" spans="1:55" s="470" customFormat="1" ht="22.5" customHeight="1" thickBot="1" x14ac:dyDescent="0.25">
      <c r="A35" s="525"/>
      <c r="B35" s="538" t="s">
        <v>230</v>
      </c>
      <c r="C35" s="1632" t="str">
        <f>"Children in Need at "&amp;Sheet1!$H$3&amp;", Rate per 10,000 0-17 Year Olds"</f>
        <v>Children in Need at 31st March, Rate per 10,000 0-17 Year Olds</v>
      </c>
      <c r="D35" s="730">
        <f>IFERROR(VLOOKUP(D12,'Children in Need'!$B$10:$O$33,14,FALSE),"")</f>
        <v>309.50704225352109</v>
      </c>
      <c r="E35" s="660">
        <f>IFERROR(VLOOKUP(E12,'Children in Need'!$B$10:$O$33,14,FALSE),"")</f>
        <v>360.83499005964211</v>
      </c>
      <c r="F35" s="660">
        <f>IFERROR(VLOOKUP(F12,'Children in Need'!$B$10:$O$33,14,FALSE),"")</f>
        <v>264.75735879077166</v>
      </c>
      <c r="G35" s="660">
        <f>IFERROR(VLOOKUP(G12,'Children in Need'!$B$10:$O$33,14,FALSE),"")</f>
        <v>308.18438381937909</v>
      </c>
      <c r="H35" s="660">
        <f>IFERROR(VLOOKUP(H12,'Children in Need'!$B$10:$O$33,14,FALSE),"")</f>
        <v>291.69890960253252</v>
      </c>
      <c r="I35" s="660">
        <f>IFERROR(VLOOKUP(I12,'Children in Need'!$B$10:$O$33,14,FALSE),"")</f>
        <v>472.87449392712551</v>
      </c>
      <c r="J35" s="660">
        <f>IFERROR(VLOOKUP(J12,'Children in Need'!$B$10:$O$33,14,FALSE),"")</f>
        <v>306.10820244328096</v>
      </c>
      <c r="K35" s="660">
        <f>IFERROR(VLOOKUP(K12,'Children in Need'!$B$10:$O$33,14,FALSE),"")</f>
        <v>354.30769230769232</v>
      </c>
      <c r="L35" s="660">
        <f>IFERROR(VLOOKUP(L12,'Children in Need'!$B$10:$O$33,14,FALSE),"")</f>
        <v>343.75</v>
      </c>
      <c r="M35" s="660">
        <f>IFERROR(VLOOKUP(M12,'Children in Need'!$B$10:$O$33,14,FALSE),"")</f>
        <v>325.11978097193702</v>
      </c>
      <c r="N35" s="660">
        <f>IFERROR(VLOOKUP(N12,'Children in Need'!$B$10:$O$33,14,FALSE),"")</f>
        <v>379.22374429223743</v>
      </c>
      <c r="O35" s="660">
        <f>IFERROR(VLOOKUP(O12,'Children in Need'!$B$10:$O$33,14,FALSE),"")</f>
        <v>392.16216216216219</v>
      </c>
      <c r="P35" s="660">
        <f>IFERROR(VLOOKUP(P12,'Children in Need'!$B$10:$O$33,14,FALSE),"")</f>
        <v>368.677494199536</v>
      </c>
      <c r="Q35" s="660">
        <f>IFERROR(VLOOKUP(Q12,'Children in Need'!$B$10:$O$33,14,FALSE),"")</f>
        <v>219.87410071942446</v>
      </c>
      <c r="R35" s="660">
        <f>IFERROR(VLOOKUP(R12,'Children in Need'!$B$10:$O$33,14,FALSE),"")</f>
        <v>469.00584795321635</v>
      </c>
      <c r="S35" s="660">
        <f>IFERROR(VLOOKUP(S12,'Children in Need'!$B$10:$O$33,14,FALSE),"")</f>
        <v>218.00606520090977</v>
      </c>
      <c r="T35" s="660">
        <f>IFERROR(VLOOKUP(T12,'Children in Need'!$B$10:$O$33,14,FALSE),"")</f>
        <v>289.08730158730157</v>
      </c>
      <c r="U35" s="660">
        <f>IFERROR(VLOOKUP(U12,'Children in Need'!$B$10:$O$33,14,FALSE),"")</f>
        <v>503.12500000000006</v>
      </c>
      <c r="V35" s="660">
        <f>IFERROR(VLOOKUP(V12,'Children in Need'!$B$10:$O$33,14,FALSE),"")</f>
        <v>261.23595505617976</v>
      </c>
      <c r="W35" s="660">
        <f>IFERROR(VLOOKUP(W12,'Children in Need'!$B$10:$O$33,14,FALSE),"")</f>
        <v>314.36683702441792</v>
      </c>
      <c r="X35" s="660">
        <f>IFERROR(VLOOKUP(X12,'Children in Need'!$B$10:$O$33,14,FALSE),"")</f>
        <v>254.46685878962535</v>
      </c>
      <c r="Y35" s="731">
        <f>IFERROR(VLOOKUP(Y12,'Children in Need'!$B$10:$O$33,14,FALSE),"")</f>
        <v>257.17821782178214</v>
      </c>
      <c r="Z35" s="1235">
        <f>IFERROR(VLOOKUP(Z12,'Children in Need'!$B$10:$O$33,14,FALSE),"")</f>
        <v>304.4383505992281</v>
      </c>
      <c r="AA35" s="1508">
        <f>IFERROR(VLOOKUP(AA12,'Children in Need'!$B$10:$O$33,14,FALSE),"")</f>
        <v>323.74663162447183</v>
      </c>
      <c r="AB35" s="528"/>
      <c r="AC35" s="772"/>
      <c r="AD35" s="529"/>
      <c r="AE35" s="1623"/>
      <c r="AF35" s="1623"/>
      <c r="AG35" s="1623"/>
      <c r="AH35" s="1623"/>
      <c r="AI35" s="1623"/>
      <c r="AJ35" s="1623"/>
      <c r="AK35" s="1623"/>
      <c r="AL35" s="1623"/>
      <c r="AM35" s="1623"/>
      <c r="AN35" s="1623"/>
      <c r="AO35" s="1623"/>
      <c r="AP35" s="1623"/>
      <c r="AQ35" s="1623"/>
      <c r="AR35" s="1623"/>
      <c r="AS35" s="1623"/>
      <c r="AT35" s="1623"/>
      <c r="AU35" s="1623"/>
      <c r="AV35" s="1623"/>
      <c r="AW35" s="1623"/>
      <c r="AX35" s="1623"/>
      <c r="AY35" s="1623"/>
      <c r="AZ35" s="1623"/>
      <c r="BA35" s="1623"/>
      <c r="BB35" s="1624">
        <f t="shared" ref="BB35:BB43" si="1">ROW(BC35)-11</f>
        <v>24</v>
      </c>
      <c r="BC35" s="1624"/>
    </row>
    <row r="36" spans="1:55" s="470" customFormat="1" ht="21.95" customHeight="1" thickBot="1" x14ac:dyDescent="0.25">
      <c r="A36" s="525"/>
      <c r="B36" s="1627" t="s">
        <v>18</v>
      </c>
      <c r="C36" s="1631" t="str">
        <f>"Children subject to Section 47 Enquiries during the "&amp;Sheet1!$G$3&amp;", Rate per 10,000 0-17 Year Olds"</f>
        <v>Children subject to Section 47 Enquiries during the Year ending 31st March, Rate per 10,000 0-17 Year Olds</v>
      </c>
      <c r="D36" s="711">
        <f>IFERROR(VLOOKUP(D12,'Section 47 Enquiries'!$B$10:$O$33,14,FALSE),"")</f>
        <v>288.02816901408448</v>
      </c>
      <c r="E36" s="539">
        <f>IFERROR(VLOOKUP(E12,'Section 47 Enquiries'!$B$10:$O$33,14,FALSE),"")</f>
        <v>167.79324055666004</v>
      </c>
      <c r="F36" s="539">
        <f>IFERROR(VLOOKUP(F12,'Section 47 Enquiries'!$B$10:$O$33,14,FALSE),"")</f>
        <v>192.04455051710423</v>
      </c>
      <c r="G36" s="539">
        <f>IFERROR(VLOOKUP(G12,'Section 47 Enquiries'!$B$10:$O$33,14,FALSE),"")</f>
        <v>125.21166509877705</v>
      </c>
      <c r="H36" s="539">
        <f>IFERROR(VLOOKUP(H12,'Section 47 Enquiries'!$B$10:$O$33,14,FALSE),"")</f>
        <v>177.10165318325713</v>
      </c>
      <c r="I36" s="539">
        <f>IFERROR(VLOOKUP(I12,'Section 47 Enquiries'!$B$10:$O$33,14,FALSE),"")</f>
        <v>259.51417004048579</v>
      </c>
      <c r="J36" s="539">
        <f>IFERROR(VLOOKUP(J12,'Section 47 Enquiries'!$B$10:$O$33,14,FALSE),"")</f>
        <v>192.37929028504945</v>
      </c>
      <c r="K36" s="539">
        <f>IFERROR(VLOOKUP(K12,'Section 47 Enquiries'!$B$10:$O$33,14,FALSE),"")</f>
        <v>272.76923076923077</v>
      </c>
      <c r="L36" s="539">
        <f>IFERROR(VLOOKUP(L12,'Section 47 Enquiries'!$B$10:$O$33,14,FALSE),"")</f>
        <v>118.75</v>
      </c>
      <c r="M36" s="539">
        <f>IFERROR(VLOOKUP(M12,'Section 47 Enquiries'!$B$10:$O$33,14,FALSE),"")</f>
        <v>130.39014373716631</v>
      </c>
      <c r="N36" s="539">
        <f>IFERROR(VLOOKUP(N12,'Section 47 Enquiries'!$B$10:$O$33,14,FALSE),"")</f>
        <v>295.4337899543379</v>
      </c>
      <c r="O36" s="539">
        <f>IFERROR(VLOOKUP(O12,'Section 47 Enquiries'!$B$10:$O$33,14,FALSE),"")</f>
        <v>233.7837837837838</v>
      </c>
      <c r="P36" s="539">
        <f>IFERROR(VLOOKUP(P12,'Section 47 Enquiries'!$B$10:$O$33,14,FALSE),"")</f>
        <v>300.46403712296984</v>
      </c>
      <c r="Q36" s="539">
        <f>IFERROR(VLOOKUP(Q12,'Section 47 Enquiries'!$B$10:$O$33,14,FALSE),"")</f>
        <v>83.003597122302153</v>
      </c>
      <c r="R36" s="539">
        <f>IFERROR(VLOOKUP(R12,'Section 47 Enquiries'!$B$10:$O$33,14,FALSE),"")</f>
        <v>412.47563352826512</v>
      </c>
      <c r="S36" s="539">
        <f>IFERROR(VLOOKUP(S12,'Section 47 Enquiries'!$B$10:$O$33,14,FALSE),"")</f>
        <v>100.75815011372252</v>
      </c>
      <c r="T36" s="539">
        <f>IFERROR(VLOOKUP(T12,'Section 47 Enquiries'!$B$10:$O$33,14,FALSE),"")</f>
        <v>207.93650793650795</v>
      </c>
      <c r="U36" s="539">
        <f>IFERROR(VLOOKUP(U12,'Section 47 Enquiries'!$B$10:$O$33,14,FALSE),"")</f>
        <v>315.234375</v>
      </c>
      <c r="V36" s="539">
        <f>IFERROR(VLOOKUP(V12,'Section 47 Enquiries'!$B$10:$O$33,14,FALSE),"")</f>
        <v>145.22471910112358</v>
      </c>
      <c r="W36" s="539">
        <f>IFERROR(VLOOKUP(W12,'Section 47 Enquiries'!$B$10:$O$33,14,FALSE),"")</f>
        <v>174.90062464508802</v>
      </c>
      <c r="X36" s="539">
        <f>IFERROR(VLOOKUP(X12,'Section 47 Enquiries'!$B$10:$O$33,14,FALSE),"")</f>
        <v>172.04610951008647</v>
      </c>
      <c r="Y36" s="712">
        <f>IFERROR(VLOOKUP(Y12,'Section 47 Enquiries'!$B$10:$O$33,14,FALSE),"")</f>
        <v>160.8910891089109</v>
      </c>
      <c r="Z36" s="1231">
        <f>IFERROR(VLOOKUP(Z12,'Section 47 Enquiries'!$B$10:$O$33,14,FALSE),"")</f>
        <v>179.05748527320739</v>
      </c>
      <c r="AA36" s="1509">
        <f>IFERROR(VLOOKUP(AA12,'Section 47 Enquiries'!$B$10:$O$33,14,FALSE),"")</f>
        <v>167.17122991450148</v>
      </c>
      <c r="AB36" s="528"/>
      <c r="AC36" s="772"/>
      <c r="AD36" s="529"/>
      <c r="AE36" s="1623"/>
      <c r="AF36" s="1623"/>
      <c r="AG36" s="1623"/>
      <c r="AH36" s="1623"/>
      <c r="AI36" s="1623"/>
      <c r="AJ36" s="1623"/>
      <c r="AK36" s="1623"/>
      <c r="AL36" s="1623"/>
      <c r="AM36" s="1623"/>
      <c r="AN36" s="1623"/>
      <c r="AO36" s="1623"/>
      <c r="AP36" s="1623"/>
      <c r="AQ36" s="1623"/>
      <c r="AR36" s="1623"/>
      <c r="AS36" s="1623"/>
      <c r="AT36" s="1623"/>
      <c r="AU36" s="1623"/>
      <c r="AV36" s="1623"/>
      <c r="AW36" s="1623"/>
      <c r="AX36" s="1623"/>
      <c r="AY36" s="1623"/>
      <c r="AZ36" s="1623"/>
      <c r="BA36" s="1623"/>
      <c r="BB36" s="1624">
        <f t="shared" si="1"/>
        <v>25</v>
      </c>
      <c r="BC36" s="1624"/>
    </row>
    <row r="37" spans="1:55" s="470" customFormat="1" ht="21.95" customHeight="1" x14ac:dyDescent="0.2">
      <c r="A37" s="525"/>
      <c r="B37" s="1655" t="s">
        <v>231</v>
      </c>
      <c r="C37" s="1223" t="str">
        <f>"Children subject to an Initial Child Protection Conference during the "&amp;Sheet1!$G$3&amp;", Rate per 10,000 0-17 Year Olds"</f>
        <v>Children subject to an Initial Child Protection Conference during the Year ending 31st March, Rate per 10,000 0-17 Year Olds</v>
      </c>
      <c r="D37" s="713">
        <f>IFERROR(VLOOKUP(D12,'Initial CP Conferences'!$B$10:$O$33,14,FALSE),"")</f>
        <v>90.492957746478879</v>
      </c>
      <c r="E37" s="527">
        <f>IFERROR(VLOOKUP(E12,'Initial CP Conferences'!$B$10:$O$33,14,FALSE),"")</f>
        <v>92.644135188866798</v>
      </c>
      <c r="F37" s="527">
        <f>IFERROR(VLOOKUP(F12,'Initial CP Conferences'!$B$10:$O$33,14,FALSE),"")</f>
        <v>68.178202068416866</v>
      </c>
      <c r="G37" s="527">
        <f>IFERROR(VLOOKUP(G12,'Initial CP Conferences'!$B$10:$O$33,14,FALSE),"")</f>
        <v>64.628410159924741</v>
      </c>
      <c r="H37" s="527">
        <f>IFERROR(VLOOKUP(H12,'Initial CP Conferences'!$B$10:$O$33,14,FALSE),"")</f>
        <v>55.750967288075977</v>
      </c>
      <c r="I37" s="527">
        <f>IFERROR(VLOOKUP(I12,'Initial CP Conferences'!$B$10:$O$33,14,FALSE),"")</f>
        <v>62.348178137651821</v>
      </c>
      <c r="J37" s="527">
        <f>IFERROR(VLOOKUP(J12,'Initial CP Conferences'!$B$10:$O$33,14,FALSE),"")</f>
        <v>49.592786503781262</v>
      </c>
      <c r="K37" s="527">
        <f>IFERROR(VLOOKUP(K12,'Initial CP Conferences'!$B$10:$O$33,14,FALSE),"")</f>
        <v>102.61538461538461</v>
      </c>
      <c r="L37" s="527">
        <f>IFERROR(VLOOKUP(L12,'Initial CP Conferences'!$B$10:$O$33,14,FALSE),"")</f>
        <v>38.22674418604651</v>
      </c>
      <c r="M37" s="527">
        <f>IFERROR(VLOOKUP(M12,'Initial CP Conferences'!$B$10:$O$33,14,FALSE),"")</f>
        <v>59.274469541409992</v>
      </c>
      <c r="N37" s="527">
        <f>IFERROR(VLOOKUP(N12,'Initial CP Conferences'!$B$10:$O$33,14,FALSE),"")</f>
        <v>77.168949771689498</v>
      </c>
      <c r="O37" s="527">
        <f>IFERROR(VLOOKUP(O12,'Initial CP Conferences'!$B$10:$O$33,14,FALSE),"")</f>
        <v>86.756756756756758</v>
      </c>
      <c r="P37" s="527">
        <f>IFERROR(VLOOKUP(P12,'Initial CP Conferences'!$B$10:$O$33,14,FALSE),"")</f>
        <v>90.023201856148489</v>
      </c>
      <c r="Q37" s="527">
        <f>IFERROR(VLOOKUP(Q12,'Initial CP Conferences'!$B$10:$O$33,14,FALSE),"")</f>
        <v>27.158273381294961</v>
      </c>
      <c r="R37" s="527">
        <f>IFERROR(VLOOKUP(R12,'Initial CP Conferences'!$B$10:$O$33,14,FALSE),"")</f>
        <v>137.03703703703704</v>
      </c>
      <c r="S37" s="527">
        <f>IFERROR(VLOOKUP(S12,'Initial CP Conferences'!$B$10:$O$33,14,FALSE),"")</f>
        <v>32.448824867323729</v>
      </c>
      <c r="T37" s="527">
        <f>IFERROR(VLOOKUP(T12,'Initial CP Conferences'!$B$10:$O$33,14,FALSE),"")</f>
        <v>55.158730158730158</v>
      </c>
      <c r="U37" s="527">
        <f>IFERROR(VLOOKUP(U12,'Initial CP Conferences'!$B$10:$O$33,14,FALSE),"")</f>
        <v>121.484375</v>
      </c>
      <c r="V37" s="527">
        <f>IFERROR(VLOOKUP(V12,'Initial CP Conferences'!$B$10:$O$33,14,FALSE),"")</f>
        <v>60.112359550561798</v>
      </c>
      <c r="W37" s="527">
        <f>IFERROR(VLOOKUP(W12,'Initial CP Conferences'!$B$10:$O$33,14,FALSE),"")</f>
        <v>76.093128904031801</v>
      </c>
      <c r="X37" s="527">
        <f>IFERROR(VLOOKUP(X12,'Initial CP Conferences'!$B$10:$O$33,14,FALSE),"")</f>
        <v>74.639769452449571</v>
      </c>
      <c r="Y37" s="714">
        <f>IFERROR(VLOOKUP(Y12,'Initial CP Conferences'!$B$10:$O$33,14,FALSE),"")</f>
        <v>50.990099009900995</v>
      </c>
      <c r="Z37" s="1228">
        <f>IFERROR(VLOOKUP(Z12,'Initial CP Conferences'!$B$10:$O$33,14,FALSE),"")</f>
        <v>61.598618728417634</v>
      </c>
      <c r="AA37" s="1506">
        <f>IFERROR(VLOOKUP(AA12,'Initial CP Conferences'!$B$10:$O$33,14,FALSE),"")</f>
        <v>64.43161781829069</v>
      </c>
      <c r="AB37" s="528"/>
      <c r="AC37" s="772"/>
      <c r="AD37" s="529"/>
      <c r="AE37" s="1623"/>
      <c r="AF37" s="1623"/>
      <c r="AG37" s="1623"/>
      <c r="AH37" s="1623"/>
      <c r="AI37" s="1623"/>
      <c r="AJ37" s="1623"/>
      <c r="AK37" s="1623"/>
      <c r="AL37" s="1623"/>
      <c r="AM37" s="1623"/>
      <c r="AN37" s="1623"/>
      <c r="AO37" s="1623"/>
      <c r="AP37" s="1623"/>
      <c r="AQ37" s="1623"/>
      <c r="AR37" s="1623"/>
      <c r="AS37" s="1623"/>
      <c r="AT37" s="1623"/>
      <c r="AU37" s="1623"/>
      <c r="AV37" s="1623"/>
      <c r="AW37" s="1623"/>
      <c r="AX37" s="1623"/>
      <c r="AY37" s="1623"/>
      <c r="AZ37" s="1623"/>
      <c r="BA37" s="1623"/>
      <c r="BB37" s="1624">
        <f t="shared" si="1"/>
        <v>26</v>
      </c>
      <c r="BC37" s="1624"/>
    </row>
    <row r="38" spans="1:55" s="470" customFormat="1" ht="21.95" customHeight="1" thickBot="1" x14ac:dyDescent="0.25">
      <c r="A38" s="525"/>
      <c r="B38" s="1656"/>
      <c r="C38" s="1225" t="str">
        <f>"Number of Initial CP Conferences as a percentage of Section 47 Enquiries in the "&amp;Sheet1!$G$3</f>
        <v>Number of Initial CP Conferences as a percentage of Section 47 Enquiries in the Year ending 31st March</v>
      </c>
      <c r="D38" s="718">
        <f>IFERROR(VLOOKUP(D12,'Initial CP Conferences'!$B$112:$H$135,7,FALSE),"")</f>
        <v>0.3141809290953545</v>
      </c>
      <c r="E38" s="534">
        <f>IFERROR(VLOOKUP(E12,'Initial CP Conferences'!$B$112:$H$135,7,FALSE),"")</f>
        <v>0.55213270142180093</v>
      </c>
      <c r="F38" s="534">
        <f>IFERROR(VLOOKUP(F12,'Initial CP Conferences'!$B$112:$H$135,7,FALSE),"")</f>
        <v>0.35501242750621376</v>
      </c>
      <c r="G38" s="534">
        <f>IFERROR(VLOOKUP(G12,'Initial CP Conferences'!$B$112:$H$135,7,FALSE),"")</f>
        <v>0.5161532682193839</v>
      </c>
      <c r="H38" s="534">
        <f>IFERROR(VLOOKUP(H12,'Initial CP Conferences'!$B$112:$H$135,7,FALSE),"")</f>
        <v>0.31479642502482624</v>
      </c>
      <c r="I38" s="534">
        <f>IFERROR(VLOOKUP(I12,'Initial CP Conferences'!$B$112:$H$135,7,FALSE),"")</f>
        <v>0.24024960998439937</v>
      </c>
      <c r="J38" s="534">
        <f>IFERROR(VLOOKUP(J12,'Initial CP Conferences'!$B$112:$H$135,7,FALSE),"")</f>
        <v>0.25778651345630482</v>
      </c>
      <c r="K38" s="534">
        <f>IFERROR(VLOOKUP(K12,'Initial CP Conferences'!$B$112:$H$135,7,FALSE),"")</f>
        <v>0.37619853355893967</v>
      </c>
      <c r="L38" s="534">
        <f>IFERROR(VLOOKUP(L12,'Initial CP Conferences'!$B$112:$H$135,7,FALSE),"")</f>
        <v>0.32190942472460221</v>
      </c>
      <c r="M38" s="534">
        <f>IFERROR(VLOOKUP(M12,'Initial CP Conferences'!$B$112:$H$135,7,FALSE),"")</f>
        <v>0.45459317585301839</v>
      </c>
      <c r="N38" s="534">
        <f>IFERROR(VLOOKUP(N12,'Initial CP Conferences'!$B$112:$H$135,7,FALSE),"")</f>
        <v>0.26120556414219476</v>
      </c>
      <c r="O38" s="534">
        <f>IFERROR(VLOOKUP(O12,'Initial CP Conferences'!$B$112:$H$135,7,FALSE),"")</f>
        <v>0.37109826589595374</v>
      </c>
      <c r="P38" s="534">
        <f>IFERROR(VLOOKUP(P12,'Initial CP Conferences'!$B$112:$H$135,7,FALSE),"")</f>
        <v>0.29961389961389961</v>
      </c>
      <c r="Q38" s="534">
        <f>IFERROR(VLOOKUP(Q12,'Initial CP Conferences'!$B$112:$H$135,7,FALSE),"")</f>
        <v>0.32719393282773562</v>
      </c>
      <c r="R38" s="534">
        <f>IFERROR(VLOOKUP(R12,'Initial CP Conferences'!$B$112:$H$135,7,FALSE),"")</f>
        <v>0.33223062381852553</v>
      </c>
      <c r="S38" s="534">
        <f>IFERROR(VLOOKUP(S12,'Initial CP Conferences'!$B$112:$H$135,7,FALSE),"")</f>
        <v>0.3220466516177577</v>
      </c>
      <c r="T38" s="534">
        <f>IFERROR(VLOOKUP(T12,'Initial CP Conferences'!$B$112:$H$135,7,FALSE),"")</f>
        <v>0.26526717557251911</v>
      </c>
      <c r="U38" s="534">
        <f>IFERROR(VLOOKUP(U12,'Initial CP Conferences'!$B$112:$H$135,7,FALSE),"")</f>
        <v>0.38537794299876083</v>
      </c>
      <c r="V38" s="534">
        <f>IFERROR(VLOOKUP(V12,'Initial CP Conferences'!$B$112:$H$135,7,FALSE),"")</f>
        <v>0.41392649903288203</v>
      </c>
      <c r="W38" s="534">
        <f>IFERROR(VLOOKUP(W12,'Initial CP Conferences'!$B$112:$H$135,7,FALSE),"")</f>
        <v>0.43506493506493504</v>
      </c>
      <c r="X38" s="534">
        <f>IFERROR(VLOOKUP(X12,'Initial CP Conferences'!$B$112:$H$135,7,FALSE),"")</f>
        <v>0.43383584589614738</v>
      </c>
      <c r="Y38" s="719">
        <f>IFERROR(VLOOKUP(Y12,'Initial CP Conferences'!$B$112:$H$135,7,FALSE),"")</f>
        <v>0.31692307692307692</v>
      </c>
      <c r="Z38" s="1625">
        <f>IFERROR(VLOOKUP(Z12,'Initial CP Conferences'!$B$112:$H$135,7,FALSE),"")</f>
        <v>0.34401588201928529</v>
      </c>
      <c r="AA38" s="1626">
        <f>IFERROR(VLOOKUP(AA12,'Initial CP Conferences'!$B$112:$H$135,7,FALSE),"")</f>
        <v>0.38542288557213933</v>
      </c>
      <c r="AB38" s="528"/>
      <c r="AC38" s="772"/>
      <c r="AD38" s="529"/>
      <c r="AE38" s="1623"/>
      <c r="AF38" s="1623"/>
      <c r="AG38" s="1623"/>
      <c r="AH38" s="1623"/>
      <c r="AI38" s="1623"/>
      <c r="AJ38" s="1623"/>
      <c r="AK38" s="1623"/>
      <c r="AL38" s="1623"/>
      <c r="AM38" s="1623"/>
      <c r="AN38" s="1623"/>
      <c r="AO38" s="1623"/>
      <c r="AP38" s="1623"/>
      <c r="AQ38" s="1623"/>
      <c r="AR38" s="1623"/>
      <c r="AS38" s="1623"/>
      <c r="AT38" s="1623"/>
      <c r="AU38" s="1623"/>
      <c r="AV38" s="1623"/>
      <c r="AW38" s="1623"/>
      <c r="AX38" s="1623"/>
      <c r="AY38" s="1623"/>
      <c r="AZ38" s="1623"/>
      <c r="BA38" s="1623"/>
      <c r="BB38" s="1624">
        <f t="shared" si="1"/>
        <v>27</v>
      </c>
      <c r="BC38" s="1624"/>
    </row>
    <row r="39" spans="1:55" s="470" customFormat="1" ht="43.5" customHeight="1" x14ac:dyDescent="0.2">
      <c r="A39" s="1671" t="str">
        <f>" "</f>
        <v xml:space="preserve"> </v>
      </c>
      <c r="B39" s="1672"/>
      <c r="C39" s="1672"/>
      <c r="D39" s="1672"/>
      <c r="E39" s="1672"/>
      <c r="F39" s="1672"/>
      <c r="G39" s="1672"/>
      <c r="H39" s="1672"/>
      <c r="I39" s="1672"/>
      <c r="J39" s="1672"/>
      <c r="K39" s="1672"/>
      <c r="L39" s="1672"/>
      <c r="M39" s="1672"/>
      <c r="N39" s="1672"/>
      <c r="O39" s="1672"/>
      <c r="P39" s="1672"/>
      <c r="Q39" s="1672"/>
      <c r="R39" s="1672"/>
      <c r="S39" s="1672"/>
      <c r="T39" s="1672"/>
      <c r="U39" s="1672"/>
      <c r="V39" s="1672"/>
      <c r="W39" s="1672"/>
      <c r="X39" s="1672"/>
      <c r="Y39" s="1672"/>
      <c r="Z39" s="1672"/>
      <c r="AA39" s="1672"/>
      <c r="AB39" s="1673"/>
      <c r="AC39" s="773"/>
      <c r="AD39" s="529"/>
      <c r="AE39" s="1623"/>
      <c r="AF39" s="1623"/>
      <c r="AG39" s="1623"/>
      <c r="AH39" s="1623"/>
      <c r="AI39" s="1623"/>
      <c r="AJ39" s="1623"/>
      <c r="AK39" s="1623"/>
      <c r="AL39" s="1623"/>
      <c r="AM39" s="1623"/>
      <c r="AN39" s="1623"/>
      <c r="AO39" s="1623"/>
      <c r="AP39" s="1623"/>
      <c r="AQ39" s="1623"/>
      <c r="AR39" s="1623"/>
      <c r="AS39" s="1623"/>
      <c r="AT39" s="1623"/>
      <c r="AU39" s="1623"/>
      <c r="AV39" s="1623"/>
      <c r="AW39" s="1623"/>
      <c r="AX39" s="1623"/>
      <c r="AY39" s="1623"/>
      <c r="AZ39" s="1623"/>
      <c r="BA39" s="1623"/>
      <c r="BB39" s="1624">
        <f t="shared" si="1"/>
        <v>28</v>
      </c>
      <c r="BC39" s="1624"/>
    </row>
    <row r="40" spans="1:55" s="470" customFormat="1" ht="9.6" customHeight="1" thickBot="1" x14ac:dyDescent="0.25">
      <c r="A40" s="666"/>
      <c r="B40" s="667"/>
      <c r="C40" s="668"/>
      <c r="D40" s="669"/>
      <c r="E40" s="669"/>
      <c r="F40" s="669"/>
      <c r="G40" s="669"/>
      <c r="H40" s="669"/>
      <c r="I40" s="669"/>
      <c r="J40" s="669"/>
      <c r="K40" s="669"/>
      <c r="L40" s="669"/>
      <c r="M40" s="669"/>
      <c r="N40" s="669"/>
      <c r="O40" s="669"/>
      <c r="P40" s="669"/>
      <c r="Q40" s="669"/>
      <c r="R40" s="669"/>
      <c r="S40" s="669"/>
      <c r="T40" s="669"/>
      <c r="U40" s="669"/>
      <c r="V40" s="669"/>
      <c r="W40" s="669"/>
      <c r="X40" s="669"/>
      <c r="Y40" s="669"/>
      <c r="Z40" s="670"/>
      <c r="AA40" s="670"/>
      <c r="AB40" s="671"/>
      <c r="AC40" s="772"/>
      <c r="AD40" s="529"/>
      <c r="AE40" s="1623"/>
      <c r="AF40" s="1623"/>
      <c r="AG40" s="1623"/>
      <c r="AH40" s="1623"/>
      <c r="AI40" s="1623"/>
      <c r="AJ40" s="1623"/>
      <c r="AK40" s="1623"/>
      <c r="AL40" s="1623"/>
      <c r="AM40" s="1623"/>
      <c r="AN40" s="1623"/>
      <c r="AO40" s="1623"/>
      <c r="AP40" s="1623"/>
      <c r="AQ40" s="1623"/>
      <c r="AR40" s="1623"/>
      <c r="AS40" s="1623"/>
      <c r="AT40" s="1623"/>
      <c r="AU40" s="1623"/>
      <c r="AV40" s="1623"/>
      <c r="AW40" s="1623"/>
      <c r="AX40" s="1623"/>
      <c r="AY40" s="1623"/>
      <c r="AZ40" s="1623"/>
      <c r="BA40" s="1623"/>
      <c r="BB40" s="1624">
        <f t="shared" si="1"/>
        <v>29</v>
      </c>
      <c r="BC40" s="1624"/>
    </row>
    <row r="41" spans="1:55" s="524" customFormat="1" ht="57.6" customHeight="1" x14ac:dyDescent="0.2">
      <c r="A41" s="521"/>
      <c r="B41" s="1674" t="s">
        <v>641</v>
      </c>
      <c r="C41" s="1674"/>
      <c r="D41" s="1675" t="s">
        <v>0</v>
      </c>
      <c r="E41" s="1663" t="s">
        <v>31</v>
      </c>
      <c r="F41" s="1663" t="s">
        <v>8</v>
      </c>
      <c r="G41" s="1663" t="s">
        <v>4</v>
      </c>
      <c r="H41" s="1663" t="s">
        <v>6</v>
      </c>
      <c r="I41" s="1663" t="s">
        <v>1</v>
      </c>
      <c r="J41" s="1663" t="s">
        <v>9</v>
      </c>
      <c r="K41" s="1663" t="s">
        <v>2</v>
      </c>
      <c r="L41" s="1663" t="s">
        <v>10</v>
      </c>
      <c r="M41" s="1663" t="s">
        <v>11</v>
      </c>
      <c r="N41" s="1663" t="s">
        <v>12</v>
      </c>
      <c r="O41" s="1663" t="s">
        <v>3</v>
      </c>
      <c r="P41" s="1663" t="s">
        <v>13</v>
      </c>
      <c r="Q41" s="1663" t="s">
        <v>95</v>
      </c>
      <c r="R41" s="1663" t="s">
        <v>14</v>
      </c>
      <c r="S41" s="1663" t="s">
        <v>7</v>
      </c>
      <c r="T41" s="1663" t="s">
        <v>113</v>
      </c>
      <c r="U41" s="1663" t="s">
        <v>114</v>
      </c>
      <c r="V41" s="1663" t="s">
        <v>15</v>
      </c>
      <c r="W41" s="1663" t="s">
        <v>5</v>
      </c>
      <c r="X41" s="1663" t="s">
        <v>30</v>
      </c>
      <c r="Y41" s="1669" t="s">
        <v>16</v>
      </c>
      <c r="Z41" s="1667" t="s">
        <v>74</v>
      </c>
      <c r="AA41" s="1665" t="s">
        <v>127</v>
      </c>
      <c r="AB41" s="522"/>
      <c r="AC41" s="771"/>
      <c r="AD41" s="523"/>
      <c r="AE41" s="1621" t="s">
        <v>211</v>
      </c>
      <c r="AF41" s="1621" t="s">
        <v>0</v>
      </c>
      <c r="AG41" s="1621" t="s">
        <v>31</v>
      </c>
      <c r="AH41" s="1621" t="s">
        <v>8</v>
      </c>
      <c r="AI41" s="1621" t="s">
        <v>4</v>
      </c>
      <c r="AJ41" s="1621" t="s">
        <v>6</v>
      </c>
      <c r="AK41" s="1621" t="s">
        <v>1</v>
      </c>
      <c r="AL41" s="1621" t="s">
        <v>9</v>
      </c>
      <c r="AM41" s="1621" t="s">
        <v>2</v>
      </c>
      <c r="AN41" s="1621" t="s">
        <v>10</v>
      </c>
      <c r="AO41" s="1621" t="s">
        <v>11</v>
      </c>
      <c r="AP41" s="1621" t="s">
        <v>12</v>
      </c>
      <c r="AQ41" s="1621" t="s">
        <v>3</v>
      </c>
      <c r="AR41" s="1621" t="s">
        <v>13</v>
      </c>
      <c r="AS41" s="1621" t="s">
        <v>95</v>
      </c>
      <c r="AT41" s="1621" t="s">
        <v>14</v>
      </c>
      <c r="AU41" s="1621" t="s">
        <v>7</v>
      </c>
      <c r="AV41" s="1621" t="s">
        <v>113</v>
      </c>
      <c r="AW41" s="1621" t="s">
        <v>114</v>
      </c>
      <c r="AX41" s="1621" t="s">
        <v>15</v>
      </c>
      <c r="AY41" s="1621" t="s">
        <v>5</v>
      </c>
      <c r="AZ41" s="1621" t="s">
        <v>30</v>
      </c>
      <c r="BA41" s="1621" t="s">
        <v>16</v>
      </c>
      <c r="BB41" s="1624">
        <f t="shared" si="1"/>
        <v>30</v>
      </c>
      <c r="BC41" s="1622"/>
    </row>
    <row r="42" spans="1:55" s="524" customFormat="1" ht="11.1" customHeight="1" thickBot="1" x14ac:dyDescent="0.25">
      <c r="A42" s="521"/>
      <c r="B42" s="710" t="s">
        <v>212</v>
      </c>
      <c r="C42" s="710" t="s">
        <v>213</v>
      </c>
      <c r="D42" s="1676"/>
      <c r="E42" s="1664"/>
      <c r="F42" s="1664"/>
      <c r="G42" s="1664"/>
      <c r="H42" s="1664"/>
      <c r="I42" s="1664"/>
      <c r="J42" s="1664"/>
      <c r="K42" s="1664"/>
      <c r="L42" s="1664"/>
      <c r="M42" s="1664"/>
      <c r="N42" s="1664"/>
      <c r="O42" s="1664"/>
      <c r="P42" s="1664"/>
      <c r="Q42" s="1664"/>
      <c r="R42" s="1664"/>
      <c r="S42" s="1664"/>
      <c r="T42" s="1664"/>
      <c r="U42" s="1664"/>
      <c r="V42" s="1664"/>
      <c r="W42" s="1664"/>
      <c r="X42" s="1664"/>
      <c r="Y42" s="1670"/>
      <c r="Z42" s="1668"/>
      <c r="AA42" s="1666"/>
      <c r="AB42" s="522"/>
      <c r="AC42" s="771"/>
      <c r="AD42" s="523"/>
      <c r="AE42" s="1621"/>
      <c r="AF42" s="1621"/>
      <c r="AG42" s="1621"/>
      <c r="AH42" s="1621"/>
      <c r="AI42" s="1621"/>
      <c r="AJ42" s="1621"/>
      <c r="AK42" s="1621"/>
      <c r="AL42" s="1621"/>
      <c r="AM42" s="1621"/>
      <c r="AN42" s="1621"/>
      <c r="AO42" s="1621"/>
      <c r="AP42" s="1621"/>
      <c r="AQ42" s="1621"/>
      <c r="AR42" s="1621"/>
      <c r="AS42" s="1621"/>
      <c r="AT42" s="1621"/>
      <c r="AU42" s="1621"/>
      <c r="AV42" s="1621"/>
      <c r="AW42" s="1621"/>
      <c r="AX42" s="1621"/>
      <c r="AY42" s="1621"/>
      <c r="AZ42" s="1621"/>
      <c r="BA42" s="1621"/>
      <c r="BB42" s="1624">
        <f t="shared" si="1"/>
        <v>31</v>
      </c>
      <c r="BC42" s="1622"/>
    </row>
    <row r="43" spans="1:55" s="470" customFormat="1" ht="21.95" customHeight="1" thickBot="1" x14ac:dyDescent="0.25">
      <c r="A43" s="525"/>
      <c r="B43" s="1536" t="s">
        <v>231</v>
      </c>
      <c r="C43" s="533" t="s">
        <v>232</v>
      </c>
      <c r="D43" s="716">
        <f>IFERROR(VLOOKUP(D12,'Initial CP Conferences'!$B$148:$H$171,7,FALSE),"")</f>
        <v>0.77431906614785995</v>
      </c>
      <c r="E43" s="657">
        <f>IFERROR(VLOOKUP(E12,'Initial CP Conferences'!$B$148:$H$171,7,FALSE),"")</f>
        <v>0.89699570815450647</v>
      </c>
      <c r="F43" s="657">
        <f>IFERROR(VLOOKUP(F12,'Initial CP Conferences'!$B$148:$H$171,7,FALSE),"")</f>
        <v>0.7537922987164527</v>
      </c>
      <c r="G43" s="657">
        <f>IFERROR(VLOOKUP(G12,'Initial CP Conferences'!$B$148:$H$171,7,FALSE),"")</f>
        <v>0.81368267831149932</v>
      </c>
      <c r="H43" s="657">
        <f>IFERROR(VLOOKUP(H12,'Initial CP Conferences'!$B$148:$H$171,7,FALSE),"")</f>
        <v>0.77097791798107251</v>
      </c>
      <c r="I43" s="657">
        <f>IFERROR(VLOOKUP(I12,'Initial CP Conferences'!$B$148:$H$171,7,FALSE),"")</f>
        <v>0.83116883116883122</v>
      </c>
      <c r="J43" s="657">
        <f>IFERROR(VLOOKUP(J12,'Initial CP Conferences'!$B$148:$H$171,7,FALSE),"")</f>
        <v>0.86744868035190614</v>
      </c>
      <c r="K43" s="657">
        <f>IFERROR(VLOOKUP(K12,'Initial CP Conferences'!$B$148:$H$171,7,FALSE),"")</f>
        <v>0.73913043478260865</v>
      </c>
      <c r="L43" s="657">
        <f>IFERROR(VLOOKUP(L12,'Initial CP Conferences'!$B$148:$H$171,7,FALSE),"")</f>
        <v>0.90874524714828897</v>
      </c>
      <c r="M43" s="657">
        <f>IFERROR(VLOOKUP(M12,'Initial CP Conferences'!$B$148:$H$171,7,FALSE),"")</f>
        <v>0.78060046189376442</v>
      </c>
      <c r="N43" s="657">
        <f>IFERROR(VLOOKUP(N12,'Initial CP Conferences'!$B$148:$H$171,7,FALSE),"")</f>
        <v>0.86094674556213013</v>
      </c>
      <c r="O43" s="657">
        <f>IFERROR(VLOOKUP(O12,'Initial CP Conferences'!$B$148:$H$171,7,FALSE),"")</f>
        <v>0.78504672897196259</v>
      </c>
      <c r="P43" s="657">
        <f>IFERROR(VLOOKUP(P12,'Initial CP Conferences'!$B$148:$H$171,7,FALSE),"")</f>
        <v>0.40206185567010311</v>
      </c>
      <c r="Q43" s="657">
        <f>IFERROR(VLOOKUP(Q12,'Initial CP Conferences'!$B$148:$H$171,7,FALSE),"")</f>
        <v>0.9072847682119205</v>
      </c>
      <c r="R43" s="657">
        <f>IFERROR(VLOOKUP(R12,'Initial CP Conferences'!$B$148:$H$171,7,FALSE),"")</f>
        <v>0.55476529160739685</v>
      </c>
      <c r="S43" s="657">
        <f>IFERROR(VLOOKUP(S12,'Initial CP Conferences'!$B$148:$H$171,7,FALSE),"")</f>
        <v>0.82242990654205606</v>
      </c>
      <c r="T43" s="657">
        <f>IFERROR(VLOOKUP(T12,'Initial CP Conferences'!$B$148:$H$171,7,FALSE),"")</f>
        <v>0.93525179856115104</v>
      </c>
      <c r="U43" s="657">
        <f>IFERROR(VLOOKUP(U12,'Initial CP Conferences'!$B$148:$H$171,7,FALSE),"")</f>
        <v>0.71061093247588425</v>
      </c>
      <c r="V43" s="657">
        <f>IFERROR(VLOOKUP(V12,'Initial CP Conferences'!$B$148:$H$171,7,FALSE),"")</f>
        <v>0.84579439252336452</v>
      </c>
      <c r="W43" s="657">
        <f>IFERROR(VLOOKUP(W12,'Initial CP Conferences'!$B$148:$H$171,7,FALSE),"")</f>
        <v>0.60970149253731343</v>
      </c>
      <c r="X43" s="657">
        <f>IFERROR(VLOOKUP(X12,'Initial CP Conferences'!$B$148:$H$171,7,FALSE),"")</f>
        <v>0.5791505791505791</v>
      </c>
      <c r="Y43" s="717">
        <f>IFERROR(VLOOKUP(Y12,'Initial CP Conferences'!$B$148:$H$171,7,FALSE),"")</f>
        <v>0.87378640776699024</v>
      </c>
      <c r="Z43" s="1229">
        <f>IFERROR(VLOOKUP(Z12,'Initial CP Conferences'!$B$148:$H$171,7,FALSE),"")</f>
        <v>0.75927452596867273</v>
      </c>
      <c r="AA43" s="1510">
        <f>IFERROR(VLOOKUP(AA12,'Initial CP Conferences'!$B$148:$H$171,7,FALSE),"")</f>
        <v>0.77655866787143413</v>
      </c>
      <c r="AB43" s="528"/>
      <c r="AC43" s="772"/>
      <c r="AD43" s="529"/>
      <c r="AE43" s="1623"/>
      <c r="AF43" s="1623"/>
      <c r="AG43" s="1623"/>
      <c r="AH43" s="1623"/>
      <c r="AI43" s="1623"/>
      <c r="AJ43" s="1623"/>
      <c r="AK43" s="1623"/>
      <c r="AL43" s="1623"/>
      <c r="AM43" s="1623"/>
      <c r="AN43" s="1623"/>
      <c r="AO43" s="1623"/>
      <c r="AP43" s="1623"/>
      <c r="AQ43" s="1623"/>
      <c r="AR43" s="1623"/>
      <c r="AS43" s="1623"/>
      <c r="AT43" s="1623"/>
      <c r="AU43" s="1623"/>
      <c r="AV43" s="1623"/>
      <c r="AW43" s="1623"/>
      <c r="AX43" s="1623"/>
      <c r="AY43" s="1623"/>
      <c r="AZ43" s="1623"/>
      <c r="BA43" s="1623"/>
      <c r="BB43" s="1624">
        <f t="shared" si="1"/>
        <v>32</v>
      </c>
      <c r="BC43" s="1624"/>
    </row>
    <row r="44" spans="1:55" s="470" customFormat="1" ht="21.95" customHeight="1" x14ac:dyDescent="0.2">
      <c r="A44" s="525"/>
      <c r="B44" s="1657" t="s">
        <v>20</v>
      </c>
      <c r="C44" s="535" t="str">
        <f>"Children subject to a Child Protection Plan at "&amp;Sheet1!$H$3&amp;", Rate per 10,000 0-17 Year Olds"</f>
        <v>Children subject to a Child Protection Plan at 31st March, Rate per 10,000 0-17 Year Olds</v>
      </c>
      <c r="D44" s="713">
        <f>IFERROR(VLOOKUP(D12,'Child Protection Plans'!$B$10:$O$33,14,FALSE),"")</f>
        <v>42.95774647887324</v>
      </c>
      <c r="E44" s="527">
        <f>IFERROR(VLOOKUP(E12,'Child Protection Plans'!$B$10:$O$33,14,FALSE),"")</f>
        <v>66.600397614314119</v>
      </c>
      <c r="F44" s="527">
        <f>IFERROR(VLOOKUP(F12,'Child Protection Plans'!$B$10:$O$33,14,FALSE),"")</f>
        <v>45.743834526650758</v>
      </c>
      <c r="G44" s="527">
        <f>IFERROR(VLOOKUP(G12,'Child Protection Plans'!$B$10:$O$33,14,FALSE),"")</f>
        <v>50.423330197554094</v>
      </c>
      <c r="H44" s="527">
        <f>IFERROR(VLOOKUP(H12,'Child Protection Plans'!$B$10:$O$33,14,FALSE),"")</f>
        <v>32.993316918747801</v>
      </c>
      <c r="I44" s="527">
        <f>IFERROR(VLOOKUP(I12,'Child Protection Plans'!$B$10:$O$33,14,FALSE),"")</f>
        <v>51.012145748987855</v>
      </c>
      <c r="J44" s="527">
        <f>IFERROR(VLOOKUP(J12,'Child Protection Plans'!$B$10:$O$33,14,FALSE),"")</f>
        <v>38.7434554973822</v>
      </c>
      <c r="K44" s="527">
        <f>IFERROR(VLOOKUP(K12,'Child Protection Plans'!$B$10:$O$33,14,FALSE),"")</f>
        <v>71.230769230769226</v>
      </c>
      <c r="L44" s="527">
        <f>IFERROR(VLOOKUP(L12,'Child Protection Plans'!$B$10:$O$33,14,FALSE),"")</f>
        <v>19.186046511627907</v>
      </c>
      <c r="M44" s="527">
        <f>IFERROR(VLOOKUP(M12,'Child Protection Plans'!$B$10:$O$33,14,FALSE),"")</f>
        <v>37.166324435318273</v>
      </c>
      <c r="N44" s="527">
        <f>IFERROR(VLOOKUP(N12,'Child Protection Plans'!$B$10:$O$33,14,FALSE),"")</f>
        <v>46.347031963470322</v>
      </c>
      <c r="O44" s="527">
        <f>IFERROR(VLOOKUP(O12,'Child Protection Plans'!$B$10:$O$33,14,FALSE),"")</f>
        <v>60.54054054054054</v>
      </c>
      <c r="P44" s="527">
        <f>IFERROR(VLOOKUP(P12,'Child Protection Plans'!$B$10:$O$33,14,FALSE),"")</f>
        <v>69.837587006960561</v>
      </c>
      <c r="Q44" s="527">
        <f>IFERROR(VLOOKUP(Q12,'Child Protection Plans'!$B$10:$O$33,14,FALSE),"")</f>
        <v>25</v>
      </c>
      <c r="R44" s="527">
        <f>IFERROR(VLOOKUP(R12,'Child Protection Plans'!$B$10:$O$33,14,FALSE),"")</f>
        <v>77.192982456140356</v>
      </c>
      <c r="S44" s="527">
        <f>IFERROR(VLOOKUP(S12,'Child Protection Plans'!$B$10:$O$33,14,FALSE),"")</f>
        <v>25.966641394996209</v>
      </c>
      <c r="T44" s="527">
        <f>IFERROR(VLOOKUP(T12,'Child Protection Plans'!$B$10:$O$33,14,FALSE),"")</f>
        <v>33.531746031746032</v>
      </c>
      <c r="U44" s="527">
        <f>IFERROR(VLOOKUP(U12,'Child Protection Plans'!$B$10:$O$33,14,FALSE),"")</f>
        <v>75</v>
      </c>
      <c r="V44" s="527">
        <f>IFERROR(VLOOKUP(V12,'Child Protection Plans'!$B$10:$O$33,14,FALSE),"")</f>
        <v>29.775280898876403</v>
      </c>
      <c r="W44" s="527">
        <f>IFERROR(VLOOKUP(W12,'Child Protection Plans'!$B$10:$O$33,14,FALSE),"")</f>
        <v>46.337308347529813</v>
      </c>
      <c r="X44" s="527">
        <f>IFERROR(VLOOKUP(X12,'Child Protection Plans'!$B$10:$O$33,14,FALSE),"")</f>
        <v>37.752161383285298</v>
      </c>
      <c r="Y44" s="714">
        <f>IFERROR(VLOOKUP(Y12,'Child Protection Plans'!$B$10:$O$33,14,FALSE),"")</f>
        <v>35.148514851485146</v>
      </c>
      <c r="Z44" s="1228">
        <f>IFERROR(VLOOKUP(Z12,'Child Protection Plans'!$B$10:$O$33,14,FALSE),"")</f>
        <v>41.184237253707089</v>
      </c>
      <c r="AA44" s="1506">
        <f>IFERROR(VLOOKUP(AA12,'Child Protection Plans'!$B$10:$O$33,14,FALSE),"")</f>
        <v>42.840746531820749</v>
      </c>
      <c r="AB44" s="528"/>
      <c r="AC44" s="772"/>
      <c r="AD44" s="529"/>
      <c r="AE44" s="1623"/>
      <c r="AF44" s="1623"/>
      <c r="AG44" s="1623"/>
      <c r="AH44" s="1623"/>
      <c r="AI44" s="1623"/>
      <c r="AJ44" s="1623"/>
      <c r="AK44" s="1623"/>
      <c r="AL44" s="1623"/>
      <c r="AM44" s="1623"/>
      <c r="AN44" s="1623"/>
      <c r="AO44" s="1623"/>
      <c r="AP44" s="1623"/>
      <c r="AQ44" s="1623"/>
      <c r="AR44" s="1623"/>
      <c r="AS44" s="1623"/>
      <c r="AT44" s="1623"/>
      <c r="AU44" s="1623"/>
      <c r="AV44" s="1623"/>
      <c r="AW44" s="1623"/>
      <c r="AX44" s="1623"/>
      <c r="AY44" s="1623"/>
      <c r="AZ44" s="1623"/>
      <c r="BA44" s="1623"/>
      <c r="BB44" s="1624">
        <f t="shared" si="0"/>
        <v>33</v>
      </c>
      <c r="BC44" s="1624"/>
    </row>
    <row r="45" spans="1:55" s="470" customFormat="1" ht="21.95" customHeight="1" x14ac:dyDescent="0.2">
      <c r="A45" s="525"/>
      <c r="B45" s="1658"/>
      <c r="C45" s="1633" t="s">
        <v>785</v>
      </c>
      <c r="D45" s="728" t="str">
        <f>IFERROR(VLOOKUP(D12,'Child Protection Plans'!$B$112:$H$135,7,FALSE),"")</f>
        <v/>
      </c>
      <c r="E45" s="665">
        <f>IFERROR(VLOOKUP(E12,'Child Protection Plans'!$B$112:$H$135,7,FALSE),"")</f>
        <v>3.2835820895522387E-2</v>
      </c>
      <c r="F45" s="665">
        <f>IFERROR(VLOOKUP(F12,'Child Protection Plans'!$B$112:$H$135,7,FALSE),"")</f>
        <v>2.9565217391304348E-2</v>
      </c>
      <c r="G45" s="665">
        <f>IFERROR(VLOOKUP(G12,'Child Protection Plans'!$B$112:$H$135,7,FALSE),"")</f>
        <v>3.9179104477611942E-2</v>
      </c>
      <c r="H45" s="665">
        <f>IFERROR(VLOOKUP(H12,'Child Protection Plans'!$B$112:$H$135,7,FALSE),"")</f>
        <v>1.5991471215351813E-2</v>
      </c>
      <c r="I45" s="665" t="str">
        <f>IFERROR(VLOOKUP(I12,'Child Protection Plans'!$B$112:$H$135,7,FALSE),"")</f>
        <v/>
      </c>
      <c r="J45" s="665">
        <f>IFERROR(VLOOKUP(J12,'Child Protection Plans'!$B$112:$H$135,7,FALSE),"")</f>
        <v>2.6276276276276277E-2</v>
      </c>
      <c r="K45" s="665">
        <f>IFERROR(VLOOKUP(K12,'Child Protection Plans'!$B$112:$H$135,7,FALSE),"")</f>
        <v>1.9438444924406047E-2</v>
      </c>
      <c r="L45" s="665" t="str">
        <f>IFERROR(VLOOKUP(L12,'Child Protection Plans'!$B$112:$H$135,7,FALSE),"")</f>
        <v/>
      </c>
      <c r="M45" s="665">
        <f>IFERROR(VLOOKUP(M12,'Child Protection Plans'!$B$112:$H$135,7,FALSE),"")</f>
        <v>3.4990791896869246E-2</v>
      </c>
      <c r="N45" s="665">
        <f>IFERROR(VLOOKUP(N12,'Child Protection Plans'!$B$112:$H$135,7,FALSE),"")</f>
        <v>3.4482758620689655E-2</v>
      </c>
      <c r="O45" s="665">
        <f>IFERROR(VLOOKUP(O12,'Child Protection Plans'!$B$112:$H$135,7,FALSE),"")</f>
        <v>4.0178571428571432E-2</v>
      </c>
      <c r="P45" s="665" t="str">
        <f>IFERROR(VLOOKUP(P12,'Child Protection Plans'!$B$112:$H$135,7,FALSE),"")</f>
        <v/>
      </c>
      <c r="Q45" s="665" t="str">
        <f>IFERROR(VLOOKUP(Q12,'Child Protection Plans'!$B$112:$H$135,7,FALSE),"")</f>
        <v/>
      </c>
      <c r="R45" s="665">
        <f>IFERROR(VLOOKUP(R12,'Child Protection Plans'!$B$112:$H$135,7,FALSE),"")</f>
        <v>1.7676767676767676E-2</v>
      </c>
      <c r="S45" s="665">
        <f>IFERROR(VLOOKUP(S12,'Child Protection Plans'!$B$112:$H$135,7,FALSE),"")</f>
        <v>2.9197080291970802E-2</v>
      </c>
      <c r="T45" s="665" t="str">
        <f>IFERROR(VLOOKUP(T12,'Child Protection Plans'!$B$112:$H$135,7,FALSE),"")</f>
        <v/>
      </c>
      <c r="U45" s="665" t="str">
        <f>IFERROR(VLOOKUP(U12,'Child Protection Plans'!$B$112:$H$135,7,FALSE),"")</f>
        <v/>
      </c>
      <c r="V45" s="665" t="str">
        <f>IFERROR(VLOOKUP(V12,'Child Protection Plans'!$B$112:$H$135,7,FALSE),"")</f>
        <v/>
      </c>
      <c r="W45" s="665">
        <f>IFERROR(VLOOKUP(W12,'Child Protection Plans'!$B$112:$H$135,7,FALSE),"")</f>
        <v>9.8039215686274508E-3</v>
      </c>
      <c r="X45" s="665" t="str">
        <f>IFERROR(VLOOKUP(X12,'Child Protection Plans'!$B$112:$H$135,7,FALSE),"")</f>
        <v/>
      </c>
      <c r="Y45" s="729">
        <f>IFERROR(VLOOKUP(Y12,'Child Protection Plans'!$B$112:$H$135,7,FALSE),"")</f>
        <v>0</v>
      </c>
      <c r="Z45" s="1371">
        <f>IFERROR(VLOOKUP(Z12,'Child Protection Plans'!$B$112:$H$135,7,FALSE),"")</f>
        <v>2.4660912453760789E-2</v>
      </c>
      <c r="AA45" s="1511">
        <f>IFERROR(VLOOKUP(AA12,'Child Protection Plans'!$B$112:$H$135,7,FALSE),"")</f>
        <v>2.1355076684139003E-2</v>
      </c>
      <c r="AB45" s="528"/>
      <c r="AC45" s="772"/>
      <c r="AD45" s="529"/>
      <c r="AE45" s="1623"/>
      <c r="AF45" s="1623"/>
      <c r="AG45" s="1623"/>
      <c r="AH45" s="1623"/>
      <c r="AI45" s="1623"/>
      <c r="AJ45" s="1623"/>
      <c r="AK45" s="1623"/>
      <c r="AL45" s="1623"/>
      <c r="AM45" s="1623"/>
      <c r="AN45" s="1623"/>
      <c r="AO45" s="1623"/>
      <c r="AP45" s="1623"/>
      <c r="AQ45" s="1623"/>
      <c r="AR45" s="1623"/>
      <c r="AS45" s="1623"/>
      <c r="AT45" s="1623"/>
      <c r="AU45" s="1623"/>
      <c r="AV45" s="1623"/>
      <c r="AW45" s="1623"/>
      <c r="AX45" s="1623"/>
      <c r="AY45" s="1623"/>
      <c r="AZ45" s="1623"/>
      <c r="BA45" s="1623"/>
      <c r="BB45" s="1624">
        <f t="shared" si="0"/>
        <v>34</v>
      </c>
      <c r="BC45" s="1624"/>
    </row>
    <row r="46" spans="1:55" s="470" customFormat="1" ht="21.95" customHeight="1" x14ac:dyDescent="0.2">
      <c r="A46" s="525"/>
      <c r="B46" s="1658"/>
      <c r="C46" s="536" t="s">
        <v>233</v>
      </c>
      <c r="D46" s="715">
        <f>IFERROR(VLOOKUP(D12,'Child Protection Plans'!$B$184:$H$207,7,FALSE),"")</f>
        <v>0.98412698412698407</v>
      </c>
      <c r="E46" s="532">
        <f>IFERROR(VLOOKUP(E12,'Child Protection Plans'!$B$184:$H$207,7,FALSE),"")</f>
        <v>0.9719626168224299</v>
      </c>
      <c r="F46" s="532">
        <f>IFERROR(VLOOKUP(F12,'Child Protection Plans'!$B$184:$H$207,7,FALSE),"")</f>
        <v>0.97222222222222221</v>
      </c>
      <c r="G46" s="532">
        <f>IFERROR(VLOOKUP(G12,'Child Protection Plans'!$B$184:$H$207,7,FALSE),"")</f>
        <v>0.92650918635170598</v>
      </c>
      <c r="H46" s="532">
        <f>IFERROR(VLOOKUP(H12,'Child Protection Plans'!$B$184:$H$207,7,FALSE),"")</f>
        <v>0.80879864636209808</v>
      </c>
      <c r="I46" s="532">
        <f>IFERROR(VLOOKUP(I12,'Child Protection Plans'!$B$184:$H$207,7,FALSE),"")</f>
        <v>0.92682926829268297</v>
      </c>
      <c r="J46" s="532">
        <f>IFERROR(VLOOKUP(J12,'Child Protection Plans'!$B$184:$H$207,7,FALSE),"")</f>
        <v>1</v>
      </c>
      <c r="K46" s="532">
        <f>IFERROR(VLOOKUP(K12,'Child Protection Plans'!$B$184:$H$207,7,FALSE),"")</f>
        <v>1</v>
      </c>
      <c r="L46" s="532">
        <f>IFERROR(VLOOKUP(L12,'Child Protection Plans'!$B$184:$H$207,7,FALSE),"")</f>
        <v>0.93548387096774188</v>
      </c>
      <c r="M46" s="532">
        <f>IFERROR(VLOOKUP(M12,'Child Protection Plans'!$B$184:$H$207,7,FALSE),"")</f>
        <v>0.75409836065573765</v>
      </c>
      <c r="N46" s="532">
        <f>IFERROR(VLOOKUP(N12,'Child Protection Plans'!$B$184:$H$207,7,FALSE),"")</f>
        <v>1</v>
      </c>
      <c r="O46" s="532">
        <f>IFERROR(VLOOKUP(O12,'Child Protection Plans'!$B$184:$H$207,7,FALSE),"")</f>
        <v>0.69064748201438853</v>
      </c>
      <c r="P46" s="532">
        <f>IFERROR(VLOOKUP(P12,'Child Protection Plans'!$B$184:$H$207,7,FALSE),"")</f>
        <v>0.70108695652173914</v>
      </c>
      <c r="Q46" s="532">
        <f>IFERROR(VLOOKUP(Q12,'Child Protection Plans'!$B$184:$H$207,7,FALSE),"")</f>
        <v>0.9061032863849765</v>
      </c>
      <c r="R46" s="532">
        <f>IFERROR(VLOOKUP(R12,'Child Protection Plans'!$B$184:$H$207,7,FALSE),"")</f>
        <v>0.65048543689320393</v>
      </c>
      <c r="S46" s="532">
        <f>IFERROR(VLOOKUP(S12,'Child Protection Plans'!$B$184:$H$207,7,FALSE),"")</f>
        <v>0.93176972281449888</v>
      </c>
      <c r="T46" s="532">
        <f>IFERROR(VLOOKUP(T12,'Child Protection Plans'!$B$184:$H$207,7,FALSE),"")</f>
        <v>0.98165137614678899</v>
      </c>
      <c r="U46" s="532">
        <f>IFERROR(VLOOKUP(U12,'Child Protection Plans'!$B$184:$H$207,7,FALSE),"")</f>
        <v>0.69724770642201839</v>
      </c>
      <c r="V46" s="532">
        <f>IFERROR(VLOOKUP(V12,'Child Protection Plans'!$B$184:$H$207,7,FALSE),"")</f>
        <v>1</v>
      </c>
      <c r="W46" s="532">
        <f>IFERROR(VLOOKUP(W12,'Child Protection Plans'!$B$184:$H$207,7,FALSE),"")</f>
        <v>0.86443661971830987</v>
      </c>
      <c r="X46" s="532">
        <f>IFERROR(VLOOKUP(X12,'Child Protection Plans'!$B$184:$H$207,7,FALSE),"")</f>
        <v>0.81176470588235294</v>
      </c>
      <c r="Y46" s="658">
        <f>IFERROR(VLOOKUP(Y12,'Child Protection Plans'!$B$184:$H$207,7,FALSE),"")</f>
        <v>1</v>
      </c>
      <c r="Z46" s="1230">
        <f>IFERROR(VLOOKUP(Z12,'Child Protection Plans'!$B$184:$H$207,7,FALSE),"")</f>
        <v>0.89557522123893807</v>
      </c>
      <c r="AA46" s="1507">
        <f>IFERROR(VLOOKUP(AA12,'Child Protection Plans'!$B$184:$H$207,7,FALSE),"")</f>
        <v>0.91481481481481486</v>
      </c>
      <c r="AB46" s="528"/>
      <c r="AC46" s="772"/>
      <c r="AD46" s="529"/>
      <c r="AE46" s="1623"/>
      <c r="AF46" s="1623"/>
      <c r="AG46" s="1623"/>
      <c r="AH46" s="1623"/>
      <c r="AI46" s="1623"/>
      <c r="AJ46" s="1623"/>
      <c r="AK46" s="1623"/>
      <c r="AL46" s="1623"/>
      <c r="AM46" s="1623"/>
      <c r="AN46" s="1623"/>
      <c r="AO46" s="1623"/>
      <c r="AP46" s="1623"/>
      <c r="AQ46" s="1623"/>
      <c r="AR46" s="1623"/>
      <c r="AS46" s="1623"/>
      <c r="AT46" s="1623"/>
      <c r="AU46" s="1623"/>
      <c r="AV46" s="1623"/>
      <c r="AW46" s="1623"/>
      <c r="AX46" s="1623"/>
      <c r="AY46" s="1623"/>
      <c r="AZ46" s="1623"/>
      <c r="BA46" s="1623"/>
      <c r="BB46" s="1624">
        <f t="shared" si="0"/>
        <v>35</v>
      </c>
      <c r="BC46" s="1624"/>
    </row>
    <row r="47" spans="1:55" s="470" customFormat="1" ht="21.95" customHeight="1" x14ac:dyDescent="0.2">
      <c r="A47" s="525"/>
      <c r="B47" s="1658"/>
      <c r="C47" s="536" t="s">
        <v>234</v>
      </c>
      <c r="D47" s="715">
        <f>IFERROR(VLOOKUP(D12,'Child Protection Plans'!$B$220:$H$243,7,FALSE),"")</f>
        <v>0</v>
      </c>
      <c r="E47" s="532">
        <f>IFERROR(VLOOKUP(E12,'Child Protection Plans'!$B$220:$H$243,7,FALSE),"")</f>
        <v>4.3010752688172046E-2</v>
      </c>
      <c r="F47" s="532">
        <f>IFERROR(VLOOKUP(F12,'Child Protection Plans'!$B$220:$H$243,7,FALSE),"")</f>
        <v>4.0221914008321778E-2</v>
      </c>
      <c r="G47" s="532">
        <f>IFERROR(VLOOKUP(G12,'Child Protection Plans'!$B$220:$H$243,7,FALSE),"")</f>
        <v>8.5346215780998394E-2</v>
      </c>
      <c r="H47" s="532">
        <f>IFERROR(VLOOKUP(H12,'Child Protection Plans'!$B$220:$H$243,7,FALSE),"")</f>
        <v>3.9307128580946038E-2</v>
      </c>
      <c r="I47" s="532" t="str">
        <f>IFERROR(VLOOKUP(I12,'Child Protection Plans'!$B$220:$H$243,7,FALSE),"")</f>
        <v/>
      </c>
      <c r="J47" s="532">
        <f>IFERROR(VLOOKUP(J12,'Child Protection Plans'!$B$220:$H$243,7,FALSE),"")</f>
        <v>5.7200538358008077E-2</v>
      </c>
      <c r="K47" s="532">
        <f>IFERROR(VLOOKUP(K12,'Child Protection Plans'!$B$220:$H$243,7,FALSE),"")</f>
        <v>4.6315789473684213E-2</v>
      </c>
      <c r="L47" s="532" t="str">
        <f>IFERROR(VLOOKUP(L12,'Child Protection Plans'!$B$220:$H$243,7,FALSE),"")</f>
        <v/>
      </c>
      <c r="M47" s="532">
        <f>IFERROR(VLOOKUP(M12,'Child Protection Plans'!$B$220:$H$243,7,FALSE),"")</f>
        <v>6.6914498141263934E-2</v>
      </c>
      <c r="N47" s="532">
        <f>IFERROR(VLOOKUP(N12,'Child Protection Plans'!$B$220:$H$243,7,FALSE),"")</f>
        <v>2.4054982817869417E-2</v>
      </c>
      <c r="O47" s="532">
        <f>IFERROR(VLOOKUP(O12,'Child Protection Plans'!$B$220:$H$243,7,FALSE),"")</f>
        <v>5.4151624548736461E-2</v>
      </c>
      <c r="P47" s="532">
        <f>IFERROR(VLOOKUP(P12,'Child Protection Plans'!$B$220:$H$243,7,FALSE),"")</f>
        <v>5.128205128205128E-2</v>
      </c>
      <c r="Q47" s="532">
        <f>IFERROR(VLOOKUP(Q12,'Child Protection Plans'!$B$220:$H$243,7,FALSE),"")</f>
        <v>4.8223350253807105E-2</v>
      </c>
      <c r="R47" s="532">
        <f>IFERROR(VLOOKUP(R12,'Child Protection Plans'!$B$220:$H$243,7,FALSE),"")</f>
        <v>2.9748283752860413E-2</v>
      </c>
      <c r="S47" s="532">
        <f>IFERROR(VLOOKUP(S12,'Child Protection Plans'!$B$220:$H$243,7,FALSE),"")</f>
        <v>6.9214876033057857E-2</v>
      </c>
      <c r="T47" s="532">
        <f>IFERROR(VLOOKUP(T12,'Child Protection Plans'!$B$220:$H$243,7,FALSE),"")</f>
        <v>6.4516129032258063E-2</v>
      </c>
      <c r="U47" s="532">
        <f>IFERROR(VLOOKUP(U12,'Child Protection Plans'!$B$220:$H$243,7,FALSE),"")</f>
        <v>0</v>
      </c>
      <c r="V47" s="532" t="str">
        <f>IFERROR(VLOOKUP(V12,'Child Protection Plans'!$B$220:$H$243,7,FALSE),"")</f>
        <v/>
      </c>
      <c r="W47" s="532">
        <f>IFERROR(VLOOKUP(W12,'Child Protection Plans'!$B$220:$H$243,7,FALSE),"")</f>
        <v>5.8016877637130801E-2</v>
      </c>
      <c r="X47" s="532">
        <f>IFERROR(VLOOKUP(X12,'Child Protection Plans'!$B$220:$H$243,7,FALSE),"")</f>
        <v>4.6511627906976744E-2</v>
      </c>
      <c r="Y47" s="658" t="str">
        <f>IFERROR(VLOOKUP(Y12,'Child Protection Plans'!$B$220:$H$243,7,FALSE),"")</f>
        <v/>
      </c>
      <c r="Z47" s="1230">
        <f>IFERROR(VLOOKUP(Z12,'Child Protection Plans'!$B$220:$H$243,7,FALSE),"")</f>
        <v>5.0632911392405063E-2</v>
      </c>
      <c r="AA47" s="1507">
        <f>IFERROR(VLOOKUP(AA12,'Child Protection Plans'!$B$220:$H$243,7,FALSE),"")</f>
        <v>3.5836941914289981E-2</v>
      </c>
      <c r="AB47" s="528"/>
      <c r="AC47" s="772"/>
      <c r="AD47" s="529"/>
      <c r="AE47" s="1623"/>
      <c r="AF47" s="1623"/>
      <c r="AG47" s="1623"/>
      <c r="AH47" s="1623"/>
      <c r="AI47" s="1623"/>
      <c r="AJ47" s="1623"/>
      <c r="AK47" s="1623"/>
      <c r="AL47" s="1623"/>
      <c r="AM47" s="1623"/>
      <c r="AN47" s="1623"/>
      <c r="AO47" s="1623"/>
      <c r="AP47" s="1623"/>
      <c r="AQ47" s="1623"/>
      <c r="AR47" s="1623"/>
      <c r="AS47" s="1623"/>
      <c r="AT47" s="1623"/>
      <c r="AU47" s="1623"/>
      <c r="AV47" s="1623"/>
      <c r="AW47" s="1623"/>
      <c r="AX47" s="1623"/>
      <c r="AY47" s="1623"/>
      <c r="AZ47" s="1623"/>
      <c r="BA47" s="1623"/>
      <c r="BB47" s="1624">
        <f t="shared" si="0"/>
        <v>36</v>
      </c>
      <c r="BC47" s="1624"/>
    </row>
    <row r="48" spans="1:55" s="470" customFormat="1" ht="21.95" customHeight="1" thickBot="1" x14ac:dyDescent="0.25">
      <c r="A48" s="525"/>
      <c r="B48" s="1658"/>
      <c r="C48" s="536" t="str">
        <f>"% of children who became the subject of a CP Plan for a second or subsequent time (CP Plans started in "&amp;Sheet1!$G$3&amp;")"</f>
        <v>% of children who became the subject of a CP Plan for a second or subsequent time (CP Plans started in Year ending 31st March)</v>
      </c>
      <c r="D48" s="715">
        <f>IFERROR(VLOOKUP(D12,'Child Protection Plans'!$B$256:$H$279,7,FALSE),"")</f>
        <v>0.2391304347826087</v>
      </c>
      <c r="E48" s="532">
        <f>IFERROR(VLOOKUP(E12,'Child Protection Plans'!$B$256:$H$279,7,FALSE),"")</f>
        <v>0.26785714285714285</v>
      </c>
      <c r="F48" s="532">
        <f>IFERROR(VLOOKUP(F12,'Child Protection Plans'!$B$256:$H$279,7,FALSE),"")</f>
        <v>0.24523160762942781</v>
      </c>
      <c r="G48" s="532">
        <f>IFERROR(VLOOKUP(G12,'Child Protection Plans'!$B$256:$H$279,7,FALSE),"")</f>
        <v>0.25042301184433163</v>
      </c>
      <c r="H48" s="532">
        <f>IFERROR(VLOOKUP(H12,'Child Protection Plans'!$B$256:$H$279,7,FALSE),"")</f>
        <v>0.23901712583767684</v>
      </c>
      <c r="I48" s="532">
        <f>IFERROR(VLOOKUP(I12,'Child Protection Plans'!$B$256:$H$279,7,FALSE),"")</f>
        <v>0.17687074829931973</v>
      </c>
      <c r="J48" s="532">
        <f>IFERROR(VLOOKUP(J12,'Child Protection Plans'!$B$256:$H$279,7,FALSE),"")</f>
        <v>0.22631578947368422</v>
      </c>
      <c r="K48" s="532">
        <f>IFERROR(VLOOKUP(K12,'Child Protection Plans'!$B$256:$H$279,7,FALSE),"")</f>
        <v>0.21783876500857632</v>
      </c>
      <c r="L48" s="532">
        <f>IFERROR(VLOOKUP(L12,'Child Protection Plans'!$B$256:$H$279,7,FALSE),"")</f>
        <v>0.11160714285714286</v>
      </c>
      <c r="M48" s="532">
        <f>IFERROR(VLOOKUP(M12,'Child Protection Plans'!$B$256:$H$279,7,FALSE),"")</f>
        <v>0.24765729585006693</v>
      </c>
      <c r="N48" s="532">
        <f>IFERROR(VLOOKUP(N12,'Child Protection Plans'!$B$256:$H$279,7,FALSE),"")</f>
        <v>0.19732441471571907</v>
      </c>
      <c r="O48" s="532">
        <f>IFERROR(VLOOKUP(O12,'Child Protection Plans'!$B$256:$H$279,7,FALSE),"")</f>
        <v>0.25</v>
      </c>
      <c r="P48" s="532">
        <f>IFERROR(VLOOKUP(P12,'Child Protection Plans'!$B$256:$H$279,7,FALSE),"")</f>
        <v>0.18296529968454259</v>
      </c>
      <c r="Q48" s="532">
        <f>IFERROR(VLOOKUP(Q12,'Child Protection Plans'!$B$256:$H$279,7,FALSE),"")</f>
        <v>0.27037037037037037</v>
      </c>
      <c r="R48" s="532">
        <f>IFERROR(VLOOKUP(R12,'Child Protection Plans'!$B$256:$H$279,7,FALSE),"")</f>
        <v>0.24377224199288255</v>
      </c>
      <c r="S48" s="532">
        <f>IFERROR(VLOOKUP(S12,'Child Protection Plans'!$B$256:$H$279,7,FALSE),"")</f>
        <v>0.26398852223816355</v>
      </c>
      <c r="T48" s="532">
        <f>IFERROR(VLOOKUP(T12,'Child Protection Plans'!$B$256:$H$279,7,FALSE),"")</f>
        <v>0.12875536480686695</v>
      </c>
      <c r="U48" s="532">
        <f>IFERROR(VLOOKUP(U12,'Child Protection Plans'!$B$256:$H$279,7,FALSE),"")</f>
        <v>0.2837370242214533</v>
      </c>
      <c r="V48" s="532">
        <f>IFERROR(VLOOKUP(V12,'Child Protection Plans'!$B$256:$H$279,7,FALSE),"")</f>
        <v>0.21764705882352942</v>
      </c>
      <c r="W48" s="532">
        <f>IFERROR(VLOOKUP(W12,'Child Protection Plans'!$B$256:$H$279,7,FALSE),"")</f>
        <v>0.2648888888888889</v>
      </c>
      <c r="X48" s="532">
        <f>IFERROR(VLOOKUP(X12,'Child Protection Plans'!$B$256:$H$279,7,FALSE),"")</f>
        <v>0.15023474178403756</v>
      </c>
      <c r="Y48" s="658">
        <f>IFERROR(VLOOKUP(Y12,'Child Protection Plans'!$B$256:$H$279,7,FALSE),"")</f>
        <v>0.20224719101123595</v>
      </c>
      <c r="Z48" s="1230">
        <f>IFERROR(VLOOKUP(Z12,'Child Protection Plans'!$B$256:$H$279,7,FALSE),"")</f>
        <v>0.23443579766536965</v>
      </c>
      <c r="AA48" s="1507">
        <f>IFERROR(VLOOKUP(AA12,'Child Protection Plans'!$B$256:$H$279,7,FALSE),"")</f>
        <v>0.21904188008436276</v>
      </c>
      <c r="AB48" s="528"/>
      <c r="AC48" s="772"/>
      <c r="AD48" s="529"/>
      <c r="AE48" s="1623"/>
      <c r="AF48" s="1623"/>
      <c r="AG48" s="1623"/>
      <c r="AH48" s="1623"/>
      <c r="AI48" s="1623"/>
      <c r="AJ48" s="1623"/>
      <c r="AK48" s="1623"/>
      <c r="AL48" s="1623"/>
      <c r="AM48" s="1623"/>
      <c r="AN48" s="1623"/>
      <c r="AO48" s="1623"/>
      <c r="AP48" s="1623"/>
      <c r="AQ48" s="1623"/>
      <c r="AR48" s="1623"/>
      <c r="AS48" s="1623"/>
      <c r="AT48" s="1623"/>
      <c r="AU48" s="1623"/>
      <c r="AV48" s="1623"/>
      <c r="AW48" s="1623"/>
      <c r="AX48" s="1623"/>
      <c r="AY48" s="1623"/>
      <c r="AZ48" s="1623"/>
      <c r="BA48" s="1623"/>
      <c r="BB48" s="1624">
        <f t="shared" si="0"/>
        <v>37</v>
      </c>
      <c r="BC48" s="1624"/>
    </row>
    <row r="49" spans="1:55" s="470" customFormat="1" ht="21.95" customHeight="1" x14ac:dyDescent="0.2">
      <c r="A49" s="525"/>
      <c r="B49" s="1660" t="s">
        <v>26</v>
      </c>
      <c r="C49" s="1634" t="str">
        <f>"Number of Care Applications to Court during the "&amp;Sheet1!$G$3&amp;", Rate per 10,000 0-17 Year Olds"</f>
        <v>Number of Care Applications to Court during the Year ending 31st March, Rate per 10,000 0-17 Year Olds</v>
      </c>
      <c r="D49" s="1204">
        <f>IFERROR(VLOOKUP(D12,'Court Applications'!$B$10:$O$33,14,FALSE),"")</f>
        <v>10.211267605633804</v>
      </c>
      <c r="E49" s="1205">
        <f>IFERROR(VLOOKUP(E12,'Court Applications'!$B$10:$O$33,14,FALSE),"")</f>
        <v>15.705765407554672</v>
      </c>
      <c r="F49" s="1205">
        <f>IFERROR(VLOOKUP(F12,'Court Applications'!$B$10:$O$33,14,FALSE),"")</f>
        <v>7.1599045346062056</v>
      </c>
      <c r="G49" s="1205">
        <f>IFERROR(VLOOKUP(G12,'Court Applications'!$B$10:$O$33,14,FALSE),"")</f>
        <v>6.4910630291627474</v>
      </c>
      <c r="H49" s="1205">
        <f>IFERROR(VLOOKUP(H12,'Court Applications'!$B$10:$O$33,14,FALSE),"")</f>
        <v>7.2458670418571929</v>
      </c>
      <c r="I49" s="1205">
        <f>IFERROR(VLOOKUP(I12,'Court Applications'!$B$10:$O$33,14,FALSE),"")</f>
        <v>10.526315789473683</v>
      </c>
      <c r="J49" s="1205">
        <f>IFERROR(VLOOKUP(J12,'Court Applications'!$B$10:$O$33,14,FALSE),"")</f>
        <v>7.8534031413612571</v>
      </c>
      <c r="K49" s="1205">
        <f>IFERROR(VLOOKUP(K12,'Court Applications'!$B$10:$O$33,14,FALSE),"")</f>
        <v>14.461538461538462</v>
      </c>
      <c r="L49" s="1205">
        <f>IFERROR(VLOOKUP(L12,'Court Applications'!$B$10:$O$33,14,FALSE),"")</f>
        <v>10.174418604651162</v>
      </c>
      <c r="M49" s="1205">
        <f>IFERROR(VLOOKUP(M12,'Court Applications'!$B$10:$O$33,14,FALSE),"")</f>
        <v>10.061601642710471</v>
      </c>
      <c r="N49" s="1205">
        <f>IFERROR(VLOOKUP(N12,'Court Applications'!$B$10:$O$33,14,FALSE),"")</f>
        <v>14.155251141552512</v>
      </c>
      <c r="O49" s="1205">
        <f>IFERROR(VLOOKUP(O12,'Court Applications'!$B$10:$O$33,14,FALSE),"")</f>
        <v>13.513513513513514</v>
      </c>
      <c r="P49" s="1205">
        <f>IFERROR(VLOOKUP(P12,'Court Applications'!$B$10:$O$33,14,FALSE),"")</f>
        <v>11.600928074245939</v>
      </c>
      <c r="Q49" s="1205">
        <f>IFERROR(VLOOKUP(Q12,'Court Applications'!$B$10:$O$33,14,FALSE),"")</f>
        <v>10.251798561151078</v>
      </c>
      <c r="R49" s="1205">
        <f>IFERROR(VLOOKUP(R12,'Court Applications'!$B$10:$O$33,14,FALSE),"")</f>
        <v>19.688109161793374</v>
      </c>
      <c r="S49" s="1205">
        <f>IFERROR(VLOOKUP(S12,'Court Applications'!$B$10:$O$33,14,FALSE),"")</f>
        <v>5.6103108415466263</v>
      </c>
      <c r="T49" s="1205">
        <f>IFERROR(VLOOKUP(T12,'Court Applications'!$B$10:$O$33,14,FALSE),"")</f>
        <v>11.706349206349206</v>
      </c>
      <c r="U49" s="1205">
        <f>IFERROR(VLOOKUP(U12,'Court Applications'!$B$10:$O$33,14,FALSE),"")</f>
        <v>25</v>
      </c>
      <c r="V49" s="1205">
        <f>IFERROR(VLOOKUP(V12,'Court Applications'!$B$10:$O$33,14,FALSE),"")</f>
        <v>6.179775280898876</v>
      </c>
      <c r="W49" s="1205">
        <f>IFERROR(VLOOKUP(W12,'Court Applications'!$B$10:$O$33,14,FALSE),"")</f>
        <v>11.016467915956843</v>
      </c>
      <c r="X49" s="1205">
        <f>IFERROR(VLOOKUP(X12,'Court Applications'!$B$10:$O$33,14,FALSE),"")</f>
        <v>8.3573487031700289</v>
      </c>
      <c r="Y49" s="1206">
        <f>IFERROR(VLOOKUP(Y12,'Court Applications'!$B$10:$O$33,14,FALSE),"")</f>
        <v>6.435643564356436</v>
      </c>
      <c r="Z49" s="1236">
        <f>IFERROR(VLOOKUP(Z12,'Court Applications'!$B$10:$O$33,14,FALSE),"")</f>
        <v>8.9477960593134274</v>
      </c>
      <c r="AA49" s="1207">
        <f>IFERROR(VLOOKUP(AA12,'Court Applications'!$B$10:$O$33,14,FALSE),"")</f>
        <v>10.881932200006654</v>
      </c>
      <c r="AB49" s="528"/>
      <c r="AC49" s="772"/>
      <c r="AD49" s="529"/>
      <c r="AE49" s="1623"/>
      <c r="AF49" s="1623"/>
      <c r="AG49" s="1623"/>
      <c r="AH49" s="1623"/>
      <c r="AI49" s="1623"/>
      <c r="AJ49" s="1623"/>
      <c r="AK49" s="1623"/>
      <c r="AL49" s="1623"/>
      <c r="AM49" s="1623"/>
      <c r="AN49" s="1623"/>
      <c r="AO49" s="1623"/>
      <c r="AP49" s="1623"/>
      <c r="AQ49" s="1623"/>
      <c r="AR49" s="1623"/>
      <c r="AS49" s="1623"/>
      <c r="AT49" s="1623"/>
      <c r="AU49" s="1623"/>
      <c r="AV49" s="1623"/>
      <c r="AW49" s="1623"/>
      <c r="AX49" s="1623"/>
      <c r="AY49" s="1623"/>
      <c r="AZ49" s="1623"/>
      <c r="BA49" s="1623"/>
      <c r="BB49" s="1624">
        <f t="shared" si="0"/>
        <v>38</v>
      </c>
      <c r="BC49" s="1624"/>
    </row>
    <row r="50" spans="1:55" s="470" customFormat="1" ht="21.95" customHeight="1" thickBot="1" x14ac:dyDescent="0.25">
      <c r="A50" s="525"/>
      <c r="B50" s="1662"/>
      <c r="C50" s="1635" t="str">
        <f>"Number of Children subject to Care Applications to Court during the "&amp;Sheet1!$G$3&amp;", Rate per 10,000 0-17 Year Olds"</f>
        <v>Number of Children subject to Care Applications to Court during the Year ending 31st March, Rate per 10,000 0-17 Year Olds</v>
      </c>
      <c r="D50" s="727">
        <f>IFERROR(VLOOKUP(D$12,'Court Applications'!$B$116:$O$139,14,FALSE),"")</f>
        <v>15.845070422535212</v>
      </c>
      <c r="E50" s="662">
        <f>IFERROR(VLOOKUP(E$12,'Court Applications'!$B$116:$O$139,14,FALSE),"")</f>
        <v>25.248508946322069</v>
      </c>
      <c r="F50" s="662">
        <f>IFERROR(VLOOKUP(F$12,'Court Applications'!$B$116:$O$139,14,FALSE),"")</f>
        <v>11.058074781225139</v>
      </c>
      <c r="G50" s="662">
        <f>IFERROR(VLOOKUP(G$12,'Court Applications'!$B$116:$O$139,14,FALSE),"")</f>
        <v>10.06585136406397</v>
      </c>
      <c r="H50" s="662">
        <f>IFERROR(VLOOKUP(H$12,'Court Applications'!$B$116:$O$139,14,FALSE),"")</f>
        <v>11.537108688005627</v>
      </c>
      <c r="I50" s="662">
        <f>IFERROR(VLOOKUP(I$12,'Court Applications'!$B$116:$O$139,14,FALSE),"")</f>
        <v>18.218623481781375</v>
      </c>
      <c r="J50" s="662">
        <f>IFERROR(VLOOKUP(J$12,'Court Applications'!$B$116:$O$139,14,FALSE),"")</f>
        <v>13.263525305410122</v>
      </c>
      <c r="K50" s="662">
        <f>IFERROR(VLOOKUP(K$12,'Court Applications'!$B$116:$O$139,14,FALSE),"")</f>
        <v>23.846153846153847</v>
      </c>
      <c r="L50" s="662">
        <f>IFERROR(VLOOKUP(L$12,'Court Applications'!$B$116:$O$139,14,FALSE),"")</f>
        <v>15.261627906976743</v>
      </c>
      <c r="M50" s="662">
        <f>IFERROR(VLOOKUP(M$12,'Court Applications'!$B$116:$O$139,14,FALSE),"")</f>
        <v>17.111567419575632</v>
      </c>
      <c r="N50" s="662">
        <f>IFERROR(VLOOKUP(N$12,'Court Applications'!$B$116:$O$139,14,FALSE),"")</f>
        <v>18.721461187214611</v>
      </c>
      <c r="O50" s="662">
        <f>IFERROR(VLOOKUP(O$12,'Court Applications'!$B$116:$O$139,14,FALSE),"")</f>
        <v>20.540540540540544</v>
      </c>
      <c r="P50" s="662">
        <f>IFERROR(VLOOKUP(P$12,'Court Applications'!$B$116:$O$139,14,FALSE),"")</f>
        <v>18.793503480278421</v>
      </c>
      <c r="Q50" s="662">
        <f>IFERROR(VLOOKUP(Q$12,'Court Applications'!$B$116:$O$139,14,FALSE),"")</f>
        <v>17.086330935251798</v>
      </c>
      <c r="R50" s="662">
        <f>IFERROR(VLOOKUP(R$12,'Court Applications'!$B$116:$O$139,14,FALSE),"")</f>
        <v>30.799220272904481</v>
      </c>
      <c r="S50" s="662">
        <f>IFERROR(VLOOKUP(S$12,'Court Applications'!$B$116:$O$139,14,FALSE),"")</f>
        <v>8.9840788476118281</v>
      </c>
      <c r="T50" s="662">
        <f>IFERROR(VLOOKUP(T$12,'Court Applications'!$B$116:$O$139,14,FALSE),"")</f>
        <v>17.063492063492063</v>
      </c>
      <c r="U50" s="662">
        <f>IFERROR(VLOOKUP(U$12,'Court Applications'!$B$116:$O$139,14,FALSE),"")</f>
        <v>39.0625</v>
      </c>
      <c r="V50" s="662">
        <f>IFERROR(VLOOKUP(V$12,'Court Applications'!$B$116:$O$139,14,FALSE),"")</f>
        <v>11.51685393258427</v>
      </c>
      <c r="W50" s="662">
        <f>IFERROR(VLOOKUP(W$12,'Court Applications'!$B$116:$O$139,14,FALSE),"")</f>
        <v>19.080068143100512</v>
      </c>
      <c r="X50" s="662">
        <f>IFERROR(VLOOKUP(X$12,'Court Applications'!$B$116:$O$139,14,FALSE),"")</f>
        <v>11.527377521613833</v>
      </c>
      <c r="Y50" s="664">
        <f>IFERROR(VLOOKUP(Y$12,'Court Applications'!$B$116:$O$139,14,FALSE),"")</f>
        <v>9.9009900990099009</v>
      </c>
      <c r="Z50" s="1237">
        <f>IFERROR(VLOOKUP(Z$12,'Court Applications'!$B$116:$O$139,14,FALSE),"")</f>
        <v>14.461991570608845</v>
      </c>
      <c r="AA50" s="1208">
        <f>IFERROR(VLOOKUP(AA$12,'Court Applications'!$B$116:$O$139,14,FALSE),"")</f>
        <v>17.552979141022654</v>
      </c>
      <c r="AB50" s="528"/>
      <c r="AC50" s="772"/>
      <c r="AD50" s="529"/>
      <c r="AE50" s="1623"/>
      <c r="AF50" s="1623"/>
      <c r="AG50" s="1623"/>
      <c r="AH50" s="1623"/>
      <c r="AI50" s="1623"/>
      <c r="AJ50" s="1623"/>
      <c r="AK50" s="1623"/>
      <c r="AL50" s="1623"/>
      <c r="AM50" s="1623"/>
      <c r="AN50" s="1623"/>
      <c r="AO50" s="1623"/>
      <c r="AP50" s="1623"/>
      <c r="AQ50" s="1623"/>
      <c r="AR50" s="1623"/>
      <c r="AS50" s="1623"/>
      <c r="AT50" s="1623"/>
      <c r="AU50" s="1623"/>
      <c r="AV50" s="1623"/>
      <c r="AW50" s="1623"/>
      <c r="AX50" s="1623"/>
      <c r="AY50" s="1623"/>
      <c r="AZ50" s="1623"/>
      <c r="BA50" s="1623"/>
      <c r="BB50" s="1624">
        <f t="shared" si="0"/>
        <v>39</v>
      </c>
      <c r="BC50" s="1624"/>
    </row>
    <row r="51" spans="1:55" s="470" customFormat="1" ht="21.95" customHeight="1" x14ac:dyDescent="0.2">
      <c r="A51" s="525"/>
      <c r="B51" s="1657" t="s">
        <v>791</v>
      </c>
      <c r="C51" s="1209" t="str">
        <f>"Children who were Looked After at "&amp;Sheet1!$H$3&amp;", Rate per 10,000 0-17 Year Olds"</f>
        <v>Children who were Looked After at 31st March, Rate per 10,000 0-17 Year Olds</v>
      </c>
      <c r="D51" s="713">
        <f>IFERROR(VLOOKUP(D12,'Looked After Children'!$B$10:$O$33,14,FALSE),"")</f>
        <v>50</v>
      </c>
      <c r="E51" s="527">
        <f>IFERROR(VLOOKUP(E12,'Looked After Children'!$B$10:$O$33,14,FALSE),"")</f>
        <v>73.558648111332005</v>
      </c>
      <c r="F51" s="527">
        <f>IFERROR(VLOOKUP(F12,'Looked After Children'!$B$10:$O$33,14,FALSE),"")</f>
        <v>38.504375497215598</v>
      </c>
      <c r="G51" s="527">
        <f>IFERROR(VLOOKUP(G12,'Looked After Children'!$B$10:$O$33,14,FALSE),"")</f>
        <v>55.691439322671684</v>
      </c>
      <c r="H51" s="527">
        <f>IFERROR(VLOOKUP(H12,'Looked After Children'!$B$10:$O$33,14,FALSE),"")</f>
        <v>56.348927189588466</v>
      </c>
      <c r="I51" s="527">
        <f>IFERROR(VLOOKUP(I12,'Looked After Children'!$B$10:$O$33,14,FALSE),"")</f>
        <v>106.88259109311741</v>
      </c>
      <c r="J51" s="527">
        <f>IFERROR(VLOOKUP(J12,'Looked After Children'!$B$10:$O$33,14,FALSE),"")</f>
        <v>52.559627690517736</v>
      </c>
      <c r="K51" s="527">
        <f>IFERROR(VLOOKUP(K12,'Looked After Children'!$B$10:$O$33,14,FALSE),"")</f>
        <v>65.538461538461547</v>
      </c>
      <c r="L51" s="527">
        <f>IFERROR(VLOOKUP(L12,'Looked After Children'!$B$10:$O$33,14,FALSE),"")</f>
        <v>58.575581395348834</v>
      </c>
      <c r="M51" s="527">
        <f>IFERROR(VLOOKUP(M12,'Looked After Children'!$B$10:$O$33,14,FALSE),"")</f>
        <v>52.498288843258045</v>
      </c>
      <c r="N51" s="527">
        <f>IFERROR(VLOOKUP(N12,'Looked After Children'!$B$10:$O$33,14,FALSE),"")</f>
        <v>106.39269406392694</v>
      </c>
      <c r="O51" s="527">
        <f>IFERROR(VLOOKUP(O12,'Looked After Children'!$B$10:$O$33,14,FALSE),"")</f>
        <v>75.675675675675677</v>
      </c>
      <c r="P51" s="527">
        <f>IFERROR(VLOOKUP(P12,'Looked After Children'!$B$10:$O$33,14,FALSE),"")</f>
        <v>45.475638051044086</v>
      </c>
      <c r="Q51" s="527">
        <f>IFERROR(VLOOKUP(Q12,'Looked After Children'!$B$10:$O$33,14,FALSE),"")</f>
        <v>47.57194244604316</v>
      </c>
      <c r="R51" s="527">
        <f>IFERROR(VLOOKUP(R12,'Looked After Children'!$B$10:$O$33,14,FALSE),"")</f>
        <v>94.736842105263165</v>
      </c>
      <c r="S51" s="527">
        <f>IFERROR(VLOOKUP(S12,'Looked After Children'!$B$10:$O$33,14,FALSE),"")</f>
        <v>37.187263078089465</v>
      </c>
      <c r="T51" s="527">
        <f>IFERROR(VLOOKUP(T12,'Looked After Children'!$B$10:$O$33,14,FALSE),"")</f>
        <v>59.722222222222229</v>
      </c>
      <c r="U51" s="527">
        <f>IFERROR(VLOOKUP(U12,'Looked After Children'!$B$10:$O$33,14,FALSE),"")</f>
        <v>139.453125</v>
      </c>
      <c r="V51" s="527">
        <f>IFERROR(VLOOKUP(V12,'Looked After Children'!$B$10:$O$33,14,FALSE),"")</f>
        <v>44.101123595505619</v>
      </c>
      <c r="W51" s="527">
        <f>IFERROR(VLOOKUP(W12,'Looked After Children'!$B$10:$O$33,14,FALSE),"")</f>
        <v>45.883021010789321</v>
      </c>
      <c r="X51" s="527">
        <f>IFERROR(VLOOKUP(X12,'Looked After Children'!$B$10:$O$33,14,FALSE),"")</f>
        <v>33.429394812680115</v>
      </c>
      <c r="Y51" s="714">
        <f>IFERROR(VLOOKUP(Y12,'Looked After Children'!$B$10:$O$33,14,FALSE),"")</f>
        <v>24.257425742574256</v>
      </c>
      <c r="Z51" s="1228">
        <f>IFERROR(VLOOKUP(Z12,'Looked After Children'!$B$10:$O$33,14,FALSE),"")</f>
        <v>53.067235425553527</v>
      </c>
      <c r="AA51" s="1506">
        <f>IFERROR(VLOOKUP(AA12,'Looked After Children'!$B$10:$O$33,14,FALSE),"")</f>
        <v>66.602348714195415</v>
      </c>
      <c r="AB51" s="528"/>
      <c r="AC51" s="772"/>
      <c r="AD51" s="529"/>
      <c r="AE51" s="1623"/>
      <c r="AF51" s="1623"/>
      <c r="AG51" s="1623"/>
      <c r="AH51" s="1623"/>
      <c r="AI51" s="1623"/>
      <c r="AJ51" s="1623"/>
      <c r="AK51" s="1623"/>
      <c r="AL51" s="1623"/>
      <c r="AM51" s="1623"/>
      <c r="AN51" s="1623"/>
      <c r="AO51" s="1623"/>
      <c r="AP51" s="1623"/>
      <c r="AQ51" s="1623"/>
      <c r="AR51" s="1623"/>
      <c r="AS51" s="1623"/>
      <c r="AT51" s="1623"/>
      <c r="AU51" s="1623"/>
      <c r="AV51" s="1623"/>
      <c r="AW51" s="1623"/>
      <c r="AX51" s="1623"/>
      <c r="AY51" s="1623"/>
      <c r="AZ51" s="1623"/>
      <c r="BA51" s="1623"/>
      <c r="BB51" s="1624">
        <f t="shared" si="0"/>
        <v>40</v>
      </c>
      <c r="BC51" s="1624"/>
    </row>
    <row r="52" spans="1:55" s="470" customFormat="1" ht="21.95" customHeight="1" x14ac:dyDescent="0.2">
      <c r="A52" s="525"/>
      <c r="B52" s="1658"/>
      <c r="C52" s="1210" t="str">
        <f>"% Children Looked After at "&amp;Sheet1!$H$3&amp;" (age &lt;16) who had been looked after for more than 2.5 years"</f>
        <v>% Children Looked After at 31st March (age &lt;16) who had been looked after for more than 2.5 years</v>
      </c>
      <c r="D52" s="715">
        <f>IFERROR(VLOOKUP(D12,'Looked After Children'!$B$112:$H$135,7,FALSE),"")</f>
        <v>0.40594059405940597</v>
      </c>
      <c r="E52" s="532">
        <f>IFERROR(VLOOKUP(E12,'Looked After Children'!$B$112:$H$135,7,FALSE),"")</f>
        <v>0.44736842105263158</v>
      </c>
      <c r="F52" s="532">
        <f>IFERROR(VLOOKUP(F12,'Looked After Children'!$B$112:$H$135,7,FALSE),"")</f>
        <v>0.47457627118644069</v>
      </c>
      <c r="G52" s="532">
        <f>IFERROR(VLOOKUP(G12,'Looked After Children'!$B$112:$H$135,7,FALSE),"")</f>
        <v>0.51731601731601728</v>
      </c>
      <c r="H52" s="532">
        <f>IFERROR(VLOOKUP(H12,'Looked After Children'!$B$112:$H$135,7,FALSE),"")</f>
        <v>0.47941888619854722</v>
      </c>
      <c r="I52" s="532">
        <f>IFERROR(VLOOKUP(I12,'Looked After Children'!$B$112:$H$135,7,FALSE),"")</f>
        <v>0.47926267281105989</v>
      </c>
      <c r="J52" s="532">
        <f>IFERROR(VLOOKUP(J12,'Looked After Children'!$B$112:$H$135,7,FALSE),"")</f>
        <v>0.48395967002749773</v>
      </c>
      <c r="K52" s="532">
        <f>IFERROR(VLOOKUP(K12,'Looked After Children'!$B$112:$H$135,7,FALSE),"")</f>
        <v>0.48529411764705882</v>
      </c>
      <c r="L52" s="532">
        <f>IFERROR(VLOOKUP(L12,'Looked After Children'!$B$112:$H$135,7,FALSE),"")</f>
        <v>0.45751633986928103</v>
      </c>
      <c r="M52" s="532">
        <f>IFERROR(VLOOKUP(M12,'Looked After Children'!$B$112:$H$135,7,FALSE),"")</f>
        <v>0.40357142857142858</v>
      </c>
      <c r="N52" s="532">
        <f>IFERROR(VLOOKUP(N12,'Looked After Children'!$B$112:$H$135,7,FALSE),"")</f>
        <v>0.42857142857142855</v>
      </c>
      <c r="O52" s="532">
        <f>IFERROR(VLOOKUP(O12,'Looked After Children'!$B$112:$H$135,7,FALSE),"")</f>
        <v>0.46728971962616822</v>
      </c>
      <c r="P52" s="532">
        <f>IFERROR(VLOOKUP(P12,'Looked After Children'!$B$112:$H$135,7,FALSE),"")</f>
        <v>0.37086092715231789</v>
      </c>
      <c r="Q52" s="532">
        <f>IFERROR(VLOOKUP(Q12,'Looked After Children'!$B$112:$H$135,7,FALSE),"")</f>
        <v>0.43733333333333335</v>
      </c>
      <c r="R52" s="532">
        <f>IFERROR(VLOOKUP(R12,'Looked After Children'!$B$112:$H$135,7,FALSE),"")</f>
        <v>0.53634085213032578</v>
      </c>
      <c r="S52" s="532">
        <f>IFERROR(VLOOKUP(S12,'Looked After Children'!$B$112:$H$135,7,FALSE),"")</f>
        <v>0.41788856304985339</v>
      </c>
      <c r="T52" s="532">
        <f>IFERROR(VLOOKUP(T12,'Looked After Children'!$B$112:$H$135,7,FALSE),"")</f>
        <v>0.52654867256637172</v>
      </c>
      <c r="U52" s="532">
        <f>IFERROR(VLOOKUP(U12,'Looked After Children'!$B$112:$H$135,7,FALSE),"")</f>
        <v>0.40909090909090912</v>
      </c>
      <c r="V52" s="532">
        <f>IFERROR(VLOOKUP(V12,'Looked After Children'!$B$112:$H$135,7,FALSE),"")</f>
        <v>0.44117647058823528</v>
      </c>
      <c r="W52" s="532">
        <f>IFERROR(VLOOKUP(W12,'Looked After Children'!$B$112:$H$135,7,FALSE),"")</f>
        <v>0.32055749128919858</v>
      </c>
      <c r="X52" s="532">
        <f>IFERROR(VLOOKUP(X12,'Looked After Children'!$B$112:$H$135,7,FALSE),"")</f>
        <v>0.46875</v>
      </c>
      <c r="Y52" s="658">
        <f>IFERROR(VLOOKUP(Y12,'Looked After Children'!$B$112:$H$135,7,FALSE),"")</f>
        <v>0.24489795918367346</v>
      </c>
      <c r="Z52" s="1230">
        <f>IFERROR(VLOOKUP(Z12,'Looked After Children'!$B$112:$H$135,7,FALSE),"")</f>
        <v>0.45193207648081296</v>
      </c>
      <c r="AA52" s="1507">
        <f>IFERROR(VLOOKUP(AA12,'Looked After Children'!$B$112:$H$135,7,FALSE),"")</f>
        <v>0.44553644553644556</v>
      </c>
      <c r="AB52" s="528"/>
      <c r="AC52" s="772"/>
      <c r="AD52" s="529"/>
      <c r="AE52" s="1623"/>
      <c r="AF52" s="1623"/>
      <c r="AG52" s="1623"/>
      <c r="AH52" s="1623"/>
      <c r="AI52" s="1623"/>
      <c r="AJ52" s="1623"/>
      <c r="AK52" s="1623"/>
      <c r="AL52" s="1623"/>
      <c r="AM52" s="1623"/>
      <c r="AN52" s="1623"/>
      <c r="AO52" s="1623"/>
      <c r="AP52" s="1623"/>
      <c r="AQ52" s="1623"/>
      <c r="AR52" s="1623"/>
      <c r="AS52" s="1623"/>
      <c r="AT52" s="1623"/>
      <c r="AU52" s="1623"/>
      <c r="AV52" s="1623"/>
      <c r="AW52" s="1623"/>
      <c r="AX52" s="1623"/>
      <c r="AY52" s="1623"/>
      <c r="AZ52" s="1623"/>
      <c r="BA52" s="1623"/>
      <c r="BB52" s="1624">
        <f t="shared" si="0"/>
        <v>41</v>
      </c>
      <c r="BC52" s="1624"/>
    </row>
    <row r="53" spans="1:55" s="470" customFormat="1" ht="21.95" customHeight="1" x14ac:dyDescent="0.2">
      <c r="A53" s="525"/>
      <c r="B53" s="1658"/>
      <c r="C53" s="1210" t="s">
        <v>235</v>
      </c>
      <c r="D53" s="715">
        <f>IFERROR(VLOOKUP(D12,'Looked After Children'!$B$148:$H$171,7,FALSE),"")</f>
        <v>0.51219512195121952</v>
      </c>
      <c r="E53" s="532">
        <f>IFERROR(VLOOKUP(E12,'Looked After Children'!$B$148:$H$171,7,FALSE),"")</f>
        <v>0.62184873949579833</v>
      </c>
      <c r="F53" s="532">
        <f>IFERROR(VLOOKUP(F12,'Looked After Children'!$B$148:$H$171,7,FALSE),"")</f>
        <v>0.70238095238095233</v>
      </c>
      <c r="G53" s="532">
        <f>IFERROR(VLOOKUP(G12,'Looked After Children'!$B$148:$H$171,7,FALSE),"")</f>
        <v>0.62343096234309625</v>
      </c>
      <c r="H53" s="532">
        <f>IFERROR(VLOOKUP(H12,'Looked After Children'!$B$148:$H$171,7,FALSE),"")</f>
        <v>0.63804713804713808</v>
      </c>
      <c r="I53" s="532">
        <f>IFERROR(VLOOKUP(I12,'Looked After Children'!$B$148:$H$171,7,FALSE),"")</f>
        <v>0.69230769230769229</v>
      </c>
      <c r="J53" s="532">
        <f>IFERROR(VLOOKUP(J12,'Looked After Children'!$B$148:$H$171,7,FALSE),"")</f>
        <v>0.69696969696969702</v>
      </c>
      <c r="K53" s="532">
        <f>IFERROR(VLOOKUP(K12,'Looked After Children'!$B$148:$H$171,7,FALSE),"")</f>
        <v>0.69090909090909092</v>
      </c>
      <c r="L53" s="532">
        <f>IFERROR(VLOOKUP(L12,'Looked After Children'!$B$148:$H$171,7,FALSE),"")</f>
        <v>0.65</v>
      </c>
      <c r="M53" s="532">
        <f>IFERROR(VLOOKUP(M12,'Looked After Children'!$B$148:$H$171,7,FALSE),"")</f>
        <v>0.65044247787610621</v>
      </c>
      <c r="N53" s="532">
        <f>IFERROR(VLOOKUP(N12,'Looked After Children'!$B$148:$H$171,7,FALSE),"")</f>
        <v>0.61363636363636365</v>
      </c>
      <c r="O53" s="532">
        <f>IFERROR(VLOOKUP(O12,'Looked After Children'!$B$148:$H$171,7,FALSE),"")</f>
        <v>0.64</v>
      </c>
      <c r="P53" s="532">
        <f>IFERROR(VLOOKUP(P12,'Looked After Children'!$B$148:$H$171,7,FALSE),"")</f>
        <v>0.7321428571428571</v>
      </c>
      <c r="Q53" s="532">
        <f>IFERROR(VLOOKUP(Q12,'Looked After Children'!$B$148:$H$171,7,FALSE),"")</f>
        <v>0.62195121951219512</v>
      </c>
      <c r="R53" s="532">
        <f>IFERROR(VLOOKUP(R12,'Looked After Children'!$B$148:$H$171,7,FALSE),"")</f>
        <v>0.69158878504672894</v>
      </c>
      <c r="S53" s="532">
        <f>IFERROR(VLOOKUP(S12,'Looked After Children'!$B$148:$H$171,7,FALSE),"")</f>
        <v>0.66666666666666663</v>
      </c>
      <c r="T53" s="532">
        <f>IFERROR(VLOOKUP(T12,'Looked After Children'!$B$148:$H$171,7,FALSE),"")</f>
        <v>0.47058823529411764</v>
      </c>
      <c r="U53" s="532">
        <f>IFERROR(VLOOKUP(U12,'Looked After Children'!$B$148:$H$171,7,FALSE),"")</f>
        <v>0.59829059829059827</v>
      </c>
      <c r="V53" s="532">
        <f>IFERROR(VLOOKUP(V12,'Looked After Children'!$B$148:$H$171,7,FALSE),"")</f>
        <v>0.55555555555555558</v>
      </c>
      <c r="W53" s="532">
        <f>IFERROR(VLOOKUP(W12,'Looked After Children'!$B$148:$H$171,7,FALSE),"")</f>
        <v>0.54891304347826086</v>
      </c>
      <c r="X53" s="532">
        <f>IFERROR(VLOOKUP(X12,'Looked After Children'!$B$148:$H$171,7,FALSE),"")</f>
        <v>0.56666666666666665</v>
      </c>
      <c r="Y53" s="658">
        <f>IFERROR(VLOOKUP(Y12,'Looked After Children'!$B$148:$H$171,7,FALSE),"")</f>
        <v>0.83333333333333337</v>
      </c>
      <c r="Z53" s="1230">
        <f>IFERROR(VLOOKUP(Z12,'Looked After Children'!$B$148:$H$171,7,FALSE),"")</f>
        <v>0.65384615384615385</v>
      </c>
      <c r="AA53" s="1507">
        <f>IFERROR(VLOOKUP(AA12,'Looked After Children'!$B$148:$H$171,7,FALSE),"")</f>
        <v>0.68198529411764708</v>
      </c>
      <c r="AB53" s="528"/>
      <c r="AC53" s="772"/>
      <c r="AD53" s="529"/>
      <c r="AE53" s="1623"/>
      <c r="AF53" s="1623"/>
      <c r="AG53" s="1623"/>
      <c r="AH53" s="1623"/>
      <c r="AI53" s="1623"/>
      <c r="AJ53" s="1623"/>
      <c r="AK53" s="1623"/>
      <c r="AL53" s="1623"/>
      <c r="AM53" s="1623"/>
      <c r="AN53" s="1623"/>
      <c r="AO53" s="1623"/>
      <c r="AP53" s="1623"/>
      <c r="AQ53" s="1623"/>
      <c r="AR53" s="1623"/>
      <c r="AS53" s="1623"/>
      <c r="AT53" s="1623"/>
      <c r="AU53" s="1623"/>
      <c r="AV53" s="1623"/>
      <c r="AW53" s="1623"/>
      <c r="AX53" s="1623"/>
      <c r="AY53" s="1623"/>
      <c r="AZ53" s="1623"/>
      <c r="BA53" s="1623"/>
      <c r="BB53" s="1624">
        <f t="shared" si="0"/>
        <v>42</v>
      </c>
      <c r="BC53" s="1624"/>
    </row>
    <row r="54" spans="1:55" s="470" customFormat="1" ht="21.95" customHeight="1" x14ac:dyDescent="0.2">
      <c r="A54" s="525"/>
      <c r="B54" s="1658"/>
      <c r="C54" s="1210" t="str">
        <f>"% Children Looked After at "&amp;Sheet1!$H$3&amp;" who had 3 or more placements during the previous 12 months"</f>
        <v>% Children Looked After at 31st March who had 3 or more placements during the previous 12 months</v>
      </c>
      <c r="D54" s="715">
        <f>IFERROR(VLOOKUP(D12,'Looked After Children'!$B$184:$H$207,7,FALSE),"")</f>
        <v>0.15492957746478872</v>
      </c>
      <c r="E54" s="532">
        <f>IFERROR(VLOOKUP(E12,'Looked After Children'!$B$184:$H$207,7,FALSE),"")</f>
        <v>0.11081081081081082</v>
      </c>
      <c r="F54" s="532">
        <f>IFERROR(VLOOKUP(F12,'Looked After Children'!$B$184:$H$207,7,FALSE),"")</f>
        <v>9.7107438016528921E-2</v>
      </c>
      <c r="G54" s="532">
        <f>IFERROR(VLOOKUP(G12,'Looked After Children'!$B$184:$H$207,7,FALSE),"")</f>
        <v>0.13344594594594594</v>
      </c>
      <c r="H54" s="532">
        <f>IFERROR(VLOOKUP(H12,'Looked After Children'!$B$184:$H$207,7,FALSE),"")</f>
        <v>0.17290886392009988</v>
      </c>
      <c r="I54" s="532">
        <f>IFERROR(VLOOKUP(I12,'Looked After Children'!$B$184:$H$207,7,FALSE),"")</f>
        <v>0.13636363636363635</v>
      </c>
      <c r="J54" s="532">
        <f>IFERROR(VLOOKUP(J12,'Looked After Children'!$B$184:$H$207,7,FALSE),"")</f>
        <v>0.11178749308245711</v>
      </c>
      <c r="K54" s="532">
        <f>IFERROR(VLOOKUP(K12,'Looked After Children'!$B$184:$H$207,7,FALSE),"")</f>
        <v>9.6244131455399062E-2</v>
      </c>
      <c r="L54" s="532">
        <f>IFERROR(VLOOKUP(L12,'Looked After Children'!$B$184:$H$207,7,FALSE),"")</f>
        <v>0.14143920595533499</v>
      </c>
      <c r="M54" s="532">
        <f>IFERROR(VLOOKUP(M12,'Looked After Children'!$B$184:$H$207,7,FALSE),"")</f>
        <v>0.11082138200782268</v>
      </c>
      <c r="N54" s="532">
        <f>IFERROR(VLOOKUP(N12,'Looked After Children'!$B$184:$H$207,7,FALSE),"")</f>
        <v>0.13948497854077252</v>
      </c>
      <c r="O54" s="532">
        <f>IFERROR(VLOOKUP(O12,'Looked After Children'!$B$184:$H$207,7,FALSE),"")</f>
        <v>0.1357142857142857</v>
      </c>
      <c r="P54" s="532">
        <f>IFERROR(VLOOKUP(P12,'Looked After Children'!$B$184:$H$207,7,FALSE),"")</f>
        <v>0.1683673469387755</v>
      </c>
      <c r="Q54" s="532">
        <f>IFERROR(VLOOKUP(Q12,'Looked After Children'!$B$184:$H$207,7,FALSE),"")</f>
        <v>0.15689981096408318</v>
      </c>
      <c r="R54" s="532">
        <f>IFERROR(VLOOKUP(R12,'Looked After Children'!$B$184:$H$207,7,FALSE),"")</f>
        <v>0.16049382716049382</v>
      </c>
      <c r="S54" s="532">
        <f>IFERROR(VLOOKUP(S12,'Looked After Children'!$B$184:$H$207,7,FALSE),"")</f>
        <v>8.9704383282364936E-2</v>
      </c>
      <c r="T54" s="532">
        <f>IFERROR(VLOOKUP(T12,'Looked After Children'!$B$184:$H$207,7,FALSE),"")</f>
        <v>0.1461794019933555</v>
      </c>
      <c r="U54" s="532">
        <f>IFERROR(VLOOKUP(U12,'Looked After Children'!$B$184:$H$207,7,FALSE),"")</f>
        <v>0.16246498599439776</v>
      </c>
      <c r="V54" s="532">
        <f>IFERROR(VLOOKUP(V12,'Looked After Children'!$B$184:$H$207,7,FALSE),"")</f>
        <v>0.13375796178343949</v>
      </c>
      <c r="W54" s="532">
        <f>IFERROR(VLOOKUP(W12,'Looked After Children'!$B$184:$H$207,7,FALSE),"")</f>
        <v>0.1150990099009901</v>
      </c>
      <c r="X54" s="532">
        <f>IFERROR(VLOOKUP(X12,'Looked After Children'!$B$184:$H$207,7,FALSE),"")</f>
        <v>0.14655172413793102</v>
      </c>
      <c r="Y54" s="658">
        <f>IFERROR(VLOOKUP(Y12,'Looked After Children'!$B$184:$H$207,7,FALSE),"")</f>
        <v>0.19387755102040816</v>
      </c>
      <c r="Z54" s="1230">
        <f>IFERROR(VLOOKUP(Z12,'Looked After Children'!$B$184:$H$207,7,FALSE),"")</f>
        <v>0.12829104834849211</v>
      </c>
      <c r="AA54" s="1507">
        <f>IFERROR(VLOOKUP(AA12,'Looked After Children'!$B$184:$H$207,7,FALSE),"")</f>
        <v>0.10576923076923077</v>
      </c>
      <c r="AB54" s="528"/>
      <c r="AC54" s="772"/>
      <c r="AD54" s="529"/>
      <c r="AE54" s="1623"/>
      <c r="AF54" s="1623"/>
      <c r="AG54" s="1623"/>
      <c r="AH54" s="1623"/>
      <c r="AI54" s="1623"/>
      <c r="AJ54" s="1623"/>
      <c r="AK54" s="1623"/>
      <c r="AL54" s="1623"/>
      <c r="AM54" s="1623"/>
      <c r="AN54" s="1623"/>
      <c r="AO54" s="1623"/>
      <c r="AP54" s="1623"/>
      <c r="AQ54" s="1623"/>
      <c r="AR54" s="1623"/>
      <c r="AS54" s="1623"/>
      <c r="AT54" s="1623"/>
      <c r="AU54" s="1623"/>
      <c r="AV54" s="1623"/>
      <c r="AW54" s="1623"/>
      <c r="AX54" s="1623"/>
      <c r="AY54" s="1623"/>
      <c r="AZ54" s="1623"/>
      <c r="BA54" s="1623"/>
      <c r="BB54" s="1624">
        <f t="shared" si="0"/>
        <v>43</v>
      </c>
      <c r="BC54" s="1624"/>
    </row>
    <row r="55" spans="1:55" s="470" customFormat="1" ht="23.25" customHeight="1" thickBot="1" x14ac:dyDescent="0.25">
      <c r="A55" s="525"/>
      <c r="B55" s="1658"/>
      <c r="C55" s="1211" t="str">
        <f>"% Children Looked After at "&amp;Sheet1!$H$3&amp;" who were Unaccompanied Asylum Seeking Children (UASC)"</f>
        <v>% Children Looked After at 31st March who were Unaccompanied Asylum Seeking Children (UASC)</v>
      </c>
      <c r="D55" s="718" t="str">
        <f>IFERROR(VLOOKUP(D12,'Looked After Children'!$B$256:$H$279,7,FALSE),"")</f>
        <v/>
      </c>
      <c r="E55" s="534">
        <f>IFERROR(VLOOKUP(E12,'Looked After Children'!$B$256:$H$279,7,FALSE),"")</f>
        <v>8.6486486486486491E-2</v>
      </c>
      <c r="F55" s="534">
        <f>IFERROR(VLOOKUP(F12,'Looked After Children'!$B$256:$H$279,7,FALSE),"")</f>
        <v>5.1652892561983473E-2</v>
      </c>
      <c r="G55" s="534">
        <f>IFERROR(VLOOKUP(G12,'Looked After Children'!$B$256:$H$279,7,FALSE),"")</f>
        <v>5.2364864864864864E-2</v>
      </c>
      <c r="H55" s="534">
        <f>IFERROR(VLOOKUP(H12,'Looked After Children'!$B$256:$H$279,7,FALSE),"")</f>
        <v>5.305867665418227E-2</v>
      </c>
      <c r="I55" s="534" t="str">
        <f>IFERROR(VLOOKUP(I12,'Looked After Children'!$B$256:$H$279,7,FALSE),"")</f>
        <v/>
      </c>
      <c r="J55" s="534">
        <f>IFERROR(VLOOKUP(J12,'Looked After Children'!$B$256:$H$279,7,FALSE),"")</f>
        <v>0.23574986164914222</v>
      </c>
      <c r="K55" s="534">
        <f>IFERROR(VLOOKUP(K12,'Looked After Children'!$B$256:$H$279,7,FALSE),"")</f>
        <v>1.8779342723004695E-2</v>
      </c>
      <c r="L55" s="534">
        <f>IFERROR(VLOOKUP(L12,'Looked After Children'!$B$256:$H$279,7,FALSE),"")</f>
        <v>7.9404466501240695E-2</v>
      </c>
      <c r="M55" s="534">
        <f>IFERROR(VLOOKUP(M12,'Looked After Children'!$B$256:$H$279,7,FALSE),"")</f>
        <v>6.6492829204693613E-2</v>
      </c>
      <c r="N55" s="534">
        <f>IFERROR(VLOOKUP(N12,'Looked After Children'!$B$256:$H$279,7,FALSE),"")</f>
        <v>0.21244635193133046</v>
      </c>
      <c r="O55" s="534">
        <f>IFERROR(VLOOKUP(O12,'Looked After Children'!$B$256:$H$279,7,FALSE),"")</f>
        <v>3.5714285714285712E-2</v>
      </c>
      <c r="P55" s="534" t="str">
        <f>IFERROR(VLOOKUP(P12,'Looked After Children'!$B$256:$H$279,7,FALSE),"")</f>
        <v/>
      </c>
      <c r="Q55" s="534">
        <f>IFERROR(VLOOKUP(Q12,'Looked After Children'!$B$256:$H$279,7,FALSE),"")</f>
        <v>2.0793950850661626E-2</v>
      </c>
      <c r="R55" s="534">
        <f>IFERROR(VLOOKUP(R12,'Looked After Children'!$B$256:$H$279,7,FALSE),"")</f>
        <v>3.0864197530864196E-2</v>
      </c>
      <c r="S55" s="534">
        <f>IFERROR(VLOOKUP(S12,'Looked After Children'!$B$256:$H$279,7,FALSE),"")</f>
        <v>0.11009174311926606</v>
      </c>
      <c r="T55" s="534">
        <f>IFERROR(VLOOKUP(T12,'Looked After Children'!$B$256:$H$279,7,FALSE),"")</f>
        <v>4.9833887043189369E-2</v>
      </c>
      <c r="U55" s="534" t="str">
        <f>IFERROR(VLOOKUP(U12,'Looked After Children'!$B$256:$H$279,7,FALSE),"")</f>
        <v/>
      </c>
      <c r="V55" s="534">
        <f>IFERROR(VLOOKUP(V12,'Looked After Children'!$B$256:$H$279,7,FALSE),"")</f>
        <v>9.5541401273885357E-2</v>
      </c>
      <c r="W55" s="534">
        <f>IFERROR(VLOOKUP(W12,'Looked After Children'!$B$256:$H$279,7,FALSE),"")</f>
        <v>9.6534653465346537E-2</v>
      </c>
      <c r="X55" s="534" t="str">
        <f>IFERROR(VLOOKUP(X12,'Looked After Children'!$B$256:$H$279,7,FALSE),"")</f>
        <v/>
      </c>
      <c r="Y55" s="719">
        <f>IFERROR(VLOOKUP(Y12,'Looked After Children'!$B$256:$H$279,7,FALSE),"")</f>
        <v>7.1428571428571425E-2</v>
      </c>
      <c r="Z55" s="1229">
        <f>IFERROR(VLOOKUP(Z12,'Looked After Children'!$B$256:$H$279,7,FALSE),"")</f>
        <v>0.10691888557623111</v>
      </c>
      <c r="AA55" s="1510">
        <f>IFERROR(VLOOKUP(AA12,'Looked After Children'!$B$256:$H$279,7,FALSE),"")</f>
        <v>6.243756243756244E-2</v>
      </c>
      <c r="AB55" s="528"/>
      <c r="AC55" s="772"/>
      <c r="AD55" s="529"/>
      <c r="AE55" s="1623"/>
      <c r="AF55" s="1623"/>
      <c r="AG55" s="1623"/>
      <c r="AH55" s="1623"/>
      <c r="AI55" s="1623"/>
      <c r="AJ55" s="1623"/>
      <c r="AK55" s="1623"/>
      <c r="AL55" s="1623"/>
      <c r="AM55" s="1623"/>
      <c r="AN55" s="1623"/>
      <c r="AO55" s="1623"/>
      <c r="AP55" s="1623"/>
      <c r="AQ55" s="1623"/>
      <c r="AR55" s="1623"/>
      <c r="AS55" s="1623"/>
      <c r="AT55" s="1623"/>
      <c r="AU55" s="1623"/>
      <c r="AV55" s="1623"/>
      <c r="AW55" s="1623"/>
      <c r="AX55" s="1623"/>
      <c r="AY55" s="1623"/>
      <c r="AZ55" s="1623"/>
      <c r="BA55" s="1623"/>
      <c r="BB55" s="1624">
        <f t="shared" ref="BB55:BB60" si="2">ROW(BC55)-11</f>
        <v>44</v>
      </c>
      <c r="BC55" s="1624"/>
    </row>
    <row r="56" spans="1:55" s="470" customFormat="1" ht="15.75" customHeight="1" x14ac:dyDescent="0.2">
      <c r="A56" s="525"/>
      <c r="B56" s="1658"/>
      <c r="C56" s="1209" t="s">
        <v>786</v>
      </c>
      <c r="D56" s="1204">
        <f>IFERROR(VLOOKUP(D$12,'Looked After Children'!$B$326:$H$349,3,FALSE),"")</f>
        <v>58.737151248164459</v>
      </c>
      <c r="E56" s="1205">
        <f>IFERROR(VLOOKUP(E$12,'Looked After Children'!$B$326:$H$349,3,FALSE),"")</f>
        <v>61.957868649318463</v>
      </c>
      <c r="F56" s="1205">
        <f>IFERROR(VLOOKUP(F$12,'Looked After Children'!$B$326:$H$349,3,FALSE),"")</f>
        <v>49.905351918774741</v>
      </c>
      <c r="G56" s="1205">
        <f>IFERROR(VLOOKUP(G$12,'Looked After Children'!$B$326:$H$349,3,FALSE),"")</f>
        <v>50.377833753148614</v>
      </c>
      <c r="H56" s="1205">
        <f>IFERROR(VLOOKUP(H$12,'Looked After Children'!$B$326:$H$349,3,FALSE),"")</f>
        <v>51.251578400059422</v>
      </c>
      <c r="I56" s="1205">
        <f>IFERROR(VLOOKUP(I$12,'Looked After Children'!$B$326:$H$349,3,FALSE),"")</f>
        <v>71.301247771836003</v>
      </c>
      <c r="J56" s="1205">
        <f>IFERROR(VLOOKUP(J$12,'Looked After Children'!$B$326:$H$349,3,FALSE),"")</f>
        <v>44.605685738075415</v>
      </c>
      <c r="K56" s="1205">
        <f>IFERROR(VLOOKUP(K$12,'Looked After Children'!$B$326:$H$349,3,FALSE),"")</f>
        <v>80.367393800229621</v>
      </c>
      <c r="L56" s="1205">
        <f>IFERROR(VLOOKUP(L$12,'Looked After Children'!$B$326:$H$349,3,FALSE),"")</f>
        <v>64.440538957234921</v>
      </c>
      <c r="M56" s="1205">
        <f>IFERROR(VLOOKUP(M$12,'Looked After Children'!$B$326:$H$349,3,FALSE),"")</f>
        <v>39.115187483140005</v>
      </c>
      <c r="N56" s="1205">
        <f>IFERROR(VLOOKUP(N$12,'Looked After Children'!$B$326:$H$349,3,FALSE),"")</f>
        <v>118.26544021024968</v>
      </c>
      <c r="O56" s="1205">
        <f>IFERROR(VLOOKUP(O$12,'Looked After Children'!$B$326:$H$349,3,FALSE),"")</f>
        <v>61.032863849765256</v>
      </c>
      <c r="P56" s="1205">
        <f>IFERROR(VLOOKUP(P$12,'Looked After Children'!$B$326:$H$349,3,FALSE),"")</f>
        <v>46.531302876480538</v>
      </c>
      <c r="Q56" s="1205">
        <f>IFERROR(VLOOKUP(Q$12,'Looked After Children'!$B$326:$H$349,3,FALSE),"")</f>
        <v>67.737565318366563</v>
      </c>
      <c r="R56" s="1205">
        <f>IFERROR(VLOOKUP(R$12,'Looked After Children'!$B$326:$H$349,3,FALSE),"")</f>
        <v>98.20521503555706</v>
      </c>
      <c r="S56" s="1205">
        <f>IFERROR(VLOOKUP(S$12,'Looked After Children'!$B$326:$H$349,3,FALSE),"")</f>
        <v>30.696576151121604</v>
      </c>
      <c r="T56" s="1205">
        <f>IFERROR(VLOOKUP(T$12,'Looked After Children'!$B$326:$H$349,3,FALSE),"")</f>
        <v>68.807339449541288</v>
      </c>
      <c r="U56" s="1205">
        <f>IFERROR(VLOOKUP(U$12,'Looked After Children'!$B$326:$H$349,3,FALSE),"")</f>
        <v>159.23566878980893</v>
      </c>
      <c r="V56" s="1205">
        <f>IFERROR(VLOOKUP(V$12,'Looked After Children'!$B$326:$H$349,3,FALSE),"")</f>
        <v>45.484080571799865</v>
      </c>
      <c r="W56" s="1205">
        <f>IFERROR(VLOOKUP(W$12,'Looked After Children'!$B$326:$H$349,3,FALSE),"")</f>
        <v>55.720213396561945</v>
      </c>
      <c r="X56" s="1205" t="str">
        <f>IFERROR(VLOOKUP(X$12,'Looked After Children'!$B$326:$H$349,3,FALSE),"")</f>
        <v/>
      </c>
      <c r="Y56" s="1206" t="str">
        <f>IFERROR(VLOOKUP(Y$12,'Looked After Children'!$B$326:$H$349,3,FALSE),"")</f>
        <v/>
      </c>
      <c r="Z56" s="1236">
        <f>IFERROR(VLOOKUP(Z$12,'Looked After Children'!$B$326:$H$349,3,FALSE),"")</f>
        <v>51.134881294025568</v>
      </c>
      <c r="AA56" s="1514">
        <f>IFERROR(VLOOKUP(AA$12,'Looked After Children'!$B$326:$H$349,3,FALSE),"")</f>
        <v>66.735826312336584</v>
      </c>
      <c r="AB56" s="528"/>
      <c r="AC56" s="772"/>
      <c r="AD56" s="529"/>
      <c r="AE56" s="1623"/>
      <c r="AF56" s="1623"/>
      <c r="AG56" s="1623"/>
      <c r="AH56" s="1623"/>
      <c r="AI56" s="1623"/>
      <c r="AJ56" s="1623"/>
      <c r="AK56" s="1623"/>
      <c r="AL56" s="1623"/>
      <c r="AM56" s="1623"/>
      <c r="AN56" s="1623"/>
      <c r="AO56" s="1623"/>
      <c r="AP56" s="1623"/>
      <c r="AQ56" s="1623"/>
      <c r="AR56" s="1623"/>
      <c r="AS56" s="1623"/>
      <c r="AT56" s="1623"/>
      <c r="AU56" s="1623"/>
      <c r="AV56" s="1623"/>
      <c r="AW56" s="1623"/>
      <c r="AX56" s="1623"/>
      <c r="AY56" s="1623"/>
      <c r="AZ56" s="1623"/>
      <c r="BA56" s="1623"/>
      <c r="BB56" s="1624">
        <f t="shared" si="2"/>
        <v>45</v>
      </c>
      <c r="BC56" s="1624"/>
    </row>
    <row r="57" spans="1:55" s="470" customFormat="1" ht="15.75" customHeight="1" x14ac:dyDescent="0.2">
      <c r="A57" s="525"/>
      <c r="B57" s="1658"/>
      <c r="C57" s="1210" t="s">
        <v>787</v>
      </c>
      <c r="D57" s="726">
        <f>IFERROR(VLOOKUP(D$12,'Looked After Children'!$B$326:$H$349,4,FALSE),"")</f>
        <v>11.854360711261641</v>
      </c>
      <c r="E57" s="661">
        <f>IFERROR(VLOOKUP(E$12,'Looked After Children'!$B$326:$H$349,4,FALSE),"")</f>
        <v>40.329972502291476</v>
      </c>
      <c r="F57" s="661">
        <f>IFERROR(VLOOKUP(F$12,'Looked After Children'!$B$326:$H$349,4,FALSE),"")</f>
        <v>18.540941425760558</v>
      </c>
      <c r="G57" s="661">
        <f>IFERROR(VLOOKUP(G$12,'Looked After Children'!$B$326:$H$349,4,FALSE),"")</f>
        <v>32.986667888395104</v>
      </c>
      <c r="H57" s="661">
        <f>IFERROR(VLOOKUP(H$12,'Looked After Children'!$B$326:$H$349,4,FALSE),"")</f>
        <v>26.094811147168045</v>
      </c>
      <c r="I57" s="661">
        <f>IFERROR(VLOOKUP(I$12,'Looked After Children'!$B$326:$H$349,4,FALSE),"")</f>
        <v>84.346802667712822</v>
      </c>
      <c r="J57" s="661">
        <f>IFERROR(VLOOKUP(J$12,'Looked After Children'!$B$326:$H$349,4,FALSE),"")</f>
        <v>15.256868966448389</v>
      </c>
      <c r="K57" s="661">
        <f>IFERROR(VLOOKUP(K$12,'Looked After Children'!$B$326:$H$349,4,FALSE),"")</f>
        <v>33.688182185689257</v>
      </c>
      <c r="L57" s="661">
        <f>IFERROR(VLOOKUP(L$12,'Looked After Children'!$B$326:$H$349,4,FALSE),"")</f>
        <v>46.520770541213473</v>
      </c>
      <c r="M57" s="661">
        <f>IFERROR(VLOOKUP(M$12,'Looked After Children'!$B$326:$H$349,4,FALSE),"")</f>
        <v>26.235242675994755</v>
      </c>
      <c r="N57" s="661">
        <f>IFERROR(VLOOKUP(N$12,'Looked After Children'!$B$326:$H$349,4,FALSE),"")</f>
        <v>40.286030818813579</v>
      </c>
      <c r="O57" s="661">
        <f>IFERROR(VLOOKUP(O$12,'Looked After Children'!$B$326:$H$349,4,FALSE),"")</f>
        <v>34.938312042799431</v>
      </c>
      <c r="P57" s="661">
        <f>IFERROR(VLOOKUP(P$12,'Looked After Children'!$B$326:$H$349,4,FALSE),"")</f>
        <v>30.126336248785229</v>
      </c>
      <c r="Q57" s="661">
        <f>IFERROR(VLOOKUP(Q$12,'Looked After Children'!$B$326:$H$349,4,FALSE),"")</f>
        <v>30.022302281694973</v>
      </c>
      <c r="R57" s="661">
        <f>IFERROR(VLOOKUP(R$12,'Looked After Children'!$B$326:$H$349,4,FALSE),"")</f>
        <v>37.772241420879212</v>
      </c>
      <c r="S57" s="661">
        <f>IFERROR(VLOOKUP(S$12,'Looked After Children'!$B$326:$H$349,4,FALSE),"")</f>
        <v>16.214025131738953</v>
      </c>
      <c r="T57" s="661">
        <f>IFERROR(VLOOKUP(T$12,'Looked After Children'!$B$326:$H$349,4,FALSE),"")</f>
        <v>30.339805825242717</v>
      </c>
      <c r="U57" s="661">
        <f>IFERROR(VLOOKUP(U$12,'Looked After Children'!$B$326:$H$349,4,FALSE),"")</f>
        <v>87.639218550301251</v>
      </c>
      <c r="V57" s="661">
        <f>IFERROR(VLOOKUP(V$12,'Looked After Children'!$B$326:$H$349,4,FALSE),"")</f>
        <v>16.524373450839988</v>
      </c>
      <c r="W57" s="661">
        <f>IFERROR(VLOOKUP(W$12,'Looked After Children'!$B$326:$H$349,4,FALSE),"")</f>
        <v>29.689322447248436</v>
      </c>
      <c r="X57" s="661" t="str">
        <f>IFERROR(VLOOKUP(X$12,'Looked After Children'!$B$326:$H$349,4,FALSE),"")</f>
        <v/>
      </c>
      <c r="Y57" s="663" t="str">
        <f>IFERROR(VLOOKUP(Y$12,'Looked After Children'!$B$326:$H$349,4,FALSE),"")</f>
        <v/>
      </c>
      <c r="Z57" s="1238">
        <f>IFERROR(VLOOKUP(Z$12,'Looked After Children'!$B$326:$H$349,4,FALSE),"")</f>
        <v>25.420497394399018</v>
      </c>
      <c r="AA57" s="1515">
        <f>IFERROR(VLOOKUP(AA$12,'Looked After Children'!$B$326:$H$349,4,FALSE),"")</f>
        <v>40.473310183345966</v>
      </c>
      <c r="AB57" s="528"/>
      <c r="AC57" s="772"/>
      <c r="AD57" s="529"/>
      <c r="AE57" s="1623"/>
      <c r="AF57" s="1623"/>
      <c r="AG57" s="1623"/>
      <c r="AH57" s="1623"/>
      <c r="AI57" s="1623"/>
      <c r="AJ57" s="1623"/>
      <c r="AK57" s="1623"/>
      <c r="AL57" s="1623"/>
      <c r="AM57" s="1623"/>
      <c r="AN57" s="1623"/>
      <c r="AO57" s="1623"/>
      <c r="AP57" s="1623"/>
      <c r="AQ57" s="1623"/>
      <c r="AR57" s="1623"/>
      <c r="AS57" s="1623"/>
      <c r="AT57" s="1623"/>
      <c r="AU57" s="1623"/>
      <c r="AV57" s="1623"/>
      <c r="AW57" s="1623"/>
      <c r="AX57" s="1623"/>
      <c r="AY57" s="1623"/>
      <c r="AZ57" s="1623"/>
      <c r="BA57" s="1623"/>
      <c r="BB57" s="1624">
        <f t="shared" si="2"/>
        <v>46</v>
      </c>
      <c r="BC57" s="1624"/>
    </row>
    <row r="58" spans="1:55" s="470" customFormat="1" ht="15.75" customHeight="1" x14ac:dyDescent="0.2">
      <c r="A58" s="525"/>
      <c r="B58" s="1658"/>
      <c r="C58" s="1210" t="s">
        <v>788</v>
      </c>
      <c r="D58" s="726">
        <f>IFERROR(VLOOKUP(D$12,'Looked After Children'!$B$326:$H$349,5,FALSE),"")</f>
        <v>27.926177756192327</v>
      </c>
      <c r="E58" s="661">
        <f>IFERROR(VLOOKUP(E$12,'Looked After Children'!$B$326:$H$349,5,FALSE),"")</f>
        <v>35.323452001662275</v>
      </c>
      <c r="F58" s="661">
        <f>IFERROR(VLOOKUP(F$12,'Looked After Children'!$B$326:$H$349,5,FALSE),"")</f>
        <v>18.378875104732561</v>
      </c>
      <c r="G58" s="661">
        <f>IFERROR(VLOOKUP(G$12,'Looked After Children'!$B$326:$H$349,5,FALSE),"")</f>
        <v>40.262835792050502</v>
      </c>
      <c r="H58" s="661">
        <f>IFERROR(VLOOKUP(H$12,'Looked After Children'!$B$326:$H$349,5,FALSE),"")</f>
        <v>41.160609892863114</v>
      </c>
      <c r="I58" s="661">
        <f>IFERROR(VLOOKUP(I$12,'Looked After Children'!$B$326:$H$349,5,FALSE),"")</f>
        <v>93.418851087562743</v>
      </c>
      <c r="J58" s="661">
        <f>IFERROR(VLOOKUP(J$12,'Looked After Children'!$B$326:$H$349,5,FALSE),"")</f>
        <v>18.91827306037916</v>
      </c>
      <c r="K58" s="661">
        <f>IFERROR(VLOOKUP(K$12,'Looked After Children'!$B$326:$H$349,5,FALSE),"")</f>
        <v>39.252629926205053</v>
      </c>
      <c r="L58" s="661">
        <f>IFERROR(VLOOKUP(L$12,'Looked After Children'!$B$326:$H$349,5,FALSE),"")</f>
        <v>32.706071953358297</v>
      </c>
      <c r="M58" s="661">
        <f>IFERROR(VLOOKUP(M$12,'Looked After Children'!$B$326:$H$349,5,FALSE),"")</f>
        <v>31.922825985646377</v>
      </c>
      <c r="N58" s="661">
        <f>IFERROR(VLOOKUP(N$12,'Looked After Children'!$B$326:$H$349,5,FALSE),"")</f>
        <v>52.323791935980303</v>
      </c>
      <c r="O58" s="661">
        <f>IFERROR(VLOOKUP(O$12,'Looked After Children'!$B$326:$H$349,5,FALSE),"")</f>
        <v>54.782218230803771</v>
      </c>
      <c r="P58" s="661">
        <f>IFERROR(VLOOKUP(P$12,'Looked After Children'!$B$326:$H$349,5,FALSE),"")</f>
        <v>23.727516264829699</v>
      </c>
      <c r="Q58" s="661">
        <f>IFERROR(VLOOKUP(Q$12,'Looked After Children'!$B$326:$H$349,5,FALSE),"")</f>
        <v>21.418593822753376</v>
      </c>
      <c r="R58" s="661">
        <f>IFERROR(VLOOKUP(R$12,'Looked After Children'!$B$326:$H$349,5,FALSE),"")</f>
        <v>67.307692307692307</v>
      </c>
      <c r="S58" s="661">
        <f>IFERROR(VLOOKUP(S$12,'Looked After Children'!$B$326:$H$349,5,FALSE),"")</f>
        <v>21.597716812794076</v>
      </c>
      <c r="T58" s="661">
        <f>IFERROR(VLOOKUP(T$12,'Looked After Children'!$B$326:$H$349,5,FALSE),"")</f>
        <v>39.398515989231079</v>
      </c>
      <c r="U58" s="661">
        <f>IFERROR(VLOOKUP(U$12,'Looked After Children'!$B$326:$H$349,5,FALSE),"")</f>
        <v>79.541009258051901</v>
      </c>
      <c r="V58" s="661">
        <f>IFERROR(VLOOKUP(V$12,'Looked After Children'!$B$326:$H$349,5,FALSE),"")</f>
        <v>17.552413456850317</v>
      </c>
      <c r="W58" s="661">
        <f>IFERROR(VLOOKUP(W$12,'Looked After Children'!$B$326:$H$349,5,FALSE),"")</f>
        <v>22.374359366633517</v>
      </c>
      <c r="X58" s="661">
        <f>IFERROR(VLOOKUP(X$12,'Looked After Children'!$B$326:$H$349,5,FALSE),"")</f>
        <v>17.426960533059969</v>
      </c>
      <c r="Y58" s="663">
        <f>IFERROR(VLOOKUP(Y$12,'Looked After Children'!$B$326:$H$349,5,FALSE),"")</f>
        <v>12.955465587044534</v>
      </c>
      <c r="Z58" s="1238">
        <f>IFERROR(VLOOKUP(Z$12,'Looked After Children'!$B$326:$H$349,5,FALSE),"")</f>
        <v>30.146685156633559</v>
      </c>
      <c r="AA58" s="1515">
        <f>IFERROR(VLOOKUP(AA$12,'Looked After Children'!$B$326:$H$349,5,FALSE),"")</f>
        <v>41.546478639174765</v>
      </c>
      <c r="AB58" s="528"/>
      <c r="AC58" s="772"/>
      <c r="AD58" s="529"/>
      <c r="AE58" s="1623"/>
      <c r="AF58" s="1623"/>
      <c r="AG58" s="1623"/>
      <c r="AH58" s="1623"/>
      <c r="AI58" s="1623"/>
      <c r="AJ58" s="1623"/>
      <c r="AK58" s="1623"/>
      <c r="AL58" s="1623"/>
      <c r="AM58" s="1623"/>
      <c r="AN58" s="1623"/>
      <c r="AO58" s="1623"/>
      <c r="AP58" s="1623"/>
      <c r="AQ58" s="1623"/>
      <c r="AR58" s="1623"/>
      <c r="AS58" s="1623"/>
      <c r="AT58" s="1623"/>
      <c r="AU58" s="1623"/>
      <c r="AV58" s="1623"/>
      <c r="AW58" s="1623"/>
      <c r="AX58" s="1623"/>
      <c r="AY58" s="1623"/>
      <c r="AZ58" s="1623"/>
      <c r="BA58" s="1623"/>
      <c r="BB58" s="1624">
        <f t="shared" si="2"/>
        <v>47</v>
      </c>
      <c r="BC58" s="1624"/>
    </row>
    <row r="59" spans="1:55" s="470" customFormat="1" ht="15.75" customHeight="1" x14ac:dyDescent="0.2">
      <c r="A59" s="525"/>
      <c r="B59" s="1658"/>
      <c r="C59" s="1210" t="s">
        <v>789</v>
      </c>
      <c r="D59" s="726">
        <f>IFERROR(VLOOKUP(D$12,'Looked After Children'!$B$326:$H$349,6,FALSE),"")</f>
        <v>64.030897448927746</v>
      </c>
      <c r="E59" s="661">
        <f>IFERROR(VLOOKUP(E$12,'Looked After Children'!$B$326:$H$349,6,FALSE),"")</f>
        <v>91.500967798697872</v>
      </c>
      <c r="F59" s="661">
        <f>IFERROR(VLOOKUP(F$12,'Looked After Children'!$B$326:$H$349,6,FALSE),"")</f>
        <v>47.924058799133682</v>
      </c>
      <c r="G59" s="661">
        <f>IFERROR(VLOOKUP(G$12,'Looked After Children'!$B$326:$H$349,6,FALSE),"")</f>
        <v>64.891354102156768</v>
      </c>
      <c r="H59" s="661">
        <f>IFERROR(VLOOKUP(H$12,'Looked After Children'!$B$326:$H$349,6,FALSE),"")</f>
        <v>68.675255350818659</v>
      </c>
      <c r="I59" s="661">
        <f>IFERROR(VLOOKUP(I$12,'Looked After Children'!$B$326:$H$349,6,FALSE),"")</f>
        <v>114.7294008575733</v>
      </c>
      <c r="J59" s="661">
        <f>IFERROR(VLOOKUP(J$12,'Looked After Children'!$B$326:$H$349,6,FALSE),"")</f>
        <v>60.985519146715937</v>
      </c>
      <c r="K59" s="661">
        <f>IFERROR(VLOOKUP(K$12,'Looked After Children'!$B$326:$H$349,6,FALSE),"")</f>
        <v>89.064583730234318</v>
      </c>
      <c r="L59" s="661">
        <f>IFERROR(VLOOKUP(L$12,'Looked After Children'!$B$326:$H$349,6,FALSE),"")</f>
        <v>63.385861431464036</v>
      </c>
      <c r="M59" s="661">
        <f>IFERROR(VLOOKUP(M$12,'Looked After Children'!$B$326:$H$349,6,FALSE),"")</f>
        <v>63.233044365119838</v>
      </c>
      <c r="N59" s="661">
        <f>IFERROR(VLOOKUP(N$12,'Looked After Children'!$B$326:$H$349,6,FALSE),"")</f>
        <v>120.11386516697911</v>
      </c>
      <c r="O59" s="661">
        <f>IFERROR(VLOOKUP(O$12,'Looked After Children'!$B$326:$H$349,6,FALSE),"")</f>
        <v>94.82001755926251</v>
      </c>
      <c r="P59" s="661">
        <f>IFERROR(VLOOKUP(P$12,'Looked After Children'!$B$326:$H$349,6,FALSE),"")</f>
        <v>56.776823409521029</v>
      </c>
      <c r="Q59" s="661">
        <f>IFERROR(VLOOKUP(Q$12,'Looked After Children'!$B$326:$H$349,6,FALSE),"")</f>
        <v>52.494123792112823</v>
      </c>
      <c r="R59" s="661">
        <f>IFERROR(VLOOKUP(R$12,'Looked After Children'!$B$326:$H$349,6,FALSE),"")</f>
        <v>138.45665290568434</v>
      </c>
      <c r="S59" s="661">
        <f>IFERROR(VLOOKUP(S$12,'Looked After Children'!$B$326:$H$349,6,FALSE),"")</f>
        <v>42.940108079018763</v>
      </c>
      <c r="T59" s="661">
        <f>IFERROR(VLOOKUP(T$12,'Looked After Children'!$B$326:$H$349,6,FALSE),"")</f>
        <v>69.934397821512562</v>
      </c>
      <c r="U59" s="661">
        <f>IFERROR(VLOOKUP(U$12,'Looked After Children'!$B$326:$H$349,6,FALSE),"")</f>
        <v>185.51341131986291</v>
      </c>
      <c r="V59" s="661">
        <f>IFERROR(VLOOKUP(V$12,'Looked After Children'!$B$326:$H$349,6,FALSE),"")</f>
        <v>51.941825155825477</v>
      </c>
      <c r="W59" s="661">
        <f>IFERROR(VLOOKUP(W$12,'Looked After Children'!$B$326:$H$349,6,FALSE),"")</f>
        <v>49.885330699566438</v>
      </c>
      <c r="X59" s="661">
        <f>IFERROR(VLOOKUP(X$12,'Looked After Children'!$B$326:$H$349,6,FALSE),"")</f>
        <v>38.038200064745872</v>
      </c>
      <c r="Y59" s="663">
        <f>IFERROR(VLOOKUP(Y$12,'Looked After Children'!$B$326:$H$349,6,FALSE),"")</f>
        <v>23.490888382687924</v>
      </c>
      <c r="Z59" s="1238">
        <f>IFERROR(VLOOKUP(Z$12,'Looked After Children'!$B$326:$H$349,6,FALSE),"")</f>
        <v>62.889305816135078</v>
      </c>
      <c r="AA59" s="1515">
        <f>IFERROR(VLOOKUP(AA$12,'Looked After Children'!$B$326:$H$349,6,FALSE),"")</f>
        <v>78.842153835945993</v>
      </c>
      <c r="AB59" s="528"/>
      <c r="AC59" s="772"/>
      <c r="AD59" s="529"/>
      <c r="AE59" s="1623"/>
      <c r="AF59" s="1623"/>
      <c r="AG59" s="1623"/>
      <c r="AH59" s="1623"/>
      <c r="AI59" s="1623"/>
      <c r="AJ59" s="1623"/>
      <c r="AK59" s="1623"/>
      <c r="AL59" s="1623"/>
      <c r="AM59" s="1623"/>
      <c r="AN59" s="1623"/>
      <c r="AO59" s="1623"/>
      <c r="AP59" s="1623"/>
      <c r="AQ59" s="1623"/>
      <c r="AR59" s="1623"/>
      <c r="AS59" s="1623"/>
      <c r="AT59" s="1623"/>
      <c r="AU59" s="1623"/>
      <c r="AV59" s="1623"/>
      <c r="AW59" s="1623"/>
      <c r="AX59" s="1623"/>
      <c r="AY59" s="1623"/>
      <c r="AZ59" s="1623"/>
      <c r="BA59" s="1623"/>
      <c r="BB59" s="1624">
        <f t="shared" si="2"/>
        <v>48</v>
      </c>
      <c r="BC59" s="1624"/>
    </row>
    <row r="60" spans="1:55" s="470" customFormat="1" ht="15.75" customHeight="1" thickBot="1" x14ac:dyDescent="0.25">
      <c r="A60" s="525"/>
      <c r="B60" s="1659"/>
      <c r="C60" s="1211" t="s">
        <v>790</v>
      </c>
      <c r="D60" s="727">
        <f>IFERROR(VLOOKUP(D$12,'Looked After Children'!$B$326:$H$349,7,FALSE),"")</f>
        <v>134.77975016436554</v>
      </c>
      <c r="E60" s="662">
        <f>IFERROR(VLOOKUP(E$12,'Looked After Children'!$B$326:$H$349,7,FALSE),"")</f>
        <v>190.86070838685995</v>
      </c>
      <c r="F60" s="662">
        <f>IFERROR(VLOOKUP(F$12,'Looked After Children'!$B$326:$H$349,7,FALSE),"")</f>
        <v>99.282113945318471</v>
      </c>
      <c r="G60" s="662">
        <f>IFERROR(VLOOKUP(G$12,'Looked After Children'!$B$326:$H$349,7,FALSE),"")</f>
        <v>112.43729458571183</v>
      </c>
      <c r="H60" s="662">
        <f>IFERROR(VLOOKUP(H$12,'Looked After Children'!$B$326:$H$349,7,FALSE),"")</f>
        <v>121.59581951562657</v>
      </c>
      <c r="I60" s="662">
        <f>IFERROR(VLOOKUP(I$12,'Looked After Children'!$B$326:$H$349,7,FALSE),"")</f>
        <v>172.98490982701509</v>
      </c>
      <c r="J60" s="662">
        <f>IFERROR(VLOOKUP(J$12,'Looked After Children'!$B$326:$H$349,7,FALSE),"")</f>
        <v>201.03888810894287</v>
      </c>
      <c r="K60" s="662">
        <f>IFERROR(VLOOKUP(K$12,'Looked After Children'!$B$326:$H$349,7,FALSE),"")</f>
        <v>131.29770992366412</v>
      </c>
      <c r="L60" s="662">
        <f>IFERROR(VLOOKUP(L$12,'Looked After Children'!$B$326:$H$349,7,FALSE),"")</f>
        <v>153.6268609439341</v>
      </c>
      <c r="M60" s="662">
        <f>IFERROR(VLOOKUP(M$12,'Looked After Children'!$B$326:$H$349,7,FALSE),"")</f>
        <v>140.33898305084745</v>
      </c>
      <c r="N60" s="662">
        <f>IFERROR(VLOOKUP(N$12,'Looked After Children'!$B$326:$H$349,7,FALSE),"")</f>
        <v>381.18214716525932</v>
      </c>
      <c r="O60" s="662">
        <f>IFERROR(VLOOKUP(O$12,'Looked After Children'!$B$326:$H$349,7,FALSE),"")</f>
        <v>206.57276995305165</v>
      </c>
      <c r="P60" s="662">
        <f>IFERROR(VLOOKUP(P$12,'Looked After Children'!$B$326:$H$349,7,FALSE),"")</f>
        <v>123.11901504787961</v>
      </c>
      <c r="Q60" s="662">
        <f>IFERROR(VLOOKUP(Q$12,'Looked After Children'!$B$326:$H$349,7,FALSE),"")</f>
        <v>126.20881822652025</v>
      </c>
      <c r="R60" s="662">
        <f>IFERROR(VLOOKUP(R$12,'Looked After Children'!$B$326:$H$349,7,FALSE),"")</f>
        <v>191.88354653727393</v>
      </c>
      <c r="S60" s="662">
        <f>IFERROR(VLOOKUP(S$12,'Looked After Children'!$B$326:$H$349,7,FALSE),"")</f>
        <v>109.38757591278261</v>
      </c>
      <c r="T60" s="662">
        <f>IFERROR(VLOOKUP(T$12,'Looked After Children'!$B$326:$H$349,7,FALSE),"")</f>
        <v>155.6662515566625</v>
      </c>
      <c r="U60" s="662">
        <f>IFERROR(VLOOKUP(U$12,'Looked After Children'!$B$326:$H$349,7,FALSE),"")</f>
        <v>263.5486265775798</v>
      </c>
      <c r="V60" s="662">
        <f>IFERROR(VLOOKUP(V$12,'Looked After Children'!$B$326:$H$349,7,FALSE),"")</f>
        <v>136.64596273291926</v>
      </c>
      <c r="W60" s="662">
        <f>IFERROR(VLOOKUP(W$12,'Looked After Children'!$B$326:$H$349,7,FALSE),"")</f>
        <v>130.58764439979907</v>
      </c>
      <c r="X60" s="662">
        <f>IFERROR(VLOOKUP(X$12,'Looked After Children'!$B$326:$H$349,7,FALSE),"")</f>
        <v>87.456271864067972</v>
      </c>
      <c r="Y60" s="664">
        <f>IFERROR(VLOOKUP(Y$12,'Looked After Children'!$B$326:$H$349,7,FALSE),"")</f>
        <v>80.135988343856226</v>
      </c>
      <c r="Z60" s="1237">
        <f>IFERROR(VLOOKUP(Z$12,'Looked After Children'!$B$326:$H$349,7,FALSE),"")</f>
        <v>145.1407568124514</v>
      </c>
      <c r="AA60" s="1516">
        <f>IFERROR(VLOOKUP(AA$12,'Looked After Children'!$B$326:$H$349,7,FALSE),"")</f>
        <v>157.67812947172439</v>
      </c>
      <c r="AB60" s="528"/>
      <c r="AC60" s="772"/>
      <c r="AD60" s="529"/>
      <c r="AE60" s="1623"/>
      <c r="AF60" s="1623"/>
      <c r="AG60" s="1623"/>
      <c r="AH60" s="1623"/>
      <c r="AI60" s="1623"/>
      <c r="AJ60" s="1623"/>
      <c r="AK60" s="1623"/>
      <c r="AL60" s="1623"/>
      <c r="AM60" s="1623"/>
      <c r="AN60" s="1623"/>
      <c r="AO60" s="1623"/>
      <c r="AP60" s="1623"/>
      <c r="AQ60" s="1623"/>
      <c r="AR60" s="1623"/>
      <c r="AS60" s="1623"/>
      <c r="AT60" s="1623"/>
      <c r="AU60" s="1623"/>
      <c r="AV60" s="1623"/>
      <c r="AW60" s="1623"/>
      <c r="AX60" s="1623"/>
      <c r="AY60" s="1623"/>
      <c r="AZ60" s="1623"/>
      <c r="BA60" s="1623"/>
      <c r="BB60" s="1624">
        <f t="shared" si="2"/>
        <v>49</v>
      </c>
      <c r="BC60" s="1624"/>
    </row>
    <row r="61" spans="1:55" s="470" customFormat="1" ht="23.25" customHeight="1" x14ac:dyDescent="0.2">
      <c r="A61" s="525"/>
      <c r="B61" s="1660" t="s">
        <v>792</v>
      </c>
      <c r="C61" s="526" t="str">
        <f>"Children who Started to be Looked After during the "&amp;Sheet1!$G$3&amp;", Rate per 10,000 0-17 Year Olds"</f>
        <v>Children who Started to be Looked After during the Year ending 31st March, Rate per 10,000 0-17 Year Olds</v>
      </c>
      <c r="D61" s="1204">
        <f>IFERROR(VLOOKUP(D$12,New_Ceased_LAC!$B$7:$P$33,14,FALSE),"")</f>
        <v>16.549295774647888</v>
      </c>
      <c r="E61" s="1205">
        <f>IFERROR(VLOOKUP(E$12,New_Ceased_LAC!$B$7:$P$33,14,FALSE),"")</f>
        <v>30.616302186878727</v>
      </c>
      <c r="F61" s="1205">
        <f>IFERROR(VLOOKUP(F$12,New_Ceased_LAC!$B$7:$P$33,14,FALSE),"")</f>
        <v>16.149562450278442</v>
      </c>
      <c r="G61" s="1205">
        <f>IFERROR(VLOOKUP(G$12,New_Ceased_LAC!$B$7:$P$33,14,FALSE),"")</f>
        <v>16.368767638758232</v>
      </c>
      <c r="H61" s="1205">
        <f>IFERROR(VLOOKUP(H$12,New_Ceased_LAC!$B$7:$P$33,14,FALSE),"")</f>
        <v>19.310587407667956</v>
      </c>
      <c r="I61" s="1205">
        <f>IFERROR(VLOOKUP(I$12,New_Ceased_LAC!$B$7:$P$33,14,FALSE),"")</f>
        <v>29.149797570850204</v>
      </c>
      <c r="J61" s="1205">
        <f>IFERROR(VLOOKUP(J$12,New_Ceased_LAC!$B$7:$P$33,14,FALSE),"")</f>
        <v>27.515997673065737</v>
      </c>
      <c r="K61" s="1205">
        <f>IFERROR(VLOOKUP(K$12,New_Ceased_LAC!$B$7:$P$33,14,FALSE),"")</f>
        <v>26.769230769230766</v>
      </c>
      <c r="L61" s="1205">
        <f>IFERROR(VLOOKUP(L$12,New_Ceased_LAC!$B$7:$P$33,14,FALSE),"")</f>
        <v>24.418604651162788</v>
      </c>
      <c r="M61" s="1205">
        <f>IFERROR(VLOOKUP(M$12,New_Ceased_LAC!$B$7:$P$33,14,FALSE),"")</f>
        <v>21.149897330595483</v>
      </c>
      <c r="N61" s="1205">
        <f>IFERROR(VLOOKUP(N$12,New_Ceased_LAC!$B$7:$P$33,14,FALSE),"")</f>
        <v>40.8675799086758</v>
      </c>
      <c r="O61" s="1205">
        <f>IFERROR(VLOOKUP(O$12,New_Ceased_LAC!$B$7:$P$33,14,FALSE),"")</f>
        <v>31.351351351351351</v>
      </c>
      <c r="P61" s="1205">
        <f>IFERROR(VLOOKUP(P$12,New_Ceased_LAC!$B$7:$P$33,14,FALSE),"")</f>
        <v>24.825986078886313</v>
      </c>
      <c r="Q61" s="1205">
        <f>IFERROR(VLOOKUP(Q$12,New_Ceased_LAC!$B$7:$P$33,14,FALSE),"")</f>
        <v>17.176258992805757</v>
      </c>
      <c r="R61" s="1205">
        <f>IFERROR(VLOOKUP(R$12,New_Ceased_LAC!$B$7:$P$33,14,FALSE),"")</f>
        <v>38.40155945419103</v>
      </c>
      <c r="S61" s="1205">
        <f>IFERROR(VLOOKUP(S$12,New_Ceased_LAC!$B$7:$P$33,14,FALSE),"")</f>
        <v>14.139499620924942</v>
      </c>
      <c r="T61" s="1205">
        <f>IFERROR(VLOOKUP(T$12,New_Ceased_LAC!$B$7:$P$33,14,FALSE),"")</f>
        <v>21.230158730158728</v>
      </c>
      <c r="U61" s="1205">
        <f>IFERROR(VLOOKUP(U$12,New_Ceased_LAC!$B$7:$P$33,14,FALSE),"")</f>
        <v>52.734375</v>
      </c>
      <c r="V61" s="1205">
        <f>IFERROR(VLOOKUP(V$12,New_Ceased_LAC!$B$7:$P$33,14,FALSE),"")</f>
        <v>16.573033707865168</v>
      </c>
      <c r="W61" s="1205">
        <f>IFERROR(VLOOKUP(W$12,New_Ceased_LAC!$B$7:$P$33,14,FALSE),"")</f>
        <v>25.9511641113004</v>
      </c>
      <c r="X61" s="1205">
        <f>IFERROR(VLOOKUP(X$12,New_Ceased_LAC!$B$7:$P$33,14,FALSE),"")</f>
        <v>14.985590778097983</v>
      </c>
      <c r="Y61" s="1206">
        <f>IFERROR(VLOOKUP(Y$12,New_Ceased_LAC!$B$7:$P$33,14,FALSE),"")</f>
        <v>10.891089108910892</v>
      </c>
      <c r="Z61" s="1236">
        <f>IFERROR(VLOOKUP(Z$12,New_Ceased_LAC!$B$7:$P$33,14,FALSE),"")</f>
        <v>22.242535039609994</v>
      </c>
      <c r="AA61" s="1514">
        <f>IFERROR(VLOOKUP(AA$12,New_Ceased_LAC!$B$7:$P$33,14,FALSE),"")</f>
        <v>25.757676569413487</v>
      </c>
      <c r="AB61" s="528"/>
      <c r="AC61" s="772"/>
      <c r="AD61" s="529"/>
      <c r="AE61" s="1623"/>
      <c r="AF61" s="1623"/>
      <c r="AG61" s="1623"/>
      <c r="AH61" s="1623"/>
      <c r="AI61" s="1623"/>
      <c r="AJ61" s="1623"/>
      <c r="AK61" s="1623"/>
      <c r="AL61" s="1623"/>
      <c r="AM61" s="1623"/>
      <c r="AN61" s="1623"/>
      <c r="AO61" s="1623"/>
      <c r="AP61" s="1623"/>
      <c r="AQ61" s="1623"/>
      <c r="AR61" s="1623"/>
      <c r="AS61" s="1623"/>
      <c r="AT61" s="1623"/>
      <c r="AU61" s="1623"/>
      <c r="AV61" s="1623"/>
      <c r="AW61" s="1623"/>
      <c r="AX61" s="1623"/>
      <c r="AY61" s="1623"/>
      <c r="AZ61" s="1623"/>
      <c r="BA61" s="1623"/>
      <c r="BB61" s="1624">
        <f t="shared" ref="BB61:BB74" si="3">ROW(BC61)-11</f>
        <v>50</v>
      </c>
      <c r="BC61" s="1624"/>
    </row>
    <row r="62" spans="1:55" s="470" customFormat="1" ht="23.25" customHeight="1" x14ac:dyDescent="0.2">
      <c r="A62" s="525"/>
      <c r="B62" s="1661"/>
      <c r="C62" s="531" t="str">
        <f>"% Children who Started to be Looked After during the "&amp;Sheet1!$G$3&amp;", who were Remanded into Local Authority Care"</f>
        <v>% Children who Started to be Looked After during the Year ending 31st March, who were Remanded into Local Authority Care</v>
      </c>
      <c r="D62" s="715">
        <f>IFERROR(VLOOKUP(D$12,New_Ceased_LAC!$B$75:$H$100,7,FALSE),"")</f>
        <v>0</v>
      </c>
      <c r="E62" s="532" t="str">
        <f>IFERROR(VLOOKUP(E$12,New_Ceased_LAC!$B$75:$H$100,7,FALSE),"")</f>
        <v/>
      </c>
      <c r="F62" s="532" t="str">
        <f>IFERROR(VLOOKUP(F$12,New_Ceased_LAC!$B$75:$H$100,7,FALSE),"")</f>
        <v/>
      </c>
      <c r="G62" s="532" t="str">
        <f>IFERROR(VLOOKUP(G$12,New_Ceased_LAC!$B$75:$H$100,7,FALSE),"")</f>
        <v/>
      </c>
      <c r="H62" s="532">
        <f>IFERROR(VLOOKUP(H$12,New_Ceased_LAC!$B$75:$H$100,7,FALSE),"")</f>
        <v>1.8214936247723135E-2</v>
      </c>
      <c r="I62" s="532" t="str">
        <f>IFERROR(VLOOKUP(I$12,New_Ceased_LAC!$B$75:$H$100,7,FALSE),"")</f>
        <v/>
      </c>
      <c r="J62" s="532" t="str">
        <f>IFERROR(VLOOKUP(J$12,New_Ceased_LAC!$B$75:$H$100,7,FALSE),"")</f>
        <v/>
      </c>
      <c r="K62" s="532" t="str">
        <f>IFERROR(VLOOKUP(K$12,New_Ceased_LAC!$B$75:$H$100,7,FALSE),"")</f>
        <v/>
      </c>
      <c r="L62" s="532" t="str">
        <f>IFERROR(VLOOKUP(L$12,New_Ceased_LAC!$B$75:$H$100,7,FALSE),"")</f>
        <v/>
      </c>
      <c r="M62" s="532" t="str">
        <f>IFERROR(VLOOKUP(M$12,New_Ceased_LAC!$B$75:$H$100,7,FALSE),"")</f>
        <v/>
      </c>
      <c r="N62" s="532" t="str">
        <f>IFERROR(VLOOKUP(N$12,New_Ceased_LAC!$B$75:$H$100,7,FALSE),"")</f>
        <v/>
      </c>
      <c r="O62" s="532" t="str">
        <f>IFERROR(VLOOKUP(O$12,New_Ceased_LAC!$B$75:$H$100,7,FALSE),"")</f>
        <v/>
      </c>
      <c r="P62" s="532" t="str">
        <f>IFERROR(VLOOKUP(P$12,New_Ceased_LAC!$B$75:$H$100,7,FALSE),"")</f>
        <v/>
      </c>
      <c r="Q62" s="532">
        <f>IFERROR(VLOOKUP(Q$12,New_Ceased_LAC!$B$75:$H$100,7,FALSE),"")</f>
        <v>0</v>
      </c>
      <c r="R62" s="532" t="str">
        <f>IFERROR(VLOOKUP(R$12,New_Ceased_LAC!$B$75:$H$100,7,FALSE),"")</f>
        <v/>
      </c>
      <c r="S62" s="532" t="str">
        <f>IFERROR(VLOOKUP(S$12,New_Ceased_LAC!$B$75:$H$100,7,FALSE),"")</f>
        <v/>
      </c>
      <c r="T62" s="532" t="str">
        <f>IFERROR(VLOOKUP(T$12,New_Ceased_LAC!$B$75:$H$100,7,FALSE),"")</f>
        <v/>
      </c>
      <c r="U62" s="532" t="str">
        <f>IFERROR(VLOOKUP(U$12,New_Ceased_LAC!$B$75:$H$100,7,FALSE),"")</f>
        <v/>
      </c>
      <c r="V62" s="532" t="str">
        <f>IFERROR(VLOOKUP(V$12,New_Ceased_LAC!$B$75:$H$100,7,FALSE),"")</f>
        <v/>
      </c>
      <c r="W62" s="532" t="str">
        <f>IFERROR(VLOOKUP(W$12,New_Ceased_LAC!$B$75:$H$100,7,FALSE),"")</f>
        <v/>
      </c>
      <c r="X62" s="532">
        <f>IFERROR(VLOOKUP(X$12,New_Ceased_LAC!$B$75:$H$100,7,FALSE),"")</f>
        <v>0</v>
      </c>
      <c r="Y62" s="658">
        <f>IFERROR(VLOOKUP(Y$12,New_Ceased_LAC!$B$75:$H$100,7,FALSE),"")</f>
        <v>0</v>
      </c>
      <c r="Z62" s="1230">
        <f>IFERROR(VLOOKUP(Z$12,New_Ceased_LAC!$B$75:$H$100,7,FALSE),"")</f>
        <v>1.3698630136986301E-2</v>
      </c>
      <c r="AA62" s="1507">
        <f>IFERROR(VLOOKUP(AA$12,New_Ceased_LAC!$B$75:$H$100,7,FALSE),"")</f>
        <v>2.292541168873103E-2</v>
      </c>
      <c r="AB62" s="528"/>
      <c r="AC62" s="772"/>
      <c r="AD62" s="529"/>
      <c r="AE62" s="1623"/>
      <c r="AF62" s="1623"/>
      <c r="AG62" s="1623"/>
      <c r="AH62" s="1623"/>
      <c r="AI62" s="1623"/>
      <c r="AJ62" s="1623"/>
      <c r="AK62" s="1623"/>
      <c r="AL62" s="1623"/>
      <c r="AM62" s="1623"/>
      <c r="AN62" s="1623"/>
      <c r="AO62" s="1623"/>
      <c r="AP62" s="1623"/>
      <c r="AQ62" s="1623"/>
      <c r="AR62" s="1623"/>
      <c r="AS62" s="1623"/>
      <c r="AT62" s="1623"/>
      <c r="AU62" s="1623"/>
      <c r="AV62" s="1623"/>
      <c r="AW62" s="1623"/>
      <c r="AX62" s="1623"/>
      <c r="AY62" s="1623"/>
      <c r="AZ62" s="1623"/>
      <c r="BA62" s="1623"/>
      <c r="BB62" s="1624">
        <f t="shared" si="3"/>
        <v>51</v>
      </c>
      <c r="BC62" s="1624"/>
    </row>
    <row r="63" spans="1:55" s="470" customFormat="1" ht="23.25" customHeight="1" x14ac:dyDescent="0.2">
      <c r="A63" s="525"/>
      <c r="B63" s="1661"/>
      <c r="C63" s="531" t="str">
        <f>"Children who Ceased to be Looked After during the "&amp;Sheet1!$G$3&amp;", Rate per 10,000 0-17 Year Olds"</f>
        <v>Children who Ceased to be Looked After during the Year ending 31st March, Rate per 10,000 0-17 Year Olds</v>
      </c>
      <c r="D63" s="726">
        <f>IFERROR(VLOOKUP(D$12,New_Ceased_LAC!$B$114:$P$140,14,FALSE),"")</f>
        <v>21.830985915492956</v>
      </c>
      <c r="E63" s="661">
        <f>IFERROR(VLOOKUP(E$12,New_Ceased_LAC!$B$114:$P$140,14,FALSE),"")</f>
        <v>35.387673956262425</v>
      </c>
      <c r="F63" s="661">
        <f>IFERROR(VLOOKUP(F$12,New_Ceased_LAC!$B$114:$P$140,14,FALSE),"")</f>
        <v>18.695306284805092</v>
      </c>
      <c r="G63" s="661">
        <f>IFERROR(VLOOKUP(G$12,New_Ceased_LAC!$B$114:$P$140,14,FALSE),"")</f>
        <v>16.556914393226716</v>
      </c>
      <c r="H63" s="661">
        <f>IFERROR(VLOOKUP(H$12,New_Ceased_LAC!$B$114:$P$140,14,FALSE),"")</f>
        <v>21.948645796693633</v>
      </c>
      <c r="I63" s="661">
        <f>IFERROR(VLOOKUP(I$12,New_Ceased_LAC!$B$114:$P$140,14,FALSE),"")</f>
        <v>21.457489878542511</v>
      </c>
      <c r="J63" s="661">
        <f>IFERROR(VLOOKUP(J$12,New_Ceased_LAC!$B$114:$P$140,14,FALSE),"")</f>
        <v>21.465968586387437</v>
      </c>
      <c r="K63" s="661">
        <f>IFERROR(VLOOKUP(K$12,New_Ceased_LAC!$B$114:$P$140,14,FALSE),"")</f>
        <v>27.69230769230769</v>
      </c>
      <c r="L63" s="661">
        <f>IFERROR(VLOOKUP(L$12,New_Ceased_LAC!$B$114:$P$140,14,FALSE),"")</f>
        <v>21.511627906976742</v>
      </c>
      <c r="M63" s="661">
        <f>IFERROR(VLOOKUP(M$12,New_Ceased_LAC!$B$114:$P$140,14,FALSE),"")</f>
        <v>22.039698836413415</v>
      </c>
      <c r="N63" s="661">
        <f>IFERROR(VLOOKUP(N$12,New_Ceased_LAC!$B$114:$P$140,14,FALSE),"")</f>
        <v>46.575342465753423</v>
      </c>
      <c r="O63" s="661">
        <f>IFERROR(VLOOKUP(O$12,New_Ceased_LAC!$B$114:$P$140,14,FALSE),"")</f>
        <v>29.45945945945946</v>
      </c>
      <c r="P63" s="661">
        <f>IFERROR(VLOOKUP(P$12,New_Ceased_LAC!$B$114:$P$140,14,FALSE),"")</f>
        <v>29.002320185614849</v>
      </c>
      <c r="Q63" s="661">
        <f>IFERROR(VLOOKUP(Q$12,New_Ceased_LAC!$B$114:$P$140,14,FALSE),"")</f>
        <v>17.715827338129497</v>
      </c>
      <c r="R63" s="661">
        <f>IFERROR(VLOOKUP(R$12,New_Ceased_LAC!$B$114:$P$140,14,FALSE),"")</f>
        <v>38.791423001949319</v>
      </c>
      <c r="S63" s="661">
        <f>IFERROR(VLOOKUP(S$12,New_Ceased_LAC!$B$114:$P$140,14,FALSE),"")</f>
        <v>13.836239575435938</v>
      </c>
      <c r="T63" s="661">
        <f>IFERROR(VLOOKUP(T$12,New_Ceased_LAC!$B$114:$P$140,14,FALSE),"")</f>
        <v>30.753968253968253</v>
      </c>
      <c r="U63" s="661">
        <f>IFERROR(VLOOKUP(U$12,New_Ceased_LAC!$B$114:$P$140,14,FALSE),"")</f>
        <v>55.078125</v>
      </c>
      <c r="V63" s="661">
        <f>IFERROR(VLOOKUP(V$12,New_Ceased_LAC!$B$114:$P$140,14,FALSE),"")</f>
        <v>20.786516853932586</v>
      </c>
      <c r="W63" s="661">
        <f>IFERROR(VLOOKUP(W$12,New_Ceased_LAC!$B$114:$P$140,14,FALSE),"")</f>
        <v>20.159000567859174</v>
      </c>
      <c r="X63" s="661">
        <f>IFERROR(VLOOKUP(X$12,New_Ceased_LAC!$B$114:$P$140,14,FALSE),"")</f>
        <v>17.86743515850144</v>
      </c>
      <c r="Y63" s="663">
        <f>IFERROR(VLOOKUP(Y$12,New_Ceased_LAC!$B$114:$P$140,14,FALSE),"")</f>
        <v>13.613861386138613</v>
      </c>
      <c r="Z63" s="1238">
        <f>IFERROR(VLOOKUP(Z$12,New_Ceased_LAC!$B$114:$P$140,14,FALSE),"")</f>
        <v>21.632051998171942</v>
      </c>
      <c r="AA63" s="1515">
        <f>IFERROR(VLOOKUP(AA$12,New_Ceased_LAC!$B$114:$P$140,14,FALSE),"")</f>
        <v>24.609933796866162</v>
      </c>
      <c r="AB63" s="528"/>
      <c r="AC63" s="772"/>
      <c r="AD63" s="529"/>
      <c r="AE63" s="1623"/>
      <c r="AF63" s="1623"/>
      <c r="AG63" s="1623"/>
      <c r="AH63" s="1623"/>
      <c r="AI63" s="1623"/>
      <c r="AJ63" s="1623"/>
      <c r="AK63" s="1623"/>
      <c r="AL63" s="1623"/>
      <c r="AM63" s="1623"/>
      <c r="AN63" s="1623"/>
      <c r="AO63" s="1623"/>
      <c r="AP63" s="1623"/>
      <c r="AQ63" s="1623"/>
      <c r="AR63" s="1623"/>
      <c r="AS63" s="1623"/>
      <c r="AT63" s="1623"/>
      <c r="AU63" s="1623"/>
      <c r="AV63" s="1623"/>
      <c r="AW63" s="1623"/>
      <c r="AX63" s="1623"/>
      <c r="AY63" s="1623"/>
      <c r="AZ63" s="1623"/>
      <c r="BA63" s="1623"/>
      <c r="BB63" s="1624">
        <f t="shared" si="3"/>
        <v>52</v>
      </c>
      <c r="BC63" s="1624"/>
    </row>
    <row r="64" spans="1:55" s="470" customFormat="1" ht="23.25" customHeight="1" x14ac:dyDescent="0.2">
      <c r="A64" s="525"/>
      <c r="B64" s="1661"/>
      <c r="C64" s="531" t="s">
        <v>1242</v>
      </c>
      <c r="D64" s="715">
        <f>IFERROR(VLOOKUP(D$12,New_Ceased_LAC!$B$184:$P$207,7,FALSE),"")</f>
        <v>0</v>
      </c>
      <c r="E64" s="532">
        <f>IFERROR(VLOOKUP(E$12,New_Ceased_LAC!$B$184:$P$207,7,FALSE),"")</f>
        <v>3.3707865168539325E-2</v>
      </c>
      <c r="F64" s="532">
        <f>IFERROR(VLOOKUP(F$12,New_Ceased_LAC!$B$184:$P$207,7,FALSE),"")</f>
        <v>2.9787234042553193E-2</v>
      </c>
      <c r="G64" s="532">
        <f>IFERROR(VLOOKUP(G$12,New_Ceased_LAC!$B$184:$P$207,7,FALSE),"")</f>
        <v>0</v>
      </c>
      <c r="H64" s="532">
        <f>IFERROR(VLOOKUP(H$12,New_Ceased_LAC!$B$184:$P$207,7,FALSE),"")</f>
        <v>4.3269230769230768E-2</v>
      </c>
      <c r="I64" s="532">
        <f>IFERROR(VLOOKUP(I$12,New_Ceased_LAC!$B$184:$P$207,7,FALSE),"")</f>
        <v>0</v>
      </c>
      <c r="J64" s="532">
        <f>IFERROR(VLOOKUP(J$12,New_Ceased_LAC!$B$184:$P$207,7,FALSE),"")</f>
        <v>2.4390243902439025E-2</v>
      </c>
      <c r="K64" s="532">
        <f>IFERROR(VLOOKUP(K$12,New_Ceased_LAC!$B$184:$P$207,7,FALSE),"")</f>
        <v>7.7777777777777779E-2</v>
      </c>
      <c r="L64" s="532">
        <f>IFERROR(VLOOKUP(L$12,New_Ceased_LAC!$B$184:$P$207,7,FALSE),"")</f>
        <v>6.0810810810810814E-2</v>
      </c>
      <c r="M64" s="532">
        <f>IFERROR(VLOOKUP(M$12,New_Ceased_LAC!$B$184:$P$207,7,FALSE),"")</f>
        <v>5.2795031055900624E-2</v>
      </c>
      <c r="N64" s="532">
        <f>IFERROR(VLOOKUP(N$12,New_Ceased_LAC!$B$184:$P$207,7,FALSE),"")</f>
        <v>0</v>
      </c>
      <c r="O64" s="532">
        <f>IFERROR(VLOOKUP(O$12,New_Ceased_LAC!$B$184:$P$207,7,FALSE),"")</f>
        <v>0</v>
      </c>
      <c r="P64" s="532">
        <f>IFERROR(VLOOKUP(P$12,New_Ceased_LAC!$B$184:$P$207,7,FALSE),"")</f>
        <v>0</v>
      </c>
      <c r="Q64" s="532">
        <f>IFERROR(VLOOKUP(Q$12,New_Ceased_LAC!$B$184:$P$207,7,FALSE),"")</f>
        <v>5.5837563451776651E-2</v>
      </c>
      <c r="R64" s="532">
        <f>IFERROR(VLOOKUP(R$12,New_Ceased_LAC!$B$184:$P$207,7,FALSE),"")</f>
        <v>0.10552763819095477</v>
      </c>
      <c r="S64" s="532">
        <f>IFERROR(VLOOKUP(S$12,New_Ceased_LAC!$B$184:$P$207,7,FALSE),"")</f>
        <v>2.7397260273972601E-2</v>
      </c>
      <c r="T64" s="532">
        <f>IFERROR(VLOOKUP(T$12,New_Ceased_LAC!$B$184:$P$207,7,FALSE),"")</f>
        <v>0</v>
      </c>
      <c r="U64" s="532">
        <f>IFERROR(VLOOKUP(U$12,New_Ceased_LAC!$B$184:$P$207,7,FALSE),"")</f>
        <v>0</v>
      </c>
      <c r="V64" s="532">
        <f>IFERROR(VLOOKUP(V$12,New_Ceased_LAC!$B$184:$P$207,7,FALSE),"")</f>
        <v>0</v>
      </c>
      <c r="W64" s="532">
        <f>IFERROR(VLOOKUP(W$12,New_Ceased_LAC!$B$184:$P$207,7,FALSE),"")</f>
        <v>0</v>
      </c>
      <c r="X64" s="532">
        <f>IFERROR(VLOOKUP(X$12,New_Ceased_LAC!$B$184:$P$207,7,FALSE),"")</f>
        <v>0</v>
      </c>
      <c r="Y64" s="658">
        <f>IFERROR(VLOOKUP(Y$12,New_Ceased_LAC!$B$184:$P$207,7,FALSE),"")</f>
        <v>0.10909090909090909</v>
      </c>
      <c r="Z64" s="1230">
        <f>IFERROR(VLOOKUP(Z$12,New_Ceased_LAC!$B$184:$P$207,7,FALSE),"")</f>
        <v>3.7558685446009391E-2</v>
      </c>
      <c r="AA64" s="1507">
        <f>IFERROR(VLOOKUP(AA$12,New_Ceased_LAC!$B$184:$P$207,7,FALSE),"")</f>
        <v>3.9202433254477864E-2</v>
      </c>
      <c r="AB64" s="528"/>
      <c r="AC64" s="772"/>
      <c r="AD64" s="529"/>
      <c r="AE64" s="1623"/>
      <c r="AF64" s="1623"/>
      <c r="AG64" s="1623"/>
      <c r="AH64" s="1623"/>
      <c r="AI64" s="1623"/>
      <c r="AJ64" s="1623"/>
      <c r="AK64" s="1623"/>
      <c r="AL64" s="1623"/>
      <c r="AM64" s="1623"/>
      <c r="AN64" s="1623"/>
      <c r="AO64" s="1623"/>
      <c r="AP64" s="1623"/>
      <c r="AQ64" s="1623"/>
      <c r="AR64" s="1623"/>
      <c r="AS64" s="1623"/>
      <c r="AT64" s="1623"/>
      <c r="AU64" s="1623"/>
      <c r="AV64" s="1623"/>
      <c r="AW64" s="1623"/>
      <c r="AX64" s="1623"/>
      <c r="AY64" s="1623"/>
      <c r="AZ64" s="1623"/>
      <c r="BA64" s="1623"/>
      <c r="BB64" s="1624">
        <f t="shared" si="3"/>
        <v>53</v>
      </c>
      <c r="BC64" s="1624"/>
    </row>
    <row r="65" spans="1:55" s="470" customFormat="1" ht="23.25" customHeight="1" thickBot="1" x14ac:dyDescent="0.25">
      <c r="A65" s="525"/>
      <c r="B65" s="1661"/>
      <c r="C65" s="533" t="str">
        <f>"Net Number of Children becoming Looked After during the "&amp;Sheet1!$G$3&amp;", Rate per 10,000 0-17 Year Olds"</f>
        <v>Net Number of Children becoming Looked After during the Year ending 31st March, Rate per 10,000 0-17 Year Olds</v>
      </c>
      <c r="D65" s="727">
        <f>IFERROR(VLOOKUP(D$12,New_Ceased_LAC!$B$257:$Q$283,14,FALSE),"")</f>
        <v>-5.28169014084507</v>
      </c>
      <c r="E65" s="662">
        <f>IFERROR(VLOOKUP(E$12,New_Ceased_LAC!$B$257:$Q$283,14,FALSE),"")</f>
        <v>-4.7713717693836983</v>
      </c>
      <c r="F65" s="662">
        <f>IFERROR(VLOOKUP(F$12,New_Ceased_LAC!$B$257:$Q$283,14,FALSE),"")</f>
        <v>-2.5457438345266503</v>
      </c>
      <c r="G65" s="662">
        <f>IFERROR(VLOOKUP(G$12,New_Ceased_LAC!$B$257:$Q$283,14,FALSE),"")</f>
        <v>-0.18814675446848542</v>
      </c>
      <c r="H65" s="662">
        <f>IFERROR(VLOOKUP(H$12,New_Ceased_LAC!$B$257:$Q$283,14,FALSE),"")</f>
        <v>-2.6380583890256775</v>
      </c>
      <c r="I65" s="662">
        <f>IFERROR(VLOOKUP(I$12,New_Ceased_LAC!$B$257:$Q$283,14,FALSE),"")</f>
        <v>7.6923076923076925</v>
      </c>
      <c r="J65" s="662">
        <f>IFERROR(VLOOKUP(J$12,New_Ceased_LAC!$B$257:$Q$283,14,FALSE),"")</f>
        <v>6.0500290866783013</v>
      </c>
      <c r="K65" s="662">
        <f>IFERROR(VLOOKUP(K$12,New_Ceased_LAC!$B$257:$Q$283,14,FALSE),"")</f>
        <v>-0.92307692307692302</v>
      </c>
      <c r="L65" s="662">
        <f>IFERROR(VLOOKUP(L$12,New_Ceased_LAC!$B$257:$Q$283,14,FALSE),"")</f>
        <v>2.9069767441860463</v>
      </c>
      <c r="M65" s="662">
        <f>IFERROR(VLOOKUP(M$12,New_Ceased_LAC!$B$257:$Q$283,14,FALSE),"")</f>
        <v>-0.88980150581793294</v>
      </c>
      <c r="N65" s="662">
        <f>IFERROR(VLOOKUP(N$12,New_Ceased_LAC!$B$257:$Q$283,14,FALSE),"")</f>
        <v>-5.7077625570776256</v>
      </c>
      <c r="O65" s="662">
        <f>IFERROR(VLOOKUP(O$12,New_Ceased_LAC!$B$257:$Q$283,14,FALSE),"")</f>
        <v>1.8918918918918919</v>
      </c>
      <c r="P65" s="662">
        <f>IFERROR(VLOOKUP(P$12,New_Ceased_LAC!$B$257:$Q$283,14,FALSE),"")</f>
        <v>-4.1763341067285387</v>
      </c>
      <c r="Q65" s="662">
        <f>IFERROR(VLOOKUP(Q$12,New_Ceased_LAC!$B$257:$Q$283,14,FALSE),"")</f>
        <v>-0.53956834532374098</v>
      </c>
      <c r="R65" s="662">
        <f>IFERROR(VLOOKUP(R$12,New_Ceased_LAC!$B$257:$Q$283,14,FALSE),"")</f>
        <v>-0.38986354775828463</v>
      </c>
      <c r="S65" s="662">
        <f>IFERROR(VLOOKUP(S$12,New_Ceased_LAC!$B$257:$Q$283,14,FALSE),"")</f>
        <v>0.30326004548900681</v>
      </c>
      <c r="T65" s="662">
        <f>IFERROR(VLOOKUP(T$12,New_Ceased_LAC!$B$257:$Q$283,14,FALSE),"")</f>
        <v>-9.5238095238095237</v>
      </c>
      <c r="U65" s="662">
        <f>IFERROR(VLOOKUP(U$12,New_Ceased_LAC!$B$257:$Q$283,14,FALSE),"")</f>
        <v>-2.34375</v>
      </c>
      <c r="V65" s="662">
        <f>IFERROR(VLOOKUP(V$12,New_Ceased_LAC!$B$257:$Q$283,14,FALSE),"")</f>
        <v>-4.213483146067416</v>
      </c>
      <c r="W65" s="662">
        <f>IFERROR(VLOOKUP(W$12,New_Ceased_LAC!$B$257:$Q$283,14,FALSE),"")</f>
        <v>5.7921635434412266</v>
      </c>
      <c r="X65" s="662">
        <f>IFERROR(VLOOKUP(X$12,New_Ceased_LAC!$B$257:$Q$283,14,FALSE),"")</f>
        <v>-2.8818443804034581</v>
      </c>
      <c r="Y65" s="664">
        <f>IFERROR(VLOOKUP(Y$12,New_Ceased_LAC!$B$257:$Q$283,14,FALSE),"")</f>
        <v>-2.722772277227723</v>
      </c>
      <c r="Z65" s="1237">
        <f>IFERROR(VLOOKUP(Z$12,New_Ceased_LAC!$B$257:$Q$283,14,FALSE),"")</f>
        <v>0.5890717042453788</v>
      </c>
      <c r="AA65" s="1516">
        <f>IFERROR(VLOOKUP(AA$12,New_Ceased_LAC!$B$257:$Q$283,14,FALSE),"")</f>
        <v>1.1477427725473237</v>
      </c>
      <c r="AB65" s="528"/>
      <c r="AC65" s="772"/>
      <c r="AD65" s="529"/>
      <c r="AE65" s="1623"/>
      <c r="AF65" s="1623"/>
      <c r="AG65" s="1623"/>
      <c r="AH65" s="1623"/>
      <c r="AI65" s="1623"/>
      <c r="AJ65" s="1623"/>
      <c r="AK65" s="1623"/>
      <c r="AL65" s="1623"/>
      <c r="AM65" s="1623"/>
      <c r="AN65" s="1623"/>
      <c r="AO65" s="1623"/>
      <c r="AP65" s="1623"/>
      <c r="AQ65" s="1623"/>
      <c r="AR65" s="1623"/>
      <c r="AS65" s="1623"/>
      <c r="AT65" s="1623"/>
      <c r="AU65" s="1623"/>
      <c r="AV65" s="1623"/>
      <c r="AW65" s="1623"/>
      <c r="AX65" s="1623"/>
      <c r="AY65" s="1623"/>
      <c r="AZ65" s="1623"/>
      <c r="BA65" s="1623"/>
      <c r="BB65" s="1624">
        <f t="shared" si="3"/>
        <v>54</v>
      </c>
      <c r="BC65" s="1624"/>
    </row>
    <row r="66" spans="1:55" s="470" customFormat="1" ht="23.25" customHeight="1" x14ac:dyDescent="0.2">
      <c r="A66" s="525"/>
      <c r="B66" s="1661"/>
      <c r="C66" s="1224" t="str">
        <f>"% Children who ceased to be Looked After during the "&amp;Sheet1!$G$3&amp;" who were granted a Child Arrangement Order"</f>
        <v>% Children who ceased to be Looked After during the Year ending 31st March who were granted a Child Arrangement Order</v>
      </c>
      <c r="D66" s="715">
        <f>IFERROR(VLOOKUP(D$12,ROSGO!$B$77:$H$100,7,FALSE),"")</f>
        <v>0</v>
      </c>
      <c r="E66" s="532">
        <f>IFERROR(VLOOKUP(E$12,ROSGO!$B$77:$H$100,7,FALSE),"")</f>
        <v>3.3707865168539325E-2</v>
      </c>
      <c r="F66" s="532">
        <f>IFERROR(VLOOKUP(F$12,ROSGO!$B$77:$H$100,7,FALSE),"")</f>
        <v>2.9787234042553193E-2</v>
      </c>
      <c r="G66" s="532">
        <f>IFERROR(VLOOKUP(G$12,ROSGO!$B$77:$H$100,7,FALSE),"")</f>
        <v>0</v>
      </c>
      <c r="H66" s="532">
        <f>IFERROR(VLOOKUP(H$12,ROSGO!$B$77:$H$100,7,FALSE),"")</f>
        <v>4.3269230769230768E-2</v>
      </c>
      <c r="I66" s="532">
        <f>IFERROR(VLOOKUP(I$12,ROSGO!$B$77:$H$100,7,FALSE),"")</f>
        <v>0</v>
      </c>
      <c r="J66" s="532">
        <f>IFERROR(VLOOKUP(J$12,ROSGO!$B$77:$H$100,7,FALSE),"")</f>
        <v>2.4390243902439025E-2</v>
      </c>
      <c r="K66" s="532">
        <f>IFERROR(VLOOKUP(K$12,ROSGO!$B$77:$H$100,7,FALSE),"")</f>
        <v>7.7777777777777779E-2</v>
      </c>
      <c r="L66" s="532">
        <f>IFERROR(VLOOKUP(L$12,ROSGO!$B$77:$H$100,7,FALSE),"")</f>
        <v>6.0810810810810814E-2</v>
      </c>
      <c r="M66" s="532">
        <f>IFERROR(VLOOKUP(M$12,ROSGO!$B$77:$H$100,7,FALSE),"")</f>
        <v>5.2795031055900624E-2</v>
      </c>
      <c r="N66" s="532">
        <f>IFERROR(VLOOKUP(N$12,ROSGO!$B$77:$H$100,7,FALSE),"")</f>
        <v>0</v>
      </c>
      <c r="O66" s="532">
        <f>IFERROR(VLOOKUP(O$12,ROSGO!$B$77:$H$100,7,FALSE),"")</f>
        <v>0</v>
      </c>
      <c r="P66" s="532">
        <f>IFERROR(VLOOKUP(P$12,ROSGO!$B$77:$H$100,7,FALSE),"")</f>
        <v>0</v>
      </c>
      <c r="Q66" s="532">
        <f>IFERROR(VLOOKUP(Q$12,ROSGO!$B$77:$H$100,7,FALSE),"")</f>
        <v>5.5837563451776651E-2</v>
      </c>
      <c r="R66" s="532">
        <f>IFERROR(VLOOKUP(R$12,ROSGO!$B$77:$H$100,7,FALSE),"")</f>
        <v>0.10552763819095477</v>
      </c>
      <c r="S66" s="532">
        <f>IFERROR(VLOOKUP(S$12,ROSGO!$B$77:$H$100,7,FALSE),"")</f>
        <v>2.7397260273972601E-2</v>
      </c>
      <c r="T66" s="532">
        <f>IFERROR(VLOOKUP(T$12,ROSGO!$B$77:$H$100,7,FALSE),"")</f>
        <v>0</v>
      </c>
      <c r="U66" s="532">
        <f>IFERROR(VLOOKUP(U$12,ROSGO!$B$77:$H$100,7,FALSE),"")</f>
        <v>0</v>
      </c>
      <c r="V66" s="532">
        <f>IFERROR(VLOOKUP(V$12,ROSGO!$B$77:$H$100,7,FALSE),"")</f>
        <v>0</v>
      </c>
      <c r="W66" s="532">
        <f>IFERROR(VLOOKUP(W$12,ROSGO!$B$77:$H$100,7,FALSE),"")</f>
        <v>0</v>
      </c>
      <c r="X66" s="532">
        <f>IFERROR(VLOOKUP(X$12,ROSGO!$B$77:$H$100,7,FALSE),"")</f>
        <v>0</v>
      </c>
      <c r="Y66" s="658">
        <f>IFERROR(VLOOKUP(Y$12,ROSGO!$B$77:$H$100,7,FALSE),"")</f>
        <v>0.10909090909090909</v>
      </c>
      <c r="Z66" s="1230">
        <f>IFERROR(VLOOKUP(Z$12,ROSGO!$B$77:$H$100,7,FALSE),"")</f>
        <v>3.7558685446009391E-2</v>
      </c>
      <c r="AA66" s="1507">
        <f>IFERROR(VLOOKUP(AA$12,ROSGO!$B$77:$H$100,7,FALSE),"")</f>
        <v>3.9202433254477864E-2</v>
      </c>
      <c r="AB66" s="528"/>
      <c r="AC66" s="772"/>
      <c r="AD66" s="529"/>
      <c r="AE66" s="1623"/>
      <c r="AF66" s="1623"/>
      <c r="AG66" s="1623"/>
      <c r="AH66" s="1623"/>
      <c r="AI66" s="1623"/>
      <c r="AJ66" s="1623"/>
      <c r="AK66" s="1623"/>
      <c r="AL66" s="1623"/>
      <c r="AM66" s="1623"/>
      <c r="AN66" s="1623"/>
      <c r="AO66" s="1623"/>
      <c r="AP66" s="1623"/>
      <c r="AQ66" s="1623"/>
      <c r="AR66" s="1623"/>
      <c r="AS66" s="1623"/>
      <c r="AT66" s="1623"/>
      <c r="AU66" s="1623"/>
      <c r="AV66" s="1623"/>
      <c r="AW66" s="1623"/>
      <c r="AX66" s="1623"/>
      <c r="AY66" s="1623"/>
      <c r="AZ66" s="1623"/>
      <c r="BA66" s="1623"/>
      <c r="BB66" s="1624">
        <f t="shared" si="3"/>
        <v>55</v>
      </c>
      <c r="BC66" s="1624"/>
    </row>
    <row r="67" spans="1:55" s="470" customFormat="1" ht="23.25" customHeight="1" thickBot="1" x14ac:dyDescent="0.25">
      <c r="A67" s="525"/>
      <c r="B67" s="1662"/>
      <c r="C67" s="1224" t="str">
        <f>"% Children who ceased to be Looked After during the "&amp;Sheet1!$G$3&amp;" who were granted a Special Guardianship Order"</f>
        <v>% Children who ceased to be Looked After during the Year ending 31st March who were granted a Special Guardianship Order</v>
      </c>
      <c r="D67" s="718" t="str">
        <f>IFERROR(VLOOKUP(D$12,ROSGO!$B$184:$H$207,7,FALSE),"")</f>
        <v/>
      </c>
      <c r="E67" s="534" t="str">
        <f>IFERROR(VLOOKUP(E$12,ROSGO!$B$184:$H$207,7,FALSE),"")</f>
        <v/>
      </c>
      <c r="F67" s="534" t="str">
        <f>IFERROR(VLOOKUP(F$12,ROSGO!$B$184:$H$207,7,FALSE),"")</f>
        <v/>
      </c>
      <c r="G67" s="534" t="str">
        <f>IFERROR(VLOOKUP(G$12,ROSGO!$B$184:$H$207,7,FALSE),"")</f>
        <v/>
      </c>
      <c r="H67" s="534" t="str">
        <f>IFERROR(VLOOKUP(H$12,ROSGO!$B$184:$H$207,7,FALSE),"")</f>
        <v/>
      </c>
      <c r="I67" s="534" t="str">
        <f>IFERROR(VLOOKUP(I$12,ROSGO!$B$184:$H$207,7,FALSE),"")</f>
        <v/>
      </c>
      <c r="J67" s="534" t="str">
        <f>IFERROR(VLOOKUP(J$12,ROSGO!$B$184:$H$207,7,FALSE),"")</f>
        <v/>
      </c>
      <c r="K67" s="534" t="str">
        <f>IFERROR(VLOOKUP(K$12,ROSGO!$B$184:$H$207,7,FALSE),"")</f>
        <v/>
      </c>
      <c r="L67" s="534" t="str">
        <f>IFERROR(VLOOKUP(L$12,ROSGO!$B$184:$H$207,7,FALSE),"")</f>
        <v/>
      </c>
      <c r="M67" s="534" t="str">
        <f>IFERROR(VLOOKUP(M$12,ROSGO!$B$184:$H$207,7,FALSE),"")</f>
        <v/>
      </c>
      <c r="N67" s="534" t="str">
        <f>IFERROR(VLOOKUP(N$12,ROSGO!$B$184:$H$207,7,FALSE),"")</f>
        <v/>
      </c>
      <c r="O67" s="534" t="str">
        <f>IFERROR(VLOOKUP(O$12,ROSGO!$B$184:$H$207,7,FALSE),"")</f>
        <v/>
      </c>
      <c r="P67" s="534" t="str">
        <f>IFERROR(VLOOKUP(P$12,ROSGO!$B$184:$H$207,7,FALSE),"")</f>
        <v/>
      </c>
      <c r="Q67" s="534" t="str">
        <f>IFERROR(VLOOKUP(Q$12,ROSGO!$B$184:$H$207,7,FALSE),"")</f>
        <v/>
      </c>
      <c r="R67" s="534" t="str">
        <f>IFERROR(VLOOKUP(R$12,ROSGO!$B$184:$H$207,7,FALSE),"")</f>
        <v/>
      </c>
      <c r="S67" s="534" t="str">
        <f>IFERROR(VLOOKUP(S$12,ROSGO!$B$184:$H$207,7,FALSE),"")</f>
        <v/>
      </c>
      <c r="T67" s="534" t="str">
        <f>IFERROR(VLOOKUP(T$12,ROSGO!$B$184:$H$207,7,FALSE),"")</f>
        <v/>
      </c>
      <c r="U67" s="534" t="str">
        <f>IFERROR(VLOOKUP(U$12,ROSGO!$B$184:$H$207,7,FALSE),"")</f>
        <v/>
      </c>
      <c r="V67" s="534" t="str">
        <f>IFERROR(VLOOKUP(V$12,ROSGO!$B$184:$H$207,7,FALSE),"")</f>
        <v/>
      </c>
      <c r="W67" s="534" t="str">
        <f>IFERROR(VLOOKUP(W$12,ROSGO!$B$184:$H$207,7,FALSE),"")</f>
        <v/>
      </c>
      <c r="X67" s="534" t="str">
        <f>IFERROR(VLOOKUP(X$12,ROSGO!$B$184:$H$207,7,FALSE),"")</f>
        <v/>
      </c>
      <c r="Y67" s="719" t="str">
        <f>IFERROR(VLOOKUP(Y$12,ROSGO!$B$184:$H$207,7,FALSE),"")</f>
        <v/>
      </c>
      <c r="Z67" s="1229" t="str">
        <f>IFERROR(VLOOKUP(Z$12,ROSGO!$B$184:$H$207,7,FALSE),"")</f>
        <v/>
      </c>
      <c r="AA67" s="1510" t="str">
        <f>IFERROR(VLOOKUP(AA$12,ROSGO!$B$184:$H$207,7,FALSE),"")</f>
        <v/>
      </c>
      <c r="AB67" s="528"/>
      <c r="AC67" s="772"/>
      <c r="AD67" s="529"/>
      <c r="AE67" s="1623"/>
      <c r="AF67" s="1623"/>
      <c r="AG67" s="1623"/>
      <c r="AH67" s="1623"/>
      <c r="AI67" s="1623"/>
      <c r="AJ67" s="1623"/>
      <c r="AK67" s="1623"/>
      <c r="AL67" s="1623"/>
      <c r="AM67" s="1623"/>
      <c r="AN67" s="1623"/>
      <c r="AO67" s="1623"/>
      <c r="AP67" s="1623"/>
      <c r="AQ67" s="1623"/>
      <c r="AR67" s="1623"/>
      <c r="AS67" s="1623"/>
      <c r="AT67" s="1623"/>
      <c r="AU67" s="1623"/>
      <c r="AV67" s="1623"/>
      <c r="AW67" s="1623"/>
      <c r="AX67" s="1623"/>
      <c r="AY67" s="1623"/>
      <c r="AZ67" s="1623"/>
      <c r="BA67" s="1623"/>
      <c r="BB67" s="1624">
        <f t="shared" si="3"/>
        <v>56</v>
      </c>
      <c r="BC67" s="1624"/>
    </row>
    <row r="68" spans="1:55" s="470" customFormat="1" ht="33" customHeight="1" x14ac:dyDescent="0.2">
      <c r="A68" s="525"/>
      <c r="B68" s="1219"/>
      <c r="C68" s="1220"/>
      <c r="D68" s="1221"/>
      <c r="E68" s="1221"/>
      <c r="F68" s="1221"/>
      <c r="G68" s="1221"/>
      <c r="H68" s="1221"/>
      <c r="I68" s="1221"/>
      <c r="J68" s="1221"/>
      <c r="K68" s="1221"/>
      <c r="L68" s="1221"/>
      <c r="M68" s="1221"/>
      <c r="N68" s="1221"/>
      <c r="O68" s="1221"/>
      <c r="P68" s="1221"/>
      <c r="Q68" s="1221"/>
      <c r="R68" s="1221"/>
      <c r="S68" s="1221"/>
      <c r="T68" s="1221"/>
      <c r="U68" s="1221"/>
      <c r="V68" s="1221"/>
      <c r="W68" s="1221"/>
      <c r="X68" s="1221"/>
      <c r="Y68" s="1221"/>
      <c r="Z68" s="1222"/>
      <c r="AA68" s="1222"/>
      <c r="AB68" s="528"/>
      <c r="AC68" s="772"/>
      <c r="AD68" s="529"/>
      <c r="AE68" s="1623"/>
      <c r="AF68" s="1623"/>
      <c r="AG68" s="1623"/>
      <c r="AH68" s="1623"/>
      <c r="AI68" s="1623"/>
      <c r="AJ68" s="1623"/>
      <c r="AK68" s="1623"/>
      <c r="AL68" s="1623"/>
      <c r="AM68" s="1623"/>
      <c r="AN68" s="1623"/>
      <c r="AO68" s="1623"/>
      <c r="AP68" s="1623"/>
      <c r="AQ68" s="1623"/>
      <c r="AR68" s="1623"/>
      <c r="AS68" s="1623"/>
      <c r="AT68" s="1623"/>
      <c r="AU68" s="1623"/>
      <c r="AV68" s="1623"/>
      <c r="AW68" s="1623"/>
      <c r="AX68" s="1623"/>
      <c r="AY68" s="1623"/>
      <c r="AZ68" s="1623"/>
      <c r="BA68" s="1623"/>
      <c r="BB68" s="1624">
        <f t="shared" si="3"/>
        <v>57</v>
      </c>
      <c r="BC68" s="1624"/>
    </row>
    <row r="69" spans="1:55" s="470" customFormat="1" ht="12.75" x14ac:dyDescent="0.2">
      <c r="A69" s="1671" t="str">
        <f>$A$39</f>
        <v xml:space="preserve"> </v>
      </c>
      <c r="B69" s="1672"/>
      <c r="C69" s="1672"/>
      <c r="D69" s="1672"/>
      <c r="E69" s="1672"/>
      <c r="F69" s="1672"/>
      <c r="G69" s="1672"/>
      <c r="H69" s="1672"/>
      <c r="I69" s="1672"/>
      <c r="J69" s="1672"/>
      <c r="K69" s="1672"/>
      <c r="L69" s="1672"/>
      <c r="M69" s="1672"/>
      <c r="N69" s="1672"/>
      <c r="O69" s="1672"/>
      <c r="P69" s="1672"/>
      <c r="Q69" s="1672"/>
      <c r="R69" s="1672"/>
      <c r="S69" s="1672"/>
      <c r="T69" s="1672"/>
      <c r="U69" s="1672"/>
      <c r="V69" s="1672"/>
      <c r="W69" s="1672"/>
      <c r="X69" s="1672"/>
      <c r="Y69" s="1672"/>
      <c r="Z69" s="1672"/>
      <c r="AA69" s="1672"/>
      <c r="AB69" s="1673"/>
      <c r="AC69" s="773"/>
      <c r="AD69" s="529"/>
      <c r="AE69" s="1623"/>
      <c r="AF69" s="1623"/>
      <c r="AG69" s="1623"/>
      <c r="AH69" s="1623"/>
      <c r="AI69" s="1623"/>
      <c r="AJ69" s="1623"/>
      <c r="AK69" s="1623"/>
      <c r="AL69" s="1623"/>
      <c r="AM69" s="1623"/>
      <c r="AN69" s="1623"/>
      <c r="AO69" s="1623"/>
      <c r="AP69" s="1623"/>
      <c r="AQ69" s="1623"/>
      <c r="AR69" s="1623"/>
      <c r="AS69" s="1623"/>
      <c r="AT69" s="1623"/>
      <c r="AU69" s="1623"/>
      <c r="AV69" s="1623"/>
      <c r="AW69" s="1623"/>
      <c r="AX69" s="1623"/>
      <c r="AY69" s="1623"/>
      <c r="AZ69" s="1623"/>
      <c r="BA69" s="1623"/>
      <c r="BB69" s="1624">
        <f t="shared" si="3"/>
        <v>58</v>
      </c>
      <c r="BC69" s="1624"/>
    </row>
    <row r="70" spans="1:55" s="470" customFormat="1" ht="11.25" customHeight="1" thickBot="1" x14ac:dyDescent="0.25">
      <c r="A70" s="666"/>
      <c r="B70" s="667"/>
      <c r="C70" s="668"/>
      <c r="D70" s="669"/>
      <c r="E70" s="669"/>
      <c r="F70" s="669"/>
      <c r="G70" s="669"/>
      <c r="H70" s="669"/>
      <c r="I70" s="669"/>
      <c r="J70" s="669"/>
      <c r="K70" s="669"/>
      <c r="L70" s="669"/>
      <c r="M70" s="669"/>
      <c r="N70" s="669"/>
      <c r="O70" s="669"/>
      <c r="P70" s="669"/>
      <c r="Q70" s="669"/>
      <c r="R70" s="669"/>
      <c r="S70" s="669"/>
      <c r="T70" s="669"/>
      <c r="U70" s="669"/>
      <c r="V70" s="669"/>
      <c r="W70" s="669"/>
      <c r="X70" s="669"/>
      <c r="Y70" s="669"/>
      <c r="Z70" s="670"/>
      <c r="AA70" s="670"/>
      <c r="AB70" s="671"/>
      <c r="AC70" s="772"/>
      <c r="AD70" s="529"/>
      <c r="AE70" s="1623"/>
      <c r="AF70" s="1623"/>
      <c r="AG70" s="1623"/>
      <c r="AH70" s="1623"/>
      <c r="AI70" s="1623"/>
      <c r="AJ70" s="1623"/>
      <c r="AK70" s="1623"/>
      <c r="AL70" s="1623"/>
      <c r="AM70" s="1623"/>
      <c r="AN70" s="1623"/>
      <c r="AO70" s="1623"/>
      <c r="AP70" s="1623"/>
      <c r="AQ70" s="1623"/>
      <c r="AR70" s="1623"/>
      <c r="AS70" s="1623"/>
      <c r="AT70" s="1623"/>
      <c r="AU70" s="1623"/>
      <c r="AV70" s="1623"/>
      <c r="AW70" s="1623"/>
      <c r="AX70" s="1623"/>
      <c r="AY70" s="1623"/>
      <c r="AZ70" s="1623"/>
      <c r="BA70" s="1623"/>
      <c r="BB70" s="1624">
        <f t="shared" si="3"/>
        <v>59</v>
      </c>
      <c r="BC70" s="1624"/>
    </row>
    <row r="71" spans="1:55" s="524" customFormat="1" ht="57.75" customHeight="1" x14ac:dyDescent="0.2">
      <c r="A71" s="521"/>
      <c r="B71" s="1674" t="s">
        <v>641</v>
      </c>
      <c r="C71" s="1674"/>
      <c r="D71" s="1675" t="s">
        <v>0</v>
      </c>
      <c r="E71" s="1663" t="s">
        <v>31</v>
      </c>
      <c r="F71" s="1663" t="s">
        <v>8</v>
      </c>
      <c r="G71" s="1663" t="s">
        <v>4</v>
      </c>
      <c r="H71" s="1663" t="s">
        <v>6</v>
      </c>
      <c r="I71" s="1663" t="s">
        <v>1</v>
      </c>
      <c r="J71" s="1663" t="s">
        <v>9</v>
      </c>
      <c r="K71" s="1663" t="s">
        <v>2</v>
      </c>
      <c r="L71" s="1663" t="s">
        <v>10</v>
      </c>
      <c r="M71" s="1663" t="s">
        <v>11</v>
      </c>
      <c r="N71" s="1663" t="s">
        <v>12</v>
      </c>
      <c r="O71" s="1663" t="s">
        <v>3</v>
      </c>
      <c r="P71" s="1663" t="s">
        <v>13</v>
      </c>
      <c r="Q71" s="1663" t="s">
        <v>95</v>
      </c>
      <c r="R71" s="1663" t="s">
        <v>14</v>
      </c>
      <c r="S71" s="1663" t="s">
        <v>7</v>
      </c>
      <c r="T71" s="1663" t="s">
        <v>113</v>
      </c>
      <c r="U71" s="1663" t="s">
        <v>114</v>
      </c>
      <c r="V71" s="1663" t="s">
        <v>15</v>
      </c>
      <c r="W71" s="1663" t="s">
        <v>5</v>
      </c>
      <c r="X71" s="1663" t="s">
        <v>30</v>
      </c>
      <c r="Y71" s="1669" t="s">
        <v>16</v>
      </c>
      <c r="Z71" s="1667" t="s">
        <v>74</v>
      </c>
      <c r="AA71" s="1665" t="s">
        <v>127</v>
      </c>
      <c r="AB71" s="522"/>
      <c r="AC71" s="771"/>
      <c r="AD71" s="523"/>
      <c r="AE71" s="1621" t="s">
        <v>211</v>
      </c>
      <c r="AF71" s="1621" t="s">
        <v>0</v>
      </c>
      <c r="AG71" s="1621" t="s">
        <v>31</v>
      </c>
      <c r="AH71" s="1621" t="s">
        <v>8</v>
      </c>
      <c r="AI71" s="1621" t="s">
        <v>4</v>
      </c>
      <c r="AJ71" s="1621" t="s">
        <v>6</v>
      </c>
      <c r="AK71" s="1621" t="s">
        <v>1</v>
      </c>
      <c r="AL71" s="1621" t="s">
        <v>9</v>
      </c>
      <c r="AM71" s="1621" t="s">
        <v>2</v>
      </c>
      <c r="AN71" s="1621" t="s">
        <v>10</v>
      </c>
      <c r="AO71" s="1621" t="s">
        <v>11</v>
      </c>
      <c r="AP71" s="1621" t="s">
        <v>12</v>
      </c>
      <c r="AQ71" s="1621" t="s">
        <v>3</v>
      </c>
      <c r="AR71" s="1621" t="s">
        <v>13</v>
      </c>
      <c r="AS71" s="1621" t="s">
        <v>95</v>
      </c>
      <c r="AT71" s="1621" t="s">
        <v>14</v>
      </c>
      <c r="AU71" s="1621" t="s">
        <v>7</v>
      </c>
      <c r="AV71" s="1621" t="s">
        <v>113</v>
      </c>
      <c r="AW71" s="1621" t="s">
        <v>114</v>
      </c>
      <c r="AX71" s="1621" t="s">
        <v>15</v>
      </c>
      <c r="AY71" s="1621" t="s">
        <v>5</v>
      </c>
      <c r="AZ71" s="1621" t="s">
        <v>30</v>
      </c>
      <c r="BA71" s="1621" t="s">
        <v>16</v>
      </c>
      <c r="BB71" s="1624">
        <f t="shared" si="3"/>
        <v>60</v>
      </c>
      <c r="BC71" s="1622"/>
    </row>
    <row r="72" spans="1:55" s="524" customFormat="1" ht="13.5" thickBot="1" x14ac:dyDescent="0.25">
      <c r="A72" s="521"/>
      <c r="B72" s="710" t="s">
        <v>212</v>
      </c>
      <c r="C72" s="710" t="s">
        <v>213</v>
      </c>
      <c r="D72" s="1676"/>
      <c r="E72" s="1664"/>
      <c r="F72" s="1664"/>
      <c r="G72" s="1664"/>
      <c r="H72" s="1664"/>
      <c r="I72" s="1664"/>
      <c r="J72" s="1664"/>
      <c r="K72" s="1664"/>
      <c r="L72" s="1664"/>
      <c r="M72" s="1664"/>
      <c r="N72" s="1664"/>
      <c r="O72" s="1664"/>
      <c r="P72" s="1664"/>
      <c r="Q72" s="1664"/>
      <c r="R72" s="1664"/>
      <c r="S72" s="1664"/>
      <c r="T72" s="1664"/>
      <c r="U72" s="1664"/>
      <c r="V72" s="1664"/>
      <c r="W72" s="1664"/>
      <c r="X72" s="1664"/>
      <c r="Y72" s="1670"/>
      <c r="Z72" s="1668"/>
      <c r="AA72" s="1666"/>
      <c r="AB72" s="522"/>
      <c r="AC72" s="771"/>
      <c r="AD72" s="523"/>
      <c r="AE72" s="1621"/>
      <c r="AF72" s="1621"/>
      <c r="AG72" s="1621"/>
      <c r="AH72" s="1621"/>
      <c r="AI72" s="1621"/>
      <c r="AJ72" s="1621"/>
      <c r="AK72" s="1621"/>
      <c r="AL72" s="1621"/>
      <c r="AM72" s="1621"/>
      <c r="AN72" s="1621"/>
      <c r="AO72" s="1621"/>
      <c r="AP72" s="1621"/>
      <c r="AQ72" s="1621"/>
      <c r="AR72" s="1621"/>
      <c r="AS72" s="1621"/>
      <c r="AT72" s="1621"/>
      <c r="AU72" s="1621"/>
      <c r="AV72" s="1621"/>
      <c r="AW72" s="1621"/>
      <c r="AX72" s="1621"/>
      <c r="AY72" s="1621"/>
      <c r="AZ72" s="1621"/>
      <c r="BA72" s="1621"/>
      <c r="BB72" s="1624">
        <f t="shared" si="3"/>
        <v>61</v>
      </c>
      <c r="BC72" s="1622"/>
    </row>
    <row r="73" spans="1:55" s="470" customFormat="1" ht="23.25" customHeight="1" x14ac:dyDescent="0.2">
      <c r="A73" s="525"/>
      <c r="B73" s="1657" t="s">
        <v>666</v>
      </c>
      <c r="C73" s="535" t="str">
        <f>"Number of Care Leavers Aged 19-21 at "&amp;Sheet1!$H$3&amp;", Rate per 10,000 19-21 Year Olds"</f>
        <v>Number of Care Leavers Aged 19-21 at 31st March, Rate per 10,000 19-21 Year Olds</v>
      </c>
      <c r="D73" s="713">
        <f>IFERROR(VLOOKUP(D$12,Care_Leavers!$B$7:$Q$32,15,FALSE),"")</f>
        <v>169.13946587537092</v>
      </c>
      <c r="E73" s="527">
        <f>IFERROR(VLOOKUP(E$12,Care_Leavers!$B$7:$Q$32,15,FALSE),"")</f>
        <v>109.36007640878702</v>
      </c>
      <c r="F73" s="527">
        <f>IFERROR(VLOOKUP(F$12,Care_Leavers!$B$7:$Q$32,15,FALSE),"")</f>
        <v>151.5625</v>
      </c>
      <c r="G73" s="527">
        <f>IFERROR(VLOOKUP(G$12,Care_Leavers!$B$7:$Q$32,15,FALSE),"")</f>
        <v>137.39298536315934</v>
      </c>
      <c r="H73" s="527">
        <f>IFERROR(VLOOKUP(H$12,Care_Leavers!$B$7:$Q$32,15,FALSE),"")</f>
        <v>143.97871618978064</v>
      </c>
      <c r="I73" s="527">
        <f>IFERROR(VLOOKUP(I$12,Care_Leavers!$B$7:$Q$32,15,FALSE),"")</f>
        <v>243.4928631402183</v>
      </c>
      <c r="J73" s="527">
        <f>IFERROR(VLOOKUP(J$12,Care_Leavers!$B$7:$Q$32,15,FALSE),"")</f>
        <v>271.92827228219193</v>
      </c>
      <c r="K73" s="527">
        <f>IFERROR(VLOOKUP(K$12,Care_Leavers!$B$7:$Q$32,15,FALSE),"")</f>
        <v>129.50872310820935</v>
      </c>
      <c r="L73" s="527">
        <f>IFERROR(VLOOKUP(L$12,Care_Leavers!$B$7:$Q$32,15,FALSE),"")</f>
        <v>260.66350710900474</v>
      </c>
      <c r="M73" s="527">
        <f>IFERROR(VLOOKUP(M$12,Care_Leavers!$B$7:$Q$32,15,FALSE),"")</f>
        <v>97.249607325468702</v>
      </c>
      <c r="N73" s="527">
        <f>IFERROR(VLOOKUP(N$12,Care_Leavers!$B$7:$Q$32,15,FALSE),"")</f>
        <v>92.024539877300626</v>
      </c>
      <c r="O73" s="527">
        <f>IFERROR(VLOOKUP(O$12,Care_Leavers!$B$7:$Q$32,15,FALSE),"")</f>
        <v>114.20171867933063</v>
      </c>
      <c r="P73" s="527">
        <f>IFERROR(VLOOKUP(P$12,Care_Leavers!$B$7:$Q$32,15,FALSE),"")</f>
        <v>227.1062271062271</v>
      </c>
      <c r="Q73" s="527">
        <f>IFERROR(VLOOKUP(Q$12,Care_Leavers!$B$7:$Q$32,15,FALSE),"")</f>
        <v>149.78857593349102</v>
      </c>
      <c r="R73" s="527">
        <f>IFERROR(VLOOKUP(R$12,Care_Leavers!$B$7:$Q$32,15,FALSE),"")</f>
        <v>63.961720619110395</v>
      </c>
      <c r="S73" s="527">
        <f>IFERROR(VLOOKUP(S$12,Care_Leavers!$B$7:$Q$32,15,FALSE),"")</f>
        <v>137.1105420401195</v>
      </c>
      <c r="T73" s="527">
        <f>IFERROR(VLOOKUP(T$12,Care_Leavers!$B$7:$Q$32,15,FALSE),"")</f>
        <v>230.03401911550301</v>
      </c>
      <c r="U73" s="527">
        <f>IFERROR(VLOOKUP(U$12,Care_Leavers!$B$7:$Q$32,15,FALSE),"")</f>
        <v>343.39846062759028</v>
      </c>
      <c r="V73" s="527">
        <f>IFERROR(VLOOKUP(V$12,Care_Leavers!$B$7:$Q$32,15,FALSE),"")</f>
        <v>213.33333333333331</v>
      </c>
      <c r="W73" s="527">
        <f>IFERROR(VLOOKUP(W$12,Care_Leavers!$B$7:$Q$32,15,FALSE),"")</f>
        <v>171.77971230389645</v>
      </c>
      <c r="X73" s="527">
        <f>IFERROR(VLOOKUP(X$12,Care_Leavers!$B$7:$Q$32,15,FALSE),"")</f>
        <v>168.16816816816817</v>
      </c>
      <c r="Y73" s="714">
        <f>IFERROR(VLOOKUP(Y$12,Care_Leavers!$B$7:$Q$32,15,FALSE),"")</f>
        <v>115.85642889595638</v>
      </c>
      <c r="Z73" s="1228">
        <f>IFERROR(VLOOKUP(Z$12,Care_Leavers!$B$7:$Q$32,15,FALSE),"")</f>
        <v>155.57659973329726</v>
      </c>
      <c r="AA73" s="1506">
        <f>IFERROR(VLOOKUP(AA$12,Care_Leavers!$B$7:$Q$33,15,FALSE),"")</f>
        <v>157.276292586229</v>
      </c>
      <c r="AB73" s="528"/>
      <c r="AC73" s="772"/>
      <c r="AD73" s="529"/>
      <c r="AE73" s="1623"/>
      <c r="AF73" s="1623"/>
      <c r="AG73" s="1623"/>
      <c r="AH73" s="1623"/>
      <c r="AI73" s="1623"/>
      <c r="AJ73" s="1623"/>
      <c r="AK73" s="1623"/>
      <c r="AL73" s="1623"/>
      <c r="AM73" s="1623"/>
      <c r="AN73" s="1623"/>
      <c r="AO73" s="1623"/>
      <c r="AP73" s="1623"/>
      <c r="AQ73" s="1623"/>
      <c r="AR73" s="1623"/>
      <c r="AS73" s="1623"/>
      <c r="AT73" s="1623"/>
      <c r="AU73" s="1623"/>
      <c r="AV73" s="1623"/>
      <c r="AW73" s="1623"/>
      <c r="AX73" s="1623"/>
      <c r="AY73" s="1623"/>
      <c r="AZ73" s="1623"/>
      <c r="BA73" s="1623"/>
      <c r="BB73" s="1624">
        <f t="shared" si="3"/>
        <v>62</v>
      </c>
      <c r="BC73" s="1624"/>
    </row>
    <row r="74" spans="1:55" s="470" customFormat="1" ht="18" customHeight="1" x14ac:dyDescent="0.2">
      <c r="A74" s="525"/>
      <c r="B74" s="1658"/>
      <c r="C74" s="536" t="s">
        <v>793</v>
      </c>
      <c r="D74" s="715" t="str">
        <f>IFERROR(VLOOKUP(D$12,Care_Leavers!$B$75:$H$99,7,FALSE),"")</f>
        <v/>
      </c>
      <c r="E74" s="532">
        <f>IFERROR(VLOOKUP(E$12,Care_Leavers!$B$75:$H$99,7,FALSE),"")</f>
        <v>0.95633187772925765</v>
      </c>
      <c r="F74" s="532">
        <f>IFERROR(VLOOKUP(F$12,Care_Leavers!$B$75:$H$99,7,FALSE),"")</f>
        <v>0.89175257731958768</v>
      </c>
      <c r="G74" s="532">
        <f>IFERROR(VLOOKUP(G$12,Care_Leavers!$B$75:$H$99,7,FALSE),"")</f>
        <v>0.83417085427135673</v>
      </c>
      <c r="H74" s="532">
        <f>IFERROR(VLOOKUP(H$12,Care_Leavers!$B$75:$H$99,7,FALSE),"")</f>
        <v>0.78260869565217395</v>
      </c>
      <c r="I74" s="532" t="str">
        <f>IFERROR(VLOOKUP(I$12,Care_Leavers!$B$75:$H$99,7,FALSE),"")</f>
        <v/>
      </c>
      <c r="J74" s="532">
        <f>IFERROR(VLOOKUP(J$12,Care_Leavers!$B$75:$H$99,7,FALSE),"")</f>
        <v>0.85104844540853219</v>
      </c>
      <c r="K74" s="532" t="str">
        <f>IFERROR(VLOOKUP(K$12,Care_Leavers!$B$75:$H$99,7,FALSE),"")</f>
        <v/>
      </c>
      <c r="L74" s="532">
        <f>IFERROR(VLOOKUP(L$12,Care_Leavers!$B$75:$H$99,7,FALSE),"")</f>
        <v>0.89090909090909087</v>
      </c>
      <c r="M74" s="532">
        <f>IFERROR(VLOOKUP(M$12,Care_Leavers!$B$75:$H$99,7,FALSE),"")</f>
        <v>0.83848797250859108</v>
      </c>
      <c r="N74" s="532">
        <f>IFERROR(VLOOKUP(N$12,Care_Leavers!$B$75:$H$99,7,FALSE),"")</f>
        <v>0.76470588235294112</v>
      </c>
      <c r="O74" s="532">
        <f>IFERROR(VLOOKUP(O$12,Care_Leavers!$B$75:$H$99,7,FALSE),"")</f>
        <v>0.90099009900990101</v>
      </c>
      <c r="P74" s="532">
        <f>IFERROR(VLOOKUP(P$12,Care_Leavers!$B$75:$H$99,7,FALSE),"")</f>
        <v>0.90322580645161288</v>
      </c>
      <c r="Q74" s="532">
        <f>IFERROR(VLOOKUP(Q$12,Care_Leavers!$B$75:$H$99,7,FALSE),"")</f>
        <v>0.9712918660287081</v>
      </c>
      <c r="R74" s="532">
        <f>IFERROR(VLOOKUP(R$12,Care_Leavers!$B$75:$H$99,7,FALSE),"")</f>
        <v>0.90839694656488545</v>
      </c>
      <c r="S74" s="532">
        <f>IFERROR(VLOOKUP(S$12,Care_Leavers!$B$75:$H$99,7,FALSE),"")</f>
        <v>0.8132295719844358</v>
      </c>
      <c r="T74" s="532" t="str">
        <f>IFERROR(VLOOKUP(T$12,Care_Leavers!$B$75:$H$99,7,FALSE),"")</f>
        <v/>
      </c>
      <c r="U74" s="532" t="str">
        <f>IFERROR(VLOOKUP(U$12,Care_Leavers!$B$75:$H$99,7,FALSE),"")</f>
        <v/>
      </c>
      <c r="V74" s="532">
        <f>IFERROR(VLOOKUP(V$12,Care_Leavers!$B$75:$H$99,7,FALSE),"")</f>
        <v>0.875</v>
      </c>
      <c r="W74" s="532">
        <f>IFERROR(VLOOKUP(W$12,Care_Leavers!$B$75:$H$99,7,FALSE),"")</f>
        <v>0.90243902439024393</v>
      </c>
      <c r="X74" s="532">
        <f>IFERROR(VLOOKUP(X$12,Care_Leavers!$B$75:$H$99,7,FALSE),"")</f>
        <v>0.8928571428571429</v>
      </c>
      <c r="Y74" s="658" t="str">
        <f>IFERROR(VLOOKUP(Y$12,Care_Leavers!$B$75:$H$99,7,FALSE),"")</f>
        <v/>
      </c>
      <c r="Z74" s="1230">
        <f>IFERROR(VLOOKUP(Z$12,Care_Leavers!$B$75:$H$99,7,FALSE),"")</f>
        <v>0.85992540406133444</v>
      </c>
      <c r="AA74" s="1507">
        <f>IFERROR(VLOOKUP(AA$12,Care_Leavers!$B$75:$H$100,7,FALSE),"")</f>
        <v>0.89763275751759442</v>
      </c>
      <c r="AB74" s="528"/>
      <c r="AC74" s="772"/>
      <c r="AD74" s="529"/>
      <c r="AE74" s="1623"/>
      <c r="AF74" s="1623"/>
      <c r="AG74" s="1623"/>
      <c r="AH74" s="1623"/>
      <c r="AI74" s="1623"/>
      <c r="AJ74" s="1623"/>
      <c r="AK74" s="1623"/>
      <c r="AL74" s="1623"/>
      <c r="AM74" s="1623"/>
      <c r="AN74" s="1623"/>
      <c r="AO74" s="1623"/>
      <c r="AP74" s="1623"/>
      <c r="AQ74" s="1623"/>
      <c r="AR74" s="1623"/>
      <c r="AS74" s="1623"/>
      <c r="AT74" s="1623"/>
      <c r="AU74" s="1623"/>
      <c r="AV74" s="1623"/>
      <c r="AW74" s="1623"/>
      <c r="AX74" s="1623"/>
      <c r="AY74" s="1623"/>
      <c r="AZ74" s="1623"/>
      <c r="BA74" s="1623"/>
      <c r="BB74" s="1624">
        <f t="shared" si="3"/>
        <v>63</v>
      </c>
      <c r="BC74" s="1624"/>
    </row>
    <row r="75" spans="1:55" s="470" customFormat="1" ht="18" customHeight="1" x14ac:dyDescent="0.2">
      <c r="A75" s="525"/>
      <c r="B75" s="1658"/>
      <c r="C75" s="1633" t="s">
        <v>794</v>
      </c>
      <c r="D75" s="728" t="str">
        <f>IFERROR(VLOOKUP(D$12,Care_Leavers!$B$111:$H$135,7,FALSE),"")</f>
        <v/>
      </c>
      <c r="E75" s="665">
        <f>IFERROR(VLOOKUP(E$12,Care_Leavers!$B$111:$H$135,7,FALSE),"")</f>
        <v>0.90393013100436681</v>
      </c>
      <c r="F75" s="665">
        <f>IFERROR(VLOOKUP(F$12,Care_Leavers!$B$111:$H$135,7,FALSE),"")</f>
        <v>0.82989690721649489</v>
      </c>
      <c r="G75" s="665">
        <f>IFERROR(VLOOKUP(G$12,Care_Leavers!$B$111:$H$135,7,FALSE),"")</f>
        <v>0.7839195979899497</v>
      </c>
      <c r="H75" s="665">
        <f>IFERROR(VLOOKUP(H$12,Care_Leavers!$B$111:$H$135,7,FALSE),"")</f>
        <v>0.70652173913043481</v>
      </c>
      <c r="I75" s="665" t="str">
        <f>IFERROR(VLOOKUP(I$12,Care_Leavers!$B$111:$H$135,7,FALSE),"")</f>
        <v/>
      </c>
      <c r="J75" s="665">
        <f>IFERROR(VLOOKUP(J$12,Care_Leavers!$B$111:$H$135,7,FALSE),"")</f>
        <v>0.74620390455531449</v>
      </c>
      <c r="K75" s="665">
        <f>IFERROR(VLOOKUP(K$12,Care_Leavers!$B$111:$H$135,7,FALSE),"")</f>
        <v>0.94214876033057848</v>
      </c>
      <c r="L75" s="665">
        <f>IFERROR(VLOOKUP(L$12,Care_Leavers!$B$111:$H$135,7,FALSE),"")</f>
        <v>0.81818181818181823</v>
      </c>
      <c r="M75" s="665">
        <f>IFERROR(VLOOKUP(M$12,Care_Leavers!$B$111:$H$135,7,FALSE),"")</f>
        <v>0.76975945017182135</v>
      </c>
      <c r="N75" s="665">
        <f>IFERROR(VLOOKUP(N$12,Care_Leavers!$B$111:$H$135,7,FALSE),"")</f>
        <v>0.70588235294117652</v>
      </c>
      <c r="O75" s="665">
        <f>IFERROR(VLOOKUP(O$12,Care_Leavers!$B$111:$H$135,7,FALSE),"")</f>
        <v>0.84158415841584155</v>
      </c>
      <c r="P75" s="665">
        <f>IFERROR(VLOOKUP(P$12,Care_Leavers!$B$111:$H$135,7,FALSE),"")</f>
        <v>0.79569892473118276</v>
      </c>
      <c r="Q75" s="665">
        <f>IFERROR(VLOOKUP(Q$12,Care_Leavers!$B$111:$H$135,7,FALSE),"")</f>
        <v>0.95215311004784686</v>
      </c>
      <c r="R75" s="665">
        <f>IFERROR(VLOOKUP(R$12,Care_Leavers!$B$111:$H$135,7,FALSE),"")</f>
        <v>0.79389312977099236</v>
      </c>
      <c r="S75" s="665">
        <f>IFERROR(VLOOKUP(S$12,Care_Leavers!$B$111:$H$135,7,FALSE),"")</f>
        <v>0.78210116731517509</v>
      </c>
      <c r="T75" s="665">
        <f>IFERROR(VLOOKUP(T$12,Care_Leavers!$B$111:$H$135,7,FALSE),"")</f>
        <v>0.8098591549295775</v>
      </c>
      <c r="U75" s="665">
        <f>IFERROR(VLOOKUP(U$12,Care_Leavers!$B$111:$H$135,7,FALSE),"")</f>
        <v>0.89655172413793105</v>
      </c>
      <c r="V75" s="665" t="str">
        <f>IFERROR(VLOOKUP(V$12,Care_Leavers!$B$111:$H$135,7,FALSE),"")</f>
        <v/>
      </c>
      <c r="W75" s="665">
        <f>IFERROR(VLOOKUP(W$12,Care_Leavers!$B$111:$H$135,7,FALSE),"")</f>
        <v>0.86178861788617889</v>
      </c>
      <c r="X75" s="665">
        <f>IFERROR(VLOOKUP(X$12,Care_Leavers!$B$111:$H$135,7,FALSE),"")</f>
        <v>0.8035714285714286</v>
      </c>
      <c r="Y75" s="729" t="str">
        <f>IFERROR(VLOOKUP(Y$12,Care_Leavers!$B$111:$H$135,7,FALSE),"")</f>
        <v/>
      </c>
      <c r="Z75" s="1234">
        <f>IFERROR(VLOOKUP(Z$12,Care_Leavers!$B$111:$H$135,7,FALSE),"")</f>
        <v>0.791545793617903</v>
      </c>
      <c r="AA75" s="1636">
        <f>IFERROR(VLOOKUP(AA$12,Care_Leavers!$B$111:$H$136,7,FALSE),"")</f>
        <v>0.84325015994881636</v>
      </c>
      <c r="AB75" s="528"/>
      <c r="AC75" s="772"/>
      <c r="AD75" s="529"/>
      <c r="AE75" s="1623"/>
      <c r="AF75" s="1623"/>
      <c r="AG75" s="1623"/>
      <c r="AH75" s="1623"/>
      <c r="AI75" s="1623"/>
      <c r="AJ75" s="1623"/>
      <c r="AK75" s="1623"/>
      <c r="AL75" s="1623"/>
      <c r="AM75" s="1623"/>
      <c r="AN75" s="1623"/>
      <c r="AO75" s="1623"/>
      <c r="AP75" s="1623"/>
      <c r="AQ75" s="1623"/>
      <c r="AR75" s="1623"/>
      <c r="AS75" s="1623"/>
      <c r="AT75" s="1623"/>
      <c r="AU75" s="1623"/>
      <c r="AV75" s="1623"/>
      <c r="AW75" s="1623"/>
      <c r="AX75" s="1623"/>
      <c r="AY75" s="1623"/>
      <c r="AZ75" s="1623"/>
      <c r="BA75" s="1623"/>
      <c r="BB75" s="1624">
        <f t="shared" ref="BB75:BB79" si="4">ROW(BC75)-11</f>
        <v>64</v>
      </c>
      <c r="BC75" s="1624"/>
    </row>
    <row r="76" spans="1:55" s="470" customFormat="1" ht="19.5" customHeight="1" thickBot="1" x14ac:dyDescent="0.25">
      <c r="A76" s="525"/>
      <c r="B76" s="1659"/>
      <c r="C76" s="537" t="s">
        <v>799</v>
      </c>
      <c r="D76" s="715">
        <f>IFERROR(VLOOKUP(D$12,Care_Leavers!$B$147:$H$171,7,FALSE),"")</f>
        <v>0.50877192982456143</v>
      </c>
      <c r="E76" s="534">
        <f>IFERROR(VLOOKUP(E$12,Care_Leavers!$B$147:$H$171,7,FALSE),"")</f>
        <v>0.68558951965065507</v>
      </c>
      <c r="F76" s="534">
        <f>IFERROR(VLOOKUP(F$12,Care_Leavers!$B$147:$H$171,7,FALSE),"")</f>
        <v>0.4845360824742268</v>
      </c>
      <c r="G76" s="534">
        <f>IFERROR(VLOOKUP(G$12,Care_Leavers!$B$147:$H$171,7,FALSE),"")</f>
        <v>0.52763819095477382</v>
      </c>
      <c r="H76" s="534">
        <f>IFERROR(VLOOKUP(H$12,Care_Leavers!$B$147:$H$171,7,FALSE),"")</f>
        <v>0.51449275362318836</v>
      </c>
      <c r="I76" s="534">
        <f>IFERROR(VLOOKUP(I$12,Care_Leavers!$B$147:$H$171,7,FALSE),"")</f>
        <v>0.63218390804597702</v>
      </c>
      <c r="J76" s="534">
        <f>IFERROR(VLOOKUP(J$12,Care_Leavers!$B$147:$H$171,7,FALSE),"")</f>
        <v>0.54013015184381774</v>
      </c>
      <c r="K76" s="534">
        <f>IFERROR(VLOOKUP(K$12,Care_Leavers!$B$147:$H$171,7,FALSE),"")</f>
        <v>0.47933884297520662</v>
      </c>
      <c r="L76" s="534">
        <f>IFERROR(VLOOKUP(L$12,Care_Leavers!$B$147:$H$171,7,FALSE),"")</f>
        <v>0.40606060606060607</v>
      </c>
      <c r="M76" s="534">
        <f>IFERROR(VLOOKUP(M$12,Care_Leavers!$B$147:$H$171,7,FALSE),"")</f>
        <v>0.45704467353951889</v>
      </c>
      <c r="N76" s="534">
        <f>IFERROR(VLOOKUP(N$12,Care_Leavers!$B$147:$H$171,7,FALSE),"")</f>
        <v>0.50326797385620914</v>
      </c>
      <c r="O76" s="534">
        <f>IFERROR(VLOOKUP(O$12,Care_Leavers!$B$147:$H$171,7,FALSE),"")</f>
        <v>0.46534653465346537</v>
      </c>
      <c r="P76" s="534">
        <f>IFERROR(VLOOKUP(P$12,Care_Leavers!$B$147:$H$171,7,FALSE),"")</f>
        <v>0.63440860215053763</v>
      </c>
      <c r="Q76" s="534">
        <f>IFERROR(VLOOKUP(Q$12,Care_Leavers!$B$147:$H$171,7,FALSE),"")</f>
        <v>0.59330143540669855</v>
      </c>
      <c r="R76" s="534">
        <f>IFERROR(VLOOKUP(R$12,Care_Leavers!$B$147:$H$171,7,FALSE),"")</f>
        <v>0.42748091603053434</v>
      </c>
      <c r="S76" s="534">
        <f>IFERROR(VLOOKUP(S$12,Care_Leavers!$B$147:$H$171,7,FALSE),"")</f>
        <v>0.53307392996108949</v>
      </c>
      <c r="T76" s="534">
        <f>IFERROR(VLOOKUP(T$12,Care_Leavers!$B$147:$H$171,7,FALSE),"")</f>
        <v>0.55633802816901412</v>
      </c>
      <c r="U76" s="534">
        <f>IFERROR(VLOOKUP(U$12,Care_Leavers!$B$147:$H$171,7,FALSE),"")</f>
        <v>0.55172413793103448</v>
      </c>
      <c r="V76" s="534">
        <f>IFERROR(VLOOKUP(V$12,Care_Leavers!$B$147:$H$171,7,FALSE),"")</f>
        <v>0.7</v>
      </c>
      <c r="W76" s="534">
        <f>IFERROR(VLOOKUP(W$12,Care_Leavers!$B$147:$H$171,7,FALSE),"")</f>
        <v>0.5934959349593496</v>
      </c>
      <c r="X76" s="534">
        <f>IFERROR(VLOOKUP(X$12,Care_Leavers!$B$147:$H$171,7,FALSE),"")</f>
        <v>0.44642857142857145</v>
      </c>
      <c r="Y76" s="719">
        <f>IFERROR(VLOOKUP(Y$12,Care_Leavers!$B$147:$H$171,7,FALSE),"")</f>
        <v>0.56862745098039214</v>
      </c>
      <c r="Z76" s="1229">
        <f>IFERROR(VLOOKUP(Z$12,Care_Leavers!$B$147:$H$171,7,FALSE),"")</f>
        <v>0.53209109730848858</v>
      </c>
      <c r="AA76" s="1510">
        <f>IFERROR(VLOOKUP(AA$12,Care_Leavers!$B$147:$H$172,7,FALSE),"")</f>
        <v>0.52591170825335898</v>
      </c>
      <c r="AB76" s="528"/>
      <c r="AC76" s="772"/>
      <c r="AD76" s="529"/>
      <c r="AE76" s="1623"/>
      <c r="AF76" s="1623"/>
      <c r="AG76" s="1623"/>
      <c r="AH76" s="1623"/>
      <c r="AI76" s="1623"/>
      <c r="AJ76" s="1623"/>
      <c r="AK76" s="1623"/>
      <c r="AL76" s="1623"/>
      <c r="AM76" s="1623"/>
      <c r="AN76" s="1623"/>
      <c r="AO76" s="1623"/>
      <c r="AP76" s="1623"/>
      <c r="AQ76" s="1623"/>
      <c r="AR76" s="1623"/>
      <c r="AS76" s="1623"/>
      <c r="AT76" s="1623"/>
      <c r="AU76" s="1623"/>
      <c r="AV76" s="1623"/>
      <c r="AW76" s="1623"/>
      <c r="AX76" s="1623"/>
      <c r="AY76" s="1623"/>
      <c r="AZ76" s="1623"/>
      <c r="BA76" s="1623"/>
      <c r="BB76" s="1624">
        <f t="shared" si="4"/>
        <v>65</v>
      </c>
      <c r="BC76" s="1624"/>
    </row>
    <row r="77" spans="1:55" s="470" customFormat="1" ht="22.5" customHeight="1" x14ac:dyDescent="0.2">
      <c r="A77" s="525"/>
      <c r="B77" s="1660" t="s">
        <v>32</v>
      </c>
      <c r="C77" s="526" t="str">
        <f>"Children placed for Adoption at "&amp;Sheet1!$H$3&amp;", Rate per 10,000 0-17 Year Olds"</f>
        <v>Children placed for Adoption at 31st March, Rate per 10,000 0-17 Year Olds</v>
      </c>
      <c r="D77" s="713">
        <f>IFERROR(VLOOKUP(D12,Adoption!$B$10:$P$33,15,FALSE),"")</f>
        <v>0</v>
      </c>
      <c r="E77" s="527">
        <f>IFERROR(VLOOKUP(E12,Adoption!$B$10:$P$33,15,FALSE),"")</f>
        <v>1.5904572564612327</v>
      </c>
      <c r="F77" s="527">
        <f>IFERROR(VLOOKUP(F12,Adoption!$B$10:$P$33,15,FALSE),"")</f>
        <v>0.63643595863166258</v>
      </c>
      <c r="G77" s="527">
        <f>IFERROR(VLOOKUP(G12,Adoption!$B$10:$P$33,15,FALSE),"")</f>
        <v>2.8222013170272811</v>
      </c>
      <c r="H77" s="527">
        <f>IFERROR(VLOOKUP(H12,Adoption!$B$10:$P$33,15,FALSE),"")</f>
        <v>1.3366162504396764</v>
      </c>
      <c r="I77" s="527" t="str">
        <f>IFERROR(VLOOKUP(I12,Adoption!$B$10:$P$33,15,FALSE),"")</f>
        <v/>
      </c>
      <c r="J77" s="527">
        <f>IFERROR(VLOOKUP(J12,Adoption!$B$10:$P$33,15,FALSE),"")</f>
        <v>1.0471204188481675</v>
      </c>
      <c r="K77" s="527">
        <f>IFERROR(VLOOKUP(K12,Adoption!$B$10:$P$33,15,FALSE),"")</f>
        <v>2.1538461538461537</v>
      </c>
      <c r="L77" s="527">
        <f>IFERROR(VLOOKUP(L12,Adoption!$B$10:$P$33,15,FALSE),"")</f>
        <v>2.3255813953488373</v>
      </c>
      <c r="M77" s="527">
        <f>IFERROR(VLOOKUP(M12,Adoption!$B$10:$P$33,15,FALSE),"")</f>
        <v>1.1635865845311431</v>
      </c>
      <c r="N77" s="527">
        <f>IFERROR(VLOOKUP(N12,Adoption!$B$10:$P$33,15,FALSE),"")</f>
        <v>1.5981735159817352</v>
      </c>
      <c r="O77" s="527" t="str">
        <f>IFERROR(VLOOKUP(O12,Adoption!$B$10:$P$33,15,FALSE),"")</f>
        <v/>
      </c>
      <c r="P77" s="527">
        <f>IFERROR(VLOOKUP(P12,Adoption!$B$10:$P$33,15,FALSE),"")</f>
        <v>1.8561484918793505</v>
      </c>
      <c r="Q77" s="527">
        <f>IFERROR(VLOOKUP(Q12,Adoption!$B$10:$P$33,15,FALSE),"")</f>
        <v>2.0683453237410072</v>
      </c>
      <c r="R77" s="527" t="str">
        <f>IFERROR(VLOOKUP(R12,Adoption!$B$10:$P$33,15,FALSE),"")</f>
        <v/>
      </c>
      <c r="S77" s="527" t="str">
        <f>IFERROR(VLOOKUP(S12,Adoption!$B$10:$P$33,15,FALSE),"")</f>
        <v/>
      </c>
      <c r="T77" s="527">
        <f>IFERROR(VLOOKUP(T12,Adoption!$B$10:$P$33,15,FALSE),"")</f>
        <v>2.3809523809523809</v>
      </c>
      <c r="U77" s="527" t="str">
        <f>IFERROR(VLOOKUP(U12,Adoption!$B$10:$P$33,15,FALSE),"")</f>
        <v/>
      </c>
      <c r="V77" s="527" t="str">
        <f>IFERROR(VLOOKUP(V12,Adoption!$B$10:$P$33,15,FALSE),"")</f>
        <v/>
      </c>
      <c r="W77" s="527">
        <f>IFERROR(VLOOKUP(W12,Adoption!$B$10:$P$33,15,FALSE),"")</f>
        <v>1.8171493469619533</v>
      </c>
      <c r="X77" s="527" t="str">
        <f>IFERROR(VLOOKUP(X12,Adoption!$B$10:$P$33,15,FALSE),"")</f>
        <v/>
      </c>
      <c r="Y77" s="714" t="str">
        <f>IFERROR(VLOOKUP(Y12,Adoption!$B$10:$P$33,15,FALSE),"")</f>
        <v/>
      </c>
      <c r="Z77" s="1228">
        <f>IFERROR(VLOOKUP(Z12,Adoption!$B$10:$P$33,15,FALSE),"")</f>
        <v>1.6872511304582574</v>
      </c>
      <c r="AA77" s="1506">
        <f>IFERROR(VLOOKUP(AA12,Adoption!$B$10:$P$33,15,FALSE),"")</f>
        <v>1.7132971822083238</v>
      </c>
      <c r="AB77" s="528"/>
      <c r="AC77" s="772"/>
      <c r="AD77" s="529"/>
      <c r="AE77" s="1623"/>
      <c r="AF77" s="1623"/>
      <c r="AG77" s="1623"/>
      <c r="AH77" s="1623"/>
      <c r="AI77" s="1623"/>
      <c r="AJ77" s="1623"/>
      <c r="AK77" s="1623"/>
      <c r="AL77" s="1623"/>
      <c r="AM77" s="1623"/>
      <c r="AN77" s="1623"/>
      <c r="AO77" s="1623"/>
      <c r="AP77" s="1623"/>
      <c r="AQ77" s="1623"/>
      <c r="AR77" s="1623"/>
      <c r="AS77" s="1623"/>
      <c r="AT77" s="1623"/>
      <c r="AU77" s="1623"/>
      <c r="AV77" s="1623"/>
      <c r="AW77" s="1623"/>
      <c r="AX77" s="1623"/>
      <c r="AY77" s="1623"/>
      <c r="AZ77" s="1623"/>
      <c r="BA77" s="1623"/>
      <c r="BB77" s="1624">
        <f t="shared" si="4"/>
        <v>66</v>
      </c>
      <c r="BC77" s="1624"/>
    </row>
    <row r="78" spans="1:55" s="470" customFormat="1" ht="23.25" customHeight="1" x14ac:dyDescent="0.2">
      <c r="A78" s="525"/>
      <c r="B78" s="1661"/>
      <c r="C78" s="531" t="str">
        <f>"Average days, between a child entering care and moving in with their adoptive family (children adopted in "&amp;Sheet1!$G$3&amp;")"</f>
        <v>Average days, between a child entering care and moving in with their adoptive family (children adopted in Year ending 31st March)</v>
      </c>
      <c r="D78" s="722" t="str">
        <f>IFERROR(VLOOKUP(D12,Adoption!$B$82:$P$105,15,FALSE),"")</f>
        <v/>
      </c>
      <c r="E78" s="540">
        <f>IFERROR(VLOOKUP(E12,Adoption!$B$82:$P$105,15,FALSE),"")</f>
        <v>410</v>
      </c>
      <c r="F78" s="540">
        <f>IFERROR(VLOOKUP(F12,Adoption!$B$82:$P$105,15,FALSE),"")</f>
        <v>442.60869565217394</v>
      </c>
      <c r="G78" s="540">
        <f>IFERROR(VLOOKUP(G12,Adoption!$B$82:$P$105,15,FALSE),"")</f>
        <v>489.46153846153851</v>
      </c>
      <c r="H78" s="540">
        <f>IFERROR(VLOOKUP(H12,Adoption!$B$82:$P$105,15,FALSE),"")</f>
        <v>378.78571428571428</v>
      </c>
      <c r="I78" s="540" t="str">
        <f>IFERROR(VLOOKUP(I12,Adoption!$B$82:$P$105,15,FALSE),"")</f>
        <v/>
      </c>
      <c r="J78" s="540">
        <f>IFERROR(VLOOKUP(J12,Adoption!$B$82:$P$105,15,FALSE),"")</f>
        <v>336.63492063492066</v>
      </c>
      <c r="K78" s="540">
        <f>IFERROR(VLOOKUP(K12,Adoption!$B$82:$P$105,15,FALSE),"")</f>
        <v>502.78947368421052</v>
      </c>
      <c r="L78" s="540">
        <f>IFERROR(VLOOKUP(L12,Adoption!$B$82:$P$105,15,FALSE),"")</f>
        <v>403.07142857142856</v>
      </c>
      <c r="M78" s="540">
        <f>IFERROR(VLOOKUP(M12,Adoption!$B$82:$P$105,15,FALSE),"")</f>
        <v>525.18181818181813</v>
      </c>
      <c r="N78" s="540">
        <f>IFERROR(VLOOKUP(N12,Adoption!$B$82:$P$105,15,FALSE),"")</f>
        <v>390.08</v>
      </c>
      <c r="O78" s="540">
        <f>IFERROR(VLOOKUP(O12,Adoption!$B$82:$P$105,15,FALSE),"")</f>
        <v>439.33333333333331</v>
      </c>
      <c r="P78" s="540">
        <f>IFERROR(VLOOKUP(P12,Adoption!$B$82:$P$105,15,FALSE),"")</f>
        <v>404.8</v>
      </c>
      <c r="Q78" s="540">
        <f>IFERROR(VLOOKUP(Q12,Adoption!$B$82:$P$105,15,FALSE),"")</f>
        <v>441</v>
      </c>
      <c r="R78" s="540">
        <f>IFERROR(VLOOKUP(R12,Adoption!$B$82:$P$105,15,FALSE),"")</f>
        <v>340.06896551724139</v>
      </c>
      <c r="S78" s="540">
        <f>IFERROR(VLOOKUP(S12,Adoption!$B$82:$P$105,15,FALSE),"")</f>
        <v>325.96428571428572</v>
      </c>
      <c r="T78" s="540">
        <f>IFERROR(VLOOKUP(T12,Adoption!$B$82:$P$105,15,FALSE),"")</f>
        <v>507</v>
      </c>
      <c r="U78" s="540">
        <f>IFERROR(VLOOKUP(U12,Adoption!$B$82:$P$105,15,FALSE),"")</f>
        <v>420</v>
      </c>
      <c r="V78" s="540" t="str">
        <f>IFERROR(VLOOKUP(V12,Adoption!$B$82:$P$105,15,FALSE),"")</f>
        <v/>
      </c>
      <c r="W78" s="540">
        <f>IFERROR(VLOOKUP(W12,Adoption!$B$82:$P$105,15,FALSE),"")</f>
        <v>537.61363636363637</v>
      </c>
      <c r="X78" s="540" t="str">
        <f>IFERROR(VLOOKUP(X12,Adoption!$B$82:$P$105,15,FALSE),"")</f>
        <v/>
      </c>
      <c r="Y78" s="723" t="str">
        <f>IFERROR(VLOOKUP(Y12,Adoption!$B$82:$P$105,15,FALSE),"")</f>
        <v/>
      </c>
      <c r="Z78" s="1239">
        <f>IFERROR(VLOOKUP(Z12,Adoption!$B$82:$P$105,15,FALSE),"")</f>
        <v>417</v>
      </c>
      <c r="AA78" s="1517">
        <f>IFERROR(VLOOKUP(AA12,Adoption!$B$82:$P$105,7,FALSE),"")</f>
        <v>3450</v>
      </c>
      <c r="AB78" s="528"/>
      <c r="AC78" s="772"/>
      <c r="AD78" s="529"/>
      <c r="AE78" s="1623"/>
      <c r="AF78" s="1623"/>
      <c r="AG78" s="1623"/>
      <c r="AH78" s="1623"/>
      <c r="AI78" s="1623"/>
      <c r="AJ78" s="1623"/>
      <c r="AK78" s="1623"/>
      <c r="AL78" s="1623"/>
      <c r="AM78" s="1623"/>
      <c r="AN78" s="1623"/>
      <c r="AO78" s="1623"/>
      <c r="AP78" s="1623"/>
      <c r="AQ78" s="1623"/>
      <c r="AR78" s="1623"/>
      <c r="AS78" s="1623"/>
      <c r="AT78" s="1623"/>
      <c r="AU78" s="1623"/>
      <c r="AV78" s="1623"/>
      <c r="AW78" s="1623"/>
      <c r="AX78" s="1623"/>
      <c r="AY78" s="1623"/>
      <c r="AZ78" s="1623"/>
      <c r="BA78" s="1623"/>
      <c r="BB78" s="1624">
        <f t="shared" si="4"/>
        <v>67</v>
      </c>
      <c r="BC78" s="1624"/>
    </row>
    <row r="79" spans="1:55" s="470" customFormat="1" ht="19.5" customHeight="1" thickBot="1" x14ac:dyDescent="0.25">
      <c r="A79" s="525"/>
      <c r="B79" s="1661"/>
      <c r="C79" s="533" t="s">
        <v>236</v>
      </c>
      <c r="D79" s="718">
        <f>IFERROR(VLOOKUP(D12,Adoption!$B$149:$H$172,7,FALSE),"")</f>
        <v>9.6774193548387094E-2</v>
      </c>
      <c r="E79" s="534">
        <f>IFERROR(VLOOKUP(E12,Adoption!$B$149:$H$172,7,FALSE),"")</f>
        <v>0.10112359550561797</v>
      </c>
      <c r="F79" s="534">
        <f>IFERROR(VLOOKUP(F12,Adoption!$B$149:$H$172,7,FALSE),"")</f>
        <v>9.7872340425531917E-2</v>
      </c>
      <c r="G79" s="534">
        <f>IFERROR(VLOOKUP(G12,Adoption!$B$149:$H$172,7,FALSE),"")</f>
        <v>0.15340909090909091</v>
      </c>
      <c r="H79" s="534">
        <f>IFERROR(VLOOKUP(H12,Adoption!$B$149:$H$172,7,FALSE),"")</f>
        <v>0.11217948717948718</v>
      </c>
      <c r="I79" s="534">
        <f>IFERROR(VLOOKUP(I12,Adoption!$B$149:$H$172,7,FALSE),"")</f>
        <v>0.16981132075471697</v>
      </c>
      <c r="J79" s="534">
        <f>IFERROR(VLOOKUP(J12,Adoption!$B$149:$H$172,7,FALSE),"")</f>
        <v>8.5365853658536592E-2</v>
      </c>
      <c r="K79" s="534">
        <f>IFERROR(VLOOKUP(K12,Adoption!$B$149:$H$172,7,FALSE),"")</f>
        <v>0.12777777777777777</v>
      </c>
      <c r="L79" s="534">
        <f>IFERROR(VLOOKUP(L12,Adoption!$B$149:$H$172,7,FALSE),"")</f>
        <v>0.12837837837837837</v>
      </c>
      <c r="M79" s="534">
        <f>IFERROR(VLOOKUP(M12,Adoption!$B$149:$H$172,7,FALSE),"")</f>
        <v>0.10869565217391304</v>
      </c>
      <c r="N79" s="534">
        <f>IFERROR(VLOOKUP(N12,Adoption!$B$149:$H$172,7,FALSE),"")</f>
        <v>0.11274509803921569</v>
      </c>
      <c r="O79" s="534">
        <f>IFERROR(VLOOKUP(O12,Adoption!$B$149:$H$172,7,FALSE),"")</f>
        <v>0.14678899082568808</v>
      </c>
      <c r="P79" s="534">
        <f>IFERROR(VLOOKUP(P12,Adoption!$B$149:$H$172,7,FALSE),"")</f>
        <v>0.12</v>
      </c>
      <c r="Q79" s="534">
        <f>IFERROR(VLOOKUP(Q12,Adoption!$B$149:$H$172,7,FALSE),"")</f>
        <v>0.21319796954314721</v>
      </c>
      <c r="R79" s="534">
        <f>IFERROR(VLOOKUP(R12,Adoption!$B$149:$H$172,7,FALSE),"")</f>
        <v>0.135678391959799</v>
      </c>
      <c r="S79" s="534">
        <f>IFERROR(VLOOKUP(S12,Adoption!$B$149:$H$172,7,FALSE),"")</f>
        <v>7.6712328767123292E-2</v>
      </c>
      <c r="T79" s="534">
        <f>IFERROR(VLOOKUP(T12,Adoption!$B$149:$H$172,7,FALSE),"")</f>
        <v>0.18709677419354839</v>
      </c>
      <c r="U79" s="534">
        <f>IFERROR(VLOOKUP(U12,Adoption!$B$149:$H$172,7,FALSE),"")</f>
        <v>0.18439716312056736</v>
      </c>
      <c r="V79" s="534">
        <f>IFERROR(VLOOKUP(V12,Adoption!$B$149:$H$172,7,FALSE),"")</f>
        <v>8.1081081081081086E-2</v>
      </c>
      <c r="W79" s="534">
        <f>IFERROR(VLOOKUP(W12,Adoption!$B$149:$H$172,7,FALSE),"")</f>
        <v>0.10985915492957747</v>
      </c>
      <c r="X79" s="534">
        <f>IFERROR(VLOOKUP(X12,Adoption!$B$149:$H$172,7,FALSE),"")</f>
        <v>0</v>
      </c>
      <c r="Y79" s="719">
        <f>IFERROR(VLOOKUP(Y12,Adoption!$B$149:$H$172,7,FALSE),"")</f>
        <v>0.10909090909090909</v>
      </c>
      <c r="Z79" s="1229">
        <f>IFERROR(VLOOKUP(Z12,Adoption!$B$149:$H$172,7,FALSE),"")</f>
        <v>0.11032863849765258</v>
      </c>
      <c r="AA79" s="1510">
        <f>IFERROR(VLOOKUP(AA12,Adoption!$B$149:$H$172,7,FALSE),"")</f>
        <v>0.1165934437309902</v>
      </c>
      <c r="AB79" s="528"/>
      <c r="AC79" s="772"/>
      <c r="AD79" s="529"/>
      <c r="AE79" s="1623"/>
      <c r="AF79" s="1623"/>
      <c r="AG79" s="1623"/>
      <c r="AH79" s="1623"/>
      <c r="AI79" s="1623"/>
      <c r="AJ79" s="1623"/>
      <c r="AK79" s="1623"/>
      <c r="AL79" s="1623"/>
      <c r="AM79" s="1623"/>
      <c r="AN79" s="1623"/>
      <c r="AO79" s="1623"/>
      <c r="AP79" s="1623"/>
      <c r="AQ79" s="1623"/>
      <c r="AR79" s="1623"/>
      <c r="AS79" s="1623"/>
      <c r="AT79" s="1623"/>
      <c r="AU79" s="1623"/>
      <c r="AV79" s="1623"/>
      <c r="AW79" s="1623"/>
      <c r="AX79" s="1623"/>
      <c r="AY79" s="1623"/>
      <c r="AZ79" s="1623"/>
      <c r="BA79" s="1623"/>
      <c r="BB79" s="1624">
        <f t="shared" si="4"/>
        <v>68</v>
      </c>
      <c r="BC79" s="1624"/>
    </row>
    <row r="80" spans="1:55" s="470" customFormat="1" ht="22.5" customHeight="1" thickBot="1" x14ac:dyDescent="0.25">
      <c r="A80" s="525"/>
      <c r="B80" s="1537" t="s">
        <v>672</v>
      </c>
      <c r="C80" s="537" t="s">
        <v>796</v>
      </c>
      <c r="D80" s="718">
        <f>IFERROR(VLOOKUP(D$12,Offending!$B$7:$H$32,7,FALSE),"")</f>
        <v>0.2</v>
      </c>
      <c r="E80" s="534">
        <f>IFERROR(VLOOKUP(E$12,Offending!$B$7:$H$32,7,FALSE),"")</f>
        <v>0.44262295081967212</v>
      </c>
      <c r="F80" s="534">
        <f>IFERROR(VLOOKUP(F$12,Offending!$B$7:$H$32,7,FALSE),"")</f>
        <v>0.28767123287671231</v>
      </c>
      <c r="G80" s="534">
        <f>IFERROR(VLOOKUP(G$12,Offending!$B$7:$H$32,7,FALSE),"")</f>
        <v>0.28169014084507044</v>
      </c>
      <c r="H80" s="534">
        <f>IFERROR(VLOOKUP(H$12,Offending!$B$7:$H$32,7,FALSE),"")</f>
        <v>0.34468085106382979</v>
      </c>
      <c r="I80" s="534">
        <f>IFERROR(VLOOKUP(I$12,Offending!$B$7:$H$32,7,FALSE),"")</f>
        <v>0.45544554455445546</v>
      </c>
      <c r="J80" s="534">
        <f>IFERROR(VLOOKUP(J$12,Offending!$B$7:$H$32,7,FALSE),"")</f>
        <v>0.34817813765182187</v>
      </c>
      <c r="K80" s="534">
        <f>IFERROR(VLOOKUP(K$12,Offending!$B$7:$H$32,7,FALSE),"")</f>
        <v>0.35862068965517241</v>
      </c>
      <c r="L80" s="534">
        <f>IFERROR(VLOOKUP(L$12,Offending!$B$7:$H$32,7,FALSE),"")</f>
        <v>0.40939597315436244</v>
      </c>
      <c r="M80" s="534">
        <f>IFERROR(VLOOKUP(M$12,Offending!$B$7:$H$32,7,FALSE),"")</f>
        <v>0.29914529914529914</v>
      </c>
      <c r="N80" s="534">
        <f>IFERROR(VLOOKUP(N$12,Offending!$B$7:$H$32,7,FALSE),"")</f>
        <v>0.59624413145539901</v>
      </c>
      <c r="O80" s="534">
        <f>IFERROR(VLOOKUP(O$12,Offending!$B$7:$H$32,7,FALSE),"")</f>
        <v>0.30864197530864196</v>
      </c>
      <c r="P80" s="534">
        <f>IFERROR(VLOOKUP(P$12,Offending!$B$7:$H$32,7,FALSE),"")</f>
        <v>0.51020408163265307</v>
      </c>
      <c r="Q80" s="534">
        <f>IFERROR(VLOOKUP(Q$12,Offending!$B$7:$H$32,7,FALSE),"")</f>
        <v>0.36138613861386137</v>
      </c>
      <c r="R80" s="534">
        <f>IFERROR(VLOOKUP(R$12,Offending!$B$7:$H$32,7,FALSE),"")</f>
        <v>0.38372093023255816</v>
      </c>
      <c r="S80" s="534">
        <f>IFERROR(VLOOKUP(S$12,Offending!$B$7:$H$32,7,FALSE),"")</f>
        <v>0.37128712871287128</v>
      </c>
      <c r="T80" s="534">
        <f>IFERROR(VLOOKUP(T$12,Offending!$B$7:$H$32,7,FALSE),"")</f>
        <v>0.43162393162393164</v>
      </c>
      <c r="U80" s="534">
        <f>IFERROR(VLOOKUP(U$12,Offending!$B$7:$H$32,7,FALSE),"")</f>
        <v>0.26</v>
      </c>
      <c r="V80" s="534">
        <f>IFERROR(VLOOKUP(V$12,Offending!$B$7:$H$32,7,FALSE),"")</f>
        <v>0.32894736842105265</v>
      </c>
      <c r="W80" s="534">
        <f>IFERROR(VLOOKUP(W$12,Offending!$B$7:$H$32,7,FALSE),"")</f>
        <v>0.38388625592417064</v>
      </c>
      <c r="X80" s="534">
        <f>IFERROR(VLOOKUP(X$12,Offending!$B$7:$H$32,7,FALSE),"")</f>
        <v>0.29545454545454547</v>
      </c>
      <c r="Y80" s="719">
        <f>IFERROR(VLOOKUP(Y$12,Offending!$B$7:$H$32,7,FALSE),"")</f>
        <v>0.30188679245283018</v>
      </c>
      <c r="Z80" s="1233">
        <f>IFERROR(VLOOKUP(Z$12,Offending!$B$7:$H$32,7,FALSE),"")</f>
        <v>0.36812499999999998</v>
      </c>
      <c r="AA80" s="1426">
        <f>IFERROR(VLOOKUP("England and Wales",Offending!$B$7:$H$32,7,FALSE),"")</f>
        <v>0.38410875920121157</v>
      </c>
      <c r="AB80" s="528"/>
      <c r="AC80" s="772"/>
      <c r="AD80" s="529"/>
      <c r="AE80" s="1623"/>
      <c r="AF80" s="1623"/>
      <c r="AG80" s="1623"/>
      <c r="AH80" s="1623"/>
      <c r="AI80" s="1623"/>
      <c r="AJ80" s="1623"/>
      <c r="AK80" s="1623"/>
      <c r="AL80" s="1623"/>
      <c r="AM80" s="1623"/>
      <c r="AN80" s="1623"/>
      <c r="AO80" s="1623"/>
      <c r="AP80" s="1623"/>
      <c r="AQ80" s="1623"/>
      <c r="AR80" s="1623"/>
      <c r="AS80" s="1623"/>
      <c r="AT80" s="1623"/>
      <c r="AU80" s="1623"/>
      <c r="AV80" s="1623"/>
      <c r="AW80" s="1623"/>
      <c r="AX80" s="1623"/>
      <c r="AY80" s="1623"/>
      <c r="AZ80" s="1623"/>
      <c r="BA80" s="1623"/>
      <c r="BB80" s="1624">
        <f t="shared" ref="BB80:BB82" si="5">ROW(BC80)-11</f>
        <v>69</v>
      </c>
      <c r="BC80" s="1624"/>
    </row>
    <row r="81" spans="1:55" s="470" customFormat="1" ht="23.25" customHeight="1" x14ac:dyDescent="0.2">
      <c r="A81" s="525"/>
      <c r="B81" s="1660" t="s">
        <v>797</v>
      </c>
      <c r="C81" s="526" t="str">
        <f>"New Education, Health and Care (EHC) Plans issued during the "&amp;Sheet1!$G$3&amp;", Rate per 10,000 10-25 Year Olds"</f>
        <v>New Education, Health and Care (EHC) Plans issued during the Year ending 31st March, Rate per 10,000 10-25 Year Olds</v>
      </c>
      <c r="D81" s="713">
        <f>IFERROR(VLOOKUP(D$12,EHCP!$B$7:$P$33,14,FALSE),"")</f>
        <v>45.103092783505147</v>
      </c>
      <c r="E81" s="527">
        <f>IFERROR(VLOOKUP(E$12,EHCP!$B$7:$P$33,14,FALSE),"")</f>
        <v>24.221105527638191</v>
      </c>
      <c r="F81" s="527">
        <f>IFERROR(VLOOKUP(F$12,EHCP!$B$7:$P$33,14,FALSE),"")</f>
        <v>40.323547034152185</v>
      </c>
      <c r="G81" s="527">
        <f>IFERROR(VLOOKUP(G$12,EHCP!$B$7:$P$33,14,FALSE),"")</f>
        <v>19.946091644204852</v>
      </c>
      <c r="H81" s="527">
        <f>IFERROR(VLOOKUP(H$12,EHCP!$B$7:$P$33,14,FALSE),"")</f>
        <v>24.79087452471483</v>
      </c>
      <c r="I81" s="527">
        <f>IFERROR(VLOOKUP(I$12,EHCP!$B$7:$P$33,14,FALSE),"")</f>
        <v>43.059490084985839</v>
      </c>
      <c r="J81" s="527">
        <f>IFERROR(VLOOKUP(J$12,EHCP!$B$7:$P$33,14,FALSE),"")</f>
        <v>41.298057048367092</v>
      </c>
      <c r="K81" s="527">
        <f>IFERROR(VLOOKUP(K$12,EHCP!$B$7:$P$33,14,FALSE),"")</f>
        <v>34.687156970362238</v>
      </c>
      <c r="L81" s="527">
        <f>IFERROR(VLOOKUP(L$12,EHCP!$B$7:$P$33,14,FALSE),"")</f>
        <v>32.552954292084728</v>
      </c>
      <c r="M81" s="527">
        <f>IFERROR(VLOOKUP(M$12,EHCP!$B$7:$P$33,14,FALSE),"")</f>
        <v>27.845254161043634</v>
      </c>
      <c r="N81" s="527">
        <f>IFERROR(VLOOKUP(N$12,EHCP!$B$7:$P$33,14,FALSE),"")</f>
        <v>24.905660377358494</v>
      </c>
      <c r="O81" s="527">
        <f>IFERROR(VLOOKUP(O$12,EHCP!$B$7:$P$33,14,FALSE),"")</f>
        <v>30</v>
      </c>
      <c r="P81" s="527">
        <f>IFERROR(VLOOKUP(P$12,EHCP!$B$7:$P$33,14,FALSE),"")</f>
        <v>38.172043010752688</v>
      </c>
      <c r="Q81" s="527">
        <f>IFERROR(VLOOKUP(Q$12,EHCP!$B$7:$P$33,14,FALSE),"")</f>
        <v>35.690897184020955</v>
      </c>
      <c r="R81" s="527">
        <f>IFERROR(VLOOKUP(R$12,EHCP!$B$7:$P$33,14,FALSE),"")</f>
        <v>25.975359342915809</v>
      </c>
      <c r="S81" s="527">
        <f>IFERROR(VLOOKUP(S$12,EHCP!$B$7:$P$33,14,FALSE),"")</f>
        <v>39.929424538545064</v>
      </c>
      <c r="T81" s="527">
        <f>IFERROR(VLOOKUP(T$12,EHCP!$B$7:$P$33,14,FALSE),"")</f>
        <v>34.649122807017548</v>
      </c>
      <c r="U81" s="527">
        <f>IFERROR(VLOOKUP(U$12,EHCP!$B$7:$P$33,14,FALSE),"")</f>
        <v>53.257790368271948</v>
      </c>
      <c r="V81" s="527">
        <f>IFERROR(VLOOKUP(V$12,EHCP!$B$7:$P$33,14,FALSE),"")</f>
        <v>32.700421940928265</v>
      </c>
      <c r="W81" s="527">
        <f>IFERROR(VLOOKUP(W$12,EHCP!$B$7:$P$33,14,FALSE),"")</f>
        <v>31.939799331103682</v>
      </c>
      <c r="X81" s="527">
        <f>IFERROR(VLOOKUP(X$12,EHCP!$B$7:$P$33,14,FALSE),"")</f>
        <v>33.406593406593409</v>
      </c>
      <c r="Y81" s="714">
        <f>IFERROR(VLOOKUP(Y$12,EHCP!$B$7:$P$33,14,FALSE),"")</f>
        <v>30.09345794392523</v>
      </c>
      <c r="Z81" s="1228">
        <f>IFERROR(VLOOKUP(Z$12,EHCP!$B$7:$P$33,14,FALSE),"")</f>
        <v>47.130814543977252</v>
      </c>
      <c r="AA81" s="1506">
        <f>IFERROR(VLOOKUP(AA$12,EHCP!$B$7:$P$33,14,FALSE),"")</f>
        <v>30.453777097562647</v>
      </c>
      <c r="AB81" s="528"/>
      <c r="AC81" s="772"/>
      <c r="AD81" s="529"/>
      <c r="AE81" s="1623"/>
      <c r="AF81" s="1623"/>
      <c r="AG81" s="1623"/>
      <c r="AH81" s="1623"/>
      <c r="AI81" s="1623"/>
      <c r="AJ81" s="1623"/>
      <c r="AK81" s="1623"/>
      <c r="AL81" s="1623"/>
      <c r="AM81" s="1623"/>
      <c r="AN81" s="1623"/>
      <c r="AO81" s="1623"/>
      <c r="AP81" s="1623"/>
      <c r="AQ81" s="1623"/>
      <c r="AR81" s="1623"/>
      <c r="AS81" s="1623"/>
      <c r="AT81" s="1623"/>
      <c r="AU81" s="1623"/>
      <c r="AV81" s="1623"/>
      <c r="AW81" s="1623"/>
      <c r="AX81" s="1623"/>
      <c r="AY81" s="1623"/>
      <c r="AZ81" s="1623"/>
      <c r="BA81" s="1623"/>
      <c r="BB81" s="1624">
        <f t="shared" si="5"/>
        <v>70</v>
      </c>
      <c r="BC81" s="1624"/>
    </row>
    <row r="82" spans="1:55" s="470" customFormat="1" ht="19.5" customHeight="1" thickBot="1" x14ac:dyDescent="0.25">
      <c r="A82" s="525"/>
      <c r="B82" s="1662"/>
      <c r="C82" s="533" t="s">
        <v>798</v>
      </c>
      <c r="D82" s="718">
        <f>IFERROR(VLOOKUP(D$12,EHCP!$B$75:$H$100,7,FALSE),"")</f>
        <v>0.61142857142857143</v>
      </c>
      <c r="E82" s="534">
        <f>IFERROR(VLOOKUP(E$12,EHCP!$B$75:$H$100,7,FALSE),"")</f>
        <v>0.60580912863070535</v>
      </c>
      <c r="F82" s="534">
        <f>IFERROR(VLOOKUP(F$12,EHCP!$B$75:$H$100,7,FALSE),"")</f>
        <v>0.38335809806835069</v>
      </c>
      <c r="G82" s="534">
        <f>IFERROR(VLOOKUP(G$12,EHCP!$B$75:$H$100,7,FALSE),"")</f>
        <v>0.42229729729729731</v>
      </c>
      <c r="H82" s="534">
        <f>IFERROR(VLOOKUP(H$12,EHCP!$B$75:$H$100,7,FALSE),"")</f>
        <v>5.8282208588957052E-2</v>
      </c>
      <c r="I82" s="534">
        <f>IFERROR(VLOOKUP(I$12,EHCP!$B$75:$H$100,7,FALSE),"")</f>
        <v>0.71710526315789469</v>
      </c>
      <c r="J82" s="534">
        <f>IFERROR(VLOOKUP(J$12,EHCP!$B$75:$H$100,7,FALSE),"")</f>
        <v>0.28878878878878878</v>
      </c>
      <c r="K82" s="534">
        <f>IFERROR(VLOOKUP(K$12,EHCP!$B$75:$H$100,7,FALSE),"")</f>
        <v>0.569620253164557</v>
      </c>
      <c r="L82" s="534">
        <f>IFERROR(VLOOKUP(L$12,EHCP!$B$75:$H$100,7,FALSE),"")</f>
        <v>0.74657534246575341</v>
      </c>
      <c r="M82" s="534">
        <f>IFERROR(VLOOKUP(M$12,EHCP!$B$75:$H$100,7,FALSE),"")</f>
        <v>0.50242326332794829</v>
      </c>
      <c r="N82" s="534">
        <f>IFERROR(VLOOKUP(N$12,EHCP!$B$75:$H$100,7,FALSE),"")</f>
        <v>0.95959595959595956</v>
      </c>
      <c r="O82" s="534">
        <f>IFERROR(VLOOKUP(O$12,EHCP!$B$75:$H$100,7,FALSE),"")</f>
        <v>0.4885057471264368</v>
      </c>
      <c r="P82" s="534">
        <f>IFERROR(VLOOKUP(P$12,EHCP!$B$75:$H$100,7,FALSE),"")</f>
        <v>0.62441314553990612</v>
      </c>
      <c r="Q82" s="534">
        <f>IFERROR(VLOOKUP(Q$12,EHCP!$B$75:$H$100,7,FALSE),"")</f>
        <v>0.20917431192660552</v>
      </c>
      <c r="R82" s="534">
        <f>IFERROR(VLOOKUP(R$12,EHCP!$B$75:$H$100,7,FALSE),"")</f>
        <v>0.54545454545454541</v>
      </c>
      <c r="S82" s="534">
        <f>IFERROR(VLOOKUP(S$12,EHCP!$B$75:$H$100,7,FALSE),"")</f>
        <v>0.54384772263766146</v>
      </c>
      <c r="T82" s="534">
        <f>IFERROR(VLOOKUP(T$12,EHCP!$B$75:$H$100,7,FALSE),"")</f>
        <v>0.30379746835443039</v>
      </c>
      <c r="U82" s="534">
        <f>IFERROR(VLOOKUP(U$12,EHCP!$B$75:$H$100,7,FALSE),"")</f>
        <v>0.26595744680851063</v>
      </c>
      <c r="V82" s="534">
        <f>IFERROR(VLOOKUP(V$12,EHCP!$B$75:$H$100,7,FALSE),"")</f>
        <v>0.84516129032258069</v>
      </c>
      <c r="W82" s="534">
        <f>IFERROR(VLOOKUP(W$12,EHCP!$B$75:$H$100,7,FALSE),"")</f>
        <v>0.78010471204188481</v>
      </c>
      <c r="X82" s="534">
        <f>IFERROR(VLOOKUP(X$12,EHCP!$B$75:$H$100,7,FALSE),"")</f>
        <v>0.84210526315789469</v>
      </c>
      <c r="Y82" s="719">
        <f>IFERROR(VLOOKUP(Y$12,EHCP!$B$75:$H$100,7,FALSE),"")</f>
        <v>8.6956521739130432E-2</v>
      </c>
      <c r="Z82" s="1233">
        <f>IFERROR(VLOOKUP(Z$12,EHCP!$B$75:$H$100,7,FALSE),"")</f>
        <v>0.46363538411809074</v>
      </c>
      <c r="AA82" s="1510">
        <f>IFERROR(VLOOKUP(AA$12,EHCP!$B$75:$H$100,7,FALSE),"")</f>
        <v>0.58718847863183754</v>
      </c>
      <c r="AB82" s="528"/>
      <c r="AC82" s="772"/>
      <c r="AD82" s="529"/>
      <c r="AE82" s="1623"/>
      <c r="AF82" s="1623"/>
      <c r="AG82" s="1623"/>
      <c r="AH82" s="1623"/>
      <c r="AI82" s="1623"/>
      <c r="AJ82" s="1623"/>
      <c r="AK82" s="1623"/>
      <c r="AL82" s="1623"/>
      <c r="AM82" s="1623"/>
      <c r="AN82" s="1623"/>
      <c r="AO82" s="1623"/>
      <c r="AP82" s="1623"/>
      <c r="AQ82" s="1623"/>
      <c r="AR82" s="1623"/>
      <c r="AS82" s="1623"/>
      <c r="AT82" s="1623"/>
      <c r="AU82" s="1623"/>
      <c r="AV82" s="1623"/>
      <c r="AW82" s="1623"/>
      <c r="AX82" s="1623"/>
      <c r="AY82" s="1623"/>
      <c r="AZ82" s="1623"/>
      <c r="BA82" s="1623"/>
      <c r="BB82" s="1624">
        <f t="shared" si="5"/>
        <v>71</v>
      </c>
      <c r="BC82" s="1624"/>
    </row>
    <row r="83" spans="1:55" s="470" customFormat="1" ht="108.75" customHeight="1" x14ac:dyDescent="0.2">
      <c r="A83" s="1628"/>
      <c r="B83" s="773"/>
      <c r="C83" s="773"/>
      <c r="D83" s="773"/>
      <c r="E83" s="773"/>
      <c r="F83" s="773"/>
      <c r="G83" s="773"/>
      <c r="H83" s="773"/>
      <c r="I83" s="773"/>
      <c r="J83" s="773"/>
      <c r="K83" s="773"/>
      <c r="L83" s="773"/>
      <c r="M83" s="773"/>
      <c r="N83" s="773"/>
      <c r="O83" s="773"/>
      <c r="P83" s="773"/>
      <c r="Q83" s="773"/>
      <c r="R83" s="773"/>
      <c r="S83" s="773"/>
      <c r="T83" s="773"/>
      <c r="U83" s="773"/>
      <c r="V83" s="773"/>
      <c r="W83" s="773"/>
      <c r="X83" s="773"/>
      <c r="Y83" s="773"/>
      <c r="Z83" s="773"/>
      <c r="AA83" s="773"/>
      <c r="AB83" s="1629"/>
      <c r="AC83" s="773"/>
      <c r="AD83" s="529"/>
      <c r="AE83" s="1623"/>
      <c r="AF83" s="1623"/>
      <c r="AG83" s="1623"/>
      <c r="AH83" s="1623"/>
      <c r="AI83" s="1623"/>
      <c r="AJ83" s="1623"/>
      <c r="AK83" s="1623"/>
      <c r="AL83" s="1623"/>
      <c r="AM83" s="1623"/>
      <c r="AN83" s="1623"/>
      <c r="AO83" s="1623"/>
      <c r="AP83" s="1623"/>
      <c r="AQ83" s="1623"/>
      <c r="AR83" s="1623"/>
      <c r="AS83" s="1623"/>
      <c r="AT83" s="1623"/>
      <c r="AU83" s="1623"/>
      <c r="AV83" s="1623"/>
      <c r="AW83" s="1623"/>
      <c r="AX83" s="1623"/>
      <c r="AY83" s="1623"/>
      <c r="AZ83" s="1623"/>
      <c r="BA83" s="1623"/>
      <c r="BB83" s="1624"/>
      <c r="BC83" s="1624"/>
    </row>
    <row r="84" spans="1:55" s="470" customFormat="1" ht="159" customHeight="1" x14ac:dyDescent="0.2">
      <c r="A84" s="1628"/>
      <c r="B84" s="773"/>
      <c r="C84" s="773"/>
      <c r="D84" s="773"/>
      <c r="E84" s="773"/>
      <c r="F84" s="773"/>
      <c r="G84" s="773"/>
      <c r="H84" s="773"/>
      <c r="I84" s="773"/>
      <c r="J84" s="773"/>
      <c r="K84" s="773"/>
      <c r="L84" s="773"/>
      <c r="M84" s="773"/>
      <c r="N84" s="773"/>
      <c r="O84" s="773"/>
      <c r="P84" s="773"/>
      <c r="Q84" s="773"/>
      <c r="R84" s="773"/>
      <c r="S84" s="773"/>
      <c r="T84" s="773"/>
      <c r="U84" s="773"/>
      <c r="V84" s="773"/>
      <c r="W84" s="773"/>
      <c r="X84" s="773"/>
      <c r="Y84" s="773"/>
      <c r="Z84" s="773"/>
      <c r="AA84" s="773"/>
      <c r="AB84" s="1629"/>
      <c r="AC84" s="773"/>
      <c r="AD84" s="529"/>
      <c r="AE84" s="1623"/>
      <c r="AF84" s="1623"/>
      <c r="AG84" s="1623"/>
      <c r="AH84" s="1623"/>
      <c r="AI84" s="1623"/>
      <c r="AJ84" s="1623"/>
      <c r="AK84" s="1623"/>
      <c r="AL84" s="1623"/>
      <c r="AM84" s="1623"/>
      <c r="AN84" s="1623"/>
      <c r="AO84" s="1623"/>
      <c r="AP84" s="1623"/>
      <c r="AQ84" s="1623"/>
      <c r="AR84" s="1623"/>
      <c r="AS84" s="1623"/>
      <c r="AT84" s="1623"/>
      <c r="AU84" s="1623"/>
      <c r="AV84" s="1623"/>
      <c r="AW84" s="1623"/>
      <c r="AX84" s="1623"/>
      <c r="AY84" s="1623"/>
      <c r="AZ84" s="1623"/>
      <c r="BA84" s="1623"/>
      <c r="BB84" s="1624"/>
      <c r="BC84" s="1624"/>
    </row>
    <row r="85" spans="1:55" s="470" customFormat="1" ht="93" customHeight="1" x14ac:dyDescent="0.2">
      <c r="A85" s="1671" t="str">
        <f>$A$39</f>
        <v xml:space="preserve"> </v>
      </c>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3"/>
      <c r="AC85" s="1240"/>
      <c r="AD85" s="529"/>
      <c r="AE85" s="1623"/>
      <c r="AF85" s="1623"/>
      <c r="AG85" s="1623"/>
      <c r="AH85" s="1623"/>
      <c r="AI85" s="1623"/>
      <c r="AJ85" s="1623"/>
      <c r="AK85" s="1623"/>
      <c r="AL85" s="1623"/>
      <c r="AM85" s="1623"/>
      <c r="AN85" s="1623"/>
      <c r="AO85" s="1623"/>
      <c r="AP85" s="1623"/>
      <c r="AQ85" s="1623"/>
      <c r="AR85" s="1623"/>
      <c r="AS85" s="1623"/>
      <c r="AT85" s="1623"/>
      <c r="AU85" s="1623"/>
      <c r="AV85" s="1623"/>
      <c r="AW85" s="1623"/>
      <c r="AX85" s="1623"/>
      <c r="AY85" s="1623"/>
      <c r="AZ85" s="1623"/>
      <c r="BA85" s="1623"/>
      <c r="BB85" s="1624"/>
      <c r="BC85" s="1624"/>
    </row>
    <row r="86" spans="1:55" ht="33.75" customHeight="1" x14ac:dyDescent="0.2">
      <c r="A86" s="1242"/>
      <c r="B86" s="541"/>
      <c r="C86" s="541"/>
      <c r="D86" s="541"/>
      <c r="E86" s="542"/>
      <c r="F86" s="541"/>
      <c r="G86" s="541"/>
      <c r="H86" s="541"/>
      <c r="I86" s="541"/>
      <c r="J86" s="541"/>
      <c r="K86" s="541"/>
      <c r="L86" s="541"/>
      <c r="M86" s="541"/>
      <c r="N86" s="541"/>
      <c r="O86" s="541"/>
      <c r="P86" s="541"/>
      <c r="Q86" s="541"/>
      <c r="R86" s="541"/>
      <c r="S86" s="541"/>
      <c r="T86" s="541"/>
      <c r="U86" s="541"/>
      <c r="V86" s="541"/>
      <c r="W86" s="541"/>
      <c r="X86" s="541"/>
      <c r="Y86" s="541"/>
      <c r="Z86" s="541"/>
      <c r="AA86" s="541"/>
      <c r="AB86" s="541"/>
      <c r="AC86" s="1241"/>
      <c r="AD86" s="1243"/>
    </row>
  </sheetData>
  <sheetProtection sheet="1" objects="1" scenarios="1"/>
  <mergeCells count="92">
    <mergeCell ref="AA71:AA72"/>
    <mergeCell ref="U71:U72"/>
    <mergeCell ref="V71:V72"/>
    <mergeCell ref="W71:W72"/>
    <mergeCell ref="X71:X72"/>
    <mergeCell ref="B81:B82"/>
    <mergeCell ref="A69:AB69"/>
    <mergeCell ref="B71:C71"/>
    <mergeCell ref="D71:D72"/>
    <mergeCell ref="E71:E72"/>
    <mergeCell ref="F71:F72"/>
    <mergeCell ref="G71:G72"/>
    <mergeCell ref="H71:H72"/>
    <mergeCell ref="I71:I72"/>
    <mergeCell ref="J71:J72"/>
    <mergeCell ref="K71:K72"/>
    <mergeCell ref="L71:L72"/>
    <mergeCell ref="M71:M72"/>
    <mergeCell ref="N71:N72"/>
    <mergeCell ref="O71:O72"/>
    <mergeCell ref="Z71:Z72"/>
    <mergeCell ref="Y71:Y72"/>
    <mergeCell ref="P71:P72"/>
    <mergeCell ref="Q71:Q72"/>
    <mergeCell ref="R71:R72"/>
    <mergeCell ref="S71:S72"/>
    <mergeCell ref="T71:T72"/>
    <mergeCell ref="H41:H42"/>
    <mergeCell ref="B27:B28"/>
    <mergeCell ref="Z41:Z42"/>
    <mergeCell ref="AA41:AA42"/>
    <mergeCell ref="U41:U42"/>
    <mergeCell ref="V41:V42"/>
    <mergeCell ref="W41:W42"/>
    <mergeCell ref="X41:X42"/>
    <mergeCell ref="Y41:Y42"/>
    <mergeCell ref="B29:B34"/>
    <mergeCell ref="E12:E13"/>
    <mergeCell ref="D12:D13"/>
    <mergeCell ref="B12:C12"/>
    <mergeCell ref="D10:H10"/>
    <mergeCell ref="B10:C10"/>
    <mergeCell ref="J12:J13"/>
    <mergeCell ref="I12:I13"/>
    <mergeCell ref="H12:H13"/>
    <mergeCell ref="G12:G13"/>
    <mergeCell ref="F12:F13"/>
    <mergeCell ref="A85:AB85"/>
    <mergeCell ref="B17:B26"/>
    <mergeCell ref="B44:B48"/>
    <mergeCell ref="B77:B79"/>
    <mergeCell ref="A39:AB39"/>
    <mergeCell ref="B41:C41"/>
    <mergeCell ref="D41:D42"/>
    <mergeCell ref="E41:E42"/>
    <mergeCell ref="F41:F42"/>
    <mergeCell ref="G41:G42"/>
    <mergeCell ref="I41:I42"/>
    <mergeCell ref="J41:J42"/>
    <mergeCell ref="K41:K42"/>
    <mergeCell ref="L41:L42"/>
    <mergeCell ref="M41:M42"/>
    <mergeCell ref="N41:N42"/>
    <mergeCell ref="AA12:AA13"/>
    <mergeCell ref="Z12:Z13"/>
    <mergeCell ref="Y12:Y13"/>
    <mergeCell ref="X12:X13"/>
    <mergeCell ref="W12:W13"/>
    <mergeCell ref="N12:N13"/>
    <mergeCell ref="M12:M13"/>
    <mergeCell ref="L12:L13"/>
    <mergeCell ref="O41:O42"/>
    <mergeCell ref="K12:K13"/>
    <mergeCell ref="P41:P42"/>
    <mergeCell ref="Q41:Q42"/>
    <mergeCell ref="R41:R42"/>
    <mergeCell ref="S41:S42"/>
    <mergeCell ref="T41:T42"/>
    <mergeCell ref="Q12:Q13"/>
    <mergeCell ref="P12:P13"/>
    <mergeCell ref="O12:O13"/>
    <mergeCell ref="V12:V13"/>
    <mergeCell ref="U12:U13"/>
    <mergeCell ref="T12:T13"/>
    <mergeCell ref="S12:S13"/>
    <mergeCell ref="R12:R13"/>
    <mergeCell ref="B15:B16"/>
    <mergeCell ref="B37:B38"/>
    <mergeCell ref="B73:B76"/>
    <mergeCell ref="B61:B67"/>
    <mergeCell ref="B51:B60"/>
    <mergeCell ref="B49:B50"/>
  </mergeCells>
  <conditionalFormatting sqref="D40:Y40">
    <cfRule type="colorScale" priority="1259">
      <colorScale>
        <cfvo type="min"/>
        <cfvo type="max"/>
        <color theme="4" tint="0.79998168889431442"/>
        <color theme="4" tint="0.39997558519241921"/>
      </colorScale>
    </cfRule>
  </conditionalFormatting>
  <conditionalFormatting sqref="D56:Y60">
    <cfRule type="colorScale" priority="122">
      <colorScale>
        <cfvo type="min"/>
        <cfvo type="max"/>
        <color theme="4" tint="0.79998168889431442"/>
        <color theme="4" tint="0.39997558519241921"/>
      </colorScale>
    </cfRule>
  </conditionalFormatting>
  <conditionalFormatting sqref="D57:Y57">
    <cfRule type="colorScale" priority="121">
      <colorScale>
        <cfvo type="min"/>
        <cfvo type="max"/>
        <color theme="4" tint="0.79998168889431442"/>
        <color theme="4" tint="0.39997558519241921"/>
      </colorScale>
    </cfRule>
  </conditionalFormatting>
  <conditionalFormatting sqref="D58:Y58">
    <cfRule type="colorScale" priority="120">
      <colorScale>
        <cfvo type="min"/>
        <cfvo type="max"/>
        <color theme="4" tint="0.79998168889431442"/>
        <color theme="4" tint="0.39997558519241921"/>
      </colorScale>
    </cfRule>
  </conditionalFormatting>
  <conditionalFormatting sqref="D59:Y59">
    <cfRule type="colorScale" priority="119">
      <colorScale>
        <cfvo type="min"/>
        <cfvo type="max"/>
        <color theme="4" tint="0.79998168889431442"/>
        <color theme="4" tint="0.39997558519241921"/>
      </colorScale>
    </cfRule>
  </conditionalFormatting>
  <conditionalFormatting sqref="D60:Y60">
    <cfRule type="colorScale" priority="118">
      <colorScale>
        <cfvo type="min"/>
        <cfvo type="max"/>
        <color theme="4" tint="0.79998168889431442"/>
        <color theme="4" tint="0.39997558519241921"/>
      </colorScale>
    </cfRule>
  </conditionalFormatting>
  <conditionalFormatting sqref="D12:Y13 D71:Y74 D29:Y29 D41:Y43">
    <cfRule type="expression" dxfId="1072" priority="60">
      <formula>D12=$D$10</formula>
    </cfRule>
  </conditionalFormatting>
  <conditionalFormatting sqref="D70:Y70">
    <cfRule type="colorScale" priority="93">
      <colorScale>
        <cfvo type="min"/>
        <cfvo type="max"/>
        <color theme="4" tint="0.79998168889431442"/>
        <color theme="4" tint="0.39997558519241921"/>
      </colorScale>
    </cfRule>
  </conditionalFormatting>
  <conditionalFormatting sqref="D61:Y63 D14:Y55 D65:Y67 D73:Y82">
    <cfRule type="expression" dxfId="1071" priority="48">
      <formula>D$12=$D$10</formula>
    </cfRule>
  </conditionalFormatting>
  <conditionalFormatting sqref="D14:Y14">
    <cfRule type="colorScale" priority="91">
      <colorScale>
        <cfvo type="min"/>
        <cfvo type="max"/>
        <color rgb="FFECF2FA"/>
        <color theme="4" tint="0.39997558519241921"/>
      </colorScale>
    </cfRule>
  </conditionalFormatting>
  <conditionalFormatting sqref="D15:Y15">
    <cfRule type="colorScale" priority="76">
      <colorScale>
        <cfvo type="min"/>
        <cfvo type="max"/>
        <color rgb="FFECF2FA"/>
        <color theme="4" tint="0.39997558519241921"/>
      </colorScale>
    </cfRule>
  </conditionalFormatting>
  <conditionalFormatting sqref="D16:Y16">
    <cfRule type="colorScale" priority="74">
      <colorScale>
        <cfvo type="min"/>
        <cfvo type="max"/>
        <color rgb="FFECF2FA"/>
        <color theme="4" tint="0.39997558519241921"/>
      </colorScale>
    </cfRule>
  </conditionalFormatting>
  <conditionalFormatting sqref="D17:Y17">
    <cfRule type="colorScale" priority="73">
      <colorScale>
        <cfvo type="min"/>
        <cfvo type="max"/>
        <color rgb="FFECF2FA"/>
        <color theme="4" tint="0.39997558519241921"/>
      </colorScale>
    </cfRule>
  </conditionalFormatting>
  <conditionalFormatting sqref="D18:Y18">
    <cfRule type="colorScale" priority="72">
      <colorScale>
        <cfvo type="min"/>
        <cfvo type="max"/>
        <color rgb="FFECF2FA"/>
        <color theme="4" tint="0.39997558519241921"/>
      </colorScale>
    </cfRule>
  </conditionalFormatting>
  <conditionalFormatting sqref="D19:Y19">
    <cfRule type="colorScale" priority="71">
      <colorScale>
        <cfvo type="min"/>
        <cfvo type="max"/>
        <color rgb="FFECF2FA"/>
        <color theme="4" tint="0.39997558519241921"/>
      </colorScale>
    </cfRule>
  </conditionalFormatting>
  <conditionalFormatting sqref="D20:Y20">
    <cfRule type="colorScale" priority="70">
      <colorScale>
        <cfvo type="min"/>
        <cfvo type="max"/>
        <color rgb="FFECF2FA"/>
        <color theme="4" tint="0.39997558519241921"/>
      </colorScale>
    </cfRule>
  </conditionalFormatting>
  <conditionalFormatting sqref="D21:Y21">
    <cfRule type="colorScale" priority="69">
      <colorScale>
        <cfvo type="min"/>
        <cfvo type="max"/>
        <color rgb="FFECF2FA"/>
        <color theme="4" tint="0.39997558519241921"/>
      </colorScale>
    </cfRule>
  </conditionalFormatting>
  <conditionalFormatting sqref="D22:Y22">
    <cfRule type="colorScale" priority="68">
      <colorScale>
        <cfvo type="min"/>
        <cfvo type="max"/>
        <color rgb="FFECF2FA"/>
        <color theme="4" tint="0.39997558519241921"/>
      </colorScale>
    </cfRule>
  </conditionalFormatting>
  <conditionalFormatting sqref="D23:Y23">
    <cfRule type="colorScale" priority="67">
      <colorScale>
        <cfvo type="min"/>
        <cfvo type="max"/>
        <color rgb="FFECF2FA"/>
        <color theme="4" tint="0.39997558519241921"/>
      </colorScale>
    </cfRule>
  </conditionalFormatting>
  <conditionalFormatting sqref="D24:Y24">
    <cfRule type="colorScale" priority="66">
      <colorScale>
        <cfvo type="min"/>
        <cfvo type="max"/>
        <color rgb="FFECF2FA"/>
        <color theme="4" tint="0.39997558519241921"/>
      </colorScale>
    </cfRule>
  </conditionalFormatting>
  <conditionalFormatting sqref="D25:Y25">
    <cfRule type="colorScale" priority="65">
      <colorScale>
        <cfvo type="min"/>
        <cfvo type="max"/>
        <color rgb="FFECF2FA"/>
        <color theme="4" tint="0.39997558519241921"/>
      </colorScale>
    </cfRule>
  </conditionalFormatting>
  <conditionalFormatting sqref="D26:Y26">
    <cfRule type="colorScale" priority="64">
      <colorScale>
        <cfvo type="min"/>
        <cfvo type="max"/>
        <color rgb="FFECF2FA"/>
        <color theme="4" tint="0.39997558519241921"/>
      </colorScale>
    </cfRule>
  </conditionalFormatting>
  <conditionalFormatting sqref="D27:Y27">
    <cfRule type="colorScale" priority="63">
      <colorScale>
        <cfvo type="min"/>
        <cfvo type="max"/>
        <color rgb="FFECF2FA"/>
        <color theme="4" tint="0.39997558519241921"/>
      </colorScale>
    </cfRule>
  </conditionalFormatting>
  <conditionalFormatting sqref="D28:Y28">
    <cfRule type="colorScale" priority="62">
      <colorScale>
        <cfvo type="min"/>
        <cfvo type="max"/>
        <color rgb="FFECF2FA"/>
        <color theme="4" tint="0.39997558519241921"/>
      </colorScale>
    </cfRule>
  </conditionalFormatting>
  <conditionalFormatting sqref="D29:Y29">
    <cfRule type="colorScale" priority="59">
      <colorScale>
        <cfvo type="min"/>
        <cfvo type="max"/>
        <color rgb="FFECF2FA"/>
        <color theme="4" tint="0.39997558519241921"/>
      </colorScale>
    </cfRule>
  </conditionalFormatting>
  <conditionalFormatting sqref="D50:Y50">
    <cfRule type="colorScale" priority="57">
      <colorScale>
        <cfvo type="min"/>
        <cfvo type="max"/>
        <color rgb="FFECF2FA"/>
        <color theme="4" tint="0.39997558519241921"/>
      </colorScale>
    </cfRule>
  </conditionalFormatting>
  <conditionalFormatting sqref="D80:Y80">
    <cfRule type="colorScale" priority="55">
      <colorScale>
        <cfvo type="min"/>
        <cfvo type="max"/>
        <color rgb="FFECF2FA"/>
        <color theme="4" tint="0.39997558519241921"/>
      </colorScale>
    </cfRule>
  </conditionalFormatting>
  <conditionalFormatting sqref="D82:Y82">
    <cfRule type="colorScale" priority="54">
      <colorScale>
        <cfvo type="min"/>
        <cfvo type="max"/>
        <color rgb="FFECF2FA"/>
        <color theme="4" tint="0.39997558519241921"/>
      </colorScale>
    </cfRule>
  </conditionalFormatting>
  <conditionalFormatting sqref="D81:Y81">
    <cfRule type="colorScale" priority="52">
      <colorScale>
        <cfvo type="min"/>
        <cfvo type="max"/>
        <color rgb="FFECF2FA"/>
        <color theme="4" tint="0.39997558519241921"/>
      </colorScale>
    </cfRule>
  </conditionalFormatting>
  <conditionalFormatting sqref="D66:Y66">
    <cfRule type="colorScale" priority="47">
      <colorScale>
        <cfvo type="min"/>
        <cfvo type="max"/>
        <color rgb="FFECF2FA"/>
        <color theme="4" tint="0.39997558519241921"/>
      </colorScale>
    </cfRule>
  </conditionalFormatting>
  <conditionalFormatting sqref="D67:Y67">
    <cfRule type="colorScale" priority="46">
      <colorScale>
        <cfvo type="min"/>
        <cfvo type="max"/>
        <color rgb="FFECF2FA"/>
        <color theme="4" tint="0.39997558519241921"/>
      </colorScale>
    </cfRule>
  </conditionalFormatting>
  <conditionalFormatting sqref="D79:Y79">
    <cfRule type="colorScale" priority="43">
      <colorScale>
        <cfvo type="min"/>
        <cfvo type="max"/>
        <color rgb="FFECF2FA"/>
        <color theme="4" tint="0.39997558519241921"/>
      </colorScale>
    </cfRule>
  </conditionalFormatting>
  <conditionalFormatting sqref="D78:Y78">
    <cfRule type="colorScale" priority="41">
      <colorScale>
        <cfvo type="min"/>
        <cfvo type="max"/>
        <color rgb="FFECF2FA"/>
        <color theme="4" tint="0.39997558519241921"/>
      </colorScale>
    </cfRule>
  </conditionalFormatting>
  <conditionalFormatting sqref="D77:Y77">
    <cfRule type="colorScale" priority="40">
      <colorScale>
        <cfvo type="min"/>
        <cfvo type="max"/>
        <color rgb="FFECF2FA"/>
        <color theme="4" tint="0.39997558519241921"/>
      </colorScale>
    </cfRule>
  </conditionalFormatting>
  <conditionalFormatting sqref="D76:Y76">
    <cfRule type="colorScale" priority="39">
      <colorScale>
        <cfvo type="min"/>
        <cfvo type="max"/>
        <color rgb="FFECF2FA"/>
        <color theme="4" tint="0.39997558519241921"/>
      </colorScale>
    </cfRule>
  </conditionalFormatting>
  <conditionalFormatting sqref="D75:Y75">
    <cfRule type="colorScale" priority="38">
      <colorScale>
        <cfvo type="min"/>
        <cfvo type="max"/>
        <color rgb="FFECF2FA"/>
        <color theme="4" tint="0.39997558519241921"/>
      </colorScale>
    </cfRule>
  </conditionalFormatting>
  <conditionalFormatting sqref="D74:Y74">
    <cfRule type="colorScale" priority="37">
      <colorScale>
        <cfvo type="min"/>
        <cfvo type="max"/>
        <color rgb="FFECF2FA"/>
        <color theme="4" tint="0.39997558519241921"/>
      </colorScale>
    </cfRule>
  </conditionalFormatting>
  <conditionalFormatting sqref="D73:Y73">
    <cfRule type="colorScale" priority="36">
      <colorScale>
        <cfvo type="min"/>
        <cfvo type="max"/>
        <color rgb="FFECF2FA"/>
        <color theme="4" tint="0.39997558519241921"/>
      </colorScale>
    </cfRule>
  </conditionalFormatting>
  <conditionalFormatting sqref="D65:Y65">
    <cfRule type="colorScale" priority="35">
      <colorScale>
        <cfvo type="min"/>
        <cfvo type="max"/>
        <color rgb="FFECF2FA"/>
        <color theme="4" tint="0.39997558519241921"/>
      </colorScale>
    </cfRule>
  </conditionalFormatting>
  <conditionalFormatting sqref="D63:Y63">
    <cfRule type="colorScale" priority="33">
      <colorScale>
        <cfvo type="min"/>
        <cfvo type="max"/>
        <color rgb="FFECF2FA"/>
        <color theme="4" tint="0.39997558519241921"/>
      </colorScale>
    </cfRule>
  </conditionalFormatting>
  <conditionalFormatting sqref="D62:Y62">
    <cfRule type="colorScale" priority="32">
      <colorScale>
        <cfvo type="min"/>
        <cfvo type="max"/>
        <color rgb="FFECF2FA"/>
        <color theme="4" tint="0.39997558519241921"/>
      </colorScale>
    </cfRule>
  </conditionalFormatting>
  <conditionalFormatting sqref="D61:Y61">
    <cfRule type="colorScale" priority="30">
      <colorScale>
        <cfvo type="min"/>
        <cfvo type="max"/>
        <color rgb="FFECF2FA"/>
        <color theme="4" tint="0.39997558519241921"/>
      </colorScale>
    </cfRule>
  </conditionalFormatting>
  <conditionalFormatting sqref="D30:Y30">
    <cfRule type="colorScale" priority="29">
      <colorScale>
        <cfvo type="min"/>
        <cfvo type="max"/>
        <color rgb="FFECF2FA"/>
        <color theme="4" tint="0.39997558519241921"/>
      </colorScale>
    </cfRule>
  </conditionalFormatting>
  <conditionalFormatting sqref="D35:Y35">
    <cfRule type="colorScale" priority="28">
      <colorScale>
        <cfvo type="min"/>
        <cfvo type="max"/>
        <color rgb="FFECF2FA"/>
        <color theme="4" tint="0.39997558519241921"/>
      </colorScale>
    </cfRule>
  </conditionalFormatting>
  <conditionalFormatting sqref="D33:Y33">
    <cfRule type="colorScale" priority="26">
      <colorScale>
        <cfvo type="min"/>
        <cfvo type="max"/>
        <color rgb="FFECF2FA"/>
        <color theme="4" tint="0.39997558519241921"/>
      </colorScale>
    </cfRule>
  </conditionalFormatting>
  <conditionalFormatting sqref="D32:Y32">
    <cfRule type="colorScale" priority="25">
      <colorScale>
        <cfvo type="min"/>
        <cfvo type="max"/>
        <color rgb="FFECF2FA"/>
        <color theme="4" tint="0.39997558519241921"/>
      </colorScale>
    </cfRule>
  </conditionalFormatting>
  <conditionalFormatting sqref="D31:Y31">
    <cfRule type="colorScale" priority="24">
      <colorScale>
        <cfvo type="min"/>
        <cfvo type="max"/>
        <color rgb="FFECF2FA"/>
        <color theme="4" tint="0.39997558519241921"/>
      </colorScale>
    </cfRule>
  </conditionalFormatting>
  <conditionalFormatting sqref="D34:Y34">
    <cfRule type="colorScale" priority="23">
      <colorScale>
        <cfvo type="min"/>
        <cfvo type="max"/>
        <color rgb="FFECF2FA"/>
        <color theme="4" tint="0.39997558519241921"/>
      </colorScale>
    </cfRule>
  </conditionalFormatting>
  <conditionalFormatting sqref="D36:Y36">
    <cfRule type="colorScale" priority="22">
      <colorScale>
        <cfvo type="min"/>
        <cfvo type="max"/>
        <color rgb="FFECF2FA"/>
        <color theme="4" tint="0.39997558519241921"/>
      </colorScale>
    </cfRule>
  </conditionalFormatting>
  <conditionalFormatting sqref="D37:Y37">
    <cfRule type="colorScale" priority="21">
      <colorScale>
        <cfvo type="min"/>
        <cfvo type="max"/>
        <color rgb="FFECF2FA"/>
        <color theme="4" tint="0.39997558519241921"/>
      </colorScale>
    </cfRule>
  </conditionalFormatting>
  <conditionalFormatting sqref="D55:Y55">
    <cfRule type="colorScale" priority="20">
      <colorScale>
        <cfvo type="min"/>
        <cfvo type="max"/>
        <color rgb="FFECF2FA"/>
        <color theme="4" tint="0.39997558519241921"/>
      </colorScale>
    </cfRule>
  </conditionalFormatting>
  <conditionalFormatting sqref="D54:Y54">
    <cfRule type="colorScale" priority="19">
      <colorScale>
        <cfvo type="min"/>
        <cfvo type="max"/>
        <color rgb="FFECF2FA"/>
        <color theme="4" tint="0.39997558519241921"/>
      </colorScale>
    </cfRule>
  </conditionalFormatting>
  <conditionalFormatting sqref="D53:Y53">
    <cfRule type="colorScale" priority="18">
      <colorScale>
        <cfvo type="min"/>
        <cfvo type="max"/>
        <color rgb="FFECF2FA"/>
        <color theme="4" tint="0.39997558519241921"/>
      </colorScale>
    </cfRule>
  </conditionalFormatting>
  <conditionalFormatting sqref="D52:Y52">
    <cfRule type="colorScale" priority="17">
      <colorScale>
        <cfvo type="min"/>
        <cfvo type="max"/>
        <color rgb="FFECF2FA"/>
        <color theme="4" tint="0.39997558519241921"/>
      </colorScale>
    </cfRule>
  </conditionalFormatting>
  <conditionalFormatting sqref="D51:Y51">
    <cfRule type="colorScale" priority="16">
      <colorScale>
        <cfvo type="min"/>
        <cfvo type="max"/>
        <color rgb="FFECF2FA"/>
        <color theme="4" tint="0.39997558519241921"/>
      </colorScale>
    </cfRule>
  </conditionalFormatting>
  <conditionalFormatting sqref="D49:Y49">
    <cfRule type="colorScale" priority="15">
      <colorScale>
        <cfvo type="min"/>
        <cfvo type="max"/>
        <color rgb="FFECF2FA"/>
        <color theme="4" tint="0.39997558519241921"/>
      </colorScale>
    </cfRule>
  </conditionalFormatting>
  <conditionalFormatting sqref="D47:Y47">
    <cfRule type="colorScale" priority="13">
      <colorScale>
        <cfvo type="min"/>
        <cfvo type="max"/>
        <color rgb="FFECF2FA"/>
        <color theme="4" tint="0.39997558519241921"/>
      </colorScale>
    </cfRule>
  </conditionalFormatting>
  <conditionalFormatting sqref="D43:Y43">
    <cfRule type="colorScale" priority="12">
      <colorScale>
        <cfvo type="min"/>
        <cfvo type="max"/>
        <color rgb="FFECF2FA"/>
        <color theme="4" tint="0.39997558519241921"/>
      </colorScale>
    </cfRule>
  </conditionalFormatting>
  <conditionalFormatting sqref="D44:Y44">
    <cfRule type="colorScale" priority="10">
      <colorScale>
        <cfvo type="min"/>
        <cfvo type="max"/>
        <color rgb="FFECF2FA"/>
        <color theme="4" tint="0.39997558519241921"/>
      </colorScale>
    </cfRule>
  </conditionalFormatting>
  <conditionalFormatting sqref="D38:Y38">
    <cfRule type="colorScale" priority="9">
      <colorScale>
        <cfvo type="min"/>
        <cfvo type="max"/>
        <color rgb="FFECF2FA"/>
        <color theme="4" tint="0.39997558519241921"/>
      </colorScale>
    </cfRule>
  </conditionalFormatting>
  <conditionalFormatting sqref="D46:Y46">
    <cfRule type="colorScale" priority="8">
      <colorScale>
        <cfvo type="min"/>
        <cfvo type="max"/>
        <color rgb="FFECF2FA"/>
        <color theme="4" tint="0.39997558519241921"/>
      </colorScale>
    </cfRule>
  </conditionalFormatting>
  <conditionalFormatting sqref="D48:Y48">
    <cfRule type="colorScale" priority="7">
      <colorScale>
        <cfvo type="min"/>
        <cfvo type="max"/>
        <color rgb="FFECF2FA"/>
        <color theme="4" tint="0.39997558519241921"/>
      </colorScale>
    </cfRule>
  </conditionalFormatting>
  <conditionalFormatting sqref="D45:Y45">
    <cfRule type="colorScale" priority="5">
      <colorScale>
        <cfvo type="min"/>
        <cfvo type="max"/>
        <color rgb="FFECF2FA"/>
        <color theme="4" tint="0.39997558519241921"/>
      </colorScale>
    </cfRule>
  </conditionalFormatting>
  <conditionalFormatting sqref="D64:Y64">
    <cfRule type="expression" dxfId="1070" priority="2">
      <formula>D$12=$D$10</formula>
    </cfRule>
  </conditionalFormatting>
  <conditionalFormatting sqref="D64:Y64">
    <cfRule type="colorScale" priority="1">
      <colorScale>
        <cfvo type="min"/>
        <cfvo type="max"/>
        <color rgb="FFECF2FA"/>
        <color theme="4" tint="0.39997558519241921"/>
      </colorScale>
    </cfRule>
  </conditionalFormatting>
  <dataValidations count="1">
    <dataValidation type="list" allowBlank="1" showInputMessage="1" showErrorMessage="1" sqref="D10" xr:uid="{00000000-0002-0000-0800-000000000000}">
      <formula1>$AE$12:$BA$12</formula1>
    </dataValidation>
  </dataValidations>
  <hyperlinks>
    <hyperlink ref="B22:B26" location="Referral_Source!A1" display="Referral Source (rate per 10,000)" xr:uid="{00000000-0004-0000-0800-000003000000}"/>
    <hyperlink ref="B27" location="'Re-referrals'!A1" display="Re-Referrals" xr:uid="{00000000-0004-0000-0800-000004000000}"/>
    <hyperlink ref="B35" location="'Children in Need'!A1" display="CIN" xr:uid="{00000000-0004-0000-0800-000005000000}"/>
    <hyperlink ref="B36" location="'Section 47 Enquiries'!A1" display="Section 47 Enquiries" xr:uid="{00000000-0004-0000-0800-000006000000}"/>
    <hyperlink ref="B49" location="'Court Applications'!A1" display="Court Applications" xr:uid="{00000000-0004-0000-0800-000008000000}"/>
    <hyperlink ref="B77:B78" location="Adoption!A1" display="Adoption" xr:uid="{00000000-0004-0000-0800-000009000000}"/>
    <hyperlink ref="B14" location="IDACI!A1" display="Early Help Clients" xr:uid="{00000000-0004-0000-0800-00000B000000}"/>
    <hyperlink ref="B61:B65" location="New_Ceased_LAC!A1" display="Children Starting or Ceasing to be Looked After (during the period)" xr:uid="{00000000-0004-0000-0800-00000C000000}"/>
    <hyperlink ref="B80" location="'Re-referrals'!A1" display="Re-Referrals" xr:uid="{00000000-0004-0000-0800-00000E000000}"/>
    <hyperlink ref="B80" location="Offending!A1" display="Re-Referrals" xr:uid="{00000000-0004-0000-0800-00000F000000}"/>
    <hyperlink ref="B81" location="'Re-referrals'!A1" display="Re-Referrals" xr:uid="{00000000-0004-0000-0800-000010000000}"/>
    <hyperlink ref="B81:B82" location="EHCP!A1" display="EHC Plans" xr:uid="{00000000-0004-0000-0800-000011000000}"/>
    <hyperlink ref="B44:B48" location="'Child Protection Plans'!A1" display="Child Protection Plans" xr:uid="{00000000-0004-0000-0800-000014000000}"/>
    <hyperlink ref="B51:B54" location="'Looked After Children'!A1" display="Children Looked After (at last day in period)" xr:uid="{6747C5D6-7150-4126-AFD6-19726879E6D8}"/>
    <hyperlink ref="B29" location="Assessments!A1" display="Assessments" xr:uid="{7B3903ED-DA58-47A8-9ED0-7717CA5F075C}"/>
    <hyperlink ref="B15:B16" location="Referrals!A1" display="Referrals" xr:uid="{00000000-0004-0000-0800-000002000000}"/>
  </hyperlinks>
  <printOptions horizontalCentered="1" verticalCentered="1"/>
  <pageMargins left="0.55118110236220474" right="0.55118110236220474" top="0.55118110236220474" bottom="0.55118110236220474" header="0.39370078740157483" footer="0.74803149606299213"/>
  <pageSetup paperSize="9" scale="75" fitToHeight="0" orientation="landscape" r:id="rId1"/>
  <headerFooter alignWithMargins="0">
    <oddFooter>&amp;C&amp;"Arial,Bold"&amp;9&amp;F - Page &amp;P</oddFooter>
  </headerFooter>
  <rowBreaks count="1" manualBreakCount="1">
    <brk id="39" max="28" man="1"/>
  </rowBreaks>
  <colBreaks count="1" manualBreakCount="1">
    <brk id="25" max="6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889</vt:i4>
      </vt:variant>
    </vt:vector>
  </HeadingPairs>
  <TitlesOfParts>
    <vt:vector size="924" baseType="lpstr">
      <vt:lpstr>Year 1</vt:lpstr>
      <vt:lpstr>Year 2</vt:lpstr>
      <vt:lpstr>Year 3</vt:lpstr>
      <vt:lpstr>Year 4</vt:lpstr>
      <vt:lpstr>Year 5</vt:lpstr>
      <vt:lpstr>Sheet1</vt:lpstr>
      <vt:lpstr>ChartLabels</vt:lpstr>
      <vt:lpstr>Frontpage</vt:lpstr>
      <vt:lpstr>Home</vt:lpstr>
      <vt:lpstr>Indicators</vt:lpstr>
      <vt:lpstr>Coverage</vt:lpstr>
      <vt:lpstr>IDACI</vt:lpstr>
      <vt:lpstr>Population</vt:lpstr>
      <vt:lpstr>Contacts</vt:lpstr>
      <vt:lpstr>EH_Referrals</vt:lpstr>
      <vt:lpstr>EH_Assessments</vt:lpstr>
      <vt:lpstr>EH_Clients</vt:lpstr>
      <vt:lpstr>Referrals</vt:lpstr>
      <vt:lpstr>Referral_Source</vt:lpstr>
      <vt:lpstr>Re-referrals</vt:lpstr>
      <vt:lpstr>Assessments</vt:lpstr>
      <vt:lpstr>Children in Need</vt:lpstr>
      <vt:lpstr>Section 47 Enquiries</vt:lpstr>
      <vt:lpstr>Initial CP Conferences</vt:lpstr>
      <vt:lpstr>Child Protection Plans</vt:lpstr>
      <vt:lpstr>Court Applications</vt:lpstr>
      <vt:lpstr>Looked After Children</vt:lpstr>
      <vt:lpstr>New_Ceased_LAC</vt:lpstr>
      <vt:lpstr>Adoption</vt:lpstr>
      <vt:lpstr>Care_Leavers</vt:lpstr>
      <vt:lpstr>ROSGO</vt:lpstr>
      <vt:lpstr>EHCP</vt:lpstr>
      <vt:lpstr>EHE_CME</vt:lpstr>
      <vt:lpstr>NEET</vt:lpstr>
      <vt:lpstr>Offending</vt:lpstr>
      <vt:lpstr>'Year 2'!Age_Breakdown_of_LAC</vt:lpstr>
      <vt:lpstr>'Year 3'!Age_Breakdown_of_LAC</vt:lpstr>
      <vt:lpstr>'Year 4'!Age_Breakdown_of_LAC</vt:lpstr>
      <vt:lpstr>'Year 5'!Age_Breakdown_of_LAC</vt:lpstr>
      <vt:lpstr>Age_Breakdown_of_LAC</vt:lpstr>
      <vt:lpstr>'Year 2'!Bracknell_Forest</vt:lpstr>
      <vt:lpstr>'Year 3'!Bracknell_Forest</vt:lpstr>
      <vt:lpstr>'Year 4'!Bracknell_Forest</vt:lpstr>
      <vt:lpstr>'Year 5'!Bracknell_Forest</vt:lpstr>
      <vt:lpstr>Bracknell_Forest</vt:lpstr>
      <vt:lpstr>'Year 2'!Brighton___Hove</vt:lpstr>
      <vt:lpstr>'Year 3'!Brighton___Hove</vt:lpstr>
      <vt:lpstr>'Year 4'!Brighton___Hove</vt:lpstr>
      <vt:lpstr>'Year 5'!Brighton___Hove</vt:lpstr>
      <vt:lpstr>Brighton___Hove</vt:lpstr>
      <vt:lpstr>'Year 2'!Buckinghamshire</vt:lpstr>
      <vt:lpstr>'Year 3'!Buckinghamshire</vt:lpstr>
      <vt:lpstr>'Year 4'!Buckinghamshire</vt:lpstr>
      <vt:lpstr>'Year 5'!Buckinghamshire</vt:lpstr>
      <vt:lpstr>Buckinghamshire</vt:lpstr>
      <vt:lpstr>'Year 2'!East_Sussex</vt:lpstr>
      <vt:lpstr>'Year 3'!East_Sussex</vt:lpstr>
      <vt:lpstr>'Year 4'!East_Sussex</vt:lpstr>
      <vt:lpstr>'Year 5'!East_Sussex</vt:lpstr>
      <vt:lpstr>East_Sussex</vt:lpstr>
      <vt:lpstr>'Year 2'!England</vt:lpstr>
      <vt:lpstr>'Year 3'!England</vt:lpstr>
      <vt:lpstr>'Year 4'!England</vt:lpstr>
      <vt:lpstr>'Year 5'!England</vt:lpstr>
      <vt:lpstr>England</vt:lpstr>
      <vt:lpstr>'Year 2'!Hampshire</vt:lpstr>
      <vt:lpstr>'Year 3'!Hampshire</vt:lpstr>
      <vt:lpstr>'Year 4'!Hampshire</vt:lpstr>
      <vt:lpstr>'Year 5'!Hampshire</vt:lpstr>
      <vt:lpstr>Hampshire</vt:lpstr>
      <vt:lpstr>'Year 2'!Isle_of_Wight</vt:lpstr>
      <vt:lpstr>'Year 3'!Isle_of_Wight</vt:lpstr>
      <vt:lpstr>'Year 4'!Isle_of_Wight</vt:lpstr>
      <vt:lpstr>'Year 5'!Isle_of_Wight</vt:lpstr>
      <vt:lpstr>Isle_of_Wight</vt:lpstr>
      <vt:lpstr>'Year 2'!Kent</vt:lpstr>
      <vt:lpstr>'Year 3'!Kent</vt:lpstr>
      <vt:lpstr>'Year 4'!Kent</vt:lpstr>
      <vt:lpstr>'Year 5'!Kent</vt:lpstr>
      <vt:lpstr>Kent</vt:lpstr>
      <vt:lpstr>'Year 2'!Medway</vt:lpstr>
      <vt:lpstr>'Year 3'!Medway</vt:lpstr>
      <vt:lpstr>'Year 4'!Medway</vt:lpstr>
      <vt:lpstr>'Year 5'!Medway</vt:lpstr>
      <vt:lpstr>Medway</vt:lpstr>
      <vt:lpstr>'Year 2'!Milton_Keynes</vt:lpstr>
      <vt:lpstr>'Year 3'!Milton_Keynes</vt:lpstr>
      <vt:lpstr>'Year 4'!Milton_Keynes</vt:lpstr>
      <vt:lpstr>'Year 5'!Milton_Keynes</vt:lpstr>
      <vt:lpstr>Milton_Keynes</vt:lpstr>
      <vt:lpstr>'Year 2'!Number_of_completed_Early_Help_Assessments_leading_to</vt:lpstr>
      <vt:lpstr>'Year 3'!Number_of_completed_Early_Help_Assessments_leading_to</vt:lpstr>
      <vt:lpstr>'Year 4'!Number_of_completed_Early_Help_Assessments_leading_to</vt:lpstr>
      <vt:lpstr>'Year 5'!Number_of_completed_Early_Help_Assessments_leading_to</vt:lpstr>
      <vt:lpstr>Number_of_completed_Early_Help_Assessments_leading_to</vt:lpstr>
      <vt:lpstr>'Year 2'!Number_of_CSC_Single_Assessments_Authorised_within</vt:lpstr>
      <vt:lpstr>'Year 3'!Number_of_CSC_Single_Assessments_Authorised_within</vt:lpstr>
      <vt:lpstr>'Year 4'!Number_of_CSC_Single_Assessments_Authorised_within</vt:lpstr>
      <vt:lpstr>'Year 5'!Number_of_CSC_Single_Assessments_Authorised_within</vt:lpstr>
      <vt:lpstr>Number_of_CSC_Single_Assessments_Authorised_within</vt:lpstr>
      <vt:lpstr>'Year 2'!Number_of_Referrals_to_CSC_received_from</vt:lpstr>
      <vt:lpstr>'Year 3'!Number_of_Referrals_to_CSC_received_from</vt:lpstr>
      <vt:lpstr>'Year 4'!Number_of_Referrals_to_CSC_received_from</vt:lpstr>
      <vt:lpstr>'Year 5'!Number_of_Referrals_to_CSC_received_from</vt:lpstr>
      <vt:lpstr>Number_of_Referrals_to_CSC_received_from</vt:lpstr>
      <vt:lpstr>'Year 2'!Oxfordshire</vt:lpstr>
      <vt:lpstr>'Year 3'!Oxfordshire</vt:lpstr>
      <vt:lpstr>'Year 4'!Oxfordshire</vt:lpstr>
      <vt:lpstr>'Year 5'!Oxfordshire</vt:lpstr>
      <vt:lpstr>Oxfordshire</vt:lpstr>
      <vt:lpstr>'Year 2'!Portsmouth</vt:lpstr>
      <vt:lpstr>'Year 3'!Portsmouth</vt:lpstr>
      <vt:lpstr>'Year 4'!Portsmouth</vt:lpstr>
      <vt:lpstr>'Year 5'!Portsmouth</vt:lpstr>
      <vt:lpstr>Portsmouth</vt:lpstr>
      <vt:lpstr>Adoption!Print_Area</vt:lpstr>
      <vt:lpstr>Assessments!Print_Area</vt:lpstr>
      <vt:lpstr>Care_Leavers!Print_Area</vt:lpstr>
      <vt:lpstr>'Child Protection Plans'!Print_Area</vt:lpstr>
      <vt:lpstr>'Children in Need'!Print_Area</vt:lpstr>
      <vt:lpstr>Contacts!Print_Area</vt:lpstr>
      <vt:lpstr>'Court Applications'!Print_Area</vt:lpstr>
      <vt:lpstr>Coverage!Print_Area</vt:lpstr>
      <vt:lpstr>EH_Assessments!Print_Area</vt:lpstr>
      <vt:lpstr>EH_Clients!Print_Area</vt:lpstr>
      <vt:lpstr>EH_Referrals!Print_Area</vt:lpstr>
      <vt:lpstr>EHCP!Print_Area</vt:lpstr>
      <vt:lpstr>EHE_CME!Print_Area</vt:lpstr>
      <vt:lpstr>Frontpage!Print_Area</vt:lpstr>
      <vt:lpstr>Home!Print_Area</vt:lpstr>
      <vt:lpstr>IDACI!Print_Area</vt:lpstr>
      <vt:lpstr>Indicators!Print_Area</vt:lpstr>
      <vt:lpstr>'Initial CP Conferences'!Print_Area</vt:lpstr>
      <vt:lpstr>'Looked After Children'!Print_Area</vt:lpstr>
      <vt:lpstr>NEET!Print_Area</vt:lpstr>
      <vt:lpstr>New_Ceased_LAC!Print_Area</vt:lpstr>
      <vt:lpstr>Offending!Print_Area</vt:lpstr>
      <vt:lpstr>Population!Print_Area</vt:lpstr>
      <vt:lpstr>Referral_Source!Print_Area</vt:lpstr>
      <vt:lpstr>Referrals!Print_Area</vt:lpstr>
      <vt:lpstr>'Re-referrals'!Print_Area</vt:lpstr>
      <vt:lpstr>ROSGO!Print_Area</vt:lpstr>
      <vt:lpstr>'Section 47 Enquiries'!Print_Area</vt:lpstr>
      <vt:lpstr>Sheet1!Print_Area</vt:lpstr>
      <vt:lpstr>Home!Print_Titles</vt:lpstr>
      <vt:lpstr>Indicators!Print_Titles</vt:lpstr>
      <vt:lpstr>'Year 2'!Reading</vt:lpstr>
      <vt:lpstr>'Year 3'!Reading</vt:lpstr>
      <vt:lpstr>'Year 4'!Reading</vt:lpstr>
      <vt:lpstr>'Year 5'!Reading</vt:lpstr>
      <vt:lpstr>Reading</vt:lpstr>
      <vt:lpstr>'Year 2'!Slough</vt:lpstr>
      <vt:lpstr>'Year 3'!Slough</vt:lpstr>
      <vt:lpstr>'Year 4'!Slough</vt:lpstr>
      <vt:lpstr>'Year 5'!Slough</vt:lpstr>
      <vt:lpstr>Slough</vt:lpstr>
      <vt:lpstr>'Year 2'!Somerset</vt:lpstr>
      <vt:lpstr>'Year 3'!Somerset</vt:lpstr>
      <vt:lpstr>'Year 4'!Somerset</vt:lpstr>
      <vt:lpstr>'Year 5'!Somerset</vt:lpstr>
      <vt:lpstr>Somerset</vt:lpstr>
      <vt:lpstr>'Year 2'!South_East</vt:lpstr>
      <vt:lpstr>'Year 3'!South_East</vt:lpstr>
      <vt:lpstr>'Year 4'!South_East</vt:lpstr>
      <vt:lpstr>'Year 5'!South_East</vt:lpstr>
      <vt:lpstr>South_East</vt:lpstr>
      <vt:lpstr>'Year 2'!Southampton</vt:lpstr>
      <vt:lpstr>'Year 3'!Southampton</vt:lpstr>
      <vt:lpstr>'Year 4'!Southampton</vt:lpstr>
      <vt:lpstr>'Year 5'!Southampton</vt:lpstr>
      <vt:lpstr>Southampton</vt:lpstr>
      <vt:lpstr>'Year 2'!Surrey</vt:lpstr>
      <vt:lpstr>'Year 3'!Surrey</vt:lpstr>
      <vt:lpstr>'Year 4'!Surrey</vt:lpstr>
      <vt:lpstr>'Year 5'!Surrey</vt:lpstr>
      <vt:lpstr>Surrey</vt:lpstr>
      <vt:lpstr>'Year 2'!Swindon</vt:lpstr>
      <vt:lpstr>'Year 3'!Swindon</vt:lpstr>
      <vt:lpstr>'Year 4'!Swindon</vt:lpstr>
      <vt:lpstr>'Year 5'!Swindon</vt:lpstr>
      <vt:lpstr>Swindon</vt:lpstr>
      <vt:lpstr>'Year 2'!Torbay</vt:lpstr>
      <vt:lpstr>'Year 3'!Torbay</vt:lpstr>
      <vt:lpstr>'Year 4'!Torbay</vt:lpstr>
      <vt:lpstr>Torbay</vt:lpstr>
      <vt:lpstr>'Year 2'!West_Berkshire</vt:lpstr>
      <vt:lpstr>'Year 3'!West_Berkshire</vt:lpstr>
      <vt:lpstr>'Year 4'!West_Berkshire</vt:lpstr>
      <vt:lpstr>'Year 5'!West_Berkshire</vt:lpstr>
      <vt:lpstr>West_Berkshire</vt:lpstr>
      <vt:lpstr>'Year 2'!West_Sussex</vt:lpstr>
      <vt:lpstr>'Year 3'!West_Sussex</vt:lpstr>
      <vt:lpstr>'Year 4'!West_Sussex</vt:lpstr>
      <vt:lpstr>'Year 5'!West_Sussex</vt:lpstr>
      <vt:lpstr>West_Sussex</vt:lpstr>
      <vt:lpstr>'Year 2'!Windsor___Maidenhead</vt:lpstr>
      <vt:lpstr>'Year 3'!Windsor___Maidenhead</vt:lpstr>
      <vt:lpstr>'Year 4'!Windsor___Maidenhead</vt:lpstr>
      <vt:lpstr>'Year 5'!Windsor___Maidenhead</vt:lpstr>
      <vt:lpstr>Windsor___Maidenhead</vt:lpstr>
      <vt:lpstr>'Year 2'!Wokingham</vt:lpstr>
      <vt:lpstr>'Year 3'!Wokingham</vt:lpstr>
      <vt:lpstr>'Year 4'!Wokingham</vt:lpstr>
      <vt:lpstr>'Year 5'!Wokingham</vt:lpstr>
      <vt:lpstr>Wokingham</vt:lpstr>
      <vt:lpstr>Year1__1617__participating_in_EET</vt:lpstr>
      <vt:lpstr>Year1__electively_home_educated</vt:lpstr>
      <vt:lpstr>Year1_16_17_NEET</vt:lpstr>
      <vt:lpstr>Year1_16_17_not_known</vt:lpstr>
      <vt:lpstr>Year1_16_17_participating_in_EET</vt:lpstr>
      <vt:lpstr>Year1_1617_NEET</vt:lpstr>
      <vt:lpstr>Year1_1617_not_known</vt:lpstr>
      <vt:lpstr>Year1_1617_participating_in_EET</vt:lpstr>
      <vt:lpstr>Year1_Adoption_ceased_LAC</vt:lpstr>
      <vt:lpstr>Year1_Adoption_LAC_Adopted</vt:lpstr>
      <vt:lpstr>Year1_Adoption_LAC_Adopted_days</vt:lpstr>
      <vt:lpstr>Year1_Adoption_LAC_Adopted_placed_with_12months</vt:lpstr>
      <vt:lpstr>Year1_Adoption_PFA</vt:lpstr>
      <vt:lpstr>Year1_Assessments</vt:lpstr>
      <vt:lpstr>Year1_Assessments_10days</vt:lpstr>
      <vt:lpstr>Year1_Assessments_11_20days</vt:lpstr>
      <vt:lpstr>Year1_Assessments_11_25days</vt:lpstr>
      <vt:lpstr>Year1_Assessments_21_30days</vt:lpstr>
      <vt:lpstr>Year1_Assessments_26_35days</vt:lpstr>
      <vt:lpstr>Year1_Assessments_31_45days</vt:lpstr>
      <vt:lpstr>Year1_Assessments_36_45days</vt:lpstr>
      <vt:lpstr>Year1_Assessments_No_further_action</vt:lpstr>
      <vt:lpstr>Year1_Assessments_over_45days</vt:lpstr>
      <vt:lpstr>Year1_Assessments_step_down</vt:lpstr>
      <vt:lpstr>Year1_Assessments_within45days</vt:lpstr>
      <vt:lpstr>'Year 5'!Year1_Bracknell_Forest</vt:lpstr>
      <vt:lpstr>Year1_Bracknell_Forest</vt:lpstr>
      <vt:lpstr>'Year 5'!Year1_Brighton___Hove</vt:lpstr>
      <vt:lpstr>Year1_Brighton___Hove</vt:lpstr>
      <vt:lpstr>Year1_Brighton_Hove</vt:lpstr>
      <vt:lpstr>'Year 5'!Year1_Buckinghamshire</vt:lpstr>
      <vt:lpstr>Year1_Buckinghamshire</vt:lpstr>
      <vt:lpstr>Year1_CAO_RO_Total</vt:lpstr>
      <vt:lpstr>Year1_Care_Applications</vt:lpstr>
      <vt:lpstr>Year1_Care_Applications_Children</vt:lpstr>
      <vt:lpstr>Year1_Care_Leavers_16_18th_birthday</vt:lpstr>
      <vt:lpstr>Year1_Care_Leavers_19_20_Ceased18_SP</vt:lpstr>
      <vt:lpstr>Year1_Care_Leavers_at_end_of_period</vt:lpstr>
      <vt:lpstr>Year1_Care_Leavers_in_EET</vt:lpstr>
      <vt:lpstr>Year1_Care_Leavers_in_suitable_accommodation</vt:lpstr>
      <vt:lpstr>Year1_Care_Leavers_in_touch</vt:lpstr>
      <vt:lpstr>Year1_Ceased_LAC_16plus</vt:lpstr>
      <vt:lpstr>Year1_Ceased_LAC_16plus_18th</vt:lpstr>
      <vt:lpstr>Year1_Children_missing_Education</vt:lpstr>
      <vt:lpstr>Year1_CIN</vt:lpstr>
      <vt:lpstr>Year1_CIN_Section47</vt:lpstr>
      <vt:lpstr>Year1_Contacts</vt:lpstr>
      <vt:lpstr>Year1_Continuous_assessments</vt:lpstr>
      <vt:lpstr>Year1_CP_Conference</vt:lpstr>
      <vt:lpstr>Year1_CP_Conference_within15days</vt:lpstr>
      <vt:lpstr>Year1_CP_Plans</vt:lpstr>
      <vt:lpstr>Year1_CP_Plans_2years</vt:lpstr>
      <vt:lpstr>Year1_CP_Plans_3months</vt:lpstr>
      <vt:lpstr>Year1_CP_Plans_3months_timescales</vt:lpstr>
      <vt:lpstr>Year1_CP_Plans_became_subject</vt:lpstr>
      <vt:lpstr>Year1_CP_Plans_became_subject_second</vt:lpstr>
      <vt:lpstr>Year1_CP_Plans_became_subject_second_2years</vt:lpstr>
      <vt:lpstr>Year1_CP_Plans_ceased</vt:lpstr>
      <vt:lpstr>Year1_CP_Plans_ceased_2years</vt:lpstr>
      <vt:lpstr>Year1_CP_Plans_Seen_in_Timescales</vt:lpstr>
      <vt:lpstr>Year1_EarlyHelpAssessments</vt:lpstr>
      <vt:lpstr>Year1_EarlyHelpAssessmentsOngoing</vt:lpstr>
      <vt:lpstr>Year1_EarlyHelpAssessmentsStepUp</vt:lpstr>
      <vt:lpstr>Year1_EarlyHelpedChildren</vt:lpstr>
      <vt:lpstr>Year1_EarlyHelpReferrals</vt:lpstr>
      <vt:lpstr>Year1_EarlyHelpReferralsOntoASSESSMENT</vt:lpstr>
      <vt:lpstr>Year1_EarlyHelpReferralsSTEPDOWN</vt:lpstr>
      <vt:lpstr>Year1_EarlyHelpReReferrals</vt:lpstr>
      <vt:lpstr>'Year 5'!Year1_East_Sussex</vt:lpstr>
      <vt:lpstr>Year1_East_Sussex</vt:lpstr>
      <vt:lpstr>'Year 5'!Year1_England</vt:lpstr>
      <vt:lpstr>Year1_England</vt:lpstr>
      <vt:lpstr>Year1_First_Time_Entrants_to_Youth_Justice_system</vt:lpstr>
      <vt:lpstr>'Year 5'!Year1_Hampshire</vt:lpstr>
      <vt:lpstr>Year1_Hampshire</vt:lpstr>
      <vt:lpstr>'Year 5'!Year1_Isle_of_Wight</vt:lpstr>
      <vt:lpstr>Year1_Isle_of_Wight</vt:lpstr>
      <vt:lpstr>Year1_Juvenile_Offenders__Age_10_17</vt:lpstr>
      <vt:lpstr>Year1_Juvenile_Offenders__Age_1017</vt:lpstr>
      <vt:lpstr>Year1_Juvenile_Re_offenders__Age_10_17</vt:lpstr>
      <vt:lpstr>Year1_Juvenile_Reoffenders__Age_1017</vt:lpstr>
      <vt:lpstr>'Year 5'!Year1_Kent</vt:lpstr>
      <vt:lpstr>Year1_Kent</vt:lpstr>
      <vt:lpstr>Year1_LAC</vt:lpstr>
      <vt:lpstr>Year1_LAC_10to15</vt:lpstr>
      <vt:lpstr>Year1_LAC_16plus</vt:lpstr>
      <vt:lpstr>Year1_LAC_1to4</vt:lpstr>
      <vt:lpstr>Year1_LAC_3_or_more_Placements</vt:lpstr>
      <vt:lpstr>Year1_LAC_4weeks</vt:lpstr>
      <vt:lpstr>Year1_LAC_4weeks_reviews_in_timescales</vt:lpstr>
      <vt:lpstr>Year1_LAC_5to9</vt:lpstr>
      <vt:lpstr>Year1_LAC_Remanded</vt:lpstr>
      <vt:lpstr>Year1_LAC_Start</vt:lpstr>
      <vt:lpstr>Year1_LAC_Start_2nd_time</vt:lpstr>
      <vt:lpstr>Year1_LAC_UASC</vt:lpstr>
      <vt:lpstr>Year1_LAC_Under1</vt:lpstr>
      <vt:lpstr>Year1_LAC_under16</vt:lpstr>
      <vt:lpstr>Year1_LAC_under16_2.5years</vt:lpstr>
      <vt:lpstr>Year1_LAC_under16_2.5years_sameplacement2years</vt:lpstr>
      <vt:lpstr>'Year 5'!Year1_Medway</vt:lpstr>
      <vt:lpstr>Year1_Medway</vt:lpstr>
      <vt:lpstr>'Year 5'!Year1_Milton_Keynes</vt:lpstr>
      <vt:lpstr>Year1_Milton_Keynes</vt:lpstr>
      <vt:lpstr>Year1_New_EHC__within_20_weeks</vt:lpstr>
      <vt:lpstr>Year1_Number_EHC_Plans</vt:lpstr>
      <vt:lpstr>'Year 5'!Year1_Oxfordshire</vt:lpstr>
      <vt:lpstr>Year1_Oxfordshire</vt:lpstr>
      <vt:lpstr>'Year 5'!Year1_Portsmouth</vt:lpstr>
      <vt:lpstr>Year1_Portsmouth</vt:lpstr>
      <vt:lpstr>'Year 5'!Year1_Reading</vt:lpstr>
      <vt:lpstr>Year1_Reading</vt:lpstr>
      <vt:lpstr>Year1_Referrals</vt:lpstr>
      <vt:lpstr>Year1_ReferralsAssessment</vt:lpstr>
      <vt:lpstr>Year1_ReferralSource_Anonymous</vt:lpstr>
      <vt:lpstr>Year1_ReferralSource_EducationServices</vt:lpstr>
      <vt:lpstr>Year1_ReferralSource_Health_services_AE</vt:lpstr>
      <vt:lpstr>Year1_ReferralSource_Health_services_GP</vt:lpstr>
      <vt:lpstr>Year1_ReferralSource_Health_services_HealthVisitor</vt:lpstr>
      <vt:lpstr>Year1_ReferralSource_Health_services_Other</vt:lpstr>
      <vt:lpstr>Year1_ReferralSource_Health_services_OthPrimary</vt:lpstr>
      <vt:lpstr>Year1_ReferralSource_Health_services_SchoolNurse</vt:lpstr>
      <vt:lpstr>Year1_ReferralSource_Housing</vt:lpstr>
      <vt:lpstr>Year1_ReferralSource_Individual_Acquaintance</vt:lpstr>
      <vt:lpstr>Year1_ReferralSource_Individual_Family</vt:lpstr>
      <vt:lpstr>Year1_ReferralSource_Individual_Other</vt:lpstr>
      <vt:lpstr>Year1_ReferralSource_Individual_Self</vt:lpstr>
      <vt:lpstr>Year1_ReferralSource_LA_External</vt:lpstr>
      <vt:lpstr>Year1_ReferralSource_LA_Other</vt:lpstr>
      <vt:lpstr>Year1_ReferralSource_LA_SC</vt:lpstr>
      <vt:lpstr>Year1_ReferralSource_Other</vt:lpstr>
      <vt:lpstr>Year1_ReferralSource_Other_Legal</vt:lpstr>
      <vt:lpstr>Year1_ReferralSource_Police</vt:lpstr>
      <vt:lpstr>Year1_ReferralSource_School</vt:lpstr>
      <vt:lpstr>Year1_ReferralSource_Unknown</vt:lpstr>
      <vt:lpstr>Year1_ReferralsPriorEH</vt:lpstr>
      <vt:lpstr>Year1_ReReferrals</vt:lpstr>
      <vt:lpstr>Year1_ROSGO_ceased_LAC_CAO</vt:lpstr>
      <vt:lpstr>Year1_ROSGO_ceased_LAC_SGO</vt:lpstr>
      <vt:lpstr>Year1_SGO_total</vt:lpstr>
      <vt:lpstr>'Year 5'!Year1_Slough</vt:lpstr>
      <vt:lpstr>Year1_Slough</vt:lpstr>
      <vt:lpstr>'Year 5'!Year1_Somerset</vt:lpstr>
      <vt:lpstr>Year1_Somerset</vt:lpstr>
      <vt:lpstr>'Year 5'!Year1_South_East</vt:lpstr>
      <vt:lpstr>Year1_South_East</vt:lpstr>
      <vt:lpstr>'Year 5'!Year1_Southampton</vt:lpstr>
      <vt:lpstr>Year1_Southampton</vt:lpstr>
      <vt:lpstr>Year1_SouthEast</vt:lpstr>
      <vt:lpstr>'Year 5'!Year1_Surrey</vt:lpstr>
      <vt:lpstr>Year1_Surrey</vt:lpstr>
      <vt:lpstr>'Year 5'!Year1_Swindon</vt:lpstr>
      <vt:lpstr>Year1_Swindon</vt:lpstr>
      <vt:lpstr>Year1_Torbay</vt:lpstr>
      <vt:lpstr>'Year 5'!Year1_West_Berkshire</vt:lpstr>
      <vt:lpstr>Year1_West_Berkshire</vt:lpstr>
      <vt:lpstr>'Year 5'!Year1_West_Sussex</vt:lpstr>
      <vt:lpstr>Year1_West_Sussex</vt:lpstr>
      <vt:lpstr>'Year 5'!Year1_Windsor___Maidenhead</vt:lpstr>
      <vt:lpstr>Year1_Windsor___Maidenhead</vt:lpstr>
      <vt:lpstr>Year1_Windsor_Maidenhead</vt:lpstr>
      <vt:lpstr>'Year 5'!Year1_Wokingham</vt:lpstr>
      <vt:lpstr>Year1_Wokingham</vt:lpstr>
      <vt:lpstr>Year2__1617__participating_in_EET</vt:lpstr>
      <vt:lpstr>Year2__electively_home_educated</vt:lpstr>
      <vt:lpstr>Year2_16_17_NEET</vt:lpstr>
      <vt:lpstr>Year2_16_17_not_known</vt:lpstr>
      <vt:lpstr>Year2_16_17_participating_in_EET</vt:lpstr>
      <vt:lpstr>Year2_1617_NEET</vt:lpstr>
      <vt:lpstr>Year2_1617_not_known</vt:lpstr>
      <vt:lpstr>Year2_1617_participating_in_EET</vt:lpstr>
      <vt:lpstr>Year2_Adoption_ceased_LAC</vt:lpstr>
      <vt:lpstr>Year2_Adoption_LAC_Adopted</vt:lpstr>
      <vt:lpstr>Year2_Adoption_LAC_Adopted_days</vt:lpstr>
      <vt:lpstr>Year2_Adoption_LAC_Adopted_placed_with_12months</vt:lpstr>
      <vt:lpstr>Year2_Adoption_PFA</vt:lpstr>
      <vt:lpstr>Year2_Assessments</vt:lpstr>
      <vt:lpstr>Year2_Assessments_10days</vt:lpstr>
      <vt:lpstr>Year2_Assessments_11_20days</vt:lpstr>
      <vt:lpstr>Year2_Assessments_11_25days</vt:lpstr>
      <vt:lpstr>Year2_Assessments_21_30days</vt:lpstr>
      <vt:lpstr>Year2_Assessments_26_35days</vt:lpstr>
      <vt:lpstr>Year2_Assessments_31_45days</vt:lpstr>
      <vt:lpstr>Year2_Assessments_36_45days</vt:lpstr>
      <vt:lpstr>Year2_Assessments_No_further_action</vt:lpstr>
      <vt:lpstr>Year2_Assessments_over_45days</vt:lpstr>
      <vt:lpstr>Year2_Assessments_step_down</vt:lpstr>
      <vt:lpstr>Year2_Assessments_within45days</vt:lpstr>
      <vt:lpstr>Year2_Bracknell_Forest</vt:lpstr>
      <vt:lpstr>Year2_Brighton___Hove</vt:lpstr>
      <vt:lpstr>Year2_Brighton_Hove</vt:lpstr>
      <vt:lpstr>Year2_Buckinghamshire</vt:lpstr>
      <vt:lpstr>Year2_CAO_RO_Total</vt:lpstr>
      <vt:lpstr>Year2_Care_Applications</vt:lpstr>
      <vt:lpstr>Year2_Care_Applications_Children</vt:lpstr>
      <vt:lpstr>Year2_Care_Leavers_16_18th_birthday</vt:lpstr>
      <vt:lpstr>Year2_Care_Leavers_19_20_Ceased18_SP</vt:lpstr>
      <vt:lpstr>Year2_Care_Leavers_at_end_of_period</vt:lpstr>
      <vt:lpstr>Year2_Care_Leavers_in_EET</vt:lpstr>
      <vt:lpstr>Year2_Care_Leavers_in_suitable_accommodation</vt:lpstr>
      <vt:lpstr>Year2_Care_Leavers_in_touch</vt:lpstr>
      <vt:lpstr>Year2_Ceased_LAC_16plus</vt:lpstr>
      <vt:lpstr>Year2_Ceased_LAC_16plus_18th</vt:lpstr>
      <vt:lpstr>Year2_Children_missing_Education</vt:lpstr>
      <vt:lpstr>Year2_CIN</vt:lpstr>
      <vt:lpstr>Year2_CIN_Section47</vt:lpstr>
      <vt:lpstr>Year2_Contacts</vt:lpstr>
      <vt:lpstr>Year2_Continuous_assessments</vt:lpstr>
      <vt:lpstr>Year2_CP_Conference</vt:lpstr>
      <vt:lpstr>Year2_CP_Conference_within15days</vt:lpstr>
      <vt:lpstr>Year2_CP_Plans</vt:lpstr>
      <vt:lpstr>Year2_CP_Plans_2years</vt:lpstr>
      <vt:lpstr>Year2_CP_Plans_3months</vt:lpstr>
      <vt:lpstr>Year2_CP_Plans_3months_timescales</vt:lpstr>
      <vt:lpstr>Year2_CP_Plans_became_subject</vt:lpstr>
      <vt:lpstr>Year2_CP_Plans_became_subject_second</vt:lpstr>
      <vt:lpstr>Year2_CP_Plans_became_subject_second_2years</vt:lpstr>
      <vt:lpstr>Year2_CP_Plans_ceased</vt:lpstr>
      <vt:lpstr>Year2_CP_Plans_ceased_2years</vt:lpstr>
      <vt:lpstr>Year2_CP_Plans_Seen_in_Timescales</vt:lpstr>
      <vt:lpstr>Year2_EarlyHelpAssessments</vt:lpstr>
      <vt:lpstr>Year2_EarlyHelpAssessmentsOngoing</vt:lpstr>
      <vt:lpstr>Year2_EarlyHelpAssessmentsStepUp</vt:lpstr>
      <vt:lpstr>Year2_EarlyHelpedChildren</vt:lpstr>
      <vt:lpstr>Year2_EarlyHelpReferrals</vt:lpstr>
      <vt:lpstr>Year2_EarlyHelpReferralsOntoASSESSMENT</vt:lpstr>
      <vt:lpstr>Year2_EarlyHelpReferralsSTEPDOWN</vt:lpstr>
      <vt:lpstr>Year2_EarlyHelpReReferrals</vt:lpstr>
      <vt:lpstr>Year2_East_Sussex</vt:lpstr>
      <vt:lpstr>Year2_England</vt:lpstr>
      <vt:lpstr>Year2_First_Time_Entrants_to_Youth_Justice_system</vt:lpstr>
      <vt:lpstr>Year2_Hampshire</vt:lpstr>
      <vt:lpstr>Year2_Isle_of_Wight</vt:lpstr>
      <vt:lpstr>Year2_Juvenile_Offenders__Age_10_17</vt:lpstr>
      <vt:lpstr>Year2_Juvenile_Offenders__Age_1017</vt:lpstr>
      <vt:lpstr>Year2_Juvenile_Re_offenders__Age_10_17</vt:lpstr>
      <vt:lpstr>Year2_Juvenile_Reoffenders__Age_1017</vt:lpstr>
      <vt:lpstr>Year2_Kent</vt:lpstr>
      <vt:lpstr>Year2_LAC</vt:lpstr>
      <vt:lpstr>Year2_LAC_10to15</vt:lpstr>
      <vt:lpstr>Year2_LAC_16plus</vt:lpstr>
      <vt:lpstr>Year2_LAC_1to4</vt:lpstr>
      <vt:lpstr>Year2_LAC_3_or_more_Placements</vt:lpstr>
      <vt:lpstr>Year2_LAC_4weeks</vt:lpstr>
      <vt:lpstr>Year2_LAC_4weeks_reviews_in_timescales</vt:lpstr>
      <vt:lpstr>Year2_LAC_5to9</vt:lpstr>
      <vt:lpstr>Year2_LAC_Remanded</vt:lpstr>
      <vt:lpstr>Year2_LAC_Start</vt:lpstr>
      <vt:lpstr>Year2_LAC_Start_2nd_time</vt:lpstr>
      <vt:lpstr>Year2_LAC_UASC</vt:lpstr>
      <vt:lpstr>Year2_LAC_Under1</vt:lpstr>
      <vt:lpstr>Year2_LAC_under16</vt:lpstr>
      <vt:lpstr>Year2_LAC_under16_2.5years</vt:lpstr>
      <vt:lpstr>Year2_LAC_under16_2.5years_sameplacement2years</vt:lpstr>
      <vt:lpstr>Year2_Medway</vt:lpstr>
      <vt:lpstr>Year2_Milton_Keynes</vt:lpstr>
      <vt:lpstr>Year2_New_EHC__within_20_weeks</vt:lpstr>
      <vt:lpstr>Year2_Number_EHC_Plans</vt:lpstr>
      <vt:lpstr>Year2_Oxfordshire</vt:lpstr>
      <vt:lpstr>Year2_Portsmouth</vt:lpstr>
      <vt:lpstr>Year2_Reading</vt:lpstr>
      <vt:lpstr>Year2_Referrals</vt:lpstr>
      <vt:lpstr>Year2_ReferralsAssessment</vt:lpstr>
      <vt:lpstr>Year2_ReferralSource_Anonymous</vt:lpstr>
      <vt:lpstr>Year2_ReferralSource_EducationServices</vt:lpstr>
      <vt:lpstr>Year2_ReferralSource_Health_services_AE</vt:lpstr>
      <vt:lpstr>Year2_ReferralSource_Health_services_GP</vt:lpstr>
      <vt:lpstr>Year2_ReferralSource_Health_services_HealthVisitor</vt:lpstr>
      <vt:lpstr>Year2_ReferralSource_Health_services_Other</vt:lpstr>
      <vt:lpstr>Year2_ReferralSource_Health_services_OthPrimary</vt:lpstr>
      <vt:lpstr>Year2_ReferralSource_Health_services_SchoolNurse</vt:lpstr>
      <vt:lpstr>Year2_ReferralSource_Housing</vt:lpstr>
      <vt:lpstr>Year2_ReferralSource_Individual_Acquaintance</vt:lpstr>
      <vt:lpstr>Year2_ReferralSource_Individual_Family</vt:lpstr>
      <vt:lpstr>Year2_ReferralSource_Individual_Other</vt:lpstr>
      <vt:lpstr>Year2_ReferralSource_Individual_Self</vt:lpstr>
      <vt:lpstr>Year2_ReferralSource_LA_External</vt:lpstr>
      <vt:lpstr>Year2_ReferralSource_LA_Other</vt:lpstr>
      <vt:lpstr>Year2_ReferralSource_LA_SC</vt:lpstr>
      <vt:lpstr>Year2_ReferralSource_Other</vt:lpstr>
      <vt:lpstr>Year2_ReferralSource_Other_Legal</vt:lpstr>
      <vt:lpstr>Year2_ReferralSource_Police</vt:lpstr>
      <vt:lpstr>Year2_ReferralSource_School</vt:lpstr>
      <vt:lpstr>Year2_ReferralSource_Unknown</vt:lpstr>
      <vt:lpstr>Year2_ReferralsPriorEH</vt:lpstr>
      <vt:lpstr>Year2_ReReferrals</vt:lpstr>
      <vt:lpstr>Year2_ROSGO_ceased_LAC_CAO</vt:lpstr>
      <vt:lpstr>Year2_ROSGO_ceased_LAC_SGO</vt:lpstr>
      <vt:lpstr>Year2_SGO_total</vt:lpstr>
      <vt:lpstr>Year2_Slough</vt:lpstr>
      <vt:lpstr>Year2_Somerset</vt:lpstr>
      <vt:lpstr>Year2_South_East</vt:lpstr>
      <vt:lpstr>Year2_Southampton</vt:lpstr>
      <vt:lpstr>Year2_SouthEast</vt:lpstr>
      <vt:lpstr>Year2_Surrey</vt:lpstr>
      <vt:lpstr>Year2_Swindon</vt:lpstr>
      <vt:lpstr>Year2_Torbay</vt:lpstr>
      <vt:lpstr>Year2_West_Berkshire</vt:lpstr>
      <vt:lpstr>Year2_West_Sussex</vt:lpstr>
      <vt:lpstr>Year2_Windsor___Maidenhead</vt:lpstr>
      <vt:lpstr>Year2_Windsor_Maidenhead</vt:lpstr>
      <vt:lpstr>Year2_Wokingham</vt:lpstr>
      <vt:lpstr>Year3__1617__participating_in_EET</vt:lpstr>
      <vt:lpstr>Year3__electively_home_educated</vt:lpstr>
      <vt:lpstr>Year3_16_17_NEET</vt:lpstr>
      <vt:lpstr>Year3_16_17_not_known</vt:lpstr>
      <vt:lpstr>Year3_16_17_participating_in_EET</vt:lpstr>
      <vt:lpstr>Year3_1617_NEET</vt:lpstr>
      <vt:lpstr>Year3_1617_not_known</vt:lpstr>
      <vt:lpstr>Year3_1617_participating_in_EET</vt:lpstr>
      <vt:lpstr>Year3_Adoption_ceased_LAC</vt:lpstr>
      <vt:lpstr>Year3_Adoption_LAC_Adopted</vt:lpstr>
      <vt:lpstr>Year3_Adoption_LAC_Adopted_days</vt:lpstr>
      <vt:lpstr>Year3_Adoption_LAC_Adopted_placed_with_12months</vt:lpstr>
      <vt:lpstr>Year3_Adoption_PFA</vt:lpstr>
      <vt:lpstr>Year3_Assessments</vt:lpstr>
      <vt:lpstr>Year3_Assessments_10days</vt:lpstr>
      <vt:lpstr>Year3_Assessments_11_20days</vt:lpstr>
      <vt:lpstr>Year3_Assessments_11_25days</vt:lpstr>
      <vt:lpstr>Year3_Assessments_21_30days</vt:lpstr>
      <vt:lpstr>Year3_Assessments_26_35days</vt:lpstr>
      <vt:lpstr>Year3_Assessments_31_45days</vt:lpstr>
      <vt:lpstr>Year3_Assessments_36_45days</vt:lpstr>
      <vt:lpstr>Year3_Assessments_No_further_action</vt:lpstr>
      <vt:lpstr>Year3_Assessments_over_45days</vt:lpstr>
      <vt:lpstr>Year3_Assessments_step_down</vt:lpstr>
      <vt:lpstr>Year3_Assessments_within45days</vt:lpstr>
      <vt:lpstr>Year3_Bracknell_Forest</vt:lpstr>
      <vt:lpstr>Year3_Brighton___Hove</vt:lpstr>
      <vt:lpstr>Year3_Brighton_Hove</vt:lpstr>
      <vt:lpstr>Year3_Buckinghamshire</vt:lpstr>
      <vt:lpstr>Year3_CAO_RO_Total</vt:lpstr>
      <vt:lpstr>Year3_Care_Applications</vt:lpstr>
      <vt:lpstr>Year3_Care_Applications_Children</vt:lpstr>
      <vt:lpstr>Year3_Care_Leavers_16_18th_birthday</vt:lpstr>
      <vt:lpstr>Year3_Care_Leavers_19_20_Ceased18_SP</vt:lpstr>
      <vt:lpstr>Year3_Care_Leavers_at_end_of_period</vt:lpstr>
      <vt:lpstr>Year3_Care_Leavers_in_EET</vt:lpstr>
      <vt:lpstr>Year3_Care_Leavers_in_suitable_accommodation</vt:lpstr>
      <vt:lpstr>Year3_Care_Leavers_in_touch</vt:lpstr>
      <vt:lpstr>Year3_Ceased_LAC_16plus</vt:lpstr>
      <vt:lpstr>Year3_Ceased_LAC_16plus_18th</vt:lpstr>
      <vt:lpstr>Year3_Children_missing_Education</vt:lpstr>
      <vt:lpstr>Year3_CIN</vt:lpstr>
      <vt:lpstr>Year3_CIN_Section47</vt:lpstr>
      <vt:lpstr>Year3_Contacts</vt:lpstr>
      <vt:lpstr>Year3_Continuous_assessments</vt:lpstr>
      <vt:lpstr>Year3_CP_Conference</vt:lpstr>
      <vt:lpstr>Year3_CP_Conference_within15days</vt:lpstr>
      <vt:lpstr>Year3_CP_Plans</vt:lpstr>
      <vt:lpstr>Year3_CP_Plans_2years</vt:lpstr>
      <vt:lpstr>Year3_CP_Plans_3months</vt:lpstr>
      <vt:lpstr>Year3_CP_Plans_3months_timescales</vt:lpstr>
      <vt:lpstr>Year3_CP_Plans_became_subject</vt:lpstr>
      <vt:lpstr>Year3_CP_Plans_became_subject_second</vt:lpstr>
      <vt:lpstr>Year3_CP_Plans_became_subject_second_2years</vt:lpstr>
      <vt:lpstr>Year3_CP_Plans_ceased</vt:lpstr>
      <vt:lpstr>Year3_CP_Plans_ceased_2years</vt:lpstr>
      <vt:lpstr>Year3_CP_Plans_Seen_in_Timescales</vt:lpstr>
      <vt:lpstr>Year3_EarlyHelpAssessments</vt:lpstr>
      <vt:lpstr>Year3_EarlyHelpAssessmentsOngoing</vt:lpstr>
      <vt:lpstr>Year3_EarlyHelpAssessmentsStepUp</vt:lpstr>
      <vt:lpstr>Year3_EarlyHelpedChildren</vt:lpstr>
      <vt:lpstr>Year3_EarlyHelpReferrals</vt:lpstr>
      <vt:lpstr>Year3_EarlyHelpReferralsOntoASSESSMENT</vt:lpstr>
      <vt:lpstr>Year3_EarlyHelpReferralsSTEPDOWN</vt:lpstr>
      <vt:lpstr>Year3_EarlyHelpReReferrals</vt:lpstr>
      <vt:lpstr>Year3_East_Sussex</vt:lpstr>
      <vt:lpstr>Year3_England</vt:lpstr>
      <vt:lpstr>Year3_First_Time_Entrants_to_Youth_Justice_system</vt:lpstr>
      <vt:lpstr>Year3_Hampshire</vt:lpstr>
      <vt:lpstr>Year3_Isle_of_Wight</vt:lpstr>
      <vt:lpstr>Year3_Juvenile_Offenders__Age_10_17</vt:lpstr>
      <vt:lpstr>Year3_Juvenile_Offenders__Age_1017</vt:lpstr>
      <vt:lpstr>Year3_Juvenile_Re_offenders__Age_10_17</vt:lpstr>
      <vt:lpstr>Year3_Juvenile_Reoffenders__Age_1017</vt:lpstr>
      <vt:lpstr>Year3_Kent</vt:lpstr>
      <vt:lpstr>Year3_LAC</vt:lpstr>
      <vt:lpstr>Year3_LAC_10to15</vt:lpstr>
      <vt:lpstr>Year3_LAC_16plus</vt:lpstr>
      <vt:lpstr>Year3_LAC_1to4</vt:lpstr>
      <vt:lpstr>Year3_LAC_3_or_more_Placements</vt:lpstr>
      <vt:lpstr>Year3_LAC_4weeks</vt:lpstr>
      <vt:lpstr>Year3_LAC_4weeks_reviews_in_timescales</vt:lpstr>
      <vt:lpstr>Year3_LAC_5to9</vt:lpstr>
      <vt:lpstr>Year3_LAC_Remanded</vt:lpstr>
      <vt:lpstr>Year3_LAC_Start</vt:lpstr>
      <vt:lpstr>Year3_LAC_Start_2nd_time</vt:lpstr>
      <vt:lpstr>Year3_LAC_UASC</vt:lpstr>
      <vt:lpstr>Year3_LAC_Under1</vt:lpstr>
      <vt:lpstr>Year3_LAC_under16</vt:lpstr>
      <vt:lpstr>Year3_LAC_under16_2.5years</vt:lpstr>
      <vt:lpstr>Year3_LAC_under16_2.5years_sameplacement2years</vt:lpstr>
      <vt:lpstr>Year3_Medway</vt:lpstr>
      <vt:lpstr>Year3_Milton_Keynes</vt:lpstr>
      <vt:lpstr>Year3_New_EHC__within_20_weeks</vt:lpstr>
      <vt:lpstr>Year3_Number_EHC_Plans</vt:lpstr>
      <vt:lpstr>Year3_Oxfordshire</vt:lpstr>
      <vt:lpstr>Year3_Portsmouth</vt:lpstr>
      <vt:lpstr>Year3_Reading</vt:lpstr>
      <vt:lpstr>Year3_Referrals</vt:lpstr>
      <vt:lpstr>Year3_ReferralsAssessment</vt:lpstr>
      <vt:lpstr>Year3_ReferralSource_Anonymous</vt:lpstr>
      <vt:lpstr>Year3_ReferralSource_EducationServices</vt:lpstr>
      <vt:lpstr>Year3_ReferralSource_Health_services_AE</vt:lpstr>
      <vt:lpstr>Year3_ReferralSource_Health_services_GP</vt:lpstr>
      <vt:lpstr>Year3_ReferralSource_Health_services_HealthVisitor</vt:lpstr>
      <vt:lpstr>Year3_ReferralSource_Health_services_Other</vt:lpstr>
      <vt:lpstr>Year3_ReferralSource_Health_services_OthPrimary</vt:lpstr>
      <vt:lpstr>Year3_ReferralSource_Health_services_SchoolNurse</vt:lpstr>
      <vt:lpstr>Year3_ReferralSource_Housing</vt:lpstr>
      <vt:lpstr>Year3_ReferralSource_Individual_Acquaintance</vt:lpstr>
      <vt:lpstr>Year3_ReferralSource_Individual_Family</vt:lpstr>
      <vt:lpstr>Year3_ReferralSource_Individual_Other</vt:lpstr>
      <vt:lpstr>Year3_ReferralSource_Individual_Self</vt:lpstr>
      <vt:lpstr>Year3_ReferralSource_LA_External</vt:lpstr>
      <vt:lpstr>Year3_ReferralSource_LA_Other</vt:lpstr>
      <vt:lpstr>Year3_ReferralSource_LA_SC</vt:lpstr>
      <vt:lpstr>Year3_ReferralSource_Other</vt:lpstr>
      <vt:lpstr>Year3_ReferralSource_Other_Legal</vt:lpstr>
      <vt:lpstr>Year3_ReferralSource_Police</vt:lpstr>
      <vt:lpstr>Year3_ReferralSource_School</vt:lpstr>
      <vt:lpstr>Year3_ReferralSource_Unknown</vt:lpstr>
      <vt:lpstr>Year3_ReferralsPriorEH</vt:lpstr>
      <vt:lpstr>Year3_ReReferrals</vt:lpstr>
      <vt:lpstr>Year3_ROSGO_ceased_LAC_CAO</vt:lpstr>
      <vt:lpstr>Year3_ROSGO_ceased_LAC_SGO</vt:lpstr>
      <vt:lpstr>Year3_SGO_total</vt:lpstr>
      <vt:lpstr>Year3_Slough</vt:lpstr>
      <vt:lpstr>Year3_Somerset</vt:lpstr>
      <vt:lpstr>Year3_South_East</vt:lpstr>
      <vt:lpstr>Year3_Southampton</vt:lpstr>
      <vt:lpstr>Year3_SouthEast</vt:lpstr>
      <vt:lpstr>Year3_Surrey</vt:lpstr>
      <vt:lpstr>Year3_Swindon</vt:lpstr>
      <vt:lpstr>Year3_Torbay</vt:lpstr>
      <vt:lpstr>Year3_West_Berkshire</vt:lpstr>
      <vt:lpstr>Year3_West_Sussex</vt:lpstr>
      <vt:lpstr>Year3_Windsor___Maidenhead</vt:lpstr>
      <vt:lpstr>Year3_Windsor_Maidenhead</vt:lpstr>
      <vt:lpstr>Year3_Wokingham</vt:lpstr>
      <vt:lpstr>Year4__1617__participating_in_EET</vt:lpstr>
      <vt:lpstr>Year4__electively_home_educated</vt:lpstr>
      <vt:lpstr>Year4_16_17_NEET</vt:lpstr>
      <vt:lpstr>Year4_16_17_not_known</vt:lpstr>
      <vt:lpstr>Year4_16_17_participating_in_EET</vt:lpstr>
      <vt:lpstr>Year4_1617_NEET</vt:lpstr>
      <vt:lpstr>Year4_1617_not_known</vt:lpstr>
      <vt:lpstr>Year4_Adoption_ceased_LAC</vt:lpstr>
      <vt:lpstr>Year4_Adoption_LAC_Adopted</vt:lpstr>
      <vt:lpstr>Year4_Adoption_LAC_Adopted_days</vt:lpstr>
      <vt:lpstr>Year4_Adoption_LAC_Adopted_placed_with_12months</vt:lpstr>
      <vt:lpstr>Year4_Adoption_PFA</vt:lpstr>
      <vt:lpstr>Year4_Assessments</vt:lpstr>
      <vt:lpstr>Year4_Assessments_10days</vt:lpstr>
      <vt:lpstr>Year4_Assessments_11_20days</vt:lpstr>
      <vt:lpstr>Year4_Assessments_11_25days</vt:lpstr>
      <vt:lpstr>Year4_Assessments_21_30days</vt:lpstr>
      <vt:lpstr>Year4_Assessments_26_35days</vt:lpstr>
      <vt:lpstr>Year4_Assessments_31_45days</vt:lpstr>
      <vt:lpstr>Year4_Assessments_36_45days</vt:lpstr>
      <vt:lpstr>Year4_Assessments_No_further_action</vt:lpstr>
      <vt:lpstr>Year4_Assessments_over_45days</vt:lpstr>
      <vt:lpstr>Year4_Assessments_step_down</vt:lpstr>
      <vt:lpstr>'Year 5'!Year4_Assessments_within45days</vt:lpstr>
      <vt:lpstr>Year4_Assessments_within45days</vt:lpstr>
      <vt:lpstr>Year4_Bracknell_Forest</vt:lpstr>
      <vt:lpstr>Year4_Brighton___Hove</vt:lpstr>
      <vt:lpstr>Year4_Brighton_Hove</vt:lpstr>
      <vt:lpstr>Year4_Buckinghamshire</vt:lpstr>
      <vt:lpstr>Year4_CAO_RO_Total</vt:lpstr>
      <vt:lpstr>Year4_Care_Applications</vt:lpstr>
      <vt:lpstr>Year4_Care_Applications_Children</vt:lpstr>
      <vt:lpstr>Year4_Care_Leavers_16_18th_birthday</vt:lpstr>
      <vt:lpstr>Year4_Care_Leavers_19_20_Ceased18_SP</vt:lpstr>
      <vt:lpstr>Year4_Care_Leavers_at_end_of_period</vt:lpstr>
      <vt:lpstr>Year4_Care_Leavers_in_EET</vt:lpstr>
      <vt:lpstr>Year4_Care_Leavers_in_suitable_accommodation</vt:lpstr>
      <vt:lpstr>Year4_Care_Leavers_in_touch</vt:lpstr>
      <vt:lpstr>Year4_Ceased_LAC_16plus</vt:lpstr>
      <vt:lpstr>Year4_Ceased_LAC_16plus_18th</vt:lpstr>
      <vt:lpstr>Year4_Children_missing_Education</vt:lpstr>
      <vt:lpstr>Year4_CIN</vt:lpstr>
      <vt:lpstr>Year4_CIN_Section47</vt:lpstr>
      <vt:lpstr>Year4_Contacts</vt:lpstr>
      <vt:lpstr>Year4_Continuous_assessments</vt:lpstr>
      <vt:lpstr>Year4_CP_Conference</vt:lpstr>
      <vt:lpstr>Year4_CP_Conference_within15days</vt:lpstr>
      <vt:lpstr>Year4_CP_Plans</vt:lpstr>
      <vt:lpstr>Year4_CP_Plans_2years</vt:lpstr>
      <vt:lpstr>Year4_CP_Plans_3months</vt:lpstr>
      <vt:lpstr>Year4_CP_Plans_3months_timescales</vt:lpstr>
      <vt:lpstr>Year4_CP_Plans_became_subject</vt:lpstr>
      <vt:lpstr>Year4_CP_Plans_became_subject_second</vt:lpstr>
      <vt:lpstr>Year4_CP_Plans_became_subject_second_2years</vt:lpstr>
      <vt:lpstr>Year4_CP_Plans_ceased</vt:lpstr>
      <vt:lpstr>Year4_CP_Plans_ceased_2years</vt:lpstr>
      <vt:lpstr>Year4_CP_Plans_Seen_in_Timescales</vt:lpstr>
      <vt:lpstr>Year4_EarlyHelpAssessments</vt:lpstr>
      <vt:lpstr>Year4_EarlyHelpAssessmentsOngoing</vt:lpstr>
      <vt:lpstr>Year4_EarlyHelpAssessmentsStepUp</vt:lpstr>
      <vt:lpstr>Year4_EarlyHelpedChildren</vt:lpstr>
      <vt:lpstr>Year4_EarlyHelpReferrals</vt:lpstr>
      <vt:lpstr>Year4_EarlyHelpReferralsOntoASSESSMENT</vt:lpstr>
      <vt:lpstr>Year4_EarlyHelpReferralsSTEPDOWN</vt:lpstr>
      <vt:lpstr>Year4_EarlyHelpReReferrals</vt:lpstr>
      <vt:lpstr>Year4_East_Sussex</vt:lpstr>
      <vt:lpstr>Year4_England</vt:lpstr>
      <vt:lpstr>Year4_First_Time_Entrants_to_Youth_Justice_system</vt:lpstr>
      <vt:lpstr>Year4_Hampshire</vt:lpstr>
      <vt:lpstr>Year4_Isle_of_Wight</vt:lpstr>
      <vt:lpstr>Year4_Juvenile_Offenders__Age_10_17</vt:lpstr>
      <vt:lpstr>Year4_Juvenile_Offenders__Age_1017</vt:lpstr>
      <vt:lpstr>Year4_Juvenile_Re_offenders__Age_10_17</vt:lpstr>
      <vt:lpstr>Year4_Juvenile_Reoffenders__Age_1017</vt:lpstr>
      <vt:lpstr>Year4_Kent</vt:lpstr>
      <vt:lpstr>Year4_LAC</vt:lpstr>
      <vt:lpstr>Year4_LAC_10to15</vt:lpstr>
      <vt:lpstr>Year4_LAC_16plus</vt:lpstr>
      <vt:lpstr>Year4_LAC_1to4</vt:lpstr>
      <vt:lpstr>Year4_LAC_3_or_more_Placements</vt:lpstr>
      <vt:lpstr>Year4_LAC_4weeks</vt:lpstr>
      <vt:lpstr>Year4_LAC_4weeks_reviews_in_timescales</vt:lpstr>
      <vt:lpstr>Year4_LAC_5to9</vt:lpstr>
      <vt:lpstr>Year4_LAC_Remanded</vt:lpstr>
      <vt:lpstr>Year4_LAC_Start</vt:lpstr>
      <vt:lpstr>Year4_LAC_Start_2nd_time</vt:lpstr>
      <vt:lpstr>Year4_LAC_UASC</vt:lpstr>
      <vt:lpstr>Year4_LAC_Under1</vt:lpstr>
      <vt:lpstr>Year4_LAC_under16</vt:lpstr>
      <vt:lpstr>Year4_LAC_under16_2.5years</vt:lpstr>
      <vt:lpstr>Year4_LAC_under16_2.5years_sameplacement2years</vt:lpstr>
      <vt:lpstr>Year4_Medway</vt:lpstr>
      <vt:lpstr>Year4_Milton_Keynes</vt:lpstr>
      <vt:lpstr>Year4_New_EHC__within_20_weeks</vt:lpstr>
      <vt:lpstr>Year4_Number_EHC_Plans</vt:lpstr>
      <vt:lpstr>Year4_Oxfordshire</vt:lpstr>
      <vt:lpstr>Year4_Portsmouth</vt:lpstr>
      <vt:lpstr>Year4_Reading</vt:lpstr>
      <vt:lpstr>Year4_Referrals</vt:lpstr>
      <vt:lpstr>Year4_ReferralsAssessment</vt:lpstr>
      <vt:lpstr>Year4_ReferralSource_Anonymous</vt:lpstr>
      <vt:lpstr>Year4_ReferralSource_EducationServices</vt:lpstr>
      <vt:lpstr>Year4_ReferralSource_Health_services_AE</vt:lpstr>
      <vt:lpstr>Year4_ReferralSource_Health_services_GP</vt:lpstr>
      <vt:lpstr>Year4_ReferralSource_Health_services_HealthVisitor</vt:lpstr>
      <vt:lpstr>Year4_ReferralSource_Health_services_Other</vt:lpstr>
      <vt:lpstr>Year4_ReferralSource_Health_services_OthPrimary</vt:lpstr>
      <vt:lpstr>Year4_ReferralSource_Health_services_SchoolNurse</vt:lpstr>
      <vt:lpstr>Year4_ReferralSource_Housing</vt:lpstr>
      <vt:lpstr>Year4_ReferralSource_Individual_Acquaintance</vt:lpstr>
      <vt:lpstr>Year4_ReferralSource_Individual_Family</vt:lpstr>
      <vt:lpstr>Year4_ReferralSource_Individual_Other</vt:lpstr>
      <vt:lpstr>Year4_ReferralSource_Individual_Self</vt:lpstr>
      <vt:lpstr>Year4_ReferralSource_LA_External</vt:lpstr>
      <vt:lpstr>Year4_ReferralSource_LA_Other</vt:lpstr>
      <vt:lpstr>Year4_ReferralSource_LA_SC</vt:lpstr>
      <vt:lpstr>Year4_ReferralSource_Other</vt:lpstr>
      <vt:lpstr>Year4_ReferralSource_Other_Legal</vt:lpstr>
      <vt:lpstr>Year4_ReferralSource_Police</vt:lpstr>
      <vt:lpstr>Year4_ReferralSource_School</vt:lpstr>
      <vt:lpstr>Year4_ReferralSource_Unknown</vt:lpstr>
      <vt:lpstr>Year4_ReferralsPriorEH</vt:lpstr>
      <vt:lpstr>Year4_ReReferrals</vt:lpstr>
      <vt:lpstr>Year4_ROSGO_ceased_LAC_CAO</vt:lpstr>
      <vt:lpstr>Year4_ROSGO_ceased_LAC_SGO</vt:lpstr>
      <vt:lpstr>Year4_SGO_total</vt:lpstr>
      <vt:lpstr>Year4_Slough</vt:lpstr>
      <vt:lpstr>Year4_Somerset</vt:lpstr>
      <vt:lpstr>Year4_South_East</vt:lpstr>
      <vt:lpstr>Year4_Southampton</vt:lpstr>
      <vt:lpstr>Year4_SouthEast</vt:lpstr>
      <vt:lpstr>Year4_Surrey</vt:lpstr>
      <vt:lpstr>Year4_Swindon</vt:lpstr>
      <vt:lpstr>Year4_Torbay</vt:lpstr>
      <vt:lpstr>Year4_West_Berkshire</vt:lpstr>
      <vt:lpstr>Year4_West_Sussex</vt:lpstr>
      <vt:lpstr>Year4_Windsor___Maidenhead</vt:lpstr>
      <vt:lpstr>Year4_Windsor_Maidenhead</vt:lpstr>
      <vt:lpstr>Year4_Wokingham</vt:lpstr>
      <vt:lpstr>Year5__1617__participating_in_EET</vt:lpstr>
      <vt:lpstr>Year5__electively_home_educated</vt:lpstr>
      <vt:lpstr>Year5_16_17_NEET</vt:lpstr>
      <vt:lpstr>Year5_16_17_not_known</vt:lpstr>
      <vt:lpstr>Year5_16_17_participating_in_EET</vt:lpstr>
      <vt:lpstr>Year5_1617_NEET</vt:lpstr>
      <vt:lpstr>Year5_1617_not_known</vt:lpstr>
      <vt:lpstr>Year5_Adoption_ceased_LAC</vt:lpstr>
      <vt:lpstr>Year5_Adoption_LAC_Adopted</vt:lpstr>
      <vt:lpstr>Year5_Adoption_LAC_Adopted_days</vt:lpstr>
      <vt:lpstr>Year5_Adoption_LAC_Adopted_placed_with_12months</vt:lpstr>
      <vt:lpstr>Year5_Adoption_PFA</vt:lpstr>
      <vt:lpstr>Year5_Assessments</vt:lpstr>
      <vt:lpstr>Year5_Assessments_10days</vt:lpstr>
      <vt:lpstr>Year5_Assessments_11_20days</vt:lpstr>
      <vt:lpstr>Year5_Assessments_11_25days</vt:lpstr>
      <vt:lpstr>Year5_Assessments_21_30days</vt:lpstr>
      <vt:lpstr>Year5_Assessments_26_35days</vt:lpstr>
      <vt:lpstr>Year5_Assessments_31_45days</vt:lpstr>
      <vt:lpstr>Year5_Assessments_36_45days</vt:lpstr>
      <vt:lpstr>Year5_Assessments_No_further_action</vt:lpstr>
      <vt:lpstr>Year5_Assessments_over_45days</vt:lpstr>
      <vt:lpstr>Year5_Assessments_step_down</vt:lpstr>
      <vt:lpstr>Year5_Assessments_within45days</vt:lpstr>
      <vt:lpstr>Year5_Bracknell_Forest</vt:lpstr>
      <vt:lpstr>Year5_Braknell_Forest</vt:lpstr>
      <vt:lpstr>Year5_Brighton___Hove</vt:lpstr>
      <vt:lpstr>Year5_Brighton_Hove</vt:lpstr>
      <vt:lpstr>Year5_Buckinghamshire</vt:lpstr>
      <vt:lpstr>Year5_Bukinghamshire</vt:lpstr>
      <vt:lpstr>Year5_CAO_RO_Total</vt:lpstr>
      <vt:lpstr>Year5_Care_Applications</vt:lpstr>
      <vt:lpstr>Year5_Care_Applications_Children</vt:lpstr>
      <vt:lpstr>Year5_Care_Leavers_16_18th_birthday</vt:lpstr>
      <vt:lpstr>Year5_Care_Leavers_19_20_Ceased18_SP</vt:lpstr>
      <vt:lpstr>Year5_Care_Leavers_at_end_of_period</vt:lpstr>
      <vt:lpstr>Year5_Care_Leavers_in_EET</vt:lpstr>
      <vt:lpstr>Year5_Care_Leavers_in_suitable_accommodation</vt:lpstr>
      <vt:lpstr>Year5_Care_Leavers_in_touch</vt:lpstr>
      <vt:lpstr>Year5_Ceased_LAC_16plus</vt:lpstr>
      <vt:lpstr>Year5_Ceased_LAC_16plus_18th</vt:lpstr>
      <vt:lpstr>Year5_Children_missing_Education</vt:lpstr>
      <vt:lpstr>Year5_CIN</vt:lpstr>
      <vt:lpstr>Year5_CIN_Section47</vt:lpstr>
      <vt:lpstr>Year5_Contacts</vt:lpstr>
      <vt:lpstr>Year5_Continuous_assessments</vt:lpstr>
      <vt:lpstr>Year5_CP_Conference</vt:lpstr>
      <vt:lpstr>Year5_CP_Conference_within15days</vt:lpstr>
      <vt:lpstr>Year5_CP_Plans</vt:lpstr>
      <vt:lpstr>Year5_CP_Plans_2years</vt:lpstr>
      <vt:lpstr>Year5_CP_Plans_3months</vt:lpstr>
      <vt:lpstr>Year5_CP_Plans_3months_timescales</vt:lpstr>
      <vt:lpstr>Year5_CP_Plans_became_subject</vt:lpstr>
      <vt:lpstr>Year5_CP_Plans_became_subject_second</vt:lpstr>
      <vt:lpstr>Year5_CP_Plans_became_subject_second_2years</vt:lpstr>
      <vt:lpstr>Year5_CP_Plans_ceased</vt:lpstr>
      <vt:lpstr>Year5_CP_Plans_ceased_2years</vt:lpstr>
      <vt:lpstr>Year5_CP_Plans_Seen_in_Timescales</vt:lpstr>
      <vt:lpstr>Year5_EarlyHelpAssessments</vt:lpstr>
      <vt:lpstr>Year5_EarlyHelpAssessmentsOngoing</vt:lpstr>
      <vt:lpstr>Year5_EarlyHelpAssessmentsStepUp</vt:lpstr>
      <vt:lpstr>Year5_EarlyHelpedChildren</vt:lpstr>
      <vt:lpstr>Year5_EarlyHelpReferrals</vt:lpstr>
      <vt:lpstr>Year5_EarlyHelpReferralsOntoASSESSMENT</vt:lpstr>
      <vt:lpstr>Year5_EarlyHelpReferralsSTEPDOWN</vt:lpstr>
      <vt:lpstr>Year5_EarlyHelpReReferrals</vt:lpstr>
      <vt:lpstr>Year5_East_Sussex</vt:lpstr>
      <vt:lpstr>Year5_England</vt:lpstr>
      <vt:lpstr>Year5_First_Time_Entrants_to_Youth_Justice_system</vt:lpstr>
      <vt:lpstr>Year5_Hampshire</vt:lpstr>
      <vt:lpstr>Year5_Isle_of_Wight</vt:lpstr>
      <vt:lpstr>Year5_Juvenile_Offenders__Age_10_17</vt:lpstr>
      <vt:lpstr>Year5_Juvenile_Offenders__Age_1017</vt:lpstr>
      <vt:lpstr>Year5_Juvenile_Re_offenders__Age_10_17</vt:lpstr>
      <vt:lpstr>Year5_Juvenile_Reoffenders__Age_1017</vt:lpstr>
      <vt:lpstr>Year5_Kent</vt:lpstr>
      <vt:lpstr>Year5_LAC</vt:lpstr>
      <vt:lpstr>Year5_LAC_10to15</vt:lpstr>
      <vt:lpstr>Year5_LAC_16plus</vt:lpstr>
      <vt:lpstr>Year5_LAC_1to4</vt:lpstr>
      <vt:lpstr>Year5_LAC_3_or_more_Placements</vt:lpstr>
      <vt:lpstr>Year5_LAC_4weeks</vt:lpstr>
      <vt:lpstr>Year5_LAC_4weeks_reviews_in_timescales</vt:lpstr>
      <vt:lpstr>Year5_LAC_5to9</vt:lpstr>
      <vt:lpstr>Year5_LAC_Remanded</vt:lpstr>
      <vt:lpstr>Year5_LAC_Start</vt:lpstr>
      <vt:lpstr>Year5_LAC_Start_2nd_time</vt:lpstr>
      <vt:lpstr>Year5_LAC_UASC</vt:lpstr>
      <vt:lpstr>Year5_LAC_Under1</vt:lpstr>
      <vt:lpstr>Year5_LAC_under16</vt:lpstr>
      <vt:lpstr>Year5_LAC_under16_2.5years</vt:lpstr>
      <vt:lpstr>Year5_LAC_under16_2.5years_sameplacement2years</vt:lpstr>
      <vt:lpstr>Year5_Medway</vt:lpstr>
      <vt:lpstr>Year5_Milton_Keynes</vt:lpstr>
      <vt:lpstr>Year5_New_EHC__within_20_weeks</vt:lpstr>
      <vt:lpstr>Year5_Number_EHC_Plans</vt:lpstr>
      <vt:lpstr>Year5_Oxfordshire</vt:lpstr>
      <vt:lpstr>Year5_Portsmouth</vt:lpstr>
      <vt:lpstr>Year5_Reading</vt:lpstr>
      <vt:lpstr>Year5_Referrals</vt:lpstr>
      <vt:lpstr>Year5_ReferralsAssessment</vt:lpstr>
      <vt:lpstr>Year5_ReferralSource_Anonymous</vt:lpstr>
      <vt:lpstr>Year5_ReferralSource_EducationServices</vt:lpstr>
      <vt:lpstr>Year5_ReferralSource_Health_services_AE</vt:lpstr>
      <vt:lpstr>Year5_ReferralSource_Health_services_GP</vt:lpstr>
      <vt:lpstr>Year5_ReferralSource_Health_services_HealthVisitor</vt:lpstr>
      <vt:lpstr>Year5_ReferralSource_Health_services_Other</vt:lpstr>
      <vt:lpstr>Year5_ReferralSource_Health_services_OthPrimary</vt:lpstr>
      <vt:lpstr>Year5_ReferralSource_Health_services_SchoolNurse</vt:lpstr>
      <vt:lpstr>Year5_ReferralSource_Housing</vt:lpstr>
      <vt:lpstr>Year5_ReferralSource_Individual_Acquaintance</vt:lpstr>
      <vt:lpstr>Year5_ReferralSource_Individual_Family</vt:lpstr>
      <vt:lpstr>Year5_ReferralSource_Individual_Other</vt:lpstr>
      <vt:lpstr>Year5_ReferralSource_Individual_Self</vt:lpstr>
      <vt:lpstr>Year5_ReferralSource_LA_External</vt:lpstr>
      <vt:lpstr>Year5_ReferralSource_LA_Other</vt:lpstr>
      <vt:lpstr>Year5_ReferralSource_LA_SC</vt:lpstr>
      <vt:lpstr>Year5_ReferralSource_Other</vt:lpstr>
      <vt:lpstr>Year5_ReferralSource_Other_Legal</vt:lpstr>
      <vt:lpstr>Year5_ReferralSource_Police</vt:lpstr>
      <vt:lpstr>Year5_ReferralSource_School</vt:lpstr>
      <vt:lpstr>Year5_ReferralSource_Unknown</vt:lpstr>
      <vt:lpstr>Year5_ReferralsPriorEH</vt:lpstr>
      <vt:lpstr>Year5_ReReferrals</vt:lpstr>
      <vt:lpstr>Year5_ROSGO_ceased_LAC_CAO</vt:lpstr>
      <vt:lpstr>Year5_ROSGO_ceased_LAC_SGO</vt:lpstr>
      <vt:lpstr>Year5_SGO_total</vt:lpstr>
      <vt:lpstr>Year5_Slough</vt:lpstr>
      <vt:lpstr>Year5_Somerset</vt:lpstr>
      <vt:lpstr>Year5_South_East</vt:lpstr>
      <vt:lpstr>Year5_Southampton</vt:lpstr>
      <vt:lpstr>Year5_SouthEast</vt:lpstr>
      <vt:lpstr>Year5_Surrey</vt:lpstr>
      <vt:lpstr>Year5_Swindon</vt:lpstr>
      <vt:lpstr>Year5_Torbay</vt:lpstr>
      <vt:lpstr>Year5_West_Berkshire</vt:lpstr>
      <vt:lpstr>Year5_West_Sussex</vt:lpstr>
      <vt:lpstr>Year5_Windsor___Maidenhead</vt:lpstr>
      <vt:lpstr>Year5_Windsor_Maidenhead</vt:lpstr>
      <vt:lpstr>Year5_Wokingham</vt:lpstr>
    </vt:vector>
  </TitlesOfParts>
  <Company>East sussex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Josephh</dc:creator>
  <cp:lastModifiedBy>Joseph Hutchings</cp:lastModifiedBy>
  <cp:lastPrinted>2021-03-30T07:47:14Z</cp:lastPrinted>
  <dcterms:created xsi:type="dcterms:W3CDTF">2011-07-27T15:24:05Z</dcterms:created>
  <dcterms:modified xsi:type="dcterms:W3CDTF">2021-03-30T08:00:18Z</dcterms:modified>
</cp:coreProperties>
</file>